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salaheddine.jiri\OneDrive - ECOVIS\Bureau\"/>
    </mc:Choice>
  </mc:AlternateContent>
  <xr:revisionPtr revIDLastSave="0" documentId="13_ncr:1_{A2310A33-F9C0-48E6-996E-CDBD430F338A}" xr6:coauthVersionLast="47" xr6:coauthVersionMax="47" xr10:uidLastSave="{00000000-0000-0000-0000-000000000000}"/>
  <bookViews>
    <workbookView xWindow="-120" yWindow="-120" windowWidth="29040" windowHeight="15720" tabRatio="901" firstSheet="2" activeTab="6" xr2:uid="{00000000-000D-0000-FFFF-FFFF00000000}"/>
  </bookViews>
  <sheets>
    <sheet name="Feuil1" sheetId="77" r:id="rId1"/>
    <sheet name="Identification" sheetId="78" r:id="rId2"/>
    <sheet name="Couverture Etats de synthèse" sheetId="75" r:id="rId3"/>
    <sheet name="Couverture" sheetId="62" r:id="rId4"/>
    <sheet name="Programme" sheetId="79" r:id="rId5"/>
    <sheet name="Xml" sheetId="80" r:id="rId6"/>
    <sheet name="Balance N" sheetId="23" r:id="rId7"/>
    <sheet name="Balance N-1" sheetId="64" r:id="rId8"/>
    <sheet name="Balance N Retraitée" sheetId="1" r:id="rId9"/>
    <sheet name="BG N" sheetId="82" r:id="rId10"/>
    <sheet name="Balance N-1 Retraitée" sheetId="63" r:id="rId11"/>
    <sheet name="T1 Bilan" sheetId="3" r:id="rId12"/>
    <sheet name="T2 CPC" sheetId="4" r:id="rId13"/>
    <sheet name="T3 B12-res fis" sheetId="34" r:id="rId14"/>
    <sheet name="T4 B2-immo" sheetId="24" r:id="rId15"/>
    <sheet name="T5 ESG" sheetId="7" r:id="rId16"/>
    <sheet name="T6 TB11" sheetId="8" r:id="rId17"/>
    <sheet name="T7 CNCET B10-CB" sheetId="33" r:id="rId18"/>
    <sheet name="T8 B2 BIS" sheetId="47" r:id="rId19"/>
    <sheet name="T9 B5-PROV" sheetId="48" r:id="rId20"/>
    <sheet name="T10 B3-+-Value" sheetId="26" r:id="rId21"/>
    <sheet name="T11 B4-Titres part" sheetId="27" r:id="rId22"/>
    <sheet name="T12 B14-TVA" sheetId="49" r:id="rId23"/>
    <sheet name="T13 C1-rép cap" sheetId="37" r:id="rId24"/>
    <sheet name="T14 C2-affec resu" sheetId="38" r:id="rId25"/>
    <sheet name="T15 Encourag" sheetId="81" r:id="rId26"/>
    <sheet name="T16 Amort" sheetId="71" r:id="rId27"/>
    <sheet name="T17 + V Fusions" sheetId="54" r:id="rId28"/>
    <sheet name="T18 Emprunts" sheetId="59" r:id="rId29"/>
    <sheet name="T19 Locations" sheetId="60" r:id="rId30"/>
    <sheet name="T20 Stocks" sheetId="61" r:id="rId31"/>
    <sheet name="TF" sheetId="42" r:id="rId32"/>
    <sheet name="ETIC  A0 A1" sheetId="72" r:id="rId33"/>
    <sheet name=" A2 Dérogations" sheetId="73" r:id="rId34"/>
    <sheet name="A3 Changement méthode" sheetId="74" r:id="rId35"/>
    <sheet name="C4-ope  dev" sheetId="40" r:id="rId36"/>
    <sheet name="B1-Tab non val" sheetId="58" r:id="rId37"/>
    <sheet name="B6-CREANCES-01" sheetId="51" r:id="rId38"/>
    <sheet name="B7-dettes" sheetId="30" r:id="rId39"/>
    <sheet name="B8-SURETES-01" sheetId="52" r:id="rId40"/>
    <sheet name="B9-Eng fin" sheetId="32" r:id="rId41"/>
    <sheet name="B13-res cour" sheetId="35" r:id="rId42"/>
    <sheet name="B15 Passif Eventuel" sheetId="70" r:id="rId43"/>
    <sheet name="C3-3 exer" sheetId="39" r:id="rId44"/>
    <sheet name="C5- Datation" sheetId="41" r:id="rId45"/>
    <sheet name="bilan condens" sheetId="44" r:id="rId46"/>
  </sheets>
  <externalReferences>
    <externalReference r:id="rId47"/>
  </externalReferences>
  <definedNames>
    <definedName name="_xlnm._FilterDatabase" localSheetId="6" hidden="1">'Balance N'!$A$1:$L$432</definedName>
    <definedName name="_xlnm._FilterDatabase" localSheetId="8" hidden="1">'Balance N Retraitée'!$A$1:$Q$1</definedName>
    <definedName name="_xlnm._FilterDatabase" localSheetId="7" hidden="1">'Balance N-1'!$A$1:$I$237</definedName>
    <definedName name="_xlnm._FilterDatabase" localSheetId="10" hidden="1">'Balance N-1 Retraitée'!$A$1:$H$617</definedName>
    <definedName name="_xlnm._FilterDatabase" localSheetId="9" hidden="1">'BG N'!$A$1:$I$235</definedName>
    <definedName name="_xlnm._FilterDatabase" localSheetId="4" hidden="1">Programme!$A$1:$J$21232</definedName>
    <definedName name="A"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A"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aa"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aa"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achatmat"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achatmat"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B"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B"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Cellule_1000">'T4 B2-immo'!$D$18</definedName>
    <definedName name="Cellule_1001">'T4 B2-immo'!$D$21</definedName>
    <definedName name="Cellule_1002">'T4 B2-immo'!$D$22</definedName>
    <definedName name="Cellule_10022">#REF!</definedName>
    <definedName name="Cellule_10023">#REF!</definedName>
    <definedName name="Cellule_10024">#REF!</definedName>
    <definedName name="Cellule_10025">#REF!</definedName>
    <definedName name="Cellule_10026">#REF!</definedName>
    <definedName name="Cellule_10027">#REF!</definedName>
    <definedName name="Cellule_10028">#REF!</definedName>
    <definedName name="Cellule_10029">#REF!</definedName>
    <definedName name="Cellule_1003">'T4 B2-immo'!$D$23</definedName>
    <definedName name="Cellule_1004">'T4 B2-immo'!$D$24</definedName>
    <definedName name="Cellule_10040">#REF!</definedName>
    <definedName name="Cellule_10041">#REF!</definedName>
    <definedName name="Cellule_10042">#REF!</definedName>
    <definedName name="Cellule_10043">#REF!</definedName>
    <definedName name="Cellule_1005">'T4 B2-immo'!$D$27</definedName>
    <definedName name="Cellule_1006">'T4 B2-immo'!$D$25</definedName>
    <definedName name="Cellule_10061_1">'T16 Amort'!$B$14</definedName>
    <definedName name="Cellule_10061_10">'T16 Amort'!#REF!</definedName>
    <definedName name="Cellule_10061_2">'T16 Amort'!$B$15</definedName>
    <definedName name="Cellule_10061_3">'T16 Amort'!$B$16</definedName>
    <definedName name="Cellule_10061_4">'T16 Amort'!$B$17</definedName>
    <definedName name="Cellule_10061_5">'T16 Amort'!$B$18</definedName>
    <definedName name="Cellule_10061_6">'T16 Amort'!$B$19</definedName>
    <definedName name="Cellule_10061_7">'T16 Amort'!$B$20</definedName>
    <definedName name="Cellule_10061_8">'T16 Amort'!$B$21</definedName>
    <definedName name="Cellule_10061_9">'T16 Amort'!$B$22</definedName>
    <definedName name="Cellule_10064">'T4 B2-immo'!$B$9</definedName>
    <definedName name="Cellule_10065">'T4 B2-immo'!$C$9</definedName>
    <definedName name="Cellule_10066">'T4 B2-immo'!$D$9</definedName>
    <definedName name="Cellule_10067">'T4 B2-immo'!$E$9</definedName>
    <definedName name="Cellule_10068">'T4 B2-immo'!$F$9</definedName>
    <definedName name="Cellule_10069">'T4 B2-immo'!$G$9</definedName>
    <definedName name="Cellule_1007">'T4 B2-immo'!$D$26</definedName>
    <definedName name="Cellule_10070">'T4 B2-immo'!$H$9</definedName>
    <definedName name="Cellule_10071">'T4 B2-immo'!$I$9</definedName>
    <definedName name="Cellule_10073">'T4 B2-immo'!$B$14</definedName>
    <definedName name="Cellule_10074">'T4 B2-immo'!$C$14</definedName>
    <definedName name="Cellule_10075">'T4 B2-immo'!$D$14</definedName>
    <definedName name="Cellule_10076">'T4 B2-immo'!$E$14</definedName>
    <definedName name="Cellule_10077">'T4 B2-immo'!$F$14</definedName>
    <definedName name="Cellule_10078">'T4 B2-immo'!$G$14</definedName>
    <definedName name="Cellule_10079">'T4 B2-immo'!$H$14</definedName>
    <definedName name="Cellule_1008">'T4 B2-immo'!$E$10</definedName>
    <definedName name="Cellule_10080">'T4 B2-immo'!$I$14</definedName>
    <definedName name="Cellule_10082">'T4 B2-immo'!$B$20</definedName>
    <definedName name="Cellule_10083">'T4 B2-immo'!$C$20</definedName>
    <definedName name="Cellule_10084">'T4 B2-immo'!$D$20</definedName>
    <definedName name="Cellule_10085">'T4 B2-immo'!$E$20</definedName>
    <definedName name="Cellule_10086">'T4 B2-immo'!$F$20</definedName>
    <definedName name="Cellule_10087">'T4 B2-immo'!$G$20</definedName>
    <definedName name="Cellule_10088">'T4 B2-immo'!$H$20</definedName>
    <definedName name="Cellule_10089">'T4 B2-immo'!$I$20</definedName>
    <definedName name="Cellule_1009">'T4 B2-immo'!$E$11</definedName>
    <definedName name="Cellule_10091">'T6 TB11'!$D$28</definedName>
    <definedName name="Cellule_1010">'T4 B2-immo'!$E$12</definedName>
    <definedName name="Cellule_1011">'T4 B2-immo'!$E$15</definedName>
    <definedName name="Cellule_1012">'T4 B2-immo'!$E$16</definedName>
    <definedName name="Cellule_1013">'T4 B2-immo'!$E$17</definedName>
    <definedName name="Cellule_1014">'T4 B2-immo'!$E$18</definedName>
    <definedName name="Cellule_1015">'T4 B2-immo'!$E$21</definedName>
    <definedName name="Cellule_1016">'T4 B2-immo'!$E$22</definedName>
    <definedName name="Cellule_1017">'T4 B2-immo'!$E$23</definedName>
    <definedName name="Cellule_1018">'T4 B2-immo'!$E$24</definedName>
    <definedName name="Cellule_1019">'T4 B2-immo'!$E$27</definedName>
    <definedName name="Cellule_1020">'T4 B2-immo'!$E$25</definedName>
    <definedName name="Cellule_1021">'T4 B2-immo'!$E$26</definedName>
    <definedName name="Cellule_1022">'T4 B2-immo'!$F$10</definedName>
    <definedName name="Cellule_1023">'T4 B2-immo'!$F$11</definedName>
    <definedName name="Cellule_1024">'T4 B2-immo'!$F$12</definedName>
    <definedName name="Cellule_1025">'T4 B2-immo'!$F$15</definedName>
    <definedName name="Cellule_1026">'T4 B2-immo'!$F$16</definedName>
    <definedName name="Cellule_1027">'T4 B2-immo'!$F$17</definedName>
    <definedName name="Cellule_1028">'T4 B2-immo'!$F$18</definedName>
    <definedName name="Cellule_1029">'T4 B2-immo'!$F$21</definedName>
    <definedName name="Cellule_1030">'T4 B2-immo'!$F$22</definedName>
    <definedName name="Cellule_1031">'T4 B2-immo'!$F$23</definedName>
    <definedName name="Cellule_1032">'T4 B2-immo'!$F$24</definedName>
    <definedName name="Cellule_1033">'T4 B2-immo'!$F$27</definedName>
    <definedName name="Cellule_1034">'T4 B2-immo'!$F$25</definedName>
    <definedName name="Cellule_1035">'T4 B2-immo'!$F$26</definedName>
    <definedName name="Cellule_1036">'T4 B2-immo'!$G$10</definedName>
    <definedName name="Cellule_1037">'T4 B2-immo'!$G$11</definedName>
    <definedName name="Cellule_1038">'T4 B2-immo'!$G$12</definedName>
    <definedName name="Cellule_1039">'T4 B2-immo'!$G$15</definedName>
    <definedName name="Cellule_1040">'T4 B2-immo'!$G$16</definedName>
    <definedName name="Cellule_1041">'T4 B2-immo'!$G$17</definedName>
    <definedName name="Cellule_1042">'T4 B2-immo'!$G$18</definedName>
    <definedName name="Cellule_10420">'T6 TB11'!$D$29</definedName>
    <definedName name="Cellule_1043">'T4 B2-immo'!$G$21</definedName>
    <definedName name="Cellule_1044">'T4 B2-immo'!$G$22</definedName>
    <definedName name="Cellule_1045">'T4 B2-immo'!$G$23</definedName>
    <definedName name="Cellule_1046">'T4 B2-immo'!$G$24</definedName>
    <definedName name="Cellule_1047">'T4 B2-immo'!$G$27</definedName>
    <definedName name="Cellule_1048">'T4 B2-immo'!$G$25</definedName>
    <definedName name="Cellule_1049">'T4 B2-immo'!$G$26</definedName>
    <definedName name="Cellule_1050">'T4 B2-immo'!$H$10</definedName>
    <definedName name="Cellule_1051">'T4 B2-immo'!$H$11</definedName>
    <definedName name="Cellule_1052">'T4 B2-immo'!$H$12</definedName>
    <definedName name="Cellule_1053">'T4 B2-immo'!$H$15</definedName>
    <definedName name="Cellule_1054">'T4 B2-immo'!$H$16</definedName>
    <definedName name="Cellule_1055">'T4 B2-immo'!$H$17</definedName>
    <definedName name="Cellule_1056">'T4 B2-immo'!$H$18</definedName>
    <definedName name="Cellule_1057">'T4 B2-immo'!$H$21</definedName>
    <definedName name="Cellule_1058">'T4 B2-immo'!$H$22</definedName>
    <definedName name="Cellule_1059">'T4 B2-immo'!$H$23</definedName>
    <definedName name="Cellule_1060">'T4 B2-immo'!$H$24</definedName>
    <definedName name="Cellule_1061">'T4 B2-immo'!$H$27</definedName>
    <definedName name="Cellule_1062">'T4 B2-immo'!$H$25</definedName>
    <definedName name="Cellule_1063">'T4 B2-immo'!$H$26</definedName>
    <definedName name="Cellule_1064">'T4 B2-immo'!$I$10</definedName>
    <definedName name="Cellule_1065">'T4 B2-immo'!$I$11</definedName>
    <definedName name="Cellule_1066">'T4 B2-immo'!$I$12</definedName>
    <definedName name="Cellule_1067">'T4 B2-immo'!$I$15</definedName>
    <definedName name="Cellule_1068">'T4 B2-immo'!$I$16</definedName>
    <definedName name="Cellule_1069">'T4 B2-immo'!$I$17</definedName>
    <definedName name="Cellule_1070">'T4 B2-immo'!$I$18</definedName>
    <definedName name="Cellule_1071">'T4 B2-immo'!$I$21</definedName>
    <definedName name="Cellule_1072">'T4 B2-immo'!$I$22</definedName>
    <definedName name="Cellule_1073">'T4 B2-immo'!$I$23</definedName>
    <definedName name="Cellule_1074">'T4 B2-immo'!$I$24</definedName>
    <definedName name="Cellule_1075">'T4 B2-immo'!$I$27</definedName>
    <definedName name="Cellule_1076">'T4 B2-immo'!$I$25</definedName>
    <definedName name="Cellule_1077">'T4 B2-immo'!$I$26</definedName>
    <definedName name="Cellule_1078_1">'T16 Amort'!$C$14</definedName>
    <definedName name="Cellule_1078_10">'T16 Amort'!#REF!</definedName>
    <definedName name="Cellule_1078_2">'T16 Amort'!$C$15</definedName>
    <definedName name="Cellule_1078_3">'T16 Amort'!$C$16</definedName>
    <definedName name="Cellule_1078_4">'T16 Amort'!$C$17</definedName>
    <definedName name="Cellule_1078_5">'T16 Amort'!$C$18</definedName>
    <definedName name="Cellule_1078_6">'T16 Amort'!$C$19</definedName>
    <definedName name="Cellule_1078_7">'T16 Amort'!$C$20</definedName>
    <definedName name="Cellule_1078_8">'T16 Amort'!$C$21</definedName>
    <definedName name="Cellule_1078_9">'T16 Amort'!$C$22</definedName>
    <definedName name="Cellule_1079_1">'T16 Amort'!$D$14</definedName>
    <definedName name="Cellule_1079_10">'T16 Amort'!#REF!</definedName>
    <definedName name="Cellule_1079_2">'T16 Amort'!$D$15</definedName>
    <definedName name="Cellule_1079_3">'T16 Amort'!$D$16</definedName>
    <definedName name="Cellule_1079_4">'T16 Amort'!$D$17</definedName>
    <definedName name="Cellule_1079_5">'T16 Amort'!$D$18</definedName>
    <definedName name="Cellule_1079_6">'T16 Amort'!$D$19</definedName>
    <definedName name="Cellule_1079_7">'T16 Amort'!$D$20</definedName>
    <definedName name="Cellule_1079_8">'T16 Amort'!$D$21</definedName>
    <definedName name="Cellule_1079_9">'T16 Amort'!$D$22</definedName>
    <definedName name="Cellule_1080_1">'T16 Amort'!$E$14</definedName>
    <definedName name="Cellule_1080_10">'T16 Amort'!#REF!</definedName>
    <definedName name="Cellule_1080_2">'T16 Amort'!$E$15</definedName>
    <definedName name="Cellule_1080_3">'T16 Amort'!$E$16</definedName>
    <definedName name="Cellule_1080_4">'T16 Amort'!$E$17</definedName>
    <definedName name="Cellule_1080_5">'T16 Amort'!$E$18</definedName>
    <definedName name="Cellule_1080_6">'T16 Amort'!$E$19</definedName>
    <definedName name="Cellule_1080_7">'T16 Amort'!$E$20</definedName>
    <definedName name="Cellule_1080_8">'T16 Amort'!$E$21</definedName>
    <definedName name="Cellule_1080_9">'T16 Amort'!$E$22</definedName>
    <definedName name="Cellule_1081_1">'T16 Amort'!$F$14</definedName>
    <definedName name="Cellule_1081_10">'T16 Amort'!#REF!</definedName>
    <definedName name="Cellule_1081_2">'T16 Amort'!$F$15</definedName>
    <definedName name="Cellule_1081_3">'T16 Amort'!$F$16</definedName>
    <definedName name="Cellule_1081_4">'T16 Amort'!$F$17</definedName>
    <definedName name="Cellule_1081_5">'T16 Amort'!$F$18</definedName>
    <definedName name="Cellule_1081_6">'T16 Amort'!$F$19</definedName>
    <definedName name="Cellule_1081_7">'T16 Amort'!$F$20</definedName>
    <definedName name="Cellule_1081_8">'T16 Amort'!$F$21</definedName>
    <definedName name="Cellule_1081_9">'T16 Amort'!$F$22</definedName>
    <definedName name="Cellule_1082_1">'T16 Amort'!$G$14</definedName>
    <definedName name="Cellule_1082_10">'T16 Amort'!#REF!</definedName>
    <definedName name="Cellule_1082_2">'T16 Amort'!$G$15</definedName>
    <definedName name="Cellule_1082_3">'T16 Amort'!$G$16</definedName>
    <definedName name="Cellule_1082_4">'T16 Amort'!$G$17</definedName>
    <definedName name="Cellule_1082_5">'T16 Amort'!$G$18</definedName>
    <definedName name="Cellule_1082_6">'T16 Amort'!$G$19</definedName>
    <definedName name="Cellule_1082_7">'T16 Amort'!$G$20</definedName>
    <definedName name="Cellule_1082_8">'T16 Amort'!$G$21</definedName>
    <definedName name="Cellule_1082_9">'T16 Amort'!$G$22</definedName>
    <definedName name="Cellule_1083_1">'T16 Amort'!$H$14</definedName>
    <definedName name="Cellule_1083_10">'T16 Amort'!#REF!</definedName>
    <definedName name="Cellule_1083_2">'T16 Amort'!$H$15</definedName>
    <definedName name="Cellule_1083_3">'T16 Amort'!$H$16</definedName>
    <definedName name="Cellule_1083_4">'T16 Amort'!$H$17</definedName>
    <definedName name="Cellule_1083_5">'T16 Amort'!$H$18</definedName>
    <definedName name="Cellule_1083_6">'T16 Amort'!$H$19</definedName>
    <definedName name="Cellule_1083_7">'T16 Amort'!$H$20</definedName>
    <definedName name="Cellule_1083_8">'T16 Amort'!$H$21</definedName>
    <definedName name="Cellule_1083_9">'T16 Amort'!$H$22</definedName>
    <definedName name="Cellule_1084_1">'T16 Amort'!$I$14</definedName>
    <definedName name="Cellule_1084_10">'T16 Amort'!#REF!</definedName>
    <definedName name="Cellule_1084_2">'T16 Amort'!$I$15</definedName>
    <definedName name="Cellule_1084_3">'T16 Amort'!$I$16</definedName>
    <definedName name="Cellule_1084_4">'T16 Amort'!$I$17</definedName>
    <definedName name="Cellule_1084_5">'T16 Amort'!$I$18</definedName>
    <definedName name="Cellule_1084_6">'T16 Amort'!$I$19</definedName>
    <definedName name="Cellule_1084_7">'T16 Amort'!$I$20</definedName>
    <definedName name="Cellule_1084_8">'T16 Amort'!$I$21</definedName>
    <definedName name="Cellule_1084_9">'T16 Amort'!$I$22</definedName>
    <definedName name="Cellule_1085_1">'T16 Amort'!$J$14</definedName>
    <definedName name="Cellule_1085_10">'T16 Amort'!#REF!</definedName>
    <definedName name="Cellule_1085_2">'T16 Amort'!$J$15</definedName>
    <definedName name="Cellule_1085_3">'T16 Amort'!$J$16</definedName>
    <definedName name="Cellule_1085_4">'T16 Amort'!$J$17</definedName>
    <definedName name="Cellule_1085_5">'T16 Amort'!$J$18</definedName>
    <definedName name="Cellule_1085_6">'T16 Amort'!$J$19</definedName>
    <definedName name="Cellule_1085_7">'T16 Amort'!$J$20</definedName>
    <definedName name="Cellule_1085_8">'T16 Amort'!$J$21</definedName>
    <definedName name="Cellule_1085_9">'T16 Amort'!$J$22</definedName>
    <definedName name="Cellule_1086_1">'T16 Amort'!$K$14</definedName>
    <definedName name="Cellule_1086_10">'T16 Amort'!#REF!</definedName>
    <definedName name="Cellule_1086_2">'T16 Amort'!$K$15</definedName>
    <definedName name="Cellule_1086_3">'T16 Amort'!$K$16</definedName>
    <definedName name="Cellule_1086_4">'T16 Amort'!$K$17</definedName>
    <definedName name="Cellule_1086_5">'T16 Amort'!$K$18</definedName>
    <definedName name="Cellule_1086_6">'T16 Amort'!$K$19</definedName>
    <definedName name="Cellule_1086_7">'T16 Amort'!$K$20</definedName>
    <definedName name="Cellule_1086_8">'T16 Amort'!$K$21</definedName>
    <definedName name="Cellule_1086_9">'T16 Amort'!$K$22</definedName>
    <definedName name="Cellule_1088">'T16 Amort'!$D$199</definedName>
    <definedName name="Cellule_1089">'T16 Amort'!$E$199</definedName>
    <definedName name="Cellule_1090">'T16 Amort'!$F$199</definedName>
    <definedName name="Cellule_1091">'T16 Amort'!$G$199</definedName>
    <definedName name="Cellule_1093">'T16 Amort'!$I$199</definedName>
    <definedName name="Cellule_1094">'T16 Amort'!$J$199</definedName>
    <definedName name="Cellule_1098_1">'T7 CNCET B10-CB'!$A$11</definedName>
    <definedName name="Cellule_1098_2">'T7 CNCET B10-CB'!$A$12</definedName>
    <definedName name="Cellule_1098_3">'T7 CNCET B10-CB'!$A$13</definedName>
    <definedName name="Cellule_1098_4">'T7 CNCET B10-CB'!$A$14</definedName>
    <definedName name="Cellule_1098_5">'T7 CNCET B10-CB'!$A$15</definedName>
    <definedName name="Cellule_1098_6">'T7 CNCET B10-CB'!$A$16</definedName>
    <definedName name="Cellule_1099_1">'T7 CNCET B10-CB'!$B$11</definedName>
    <definedName name="Cellule_1099_2">'T7 CNCET B10-CB'!$B$12</definedName>
    <definedName name="Cellule_1099_3">'T7 CNCET B10-CB'!$B$13</definedName>
    <definedName name="Cellule_1099_4">'T7 CNCET B10-CB'!$B$14</definedName>
    <definedName name="Cellule_1099_5">'T7 CNCET B10-CB'!$B$15</definedName>
    <definedName name="Cellule_1099_6">'T7 CNCET B10-CB'!$B$16</definedName>
    <definedName name="Cellule_1100_1">'T7 CNCET B10-CB'!$C$11</definedName>
    <definedName name="Cellule_1100_2">'T7 CNCET B10-CB'!$C$12</definedName>
    <definedName name="Cellule_1100_3">'T7 CNCET B10-CB'!$C$13</definedName>
    <definedName name="Cellule_1100_4">'T7 CNCET B10-CB'!$C$14</definedName>
    <definedName name="Cellule_1100_5">'T7 CNCET B10-CB'!$C$15</definedName>
    <definedName name="Cellule_1100_6">'T7 CNCET B10-CB'!$C$16</definedName>
    <definedName name="Cellule_1101_1">'T7 CNCET B10-CB'!$D$11</definedName>
    <definedName name="Cellule_1101_2">'T7 CNCET B10-CB'!$D$12</definedName>
    <definedName name="Cellule_1101_3">'T7 CNCET B10-CB'!$D$13</definedName>
    <definedName name="Cellule_1101_4">'T7 CNCET B10-CB'!$D$14</definedName>
    <definedName name="Cellule_1101_5">'T7 CNCET B10-CB'!$D$15</definedName>
    <definedName name="Cellule_1101_6">'T7 CNCET B10-CB'!$D$16</definedName>
    <definedName name="Cellule_1102_1">'T7 CNCET B10-CB'!$E$11</definedName>
    <definedName name="Cellule_1102_2">'T7 CNCET B10-CB'!$E$12</definedName>
    <definedName name="Cellule_1102_3">'T7 CNCET B10-CB'!$E$13</definedName>
    <definedName name="Cellule_1102_4">'T7 CNCET B10-CB'!$E$14</definedName>
    <definedName name="Cellule_1102_5">'T7 CNCET B10-CB'!$E$15</definedName>
    <definedName name="Cellule_1102_6">'T7 CNCET B10-CB'!$E$16</definedName>
    <definedName name="Cellule_1103_1">'T7 CNCET B10-CB'!$F$11</definedName>
    <definedName name="Cellule_1103_2">'T7 CNCET B10-CB'!$F$12</definedName>
    <definedName name="Cellule_1103_3">'T7 CNCET B10-CB'!$F$13</definedName>
    <definedName name="Cellule_1103_4">'T7 CNCET B10-CB'!$F$14</definedName>
    <definedName name="Cellule_1103_5">'T7 CNCET B10-CB'!$F$15</definedName>
    <definedName name="Cellule_1103_6">'T7 CNCET B10-CB'!$F$16</definedName>
    <definedName name="Cellule_1104_1">'T7 CNCET B10-CB'!$G$11</definedName>
    <definedName name="Cellule_1104_2">'T7 CNCET B10-CB'!$G$12</definedName>
    <definedName name="Cellule_1104_3">'T7 CNCET B10-CB'!$G$13</definedName>
    <definedName name="Cellule_1104_4">'T7 CNCET B10-CB'!$G$14</definedName>
    <definedName name="Cellule_1104_5">'T7 CNCET B10-CB'!$G$15</definedName>
    <definedName name="Cellule_1104_6">'T7 CNCET B10-CB'!$G$16</definedName>
    <definedName name="Cellule_1105_1">'T7 CNCET B10-CB'!$H$11</definedName>
    <definedName name="Cellule_1105_2">'T7 CNCET B10-CB'!$H$12</definedName>
    <definedName name="Cellule_1105_3">'T7 CNCET B10-CB'!$H$13</definedName>
    <definedName name="Cellule_1105_4">'T7 CNCET B10-CB'!$H$14</definedName>
    <definedName name="Cellule_1105_5">'T7 CNCET B10-CB'!$H$15</definedName>
    <definedName name="Cellule_1105_6">'T7 CNCET B10-CB'!$H$16</definedName>
    <definedName name="Cellule_1106_1">'T7 CNCET B10-CB'!$I$11</definedName>
    <definedName name="Cellule_1106_2">'T7 CNCET B10-CB'!$I$12</definedName>
    <definedName name="Cellule_1106_3">'T7 CNCET B10-CB'!$I$13</definedName>
    <definedName name="Cellule_1106_4">'T7 CNCET B10-CB'!$I$14</definedName>
    <definedName name="Cellule_1106_5">'T7 CNCET B10-CB'!$I$15</definedName>
    <definedName name="Cellule_1106_6">'T7 CNCET B10-CB'!$I$16</definedName>
    <definedName name="Cellule_1107_1">'T7 CNCET B10-CB'!$J$11</definedName>
    <definedName name="Cellule_1107_2">'T7 CNCET B10-CB'!$J$12</definedName>
    <definedName name="Cellule_1107_3">'T7 CNCET B10-CB'!$J$13</definedName>
    <definedName name="Cellule_1107_4">'T7 CNCET B10-CB'!$J$14</definedName>
    <definedName name="Cellule_1107_5">'T7 CNCET B10-CB'!$J$15</definedName>
    <definedName name="Cellule_1107_6">'T7 CNCET B10-CB'!$J$16</definedName>
    <definedName name="Cellule_1108_1">'T7 CNCET B10-CB'!$K$11</definedName>
    <definedName name="Cellule_1108_2">'T7 CNCET B10-CB'!$K$12</definedName>
    <definedName name="Cellule_1108_3">'T7 CNCET B10-CB'!$K$13</definedName>
    <definedName name="Cellule_1108_4">'T7 CNCET B10-CB'!$K$14</definedName>
    <definedName name="Cellule_1108_5">'T7 CNCET B10-CB'!$K$15</definedName>
    <definedName name="Cellule_1108_6">'T7 CNCET B10-CB'!$K$16</definedName>
    <definedName name="Cellule_1110">'T17 + V Fusions'!$C$9</definedName>
    <definedName name="Cellule_1111">'T17 + V Fusions'!$D$9</definedName>
    <definedName name="Cellule_1112">'T17 + V Fusions'!$E$9</definedName>
    <definedName name="Cellule_1113">'T17 + V Fusions'!$F$9</definedName>
    <definedName name="Cellule_1114">'T17 + V Fusions'!$G$9</definedName>
    <definedName name="Cellule_1115">'T17 + V Fusions'!$H$9</definedName>
    <definedName name="Cellule_1116">'T17 + V Fusions'!$I$9</definedName>
    <definedName name="Cellule_1117">'T17 + V Fusions'!$J$9</definedName>
    <definedName name="Cellule_11176">'T2 CPC'!$D$11</definedName>
    <definedName name="Cellule_11177">'T2 CPC'!$E$11</definedName>
    <definedName name="Cellule_11178">'T2 CPC'!$F$11</definedName>
    <definedName name="Cellule_11179">'T2 CPC'!$G$11</definedName>
    <definedName name="Cellule_11181">'T2 CPC'!$D$12</definedName>
    <definedName name="Cellule_11182">'T2 CPC'!$E$12</definedName>
    <definedName name="Cellule_11183">'T2 CPC'!$F$12</definedName>
    <definedName name="Cellule_11184">'T2 CPC'!$G$12</definedName>
    <definedName name="Cellule_11186">'T2 CPC'!$D$13</definedName>
    <definedName name="Cellule_11187">'T2 CPC'!$E$13</definedName>
    <definedName name="Cellule_11188">'T2 CPC'!$F$13</definedName>
    <definedName name="Cellule_11189">'T2 CPC'!$G$13</definedName>
    <definedName name="Cellule_1119">'T17 + V Fusions'!$C$10</definedName>
    <definedName name="Cellule_11191">'T2 CPC'!$D$14</definedName>
    <definedName name="Cellule_11192">'T2 CPC'!$E$14</definedName>
    <definedName name="Cellule_11193">'T2 CPC'!$F$14</definedName>
    <definedName name="Cellule_11194">'T2 CPC'!$G$14</definedName>
    <definedName name="Cellule_11196">'T2 CPC'!$D$15</definedName>
    <definedName name="Cellule_11197">'T2 CPC'!$E$15</definedName>
    <definedName name="Cellule_11198">'T2 CPC'!$F$15</definedName>
    <definedName name="Cellule_11199">'T2 CPC'!$G$15</definedName>
    <definedName name="Cellule_1120">'T17 + V Fusions'!$D$10</definedName>
    <definedName name="Cellule_11201">'T2 CPC'!$D$16</definedName>
    <definedName name="Cellule_11202">'T2 CPC'!$E$16</definedName>
    <definedName name="Cellule_11203">'T2 CPC'!$F$16</definedName>
    <definedName name="Cellule_11204">'T2 CPC'!$G$16</definedName>
    <definedName name="Cellule_11206">'T2 CPC'!$D$17</definedName>
    <definedName name="Cellule_11207">'T2 CPC'!$E$17</definedName>
    <definedName name="Cellule_11208">'T2 CPC'!$F$17</definedName>
    <definedName name="Cellule_11209">'T2 CPC'!$G$17</definedName>
    <definedName name="Cellule_1121">'T17 + V Fusions'!$E$10</definedName>
    <definedName name="Cellule_11211">'T2 CPC'!$D$18</definedName>
    <definedName name="Cellule_11212">'T2 CPC'!$E$18</definedName>
    <definedName name="Cellule_11213">'T2 CPC'!$F$18</definedName>
    <definedName name="Cellule_11214">'T2 CPC'!$G$18</definedName>
    <definedName name="Cellule_11216">'T2 CPC'!$D$19</definedName>
    <definedName name="Cellule_11217">'T2 CPC'!$E$19</definedName>
    <definedName name="Cellule_11218">'T2 CPC'!$F$19</definedName>
    <definedName name="Cellule_11219">'T2 CPC'!$G$19</definedName>
    <definedName name="Cellule_1122">'T17 + V Fusions'!$F$10</definedName>
    <definedName name="Cellule_11221">'T2 CPC'!$D$21</definedName>
    <definedName name="Cellule_11222">'T2 CPC'!$E$21</definedName>
    <definedName name="Cellule_11223">'T2 CPC'!$F$21</definedName>
    <definedName name="Cellule_11224">'T2 CPC'!$G$21</definedName>
    <definedName name="Cellule_11226">'T2 CPC'!$D$20</definedName>
    <definedName name="Cellule_11227">'T2 CPC'!$E$20</definedName>
    <definedName name="Cellule_11228">'T2 CPC'!$F$20</definedName>
    <definedName name="Cellule_11229">'T2 CPC'!$G$20</definedName>
    <definedName name="Cellule_1123">'T17 + V Fusions'!$G$10</definedName>
    <definedName name="Cellule_11231">'T2 CPC'!$D$29</definedName>
    <definedName name="Cellule_11232">'T2 CPC'!$E$29</definedName>
    <definedName name="Cellule_11233">'T2 CPC'!$F$29</definedName>
    <definedName name="Cellule_11234">'T2 CPC'!$G$29</definedName>
    <definedName name="Cellule_11236">'T2 CPC'!$D$28</definedName>
    <definedName name="Cellule_11237">'T2 CPC'!$E$28</definedName>
    <definedName name="Cellule_11238">'T2 CPC'!$F$28</definedName>
    <definedName name="Cellule_11239">'T2 CPC'!$G$28</definedName>
    <definedName name="Cellule_1124">'T17 + V Fusions'!$H$10</definedName>
    <definedName name="Cellule_11241">'T2 CPC'!$D$27</definedName>
    <definedName name="Cellule_11242">'T2 CPC'!$E$27</definedName>
    <definedName name="Cellule_11243">'T2 CPC'!$F$27</definedName>
    <definedName name="Cellule_11244">'T2 CPC'!$G$27</definedName>
    <definedName name="Cellule_11246">'T2 CPC'!$D$26</definedName>
    <definedName name="Cellule_11247">'T2 CPC'!$E$26</definedName>
    <definedName name="Cellule_11248">'T2 CPC'!$F$26</definedName>
    <definedName name="Cellule_11249">'T2 CPC'!$G$26</definedName>
    <definedName name="Cellule_1125">'T17 + V Fusions'!$I$10</definedName>
    <definedName name="Cellule_11251">'T2 CPC'!$D$24</definedName>
    <definedName name="Cellule_11252">'T2 CPC'!$E$24</definedName>
    <definedName name="Cellule_11253">'T2 CPC'!$F$24</definedName>
    <definedName name="Cellule_11254">'T2 CPC'!$G$24</definedName>
    <definedName name="Cellule_11256">'T2 CPC'!$D$22</definedName>
    <definedName name="Cellule_11257">'T2 CPC'!$E$22</definedName>
    <definedName name="Cellule_11258">'T2 CPC'!$F$22</definedName>
    <definedName name="Cellule_11259">'T2 CPC'!$G$22</definedName>
    <definedName name="Cellule_1126">'T17 + V Fusions'!$J$10</definedName>
    <definedName name="Cellule_11261">'T2 CPC'!$D$23</definedName>
    <definedName name="Cellule_11262">'T2 CPC'!$E$23</definedName>
    <definedName name="Cellule_11263">'T2 CPC'!$F$23</definedName>
    <definedName name="Cellule_11264">'T2 CPC'!$G$23</definedName>
    <definedName name="Cellule_11266">'T2 CPC'!$D$25</definedName>
    <definedName name="Cellule_11267">'T2 CPC'!$E$25</definedName>
    <definedName name="Cellule_11268">'T2 CPC'!$F$25</definedName>
    <definedName name="Cellule_11269">'T2 CPC'!$G$25</definedName>
    <definedName name="Cellule_11271">'T2 CPC'!$D$31</definedName>
    <definedName name="Cellule_11272">'T2 CPC'!$E$31</definedName>
    <definedName name="Cellule_11273">'T2 CPC'!$F$31</definedName>
    <definedName name="Cellule_11274">'T2 CPC'!$G$31</definedName>
    <definedName name="Cellule_11276">'T2 CPC'!$D$32</definedName>
    <definedName name="Cellule_11277">'T2 CPC'!$E$32</definedName>
    <definedName name="Cellule_11278">'T2 CPC'!$F$32</definedName>
    <definedName name="Cellule_11279">'T2 CPC'!$G$32</definedName>
    <definedName name="Cellule_1128">'T17 + V Fusions'!$C$11</definedName>
    <definedName name="Cellule_11281">'T2 CPC'!$D$33</definedName>
    <definedName name="Cellule_11282">'T2 CPC'!$E$33</definedName>
    <definedName name="Cellule_11283">'T2 CPC'!$F$33</definedName>
    <definedName name="Cellule_11284">'T2 CPC'!$G$33</definedName>
    <definedName name="Cellule_11286">'T2 CPC'!$D$34</definedName>
    <definedName name="Cellule_11287">'T2 CPC'!$E$34</definedName>
    <definedName name="Cellule_11288">'T2 CPC'!$F$34</definedName>
    <definedName name="Cellule_11289">'T2 CPC'!$G$34</definedName>
    <definedName name="Cellule_1129">'T17 + V Fusions'!$D$11</definedName>
    <definedName name="Cellule_11291">'T2 CPC'!$D$35</definedName>
    <definedName name="Cellule_11292">'T2 CPC'!$E$35</definedName>
    <definedName name="Cellule_11293">'T2 CPC'!$F$35</definedName>
    <definedName name="Cellule_11294">'T2 CPC'!$G$35</definedName>
    <definedName name="Cellule_11296">'T2 CPC'!$D$37</definedName>
    <definedName name="Cellule_11297">'T2 CPC'!$E$37</definedName>
    <definedName name="Cellule_11298">'T2 CPC'!$F$37</definedName>
    <definedName name="Cellule_11299">'T2 CPC'!$G$37</definedName>
    <definedName name="Cellule_1130">'T17 + V Fusions'!$E$11</definedName>
    <definedName name="Cellule_11301">'T2 CPC'!$D$38</definedName>
    <definedName name="Cellule_11302">'T2 CPC'!$E$38</definedName>
    <definedName name="Cellule_11303">'T2 CPC'!$F$38</definedName>
    <definedName name="Cellule_11304">'T2 CPC'!$G$38</definedName>
    <definedName name="Cellule_11306">'T2 CPC'!$D$39</definedName>
    <definedName name="Cellule_11307">'T2 CPC'!$E$39</definedName>
    <definedName name="Cellule_11308">'T2 CPC'!$F$39</definedName>
    <definedName name="Cellule_11309">'T2 CPC'!$G$39</definedName>
    <definedName name="Cellule_1131">'T17 + V Fusions'!$F$11</definedName>
    <definedName name="Cellule_11311">'T2 CPC'!$D$40</definedName>
    <definedName name="Cellule_11312">'T2 CPC'!$E$40</definedName>
    <definedName name="Cellule_11313">'T2 CPC'!$F$40</definedName>
    <definedName name="Cellule_11314">'T2 CPC'!$G$40</definedName>
    <definedName name="Cellule_11316">'T2 CPC'!$D$41</definedName>
    <definedName name="Cellule_11317">'T2 CPC'!$E$41</definedName>
    <definedName name="Cellule_11318">'T2 CPC'!$F$41</definedName>
    <definedName name="Cellule_11319">'T2 CPC'!$G$41</definedName>
    <definedName name="Cellule_1132">'T17 + V Fusions'!$G$11</definedName>
    <definedName name="Cellule_11321">'T2 CPC'!$D$36</definedName>
    <definedName name="Cellule_11322">'T2 CPC'!$E$36</definedName>
    <definedName name="Cellule_11323">'T2 CPC'!$F$36</definedName>
    <definedName name="Cellule_11324">'T2 CPC'!$G$36</definedName>
    <definedName name="Cellule_11326">'T2 CPC'!$D$30</definedName>
    <definedName name="Cellule_11327">'T2 CPC'!$E$30</definedName>
    <definedName name="Cellule_11328">'T2 CPC'!$F$30</definedName>
    <definedName name="Cellule_11329">'T2 CPC'!$G$30</definedName>
    <definedName name="Cellule_1133">'T17 + V Fusions'!$H$11</definedName>
    <definedName name="Cellule_11331">'T2 CPC'!$D$42</definedName>
    <definedName name="Cellule_11332">'T2 CPC'!$E$42</definedName>
    <definedName name="Cellule_11333">'T2 CPC'!$F$42</definedName>
    <definedName name="Cellule_11334">'T2 CPC'!$G$42</definedName>
    <definedName name="Cellule_11336">'T2 CPC'!$D$43</definedName>
    <definedName name="Cellule_11337">'T2 CPC'!$E$43</definedName>
    <definedName name="Cellule_11338">'T2 CPC'!$F$43</definedName>
    <definedName name="Cellule_11339">'T2 CPC'!$G$43</definedName>
    <definedName name="Cellule_1134">'T17 + V Fusions'!$I$11</definedName>
    <definedName name="Cellule_11341">'T2 CPC'!$D$57</definedName>
    <definedName name="Cellule_11342">'T2 CPC'!$E$57</definedName>
    <definedName name="Cellule_11343">'T2 CPC'!$F$57</definedName>
    <definedName name="Cellule_11344">'T2 CPC'!$G$57</definedName>
    <definedName name="Cellule_11346">'T2 CPC'!$D$58</definedName>
    <definedName name="Cellule_11347">'T2 CPC'!$E$58</definedName>
    <definedName name="Cellule_11348">'T2 CPC'!$F$58</definedName>
    <definedName name="Cellule_11349">'T2 CPC'!$G$58</definedName>
    <definedName name="Cellule_1135">'T17 + V Fusions'!$J$11</definedName>
    <definedName name="Cellule_11351">'T2 CPC'!$D$59</definedName>
    <definedName name="Cellule_11352">'T2 CPC'!$E$59</definedName>
    <definedName name="Cellule_11353">'T2 CPC'!$F$59</definedName>
    <definedName name="Cellule_11354">'T2 CPC'!$G$59</definedName>
    <definedName name="Cellule_11356">'T2 CPC'!$D$60</definedName>
    <definedName name="Cellule_11357">'T2 CPC'!$E$60</definedName>
    <definedName name="Cellule_11358">'T2 CPC'!$F$60</definedName>
    <definedName name="Cellule_11359">'T2 CPC'!$G$60</definedName>
    <definedName name="Cellule_11361">'T2 CPC'!$D$61</definedName>
    <definedName name="Cellule_11362">'T2 CPC'!$E$61</definedName>
    <definedName name="Cellule_11363">'T2 CPC'!$F$61</definedName>
    <definedName name="Cellule_11364">'T2 CPC'!$G$61</definedName>
    <definedName name="Cellule_11366">'T2 CPC'!$D$62</definedName>
    <definedName name="Cellule_11367">'T2 CPC'!$E$62</definedName>
    <definedName name="Cellule_11368">'T2 CPC'!$F$62</definedName>
    <definedName name="Cellule_11369">'T2 CPC'!$G$62</definedName>
    <definedName name="Cellule_1137">'T17 + V Fusions'!$C$12</definedName>
    <definedName name="Cellule_11371">'T2 CPC'!$D$64</definedName>
    <definedName name="Cellule_11372">'T2 CPC'!$E$64</definedName>
    <definedName name="Cellule_11373">'T2 CPC'!$F$64</definedName>
    <definedName name="Cellule_11374">'T2 CPC'!$G$64</definedName>
    <definedName name="Cellule_11376">'T2 CPC'!$D$65</definedName>
    <definedName name="Cellule_11377">'T2 CPC'!$E$65</definedName>
    <definedName name="Cellule_11378">'T2 CPC'!$F$65</definedName>
    <definedName name="Cellule_11379">'T2 CPC'!$G$65</definedName>
    <definedName name="Cellule_1138">'T17 + V Fusions'!$D$12</definedName>
    <definedName name="Cellule_11381">'T2 CPC'!$D$66</definedName>
    <definedName name="Cellule_11382">'T2 CPC'!$E$66</definedName>
    <definedName name="Cellule_11383">'T2 CPC'!$F$66</definedName>
    <definedName name="Cellule_11384">'T2 CPC'!$G$66</definedName>
    <definedName name="Cellule_11386">'T2 CPC'!$D$67</definedName>
    <definedName name="Cellule_11387">'T2 CPC'!$E$67</definedName>
    <definedName name="Cellule_11388">'T2 CPC'!$F$67</definedName>
    <definedName name="Cellule_11389">'T2 CPC'!$G$67</definedName>
    <definedName name="Cellule_1139">'T17 + V Fusions'!$E$12</definedName>
    <definedName name="Cellule_11391">'T2 CPC'!$D$56</definedName>
    <definedName name="Cellule_11392">'T2 CPC'!$E$56</definedName>
    <definedName name="Cellule_11393">'T2 CPC'!$F$56</definedName>
    <definedName name="Cellule_11394">'T2 CPC'!$G$56</definedName>
    <definedName name="Cellule_11396">'T2 CPC'!$D$63</definedName>
    <definedName name="Cellule_11397">'T2 CPC'!$E$63</definedName>
    <definedName name="Cellule_11398">'T2 CPC'!$F$63</definedName>
    <definedName name="Cellule_11399">'T2 CPC'!$G$63</definedName>
    <definedName name="Cellule_1140">'T17 + V Fusions'!$F$12</definedName>
    <definedName name="Cellule_11401">'T2 CPC'!$D$69</definedName>
    <definedName name="Cellule_11402">'T2 CPC'!$E$69</definedName>
    <definedName name="Cellule_11403">'T2 CPC'!$F$69</definedName>
    <definedName name="Cellule_11404">'T2 CPC'!$G$69</definedName>
    <definedName name="Cellule_11406">'T2 CPC'!$D$68</definedName>
    <definedName name="Cellule_11407">'T2 CPC'!$E$68</definedName>
    <definedName name="Cellule_11408">'T2 CPC'!$F$68</definedName>
    <definedName name="Cellule_11409">'T2 CPC'!$G$68</definedName>
    <definedName name="Cellule_1141">'T17 + V Fusions'!$G$12</definedName>
    <definedName name="Cellule_11411">'T2 CPC'!$D$70</definedName>
    <definedName name="Cellule_11412">'T2 CPC'!$E$70</definedName>
    <definedName name="Cellule_11413">'T2 CPC'!$F$70</definedName>
    <definedName name="Cellule_11414">'T2 CPC'!$G$70</definedName>
    <definedName name="Cellule_11416">'T2 CPC'!$D$71</definedName>
    <definedName name="Cellule_11417">'T2 CPC'!$E$71</definedName>
    <definedName name="Cellule_11418">'T2 CPC'!$F$71</definedName>
    <definedName name="Cellule_11419">'T2 CPC'!$G$71</definedName>
    <definedName name="Cellule_1142">'T17 + V Fusions'!$H$12</definedName>
    <definedName name="Cellule_11421">'T2 CPC'!$D$72</definedName>
    <definedName name="Cellule_11422">'T2 CPC'!$E$72</definedName>
    <definedName name="Cellule_11423">'T2 CPC'!$F$72</definedName>
    <definedName name="Cellule_11424">'T2 CPC'!$G$72</definedName>
    <definedName name="Cellule_11426">'T2 CPC'!$D$75</definedName>
    <definedName name="Cellule_11427">'T2 CPC'!$E$75</definedName>
    <definedName name="Cellule_11428">'T2 CPC'!$F$75</definedName>
    <definedName name="Cellule_11429">'T2 CPC'!$G$75</definedName>
    <definedName name="Cellule_1143">'T17 + V Fusions'!$I$12</definedName>
    <definedName name="Cellule_11431">'T2 CPC'!$D$76</definedName>
    <definedName name="Cellule_11432">'T2 CPC'!$E$76</definedName>
    <definedName name="Cellule_11433">'T2 CPC'!$F$76</definedName>
    <definedName name="Cellule_11434">'T2 CPC'!$G$76</definedName>
    <definedName name="Cellule_11436">'T2 CPC'!$D$77</definedName>
    <definedName name="Cellule_11437">'T2 CPC'!$E$77</definedName>
    <definedName name="Cellule_11438">'T2 CPC'!$F$77</definedName>
    <definedName name="Cellule_11439">'T2 CPC'!$G$77</definedName>
    <definedName name="Cellule_1144">'T17 + V Fusions'!$J$12</definedName>
    <definedName name="Cellule_1146">'T17 + V Fusions'!$C$13</definedName>
    <definedName name="Cellule_1147">'T17 + V Fusions'!$D$13</definedName>
    <definedName name="Cellule_1148">'T17 + V Fusions'!$E$13</definedName>
    <definedName name="Cellule_1149">'T17 + V Fusions'!$F$13</definedName>
    <definedName name="Cellule_1150">'T17 + V Fusions'!$G$13</definedName>
    <definedName name="Cellule_1151">'T17 + V Fusions'!$H$13</definedName>
    <definedName name="Cellule_1152">'T17 + V Fusions'!$I$13</definedName>
    <definedName name="Cellule_1153">'T17 + V Fusions'!$J$13</definedName>
    <definedName name="Cellule_1155">'T17 + V Fusions'!$C$14</definedName>
    <definedName name="Cellule_1156">'T17 + V Fusions'!$D$14</definedName>
    <definedName name="Cellule_1157">'T17 + V Fusions'!$E$14</definedName>
    <definedName name="Cellule_1158">'T17 + V Fusions'!$F$14</definedName>
    <definedName name="Cellule_1159">'T17 + V Fusions'!$G$14</definedName>
    <definedName name="Cellule_1160">'T17 + V Fusions'!$H$14</definedName>
    <definedName name="Cellule_1161">'T17 + V Fusions'!$I$14</definedName>
    <definedName name="Cellule_1162">'T17 + V Fusions'!$J$14</definedName>
    <definedName name="Cellule_1164">'T17 + V Fusions'!$C$15</definedName>
    <definedName name="Cellule_1165">'T17 + V Fusions'!$D$15</definedName>
    <definedName name="Cellule_1166">'T17 + V Fusions'!$E$15</definedName>
    <definedName name="Cellule_1167">'T17 + V Fusions'!$F$15</definedName>
    <definedName name="Cellule_1168">'T17 + V Fusions'!$G$15</definedName>
    <definedName name="Cellule_1169">'T17 + V Fusions'!$H$15</definedName>
    <definedName name="Cellule_1170">'T17 + V Fusions'!$I$15</definedName>
    <definedName name="Cellule_1171">'T17 + V Fusions'!$J$15</definedName>
    <definedName name="Cellule_1173">'T17 + V Fusions'!$C$16</definedName>
    <definedName name="Cellule_1174">'T17 + V Fusions'!$D$16</definedName>
    <definedName name="Cellule_1175">'T17 + V Fusions'!$E$16</definedName>
    <definedName name="Cellule_1176">'T17 + V Fusions'!$F$16</definedName>
    <definedName name="Cellule_1177">'T17 + V Fusions'!$G$16</definedName>
    <definedName name="Cellule_1178">'T17 + V Fusions'!$H$16</definedName>
    <definedName name="Cellule_1179">'T17 + V Fusions'!$I$16</definedName>
    <definedName name="Cellule_1180">'T17 + V Fusions'!$J$16</definedName>
    <definedName name="Cellule_1182">'T17 + V Fusions'!$C$17</definedName>
    <definedName name="Cellule_1183">'T17 + V Fusions'!$D$17</definedName>
    <definedName name="Cellule_1184">'T17 + V Fusions'!$E$17</definedName>
    <definedName name="Cellule_1185">'T17 + V Fusions'!$F$17</definedName>
    <definedName name="Cellule_1186">'T17 + V Fusions'!$G$17</definedName>
    <definedName name="Cellule_1187">'T17 + V Fusions'!$H$17</definedName>
    <definedName name="Cellule_1188">'T17 + V Fusions'!$I$17</definedName>
    <definedName name="Cellule_1189">'T17 + V Fusions'!$J$17</definedName>
    <definedName name="Cellule_1191">'T17 + V Fusions'!$C$18</definedName>
    <definedName name="Cellule_1192">'T17 + V Fusions'!$D$18</definedName>
    <definedName name="Cellule_1193">'T17 + V Fusions'!$E$18</definedName>
    <definedName name="Cellule_1194">'T17 + V Fusions'!$F$18</definedName>
    <definedName name="Cellule_1195">'T17 + V Fusions'!$G$18</definedName>
    <definedName name="Cellule_1196">'T17 + V Fusions'!$H$18</definedName>
    <definedName name="Cellule_1197">'T17 + V Fusions'!$I$18</definedName>
    <definedName name="Cellule_1198">'T17 + V Fusions'!$J$18</definedName>
    <definedName name="Cellule_1200">'T17 + V Fusions'!$C$19</definedName>
    <definedName name="Cellule_1201">'T17 + V Fusions'!$D$19</definedName>
    <definedName name="Cellule_1202">'T17 + V Fusions'!$E$19</definedName>
    <definedName name="Cellule_1203">'T17 + V Fusions'!$F$19</definedName>
    <definedName name="Cellule_1204">'T17 + V Fusions'!$G$19</definedName>
    <definedName name="Cellule_1205">'T17 + V Fusions'!$H$19</definedName>
    <definedName name="Cellule_1206">'T17 + V Fusions'!$I$19</definedName>
    <definedName name="Cellule_1207">'T17 + V Fusions'!$J$19</definedName>
    <definedName name="Cellule_1208_1">'T18 Emprunts'!$A$14</definedName>
    <definedName name="Cellule_1208_2">'T18 Emprunts'!$A$15</definedName>
    <definedName name="Cellule_1208_3">'T18 Emprunts'!$A$16</definedName>
    <definedName name="Cellule_1208_4">'T18 Emprunts'!$A$17</definedName>
    <definedName name="Cellule_1209_1">'T18 Emprunts'!$B$14</definedName>
    <definedName name="Cellule_1209_2">'T18 Emprunts'!$B$15</definedName>
    <definedName name="Cellule_1209_3">'T18 Emprunts'!$B$16</definedName>
    <definedName name="Cellule_1209_4">'T18 Emprunts'!$B$17</definedName>
    <definedName name="Cellule_1210_1">'T18 Emprunts'!$C$14</definedName>
    <definedName name="Cellule_1210_2">'T18 Emprunts'!$C$15</definedName>
    <definedName name="Cellule_1210_3">'T18 Emprunts'!$C$16</definedName>
    <definedName name="Cellule_1210_4">'T18 Emprunts'!$C$17</definedName>
    <definedName name="Cellule_1211_1">'T18 Emprunts'!$D$14</definedName>
    <definedName name="Cellule_1211_2">'T18 Emprunts'!$D$15</definedName>
    <definedName name="Cellule_1211_3">'T18 Emprunts'!$D$16</definedName>
    <definedName name="Cellule_1211_4">'T18 Emprunts'!$D$17</definedName>
    <definedName name="Cellule_1212_1">'T18 Emprunts'!$E$14</definedName>
    <definedName name="Cellule_1212_2">'T18 Emprunts'!$E$15</definedName>
    <definedName name="Cellule_1212_3">'T18 Emprunts'!$E$16</definedName>
    <definedName name="Cellule_1212_4">'T18 Emprunts'!$E$17</definedName>
    <definedName name="Cellule_12121">'T8 B2 BIS'!$A$14</definedName>
    <definedName name="Cellule_12122">'T8 B2 BIS'!$B$14</definedName>
    <definedName name="Cellule_12123">'T8 B2 BIS'!$C$14</definedName>
    <definedName name="Cellule_12124">'T8 B2 BIS'!$D$14</definedName>
    <definedName name="Cellule_12125">'T8 B2 BIS'!$E$14</definedName>
    <definedName name="Cellule_1213_1">'T18 Emprunts'!$F$14</definedName>
    <definedName name="Cellule_1213_2">'T18 Emprunts'!$F$15</definedName>
    <definedName name="Cellule_1213_3">'T18 Emprunts'!$F$16</definedName>
    <definedName name="Cellule_1213_4">'T18 Emprunts'!$F$17</definedName>
    <definedName name="Cellule_1214_1">'T18 Emprunts'!$G$14</definedName>
    <definedName name="Cellule_1214_2">'T18 Emprunts'!$G$15</definedName>
    <definedName name="Cellule_1214_3">'T18 Emprunts'!$G$16</definedName>
    <definedName name="Cellule_1214_4">'T18 Emprunts'!$G$17</definedName>
    <definedName name="Cellule_1215_1">'T18 Emprunts'!$H$14</definedName>
    <definedName name="Cellule_1215_2">'T18 Emprunts'!$H$15</definedName>
    <definedName name="Cellule_1215_3">'T18 Emprunts'!$H$16</definedName>
    <definedName name="Cellule_1215_4">'T18 Emprunts'!$H$17</definedName>
    <definedName name="Cellule_1216_1">'T18 Emprunts'!$I$14</definedName>
    <definedName name="Cellule_1216_2">'T18 Emprunts'!$I$15</definedName>
    <definedName name="Cellule_1216_3">'T18 Emprunts'!$I$16</definedName>
    <definedName name="Cellule_1216_4">'T18 Emprunts'!$I$17</definedName>
    <definedName name="Cellule_1217_1">'T18 Emprunts'!$J$14</definedName>
    <definedName name="Cellule_1217_2">'T18 Emprunts'!$J$15</definedName>
    <definedName name="Cellule_1217_3">'T18 Emprunts'!$J$16</definedName>
    <definedName name="Cellule_1217_4">'T18 Emprunts'!$J$17</definedName>
    <definedName name="Cellule_1218_1">'T18 Emprunts'!$K$14</definedName>
    <definedName name="Cellule_1218_2">'T18 Emprunts'!$K$15</definedName>
    <definedName name="Cellule_1218_3">'T18 Emprunts'!$K$16</definedName>
    <definedName name="Cellule_1218_4">'T18 Emprunts'!$K$17</definedName>
    <definedName name="Cellule_1219_1">'T18 Emprunts'!$L$14</definedName>
    <definedName name="Cellule_1219_2">'T18 Emprunts'!$L$15</definedName>
    <definedName name="Cellule_1219_3">'T18 Emprunts'!$L$16</definedName>
    <definedName name="Cellule_1219_4">'T18 Emprunts'!$L$17</definedName>
    <definedName name="Cellule_122">'T1 Bilan'!$C$42</definedName>
    <definedName name="Cellule_1220_1">'T18 Emprunts'!$M$14</definedName>
    <definedName name="Cellule_1220_2">'T18 Emprunts'!$M$15</definedName>
    <definedName name="Cellule_1220_3">'T18 Emprunts'!$M$16</definedName>
    <definedName name="Cellule_1220_4">'T18 Emprunts'!$M$17</definedName>
    <definedName name="Cellule_1221_1">'T18 Emprunts'!$A$19</definedName>
    <definedName name="Cellule_1221_2">'T18 Emprunts'!$A$20</definedName>
    <definedName name="Cellule_1221_3">'T18 Emprunts'!$A$21</definedName>
    <definedName name="Cellule_1221_4">'T18 Emprunts'!$A$22</definedName>
    <definedName name="Cellule_1222_1">'T18 Emprunts'!$B$19</definedName>
    <definedName name="Cellule_1222_2">'T18 Emprunts'!$B$20</definedName>
    <definedName name="Cellule_1222_3">'T18 Emprunts'!$B$21</definedName>
    <definedName name="Cellule_1222_4">'T18 Emprunts'!$B$22</definedName>
    <definedName name="Cellule_1223_1">'T18 Emprunts'!$C$19</definedName>
    <definedName name="Cellule_1223_2">'T18 Emprunts'!$C$20</definedName>
    <definedName name="Cellule_1223_3">'T18 Emprunts'!$C$21</definedName>
    <definedName name="Cellule_1223_4">'T18 Emprunts'!$C$22</definedName>
    <definedName name="Cellule_1224_1">'T18 Emprunts'!$D$19</definedName>
    <definedName name="Cellule_1224_2">'T18 Emprunts'!$D$20</definedName>
    <definedName name="Cellule_1224_3">'T18 Emprunts'!$D$21</definedName>
    <definedName name="Cellule_1224_4">'T18 Emprunts'!$D$22</definedName>
    <definedName name="Cellule_1225_1">'T18 Emprunts'!$E$19</definedName>
    <definedName name="Cellule_1225_2">'T18 Emprunts'!$E$20</definedName>
    <definedName name="Cellule_1225_3">'T18 Emprunts'!$E$21</definedName>
    <definedName name="Cellule_1225_4">'T18 Emprunts'!$E$22</definedName>
    <definedName name="Cellule_1226_1">'T18 Emprunts'!$F$19</definedName>
    <definedName name="Cellule_1226_2">'T18 Emprunts'!$F$20</definedName>
    <definedName name="Cellule_1226_3">'T18 Emprunts'!$F$21</definedName>
    <definedName name="Cellule_1226_4">'T18 Emprunts'!$F$22</definedName>
    <definedName name="Cellule_1227_1">'T18 Emprunts'!$G$19</definedName>
    <definedName name="Cellule_1227_2">'T18 Emprunts'!$G$20</definedName>
    <definedName name="Cellule_1227_3">'T18 Emprunts'!$G$21</definedName>
    <definedName name="Cellule_1227_4">'T18 Emprunts'!$G$22</definedName>
    <definedName name="Cellule_1228_1">'T18 Emprunts'!$H$19</definedName>
    <definedName name="Cellule_1228_2">'T18 Emprunts'!$H$20</definedName>
    <definedName name="Cellule_1228_3">'T18 Emprunts'!$H$21</definedName>
    <definedName name="Cellule_1228_4">'T18 Emprunts'!$H$22</definedName>
    <definedName name="Cellule_1229_1">'T18 Emprunts'!$I$19</definedName>
    <definedName name="Cellule_1229_2">'T18 Emprunts'!$I$20</definedName>
    <definedName name="Cellule_1229_3">'T18 Emprunts'!$I$21</definedName>
    <definedName name="Cellule_1229_4">'T18 Emprunts'!$I$22</definedName>
    <definedName name="Cellule_123">'T1 Bilan'!$C$43</definedName>
    <definedName name="Cellule_1231">'T8 B2 BIS'!$B$9</definedName>
    <definedName name="Cellule_1232">'T8 B2 BIS'!$C$9</definedName>
    <definedName name="Cellule_1233">'T8 B2 BIS'!$D$9</definedName>
    <definedName name="Cellule_1234">'T8 B2 BIS'!$E$9</definedName>
    <definedName name="Cellule_1236">'T8 B2 BIS'!$B$11</definedName>
    <definedName name="Cellule_1237">'T8 B2 BIS'!$C$11</definedName>
    <definedName name="Cellule_1238">'T8 B2 BIS'!$D$11</definedName>
    <definedName name="Cellule_1239">'T8 B2 BIS'!$E$11</definedName>
    <definedName name="Cellule_124">'T1 Bilan'!$C$44</definedName>
    <definedName name="Cellule_1241">'T8 B2 BIS'!$B$12</definedName>
    <definedName name="Cellule_1242">'T8 B2 BIS'!$C$12</definedName>
    <definedName name="Cellule_1243">'T8 B2 BIS'!$D$12</definedName>
    <definedName name="Cellule_1244">'T8 B2 BIS'!$E$12</definedName>
    <definedName name="Cellule_1246">'T8 B2 BIS'!$B$13</definedName>
    <definedName name="Cellule_1247">'T8 B2 BIS'!$C$13</definedName>
    <definedName name="Cellule_1248">'T8 B2 BIS'!$D$13</definedName>
    <definedName name="Cellule_1249">'T8 B2 BIS'!$E$13</definedName>
    <definedName name="Cellule_125">'T1 Bilan'!$C$45</definedName>
    <definedName name="Cellule_1250_1">'T18 Emprunts'!$J$19</definedName>
    <definedName name="Cellule_1250_2">'T18 Emprunts'!$J$20</definedName>
    <definedName name="Cellule_1250_3">'T18 Emprunts'!$J$21</definedName>
    <definedName name="Cellule_1250_4">'T18 Emprunts'!$J$22</definedName>
    <definedName name="Cellule_1251_1">'T18 Emprunts'!$K$19</definedName>
    <definedName name="Cellule_1251_2">'T18 Emprunts'!$K$20</definedName>
    <definedName name="Cellule_1251_3">'T18 Emprunts'!$K$21</definedName>
    <definedName name="Cellule_1251_4">'T18 Emprunts'!$K$22</definedName>
    <definedName name="Cellule_1252_1">'T18 Emprunts'!$L$19</definedName>
    <definedName name="Cellule_1252_2">'T18 Emprunts'!$L$20</definedName>
    <definedName name="Cellule_1252_3">'T18 Emprunts'!$L$21</definedName>
    <definedName name="Cellule_1252_4">'T18 Emprunts'!$L$22</definedName>
    <definedName name="Cellule_1253_1">'T18 Emprunts'!$M$19</definedName>
    <definedName name="Cellule_1253_2">'T18 Emprunts'!$M$20</definedName>
    <definedName name="Cellule_1253_3">'T18 Emprunts'!$M$21</definedName>
    <definedName name="Cellule_1253_4">'T18 Emprunts'!$M$22</definedName>
    <definedName name="Cellule_1257">'T18 Emprunts'!$D$23</definedName>
    <definedName name="Cellule_12597">'T4 B2-immo'!$B$28</definedName>
    <definedName name="Cellule_12598">'T4 B2-immo'!$C$28</definedName>
    <definedName name="Cellule_12599">'T4 B2-immo'!$D$28</definedName>
    <definedName name="Cellule_126">'T1 Bilan'!$C$46</definedName>
    <definedName name="Cellule_12600">'T4 B2-immo'!$E$28</definedName>
    <definedName name="Cellule_12601">'T4 B2-immo'!$F$28</definedName>
    <definedName name="Cellule_12602">'T4 B2-immo'!$G$28</definedName>
    <definedName name="Cellule_12603">'T4 B2-immo'!$H$28</definedName>
    <definedName name="Cellule_12604">'T4 B2-immo'!$I$28</definedName>
    <definedName name="Cellule_1261">'T18 Emprunts'!$H$23</definedName>
    <definedName name="Cellule_1262">'T18 Emprunts'!$I$23</definedName>
    <definedName name="Cellule_1263">'T18 Emprunts'!$J$23</definedName>
    <definedName name="Cellule_1264">'T18 Emprunts'!$K$23</definedName>
    <definedName name="Cellule_1265">'T18 Emprunts'!$L$23</definedName>
    <definedName name="Cellule_1267_1">'T19 Locations'!$B$12</definedName>
    <definedName name="Cellule_1267_2">'T19 Locations'!$B$13</definedName>
    <definedName name="Cellule_1267_3">'T19 Locations'!$B$14</definedName>
    <definedName name="Cellule_1267_4">'T19 Locations'!$B$15</definedName>
    <definedName name="Cellule_1267_5">'T19 Locations'!$B$16</definedName>
    <definedName name="Cellule_1267_6">'T19 Locations'!$B$17</definedName>
    <definedName name="Cellule_1268_1">'T19 Locations'!$C$12</definedName>
    <definedName name="Cellule_1268_2">'T19 Locations'!$C$13</definedName>
    <definedName name="Cellule_1268_3">'T19 Locations'!$C$14</definedName>
    <definedName name="Cellule_1268_4">'T19 Locations'!$C$15</definedName>
    <definedName name="Cellule_1268_5">'T19 Locations'!$C$16</definedName>
    <definedName name="Cellule_1268_6">'T19 Locations'!$C$17</definedName>
    <definedName name="Cellule_1269_1">'T19 Locations'!$D$12</definedName>
    <definedName name="Cellule_1269_2">'T19 Locations'!$D$13</definedName>
    <definedName name="Cellule_1269_3">'T19 Locations'!$D$14</definedName>
    <definedName name="Cellule_1269_4">'T19 Locations'!$D$15</definedName>
    <definedName name="Cellule_1269_5">'T19 Locations'!$D$16</definedName>
    <definedName name="Cellule_1269_6">'T19 Locations'!$D$17</definedName>
    <definedName name="Cellule_127">'T1 Bilan'!$C$47</definedName>
    <definedName name="Cellule_1270_1">'T19 Locations'!$E$12</definedName>
    <definedName name="Cellule_1270_2">'T19 Locations'!$E$13</definedName>
    <definedName name="Cellule_1270_3">'T19 Locations'!$E$14</definedName>
    <definedName name="Cellule_1270_4">'T19 Locations'!$E$15</definedName>
    <definedName name="Cellule_1270_5">'T19 Locations'!$E$16</definedName>
    <definedName name="Cellule_1270_6">'T19 Locations'!$E$17</definedName>
    <definedName name="Cellule_1271_1">'T19 Locations'!$F$12</definedName>
    <definedName name="Cellule_1271_2">'T19 Locations'!$F$13</definedName>
    <definedName name="Cellule_1271_3">'T19 Locations'!$F$14</definedName>
    <definedName name="Cellule_1271_4">'T19 Locations'!$F$15</definedName>
    <definedName name="Cellule_1271_5">'T19 Locations'!$F$16</definedName>
    <definedName name="Cellule_1271_6">'T19 Locations'!$F$17</definedName>
    <definedName name="Cellule_1272_1">'T19 Locations'!$G$12</definedName>
    <definedName name="Cellule_1272_2">'T19 Locations'!$G$13</definedName>
    <definedName name="Cellule_1272_3">'T19 Locations'!$G$14</definedName>
    <definedName name="Cellule_1272_4">'T19 Locations'!$G$15</definedName>
    <definedName name="Cellule_1272_5">'T19 Locations'!$G$16</definedName>
    <definedName name="Cellule_1272_6">'T19 Locations'!$G$17</definedName>
    <definedName name="Cellule_1273_1">'T19 Locations'!$H$12</definedName>
    <definedName name="Cellule_1273_2">'T19 Locations'!$H$13</definedName>
    <definedName name="Cellule_1273_3">'T19 Locations'!$H$14</definedName>
    <definedName name="Cellule_1273_4">'T19 Locations'!$H$15</definedName>
    <definedName name="Cellule_1273_5">'T19 Locations'!$H$16</definedName>
    <definedName name="Cellule_1273_6">'T19 Locations'!$H$17</definedName>
    <definedName name="Cellule_1274_1">'T19 Locations'!$I$12</definedName>
    <definedName name="Cellule_1274_2">'T19 Locations'!$I$13</definedName>
    <definedName name="Cellule_1274_3">'T19 Locations'!$I$14</definedName>
    <definedName name="Cellule_1274_4">'T19 Locations'!$I$15</definedName>
    <definedName name="Cellule_1274_5">'T19 Locations'!$I$16</definedName>
    <definedName name="Cellule_1274_6">'T19 Locations'!$I$17</definedName>
    <definedName name="Cellule_1279">'T19 Locations'!$F$18</definedName>
    <definedName name="Cellule_128">'T1 Bilan'!$C$48</definedName>
    <definedName name="Cellule_1280">'T19 Locations'!$G$18</definedName>
    <definedName name="Cellule_129">'T1 Bilan'!$D$42</definedName>
    <definedName name="Cellule_130">'T1 Bilan'!$D$43</definedName>
    <definedName name="Cellule_1308">'T5 ESG'!$E$6</definedName>
    <definedName name="Cellule_1309">'T5 ESG'!$E$7</definedName>
    <definedName name="Cellule_131">'T1 Bilan'!$D$44</definedName>
    <definedName name="Cellule_1310">'T5 ESG'!$E$8</definedName>
    <definedName name="Cellule_1311">'T5 ESG'!$E$9</definedName>
    <definedName name="Cellule_1312">'T5 ESG'!$E$10</definedName>
    <definedName name="Cellule_1313">'T5 ESG'!$E$11</definedName>
    <definedName name="Cellule_1314">'T5 ESG'!$E$12</definedName>
    <definedName name="Cellule_1315">'T5 ESG'!$E$13</definedName>
    <definedName name="Cellule_1316">'T5 ESG'!$E$14</definedName>
    <definedName name="Cellule_1317">'T5 ESG'!$E$15</definedName>
    <definedName name="Cellule_1318">'T5 ESG'!$E$16</definedName>
    <definedName name="Cellule_1319">'T5 ESG'!$E$17</definedName>
    <definedName name="Cellule_132">'T1 Bilan'!$D$45</definedName>
    <definedName name="Cellule_1320">'T5 ESG'!$E$18</definedName>
    <definedName name="Cellule_1321">'T5 ESG'!$E$19</definedName>
    <definedName name="Cellule_1324">'T5 ESG'!$E$23</definedName>
    <definedName name="Cellule_1325">'T5 ESG'!$E$24</definedName>
    <definedName name="Cellule_1326">'T5 ESG'!$E$25</definedName>
    <definedName name="Cellule_1327">'T5 ESG'!$E$26</definedName>
    <definedName name="Cellule_1328">'T5 ESG'!$E$27</definedName>
    <definedName name="Cellule_1329">'T5 ESG'!$E$28</definedName>
    <definedName name="Cellule_133">'T1 Bilan'!$D$46</definedName>
    <definedName name="Cellule_1330">'T5 ESG'!$E$29</definedName>
    <definedName name="Cellule_1331">'T5 ESG'!$E$30</definedName>
    <definedName name="Cellule_1332">'T5 ESG'!$E$32</definedName>
    <definedName name="Cellule_1333">'T5 ESG'!$G$6</definedName>
    <definedName name="Cellule_13339">'T1 Bilan'!$B$83</definedName>
    <definedName name="Cellule_1334">'T5 ESG'!$G$7</definedName>
    <definedName name="Cellule_13343">'T1 Bilan'!$B$90</definedName>
    <definedName name="Cellule_1335">'T5 ESG'!$G$8</definedName>
    <definedName name="Cellule_1336">'T5 ESG'!$G$9</definedName>
    <definedName name="Cellule_13368">'T1 Bilan'!$E$123</definedName>
    <definedName name="Cellule_13369">'T1 Bilan'!$E$121</definedName>
    <definedName name="Cellule_1337">'T5 ESG'!$G$10</definedName>
    <definedName name="Cellule_13370">'T1 Bilan'!$E$118</definedName>
    <definedName name="Cellule_13371">'T1 Bilan'!$E$119</definedName>
    <definedName name="Cellule_13372">'T1 Bilan'!$E$120</definedName>
    <definedName name="Cellule_13373">'T1 Bilan'!$E$115</definedName>
    <definedName name="Cellule_13374">'T1 Bilan'!$E$114</definedName>
    <definedName name="Cellule_13375">'T1 Bilan'!$E$113</definedName>
    <definedName name="Cellule_13376">'T1 Bilan'!$E$104</definedName>
    <definedName name="Cellule_13377">'T1 Bilan'!$E$105</definedName>
    <definedName name="Cellule_13378">'T1 Bilan'!$E$106</definedName>
    <definedName name="Cellule_13379">'T1 Bilan'!$E$107</definedName>
    <definedName name="Cellule_1338">'T5 ESG'!$G$11</definedName>
    <definedName name="Cellule_13380">'T1 Bilan'!$E$108</definedName>
    <definedName name="Cellule_13381">'T1 Bilan'!$E$109</definedName>
    <definedName name="Cellule_13382">'T1 Bilan'!$E$110</definedName>
    <definedName name="Cellule_13383">'T1 Bilan'!$E$111</definedName>
    <definedName name="Cellule_13384">'T1 Bilan'!$E$112</definedName>
    <definedName name="Cellule_13385">'T1 Bilan'!$E$102</definedName>
    <definedName name="Cellule_13386">'T1 Bilan'!$E$98</definedName>
    <definedName name="Cellule_13387">'T1 Bilan'!$E$99</definedName>
    <definedName name="Cellule_13388">'T1 Bilan'!$E$100</definedName>
    <definedName name="Cellule_13389">'T1 Bilan'!$E$94</definedName>
    <definedName name="Cellule_1339">'T5 ESG'!$G$12</definedName>
    <definedName name="Cellule_13390">'T1 Bilan'!$E$95</definedName>
    <definedName name="Cellule_13391">'T1 Bilan'!$E$96</definedName>
    <definedName name="Cellule_13392">'T1 Bilan'!$E$90</definedName>
    <definedName name="Cellule_13393">'T1 Bilan'!$E$87</definedName>
    <definedName name="Cellule_13394">'T1 Bilan'!$E$88</definedName>
    <definedName name="Cellule_13395">'T1 Bilan'!$E$89</definedName>
    <definedName name="Cellule_13396">'T1 Bilan'!$E$83</definedName>
    <definedName name="Cellule_13397">'T1 Bilan'!$E$80</definedName>
    <definedName name="Cellule_13398">'T1 Bilan'!$E$81</definedName>
    <definedName name="Cellule_13399">'T1 Bilan'!$E$82</definedName>
    <definedName name="Cellule_134">'T1 Bilan'!$D$47</definedName>
    <definedName name="Cellule_1340">'T5 ESG'!$G$13</definedName>
    <definedName name="Cellule_13400">'T1 Bilan'!$E$68</definedName>
    <definedName name="Cellule_13401">'T1 Bilan'!$E$69</definedName>
    <definedName name="Cellule_13402">'T1 Bilan'!$E$70</definedName>
    <definedName name="Cellule_13403">'T1 Bilan'!$E$71</definedName>
    <definedName name="Cellule_13404">'T1 Bilan'!$E$72</definedName>
    <definedName name="Cellule_13405">'T1 Bilan'!$E$73</definedName>
    <definedName name="Cellule_13406">'T1 Bilan'!$E$74</definedName>
    <definedName name="Cellule_13407">'T1 Bilan'!$E$75</definedName>
    <definedName name="Cellule_13408">'T1 Bilan'!$E$76</definedName>
    <definedName name="Cellule_13409">'T1 Bilan'!$E$78</definedName>
    <definedName name="Cellule_1341">'T5 ESG'!$G$14</definedName>
    <definedName name="Cellule_13410">'T1 Bilan'!$E$79</definedName>
    <definedName name="Cellule_13411">'T1 Bilan'!$G$68</definedName>
    <definedName name="Cellule_13412">'T1 Bilan'!$G$69</definedName>
    <definedName name="Cellule_13413">'T1 Bilan'!$G$70</definedName>
    <definedName name="Cellule_13414">'T1 Bilan'!$G$71</definedName>
    <definedName name="Cellule_13415">'T1 Bilan'!$G$72</definedName>
    <definedName name="Cellule_13416">'T1 Bilan'!$G$73</definedName>
    <definedName name="Cellule_13417">'T1 Bilan'!$G$74</definedName>
    <definedName name="Cellule_13418">'T1 Bilan'!$G$75</definedName>
    <definedName name="Cellule_13419">'T1 Bilan'!$G$76</definedName>
    <definedName name="Cellule_1342">'T5 ESG'!$G$15</definedName>
    <definedName name="Cellule_13420">'T1 Bilan'!$G$78</definedName>
    <definedName name="Cellule_13421">'T1 Bilan'!$G$79</definedName>
    <definedName name="Cellule_13422">'T1 Bilan'!$G$80</definedName>
    <definedName name="Cellule_13423">'T1 Bilan'!$G$81</definedName>
    <definedName name="Cellule_13424">'T1 Bilan'!$G$82</definedName>
    <definedName name="Cellule_13425">'T1 Bilan'!$G$83</definedName>
    <definedName name="Cellule_13426">'T1 Bilan'!$G$87</definedName>
    <definedName name="Cellule_13427">'T1 Bilan'!$G$88</definedName>
    <definedName name="Cellule_13428">'T1 Bilan'!$G$89</definedName>
    <definedName name="Cellule_13429">'T1 Bilan'!$G$90</definedName>
    <definedName name="Cellule_1343">'T5 ESG'!$G$16</definedName>
    <definedName name="Cellule_13430">'T1 Bilan'!$G$94</definedName>
    <definedName name="Cellule_13431">'T1 Bilan'!$G$95</definedName>
    <definedName name="Cellule_13432">'T1 Bilan'!$G$96</definedName>
    <definedName name="Cellule_13433">'T1 Bilan'!$G$98</definedName>
    <definedName name="Cellule_13434">'T1 Bilan'!$G$99</definedName>
    <definedName name="Cellule_13435">'T1 Bilan'!$G$100</definedName>
    <definedName name="Cellule_13436">'T1 Bilan'!$G$102</definedName>
    <definedName name="Cellule_13437">'T1 Bilan'!$G$104</definedName>
    <definedName name="Cellule_13438">'T1 Bilan'!$G$105</definedName>
    <definedName name="Cellule_13439">'T1 Bilan'!$G$106</definedName>
    <definedName name="Cellule_1344">'T5 ESG'!$G$17</definedName>
    <definedName name="Cellule_13440">'T1 Bilan'!$G$107</definedName>
    <definedName name="Cellule_13441">'T1 Bilan'!$G$108</definedName>
    <definedName name="Cellule_13442">'T1 Bilan'!$G$109</definedName>
    <definedName name="Cellule_13443">'T1 Bilan'!$G$110</definedName>
    <definedName name="Cellule_13444">'T1 Bilan'!$G$111</definedName>
    <definedName name="Cellule_13445">'T1 Bilan'!$G$112</definedName>
    <definedName name="Cellule_13446">'T1 Bilan'!$G$113</definedName>
    <definedName name="Cellule_13447">'T1 Bilan'!$G$114</definedName>
    <definedName name="Cellule_13448">'T1 Bilan'!$G$115</definedName>
    <definedName name="Cellule_13449">'T1 Bilan'!$G$118</definedName>
    <definedName name="Cellule_1345">'T5 ESG'!$G$18</definedName>
    <definedName name="Cellule_13450">'T1 Bilan'!$G$119</definedName>
    <definedName name="Cellule_13451">'T1 Bilan'!$G$120</definedName>
    <definedName name="Cellule_13452">'T1 Bilan'!$G$121</definedName>
    <definedName name="Cellule_13453">'T1 Bilan'!$G$123</definedName>
    <definedName name="Cellule_1346">'T5 ESG'!$G$19</definedName>
    <definedName name="Cellule_1349">'T5 ESG'!$G$23</definedName>
    <definedName name="Cellule_135">'T1 Bilan'!$D$48</definedName>
    <definedName name="Cellule_1350">'T5 ESG'!$G$24</definedName>
    <definedName name="Cellule_13505">'T4 B2-immo'!$A$13</definedName>
    <definedName name="Cellule_13506">'T4 B2-immo'!$B$13</definedName>
    <definedName name="Cellule_13507">'T4 B2-immo'!$C$13</definedName>
    <definedName name="Cellule_13508">'T4 B2-immo'!$D$13</definedName>
    <definedName name="Cellule_13509">'T4 B2-immo'!$E$13</definedName>
    <definedName name="Cellule_1351">'T5 ESG'!$G$25</definedName>
    <definedName name="Cellule_13510">'T4 B2-immo'!$F$13</definedName>
    <definedName name="Cellule_13511">'T4 B2-immo'!$G$13</definedName>
    <definedName name="Cellule_13512">'T4 B2-immo'!$H$13</definedName>
    <definedName name="Cellule_13513">'T4 B2-immo'!$I$13</definedName>
    <definedName name="Cellule_1352">'T5 ESG'!$G$26</definedName>
    <definedName name="Cellule_1353">'T5 ESG'!$G$27</definedName>
    <definedName name="Cellule_13536_1">'T13 C1-rép cap'!$B$12</definedName>
    <definedName name="Cellule_13536_2">'T13 C1-rép cap'!$B$13</definedName>
    <definedName name="Cellule_13536_3">'T13 C1-rép cap'!$B$14</definedName>
    <definedName name="Cellule_13536_4">'T13 C1-rép cap'!$B$15</definedName>
    <definedName name="Cellule_13536_5">'T13 C1-rép cap'!$B$16</definedName>
    <definedName name="Cellule_13536_6">'T13 C1-rép cap'!$B$17</definedName>
    <definedName name="Cellule_13537_1">'T13 C1-rép cap'!$C$12</definedName>
    <definedName name="Cellule_13537_2">'T13 C1-rép cap'!$C$13</definedName>
    <definedName name="Cellule_13537_3">'T13 C1-rép cap'!$C$14</definedName>
    <definedName name="Cellule_13537_4">'T13 C1-rép cap'!$C$15</definedName>
    <definedName name="Cellule_13537_5">'T13 C1-rép cap'!$C$16</definedName>
    <definedName name="Cellule_13537_6">'T13 C1-rép cap'!$C$17</definedName>
    <definedName name="Cellule_1354">'T5 ESG'!$G$28</definedName>
    <definedName name="Cellule_1355">'T5 ESG'!$G$29</definedName>
    <definedName name="Cellule_1356">'T5 ESG'!$G$30</definedName>
    <definedName name="Cellule_1357">'T5 ESG'!$G$32</definedName>
    <definedName name="Cellule_136">'T1 Bilan'!$E$42</definedName>
    <definedName name="Cellule_137">'T1 Bilan'!$E$43</definedName>
    <definedName name="Cellule_1372">'T5 ESG'!$E$35</definedName>
    <definedName name="Cellule_1373">'T5 ESG'!$E$36</definedName>
    <definedName name="Cellule_1374">'T5 ESG'!$E$37</definedName>
    <definedName name="Cellule_1375">'T5 ESG'!$E$38</definedName>
    <definedName name="Cellule_1376">'T5 ESG'!$E$39</definedName>
    <definedName name="Cellule_1377">'T5 ESG'!$E$40</definedName>
    <definedName name="Cellule_1378">'T5 ESG'!$E$41</definedName>
    <definedName name="Cellule_1379">'T5 ESG'!$E$42</definedName>
    <definedName name="Cellule_138">'T1 Bilan'!$E$44</definedName>
    <definedName name="Cellule_1380">'T5 ESG'!$E$43</definedName>
    <definedName name="Cellule_1381">'T5 ESG'!$E$44</definedName>
    <definedName name="Cellule_1382">'T5 ESG'!$E$45</definedName>
    <definedName name="Cellule_1383">'T5 ESG'!$E$46</definedName>
    <definedName name="Cellule_1384">'T5 ESG'!$E$47</definedName>
    <definedName name="Cellule_1385">'T5 ESG'!$E$48</definedName>
    <definedName name="Cellule_1386">'T5 ESG'!$G$35</definedName>
    <definedName name="Cellule_1387">'T5 ESG'!$G$36</definedName>
    <definedName name="Cellule_1388">'T5 ESG'!$G$37</definedName>
    <definedName name="Cellule_1389">'T5 ESG'!$G$38</definedName>
    <definedName name="Cellule_139">'T1 Bilan'!$E$45</definedName>
    <definedName name="Cellule_1390">'T5 ESG'!$G$39</definedName>
    <definedName name="Cellule_1391">'T5 ESG'!$G$40</definedName>
    <definedName name="Cellule_1392">'T5 ESG'!$G$41</definedName>
    <definedName name="Cellule_1393">'T5 ESG'!$G$42</definedName>
    <definedName name="Cellule_1394">'T5 ESG'!$G$43</definedName>
    <definedName name="Cellule_1395">'T5 ESG'!$G$44</definedName>
    <definedName name="Cellule_1396">'T5 ESG'!$G$45</definedName>
    <definedName name="Cellule_1397">'T5 ESG'!$G$46</definedName>
    <definedName name="Cellule_1398">'T5 ESG'!$G$47</definedName>
    <definedName name="Cellule_1399">'T5 ESG'!$G$48</definedName>
    <definedName name="Cellule_140">'T1 Bilan'!$E$46</definedName>
    <definedName name="Cellule_1401">'T20 Stocks'!$B$8</definedName>
    <definedName name="Cellule_1402">'T20 Stocks'!$C$8</definedName>
    <definedName name="Cellule_1403">'T20 Stocks'!$D$8</definedName>
    <definedName name="Cellule_1404">'T20 Stocks'!$E$8</definedName>
    <definedName name="Cellule_1405">'T20 Stocks'!$F$8</definedName>
    <definedName name="Cellule_1406">'T20 Stocks'!$G$8</definedName>
    <definedName name="Cellule_14068">'C4-ope  dev'!$C$13</definedName>
    <definedName name="Cellule_14069">'C4-ope  dev'!$D$13</definedName>
    <definedName name="Cellule_1407">'T20 Stocks'!$H$8</definedName>
    <definedName name="Cellule_14071">'C4-ope  dev'!$C$14</definedName>
    <definedName name="Cellule_14072">'C4-ope  dev'!$D$14</definedName>
    <definedName name="Cellule_14074">'C4-ope  dev'!$C$15</definedName>
    <definedName name="Cellule_14075">'C4-ope  dev'!$D$15</definedName>
    <definedName name="Cellule_14077">'C4-ope  dev'!$C$16</definedName>
    <definedName name="Cellule_14078">'C4-ope  dev'!$D$16</definedName>
    <definedName name="Cellule_14080">'C4-ope  dev'!$C$18</definedName>
    <definedName name="Cellule_14081">'C4-ope  dev'!$D$18</definedName>
    <definedName name="Cellule_14083">'C4-ope  dev'!$C$19</definedName>
    <definedName name="Cellule_14084">'C4-ope  dev'!$D$19</definedName>
    <definedName name="Cellule_14086">'C4-ope  dev'!$C$21</definedName>
    <definedName name="Cellule_14087">'C4-ope  dev'!$D$21</definedName>
    <definedName name="Cellule_14088_1">'A3 Changement méthode'!$B$10</definedName>
    <definedName name="Cellule_14088_2">'A3 Changement méthode'!$B$11</definedName>
    <definedName name="Cellule_14089_1">'A3 Changement méthode'!$C$10</definedName>
    <definedName name="Cellule_14089_2">'A3 Changement méthode'!$C$11</definedName>
    <definedName name="Cellule_1409">'T20 Stocks'!$B$9</definedName>
    <definedName name="Cellule_14090_1">'A3 Changement méthode'!$D$10</definedName>
    <definedName name="Cellule_14090_2">'A3 Changement méthode'!$D$11</definedName>
    <definedName name="Cellule_14091_1">'A3 Changement méthode'!$B$14</definedName>
    <definedName name="Cellule_14091_2">'A3 Changement méthode'!$B$15</definedName>
    <definedName name="Cellule_14092_1">'A3 Changement méthode'!$C$14</definedName>
    <definedName name="Cellule_14092_2">'A3 Changement méthode'!$C$15</definedName>
    <definedName name="Cellule_14093_1">'A3 Changement méthode'!$D$14</definedName>
    <definedName name="Cellule_14093_2">'A3 Changement méthode'!$D$15</definedName>
    <definedName name="Cellule_14098">' A2 Dérogations'!$B$11</definedName>
    <definedName name="Cellule_14099">' A2 Dérogations'!$C$11</definedName>
    <definedName name="Cellule_141">'T1 Bilan'!$E$47</definedName>
    <definedName name="Cellule_1410">'T20 Stocks'!$C$9</definedName>
    <definedName name="Cellule_14101">' A2 Dérogations'!$B$12</definedName>
    <definedName name="Cellule_14102">' A2 Dérogations'!$C$12</definedName>
    <definedName name="Cellule_14104">' A2 Dérogations'!$B$13</definedName>
    <definedName name="Cellule_14105">' A2 Dérogations'!$C$13</definedName>
    <definedName name="Cellule_1411">'T20 Stocks'!$D$9</definedName>
    <definedName name="Cellule_14113">TF!$C$8</definedName>
    <definedName name="Cellule_14114">TF!$C$9</definedName>
    <definedName name="Cellule_14115">TF!$C$10</definedName>
    <definedName name="Cellule_14116">TF!$C$11</definedName>
    <definedName name="Cellule_14117">TF!$C$12</definedName>
    <definedName name="Cellule_14118">TF!$C$13</definedName>
    <definedName name="Cellule_14119">TF!$C$14</definedName>
    <definedName name="Cellule_1412">'T20 Stocks'!$E$9</definedName>
    <definedName name="Cellule_14120">TF!$D$8</definedName>
    <definedName name="Cellule_14121">TF!$D$9</definedName>
    <definedName name="Cellule_14122">TF!$D$10</definedName>
    <definedName name="Cellule_14123">TF!$D$11</definedName>
    <definedName name="Cellule_14124">TF!$D$12</definedName>
    <definedName name="Cellule_14125">TF!$D$13</definedName>
    <definedName name="Cellule_14126">TF!$D$14</definedName>
    <definedName name="Cellule_14127">TF!$F$8</definedName>
    <definedName name="Cellule_14128">TF!$F$9</definedName>
    <definedName name="Cellule_14129">TF!$F$10</definedName>
    <definedName name="Cellule_1413">'T20 Stocks'!$F$9</definedName>
    <definedName name="Cellule_14130">TF!$F$11</definedName>
    <definedName name="Cellule_14131">TF!$F$12</definedName>
    <definedName name="Cellule_14132">TF!$F$13</definedName>
    <definedName name="Cellule_14133">TF!$F$14</definedName>
    <definedName name="Cellule_14134">TF!$G$8</definedName>
    <definedName name="Cellule_14135">TF!$G$9</definedName>
    <definedName name="Cellule_14136">TF!$G$10</definedName>
    <definedName name="Cellule_14137">TF!$G$11</definedName>
    <definedName name="Cellule_14138">TF!$G$12</definedName>
    <definedName name="Cellule_14139">TF!$G$13</definedName>
    <definedName name="Cellule_1414">'T20 Stocks'!$G$9</definedName>
    <definedName name="Cellule_14140">TF!$G$14</definedName>
    <definedName name="Cellule_1415">'T20 Stocks'!$H$9</definedName>
    <definedName name="Cellule_1417">'T20 Stocks'!$B$10</definedName>
    <definedName name="Cellule_14172">TF!$C$20</definedName>
    <definedName name="Cellule_14173">TF!$C$21</definedName>
    <definedName name="Cellule_14174">TF!$C$22</definedName>
    <definedName name="Cellule_14175">TF!$C$23</definedName>
    <definedName name="Cellule_14176">TF!$C$24</definedName>
    <definedName name="Cellule_14177">TF!$C$25</definedName>
    <definedName name="Cellule_14178">TF!$C$26</definedName>
    <definedName name="Cellule_14179">TF!$C$27</definedName>
    <definedName name="Cellule_1418">'T20 Stocks'!$C$10</definedName>
    <definedName name="Cellule_14180">TF!$C$28</definedName>
    <definedName name="Cellule_14181">TF!$C$29</definedName>
    <definedName name="Cellule_14182">TF!$C$30</definedName>
    <definedName name="Cellule_14183">TF!$C$31</definedName>
    <definedName name="Cellule_14184">TF!$D$20</definedName>
    <definedName name="Cellule_14185">TF!$D$21</definedName>
    <definedName name="Cellule_14186">TF!$D$22</definedName>
    <definedName name="Cellule_14187">TF!$D$23</definedName>
    <definedName name="Cellule_14188">TF!$D$24</definedName>
    <definedName name="Cellule_14189">TF!$D$25</definedName>
    <definedName name="Cellule_1419">'T20 Stocks'!$D$10</definedName>
    <definedName name="Cellule_14190">TF!$D$26</definedName>
    <definedName name="Cellule_14191">TF!$D$27</definedName>
    <definedName name="Cellule_14192">TF!$D$28</definedName>
    <definedName name="Cellule_14193">TF!$D$29</definedName>
    <definedName name="Cellule_14194">TF!$D$30</definedName>
    <definedName name="Cellule_14195">TF!$D$31</definedName>
    <definedName name="Cellule_14196">TF!$F$20</definedName>
    <definedName name="Cellule_14197">TF!$F$21</definedName>
    <definedName name="Cellule_14198">TF!$F$22</definedName>
    <definedName name="Cellule_14199">TF!$F$23</definedName>
    <definedName name="Cellule_142">'T1 Bilan'!$E$48</definedName>
    <definedName name="Cellule_1420">'T20 Stocks'!$E$10</definedName>
    <definedName name="Cellule_14200">TF!$F$24</definedName>
    <definedName name="Cellule_14201">TF!$F$25</definedName>
    <definedName name="Cellule_14202">TF!$F$26</definedName>
    <definedName name="Cellule_14203">TF!$F$27</definedName>
    <definedName name="Cellule_14204">TF!$F$28</definedName>
    <definedName name="Cellule_14205">TF!$F$29</definedName>
    <definedName name="Cellule_14206">TF!$F$30</definedName>
    <definedName name="Cellule_14207">TF!$F$31</definedName>
    <definedName name="Cellule_14208">TF!$G$20</definedName>
    <definedName name="Cellule_14209">TF!$G$21</definedName>
    <definedName name="Cellule_1421">'T20 Stocks'!$F$10</definedName>
    <definedName name="Cellule_14210">TF!$G$22</definedName>
    <definedName name="Cellule_14211">TF!$G$23</definedName>
    <definedName name="Cellule_14212">TF!$G$24</definedName>
    <definedName name="Cellule_14213">TF!$G$25</definedName>
    <definedName name="Cellule_14214">TF!$G$26</definedName>
    <definedName name="Cellule_14215">TF!$G$27</definedName>
    <definedName name="Cellule_14216">TF!$G$28</definedName>
    <definedName name="Cellule_14217">TF!$G$29</definedName>
    <definedName name="Cellule_14218">TF!$G$30</definedName>
    <definedName name="Cellule_14219">TF!$G$31</definedName>
    <definedName name="Cellule_1422">'T20 Stocks'!$G$10</definedName>
    <definedName name="Cellule_14221">TF!$C$32</definedName>
    <definedName name="Cellule_14222">TF!$D$32</definedName>
    <definedName name="Cellule_14223">TF!$F$32</definedName>
    <definedName name="Cellule_14224">TF!$G$32</definedName>
    <definedName name="Cellule_1423">'T20 Stocks'!$H$10</definedName>
    <definedName name="Cellule_14233">TF!$C$34</definedName>
    <definedName name="Cellule_14234">TF!$C$35</definedName>
    <definedName name="Cellule_14235">TF!$C$36</definedName>
    <definedName name="Cellule_14236">TF!$C$37</definedName>
    <definedName name="Cellule_14237">TF!$C$38</definedName>
    <definedName name="Cellule_14238">TF!$C$39</definedName>
    <definedName name="Cellule_14239">TF!$C$40</definedName>
    <definedName name="Cellule_14240">TF!$C$41</definedName>
    <definedName name="Cellule_14241">TF!$D$34</definedName>
    <definedName name="Cellule_14242">TF!$D$35</definedName>
    <definedName name="Cellule_14243">TF!$D$36</definedName>
    <definedName name="Cellule_14244">TF!$D$37</definedName>
    <definedName name="Cellule_14245">TF!$D$38</definedName>
    <definedName name="Cellule_14246">TF!$D$39</definedName>
    <definedName name="Cellule_14247">TF!$D$40</definedName>
    <definedName name="Cellule_14248">TF!$D$41</definedName>
    <definedName name="Cellule_14249">TF!$F$34</definedName>
    <definedName name="Cellule_1425">'T20 Stocks'!$B$11</definedName>
    <definedName name="Cellule_14250">TF!$F$35</definedName>
    <definedName name="Cellule_14251">TF!$F$36</definedName>
    <definedName name="Cellule_14252">TF!$F$37</definedName>
    <definedName name="Cellule_14253">TF!$F$38</definedName>
    <definedName name="Cellule_14254">TF!$F$39</definedName>
    <definedName name="Cellule_14255">TF!$F$40</definedName>
    <definedName name="Cellule_14256">TF!$F$41</definedName>
    <definedName name="Cellule_14257">TF!$G$34</definedName>
    <definedName name="Cellule_14258">TF!$G$35</definedName>
    <definedName name="Cellule_14259">TF!$G$36</definedName>
    <definedName name="Cellule_1426">'T20 Stocks'!$C$11</definedName>
    <definedName name="Cellule_14260">TF!$G$37</definedName>
    <definedName name="Cellule_14261">TF!$G$38</definedName>
    <definedName name="Cellule_14262">TF!$G$39</definedName>
    <definedName name="Cellule_14263">TF!$G$40</definedName>
    <definedName name="Cellule_14264">TF!$G$41</definedName>
    <definedName name="Cellule_14266">TF!$C$42</definedName>
    <definedName name="Cellule_14267">TF!$D$42</definedName>
    <definedName name="Cellule_14268">TF!$F$42</definedName>
    <definedName name="Cellule_14269">TF!$G$42</definedName>
    <definedName name="Cellule_1427">'T20 Stocks'!$D$11</definedName>
    <definedName name="Cellule_14271">TF!$C$43</definedName>
    <definedName name="Cellule_14272">TF!$D$43</definedName>
    <definedName name="Cellule_14273">TF!$F$43</definedName>
    <definedName name="Cellule_14274">TF!$G$43</definedName>
    <definedName name="Cellule_14276">TF!$C$44</definedName>
    <definedName name="Cellule_14277">TF!$D$44</definedName>
    <definedName name="Cellule_14278">TF!$F$44</definedName>
    <definedName name="Cellule_14279">TF!$G$44</definedName>
    <definedName name="Cellule_1428">'T20 Stocks'!$E$11</definedName>
    <definedName name="Cellule_14281">TF!$C$45</definedName>
    <definedName name="Cellule_14282">TF!$D$45</definedName>
    <definedName name="Cellule_14283">TF!$F$45</definedName>
    <definedName name="Cellule_14284">TF!$G$45</definedName>
    <definedName name="Cellule_1429">'T20 Stocks'!$F$11</definedName>
    <definedName name="Cellule_143">'T1 Bilan'!$G$42</definedName>
    <definedName name="Cellule_1430">'T20 Stocks'!$G$11</definedName>
    <definedName name="Cellule_14301">'ETIC  A0 A1'!$C$26</definedName>
    <definedName name="Cellule_14303">'ETIC  A0 A1'!$C$27</definedName>
    <definedName name="Cellule_14305">'ETIC  A0 A1'!$C$28</definedName>
    <definedName name="Cellule_14307">'ETIC  A0 A1'!$C$34</definedName>
    <definedName name="Cellule_14309">'ETIC  A0 A1'!$C$35</definedName>
    <definedName name="Cellule_1431">'T20 Stocks'!$H$11</definedName>
    <definedName name="Cellule_14311">'ETIC  A0 A1'!$C$36</definedName>
    <definedName name="Cellule_14313">'ETIC  A0 A1'!$C$40</definedName>
    <definedName name="Cellule_14315">'ETIC  A0 A1'!$C$41</definedName>
    <definedName name="Cellule_14317">'ETIC  A0 A1'!$C$47</definedName>
    <definedName name="Cellule_14319">'ETIC  A0 A1'!$C$48</definedName>
    <definedName name="Cellule_14321">'ETIC  A0 A1'!$C$49</definedName>
    <definedName name="Cellule_14323">'ETIC  A0 A1'!$C$50</definedName>
    <definedName name="Cellule_14325">'ETIC  A0 A1'!$C$51</definedName>
    <definedName name="Cellule_14327">'ETIC  A0 A1'!$C$56</definedName>
    <definedName name="Cellule_14329">'ETIC  A0 A1'!$C$57</definedName>
    <definedName name="Cellule_1433">'T20 Stocks'!$B$12</definedName>
    <definedName name="Cellule_14331">'ETIC  A0 A1'!$C$58</definedName>
    <definedName name="Cellule_14333">'ETIC  A0 A1'!$C$63</definedName>
    <definedName name="Cellule_14335">'ETIC  A0 A1'!$C$64</definedName>
    <definedName name="Cellule_14337">'ETIC  A0 A1'!$C$65</definedName>
    <definedName name="Cellule_1434">'T20 Stocks'!$C$12</definedName>
    <definedName name="Cellule_14342">'ETIC  A0 A1'!$C$19</definedName>
    <definedName name="Cellule_14343">'ETIC  A0 A1'!$C$20</definedName>
    <definedName name="Cellule_14344">'ETIC  A0 A1'!$C$21</definedName>
    <definedName name="Cellule_14345">'ETIC  A0 A1'!$C$22</definedName>
    <definedName name="Cellule_14347">'T15 Encourag'!$C$6</definedName>
    <definedName name="Cellule_14349">'T15 Encourag'!$C$7</definedName>
    <definedName name="Cellule_1435">'T20 Stocks'!$D$12</definedName>
    <definedName name="Cellule_14353_1">'T15 Encourag'!$C$11</definedName>
    <definedName name="Cellule_14355_1">'T15 Encourag'!$B$20</definedName>
    <definedName name="Cellule_14355_2">'T15 Encourag'!$B$21</definedName>
    <definedName name="Cellule_14356_1">'T15 Encourag'!$C$20</definedName>
    <definedName name="Cellule_14356_2">'T15 Encourag'!$C$21</definedName>
    <definedName name="Cellule_1436">'T20 Stocks'!$E$12</definedName>
    <definedName name="Cellule_1437">'T20 Stocks'!$F$12</definedName>
    <definedName name="Cellule_1438">'T20 Stocks'!$G$12</definedName>
    <definedName name="Cellule_14380">'T15 Encourag'!$C$22</definedName>
    <definedName name="Cellule_1439">'T20 Stocks'!$H$12</definedName>
    <definedName name="Cellule_144">'T1 Bilan'!$G$43</definedName>
    <definedName name="Cellule_14415">'T15 Encourag'!$C$23</definedName>
    <definedName name="Cellule_1449">'T20 Stocks'!$B$14</definedName>
    <definedName name="Cellule_145">'T1 Bilan'!$G$44</definedName>
    <definedName name="Cellule_1450">'T20 Stocks'!$C$14</definedName>
    <definedName name="Cellule_1451">'T20 Stocks'!$D$14</definedName>
    <definedName name="Cellule_1452">'T20 Stocks'!$E$14</definedName>
    <definedName name="Cellule_1453">'T20 Stocks'!$F$14</definedName>
    <definedName name="Cellule_1454">'T20 Stocks'!$G$14</definedName>
    <definedName name="Cellule_1455">'T20 Stocks'!$H$14</definedName>
    <definedName name="Cellule_1457">'T20 Stocks'!$B$15</definedName>
    <definedName name="Cellule_1458">'T20 Stocks'!$C$15</definedName>
    <definedName name="Cellule_1459">'T20 Stocks'!$D$15</definedName>
    <definedName name="Cellule_146">'T1 Bilan'!$G$45</definedName>
    <definedName name="Cellule_1460">'T20 Stocks'!$E$15</definedName>
    <definedName name="Cellule_1461">'T20 Stocks'!$F$15</definedName>
    <definedName name="Cellule_1462">'T20 Stocks'!$G$15</definedName>
    <definedName name="Cellule_1463">'T20 Stocks'!$H$15</definedName>
    <definedName name="Cellule_1465">'T20 Stocks'!$B$16</definedName>
    <definedName name="Cellule_1466">'T20 Stocks'!$C$16</definedName>
    <definedName name="Cellule_1467">'T20 Stocks'!$D$16</definedName>
    <definedName name="Cellule_1468">'T20 Stocks'!$E$16</definedName>
    <definedName name="Cellule_1469">'T20 Stocks'!$F$16</definedName>
    <definedName name="Cellule_147">'T1 Bilan'!$G$46</definedName>
    <definedName name="Cellule_1470">'T20 Stocks'!$G$16</definedName>
    <definedName name="Cellule_1471">'T20 Stocks'!$H$16</definedName>
    <definedName name="Cellule_1473">'T20 Stocks'!$B$17</definedName>
    <definedName name="Cellule_1474">'T20 Stocks'!$C$17</definedName>
    <definedName name="Cellule_1475">'T20 Stocks'!$D$17</definedName>
    <definedName name="Cellule_1476">'T20 Stocks'!$E$17</definedName>
    <definedName name="Cellule_1477">'T20 Stocks'!$F$17</definedName>
    <definedName name="Cellule_1478">'T20 Stocks'!$G$17</definedName>
    <definedName name="Cellule_1479">'T20 Stocks'!$H$17</definedName>
    <definedName name="Cellule_148">'T1 Bilan'!$G$47</definedName>
    <definedName name="Cellule_1481">'T20 Stocks'!$B$18</definedName>
    <definedName name="Cellule_1482">'T20 Stocks'!$C$18</definedName>
    <definedName name="Cellule_1483">'T20 Stocks'!$D$18</definedName>
    <definedName name="Cellule_1484">'T20 Stocks'!$E$18</definedName>
    <definedName name="Cellule_1485">'T20 Stocks'!$F$18</definedName>
    <definedName name="Cellule_1486">'T20 Stocks'!$G$18</definedName>
    <definedName name="Cellule_1487">'T20 Stocks'!$H$18</definedName>
    <definedName name="Cellule_149">'T1 Bilan'!$G$48</definedName>
    <definedName name="Cellule_14990_1">'T15 Encourag'!$B$11</definedName>
    <definedName name="Cellule_14992">'T15 Encourag'!$C$17</definedName>
    <definedName name="Cellule_14994">'T15 Encourag'!$C$18</definedName>
    <definedName name="Cellule_14996">'T15 Encourag'!$C$19</definedName>
    <definedName name="Cellule_151">'T1 Bilan'!$C$51</definedName>
    <definedName name="Cellule_152">'T1 Bilan'!$D$51</definedName>
    <definedName name="Cellule_1521">'T6 TB11'!$C$6</definedName>
    <definedName name="Cellule_1522">'T6 TB11'!$C$7</definedName>
    <definedName name="Cellule_1523">'T6 TB11'!$C$8</definedName>
    <definedName name="Cellule_1524">'T6 TB11'!$C$9</definedName>
    <definedName name="Cellule_1525">'T6 TB11'!$C$11</definedName>
    <definedName name="Cellule_1526">'T6 TB11'!$C$12</definedName>
    <definedName name="Cellule_1527">'T6 TB11'!$C$13</definedName>
    <definedName name="Cellule_1528">'T6 TB11'!$C$14</definedName>
    <definedName name="Cellule_1529">'T6 TB11'!$C$15</definedName>
    <definedName name="Cellule_153">'T1 Bilan'!$E$51</definedName>
    <definedName name="Cellule_1530">'T6 TB11'!$C$16</definedName>
    <definedName name="Cellule_1531">'T6 TB11'!$C$17</definedName>
    <definedName name="Cellule_1532">'T6 TB11'!$C$20</definedName>
    <definedName name="Cellule_1533">'T6 TB11'!$C$22</definedName>
    <definedName name="Cellule_1534">'T6 TB11'!$C$23</definedName>
    <definedName name="Cellule_1535">'T6 TB11'!$C$24</definedName>
    <definedName name="Cellule_1536">'T6 TB11'!$C$25</definedName>
    <definedName name="Cellule_1537">'T6 TB11'!$C$26</definedName>
    <definedName name="Cellule_1538">'T6 TB11'!$C$27</definedName>
    <definedName name="Cellule_1539">'T6 TB11'!$C$28</definedName>
    <definedName name="Cellule_154">'T1 Bilan'!$G$51</definedName>
    <definedName name="Cellule_1540">'T6 TB11'!$C$29</definedName>
    <definedName name="Cellule_1541">'T6 TB11'!$C$30</definedName>
    <definedName name="Cellule_1542">'T6 TB11'!$C$31</definedName>
    <definedName name="Cellule_1543">'T6 TB11'!$C$32</definedName>
    <definedName name="Cellule_1544">'T6 TB11'!$C$33</definedName>
    <definedName name="Cellule_1545">'T6 TB11'!$C$35</definedName>
    <definedName name="Cellule_1546">'T6 TB11'!$C$36</definedName>
    <definedName name="Cellule_1547">'T6 TB11'!$C$37</definedName>
    <definedName name="Cellule_1548">'T6 TB11'!$C$38</definedName>
    <definedName name="Cellule_1549">'T6 TB11'!$C$39</definedName>
    <definedName name="Cellule_1550">'T6 TB11'!$C$41</definedName>
    <definedName name="Cellule_1551">'T6 TB11'!$C$42</definedName>
    <definedName name="Cellule_1552">'T6 TB11'!$C$43</definedName>
    <definedName name="Cellule_1553">'T6 TB11'!$C$44</definedName>
    <definedName name="Cellule_1555">'T20 Stocks'!$B$19</definedName>
    <definedName name="Cellule_1556">'T20 Stocks'!$C$19</definedName>
    <definedName name="Cellule_1557">'T20 Stocks'!$D$19</definedName>
    <definedName name="Cellule_1558">'T20 Stocks'!$E$19</definedName>
    <definedName name="Cellule_1559">'T20 Stocks'!$F$19</definedName>
    <definedName name="Cellule_1560">'T20 Stocks'!$G$19</definedName>
    <definedName name="Cellule_1561">'T20 Stocks'!$H$19</definedName>
    <definedName name="Cellule_1562">'T6 TB11'!$D$6</definedName>
    <definedName name="Cellule_1563">'T6 TB11'!$D$7</definedName>
    <definedName name="Cellule_1564">'T6 TB11'!$D$8</definedName>
    <definedName name="Cellule_1565">'T6 TB11'!$D$9</definedName>
    <definedName name="Cellule_1566">'T6 TB11'!$D$11</definedName>
    <definedName name="Cellule_1567">'T6 TB11'!$D$12</definedName>
    <definedName name="Cellule_1568">'T6 TB11'!$D$13</definedName>
    <definedName name="Cellule_1569">'T6 TB11'!$D$14</definedName>
    <definedName name="Cellule_1570">'T6 TB11'!$D$15</definedName>
    <definedName name="Cellule_1571">'T6 TB11'!$D$16</definedName>
    <definedName name="Cellule_1572">'T6 TB11'!$D$17</definedName>
    <definedName name="Cellule_1573">'T6 TB11'!$D$20</definedName>
    <definedName name="Cellule_1574">'T6 TB11'!$D$22</definedName>
    <definedName name="Cellule_1575">'T6 TB11'!$D$23</definedName>
    <definedName name="Cellule_1576">'T6 TB11'!$D$24</definedName>
    <definedName name="Cellule_1577">'T6 TB11'!$D$25</definedName>
    <definedName name="Cellule_1578">'T6 TB11'!$D$26</definedName>
    <definedName name="Cellule_1579">'T6 TB11'!$D$27</definedName>
    <definedName name="Cellule_1582">'T6 TB11'!$D$30</definedName>
    <definedName name="Cellule_1583">'T6 TB11'!$D$31</definedName>
    <definedName name="Cellule_1584">'T6 TB11'!$D$32</definedName>
    <definedName name="Cellule_1585">'T6 TB11'!$D$33</definedName>
    <definedName name="Cellule_1586">'T6 TB11'!$D$35</definedName>
    <definedName name="Cellule_1587">'T6 TB11'!$D$36</definedName>
    <definedName name="Cellule_1588">'T6 TB11'!$D$37</definedName>
    <definedName name="Cellule_1589">'T6 TB11'!$D$38</definedName>
    <definedName name="Cellule_1590">'T6 TB11'!$D$39</definedName>
    <definedName name="Cellule_1591">'T6 TB11'!$D$41</definedName>
    <definedName name="Cellule_1592">'T6 TB11'!$D$42</definedName>
    <definedName name="Cellule_1593">'T6 TB11'!$D$43</definedName>
    <definedName name="Cellule_1594">'T6 TB11'!$D$44</definedName>
    <definedName name="Cellule_1596">'T20 Stocks'!$B$20</definedName>
    <definedName name="Cellule_1597">'T20 Stocks'!$C$20</definedName>
    <definedName name="Cellule_1598">'T20 Stocks'!$D$20</definedName>
    <definedName name="Cellule_1599">'T20 Stocks'!$E$20</definedName>
    <definedName name="Cellule_160">'T1 Bilan'!$C$36</definedName>
    <definedName name="Cellule_1600">'T20 Stocks'!$F$20</definedName>
    <definedName name="Cellule_1601">'T20 Stocks'!$G$20</definedName>
    <definedName name="Cellule_1602">'T20 Stocks'!$H$20</definedName>
    <definedName name="Cellule_1604">'T20 Stocks'!$B$21</definedName>
    <definedName name="Cellule_1605">'T20 Stocks'!$C$21</definedName>
    <definedName name="Cellule_1606">'T20 Stocks'!$D$21</definedName>
    <definedName name="Cellule_1607">'T20 Stocks'!$E$21</definedName>
    <definedName name="Cellule_1608">'T20 Stocks'!$F$21</definedName>
    <definedName name="Cellule_1609">'T20 Stocks'!$G$21</definedName>
    <definedName name="Cellule_161">'T1 Bilan'!$C$37</definedName>
    <definedName name="Cellule_1610">'T20 Stocks'!$H$21</definedName>
    <definedName name="Cellule_1612">'T20 Stocks'!$B$22</definedName>
    <definedName name="Cellule_1613">'T20 Stocks'!$C$22</definedName>
    <definedName name="Cellule_1614">'T20 Stocks'!$D$22</definedName>
    <definedName name="Cellule_1615">'T20 Stocks'!$E$22</definedName>
    <definedName name="Cellule_1616">'T20 Stocks'!$F$22</definedName>
    <definedName name="Cellule_1617">'T20 Stocks'!$G$22</definedName>
    <definedName name="Cellule_1618">'T20 Stocks'!$H$22</definedName>
    <definedName name="Cellule_162">'T1 Bilan'!$C$38</definedName>
    <definedName name="Cellule_1624">'T8 B2 BIS'!$B$16</definedName>
    <definedName name="Cellule_1625">'T8 B2 BIS'!$B$18</definedName>
    <definedName name="Cellule_1626">'T8 B2 BIS'!$B$19</definedName>
    <definedName name="Cellule_1627">'T8 B2 BIS'!$B$20</definedName>
    <definedName name="Cellule_1628">'T8 B2 BIS'!$B$21</definedName>
    <definedName name="Cellule_1629">'T8 B2 BIS'!$C$16</definedName>
    <definedName name="Cellule_163">'T1 Bilan'!$C$39</definedName>
    <definedName name="Cellule_1630">'T8 B2 BIS'!$C$18</definedName>
    <definedName name="Cellule_1631">'T8 B2 BIS'!$C$19</definedName>
    <definedName name="Cellule_1632">'T8 B2 BIS'!$C$20</definedName>
    <definedName name="Cellule_1633">'T8 B2 BIS'!$C$21</definedName>
    <definedName name="Cellule_1635">'T20 Stocks'!$B$23</definedName>
    <definedName name="Cellule_1636">'T20 Stocks'!$C$23</definedName>
    <definedName name="Cellule_1637">'T20 Stocks'!$D$23</definedName>
    <definedName name="Cellule_1638">'T20 Stocks'!$E$23</definedName>
    <definedName name="Cellule_1639">'T20 Stocks'!$F$23</definedName>
    <definedName name="Cellule_16394">'C4-ope  dev'!$C$22</definedName>
    <definedName name="Cellule_16395">'C4-ope  dev'!$D$22</definedName>
    <definedName name="Cellule_16397">'C4-ope  dev'!$C$23</definedName>
    <definedName name="Cellule_16398">'C4-ope  dev'!$D$23</definedName>
    <definedName name="Cellule_164">'T1 Bilan'!$C$40</definedName>
    <definedName name="Cellule_1640">'T20 Stocks'!$G$23</definedName>
    <definedName name="Cellule_16400">'C4-ope  dev'!$C$24</definedName>
    <definedName name="Cellule_16401">'C4-ope  dev'!$D$24</definedName>
    <definedName name="Cellule_1641">'T20 Stocks'!$H$23</definedName>
    <definedName name="Cellule_1643">'T20 Stocks'!$B$24</definedName>
    <definedName name="Cellule_1644">'T20 Stocks'!$C$24</definedName>
    <definedName name="Cellule_1645">'T20 Stocks'!$D$24</definedName>
    <definedName name="Cellule_1646">'T20 Stocks'!$E$24</definedName>
    <definedName name="Cellule_1647">'T20 Stocks'!$F$24</definedName>
    <definedName name="Cellule_1648">'T20 Stocks'!$G$24</definedName>
    <definedName name="Cellule_1649">'T20 Stocks'!$H$24</definedName>
    <definedName name="Cellule_165">'T1 Bilan'!$D$36</definedName>
    <definedName name="Cellule_1650">'T8 B2 BIS'!$D$16</definedName>
    <definedName name="Cellule_1651">'T8 B2 BIS'!$D$18</definedName>
    <definedName name="Cellule_1652">'T8 B2 BIS'!$D$19</definedName>
    <definedName name="Cellule_1653">'T8 B2 BIS'!$D$20</definedName>
    <definedName name="Cellule_1654">'T8 B2 BIS'!$D$21</definedName>
    <definedName name="Cellule_1656">'T20 Stocks'!$B$25</definedName>
    <definedName name="Cellule_1657">'T20 Stocks'!$C$25</definedName>
    <definedName name="Cellule_1658">'T20 Stocks'!$D$25</definedName>
    <definedName name="Cellule_1659">'T20 Stocks'!$E$25</definedName>
    <definedName name="Cellule_166">'T1 Bilan'!$D$37</definedName>
    <definedName name="Cellule_1660">'T20 Stocks'!$F$25</definedName>
    <definedName name="Cellule_1661">'T20 Stocks'!$G$25</definedName>
    <definedName name="Cellule_1662">'T20 Stocks'!$H$25</definedName>
    <definedName name="Cellule_1664">'T20 Stocks'!$B$26</definedName>
    <definedName name="Cellule_1665">'T20 Stocks'!$C$26</definedName>
    <definedName name="Cellule_1666">'T20 Stocks'!$D$26</definedName>
    <definedName name="Cellule_1667">'T20 Stocks'!$E$26</definedName>
    <definedName name="Cellule_1668">'T20 Stocks'!$F$26</definedName>
    <definedName name="Cellule_1669">'T20 Stocks'!$G$26</definedName>
    <definedName name="Cellule_167">'T1 Bilan'!$D$38</definedName>
    <definedName name="Cellule_1670">'T20 Stocks'!$H$26</definedName>
    <definedName name="Cellule_1672">'T20 Stocks'!$B$27</definedName>
    <definedName name="Cellule_1673">'T20 Stocks'!$C$27</definedName>
    <definedName name="Cellule_1674">'T20 Stocks'!$D$27</definedName>
    <definedName name="Cellule_1675">'T20 Stocks'!$E$27</definedName>
    <definedName name="Cellule_1676">'T20 Stocks'!$F$27</definedName>
    <definedName name="Cellule_1677">'T20 Stocks'!$G$27</definedName>
    <definedName name="Cellule_1678">'T20 Stocks'!$H$27</definedName>
    <definedName name="Cellule_1679">'T8 B2 BIS'!$E$16</definedName>
    <definedName name="Cellule_168">'T1 Bilan'!$D$39</definedName>
    <definedName name="Cellule_1680">'T8 B2 BIS'!$E$18</definedName>
    <definedName name="Cellule_1681">'T8 B2 BIS'!$E$19</definedName>
    <definedName name="Cellule_1682">'T8 B2 BIS'!$E$20</definedName>
    <definedName name="Cellule_1683">'T8 B2 BIS'!$E$21</definedName>
    <definedName name="Cellule_1685">'T20 Stocks'!$B$28</definedName>
    <definedName name="Cellule_1686">'T20 Stocks'!$C$28</definedName>
    <definedName name="Cellule_1687">'T20 Stocks'!$D$28</definedName>
    <definedName name="Cellule_1688">'T20 Stocks'!$E$28</definedName>
    <definedName name="Cellule_1689">'T20 Stocks'!$F$28</definedName>
    <definedName name="Cellule_169">'T1 Bilan'!$D$40</definedName>
    <definedName name="Cellule_1690">'T20 Stocks'!$G$28</definedName>
    <definedName name="Cellule_1691">'T20 Stocks'!$H$28</definedName>
    <definedName name="Cellule_170">'T1 Bilan'!$E$36</definedName>
    <definedName name="Cellule_1700">'T8 B2 BIS'!$B$23</definedName>
    <definedName name="Cellule_1701">'T8 B2 BIS'!$B$25</definedName>
    <definedName name="Cellule_1702">'T8 B2 BIS'!$B$26</definedName>
    <definedName name="Cellule_1703">'T8 B2 BIS'!$B$27</definedName>
    <definedName name="Cellule_1704">'T8 B2 BIS'!$B$28</definedName>
    <definedName name="Cellule_1705">'T8 B2 BIS'!$B$29</definedName>
    <definedName name="Cellule_1706">'T8 B2 BIS'!$B$30</definedName>
    <definedName name="Cellule_1707">'T8 B2 BIS'!$B$31</definedName>
    <definedName name="Cellule_1708">'T8 B2 BIS'!$C$23</definedName>
    <definedName name="Cellule_1709">'T8 B2 BIS'!$C$25</definedName>
    <definedName name="Cellule_171">'T1 Bilan'!$E$37</definedName>
    <definedName name="Cellule_1710">'T8 B2 BIS'!$C$26</definedName>
    <definedName name="Cellule_1711">'T8 B2 BIS'!$C$27</definedName>
    <definedName name="Cellule_1712">'T8 B2 BIS'!$C$28</definedName>
    <definedName name="Cellule_1713">'T8 B2 BIS'!$C$29</definedName>
    <definedName name="Cellule_1714">'T8 B2 BIS'!$C$30</definedName>
    <definedName name="Cellule_1715">'T8 B2 BIS'!$C$31</definedName>
    <definedName name="Cellule_1716">'T8 B2 BIS'!$D$23</definedName>
    <definedName name="Cellule_1717">'T8 B2 BIS'!$D$25</definedName>
    <definedName name="Cellule_1718">'T8 B2 BIS'!$D$26</definedName>
    <definedName name="Cellule_1719">'T8 B2 BIS'!$D$27</definedName>
    <definedName name="Cellule_172">'T1 Bilan'!$E$38</definedName>
    <definedName name="Cellule_1720">'T8 B2 BIS'!$D$28</definedName>
    <definedName name="Cellule_1721">'T8 B2 BIS'!$D$29</definedName>
    <definedName name="Cellule_1722">'T8 B2 BIS'!$D$30</definedName>
    <definedName name="Cellule_1723">'T8 B2 BIS'!$D$31</definedName>
    <definedName name="Cellule_1724">'T8 B2 BIS'!$E$23</definedName>
    <definedName name="Cellule_1725">'T8 B2 BIS'!$E$25</definedName>
    <definedName name="Cellule_1726">'T8 B2 BIS'!$E$26</definedName>
    <definedName name="Cellule_1727">'T8 B2 BIS'!$E$27</definedName>
    <definedName name="Cellule_1728">'T8 B2 BIS'!$E$28</definedName>
    <definedName name="Cellule_1729">'T8 B2 BIS'!$E$29</definedName>
    <definedName name="Cellule_173">'T1 Bilan'!$E$39</definedName>
    <definedName name="Cellule_1730">'T8 B2 BIS'!$E$30</definedName>
    <definedName name="Cellule_1731">'T8 B2 BIS'!$E$31</definedName>
    <definedName name="Cellule_1733">'T6 TB11'!$C$45</definedName>
    <definedName name="Cellule_1734">'T6 TB11'!$D$45</definedName>
    <definedName name="Cellule_1736">'T20 Stocks'!$B$29</definedName>
    <definedName name="Cellule_1737">'T20 Stocks'!$C$29</definedName>
    <definedName name="Cellule_1738">'T20 Stocks'!$D$29</definedName>
    <definedName name="Cellule_1739">'T20 Stocks'!$E$29</definedName>
    <definedName name="Cellule_174">'T1 Bilan'!$E$40</definedName>
    <definedName name="Cellule_1740">'T20 Stocks'!$F$29</definedName>
    <definedName name="Cellule_1741">'T20 Stocks'!$G$29</definedName>
    <definedName name="Cellule_1742">'T20 Stocks'!$H$29</definedName>
    <definedName name="Cellule_1748">'T9 B5-PROV'!$B$8</definedName>
    <definedName name="Cellule_1749">'T9 B5-PROV'!$C$8</definedName>
    <definedName name="Cellule_175">'T1 Bilan'!$G$36</definedName>
    <definedName name="Cellule_1750">'T9 B5-PROV'!$D$8</definedName>
    <definedName name="Cellule_1751">'T9 B5-PROV'!$E$8</definedName>
    <definedName name="Cellule_1752">'T9 B5-PROV'!$F$8</definedName>
    <definedName name="Cellule_1753">'T9 B5-PROV'!$G$8</definedName>
    <definedName name="Cellule_1754">'T9 B5-PROV'!$H$8</definedName>
    <definedName name="Cellule_1755">'T9 B5-PROV'!$I$8</definedName>
    <definedName name="Cellule_1757">'T20 Stocks'!$B$30</definedName>
    <definedName name="Cellule_1758">'T20 Stocks'!$C$30</definedName>
    <definedName name="Cellule_1759">'T20 Stocks'!$D$30</definedName>
    <definedName name="Cellule_176">'T1 Bilan'!$G$37</definedName>
    <definedName name="Cellule_1760">'T20 Stocks'!$E$30</definedName>
    <definedName name="Cellule_1761">'T20 Stocks'!$F$30</definedName>
    <definedName name="Cellule_1762">'T20 Stocks'!$G$30</definedName>
    <definedName name="Cellule_1763">'T20 Stocks'!$H$30</definedName>
    <definedName name="Cellule_1764">'T6 TB11'!$C$48</definedName>
    <definedName name="Cellule_1765">'T6 TB11'!$C$49</definedName>
    <definedName name="Cellule_1766">'T6 TB11'!$C$50</definedName>
    <definedName name="Cellule_1767">'T6 TB11'!$C$51</definedName>
    <definedName name="Cellule_1769">'T20 Stocks'!$B$31</definedName>
    <definedName name="Cellule_177">'T1 Bilan'!$G$38</definedName>
    <definedName name="Cellule_1770">'T20 Stocks'!$C$31</definedName>
    <definedName name="Cellule_1771">'T20 Stocks'!$D$31</definedName>
    <definedName name="Cellule_1772">'T20 Stocks'!$E$31</definedName>
    <definedName name="Cellule_1773">'T20 Stocks'!$F$31</definedName>
    <definedName name="Cellule_1774">'T20 Stocks'!$G$31</definedName>
    <definedName name="Cellule_1775">'T20 Stocks'!$H$31</definedName>
    <definedName name="Cellule_178">'T1 Bilan'!$G$39</definedName>
    <definedName name="Cellule_1784">'T9 B5-PROV'!$B$10</definedName>
    <definedName name="Cellule_1785">'T9 B5-PROV'!$C$10</definedName>
    <definedName name="Cellule_1786">'T9 B5-PROV'!$D$10</definedName>
    <definedName name="Cellule_1787">'T9 B5-PROV'!$E$10</definedName>
    <definedName name="Cellule_1788">'T9 B5-PROV'!$F$10</definedName>
    <definedName name="Cellule_1789">'T9 B5-PROV'!$G$10</definedName>
    <definedName name="Cellule_179">'T1 Bilan'!$G$40</definedName>
    <definedName name="Cellule_1790">'T9 B5-PROV'!$H$10</definedName>
    <definedName name="Cellule_1791">'T9 B5-PROV'!$I$10</definedName>
    <definedName name="Cellule_1792">'T6 TB11'!$C$54</definedName>
    <definedName name="Cellule_17929">'T15 Encourag'!$C$16</definedName>
    <definedName name="Cellule_1793">'T6 TB11'!$C$55</definedName>
    <definedName name="Cellule_1794">'T6 TB11'!$C$56</definedName>
    <definedName name="Cellule_1795">'T6 TB11'!$C$57</definedName>
    <definedName name="Cellule_1796">'T6 TB11'!$C$58</definedName>
    <definedName name="Cellule_1797">'T6 TB11'!$C$59</definedName>
    <definedName name="Cellule_1798">'T6 TB11'!$C$60</definedName>
    <definedName name="Cellule_18">'T13 C1-rép cap'!$E$4</definedName>
    <definedName name="Cellule_1800">'T20 Stocks'!$B$32</definedName>
    <definedName name="Cellule_1801">'T20 Stocks'!$C$32</definedName>
    <definedName name="Cellule_1802">'T20 Stocks'!$D$32</definedName>
    <definedName name="Cellule_1803">'T20 Stocks'!$E$32</definedName>
    <definedName name="Cellule_1804">'T20 Stocks'!$F$32</definedName>
    <definedName name="Cellule_1805">'T20 Stocks'!$G$32</definedName>
    <definedName name="Cellule_1806">'T20 Stocks'!$H$32</definedName>
    <definedName name="Cellule_1807">'T6 TB11'!$D$54</definedName>
    <definedName name="Cellule_1808">'T6 TB11'!$D$55</definedName>
    <definedName name="Cellule_1809">'T6 TB11'!$D$56</definedName>
    <definedName name="Cellule_181">'T1 Bilan'!$C$49</definedName>
    <definedName name="Cellule_1810">'T6 TB11'!$D$57</definedName>
    <definedName name="Cellule_1811">'T6 TB11'!$D$58</definedName>
    <definedName name="Cellule_1812">'T6 TB11'!$D$59</definedName>
    <definedName name="Cellule_1813">'T6 TB11'!$D$60</definedName>
    <definedName name="Cellule_1814">'T6 TB11'!$D$48</definedName>
    <definedName name="Cellule_1815">'T6 TB11'!$D$49</definedName>
    <definedName name="Cellule_1816">'T6 TB11'!$D$50</definedName>
    <definedName name="Cellule_1817">'T6 TB11'!$D$51</definedName>
    <definedName name="Cellule_1819">'T20 Stocks'!$B$33</definedName>
    <definedName name="Cellule_182">'T1 Bilan'!$D$49</definedName>
    <definedName name="Cellule_1820">'T20 Stocks'!$C$33</definedName>
    <definedName name="Cellule_1821">'T20 Stocks'!$D$33</definedName>
    <definedName name="Cellule_1822">'T20 Stocks'!$E$33</definedName>
    <definedName name="Cellule_1823">'T20 Stocks'!$F$33</definedName>
    <definedName name="Cellule_1824">'T20 Stocks'!$G$33</definedName>
    <definedName name="Cellule_1825">'T20 Stocks'!$H$33</definedName>
    <definedName name="Cellule_1827">'T9 B5-PROV'!$B$13</definedName>
    <definedName name="Cellule_1828">'T9 B5-PROV'!$C$13</definedName>
    <definedName name="Cellule_1829">'T9 B5-PROV'!$D$13</definedName>
    <definedName name="Cellule_183">'T1 Bilan'!$E$49</definedName>
    <definedName name="Cellule_1830">'T9 B5-PROV'!$E$13</definedName>
    <definedName name="Cellule_1831">'T9 B5-PROV'!$F$13</definedName>
    <definedName name="Cellule_1832">'T9 B5-PROV'!$G$13</definedName>
    <definedName name="Cellule_1833">'T9 B5-PROV'!$H$13</definedName>
    <definedName name="Cellule_1834">'T9 B5-PROV'!$I$13</definedName>
    <definedName name="Cellule_1836">'T20 Stocks'!$B$34</definedName>
    <definedName name="Cellule_1837">'T20 Stocks'!$C$34</definedName>
    <definedName name="Cellule_1838">'T20 Stocks'!$D$34</definedName>
    <definedName name="Cellule_1839">'T20 Stocks'!$E$34</definedName>
    <definedName name="Cellule_184">'T1 Bilan'!$G$49</definedName>
    <definedName name="Cellule_1840">'T20 Stocks'!$F$34</definedName>
    <definedName name="Cellule_1841">'T20 Stocks'!$G$34</definedName>
    <definedName name="Cellule_1842">'T20 Stocks'!$H$34</definedName>
    <definedName name="Cellule_1844">'T9 B5-PROV'!$B$17</definedName>
    <definedName name="Cellule_1845">'T9 B5-PROV'!$C$17</definedName>
    <definedName name="Cellule_1846">'T9 B5-PROV'!$D$17</definedName>
    <definedName name="Cellule_1847">'T9 B5-PROV'!$E$17</definedName>
    <definedName name="Cellule_1848">'T9 B5-PROV'!$F$17</definedName>
    <definedName name="Cellule_1849">'T9 B5-PROV'!$G$17</definedName>
    <definedName name="Cellule_1850">'T9 B5-PROV'!$H$17</definedName>
    <definedName name="Cellule_1851">'T9 B5-PROV'!$I$17</definedName>
    <definedName name="Cellule_1853">'T20 Stocks'!$B$35</definedName>
    <definedName name="Cellule_1854">'T20 Stocks'!$C$35</definedName>
    <definedName name="Cellule_1855">'T20 Stocks'!$D$35</definedName>
    <definedName name="Cellule_1856">'T20 Stocks'!$E$35</definedName>
    <definedName name="Cellule_1857">'T20 Stocks'!$F$35</definedName>
    <definedName name="Cellule_1858">'T20 Stocks'!$G$35</definedName>
    <definedName name="Cellule_1859">'T20 Stocks'!$H$35</definedName>
    <definedName name="Cellule_186">'T1 Bilan'!$C$60</definedName>
    <definedName name="Cellule_1861">'T20 Stocks'!$B$36</definedName>
    <definedName name="Cellule_1862">'T20 Stocks'!$C$36</definedName>
    <definedName name="Cellule_1863">'T20 Stocks'!$D$36</definedName>
    <definedName name="Cellule_1864">'T20 Stocks'!$E$36</definedName>
    <definedName name="Cellule_1865">'T20 Stocks'!$F$36</definedName>
    <definedName name="Cellule_1866">'T20 Stocks'!$G$36</definedName>
    <definedName name="Cellule_1867">'T20 Stocks'!$H$36</definedName>
    <definedName name="Cellule_1869">'T20 Stocks'!$B$37</definedName>
    <definedName name="Cellule_187">'T1 Bilan'!$D$60</definedName>
    <definedName name="Cellule_1870">'T20 Stocks'!$C$37</definedName>
    <definedName name="Cellule_1871">'T20 Stocks'!$D$37</definedName>
    <definedName name="Cellule_1872">'T20 Stocks'!$E$37</definedName>
    <definedName name="Cellule_1873">'T20 Stocks'!$F$37</definedName>
    <definedName name="Cellule_1874">'T20 Stocks'!$G$37</definedName>
    <definedName name="Cellule_1875">'T20 Stocks'!$H$37</definedName>
    <definedName name="Cellule_1877">'T9 B5-PROV'!$B$20</definedName>
    <definedName name="Cellule_1878">'T9 B5-PROV'!$C$20</definedName>
    <definedName name="Cellule_1879">'T9 B5-PROV'!$D$20</definedName>
    <definedName name="Cellule_188">'T1 Bilan'!$E$60</definedName>
    <definedName name="Cellule_1880">'T9 B5-PROV'!$E$20</definedName>
    <definedName name="Cellule_1881">'T9 B5-PROV'!$F$20</definedName>
    <definedName name="Cellule_1882">'T9 B5-PROV'!$G$20</definedName>
    <definedName name="Cellule_1883">'T9 B5-PROV'!$H$20</definedName>
    <definedName name="Cellule_1884">'T9 B5-PROV'!$I$20</definedName>
    <definedName name="Cellule_1886">'T20 Stocks'!$B$38</definedName>
    <definedName name="Cellule_1887">'T20 Stocks'!$C$38</definedName>
    <definedName name="Cellule_1888">'T20 Stocks'!$D$38</definedName>
    <definedName name="Cellule_1889">'T20 Stocks'!$E$38</definedName>
    <definedName name="Cellule_189">'T1 Bilan'!$G$60</definedName>
    <definedName name="Cellule_1890">'T20 Stocks'!$F$38</definedName>
    <definedName name="Cellule_1891">'T20 Stocks'!$G$38</definedName>
    <definedName name="Cellule_1892">'T20 Stocks'!$H$38</definedName>
    <definedName name="Cellule_1894">'T9 B5-PROV'!$B$25</definedName>
    <definedName name="Cellule_1895">'T9 B5-PROV'!$C$25</definedName>
    <definedName name="Cellule_1896">'T9 B5-PROV'!$D$25</definedName>
    <definedName name="Cellule_1897">'T9 B5-PROV'!$E$25</definedName>
    <definedName name="Cellule_1898">'T9 B5-PROV'!$F$25</definedName>
    <definedName name="Cellule_1899">'T9 B5-PROV'!$G$25</definedName>
    <definedName name="Cellule_1900">'T9 B5-PROV'!$H$25</definedName>
    <definedName name="Cellule_1901">'T9 B5-PROV'!$I$25</definedName>
    <definedName name="Cellule_1903">'T9 B5-PROV'!$B$29</definedName>
    <definedName name="Cellule_1904">'T9 B5-PROV'!$C$29</definedName>
    <definedName name="Cellule_1905">'T9 B5-PROV'!$D$29</definedName>
    <definedName name="Cellule_1906">'T9 B5-PROV'!$E$29</definedName>
    <definedName name="Cellule_1907">'T9 B5-PROV'!$F$29</definedName>
    <definedName name="Cellule_1908">'T9 B5-PROV'!$G$29</definedName>
    <definedName name="Cellule_1909">'T9 B5-PROV'!$H$29</definedName>
    <definedName name="Cellule_1910">'T9 B5-PROV'!$I$29</definedName>
    <definedName name="Cellule_1912">'T9 B5-PROV'!$B$32</definedName>
    <definedName name="Cellule_1913">'T9 B5-PROV'!$C$32</definedName>
    <definedName name="Cellule_1914">'T9 B5-PROV'!$D$32</definedName>
    <definedName name="Cellule_1915">'T9 B5-PROV'!$E$32</definedName>
    <definedName name="Cellule_1916">'T9 B5-PROV'!$F$32</definedName>
    <definedName name="Cellule_1917">'T9 B5-PROV'!$G$32</definedName>
    <definedName name="Cellule_1918">'T9 B5-PROV'!$H$32</definedName>
    <definedName name="Cellule_1919">'T9 B5-PROV'!$I$32</definedName>
    <definedName name="Cellule_192">'T1 Bilan'!$C$31</definedName>
    <definedName name="Cellule_1921">'T9 B5-PROV'!$B$33</definedName>
    <definedName name="Cellule_1922">'T9 B5-PROV'!$C$33</definedName>
    <definedName name="Cellule_1923">'T9 B5-PROV'!$D$33</definedName>
    <definedName name="Cellule_1924">'T9 B5-PROV'!$E$33</definedName>
    <definedName name="Cellule_1925">'T9 B5-PROV'!$F$33</definedName>
    <definedName name="Cellule_1926">'T9 B5-PROV'!$G$33</definedName>
    <definedName name="Cellule_1927">'T9 B5-PROV'!$H$33</definedName>
    <definedName name="Cellule_1928">'T9 B5-PROV'!$I$33</definedName>
    <definedName name="Cellule_1929_1">'T10 B3-+-Value'!$A$10</definedName>
    <definedName name="Cellule_1929_2">'T10 B3-+-Value'!$A$11</definedName>
    <definedName name="Cellule_1929_3">'T10 B3-+-Value'!$A$12</definedName>
    <definedName name="Cellule_1929_4">'T10 B3-+-Value'!$A$13</definedName>
    <definedName name="Cellule_1929_5">'T10 B3-+-Value'!$A$14</definedName>
    <definedName name="Cellule_1929_6">'T10 B3-+-Value'!$A$15</definedName>
    <definedName name="Cellule_193">'T1 Bilan'!$C$32</definedName>
    <definedName name="Cellule_1930_1">'T10 B3-+-Value'!$B$10</definedName>
    <definedName name="Cellule_1930_2">'T10 B3-+-Value'!$B$11</definedName>
    <definedName name="Cellule_1930_3">'T10 B3-+-Value'!$B$12</definedName>
    <definedName name="Cellule_1930_4">'T10 B3-+-Value'!$B$13</definedName>
    <definedName name="Cellule_1930_5">'T10 B3-+-Value'!$B$14</definedName>
    <definedName name="Cellule_1930_6">'T10 B3-+-Value'!$B$15</definedName>
    <definedName name="Cellule_1931_1">'T10 B3-+-Value'!$C$10</definedName>
    <definedName name="Cellule_1931_2">'T10 B3-+-Value'!$C$11</definedName>
    <definedName name="Cellule_1931_3">'T10 B3-+-Value'!$C$12</definedName>
    <definedName name="Cellule_1931_4">'T10 B3-+-Value'!$C$13</definedName>
    <definedName name="Cellule_1931_5">'T10 B3-+-Value'!$C$14</definedName>
    <definedName name="Cellule_1931_6">'T10 B3-+-Value'!$C$15</definedName>
    <definedName name="Cellule_1932_1">'T10 B3-+-Value'!$D$10</definedName>
    <definedName name="Cellule_1932_2">'T10 B3-+-Value'!$D$11</definedName>
    <definedName name="Cellule_1932_3">'T10 B3-+-Value'!$D$12</definedName>
    <definedName name="Cellule_1932_4">'T10 B3-+-Value'!$D$13</definedName>
    <definedName name="Cellule_1932_5">'T10 B3-+-Value'!$D$14</definedName>
    <definedName name="Cellule_1932_6">'T10 B3-+-Value'!$D$15</definedName>
    <definedName name="Cellule_1933_1">'T10 B3-+-Value'!$E$10</definedName>
    <definedName name="Cellule_1933_2">'T10 B3-+-Value'!$E$11</definedName>
    <definedName name="Cellule_1933_3">'T10 B3-+-Value'!$E$12</definedName>
    <definedName name="Cellule_1933_4">'T10 B3-+-Value'!$E$13</definedName>
    <definedName name="Cellule_1933_5">'T10 B3-+-Value'!$E$14</definedName>
    <definedName name="Cellule_1933_6">'T10 B3-+-Value'!$E$15</definedName>
    <definedName name="Cellule_1934_1">'T10 B3-+-Value'!$F$10</definedName>
    <definedName name="Cellule_1934_2">'T10 B3-+-Value'!$F$11</definedName>
    <definedName name="Cellule_1934_3">'T10 B3-+-Value'!$F$12</definedName>
    <definedName name="Cellule_1934_4">'T10 B3-+-Value'!$F$13</definedName>
    <definedName name="Cellule_1934_5">'T10 B3-+-Value'!$F$14</definedName>
    <definedName name="Cellule_1934_6">'T10 B3-+-Value'!$F$15</definedName>
    <definedName name="Cellule_1935_1">'T10 B3-+-Value'!$G$10</definedName>
    <definedName name="Cellule_1935_2">'T10 B3-+-Value'!$G$11</definedName>
    <definedName name="Cellule_1935_3">'T10 B3-+-Value'!$G$12</definedName>
    <definedName name="Cellule_1935_4">'T10 B3-+-Value'!$G$13</definedName>
    <definedName name="Cellule_1935_5">'T10 B3-+-Value'!$G$14</definedName>
    <definedName name="Cellule_1935_6">'T10 B3-+-Value'!$G$15</definedName>
    <definedName name="Cellule_1936_1">'T10 B3-+-Value'!$H$10</definedName>
    <definedName name="Cellule_1936_2">'T10 B3-+-Value'!$H$11</definedName>
    <definedName name="Cellule_1936_3">'T10 B3-+-Value'!$H$12</definedName>
    <definedName name="Cellule_1936_4">'T10 B3-+-Value'!$H$13</definedName>
    <definedName name="Cellule_1936_5">'T10 B3-+-Value'!$H$14</definedName>
    <definedName name="Cellule_1936_6">'T10 B3-+-Value'!$H$15</definedName>
    <definedName name="Cellule_194">'T1 Bilan'!$D$31</definedName>
    <definedName name="Cellule_195">'T1 Bilan'!$D$32</definedName>
    <definedName name="Cellule_196">'T1 Bilan'!$E$31</definedName>
    <definedName name="Cellule_1963">'T6 TB11'!$C$68</definedName>
    <definedName name="Cellule_1964">'T6 TB11'!$C$69</definedName>
    <definedName name="Cellule_1965">'T6 TB11'!$C$70</definedName>
    <definedName name="Cellule_1966">'T6 TB11'!$C$71</definedName>
    <definedName name="Cellule_1967">'T6 TB11'!$C$72</definedName>
    <definedName name="Cellule_1968">'T6 TB11'!$C$74</definedName>
    <definedName name="Cellule_1969">'T6 TB11'!$C$75</definedName>
    <definedName name="Cellule_197">'T1 Bilan'!$E$32</definedName>
    <definedName name="Cellule_1970">'T6 TB11'!$C$76</definedName>
    <definedName name="Cellule_1971">'T6 TB11'!$C$77</definedName>
    <definedName name="Cellule_1972">'T6 TB11'!$C$78</definedName>
    <definedName name="Cellule_1973">'T6 TB11'!$C$79</definedName>
    <definedName name="Cellule_1974">'T6 TB11'!$C$80</definedName>
    <definedName name="Cellule_1975">'T6 TB11'!$C$81</definedName>
    <definedName name="Cellule_1976">'T6 TB11'!$C$83</definedName>
    <definedName name="Cellule_1977">'T6 TB11'!$C$84</definedName>
    <definedName name="Cellule_1978">'T6 TB11'!$C$85</definedName>
    <definedName name="Cellule_1979">'T6 TB11'!$C$86</definedName>
    <definedName name="Cellule_198">'T1 Bilan'!$G$31</definedName>
    <definedName name="Cellule_1980">'T6 TB11'!$C$87</definedName>
    <definedName name="Cellule_1981">'T6 TB11'!$C$89</definedName>
    <definedName name="Cellule_1982">'T6 TB11'!$C$90</definedName>
    <definedName name="Cellule_1983">'T6 TB11'!$C$91</definedName>
    <definedName name="Cellule_1984">'T6 TB11'!$C$92</definedName>
    <definedName name="Cellule_1985">'T6 TB11'!$C$94</definedName>
    <definedName name="Cellule_1986">'T6 TB11'!$C$95</definedName>
    <definedName name="Cellule_1987">'T6 TB11'!$C$96</definedName>
    <definedName name="Cellule_1988">'T6 TB11'!$C$97</definedName>
    <definedName name="Cellule_1989">'T6 TB11'!$D$68</definedName>
    <definedName name="Cellule_199">'T1 Bilan'!$G$32</definedName>
    <definedName name="Cellule_1990">'T6 TB11'!$D$69</definedName>
    <definedName name="Cellule_1991">'T6 TB11'!$D$70</definedName>
    <definedName name="Cellule_1992">'T6 TB11'!$D$71</definedName>
    <definedName name="Cellule_1993">'T6 TB11'!$D$72</definedName>
    <definedName name="Cellule_1994">'T6 TB11'!$D$74</definedName>
    <definedName name="Cellule_1995">'T6 TB11'!$D$75</definedName>
    <definedName name="Cellule_1996">'T6 TB11'!$D$76</definedName>
    <definedName name="Cellule_1997">'T6 TB11'!$D$77</definedName>
    <definedName name="Cellule_1998">'T6 TB11'!$D$78</definedName>
    <definedName name="Cellule_1999">'T6 TB11'!$D$79</definedName>
    <definedName name="Cellule_2000">'T6 TB11'!$D$80</definedName>
    <definedName name="Cellule_2001">'T6 TB11'!$D$81</definedName>
    <definedName name="Cellule_2002">'T6 TB11'!$D$83</definedName>
    <definedName name="Cellule_2003">'T6 TB11'!$D$84</definedName>
    <definedName name="Cellule_2004">'T6 TB11'!$D$85</definedName>
    <definedName name="Cellule_2005">'T6 TB11'!$D$86</definedName>
    <definedName name="Cellule_2006">'T6 TB11'!$D$87</definedName>
    <definedName name="Cellule_2007">'T6 TB11'!$D$89</definedName>
    <definedName name="Cellule_2008">'T6 TB11'!$D$90</definedName>
    <definedName name="Cellule_2009">'T6 TB11'!$D$91</definedName>
    <definedName name="Cellule_2010">'T6 TB11'!$D$92</definedName>
    <definedName name="Cellule_2011">'T6 TB11'!$D$94</definedName>
    <definedName name="Cellule_2012">'T6 TB11'!$D$95</definedName>
    <definedName name="Cellule_2013">'T6 TB11'!$D$96</definedName>
    <definedName name="Cellule_2014">'T6 TB11'!$D$97</definedName>
    <definedName name="Cellule_2022">'T6 TB11'!$C$100</definedName>
    <definedName name="Cellule_2024">'T6 TB11'!$C$101</definedName>
    <definedName name="Cellule_2025">'T6 TB11'!$C$102</definedName>
    <definedName name="Cellule_2026">'T6 TB11'!$C$103</definedName>
    <definedName name="Cellule_2027">'T6 TB11'!$C$104</definedName>
    <definedName name="Cellule_2028">'T6 TB11'!$C$105</definedName>
    <definedName name="Cellule_2029">'T6 TB11'!$D$100</definedName>
    <definedName name="Cellule_2031">'T6 TB11'!$D$101</definedName>
    <definedName name="Cellule_2032">'T6 TB11'!$D$102</definedName>
    <definedName name="Cellule_2033">'T6 TB11'!$D$103</definedName>
    <definedName name="Cellule_2034">'T6 TB11'!$D$104</definedName>
    <definedName name="Cellule_2035">'T6 TB11'!$D$105</definedName>
    <definedName name="Cellule_2037">'T10 B3-+-Value'!$B$16</definedName>
    <definedName name="Cellule_2038">'T10 B3-+-Value'!$C$16</definedName>
    <definedName name="Cellule_2039">'T10 B3-+-Value'!$D$16</definedName>
    <definedName name="Cellule_2040">'T10 B3-+-Value'!$E$16</definedName>
    <definedName name="Cellule_2041">'T10 B3-+-Value'!$F$16</definedName>
    <definedName name="Cellule_2042">'T10 B3-+-Value'!$G$16</definedName>
    <definedName name="Cellule_2043">'T10 B3-+-Value'!$H$16</definedName>
    <definedName name="Cellule_2044_1">'T11 B4-Titres part'!$A$11</definedName>
    <definedName name="Cellule_2044_2">'T11 B4-Titres part'!$A$12</definedName>
    <definedName name="Cellule_2044_3">'T11 B4-Titres part'!$A$13</definedName>
    <definedName name="Cellule_2044_4">'T11 B4-Titres part'!$A$14</definedName>
    <definedName name="Cellule_2045_1">'T11 B4-Titres part'!$B$11</definedName>
    <definedName name="Cellule_2045_2">'T11 B4-Titres part'!$B$12</definedName>
    <definedName name="Cellule_2045_3">'T11 B4-Titres part'!$B$13</definedName>
    <definedName name="Cellule_2045_4">'T11 B4-Titres part'!$B$14</definedName>
    <definedName name="Cellule_2046_1">'T11 B4-Titres part'!$C$11</definedName>
    <definedName name="Cellule_2046_2">'T11 B4-Titres part'!$C$12</definedName>
    <definedName name="Cellule_2046_3">'T11 B4-Titres part'!$C$13</definedName>
    <definedName name="Cellule_2046_4">'T11 B4-Titres part'!$C$14</definedName>
    <definedName name="Cellule_2047_1">'T11 B4-Titres part'!$D$11</definedName>
    <definedName name="Cellule_2047_2">'T11 B4-Titres part'!$D$12</definedName>
    <definedName name="Cellule_2047_3">'T11 B4-Titres part'!$D$13</definedName>
    <definedName name="Cellule_2047_4">'T11 B4-Titres part'!$D$14</definedName>
    <definedName name="Cellule_2048_1">'T11 B4-Titres part'!$E$11</definedName>
    <definedName name="Cellule_2048_2">'T11 B4-Titres part'!$E$12</definedName>
    <definedName name="Cellule_2048_3">'T11 B4-Titres part'!$E$13</definedName>
    <definedName name="Cellule_2048_4">'T11 B4-Titres part'!$E$14</definedName>
    <definedName name="Cellule_2049_1">'T11 B4-Titres part'!$F$11</definedName>
    <definedName name="Cellule_2049_2">'T11 B4-Titres part'!$F$12</definedName>
    <definedName name="Cellule_2049_3">'T11 B4-Titres part'!$F$13</definedName>
    <definedName name="Cellule_2049_4">'T11 B4-Titres part'!$F$14</definedName>
    <definedName name="Cellule_2050_1">'T11 B4-Titres part'!$G$11</definedName>
    <definedName name="Cellule_2050_2">'T11 B4-Titres part'!$G$12</definedName>
    <definedName name="Cellule_2050_3">'T11 B4-Titres part'!$G$13</definedName>
    <definedName name="Cellule_2050_4">'T11 B4-Titres part'!$G$14</definedName>
    <definedName name="Cellule_2051_1">'T11 B4-Titres part'!$H$11</definedName>
    <definedName name="Cellule_2051_2">'T11 B4-Titres part'!$H$12</definedName>
    <definedName name="Cellule_2051_3">'T11 B4-Titres part'!$H$13</definedName>
    <definedName name="Cellule_2051_4">'T11 B4-Titres part'!$H$14</definedName>
    <definedName name="Cellule_2052_1">'T11 B4-Titres part'!$I$11</definedName>
    <definedName name="Cellule_2052_2">'T11 B4-Titres part'!$I$12</definedName>
    <definedName name="Cellule_2052_3">'T11 B4-Titres part'!$I$13</definedName>
    <definedName name="Cellule_2052_4">'T11 B4-Titres part'!$I$14</definedName>
    <definedName name="Cellule_2053_1">'T11 B4-Titres part'!$J$11</definedName>
    <definedName name="Cellule_2053_2">'T11 B4-Titres part'!$J$12</definedName>
    <definedName name="Cellule_2053_3">'T11 B4-Titres part'!$J$13</definedName>
    <definedName name="Cellule_2053_4">'T11 B4-Titres part'!$J$14</definedName>
    <definedName name="Cellule_2055">'T11 B4-Titres part'!$B$15</definedName>
    <definedName name="Cellule_2056">'T11 B4-Titres part'!$C$15</definedName>
    <definedName name="Cellule_2057">'T11 B4-Titres part'!$D$15</definedName>
    <definedName name="Cellule_2058">'T11 B4-Titres part'!$E$15</definedName>
    <definedName name="Cellule_2059">'T11 B4-Titres part'!$F$15</definedName>
    <definedName name="Cellule_2060">'T11 B4-Titres part'!$G$15</definedName>
    <definedName name="Cellule_2061">'T11 B4-Titres part'!$H$15</definedName>
    <definedName name="Cellule_2062">'T11 B4-Titres part'!$I$15</definedName>
    <definedName name="Cellule_2063">'T11 B4-Titres part'!$J$15</definedName>
    <definedName name="Cellule_2065">'T12 B14-TVA'!$B$12</definedName>
    <definedName name="Cellule_2066">'T12 B14-TVA'!$C$12</definedName>
    <definedName name="Cellule_2067">'T12 B14-TVA'!$D$12</definedName>
    <definedName name="Cellule_2068">'T12 B14-TVA'!$E$12</definedName>
    <definedName name="Cellule_207">'T1 Bilan'!$C$18</definedName>
    <definedName name="Cellule_2070">'T12 B14-TVA'!$B$14</definedName>
    <definedName name="Cellule_2071">'T12 B14-TVA'!$C$14</definedName>
    <definedName name="Cellule_2072">'T12 B14-TVA'!$D$14</definedName>
    <definedName name="Cellule_2073">'T12 B14-TVA'!$E$14</definedName>
    <definedName name="Cellule_2075">'T12 B14-TVA'!$B$16</definedName>
    <definedName name="Cellule_2076">'T12 B14-TVA'!$C$16</definedName>
    <definedName name="Cellule_2077">'T12 B14-TVA'!$D$16</definedName>
    <definedName name="Cellule_2078">'T12 B14-TVA'!$E$16</definedName>
    <definedName name="Cellule_208">'T1 Bilan'!$C$19</definedName>
    <definedName name="Cellule_2080">'T12 B14-TVA'!$B$17</definedName>
    <definedName name="Cellule_2081">'T12 B14-TVA'!$C$17</definedName>
    <definedName name="Cellule_2082">'T12 B14-TVA'!$D$17</definedName>
    <definedName name="Cellule_2083">'T12 B14-TVA'!$E$17</definedName>
    <definedName name="Cellule_2085">'T12 B14-TVA'!$B$22</definedName>
    <definedName name="Cellule_2086">'T12 B14-TVA'!$C$22</definedName>
    <definedName name="Cellule_2087">'T12 B14-TVA'!$D$22</definedName>
    <definedName name="Cellule_2088">'T12 B14-TVA'!$E$22</definedName>
    <definedName name="Cellule_209">'T1 Bilan'!$C$20</definedName>
    <definedName name="Cellule_2094_1">'T13 C1-rép cap'!$A$12</definedName>
    <definedName name="Cellule_2094_2">'T13 C1-rép cap'!$A$13</definedName>
    <definedName name="Cellule_2094_3">'T13 C1-rép cap'!$A$14</definedName>
    <definedName name="Cellule_2094_4">'T13 C1-rép cap'!$A$15</definedName>
    <definedName name="Cellule_2094_5">'T13 C1-rép cap'!$A$16</definedName>
    <definedName name="Cellule_2094_6">'T13 C1-rép cap'!$A$17</definedName>
    <definedName name="Cellule_2095_1">'T13 C1-rép cap'!$D$12</definedName>
    <definedName name="Cellule_2095_2">'T13 C1-rép cap'!$D$13</definedName>
    <definedName name="Cellule_2095_3">'T13 C1-rép cap'!$D$14</definedName>
    <definedName name="Cellule_2095_4">'T13 C1-rép cap'!$D$15</definedName>
    <definedName name="Cellule_2095_5">'T13 C1-rép cap'!$D$16</definedName>
    <definedName name="Cellule_2095_6">'T13 C1-rép cap'!$D$17</definedName>
    <definedName name="Cellule_2096_1">'T13 C1-rép cap'!$E$12</definedName>
    <definedName name="Cellule_2096_2">'T13 C1-rép cap'!$E$13</definedName>
    <definedName name="Cellule_2096_3">'T13 C1-rép cap'!$E$14</definedName>
    <definedName name="Cellule_2096_4">'T13 C1-rép cap'!$E$15</definedName>
    <definedName name="Cellule_2096_5">'T13 C1-rép cap'!$E$16</definedName>
    <definedName name="Cellule_2096_6">'T13 C1-rép cap'!$E$17</definedName>
    <definedName name="Cellule_2097_1">'T13 C1-rép cap'!$F$12</definedName>
    <definedName name="Cellule_2097_2">'T13 C1-rép cap'!$F$13</definedName>
    <definedName name="Cellule_2097_3">'T13 C1-rép cap'!$F$14</definedName>
    <definedName name="Cellule_2097_4">'T13 C1-rép cap'!$F$15</definedName>
    <definedName name="Cellule_2097_5">'T13 C1-rép cap'!$F$16</definedName>
    <definedName name="Cellule_2097_6">'T13 C1-rép cap'!$F$17</definedName>
    <definedName name="Cellule_2098_1">'T13 C1-rép cap'!$G$12</definedName>
    <definedName name="Cellule_2098_2">'T13 C1-rép cap'!$G$13</definedName>
    <definedName name="Cellule_2098_3">'T13 C1-rép cap'!$G$14</definedName>
    <definedName name="Cellule_2098_4">'T13 C1-rép cap'!$G$15</definedName>
    <definedName name="Cellule_2098_5">'T13 C1-rép cap'!$G$16</definedName>
    <definedName name="Cellule_2098_6">'T13 C1-rép cap'!$G$17</definedName>
    <definedName name="Cellule_2099_1">'T13 C1-rép cap'!$H$12</definedName>
    <definedName name="Cellule_2099_2">'T13 C1-rép cap'!$H$13</definedName>
    <definedName name="Cellule_2099_3">'T13 C1-rép cap'!$H$14</definedName>
    <definedName name="Cellule_2099_4">'T13 C1-rép cap'!$H$15</definedName>
    <definedName name="Cellule_2099_5">'T13 C1-rép cap'!$H$16</definedName>
    <definedName name="Cellule_2099_6">'T13 C1-rép cap'!$H$17</definedName>
    <definedName name="Cellule_210">'T1 Bilan'!$C$21</definedName>
    <definedName name="Cellule_2100_1">'T13 C1-rép cap'!$I$12</definedName>
    <definedName name="Cellule_2100_2">'T13 C1-rép cap'!$I$13</definedName>
    <definedName name="Cellule_2100_3">'T13 C1-rép cap'!$I$14</definedName>
    <definedName name="Cellule_2100_4">'T13 C1-rép cap'!$I$15</definedName>
    <definedName name="Cellule_2100_5">'T13 C1-rép cap'!$I$16</definedName>
    <definedName name="Cellule_2100_6">'T13 C1-rép cap'!$I$17</definedName>
    <definedName name="Cellule_2101_1">'T13 C1-rép cap'!$J$12</definedName>
    <definedName name="Cellule_2101_2">'T13 C1-rép cap'!$J$13</definedName>
    <definedName name="Cellule_2101_3">'T13 C1-rép cap'!$J$14</definedName>
    <definedName name="Cellule_2101_4">'T13 C1-rép cap'!$J$15</definedName>
    <definedName name="Cellule_2101_5">'T13 C1-rép cap'!$J$16</definedName>
    <definedName name="Cellule_2101_6">'T13 C1-rép cap'!$J$17</definedName>
    <definedName name="Cellule_211">'T1 Bilan'!$C$22</definedName>
    <definedName name="Cellule_212">'T1 Bilan'!$C$23</definedName>
    <definedName name="Cellule_213">'T1 Bilan'!$C$24</definedName>
    <definedName name="Cellule_214">'T1 Bilan'!$D$18</definedName>
    <definedName name="Cellule_215">'T1 Bilan'!$D$19</definedName>
    <definedName name="Cellule_216">'T1 Bilan'!$D$20</definedName>
    <definedName name="Cellule_217">'T1 Bilan'!$D$21</definedName>
    <definedName name="Cellule_218">'T1 Bilan'!$D$22</definedName>
    <definedName name="Cellule_219">'T1 Bilan'!$D$23</definedName>
    <definedName name="Cellule_22">'T16 Amort'!$H$7</definedName>
    <definedName name="Cellule_220">'T1 Bilan'!$D$24</definedName>
    <definedName name="Cellule_221">'T1 Bilan'!$E$18</definedName>
    <definedName name="Cellule_222">'T1 Bilan'!$E$19</definedName>
    <definedName name="Cellule_223">'T1 Bilan'!$E$20</definedName>
    <definedName name="Cellule_224">'T1 Bilan'!$E$21</definedName>
    <definedName name="Cellule_225">'T1 Bilan'!$E$22</definedName>
    <definedName name="Cellule_226">'T1 Bilan'!$E$23</definedName>
    <definedName name="Cellule_227">'T1 Bilan'!$E$24</definedName>
    <definedName name="Cellule_228">'T1 Bilan'!$G$18</definedName>
    <definedName name="Cellule_229">'T1 Bilan'!$G$19</definedName>
    <definedName name="Cellule_230">'T1 Bilan'!$G$20</definedName>
    <definedName name="Cellule_231">'T1 Bilan'!$G$21</definedName>
    <definedName name="Cellule_232">'T1 Bilan'!$G$22</definedName>
    <definedName name="Cellule_233">'T1 Bilan'!$G$23</definedName>
    <definedName name="Cellule_234">'T1 Bilan'!$G$24</definedName>
    <definedName name="Cellule_238">'T1 Bilan'!$C$9</definedName>
    <definedName name="Cellule_239">'T1 Bilan'!$C$10</definedName>
    <definedName name="Cellule_240">'T1 Bilan'!$C$11</definedName>
    <definedName name="Cellule_241">'T1 Bilan'!$D$9</definedName>
    <definedName name="Cellule_242">'T1 Bilan'!$D$10</definedName>
    <definedName name="Cellule_243">'T1 Bilan'!$D$11</definedName>
    <definedName name="Cellule_244">'T1 Bilan'!$E$9</definedName>
    <definedName name="Cellule_245">'T1 Bilan'!$E$10</definedName>
    <definedName name="Cellule_246">'T1 Bilan'!$E$11</definedName>
    <definedName name="Cellule_247">'T1 Bilan'!$G$9</definedName>
    <definedName name="Cellule_248">'T1 Bilan'!$G$10</definedName>
    <definedName name="Cellule_249">'T1 Bilan'!$G$11</definedName>
    <definedName name="Cellule_254">'T1 Bilan'!$C$26</definedName>
    <definedName name="Cellule_255">'T1 Bilan'!$C$27</definedName>
    <definedName name="Cellule_256">'T1 Bilan'!$C$28</definedName>
    <definedName name="Cellule_257">'T1 Bilan'!$C$29</definedName>
    <definedName name="Cellule_258">'T1 Bilan'!$D$26</definedName>
    <definedName name="Cellule_259">'T1 Bilan'!$D$27</definedName>
    <definedName name="Cellule_260">'T1 Bilan'!$D$28</definedName>
    <definedName name="Cellule_261">'T1 Bilan'!$D$29</definedName>
    <definedName name="Cellule_262">'T1 Bilan'!$E$26</definedName>
    <definedName name="Cellule_263">'T1 Bilan'!$E$27</definedName>
    <definedName name="Cellule_264">'T1 Bilan'!$E$28</definedName>
    <definedName name="Cellule_265">'T1 Bilan'!$E$29</definedName>
    <definedName name="Cellule_266">'T1 Bilan'!$G$26</definedName>
    <definedName name="Cellule_267">'T1 Bilan'!$G$27</definedName>
    <definedName name="Cellule_268">'T1 Bilan'!$G$28</definedName>
    <definedName name="Cellule_269">'T1 Bilan'!$G$29</definedName>
    <definedName name="Cellule_274">'T1 Bilan'!$C$13</definedName>
    <definedName name="Cellule_275">'T1 Bilan'!$C$14</definedName>
    <definedName name="Cellule_276">'T1 Bilan'!$C$15</definedName>
    <definedName name="Cellule_277">'T1 Bilan'!$C$16</definedName>
    <definedName name="Cellule_278">'T1 Bilan'!$D$13</definedName>
    <definedName name="Cellule_279">'T1 Bilan'!$D$14</definedName>
    <definedName name="Cellule_280">'T1 Bilan'!$D$15</definedName>
    <definedName name="Cellule_281">'T1 Bilan'!$D$16</definedName>
    <definedName name="Cellule_282">'T1 Bilan'!$E$13</definedName>
    <definedName name="Cellule_283">'T1 Bilan'!$E$14</definedName>
    <definedName name="Cellule_284">'T1 Bilan'!$E$15</definedName>
    <definedName name="Cellule_285">'T1 Bilan'!$E$16</definedName>
    <definedName name="Cellule_286">'T1 Bilan'!$G$13</definedName>
    <definedName name="Cellule_287">'T1 Bilan'!$G$14</definedName>
    <definedName name="Cellule_288">'T1 Bilan'!$G$15</definedName>
    <definedName name="Cellule_289">'T1 Bilan'!$G$16</definedName>
    <definedName name="Cellule_291">'T1 Bilan'!$C$33</definedName>
    <definedName name="Cellule_292">'T1 Bilan'!$D$33</definedName>
    <definedName name="Cellule_293">'T1 Bilan'!$E$33</definedName>
    <definedName name="Cellule_294">'T1 Bilan'!$G$33</definedName>
    <definedName name="Cellule_296">'T1 Bilan'!$C$52</definedName>
    <definedName name="Cellule_297">'T1 Bilan'!$D$52</definedName>
    <definedName name="Cellule_298">'T1 Bilan'!$E$52</definedName>
    <definedName name="Cellule_299">'T1 Bilan'!$G$52</definedName>
    <definedName name="Cellule_303">'T1 Bilan'!$C$55</definedName>
    <definedName name="Cellule_304">'T1 Bilan'!$C$56</definedName>
    <definedName name="Cellule_305">'T1 Bilan'!$C$57</definedName>
    <definedName name="Cellule_306">'T1 Bilan'!$D$55</definedName>
    <definedName name="Cellule_307">'T1 Bilan'!$D$56</definedName>
    <definedName name="Cellule_308">'T1 Bilan'!$D$57</definedName>
    <definedName name="Cellule_309">'T1 Bilan'!$E$55</definedName>
    <definedName name="Cellule_310">'T1 Bilan'!$E$56</definedName>
    <definedName name="Cellule_311">'T1 Bilan'!$E$57</definedName>
    <definedName name="Cellule_312">'T1 Bilan'!$G$55</definedName>
    <definedName name="Cellule_313">'T1 Bilan'!$G$56</definedName>
    <definedName name="Cellule_314">'T1 Bilan'!$G$57</definedName>
    <definedName name="Cellule_316">'T1 Bilan'!$C$58</definedName>
    <definedName name="Cellule_317">'T1 Bilan'!$D$58</definedName>
    <definedName name="Cellule_318">'T1 Bilan'!$E$58</definedName>
    <definedName name="Cellule_319">'T1 Bilan'!$G$58</definedName>
    <definedName name="Cellule_330">'T1 Bilan'!$D$10</definedName>
    <definedName name="Cellule_4063">'T5 ESG'!$E$20</definedName>
    <definedName name="Cellule_4064">'T5 ESG'!$G$20</definedName>
    <definedName name="Cellule_4066">'T5 ESG'!$E$22</definedName>
    <definedName name="Cellule_4067">'T5 ESG'!$G$22</definedName>
    <definedName name="Cellule_471">'T14 C2-affec resu'!$B$11</definedName>
    <definedName name="Cellule_473">'T14 C2-affec resu'!$B$12</definedName>
    <definedName name="Cellule_475">'T14 C2-affec resu'!$B$13</definedName>
    <definedName name="Cellule_477">'T14 C2-affec resu'!$B$14</definedName>
    <definedName name="Cellule_479">'T14 C2-affec resu'!$B$15</definedName>
    <definedName name="Cellule_481">'T14 C2-affec resu'!$B$18</definedName>
    <definedName name="Cellule_483">'T14 C2-affec resu'!$D$10</definedName>
    <definedName name="Cellule_485">'T14 C2-affec resu'!$D$11</definedName>
    <definedName name="Cellule_487">'T14 C2-affec resu'!$D$12</definedName>
    <definedName name="Cellule_489">'T14 C2-affec resu'!$D$13</definedName>
    <definedName name="Cellule_491">'T14 C2-affec resu'!$D$14</definedName>
    <definedName name="Cellule_493">'T14 C2-affec resu'!$D$15</definedName>
    <definedName name="Cellule_495">'T14 C2-affec resu'!$D$18</definedName>
    <definedName name="Cellule_497">'T1 Bilan'!$C$8</definedName>
    <definedName name="Cellule_498">'T1 Bilan'!$D$8</definedName>
    <definedName name="Cellule_499">'T1 Bilan'!$E$8</definedName>
    <definedName name="Cellule_50">'T16 Amort'!$H$8</definedName>
    <definedName name="Cellule_500">'T1 Bilan'!$G$8</definedName>
    <definedName name="Cellule_502">'T1 Bilan'!$C$12</definedName>
    <definedName name="Cellule_503">'T1 Bilan'!$D$12</definedName>
    <definedName name="Cellule_504">'T1 Bilan'!$E$12</definedName>
    <definedName name="Cellule_505">'T1 Bilan'!$G$12</definedName>
    <definedName name="Cellule_507">'T1 Bilan'!$C$17</definedName>
    <definedName name="Cellule_508">'T1 Bilan'!$D$17</definedName>
    <definedName name="Cellule_509">'T1 Bilan'!$E$17</definedName>
    <definedName name="Cellule_51">'T16 Amort'!$H$9</definedName>
    <definedName name="Cellule_510">'T1 Bilan'!$G$17</definedName>
    <definedName name="Cellule_512">'T1 Bilan'!$C$25</definedName>
    <definedName name="Cellule_513">'T1 Bilan'!$D$25</definedName>
    <definedName name="Cellule_514">'T1 Bilan'!$E$25</definedName>
    <definedName name="Cellule_515">'T1 Bilan'!$G$25</definedName>
    <definedName name="Cellule_517">'T1 Bilan'!$C$30</definedName>
    <definedName name="Cellule_518">'T1 Bilan'!$D$30</definedName>
    <definedName name="Cellule_519">'T1 Bilan'!$E$30</definedName>
    <definedName name="Cellule_52">'T16 Amort'!$H$10</definedName>
    <definedName name="Cellule_520">'T1 Bilan'!$G$30</definedName>
    <definedName name="Cellule_522">'T1 Bilan'!$C$35</definedName>
    <definedName name="Cellule_523">'T1 Bilan'!$D$35</definedName>
    <definedName name="Cellule_524">'T1 Bilan'!$E$35</definedName>
    <definedName name="Cellule_525">'T1 Bilan'!$G$35</definedName>
    <definedName name="Cellule_527">'T1 Bilan'!$C$41</definedName>
    <definedName name="Cellule_528">'T1 Bilan'!$D$41</definedName>
    <definedName name="Cellule_529">'T1 Bilan'!$E$41</definedName>
    <definedName name="Cellule_53">'T7 CNCET B10-CB'!$K$4</definedName>
    <definedName name="Cellule_530">'T1 Bilan'!$G$41</definedName>
    <definedName name="Cellule_532">'T1 Bilan'!$C$54</definedName>
    <definedName name="Cellule_533">'T1 Bilan'!$D$54</definedName>
    <definedName name="Cellule_534">'T1 Bilan'!$E$54</definedName>
    <definedName name="Cellule_535">'T1 Bilan'!$G$54</definedName>
    <definedName name="Cellule_54">'T17 + V Fusions'!$J$6</definedName>
    <definedName name="Cellule_55">'T18 Emprunts'!$L$7</definedName>
    <definedName name="Cellule_6872">'T3 B12-res fis'!$B$50</definedName>
    <definedName name="Cellule_6873">'T3 B12-res fis'!$B$51</definedName>
    <definedName name="Cellule_6874">'T3 B12-res fis'!$C$50</definedName>
    <definedName name="Cellule_6875">'T3 B12-res fis'!$C$51</definedName>
    <definedName name="Cellule_70">'T6 TB11'!$D$3</definedName>
    <definedName name="Cellule_71">'T9 B5-PROV'!$I$3</definedName>
    <definedName name="Cellule_72">'T10 B3-+-Value'!$H$7</definedName>
    <definedName name="Cellule_7830_1">'T3 B12-res fis'!$C$34</definedName>
    <definedName name="Cellule_7830_2">'T3 B12-res fis'!$C$35</definedName>
    <definedName name="Cellule_7830_3">'T3 B12-res fis'!$C$36</definedName>
    <definedName name="Cellule_7830_4">'T3 B12-res fis'!$C$37</definedName>
    <definedName name="Cellule_7830_5">'T3 B12-res fis'!$C$38</definedName>
    <definedName name="Cellule_7830_6">'T3 B12-res fis'!$C$39</definedName>
    <definedName name="Cellule_817">'T3 B12-res fis'!$B$8</definedName>
    <definedName name="Cellule_818">'T3 B12-res fis'!$B$9</definedName>
    <definedName name="Cellule_819">'T3 B12-res fis'!$C$8</definedName>
    <definedName name="Cellule_820">'T3 B12-res fis'!$C$9</definedName>
    <definedName name="Cellule_821_1">'T3 B12-res fis'!$A$12</definedName>
    <definedName name="Cellule_821_2">'T3 B12-res fis'!$A$13</definedName>
    <definedName name="Cellule_821_3">'T3 B12-res fis'!$A$14</definedName>
    <definedName name="Cellule_821_4">'T3 B12-res fis'!$A$15</definedName>
    <definedName name="Cellule_821_5">'T3 B12-res fis'!$A$16</definedName>
    <definedName name="Cellule_821_6">'T3 B12-res fis'!$A$17</definedName>
    <definedName name="Cellule_822_1">'T3 B12-res fis'!$B$12</definedName>
    <definedName name="Cellule_822_2">'T3 B12-res fis'!$B$13</definedName>
    <definedName name="Cellule_822_3">'T3 B12-res fis'!$B$14</definedName>
    <definedName name="Cellule_822_4">'T3 B12-res fis'!$B$15</definedName>
    <definedName name="Cellule_822_5">'T3 B12-res fis'!$B$16</definedName>
    <definedName name="Cellule_822_6">'T3 B12-res fis'!$B$17</definedName>
    <definedName name="Cellule_823_1">'T3 B12-res fis'!$C$12</definedName>
    <definedName name="Cellule_823_2">'T3 B12-res fis'!$C$13</definedName>
    <definedName name="Cellule_823_3">'T3 B12-res fis'!$C$14</definedName>
    <definedName name="Cellule_823_4">'T3 B12-res fis'!$C$15</definedName>
    <definedName name="Cellule_823_5">'T3 B12-res fis'!$C$16</definedName>
    <definedName name="Cellule_823_6">'T3 B12-res fis'!$C$17</definedName>
    <definedName name="Cellule_824_1">'T3 B12-res fis'!$A$19</definedName>
    <definedName name="Cellule_824_2">'T3 B12-res fis'!$A$20</definedName>
    <definedName name="Cellule_824_3">'T3 B12-res fis'!$A$21</definedName>
    <definedName name="Cellule_824_4">'T3 B12-res fis'!$A$22</definedName>
    <definedName name="Cellule_824_5">'T3 B12-res fis'!$A$23</definedName>
    <definedName name="Cellule_824_6">'T3 B12-res fis'!$A$24</definedName>
    <definedName name="Cellule_825_1">'T3 B12-res fis'!$B$19</definedName>
    <definedName name="Cellule_825_2">'T3 B12-res fis'!$B$20</definedName>
    <definedName name="Cellule_825_3">'T3 B12-res fis'!$B$21</definedName>
    <definedName name="Cellule_825_4">'T3 B12-res fis'!$B$22</definedName>
    <definedName name="Cellule_825_5">'T3 B12-res fis'!$B$23</definedName>
    <definedName name="Cellule_825_6">'T3 B12-res fis'!$B$24</definedName>
    <definedName name="Cellule_826_1">'T3 B12-res fis'!$C$19</definedName>
    <definedName name="Cellule_826_2">'T3 B12-res fis'!$C$20</definedName>
    <definedName name="Cellule_826_3">'T3 B12-res fis'!$C$21</definedName>
    <definedName name="Cellule_826_4">'T3 B12-res fis'!$C$22</definedName>
    <definedName name="Cellule_826_5">'T3 B12-res fis'!$C$23</definedName>
    <definedName name="Cellule_826_6">'T3 B12-res fis'!$C$24</definedName>
    <definedName name="Cellule_827_1">'T3 B12-res fis'!$A$27</definedName>
    <definedName name="Cellule_827_2">'T3 B12-res fis'!$A$28</definedName>
    <definedName name="Cellule_827_3">'T3 B12-res fis'!$A$29</definedName>
    <definedName name="Cellule_827_4">'T3 B12-res fis'!$A$30</definedName>
    <definedName name="Cellule_827_5">'T3 B12-res fis'!$A$31</definedName>
    <definedName name="Cellule_827_6">'T3 B12-res fis'!$A$32</definedName>
    <definedName name="Cellule_828_1">'T3 B12-res fis'!$B$27</definedName>
    <definedName name="Cellule_828_2">'T3 B12-res fis'!$B$28</definedName>
    <definedName name="Cellule_828_3">'T3 B12-res fis'!$B$29</definedName>
    <definedName name="Cellule_828_4">'T3 B12-res fis'!$B$30</definedName>
    <definedName name="Cellule_828_5">'T3 B12-res fis'!$B$31</definedName>
    <definedName name="Cellule_828_6">'T3 B12-res fis'!$B$32</definedName>
    <definedName name="Cellule_829_1">'T3 B12-res fis'!$A$34</definedName>
    <definedName name="Cellule_829_2">'T3 B12-res fis'!$A$35</definedName>
    <definedName name="Cellule_829_3">'T3 B12-res fis'!$A$36</definedName>
    <definedName name="Cellule_829_4">'T3 B12-res fis'!$A$37</definedName>
    <definedName name="Cellule_829_5">'T3 B12-res fis'!$A$38</definedName>
    <definedName name="Cellule_829_6">'T3 B12-res fis'!$A$39</definedName>
    <definedName name="Cellule_830_1">'T3 B12-res fis'!$C$27</definedName>
    <definedName name="Cellule_830_2">'T3 B12-res fis'!$C$28</definedName>
    <definedName name="Cellule_830_3">'T3 B12-res fis'!$C$29</definedName>
    <definedName name="Cellule_830_4">'T3 B12-res fis'!$C$30</definedName>
    <definedName name="Cellule_830_5">'T3 B12-res fis'!$C$31</definedName>
    <definedName name="Cellule_830_6">'T3 B12-res fis'!$C$32</definedName>
    <definedName name="Cellule_831_1">'T3 B12-res fis'!$B$34</definedName>
    <definedName name="Cellule_831_2">'T3 B12-res fis'!$B$35</definedName>
    <definedName name="Cellule_831_3">'T3 B12-res fis'!$B$36</definedName>
    <definedName name="Cellule_831_4">'T3 B12-res fis'!$B$37</definedName>
    <definedName name="Cellule_831_5">'T3 B12-res fis'!$B$38</definedName>
    <definedName name="Cellule_831_6">'T3 B12-res fis'!$B$39</definedName>
    <definedName name="Cellule_833">'T3 B12-res fis'!$B$40</definedName>
    <definedName name="Cellule_834">'T3 B12-res fis'!$C$40</definedName>
    <definedName name="Cellule_837">'T3 B12-res fis'!$B$42</definedName>
    <definedName name="Cellule_838">'T3 B12-res fis'!$B$43</definedName>
    <definedName name="Cellule_839">'T3 B12-res fis'!$C$42</definedName>
    <definedName name="Cellule_840">'T3 B12-res fis'!$C$43</definedName>
    <definedName name="Cellule_845">'T3 B12-res fis'!$B$45</definedName>
    <definedName name="Cellule_846">'T3 B12-res fis'!$B$46</definedName>
    <definedName name="Cellule_847">'T3 B12-res fis'!$B$47</definedName>
    <definedName name="Cellule_848">'T3 B12-res fis'!$B$48</definedName>
    <definedName name="Cellule_849">'T3 B12-res fis'!$C$45</definedName>
    <definedName name="Cellule_850">'T3 B12-res fis'!$C$46</definedName>
    <definedName name="Cellule_851">'T3 B12-res fis'!$C$47</definedName>
    <definedName name="Cellule_852">'T3 B12-res fis'!$C$48</definedName>
    <definedName name="Cellule_854">'T3 B12-res fis'!$B$53</definedName>
    <definedName name="Cellule_855">'T3 B12-res fis'!$C$53</definedName>
    <definedName name="Cellule_860">'T3 B12-res fis'!$B$55</definedName>
    <definedName name="Cellule_861">'T3 B12-res fis'!$B$56</definedName>
    <definedName name="Cellule_862">'T3 B12-res fis'!$B$57</definedName>
    <definedName name="Cellule_863">'T3 B12-res fis'!$B$58</definedName>
    <definedName name="Cellule_864">'T3 B12-res fis'!$C$55</definedName>
    <definedName name="Cellule_865">'T3 B12-res fis'!$C$56</definedName>
    <definedName name="Cellule_866">'T3 B12-res fis'!$C$57</definedName>
    <definedName name="Cellule_867">'T3 B12-res fis'!$C$58</definedName>
    <definedName name="Cellule_873">#REF!</definedName>
    <definedName name="Cellule_874">#REF!</definedName>
    <definedName name="Cellule_875">#REF!</definedName>
    <definedName name="Cellule_877">#REF!</definedName>
    <definedName name="Cellule_878">#REF!</definedName>
    <definedName name="Cellule_879">#REF!</definedName>
    <definedName name="Cellule_881">#REF!</definedName>
    <definedName name="Cellule_882">#REF!</definedName>
    <definedName name="Cellule_883">#REF!</definedName>
    <definedName name="Cellule_885">#REF!</definedName>
    <definedName name="Cellule_886">#REF!</definedName>
    <definedName name="Cellule_887">#REF!</definedName>
    <definedName name="Cellule_893">#REF!</definedName>
    <definedName name="Cellule_894">#REF!</definedName>
    <definedName name="Cellule_895">#REF!</definedName>
    <definedName name="Cellule_897">#REF!</definedName>
    <definedName name="Cellule_898">#REF!</definedName>
    <definedName name="Cellule_899">#REF!</definedName>
    <definedName name="Cellule_901">#REF!</definedName>
    <definedName name="Cellule_902">#REF!</definedName>
    <definedName name="Cellule_903">#REF!</definedName>
    <definedName name="Cellule_905">#REF!</definedName>
    <definedName name="Cellule_906">#REF!</definedName>
    <definedName name="Cellule_907">#REF!</definedName>
    <definedName name="Cellule_909">#REF!</definedName>
    <definedName name="Cellule_910">#REF!</definedName>
    <definedName name="Cellule_911">#REF!</definedName>
    <definedName name="Cellule_921">#REF!</definedName>
    <definedName name="Cellule_922">#REF!</definedName>
    <definedName name="Cellule_923">#REF!</definedName>
    <definedName name="Cellule_925">#REF!</definedName>
    <definedName name="Cellule_926">#REF!</definedName>
    <definedName name="Cellule_927">#REF!</definedName>
    <definedName name="Cellule_929">#REF!</definedName>
    <definedName name="Cellule_930">#REF!</definedName>
    <definedName name="Cellule_931">#REF!</definedName>
    <definedName name="Cellule_933">#REF!</definedName>
    <definedName name="Cellule_934">#REF!</definedName>
    <definedName name="Cellule_935">#REF!</definedName>
    <definedName name="Cellule_937">#REF!</definedName>
    <definedName name="Cellule_938">#REF!</definedName>
    <definedName name="Cellule_939">#REF!</definedName>
    <definedName name="Cellule_949">#REF!</definedName>
    <definedName name="Cellule_950">#REF!</definedName>
    <definedName name="Cellule_951">#REF!</definedName>
    <definedName name="Cellule_966">'T4 B2-immo'!$B$10</definedName>
    <definedName name="Cellule_967">'T4 B2-immo'!$B$11</definedName>
    <definedName name="Cellule_968">'T4 B2-immo'!$B$12</definedName>
    <definedName name="Cellule_969">'T4 B2-immo'!$B$15</definedName>
    <definedName name="Cellule_970">'T4 B2-immo'!$B$16</definedName>
    <definedName name="Cellule_971">'T4 B2-immo'!$B$17</definedName>
    <definedName name="Cellule_972">'T4 B2-immo'!$B$18</definedName>
    <definedName name="Cellule_973">'T4 B2-immo'!$B$21</definedName>
    <definedName name="Cellule_974">'T4 B2-immo'!$B$22</definedName>
    <definedName name="Cellule_975">'T4 B2-immo'!$B$23</definedName>
    <definedName name="Cellule_976">'T4 B2-immo'!$B$24</definedName>
    <definedName name="Cellule_977">'T4 B2-immo'!$B$27</definedName>
    <definedName name="Cellule_978">'T4 B2-immo'!$B$25</definedName>
    <definedName name="Cellule_979">'T4 B2-immo'!$B$26</definedName>
    <definedName name="Cellule_980">'T4 B2-immo'!$C$10</definedName>
    <definedName name="Cellule_981">'T4 B2-immo'!$C$11</definedName>
    <definedName name="Cellule_982">'T4 B2-immo'!$C$12</definedName>
    <definedName name="Cellule_983">'T4 B2-immo'!$C$15</definedName>
    <definedName name="Cellule_984">'T4 B2-immo'!$C$16</definedName>
    <definedName name="Cellule_985">'T4 B2-immo'!$C$17</definedName>
    <definedName name="Cellule_986">'T4 B2-immo'!$C$18</definedName>
    <definedName name="Cellule_987">'T4 B2-immo'!$C$21</definedName>
    <definedName name="Cellule_988">'T4 B2-immo'!$C$22</definedName>
    <definedName name="Cellule_989">'T4 B2-immo'!$C$23</definedName>
    <definedName name="Cellule_990">'T4 B2-immo'!$C$24</definedName>
    <definedName name="Cellule_991">'T4 B2-immo'!$C$27</definedName>
    <definedName name="Cellule_992">'T4 B2-immo'!$C$25</definedName>
    <definedName name="Cellule_993">'T4 B2-immo'!$C$26</definedName>
    <definedName name="Cellule_994">'T4 B2-immo'!$D$10</definedName>
    <definedName name="Cellule_995">'T4 B2-immo'!$D$11</definedName>
    <definedName name="Cellule_996">'T4 B2-immo'!$D$12</definedName>
    <definedName name="Cellule_997">'T4 B2-immo'!$D$15</definedName>
    <definedName name="Cellule_998">'T4 B2-immo'!$D$16</definedName>
    <definedName name="Cellule_999">'T4 B2-immo'!$D$17</definedName>
    <definedName name="Cellule497">'T1 Bilan'!$C$8</definedName>
    <definedName name="E"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E"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ETASYNT_Balance_Liste">'Balance N Retraitée'!$A$1:$H$62</definedName>
    <definedName name="F"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F"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G"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G"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_xlnm.Print_Titles" localSheetId="8">'Balance N Retraitée'!$1:$1</definedName>
    <definedName name="oaoaoaoao"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oaoaoaoao"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onacpc"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onacpc"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papapa"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papapa"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papapapapap"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papapapapap"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T"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T"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TAB16SUIT2">'[1]TABLAU16 (FRAIS PRELIM)'!#REF!</definedName>
    <definedName name="wrn.JEU."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wrn.JEU."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Z" localSheetId="2"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Z" hidden="1">{"Actif",#N/A,FALSE,"BILAN";"PASSIF",#N/A,FALSE,"BILAN";"CPC",#N/A,FALSE,"BILAN";"PASSAGE",#N/A,FALSE,"BILAN";"TAB_IMMO",#N/A,FALSE,"BILAN";"ESG",#N/A,FALSE,"BILAN";"DETAIL_CPC",#N/A,FALSE,"BILAN";"CREDIT_bail",#N/A,FALSE,"BILAN";"TAB_AMOR",#N/A,FALSE,"BILAN";"TAB_PROV",#N/A,FALSE,"BILAN";"PLUS_VALUES",#N/A,FALSE,"BILAN";"TITRE_PARTICIP_11",#N/A,FALSE,"BILAN";"TVA_12",#N/A,FALSE,"BILAN";"CAPITAL_13",#N/A,FALSE,"BILAN";"RESULTAT_14",#N/A,FALSE,"BILAN";"Encouragement_15",#N/A,FALSE,"BILAN";"Amort_16",#N/A,FALSE,"AMORTISS_16";"FUSION_17",#N/A,FALSE,"BILAN";"EMPRUNT_18",#N/A,FALSE,"BILAN";"LOCATION_19",#N/A,FALSE,"BILAN";"stock 20",#N/A,FALSE,"BILAN"}</definedName>
    <definedName name="_xlnm.Print_Area" localSheetId="33">' A2 Dérogations'!$A$1:$C$15</definedName>
    <definedName name="_xlnm.Print_Area" localSheetId="41">'B13-res cour'!$A$1:$B$31</definedName>
    <definedName name="_xlnm.Print_Area" localSheetId="36">'B1-Tab non val'!$A$1:$D$32</definedName>
    <definedName name="_xlnm.Print_Area" localSheetId="37">'B6-CREANCES-01'!$A$1:$I$20</definedName>
    <definedName name="_xlnm.Print_Area" localSheetId="38">'B7-dettes'!$A$1:$I$21</definedName>
    <definedName name="_xlnm.Print_Area" localSheetId="39">'B8-SURETES-01'!$A$1:$F$36</definedName>
    <definedName name="_xlnm.Print_Area" localSheetId="40">'B9-Eng fin'!$B$1:$D$39</definedName>
    <definedName name="_xlnm.Print_Area" localSheetId="6">'Balance N'!$A$224:$O$293</definedName>
    <definedName name="_xlnm.Print_Area" localSheetId="8">'Balance N Retraitée'!$J$1:$M$10</definedName>
    <definedName name="_xlnm.Print_Area" localSheetId="45">'bilan condens'!$A$1:$F$37</definedName>
    <definedName name="_xlnm.Print_Area" localSheetId="43">'C3-3 exer'!$A$1:$D$28</definedName>
    <definedName name="_xlnm.Print_Area" localSheetId="35">'C4-ope  dev'!$A$1:$D$24</definedName>
    <definedName name="_xlnm.Print_Area" localSheetId="44">'C5- Datation'!$B$1:$D$42</definedName>
    <definedName name="_xlnm.Print_Area" localSheetId="32">'ETIC  A0 A1'!$B$1:$B$51</definedName>
    <definedName name="_xlnm.Print_Area" localSheetId="1">Identification!$A$1:$F$17</definedName>
    <definedName name="_xlnm.Print_Area" localSheetId="11">'T1 Bilan'!$A$1:$G$124</definedName>
    <definedName name="_xlnm.Print_Area" localSheetId="20">'T10 B3-+-Value'!$A$1:$H$17</definedName>
    <definedName name="_xlnm.Print_Area" localSheetId="21">'T11 B4-Titres part'!$A$1:$J$16</definedName>
    <definedName name="_xlnm.Print_Area" localSheetId="22">'T12 B14-TVA'!$A$1:$E$23</definedName>
    <definedName name="_xlnm.Print_Area" localSheetId="23">'T13 C1-rép cap'!$A$1:$J$20</definedName>
    <definedName name="_xlnm.Print_Area" localSheetId="24">'T14 C2-affec resu'!$A$1:$D$20</definedName>
    <definedName name="_xlnm.Print_Area" localSheetId="26">'T16 Amort'!$B$1:$K$17</definedName>
    <definedName name="_xlnm.Print_Area" localSheetId="28">'T18 Emprunts'!$A$1:$M$25</definedName>
    <definedName name="_xlnm.Print_Area" localSheetId="29">'T19 Locations'!$A$1:$I$21</definedName>
    <definedName name="_xlnm.Print_Area" localSheetId="12">'T2 CPC'!$A$1:$G$78</definedName>
    <definedName name="_xlnm.Print_Area" localSheetId="13">'T3 B12-res fis'!$A$1:$C$60</definedName>
    <definedName name="_xlnm.Print_Area" localSheetId="14">'T4 B2-immo'!$A$1:$I$27</definedName>
    <definedName name="_xlnm.Print_Area" localSheetId="15">'T5 ESG'!$A$1:$G$52</definedName>
    <definedName name="_xlnm.Print_Area" localSheetId="16">'T6 TB11'!$A$1:$D$105</definedName>
    <definedName name="_xlnm.Print_Area" localSheetId="17">'T7 CNCET B10-CB'!$A$1:$K$17</definedName>
    <definedName name="_xlnm.Print_Area" localSheetId="18">'T8 B2 BIS'!$A$1:$E$31</definedName>
    <definedName name="_xlnm.Print_Area" localSheetId="19">'T9 B5-PROV'!$A$1:$I$33</definedName>
    <definedName name="_xlnm.Print_Area" localSheetId="31">TF!$A$1:$G$45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81" l="1"/>
  <c r="J150" i="64" l="1"/>
  <c r="F19" i="1" l="1"/>
  <c r="I68" i="82" l="1"/>
  <c r="I67" i="82"/>
  <c r="I66" i="82"/>
  <c r="I65" i="82"/>
  <c r="I64" i="82"/>
  <c r="I63" i="82"/>
  <c r="E235" i="82"/>
  <c r="F235" i="82"/>
  <c r="I234" i="82"/>
  <c r="I233" i="82"/>
  <c r="I232" i="82"/>
  <c r="I231" i="82"/>
  <c r="I230" i="82"/>
  <c r="I229" i="82"/>
  <c r="I228" i="82"/>
  <c r="I227" i="82"/>
  <c r="I226" i="82"/>
  <c r="I225" i="82"/>
  <c r="I224" i="82"/>
  <c r="I223" i="82"/>
  <c r="I222" i="82"/>
  <c r="I221" i="82"/>
  <c r="I220" i="82"/>
  <c r="I219" i="82"/>
  <c r="I218" i="82"/>
  <c r="I217" i="82"/>
  <c r="I216" i="82"/>
  <c r="I215" i="82"/>
  <c r="I214" i="82"/>
  <c r="I213" i="82"/>
  <c r="I212" i="82"/>
  <c r="I211" i="82"/>
  <c r="I210" i="82"/>
  <c r="I209" i="82"/>
  <c r="G20" i="24" l="1"/>
  <c r="I199" i="71" l="1"/>
  <c r="H7" i="71" s="1"/>
  <c r="C22" i="81"/>
  <c r="B11" i="34"/>
  <c r="G17" i="33"/>
  <c r="I17" i="33"/>
  <c r="A15" i="71"/>
  <c r="A16" i="7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H14" i="37"/>
  <c r="I14" i="37"/>
  <c r="J14" i="37" s="1"/>
  <c r="I7938" i="79" s="1"/>
  <c r="A7937" i="80" s="1"/>
  <c r="I13" i="37"/>
  <c r="J13" i="37" s="1"/>
  <c r="I7888" i="79" s="1"/>
  <c r="A7887" i="80" s="1"/>
  <c r="I12" i="37"/>
  <c r="A3" i="80"/>
  <c r="A4" i="80"/>
  <c r="A5" i="80"/>
  <c r="A6" i="80"/>
  <c r="A10" i="80"/>
  <c r="A11" i="80"/>
  <c r="A12" i="80"/>
  <c r="A13" i="80"/>
  <c r="A14" i="80"/>
  <c r="A15" i="80"/>
  <c r="A16" i="80"/>
  <c r="A17" i="80"/>
  <c r="A18" i="80"/>
  <c r="A19" i="80"/>
  <c r="A20" i="80"/>
  <c r="A22" i="80"/>
  <c r="A23" i="80"/>
  <c r="A24" i="80"/>
  <c r="A25" i="80"/>
  <c r="A26" i="80"/>
  <c r="A28" i="80"/>
  <c r="A29" i="80"/>
  <c r="A30" i="80"/>
  <c r="A31" i="80"/>
  <c r="A32" i="80"/>
  <c r="A34" i="80"/>
  <c r="A35" i="80"/>
  <c r="A36" i="80"/>
  <c r="A37" i="80"/>
  <c r="A38" i="80"/>
  <c r="A40" i="80"/>
  <c r="A41" i="80"/>
  <c r="A42" i="80"/>
  <c r="A43" i="80"/>
  <c r="A44" i="80"/>
  <c r="A46" i="80"/>
  <c r="A47" i="80"/>
  <c r="A48" i="80"/>
  <c r="A49" i="80"/>
  <c r="A50" i="80"/>
  <c r="A52" i="80"/>
  <c r="A53" i="80"/>
  <c r="A54" i="80"/>
  <c r="A55" i="80"/>
  <c r="A56" i="80"/>
  <c r="A58" i="80"/>
  <c r="A59" i="80"/>
  <c r="A60" i="80"/>
  <c r="A61" i="80"/>
  <c r="A62" i="80"/>
  <c r="A64" i="80"/>
  <c r="A65" i="80"/>
  <c r="A66" i="80"/>
  <c r="A67" i="80"/>
  <c r="A68" i="80"/>
  <c r="A70" i="80"/>
  <c r="A71" i="80"/>
  <c r="A72" i="80"/>
  <c r="A73" i="80"/>
  <c r="A74" i="80"/>
  <c r="A76" i="80"/>
  <c r="A77" i="80"/>
  <c r="A78" i="80"/>
  <c r="A79" i="80"/>
  <c r="A80" i="80"/>
  <c r="A82" i="80"/>
  <c r="A83" i="80"/>
  <c r="A84" i="80"/>
  <c r="A85" i="80"/>
  <c r="A86" i="80"/>
  <c r="A88" i="80"/>
  <c r="A89" i="80"/>
  <c r="A90" i="80"/>
  <c r="A91" i="80"/>
  <c r="A92" i="80"/>
  <c r="A94" i="80"/>
  <c r="A95" i="80"/>
  <c r="A96" i="80"/>
  <c r="A97" i="80"/>
  <c r="A98" i="80"/>
  <c r="A100" i="80"/>
  <c r="A101" i="80"/>
  <c r="A102" i="80"/>
  <c r="A103" i="80"/>
  <c r="A104" i="80"/>
  <c r="A106" i="80"/>
  <c r="A107" i="80"/>
  <c r="A108" i="80"/>
  <c r="A109" i="80"/>
  <c r="A110" i="80"/>
  <c r="A112" i="80"/>
  <c r="A113" i="80"/>
  <c r="A114" i="80"/>
  <c r="A115" i="80"/>
  <c r="A116" i="80"/>
  <c r="A118" i="80"/>
  <c r="A119" i="80"/>
  <c r="A120" i="80"/>
  <c r="A121" i="80"/>
  <c r="A122" i="80"/>
  <c r="A124" i="80"/>
  <c r="A125" i="80"/>
  <c r="A126" i="80"/>
  <c r="A127" i="80"/>
  <c r="A128" i="80"/>
  <c r="A130" i="80"/>
  <c r="A131" i="80"/>
  <c r="A132" i="80"/>
  <c r="A133" i="80"/>
  <c r="A134" i="80"/>
  <c r="A136" i="80"/>
  <c r="A137" i="80"/>
  <c r="A138" i="80"/>
  <c r="A139" i="80"/>
  <c r="A140" i="80"/>
  <c r="A142" i="80"/>
  <c r="A143" i="80"/>
  <c r="A144" i="80"/>
  <c r="A145" i="80"/>
  <c r="A146" i="80"/>
  <c r="A148" i="80"/>
  <c r="A149" i="80"/>
  <c r="A150" i="80"/>
  <c r="A151" i="80"/>
  <c r="A152" i="80"/>
  <c r="A154" i="80"/>
  <c r="A155" i="80"/>
  <c r="A156" i="80"/>
  <c r="A157" i="80"/>
  <c r="A158" i="80"/>
  <c r="A160" i="80"/>
  <c r="A161" i="80"/>
  <c r="A162" i="80"/>
  <c r="A163" i="80"/>
  <c r="A164" i="80"/>
  <c r="A166" i="80"/>
  <c r="A167" i="80"/>
  <c r="A168" i="80"/>
  <c r="A169" i="80"/>
  <c r="A170" i="80"/>
  <c r="A172" i="80"/>
  <c r="A173" i="80"/>
  <c r="A174" i="80"/>
  <c r="A175" i="80"/>
  <c r="A176" i="80"/>
  <c r="A178" i="80"/>
  <c r="A179" i="80"/>
  <c r="A180" i="80"/>
  <c r="A181" i="80"/>
  <c r="A182" i="80"/>
  <c r="A184" i="80"/>
  <c r="A185" i="80"/>
  <c r="A186" i="80"/>
  <c r="A187" i="80"/>
  <c r="A188" i="80"/>
  <c r="A190" i="80"/>
  <c r="A191" i="80"/>
  <c r="A192" i="80"/>
  <c r="A193" i="80"/>
  <c r="A194" i="80"/>
  <c r="A196" i="80"/>
  <c r="A197" i="80"/>
  <c r="A198" i="80"/>
  <c r="A199" i="80"/>
  <c r="A200" i="80"/>
  <c r="A202" i="80"/>
  <c r="A203" i="80"/>
  <c r="A204" i="80"/>
  <c r="A205" i="80"/>
  <c r="A206" i="80"/>
  <c r="A208" i="80"/>
  <c r="A209" i="80"/>
  <c r="A210" i="80"/>
  <c r="A211" i="80"/>
  <c r="A212" i="80"/>
  <c r="A214" i="80"/>
  <c r="A215" i="80"/>
  <c r="A216" i="80"/>
  <c r="A217" i="80"/>
  <c r="A218" i="80"/>
  <c r="A220" i="80"/>
  <c r="A221" i="80"/>
  <c r="A222" i="80"/>
  <c r="A223" i="80"/>
  <c r="A224" i="80"/>
  <c r="A226" i="80"/>
  <c r="A227" i="80"/>
  <c r="A228" i="80"/>
  <c r="A229" i="80"/>
  <c r="A230" i="80"/>
  <c r="A232" i="80"/>
  <c r="A233" i="80"/>
  <c r="A234" i="80"/>
  <c r="A235" i="80"/>
  <c r="A236" i="80"/>
  <c r="A238" i="80"/>
  <c r="A239" i="80"/>
  <c r="A240" i="80"/>
  <c r="A241" i="80"/>
  <c r="A242" i="80"/>
  <c r="A244" i="80"/>
  <c r="A245" i="80"/>
  <c r="A246" i="80"/>
  <c r="A247" i="80"/>
  <c r="A248" i="80"/>
  <c r="A250" i="80"/>
  <c r="A251" i="80"/>
  <c r="A252" i="80"/>
  <c r="A253" i="80"/>
  <c r="A254" i="80"/>
  <c r="A256" i="80"/>
  <c r="A257" i="80"/>
  <c r="A258" i="80"/>
  <c r="A259" i="80"/>
  <c r="A260" i="80"/>
  <c r="A262" i="80"/>
  <c r="A263" i="80"/>
  <c r="A264" i="80"/>
  <c r="A265" i="80"/>
  <c r="A266" i="80"/>
  <c r="A268" i="80"/>
  <c r="A269" i="80"/>
  <c r="A270" i="80"/>
  <c r="A271" i="80"/>
  <c r="A272" i="80"/>
  <c r="A274" i="80"/>
  <c r="A275" i="80"/>
  <c r="A276" i="80"/>
  <c r="A277" i="80"/>
  <c r="A278" i="80"/>
  <c r="A280" i="80"/>
  <c r="A281" i="80"/>
  <c r="A282" i="80"/>
  <c r="A283" i="80"/>
  <c r="A284" i="80"/>
  <c r="A286" i="80"/>
  <c r="A287" i="80"/>
  <c r="A288" i="80"/>
  <c r="A289" i="80"/>
  <c r="A290" i="80"/>
  <c r="A292" i="80"/>
  <c r="A293" i="80"/>
  <c r="A294" i="80"/>
  <c r="A295" i="80"/>
  <c r="A296" i="80"/>
  <c r="A298" i="80"/>
  <c r="A299" i="80"/>
  <c r="A300" i="80"/>
  <c r="A301" i="80"/>
  <c r="A302" i="80"/>
  <c r="A304" i="80"/>
  <c r="A305" i="80"/>
  <c r="A306" i="80"/>
  <c r="A307" i="80"/>
  <c r="A308" i="80"/>
  <c r="A310" i="80"/>
  <c r="A311" i="80"/>
  <c r="A312" i="80"/>
  <c r="A313" i="80"/>
  <c r="A314" i="80"/>
  <c r="A316" i="80"/>
  <c r="A317" i="80"/>
  <c r="A318" i="80"/>
  <c r="A319" i="80"/>
  <c r="A320" i="80"/>
  <c r="A322" i="80"/>
  <c r="A323" i="80"/>
  <c r="A324" i="80"/>
  <c r="A325" i="80"/>
  <c r="A326" i="80"/>
  <c r="A328" i="80"/>
  <c r="A329" i="80"/>
  <c r="A330" i="80"/>
  <c r="A331" i="80"/>
  <c r="A332" i="80"/>
  <c r="A334" i="80"/>
  <c r="A335" i="80"/>
  <c r="A336" i="80"/>
  <c r="A337" i="80"/>
  <c r="A338" i="80"/>
  <c r="A340" i="80"/>
  <c r="A341" i="80"/>
  <c r="A342" i="80"/>
  <c r="A343" i="80"/>
  <c r="A344" i="80"/>
  <c r="A346" i="80"/>
  <c r="A347" i="80"/>
  <c r="A348" i="80"/>
  <c r="A349" i="80"/>
  <c r="A350" i="80"/>
  <c r="A352" i="80"/>
  <c r="A353" i="80"/>
  <c r="A354" i="80"/>
  <c r="A355" i="80"/>
  <c r="A356" i="80"/>
  <c r="A358" i="80"/>
  <c r="A359" i="80"/>
  <c r="A360" i="80"/>
  <c r="A361" i="80"/>
  <c r="A362" i="80"/>
  <c r="A364" i="80"/>
  <c r="A365" i="80"/>
  <c r="A366" i="80"/>
  <c r="A367" i="80"/>
  <c r="A368" i="80"/>
  <c r="A370" i="80"/>
  <c r="A371" i="80"/>
  <c r="A372" i="80"/>
  <c r="A373" i="80"/>
  <c r="A374" i="80"/>
  <c r="A376" i="80"/>
  <c r="A377" i="80"/>
  <c r="A378" i="80"/>
  <c r="A379" i="80"/>
  <c r="A380" i="80"/>
  <c r="A382" i="80"/>
  <c r="A383" i="80"/>
  <c r="A384" i="80"/>
  <c r="A385" i="80"/>
  <c r="A386" i="80"/>
  <c r="A388" i="80"/>
  <c r="A389" i="80"/>
  <c r="A390" i="80"/>
  <c r="A391" i="80"/>
  <c r="A392" i="80"/>
  <c r="A394" i="80"/>
  <c r="A395" i="80"/>
  <c r="A396" i="80"/>
  <c r="A397" i="80"/>
  <c r="A398" i="80"/>
  <c r="A400" i="80"/>
  <c r="A401" i="80"/>
  <c r="A402" i="80"/>
  <c r="A403" i="80"/>
  <c r="A404" i="80"/>
  <c r="A406" i="80"/>
  <c r="A407" i="80"/>
  <c r="A408" i="80"/>
  <c r="A409" i="80"/>
  <c r="A410" i="80"/>
  <c r="A412" i="80"/>
  <c r="A413" i="80"/>
  <c r="A414" i="80"/>
  <c r="A415" i="80"/>
  <c r="A416" i="80"/>
  <c r="A418" i="80"/>
  <c r="A419" i="80"/>
  <c r="A420" i="80"/>
  <c r="A421" i="80"/>
  <c r="A422" i="80"/>
  <c r="A424" i="80"/>
  <c r="A425" i="80"/>
  <c r="A426" i="80"/>
  <c r="A427" i="80"/>
  <c r="A428" i="80"/>
  <c r="A430" i="80"/>
  <c r="A431" i="80"/>
  <c r="A432" i="80"/>
  <c r="A433" i="80"/>
  <c r="A434" i="80"/>
  <c r="A436" i="80"/>
  <c r="A437" i="80"/>
  <c r="A438" i="80"/>
  <c r="A439" i="80"/>
  <c r="A440" i="80"/>
  <c r="A442" i="80"/>
  <c r="A443" i="80"/>
  <c r="A444" i="80"/>
  <c r="A445" i="80"/>
  <c r="A446" i="80"/>
  <c r="A448" i="80"/>
  <c r="A449" i="80"/>
  <c r="A450" i="80"/>
  <c r="A451" i="80"/>
  <c r="A452" i="80"/>
  <c r="A454" i="80"/>
  <c r="A455" i="80"/>
  <c r="A456" i="80"/>
  <c r="A457" i="80"/>
  <c r="A458" i="80"/>
  <c r="A460" i="80"/>
  <c r="A461" i="80"/>
  <c r="A462" i="80"/>
  <c r="A463" i="80"/>
  <c r="A464" i="80"/>
  <c r="A466" i="80"/>
  <c r="A467" i="80"/>
  <c r="A468" i="80"/>
  <c r="A469" i="80"/>
  <c r="A470" i="80"/>
  <c r="A472" i="80"/>
  <c r="A473" i="80"/>
  <c r="A474" i="80"/>
  <c r="A475" i="80"/>
  <c r="A476" i="80"/>
  <c r="A478" i="80"/>
  <c r="A479" i="80"/>
  <c r="A480" i="80"/>
  <c r="A481" i="80"/>
  <c r="A482" i="80"/>
  <c r="A484" i="80"/>
  <c r="A485" i="80"/>
  <c r="A486" i="80"/>
  <c r="A487" i="80"/>
  <c r="A488" i="80"/>
  <c r="A490" i="80"/>
  <c r="A491" i="80"/>
  <c r="A492" i="80"/>
  <c r="A493" i="80"/>
  <c r="A494" i="80"/>
  <c r="A496" i="80"/>
  <c r="A497" i="80"/>
  <c r="A498" i="80"/>
  <c r="A499" i="80"/>
  <c r="A500" i="80"/>
  <c r="A502" i="80"/>
  <c r="A503" i="80"/>
  <c r="A504" i="80"/>
  <c r="A505" i="80"/>
  <c r="A506" i="80"/>
  <c r="A508" i="80"/>
  <c r="A509" i="80"/>
  <c r="A510" i="80"/>
  <c r="A511" i="80"/>
  <c r="A512" i="80"/>
  <c r="A514" i="80"/>
  <c r="A515" i="80"/>
  <c r="A516" i="80"/>
  <c r="A517" i="80"/>
  <c r="A518" i="80"/>
  <c r="A520" i="80"/>
  <c r="A521" i="80"/>
  <c r="A522" i="80"/>
  <c r="A523" i="80"/>
  <c r="A524" i="80"/>
  <c r="A526" i="80"/>
  <c r="A527" i="80"/>
  <c r="A528" i="80"/>
  <c r="A529" i="80"/>
  <c r="A530" i="80"/>
  <c r="A532" i="80"/>
  <c r="A533" i="80"/>
  <c r="A534" i="80"/>
  <c r="A535" i="80"/>
  <c r="A536" i="80"/>
  <c r="A538" i="80"/>
  <c r="A539" i="80"/>
  <c r="A540" i="80"/>
  <c r="A541" i="80"/>
  <c r="A542" i="80"/>
  <c r="A544" i="80"/>
  <c r="A545" i="80"/>
  <c r="A546" i="80"/>
  <c r="A547" i="80"/>
  <c r="A548" i="80"/>
  <c r="A550" i="80"/>
  <c r="A551" i="80"/>
  <c r="A552" i="80"/>
  <c r="A553" i="80"/>
  <c r="A554" i="80"/>
  <c r="A556" i="80"/>
  <c r="A557" i="80"/>
  <c r="A558" i="80"/>
  <c r="A559" i="80"/>
  <c r="A560" i="80"/>
  <c r="A562" i="80"/>
  <c r="A563" i="80"/>
  <c r="A564" i="80"/>
  <c r="A565" i="80"/>
  <c r="A566" i="80"/>
  <c r="A568" i="80"/>
  <c r="A569" i="80"/>
  <c r="A570" i="80"/>
  <c r="A571" i="80"/>
  <c r="A572" i="80"/>
  <c r="A574" i="80"/>
  <c r="A575" i="80"/>
  <c r="A576" i="80"/>
  <c r="A577" i="80"/>
  <c r="A578" i="80"/>
  <c r="A580" i="80"/>
  <c r="A581" i="80"/>
  <c r="A582" i="80"/>
  <c r="A583" i="80"/>
  <c r="A584" i="80"/>
  <c r="A586" i="80"/>
  <c r="A587" i="80"/>
  <c r="A588" i="80"/>
  <c r="A589" i="80"/>
  <c r="A590" i="80"/>
  <c r="A592" i="80"/>
  <c r="A593" i="80"/>
  <c r="A594" i="80"/>
  <c r="A595" i="80"/>
  <c r="A596" i="80"/>
  <c r="A598" i="80"/>
  <c r="A599" i="80"/>
  <c r="A600" i="80"/>
  <c r="A601" i="80"/>
  <c r="A602" i="80"/>
  <c r="A604" i="80"/>
  <c r="A605" i="80"/>
  <c r="A606" i="80"/>
  <c r="A607" i="80"/>
  <c r="A608" i="80"/>
  <c r="A610" i="80"/>
  <c r="A611" i="80"/>
  <c r="A612" i="80"/>
  <c r="A613" i="80"/>
  <c r="A614" i="80"/>
  <c r="A616" i="80"/>
  <c r="A617" i="80"/>
  <c r="A618" i="80"/>
  <c r="A619" i="80"/>
  <c r="A620" i="80"/>
  <c r="A622" i="80"/>
  <c r="A623" i="80"/>
  <c r="A624" i="80"/>
  <c r="A625" i="80"/>
  <c r="A626" i="80"/>
  <c r="A628" i="80"/>
  <c r="A629" i="80"/>
  <c r="A630" i="80"/>
  <c r="A631" i="80"/>
  <c r="A632" i="80"/>
  <c r="A634" i="80"/>
  <c r="A635" i="80"/>
  <c r="A636" i="80"/>
  <c r="A637" i="80"/>
  <c r="A638" i="80"/>
  <c r="A640" i="80"/>
  <c r="A641" i="80"/>
  <c r="A642" i="80"/>
  <c r="A643" i="80"/>
  <c r="A644" i="80"/>
  <c r="A646" i="80"/>
  <c r="A647" i="80"/>
  <c r="A648" i="80"/>
  <c r="A649" i="80"/>
  <c r="A650" i="80"/>
  <c r="A652" i="80"/>
  <c r="A653" i="80"/>
  <c r="A654" i="80"/>
  <c r="A655" i="80"/>
  <c r="A656" i="80"/>
  <c r="A658" i="80"/>
  <c r="A659" i="80"/>
  <c r="A660" i="80"/>
  <c r="A661" i="80"/>
  <c r="A662" i="80"/>
  <c r="A664" i="80"/>
  <c r="A665" i="80"/>
  <c r="A666" i="80"/>
  <c r="A667" i="80"/>
  <c r="A668" i="80"/>
  <c r="A670" i="80"/>
  <c r="A671" i="80"/>
  <c r="A672" i="80"/>
  <c r="A673" i="80"/>
  <c r="A674" i="80"/>
  <c r="A676" i="80"/>
  <c r="A677" i="80"/>
  <c r="A678" i="80"/>
  <c r="A679" i="80"/>
  <c r="A680" i="80"/>
  <c r="A682" i="80"/>
  <c r="A683" i="80"/>
  <c r="A684" i="80"/>
  <c r="A685" i="80"/>
  <c r="A686" i="80"/>
  <c r="A688" i="80"/>
  <c r="A689" i="80"/>
  <c r="A690" i="80"/>
  <c r="A691" i="80"/>
  <c r="A692" i="80"/>
  <c r="A694" i="80"/>
  <c r="A695" i="80"/>
  <c r="A696" i="80"/>
  <c r="A697" i="80"/>
  <c r="A698" i="80"/>
  <c r="A700" i="80"/>
  <c r="A701" i="80"/>
  <c r="A702" i="80"/>
  <c r="A703" i="80"/>
  <c r="A704" i="80"/>
  <c r="A706" i="80"/>
  <c r="A707" i="80"/>
  <c r="A708" i="80"/>
  <c r="A709" i="80"/>
  <c r="A710" i="80"/>
  <c r="A712" i="80"/>
  <c r="A713" i="80"/>
  <c r="A714" i="80"/>
  <c r="A715" i="80"/>
  <c r="A716" i="80"/>
  <c r="A718" i="80"/>
  <c r="A719" i="80"/>
  <c r="A720" i="80"/>
  <c r="A721" i="80"/>
  <c r="A722" i="80"/>
  <c r="A724" i="80"/>
  <c r="A725" i="80"/>
  <c r="A726" i="80"/>
  <c r="A727" i="80"/>
  <c r="A728" i="80"/>
  <c r="A730" i="80"/>
  <c r="A731" i="80"/>
  <c r="A732" i="80"/>
  <c r="A733" i="80"/>
  <c r="A734" i="80"/>
  <c r="A736" i="80"/>
  <c r="A737" i="80"/>
  <c r="A738" i="80"/>
  <c r="A739" i="80"/>
  <c r="A740" i="80"/>
  <c r="A742" i="80"/>
  <c r="A743" i="80"/>
  <c r="A744" i="80"/>
  <c r="A745" i="80"/>
  <c r="A746" i="80"/>
  <c r="A748" i="80"/>
  <c r="A749" i="80"/>
  <c r="A750" i="80"/>
  <c r="A751" i="80"/>
  <c r="A752" i="80"/>
  <c r="A754" i="80"/>
  <c r="A755" i="80"/>
  <c r="A756" i="80"/>
  <c r="A757" i="80"/>
  <c r="A758" i="80"/>
  <c r="A760" i="80"/>
  <c r="A761" i="80"/>
  <c r="A762" i="80"/>
  <c r="A763" i="80"/>
  <c r="A764" i="80"/>
  <c r="A766" i="80"/>
  <c r="A767" i="80"/>
  <c r="A768" i="80"/>
  <c r="A769" i="80"/>
  <c r="A770" i="80"/>
  <c r="A772" i="80"/>
  <c r="A773" i="80"/>
  <c r="A774" i="80"/>
  <c r="A775" i="80"/>
  <c r="A776" i="80"/>
  <c r="A778" i="80"/>
  <c r="A779" i="80"/>
  <c r="A780" i="80"/>
  <c r="A781" i="80"/>
  <c r="A782" i="80"/>
  <c r="A784" i="80"/>
  <c r="A785" i="80"/>
  <c r="A786" i="80"/>
  <c r="A787" i="80"/>
  <c r="A788" i="80"/>
  <c r="A790" i="80"/>
  <c r="A791" i="80"/>
  <c r="A792" i="80"/>
  <c r="A793" i="80"/>
  <c r="A794" i="80"/>
  <c r="A796" i="80"/>
  <c r="A797" i="80"/>
  <c r="A798" i="80"/>
  <c r="A799" i="80"/>
  <c r="A800" i="80"/>
  <c r="A802" i="80"/>
  <c r="A803" i="80"/>
  <c r="A804" i="80"/>
  <c r="A805" i="80"/>
  <c r="A806" i="80"/>
  <c r="A808" i="80"/>
  <c r="A809" i="80"/>
  <c r="A810" i="80"/>
  <c r="A811" i="80"/>
  <c r="A812" i="80"/>
  <c r="A814" i="80"/>
  <c r="A815" i="80"/>
  <c r="A816" i="80"/>
  <c r="A817" i="80"/>
  <c r="A818" i="80"/>
  <c r="A820" i="80"/>
  <c r="A821" i="80"/>
  <c r="A822" i="80"/>
  <c r="A823" i="80"/>
  <c r="A824" i="80"/>
  <c r="A826" i="80"/>
  <c r="A827" i="80"/>
  <c r="A828" i="80"/>
  <c r="A829" i="80"/>
  <c r="A830" i="80"/>
  <c r="A832" i="80"/>
  <c r="A833" i="80"/>
  <c r="A834" i="80"/>
  <c r="A835" i="80"/>
  <c r="A836" i="80"/>
  <c r="A838" i="80"/>
  <c r="A839" i="80"/>
  <c r="A840" i="80"/>
  <c r="A841" i="80"/>
  <c r="A842" i="80"/>
  <c r="A844" i="80"/>
  <c r="A845" i="80"/>
  <c r="A846" i="80"/>
  <c r="A847" i="80"/>
  <c r="A848" i="80"/>
  <c r="A850" i="80"/>
  <c r="A851" i="80"/>
  <c r="A852" i="80"/>
  <c r="A853" i="80"/>
  <c r="A854" i="80"/>
  <c r="A856" i="80"/>
  <c r="A857" i="80"/>
  <c r="A858" i="80"/>
  <c r="A859" i="80"/>
  <c r="A860" i="80"/>
  <c r="A862" i="80"/>
  <c r="A863" i="80"/>
  <c r="A864" i="80"/>
  <c r="A865" i="80"/>
  <c r="A866" i="80"/>
  <c r="A868" i="80"/>
  <c r="A869" i="80"/>
  <c r="A870" i="80"/>
  <c r="A871" i="80"/>
  <c r="A872" i="80"/>
  <c r="A874" i="80"/>
  <c r="A875" i="80"/>
  <c r="A876" i="80"/>
  <c r="A877" i="80"/>
  <c r="A878" i="80"/>
  <c r="A880" i="80"/>
  <c r="A881" i="80"/>
  <c r="A882" i="80"/>
  <c r="A883" i="80"/>
  <c r="A884" i="80"/>
  <c r="A886" i="80"/>
  <c r="A887" i="80"/>
  <c r="A888" i="80"/>
  <c r="A889" i="80"/>
  <c r="A890" i="80"/>
  <c r="A892" i="80"/>
  <c r="A893" i="80"/>
  <c r="A894" i="80"/>
  <c r="A895" i="80"/>
  <c r="A896" i="80"/>
  <c r="A898" i="80"/>
  <c r="A899" i="80"/>
  <c r="A900" i="80"/>
  <c r="A901" i="80"/>
  <c r="A902" i="80"/>
  <c r="A904" i="80"/>
  <c r="A905" i="80"/>
  <c r="A906" i="80"/>
  <c r="A907" i="80"/>
  <c r="A908" i="80"/>
  <c r="A910" i="80"/>
  <c r="A911" i="80"/>
  <c r="A912" i="80"/>
  <c r="A913" i="80"/>
  <c r="A914" i="80"/>
  <c r="A916" i="80"/>
  <c r="A917" i="80"/>
  <c r="A918" i="80"/>
  <c r="A919" i="80"/>
  <c r="A920" i="80"/>
  <c r="A922" i="80"/>
  <c r="A923" i="80"/>
  <c r="A924" i="80"/>
  <c r="A925" i="80"/>
  <c r="A926" i="80"/>
  <c r="A928" i="80"/>
  <c r="A929" i="80"/>
  <c r="A930" i="80"/>
  <c r="A931" i="80"/>
  <c r="A932" i="80"/>
  <c r="A934" i="80"/>
  <c r="A935" i="80"/>
  <c r="A936" i="80"/>
  <c r="A937" i="80"/>
  <c r="A938" i="80"/>
  <c r="A940" i="80"/>
  <c r="A941" i="80"/>
  <c r="A942" i="80"/>
  <c r="A943" i="80"/>
  <c r="A944" i="80"/>
  <c r="A946" i="80"/>
  <c r="A947" i="80"/>
  <c r="A948" i="80"/>
  <c r="A949" i="80"/>
  <c r="A950" i="80"/>
  <c r="A952" i="80"/>
  <c r="A953" i="80"/>
  <c r="A954" i="80"/>
  <c r="A955" i="80"/>
  <c r="A956" i="80"/>
  <c r="A958" i="80"/>
  <c r="A959" i="80"/>
  <c r="A960" i="80"/>
  <c r="A961" i="80"/>
  <c r="A962" i="80"/>
  <c r="A964" i="80"/>
  <c r="A965" i="80"/>
  <c r="A966" i="80"/>
  <c r="A967" i="80"/>
  <c r="A968" i="80"/>
  <c r="A970" i="80"/>
  <c r="A971" i="80"/>
  <c r="A972" i="80"/>
  <c r="A973" i="80"/>
  <c r="A974" i="80"/>
  <c r="A976" i="80"/>
  <c r="A977" i="80"/>
  <c r="A978" i="80"/>
  <c r="A979" i="80"/>
  <c r="A980" i="80"/>
  <c r="A982" i="80"/>
  <c r="A983" i="80"/>
  <c r="A984" i="80"/>
  <c r="A985" i="80"/>
  <c r="A986" i="80"/>
  <c r="A988" i="80"/>
  <c r="A989" i="80"/>
  <c r="A990" i="80"/>
  <c r="A991" i="80"/>
  <c r="A992" i="80"/>
  <c r="A994" i="80"/>
  <c r="A995" i="80"/>
  <c r="A996" i="80"/>
  <c r="A997" i="80"/>
  <c r="A998" i="80"/>
  <c r="A1000" i="80"/>
  <c r="A1001" i="80"/>
  <c r="A1002" i="80"/>
  <c r="A1003" i="80"/>
  <c r="A1004" i="80"/>
  <c r="A1006" i="80"/>
  <c r="A1007" i="80"/>
  <c r="A1008" i="80"/>
  <c r="A1009" i="80"/>
  <c r="A1010" i="80"/>
  <c r="A1012" i="80"/>
  <c r="A1013" i="80"/>
  <c r="A1014" i="80"/>
  <c r="A1015" i="80"/>
  <c r="A1016" i="80"/>
  <c r="A1018" i="80"/>
  <c r="A1019" i="80"/>
  <c r="A1020" i="80"/>
  <c r="A1021" i="80"/>
  <c r="A1022" i="80"/>
  <c r="A1024" i="80"/>
  <c r="A1025" i="80"/>
  <c r="A1026" i="80"/>
  <c r="A1027" i="80"/>
  <c r="A1028" i="80"/>
  <c r="A1030" i="80"/>
  <c r="A1031" i="80"/>
  <c r="A1032" i="80"/>
  <c r="A1033" i="80"/>
  <c r="A1034" i="80"/>
  <c r="A1036" i="80"/>
  <c r="A1037" i="80"/>
  <c r="A1038" i="80"/>
  <c r="A1039" i="80"/>
  <c r="A1040" i="80"/>
  <c r="A1042" i="80"/>
  <c r="A1043" i="80"/>
  <c r="A1044" i="80"/>
  <c r="A1045" i="80"/>
  <c r="A1046" i="80"/>
  <c r="A1048" i="80"/>
  <c r="A1049" i="80"/>
  <c r="A1050" i="80"/>
  <c r="A1051" i="80"/>
  <c r="A1052" i="80"/>
  <c r="A1054" i="80"/>
  <c r="A1055" i="80"/>
  <c r="A1056" i="80"/>
  <c r="A1057" i="80"/>
  <c r="A1058" i="80"/>
  <c r="A1060" i="80"/>
  <c r="A1061" i="80"/>
  <c r="A1062" i="80"/>
  <c r="A1063" i="80"/>
  <c r="A1064" i="80"/>
  <c r="A1066" i="80"/>
  <c r="A1067" i="80"/>
  <c r="A1068" i="80"/>
  <c r="A1069" i="80"/>
  <c r="A1070" i="80"/>
  <c r="A1072" i="80"/>
  <c r="A1073" i="80"/>
  <c r="A1074" i="80"/>
  <c r="A1075" i="80"/>
  <c r="A1076" i="80"/>
  <c r="A1078" i="80"/>
  <c r="A1079" i="80"/>
  <c r="A1080" i="80"/>
  <c r="A1081" i="80"/>
  <c r="A1082" i="80"/>
  <c r="A1084" i="80"/>
  <c r="A1085" i="80"/>
  <c r="A1086" i="80"/>
  <c r="A1087" i="80"/>
  <c r="A1088" i="80"/>
  <c r="A1090" i="80"/>
  <c r="A1091" i="80"/>
  <c r="A1092" i="80"/>
  <c r="A1093" i="80"/>
  <c r="A1094" i="80"/>
  <c r="A1096" i="80"/>
  <c r="A1097" i="80"/>
  <c r="A1098" i="80"/>
  <c r="A1099" i="80"/>
  <c r="A1100" i="80"/>
  <c r="A1102" i="80"/>
  <c r="A1103" i="80"/>
  <c r="A1104" i="80"/>
  <c r="A1105" i="80"/>
  <c r="A1106" i="80"/>
  <c r="A1108" i="80"/>
  <c r="A1109" i="80"/>
  <c r="A1110" i="80"/>
  <c r="A1111" i="80"/>
  <c r="A1112" i="80"/>
  <c r="A1114" i="80"/>
  <c r="A1115" i="80"/>
  <c r="A1116" i="80"/>
  <c r="A1117" i="80"/>
  <c r="A1118" i="80"/>
  <c r="A1120" i="80"/>
  <c r="A1121" i="80"/>
  <c r="A1122" i="80"/>
  <c r="A1123" i="80"/>
  <c r="A1124" i="80"/>
  <c r="A1126" i="80"/>
  <c r="A1127" i="80"/>
  <c r="A1128" i="80"/>
  <c r="A1129" i="80"/>
  <c r="A1130" i="80"/>
  <c r="A1132" i="80"/>
  <c r="A1133" i="80"/>
  <c r="A1134" i="80"/>
  <c r="A1135" i="80"/>
  <c r="A1136" i="80"/>
  <c r="A1138" i="80"/>
  <c r="A1139" i="80"/>
  <c r="A1140" i="80"/>
  <c r="A1141" i="80"/>
  <c r="A1142" i="80"/>
  <c r="A1144" i="80"/>
  <c r="A1145" i="80"/>
  <c r="A1146" i="80"/>
  <c r="A1147" i="80"/>
  <c r="A1148" i="80"/>
  <c r="A1150" i="80"/>
  <c r="A1151" i="80"/>
  <c r="A1152" i="80"/>
  <c r="A1153" i="80"/>
  <c r="A1154" i="80"/>
  <c r="A1156" i="80"/>
  <c r="A1157" i="80"/>
  <c r="A1158" i="80"/>
  <c r="A1159" i="80"/>
  <c r="A1160" i="80"/>
  <c r="A1162" i="80"/>
  <c r="A1163" i="80"/>
  <c r="A1164" i="80"/>
  <c r="A1165" i="80"/>
  <c r="A1166" i="80"/>
  <c r="A1168" i="80"/>
  <c r="A1169" i="80"/>
  <c r="A1170" i="80"/>
  <c r="A1171" i="80"/>
  <c r="A1172" i="80"/>
  <c r="A1174" i="80"/>
  <c r="A1175" i="80"/>
  <c r="A1176" i="80"/>
  <c r="A1177" i="80"/>
  <c r="A1178" i="80"/>
  <c r="A1180" i="80"/>
  <c r="A1181" i="80"/>
  <c r="A1182" i="80"/>
  <c r="A1183" i="80"/>
  <c r="A1184" i="80"/>
  <c r="A1186" i="80"/>
  <c r="A1187" i="80"/>
  <c r="A1188" i="80"/>
  <c r="A1189" i="80"/>
  <c r="A1190" i="80"/>
  <c r="A1192" i="80"/>
  <c r="A1193" i="80"/>
  <c r="A1194" i="80"/>
  <c r="A1195" i="80"/>
  <c r="A1196" i="80"/>
  <c r="A1197" i="80"/>
  <c r="A1198" i="80"/>
  <c r="A1199" i="80"/>
  <c r="A1200" i="80"/>
  <c r="A1201" i="80"/>
  <c r="A1202" i="80"/>
  <c r="A1203" i="80"/>
  <c r="A1205" i="80"/>
  <c r="A1206" i="80"/>
  <c r="A1207" i="80"/>
  <c r="A1208" i="80"/>
  <c r="A1209" i="80"/>
  <c r="A1211" i="80"/>
  <c r="A1212" i="80"/>
  <c r="A1213" i="80"/>
  <c r="A1214" i="80"/>
  <c r="A1215" i="80"/>
  <c r="A1217" i="80"/>
  <c r="A1218" i="80"/>
  <c r="A1219" i="80"/>
  <c r="A1220" i="80"/>
  <c r="A1221" i="80"/>
  <c r="A1223" i="80"/>
  <c r="A1224" i="80"/>
  <c r="A1225" i="80"/>
  <c r="A1226" i="80"/>
  <c r="A1227" i="80"/>
  <c r="A1229" i="80"/>
  <c r="A1230" i="80"/>
  <c r="A1231" i="80"/>
  <c r="A1232" i="80"/>
  <c r="A1233" i="80"/>
  <c r="A1235" i="80"/>
  <c r="A1236" i="80"/>
  <c r="A1237" i="80"/>
  <c r="A1238" i="80"/>
  <c r="A1239" i="80"/>
  <c r="A1241" i="80"/>
  <c r="A1242" i="80"/>
  <c r="A1243" i="80"/>
  <c r="A1244" i="80"/>
  <c r="A1245" i="80"/>
  <c r="A1247" i="80"/>
  <c r="A1248" i="80"/>
  <c r="A1249" i="80"/>
  <c r="A1250" i="80"/>
  <c r="A1251" i="80"/>
  <c r="A1253" i="80"/>
  <c r="A1254" i="80"/>
  <c r="A1255" i="80"/>
  <c r="A1256" i="80"/>
  <c r="A1257" i="80"/>
  <c r="A1259" i="80"/>
  <c r="A1260" i="80"/>
  <c r="A1261" i="80"/>
  <c r="A1262" i="80"/>
  <c r="A1263" i="80"/>
  <c r="A1265" i="80"/>
  <c r="A1266" i="80"/>
  <c r="A1267" i="80"/>
  <c r="A1268" i="80"/>
  <c r="A1269" i="80"/>
  <c r="A1271" i="80"/>
  <c r="A1272" i="80"/>
  <c r="A1273" i="80"/>
  <c r="A1274" i="80"/>
  <c r="A1275" i="80"/>
  <c r="A1277" i="80"/>
  <c r="A1278" i="80"/>
  <c r="A1279" i="80"/>
  <c r="A1280" i="80"/>
  <c r="A1281" i="80"/>
  <c r="A1283" i="80"/>
  <c r="A1284" i="80"/>
  <c r="A1285" i="80"/>
  <c r="A1286" i="80"/>
  <c r="A1287" i="80"/>
  <c r="A1289" i="80"/>
  <c r="A1290" i="80"/>
  <c r="A1291" i="80"/>
  <c r="A1292" i="80"/>
  <c r="A1293" i="80"/>
  <c r="A1295" i="80"/>
  <c r="A1296" i="80"/>
  <c r="A1297" i="80"/>
  <c r="A1298" i="80"/>
  <c r="A1299" i="80"/>
  <c r="A1301" i="80"/>
  <c r="A1302" i="80"/>
  <c r="A1303" i="80"/>
  <c r="A1304" i="80"/>
  <c r="A1305" i="80"/>
  <c r="A1307" i="80"/>
  <c r="A1308" i="80"/>
  <c r="A1309" i="80"/>
  <c r="A1310" i="80"/>
  <c r="A1311" i="80"/>
  <c r="A1313" i="80"/>
  <c r="A1314" i="80"/>
  <c r="A1315" i="80"/>
  <c r="A1316" i="80"/>
  <c r="A1317" i="80"/>
  <c r="A1319" i="80"/>
  <c r="A1320" i="80"/>
  <c r="A1321" i="80"/>
  <c r="A1322" i="80"/>
  <c r="A1323" i="80"/>
  <c r="A1325" i="80"/>
  <c r="A1326" i="80"/>
  <c r="A1327" i="80"/>
  <c r="A1328" i="80"/>
  <c r="A1329" i="80"/>
  <c r="A1331" i="80"/>
  <c r="A1332" i="80"/>
  <c r="A1333" i="80"/>
  <c r="A1334" i="80"/>
  <c r="A1335" i="80"/>
  <c r="A1337" i="80"/>
  <c r="A1338" i="80"/>
  <c r="A1339" i="80"/>
  <c r="A1340" i="80"/>
  <c r="A1341" i="80"/>
  <c r="A1343" i="80"/>
  <c r="A1344" i="80"/>
  <c r="A1345" i="80"/>
  <c r="A1346" i="80"/>
  <c r="A1347" i="80"/>
  <c r="A1349" i="80"/>
  <c r="A1350" i="80"/>
  <c r="A1351" i="80"/>
  <c r="A1352" i="80"/>
  <c r="A1353" i="80"/>
  <c r="A1355" i="80"/>
  <c r="A1356" i="80"/>
  <c r="A1357" i="80"/>
  <c r="A1358" i="80"/>
  <c r="A1359" i="80"/>
  <c r="A1361" i="80"/>
  <c r="A1362" i="80"/>
  <c r="A1363" i="80"/>
  <c r="A1364" i="80"/>
  <c r="A1365" i="80"/>
  <c r="A1367" i="80"/>
  <c r="A1368" i="80"/>
  <c r="A1369" i="80"/>
  <c r="A1371" i="80"/>
  <c r="A1372" i="80"/>
  <c r="A1373" i="80"/>
  <c r="A1374" i="80"/>
  <c r="A1376" i="80"/>
  <c r="A1377" i="80"/>
  <c r="A1378" i="80"/>
  <c r="A1379" i="80"/>
  <c r="A1381" i="80"/>
  <c r="A1382" i="80"/>
  <c r="A1383" i="80"/>
  <c r="A1384" i="80"/>
  <c r="A1385" i="80"/>
  <c r="A1386" i="80"/>
  <c r="A1388" i="80"/>
  <c r="A1389" i="80"/>
  <c r="A1390" i="80"/>
  <c r="A1391" i="80"/>
  <c r="A1392" i="80"/>
  <c r="A1394" i="80"/>
  <c r="A1395" i="80"/>
  <c r="A1396" i="80"/>
  <c r="A1397" i="80"/>
  <c r="A1398" i="80"/>
  <c r="A1400" i="80"/>
  <c r="A1401" i="80"/>
  <c r="A1402" i="80"/>
  <c r="A1403" i="80"/>
  <c r="A1404" i="80"/>
  <c r="A1406" i="80"/>
  <c r="A1407" i="80"/>
  <c r="A1408" i="80"/>
  <c r="A1409" i="80"/>
  <c r="A1410" i="80"/>
  <c r="A1412" i="80"/>
  <c r="A1413" i="80"/>
  <c r="A1414" i="80"/>
  <c r="A1415" i="80"/>
  <c r="A1416" i="80"/>
  <c r="A1418" i="80"/>
  <c r="A1419" i="80"/>
  <c r="A1420" i="80"/>
  <c r="A1422" i="80"/>
  <c r="A1423" i="80"/>
  <c r="A1424" i="80"/>
  <c r="A1425" i="80"/>
  <c r="A1427" i="80"/>
  <c r="A1428" i="80"/>
  <c r="A1429" i="80"/>
  <c r="A1430" i="80"/>
  <c r="A1432" i="80"/>
  <c r="A1433" i="80"/>
  <c r="A1434" i="80"/>
  <c r="A1435" i="80"/>
  <c r="A1436" i="80"/>
  <c r="A1437" i="80"/>
  <c r="A1439" i="80"/>
  <c r="A1440" i="80"/>
  <c r="A1441" i="80"/>
  <c r="A1442" i="80"/>
  <c r="A1443" i="80"/>
  <c r="A1445" i="80"/>
  <c r="A1446" i="80"/>
  <c r="A1447" i="80"/>
  <c r="A1448" i="80"/>
  <c r="A1449" i="80"/>
  <c r="A1451" i="80"/>
  <c r="A1452" i="80"/>
  <c r="A1453" i="80"/>
  <c r="A1454" i="80"/>
  <c r="A1455" i="80"/>
  <c r="A1457" i="80"/>
  <c r="A1458" i="80"/>
  <c r="A1459" i="80"/>
  <c r="A1460" i="80"/>
  <c r="A1461" i="80"/>
  <c r="A1463" i="80"/>
  <c r="A1464" i="80"/>
  <c r="A1465" i="80"/>
  <c r="A1466" i="80"/>
  <c r="A1467" i="80"/>
  <c r="A1469" i="80"/>
  <c r="A1470" i="80"/>
  <c r="A1471" i="80"/>
  <c r="A1472" i="80"/>
  <c r="A1473" i="80"/>
  <c r="A1475" i="80"/>
  <c r="A1476" i="80"/>
  <c r="A1477" i="80"/>
  <c r="A1478" i="80"/>
  <c r="A1479" i="80"/>
  <c r="A1481" i="80"/>
  <c r="A1482" i="80"/>
  <c r="A1483" i="80"/>
  <c r="A1484" i="80"/>
  <c r="A1485" i="80"/>
  <c r="A1487" i="80"/>
  <c r="A1488" i="80"/>
  <c r="A1489" i="80"/>
  <c r="A1490" i="80"/>
  <c r="A1491" i="80"/>
  <c r="A1493" i="80"/>
  <c r="A1494" i="80"/>
  <c r="A1495" i="80"/>
  <c r="A1496" i="80"/>
  <c r="A1497" i="80"/>
  <c r="A1499" i="80"/>
  <c r="A1500" i="80"/>
  <c r="A1501" i="80"/>
  <c r="A1502" i="80"/>
  <c r="A1503" i="80"/>
  <c r="A1505" i="80"/>
  <c r="A1506" i="80"/>
  <c r="A1507" i="80"/>
  <c r="A1508" i="80"/>
  <c r="A1509" i="80"/>
  <c r="A1511" i="80"/>
  <c r="A1512" i="80"/>
  <c r="A1513" i="80"/>
  <c r="A1514" i="80"/>
  <c r="A1515" i="80"/>
  <c r="A1517" i="80"/>
  <c r="A1518" i="80"/>
  <c r="A1519" i="80"/>
  <c r="A1520" i="80"/>
  <c r="A1521" i="80"/>
  <c r="A1523" i="80"/>
  <c r="A1524" i="80"/>
  <c r="A1525" i="80"/>
  <c r="A1526" i="80"/>
  <c r="A1527" i="80"/>
  <c r="A1529" i="80"/>
  <c r="A1530" i="80"/>
  <c r="A1531" i="80"/>
  <c r="A1532" i="80"/>
  <c r="A1533" i="80"/>
  <c r="A1535" i="80"/>
  <c r="A1536" i="80"/>
  <c r="A1537" i="80"/>
  <c r="A1538" i="80"/>
  <c r="A1539" i="80"/>
  <c r="A1541" i="80"/>
  <c r="A1542" i="80"/>
  <c r="A1543" i="80"/>
  <c r="A1544" i="80"/>
  <c r="A1545" i="80"/>
  <c r="A1547" i="80"/>
  <c r="A1548" i="80"/>
  <c r="A1549" i="80"/>
  <c r="A1550" i="80"/>
  <c r="A1551" i="80"/>
  <c r="A1553" i="80"/>
  <c r="A1554" i="80"/>
  <c r="A1555" i="80"/>
  <c r="A1556" i="80"/>
  <c r="A1557" i="80"/>
  <c r="A1559" i="80"/>
  <c r="A1560" i="80"/>
  <c r="A1561" i="80"/>
  <c r="A1562" i="80"/>
  <c r="A1563" i="80"/>
  <c r="A1565" i="80"/>
  <c r="A1566" i="80"/>
  <c r="A1567" i="80"/>
  <c r="A1568" i="80"/>
  <c r="A1569" i="80"/>
  <c r="A1571" i="80"/>
  <c r="A1572" i="80"/>
  <c r="A1573" i="80"/>
  <c r="A1574" i="80"/>
  <c r="A1575" i="80"/>
  <c r="A1577" i="80"/>
  <c r="A1578" i="80"/>
  <c r="A1579" i="80"/>
  <c r="A1580" i="80"/>
  <c r="A1581" i="80"/>
  <c r="A1583" i="80"/>
  <c r="A1584" i="80"/>
  <c r="A1585" i="80"/>
  <c r="A1586" i="80"/>
  <c r="A1587" i="80"/>
  <c r="A1589" i="80"/>
  <c r="A1590" i="80"/>
  <c r="A1591" i="80"/>
  <c r="A1592" i="80"/>
  <c r="A1593" i="80"/>
  <c r="A1595" i="80"/>
  <c r="A1596" i="80"/>
  <c r="A1597" i="80"/>
  <c r="A1598" i="80"/>
  <c r="A1599" i="80"/>
  <c r="A1601" i="80"/>
  <c r="A1602" i="80"/>
  <c r="A1603" i="80"/>
  <c r="A1604" i="80"/>
  <c r="A1605" i="80"/>
  <c r="A1607" i="80"/>
  <c r="A1608" i="80"/>
  <c r="A1609" i="80"/>
  <c r="A1610" i="80"/>
  <c r="A1611" i="80"/>
  <c r="A1613" i="80"/>
  <c r="A1614" i="80"/>
  <c r="A1615" i="80"/>
  <c r="A1616" i="80"/>
  <c r="A1617" i="80"/>
  <c r="A1619" i="80"/>
  <c r="A1620" i="80"/>
  <c r="A1621" i="80"/>
  <c r="A1622" i="80"/>
  <c r="A1623" i="80"/>
  <c r="A1625" i="80"/>
  <c r="A1626" i="80"/>
  <c r="A1627" i="80"/>
  <c r="A1628" i="80"/>
  <c r="A1629" i="80"/>
  <c r="A1631" i="80"/>
  <c r="A1632" i="80"/>
  <c r="A1633" i="80"/>
  <c r="A1634" i="80"/>
  <c r="A1635" i="80"/>
  <c r="A1637" i="80"/>
  <c r="A1638" i="80"/>
  <c r="A1639" i="80"/>
  <c r="A1640" i="80"/>
  <c r="A1641" i="80"/>
  <c r="A1643" i="80"/>
  <c r="A1644" i="80"/>
  <c r="A1645" i="80"/>
  <c r="A1646" i="80"/>
  <c r="A1647" i="80"/>
  <c r="A1649" i="80"/>
  <c r="A1650" i="80"/>
  <c r="A1651" i="80"/>
  <c r="A1652" i="80"/>
  <c r="A1653" i="80"/>
  <c r="A1655" i="80"/>
  <c r="A1656" i="80"/>
  <c r="A1657" i="80"/>
  <c r="A1658" i="80"/>
  <c r="A1659" i="80"/>
  <c r="A1661" i="80"/>
  <c r="A1662" i="80"/>
  <c r="A1663" i="80"/>
  <c r="A1664" i="80"/>
  <c r="A1665" i="80"/>
  <c r="A1667" i="80"/>
  <c r="A1668" i="80"/>
  <c r="A1669" i="80"/>
  <c r="A1670" i="80"/>
  <c r="A1671" i="80"/>
  <c r="A1673" i="80"/>
  <c r="A1674" i="80"/>
  <c r="A1675" i="80"/>
  <c r="A1676" i="80"/>
  <c r="A1677" i="80"/>
  <c r="A1679" i="80"/>
  <c r="A1680" i="80"/>
  <c r="A1681" i="80"/>
  <c r="A1682" i="80"/>
  <c r="A1683" i="80"/>
  <c r="A1685" i="80"/>
  <c r="A1686" i="80"/>
  <c r="A1687" i="80"/>
  <c r="A1688" i="80"/>
  <c r="A1689" i="80"/>
  <c r="A1691" i="80"/>
  <c r="A1692" i="80"/>
  <c r="A1693" i="80"/>
  <c r="A1694" i="80"/>
  <c r="A1695" i="80"/>
  <c r="A1697" i="80"/>
  <c r="A1698" i="80"/>
  <c r="A1699" i="80"/>
  <c r="A1700" i="80"/>
  <c r="A1701" i="80"/>
  <c r="A1703" i="80"/>
  <c r="A1704" i="80"/>
  <c r="A1705" i="80"/>
  <c r="A1706" i="80"/>
  <c r="A1707" i="80"/>
  <c r="A1709" i="80"/>
  <c r="A1710" i="80"/>
  <c r="A1711" i="80"/>
  <c r="A1712" i="80"/>
  <c r="A1713" i="80"/>
  <c r="A1715" i="80"/>
  <c r="A1716" i="80"/>
  <c r="A1717" i="80"/>
  <c r="A1718" i="80"/>
  <c r="A1719" i="80"/>
  <c r="A1721" i="80"/>
  <c r="A1722" i="80"/>
  <c r="A1723" i="80"/>
  <c r="A1724" i="80"/>
  <c r="A1725" i="80"/>
  <c r="A1726" i="80"/>
  <c r="A1727" i="80"/>
  <c r="A1728" i="80"/>
  <c r="A1729" i="80"/>
  <c r="A1730" i="80"/>
  <c r="A1731" i="80"/>
  <c r="A1732" i="80"/>
  <c r="A1734" i="80"/>
  <c r="A1735" i="80"/>
  <c r="A1736" i="80"/>
  <c r="A1737" i="80"/>
  <c r="A1738" i="80"/>
  <c r="A1740" i="80"/>
  <c r="A1741" i="80"/>
  <c r="A1742" i="80"/>
  <c r="A1743" i="80"/>
  <c r="A1744" i="80"/>
  <c r="A1746" i="80"/>
  <c r="A1747" i="80"/>
  <c r="A1748" i="80"/>
  <c r="A1749" i="80"/>
  <c r="A1750" i="80"/>
  <c r="A1752" i="80"/>
  <c r="A1753" i="80"/>
  <c r="A1754" i="80"/>
  <c r="A1755" i="80"/>
  <c r="A1756" i="80"/>
  <c r="A1758" i="80"/>
  <c r="A1759" i="80"/>
  <c r="A1760" i="80"/>
  <c r="A1761" i="80"/>
  <c r="A1762" i="80"/>
  <c r="A1764" i="80"/>
  <c r="A1765" i="80"/>
  <c r="A1766" i="80"/>
  <c r="A1767" i="80"/>
  <c r="A1768" i="80"/>
  <c r="A1770" i="80"/>
  <c r="A1771" i="80"/>
  <c r="A1772" i="80"/>
  <c r="A1773" i="80"/>
  <c r="A1774" i="80"/>
  <c r="A1776" i="80"/>
  <c r="A1777" i="80"/>
  <c r="A1778" i="80"/>
  <c r="A1779" i="80"/>
  <c r="A1780" i="80"/>
  <c r="A1782" i="80"/>
  <c r="A1783" i="80"/>
  <c r="A1784" i="80"/>
  <c r="A1785" i="80"/>
  <c r="A1786" i="80"/>
  <c r="A1788" i="80"/>
  <c r="A1789" i="80"/>
  <c r="A1790" i="80"/>
  <c r="A1791" i="80"/>
  <c r="A1792" i="80"/>
  <c r="A1794" i="80"/>
  <c r="A1795" i="80"/>
  <c r="A1796" i="80"/>
  <c r="A1797" i="80"/>
  <c r="A1798" i="80"/>
  <c r="A1800" i="80"/>
  <c r="A1801" i="80"/>
  <c r="A1802" i="80"/>
  <c r="A1803" i="80"/>
  <c r="A1804" i="80"/>
  <c r="A1806" i="80"/>
  <c r="A1807" i="80"/>
  <c r="A1808" i="80"/>
  <c r="A1809" i="80"/>
  <c r="A1810" i="80"/>
  <c r="A1812" i="80"/>
  <c r="A1813" i="80"/>
  <c r="A1814" i="80"/>
  <c r="A1815" i="80"/>
  <c r="A1816" i="80"/>
  <c r="A1818" i="80"/>
  <c r="A1819" i="80"/>
  <c r="A1820" i="80"/>
  <c r="A1821" i="80"/>
  <c r="A1822" i="80"/>
  <c r="A1824" i="80"/>
  <c r="A1825" i="80"/>
  <c r="A1826" i="80"/>
  <c r="A1827" i="80"/>
  <c r="A1828" i="80"/>
  <c r="A1830" i="80"/>
  <c r="A1831" i="80"/>
  <c r="A1832" i="80"/>
  <c r="A1833" i="80"/>
  <c r="A1834" i="80"/>
  <c r="A1836" i="80"/>
  <c r="A1837" i="80"/>
  <c r="A1838" i="80"/>
  <c r="A1839" i="80"/>
  <c r="A1840" i="80"/>
  <c r="A1842" i="80"/>
  <c r="A1843" i="80"/>
  <c r="A1844" i="80"/>
  <c r="A1845" i="80"/>
  <c r="A1846" i="80"/>
  <c r="A1848" i="80"/>
  <c r="A1849" i="80"/>
  <c r="A1850" i="80"/>
  <c r="A1851" i="80"/>
  <c r="A1852" i="80"/>
  <c r="A1854" i="80"/>
  <c r="A1855" i="80"/>
  <c r="A1856" i="80"/>
  <c r="A1857" i="80"/>
  <c r="A1858" i="80"/>
  <c r="A1860" i="80"/>
  <c r="A1861" i="80"/>
  <c r="A1862" i="80"/>
  <c r="A1863" i="80"/>
  <c r="A1864" i="80"/>
  <c r="A1866" i="80"/>
  <c r="A1867" i="80"/>
  <c r="A1868" i="80"/>
  <c r="A1869" i="80"/>
  <c r="A1870" i="80"/>
  <c r="A1872" i="80"/>
  <c r="A1873" i="80"/>
  <c r="A1874" i="80"/>
  <c r="A1875" i="80"/>
  <c r="A1876" i="80"/>
  <c r="A1878" i="80"/>
  <c r="A1879" i="80"/>
  <c r="A1880" i="80"/>
  <c r="A1881" i="80"/>
  <c r="A1882" i="80"/>
  <c r="A1884" i="80"/>
  <c r="A1885" i="80"/>
  <c r="A1886" i="80"/>
  <c r="A1887" i="80"/>
  <c r="A1888" i="80"/>
  <c r="A1890" i="80"/>
  <c r="A1891" i="80"/>
  <c r="A1892" i="80"/>
  <c r="A1893" i="80"/>
  <c r="A1894" i="80"/>
  <c r="A1896" i="80"/>
  <c r="A1897" i="80"/>
  <c r="A1898" i="80"/>
  <c r="A1899" i="80"/>
  <c r="A1900" i="80"/>
  <c r="A1902" i="80"/>
  <c r="A1903" i="80"/>
  <c r="A1904" i="80"/>
  <c r="A1905" i="80"/>
  <c r="A1906" i="80"/>
  <c r="A1908" i="80"/>
  <c r="A1909" i="80"/>
  <c r="A1910" i="80"/>
  <c r="A1911" i="80"/>
  <c r="A1912" i="80"/>
  <c r="A1914" i="80"/>
  <c r="A1915" i="80"/>
  <c r="A1916" i="80"/>
  <c r="A1917" i="80"/>
  <c r="A1918" i="80"/>
  <c r="A1920" i="80"/>
  <c r="A1921" i="80"/>
  <c r="A1922" i="80"/>
  <c r="A1923" i="80"/>
  <c r="A1924" i="80"/>
  <c r="A1926" i="80"/>
  <c r="A1927" i="80"/>
  <c r="A1928" i="80"/>
  <c r="A1929" i="80"/>
  <c r="A1930" i="80"/>
  <c r="A1932" i="80"/>
  <c r="A1933" i="80"/>
  <c r="A1934" i="80"/>
  <c r="A1935" i="80"/>
  <c r="A1936" i="80"/>
  <c r="A1938" i="80"/>
  <c r="A1939" i="80"/>
  <c r="A1940" i="80"/>
  <c r="A1941" i="80"/>
  <c r="A1942" i="80"/>
  <c r="A1944" i="80"/>
  <c r="A1945" i="80"/>
  <c r="A1946" i="80"/>
  <c r="A1947" i="80"/>
  <c r="A1948" i="80"/>
  <c r="A1950" i="80"/>
  <c r="A1951" i="80"/>
  <c r="A1952" i="80"/>
  <c r="A1953" i="80"/>
  <c r="A1954" i="80"/>
  <c r="A1956" i="80"/>
  <c r="A1957" i="80"/>
  <c r="A1958" i="80"/>
  <c r="A1959" i="80"/>
  <c r="A1960" i="80"/>
  <c r="A1962" i="80"/>
  <c r="A1963" i="80"/>
  <c r="A1964" i="80"/>
  <c r="A1965" i="80"/>
  <c r="A1966" i="80"/>
  <c r="A1968" i="80"/>
  <c r="A1969" i="80"/>
  <c r="A1970" i="80"/>
  <c r="A1971" i="80"/>
  <c r="A1972" i="80"/>
  <c r="A1974" i="80"/>
  <c r="A1975" i="80"/>
  <c r="A1976" i="80"/>
  <c r="A1977" i="80"/>
  <c r="A1978" i="80"/>
  <c r="A1980" i="80"/>
  <c r="A1981" i="80"/>
  <c r="A1982" i="80"/>
  <c r="A1983" i="80"/>
  <c r="A1984" i="80"/>
  <c r="A1986" i="80"/>
  <c r="A1987" i="80"/>
  <c r="A1988" i="80"/>
  <c r="A1989" i="80"/>
  <c r="A1990" i="80"/>
  <c r="A1992" i="80"/>
  <c r="A1993" i="80"/>
  <c r="A1994" i="80"/>
  <c r="A1995" i="80"/>
  <c r="A1996" i="80"/>
  <c r="A1998" i="80"/>
  <c r="A1999" i="80"/>
  <c r="A2000" i="80"/>
  <c r="A2001" i="80"/>
  <c r="A2002" i="80"/>
  <c r="A2004" i="80"/>
  <c r="A2005" i="80"/>
  <c r="A2006" i="80"/>
  <c r="A2007" i="80"/>
  <c r="A2008" i="80"/>
  <c r="A2010" i="80"/>
  <c r="A2011" i="80"/>
  <c r="A2012" i="80"/>
  <c r="A2013" i="80"/>
  <c r="A2014" i="80"/>
  <c r="A2016" i="80"/>
  <c r="A2017" i="80"/>
  <c r="A2018" i="80"/>
  <c r="A2019" i="80"/>
  <c r="A2020" i="80"/>
  <c r="A2022" i="80"/>
  <c r="A2023" i="80"/>
  <c r="A2024" i="80"/>
  <c r="A2025" i="80"/>
  <c r="A2026" i="80"/>
  <c r="A2028" i="80"/>
  <c r="A2029" i="80"/>
  <c r="A2030" i="80"/>
  <c r="A2031" i="80"/>
  <c r="A2032" i="80"/>
  <c r="A2034" i="80"/>
  <c r="A2035" i="80"/>
  <c r="A2036" i="80"/>
  <c r="A2037" i="80"/>
  <c r="A2038" i="80"/>
  <c r="A2040" i="80"/>
  <c r="A2041" i="80"/>
  <c r="A2042" i="80"/>
  <c r="A2043" i="80"/>
  <c r="A2044" i="80"/>
  <c r="A2046" i="80"/>
  <c r="A2047" i="80"/>
  <c r="A2048" i="80"/>
  <c r="A2049" i="80"/>
  <c r="A2050" i="80"/>
  <c r="A2052" i="80"/>
  <c r="A2053" i="80"/>
  <c r="A2054" i="80"/>
  <c r="A2055" i="80"/>
  <c r="A2056" i="80"/>
  <c r="A2058" i="80"/>
  <c r="A2059" i="80"/>
  <c r="A2060" i="80"/>
  <c r="A2061" i="80"/>
  <c r="A2062" i="80"/>
  <c r="A2064" i="80"/>
  <c r="A2065" i="80"/>
  <c r="A2066" i="80"/>
  <c r="A2067" i="80"/>
  <c r="A2068" i="80"/>
  <c r="A2070" i="80"/>
  <c r="A2071" i="80"/>
  <c r="A2072" i="80"/>
  <c r="A2073" i="80"/>
  <c r="A2074" i="80"/>
  <c r="A2076" i="80"/>
  <c r="A2077" i="80"/>
  <c r="A2078" i="80"/>
  <c r="A2079" i="80"/>
  <c r="A2080" i="80"/>
  <c r="A2082" i="80"/>
  <c r="A2083" i="80"/>
  <c r="A2084" i="80"/>
  <c r="A2085" i="80"/>
  <c r="A2086" i="80"/>
  <c r="A2088" i="80"/>
  <c r="A2089" i="80"/>
  <c r="A2090" i="80"/>
  <c r="A2091" i="80"/>
  <c r="A2092" i="80"/>
  <c r="A2094" i="80"/>
  <c r="A2095" i="80"/>
  <c r="A2096" i="80"/>
  <c r="A2097" i="80"/>
  <c r="A2098" i="80"/>
  <c r="A2100" i="80"/>
  <c r="A2101" i="80"/>
  <c r="A2102" i="80"/>
  <c r="A2103" i="80"/>
  <c r="A2104" i="80"/>
  <c r="A2106" i="80"/>
  <c r="A2107" i="80"/>
  <c r="A2108" i="80"/>
  <c r="A2109" i="80"/>
  <c r="A2110" i="80"/>
  <c r="A2112" i="80"/>
  <c r="A2113" i="80"/>
  <c r="A2114" i="80"/>
  <c r="A2115" i="80"/>
  <c r="A2116" i="80"/>
  <c r="A2118" i="80"/>
  <c r="A2119" i="80"/>
  <c r="A2120" i="80"/>
  <c r="A2121" i="80"/>
  <c r="A2122" i="80"/>
  <c r="A2124" i="80"/>
  <c r="A2125" i="80"/>
  <c r="A2126" i="80"/>
  <c r="A2127" i="80"/>
  <c r="A2128" i="80"/>
  <c r="A2130" i="80"/>
  <c r="A2131" i="80"/>
  <c r="A2132" i="80"/>
  <c r="A2133" i="80"/>
  <c r="A2134" i="80"/>
  <c r="A2136" i="80"/>
  <c r="A2137" i="80"/>
  <c r="A2138" i="80"/>
  <c r="A2139" i="80"/>
  <c r="A2140" i="80"/>
  <c r="A2142" i="80"/>
  <c r="A2143" i="80"/>
  <c r="A2144" i="80"/>
  <c r="A2145" i="80"/>
  <c r="A2146" i="80"/>
  <c r="A2148" i="80"/>
  <c r="A2149" i="80"/>
  <c r="A2150" i="80"/>
  <c r="A2151" i="80"/>
  <c r="A2152" i="80"/>
  <c r="A2154" i="80"/>
  <c r="A2155" i="80"/>
  <c r="A2156" i="80"/>
  <c r="A2157" i="80"/>
  <c r="A2158" i="80"/>
  <c r="A2160" i="80"/>
  <c r="A2161" i="80"/>
  <c r="A2162" i="80"/>
  <c r="A2163" i="80"/>
  <c r="A2164" i="80"/>
  <c r="A2166" i="80"/>
  <c r="A2167" i="80"/>
  <c r="A2168" i="80"/>
  <c r="A2169" i="80"/>
  <c r="A2170" i="80"/>
  <c r="A2172" i="80"/>
  <c r="A2173" i="80"/>
  <c r="A2174" i="80"/>
  <c r="A2175" i="80"/>
  <c r="A2176" i="80"/>
  <c r="A2178" i="80"/>
  <c r="A2179" i="80"/>
  <c r="A2180" i="80"/>
  <c r="A2181" i="80"/>
  <c r="A2182" i="80"/>
  <c r="A2184" i="80"/>
  <c r="A2185" i="80"/>
  <c r="A2186" i="80"/>
  <c r="A2187" i="80"/>
  <c r="A2188" i="80"/>
  <c r="A2190" i="80"/>
  <c r="A2191" i="80"/>
  <c r="A2192" i="80"/>
  <c r="A2193" i="80"/>
  <c r="A2194" i="80"/>
  <c r="A2196" i="80"/>
  <c r="A2197" i="80"/>
  <c r="A2198" i="80"/>
  <c r="A2199" i="80"/>
  <c r="A2200" i="80"/>
  <c r="A2202" i="80"/>
  <c r="A2203" i="80"/>
  <c r="A2204" i="80"/>
  <c r="A2205" i="80"/>
  <c r="A2206" i="80"/>
  <c r="A2208" i="80"/>
  <c r="A2209" i="80"/>
  <c r="A2210" i="80"/>
  <c r="A2211" i="80"/>
  <c r="A2212" i="80"/>
  <c r="A2214" i="80"/>
  <c r="A2215" i="80"/>
  <c r="A2216" i="80"/>
  <c r="A2217" i="80"/>
  <c r="A2218" i="80"/>
  <c r="A2220" i="80"/>
  <c r="A2221" i="80"/>
  <c r="A2222" i="80"/>
  <c r="A2223" i="80"/>
  <c r="A2224" i="80"/>
  <c r="A2226" i="80"/>
  <c r="A2227" i="80"/>
  <c r="A2228" i="80"/>
  <c r="A2229" i="80"/>
  <c r="A2230" i="80"/>
  <c r="A2232" i="80"/>
  <c r="A2233" i="80"/>
  <c r="A2234" i="80"/>
  <c r="A2235" i="80"/>
  <c r="A2236" i="80"/>
  <c r="A2238" i="80"/>
  <c r="A2239" i="80"/>
  <c r="A2240" i="80"/>
  <c r="A2241" i="80"/>
  <c r="A2242" i="80"/>
  <c r="A2244" i="80"/>
  <c r="A2245" i="80"/>
  <c r="A2246" i="80"/>
  <c r="A2247" i="80"/>
  <c r="A2248" i="80"/>
  <c r="A2250" i="80"/>
  <c r="A2251" i="80"/>
  <c r="A2252" i="80"/>
  <c r="A2253" i="80"/>
  <c r="A2254" i="80"/>
  <c r="A2256" i="80"/>
  <c r="A2257" i="80"/>
  <c r="A2258" i="80"/>
  <c r="A2259" i="80"/>
  <c r="A2260" i="80"/>
  <c r="A2262" i="80"/>
  <c r="A2263" i="80"/>
  <c r="A2264" i="80"/>
  <c r="A2265" i="80"/>
  <c r="A2266" i="80"/>
  <c r="A2268" i="80"/>
  <c r="A2269" i="80"/>
  <c r="A2270" i="80"/>
  <c r="A2271" i="80"/>
  <c r="A2272" i="80"/>
  <c r="A2274" i="80"/>
  <c r="A2275" i="80"/>
  <c r="A2276" i="80"/>
  <c r="A2277" i="80"/>
  <c r="A2278" i="80"/>
  <c r="A2280" i="80"/>
  <c r="A2281" i="80"/>
  <c r="A2282" i="80"/>
  <c r="A2283" i="80"/>
  <c r="A2284" i="80"/>
  <c r="A2286" i="80"/>
  <c r="A2287" i="80"/>
  <c r="A2288" i="80"/>
  <c r="A2289" i="80"/>
  <c r="A2290" i="80"/>
  <c r="A2292" i="80"/>
  <c r="A2293" i="80"/>
  <c r="A2294" i="80"/>
  <c r="A2295" i="80"/>
  <c r="A2296" i="80"/>
  <c r="A2298" i="80"/>
  <c r="A2299" i="80"/>
  <c r="A2300" i="80"/>
  <c r="A2301" i="80"/>
  <c r="A2302" i="80"/>
  <c r="A2304" i="80"/>
  <c r="A2305" i="80"/>
  <c r="A2306" i="80"/>
  <c r="A2307" i="80"/>
  <c r="A2308" i="80"/>
  <c r="A2310" i="80"/>
  <c r="A2311" i="80"/>
  <c r="A2312" i="80"/>
  <c r="A2313" i="80"/>
  <c r="A2314" i="80"/>
  <c r="A2316" i="80"/>
  <c r="A2317" i="80"/>
  <c r="A2318" i="80"/>
  <c r="A2319" i="80"/>
  <c r="A2320" i="80"/>
  <c r="A2322" i="80"/>
  <c r="A2323" i="80"/>
  <c r="A2324" i="80"/>
  <c r="A2325" i="80"/>
  <c r="A2326" i="80"/>
  <c r="A2328" i="80"/>
  <c r="A2329" i="80"/>
  <c r="A2330" i="80"/>
  <c r="A2331" i="80"/>
  <c r="A2332" i="80"/>
  <c r="A2334" i="80"/>
  <c r="A2335" i="80"/>
  <c r="A2336" i="80"/>
  <c r="A2337" i="80"/>
  <c r="A2338" i="80"/>
  <c r="A2340" i="80"/>
  <c r="A2341" i="80"/>
  <c r="A2342" i="80"/>
  <c r="A2343" i="80"/>
  <c r="A2344" i="80"/>
  <c r="A2346" i="80"/>
  <c r="A2347" i="80"/>
  <c r="A2348" i="80"/>
  <c r="A2349" i="80"/>
  <c r="A2350" i="80"/>
  <c r="A2352" i="80"/>
  <c r="A2353" i="80"/>
  <c r="A2354" i="80"/>
  <c r="A2355" i="80"/>
  <c r="A2356" i="80"/>
  <c r="A2358" i="80"/>
  <c r="A2359" i="80"/>
  <c r="A2360" i="80"/>
  <c r="A2361" i="80"/>
  <c r="A2362" i="80"/>
  <c r="A2364" i="80"/>
  <c r="A2365" i="80"/>
  <c r="A2366" i="80"/>
  <c r="A2367" i="80"/>
  <c r="A2368" i="80"/>
  <c r="A2370" i="80"/>
  <c r="A2371" i="80"/>
  <c r="A2372" i="80"/>
  <c r="A2373" i="80"/>
  <c r="A2374" i="80"/>
  <c r="A2376" i="80"/>
  <c r="A2377" i="80"/>
  <c r="A2378" i="80"/>
  <c r="A2379" i="80"/>
  <c r="A2380" i="80"/>
  <c r="A2382" i="80"/>
  <c r="A2383" i="80"/>
  <c r="A2384" i="80"/>
  <c r="A2385" i="80"/>
  <c r="A2386" i="80"/>
  <c r="A2388" i="80"/>
  <c r="A2389" i="80"/>
  <c r="A2390" i="80"/>
  <c r="A2391" i="80"/>
  <c r="A2392" i="80"/>
  <c r="A2394" i="80"/>
  <c r="A2395" i="80"/>
  <c r="A2396" i="80"/>
  <c r="A2397" i="80"/>
  <c r="A2398" i="80"/>
  <c r="A2400" i="80"/>
  <c r="A2401" i="80"/>
  <c r="A2402" i="80"/>
  <c r="A2403" i="80"/>
  <c r="A2404" i="80"/>
  <c r="A2406" i="80"/>
  <c r="A2407" i="80"/>
  <c r="A2408" i="80"/>
  <c r="A2409" i="80"/>
  <c r="A2410" i="80"/>
  <c r="A2412" i="80"/>
  <c r="A2413" i="80"/>
  <c r="A2414" i="80"/>
  <c r="A2415" i="80"/>
  <c r="A2416" i="80"/>
  <c r="A2418" i="80"/>
  <c r="A2419" i="80"/>
  <c r="A2420" i="80"/>
  <c r="A2421" i="80"/>
  <c r="A2422" i="80"/>
  <c r="A2424" i="80"/>
  <c r="A2425" i="80"/>
  <c r="A2426" i="80"/>
  <c r="A2427" i="80"/>
  <c r="A2428" i="80"/>
  <c r="A2430" i="80"/>
  <c r="A2431" i="80"/>
  <c r="A2432" i="80"/>
  <c r="A2433" i="80"/>
  <c r="A2434" i="80"/>
  <c r="A2436" i="80"/>
  <c r="A2437" i="80"/>
  <c r="A2438" i="80"/>
  <c r="A2439" i="80"/>
  <c r="A2440" i="80"/>
  <c r="A2442" i="80"/>
  <c r="A2443" i="80"/>
  <c r="A2444" i="80"/>
  <c r="A2445" i="80"/>
  <c r="A2446" i="80"/>
  <c r="A2448" i="80"/>
  <c r="A2449" i="80"/>
  <c r="A2450" i="80"/>
  <c r="A2451" i="80"/>
  <c r="A2452" i="80"/>
  <c r="A2454" i="80"/>
  <c r="A2455" i="80"/>
  <c r="A2456" i="80"/>
  <c r="A2457" i="80"/>
  <c r="A2458" i="80"/>
  <c r="A2460" i="80"/>
  <c r="A2461" i="80"/>
  <c r="A2462" i="80"/>
  <c r="A2463" i="80"/>
  <c r="A2464" i="80"/>
  <c r="A2466" i="80"/>
  <c r="A2467" i="80"/>
  <c r="A2468" i="80"/>
  <c r="A2469" i="80"/>
  <c r="A2470" i="80"/>
  <c r="A2472" i="80"/>
  <c r="A2473" i="80"/>
  <c r="A2474" i="80"/>
  <c r="A2475" i="80"/>
  <c r="A2476" i="80"/>
  <c r="A2478" i="80"/>
  <c r="A2479" i="80"/>
  <c r="A2480" i="80"/>
  <c r="A2481" i="80"/>
  <c r="A2482" i="80"/>
  <c r="A2484" i="80"/>
  <c r="A2485" i="80"/>
  <c r="A2486" i="80"/>
  <c r="A2487" i="80"/>
  <c r="A2488" i="80"/>
  <c r="A2490" i="80"/>
  <c r="A2491" i="80"/>
  <c r="A2492" i="80"/>
  <c r="A2493" i="80"/>
  <c r="A2494" i="80"/>
  <c r="A2496" i="80"/>
  <c r="A2497" i="80"/>
  <c r="A2498" i="80"/>
  <c r="A2499" i="80"/>
  <c r="A2500" i="80"/>
  <c r="A2502" i="80"/>
  <c r="A2503" i="80"/>
  <c r="A2504" i="80"/>
  <c r="A2505" i="80"/>
  <c r="A2506" i="80"/>
  <c r="A2508" i="80"/>
  <c r="A2509" i="80"/>
  <c r="A2510" i="80"/>
  <c r="A2511" i="80"/>
  <c r="A2512" i="80"/>
  <c r="A2514" i="80"/>
  <c r="A2515" i="80"/>
  <c r="A2516" i="80"/>
  <c r="A2517" i="80"/>
  <c r="A2518" i="80"/>
  <c r="A2520" i="80"/>
  <c r="A2521" i="80"/>
  <c r="A2522" i="80"/>
  <c r="A2523" i="80"/>
  <c r="A2524" i="80"/>
  <c r="A2526" i="80"/>
  <c r="A2527" i="80"/>
  <c r="A2528" i="80"/>
  <c r="A2529" i="80"/>
  <c r="A2530" i="80"/>
  <c r="A2532" i="80"/>
  <c r="A2533" i="80"/>
  <c r="A2534" i="80"/>
  <c r="A2535" i="80"/>
  <c r="A2536" i="80"/>
  <c r="A2538" i="80"/>
  <c r="A2539" i="80"/>
  <c r="A2540" i="80"/>
  <c r="A2541" i="80"/>
  <c r="A2542" i="80"/>
  <c r="A2544" i="80"/>
  <c r="A2545" i="80"/>
  <c r="A2546" i="80"/>
  <c r="A2547" i="80"/>
  <c r="A2548" i="80"/>
  <c r="A2550" i="80"/>
  <c r="A2551" i="80"/>
  <c r="A2552" i="80"/>
  <c r="A2553" i="80"/>
  <c r="A2554" i="80"/>
  <c r="A2556" i="80"/>
  <c r="A2557" i="80"/>
  <c r="A2558" i="80"/>
  <c r="A2559" i="80"/>
  <c r="A2560" i="80"/>
  <c r="A2562" i="80"/>
  <c r="A2563" i="80"/>
  <c r="A2564" i="80"/>
  <c r="A2565" i="80"/>
  <c r="A2566" i="80"/>
  <c r="A2568" i="80"/>
  <c r="A2569" i="80"/>
  <c r="A2570" i="80"/>
  <c r="A2571" i="80"/>
  <c r="A2572" i="80"/>
  <c r="A2574" i="80"/>
  <c r="A2575" i="80"/>
  <c r="A2576" i="80"/>
  <c r="A2577" i="80"/>
  <c r="A2578" i="80"/>
  <c r="A2580" i="80"/>
  <c r="A2581" i="80"/>
  <c r="A2582" i="80"/>
  <c r="A2583" i="80"/>
  <c r="A2584" i="80"/>
  <c r="A2586" i="80"/>
  <c r="A2587" i="80"/>
  <c r="A2588" i="80"/>
  <c r="A2589" i="80"/>
  <c r="A2590" i="80"/>
  <c r="A2592" i="80"/>
  <c r="A2593" i="80"/>
  <c r="A2594" i="80"/>
  <c r="A2595" i="80"/>
  <c r="A2596" i="80"/>
  <c r="A2598" i="80"/>
  <c r="A2599" i="80"/>
  <c r="A2600" i="80"/>
  <c r="A2601" i="80"/>
  <c r="A2602" i="80"/>
  <c r="A2604" i="80"/>
  <c r="A2605" i="80"/>
  <c r="A2606" i="80"/>
  <c r="A2607" i="80"/>
  <c r="A2608" i="80"/>
  <c r="A2610" i="80"/>
  <c r="A2611" i="80"/>
  <c r="A2612" i="80"/>
  <c r="A2613" i="80"/>
  <c r="A2614" i="80"/>
  <c r="A2616" i="80"/>
  <c r="A2617" i="80"/>
  <c r="A2618" i="80"/>
  <c r="A2619" i="80"/>
  <c r="A2620" i="80"/>
  <c r="A2622" i="80"/>
  <c r="A2623" i="80"/>
  <c r="A2624" i="80"/>
  <c r="A2625" i="80"/>
  <c r="A2626" i="80"/>
  <c r="A2628" i="80"/>
  <c r="A2629" i="80"/>
  <c r="A2630" i="80"/>
  <c r="A2631" i="80"/>
  <c r="A2632" i="80"/>
  <c r="A2634" i="80"/>
  <c r="A2635" i="80"/>
  <c r="A2636" i="80"/>
  <c r="A2637" i="80"/>
  <c r="A2638" i="80"/>
  <c r="A2640" i="80"/>
  <c r="A2641" i="80"/>
  <c r="A2642" i="80"/>
  <c r="A2643" i="80"/>
  <c r="A2644" i="80"/>
  <c r="A2646" i="80"/>
  <c r="A2647" i="80"/>
  <c r="A2648" i="80"/>
  <c r="A2649" i="80"/>
  <c r="A2650" i="80"/>
  <c r="A2652" i="80"/>
  <c r="A2653" i="80"/>
  <c r="A2654" i="80"/>
  <c r="A2655" i="80"/>
  <c r="A2656" i="80"/>
  <c r="A2658" i="80"/>
  <c r="A2659" i="80"/>
  <c r="A2660" i="80"/>
  <c r="A2661" i="80"/>
  <c r="A2662" i="80"/>
  <c r="A2664" i="80"/>
  <c r="A2665" i="80"/>
  <c r="A2666" i="80"/>
  <c r="A2667" i="80"/>
  <c r="A2668" i="80"/>
  <c r="A2670" i="80"/>
  <c r="A2671" i="80"/>
  <c r="A2672" i="80"/>
  <c r="A2673" i="80"/>
  <c r="A2674" i="80"/>
  <c r="A2676" i="80"/>
  <c r="A2677" i="80"/>
  <c r="A2678" i="80"/>
  <c r="A2679" i="80"/>
  <c r="A2680" i="80"/>
  <c r="A2682" i="80"/>
  <c r="A2683" i="80"/>
  <c r="A2684" i="80"/>
  <c r="A2685" i="80"/>
  <c r="A2686" i="80"/>
  <c r="A2688" i="80"/>
  <c r="A2689" i="80"/>
  <c r="A2690" i="80"/>
  <c r="A2691" i="80"/>
  <c r="A2692" i="80"/>
  <c r="A2694" i="80"/>
  <c r="A2695" i="80"/>
  <c r="A2696" i="80"/>
  <c r="A2697" i="80"/>
  <c r="A2698" i="80"/>
  <c r="A2700" i="80"/>
  <c r="A2701" i="80"/>
  <c r="A2702" i="80"/>
  <c r="A2703" i="80"/>
  <c r="A2704" i="80"/>
  <c r="A2706" i="80"/>
  <c r="A2707" i="80"/>
  <c r="A2708" i="80"/>
  <c r="A2709" i="80"/>
  <c r="A2710" i="80"/>
  <c r="A2712" i="80"/>
  <c r="A2713" i="80"/>
  <c r="A2714" i="80"/>
  <c r="A2715" i="80"/>
  <c r="A2716" i="80"/>
  <c r="A2718" i="80"/>
  <c r="A2719" i="80"/>
  <c r="A2720" i="80"/>
  <c r="A2721" i="80"/>
  <c r="A2722" i="80"/>
  <c r="A2724" i="80"/>
  <c r="A2725" i="80"/>
  <c r="A2726" i="80"/>
  <c r="A2727" i="80"/>
  <c r="A2728" i="80"/>
  <c r="A2730" i="80"/>
  <c r="A2731" i="80"/>
  <c r="A2732" i="80"/>
  <c r="A2733" i="80"/>
  <c r="A2734" i="80"/>
  <c r="A2736" i="80"/>
  <c r="A2737" i="80"/>
  <c r="A2738" i="80"/>
  <c r="A2739" i="80"/>
  <c r="A2740" i="80"/>
  <c r="A2742" i="80"/>
  <c r="A2743" i="80"/>
  <c r="A2744" i="80"/>
  <c r="A2745" i="80"/>
  <c r="A2746" i="80"/>
  <c r="A2748" i="80"/>
  <c r="A2749" i="80"/>
  <c r="A2750" i="80"/>
  <c r="A2751" i="80"/>
  <c r="A2752" i="80"/>
  <c r="A2754" i="80"/>
  <c r="A2755" i="80"/>
  <c r="A2756" i="80"/>
  <c r="A2757" i="80"/>
  <c r="A2758" i="80"/>
  <c r="A2760" i="80"/>
  <c r="A2761" i="80"/>
  <c r="A2762" i="80"/>
  <c r="A2763" i="80"/>
  <c r="A2764" i="80"/>
  <c r="A2766" i="80"/>
  <c r="A2767" i="80"/>
  <c r="A2768" i="80"/>
  <c r="A2769" i="80"/>
  <c r="A2770" i="80"/>
  <c r="A2772" i="80"/>
  <c r="A2773" i="80"/>
  <c r="A2774" i="80"/>
  <c r="A2775" i="80"/>
  <c r="A2776" i="80"/>
  <c r="A2778" i="80"/>
  <c r="A2779" i="80"/>
  <c r="A2780" i="80"/>
  <c r="A2781" i="80"/>
  <c r="A2782" i="80"/>
  <c r="A2784" i="80"/>
  <c r="A2785" i="80"/>
  <c r="A2786" i="80"/>
  <c r="A2787" i="80"/>
  <c r="A2788" i="80"/>
  <c r="A2790" i="80"/>
  <c r="A2791" i="80"/>
  <c r="A2792" i="80"/>
  <c r="A2793" i="80"/>
  <c r="A2794" i="80"/>
  <c r="A2796" i="80"/>
  <c r="A2797" i="80"/>
  <c r="A2798" i="80"/>
  <c r="A2799" i="80"/>
  <c r="A2800" i="80"/>
  <c r="A2802" i="80"/>
  <c r="A2803" i="80"/>
  <c r="A2804" i="80"/>
  <c r="A2805" i="80"/>
  <c r="A2806" i="80"/>
  <c r="A2808" i="80"/>
  <c r="A2809" i="80"/>
  <c r="A2810" i="80"/>
  <c r="A2811" i="80"/>
  <c r="A2812" i="80"/>
  <c r="A2814" i="80"/>
  <c r="A2815" i="80"/>
  <c r="A2816" i="80"/>
  <c r="A2817" i="80"/>
  <c r="A2818" i="80"/>
  <c r="A2820" i="80"/>
  <c r="A2821" i="80"/>
  <c r="A2822" i="80"/>
  <c r="A2823" i="80"/>
  <c r="A2824" i="80"/>
  <c r="A2826" i="80"/>
  <c r="A2827" i="80"/>
  <c r="A2828" i="80"/>
  <c r="A2829" i="80"/>
  <c r="A2830" i="80"/>
  <c r="A2832" i="80"/>
  <c r="A2833" i="80"/>
  <c r="A2834" i="80"/>
  <c r="A2835" i="80"/>
  <c r="A2836" i="80"/>
  <c r="A2838" i="80"/>
  <c r="A2839" i="80"/>
  <c r="A2840" i="80"/>
  <c r="A2841" i="80"/>
  <c r="A2842" i="80"/>
  <c r="A2844" i="80"/>
  <c r="A2845" i="80"/>
  <c r="A2846" i="80"/>
  <c r="A2847" i="80"/>
  <c r="A2848" i="80"/>
  <c r="A2850" i="80"/>
  <c r="A2851" i="80"/>
  <c r="A2852" i="80"/>
  <c r="A2853" i="80"/>
  <c r="A2854" i="80"/>
  <c r="A2856" i="80"/>
  <c r="A2857" i="80"/>
  <c r="A2858" i="80"/>
  <c r="A2859" i="80"/>
  <c r="A2860" i="80"/>
  <c r="A2862" i="80"/>
  <c r="A2863" i="80"/>
  <c r="A2864" i="80"/>
  <c r="A2865" i="80"/>
  <c r="A2866" i="80"/>
  <c r="A2868" i="80"/>
  <c r="A2869" i="80"/>
  <c r="A2870" i="80"/>
  <c r="A2871" i="80"/>
  <c r="A2872" i="80"/>
  <c r="A2874" i="80"/>
  <c r="A2875" i="80"/>
  <c r="A2876" i="80"/>
  <c r="A2877" i="80"/>
  <c r="A2878" i="80"/>
  <c r="A2880" i="80"/>
  <c r="A2881" i="80"/>
  <c r="A2882" i="80"/>
  <c r="A2883" i="80"/>
  <c r="A2884" i="80"/>
  <c r="A2886" i="80"/>
  <c r="A2887" i="80"/>
  <c r="A2888" i="80"/>
  <c r="A2889" i="80"/>
  <c r="A2890" i="80"/>
  <c r="A2892" i="80"/>
  <c r="A2893" i="80"/>
  <c r="A2894" i="80"/>
  <c r="A2895" i="80"/>
  <c r="A2896" i="80"/>
  <c r="A2898" i="80"/>
  <c r="A2899" i="80"/>
  <c r="A2900" i="80"/>
  <c r="A2901" i="80"/>
  <c r="A2902" i="80"/>
  <c r="A2904" i="80"/>
  <c r="A2905" i="80"/>
  <c r="A2906" i="80"/>
  <c r="A2907" i="80"/>
  <c r="A2908" i="80"/>
  <c r="A2910" i="80"/>
  <c r="A2911" i="80"/>
  <c r="A2912" i="80"/>
  <c r="A2913" i="80"/>
  <c r="A2914" i="80"/>
  <c r="A2916" i="80"/>
  <c r="A2917" i="80"/>
  <c r="A2918" i="80"/>
  <c r="A2919" i="80"/>
  <c r="A2920" i="80"/>
  <c r="A2922" i="80"/>
  <c r="A2923" i="80"/>
  <c r="A2924" i="80"/>
  <c r="A2925" i="80"/>
  <c r="A2926" i="80"/>
  <c r="A2928" i="80"/>
  <c r="A2929" i="80"/>
  <c r="A2930" i="80"/>
  <c r="A2931" i="80"/>
  <c r="A2932" i="80"/>
  <c r="A2934" i="80"/>
  <c r="A2935" i="80"/>
  <c r="A2936" i="80"/>
  <c r="A2937" i="80"/>
  <c r="A2938" i="80"/>
  <c r="A2940" i="80"/>
  <c r="A2941" i="80"/>
  <c r="A2942" i="80"/>
  <c r="A2943" i="80"/>
  <c r="A2944" i="80"/>
  <c r="A2946" i="80"/>
  <c r="A2947" i="80"/>
  <c r="A2948" i="80"/>
  <c r="A2949" i="80"/>
  <c r="A2950" i="80"/>
  <c r="A2952" i="80"/>
  <c r="A2953" i="80"/>
  <c r="A2954" i="80"/>
  <c r="A2955" i="80"/>
  <c r="A2956" i="80"/>
  <c r="A2958" i="80"/>
  <c r="A2959" i="80"/>
  <c r="A2960" i="80"/>
  <c r="A2961" i="80"/>
  <c r="A2962" i="80"/>
  <c r="A2964" i="80"/>
  <c r="A2965" i="80"/>
  <c r="A2966" i="80"/>
  <c r="A2967" i="80"/>
  <c r="A2968" i="80"/>
  <c r="A2970" i="80"/>
  <c r="A2971" i="80"/>
  <c r="A2972" i="80"/>
  <c r="A2973" i="80"/>
  <c r="A2974" i="80"/>
  <c r="A2976" i="80"/>
  <c r="A2977" i="80"/>
  <c r="A2978" i="80"/>
  <c r="A2979" i="80"/>
  <c r="A2980" i="80"/>
  <c r="A2982" i="80"/>
  <c r="A2983" i="80"/>
  <c r="A2984" i="80"/>
  <c r="A2985" i="80"/>
  <c r="A2986" i="80"/>
  <c r="A2988" i="80"/>
  <c r="A2989" i="80"/>
  <c r="A2990" i="80"/>
  <c r="A2991" i="80"/>
  <c r="A2992" i="80"/>
  <c r="A2994" i="80"/>
  <c r="A2995" i="80"/>
  <c r="A2996" i="80"/>
  <c r="A2997" i="80"/>
  <c r="A2998" i="80"/>
  <c r="A3000" i="80"/>
  <c r="A3001" i="80"/>
  <c r="A3002" i="80"/>
  <c r="A3003" i="80"/>
  <c r="A3004" i="80"/>
  <c r="A3005" i="80"/>
  <c r="A3006" i="80"/>
  <c r="A3007" i="80"/>
  <c r="A3008" i="80"/>
  <c r="A3009" i="80"/>
  <c r="A3010" i="80"/>
  <c r="A3011" i="80"/>
  <c r="A3013" i="80"/>
  <c r="A3014" i="80"/>
  <c r="A3015" i="80"/>
  <c r="A3016" i="80"/>
  <c r="A3017" i="80"/>
  <c r="A3019" i="80"/>
  <c r="A3020" i="80"/>
  <c r="A3021" i="80"/>
  <c r="A3022" i="80"/>
  <c r="A3023" i="80"/>
  <c r="A3025" i="80"/>
  <c r="A3026" i="80"/>
  <c r="A3027" i="80"/>
  <c r="A3028" i="80"/>
  <c r="A3029" i="80"/>
  <c r="A3031" i="80"/>
  <c r="A3032" i="80"/>
  <c r="A3033" i="80"/>
  <c r="A3035" i="80"/>
  <c r="A3036" i="80"/>
  <c r="A3037" i="80"/>
  <c r="A3038" i="80"/>
  <c r="A3040" i="80"/>
  <c r="A3041" i="80"/>
  <c r="A3042" i="80"/>
  <c r="A3043" i="80"/>
  <c r="A3045" i="80"/>
  <c r="A3046" i="80"/>
  <c r="A3047" i="80"/>
  <c r="A3048" i="80"/>
  <c r="A3050" i="80"/>
  <c r="A3051" i="80"/>
  <c r="A3052" i="80"/>
  <c r="A3053" i="80"/>
  <c r="A3055" i="80"/>
  <c r="A3056" i="80"/>
  <c r="A3057" i="80"/>
  <c r="A3058" i="80"/>
  <c r="A3060" i="80"/>
  <c r="A3061" i="80"/>
  <c r="A3062" i="80"/>
  <c r="A3063" i="80"/>
  <c r="A3065" i="80"/>
  <c r="A3066" i="80"/>
  <c r="A3067" i="80"/>
  <c r="A3068" i="80"/>
  <c r="A3070" i="80"/>
  <c r="A3071" i="80"/>
  <c r="A3072" i="80"/>
  <c r="A3073" i="80"/>
  <c r="A3075" i="80"/>
  <c r="A3076" i="80"/>
  <c r="A3077" i="80"/>
  <c r="A3078" i="80"/>
  <c r="A3080" i="80"/>
  <c r="A3081" i="80"/>
  <c r="A3082" i="80"/>
  <c r="A3083" i="80"/>
  <c r="A3085" i="80"/>
  <c r="A3086" i="80"/>
  <c r="A3087" i="80"/>
  <c r="A3088" i="80"/>
  <c r="A3090" i="80"/>
  <c r="A3091" i="80"/>
  <c r="A3092" i="80"/>
  <c r="A3093" i="80"/>
  <c r="A3095" i="80"/>
  <c r="A3096" i="80"/>
  <c r="A3097" i="80"/>
  <c r="A3098" i="80"/>
  <c r="A3100" i="80"/>
  <c r="A3101" i="80"/>
  <c r="A3102" i="80"/>
  <c r="A3103" i="80"/>
  <c r="A3105" i="80"/>
  <c r="A3106" i="80"/>
  <c r="A3107" i="80"/>
  <c r="A3108" i="80"/>
  <c r="A3110" i="80"/>
  <c r="A3111" i="80"/>
  <c r="A3112" i="80"/>
  <c r="A3113" i="80"/>
  <c r="A3115" i="80"/>
  <c r="A3116" i="80"/>
  <c r="A3117" i="80"/>
  <c r="A3118" i="80"/>
  <c r="A3120" i="80"/>
  <c r="A3121" i="80"/>
  <c r="A3122" i="80"/>
  <c r="A3123" i="80"/>
  <c r="A3125" i="80"/>
  <c r="A3126" i="80"/>
  <c r="A3127" i="80"/>
  <c r="A3128" i="80"/>
  <c r="A3130" i="80"/>
  <c r="A3131" i="80"/>
  <c r="A3132" i="80"/>
  <c r="A3133" i="80"/>
  <c r="A3135" i="80"/>
  <c r="A3136" i="80"/>
  <c r="A3137" i="80"/>
  <c r="A3138" i="80"/>
  <c r="A3140" i="80"/>
  <c r="A3141" i="80"/>
  <c r="A3142" i="80"/>
  <c r="A3143" i="80"/>
  <c r="A3145" i="80"/>
  <c r="A3146" i="80"/>
  <c r="A3147" i="80"/>
  <c r="A3148" i="80"/>
  <c r="A3150" i="80"/>
  <c r="A3151" i="80"/>
  <c r="A3152" i="80"/>
  <c r="A3153" i="80"/>
  <c r="A3155" i="80"/>
  <c r="A3156" i="80"/>
  <c r="A3157" i="80"/>
  <c r="A3158" i="80"/>
  <c r="A3160" i="80"/>
  <c r="A3161" i="80"/>
  <c r="A3162" i="80"/>
  <c r="A3163" i="80"/>
  <c r="A3165" i="80"/>
  <c r="A3166" i="80"/>
  <c r="A3167" i="80"/>
  <c r="A3168" i="80"/>
  <c r="A3170" i="80"/>
  <c r="A3171" i="80"/>
  <c r="A3172" i="80"/>
  <c r="A3173" i="80"/>
  <c r="A3175" i="80"/>
  <c r="A3176" i="80"/>
  <c r="A3177" i="80"/>
  <c r="A3178" i="80"/>
  <c r="A3180" i="80"/>
  <c r="A3181" i="80"/>
  <c r="A3182" i="80"/>
  <c r="A3183" i="80"/>
  <c r="A3185" i="80"/>
  <c r="A3186" i="80"/>
  <c r="A3187" i="80"/>
  <c r="A3188" i="80"/>
  <c r="A3190" i="80"/>
  <c r="A3191" i="80"/>
  <c r="A3192" i="80"/>
  <c r="A3193" i="80"/>
  <c r="A3195" i="80"/>
  <c r="A3196" i="80"/>
  <c r="A3197" i="80"/>
  <c r="A3198" i="80"/>
  <c r="A3200" i="80"/>
  <c r="A3201" i="80"/>
  <c r="A3202" i="80"/>
  <c r="A3203" i="80"/>
  <c r="A3205" i="80"/>
  <c r="A3206" i="80"/>
  <c r="A3207" i="80"/>
  <c r="A3208" i="80"/>
  <c r="A3210" i="80"/>
  <c r="A3211" i="80"/>
  <c r="A3212" i="80"/>
  <c r="A3213" i="80"/>
  <c r="A3215" i="80"/>
  <c r="A3216" i="80"/>
  <c r="A3217" i="80"/>
  <c r="A3218" i="80"/>
  <c r="A3220" i="80"/>
  <c r="A3221" i="80"/>
  <c r="A3222" i="80"/>
  <c r="A3223" i="80"/>
  <c r="A3225" i="80"/>
  <c r="A3226" i="80"/>
  <c r="A3227" i="80"/>
  <c r="A3228" i="80"/>
  <c r="A3230" i="80"/>
  <c r="A3231" i="80"/>
  <c r="A3232" i="80"/>
  <c r="A3233" i="80"/>
  <c r="A3235" i="80"/>
  <c r="A3236" i="80"/>
  <c r="A3237" i="80"/>
  <c r="A3238" i="80"/>
  <c r="A3240" i="80"/>
  <c r="A3241" i="80"/>
  <c r="A3242" i="80"/>
  <c r="A3243" i="80"/>
  <c r="A3245" i="80"/>
  <c r="A3246" i="80"/>
  <c r="A3247" i="80"/>
  <c r="A3248" i="80"/>
  <c r="A3250" i="80"/>
  <c r="A3251" i="80"/>
  <c r="A3252" i="80"/>
  <c r="A3253" i="80"/>
  <c r="A3255" i="80"/>
  <c r="A3256" i="80"/>
  <c r="A3257" i="80"/>
  <c r="A3258" i="80"/>
  <c r="A3260" i="80"/>
  <c r="A3261" i="80"/>
  <c r="A3262" i="80"/>
  <c r="A3263" i="80"/>
  <c r="A3265" i="80"/>
  <c r="A3266" i="80"/>
  <c r="A3267" i="80"/>
  <c r="A3268" i="80"/>
  <c r="A3270" i="80"/>
  <c r="A3271" i="80"/>
  <c r="A3272" i="80"/>
  <c r="A3273" i="80"/>
  <c r="A3275" i="80"/>
  <c r="A3276" i="80"/>
  <c r="A3277" i="80"/>
  <c r="A3278" i="80"/>
  <c r="A3280" i="80"/>
  <c r="A3281" i="80"/>
  <c r="A3282" i="80"/>
  <c r="A3283" i="80"/>
  <c r="A3285" i="80"/>
  <c r="A3286" i="80"/>
  <c r="A3287" i="80"/>
  <c r="A3288" i="80"/>
  <c r="A3290" i="80"/>
  <c r="A3291" i="80"/>
  <c r="A3292" i="80"/>
  <c r="A3293" i="80"/>
  <c r="A3295" i="80"/>
  <c r="A3296" i="80"/>
  <c r="A3297" i="80"/>
  <c r="A3298" i="80"/>
  <c r="A3300" i="80"/>
  <c r="A3301" i="80"/>
  <c r="A3302" i="80"/>
  <c r="A3303" i="80"/>
  <c r="A3305" i="80"/>
  <c r="A3306" i="80"/>
  <c r="A3307" i="80"/>
  <c r="A3308" i="80"/>
  <c r="A3310" i="80"/>
  <c r="A3311" i="80"/>
  <c r="A3312" i="80"/>
  <c r="A3313" i="80"/>
  <c r="A3315" i="80"/>
  <c r="A3316" i="80"/>
  <c r="A3317" i="80"/>
  <c r="A3318" i="80"/>
  <c r="A3320" i="80"/>
  <c r="A3321" i="80"/>
  <c r="A3322" i="80"/>
  <c r="A3323" i="80"/>
  <c r="A3325" i="80"/>
  <c r="A3326" i="80"/>
  <c r="A3327" i="80"/>
  <c r="A3328" i="80"/>
  <c r="A3330" i="80"/>
  <c r="A3331" i="80"/>
  <c r="A3332" i="80"/>
  <c r="A3333" i="80"/>
  <c r="A3335" i="80"/>
  <c r="A3336" i="80"/>
  <c r="A3337" i="80"/>
  <c r="A3338" i="80"/>
  <c r="A3340" i="80"/>
  <c r="A3341" i="80"/>
  <c r="A3342" i="80"/>
  <c r="A3343" i="80"/>
  <c r="A3345" i="80"/>
  <c r="A3346" i="80"/>
  <c r="A3347" i="80"/>
  <c r="A3348" i="80"/>
  <c r="A3350" i="80"/>
  <c r="A3351" i="80"/>
  <c r="A3352" i="80"/>
  <c r="A3353" i="80"/>
  <c r="A3355" i="80"/>
  <c r="A3356" i="80"/>
  <c r="A3357" i="80"/>
  <c r="A3358" i="80"/>
  <c r="A3360" i="80"/>
  <c r="A3361" i="80"/>
  <c r="A3362" i="80"/>
  <c r="A3363" i="80"/>
  <c r="A3365" i="80"/>
  <c r="A3366" i="80"/>
  <c r="A3367" i="80"/>
  <c r="A3368" i="80"/>
  <c r="A3370" i="80"/>
  <c r="A3371" i="80"/>
  <c r="A3372" i="80"/>
  <c r="A3373" i="80"/>
  <c r="A3375" i="80"/>
  <c r="A3376" i="80"/>
  <c r="A3377" i="80"/>
  <c r="A3378" i="80"/>
  <c r="A3380" i="80"/>
  <c r="A3381" i="80"/>
  <c r="A3382" i="80"/>
  <c r="A3383" i="80"/>
  <c r="A3385" i="80"/>
  <c r="A3386" i="80"/>
  <c r="A3387" i="80"/>
  <c r="A3388" i="80"/>
  <c r="A3390" i="80"/>
  <c r="A3391" i="80"/>
  <c r="A3392" i="80"/>
  <c r="A3393" i="80"/>
  <c r="A3394" i="80"/>
  <c r="A3395" i="80"/>
  <c r="A3397" i="80"/>
  <c r="A3398" i="80"/>
  <c r="A3399" i="80"/>
  <c r="A3400" i="80"/>
  <c r="A3401" i="80"/>
  <c r="A3403" i="80"/>
  <c r="A3404" i="80"/>
  <c r="A3405" i="80"/>
  <c r="A3406" i="80"/>
  <c r="A3407" i="80"/>
  <c r="A3409" i="80"/>
  <c r="A3410" i="80"/>
  <c r="A3411" i="80"/>
  <c r="A3412" i="80"/>
  <c r="A3413" i="80"/>
  <c r="A3415" i="80"/>
  <c r="A3416" i="80"/>
  <c r="A3417" i="80"/>
  <c r="A3418" i="80"/>
  <c r="A3419" i="80"/>
  <c r="A3421" i="80"/>
  <c r="A3422" i="80"/>
  <c r="A3423" i="80"/>
  <c r="A3424" i="80"/>
  <c r="A3425" i="80"/>
  <c r="A3427" i="80"/>
  <c r="A3428" i="80"/>
  <c r="A3429" i="80"/>
  <c r="A3430" i="80"/>
  <c r="A3431" i="80"/>
  <c r="A3433" i="80"/>
  <c r="A3434" i="80"/>
  <c r="A3435" i="80"/>
  <c r="A3436" i="80"/>
  <c r="A3437" i="80"/>
  <c r="A3439" i="80"/>
  <c r="A3440" i="80"/>
  <c r="A3441" i="80"/>
  <c r="A3442" i="80"/>
  <c r="A3443" i="80"/>
  <c r="A3445" i="80"/>
  <c r="A3446" i="80"/>
  <c r="A3447" i="80"/>
  <c r="A3448" i="80"/>
  <c r="A3449" i="80"/>
  <c r="A3451" i="80"/>
  <c r="A3452" i="80"/>
  <c r="A3453" i="80"/>
  <c r="A3454" i="80"/>
  <c r="A3455" i="80"/>
  <c r="A3457" i="80"/>
  <c r="A3458" i="80"/>
  <c r="A3459" i="80"/>
  <c r="A3460" i="80"/>
  <c r="A3461" i="80"/>
  <c r="A3463" i="80"/>
  <c r="A3464" i="80"/>
  <c r="A3465" i="80"/>
  <c r="A3466" i="80"/>
  <c r="A3467" i="80"/>
  <c r="A3469" i="80"/>
  <c r="A3470" i="80"/>
  <c r="A3471" i="80"/>
  <c r="A3472" i="80"/>
  <c r="A3473" i="80"/>
  <c r="A3475" i="80"/>
  <c r="A3476" i="80"/>
  <c r="A3477" i="80"/>
  <c r="A3478" i="80"/>
  <c r="A3479" i="80"/>
  <c r="A3481" i="80"/>
  <c r="A3482" i="80"/>
  <c r="A3483" i="80"/>
  <c r="A3484" i="80"/>
  <c r="A3485" i="80"/>
  <c r="A3487" i="80"/>
  <c r="A3488" i="80"/>
  <c r="A3489" i="80"/>
  <c r="A3490" i="80"/>
  <c r="A3491" i="80"/>
  <c r="A3493" i="80"/>
  <c r="A3494" i="80"/>
  <c r="A3495" i="80"/>
  <c r="A3496" i="80"/>
  <c r="A3497" i="80"/>
  <c r="A3499" i="80"/>
  <c r="A3500" i="80"/>
  <c r="A3501" i="80"/>
  <c r="A3502" i="80"/>
  <c r="A3503" i="80"/>
  <c r="A3505" i="80"/>
  <c r="A3506" i="80"/>
  <c r="A3507" i="80"/>
  <c r="A3508" i="80"/>
  <c r="A3509" i="80"/>
  <c r="A3511" i="80"/>
  <c r="A3512" i="80"/>
  <c r="A3513" i="80"/>
  <c r="A3514" i="80"/>
  <c r="A3515" i="80"/>
  <c r="A3517" i="80"/>
  <c r="A3518" i="80"/>
  <c r="A3519" i="80"/>
  <c r="A3520" i="80"/>
  <c r="A3521" i="80"/>
  <c r="A3523" i="80"/>
  <c r="A3524" i="80"/>
  <c r="A3525" i="80"/>
  <c r="A3526" i="80"/>
  <c r="A3527" i="80"/>
  <c r="A3529" i="80"/>
  <c r="A3530" i="80"/>
  <c r="A3531" i="80"/>
  <c r="A3532" i="80"/>
  <c r="A3533" i="80"/>
  <c r="A3535" i="80"/>
  <c r="A3536" i="80"/>
  <c r="A3537" i="80"/>
  <c r="A3538" i="80"/>
  <c r="A3539" i="80"/>
  <c r="A3541" i="80"/>
  <c r="A3542" i="80"/>
  <c r="A3543" i="80"/>
  <c r="A3544" i="80"/>
  <c r="A3545" i="80"/>
  <c r="A3547" i="80"/>
  <c r="A3548" i="80"/>
  <c r="A3549" i="80"/>
  <c r="A3550" i="80"/>
  <c r="A3551" i="80"/>
  <c r="A3553" i="80"/>
  <c r="A3554" i="80"/>
  <c r="A3555" i="80"/>
  <c r="A3556" i="80"/>
  <c r="A3557" i="80"/>
  <c r="A3559" i="80"/>
  <c r="A3560" i="80"/>
  <c r="A3561" i="80"/>
  <c r="A3562" i="80"/>
  <c r="A3563" i="80"/>
  <c r="A3564" i="80"/>
  <c r="A3565" i="80"/>
  <c r="A3566" i="80"/>
  <c r="A3567" i="80"/>
  <c r="A3568" i="80"/>
  <c r="A3569" i="80"/>
  <c r="A3570" i="80"/>
  <c r="A3572" i="80"/>
  <c r="A3573" i="80"/>
  <c r="A3574" i="80"/>
  <c r="A3575" i="80"/>
  <c r="A3576" i="80"/>
  <c r="A3578" i="80"/>
  <c r="A3579" i="80"/>
  <c r="A3580" i="80"/>
  <c r="A3581" i="80"/>
  <c r="A3582" i="80"/>
  <c r="A3584" i="80"/>
  <c r="A3585" i="80"/>
  <c r="A3586" i="80"/>
  <c r="A3587" i="80"/>
  <c r="A3588" i="80"/>
  <c r="A3590" i="80"/>
  <c r="A3591" i="80"/>
  <c r="A3592" i="80"/>
  <c r="A3593" i="80"/>
  <c r="A3594" i="80"/>
  <c r="A3596" i="80"/>
  <c r="A3597" i="80"/>
  <c r="A3598" i="80"/>
  <c r="A3599" i="80"/>
  <c r="A3600" i="80"/>
  <c r="A3602" i="80"/>
  <c r="A3603" i="80"/>
  <c r="A3604" i="80"/>
  <c r="A3605" i="80"/>
  <c r="A3606" i="80"/>
  <c r="A3608" i="80"/>
  <c r="A3609" i="80"/>
  <c r="A3610" i="80"/>
  <c r="A3611" i="80"/>
  <c r="A3612" i="80"/>
  <c r="A3614" i="80"/>
  <c r="A3615" i="80"/>
  <c r="A3616" i="80"/>
  <c r="A3617" i="80"/>
  <c r="A3618" i="80"/>
  <c r="A3620" i="80"/>
  <c r="A3621" i="80"/>
  <c r="A3622" i="80"/>
  <c r="A3623" i="80"/>
  <c r="A3624" i="80"/>
  <c r="A3626" i="80"/>
  <c r="A3627" i="80"/>
  <c r="A3628" i="80"/>
  <c r="A3629" i="80"/>
  <c r="A3630" i="80"/>
  <c r="A3632" i="80"/>
  <c r="A3633" i="80"/>
  <c r="A3634" i="80"/>
  <c r="A3635" i="80"/>
  <c r="A3636" i="80"/>
  <c r="A3638" i="80"/>
  <c r="A3639" i="80"/>
  <c r="A3640" i="80"/>
  <c r="A3641" i="80"/>
  <c r="A3642" i="80"/>
  <c r="A3644" i="80"/>
  <c r="A3645" i="80"/>
  <c r="A3646" i="80"/>
  <c r="A3647" i="80"/>
  <c r="A3648" i="80"/>
  <c r="A3650" i="80"/>
  <c r="A3651" i="80"/>
  <c r="A3652" i="80"/>
  <c r="A3653" i="80"/>
  <c r="A3654" i="80"/>
  <c r="A3656" i="80"/>
  <c r="A3657" i="80"/>
  <c r="A3658" i="80"/>
  <c r="A3659" i="80"/>
  <c r="A3660" i="80"/>
  <c r="A3662" i="80"/>
  <c r="A3663" i="80"/>
  <c r="A3664" i="80"/>
  <c r="A3665" i="80"/>
  <c r="A3666" i="80"/>
  <c r="A3668" i="80"/>
  <c r="A3669" i="80"/>
  <c r="A3670" i="80"/>
  <c r="A3671" i="80"/>
  <c r="A3672" i="80"/>
  <c r="A3674" i="80"/>
  <c r="A3675" i="80"/>
  <c r="A3676" i="80"/>
  <c r="A3677" i="80"/>
  <c r="A3678" i="80"/>
  <c r="A3680" i="80"/>
  <c r="A3681" i="80"/>
  <c r="A3682" i="80"/>
  <c r="A3683" i="80"/>
  <c r="A3684" i="80"/>
  <c r="A3686" i="80"/>
  <c r="A3687" i="80"/>
  <c r="A3688" i="80"/>
  <c r="A3689" i="80"/>
  <c r="A3690" i="80"/>
  <c r="A3692" i="80"/>
  <c r="A3693" i="80"/>
  <c r="A3694" i="80"/>
  <c r="A3695" i="80"/>
  <c r="A3696" i="80"/>
  <c r="A3698" i="80"/>
  <c r="A3699" i="80"/>
  <c r="A3700" i="80"/>
  <c r="A3701" i="80"/>
  <c r="A3702" i="80"/>
  <c r="A3704" i="80"/>
  <c r="A3705" i="80"/>
  <c r="A3706" i="80"/>
  <c r="A3707" i="80"/>
  <c r="A3708" i="80"/>
  <c r="A3710" i="80"/>
  <c r="A3711" i="80"/>
  <c r="A3712" i="80"/>
  <c r="A3713" i="80"/>
  <c r="A3714" i="80"/>
  <c r="A3716" i="80"/>
  <c r="A3717" i="80"/>
  <c r="A3718" i="80"/>
  <c r="A3719" i="80"/>
  <c r="A3720" i="80"/>
  <c r="A3722" i="80"/>
  <c r="A3723" i="80"/>
  <c r="A3724" i="80"/>
  <c r="A3725" i="80"/>
  <c r="A3726" i="80"/>
  <c r="A3728" i="80"/>
  <c r="A3729" i="80"/>
  <c r="A3730" i="80"/>
  <c r="A3731" i="80"/>
  <c r="A3732" i="80"/>
  <c r="A3734" i="80"/>
  <c r="A3735" i="80"/>
  <c r="A3736" i="80"/>
  <c r="A3737" i="80"/>
  <c r="A3738" i="80"/>
  <c r="A3740" i="80"/>
  <c r="A3741" i="80"/>
  <c r="A3742" i="80"/>
  <c r="A3743" i="80"/>
  <c r="A3744" i="80"/>
  <c r="A3746" i="80"/>
  <c r="A3747" i="80"/>
  <c r="A3748" i="80"/>
  <c r="A3749" i="80"/>
  <c r="A3750" i="80"/>
  <c r="A3752" i="80"/>
  <c r="A3753" i="80"/>
  <c r="A3754" i="80"/>
  <c r="A3755" i="80"/>
  <c r="A3756" i="80"/>
  <c r="A3758" i="80"/>
  <c r="A3759" i="80"/>
  <c r="A3760" i="80"/>
  <c r="A3762" i="80"/>
  <c r="A3763" i="80"/>
  <c r="A3764" i="80"/>
  <c r="A3765" i="80"/>
  <c r="A3767" i="80"/>
  <c r="A3768" i="80"/>
  <c r="A3769" i="80"/>
  <c r="A3770" i="80"/>
  <c r="A3772" i="80"/>
  <c r="A3773" i="80"/>
  <c r="A3774" i="80"/>
  <c r="A3775" i="80"/>
  <c r="A3777" i="80"/>
  <c r="A3778" i="80"/>
  <c r="A3779" i="80"/>
  <c r="A3780" i="80"/>
  <c r="A3782" i="80"/>
  <c r="A3783" i="80"/>
  <c r="A3784" i="80"/>
  <c r="A3785" i="80"/>
  <c r="A3787" i="80"/>
  <c r="A3788" i="80"/>
  <c r="A3789" i="80"/>
  <c r="A3790" i="80"/>
  <c r="A3792" i="80"/>
  <c r="A3793" i="80"/>
  <c r="A3794" i="80"/>
  <c r="A3795" i="80"/>
  <c r="A3797" i="80"/>
  <c r="A3798" i="80"/>
  <c r="A3799" i="80"/>
  <c r="A3800" i="80"/>
  <c r="A3801" i="80"/>
  <c r="A3802" i="80"/>
  <c r="A3804" i="80"/>
  <c r="A3805" i="80"/>
  <c r="A3806" i="80"/>
  <c r="A3807" i="80"/>
  <c r="A3808" i="80"/>
  <c r="A3810" i="80"/>
  <c r="A3811" i="80"/>
  <c r="A3812" i="80"/>
  <c r="A3813" i="80"/>
  <c r="A3814" i="80"/>
  <c r="A3816" i="80"/>
  <c r="A3817" i="80"/>
  <c r="A3818" i="80"/>
  <c r="A3819" i="80"/>
  <c r="A3820" i="80"/>
  <c r="A3822" i="80"/>
  <c r="A3823" i="80"/>
  <c r="A3824" i="80"/>
  <c r="A3825" i="80"/>
  <c r="A3826" i="80"/>
  <c r="A3828" i="80"/>
  <c r="A3829" i="80"/>
  <c r="A3830" i="80"/>
  <c r="A3831" i="80"/>
  <c r="A3832" i="80"/>
  <c r="A3834" i="80"/>
  <c r="A3835" i="80"/>
  <c r="A3836" i="80"/>
  <c r="A3837" i="80"/>
  <c r="A3838" i="80"/>
  <c r="A3840" i="80"/>
  <c r="A3841" i="80"/>
  <c r="A3842" i="80"/>
  <c r="A3843" i="80"/>
  <c r="A3844" i="80"/>
  <c r="A3846" i="80"/>
  <c r="A3847" i="80"/>
  <c r="A3848" i="80"/>
  <c r="A3849" i="80"/>
  <c r="A3850" i="80"/>
  <c r="A3852" i="80"/>
  <c r="A3853" i="80"/>
  <c r="A3854" i="80"/>
  <c r="A3855" i="80"/>
  <c r="A3856" i="80"/>
  <c r="A3858" i="80"/>
  <c r="A3859" i="80"/>
  <c r="A3860" i="80"/>
  <c r="A3861" i="80"/>
  <c r="A3862" i="80"/>
  <c r="A3864" i="80"/>
  <c r="A3865" i="80"/>
  <c r="A3866" i="80"/>
  <c r="A3867" i="80"/>
  <c r="A3868" i="80"/>
  <c r="A3870" i="80"/>
  <c r="A3871" i="80"/>
  <c r="A3872" i="80"/>
  <c r="A3873" i="80"/>
  <c r="A3874" i="80"/>
  <c r="A3876" i="80"/>
  <c r="A3877" i="80"/>
  <c r="A3878" i="80"/>
  <c r="A3879" i="80"/>
  <c r="A3880" i="80"/>
  <c r="A3882" i="80"/>
  <c r="A3883" i="80"/>
  <c r="A3884" i="80"/>
  <c r="A3885" i="80"/>
  <c r="A3886" i="80"/>
  <c r="A3888" i="80"/>
  <c r="A3889" i="80"/>
  <c r="A3890" i="80"/>
  <c r="A3891" i="80"/>
  <c r="A3892" i="80"/>
  <c r="A3894" i="80"/>
  <c r="A3895" i="80"/>
  <c r="A3896" i="80"/>
  <c r="A3897" i="80"/>
  <c r="A3898" i="80"/>
  <c r="A3900" i="80"/>
  <c r="A3901" i="80"/>
  <c r="A3902" i="80"/>
  <c r="A3903" i="80"/>
  <c r="A3904" i="80"/>
  <c r="A3906" i="80"/>
  <c r="A3907" i="80"/>
  <c r="A3908" i="80"/>
  <c r="A3909" i="80"/>
  <c r="A3910" i="80"/>
  <c r="A3912" i="80"/>
  <c r="A3913" i="80"/>
  <c r="A3914" i="80"/>
  <c r="A3915" i="80"/>
  <c r="A3916" i="80"/>
  <c r="A3918" i="80"/>
  <c r="A3919" i="80"/>
  <c r="A3920" i="80"/>
  <c r="A3921" i="80"/>
  <c r="A3922" i="80"/>
  <c r="A3924" i="80"/>
  <c r="A3925" i="80"/>
  <c r="A3926" i="80"/>
  <c r="A3927" i="80"/>
  <c r="A3928" i="80"/>
  <c r="A3930" i="80"/>
  <c r="A3931" i="80"/>
  <c r="A3932" i="80"/>
  <c r="A3933" i="80"/>
  <c r="A3934" i="80"/>
  <c r="A3936" i="80"/>
  <c r="A3937" i="80"/>
  <c r="A3938" i="80"/>
  <c r="A3939" i="80"/>
  <c r="A3940" i="80"/>
  <c r="A3942" i="80"/>
  <c r="A3943" i="80"/>
  <c r="A3944" i="80"/>
  <c r="A3945" i="80"/>
  <c r="A3946" i="80"/>
  <c r="A3948" i="80"/>
  <c r="A3949" i="80"/>
  <c r="A3950" i="80"/>
  <c r="A3951" i="80"/>
  <c r="A3952" i="80"/>
  <c r="A3954" i="80"/>
  <c r="A3955" i="80"/>
  <c r="A3956" i="80"/>
  <c r="A3957" i="80"/>
  <c r="A3958" i="80"/>
  <c r="A3960" i="80"/>
  <c r="A3961" i="80"/>
  <c r="A3962" i="80"/>
  <c r="A3963" i="80"/>
  <c r="A3964" i="80"/>
  <c r="A3966" i="80"/>
  <c r="A3967" i="80"/>
  <c r="A3968" i="80"/>
  <c r="A3969" i="80"/>
  <c r="A3970" i="80"/>
  <c r="A3972" i="80"/>
  <c r="A3973" i="80"/>
  <c r="A3974" i="80"/>
  <c r="A3975" i="80"/>
  <c r="A3976" i="80"/>
  <c r="A3978" i="80"/>
  <c r="A3979" i="80"/>
  <c r="A3980" i="80"/>
  <c r="A3981" i="80"/>
  <c r="A3982" i="80"/>
  <c r="A3984" i="80"/>
  <c r="A3985" i="80"/>
  <c r="A3986" i="80"/>
  <c r="A3987" i="80"/>
  <c r="A3988" i="80"/>
  <c r="A3990" i="80"/>
  <c r="A3991" i="80"/>
  <c r="A3992" i="80"/>
  <c r="A3993" i="80"/>
  <c r="A3994" i="80"/>
  <c r="A3996" i="80"/>
  <c r="A3997" i="80"/>
  <c r="A3998" i="80"/>
  <c r="A3999" i="80"/>
  <c r="A4000" i="80"/>
  <c r="A4002" i="80"/>
  <c r="A4003" i="80"/>
  <c r="A4004" i="80"/>
  <c r="A4005" i="80"/>
  <c r="A4006" i="80"/>
  <c r="A4008" i="80"/>
  <c r="A4009" i="80"/>
  <c r="A4010" i="80"/>
  <c r="A4011" i="80"/>
  <c r="A4012" i="80"/>
  <c r="A4014" i="80"/>
  <c r="A4015" i="80"/>
  <c r="A4016" i="80"/>
  <c r="A4017" i="80"/>
  <c r="A4018" i="80"/>
  <c r="A4020" i="80"/>
  <c r="A4021" i="80"/>
  <c r="A4022" i="80"/>
  <c r="A4023" i="80"/>
  <c r="A4024" i="80"/>
  <c r="A4026" i="80"/>
  <c r="A4027" i="80"/>
  <c r="A4028" i="80"/>
  <c r="A4029" i="80"/>
  <c r="A4030" i="80"/>
  <c r="A4032" i="80"/>
  <c r="A4033" i="80"/>
  <c r="A4034" i="80"/>
  <c r="A4035" i="80"/>
  <c r="A4036" i="80"/>
  <c r="A4038" i="80"/>
  <c r="A4039" i="80"/>
  <c r="A4040" i="80"/>
  <c r="A4041" i="80"/>
  <c r="A4042" i="80"/>
  <c r="A4044" i="80"/>
  <c r="A4045" i="80"/>
  <c r="A4046" i="80"/>
  <c r="A4047" i="80"/>
  <c r="A4048" i="80"/>
  <c r="A4050" i="80"/>
  <c r="A4051" i="80"/>
  <c r="A4052" i="80"/>
  <c r="A4053" i="80"/>
  <c r="A4054" i="80"/>
  <c r="A4056" i="80"/>
  <c r="A4057" i="80"/>
  <c r="A4058" i="80"/>
  <c r="A4059" i="80"/>
  <c r="A4060" i="80"/>
  <c r="A4062" i="80"/>
  <c r="A4063" i="80"/>
  <c r="A4064" i="80"/>
  <c r="A4065" i="80"/>
  <c r="A4066" i="80"/>
  <c r="A4068" i="80"/>
  <c r="A4069" i="80"/>
  <c r="A4070" i="80"/>
  <c r="A4071" i="80"/>
  <c r="A4072" i="80"/>
  <c r="A4074" i="80"/>
  <c r="A4075" i="80"/>
  <c r="A4076" i="80"/>
  <c r="A4077" i="80"/>
  <c r="A4078" i="80"/>
  <c r="A4080" i="80"/>
  <c r="A4081" i="80"/>
  <c r="A4082" i="80"/>
  <c r="A4083" i="80"/>
  <c r="A4084" i="80"/>
  <c r="A4086" i="80"/>
  <c r="A4087" i="80"/>
  <c r="A4088" i="80"/>
  <c r="A4089" i="80"/>
  <c r="A4090" i="80"/>
  <c r="A4092" i="80"/>
  <c r="A4093" i="80"/>
  <c r="A4094" i="80"/>
  <c r="A4095" i="80"/>
  <c r="A4096" i="80"/>
  <c r="A4098" i="80"/>
  <c r="A4099" i="80"/>
  <c r="A4100" i="80"/>
  <c r="A4101" i="80"/>
  <c r="A4102" i="80"/>
  <c r="A4104" i="80"/>
  <c r="A4105" i="80"/>
  <c r="A4106" i="80"/>
  <c r="A4107" i="80"/>
  <c r="A4108" i="80"/>
  <c r="A4110" i="80"/>
  <c r="A4111" i="80"/>
  <c r="A4112" i="80"/>
  <c r="A4113" i="80"/>
  <c r="A4114" i="80"/>
  <c r="A4116" i="80"/>
  <c r="A4117" i="80"/>
  <c r="A4118" i="80"/>
  <c r="A4119" i="80"/>
  <c r="A4120" i="80"/>
  <c r="A4122" i="80"/>
  <c r="A4123" i="80"/>
  <c r="A4124" i="80"/>
  <c r="A4125" i="80"/>
  <c r="A4126" i="80"/>
  <c r="A4128" i="80"/>
  <c r="A4129" i="80"/>
  <c r="A4130" i="80"/>
  <c r="A4131" i="80"/>
  <c r="A4132" i="80"/>
  <c r="A4134" i="80"/>
  <c r="A4135" i="80"/>
  <c r="A4136" i="80"/>
  <c r="A4137" i="80"/>
  <c r="A4138" i="80"/>
  <c r="A4140" i="80"/>
  <c r="A4141" i="80"/>
  <c r="A4142" i="80"/>
  <c r="A4143" i="80"/>
  <c r="A4144" i="80"/>
  <c r="A4146" i="80"/>
  <c r="A4147" i="80"/>
  <c r="A4148" i="80"/>
  <c r="A4149" i="80"/>
  <c r="A4150" i="80"/>
  <c r="A4152" i="80"/>
  <c r="A4153" i="80"/>
  <c r="A4154" i="80"/>
  <c r="A4155" i="80"/>
  <c r="A4156" i="80"/>
  <c r="A4158" i="80"/>
  <c r="A4159" i="80"/>
  <c r="A4160" i="80"/>
  <c r="A4161" i="80"/>
  <c r="A4162" i="80"/>
  <c r="A4164" i="80"/>
  <c r="A4165" i="80"/>
  <c r="A4166" i="80"/>
  <c r="A4167" i="80"/>
  <c r="A4168" i="80"/>
  <c r="A4170" i="80"/>
  <c r="A4171" i="80"/>
  <c r="A4172" i="80"/>
  <c r="A4173" i="80"/>
  <c r="A4174" i="80"/>
  <c r="A4176" i="80"/>
  <c r="A4177" i="80"/>
  <c r="A4178" i="80"/>
  <c r="A4179" i="80"/>
  <c r="A4180" i="80"/>
  <c r="A4182" i="80"/>
  <c r="A4183" i="80"/>
  <c r="A4184" i="80"/>
  <c r="A4185" i="80"/>
  <c r="A4186" i="80"/>
  <c r="A4188" i="80"/>
  <c r="A4189" i="80"/>
  <c r="A4190" i="80"/>
  <c r="A4191" i="80"/>
  <c r="A4192" i="80"/>
  <c r="A4194" i="80"/>
  <c r="A4195" i="80"/>
  <c r="A4196" i="80"/>
  <c r="A4197" i="80"/>
  <c r="A4198" i="80"/>
  <c r="A4200" i="80"/>
  <c r="A4201" i="80"/>
  <c r="A4202" i="80"/>
  <c r="A4203" i="80"/>
  <c r="A4204" i="80"/>
  <c r="A4206" i="80"/>
  <c r="A4207" i="80"/>
  <c r="A4208" i="80"/>
  <c r="A4209" i="80"/>
  <c r="A4210" i="80"/>
  <c r="A4212" i="80"/>
  <c r="A4213" i="80"/>
  <c r="A4214" i="80"/>
  <c r="A4215" i="80"/>
  <c r="A4216" i="80"/>
  <c r="A4218" i="80"/>
  <c r="A4219" i="80"/>
  <c r="A4220" i="80"/>
  <c r="A4221" i="80"/>
  <c r="A4222" i="80"/>
  <c r="A4224" i="80"/>
  <c r="A4225" i="80"/>
  <c r="A4226" i="80"/>
  <c r="A4227" i="80"/>
  <c r="A4228" i="80"/>
  <c r="A4230" i="80"/>
  <c r="A4231" i="80"/>
  <c r="A4232" i="80"/>
  <c r="A4233" i="80"/>
  <c r="A4234" i="80"/>
  <c r="A4236" i="80"/>
  <c r="A4237" i="80"/>
  <c r="A4238" i="80"/>
  <c r="A4239" i="80"/>
  <c r="A4240" i="80"/>
  <c r="A4242" i="80"/>
  <c r="A4243" i="80"/>
  <c r="A4244" i="80"/>
  <c r="A4245" i="80"/>
  <c r="A4246" i="80"/>
  <c r="A4248" i="80"/>
  <c r="A4249" i="80"/>
  <c r="A4250" i="80"/>
  <c r="A4251" i="80"/>
  <c r="A4252" i="80"/>
  <c r="A4254" i="80"/>
  <c r="A4255" i="80"/>
  <c r="A4256" i="80"/>
  <c r="A4257" i="80"/>
  <c r="A4258" i="80"/>
  <c r="A4260" i="80"/>
  <c r="A4261" i="80"/>
  <c r="A4262" i="80"/>
  <c r="A4263" i="80"/>
  <c r="A4264" i="80"/>
  <c r="A4266" i="80"/>
  <c r="A4267" i="80"/>
  <c r="A4268" i="80"/>
  <c r="A4269" i="80"/>
  <c r="A4270" i="80"/>
  <c r="A4272" i="80"/>
  <c r="A4273" i="80"/>
  <c r="A4274" i="80"/>
  <c r="A4275" i="80"/>
  <c r="A4276" i="80"/>
  <c r="A4278" i="80"/>
  <c r="A4279" i="80"/>
  <c r="A4280" i="80"/>
  <c r="A4281" i="80"/>
  <c r="A4282" i="80"/>
  <c r="A4284" i="80"/>
  <c r="A4285" i="80"/>
  <c r="A4286" i="80"/>
  <c r="A4287" i="80"/>
  <c r="A4288" i="80"/>
  <c r="A4290" i="80"/>
  <c r="A4291" i="80"/>
  <c r="A4292" i="80"/>
  <c r="A4293" i="80"/>
  <c r="A4294" i="80"/>
  <c r="A4296" i="80"/>
  <c r="A4297" i="80"/>
  <c r="A4298" i="80"/>
  <c r="A4299" i="80"/>
  <c r="A4300" i="80"/>
  <c r="A4302" i="80"/>
  <c r="A4303" i="80"/>
  <c r="A4304" i="80"/>
  <c r="A4305" i="80"/>
  <c r="A4306" i="80"/>
  <c r="A4308" i="80"/>
  <c r="A4309" i="80"/>
  <c r="A4310" i="80"/>
  <c r="A4311" i="80"/>
  <c r="A4312" i="80"/>
  <c r="A4314" i="80"/>
  <c r="A4315" i="80"/>
  <c r="A4316" i="80"/>
  <c r="A4317" i="80"/>
  <c r="A4318" i="80"/>
  <c r="A4320" i="80"/>
  <c r="A4321" i="80"/>
  <c r="A4322" i="80"/>
  <c r="A4323" i="80"/>
  <c r="A4324" i="80"/>
  <c r="A4326" i="80"/>
  <c r="A4327" i="80"/>
  <c r="A4328" i="80"/>
  <c r="A4329" i="80"/>
  <c r="A4330" i="80"/>
  <c r="A4332" i="80"/>
  <c r="A4333" i="80"/>
  <c r="A4334" i="80"/>
  <c r="A4335" i="80"/>
  <c r="A4336" i="80"/>
  <c r="A4338" i="80"/>
  <c r="A4339" i="80"/>
  <c r="A4340" i="80"/>
  <c r="A4341" i="80"/>
  <c r="A4342" i="80"/>
  <c r="A4344" i="80"/>
  <c r="A4345" i="80"/>
  <c r="A4346" i="80"/>
  <c r="A4347" i="80"/>
  <c r="A4348" i="80"/>
  <c r="A4350" i="80"/>
  <c r="A4351" i="80"/>
  <c r="A4352" i="80"/>
  <c r="A4353" i="80"/>
  <c r="A4354" i="80"/>
  <c r="A4356" i="80"/>
  <c r="A4357" i="80"/>
  <c r="A4358" i="80"/>
  <c r="A4359" i="80"/>
  <c r="A4360" i="80"/>
  <c r="A4362" i="80"/>
  <c r="A4363" i="80"/>
  <c r="A4364" i="80"/>
  <c r="A4365" i="80"/>
  <c r="A4366" i="80"/>
  <c r="A4368" i="80"/>
  <c r="A4369" i="80"/>
  <c r="A4370" i="80"/>
  <c r="A4371" i="80"/>
  <c r="A4372" i="80"/>
  <c r="A4374" i="80"/>
  <c r="A4375" i="80"/>
  <c r="A4376" i="80"/>
  <c r="A4377" i="80"/>
  <c r="A4378" i="80"/>
  <c r="A4380" i="80"/>
  <c r="A4381" i="80"/>
  <c r="A4382" i="80"/>
  <c r="A4383" i="80"/>
  <c r="A4384" i="80"/>
  <c r="A4386" i="80"/>
  <c r="A4387" i="80"/>
  <c r="A4388" i="80"/>
  <c r="A4389" i="80"/>
  <c r="A4390" i="80"/>
  <c r="A4392" i="80"/>
  <c r="A4393" i="80"/>
  <c r="A4394" i="80"/>
  <c r="A4395" i="80"/>
  <c r="A4396" i="80"/>
  <c r="A4398" i="80"/>
  <c r="A4399" i="80"/>
  <c r="A4400" i="80"/>
  <c r="A4401" i="80"/>
  <c r="A4402" i="80"/>
  <c r="A4404" i="80"/>
  <c r="A4405" i="80"/>
  <c r="A4406" i="80"/>
  <c r="A4407" i="80"/>
  <c r="A4408" i="80"/>
  <c r="A4410" i="80"/>
  <c r="A4411" i="80"/>
  <c r="A4412" i="80"/>
  <c r="A4413" i="80"/>
  <c r="A4414" i="80"/>
  <c r="A4416" i="80"/>
  <c r="A4417" i="80"/>
  <c r="A4418" i="80"/>
  <c r="A4419" i="80"/>
  <c r="A4420" i="80"/>
  <c r="A4422" i="80"/>
  <c r="A4423" i="80"/>
  <c r="A4424" i="80"/>
  <c r="A4425" i="80"/>
  <c r="A4426" i="80"/>
  <c r="A4428" i="80"/>
  <c r="A4429" i="80"/>
  <c r="A4430" i="80"/>
  <c r="A4431" i="80"/>
  <c r="A4432" i="80"/>
  <c r="A4434" i="80"/>
  <c r="A4435" i="80"/>
  <c r="A4436" i="80"/>
  <c r="A4437" i="80"/>
  <c r="A4438" i="80"/>
  <c r="A4440" i="80"/>
  <c r="A4441" i="80"/>
  <c r="A4442" i="80"/>
  <c r="A4443" i="80"/>
  <c r="A4444" i="80"/>
  <c r="A4446" i="80"/>
  <c r="A4447" i="80"/>
  <c r="A4448" i="80"/>
  <c r="A4449" i="80"/>
  <c r="A4450" i="80"/>
  <c r="A4452" i="80"/>
  <c r="A4453" i="80"/>
  <c r="A4454" i="80"/>
  <c r="A4455" i="80"/>
  <c r="A4456" i="80"/>
  <c r="A4458" i="80"/>
  <c r="A4459" i="80"/>
  <c r="A4460" i="80"/>
  <c r="A4461" i="80"/>
  <c r="A4462" i="80"/>
  <c r="A4464" i="80"/>
  <c r="A4465" i="80"/>
  <c r="A4466" i="80"/>
  <c r="A4467" i="80"/>
  <c r="A4468" i="80"/>
  <c r="A4470" i="80"/>
  <c r="A4471" i="80"/>
  <c r="A4472" i="80"/>
  <c r="A4473" i="80"/>
  <c r="A4474" i="80"/>
  <c r="A4475" i="80"/>
  <c r="A4476" i="80"/>
  <c r="A4477" i="80"/>
  <c r="A4478" i="80"/>
  <c r="A4479" i="80"/>
  <c r="A4480" i="80"/>
  <c r="A4481" i="80"/>
  <c r="A4483" i="80"/>
  <c r="A4484" i="80"/>
  <c r="A4485" i="80"/>
  <c r="A4486" i="80"/>
  <c r="A4487" i="80"/>
  <c r="A4489" i="80"/>
  <c r="A4490" i="80"/>
  <c r="A4491" i="80"/>
  <c r="A4492" i="80"/>
  <c r="A4493" i="80"/>
  <c r="A4495" i="80"/>
  <c r="A4496" i="80"/>
  <c r="A4497" i="80"/>
  <c r="A4498" i="80"/>
  <c r="A4499" i="80"/>
  <c r="A4501" i="80"/>
  <c r="A4502" i="80"/>
  <c r="A4503" i="80"/>
  <c r="A4504" i="80"/>
  <c r="A4505" i="80"/>
  <c r="A4507" i="80"/>
  <c r="A4508" i="80"/>
  <c r="A4509" i="80"/>
  <c r="A4510" i="80"/>
  <c r="A4511" i="80"/>
  <c r="A4513" i="80"/>
  <c r="A4514" i="80"/>
  <c r="A4515" i="80"/>
  <c r="A4516" i="80"/>
  <c r="A4517" i="80"/>
  <c r="A4519" i="80"/>
  <c r="A4520" i="80"/>
  <c r="A4521" i="80"/>
  <c r="A4522" i="80"/>
  <c r="A4523" i="80"/>
  <c r="A4525" i="80"/>
  <c r="A4526" i="80"/>
  <c r="A4527" i="80"/>
  <c r="A4528" i="80"/>
  <c r="A4529" i="80"/>
  <c r="A4531" i="80"/>
  <c r="A4532" i="80"/>
  <c r="A4533" i="80"/>
  <c r="A4534" i="80"/>
  <c r="A4535" i="80"/>
  <c r="A4537" i="80"/>
  <c r="A4538" i="80"/>
  <c r="A4539" i="80"/>
  <c r="A4540" i="80"/>
  <c r="A4541" i="80"/>
  <c r="A4543" i="80"/>
  <c r="A4544" i="80"/>
  <c r="A4545" i="80"/>
  <c r="A4546" i="80"/>
  <c r="A4547" i="80"/>
  <c r="A4549" i="80"/>
  <c r="A4550" i="80"/>
  <c r="A4551" i="80"/>
  <c r="A4552" i="80"/>
  <c r="A4553" i="80"/>
  <c r="A4555" i="80"/>
  <c r="A4556" i="80"/>
  <c r="A4557" i="80"/>
  <c r="A4558" i="80"/>
  <c r="A4559" i="80"/>
  <c r="A4561" i="80"/>
  <c r="A4562" i="80"/>
  <c r="A4563" i="80"/>
  <c r="A4564" i="80"/>
  <c r="A4565" i="80"/>
  <c r="A4567" i="80"/>
  <c r="A4568" i="80"/>
  <c r="A4569" i="80"/>
  <c r="A4570" i="80"/>
  <c r="A4571" i="80"/>
  <c r="A4573" i="80"/>
  <c r="A4574" i="80"/>
  <c r="A4575" i="80"/>
  <c r="A4576" i="80"/>
  <c r="A4577" i="80"/>
  <c r="A4579" i="80"/>
  <c r="A4580" i="80"/>
  <c r="A4581" i="80"/>
  <c r="A4582" i="80"/>
  <c r="A4583" i="80"/>
  <c r="A4585" i="80"/>
  <c r="A4586" i="80"/>
  <c r="A4587" i="80"/>
  <c r="A4588" i="80"/>
  <c r="A4589" i="80"/>
  <c r="A4591" i="80"/>
  <c r="A4592" i="80"/>
  <c r="A4593" i="80"/>
  <c r="A4594" i="80"/>
  <c r="A4595" i="80"/>
  <c r="A4597" i="80"/>
  <c r="A4598" i="80"/>
  <c r="A4599" i="80"/>
  <c r="A4600" i="80"/>
  <c r="A4601" i="80"/>
  <c r="A4603" i="80"/>
  <c r="A4604" i="80"/>
  <c r="A4605" i="80"/>
  <c r="A4606" i="80"/>
  <c r="A4607" i="80"/>
  <c r="A4609" i="80"/>
  <c r="A4610" i="80"/>
  <c r="A4611" i="80"/>
  <c r="A4612" i="80"/>
  <c r="A4613" i="80"/>
  <c r="A4615" i="80"/>
  <c r="A4616" i="80"/>
  <c r="A4617" i="80"/>
  <c r="A4618" i="80"/>
  <c r="A4619" i="80"/>
  <c r="A4621" i="80"/>
  <c r="A4622" i="80"/>
  <c r="A4623" i="80"/>
  <c r="A4624" i="80"/>
  <c r="A4625" i="80"/>
  <c r="A4627" i="80"/>
  <c r="A4628" i="80"/>
  <c r="A4629" i="80"/>
  <c r="A4630" i="80"/>
  <c r="A4631" i="80"/>
  <c r="A4633" i="80"/>
  <c r="A4634" i="80"/>
  <c r="A4635" i="80"/>
  <c r="A4636" i="80"/>
  <c r="A4637" i="80"/>
  <c r="A4639" i="80"/>
  <c r="A4640" i="80"/>
  <c r="A4641" i="80"/>
  <c r="A4642" i="80"/>
  <c r="A4643" i="80"/>
  <c r="A4645" i="80"/>
  <c r="A4646" i="80"/>
  <c r="A4647" i="80"/>
  <c r="A4648" i="80"/>
  <c r="A4649" i="80"/>
  <c r="A4651" i="80"/>
  <c r="A4652" i="80"/>
  <c r="A4653" i="80"/>
  <c r="A4654" i="80"/>
  <c r="A4655" i="80"/>
  <c r="A4657" i="80"/>
  <c r="A4658" i="80"/>
  <c r="A4659" i="80"/>
  <c r="A4660" i="80"/>
  <c r="A4661" i="80"/>
  <c r="A4663" i="80"/>
  <c r="A4664" i="80"/>
  <c r="A4665" i="80"/>
  <c r="A4666" i="80"/>
  <c r="A4667" i="80"/>
  <c r="A4669" i="80"/>
  <c r="A4670" i="80"/>
  <c r="A4671" i="80"/>
  <c r="A4672" i="80"/>
  <c r="A4673" i="80"/>
  <c r="A4675" i="80"/>
  <c r="A4676" i="80"/>
  <c r="A4677" i="80"/>
  <c r="A4678" i="80"/>
  <c r="A4679" i="80"/>
  <c r="A4681" i="80"/>
  <c r="A4682" i="80"/>
  <c r="A4683" i="80"/>
  <c r="A4684" i="80"/>
  <c r="A4685" i="80"/>
  <c r="A4687" i="80"/>
  <c r="A4688" i="80"/>
  <c r="A4689" i="80"/>
  <c r="A4690" i="80"/>
  <c r="A4691" i="80"/>
  <c r="A4693" i="80"/>
  <c r="A4694" i="80"/>
  <c r="A4695" i="80"/>
  <c r="A4696" i="80"/>
  <c r="A4697" i="80"/>
  <c r="A4699" i="80"/>
  <c r="A4700" i="80"/>
  <c r="A4701" i="80"/>
  <c r="A4702" i="80"/>
  <c r="A4703" i="80"/>
  <c r="A4705" i="80"/>
  <c r="A4706" i="80"/>
  <c r="A4707" i="80"/>
  <c r="A4708" i="80"/>
  <c r="A4709" i="80"/>
  <c r="A4711" i="80"/>
  <c r="A4712" i="80"/>
  <c r="A4713" i="80"/>
  <c r="A4714" i="80"/>
  <c r="A4715" i="80"/>
  <c r="A4717" i="80"/>
  <c r="A4718" i="80"/>
  <c r="A4719" i="80"/>
  <c r="A4720" i="80"/>
  <c r="A4721" i="80"/>
  <c r="A4723" i="80"/>
  <c r="A4724" i="80"/>
  <c r="A4725" i="80"/>
  <c r="A4726" i="80"/>
  <c r="A4727" i="80"/>
  <c r="A4729" i="80"/>
  <c r="A4730" i="80"/>
  <c r="A4731" i="80"/>
  <c r="A4732" i="80"/>
  <c r="A4733" i="80"/>
  <c r="A4735" i="80"/>
  <c r="A4736" i="80"/>
  <c r="A4737" i="80"/>
  <c r="A4738" i="80"/>
  <c r="A4739" i="80"/>
  <c r="A4741" i="80"/>
  <c r="A4742" i="80"/>
  <c r="A4743" i="80"/>
  <c r="A4744" i="80"/>
  <c r="A4745" i="80"/>
  <c r="A4747" i="80"/>
  <c r="A4748" i="80"/>
  <c r="A4749" i="80"/>
  <c r="A4750" i="80"/>
  <c r="A4751" i="80"/>
  <c r="A4753" i="80"/>
  <c r="A4754" i="80"/>
  <c r="A4755" i="80"/>
  <c r="A4756" i="80"/>
  <c r="A4757" i="80"/>
  <c r="A4759" i="80"/>
  <c r="A4760" i="80"/>
  <c r="A4761" i="80"/>
  <c r="A4762" i="80"/>
  <c r="A4763" i="80"/>
  <c r="A4765" i="80"/>
  <c r="A4766" i="80"/>
  <c r="A4767" i="80"/>
  <c r="A4768" i="80"/>
  <c r="A4769" i="80"/>
  <c r="A4771" i="80"/>
  <c r="A4772" i="80"/>
  <c r="A4773" i="80"/>
  <c r="A4774" i="80"/>
  <c r="A4775" i="80"/>
  <c r="A4777" i="80"/>
  <c r="A4778" i="80"/>
  <c r="A4779" i="80"/>
  <c r="A4780" i="80"/>
  <c r="A4781" i="80"/>
  <c r="A4783" i="80"/>
  <c r="A4784" i="80"/>
  <c r="A4785" i="80"/>
  <c r="A4786" i="80"/>
  <c r="A4787" i="80"/>
  <c r="A4789" i="80"/>
  <c r="A4790" i="80"/>
  <c r="A4791" i="80"/>
  <c r="A4792" i="80"/>
  <c r="A4793" i="80"/>
  <c r="A4795" i="80"/>
  <c r="A4796" i="80"/>
  <c r="A4797" i="80"/>
  <c r="A4798" i="80"/>
  <c r="A4799" i="80"/>
  <c r="A4801" i="80"/>
  <c r="A4802" i="80"/>
  <c r="A4803" i="80"/>
  <c r="A4804" i="80"/>
  <c r="A4805" i="80"/>
  <c r="A4807" i="80"/>
  <c r="A4808" i="80"/>
  <c r="A4809" i="80"/>
  <c r="A4810" i="80"/>
  <c r="A4811" i="80"/>
  <c r="A4813" i="80"/>
  <c r="A4814" i="80"/>
  <c r="A4815" i="80"/>
  <c r="A4816" i="80"/>
  <c r="A4817" i="80"/>
  <c r="A4819" i="80"/>
  <c r="A4820" i="80"/>
  <c r="A4821" i="80"/>
  <c r="A4822" i="80"/>
  <c r="A4823" i="80"/>
  <c r="A4825" i="80"/>
  <c r="A4826" i="80"/>
  <c r="A4827" i="80"/>
  <c r="A4828" i="80"/>
  <c r="A4829" i="80"/>
  <c r="A4831" i="80"/>
  <c r="A4832" i="80"/>
  <c r="A4833" i="80"/>
  <c r="A4834" i="80"/>
  <c r="A4835" i="80"/>
  <c r="A4837" i="80"/>
  <c r="A4838" i="80"/>
  <c r="A4839" i="80"/>
  <c r="A4840" i="80"/>
  <c r="A4841" i="80"/>
  <c r="A4843" i="80"/>
  <c r="A4844" i="80"/>
  <c r="A4845" i="80"/>
  <c r="A4846" i="80"/>
  <c r="A4847" i="80"/>
  <c r="A4849" i="80"/>
  <c r="A4850" i="80"/>
  <c r="A4851" i="80"/>
  <c r="A4852" i="80"/>
  <c r="A4853" i="80"/>
  <c r="A4855" i="80"/>
  <c r="A4856" i="80"/>
  <c r="A4857" i="80"/>
  <c r="A4858" i="80"/>
  <c r="A4859" i="80"/>
  <c r="A4861" i="80"/>
  <c r="A4862" i="80"/>
  <c r="A4863" i="80"/>
  <c r="A4864" i="80"/>
  <c r="A4865" i="80"/>
  <c r="A4867" i="80"/>
  <c r="A4868" i="80"/>
  <c r="A4869" i="80"/>
  <c r="A4870" i="80"/>
  <c r="A4871" i="80"/>
  <c r="A4873" i="80"/>
  <c r="A4874" i="80"/>
  <c r="A4875" i="80"/>
  <c r="A4876" i="80"/>
  <c r="A4877" i="80"/>
  <c r="A4879" i="80"/>
  <c r="A4880" i="80"/>
  <c r="A4881" i="80"/>
  <c r="A4882" i="80"/>
  <c r="A4883" i="80"/>
  <c r="A4885" i="80"/>
  <c r="A4886" i="80"/>
  <c r="A4887" i="80"/>
  <c r="A4888" i="80"/>
  <c r="A4889" i="80"/>
  <c r="A4891" i="80"/>
  <c r="A4892" i="80"/>
  <c r="A4893" i="80"/>
  <c r="A4894" i="80"/>
  <c r="A4895" i="80"/>
  <c r="A4897" i="80"/>
  <c r="A4898" i="80"/>
  <c r="A4899" i="80"/>
  <c r="A4900" i="80"/>
  <c r="A4901" i="80"/>
  <c r="A4903" i="80"/>
  <c r="A4904" i="80"/>
  <c r="A4905" i="80"/>
  <c r="A4906" i="80"/>
  <c r="A4907" i="80"/>
  <c r="A4909" i="80"/>
  <c r="A4910" i="80"/>
  <c r="A4911" i="80"/>
  <c r="A4912" i="80"/>
  <c r="A4913" i="80"/>
  <c r="A4915" i="80"/>
  <c r="A4916" i="80"/>
  <c r="A4917" i="80"/>
  <c r="A4918" i="80"/>
  <c r="A4919" i="80"/>
  <c r="A4921" i="80"/>
  <c r="A4922" i="80"/>
  <c r="A4923" i="80"/>
  <c r="A4924" i="80"/>
  <c r="A4925" i="80"/>
  <c r="A4927" i="80"/>
  <c r="A4928" i="80"/>
  <c r="A4929" i="80"/>
  <c r="A4930" i="80"/>
  <c r="A4931" i="80"/>
  <c r="A4933" i="80"/>
  <c r="A4934" i="80"/>
  <c r="A4935" i="80"/>
  <c r="A4936" i="80"/>
  <c r="A4937" i="80"/>
  <c r="A4939" i="80"/>
  <c r="A4940" i="80"/>
  <c r="A4941" i="80"/>
  <c r="A4942" i="80"/>
  <c r="A4943" i="80"/>
  <c r="A4945" i="80"/>
  <c r="A4946" i="80"/>
  <c r="A4947" i="80"/>
  <c r="A4948" i="80"/>
  <c r="A4949" i="80"/>
  <c r="A4950" i="80"/>
  <c r="A4951" i="80"/>
  <c r="A4952" i="80"/>
  <c r="A4953" i="80"/>
  <c r="A4954" i="80"/>
  <c r="A4955" i="80"/>
  <c r="A4956" i="80"/>
  <c r="A4958" i="80"/>
  <c r="A4959" i="80"/>
  <c r="A4960" i="80"/>
  <c r="A4961" i="80"/>
  <c r="A4962" i="80"/>
  <c r="A4964" i="80"/>
  <c r="A4965" i="80"/>
  <c r="A4966" i="80"/>
  <c r="A4967" i="80"/>
  <c r="A4968" i="80"/>
  <c r="A4970" i="80"/>
  <c r="A4971" i="80"/>
  <c r="A4972" i="80"/>
  <c r="A4973" i="80"/>
  <c r="A4974" i="80"/>
  <c r="A4976" i="80"/>
  <c r="A4977" i="80"/>
  <c r="A4978" i="80"/>
  <c r="A4979" i="80"/>
  <c r="A4980" i="80"/>
  <c r="A4982" i="80"/>
  <c r="A4983" i="80"/>
  <c r="A4984" i="80"/>
  <c r="A4985" i="80"/>
  <c r="A4986" i="80"/>
  <c r="A4988" i="80"/>
  <c r="A4989" i="80"/>
  <c r="A4990" i="80"/>
  <c r="A4991" i="80"/>
  <c r="A4992" i="80"/>
  <c r="A4994" i="80"/>
  <c r="A4995" i="80"/>
  <c r="A4996" i="80"/>
  <c r="A4997" i="80"/>
  <c r="A4998" i="80"/>
  <c r="A5000" i="80"/>
  <c r="A5001" i="80"/>
  <c r="A5002" i="80"/>
  <c r="A5003" i="80"/>
  <c r="A5004" i="80"/>
  <c r="A5006" i="80"/>
  <c r="A5007" i="80"/>
  <c r="A5008" i="80"/>
  <c r="A5009" i="80"/>
  <c r="A5010" i="80"/>
  <c r="A5012" i="80"/>
  <c r="A5013" i="80"/>
  <c r="A5014" i="80"/>
  <c r="A5015" i="80"/>
  <c r="A5016" i="80"/>
  <c r="A5018" i="80"/>
  <c r="A5019" i="80"/>
  <c r="A5020" i="80"/>
  <c r="A5021" i="80"/>
  <c r="A5022" i="80"/>
  <c r="A5024" i="80"/>
  <c r="A5025" i="80"/>
  <c r="A5026" i="80"/>
  <c r="A5027" i="80"/>
  <c r="A5028" i="80"/>
  <c r="A5030" i="80"/>
  <c r="A5031" i="80"/>
  <c r="A5032" i="80"/>
  <c r="A5033" i="80"/>
  <c r="A5034" i="80"/>
  <c r="A5036" i="80"/>
  <c r="A5037" i="80"/>
  <c r="A5038" i="80"/>
  <c r="A5039" i="80"/>
  <c r="A5040" i="80"/>
  <c r="A5042" i="80"/>
  <c r="A5043" i="80"/>
  <c r="A5044" i="80"/>
  <c r="A5045" i="80"/>
  <c r="A5046" i="80"/>
  <c r="A5048" i="80"/>
  <c r="A5049" i="80"/>
  <c r="A5050" i="80"/>
  <c r="A5051" i="80"/>
  <c r="A5052" i="80"/>
  <c r="A5054" i="80"/>
  <c r="A5055" i="80"/>
  <c r="A5056" i="80"/>
  <c r="A5057" i="80"/>
  <c r="A5058" i="80"/>
  <c r="A5060" i="80"/>
  <c r="A5061" i="80"/>
  <c r="A5062" i="80"/>
  <c r="A5063" i="80"/>
  <c r="A5064" i="80"/>
  <c r="A5066" i="80"/>
  <c r="A5067" i="80"/>
  <c r="A5068" i="80"/>
  <c r="A5069" i="80"/>
  <c r="A5070" i="80"/>
  <c r="A5072" i="80"/>
  <c r="A5073" i="80"/>
  <c r="A5074" i="80"/>
  <c r="A5075" i="80"/>
  <c r="A5076" i="80"/>
  <c r="A5078" i="80"/>
  <c r="A5079" i="80"/>
  <c r="A5080" i="80"/>
  <c r="A5081" i="80"/>
  <c r="A5082" i="80"/>
  <c r="A5084" i="80"/>
  <c r="A5085" i="80"/>
  <c r="A5086" i="80"/>
  <c r="A5087" i="80"/>
  <c r="A5088" i="80"/>
  <c r="A5090" i="80"/>
  <c r="A5091" i="80"/>
  <c r="A5092" i="80"/>
  <c r="A5093" i="80"/>
  <c r="A5094" i="80"/>
  <c r="A5096" i="80"/>
  <c r="A5097" i="80"/>
  <c r="A5098" i="80"/>
  <c r="A5099" i="80"/>
  <c r="A5100" i="80"/>
  <c r="A5102" i="80"/>
  <c r="A5103" i="80"/>
  <c r="A5104" i="80"/>
  <c r="A5105" i="80"/>
  <c r="A5106" i="80"/>
  <c r="A5108" i="80"/>
  <c r="A5109" i="80"/>
  <c r="A5110" i="80"/>
  <c r="A5111" i="80"/>
  <c r="A5112" i="80"/>
  <c r="A5114" i="80"/>
  <c r="A5115" i="80"/>
  <c r="A5116" i="80"/>
  <c r="A5117" i="80"/>
  <c r="A5118" i="80"/>
  <c r="A5120" i="80"/>
  <c r="A5121" i="80"/>
  <c r="A5122" i="80"/>
  <c r="A5123" i="80"/>
  <c r="A5124" i="80"/>
  <c r="A5126" i="80"/>
  <c r="A5127" i="80"/>
  <c r="A5128" i="80"/>
  <c r="A5129" i="80"/>
  <c r="A5130" i="80"/>
  <c r="A5132" i="80"/>
  <c r="A5133" i="80"/>
  <c r="A5134" i="80"/>
  <c r="A5135" i="80"/>
  <c r="A5136" i="80"/>
  <c r="A5138" i="80"/>
  <c r="A5139" i="80"/>
  <c r="A5140" i="80"/>
  <c r="A5141" i="80"/>
  <c r="A5142" i="80"/>
  <c r="A5144" i="80"/>
  <c r="A5145" i="80"/>
  <c r="A5146" i="80"/>
  <c r="A5147" i="80"/>
  <c r="A5148" i="80"/>
  <c r="A5150" i="80"/>
  <c r="A5151" i="80"/>
  <c r="A5152" i="80"/>
  <c r="A5153" i="80"/>
  <c r="A5154" i="80"/>
  <c r="A5156" i="80"/>
  <c r="A5157" i="80"/>
  <c r="A5158" i="80"/>
  <c r="A5159" i="80"/>
  <c r="A5160" i="80"/>
  <c r="A5162" i="80"/>
  <c r="A5163" i="80"/>
  <c r="A5164" i="80"/>
  <c r="A5165" i="80"/>
  <c r="A5166" i="80"/>
  <c r="A5168" i="80"/>
  <c r="A5169" i="80"/>
  <c r="A5170" i="80"/>
  <c r="A5171" i="80"/>
  <c r="A5172" i="80"/>
  <c r="A5174" i="80"/>
  <c r="A5175" i="80"/>
  <c r="A5176" i="80"/>
  <c r="A5177" i="80"/>
  <c r="A5178" i="80"/>
  <c r="A5180" i="80"/>
  <c r="A5181" i="80"/>
  <c r="A5182" i="80"/>
  <c r="A5183" i="80"/>
  <c r="A5184" i="80"/>
  <c r="A5186" i="80"/>
  <c r="A5187" i="80"/>
  <c r="A5188" i="80"/>
  <c r="A5189" i="80"/>
  <c r="A5190" i="80"/>
  <c r="A5192" i="80"/>
  <c r="A5193" i="80"/>
  <c r="A5194" i="80"/>
  <c r="A5195" i="80"/>
  <c r="A5196" i="80"/>
  <c r="A5198" i="80"/>
  <c r="A5199" i="80"/>
  <c r="A5200" i="80"/>
  <c r="A5201" i="80"/>
  <c r="A5202" i="80"/>
  <c r="A5204" i="80"/>
  <c r="A5205" i="80"/>
  <c r="A5206" i="80"/>
  <c r="A5207" i="80"/>
  <c r="A5208" i="80"/>
  <c r="A5210" i="80"/>
  <c r="A5211" i="80"/>
  <c r="A5212" i="80"/>
  <c r="A5213" i="80"/>
  <c r="A5214" i="80"/>
  <c r="A5216" i="80"/>
  <c r="A5217" i="80"/>
  <c r="A5218" i="80"/>
  <c r="A5219" i="80"/>
  <c r="A5220" i="80"/>
  <c r="A5222" i="80"/>
  <c r="A5223" i="80"/>
  <c r="A5224" i="80"/>
  <c r="A5225" i="80"/>
  <c r="A5226" i="80"/>
  <c r="A5228" i="80"/>
  <c r="A5229" i="80"/>
  <c r="A5230" i="80"/>
  <c r="A5231" i="80"/>
  <c r="A5232" i="80"/>
  <c r="A5234" i="80"/>
  <c r="A5235" i="80"/>
  <c r="A5236" i="80"/>
  <c r="A5237" i="80"/>
  <c r="A5238" i="80"/>
  <c r="A5240" i="80"/>
  <c r="A5241" i="80"/>
  <c r="A5242" i="80"/>
  <c r="A5243" i="80"/>
  <c r="A5244" i="80"/>
  <c r="A5246" i="80"/>
  <c r="A5247" i="80"/>
  <c r="A5248" i="80"/>
  <c r="A5249" i="80"/>
  <c r="A5250" i="80"/>
  <c r="A5252" i="80"/>
  <c r="A5253" i="80"/>
  <c r="A5254" i="80"/>
  <c r="A5255" i="80"/>
  <c r="A5256" i="80"/>
  <c r="A5258" i="80"/>
  <c r="A5259" i="80"/>
  <c r="A5260" i="80"/>
  <c r="A5261" i="80"/>
  <c r="A5262" i="80"/>
  <c r="A5264" i="80"/>
  <c r="A5265" i="80"/>
  <c r="A5266" i="80"/>
  <c r="A5267" i="80"/>
  <c r="A5268" i="80"/>
  <c r="A5270" i="80"/>
  <c r="A5271" i="80"/>
  <c r="A5272" i="80"/>
  <c r="A5273" i="80"/>
  <c r="A5274" i="80"/>
  <c r="A5276" i="80"/>
  <c r="A5277" i="80"/>
  <c r="A5278" i="80"/>
  <c r="A5279" i="80"/>
  <c r="A5280" i="80"/>
  <c r="A5282" i="80"/>
  <c r="A5283" i="80"/>
  <c r="A5284" i="80"/>
  <c r="A5285" i="80"/>
  <c r="A5286" i="80"/>
  <c r="A5288" i="80"/>
  <c r="A5289" i="80"/>
  <c r="A5290" i="80"/>
  <c r="A5291" i="80"/>
  <c r="A5292" i="80"/>
  <c r="A5294" i="80"/>
  <c r="A5295" i="80"/>
  <c r="A5296" i="80"/>
  <c r="A5297" i="80"/>
  <c r="A5298" i="80"/>
  <c r="A5300" i="80"/>
  <c r="A5301" i="80"/>
  <c r="A5302" i="80"/>
  <c r="A5303" i="80"/>
  <c r="A5304" i="80"/>
  <c r="A5306" i="80"/>
  <c r="A5307" i="80"/>
  <c r="A5308" i="80"/>
  <c r="A5309" i="80"/>
  <c r="A5310" i="80"/>
  <c r="A5312" i="80"/>
  <c r="A5313" i="80"/>
  <c r="A5314" i="80"/>
  <c r="A5315" i="80"/>
  <c r="A5316" i="80"/>
  <c r="A5318" i="80"/>
  <c r="A5319" i="80"/>
  <c r="A5320" i="80"/>
  <c r="A5321" i="80"/>
  <c r="A5322" i="80"/>
  <c r="A5324" i="80"/>
  <c r="A5325" i="80"/>
  <c r="A5326" i="80"/>
  <c r="A5327" i="80"/>
  <c r="A5328" i="80"/>
  <c r="A5330" i="80"/>
  <c r="A5331" i="80"/>
  <c r="A5332" i="80"/>
  <c r="A5333" i="80"/>
  <c r="A5334" i="80"/>
  <c r="A5336" i="80"/>
  <c r="A5337" i="80"/>
  <c r="A5338" i="80"/>
  <c r="A5339" i="80"/>
  <c r="A5340" i="80"/>
  <c r="A5342" i="80"/>
  <c r="A5343" i="80"/>
  <c r="A5344" i="80"/>
  <c r="A5345" i="80"/>
  <c r="A5346" i="80"/>
  <c r="A5348" i="80"/>
  <c r="A5349" i="80"/>
  <c r="A5350" i="80"/>
  <c r="A5351" i="80"/>
  <c r="A5352" i="80"/>
  <c r="A5354" i="80"/>
  <c r="A5355" i="80"/>
  <c r="A5356" i="80"/>
  <c r="A5357" i="80"/>
  <c r="A5358" i="80"/>
  <c r="A5360" i="80"/>
  <c r="A5361" i="80"/>
  <c r="A5362" i="80"/>
  <c r="A5363" i="80"/>
  <c r="A5364" i="80"/>
  <c r="A5366" i="80"/>
  <c r="A5367" i="80"/>
  <c r="A5368" i="80"/>
  <c r="A5369" i="80"/>
  <c r="A5370" i="80"/>
  <c r="A5372" i="80"/>
  <c r="A5373" i="80"/>
  <c r="A5374" i="80"/>
  <c r="A5375" i="80"/>
  <c r="A5376" i="80"/>
  <c r="A5378" i="80"/>
  <c r="A5379" i="80"/>
  <c r="A5380" i="80"/>
  <c r="A5381" i="80"/>
  <c r="A5382" i="80"/>
  <c r="A5384" i="80"/>
  <c r="A5385" i="80"/>
  <c r="A5386" i="80"/>
  <c r="A5387" i="80"/>
  <c r="A5388" i="80"/>
  <c r="A5390" i="80"/>
  <c r="A5391" i="80"/>
  <c r="A5392" i="80"/>
  <c r="A5393" i="80"/>
  <c r="A5394" i="80"/>
  <c r="A5396" i="80"/>
  <c r="A5397" i="80"/>
  <c r="A5398" i="80"/>
  <c r="A5399" i="80"/>
  <c r="A5400" i="80"/>
  <c r="A5402" i="80"/>
  <c r="A5403" i="80"/>
  <c r="A5404" i="80"/>
  <c r="A5405" i="80"/>
  <c r="A5406" i="80"/>
  <c r="A5408" i="80"/>
  <c r="A5409" i="80"/>
  <c r="A5410" i="80"/>
  <c r="A5411" i="80"/>
  <c r="A5412" i="80"/>
  <c r="A5414" i="80"/>
  <c r="A5415" i="80"/>
  <c r="A5416" i="80"/>
  <c r="A5417" i="80"/>
  <c r="A5418" i="80"/>
  <c r="A5420" i="80"/>
  <c r="A5421" i="80"/>
  <c r="A5422" i="80"/>
  <c r="A5423" i="80"/>
  <c r="A5424" i="80"/>
  <c r="A5426" i="80"/>
  <c r="A5427" i="80"/>
  <c r="A5428" i="80"/>
  <c r="A5429" i="80"/>
  <c r="A5430" i="80"/>
  <c r="A5432" i="80"/>
  <c r="A5433" i="80"/>
  <c r="A5434" i="80"/>
  <c r="A5435" i="80"/>
  <c r="A5436" i="80"/>
  <c r="A5438" i="80"/>
  <c r="A5439" i="80"/>
  <c r="A5440" i="80"/>
  <c r="A5441" i="80"/>
  <c r="A5442" i="80"/>
  <c r="A5444" i="80"/>
  <c r="A5445" i="80"/>
  <c r="A5446" i="80"/>
  <c r="A5447" i="80"/>
  <c r="A5448" i="80"/>
  <c r="A5450" i="80"/>
  <c r="A5451" i="80"/>
  <c r="A5452" i="80"/>
  <c r="A5453" i="80"/>
  <c r="A5454" i="80"/>
  <c r="A5456" i="80"/>
  <c r="A5457" i="80"/>
  <c r="A5458" i="80"/>
  <c r="A5459" i="80"/>
  <c r="A5460" i="80"/>
  <c r="A5462" i="80"/>
  <c r="A5463" i="80"/>
  <c r="A5464" i="80"/>
  <c r="A5465" i="80"/>
  <c r="A5466" i="80"/>
  <c r="A5468" i="80"/>
  <c r="A5469" i="80"/>
  <c r="A5470" i="80"/>
  <c r="A5471" i="80"/>
  <c r="A5472" i="80"/>
  <c r="A5474" i="80"/>
  <c r="A5475" i="80"/>
  <c r="A5476" i="80"/>
  <c r="A5477" i="80"/>
  <c r="A5478" i="80"/>
  <c r="A5480" i="80"/>
  <c r="A5481" i="80"/>
  <c r="A5482" i="80"/>
  <c r="A5483" i="80"/>
  <c r="A5484" i="80"/>
  <c r="A5486" i="80"/>
  <c r="A5487" i="80"/>
  <c r="A5488" i="80"/>
  <c r="A5489" i="80"/>
  <c r="A5490" i="80"/>
  <c r="A5492" i="80"/>
  <c r="A5493" i="80"/>
  <c r="A5494" i="80"/>
  <c r="A5495" i="80"/>
  <c r="A5496" i="80"/>
  <c r="A5498" i="80"/>
  <c r="A5499" i="80"/>
  <c r="A5500" i="80"/>
  <c r="A5501" i="80"/>
  <c r="A5502" i="80"/>
  <c r="A5504" i="80"/>
  <c r="A5505" i="80"/>
  <c r="A5506" i="80"/>
  <c r="A5507" i="80"/>
  <c r="A5508" i="80"/>
  <c r="A5510" i="80"/>
  <c r="A5511" i="80"/>
  <c r="A5512" i="80"/>
  <c r="A5513" i="80"/>
  <c r="A5514" i="80"/>
  <c r="A5516" i="80"/>
  <c r="A5517" i="80"/>
  <c r="A5518" i="80"/>
  <c r="A5519" i="80"/>
  <c r="A5520" i="80"/>
  <c r="A5522" i="80"/>
  <c r="A5523" i="80"/>
  <c r="A5524" i="80"/>
  <c r="A5525" i="80"/>
  <c r="A5526" i="80"/>
  <c r="A5528" i="80"/>
  <c r="A5529" i="80"/>
  <c r="A5530" i="80"/>
  <c r="A5531" i="80"/>
  <c r="A5532" i="80"/>
  <c r="A5534" i="80"/>
  <c r="A5535" i="80"/>
  <c r="A5536" i="80"/>
  <c r="A5537" i="80"/>
  <c r="A5538" i="80"/>
  <c r="A5540" i="80"/>
  <c r="A5541" i="80"/>
  <c r="A5542" i="80"/>
  <c r="A5543" i="80"/>
  <c r="A5544" i="80"/>
  <c r="A5546" i="80"/>
  <c r="A5547" i="80"/>
  <c r="A5548" i="80"/>
  <c r="A5549" i="80"/>
  <c r="A5550" i="80"/>
  <c r="A5552" i="80"/>
  <c r="A5553" i="80"/>
  <c r="A5554" i="80"/>
  <c r="A5555" i="80"/>
  <c r="A5556" i="80"/>
  <c r="A5558" i="80"/>
  <c r="A5559" i="80"/>
  <c r="A5560" i="80"/>
  <c r="A5561" i="80"/>
  <c r="A5562" i="80"/>
  <c r="A5564" i="80"/>
  <c r="A5565" i="80"/>
  <c r="A5566" i="80"/>
  <c r="A5567" i="80"/>
  <c r="A5568" i="80"/>
  <c r="A5570" i="80"/>
  <c r="A5571" i="80"/>
  <c r="A5572" i="80"/>
  <c r="A5573" i="80"/>
  <c r="A5574" i="80"/>
  <c r="A5576" i="80"/>
  <c r="A5577" i="80"/>
  <c r="A5578" i="80"/>
  <c r="A5579" i="80"/>
  <c r="A5580" i="80"/>
  <c r="A5582" i="80"/>
  <c r="A5583" i="80"/>
  <c r="A5584" i="80"/>
  <c r="A5585" i="80"/>
  <c r="A5586" i="80"/>
  <c r="A5588" i="80"/>
  <c r="A5589" i="80"/>
  <c r="A5590" i="80"/>
  <c r="A5591" i="80"/>
  <c r="A5592" i="80"/>
  <c r="A5594" i="80"/>
  <c r="A5595" i="80"/>
  <c r="A5596" i="80"/>
  <c r="A5597" i="80"/>
  <c r="A5598" i="80"/>
  <c r="A5600" i="80"/>
  <c r="A5601" i="80"/>
  <c r="A5602" i="80"/>
  <c r="A5603" i="80"/>
  <c r="A5604" i="80"/>
  <c r="A5606" i="80"/>
  <c r="A5607" i="80"/>
  <c r="A5608" i="80"/>
  <c r="A5609" i="80"/>
  <c r="A5610" i="80"/>
  <c r="A5612" i="80"/>
  <c r="A5613" i="80"/>
  <c r="A5614" i="80"/>
  <c r="A5615" i="80"/>
  <c r="A5616" i="80"/>
  <c r="A5618" i="80"/>
  <c r="A5619" i="80"/>
  <c r="A5620" i="80"/>
  <c r="A5621" i="80"/>
  <c r="A5622" i="80"/>
  <c r="A5624" i="80"/>
  <c r="A5625" i="80"/>
  <c r="A5626" i="80"/>
  <c r="A5627" i="80"/>
  <c r="A5628" i="80"/>
  <c r="A5630" i="80"/>
  <c r="A5631" i="80"/>
  <c r="A5632" i="80"/>
  <c r="A5633" i="80"/>
  <c r="A5634" i="80"/>
  <c r="A5636" i="80"/>
  <c r="A5637" i="80"/>
  <c r="A5638" i="80"/>
  <c r="A5639" i="80"/>
  <c r="A5640" i="80"/>
  <c r="A5642" i="80"/>
  <c r="A5643" i="80"/>
  <c r="A5644" i="80"/>
  <c r="A5645" i="80"/>
  <c r="A5646" i="80"/>
  <c r="A5648" i="80"/>
  <c r="A5649" i="80"/>
  <c r="A5650" i="80"/>
  <c r="A5651" i="80"/>
  <c r="A5652" i="80"/>
  <c r="A5654" i="80"/>
  <c r="A5655" i="80"/>
  <c r="A5656" i="80"/>
  <c r="A5657" i="80"/>
  <c r="A5658" i="80"/>
  <c r="A5660" i="80"/>
  <c r="A5661" i="80"/>
  <c r="A5662" i="80"/>
  <c r="A5663" i="80"/>
  <c r="A5664" i="80"/>
  <c r="A5666" i="80"/>
  <c r="A5667" i="80"/>
  <c r="A5668" i="80"/>
  <c r="A5669" i="80"/>
  <c r="A5670" i="80"/>
  <c r="A5672" i="80"/>
  <c r="A5673" i="80"/>
  <c r="A5674" i="80"/>
  <c r="A5675" i="80"/>
  <c r="A5676" i="80"/>
  <c r="A5678" i="80"/>
  <c r="A5679" i="80"/>
  <c r="A5680" i="80"/>
  <c r="A5681" i="80"/>
  <c r="A5682" i="80"/>
  <c r="A5684" i="80"/>
  <c r="A5685" i="80"/>
  <c r="A5686" i="80"/>
  <c r="A5687" i="80"/>
  <c r="A5688" i="80"/>
  <c r="A5690" i="80"/>
  <c r="A5691" i="80"/>
  <c r="A5692" i="80"/>
  <c r="A5693" i="80"/>
  <c r="A5694" i="80"/>
  <c r="A5696" i="80"/>
  <c r="A5697" i="80"/>
  <c r="A5698" i="80"/>
  <c r="A5699" i="80"/>
  <c r="A5700" i="80"/>
  <c r="A5702" i="80"/>
  <c r="A5703" i="80"/>
  <c r="A5704" i="80"/>
  <c r="A5705" i="80"/>
  <c r="A5706" i="80"/>
  <c r="A5708" i="80"/>
  <c r="A5709" i="80"/>
  <c r="A5710" i="80"/>
  <c r="A5711" i="80"/>
  <c r="A5712" i="80"/>
  <c r="A5714" i="80"/>
  <c r="A5715" i="80"/>
  <c r="A5716" i="80"/>
  <c r="A5717" i="80"/>
  <c r="A5718" i="80"/>
  <c r="A5720" i="80"/>
  <c r="A5721" i="80"/>
  <c r="A5722" i="80"/>
  <c r="A5723" i="80"/>
  <c r="A5724" i="80"/>
  <c r="A5726" i="80"/>
  <c r="A5727" i="80"/>
  <c r="A5728" i="80"/>
  <c r="A5729" i="80"/>
  <c r="A5730" i="80"/>
  <c r="A5732" i="80"/>
  <c r="A5733" i="80"/>
  <c r="A5734" i="80"/>
  <c r="A5735" i="80"/>
  <c r="A5736" i="80"/>
  <c r="A5738" i="80"/>
  <c r="A5739" i="80"/>
  <c r="A5740" i="80"/>
  <c r="A5741" i="80"/>
  <c r="A5742" i="80"/>
  <c r="A5744" i="80"/>
  <c r="A5745" i="80"/>
  <c r="A5746" i="80"/>
  <c r="A5747" i="80"/>
  <c r="A5748" i="80"/>
  <c r="A5750" i="80"/>
  <c r="A5751" i="80"/>
  <c r="A5752" i="80"/>
  <c r="A5753" i="80"/>
  <c r="A5754" i="80"/>
  <c r="A5756" i="80"/>
  <c r="A5757" i="80"/>
  <c r="A5758" i="80"/>
  <c r="A5759" i="80"/>
  <c r="A5760" i="80"/>
  <c r="A5762" i="80"/>
  <c r="A5763" i="80"/>
  <c r="A5764" i="80"/>
  <c r="A5765" i="80"/>
  <c r="A5766" i="80"/>
  <c r="A5768" i="80"/>
  <c r="A5769" i="80"/>
  <c r="A5770" i="80"/>
  <c r="A5771" i="80"/>
  <c r="A5772" i="80"/>
  <c r="A5774" i="80"/>
  <c r="A5775" i="80"/>
  <c r="A5776" i="80"/>
  <c r="A5777" i="80"/>
  <c r="A5778" i="80"/>
  <c r="A5780" i="80"/>
  <c r="A5781" i="80"/>
  <c r="A5782" i="80"/>
  <c r="A5783" i="80"/>
  <c r="A5784" i="80"/>
  <c r="A5786" i="80"/>
  <c r="A5787" i="80"/>
  <c r="A5788" i="80"/>
  <c r="A5789" i="80"/>
  <c r="A5790" i="80"/>
  <c r="A5792" i="80"/>
  <c r="A5793" i="80"/>
  <c r="A5794" i="80"/>
  <c r="A5795" i="80"/>
  <c r="A5796" i="80"/>
  <c r="A5798" i="80"/>
  <c r="A5799" i="80"/>
  <c r="A5800" i="80"/>
  <c r="A5801" i="80"/>
  <c r="A5802" i="80"/>
  <c r="A5804" i="80"/>
  <c r="A5805" i="80"/>
  <c r="A5806" i="80"/>
  <c r="A5807" i="80"/>
  <c r="A5808" i="80"/>
  <c r="A5810" i="80"/>
  <c r="A5811" i="80"/>
  <c r="A5812" i="80"/>
  <c r="A5813" i="80"/>
  <c r="A5814" i="80"/>
  <c r="A5816" i="80"/>
  <c r="A5817" i="80"/>
  <c r="A5818" i="80"/>
  <c r="A5819" i="80"/>
  <c r="A5820" i="80"/>
  <c r="A5822" i="80"/>
  <c r="A5823" i="80"/>
  <c r="A5824" i="80"/>
  <c r="A5825" i="80"/>
  <c r="A5826" i="80"/>
  <c r="A5828" i="80"/>
  <c r="A5829" i="80"/>
  <c r="A5830" i="80"/>
  <c r="A5831" i="80"/>
  <c r="A5832" i="80"/>
  <c r="A5834" i="80"/>
  <c r="A5835" i="80"/>
  <c r="A5836" i="80"/>
  <c r="A5837" i="80"/>
  <c r="A5838" i="80"/>
  <c r="A5840" i="80"/>
  <c r="A5841" i="80"/>
  <c r="A5842" i="80"/>
  <c r="A5843" i="80"/>
  <c r="A5844" i="80"/>
  <c r="A5846" i="80"/>
  <c r="A5847" i="80"/>
  <c r="A5848" i="80"/>
  <c r="A5849" i="80"/>
  <c r="A5850" i="80"/>
  <c r="A5852" i="80"/>
  <c r="A5853" i="80"/>
  <c r="A5854" i="80"/>
  <c r="A5855" i="80"/>
  <c r="A5856" i="80"/>
  <c r="A5858" i="80"/>
  <c r="A5859" i="80"/>
  <c r="A5860" i="80"/>
  <c r="A5861" i="80"/>
  <c r="A5862" i="80"/>
  <c r="A5864" i="80"/>
  <c r="A5865" i="80"/>
  <c r="A5866" i="80"/>
  <c r="A5867" i="80"/>
  <c r="A5868" i="80"/>
  <c r="A5870" i="80"/>
  <c r="A5871" i="80"/>
  <c r="A5872" i="80"/>
  <c r="A5873" i="80"/>
  <c r="A5874" i="80"/>
  <c r="A5876" i="80"/>
  <c r="A5877" i="80"/>
  <c r="A5878" i="80"/>
  <c r="A5879" i="80"/>
  <c r="A5880" i="80"/>
  <c r="A5881" i="80"/>
  <c r="A5882" i="80"/>
  <c r="A5884" i="80"/>
  <c r="A5885" i="80"/>
  <c r="A5886" i="80"/>
  <c r="A5887" i="80"/>
  <c r="A5888" i="80"/>
  <c r="A5889" i="80"/>
  <c r="A5890" i="80"/>
  <c r="A5891" i="80"/>
  <c r="A5893" i="80"/>
  <c r="A5894" i="80"/>
  <c r="A5895" i="80"/>
  <c r="A5896" i="80"/>
  <c r="A5898" i="80"/>
  <c r="A5899" i="80"/>
  <c r="A5900" i="80"/>
  <c r="A5901" i="80"/>
  <c r="A5903" i="80"/>
  <c r="A5904" i="80"/>
  <c r="A5905" i="80"/>
  <c r="A5906" i="80"/>
  <c r="A5908" i="80"/>
  <c r="A5909" i="80"/>
  <c r="A5910" i="80"/>
  <c r="A5911" i="80"/>
  <c r="A5913" i="80"/>
  <c r="A5914" i="80"/>
  <c r="A5915" i="80"/>
  <c r="A5916" i="80"/>
  <c r="A5918" i="80"/>
  <c r="A5919" i="80"/>
  <c r="A5920" i="80"/>
  <c r="A5921" i="80"/>
  <c r="A5923" i="80"/>
  <c r="A5924" i="80"/>
  <c r="A5925" i="80"/>
  <c r="A5926" i="80"/>
  <c r="A5928" i="80"/>
  <c r="A5929" i="80"/>
  <c r="A5930" i="80"/>
  <c r="A5931" i="80"/>
  <c r="A5933" i="80"/>
  <c r="A5934" i="80"/>
  <c r="A5935" i="80"/>
  <c r="A5936" i="80"/>
  <c r="A5938" i="80"/>
  <c r="A5939" i="80"/>
  <c r="A5940" i="80"/>
  <c r="A5941" i="80"/>
  <c r="A5943" i="80"/>
  <c r="A5944" i="80"/>
  <c r="A5945" i="80"/>
  <c r="A5946" i="80"/>
  <c r="A5948" i="80"/>
  <c r="A5949" i="80"/>
  <c r="A5950" i="80"/>
  <c r="A5951" i="80"/>
  <c r="A5953" i="80"/>
  <c r="A5954" i="80"/>
  <c r="A5955" i="80"/>
  <c r="A5956" i="80"/>
  <c r="A5958" i="80"/>
  <c r="A5959" i="80"/>
  <c r="A5960" i="80"/>
  <c r="A5961" i="80"/>
  <c r="A5963" i="80"/>
  <c r="A5964" i="80"/>
  <c r="A5965" i="80"/>
  <c r="A5966" i="80"/>
  <c r="A5968" i="80"/>
  <c r="A5969" i="80"/>
  <c r="A5970" i="80"/>
  <c r="A5971" i="80"/>
  <c r="A5973" i="80"/>
  <c r="A5974" i="80"/>
  <c r="A5975" i="80"/>
  <c r="A5976" i="80"/>
  <c r="A5978" i="80"/>
  <c r="A5979" i="80"/>
  <c r="A5980" i="80"/>
  <c r="A5981" i="80"/>
  <c r="A5983" i="80"/>
  <c r="A5984" i="80"/>
  <c r="A5985" i="80"/>
  <c r="A5986" i="80"/>
  <c r="A5988" i="80"/>
  <c r="A5989" i="80"/>
  <c r="A5990" i="80"/>
  <c r="A5991" i="80"/>
  <c r="A5993" i="80"/>
  <c r="A5994" i="80"/>
  <c r="A5995" i="80"/>
  <c r="A5996" i="80"/>
  <c r="A5998" i="80"/>
  <c r="A5999" i="80"/>
  <c r="A6000" i="80"/>
  <c r="A6001" i="80"/>
  <c r="A6003" i="80"/>
  <c r="A6004" i="80"/>
  <c r="A6005" i="80"/>
  <c r="A6006" i="80"/>
  <c r="A6008" i="80"/>
  <c r="A6009" i="80"/>
  <c r="A6010" i="80"/>
  <c r="A6011" i="80"/>
  <c r="A6013" i="80"/>
  <c r="A6014" i="80"/>
  <c r="A6015" i="80"/>
  <c r="A6016" i="80"/>
  <c r="A6018" i="80"/>
  <c r="A6019" i="80"/>
  <c r="A6020" i="80"/>
  <c r="A6021" i="80"/>
  <c r="A6023" i="80"/>
  <c r="A6024" i="80"/>
  <c r="A6025" i="80"/>
  <c r="A6026" i="80"/>
  <c r="A6028" i="80"/>
  <c r="A6029" i="80"/>
  <c r="A6030" i="80"/>
  <c r="A6031" i="80"/>
  <c r="A6033" i="80"/>
  <c r="A6034" i="80"/>
  <c r="A6035" i="80"/>
  <c r="A6036" i="80"/>
  <c r="A6038" i="80"/>
  <c r="A6039" i="80"/>
  <c r="A6040" i="80"/>
  <c r="A6041" i="80"/>
  <c r="A6043" i="80"/>
  <c r="A6044" i="80"/>
  <c r="A6045" i="80"/>
  <c r="A6046" i="80"/>
  <c r="A6048" i="80"/>
  <c r="A6049" i="80"/>
  <c r="A6050" i="80"/>
  <c r="A6051" i="80"/>
  <c r="A6053" i="80"/>
  <c r="A6054" i="80"/>
  <c r="A6055" i="80"/>
  <c r="A6056" i="80"/>
  <c r="A6058" i="80"/>
  <c r="A6059" i="80"/>
  <c r="A6060" i="80"/>
  <c r="A6061" i="80"/>
  <c r="A6063" i="80"/>
  <c r="A6064" i="80"/>
  <c r="A6065" i="80"/>
  <c r="A6066" i="80"/>
  <c r="A6068" i="80"/>
  <c r="A6069" i="80"/>
  <c r="A6070" i="80"/>
  <c r="A6071" i="80"/>
  <c r="A6073" i="80"/>
  <c r="A6074" i="80"/>
  <c r="A6075" i="80"/>
  <c r="A6076" i="80"/>
  <c r="A6078" i="80"/>
  <c r="A6079" i="80"/>
  <c r="A6080" i="80"/>
  <c r="A6081" i="80"/>
  <c r="A6083" i="80"/>
  <c r="A6084" i="80"/>
  <c r="A6085" i="80"/>
  <c r="A6086" i="80"/>
  <c r="A6088" i="80"/>
  <c r="A6089" i="80"/>
  <c r="A6090" i="80"/>
  <c r="A6091" i="80"/>
  <c r="A6093" i="80"/>
  <c r="A6094" i="80"/>
  <c r="A6095" i="80"/>
  <c r="A6096" i="80"/>
  <c r="A6098" i="80"/>
  <c r="A6099" i="80"/>
  <c r="A6100" i="80"/>
  <c r="A6101" i="80"/>
  <c r="A6103" i="80"/>
  <c r="A6104" i="80"/>
  <c r="A6105" i="80"/>
  <c r="A6106" i="80"/>
  <c r="A6108" i="80"/>
  <c r="A6109" i="80"/>
  <c r="A6110" i="80"/>
  <c r="A6111" i="80"/>
  <c r="A6113" i="80"/>
  <c r="A6114" i="80"/>
  <c r="A6115" i="80"/>
  <c r="A6116" i="80"/>
  <c r="A6118" i="80"/>
  <c r="A6119" i="80"/>
  <c r="A6120" i="80"/>
  <c r="A6121" i="80"/>
  <c r="A6123" i="80"/>
  <c r="A6124" i="80"/>
  <c r="A6125" i="80"/>
  <c r="A6126" i="80"/>
  <c r="A6128" i="80"/>
  <c r="A6129" i="80"/>
  <c r="A6130" i="80"/>
  <c r="A6131" i="80"/>
  <c r="A6133" i="80"/>
  <c r="A6134" i="80"/>
  <c r="A6135" i="80"/>
  <c r="A6136" i="80"/>
  <c r="A6138" i="80"/>
  <c r="A6139" i="80"/>
  <c r="A6140" i="80"/>
  <c r="A6141" i="80"/>
  <c r="A6143" i="80"/>
  <c r="A6144" i="80"/>
  <c r="A6145" i="80"/>
  <c r="A6146" i="80"/>
  <c r="A6148" i="80"/>
  <c r="A6149" i="80"/>
  <c r="A6150" i="80"/>
  <c r="A6151" i="80"/>
  <c r="A6153" i="80"/>
  <c r="A6154" i="80"/>
  <c r="A6155" i="80"/>
  <c r="A6156" i="80"/>
  <c r="A6158" i="80"/>
  <c r="A6159" i="80"/>
  <c r="A6160" i="80"/>
  <c r="A6161" i="80"/>
  <c r="A6163" i="80"/>
  <c r="A6164" i="80"/>
  <c r="A6165" i="80"/>
  <c r="A6166" i="80"/>
  <c r="A6168" i="80"/>
  <c r="A6169" i="80"/>
  <c r="A6170" i="80"/>
  <c r="A6171" i="80"/>
  <c r="A6173" i="80"/>
  <c r="A6174" i="80"/>
  <c r="A6175" i="80"/>
  <c r="A6176" i="80"/>
  <c r="A6178" i="80"/>
  <c r="A6179" i="80"/>
  <c r="A6180" i="80"/>
  <c r="A6181" i="80"/>
  <c r="A6183" i="80"/>
  <c r="A6184" i="80"/>
  <c r="A6185" i="80"/>
  <c r="A6186" i="80"/>
  <c r="A6188" i="80"/>
  <c r="A6189" i="80"/>
  <c r="A6190" i="80"/>
  <c r="A6191" i="80"/>
  <c r="A6193" i="80"/>
  <c r="A6194" i="80"/>
  <c r="A6195" i="80"/>
  <c r="A6196" i="80"/>
  <c r="A6198" i="80"/>
  <c r="A6199" i="80"/>
  <c r="A6200" i="80"/>
  <c r="A6201" i="80"/>
  <c r="A6203" i="80"/>
  <c r="A6204" i="80"/>
  <c r="A6205" i="80"/>
  <c r="A6206" i="80"/>
  <c r="A6208" i="80"/>
  <c r="A6209" i="80"/>
  <c r="A6210" i="80"/>
  <c r="A6211" i="80"/>
  <c r="A6213" i="80"/>
  <c r="A6214" i="80"/>
  <c r="A6215" i="80"/>
  <c r="A6216" i="80"/>
  <c r="A6218" i="80"/>
  <c r="A6219" i="80"/>
  <c r="A6220" i="80"/>
  <c r="A6221" i="80"/>
  <c r="A6222" i="80"/>
  <c r="A6223" i="80"/>
  <c r="A6224" i="80"/>
  <c r="A6225" i="80"/>
  <c r="A6227" i="80"/>
  <c r="A6228" i="80"/>
  <c r="A6229" i="80"/>
  <c r="A6230" i="80"/>
  <c r="A6231" i="80"/>
  <c r="A6232" i="80"/>
  <c r="A6233" i="80"/>
  <c r="A6234" i="80"/>
  <c r="A6235" i="80"/>
  <c r="A6236" i="80"/>
  <c r="A6238" i="80"/>
  <c r="A6239" i="80"/>
  <c r="A6240" i="80"/>
  <c r="A6241" i="80"/>
  <c r="A6242" i="80"/>
  <c r="A6244" i="80"/>
  <c r="A6245" i="80"/>
  <c r="A6246" i="80"/>
  <c r="A6247" i="80"/>
  <c r="A6248" i="80"/>
  <c r="A6250" i="80"/>
  <c r="A6251" i="80"/>
  <c r="A6252" i="80"/>
  <c r="A6253" i="80"/>
  <c r="A6254" i="80"/>
  <c r="A6256" i="80"/>
  <c r="A6257" i="80"/>
  <c r="A6258" i="80"/>
  <c r="A6259" i="80"/>
  <c r="A6260" i="80"/>
  <c r="A6262" i="80"/>
  <c r="A6263" i="80"/>
  <c r="A6264" i="80"/>
  <c r="A6265" i="80"/>
  <c r="A6266" i="80"/>
  <c r="A6268" i="80"/>
  <c r="A6269" i="80"/>
  <c r="A6270" i="80"/>
  <c r="A6271" i="80"/>
  <c r="A6272" i="80"/>
  <c r="A6274" i="80"/>
  <c r="A6275" i="80"/>
  <c r="A6276" i="80"/>
  <c r="A6277" i="80"/>
  <c r="A6278" i="80"/>
  <c r="A6280" i="80"/>
  <c r="A6281" i="80"/>
  <c r="A6282" i="80"/>
  <c r="A6283" i="80"/>
  <c r="A6284" i="80"/>
  <c r="A6286" i="80"/>
  <c r="A6287" i="80"/>
  <c r="A6288" i="80"/>
  <c r="A6289" i="80"/>
  <c r="A6290" i="80"/>
  <c r="A6292" i="80"/>
  <c r="A6293" i="80"/>
  <c r="A6294" i="80"/>
  <c r="A6295" i="80"/>
  <c r="A6296" i="80"/>
  <c r="A6298" i="80"/>
  <c r="A6299" i="80"/>
  <c r="A6300" i="80"/>
  <c r="A6301" i="80"/>
  <c r="A6302" i="80"/>
  <c r="A6304" i="80"/>
  <c r="A6305" i="80"/>
  <c r="A6306" i="80"/>
  <c r="A6307" i="80"/>
  <c r="A6308" i="80"/>
  <c r="A6310" i="80"/>
  <c r="A6311" i="80"/>
  <c r="A6312" i="80"/>
  <c r="A6313" i="80"/>
  <c r="A6314" i="80"/>
  <c r="A6316" i="80"/>
  <c r="A6317" i="80"/>
  <c r="A6318" i="80"/>
  <c r="A6319" i="80"/>
  <c r="A6320" i="80"/>
  <c r="A6322" i="80"/>
  <c r="A6323" i="80"/>
  <c r="A6324" i="80"/>
  <c r="A6325" i="80"/>
  <c r="A6326" i="80"/>
  <c r="A6328" i="80"/>
  <c r="A6329" i="80"/>
  <c r="A6330" i="80"/>
  <c r="A6332" i="80"/>
  <c r="A6333" i="80"/>
  <c r="A6334" i="80"/>
  <c r="A6335" i="80"/>
  <c r="A6337" i="80"/>
  <c r="A6338" i="80"/>
  <c r="A6339" i="80"/>
  <c r="A6340" i="80"/>
  <c r="A6342" i="80"/>
  <c r="A6343" i="80"/>
  <c r="A6344" i="80"/>
  <c r="A6345" i="80"/>
  <c r="A6347" i="80"/>
  <c r="A6348" i="80"/>
  <c r="A6349" i="80"/>
  <c r="A6350" i="80"/>
  <c r="A6351" i="80"/>
  <c r="A6352" i="80"/>
  <c r="A6354" i="80"/>
  <c r="A6355" i="80"/>
  <c r="A6356" i="80"/>
  <c r="A6357" i="80"/>
  <c r="A6358" i="80"/>
  <c r="A6360" i="80"/>
  <c r="A6361" i="80"/>
  <c r="A6362" i="80"/>
  <c r="A6363" i="80"/>
  <c r="A6364" i="80"/>
  <c r="A6366" i="80"/>
  <c r="A6367" i="80"/>
  <c r="A6368" i="80"/>
  <c r="A6369" i="80"/>
  <c r="A6370" i="80"/>
  <c r="A6372" i="80"/>
  <c r="A6373" i="80"/>
  <c r="A6374" i="80"/>
  <c r="A6375" i="80"/>
  <c r="A6376" i="80"/>
  <c r="A6378" i="80"/>
  <c r="A6379" i="80"/>
  <c r="A6380" i="80"/>
  <c r="A6381" i="80"/>
  <c r="A6382" i="80"/>
  <c r="A6384" i="80"/>
  <c r="A6385" i="80"/>
  <c r="A6386" i="80"/>
  <c r="A6387" i="80"/>
  <c r="A6388" i="80"/>
  <c r="A6390" i="80"/>
  <c r="A6391" i="80"/>
  <c r="A6392" i="80"/>
  <c r="A6393" i="80"/>
  <c r="A6394" i="80"/>
  <c r="A6396" i="80"/>
  <c r="A6397" i="80"/>
  <c r="A6398" i="80"/>
  <c r="A6399" i="80"/>
  <c r="A6400" i="80"/>
  <c r="A6402" i="80"/>
  <c r="A6403" i="80"/>
  <c r="A6404" i="80"/>
  <c r="A6405" i="80"/>
  <c r="A6406" i="80"/>
  <c r="A6408" i="80"/>
  <c r="A6409" i="80"/>
  <c r="A6410" i="80"/>
  <c r="A6411" i="80"/>
  <c r="A6412" i="80"/>
  <c r="A6414" i="80"/>
  <c r="A6415" i="80"/>
  <c r="A6416" i="80"/>
  <c r="A6417" i="80"/>
  <c r="A6418" i="80"/>
  <c r="A6420" i="80"/>
  <c r="A6421" i="80"/>
  <c r="A6422" i="80"/>
  <c r="A6423" i="80"/>
  <c r="A6424" i="80"/>
  <c r="A6426" i="80"/>
  <c r="A6427" i="80"/>
  <c r="A6428" i="80"/>
  <c r="A6429" i="80"/>
  <c r="A6430" i="80"/>
  <c r="A6432" i="80"/>
  <c r="A6433" i="80"/>
  <c r="A6434" i="80"/>
  <c r="A6435" i="80"/>
  <c r="A6436" i="80"/>
  <c r="A6438" i="80"/>
  <c r="A6439" i="80"/>
  <c r="A6440" i="80"/>
  <c r="A6441" i="80"/>
  <c r="A6442" i="80"/>
  <c r="A6444" i="80"/>
  <c r="A6445" i="80"/>
  <c r="A6446" i="80"/>
  <c r="A6447" i="80"/>
  <c r="A6448" i="80"/>
  <c r="A6450" i="80"/>
  <c r="A6451" i="80"/>
  <c r="A6452" i="80"/>
  <c r="A6453" i="80"/>
  <c r="A6454" i="80"/>
  <c r="A6456" i="80"/>
  <c r="A6457" i="80"/>
  <c r="A6458" i="80"/>
  <c r="A6459" i="80"/>
  <c r="A6460" i="80"/>
  <c r="A6462" i="80"/>
  <c r="A6463" i="80"/>
  <c r="A6464" i="80"/>
  <c r="A6465" i="80"/>
  <c r="A6466" i="80"/>
  <c r="A6468" i="80"/>
  <c r="A6469" i="80"/>
  <c r="A6470" i="80"/>
  <c r="A6471" i="80"/>
  <c r="A6472" i="80"/>
  <c r="A6474" i="80"/>
  <c r="A6475" i="80"/>
  <c r="A6476" i="80"/>
  <c r="A6477" i="80"/>
  <c r="A6478" i="80"/>
  <c r="A6480" i="80"/>
  <c r="A6481" i="80"/>
  <c r="A6482" i="80"/>
  <c r="A6483" i="80"/>
  <c r="A6484" i="80"/>
  <c r="A6486" i="80"/>
  <c r="A6487" i="80"/>
  <c r="A6488" i="80"/>
  <c r="A6489" i="80"/>
  <c r="A6490" i="80"/>
  <c r="A6492" i="80"/>
  <c r="A6493" i="80"/>
  <c r="A6494" i="80"/>
  <c r="A6495" i="80"/>
  <c r="A6496" i="80"/>
  <c r="A6498" i="80"/>
  <c r="A6499" i="80"/>
  <c r="A6500" i="80"/>
  <c r="A6501" i="80"/>
  <c r="A6502" i="80"/>
  <c r="A6504" i="80"/>
  <c r="A6505" i="80"/>
  <c r="A6506" i="80"/>
  <c r="A6507" i="80"/>
  <c r="A6508" i="80"/>
  <c r="A6510" i="80"/>
  <c r="A6511" i="80"/>
  <c r="A6512" i="80"/>
  <c r="A6513" i="80"/>
  <c r="A6514" i="80"/>
  <c r="A6516" i="80"/>
  <c r="A6517" i="80"/>
  <c r="A6518" i="80"/>
  <c r="A6519" i="80"/>
  <c r="A6520" i="80"/>
  <c r="A6522" i="80"/>
  <c r="A6523" i="80"/>
  <c r="A6524" i="80"/>
  <c r="A6525" i="80"/>
  <c r="A6526" i="80"/>
  <c r="A6528" i="80"/>
  <c r="A6529" i="80"/>
  <c r="A6530" i="80"/>
  <c r="A6531" i="80"/>
  <c r="A6532" i="80"/>
  <c r="A6534" i="80"/>
  <c r="A6535" i="80"/>
  <c r="A6536" i="80"/>
  <c r="A6537" i="80"/>
  <c r="A6538" i="80"/>
  <c r="A6540" i="80"/>
  <c r="A6541" i="80"/>
  <c r="A6542" i="80"/>
  <c r="A6543" i="80"/>
  <c r="A6544" i="80"/>
  <c r="A6546" i="80"/>
  <c r="A6547" i="80"/>
  <c r="A6548" i="80"/>
  <c r="A6549" i="80"/>
  <c r="A6550" i="80"/>
  <c r="A6552" i="80"/>
  <c r="A6553" i="80"/>
  <c r="A6554" i="80"/>
  <c r="A6555" i="80"/>
  <c r="A6556" i="80"/>
  <c r="A6558" i="80"/>
  <c r="A6559" i="80"/>
  <c r="A6560" i="80"/>
  <c r="A6561" i="80"/>
  <c r="A6562" i="80"/>
  <c r="A6564" i="80"/>
  <c r="A6565" i="80"/>
  <c r="A6566" i="80"/>
  <c r="A6567" i="80"/>
  <c r="A6568" i="80"/>
  <c r="A6570" i="80"/>
  <c r="A6571" i="80"/>
  <c r="A6572" i="80"/>
  <c r="A6573" i="80"/>
  <c r="A6574" i="80"/>
  <c r="A6576" i="80"/>
  <c r="A6577" i="80"/>
  <c r="A6578" i="80"/>
  <c r="A6579" i="80"/>
  <c r="A6580" i="80"/>
  <c r="A6582" i="80"/>
  <c r="A6583" i="80"/>
  <c r="A6584" i="80"/>
  <c r="A6585" i="80"/>
  <c r="A6586" i="80"/>
  <c r="A6588" i="80"/>
  <c r="A6589" i="80"/>
  <c r="A6590" i="80"/>
  <c r="A6591" i="80"/>
  <c r="A6592" i="80"/>
  <c r="A6594" i="80"/>
  <c r="A6595" i="80"/>
  <c r="A6596" i="80"/>
  <c r="A6597" i="80"/>
  <c r="A6598" i="80"/>
  <c r="A6600" i="80"/>
  <c r="A6601" i="80"/>
  <c r="A6602" i="80"/>
  <c r="A6603" i="80"/>
  <c r="A6604" i="80"/>
  <c r="A6606" i="80"/>
  <c r="A6607" i="80"/>
  <c r="A6608" i="80"/>
  <c r="A6609" i="80"/>
  <c r="A6610" i="80"/>
  <c r="A6612" i="80"/>
  <c r="A6613" i="80"/>
  <c r="A6614" i="80"/>
  <c r="A6615" i="80"/>
  <c r="A6616" i="80"/>
  <c r="A6618" i="80"/>
  <c r="A6619" i="80"/>
  <c r="A6620" i="80"/>
  <c r="A6621" i="80"/>
  <c r="A6622" i="80"/>
  <c r="A6624" i="80"/>
  <c r="A6625" i="80"/>
  <c r="A6626" i="80"/>
  <c r="A6627" i="80"/>
  <c r="A6628" i="80"/>
  <c r="A6630" i="80"/>
  <c r="A6631" i="80"/>
  <c r="A6632" i="80"/>
  <c r="A6633" i="80"/>
  <c r="A6634" i="80"/>
  <c r="A6636" i="80"/>
  <c r="A6637" i="80"/>
  <c r="A6638" i="80"/>
  <c r="A6639" i="80"/>
  <c r="A6640" i="80"/>
  <c r="A6642" i="80"/>
  <c r="A6643" i="80"/>
  <c r="A6644" i="80"/>
  <c r="A6645" i="80"/>
  <c r="A6646" i="80"/>
  <c r="A6648" i="80"/>
  <c r="A6649" i="80"/>
  <c r="A6650" i="80"/>
  <c r="A6651" i="80"/>
  <c r="A6652" i="80"/>
  <c r="A6654" i="80"/>
  <c r="A6655" i="80"/>
  <c r="A6656" i="80"/>
  <c r="A6657" i="80"/>
  <c r="A6658" i="80"/>
  <c r="A6660" i="80"/>
  <c r="A6661" i="80"/>
  <c r="A6662" i="80"/>
  <c r="A6663" i="80"/>
  <c r="A6664" i="80"/>
  <c r="A6665" i="80"/>
  <c r="A6666" i="80"/>
  <c r="A6667" i="80"/>
  <c r="A6668" i="80"/>
  <c r="A6669" i="80"/>
  <c r="A6670" i="80"/>
  <c r="A6671" i="80"/>
  <c r="A6673" i="80"/>
  <c r="A6674" i="80"/>
  <c r="A6675" i="80"/>
  <c r="A6676" i="80"/>
  <c r="A6677" i="80"/>
  <c r="A6679" i="80"/>
  <c r="A6680" i="80"/>
  <c r="A6681" i="80"/>
  <c r="A6682" i="80"/>
  <c r="A6683" i="80"/>
  <c r="A6685" i="80"/>
  <c r="A6686" i="80"/>
  <c r="A6687" i="80"/>
  <c r="A6688" i="80"/>
  <c r="A6689" i="80"/>
  <c r="A6691" i="80"/>
  <c r="A6692" i="80"/>
  <c r="A6693" i="80"/>
  <c r="A6694" i="80"/>
  <c r="A6695" i="80"/>
  <c r="A6697" i="80"/>
  <c r="A6698" i="80"/>
  <c r="A6699" i="80"/>
  <c r="A6700" i="80"/>
  <c r="A6701" i="80"/>
  <c r="A6703" i="80"/>
  <c r="A6704" i="80"/>
  <c r="A6705" i="80"/>
  <c r="A6706" i="80"/>
  <c r="A6707" i="80"/>
  <c r="A6709" i="80"/>
  <c r="A6710" i="80"/>
  <c r="A6711" i="80"/>
  <c r="A6712" i="80"/>
  <c r="A6713" i="80"/>
  <c r="A6715" i="80"/>
  <c r="A6716" i="80"/>
  <c r="A6717" i="80"/>
  <c r="A6718" i="80"/>
  <c r="A6719" i="80"/>
  <c r="A6721" i="80"/>
  <c r="A6722" i="80"/>
  <c r="A6723" i="80"/>
  <c r="A6724" i="80"/>
  <c r="A6725" i="80"/>
  <c r="A6727" i="80"/>
  <c r="A6728" i="80"/>
  <c r="A6729" i="80"/>
  <c r="A6730" i="80"/>
  <c r="A6731" i="80"/>
  <c r="A6733" i="80"/>
  <c r="A6734" i="80"/>
  <c r="A6735" i="80"/>
  <c r="A6736" i="80"/>
  <c r="A6737" i="80"/>
  <c r="A6739" i="80"/>
  <c r="A6740" i="80"/>
  <c r="A6741" i="80"/>
  <c r="A6742" i="80"/>
  <c r="A6743" i="80"/>
  <c r="A6745" i="80"/>
  <c r="A6746" i="80"/>
  <c r="A6747" i="80"/>
  <c r="A6748" i="80"/>
  <c r="A6749" i="80"/>
  <c r="A6751" i="80"/>
  <c r="A6752" i="80"/>
  <c r="A6753" i="80"/>
  <c r="A6754" i="80"/>
  <c r="A6755" i="80"/>
  <c r="A6757" i="80"/>
  <c r="A6758" i="80"/>
  <c r="A6759" i="80"/>
  <c r="A6760" i="80"/>
  <c r="A6761" i="80"/>
  <c r="A6763" i="80"/>
  <c r="A6764" i="80"/>
  <c r="A6765" i="80"/>
  <c r="A6766" i="80"/>
  <c r="A6767" i="80"/>
  <c r="A6769" i="80"/>
  <c r="A6770" i="80"/>
  <c r="A6771" i="80"/>
  <c r="A6772" i="80"/>
  <c r="A6773" i="80"/>
  <c r="A6775" i="80"/>
  <c r="A6776" i="80"/>
  <c r="A6777" i="80"/>
  <c r="A6778" i="80"/>
  <c r="A6779" i="80"/>
  <c r="A6781" i="80"/>
  <c r="A6782" i="80"/>
  <c r="A6783" i="80"/>
  <c r="A6784" i="80"/>
  <c r="A6785" i="80"/>
  <c r="A6787" i="80"/>
  <c r="A6788" i="80"/>
  <c r="A6789" i="80"/>
  <c r="A6790" i="80"/>
  <c r="A6791" i="80"/>
  <c r="A6793" i="80"/>
  <c r="A6794" i="80"/>
  <c r="A6795" i="80"/>
  <c r="A6796" i="80"/>
  <c r="A6797" i="80"/>
  <c r="A6799" i="80"/>
  <c r="A6800" i="80"/>
  <c r="A6801" i="80"/>
  <c r="A6802" i="80"/>
  <c r="A6803" i="80"/>
  <c r="A6805" i="80"/>
  <c r="A6806" i="80"/>
  <c r="A6807" i="80"/>
  <c r="A6808" i="80"/>
  <c r="A6809" i="80"/>
  <c r="A6811" i="80"/>
  <c r="A6812" i="80"/>
  <c r="A6813" i="80"/>
  <c r="A6814" i="80"/>
  <c r="A6815" i="80"/>
  <c r="A6817" i="80"/>
  <c r="A6818" i="80"/>
  <c r="A6819" i="80"/>
  <c r="A6820" i="80"/>
  <c r="A6821" i="80"/>
  <c r="A6823" i="80"/>
  <c r="A6824" i="80"/>
  <c r="A6825" i="80"/>
  <c r="A6826" i="80"/>
  <c r="A6827" i="80"/>
  <c r="A6829" i="80"/>
  <c r="A6830" i="80"/>
  <c r="A6831" i="80"/>
  <c r="A6832" i="80"/>
  <c r="A6833" i="80"/>
  <c r="A6835" i="80"/>
  <c r="A6836" i="80"/>
  <c r="A6837" i="80"/>
  <c r="A6838" i="80"/>
  <c r="A6839" i="80"/>
  <c r="A6841" i="80"/>
  <c r="A6842" i="80"/>
  <c r="A6843" i="80"/>
  <c r="A6844" i="80"/>
  <c r="A6845" i="80"/>
  <c r="A6847" i="80"/>
  <c r="A6848" i="80"/>
  <c r="A6849" i="80"/>
  <c r="A6850" i="80"/>
  <c r="A6851" i="80"/>
  <c r="A6853" i="80"/>
  <c r="A6854" i="80"/>
  <c r="A6855" i="80"/>
  <c r="A6856" i="80"/>
  <c r="A6857" i="80"/>
  <c r="A6859" i="80"/>
  <c r="A6860" i="80"/>
  <c r="A6861" i="80"/>
  <c r="A6862" i="80"/>
  <c r="A6863" i="80"/>
  <c r="A6865" i="80"/>
  <c r="A6866" i="80"/>
  <c r="A6867" i="80"/>
  <c r="A6868" i="80"/>
  <c r="A6869" i="80"/>
  <c r="A6871" i="80"/>
  <c r="A6872" i="80"/>
  <c r="A6873" i="80"/>
  <c r="A6874" i="80"/>
  <c r="A6875" i="80"/>
  <c r="A6877" i="80"/>
  <c r="A6878" i="80"/>
  <c r="A6879" i="80"/>
  <c r="A6880" i="80"/>
  <c r="A6881" i="80"/>
  <c r="A6883" i="80"/>
  <c r="A6884" i="80"/>
  <c r="A6885" i="80"/>
  <c r="A6886" i="80"/>
  <c r="A6887" i="80"/>
  <c r="A6889" i="80"/>
  <c r="A6890" i="80"/>
  <c r="A6891" i="80"/>
  <c r="A6892" i="80"/>
  <c r="A6893" i="80"/>
  <c r="A6895" i="80"/>
  <c r="A6896" i="80"/>
  <c r="A6897" i="80"/>
  <c r="A6898" i="80"/>
  <c r="A6899" i="80"/>
  <c r="A6901" i="80"/>
  <c r="A6902" i="80"/>
  <c r="A6903" i="80"/>
  <c r="A6904" i="80"/>
  <c r="A6905" i="80"/>
  <c r="A6907" i="80"/>
  <c r="A6908" i="80"/>
  <c r="A6909" i="80"/>
  <c r="A6910" i="80"/>
  <c r="A6911" i="80"/>
  <c r="A6913" i="80"/>
  <c r="A6914" i="80"/>
  <c r="A6915" i="80"/>
  <c r="A6916" i="80"/>
  <c r="A6917" i="80"/>
  <c r="A6919" i="80"/>
  <c r="A6920" i="80"/>
  <c r="A6921" i="80"/>
  <c r="A6922" i="80"/>
  <c r="A6923" i="80"/>
  <c r="A6925" i="80"/>
  <c r="A6926" i="80"/>
  <c r="A6927" i="80"/>
  <c r="A6928" i="80"/>
  <c r="A6929" i="80"/>
  <c r="A6931" i="80"/>
  <c r="A6932" i="80"/>
  <c r="A6933" i="80"/>
  <c r="A6934" i="80"/>
  <c r="A6935" i="80"/>
  <c r="A6937" i="80"/>
  <c r="A6938" i="80"/>
  <c r="A6939" i="80"/>
  <c r="A6940" i="80"/>
  <c r="A6941" i="80"/>
  <c r="A6943" i="80"/>
  <c r="A6944" i="80"/>
  <c r="A6945" i="80"/>
  <c r="A6946" i="80"/>
  <c r="A6947" i="80"/>
  <c r="A6949" i="80"/>
  <c r="A6950" i="80"/>
  <c r="A6951" i="80"/>
  <c r="A6952" i="80"/>
  <c r="A6953" i="80"/>
  <c r="A6955" i="80"/>
  <c r="A6956" i="80"/>
  <c r="A6957" i="80"/>
  <c r="A6958" i="80"/>
  <c r="A6959" i="80"/>
  <c r="A6961" i="80"/>
  <c r="A6962" i="80"/>
  <c r="A6963" i="80"/>
  <c r="A6964" i="80"/>
  <c r="A6965" i="80"/>
  <c r="A6967" i="80"/>
  <c r="A6968" i="80"/>
  <c r="A6969" i="80"/>
  <c r="A6970" i="80"/>
  <c r="A6971" i="80"/>
  <c r="A6973" i="80"/>
  <c r="A6974" i="80"/>
  <c r="A6975" i="80"/>
  <c r="A6976" i="80"/>
  <c r="A6977" i="80"/>
  <c r="A6979" i="80"/>
  <c r="A6980" i="80"/>
  <c r="A6981" i="80"/>
  <c r="A6982" i="80"/>
  <c r="A6983" i="80"/>
  <c r="A6985" i="80"/>
  <c r="A6986" i="80"/>
  <c r="A6987" i="80"/>
  <c r="A6988" i="80"/>
  <c r="A6989" i="80"/>
  <c r="A6991" i="80"/>
  <c r="A6992" i="80"/>
  <c r="A6993" i="80"/>
  <c r="A6994" i="80"/>
  <c r="A6995" i="80"/>
  <c r="A6997" i="80"/>
  <c r="A6998" i="80"/>
  <c r="A6999" i="80"/>
  <c r="A7000" i="80"/>
  <c r="A7001" i="80"/>
  <c r="A7003" i="80"/>
  <c r="A7004" i="80"/>
  <c r="A7005" i="80"/>
  <c r="A7006" i="80"/>
  <c r="A7007" i="80"/>
  <c r="A7009" i="80"/>
  <c r="A7010" i="80"/>
  <c r="A7011" i="80"/>
  <c r="A7012" i="80"/>
  <c r="A7013" i="80"/>
  <c r="A7015" i="80"/>
  <c r="A7016" i="80"/>
  <c r="A7017" i="80"/>
  <c r="A7018" i="80"/>
  <c r="A7019" i="80"/>
  <c r="A7021" i="80"/>
  <c r="A7022" i="80"/>
  <c r="A7023" i="80"/>
  <c r="A7024" i="80"/>
  <c r="A7025" i="80"/>
  <c r="A7027" i="80"/>
  <c r="A7028" i="80"/>
  <c r="A7029" i="80"/>
  <c r="A7030" i="80"/>
  <c r="A7031" i="80"/>
  <c r="A7033" i="80"/>
  <c r="A7034" i="80"/>
  <c r="A7035" i="80"/>
  <c r="A7036" i="80"/>
  <c r="A7037" i="80"/>
  <c r="A7039" i="80"/>
  <c r="A7040" i="80"/>
  <c r="A7041" i="80"/>
  <c r="A7042" i="80"/>
  <c r="A7043" i="80"/>
  <c r="A7045" i="80"/>
  <c r="A7046" i="80"/>
  <c r="A7047" i="80"/>
  <c r="A7048" i="80"/>
  <c r="A7049" i="80"/>
  <c r="A7051" i="80"/>
  <c r="A7052" i="80"/>
  <c r="A7053" i="80"/>
  <c r="A7054" i="80"/>
  <c r="A7055" i="80"/>
  <c r="A7057" i="80"/>
  <c r="A7058" i="80"/>
  <c r="A7059" i="80"/>
  <c r="A7060" i="80"/>
  <c r="A7061" i="80"/>
  <c r="A7063" i="80"/>
  <c r="A7064" i="80"/>
  <c r="A7065" i="80"/>
  <c r="A7066" i="80"/>
  <c r="A7067" i="80"/>
  <c r="A7069" i="80"/>
  <c r="A7070" i="80"/>
  <c r="A7071" i="80"/>
  <c r="A7072" i="80"/>
  <c r="A7073" i="80"/>
  <c r="A7075" i="80"/>
  <c r="A7076" i="80"/>
  <c r="A7077" i="80"/>
  <c r="A7078" i="80"/>
  <c r="A7079" i="80"/>
  <c r="A7081" i="80"/>
  <c r="A7082" i="80"/>
  <c r="A7083" i="80"/>
  <c r="A7084" i="80"/>
  <c r="A7085" i="80"/>
  <c r="A7087" i="80"/>
  <c r="A7088" i="80"/>
  <c r="A7089" i="80"/>
  <c r="A7090" i="80"/>
  <c r="A7091" i="80"/>
  <c r="A7093" i="80"/>
  <c r="A7094" i="80"/>
  <c r="A7095" i="80"/>
  <c r="A7096" i="80"/>
  <c r="A7097" i="80"/>
  <c r="A7099" i="80"/>
  <c r="A7100" i="80"/>
  <c r="A7101" i="80"/>
  <c r="A7102" i="80"/>
  <c r="A7103" i="80"/>
  <c r="A7104" i="80"/>
  <c r="A7105" i="80"/>
  <c r="A7107" i="80"/>
  <c r="A7108" i="80"/>
  <c r="A7109" i="80"/>
  <c r="A7110" i="80"/>
  <c r="A7111" i="80"/>
  <c r="A7112" i="80"/>
  <c r="A7113" i="80"/>
  <c r="A7114" i="80"/>
  <c r="A7116" i="80"/>
  <c r="A7117" i="80"/>
  <c r="A7118" i="80"/>
  <c r="A7119" i="80"/>
  <c r="A7121" i="80"/>
  <c r="A7122" i="80"/>
  <c r="A7123" i="80"/>
  <c r="A7124" i="80"/>
  <c r="A7126" i="80"/>
  <c r="A7127" i="80"/>
  <c r="A7128" i="80"/>
  <c r="A7129" i="80"/>
  <c r="A7131" i="80"/>
  <c r="A7132" i="80"/>
  <c r="A7133" i="80"/>
  <c r="A7134" i="80"/>
  <c r="A7136" i="80"/>
  <c r="A7137" i="80"/>
  <c r="A7138" i="80"/>
  <c r="A7139" i="80"/>
  <c r="A7141" i="80"/>
  <c r="A7142" i="80"/>
  <c r="A7143" i="80"/>
  <c r="A7144" i="80"/>
  <c r="A7146" i="80"/>
  <c r="A7147" i="80"/>
  <c r="A7148" i="80"/>
  <c r="A7149" i="80"/>
  <c r="A7151" i="80"/>
  <c r="A7152" i="80"/>
  <c r="A7153" i="80"/>
  <c r="A7154" i="80"/>
  <c r="A7156" i="80"/>
  <c r="A7157" i="80"/>
  <c r="A7158" i="80"/>
  <c r="A7159" i="80"/>
  <c r="A7161" i="80"/>
  <c r="A7162" i="80"/>
  <c r="A7163" i="80"/>
  <c r="A7164" i="80"/>
  <c r="A7166" i="80"/>
  <c r="A7167" i="80"/>
  <c r="A7168" i="80"/>
  <c r="A7169" i="80"/>
  <c r="A7171" i="80"/>
  <c r="A7172" i="80"/>
  <c r="A7173" i="80"/>
  <c r="A7174" i="80"/>
  <c r="A7176" i="80"/>
  <c r="A7177" i="80"/>
  <c r="A7178" i="80"/>
  <c r="A7179" i="80"/>
  <c r="A7181" i="80"/>
  <c r="A7182" i="80"/>
  <c r="A7183" i="80"/>
  <c r="A7184" i="80"/>
  <c r="A7186" i="80"/>
  <c r="A7187" i="80"/>
  <c r="A7188" i="80"/>
  <c r="A7189" i="80"/>
  <c r="A7191" i="80"/>
  <c r="A7192" i="80"/>
  <c r="A7193" i="80"/>
  <c r="A7194" i="80"/>
  <c r="A7196" i="80"/>
  <c r="A7197" i="80"/>
  <c r="A7198" i="80"/>
  <c r="A7199" i="80"/>
  <c r="A7201" i="80"/>
  <c r="A7202" i="80"/>
  <c r="A7203" i="80"/>
  <c r="A7204" i="80"/>
  <c r="A7206" i="80"/>
  <c r="A7207" i="80"/>
  <c r="A7208" i="80"/>
  <c r="A7209" i="80"/>
  <c r="A7211" i="80"/>
  <c r="A7212" i="80"/>
  <c r="A7213" i="80"/>
  <c r="A7214" i="80"/>
  <c r="A7216" i="80"/>
  <c r="A7217" i="80"/>
  <c r="A7218" i="80"/>
  <c r="A7219" i="80"/>
  <c r="A7221" i="80"/>
  <c r="A7222" i="80"/>
  <c r="A7223" i="80"/>
  <c r="A7224" i="80"/>
  <c r="A7226" i="80"/>
  <c r="A7227" i="80"/>
  <c r="A7228" i="80"/>
  <c r="A7229" i="80"/>
  <c r="A7231" i="80"/>
  <c r="A7232" i="80"/>
  <c r="A7233" i="80"/>
  <c r="A7234" i="80"/>
  <c r="A7236" i="80"/>
  <c r="A7237" i="80"/>
  <c r="A7238" i="80"/>
  <c r="A7239" i="80"/>
  <c r="A7241" i="80"/>
  <c r="A7242" i="80"/>
  <c r="A7243" i="80"/>
  <c r="A7244" i="80"/>
  <c r="A7246" i="80"/>
  <c r="A7247" i="80"/>
  <c r="A7248" i="80"/>
  <c r="A7249" i="80"/>
  <c r="A7251" i="80"/>
  <c r="A7252" i="80"/>
  <c r="A7253" i="80"/>
  <c r="A7254" i="80"/>
  <c r="A7256" i="80"/>
  <c r="A7257" i="80"/>
  <c r="A7258" i="80"/>
  <c r="A7259" i="80"/>
  <c r="A7261" i="80"/>
  <c r="A7262" i="80"/>
  <c r="A7263" i="80"/>
  <c r="A7264" i="80"/>
  <c r="A7266" i="80"/>
  <c r="A7267" i="80"/>
  <c r="A7268" i="80"/>
  <c r="A7269" i="80"/>
  <c r="A7271" i="80"/>
  <c r="A7272" i="80"/>
  <c r="A7273" i="80"/>
  <c r="A7274" i="80"/>
  <c r="A7276" i="80"/>
  <c r="A7277" i="80"/>
  <c r="A7278" i="80"/>
  <c r="A7279" i="80"/>
  <c r="A7281" i="80"/>
  <c r="A7282" i="80"/>
  <c r="A7283" i="80"/>
  <c r="A7284" i="80"/>
  <c r="A7286" i="80"/>
  <c r="A7287" i="80"/>
  <c r="A7288" i="80"/>
  <c r="A7289" i="80"/>
  <c r="A7291" i="80"/>
  <c r="A7292" i="80"/>
  <c r="A7293" i="80"/>
  <c r="A7294" i="80"/>
  <c r="A7296" i="80"/>
  <c r="A7297" i="80"/>
  <c r="A7298" i="80"/>
  <c r="A7299" i="80"/>
  <c r="A7301" i="80"/>
  <c r="A7302" i="80"/>
  <c r="A7303" i="80"/>
  <c r="A7304" i="80"/>
  <c r="A7306" i="80"/>
  <c r="A7307" i="80"/>
  <c r="A7308" i="80"/>
  <c r="A7309" i="80"/>
  <c r="A7311" i="80"/>
  <c r="A7312" i="80"/>
  <c r="A7313" i="80"/>
  <c r="A7314" i="80"/>
  <c r="A7316" i="80"/>
  <c r="A7317" i="80"/>
  <c r="A7318" i="80"/>
  <c r="A7319" i="80"/>
  <c r="A7321" i="80"/>
  <c r="A7322" i="80"/>
  <c r="A7323" i="80"/>
  <c r="A7324" i="80"/>
  <c r="A7326" i="80"/>
  <c r="A7327" i="80"/>
  <c r="A7328" i="80"/>
  <c r="A7329" i="80"/>
  <c r="A7331" i="80"/>
  <c r="A7332" i="80"/>
  <c r="A7333" i="80"/>
  <c r="A7334" i="80"/>
  <c r="A7336" i="80"/>
  <c r="A7337" i="80"/>
  <c r="A7338" i="80"/>
  <c r="A7339" i="80"/>
  <c r="A7341" i="80"/>
  <c r="A7342" i="80"/>
  <c r="A7343" i="80"/>
  <c r="A7344" i="80"/>
  <c r="A7346" i="80"/>
  <c r="A7347" i="80"/>
  <c r="A7348" i="80"/>
  <c r="A7349" i="80"/>
  <c r="A7351" i="80"/>
  <c r="A7352" i="80"/>
  <c r="A7353" i="80"/>
  <c r="A7354" i="80"/>
  <c r="A7355" i="80"/>
  <c r="A7356" i="80"/>
  <c r="A7358" i="80"/>
  <c r="A7359" i="80"/>
  <c r="A7360" i="80"/>
  <c r="A7361" i="80"/>
  <c r="A7362" i="80"/>
  <c r="A7364" i="80"/>
  <c r="A7365" i="80"/>
  <c r="A7366" i="80"/>
  <c r="A7367" i="80"/>
  <c r="A7368" i="80"/>
  <c r="A7370" i="80"/>
  <c r="A7371" i="80"/>
  <c r="A7372" i="80"/>
  <c r="A7373" i="80"/>
  <c r="A7374" i="80"/>
  <c r="A7376" i="80"/>
  <c r="A7377" i="80"/>
  <c r="A7378" i="80"/>
  <c r="A7379" i="80"/>
  <c r="A7380" i="80"/>
  <c r="A7382" i="80"/>
  <c r="A7383" i="80"/>
  <c r="A7384" i="80"/>
  <c r="A7385" i="80"/>
  <c r="A7386" i="80"/>
  <c r="A7388" i="80"/>
  <c r="A7389" i="80"/>
  <c r="A7390" i="80"/>
  <c r="A7391" i="80"/>
  <c r="A7392" i="80"/>
  <c r="A7394" i="80"/>
  <c r="A7395" i="80"/>
  <c r="A7396" i="80"/>
  <c r="A7397" i="80"/>
  <c r="A7398" i="80"/>
  <c r="A7399" i="80"/>
  <c r="A7400" i="80"/>
  <c r="A7402" i="80"/>
  <c r="A7403" i="80"/>
  <c r="A7404" i="80"/>
  <c r="A7405" i="80"/>
  <c r="A7406" i="80"/>
  <c r="A7407" i="80"/>
  <c r="A7408" i="80"/>
  <c r="A7409" i="80"/>
  <c r="A7411" i="80"/>
  <c r="A7412" i="80"/>
  <c r="A7413" i="80"/>
  <c r="A7414" i="80"/>
  <c r="A7416" i="80"/>
  <c r="A7417" i="80"/>
  <c r="A7418" i="80"/>
  <c r="A7419" i="80"/>
  <c r="A7421" i="80"/>
  <c r="A7422" i="80"/>
  <c r="A7423" i="80"/>
  <c r="A7424" i="80"/>
  <c r="A7426" i="80"/>
  <c r="A7427" i="80"/>
  <c r="A7428" i="80"/>
  <c r="A7429" i="80"/>
  <c r="A7431" i="80"/>
  <c r="A7432" i="80"/>
  <c r="A7433" i="80"/>
  <c r="A7434" i="80"/>
  <c r="A7436" i="80"/>
  <c r="A7437" i="80"/>
  <c r="A7438" i="80"/>
  <c r="A7439" i="80"/>
  <c r="A7441" i="80"/>
  <c r="A7442" i="80"/>
  <c r="A7443" i="80"/>
  <c r="A7444" i="80"/>
  <c r="A7446" i="80"/>
  <c r="A7447" i="80"/>
  <c r="A7448" i="80"/>
  <c r="A7449" i="80"/>
  <c r="A7451" i="80"/>
  <c r="A7452" i="80"/>
  <c r="A7453" i="80"/>
  <c r="A7454" i="80"/>
  <c r="A7456" i="80"/>
  <c r="A7457" i="80"/>
  <c r="A7458" i="80"/>
  <c r="A7459" i="80"/>
  <c r="A7461" i="80"/>
  <c r="A7462" i="80"/>
  <c r="A7463" i="80"/>
  <c r="A7464" i="80"/>
  <c r="A7466" i="80"/>
  <c r="A7467" i="80"/>
  <c r="A7468" i="80"/>
  <c r="A7469" i="80"/>
  <c r="A7471" i="80"/>
  <c r="A7472" i="80"/>
  <c r="A7473" i="80"/>
  <c r="A7474" i="80"/>
  <c r="A7476" i="80"/>
  <c r="A7477" i="80"/>
  <c r="A7478" i="80"/>
  <c r="A7479" i="80"/>
  <c r="A7481" i="80"/>
  <c r="A7482" i="80"/>
  <c r="A7483" i="80"/>
  <c r="A7484" i="80"/>
  <c r="A7486" i="80"/>
  <c r="A7487" i="80"/>
  <c r="A7488" i="80"/>
  <c r="A7489" i="80"/>
  <c r="A7491" i="80"/>
  <c r="A7492" i="80"/>
  <c r="A7493" i="80"/>
  <c r="A7494" i="80"/>
  <c r="A7496" i="80"/>
  <c r="A7497" i="80"/>
  <c r="A7498" i="80"/>
  <c r="A7499" i="80"/>
  <c r="A7501" i="80"/>
  <c r="A7502" i="80"/>
  <c r="A7503" i="80"/>
  <c r="A7504" i="80"/>
  <c r="A7506" i="80"/>
  <c r="A7507" i="80"/>
  <c r="A7508" i="80"/>
  <c r="A7509" i="80"/>
  <c r="A7511" i="80"/>
  <c r="A7512" i="80"/>
  <c r="A7513" i="80"/>
  <c r="A7514" i="80"/>
  <c r="A7516" i="80"/>
  <c r="A7517" i="80"/>
  <c r="A7518" i="80"/>
  <c r="A7519" i="80"/>
  <c r="A7521" i="80"/>
  <c r="A7522" i="80"/>
  <c r="A7523" i="80"/>
  <c r="A7524" i="80"/>
  <c r="A7526" i="80"/>
  <c r="A7527" i="80"/>
  <c r="A7528" i="80"/>
  <c r="A7529" i="80"/>
  <c r="A7531" i="80"/>
  <c r="A7532" i="80"/>
  <c r="A7533" i="80"/>
  <c r="A7534" i="80"/>
  <c r="A7536" i="80"/>
  <c r="A7537" i="80"/>
  <c r="A7538" i="80"/>
  <c r="A7539" i="80"/>
  <c r="A7541" i="80"/>
  <c r="A7542" i="80"/>
  <c r="A7543" i="80"/>
  <c r="A7544" i="80"/>
  <c r="A7546" i="80"/>
  <c r="A7547" i="80"/>
  <c r="A7548" i="80"/>
  <c r="A7549" i="80"/>
  <c r="A7551" i="80"/>
  <c r="A7552" i="80"/>
  <c r="A7553" i="80"/>
  <c r="A7554" i="80"/>
  <c r="A7556" i="80"/>
  <c r="A7557" i="80"/>
  <c r="A7558" i="80"/>
  <c r="A7559" i="80"/>
  <c r="A7561" i="80"/>
  <c r="A7562" i="80"/>
  <c r="A7563" i="80"/>
  <c r="A7564" i="80"/>
  <c r="A7566" i="80"/>
  <c r="A7567" i="80"/>
  <c r="A7568" i="80"/>
  <c r="A7569" i="80"/>
  <c r="A7571" i="80"/>
  <c r="A7572" i="80"/>
  <c r="A7573" i="80"/>
  <c r="A7574" i="80"/>
  <c r="A7576" i="80"/>
  <c r="A7577" i="80"/>
  <c r="A7578" i="80"/>
  <c r="A7579" i="80"/>
  <c r="A7581" i="80"/>
  <c r="A7582" i="80"/>
  <c r="A7583" i="80"/>
  <c r="A7584" i="80"/>
  <c r="A7586" i="80"/>
  <c r="A7587" i="80"/>
  <c r="A7588" i="80"/>
  <c r="A7589" i="80"/>
  <c r="A7591" i="80"/>
  <c r="A7592" i="80"/>
  <c r="A7593" i="80"/>
  <c r="A7594" i="80"/>
  <c r="A7596" i="80"/>
  <c r="A7597" i="80"/>
  <c r="A7598" i="80"/>
  <c r="A7599" i="80"/>
  <c r="A7601" i="80"/>
  <c r="A7602" i="80"/>
  <c r="A7603" i="80"/>
  <c r="A7604" i="80"/>
  <c r="A7606" i="80"/>
  <c r="A7607" i="80"/>
  <c r="A7608" i="80"/>
  <c r="A7609" i="80"/>
  <c r="A7610" i="80"/>
  <c r="A7611" i="80"/>
  <c r="A7613" i="80"/>
  <c r="A7614" i="80"/>
  <c r="A7615" i="80"/>
  <c r="A7616" i="80"/>
  <c r="A7617" i="80"/>
  <c r="A7619" i="80"/>
  <c r="A7620" i="80"/>
  <c r="A7621" i="80"/>
  <c r="A7622" i="80"/>
  <c r="A7623" i="80"/>
  <c r="A7625" i="80"/>
  <c r="A7626" i="80"/>
  <c r="A7627" i="80"/>
  <c r="A7628" i="80"/>
  <c r="A7629" i="80"/>
  <c r="A7631" i="80"/>
  <c r="A7632" i="80"/>
  <c r="A7633" i="80"/>
  <c r="A7634" i="80"/>
  <c r="A7635" i="80"/>
  <c r="A7637" i="80"/>
  <c r="A7638" i="80"/>
  <c r="A7639" i="80"/>
  <c r="A7640" i="80"/>
  <c r="A7641" i="80"/>
  <c r="A7643" i="80"/>
  <c r="A7644" i="80"/>
  <c r="A7645" i="80"/>
  <c r="A7646" i="80"/>
  <c r="A7647" i="80"/>
  <c r="A7649" i="80"/>
  <c r="A7650" i="80"/>
  <c r="A7651" i="80"/>
  <c r="A7652" i="80"/>
  <c r="A7653" i="80"/>
  <c r="A7655" i="80"/>
  <c r="A7656" i="80"/>
  <c r="A7657" i="80"/>
  <c r="A7658" i="80"/>
  <c r="A7659" i="80"/>
  <c r="A7660" i="80"/>
  <c r="A7661" i="80"/>
  <c r="A7662" i="80"/>
  <c r="A7663" i="80"/>
  <c r="A7664" i="80"/>
  <c r="A7665" i="80"/>
  <c r="A7666" i="80"/>
  <c r="A7668" i="80"/>
  <c r="A7669" i="80"/>
  <c r="A7670" i="80"/>
  <c r="A7671" i="80"/>
  <c r="A7672" i="80"/>
  <c r="A7674" i="80"/>
  <c r="A7675" i="80"/>
  <c r="A7676" i="80"/>
  <c r="A7677" i="80"/>
  <c r="A7678" i="80"/>
  <c r="A7680" i="80"/>
  <c r="A7681" i="80"/>
  <c r="A7682" i="80"/>
  <c r="A7683" i="80"/>
  <c r="A7684" i="80"/>
  <c r="A7686" i="80"/>
  <c r="A7687" i="80"/>
  <c r="A7688" i="80"/>
  <c r="A7689" i="80"/>
  <c r="A7690" i="80"/>
  <c r="A7692" i="80"/>
  <c r="A7693" i="80"/>
  <c r="A7694" i="80"/>
  <c r="A7695" i="80"/>
  <c r="A7696" i="80"/>
  <c r="A7698" i="80"/>
  <c r="A7699" i="80"/>
  <c r="A7700" i="80"/>
  <c r="A7701" i="80"/>
  <c r="A7702" i="80"/>
  <c r="A7704" i="80"/>
  <c r="A7705" i="80"/>
  <c r="A7706" i="80"/>
  <c r="A7707" i="80"/>
  <c r="A7708" i="80"/>
  <c r="A7710" i="80"/>
  <c r="A7711" i="80"/>
  <c r="A7712" i="80"/>
  <c r="A7713" i="80"/>
  <c r="A7714" i="80"/>
  <c r="A7716" i="80"/>
  <c r="A7717" i="80"/>
  <c r="A7718" i="80"/>
  <c r="A7719" i="80"/>
  <c r="A7720" i="80"/>
  <c r="A7722" i="80"/>
  <c r="A7723" i="80"/>
  <c r="A7724" i="80"/>
  <c r="A7725" i="80"/>
  <c r="A7726" i="80"/>
  <c r="A7728" i="80"/>
  <c r="A7729" i="80"/>
  <c r="A7730" i="80"/>
  <c r="A7731" i="80"/>
  <c r="A7732" i="80"/>
  <c r="A7734" i="80"/>
  <c r="A7735" i="80"/>
  <c r="A7736" i="80"/>
  <c r="A7737" i="80"/>
  <c r="A7738" i="80"/>
  <c r="A7740" i="80"/>
  <c r="A7741" i="80"/>
  <c r="A7742" i="80"/>
  <c r="A7743" i="80"/>
  <c r="A7744" i="80"/>
  <c r="A7746" i="80"/>
  <c r="A7747" i="80"/>
  <c r="A7748" i="80"/>
  <c r="A7749" i="80"/>
  <c r="A7750" i="80"/>
  <c r="A7752" i="80"/>
  <c r="A7753" i="80"/>
  <c r="A7754" i="80"/>
  <c r="A7755" i="80"/>
  <c r="A7756" i="80"/>
  <c r="A7758" i="80"/>
  <c r="A7759" i="80"/>
  <c r="A7760" i="80"/>
  <c r="A7761" i="80"/>
  <c r="A7762" i="80"/>
  <c r="A7764" i="80"/>
  <c r="A7765" i="80"/>
  <c r="A7766" i="80"/>
  <c r="A7767" i="80"/>
  <c r="A7768" i="80"/>
  <c r="A7770" i="80"/>
  <c r="A7771" i="80"/>
  <c r="A7772" i="80"/>
  <c r="A7773" i="80"/>
  <c r="A7774" i="80"/>
  <c r="A7776" i="80"/>
  <c r="A7777" i="80"/>
  <c r="A7778" i="80"/>
  <c r="A7779" i="80"/>
  <c r="A7780" i="80"/>
  <c r="A7782" i="80"/>
  <c r="A7783" i="80"/>
  <c r="A7784" i="80"/>
  <c r="A7785" i="80"/>
  <c r="A7786" i="80"/>
  <c r="A7787" i="80"/>
  <c r="A7788" i="80"/>
  <c r="A7789" i="80"/>
  <c r="A7790" i="80"/>
  <c r="A7791" i="80"/>
  <c r="A7793" i="80"/>
  <c r="A7794" i="80"/>
  <c r="A7795" i="80"/>
  <c r="A7796" i="80"/>
  <c r="A7798" i="80"/>
  <c r="A7799" i="80"/>
  <c r="A7800" i="80"/>
  <c r="A7801" i="80"/>
  <c r="A7803" i="80"/>
  <c r="A7804" i="80"/>
  <c r="A7805" i="80"/>
  <c r="A7806" i="80"/>
  <c r="A7808" i="80"/>
  <c r="A7809" i="80"/>
  <c r="A7810" i="80"/>
  <c r="A7811" i="80"/>
  <c r="A7813" i="80"/>
  <c r="A7814" i="80"/>
  <c r="A7815" i="80"/>
  <c r="A7816" i="80"/>
  <c r="A7818" i="80"/>
  <c r="A7819" i="80"/>
  <c r="A7820" i="80"/>
  <c r="A7821" i="80"/>
  <c r="A7823" i="80"/>
  <c r="A7824" i="80"/>
  <c r="A7825" i="80"/>
  <c r="A7826" i="80"/>
  <c r="A7828" i="80"/>
  <c r="A7829" i="80"/>
  <c r="A7830" i="80"/>
  <c r="A7831" i="80"/>
  <c r="A7833" i="80"/>
  <c r="A7834" i="80"/>
  <c r="A7835" i="80"/>
  <c r="A7836" i="80"/>
  <c r="A7838" i="80"/>
  <c r="A7839" i="80"/>
  <c r="A7840" i="80"/>
  <c r="A7841" i="80"/>
  <c r="A7843" i="80"/>
  <c r="A7844" i="80"/>
  <c r="A7845" i="80"/>
  <c r="A7846" i="80"/>
  <c r="A7848" i="80"/>
  <c r="A7849" i="80"/>
  <c r="A7850" i="80"/>
  <c r="A7851" i="80"/>
  <c r="A7853" i="80"/>
  <c r="A7854" i="80"/>
  <c r="A7855" i="80"/>
  <c r="A7856" i="80"/>
  <c r="A7858" i="80"/>
  <c r="A7859" i="80"/>
  <c r="A7860" i="80"/>
  <c r="A7861" i="80"/>
  <c r="A7863" i="80"/>
  <c r="A7864" i="80"/>
  <c r="A7865" i="80"/>
  <c r="A7866" i="80"/>
  <c r="A7868" i="80"/>
  <c r="A7869" i="80"/>
  <c r="A7870" i="80"/>
  <c r="A7871" i="80"/>
  <c r="A7873" i="80"/>
  <c r="A7874" i="80"/>
  <c r="A7875" i="80"/>
  <c r="A7876" i="80"/>
  <c r="A7878" i="80"/>
  <c r="A7879" i="80"/>
  <c r="A7880" i="80"/>
  <c r="A7881" i="80"/>
  <c r="A7883" i="80"/>
  <c r="A7884" i="80"/>
  <c r="A7885" i="80"/>
  <c r="A7886" i="80"/>
  <c r="A7888" i="80"/>
  <c r="A7889" i="80"/>
  <c r="A7890" i="80"/>
  <c r="A7891" i="80"/>
  <c r="A7893" i="80"/>
  <c r="A7894" i="80"/>
  <c r="A7895" i="80"/>
  <c r="A7896" i="80"/>
  <c r="A7898" i="80"/>
  <c r="A7899" i="80"/>
  <c r="A7900" i="80"/>
  <c r="A7901" i="80"/>
  <c r="A7903" i="80"/>
  <c r="A7904" i="80"/>
  <c r="A7905" i="80"/>
  <c r="A7906" i="80"/>
  <c r="A7908" i="80"/>
  <c r="A7909" i="80"/>
  <c r="A7910" i="80"/>
  <c r="A7911" i="80"/>
  <c r="A7913" i="80"/>
  <c r="A7914" i="80"/>
  <c r="A7915" i="80"/>
  <c r="A7916" i="80"/>
  <c r="A7918" i="80"/>
  <c r="A7919" i="80"/>
  <c r="A7920" i="80"/>
  <c r="A7921" i="80"/>
  <c r="A7923" i="80"/>
  <c r="A7924" i="80"/>
  <c r="A7925" i="80"/>
  <c r="A7926" i="80"/>
  <c r="A7928" i="80"/>
  <c r="A7929" i="80"/>
  <c r="A7930" i="80"/>
  <c r="A7931" i="80"/>
  <c r="A7933" i="80"/>
  <c r="A7934" i="80"/>
  <c r="A7935" i="80"/>
  <c r="A7936" i="80"/>
  <c r="A7938" i="80"/>
  <c r="A7939" i="80"/>
  <c r="A7940" i="80"/>
  <c r="A7941" i="80"/>
  <c r="A7943" i="80"/>
  <c r="A7944" i="80"/>
  <c r="A7945" i="80"/>
  <c r="A7946" i="80"/>
  <c r="A7948" i="80"/>
  <c r="A7949" i="80"/>
  <c r="A7950" i="80"/>
  <c r="A7951" i="80"/>
  <c r="A7953" i="80"/>
  <c r="A7954" i="80"/>
  <c r="A7955" i="80"/>
  <c r="A7956" i="80"/>
  <c r="A7958" i="80"/>
  <c r="A7959" i="80"/>
  <c r="A7960" i="80"/>
  <c r="A7961" i="80"/>
  <c r="A7963" i="80"/>
  <c r="A7964" i="80"/>
  <c r="A7965" i="80"/>
  <c r="A7966" i="80"/>
  <c r="A7968" i="80"/>
  <c r="A7969" i="80"/>
  <c r="A7970" i="80"/>
  <c r="A7971" i="80"/>
  <c r="A7973" i="80"/>
  <c r="A7974" i="80"/>
  <c r="A7975" i="80"/>
  <c r="A7976" i="80"/>
  <c r="A7978" i="80"/>
  <c r="A7979" i="80"/>
  <c r="A7980" i="80"/>
  <c r="A7981" i="80"/>
  <c r="A7983" i="80"/>
  <c r="A7984" i="80"/>
  <c r="A7985" i="80"/>
  <c r="A7986" i="80"/>
  <c r="A7988" i="80"/>
  <c r="A7989" i="80"/>
  <c r="A7990" i="80"/>
  <c r="A7991" i="80"/>
  <c r="A7993" i="80"/>
  <c r="A7994" i="80"/>
  <c r="A7995" i="80"/>
  <c r="A7996" i="80"/>
  <c r="A7998" i="80"/>
  <c r="A7999" i="80"/>
  <c r="A8000" i="80"/>
  <c r="A8001" i="80"/>
  <c r="A8003" i="80"/>
  <c r="A8004" i="80"/>
  <c r="A8005" i="80"/>
  <c r="A8006" i="80"/>
  <c r="A8008" i="80"/>
  <c r="A8009" i="80"/>
  <c r="A8010" i="80"/>
  <c r="A8011" i="80"/>
  <c r="A8013" i="80"/>
  <c r="A8014" i="80"/>
  <c r="A8015" i="80"/>
  <c r="A8016" i="80"/>
  <c r="A8018" i="80"/>
  <c r="A8019" i="80"/>
  <c r="A8020" i="80"/>
  <c r="A8021" i="80"/>
  <c r="A8023" i="80"/>
  <c r="A8024" i="80"/>
  <c r="A8025" i="80"/>
  <c r="A8026" i="80"/>
  <c r="A8028" i="80"/>
  <c r="A8029" i="80"/>
  <c r="A8030" i="80"/>
  <c r="A8031" i="80"/>
  <c r="A8033" i="80"/>
  <c r="A8034" i="80"/>
  <c r="A8035" i="80"/>
  <c r="A8036" i="80"/>
  <c r="A8038" i="80"/>
  <c r="A8039" i="80"/>
  <c r="A8040" i="80"/>
  <c r="A8041" i="80"/>
  <c r="A8043" i="80"/>
  <c r="A8044" i="80"/>
  <c r="A8045" i="80"/>
  <c r="A8046" i="80"/>
  <c r="A8048" i="80"/>
  <c r="A8049" i="80"/>
  <c r="A8050" i="80"/>
  <c r="A8051" i="80"/>
  <c r="A8053" i="80"/>
  <c r="A8054" i="80"/>
  <c r="A8055" i="80"/>
  <c r="A8056" i="80"/>
  <c r="A8058" i="80"/>
  <c r="A8059" i="80"/>
  <c r="A8060" i="80"/>
  <c r="A8061" i="80"/>
  <c r="A8063" i="80"/>
  <c r="A8064" i="80"/>
  <c r="A8065" i="80"/>
  <c r="A8066" i="80"/>
  <c r="A8068" i="80"/>
  <c r="A8069" i="80"/>
  <c r="A8070" i="80"/>
  <c r="A8071" i="80"/>
  <c r="A8073" i="80"/>
  <c r="A8074" i="80"/>
  <c r="A8075" i="80"/>
  <c r="A8076" i="80"/>
  <c r="A8078" i="80"/>
  <c r="A8079" i="80"/>
  <c r="A8080" i="80"/>
  <c r="A8081" i="80"/>
  <c r="A8083" i="80"/>
  <c r="A8084" i="80"/>
  <c r="A8085" i="80"/>
  <c r="A8086" i="80"/>
  <c r="A8088" i="80"/>
  <c r="A8089" i="80"/>
  <c r="A8090" i="80"/>
  <c r="A8091" i="80"/>
  <c r="A8092" i="80"/>
  <c r="A8093" i="80"/>
  <c r="A8094" i="80"/>
  <c r="A8095" i="80"/>
  <c r="A8097" i="80"/>
  <c r="A8098" i="80"/>
  <c r="A8099" i="80"/>
  <c r="A8100" i="80"/>
  <c r="A8101" i="80"/>
  <c r="A8102" i="80"/>
  <c r="A8103" i="80"/>
  <c r="A8104" i="80"/>
  <c r="A8105" i="80"/>
  <c r="A8106" i="80"/>
  <c r="A8108" i="80"/>
  <c r="A8109" i="80"/>
  <c r="A8110" i="80"/>
  <c r="A8111" i="80"/>
  <c r="A8112" i="80"/>
  <c r="A8114" i="80"/>
  <c r="A8115" i="80"/>
  <c r="A8116" i="80"/>
  <c r="A8117" i="80"/>
  <c r="A8118" i="80"/>
  <c r="A8120" i="80"/>
  <c r="A8121" i="80"/>
  <c r="A8122" i="80"/>
  <c r="A8123" i="80"/>
  <c r="A8124" i="80"/>
  <c r="A8126" i="80"/>
  <c r="A8127" i="80"/>
  <c r="A8128" i="80"/>
  <c r="A8129" i="80"/>
  <c r="A8130" i="80"/>
  <c r="A8132" i="80"/>
  <c r="A8133" i="80"/>
  <c r="A8134" i="80"/>
  <c r="A8135" i="80"/>
  <c r="A8136" i="80"/>
  <c r="A8138" i="80"/>
  <c r="A8139" i="80"/>
  <c r="A8140" i="80"/>
  <c r="A8141" i="80"/>
  <c r="A8142" i="80"/>
  <c r="A8144" i="80"/>
  <c r="A8145" i="80"/>
  <c r="A8146" i="80"/>
  <c r="A8147" i="80"/>
  <c r="A8148" i="80"/>
  <c r="A8150" i="80"/>
  <c r="A8151" i="80"/>
  <c r="A8152" i="80"/>
  <c r="A8153" i="80"/>
  <c r="A8154" i="80"/>
  <c r="A8156" i="80"/>
  <c r="A8157" i="80"/>
  <c r="A8158" i="80"/>
  <c r="A8159" i="80"/>
  <c r="A8160" i="80"/>
  <c r="A8162" i="80"/>
  <c r="A8163" i="80"/>
  <c r="A8164" i="80"/>
  <c r="A8165" i="80"/>
  <c r="A8166" i="80"/>
  <c r="A8168" i="80"/>
  <c r="A8169" i="80"/>
  <c r="A8170" i="80"/>
  <c r="A8171" i="80"/>
  <c r="A8172" i="80"/>
  <c r="A8174" i="80"/>
  <c r="A8175" i="80"/>
  <c r="A8176" i="80"/>
  <c r="A8177" i="80"/>
  <c r="A8178" i="80"/>
  <c r="A8180" i="80"/>
  <c r="A8181" i="80"/>
  <c r="A8182" i="80"/>
  <c r="A8183" i="80"/>
  <c r="A8184" i="80"/>
  <c r="A8185" i="80"/>
  <c r="A8186" i="80"/>
  <c r="A8187" i="80"/>
  <c r="A8188" i="80"/>
  <c r="A8189" i="80"/>
  <c r="A8192" i="80"/>
  <c r="A8193" i="80"/>
  <c r="A8194" i="80"/>
  <c r="A8197" i="80"/>
  <c r="A8198" i="80"/>
  <c r="A8199" i="80"/>
  <c r="A8202" i="80"/>
  <c r="A8203" i="80"/>
  <c r="A8204" i="80"/>
  <c r="A8207" i="80"/>
  <c r="A8208" i="80"/>
  <c r="A8209" i="80"/>
  <c r="A8212" i="80"/>
  <c r="A8213" i="80"/>
  <c r="A8214" i="80"/>
  <c r="A8217" i="80"/>
  <c r="A8218" i="80"/>
  <c r="A8219" i="80"/>
  <c r="A8222" i="80"/>
  <c r="A8223" i="80"/>
  <c r="A8224" i="80"/>
  <c r="A8227" i="80"/>
  <c r="A8228" i="80"/>
  <c r="A8229" i="80"/>
  <c r="A8232" i="80"/>
  <c r="A8233" i="80"/>
  <c r="A8234" i="80"/>
  <c r="A8237" i="80"/>
  <c r="A8238" i="80"/>
  <c r="A8239" i="80"/>
  <c r="A8242" i="80"/>
  <c r="A8243" i="80"/>
  <c r="A8244" i="80"/>
  <c r="A8247" i="80"/>
  <c r="A8248" i="80"/>
  <c r="A8249" i="80"/>
  <c r="A8252" i="80"/>
  <c r="A8253" i="80"/>
  <c r="A8254" i="80"/>
  <c r="A8257" i="80"/>
  <c r="A8258" i="80"/>
  <c r="A8259" i="80"/>
  <c r="A8262" i="80"/>
  <c r="A8263" i="80"/>
  <c r="A8264" i="80"/>
  <c r="A8267" i="80"/>
  <c r="A8268" i="80"/>
  <c r="A8269" i="80"/>
  <c r="A8272" i="80"/>
  <c r="A8273" i="80"/>
  <c r="A8274" i="80"/>
  <c r="A8277" i="80"/>
  <c r="A8278" i="80"/>
  <c r="A8279" i="80"/>
  <c r="A8282" i="80"/>
  <c r="A8283" i="80"/>
  <c r="A8284" i="80"/>
  <c r="A8287" i="80"/>
  <c r="A8288" i="80"/>
  <c r="A8289" i="80"/>
  <c r="A8292" i="80"/>
  <c r="A8293" i="80"/>
  <c r="A8294" i="80"/>
  <c r="A8297" i="80"/>
  <c r="A8298" i="80"/>
  <c r="A8299" i="80"/>
  <c r="A8302" i="80"/>
  <c r="A8303" i="80"/>
  <c r="A8304" i="80"/>
  <c r="A8307" i="80"/>
  <c r="A8308" i="80"/>
  <c r="A8309" i="80"/>
  <c r="A8312" i="80"/>
  <c r="A8313" i="80"/>
  <c r="A8314" i="80"/>
  <c r="A8317" i="80"/>
  <c r="A8318" i="80"/>
  <c r="A8319" i="80"/>
  <c r="A8322" i="80"/>
  <c r="A8323" i="80"/>
  <c r="A8324" i="80"/>
  <c r="A8327" i="80"/>
  <c r="A8328" i="80"/>
  <c r="A8329" i="80"/>
  <c r="A8332" i="80"/>
  <c r="A8333" i="80"/>
  <c r="A8334" i="80"/>
  <c r="A8337" i="80"/>
  <c r="A8338" i="80"/>
  <c r="A8339" i="80"/>
  <c r="A8342" i="80"/>
  <c r="A8343" i="80"/>
  <c r="A8344" i="80"/>
  <c r="A8347" i="80"/>
  <c r="A8348" i="80"/>
  <c r="A8349" i="80"/>
  <c r="A8352" i="80"/>
  <c r="A8353" i="80"/>
  <c r="A8354" i="80"/>
  <c r="A8357" i="80"/>
  <c r="A8358" i="80"/>
  <c r="A8359" i="80"/>
  <c r="A8362" i="80"/>
  <c r="A8363" i="80"/>
  <c r="A8364" i="80"/>
  <c r="A8367" i="80"/>
  <c r="A8368" i="80"/>
  <c r="A8369" i="80"/>
  <c r="A8372" i="80"/>
  <c r="A8373" i="80"/>
  <c r="A8374" i="80"/>
  <c r="A8377" i="80"/>
  <c r="A8378" i="80"/>
  <c r="A8379" i="80"/>
  <c r="A8382" i="80"/>
  <c r="A8383" i="80"/>
  <c r="A8384" i="80"/>
  <c r="A8387" i="80"/>
  <c r="A8388" i="80"/>
  <c r="A8389" i="80"/>
  <c r="A8392" i="80"/>
  <c r="A8393" i="80"/>
  <c r="A8394" i="80"/>
  <c r="A8397" i="80"/>
  <c r="A8398" i="80"/>
  <c r="A8399" i="80"/>
  <c r="A8402" i="80"/>
  <c r="A8403" i="80"/>
  <c r="A8404" i="80"/>
  <c r="A8407" i="80"/>
  <c r="A8408" i="80"/>
  <c r="A8409" i="80"/>
  <c r="A8412" i="80"/>
  <c r="A8413" i="80"/>
  <c r="A8414" i="80"/>
  <c r="A8417" i="80"/>
  <c r="A8418" i="80"/>
  <c r="A8419" i="80"/>
  <c r="A8422" i="80"/>
  <c r="A8423" i="80"/>
  <c r="A8424" i="80"/>
  <c r="A8427" i="80"/>
  <c r="A8428" i="80"/>
  <c r="A8429" i="80"/>
  <c r="A8432" i="80"/>
  <c r="A8433" i="80"/>
  <c r="A8434" i="80"/>
  <c r="A8437" i="80"/>
  <c r="A8438" i="80"/>
  <c r="A8439" i="80"/>
  <c r="A8442" i="80"/>
  <c r="A8443" i="80"/>
  <c r="A8444" i="80"/>
  <c r="A8447" i="80"/>
  <c r="A8448" i="80"/>
  <c r="A8449" i="80"/>
  <c r="A8452" i="80"/>
  <c r="A8453" i="80"/>
  <c r="A8454" i="80"/>
  <c r="A8457" i="80"/>
  <c r="A8458" i="80"/>
  <c r="A8459" i="80"/>
  <c r="A8462" i="80"/>
  <c r="A8463" i="80"/>
  <c r="A8464" i="80"/>
  <c r="A8467" i="80"/>
  <c r="A8468" i="80"/>
  <c r="A8469" i="80"/>
  <c r="A8472" i="80"/>
  <c r="A8473" i="80"/>
  <c r="A8474" i="80"/>
  <c r="A8477" i="80"/>
  <c r="A8478" i="80"/>
  <c r="A8479" i="80"/>
  <c r="A8482" i="80"/>
  <c r="A8483" i="80"/>
  <c r="A8484" i="80"/>
  <c r="A8487" i="80"/>
  <c r="A8488" i="80"/>
  <c r="A8489" i="80"/>
  <c r="A8492" i="80"/>
  <c r="A8493" i="80"/>
  <c r="A8494" i="80"/>
  <c r="A8497" i="80"/>
  <c r="A8498" i="80"/>
  <c r="A8499" i="80"/>
  <c r="A8502" i="80"/>
  <c r="A8503" i="80"/>
  <c r="A8504" i="80"/>
  <c r="A8507" i="80"/>
  <c r="A8508" i="80"/>
  <c r="A8509" i="80"/>
  <c r="A8512" i="80"/>
  <c r="A8513" i="80"/>
  <c r="A8514" i="80"/>
  <c r="A8517" i="80"/>
  <c r="A8518" i="80"/>
  <c r="A8519" i="80"/>
  <c r="A8522" i="80"/>
  <c r="A8523" i="80"/>
  <c r="A8524" i="80"/>
  <c r="A8527" i="80"/>
  <c r="A8528" i="80"/>
  <c r="A8529" i="80"/>
  <c r="A8532" i="80"/>
  <c r="A8533" i="80"/>
  <c r="A8534" i="80"/>
  <c r="A8537" i="80"/>
  <c r="A8538" i="80"/>
  <c r="A8539" i="80"/>
  <c r="A8542" i="80"/>
  <c r="A8543" i="80"/>
  <c r="A8544" i="80"/>
  <c r="A8547" i="80"/>
  <c r="A8548" i="80"/>
  <c r="A8549" i="80"/>
  <c r="A8552" i="80"/>
  <c r="A8553" i="80"/>
  <c r="A8554" i="80"/>
  <c r="A8557" i="80"/>
  <c r="A8558" i="80"/>
  <c r="A8559" i="80"/>
  <c r="A8562" i="80"/>
  <c r="A8563" i="80"/>
  <c r="A8564" i="80"/>
  <c r="A8567" i="80"/>
  <c r="A8568" i="80"/>
  <c r="A8569" i="80"/>
  <c r="A8572" i="80"/>
  <c r="A8573" i="80"/>
  <c r="A8574" i="80"/>
  <c r="A8577" i="80"/>
  <c r="A8578" i="80"/>
  <c r="A8579" i="80"/>
  <c r="A8582" i="80"/>
  <c r="A8583" i="80"/>
  <c r="A8584" i="80"/>
  <c r="A8587" i="80"/>
  <c r="A8588" i="80"/>
  <c r="A8589" i="80"/>
  <c r="A8592" i="80"/>
  <c r="A8593" i="80"/>
  <c r="A8594" i="80"/>
  <c r="A8597" i="80"/>
  <c r="A8598" i="80"/>
  <c r="A8599" i="80"/>
  <c r="A8602" i="80"/>
  <c r="A8603" i="80"/>
  <c r="A8604" i="80"/>
  <c r="A8607" i="80"/>
  <c r="A8608" i="80"/>
  <c r="A8609" i="80"/>
  <c r="A8612" i="80"/>
  <c r="A8613" i="80"/>
  <c r="A8614" i="80"/>
  <c r="A8617" i="80"/>
  <c r="A8618" i="80"/>
  <c r="A8619" i="80"/>
  <c r="A8622" i="80"/>
  <c r="A8623" i="80"/>
  <c r="A8624" i="80"/>
  <c r="A8627" i="80"/>
  <c r="A8628" i="80"/>
  <c r="A8629" i="80"/>
  <c r="A8632" i="80"/>
  <c r="A8633" i="80"/>
  <c r="A8634" i="80"/>
  <c r="A8637" i="80"/>
  <c r="A8638" i="80"/>
  <c r="A8639" i="80"/>
  <c r="A8642" i="80"/>
  <c r="A8643" i="80"/>
  <c r="A8644" i="80"/>
  <c r="A8647" i="80"/>
  <c r="A8648" i="80"/>
  <c r="A8649" i="80"/>
  <c r="A8652" i="80"/>
  <c r="A8653" i="80"/>
  <c r="A8654" i="80"/>
  <c r="A8657" i="80"/>
  <c r="A8658" i="80"/>
  <c r="A8659" i="80"/>
  <c r="A8662" i="80"/>
  <c r="A8663" i="80"/>
  <c r="A8664" i="80"/>
  <c r="A8667" i="80"/>
  <c r="A8668" i="80"/>
  <c r="A8669" i="80"/>
  <c r="A8672" i="80"/>
  <c r="A8673" i="80"/>
  <c r="A8674" i="80"/>
  <c r="A8677" i="80"/>
  <c r="A8678" i="80"/>
  <c r="A8679" i="80"/>
  <c r="A8682" i="80"/>
  <c r="A8683" i="80"/>
  <c r="A8684" i="80"/>
  <c r="A8687" i="80"/>
  <c r="A8688" i="80"/>
  <c r="A8689" i="80"/>
  <c r="A8692" i="80"/>
  <c r="A8693" i="80"/>
  <c r="A8694" i="80"/>
  <c r="A8697" i="80"/>
  <c r="A8698" i="80"/>
  <c r="A8699" i="80"/>
  <c r="A8702" i="80"/>
  <c r="A8703" i="80"/>
  <c r="A8704" i="80"/>
  <c r="A8707" i="80"/>
  <c r="A8708" i="80"/>
  <c r="A8709" i="80"/>
  <c r="A8712" i="80"/>
  <c r="A8713" i="80"/>
  <c r="A8714" i="80"/>
  <c r="A8717" i="80"/>
  <c r="A8718" i="80"/>
  <c r="A8719" i="80"/>
  <c r="A8722" i="80"/>
  <c r="A8723" i="80"/>
  <c r="A8724" i="80"/>
  <c r="A8727" i="80"/>
  <c r="A8728" i="80"/>
  <c r="A8729" i="80"/>
  <c r="A8732" i="80"/>
  <c r="A8733" i="80"/>
  <c r="A8734" i="80"/>
  <c r="A8737" i="80"/>
  <c r="A8738" i="80"/>
  <c r="A8739" i="80"/>
  <c r="A8742" i="80"/>
  <c r="A8743" i="80"/>
  <c r="A8744" i="80"/>
  <c r="A8747" i="80"/>
  <c r="A8748" i="80"/>
  <c r="A8749" i="80"/>
  <c r="A8752" i="80"/>
  <c r="A8753" i="80"/>
  <c r="A8754" i="80"/>
  <c r="A8757" i="80"/>
  <c r="A8758" i="80"/>
  <c r="A8759" i="80"/>
  <c r="A8762" i="80"/>
  <c r="A8763" i="80"/>
  <c r="A8764" i="80"/>
  <c r="A8767" i="80"/>
  <c r="A8768" i="80"/>
  <c r="A8769" i="80"/>
  <c r="A8772" i="80"/>
  <c r="A8773" i="80"/>
  <c r="A8774" i="80"/>
  <c r="A8777" i="80"/>
  <c r="A8778" i="80"/>
  <c r="A8779" i="80"/>
  <c r="A8782" i="80"/>
  <c r="A8783" i="80"/>
  <c r="A8784" i="80"/>
  <c r="A8787" i="80"/>
  <c r="A8788" i="80"/>
  <c r="A8789" i="80"/>
  <c r="A8792" i="80"/>
  <c r="A8793" i="80"/>
  <c r="A8794" i="80"/>
  <c r="A8797" i="80"/>
  <c r="A8798" i="80"/>
  <c r="A8799" i="80"/>
  <c r="A8802" i="80"/>
  <c r="A8803" i="80"/>
  <c r="A8804" i="80"/>
  <c r="A8807" i="80"/>
  <c r="A8808" i="80"/>
  <c r="A8809" i="80"/>
  <c r="A8812" i="80"/>
  <c r="A8813" i="80"/>
  <c r="A8814" i="80"/>
  <c r="A8817" i="80"/>
  <c r="A8818" i="80"/>
  <c r="A8819" i="80"/>
  <c r="A8822" i="80"/>
  <c r="A8823" i="80"/>
  <c r="A8824" i="80"/>
  <c r="A8827" i="80"/>
  <c r="A8828" i="80"/>
  <c r="A8829" i="80"/>
  <c r="A8832" i="80"/>
  <c r="A8833" i="80"/>
  <c r="A8834" i="80"/>
  <c r="A8837" i="80"/>
  <c r="A8838" i="80"/>
  <c r="A8839" i="80"/>
  <c r="A8842" i="80"/>
  <c r="A8843" i="80"/>
  <c r="A8844" i="80"/>
  <c r="A8847" i="80"/>
  <c r="A8848" i="80"/>
  <c r="A8849" i="80"/>
  <c r="A8852" i="80"/>
  <c r="A8853" i="80"/>
  <c r="A8854" i="80"/>
  <c r="A8857" i="80"/>
  <c r="A8858" i="80"/>
  <c r="A8859" i="80"/>
  <c r="A8862" i="80"/>
  <c r="A8863" i="80"/>
  <c r="A8864" i="80"/>
  <c r="A8867" i="80"/>
  <c r="A8868" i="80"/>
  <c r="A8869" i="80"/>
  <c r="A8872" i="80"/>
  <c r="A8873" i="80"/>
  <c r="A8874" i="80"/>
  <c r="A8877" i="80"/>
  <c r="A8878" i="80"/>
  <c r="A8879" i="80"/>
  <c r="A8882" i="80"/>
  <c r="A8883" i="80"/>
  <c r="A8884" i="80"/>
  <c r="A8887" i="80"/>
  <c r="A8888" i="80"/>
  <c r="A8889" i="80"/>
  <c r="A8892" i="80"/>
  <c r="A8893" i="80"/>
  <c r="A8894" i="80"/>
  <c r="A8897" i="80"/>
  <c r="A8898" i="80"/>
  <c r="A8899" i="80"/>
  <c r="A8902" i="80"/>
  <c r="A8903" i="80"/>
  <c r="A8904" i="80"/>
  <c r="A8907" i="80"/>
  <c r="A8908" i="80"/>
  <c r="A8909" i="80"/>
  <c r="A8912" i="80"/>
  <c r="A8913" i="80"/>
  <c r="A8914" i="80"/>
  <c r="A8917" i="80"/>
  <c r="A8918" i="80"/>
  <c r="A8919" i="80"/>
  <c r="A8922" i="80"/>
  <c r="A8923" i="80"/>
  <c r="A8924" i="80"/>
  <c r="A8927" i="80"/>
  <c r="A8928" i="80"/>
  <c r="A8929" i="80"/>
  <c r="A8932" i="80"/>
  <c r="A8933" i="80"/>
  <c r="A8934" i="80"/>
  <c r="A8937" i="80"/>
  <c r="A8938" i="80"/>
  <c r="A8939" i="80"/>
  <c r="A8942" i="80"/>
  <c r="A8943" i="80"/>
  <c r="A8944" i="80"/>
  <c r="A8947" i="80"/>
  <c r="A8948" i="80"/>
  <c r="A8949" i="80"/>
  <c r="A8952" i="80"/>
  <c r="A8953" i="80"/>
  <c r="A8954" i="80"/>
  <c r="A8957" i="80"/>
  <c r="A8958" i="80"/>
  <c r="A8959" i="80"/>
  <c r="A8962" i="80"/>
  <c r="A8963" i="80"/>
  <c r="A8964" i="80"/>
  <c r="A8967" i="80"/>
  <c r="A8968" i="80"/>
  <c r="A8969" i="80"/>
  <c r="A8972" i="80"/>
  <c r="A8973" i="80"/>
  <c r="A8974" i="80"/>
  <c r="A8977" i="80"/>
  <c r="A8978" i="80"/>
  <c r="A8979" i="80"/>
  <c r="A8982" i="80"/>
  <c r="A8983" i="80"/>
  <c r="A8984" i="80"/>
  <c r="A8987" i="80"/>
  <c r="A8988" i="80"/>
  <c r="A8989" i="80"/>
  <c r="A8992" i="80"/>
  <c r="A8993" i="80"/>
  <c r="A8994" i="80"/>
  <c r="A8997" i="80"/>
  <c r="A8998" i="80"/>
  <c r="A8999" i="80"/>
  <c r="A9002" i="80"/>
  <c r="A9003" i="80"/>
  <c r="A9004" i="80"/>
  <c r="A9007" i="80"/>
  <c r="A9008" i="80"/>
  <c r="A9009" i="80"/>
  <c r="A9012" i="80"/>
  <c r="A9013" i="80"/>
  <c r="A9014" i="80"/>
  <c r="A9017" i="80"/>
  <c r="A9018" i="80"/>
  <c r="A9019" i="80"/>
  <c r="A9022" i="80"/>
  <c r="A9023" i="80"/>
  <c r="A9024" i="80"/>
  <c r="A9027" i="80"/>
  <c r="A9028" i="80"/>
  <c r="A9029" i="80"/>
  <c r="A9032" i="80"/>
  <c r="A9033" i="80"/>
  <c r="A9034" i="80"/>
  <c r="A9037" i="80"/>
  <c r="A9038" i="80"/>
  <c r="A9039" i="80"/>
  <c r="A9042" i="80"/>
  <c r="A9043" i="80"/>
  <c r="A9044" i="80"/>
  <c r="A9047" i="80"/>
  <c r="A9048" i="80"/>
  <c r="A9049" i="80"/>
  <c r="A9052" i="80"/>
  <c r="A9053" i="80"/>
  <c r="A9054" i="80"/>
  <c r="A9057" i="80"/>
  <c r="A9058" i="80"/>
  <c r="A9059" i="80"/>
  <c r="A9062" i="80"/>
  <c r="A9063" i="80"/>
  <c r="A9064" i="80"/>
  <c r="A9067" i="80"/>
  <c r="A9068" i="80"/>
  <c r="A9069" i="80"/>
  <c r="A9072" i="80"/>
  <c r="A9073" i="80"/>
  <c r="A9074" i="80"/>
  <c r="A9077" i="80"/>
  <c r="A9078" i="80"/>
  <c r="A9079" i="80"/>
  <c r="A9082" i="80"/>
  <c r="A9083" i="80"/>
  <c r="A9084" i="80"/>
  <c r="A9087" i="80"/>
  <c r="A9088" i="80"/>
  <c r="A9089" i="80"/>
  <c r="A9092" i="80"/>
  <c r="A9093" i="80"/>
  <c r="A9094" i="80"/>
  <c r="A9097" i="80"/>
  <c r="A9098" i="80"/>
  <c r="A9099" i="80"/>
  <c r="A9102" i="80"/>
  <c r="A9103" i="80"/>
  <c r="A9104" i="80"/>
  <c r="A9107" i="80"/>
  <c r="A9108" i="80"/>
  <c r="A9109" i="80"/>
  <c r="A9112" i="80"/>
  <c r="A9113" i="80"/>
  <c r="A9114" i="80"/>
  <c r="A9117" i="80"/>
  <c r="A9118" i="80"/>
  <c r="A9119" i="80"/>
  <c r="A9122" i="80"/>
  <c r="A9123" i="80"/>
  <c r="A9124" i="80"/>
  <c r="A9127" i="80"/>
  <c r="A9128" i="80"/>
  <c r="A9129" i="80"/>
  <c r="A9132" i="80"/>
  <c r="A9133" i="80"/>
  <c r="A9134" i="80"/>
  <c r="A9137" i="80"/>
  <c r="A9138" i="80"/>
  <c r="A9139" i="80"/>
  <c r="A9142" i="80"/>
  <c r="A9143" i="80"/>
  <c r="A9144" i="80"/>
  <c r="A9147" i="80"/>
  <c r="A9148" i="80"/>
  <c r="A9149" i="80"/>
  <c r="A9152" i="80"/>
  <c r="A9153" i="80"/>
  <c r="A9154" i="80"/>
  <c r="A9157" i="80"/>
  <c r="A9158" i="80"/>
  <c r="A9159" i="80"/>
  <c r="A9162" i="80"/>
  <c r="A9163" i="80"/>
  <c r="A9164" i="80"/>
  <c r="A9167" i="80"/>
  <c r="A9168" i="80"/>
  <c r="A9169" i="80"/>
  <c r="A9172" i="80"/>
  <c r="A9173" i="80"/>
  <c r="A9174" i="80"/>
  <c r="A9177" i="80"/>
  <c r="A9178" i="80"/>
  <c r="A9179" i="80"/>
  <c r="A9182" i="80"/>
  <c r="A9183" i="80"/>
  <c r="A9184" i="80"/>
  <c r="A9187" i="80"/>
  <c r="A9188" i="80"/>
  <c r="A9189" i="80"/>
  <c r="A9192" i="80"/>
  <c r="A9193" i="80"/>
  <c r="A9194" i="80"/>
  <c r="A9197" i="80"/>
  <c r="A9198" i="80"/>
  <c r="A9199" i="80"/>
  <c r="A9202" i="80"/>
  <c r="A9203" i="80"/>
  <c r="A9204" i="80"/>
  <c r="A9207" i="80"/>
  <c r="A9208" i="80"/>
  <c r="A9209" i="80"/>
  <c r="A9212" i="80"/>
  <c r="A9213" i="80"/>
  <c r="A9214" i="80"/>
  <c r="A9217" i="80"/>
  <c r="A9218" i="80"/>
  <c r="A9219" i="80"/>
  <c r="A9222" i="80"/>
  <c r="A9223" i="80"/>
  <c r="A9224" i="80"/>
  <c r="A9227" i="80"/>
  <c r="A9228" i="80"/>
  <c r="A9229" i="80"/>
  <c r="A9232" i="80"/>
  <c r="A9233" i="80"/>
  <c r="A9234" i="80"/>
  <c r="A9237" i="80"/>
  <c r="A9238" i="80"/>
  <c r="A9239" i="80"/>
  <c r="A9242" i="80"/>
  <c r="A9243" i="80"/>
  <c r="A9244" i="80"/>
  <c r="A9247" i="80"/>
  <c r="A9248" i="80"/>
  <c r="A9249" i="80"/>
  <c r="A9252" i="80"/>
  <c r="A9253" i="80"/>
  <c r="A9254" i="80"/>
  <c r="A9257" i="80"/>
  <c r="A9258" i="80"/>
  <c r="A9259" i="80"/>
  <c r="A9262" i="80"/>
  <c r="A9263" i="80"/>
  <c r="A9264" i="80"/>
  <c r="A9267" i="80"/>
  <c r="A9268" i="80"/>
  <c r="A9269" i="80"/>
  <c r="A9272" i="80"/>
  <c r="A9273" i="80"/>
  <c r="A9274" i="80"/>
  <c r="A9277" i="80"/>
  <c r="A9278" i="80"/>
  <c r="A9279" i="80"/>
  <c r="A9282" i="80"/>
  <c r="A9283" i="80"/>
  <c r="A9284" i="80"/>
  <c r="A9287" i="80"/>
  <c r="A9288" i="80"/>
  <c r="A9289" i="80"/>
  <c r="A9292" i="80"/>
  <c r="A9293" i="80"/>
  <c r="A9294" i="80"/>
  <c r="A9297" i="80"/>
  <c r="A9298" i="80"/>
  <c r="A9299" i="80"/>
  <c r="A9302" i="80"/>
  <c r="A9303" i="80"/>
  <c r="A9304" i="80"/>
  <c r="A9307" i="80"/>
  <c r="A9308" i="80"/>
  <c r="A9309" i="80"/>
  <c r="A9312" i="80"/>
  <c r="A9313" i="80"/>
  <c r="A9314" i="80"/>
  <c r="A9317" i="80"/>
  <c r="A9318" i="80"/>
  <c r="A9319" i="80"/>
  <c r="A9322" i="80"/>
  <c r="A9323" i="80"/>
  <c r="A9324" i="80"/>
  <c r="A9327" i="80"/>
  <c r="A9328" i="80"/>
  <c r="A9329" i="80"/>
  <c r="A9332" i="80"/>
  <c r="A9333" i="80"/>
  <c r="A9334" i="80"/>
  <c r="A9337" i="80"/>
  <c r="A9338" i="80"/>
  <c r="A9339" i="80"/>
  <c r="A9342" i="80"/>
  <c r="A9343" i="80"/>
  <c r="A9344" i="80"/>
  <c r="A9347" i="80"/>
  <c r="A9348" i="80"/>
  <c r="A9349" i="80"/>
  <c r="A9352" i="80"/>
  <c r="A9353" i="80"/>
  <c r="A9354" i="80"/>
  <c r="A9357" i="80"/>
  <c r="A9358" i="80"/>
  <c r="A9359" i="80"/>
  <c r="A9362" i="80"/>
  <c r="A9363" i="80"/>
  <c r="A9364" i="80"/>
  <c r="A9367" i="80"/>
  <c r="A9368" i="80"/>
  <c r="A9369" i="80"/>
  <c r="A9372" i="80"/>
  <c r="A9373" i="80"/>
  <c r="A9374" i="80"/>
  <c r="A9377" i="80"/>
  <c r="A9378" i="80"/>
  <c r="A9379" i="80"/>
  <c r="A9382" i="80"/>
  <c r="A9383" i="80"/>
  <c r="A9384" i="80"/>
  <c r="A9387" i="80"/>
  <c r="A9388" i="80"/>
  <c r="A9389" i="80"/>
  <c r="A9392" i="80"/>
  <c r="A9393" i="80"/>
  <c r="A9394" i="80"/>
  <c r="A9397" i="80"/>
  <c r="A9398" i="80"/>
  <c r="A9399" i="80"/>
  <c r="A9402" i="80"/>
  <c r="A9403" i="80"/>
  <c r="A9404" i="80"/>
  <c r="A9407" i="80"/>
  <c r="A9408" i="80"/>
  <c r="A9409" i="80"/>
  <c r="A9412" i="80"/>
  <c r="A9413" i="80"/>
  <c r="A9414" i="80"/>
  <c r="A9417" i="80"/>
  <c r="A9418" i="80"/>
  <c r="A9419" i="80"/>
  <c r="A9422" i="80"/>
  <c r="A9423" i="80"/>
  <c r="A9424" i="80"/>
  <c r="A9427" i="80"/>
  <c r="A9428" i="80"/>
  <c r="A9429" i="80"/>
  <c r="A9432" i="80"/>
  <c r="A9433" i="80"/>
  <c r="A9434" i="80"/>
  <c r="A9437" i="80"/>
  <c r="A9438" i="80"/>
  <c r="A9439" i="80"/>
  <c r="A9442" i="80"/>
  <c r="A9443" i="80"/>
  <c r="A9444" i="80"/>
  <c r="A9447" i="80"/>
  <c r="A9448" i="80"/>
  <c r="A9449" i="80"/>
  <c r="A9452" i="80"/>
  <c r="A9453" i="80"/>
  <c r="A9454" i="80"/>
  <c r="A9457" i="80"/>
  <c r="A9458" i="80"/>
  <c r="A9459" i="80"/>
  <c r="A9462" i="80"/>
  <c r="A9463" i="80"/>
  <c r="A9464" i="80"/>
  <c r="A9467" i="80"/>
  <c r="A9468" i="80"/>
  <c r="A9469" i="80"/>
  <c r="A9472" i="80"/>
  <c r="A9473" i="80"/>
  <c r="A9474" i="80"/>
  <c r="A9477" i="80"/>
  <c r="A9478" i="80"/>
  <c r="A9479" i="80"/>
  <c r="A9482" i="80"/>
  <c r="A9483" i="80"/>
  <c r="A9484" i="80"/>
  <c r="A9487" i="80"/>
  <c r="A9488" i="80"/>
  <c r="A9489" i="80"/>
  <c r="A9492" i="80"/>
  <c r="A9493" i="80"/>
  <c r="A9494" i="80"/>
  <c r="A9497" i="80"/>
  <c r="A9498" i="80"/>
  <c r="A9499" i="80"/>
  <c r="A9502" i="80"/>
  <c r="A9503" i="80"/>
  <c r="A9504" i="80"/>
  <c r="A9507" i="80"/>
  <c r="A9508" i="80"/>
  <c r="A9509" i="80"/>
  <c r="A9512" i="80"/>
  <c r="A9513" i="80"/>
  <c r="A9514" i="80"/>
  <c r="A9517" i="80"/>
  <c r="A9518" i="80"/>
  <c r="A9519" i="80"/>
  <c r="A9522" i="80"/>
  <c r="A9523" i="80"/>
  <c r="A9524" i="80"/>
  <c r="A9527" i="80"/>
  <c r="A9528" i="80"/>
  <c r="A9529" i="80"/>
  <c r="A9532" i="80"/>
  <c r="A9533" i="80"/>
  <c r="A9534" i="80"/>
  <c r="A9537" i="80"/>
  <c r="A9538" i="80"/>
  <c r="A9539" i="80"/>
  <c r="A9542" i="80"/>
  <c r="A9543" i="80"/>
  <c r="A9544" i="80"/>
  <c r="A9547" i="80"/>
  <c r="A9548" i="80"/>
  <c r="A9549" i="80"/>
  <c r="A9552" i="80"/>
  <c r="A9553" i="80"/>
  <c r="A9554" i="80"/>
  <c r="A9557" i="80"/>
  <c r="A9558" i="80"/>
  <c r="A9559" i="80"/>
  <c r="A9562" i="80"/>
  <c r="A9563" i="80"/>
  <c r="A9564" i="80"/>
  <c r="A9567" i="80"/>
  <c r="A9568" i="80"/>
  <c r="A9569" i="80"/>
  <c r="A9572" i="80"/>
  <c r="A9573" i="80"/>
  <c r="A9574" i="80"/>
  <c r="A9577" i="80"/>
  <c r="A9578" i="80"/>
  <c r="A9579" i="80"/>
  <c r="A9582" i="80"/>
  <c r="A9583" i="80"/>
  <c r="A9584" i="80"/>
  <c r="A9587" i="80"/>
  <c r="A9588" i="80"/>
  <c r="A9589" i="80"/>
  <c r="A9592" i="80"/>
  <c r="A9593" i="80"/>
  <c r="A9594" i="80"/>
  <c r="A9597" i="80"/>
  <c r="A9598" i="80"/>
  <c r="A9599" i="80"/>
  <c r="A9602" i="80"/>
  <c r="A9603" i="80"/>
  <c r="A9604" i="80"/>
  <c r="A9607" i="80"/>
  <c r="A9608" i="80"/>
  <c r="A9609" i="80"/>
  <c r="A9612" i="80"/>
  <c r="A9613" i="80"/>
  <c r="A9614" i="80"/>
  <c r="A9617" i="80"/>
  <c r="A9618" i="80"/>
  <c r="A9619" i="80"/>
  <c r="A9622" i="80"/>
  <c r="A9623" i="80"/>
  <c r="A9624" i="80"/>
  <c r="A9627" i="80"/>
  <c r="A9628" i="80"/>
  <c r="A9629" i="80"/>
  <c r="A9632" i="80"/>
  <c r="A9633" i="80"/>
  <c r="A9634" i="80"/>
  <c r="A9637" i="80"/>
  <c r="A9638" i="80"/>
  <c r="A9639" i="80"/>
  <c r="A9642" i="80"/>
  <c r="A9643" i="80"/>
  <c r="A9644" i="80"/>
  <c r="A9647" i="80"/>
  <c r="A9648" i="80"/>
  <c r="A9649" i="80"/>
  <c r="A9652" i="80"/>
  <c r="A9653" i="80"/>
  <c r="A9654" i="80"/>
  <c r="A9657" i="80"/>
  <c r="A9658" i="80"/>
  <c r="A9659" i="80"/>
  <c r="A9662" i="80"/>
  <c r="A9663" i="80"/>
  <c r="A9664" i="80"/>
  <c r="A9667" i="80"/>
  <c r="A9668" i="80"/>
  <c r="A9669" i="80"/>
  <c r="A9672" i="80"/>
  <c r="A9673" i="80"/>
  <c r="A9674" i="80"/>
  <c r="A9677" i="80"/>
  <c r="A9678" i="80"/>
  <c r="A9679" i="80"/>
  <c r="A9682" i="80"/>
  <c r="A9683" i="80"/>
  <c r="A9684" i="80"/>
  <c r="A9687" i="80"/>
  <c r="A9688" i="80"/>
  <c r="A9689" i="80"/>
  <c r="A9692" i="80"/>
  <c r="A9693" i="80"/>
  <c r="A9694" i="80"/>
  <c r="A9697" i="80"/>
  <c r="A9698" i="80"/>
  <c r="A9699" i="80"/>
  <c r="A9702" i="80"/>
  <c r="A9703" i="80"/>
  <c r="A9704" i="80"/>
  <c r="A9707" i="80"/>
  <c r="A9708" i="80"/>
  <c r="A9709" i="80"/>
  <c r="A9712" i="80"/>
  <c r="A9713" i="80"/>
  <c r="A9714" i="80"/>
  <c r="A9717" i="80"/>
  <c r="A9718" i="80"/>
  <c r="A9719" i="80"/>
  <c r="A9722" i="80"/>
  <c r="A9723" i="80"/>
  <c r="A9724" i="80"/>
  <c r="A9727" i="80"/>
  <c r="A9728" i="80"/>
  <c r="A9729" i="80"/>
  <c r="A9732" i="80"/>
  <c r="A9733" i="80"/>
  <c r="A9734" i="80"/>
  <c r="A9737" i="80"/>
  <c r="A9738" i="80"/>
  <c r="A9739" i="80"/>
  <c r="A9742" i="80"/>
  <c r="A9743" i="80"/>
  <c r="A9744" i="80"/>
  <c r="A9747" i="80"/>
  <c r="A9748" i="80"/>
  <c r="A9749" i="80"/>
  <c r="A9752" i="80"/>
  <c r="A9753" i="80"/>
  <c r="A9754" i="80"/>
  <c r="A9757" i="80"/>
  <c r="A9758" i="80"/>
  <c r="A9759" i="80"/>
  <c r="A9762" i="80"/>
  <c r="A9763" i="80"/>
  <c r="A9764" i="80"/>
  <c r="A9767" i="80"/>
  <c r="A9768" i="80"/>
  <c r="A9769" i="80"/>
  <c r="A9772" i="80"/>
  <c r="A9773" i="80"/>
  <c r="A9774" i="80"/>
  <c r="A9777" i="80"/>
  <c r="A9778" i="80"/>
  <c r="A9779" i="80"/>
  <c r="A9782" i="80"/>
  <c r="A9783" i="80"/>
  <c r="A9784" i="80"/>
  <c r="A9787" i="80"/>
  <c r="A9788" i="80"/>
  <c r="A9789" i="80"/>
  <c r="A9792" i="80"/>
  <c r="A9793" i="80"/>
  <c r="A9794" i="80"/>
  <c r="A9797" i="80"/>
  <c r="A9798" i="80"/>
  <c r="A9799" i="80"/>
  <c r="A9802" i="80"/>
  <c r="A9803" i="80"/>
  <c r="A9804" i="80"/>
  <c r="A9807" i="80"/>
  <c r="A9808" i="80"/>
  <c r="A9809" i="80"/>
  <c r="A9812" i="80"/>
  <c r="A9813" i="80"/>
  <c r="A9814" i="80"/>
  <c r="A9817" i="80"/>
  <c r="A9818" i="80"/>
  <c r="A9819" i="80"/>
  <c r="A9822" i="80"/>
  <c r="A9823" i="80"/>
  <c r="A9824" i="80"/>
  <c r="A9827" i="80"/>
  <c r="A9828" i="80"/>
  <c r="A9829" i="80"/>
  <c r="A9832" i="80"/>
  <c r="A9833" i="80"/>
  <c r="A9834" i="80"/>
  <c r="A9837" i="80"/>
  <c r="A9838" i="80"/>
  <c r="A9839" i="80"/>
  <c r="A9842" i="80"/>
  <c r="A9843" i="80"/>
  <c r="A9844" i="80"/>
  <c r="A9847" i="80"/>
  <c r="A9848" i="80"/>
  <c r="A9849" i="80"/>
  <c r="A9852" i="80"/>
  <c r="A9853" i="80"/>
  <c r="A9854" i="80"/>
  <c r="A9857" i="80"/>
  <c r="A9858" i="80"/>
  <c r="A9859" i="80"/>
  <c r="A9862" i="80"/>
  <c r="A9863" i="80"/>
  <c r="A9864" i="80"/>
  <c r="A9867" i="80"/>
  <c r="A9868" i="80"/>
  <c r="A9869" i="80"/>
  <c r="A9872" i="80"/>
  <c r="A9873" i="80"/>
  <c r="A9874" i="80"/>
  <c r="A9877" i="80"/>
  <c r="A9878" i="80"/>
  <c r="A9879" i="80"/>
  <c r="A9882" i="80"/>
  <c r="A9883" i="80"/>
  <c r="A9884" i="80"/>
  <c r="A9887" i="80"/>
  <c r="A9888" i="80"/>
  <c r="A9889" i="80"/>
  <c r="A9892" i="80"/>
  <c r="A9893" i="80"/>
  <c r="A9894" i="80"/>
  <c r="A9897" i="80"/>
  <c r="A9898" i="80"/>
  <c r="A9899" i="80"/>
  <c r="A9902" i="80"/>
  <c r="A9903" i="80"/>
  <c r="A9904" i="80"/>
  <c r="A9907" i="80"/>
  <c r="A9908" i="80"/>
  <c r="A9909" i="80"/>
  <c r="A9912" i="80"/>
  <c r="A9913" i="80"/>
  <c r="A9914" i="80"/>
  <c r="A9917" i="80"/>
  <c r="A9918" i="80"/>
  <c r="A9919" i="80"/>
  <c r="A9922" i="80"/>
  <c r="A9923" i="80"/>
  <c r="A9924" i="80"/>
  <c r="A9927" i="80"/>
  <c r="A9928" i="80"/>
  <c r="A9929" i="80"/>
  <c r="A9932" i="80"/>
  <c r="A9933" i="80"/>
  <c r="A9934" i="80"/>
  <c r="A9937" i="80"/>
  <c r="A9938" i="80"/>
  <c r="A9939" i="80"/>
  <c r="A9942" i="80"/>
  <c r="A9943" i="80"/>
  <c r="A9944" i="80"/>
  <c r="A9947" i="80"/>
  <c r="A9948" i="80"/>
  <c r="A9949" i="80"/>
  <c r="A9952" i="80"/>
  <c r="A9953" i="80"/>
  <c r="A9954" i="80"/>
  <c r="A9957" i="80"/>
  <c r="A9958" i="80"/>
  <c r="A9959" i="80"/>
  <c r="A9962" i="80"/>
  <c r="A9963" i="80"/>
  <c r="A9964" i="80"/>
  <c r="A9967" i="80"/>
  <c r="A9968" i="80"/>
  <c r="A9969" i="80"/>
  <c r="A9972" i="80"/>
  <c r="A9973" i="80"/>
  <c r="A9974" i="80"/>
  <c r="A9977" i="80"/>
  <c r="A9978" i="80"/>
  <c r="A9979" i="80"/>
  <c r="A9982" i="80"/>
  <c r="A9983" i="80"/>
  <c r="A9984" i="80"/>
  <c r="A9987" i="80"/>
  <c r="A9988" i="80"/>
  <c r="A9989" i="80"/>
  <c r="A9992" i="80"/>
  <c r="A9993" i="80"/>
  <c r="A9994" i="80"/>
  <c r="A9997" i="80"/>
  <c r="A9998" i="80"/>
  <c r="A9999" i="80"/>
  <c r="A10002" i="80"/>
  <c r="A10003" i="80"/>
  <c r="A10004" i="80"/>
  <c r="A10007" i="80"/>
  <c r="A10008" i="80"/>
  <c r="A10009" i="80"/>
  <c r="A10012" i="80"/>
  <c r="A10013" i="80"/>
  <c r="A10014" i="80"/>
  <c r="A10017" i="80"/>
  <c r="A10018" i="80"/>
  <c r="A10019" i="80"/>
  <c r="A10022" i="80"/>
  <c r="A10023" i="80"/>
  <c r="A10024" i="80"/>
  <c r="A10027" i="80"/>
  <c r="A10028" i="80"/>
  <c r="A10029" i="80"/>
  <c r="A10032" i="80"/>
  <c r="A10033" i="80"/>
  <c r="A10034" i="80"/>
  <c r="A10037" i="80"/>
  <c r="A10038" i="80"/>
  <c r="A10039" i="80"/>
  <c r="A10042" i="80"/>
  <c r="A10043" i="80"/>
  <c r="A10044" i="80"/>
  <c r="A10047" i="80"/>
  <c r="A10048" i="80"/>
  <c r="A10049" i="80"/>
  <c r="A10052" i="80"/>
  <c r="A10053" i="80"/>
  <c r="A10054" i="80"/>
  <c r="A10057" i="80"/>
  <c r="A10058" i="80"/>
  <c r="A10059" i="80"/>
  <c r="A10062" i="80"/>
  <c r="A10063" i="80"/>
  <c r="A10064" i="80"/>
  <c r="A10067" i="80"/>
  <c r="A10068" i="80"/>
  <c r="A10069" i="80"/>
  <c r="A10072" i="80"/>
  <c r="A10073" i="80"/>
  <c r="A10074" i="80"/>
  <c r="A10077" i="80"/>
  <c r="A10078" i="80"/>
  <c r="A10079" i="80"/>
  <c r="A10082" i="80"/>
  <c r="A10083" i="80"/>
  <c r="A10084" i="80"/>
  <c r="A10087" i="80"/>
  <c r="A10088" i="80"/>
  <c r="A10089" i="80"/>
  <c r="A10092" i="80"/>
  <c r="A10093" i="80"/>
  <c r="A10094" i="80"/>
  <c r="A10097" i="80"/>
  <c r="A10098" i="80"/>
  <c r="A10099" i="80"/>
  <c r="A10102" i="80"/>
  <c r="A10103" i="80"/>
  <c r="A10104" i="80"/>
  <c r="A10107" i="80"/>
  <c r="A10108" i="80"/>
  <c r="A10109" i="80"/>
  <c r="A10112" i="80"/>
  <c r="A10113" i="80"/>
  <c r="A10114" i="80"/>
  <c r="A10117" i="80"/>
  <c r="A10118" i="80"/>
  <c r="A10119" i="80"/>
  <c r="A10122" i="80"/>
  <c r="A10123" i="80"/>
  <c r="A10124" i="80"/>
  <c r="A10127" i="80"/>
  <c r="A10128" i="80"/>
  <c r="A10129" i="80"/>
  <c r="A10132" i="80"/>
  <c r="A10133" i="80"/>
  <c r="A10134" i="80"/>
  <c r="A10137" i="80"/>
  <c r="A10138" i="80"/>
  <c r="A10139" i="80"/>
  <c r="A10142" i="80"/>
  <c r="A10143" i="80"/>
  <c r="A10144" i="80"/>
  <c r="A10147" i="80"/>
  <c r="A10148" i="80"/>
  <c r="A10149" i="80"/>
  <c r="A10152" i="80"/>
  <c r="A10153" i="80"/>
  <c r="A10154" i="80"/>
  <c r="A10157" i="80"/>
  <c r="A10158" i="80"/>
  <c r="A10159" i="80"/>
  <c r="A10162" i="80"/>
  <c r="A10163" i="80"/>
  <c r="A10164" i="80"/>
  <c r="A10167" i="80"/>
  <c r="A10168" i="80"/>
  <c r="A10169" i="80"/>
  <c r="A10172" i="80"/>
  <c r="A10173" i="80"/>
  <c r="A10174" i="80"/>
  <c r="A10177" i="80"/>
  <c r="A10178" i="80"/>
  <c r="A10179" i="80"/>
  <c r="A10182" i="80"/>
  <c r="A10183" i="80"/>
  <c r="A10184" i="80"/>
  <c r="A10187" i="80"/>
  <c r="A10188" i="80"/>
  <c r="A10189" i="80"/>
  <c r="A10192" i="80"/>
  <c r="A10193" i="80"/>
  <c r="A10194" i="80"/>
  <c r="A10197" i="80"/>
  <c r="A10198" i="80"/>
  <c r="A10199" i="80"/>
  <c r="A10202" i="80"/>
  <c r="A10203" i="80"/>
  <c r="A10204" i="80"/>
  <c r="A10207" i="80"/>
  <c r="A10208" i="80"/>
  <c r="A10209" i="80"/>
  <c r="A10212" i="80"/>
  <c r="A10213" i="80"/>
  <c r="A10214" i="80"/>
  <c r="A10217" i="80"/>
  <c r="A10218" i="80"/>
  <c r="A10219" i="80"/>
  <c r="A10222" i="80"/>
  <c r="A10223" i="80"/>
  <c r="A10224" i="80"/>
  <c r="A10227" i="80"/>
  <c r="A10228" i="80"/>
  <c r="A10229" i="80"/>
  <c r="A10232" i="80"/>
  <c r="A10233" i="80"/>
  <c r="A10234" i="80"/>
  <c r="A10237" i="80"/>
  <c r="A10238" i="80"/>
  <c r="A10239" i="80"/>
  <c r="A10242" i="80"/>
  <c r="A10243" i="80"/>
  <c r="A10244" i="80"/>
  <c r="A10247" i="80"/>
  <c r="A10248" i="80"/>
  <c r="A10249" i="80"/>
  <c r="A10252" i="80"/>
  <c r="A10253" i="80"/>
  <c r="A10254" i="80"/>
  <c r="A10257" i="80"/>
  <c r="A10258" i="80"/>
  <c r="A10259" i="80"/>
  <c r="A10262" i="80"/>
  <c r="A10263" i="80"/>
  <c r="A10264" i="80"/>
  <c r="A10267" i="80"/>
  <c r="A10268" i="80"/>
  <c r="A10269" i="80"/>
  <c r="A10272" i="80"/>
  <c r="A10273" i="80"/>
  <c r="A10274" i="80"/>
  <c r="A10277" i="80"/>
  <c r="A10278" i="80"/>
  <c r="A10279" i="80"/>
  <c r="A10282" i="80"/>
  <c r="A10283" i="80"/>
  <c r="A10284" i="80"/>
  <c r="A10287" i="80"/>
  <c r="A10288" i="80"/>
  <c r="A10289" i="80"/>
  <c r="A10292" i="80"/>
  <c r="A10293" i="80"/>
  <c r="A10294" i="80"/>
  <c r="A10297" i="80"/>
  <c r="A10298" i="80"/>
  <c r="A10299" i="80"/>
  <c r="A10302" i="80"/>
  <c r="A10303" i="80"/>
  <c r="A10304" i="80"/>
  <c r="A10307" i="80"/>
  <c r="A10308" i="80"/>
  <c r="A10309" i="80"/>
  <c r="A10312" i="80"/>
  <c r="A10313" i="80"/>
  <c r="A10314" i="80"/>
  <c r="A10317" i="80"/>
  <c r="A10318" i="80"/>
  <c r="A10319" i="80"/>
  <c r="A10322" i="80"/>
  <c r="A10323" i="80"/>
  <c r="A10324" i="80"/>
  <c r="A10327" i="80"/>
  <c r="A10328" i="80"/>
  <c r="A10329" i="80"/>
  <c r="A10332" i="80"/>
  <c r="A10333" i="80"/>
  <c r="A10334" i="80"/>
  <c r="A10337" i="80"/>
  <c r="A10338" i="80"/>
  <c r="A10339" i="80"/>
  <c r="A10342" i="80"/>
  <c r="A10343" i="80"/>
  <c r="A10344" i="80"/>
  <c r="A10347" i="80"/>
  <c r="A10348" i="80"/>
  <c r="A10349" i="80"/>
  <c r="A10352" i="80"/>
  <c r="A10353" i="80"/>
  <c r="A10354" i="80"/>
  <c r="A10357" i="80"/>
  <c r="A10358" i="80"/>
  <c r="A10359" i="80"/>
  <c r="A10362" i="80"/>
  <c r="A10363" i="80"/>
  <c r="A10364" i="80"/>
  <c r="A10367" i="80"/>
  <c r="A10368" i="80"/>
  <c r="A10369" i="80"/>
  <c r="A10372" i="80"/>
  <c r="A10373" i="80"/>
  <c r="A10374" i="80"/>
  <c r="A10377" i="80"/>
  <c r="A10378" i="80"/>
  <c r="A10379" i="80"/>
  <c r="A10382" i="80"/>
  <c r="A10383" i="80"/>
  <c r="A10384" i="80"/>
  <c r="A10387" i="80"/>
  <c r="A10388" i="80"/>
  <c r="A10389" i="80"/>
  <c r="A10392" i="80"/>
  <c r="A10393" i="80"/>
  <c r="A10394" i="80"/>
  <c r="A10397" i="80"/>
  <c r="A10398" i="80"/>
  <c r="A10399" i="80"/>
  <c r="A10402" i="80"/>
  <c r="A10403" i="80"/>
  <c r="A10404" i="80"/>
  <c r="A10407" i="80"/>
  <c r="A10408" i="80"/>
  <c r="A10409" i="80"/>
  <c r="A10412" i="80"/>
  <c r="A10413" i="80"/>
  <c r="A10414" i="80"/>
  <c r="A10417" i="80"/>
  <c r="A10418" i="80"/>
  <c r="A10419" i="80"/>
  <c r="A10422" i="80"/>
  <c r="A10423" i="80"/>
  <c r="A10424" i="80"/>
  <c r="A10427" i="80"/>
  <c r="A10428" i="80"/>
  <c r="A10429" i="80"/>
  <c r="A10432" i="80"/>
  <c r="A10433" i="80"/>
  <c r="A10434" i="80"/>
  <c r="A10437" i="80"/>
  <c r="A10438" i="80"/>
  <c r="A10439" i="80"/>
  <c r="A10442" i="80"/>
  <c r="A10443" i="80"/>
  <c r="A10444" i="80"/>
  <c r="A10447" i="80"/>
  <c r="A10448" i="80"/>
  <c r="A10449" i="80"/>
  <c r="A10452" i="80"/>
  <c r="A10453" i="80"/>
  <c r="A10454" i="80"/>
  <c r="A10457" i="80"/>
  <c r="A10458" i="80"/>
  <c r="A10459" i="80"/>
  <c r="A10462" i="80"/>
  <c r="A10463" i="80"/>
  <c r="A10464" i="80"/>
  <c r="A10467" i="80"/>
  <c r="A10468" i="80"/>
  <c r="A10469" i="80"/>
  <c r="A10472" i="80"/>
  <c r="A10473" i="80"/>
  <c r="A10474" i="80"/>
  <c r="A10477" i="80"/>
  <c r="A10478" i="80"/>
  <c r="A10479" i="80"/>
  <c r="A10482" i="80"/>
  <c r="A10483" i="80"/>
  <c r="A10484" i="80"/>
  <c r="A10487" i="80"/>
  <c r="A10488" i="80"/>
  <c r="A10489" i="80"/>
  <c r="A10492" i="80"/>
  <c r="A10493" i="80"/>
  <c r="A10494" i="80"/>
  <c r="A10497" i="80"/>
  <c r="A10498" i="80"/>
  <c r="A10499" i="80"/>
  <c r="A10502" i="80"/>
  <c r="A10503" i="80"/>
  <c r="A10504" i="80"/>
  <c r="A10507" i="80"/>
  <c r="A10508" i="80"/>
  <c r="A10509" i="80"/>
  <c r="A10512" i="80"/>
  <c r="A10513" i="80"/>
  <c r="A10514" i="80"/>
  <c r="A10517" i="80"/>
  <c r="A10518" i="80"/>
  <c r="A10519" i="80"/>
  <c r="A10522" i="80"/>
  <c r="A10523" i="80"/>
  <c r="A10524" i="80"/>
  <c r="A10527" i="80"/>
  <c r="A10528" i="80"/>
  <c r="A10529" i="80"/>
  <c r="A10532" i="80"/>
  <c r="A10533" i="80"/>
  <c r="A10534" i="80"/>
  <c r="A10537" i="80"/>
  <c r="A10538" i="80"/>
  <c r="A10539" i="80"/>
  <c r="A10542" i="80"/>
  <c r="A10543" i="80"/>
  <c r="A10544" i="80"/>
  <c r="A10547" i="80"/>
  <c r="A10548" i="80"/>
  <c r="A10549" i="80"/>
  <c r="A10552" i="80"/>
  <c r="A10553" i="80"/>
  <c r="A10554" i="80"/>
  <c r="A10557" i="80"/>
  <c r="A10558" i="80"/>
  <c r="A10559" i="80"/>
  <c r="A10562" i="80"/>
  <c r="A10563" i="80"/>
  <c r="A10564" i="80"/>
  <c r="A10567" i="80"/>
  <c r="A10568" i="80"/>
  <c r="A10569" i="80"/>
  <c r="A10572" i="80"/>
  <c r="A10573" i="80"/>
  <c r="A10574" i="80"/>
  <c r="A10577" i="80"/>
  <c r="A10578" i="80"/>
  <c r="A10579" i="80"/>
  <c r="A10582" i="80"/>
  <c r="A10583" i="80"/>
  <c r="A10584" i="80"/>
  <c r="A10587" i="80"/>
  <c r="A10588" i="80"/>
  <c r="A10589" i="80"/>
  <c r="A10592" i="80"/>
  <c r="A10593" i="80"/>
  <c r="A10594" i="80"/>
  <c r="A10597" i="80"/>
  <c r="A10598" i="80"/>
  <c r="A10599" i="80"/>
  <c r="A10602" i="80"/>
  <c r="A10603" i="80"/>
  <c r="A10604" i="80"/>
  <c r="A10607" i="80"/>
  <c r="A10608" i="80"/>
  <c r="A10609" i="80"/>
  <c r="A10612" i="80"/>
  <c r="A10613" i="80"/>
  <c r="A10614" i="80"/>
  <c r="A10617" i="80"/>
  <c r="A10618" i="80"/>
  <c r="A10619" i="80"/>
  <c r="A10622" i="80"/>
  <c r="A10623" i="80"/>
  <c r="A10624" i="80"/>
  <c r="A10627" i="80"/>
  <c r="A10628" i="80"/>
  <c r="A10629" i="80"/>
  <c r="A10632" i="80"/>
  <c r="A10633" i="80"/>
  <c r="A10634" i="80"/>
  <c r="A10637" i="80"/>
  <c r="A10638" i="80"/>
  <c r="A10639" i="80"/>
  <c r="A10642" i="80"/>
  <c r="A10643" i="80"/>
  <c r="A10644" i="80"/>
  <c r="A10647" i="80"/>
  <c r="A10648" i="80"/>
  <c r="A10649" i="80"/>
  <c r="A10652" i="80"/>
  <c r="A10653" i="80"/>
  <c r="A10654" i="80"/>
  <c r="A10657" i="80"/>
  <c r="A10658" i="80"/>
  <c r="A10659" i="80"/>
  <c r="A10662" i="80"/>
  <c r="A10663" i="80"/>
  <c r="A10664" i="80"/>
  <c r="A10667" i="80"/>
  <c r="A10668" i="80"/>
  <c r="A10669" i="80"/>
  <c r="A10672" i="80"/>
  <c r="A10673" i="80"/>
  <c r="A10674" i="80"/>
  <c r="A10677" i="80"/>
  <c r="A10678" i="80"/>
  <c r="A10679" i="80"/>
  <c r="A10682" i="80"/>
  <c r="A10683" i="80"/>
  <c r="A10684" i="80"/>
  <c r="A10687" i="80"/>
  <c r="A10688" i="80"/>
  <c r="A10689" i="80"/>
  <c r="A10692" i="80"/>
  <c r="A10693" i="80"/>
  <c r="A10694" i="80"/>
  <c r="A10697" i="80"/>
  <c r="A10698" i="80"/>
  <c r="A10699" i="80"/>
  <c r="A10702" i="80"/>
  <c r="A10703" i="80"/>
  <c r="A10704" i="80"/>
  <c r="A10707" i="80"/>
  <c r="A10708" i="80"/>
  <c r="A10709" i="80"/>
  <c r="A10712" i="80"/>
  <c r="A10713" i="80"/>
  <c r="A10714" i="80"/>
  <c r="A10717" i="80"/>
  <c r="A10718" i="80"/>
  <c r="A10719" i="80"/>
  <c r="A10722" i="80"/>
  <c r="A10723" i="80"/>
  <c r="A10724" i="80"/>
  <c r="A10727" i="80"/>
  <c r="A10728" i="80"/>
  <c r="A10729" i="80"/>
  <c r="A10732" i="80"/>
  <c r="A10733" i="80"/>
  <c r="A10734" i="80"/>
  <c r="A10737" i="80"/>
  <c r="A10738" i="80"/>
  <c r="A10739" i="80"/>
  <c r="A10742" i="80"/>
  <c r="A10743" i="80"/>
  <c r="A10744" i="80"/>
  <c r="A10747" i="80"/>
  <c r="A10748" i="80"/>
  <c r="A10749" i="80"/>
  <c r="A10752" i="80"/>
  <c r="A10753" i="80"/>
  <c r="A10754" i="80"/>
  <c r="A10757" i="80"/>
  <c r="A10758" i="80"/>
  <c r="A10759" i="80"/>
  <c r="A10762" i="80"/>
  <c r="A10763" i="80"/>
  <c r="A10764" i="80"/>
  <c r="A10767" i="80"/>
  <c r="A10768" i="80"/>
  <c r="A10769" i="80"/>
  <c r="A10772" i="80"/>
  <c r="A10773" i="80"/>
  <c r="A10774" i="80"/>
  <c r="A10777" i="80"/>
  <c r="A10778" i="80"/>
  <c r="A10779" i="80"/>
  <c r="A10782" i="80"/>
  <c r="A10783" i="80"/>
  <c r="A10784" i="80"/>
  <c r="A10787" i="80"/>
  <c r="A10788" i="80"/>
  <c r="A10789" i="80"/>
  <c r="A10792" i="80"/>
  <c r="A10793" i="80"/>
  <c r="A10794" i="80"/>
  <c r="A10797" i="80"/>
  <c r="A10798" i="80"/>
  <c r="A10799" i="80"/>
  <c r="A10802" i="80"/>
  <c r="A10803" i="80"/>
  <c r="A10804" i="80"/>
  <c r="A10807" i="80"/>
  <c r="A10808" i="80"/>
  <c r="A10809" i="80"/>
  <c r="A10812" i="80"/>
  <c r="A10813" i="80"/>
  <c r="A10814" i="80"/>
  <c r="A10817" i="80"/>
  <c r="A10818" i="80"/>
  <c r="A10819" i="80"/>
  <c r="A10822" i="80"/>
  <c r="A10823" i="80"/>
  <c r="A10824" i="80"/>
  <c r="A10827" i="80"/>
  <c r="A10828" i="80"/>
  <c r="A10829" i="80"/>
  <c r="A10832" i="80"/>
  <c r="A10833" i="80"/>
  <c r="A10834" i="80"/>
  <c r="A10837" i="80"/>
  <c r="A10838" i="80"/>
  <c r="A10839" i="80"/>
  <c r="A10842" i="80"/>
  <c r="A10843" i="80"/>
  <c r="A10844" i="80"/>
  <c r="A10847" i="80"/>
  <c r="A10848" i="80"/>
  <c r="A10849" i="80"/>
  <c r="A10852" i="80"/>
  <c r="A10853" i="80"/>
  <c r="A10854" i="80"/>
  <c r="A10857" i="80"/>
  <c r="A10858" i="80"/>
  <c r="A10859" i="80"/>
  <c r="A10862" i="80"/>
  <c r="A10863" i="80"/>
  <c r="A10864" i="80"/>
  <c r="A10867" i="80"/>
  <c r="A10868" i="80"/>
  <c r="A10869" i="80"/>
  <c r="A10872" i="80"/>
  <c r="A10873" i="80"/>
  <c r="A10874" i="80"/>
  <c r="A10877" i="80"/>
  <c r="A10878" i="80"/>
  <c r="A10879" i="80"/>
  <c r="A10882" i="80"/>
  <c r="A10883" i="80"/>
  <c r="A10884" i="80"/>
  <c r="A10887" i="80"/>
  <c r="A10888" i="80"/>
  <c r="A10889" i="80"/>
  <c r="A10892" i="80"/>
  <c r="A10893" i="80"/>
  <c r="A10894" i="80"/>
  <c r="A10897" i="80"/>
  <c r="A10898" i="80"/>
  <c r="A10899" i="80"/>
  <c r="A10902" i="80"/>
  <c r="A10903" i="80"/>
  <c r="A10904" i="80"/>
  <c r="A10907" i="80"/>
  <c r="A10908" i="80"/>
  <c r="A10909" i="80"/>
  <c r="A10912" i="80"/>
  <c r="A10913" i="80"/>
  <c r="A10914" i="80"/>
  <c r="A10917" i="80"/>
  <c r="A10918" i="80"/>
  <c r="A10919" i="80"/>
  <c r="A10922" i="80"/>
  <c r="A10923" i="80"/>
  <c r="A10924" i="80"/>
  <c r="A10927" i="80"/>
  <c r="A10928" i="80"/>
  <c r="A10929" i="80"/>
  <c r="A10932" i="80"/>
  <c r="A10933" i="80"/>
  <c r="A10934" i="80"/>
  <c r="A10937" i="80"/>
  <c r="A10938" i="80"/>
  <c r="A10939" i="80"/>
  <c r="A10942" i="80"/>
  <c r="A10943" i="80"/>
  <c r="A10944" i="80"/>
  <c r="A10947" i="80"/>
  <c r="A10948" i="80"/>
  <c r="A10949" i="80"/>
  <c r="A10952" i="80"/>
  <c r="A10953" i="80"/>
  <c r="A10954" i="80"/>
  <c r="A10957" i="80"/>
  <c r="A10958" i="80"/>
  <c r="A10959" i="80"/>
  <c r="A10962" i="80"/>
  <c r="A10963" i="80"/>
  <c r="A10964" i="80"/>
  <c r="A10967" i="80"/>
  <c r="A10968" i="80"/>
  <c r="A10969" i="80"/>
  <c r="A10972" i="80"/>
  <c r="A10973" i="80"/>
  <c r="A10974" i="80"/>
  <c r="A10977" i="80"/>
  <c r="A10978" i="80"/>
  <c r="A10979" i="80"/>
  <c r="A10982" i="80"/>
  <c r="A10983" i="80"/>
  <c r="A10984" i="80"/>
  <c r="A10987" i="80"/>
  <c r="A10988" i="80"/>
  <c r="A10989" i="80"/>
  <c r="A10992" i="80"/>
  <c r="A10993" i="80"/>
  <c r="A10994" i="80"/>
  <c r="A10997" i="80"/>
  <c r="A10998" i="80"/>
  <c r="A10999" i="80"/>
  <c r="A11002" i="80"/>
  <c r="A11003" i="80"/>
  <c r="A11004" i="80"/>
  <c r="A11007" i="80"/>
  <c r="A11008" i="80"/>
  <c r="A11009" i="80"/>
  <c r="A11012" i="80"/>
  <c r="A11013" i="80"/>
  <c r="A11014" i="80"/>
  <c r="A11017" i="80"/>
  <c r="A11018" i="80"/>
  <c r="A11019" i="80"/>
  <c r="A11022" i="80"/>
  <c r="A11023" i="80"/>
  <c r="A11024" i="80"/>
  <c r="A11027" i="80"/>
  <c r="A11028" i="80"/>
  <c r="A11029" i="80"/>
  <c r="A11032" i="80"/>
  <c r="A11033" i="80"/>
  <c r="A11034" i="80"/>
  <c r="A11037" i="80"/>
  <c r="A11038" i="80"/>
  <c r="A11039" i="80"/>
  <c r="A11042" i="80"/>
  <c r="A11043" i="80"/>
  <c r="A11044" i="80"/>
  <c r="A11047" i="80"/>
  <c r="A11048" i="80"/>
  <c r="A11049" i="80"/>
  <c r="A11052" i="80"/>
  <c r="A11053" i="80"/>
  <c r="A11054" i="80"/>
  <c r="A11057" i="80"/>
  <c r="A11058" i="80"/>
  <c r="A11059" i="80"/>
  <c r="A11062" i="80"/>
  <c r="A11063" i="80"/>
  <c r="A11064" i="80"/>
  <c r="A11067" i="80"/>
  <c r="A11068" i="80"/>
  <c r="A11069" i="80"/>
  <c r="A11072" i="80"/>
  <c r="A11073" i="80"/>
  <c r="A11074" i="80"/>
  <c r="A11077" i="80"/>
  <c r="A11078" i="80"/>
  <c r="A11079" i="80"/>
  <c r="A11082" i="80"/>
  <c r="A11083" i="80"/>
  <c r="A11084" i="80"/>
  <c r="A11087" i="80"/>
  <c r="A11088" i="80"/>
  <c r="A11089" i="80"/>
  <c r="A11092" i="80"/>
  <c r="A11093" i="80"/>
  <c r="A11094" i="80"/>
  <c r="A11097" i="80"/>
  <c r="A11098" i="80"/>
  <c r="A11099" i="80"/>
  <c r="A11102" i="80"/>
  <c r="A11103" i="80"/>
  <c r="A11104" i="80"/>
  <c r="A11107" i="80"/>
  <c r="A11108" i="80"/>
  <c r="A11109" i="80"/>
  <c r="A11112" i="80"/>
  <c r="A11113" i="80"/>
  <c r="A11114" i="80"/>
  <c r="A11117" i="80"/>
  <c r="A11118" i="80"/>
  <c r="A11119" i="80"/>
  <c r="A11122" i="80"/>
  <c r="A11123" i="80"/>
  <c r="A11124" i="80"/>
  <c r="A11127" i="80"/>
  <c r="A11128" i="80"/>
  <c r="A11129" i="80"/>
  <c r="A11132" i="80"/>
  <c r="A11133" i="80"/>
  <c r="A11134" i="80"/>
  <c r="A11137" i="80"/>
  <c r="A11138" i="80"/>
  <c r="A11139" i="80"/>
  <c r="A11142" i="80"/>
  <c r="A11143" i="80"/>
  <c r="A11144" i="80"/>
  <c r="A11147" i="80"/>
  <c r="A11148" i="80"/>
  <c r="A11149" i="80"/>
  <c r="A11152" i="80"/>
  <c r="A11153" i="80"/>
  <c r="A11154" i="80"/>
  <c r="A11157" i="80"/>
  <c r="A11158" i="80"/>
  <c r="A11159" i="80"/>
  <c r="A11162" i="80"/>
  <c r="A11163" i="80"/>
  <c r="A11164" i="80"/>
  <c r="A11167" i="80"/>
  <c r="A11168" i="80"/>
  <c r="A11169" i="80"/>
  <c r="A11172" i="80"/>
  <c r="A11173" i="80"/>
  <c r="A11174" i="80"/>
  <c r="A11177" i="80"/>
  <c r="A11178" i="80"/>
  <c r="A11179" i="80"/>
  <c r="A11182" i="80"/>
  <c r="A11183" i="80"/>
  <c r="A11184" i="80"/>
  <c r="A11187" i="80"/>
  <c r="A11188" i="80"/>
  <c r="A11189" i="80"/>
  <c r="A11192" i="80"/>
  <c r="A11193" i="80"/>
  <c r="A11194" i="80"/>
  <c r="A11197" i="80"/>
  <c r="A11198" i="80"/>
  <c r="A11199" i="80"/>
  <c r="A11202" i="80"/>
  <c r="A11203" i="80"/>
  <c r="A11204" i="80"/>
  <c r="A11207" i="80"/>
  <c r="A11208" i="80"/>
  <c r="A11209" i="80"/>
  <c r="A11212" i="80"/>
  <c r="A11213" i="80"/>
  <c r="A11214" i="80"/>
  <c r="A11217" i="80"/>
  <c r="A11218" i="80"/>
  <c r="A11219" i="80"/>
  <c r="A11222" i="80"/>
  <c r="A11223" i="80"/>
  <c r="A11224" i="80"/>
  <c r="A11227" i="80"/>
  <c r="A11228" i="80"/>
  <c r="A11229" i="80"/>
  <c r="A11232" i="80"/>
  <c r="A11233" i="80"/>
  <c r="A11234" i="80"/>
  <c r="A11237" i="80"/>
  <c r="A11238" i="80"/>
  <c r="A11239" i="80"/>
  <c r="A11242" i="80"/>
  <c r="A11243" i="80"/>
  <c r="A11244" i="80"/>
  <c r="A11247" i="80"/>
  <c r="A11248" i="80"/>
  <c r="A11249" i="80"/>
  <c r="A11252" i="80"/>
  <c r="A11253" i="80"/>
  <c r="A11254" i="80"/>
  <c r="A11257" i="80"/>
  <c r="A11258" i="80"/>
  <c r="A11259" i="80"/>
  <c r="A11262" i="80"/>
  <c r="A11263" i="80"/>
  <c r="A11264" i="80"/>
  <c r="A11267" i="80"/>
  <c r="A11268" i="80"/>
  <c r="A11269" i="80"/>
  <c r="A11272" i="80"/>
  <c r="A11273" i="80"/>
  <c r="A11274" i="80"/>
  <c r="A11277" i="80"/>
  <c r="A11278" i="80"/>
  <c r="A11279" i="80"/>
  <c r="A11282" i="80"/>
  <c r="A11283" i="80"/>
  <c r="A11284" i="80"/>
  <c r="A11287" i="80"/>
  <c r="A11288" i="80"/>
  <c r="A11289" i="80"/>
  <c r="A11292" i="80"/>
  <c r="A11293" i="80"/>
  <c r="A11294" i="80"/>
  <c r="A11297" i="80"/>
  <c r="A11298" i="80"/>
  <c r="A11299" i="80"/>
  <c r="A11302" i="80"/>
  <c r="A11303" i="80"/>
  <c r="A11304" i="80"/>
  <c r="A11307" i="80"/>
  <c r="A11308" i="80"/>
  <c r="A11309" i="80"/>
  <c r="A11312" i="80"/>
  <c r="A11313" i="80"/>
  <c r="A11314" i="80"/>
  <c r="A11317" i="80"/>
  <c r="A11318" i="80"/>
  <c r="A11319" i="80"/>
  <c r="A11322" i="80"/>
  <c r="A11323" i="80"/>
  <c r="A11324" i="80"/>
  <c r="A11327" i="80"/>
  <c r="A11328" i="80"/>
  <c r="A11329" i="80"/>
  <c r="A11332" i="80"/>
  <c r="A11333" i="80"/>
  <c r="A11334" i="80"/>
  <c r="A11337" i="80"/>
  <c r="A11338" i="80"/>
  <c r="A11339" i="80"/>
  <c r="A11342" i="80"/>
  <c r="A11343" i="80"/>
  <c r="A11344" i="80"/>
  <c r="A11347" i="80"/>
  <c r="A11348" i="80"/>
  <c r="A11349" i="80"/>
  <c r="A11352" i="80"/>
  <c r="A11353" i="80"/>
  <c r="A11354" i="80"/>
  <c r="A11357" i="80"/>
  <c r="A11358" i="80"/>
  <c r="A11359" i="80"/>
  <c r="A11362" i="80"/>
  <c r="A11363" i="80"/>
  <c r="A11364" i="80"/>
  <c r="A11367" i="80"/>
  <c r="A11368" i="80"/>
  <c r="A11369" i="80"/>
  <c r="A11372" i="80"/>
  <c r="A11373" i="80"/>
  <c r="A11374" i="80"/>
  <c r="A11377" i="80"/>
  <c r="A11378" i="80"/>
  <c r="A11379" i="80"/>
  <c r="A11382" i="80"/>
  <c r="A11383" i="80"/>
  <c r="A11384" i="80"/>
  <c r="A11387" i="80"/>
  <c r="A11388" i="80"/>
  <c r="A11389" i="80"/>
  <c r="A11392" i="80"/>
  <c r="A11393" i="80"/>
  <c r="A11394" i="80"/>
  <c r="A11397" i="80"/>
  <c r="A11398" i="80"/>
  <c r="A11399" i="80"/>
  <c r="A11402" i="80"/>
  <c r="A11403" i="80"/>
  <c r="A11404" i="80"/>
  <c r="A11407" i="80"/>
  <c r="A11408" i="80"/>
  <c r="A11409" i="80"/>
  <c r="A11412" i="80"/>
  <c r="A11413" i="80"/>
  <c r="A11414" i="80"/>
  <c r="A11417" i="80"/>
  <c r="A11418" i="80"/>
  <c r="A11419" i="80"/>
  <c r="A11422" i="80"/>
  <c r="A11423" i="80"/>
  <c r="A11424" i="80"/>
  <c r="A11427" i="80"/>
  <c r="A11428" i="80"/>
  <c r="A11429" i="80"/>
  <c r="A11432" i="80"/>
  <c r="A11433" i="80"/>
  <c r="A11434" i="80"/>
  <c r="A11437" i="80"/>
  <c r="A11438" i="80"/>
  <c r="A11439" i="80"/>
  <c r="A11442" i="80"/>
  <c r="A11443" i="80"/>
  <c r="A11444" i="80"/>
  <c r="A11447" i="80"/>
  <c r="A11448" i="80"/>
  <c r="A11449" i="80"/>
  <c r="A11452" i="80"/>
  <c r="A11453" i="80"/>
  <c r="A11454" i="80"/>
  <c r="A11457" i="80"/>
  <c r="A11458" i="80"/>
  <c r="A11459" i="80"/>
  <c r="A11462" i="80"/>
  <c r="A11463" i="80"/>
  <c r="A11464" i="80"/>
  <c r="A11467" i="80"/>
  <c r="A11468" i="80"/>
  <c r="A11469" i="80"/>
  <c r="A11472" i="80"/>
  <c r="A11473" i="80"/>
  <c r="A11474" i="80"/>
  <c r="A11477" i="80"/>
  <c r="A11478" i="80"/>
  <c r="A11479" i="80"/>
  <c r="A11482" i="80"/>
  <c r="A11483" i="80"/>
  <c r="A11484" i="80"/>
  <c r="A11487" i="80"/>
  <c r="A11488" i="80"/>
  <c r="A11489" i="80"/>
  <c r="A11492" i="80"/>
  <c r="A11493" i="80"/>
  <c r="A11494" i="80"/>
  <c r="A11497" i="80"/>
  <c r="A11498" i="80"/>
  <c r="A11499" i="80"/>
  <c r="A11502" i="80"/>
  <c r="A11503" i="80"/>
  <c r="A11504" i="80"/>
  <c r="A11507" i="80"/>
  <c r="A11508" i="80"/>
  <c r="A11509" i="80"/>
  <c r="A11512" i="80"/>
  <c r="A11513" i="80"/>
  <c r="A11514" i="80"/>
  <c r="A11517" i="80"/>
  <c r="A11518" i="80"/>
  <c r="A11519" i="80"/>
  <c r="A11522" i="80"/>
  <c r="A11523" i="80"/>
  <c r="A11524" i="80"/>
  <c r="A11527" i="80"/>
  <c r="A11528" i="80"/>
  <c r="A11529" i="80"/>
  <c r="A11532" i="80"/>
  <c r="A11533" i="80"/>
  <c r="A11534" i="80"/>
  <c r="A11537" i="80"/>
  <c r="A11538" i="80"/>
  <c r="A11539" i="80"/>
  <c r="A11542" i="80"/>
  <c r="A11543" i="80"/>
  <c r="A11544" i="80"/>
  <c r="A11547" i="80"/>
  <c r="A11548" i="80"/>
  <c r="A11549" i="80"/>
  <c r="A11552" i="80"/>
  <c r="A11553" i="80"/>
  <c r="A11554" i="80"/>
  <c r="A11557" i="80"/>
  <c r="A11558" i="80"/>
  <c r="A11559" i="80"/>
  <c r="A11562" i="80"/>
  <c r="A11563" i="80"/>
  <c r="A11564" i="80"/>
  <c r="A11567" i="80"/>
  <c r="A11568" i="80"/>
  <c r="A11569" i="80"/>
  <c r="A11572" i="80"/>
  <c r="A11573" i="80"/>
  <c r="A11574" i="80"/>
  <c r="A11577" i="80"/>
  <c r="A11578" i="80"/>
  <c r="A11579" i="80"/>
  <c r="A11582" i="80"/>
  <c r="A11583" i="80"/>
  <c r="A11584" i="80"/>
  <c r="A11587" i="80"/>
  <c r="A11588" i="80"/>
  <c r="A11589" i="80"/>
  <c r="A11592" i="80"/>
  <c r="A11593" i="80"/>
  <c r="A11594" i="80"/>
  <c r="A11597" i="80"/>
  <c r="A11598" i="80"/>
  <c r="A11599" i="80"/>
  <c r="A11602" i="80"/>
  <c r="A11603" i="80"/>
  <c r="A11604" i="80"/>
  <c r="A11607" i="80"/>
  <c r="A11608" i="80"/>
  <c r="A11609" i="80"/>
  <c r="A11612" i="80"/>
  <c r="A11613" i="80"/>
  <c r="A11614" i="80"/>
  <c r="A11617" i="80"/>
  <c r="A11618" i="80"/>
  <c r="A11619" i="80"/>
  <c r="A11622" i="80"/>
  <c r="A11623" i="80"/>
  <c r="A11624" i="80"/>
  <c r="A11627" i="80"/>
  <c r="A11628" i="80"/>
  <c r="A11629" i="80"/>
  <c r="A11632" i="80"/>
  <c r="A11633" i="80"/>
  <c r="A11634" i="80"/>
  <c r="A11637" i="80"/>
  <c r="A11638" i="80"/>
  <c r="A11639" i="80"/>
  <c r="A11642" i="80"/>
  <c r="A11643" i="80"/>
  <c r="A11644" i="80"/>
  <c r="A11647" i="80"/>
  <c r="A11648" i="80"/>
  <c r="A11649" i="80"/>
  <c r="A11652" i="80"/>
  <c r="A11653" i="80"/>
  <c r="A11654" i="80"/>
  <c r="A11657" i="80"/>
  <c r="A11658" i="80"/>
  <c r="A11659" i="80"/>
  <c r="A11662" i="80"/>
  <c r="A11663" i="80"/>
  <c r="A11664" i="80"/>
  <c r="A11667" i="80"/>
  <c r="A11668" i="80"/>
  <c r="A11669" i="80"/>
  <c r="A11672" i="80"/>
  <c r="A11673" i="80"/>
  <c r="A11674" i="80"/>
  <c r="A11677" i="80"/>
  <c r="A11678" i="80"/>
  <c r="A11679" i="80"/>
  <c r="A11682" i="80"/>
  <c r="A11683" i="80"/>
  <c r="A11684" i="80"/>
  <c r="A11687" i="80"/>
  <c r="A11688" i="80"/>
  <c r="A11689" i="80"/>
  <c r="A11692" i="80"/>
  <c r="A11693" i="80"/>
  <c r="A11694" i="80"/>
  <c r="A11697" i="80"/>
  <c r="A11698" i="80"/>
  <c r="A11699" i="80"/>
  <c r="A11702" i="80"/>
  <c r="A11703" i="80"/>
  <c r="A11704" i="80"/>
  <c r="A11707" i="80"/>
  <c r="A11708" i="80"/>
  <c r="A11709" i="80"/>
  <c r="A11712" i="80"/>
  <c r="A11713" i="80"/>
  <c r="A11714" i="80"/>
  <c r="A11717" i="80"/>
  <c r="A11718" i="80"/>
  <c r="A11719" i="80"/>
  <c r="A11722" i="80"/>
  <c r="A11723" i="80"/>
  <c r="A11724" i="80"/>
  <c r="A11727" i="80"/>
  <c r="A11728" i="80"/>
  <c r="A11729" i="80"/>
  <c r="A11732" i="80"/>
  <c r="A11733" i="80"/>
  <c r="A11734" i="80"/>
  <c r="A11737" i="80"/>
  <c r="A11738" i="80"/>
  <c r="A11739" i="80"/>
  <c r="A11742" i="80"/>
  <c r="A11743" i="80"/>
  <c r="A11744" i="80"/>
  <c r="A11747" i="80"/>
  <c r="A11748" i="80"/>
  <c r="A11749" i="80"/>
  <c r="A11752" i="80"/>
  <c r="A11753" i="80"/>
  <c r="A11754" i="80"/>
  <c r="A11757" i="80"/>
  <c r="A11758" i="80"/>
  <c r="A11759" i="80"/>
  <c r="A11762" i="80"/>
  <c r="A11763" i="80"/>
  <c r="A11764" i="80"/>
  <c r="A11767" i="80"/>
  <c r="A11768" i="80"/>
  <c r="A11769" i="80"/>
  <c r="A11772" i="80"/>
  <c r="A11773" i="80"/>
  <c r="A11774" i="80"/>
  <c r="A11777" i="80"/>
  <c r="A11778" i="80"/>
  <c r="A11779" i="80"/>
  <c r="A11782" i="80"/>
  <c r="A11783" i="80"/>
  <c r="A11784" i="80"/>
  <c r="A11787" i="80"/>
  <c r="A11788" i="80"/>
  <c r="A11789" i="80"/>
  <c r="A11792" i="80"/>
  <c r="A11793" i="80"/>
  <c r="A11794" i="80"/>
  <c r="A11797" i="80"/>
  <c r="A11798" i="80"/>
  <c r="A11799" i="80"/>
  <c r="A11802" i="80"/>
  <c r="A11803" i="80"/>
  <c r="A11804" i="80"/>
  <c r="A11807" i="80"/>
  <c r="A11808" i="80"/>
  <c r="A11809" i="80"/>
  <c r="A11812" i="80"/>
  <c r="A11813" i="80"/>
  <c r="A11814" i="80"/>
  <c r="A11817" i="80"/>
  <c r="A11818" i="80"/>
  <c r="A11819" i="80"/>
  <c r="A11822" i="80"/>
  <c r="A11823" i="80"/>
  <c r="A11824" i="80"/>
  <c r="A11827" i="80"/>
  <c r="A11828" i="80"/>
  <c r="A11829" i="80"/>
  <c r="A11832" i="80"/>
  <c r="A11833" i="80"/>
  <c r="A11834" i="80"/>
  <c r="A11837" i="80"/>
  <c r="A11838" i="80"/>
  <c r="A11839" i="80"/>
  <c r="A11842" i="80"/>
  <c r="A11843" i="80"/>
  <c r="A11844" i="80"/>
  <c r="A11847" i="80"/>
  <c r="A11848" i="80"/>
  <c r="A11849" i="80"/>
  <c r="A11852" i="80"/>
  <c r="A11853" i="80"/>
  <c r="A11854" i="80"/>
  <c r="A11857" i="80"/>
  <c r="A11858" i="80"/>
  <c r="A11859" i="80"/>
  <c r="A11862" i="80"/>
  <c r="A11863" i="80"/>
  <c r="A11864" i="80"/>
  <c r="A11867" i="80"/>
  <c r="A11868" i="80"/>
  <c r="A11869" i="80"/>
  <c r="A11872" i="80"/>
  <c r="A11873" i="80"/>
  <c r="A11874" i="80"/>
  <c r="A11877" i="80"/>
  <c r="A11878" i="80"/>
  <c r="A11879" i="80"/>
  <c r="A11882" i="80"/>
  <c r="A11883" i="80"/>
  <c r="A11884" i="80"/>
  <c r="A11887" i="80"/>
  <c r="A11888" i="80"/>
  <c r="A11889" i="80"/>
  <c r="A11892" i="80"/>
  <c r="A11893" i="80"/>
  <c r="A11894" i="80"/>
  <c r="A11897" i="80"/>
  <c r="A11898" i="80"/>
  <c r="A11899" i="80"/>
  <c r="A11902" i="80"/>
  <c r="A11903" i="80"/>
  <c r="A11904" i="80"/>
  <c r="A11907" i="80"/>
  <c r="A11908" i="80"/>
  <c r="A11909" i="80"/>
  <c r="A11912" i="80"/>
  <c r="A11913" i="80"/>
  <c r="A11914" i="80"/>
  <c r="A11917" i="80"/>
  <c r="A11918" i="80"/>
  <c r="A11919" i="80"/>
  <c r="A11922" i="80"/>
  <c r="A11923" i="80"/>
  <c r="A11924" i="80"/>
  <c r="A11927" i="80"/>
  <c r="A11928" i="80"/>
  <c r="A11929" i="80"/>
  <c r="A11932" i="80"/>
  <c r="A11933" i="80"/>
  <c r="A11934" i="80"/>
  <c r="A11937" i="80"/>
  <c r="A11938" i="80"/>
  <c r="A11939" i="80"/>
  <c r="A11942" i="80"/>
  <c r="A11943" i="80"/>
  <c r="A11944" i="80"/>
  <c r="A11947" i="80"/>
  <c r="A11948" i="80"/>
  <c r="A11949" i="80"/>
  <c r="A11952" i="80"/>
  <c r="A11953" i="80"/>
  <c r="A11954" i="80"/>
  <c r="A11957" i="80"/>
  <c r="A11958" i="80"/>
  <c r="A11959" i="80"/>
  <c r="A11962" i="80"/>
  <c r="A11963" i="80"/>
  <c r="A11964" i="80"/>
  <c r="A11967" i="80"/>
  <c r="A11968" i="80"/>
  <c r="A11969" i="80"/>
  <c r="A11972" i="80"/>
  <c r="A11973" i="80"/>
  <c r="A11974" i="80"/>
  <c r="A11977" i="80"/>
  <c r="A11978" i="80"/>
  <c r="A11979" i="80"/>
  <c r="A11982" i="80"/>
  <c r="A11983" i="80"/>
  <c r="A11984" i="80"/>
  <c r="A11987" i="80"/>
  <c r="A11988" i="80"/>
  <c r="A11989" i="80"/>
  <c r="A11992" i="80"/>
  <c r="A11993" i="80"/>
  <c r="A11994" i="80"/>
  <c r="A11997" i="80"/>
  <c r="A11998" i="80"/>
  <c r="A11999" i="80"/>
  <c r="A12002" i="80"/>
  <c r="A12003" i="80"/>
  <c r="A12004" i="80"/>
  <c r="A12007" i="80"/>
  <c r="A12008" i="80"/>
  <c r="A12009" i="80"/>
  <c r="A12012" i="80"/>
  <c r="A12013" i="80"/>
  <c r="A12014" i="80"/>
  <c r="A12017" i="80"/>
  <c r="A12018" i="80"/>
  <c r="A12019" i="80"/>
  <c r="A12022" i="80"/>
  <c r="A12023" i="80"/>
  <c r="A12024" i="80"/>
  <c r="A12027" i="80"/>
  <c r="A12028" i="80"/>
  <c r="A12029" i="80"/>
  <c r="A12032" i="80"/>
  <c r="A12033" i="80"/>
  <c r="A12034" i="80"/>
  <c r="A12037" i="80"/>
  <c r="A12038" i="80"/>
  <c r="A12039" i="80"/>
  <c r="A12042" i="80"/>
  <c r="A12043" i="80"/>
  <c r="A12044" i="80"/>
  <c r="A12047" i="80"/>
  <c r="A12048" i="80"/>
  <c r="A12049" i="80"/>
  <c r="A12052" i="80"/>
  <c r="A12053" i="80"/>
  <c r="A12054" i="80"/>
  <c r="A12057" i="80"/>
  <c r="A12058" i="80"/>
  <c r="A12059" i="80"/>
  <c r="A12062" i="80"/>
  <c r="A12063" i="80"/>
  <c r="A12064" i="80"/>
  <c r="A12067" i="80"/>
  <c r="A12068" i="80"/>
  <c r="A12069" i="80"/>
  <c r="A12072" i="80"/>
  <c r="A12073" i="80"/>
  <c r="A12074" i="80"/>
  <c r="A12077" i="80"/>
  <c r="A12078" i="80"/>
  <c r="A12079" i="80"/>
  <c r="A12082" i="80"/>
  <c r="A12083" i="80"/>
  <c r="A12084" i="80"/>
  <c r="A12087" i="80"/>
  <c r="A12088" i="80"/>
  <c r="A12089" i="80"/>
  <c r="A12092" i="80"/>
  <c r="A12093" i="80"/>
  <c r="A12094" i="80"/>
  <c r="A12097" i="80"/>
  <c r="A12098" i="80"/>
  <c r="A12099" i="80"/>
  <c r="A12102" i="80"/>
  <c r="A12103" i="80"/>
  <c r="A12104" i="80"/>
  <c r="A12107" i="80"/>
  <c r="A12108" i="80"/>
  <c r="A12109" i="80"/>
  <c r="A12112" i="80"/>
  <c r="A12113" i="80"/>
  <c r="A12114" i="80"/>
  <c r="A12117" i="80"/>
  <c r="A12118" i="80"/>
  <c r="A12119" i="80"/>
  <c r="A12122" i="80"/>
  <c r="A12123" i="80"/>
  <c r="A12124" i="80"/>
  <c r="A12127" i="80"/>
  <c r="A12128" i="80"/>
  <c r="A12129" i="80"/>
  <c r="A12132" i="80"/>
  <c r="A12133" i="80"/>
  <c r="A12134" i="80"/>
  <c r="A12137" i="80"/>
  <c r="A12138" i="80"/>
  <c r="A12139" i="80"/>
  <c r="A12142" i="80"/>
  <c r="A12143" i="80"/>
  <c r="A12144" i="80"/>
  <c r="A12147" i="80"/>
  <c r="A12148" i="80"/>
  <c r="A12149" i="80"/>
  <c r="A12152" i="80"/>
  <c r="A12153" i="80"/>
  <c r="A12154" i="80"/>
  <c r="A12157" i="80"/>
  <c r="A12158" i="80"/>
  <c r="A12159" i="80"/>
  <c r="A12162" i="80"/>
  <c r="A12163" i="80"/>
  <c r="A12164" i="80"/>
  <c r="A12167" i="80"/>
  <c r="A12168" i="80"/>
  <c r="A12169" i="80"/>
  <c r="A12172" i="80"/>
  <c r="A12173" i="80"/>
  <c r="A12174" i="80"/>
  <c r="A12177" i="80"/>
  <c r="A12178" i="80"/>
  <c r="A12179" i="80"/>
  <c r="A12182" i="80"/>
  <c r="A12183" i="80"/>
  <c r="A12184" i="80"/>
  <c r="A12187" i="80"/>
  <c r="A12188" i="80"/>
  <c r="A12189" i="80"/>
  <c r="A12192" i="80"/>
  <c r="A12193" i="80"/>
  <c r="A12194" i="80"/>
  <c r="A12197" i="80"/>
  <c r="A12198" i="80"/>
  <c r="A12199" i="80"/>
  <c r="A12202" i="80"/>
  <c r="A12203" i="80"/>
  <c r="A12204" i="80"/>
  <c r="A12207" i="80"/>
  <c r="A12208" i="80"/>
  <c r="A12209" i="80"/>
  <c r="A12212" i="80"/>
  <c r="A12213" i="80"/>
  <c r="A12214" i="80"/>
  <c r="A12217" i="80"/>
  <c r="A12218" i="80"/>
  <c r="A12219" i="80"/>
  <c r="A12222" i="80"/>
  <c r="A12223" i="80"/>
  <c r="A12224" i="80"/>
  <c r="A12227" i="80"/>
  <c r="A12228" i="80"/>
  <c r="A12229" i="80"/>
  <c r="A12232" i="80"/>
  <c r="A12233" i="80"/>
  <c r="A12234" i="80"/>
  <c r="A12237" i="80"/>
  <c r="A12238" i="80"/>
  <c r="A12239" i="80"/>
  <c r="A12242" i="80"/>
  <c r="A12243" i="80"/>
  <c r="A12244" i="80"/>
  <c r="A12247" i="80"/>
  <c r="A12248" i="80"/>
  <c r="A12249" i="80"/>
  <c r="A12252" i="80"/>
  <c r="A12253" i="80"/>
  <c r="A12254" i="80"/>
  <c r="A12257" i="80"/>
  <c r="A12258" i="80"/>
  <c r="A12259" i="80"/>
  <c r="A12262" i="80"/>
  <c r="A12263" i="80"/>
  <c r="A12264" i="80"/>
  <c r="A12267" i="80"/>
  <c r="A12268" i="80"/>
  <c r="A12269" i="80"/>
  <c r="A12272" i="80"/>
  <c r="A12273" i="80"/>
  <c r="A12274" i="80"/>
  <c r="A12277" i="80"/>
  <c r="A12278" i="80"/>
  <c r="A12279" i="80"/>
  <c r="A12282" i="80"/>
  <c r="A12283" i="80"/>
  <c r="A12284" i="80"/>
  <c r="A12287" i="80"/>
  <c r="A12288" i="80"/>
  <c r="A12289" i="80"/>
  <c r="A12292" i="80"/>
  <c r="A12293" i="80"/>
  <c r="A12294" i="80"/>
  <c r="A12297" i="80"/>
  <c r="A12298" i="80"/>
  <c r="A12299" i="80"/>
  <c r="A12302" i="80"/>
  <c r="A12303" i="80"/>
  <c r="A12304" i="80"/>
  <c r="A12307" i="80"/>
  <c r="A12308" i="80"/>
  <c r="A12309" i="80"/>
  <c r="A12312" i="80"/>
  <c r="A12313" i="80"/>
  <c r="A12314" i="80"/>
  <c r="A12317" i="80"/>
  <c r="A12318" i="80"/>
  <c r="A12319" i="80"/>
  <c r="A12322" i="80"/>
  <c r="A12323" i="80"/>
  <c r="A12324" i="80"/>
  <c r="A12327" i="80"/>
  <c r="A12328" i="80"/>
  <c r="A12329" i="80"/>
  <c r="A12332" i="80"/>
  <c r="A12333" i="80"/>
  <c r="A12334" i="80"/>
  <c r="A12337" i="80"/>
  <c r="A12338" i="80"/>
  <c r="A12339" i="80"/>
  <c r="A12342" i="80"/>
  <c r="A12343" i="80"/>
  <c r="A12344" i="80"/>
  <c r="A12347" i="80"/>
  <c r="A12348" i="80"/>
  <c r="A12349" i="80"/>
  <c r="A12352" i="80"/>
  <c r="A12353" i="80"/>
  <c r="A12354" i="80"/>
  <c r="A12357" i="80"/>
  <c r="A12358" i="80"/>
  <c r="A12359" i="80"/>
  <c r="A12362" i="80"/>
  <c r="A12363" i="80"/>
  <c r="A12364" i="80"/>
  <c r="A12367" i="80"/>
  <c r="A12368" i="80"/>
  <c r="A12369" i="80"/>
  <c r="A12372" i="80"/>
  <c r="A12373" i="80"/>
  <c r="A12374" i="80"/>
  <c r="A12377" i="80"/>
  <c r="A12378" i="80"/>
  <c r="A12379" i="80"/>
  <c r="A12382" i="80"/>
  <c r="A12383" i="80"/>
  <c r="A12384" i="80"/>
  <c r="A12387" i="80"/>
  <c r="A12388" i="80"/>
  <c r="A12389" i="80"/>
  <c r="A12392" i="80"/>
  <c r="A12393" i="80"/>
  <c r="A12394" i="80"/>
  <c r="A12397" i="80"/>
  <c r="A12398" i="80"/>
  <c r="A12399" i="80"/>
  <c r="A12402" i="80"/>
  <c r="A12403" i="80"/>
  <c r="A12404" i="80"/>
  <c r="A12407" i="80"/>
  <c r="A12408" i="80"/>
  <c r="A12409" i="80"/>
  <c r="A12412" i="80"/>
  <c r="A12413" i="80"/>
  <c r="A12414" i="80"/>
  <c r="A12417" i="80"/>
  <c r="A12418" i="80"/>
  <c r="A12419" i="80"/>
  <c r="A12422" i="80"/>
  <c r="A12423" i="80"/>
  <c r="A12424" i="80"/>
  <c r="A12427" i="80"/>
  <c r="A12428" i="80"/>
  <c r="A12429" i="80"/>
  <c r="A12432" i="80"/>
  <c r="A12433" i="80"/>
  <c r="A12434" i="80"/>
  <c r="A12437" i="80"/>
  <c r="A12438" i="80"/>
  <c r="A12439" i="80"/>
  <c r="A12442" i="80"/>
  <c r="A12443" i="80"/>
  <c r="A12444" i="80"/>
  <c r="A12447" i="80"/>
  <c r="A12448" i="80"/>
  <c r="A12449" i="80"/>
  <c r="A12452" i="80"/>
  <c r="A12453" i="80"/>
  <c r="A12454" i="80"/>
  <c r="A12457" i="80"/>
  <c r="A12458" i="80"/>
  <c r="A12459" i="80"/>
  <c r="A12462" i="80"/>
  <c r="A12463" i="80"/>
  <c r="A12464" i="80"/>
  <c r="A12467" i="80"/>
  <c r="A12468" i="80"/>
  <c r="A12469" i="80"/>
  <c r="A12472" i="80"/>
  <c r="A12473" i="80"/>
  <c r="A12474" i="80"/>
  <c r="A12477" i="80"/>
  <c r="A12478" i="80"/>
  <c r="A12479" i="80"/>
  <c r="A12482" i="80"/>
  <c r="A12483" i="80"/>
  <c r="A12484" i="80"/>
  <c r="A12487" i="80"/>
  <c r="A12488" i="80"/>
  <c r="A12489" i="80"/>
  <c r="A12492" i="80"/>
  <c r="A12493" i="80"/>
  <c r="A12494" i="80"/>
  <c r="A12497" i="80"/>
  <c r="A12498" i="80"/>
  <c r="A12499" i="80"/>
  <c r="A12502" i="80"/>
  <c r="A12503" i="80"/>
  <c r="A12504" i="80"/>
  <c r="A12507" i="80"/>
  <c r="A12508" i="80"/>
  <c r="A12509" i="80"/>
  <c r="A12512" i="80"/>
  <c r="A12513" i="80"/>
  <c r="A12514" i="80"/>
  <c r="A12517" i="80"/>
  <c r="A12518" i="80"/>
  <c r="A12519" i="80"/>
  <c r="A12522" i="80"/>
  <c r="A12523" i="80"/>
  <c r="A12524" i="80"/>
  <c r="A12527" i="80"/>
  <c r="A12528" i="80"/>
  <c r="A12529" i="80"/>
  <c r="A12532" i="80"/>
  <c r="A12533" i="80"/>
  <c r="A12534" i="80"/>
  <c r="A12537" i="80"/>
  <c r="A12538" i="80"/>
  <c r="A12539" i="80"/>
  <c r="A12542" i="80"/>
  <c r="A12543" i="80"/>
  <c r="A12544" i="80"/>
  <c r="A12547" i="80"/>
  <c r="A12548" i="80"/>
  <c r="A12549" i="80"/>
  <c r="A12552" i="80"/>
  <c r="A12553" i="80"/>
  <c r="A12554" i="80"/>
  <c r="A12557" i="80"/>
  <c r="A12558" i="80"/>
  <c r="A12559" i="80"/>
  <c r="A12562" i="80"/>
  <c r="A12563" i="80"/>
  <c r="A12564" i="80"/>
  <c r="A12567" i="80"/>
  <c r="A12568" i="80"/>
  <c r="A12569" i="80"/>
  <c r="A12572" i="80"/>
  <c r="A12573" i="80"/>
  <c r="A12574" i="80"/>
  <c r="A12577" i="80"/>
  <c r="A12578" i="80"/>
  <c r="A12579" i="80"/>
  <c r="A12582" i="80"/>
  <c r="A12583" i="80"/>
  <c r="A12584" i="80"/>
  <c r="A12587" i="80"/>
  <c r="A12588" i="80"/>
  <c r="A12589" i="80"/>
  <c r="A12592" i="80"/>
  <c r="A12593" i="80"/>
  <c r="A12594" i="80"/>
  <c r="A12597" i="80"/>
  <c r="A12598" i="80"/>
  <c r="A12599" i="80"/>
  <c r="A12602" i="80"/>
  <c r="A12603" i="80"/>
  <c r="A12604" i="80"/>
  <c r="A12607" i="80"/>
  <c r="A12608" i="80"/>
  <c r="A12609" i="80"/>
  <c r="A12612" i="80"/>
  <c r="A12613" i="80"/>
  <c r="A12614" i="80"/>
  <c r="A12617" i="80"/>
  <c r="A12618" i="80"/>
  <c r="A12619" i="80"/>
  <c r="A12622" i="80"/>
  <c r="A12623" i="80"/>
  <c r="A12624" i="80"/>
  <c r="A12627" i="80"/>
  <c r="A12628" i="80"/>
  <c r="A12629" i="80"/>
  <c r="A12632" i="80"/>
  <c r="A12633" i="80"/>
  <c r="A12634" i="80"/>
  <c r="A12637" i="80"/>
  <c r="A12638" i="80"/>
  <c r="A12639" i="80"/>
  <c r="A12642" i="80"/>
  <c r="A12643" i="80"/>
  <c r="A12644" i="80"/>
  <c r="A12647" i="80"/>
  <c r="A12648" i="80"/>
  <c r="A12649" i="80"/>
  <c r="A12652" i="80"/>
  <c r="A12653" i="80"/>
  <c r="A12654" i="80"/>
  <c r="A12657" i="80"/>
  <c r="A12658" i="80"/>
  <c r="A12659" i="80"/>
  <c r="A12662" i="80"/>
  <c r="A12663" i="80"/>
  <c r="A12664" i="80"/>
  <c r="A12667" i="80"/>
  <c r="A12668" i="80"/>
  <c r="A12669" i="80"/>
  <c r="A12672" i="80"/>
  <c r="A12673" i="80"/>
  <c r="A12674" i="80"/>
  <c r="A12677" i="80"/>
  <c r="A12678" i="80"/>
  <c r="A12679" i="80"/>
  <c r="A12682" i="80"/>
  <c r="A12683" i="80"/>
  <c r="A12684" i="80"/>
  <c r="A12687" i="80"/>
  <c r="A12688" i="80"/>
  <c r="A12689" i="80"/>
  <c r="A12692" i="80"/>
  <c r="A12693" i="80"/>
  <c r="A12694" i="80"/>
  <c r="A12697" i="80"/>
  <c r="A12698" i="80"/>
  <c r="A12699" i="80"/>
  <c r="A12702" i="80"/>
  <c r="A12703" i="80"/>
  <c r="A12704" i="80"/>
  <c r="A12707" i="80"/>
  <c r="A12708" i="80"/>
  <c r="A12709" i="80"/>
  <c r="A12712" i="80"/>
  <c r="A12713" i="80"/>
  <c r="A12714" i="80"/>
  <c r="A12717" i="80"/>
  <c r="A12718" i="80"/>
  <c r="A12719" i="80"/>
  <c r="A12722" i="80"/>
  <c r="A12723" i="80"/>
  <c r="A12724" i="80"/>
  <c r="A12727" i="80"/>
  <c r="A12728" i="80"/>
  <c r="A12729" i="80"/>
  <c r="A12732" i="80"/>
  <c r="A12733" i="80"/>
  <c r="A12734" i="80"/>
  <c r="A12737" i="80"/>
  <c r="A12738" i="80"/>
  <c r="A12739" i="80"/>
  <c r="A12742" i="80"/>
  <c r="A12743" i="80"/>
  <c r="A12744" i="80"/>
  <c r="A12747" i="80"/>
  <c r="A12748" i="80"/>
  <c r="A12749" i="80"/>
  <c r="A12752" i="80"/>
  <c r="A12753" i="80"/>
  <c r="A12754" i="80"/>
  <c r="A12757" i="80"/>
  <c r="A12758" i="80"/>
  <c r="A12759" i="80"/>
  <c r="A12762" i="80"/>
  <c r="A12763" i="80"/>
  <c r="A12764" i="80"/>
  <c r="A12767" i="80"/>
  <c r="A12768" i="80"/>
  <c r="A12769" i="80"/>
  <c r="A12772" i="80"/>
  <c r="A12773" i="80"/>
  <c r="A12774" i="80"/>
  <c r="A12777" i="80"/>
  <c r="A12778" i="80"/>
  <c r="A12779" i="80"/>
  <c r="A12782" i="80"/>
  <c r="A12783" i="80"/>
  <c r="A12784" i="80"/>
  <c r="A12787" i="80"/>
  <c r="A12788" i="80"/>
  <c r="A12789" i="80"/>
  <c r="A12792" i="80"/>
  <c r="A12793" i="80"/>
  <c r="A12794" i="80"/>
  <c r="A12797" i="80"/>
  <c r="A12798" i="80"/>
  <c r="A12799" i="80"/>
  <c r="A12802" i="80"/>
  <c r="A12803" i="80"/>
  <c r="A12804" i="80"/>
  <c r="A12807" i="80"/>
  <c r="A12808" i="80"/>
  <c r="A12809" i="80"/>
  <c r="A12812" i="80"/>
  <c r="A12813" i="80"/>
  <c r="A12814" i="80"/>
  <c r="A12817" i="80"/>
  <c r="A12818" i="80"/>
  <c r="A12819" i="80"/>
  <c r="A12822" i="80"/>
  <c r="A12823" i="80"/>
  <c r="A12824" i="80"/>
  <c r="A12827" i="80"/>
  <c r="A12828" i="80"/>
  <c r="A12829" i="80"/>
  <c r="A12832" i="80"/>
  <c r="A12833" i="80"/>
  <c r="A12834" i="80"/>
  <c r="A12837" i="80"/>
  <c r="A12838" i="80"/>
  <c r="A12839" i="80"/>
  <c r="A12842" i="80"/>
  <c r="A12843" i="80"/>
  <c r="A12844" i="80"/>
  <c r="A12847" i="80"/>
  <c r="A12848" i="80"/>
  <c r="A12849" i="80"/>
  <c r="A12852" i="80"/>
  <c r="A12853" i="80"/>
  <c r="A12854" i="80"/>
  <c r="A12857" i="80"/>
  <c r="A12858" i="80"/>
  <c r="A12859" i="80"/>
  <c r="A12862" i="80"/>
  <c r="A12863" i="80"/>
  <c r="A12864" i="80"/>
  <c r="A12867" i="80"/>
  <c r="A12868" i="80"/>
  <c r="A12869" i="80"/>
  <c r="A12872" i="80"/>
  <c r="A12873" i="80"/>
  <c r="A12874" i="80"/>
  <c r="A12877" i="80"/>
  <c r="A12878" i="80"/>
  <c r="A12879" i="80"/>
  <c r="A12882" i="80"/>
  <c r="A12883" i="80"/>
  <c r="A12884" i="80"/>
  <c r="A12887" i="80"/>
  <c r="A12888" i="80"/>
  <c r="A12889" i="80"/>
  <c r="A12892" i="80"/>
  <c r="A12893" i="80"/>
  <c r="A12894" i="80"/>
  <c r="A12897" i="80"/>
  <c r="A12898" i="80"/>
  <c r="A12899" i="80"/>
  <c r="A12902" i="80"/>
  <c r="A12903" i="80"/>
  <c r="A12904" i="80"/>
  <c r="A12907" i="80"/>
  <c r="A12908" i="80"/>
  <c r="A12909" i="80"/>
  <c r="A12912" i="80"/>
  <c r="A12913" i="80"/>
  <c r="A12914" i="80"/>
  <c r="A12917" i="80"/>
  <c r="A12918" i="80"/>
  <c r="A12919" i="80"/>
  <c r="A12922" i="80"/>
  <c r="A12923" i="80"/>
  <c r="A12924" i="80"/>
  <c r="A12927" i="80"/>
  <c r="A12928" i="80"/>
  <c r="A12929" i="80"/>
  <c r="A12932" i="80"/>
  <c r="A12933" i="80"/>
  <c r="A12934" i="80"/>
  <c r="A12937" i="80"/>
  <c r="A12938" i="80"/>
  <c r="A12939" i="80"/>
  <c r="A12942" i="80"/>
  <c r="A12943" i="80"/>
  <c r="A12944" i="80"/>
  <c r="A12947" i="80"/>
  <c r="A12948" i="80"/>
  <c r="A12949" i="80"/>
  <c r="A12952" i="80"/>
  <c r="A12953" i="80"/>
  <c r="A12954" i="80"/>
  <c r="A12957" i="80"/>
  <c r="A12958" i="80"/>
  <c r="A12959" i="80"/>
  <c r="A12962" i="80"/>
  <c r="A12963" i="80"/>
  <c r="A12964" i="80"/>
  <c r="A12967" i="80"/>
  <c r="A12968" i="80"/>
  <c r="A12969" i="80"/>
  <c r="A12972" i="80"/>
  <c r="A12973" i="80"/>
  <c r="A12974" i="80"/>
  <c r="A12977" i="80"/>
  <c r="A12978" i="80"/>
  <c r="A12979" i="80"/>
  <c r="A12982" i="80"/>
  <c r="A12983" i="80"/>
  <c r="A12984" i="80"/>
  <c r="A12987" i="80"/>
  <c r="A12988" i="80"/>
  <c r="A12989" i="80"/>
  <c r="A12992" i="80"/>
  <c r="A12993" i="80"/>
  <c r="A12994" i="80"/>
  <c r="A12997" i="80"/>
  <c r="A12998" i="80"/>
  <c r="A12999" i="80"/>
  <c r="A13002" i="80"/>
  <c r="A13003" i="80"/>
  <c r="A13004" i="80"/>
  <c r="A13007" i="80"/>
  <c r="A13008" i="80"/>
  <c r="A13009" i="80"/>
  <c r="A13012" i="80"/>
  <c r="A13013" i="80"/>
  <c r="A13014" i="80"/>
  <c r="A13017" i="80"/>
  <c r="A13018" i="80"/>
  <c r="A13019" i="80"/>
  <c r="A13022" i="80"/>
  <c r="A13023" i="80"/>
  <c r="A13024" i="80"/>
  <c r="A13027" i="80"/>
  <c r="A13028" i="80"/>
  <c r="A13029" i="80"/>
  <c r="A13032" i="80"/>
  <c r="A13033" i="80"/>
  <c r="A13034" i="80"/>
  <c r="A13037" i="80"/>
  <c r="A13038" i="80"/>
  <c r="A13039" i="80"/>
  <c r="A13042" i="80"/>
  <c r="A13043" i="80"/>
  <c r="A13044" i="80"/>
  <c r="A13047" i="80"/>
  <c r="A13048" i="80"/>
  <c r="A13049" i="80"/>
  <c r="A13052" i="80"/>
  <c r="A13053" i="80"/>
  <c r="A13054" i="80"/>
  <c r="A13057" i="80"/>
  <c r="A13058" i="80"/>
  <c r="A13059" i="80"/>
  <c r="A13062" i="80"/>
  <c r="A13063" i="80"/>
  <c r="A13064" i="80"/>
  <c r="A13067" i="80"/>
  <c r="A13068" i="80"/>
  <c r="A13069" i="80"/>
  <c r="A13072" i="80"/>
  <c r="A13073" i="80"/>
  <c r="A13074" i="80"/>
  <c r="A13077" i="80"/>
  <c r="A13078" i="80"/>
  <c r="A13079" i="80"/>
  <c r="A13082" i="80"/>
  <c r="A13083" i="80"/>
  <c r="A13084" i="80"/>
  <c r="A13087" i="80"/>
  <c r="A13088" i="80"/>
  <c r="A13089" i="80"/>
  <c r="A13092" i="80"/>
  <c r="A13093" i="80"/>
  <c r="A13094" i="80"/>
  <c r="A13097" i="80"/>
  <c r="A13098" i="80"/>
  <c r="A13099" i="80"/>
  <c r="A13102" i="80"/>
  <c r="A13103" i="80"/>
  <c r="A13104" i="80"/>
  <c r="A13107" i="80"/>
  <c r="A13108" i="80"/>
  <c r="A13109" i="80"/>
  <c r="A13112" i="80"/>
  <c r="A13113" i="80"/>
  <c r="A13114" i="80"/>
  <c r="A13117" i="80"/>
  <c r="A13118" i="80"/>
  <c r="A13119" i="80"/>
  <c r="A13122" i="80"/>
  <c r="A13123" i="80"/>
  <c r="A13124" i="80"/>
  <c r="A13127" i="80"/>
  <c r="A13128" i="80"/>
  <c r="A13129" i="80"/>
  <c r="A13132" i="80"/>
  <c r="A13133" i="80"/>
  <c r="A13134" i="80"/>
  <c r="A13137" i="80"/>
  <c r="A13138" i="80"/>
  <c r="A13139" i="80"/>
  <c r="A13142" i="80"/>
  <c r="A13143" i="80"/>
  <c r="A13144" i="80"/>
  <c r="A13147" i="80"/>
  <c r="A13148" i="80"/>
  <c r="A13149" i="80"/>
  <c r="A13152" i="80"/>
  <c r="A13153" i="80"/>
  <c r="A13154" i="80"/>
  <c r="A13157" i="80"/>
  <c r="A13158" i="80"/>
  <c r="A13159" i="80"/>
  <c r="A13162" i="80"/>
  <c r="A13163" i="80"/>
  <c r="A13164" i="80"/>
  <c r="A13167" i="80"/>
  <c r="A13168" i="80"/>
  <c r="A13169" i="80"/>
  <c r="A13172" i="80"/>
  <c r="A13173" i="80"/>
  <c r="A13174" i="80"/>
  <c r="A13177" i="80"/>
  <c r="A13178" i="80"/>
  <c r="A13179" i="80"/>
  <c r="A13182" i="80"/>
  <c r="A13183" i="80"/>
  <c r="A13184" i="80"/>
  <c r="A13187" i="80"/>
  <c r="A13188" i="80"/>
  <c r="A13189" i="80"/>
  <c r="A13192" i="80"/>
  <c r="A13193" i="80"/>
  <c r="A13194" i="80"/>
  <c r="A13197" i="80"/>
  <c r="A13198" i="80"/>
  <c r="A13199" i="80"/>
  <c r="A13202" i="80"/>
  <c r="A13203" i="80"/>
  <c r="A13204" i="80"/>
  <c r="A13207" i="80"/>
  <c r="A13208" i="80"/>
  <c r="A13209" i="80"/>
  <c r="A13212" i="80"/>
  <c r="A13213" i="80"/>
  <c r="A13214" i="80"/>
  <c r="A13217" i="80"/>
  <c r="A13218" i="80"/>
  <c r="A13219" i="80"/>
  <c r="A13222" i="80"/>
  <c r="A13223" i="80"/>
  <c r="A13224" i="80"/>
  <c r="A13227" i="80"/>
  <c r="A13228" i="80"/>
  <c r="A13229" i="80"/>
  <c r="A13232" i="80"/>
  <c r="A13233" i="80"/>
  <c r="A13234" i="80"/>
  <c r="A13237" i="80"/>
  <c r="A13238" i="80"/>
  <c r="A13239" i="80"/>
  <c r="A13242" i="80"/>
  <c r="A13243" i="80"/>
  <c r="A13244" i="80"/>
  <c r="A13247" i="80"/>
  <c r="A13248" i="80"/>
  <c r="A13249" i="80"/>
  <c r="A13252" i="80"/>
  <c r="A13253" i="80"/>
  <c r="A13254" i="80"/>
  <c r="A13257" i="80"/>
  <c r="A13258" i="80"/>
  <c r="A13259" i="80"/>
  <c r="A13262" i="80"/>
  <c r="A13263" i="80"/>
  <c r="A13264" i="80"/>
  <c r="A13267" i="80"/>
  <c r="A13268" i="80"/>
  <c r="A13269" i="80"/>
  <c r="A13272" i="80"/>
  <c r="A13273" i="80"/>
  <c r="A13274" i="80"/>
  <c r="A13277" i="80"/>
  <c r="A13278" i="80"/>
  <c r="A13279" i="80"/>
  <c r="A13282" i="80"/>
  <c r="A13283" i="80"/>
  <c r="A13284" i="80"/>
  <c r="A13287" i="80"/>
  <c r="A13288" i="80"/>
  <c r="A13289" i="80"/>
  <c r="A13292" i="80"/>
  <c r="A13293" i="80"/>
  <c r="A13294" i="80"/>
  <c r="A13297" i="80"/>
  <c r="A13298" i="80"/>
  <c r="A13299" i="80"/>
  <c r="A13302" i="80"/>
  <c r="A13303" i="80"/>
  <c r="A13304" i="80"/>
  <c r="A13307" i="80"/>
  <c r="A13308" i="80"/>
  <c r="A13309" i="80"/>
  <c r="A13312" i="80"/>
  <c r="A13313" i="80"/>
  <c r="A13314" i="80"/>
  <c r="A13317" i="80"/>
  <c r="A13318" i="80"/>
  <c r="A13319" i="80"/>
  <c r="A13322" i="80"/>
  <c r="A13323" i="80"/>
  <c r="A13324" i="80"/>
  <c r="A13327" i="80"/>
  <c r="A13328" i="80"/>
  <c r="A13329" i="80"/>
  <c r="A13332" i="80"/>
  <c r="A13333" i="80"/>
  <c r="A13334" i="80"/>
  <c r="A13337" i="80"/>
  <c r="A13338" i="80"/>
  <c r="A13339" i="80"/>
  <c r="A13342" i="80"/>
  <c r="A13343" i="80"/>
  <c r="A13344" i="80"/>
  <c r="A13347" i="80"/>
  <c r="A13348" i="80"/>
  <c r="A13349" i="80"/>
  <c r="A13352" i="80"/>
  <c r="A13353" i="80"/>
  <c r="A13354" i="80"/>
  <c r="A13357" i="80"/>
  <c r="A13358" i="80"/>
  <c r="A13359" i="80"/>
  <c r="A13362" i="80"/>
  <c r="A13363" i="80"/>
  <c r="A13364" i="80"/>
  <c r="A13367" i="80"/>
  <c r="A13368" i="80"/>
  <c r="A13369" i="80"/>
  <c r="A13372" i="80"/>
  <c r="A13373" i="80"/>
  <c r="A13374" i="80"/>
  <c r="A13377" i="80"/>
  <c r="A13378" i="80"/>
  <c r="A13379" i="80"/>
  <c r="A13382" i="80"/>
  <c r="A13383" i="80"/>
  <c r="A13384" i="80"/>
  <c r="A13387" i="80"/>
  <c r="A13388" i="80"/>
  <c r="A13389" i="80"/>
  <c r="A13392" i="80"/>
  <c r="A13393" i="80"/>
  <c r="A13394" i="80"/>
  <c r="A13397" i="80"/>
  <c r="A13398" i="80"/>
  <c r="A13399" i="80"/>
  <c r="A13402" i="80"/>
  <c r="A13403" i="80"/>
  <c r="A13404" i="80"/>
  <c r="A13407" i="80"/>
  <c r="A13408" i="80"/>
  <c r="A13409" i="80"/>
  <c r="A13412" i="80"/>
  <c r="A13413" i="80"/>
  <c r="A13414" i="80"/>
  <c r="A13417" i="80"/>
  <c r="A13418" i="80"/>
  <c r="A13419" i="80"/>
  <c r="A13422" i="80"/>
  <c r="A13423" i="80"/>
  <c r="A13424" i="80"/>
  <c r="A13427" i="80"/>
  <c r="A13428" i="80"/>
  <c r="A13429" i="80"/>
  <c r="A13432" i="80"/>
  <c r="A13433" i="80"/>
  <c r="A13434" i="80"/>
  <c r="A13437" i="80"/>
  <c r="A13438" i="80"/>
  <c r="A13439" i="80"/>
  <c r="A13442" i="80"/>
  <c r="A13443" i="80"/>
  <c r="A13444" i="80"/>
  <c r="A13447" i="80"/>
  <c r="A13448" i="80"/>
  <c r="A13449" i="80"/>
  <c r="A13452" i="80"/>
  <c r="A13453" i="80"/>
  <c r="A13454" i="80"/>
  <c r="A13457" i="80"/>
  <c r="A13458" i="80"/>
  <c r="A13459" i="80"/>
  <c r="A13462" i="80"/>
  <c r="A13463" i="80"/>
  <c r="A13464" i="80"/>
  <c r="A13467" i="80"/>
  <c r="A13468" i="80"/>
  <c r="A13469" i="80"/>
  <c r="A13472" i="80"/>
  <c r="A13473" i="80"/>
  <c r="A13474" i="80"/>
  <c r="A13477" i="80"/>
  <c r="A13478" i="80"/>
  <c r="A13479" i="80"/>
  <c r="A13482" i="80"/>
  <c r="A13483" i="80"/>
  <c r="A13484" i="80"/>
  <c r="A13487" i="80"/>
  <c r="A13488" i="80"/>
  <c r="A13489" i="80"/>
  <c r="A13492" i="80"/>
  <c r="A13493" i="80"/>
  <c r="A13494" i="80"/>
  <c r="A13497" i="80"/>
  <c r="A13498" i="80"/>
  <c r="A13499" i="80"/>
  <c r="A13502" i="80"/>
  <c r="A13503" i="80"/>
  <c r="A13504" i="80"/>
  <c r="A13507" i="80"/>
  <c r="A13508" i="80"/>
  <c r="A13509" i="80"/>
  <c r="A13512" i="80"/>
  <c r="A13513" i="80"/>
  <c r="A13514" i="80"/>
  <c r="A13517" i="80"/>
  <c r="A13518" i="80"/>
  <c r="A13519" i="80"/>
  <c r="A13522" i="80"/>
  <c r="A13523" i="80"/>
  <c r="A13524" i="80"/>
  <c r="A13527" i="80"/>
  <c r="A13528" i="80"/>
  <c r="A13529" i="80"/>
  <c r="A13532" i="80"/>
  <c r="A13533" i="80"/>
  <c r="A13534" i="80"/>
  <c r="A13537" i="80"/>
  <c r="A13538" i="80"/>
  <c r="A13539" i="80"/>
  <c r="A13542" i="80"/>
  <c r="A13543" i="80"/>
  <c r="A13544" i="80"/>
  <c r="A13547" i="80"/>
  <c r="A13548" i="80"/>
  <c r="A13549" i="80"/>
  <c r="A13552" i="80"/>
  <c r="A13553" i="80"/>
  <c r="A13554" i="80"/>
  <c r="A13557" i="80"/>
  <c r="A13558" i="80"/>
  <c r="A13559" i="80"/>
  <c r="A13562" i="80"/>
  <c r="A13563" i="80"/>
  <c r="A13564" i="80"/>
  <c r="A13567" i="80"/>
  <c r="A13568" i="80"/>
  <c r="A13569" i="80"/>
  <c r="A13572" i="80"/>
  <c r="A13573" i="80"/>
  <c r="A13574" i="80"/>
  <c r="A13577" i="80"/>
  <c r="A13578" i="80"/>
  <c r="A13579" i="80"/>
  <c r="A13582" i="80"/>
  <c r="A13583" i="80"/>
  <c r="A13584" i="80"/>
  <c r="A13587" i="80"/>
  <c r="A13588" i="80"/>
  <c r="A13589" i="80"/>
  <c r="A13592" i="80"/>
  <c r="A13593" i="80"/>
  <c r="A13594" i="80"/>
  <c r="A13597" i="80"/>
  <c r="A13598" i="80"/>
  <c r="A13599" i="80"/>
  <c r="A13602" i="80"/>
  <c r="A13603" i="80"/>
  <c r="A13604" i="80"/>
  <c r="A13607" i="80"/>
  <c r="A13608" i="80"/>
  <c r="A13609" i="80"/>
  <c r="A13612" i="80"/>
  <c r="A13613" i="80"/>
  <c r="A13614" i="80"/>
  <c r="A13617" i="80"/>
  <c r="A13618" i="80"/>
  <c r="A13619" i="80"/>
  <c r="A13622" i="80"/>
  <c r="A13623" i="80"/>
  <c r="A13624" i="80"/>
  <c r="A13627" i="80"/>
  <c r="A13628" i="80"/>
  <c r="A13629" i="80"/>
  <c r="A13632" i="80"/>
  <c r="A13633" i="80"/>
  <c r="A13634" i="80"/>
  <c r="A13637" i="80"/>
  <c r="A13638" i="80"/>
  <c r="A13639" i="80"/>
  <c r="A13642" i="80"/>
  <c r="A13643" i="80"/>
  <c r="A13644" i="80"/>
  <c r="A13647" i="80"/>
  <c r="A13648" i="80"/>
  <c r="A13649" i="80"/>
  <c r="A13652" i="80"/>
  <c r="A13653" i="80"/>
  <c r="A13654" i="80"/>
  <c r="A13657" i="80"/>
  <c r="A13658" i="80"/>
  <c r="A13659" i="80"/>
  <c r="A13662" i="80"/>
  <c r="A13663" i="80"/>
  <c r="A13664" i="80"/>
  <c r="A13667" i="80"/>
  <c r="A13668" i="80"/>
  <c r="A13669" i="80"/>
  <c r="A13672" i="80"/>
  <c r="A13673" i="80"/>
  <c r="A13674" i="80"/>
  <c r="A13677" i="80"/>
  <c r="A13678" i="80"/>
  <c r="A13679" i="80"/>
  <c r="A13682" i="80"/>
  <c r="A13683" i="80"/>
  <c r="A13684" i="80"/>
  <c r="A13687" i="80"/>
  <c r="A13688" i="80"/>
  <c r="A13689" i="80"/>
  <c r="A13692" i="80"/>
  <c r="A13693" i="80"/>
  <c r="A13694" i="80"/>
  <c r="A13697" i="80"/>
  <c r="A13698" i="80"/>
  <c r="A13699" i="80"/>
  <c r="A13702" i="80"/>
  <c r="A13703" i="80"/>
  <c r="A13704" i="80"/>
  <c r="A13707" i="80"/>
  <c r="A13708" i="80"/>
  <c r="A13709" i="80"/>
  <c r="A13712" i="80"/>
  <c r="A13713" i="80"/>
  <c r="A13714" i="80"/>
  <c r="A13717" i="80"/>
  <c r="A13718" i="80"/>
  <c r="A13719" i="80"/>
  <c r="A13722" i="80"/>
  <c r="A13723" i="80"/>
  <c r="A13724" i="80"/>
  <c r="A13727" i="80"/>
  <c r="A13728" i="80"/>
  <c r="A13729" i="80"/>
  <c r="A13732" i="80"/>
  <c r="A13733" i="80"/>
  <c r="A13734" i="80"/>
  <c r="A13737" i="80"/>
  <c r="A13738" i="80"/>
  <c r="A13739" i="80"/>
  <c r="A13742" i="80"/>
  <c r="A13743" i="80"/>
  <c r="A13744" i="80"/>
  <c r="A13747" i="80"/>
  <c r="A13748" i="80"/>
  <c r="A13749" i="80"/>
  <c r="A13752" i="80"/>
  <c r="A13753" i="80"/>
  <c r="A13754" i="80"/>
  <c r="A13757" i="80"/>
  <c r="A13758" i="80"/>
  <c r="A13759" i="80"/>
  <c r="A13762" i="80"/>
  <c r="A13763" i="80"/>
  <c r="A13764" i="80"/>
  <c r="A13767" i="80"/>
  <c r="A13768" i="80"/>
  <c r="A13769" i="80"/>
  <c r="A13772" i="80"/>
  <c r="A13773" i="80"/>
  <c r="A13774" i="80"/>
  <c r="A13777" i="80"/>
  <c r="A13778" i="80"/>
  <c r="A13779" i="80"/>
  <c r="A13782" i="80"/>
  <c r="A13783" i="80"/>
  <c r="A13784" i="80"/>
  <c r="A13787" i="80"/>
  <c r="A13788" i="80"/>
  <c r="A13789" i="80"/>
  <c r="A13792" i="80"/>
  <c r="A13793" i="80"/>
  <c r="A13794" i="80"/>
  <c r="A13797" i="80"/>
  <c r="A13798" i="80"/>
  <c r="A13799" i="80"/>
  <c r="A13802" i="80"/>
  <c r="A13803" i="80"/>
  <c r="A13804" i="80"/>
  <c r="A13807" i="80"/>
  <c r="A13808" i="80"/>
  <c r="A13809" i="80"/>
  <c r="A13812" i="80"/>
  <c r="A13813" i="80"/>
  <c r="A13814" i="80"/>
  <c r="A13817" i="80"/>
  <c r="A13818" i="80"/>
  <c r="A13819" i="80"/>
  <c r="A13822" i="80"/>
  <c r="A13823" i="80"/>
  <c r="A13824" i="80"/>
  <c r="A13827" i="80"/>
  <c r="A13828" i="80"/>
  <c r="A13829" i="80"/>
  <c r="A13832" i="80"/>
  <c r="A13833" i="80"/>
  <c r="A13834" i="80"/>
  <c r="A13837" i="80"/>
  <c r="A13838" i="80"/>
  <c r="A13839" i="80"/>
  <c r="A13842" i="80"/>
  <c r="A13843" i="80"/>
  <c r="A13844" i="80"/>
  <c r="A13847" i="80"/>
  <c r="A13848" i="80"/>
  <c r="A13849" i="80"/>
  <c r="A13852" i="80"/>
  <c r="A13853" i="80"/>
  <c r="A13854" i="80"/>
  <c r="A13857" i="80"/>
  <c r="A13858" i="80"/>
  <c r="A13859" i="80"/>
  <c r="A13862" i="80"/>
  <c r="A13863" i="80"/>
  <c r="A13864" i="80"/>
  <c r="A13867" i="80"/>
  <c r="A13868" i="80"/>
  <c r="A13869" i="80"/>
  <c r="A13872" i="80"/>
  <c r="A13873" i="80"/>
  <c r="A13874" i="80"/>
  <c r="A13877" i="80"/>
  <c r="A13878" i="80"/>
  <c r="A13879" i="80"/>
  <c r="A13882" i="80"/>
  <c r="A13883" i="80"/>
  <c r="A13884" i="80"/>
  <c r="A13887" i="80"/>
  <c r="A13888" i="80"/>
  <c r="A13889" i="80"/>
  <c r="A13892" i="80"/>
  <c r="A13893" i="80"/>
  <c r="A13894" i="80"/>
  <c r="A13897" i="80"/>
  <c r="A13898" i="80"/>
  <c r="A13899" i="80"/>
  <c r="A13902" i="80"/>
  <c r="A13903" i="80"/>
  <c r="A13904" i="80"/>
  <c r="A13907" i="80"/>
  <c r="A13908" i="80"/>
  <c r="A13909" i="80"/>
  <c r="A13912" i="80"/>
  <c r="A13913" i="80"/>
  <c r="A13914" i="80"/>
  <c r="A13917" i="80"/>
  <c r="A13918" i="80"/>
  <c r="A13919" i="80"/>
  <c r="A13922" i="80"/>
  <c r="A13923" i="80"/>
  <c r="A13924" i="80"/>
  <c r="A13927" i="80"/>
  <c r="A13928" i="80"/>
  <c r="A13929" i="80"/>
  <c r="A13932" i="80"/>
  <c r="A13933" i="80"/>
  <c r="A13934" i="80"/>
  <c r="A13937" i="80"/>
  <c r="A13938" i="80"/>
  <c r="A13939" i="80"/>
  <c r="A13942" i="80"/>
  <c r="A13943" i="80"/>
  <c r="A13944" i="80"/>
  <c r="A13947" i="80"/>
  <c r="A13948" i="80"/>
  <c r="A13949" i="80"/>
  <c r="A13952" i="80"/>
  <c r="A13953" i="80"/>
  <c r="A13954" i="80"/>
  <c r="A13957" i="80"/>
  <c r="A13958" i="80"/>
  <c r="A13959" i="80"/>
  <c r="A13962" i="80"/>
  <c r="A13963" i="80"/>
  <c r="A13964" i="80"/>
  <c r="A13967" i="80"/>
  <c r="A13968" i="80"/>
  <c r="A13969" i="80"/>
  <c r="A13972" i="80"/>
  <c r="A13973" i="80"/>
  <c r="A13974" i="80"/>
  <c r="A13977" i="80"/>
  <c r="A13978" i="80"/>
  <c r="A13979" i="80"/>
  <c r="A13982" i="80"/>
  <c r="A13983" i="80"/>
  <c r="A13984" i="80"/>
  <c r="A13987" i="80"/>
  <c r="A13988" i="80"/>
  <c r="A13989" i="80"/>
  <c r="A13992" i="80"/>
  <c r="A13993" i="80"/>
  <c r="A13994" i="80"/>
  <c r="A13997" i="80"/>
  <c r="A13998" i="80"/>
  <c r="A13999" i="80"/>
  <c r="A14002" i="80"/>
  <c r="A14003" i="80"/>
  <c r="A14004" i="80"/>
  <c r="A14007" i="80"/>
  <c r="A14008" i="80"/>
  <c r="A14009" i="80"/>
  <c r="A14012" i="80"/>
  <c r="A14013" i="80"/>
  <c r="A14014" i="80"/>
  <c r="A14017" i="80"/>
  <c r="A14018" i="80"/>
  <c r="A14019" i="80"/>
  <c r="A14022" i="80"/>
  <c r="A14023" i="80"/>
  <c r="A14024" i="80"/>
  <c r="A14027" i="80"/>
  <c r="A14028" i="80"/>
  <c r="A14029" i="80"/>
  <c r="A14032" i="80"/>
  <c r="A14033" i="80"/>
  <c r="A14034" i="80"/>
  <c r="A14037" i="80"/>
  <c r="A14038" i="80"/>
  <c r="A14039" i="80"/>
  <c r="A14042" i="80"/>
  <c r="A14043" i="80"/>
  <c r="A14044" i="80"/>
  <c r="A14047" i="80"/>
  <c r="A14048" i="80"/>
  <c r="A14049" i="80"/>
  <c r="A14052" i="80"/>
  <c r="A14053" i="80"/>
  <c r="A14054" i="80"/>
  <c r="A14057" i="80"/>
  <c r="A14058" i="80"/>
  <c r="A14059" i="80"/>
  <c r="A14062" i="80"/>
  <c r="A14063" i="80"/>
  <c r="A14064" i="80"/>
  <c r="A14067" i="80"/>
  <c r="A14068" i="80"/>
  <c r="A14069" i="80"/>
  <c r="A14072" i="80"/>
  <c r="A14073" i="80"/>
  <c r="A14074" i="80"/>
  <c r="A14077" i="80"/>
  <c r="A14078" i="80"/>
  <c r="A14079" i="80"/>
  <c r="A14082" i="80"/>
  <c r="A14083" i="80"/>
  <c r="A14084" i="80"/>
  <c r="A14087" i="80"/>
  <c r="A14088" i="80"/>
  <c r="A14089" i="80"/>
  <c r="A14092" i="80"/>
  <c r="A14093" i="80"/>
  <c r="A14094" i="80"/>
  <c r="A14097" i="80"/>
  <c r="A14098" i="80"/>
  <c r="A14099" i="80"/>
  <c r="A14102" i="80"/>
  <c r="A14103" i="80"/>
  <c r="A14104" i="80"/>
  <c r="A14107" i="80"/>
  <c r="A14108" i="80"/>
  <c r="A14109" i="80"/>
  <c r="A14112" i="80"/>
  <c r="A14113" i="80"/>
  <c r="A14114" i="80"/>
  <c r="A14117" i="80"/>
  <c r="A14118" i="80"/>
  <c r="A14119" i="80"/>
  <c r="A14122" i="80"/>
  <c r="A14123" i="80"/>
  <c r="A14124" i="80"/>
  <c r="A14127" i="80"/>
  <c r="A14128" i="80"/>
  <c r="A14129" i="80"/>
  <c r="A14132" i="80"/>
  <c r="A14133" i="80"/>
  <c r="A14134" i="80"/>
  <c r="A14137" i="80"/>
  <c r="A14138" i="80"/>
  <c r="A14139" i="80"/>
  <c r="A14142" i="80"/>
  <c r="A14143" i="80"/>
  <c r="A14144" i="80"/>
  <c r="A14147" i="80"/>
  <c r="A14148" i="80"/>
  <c r="A14149" i="80"/>
  <c r="A14152" i="80"/>
  <c r="A14153" i="80"/>
  <c r="A14154" i="80"/>
  <c r="A14157" i="80"/>
  <c r="A14158" i="80"/>
  <c r="A14159" i="80"/>
  <c r="A14162" i="80"/>
  <c r="A14163" i="80"/>
  <c r="A14164" i="80"/>
  <c r="A14167" i="80"/>
  <c r="A14168" i="80"/>
  <c r="A14169" i="80"/>
  <c r="A14172" i="80"/>
  <c r="A14173" i="80"/>
  <c r="A14174" i="80"/>
  <c r="A14177" i="80"/>
  <c r="A14178" i="80"/>
  <c r="A14179" i="80"/>
  <c r="A14182" i="80"/>
  <c r="A14183" i="80"/>
  <c r="A14184" i="80"/>
  <c r="A14187" i="80"/>
  <c r="A14188" i="80"/>
  <c r="A14189" i="80"/>
  <c r="A14192" i="80"/>
  <c r="A14193" i="80"/>
  <c r="A14194" i="80"/>
  <c r="A14197" i="80"/>
  <c r="A14198" i="80"/>
  <c r="A14199" i="80"/>
  <c r="A14202" i="80"/>
  <c r="A14203" i="80"/>
  <c r="A14204" i="80"/>
  <c r="A14207" i="80"/>
  <c r="A14208" i="80"/>
  <c r="A14209" i="80"/>
  <c r="A14212" i="80"/>
  <c r="A14213" i="80"/>
  <c r="A14214" i="80"/>
  <c r="A14217" i="80"/>
  <c r="A14218" i="80"/>
  <c r="A14219" i="80"/>
  <c r="A14222" i="80"/>
  <c r="A14223" i="80"/>
  <c r="A14224" i="80"/>
  <c r="A14227" i="80"/>
  <c r="A14228" i="80"/>
  <c r="A14229" i="80"/>
  <c r="A14232" i="80"/>
  <c r="A14233" i="80"/>
  <c r="A14234" i="80"/>
  <c r="A14237" i="80"/>
  <c r="A14238" i="80"/>
  <c r="A14239" i="80"/>
  <c r="A14242" i="80"/>
  <c r="A14243" i="80"/>
  <c r="A14244" i="80"/>
  <c r="A14247" i="80"/>
  <c r="A14248" i="80"/>
  <c r="A14249" i="80"/>
  <c r="A14252" i="80"/>
  <c r="A14253" i="80"/>
  <c r="A14254" i="80"/>
  <c r="A14257" i="80"/>
  <c r="A14258" i="80"/>
  <c r="A14259" i="80"/>
  <c r="A14262" i="80"/>
  <c r="A14263" i="80"/>
  <c r="A14264" i="80"/>
  <c r="A14267" i="80"/>
  <c r="A14268" i="80"/>
  <c r="A14269" i="80"/>
  <c r="A14272" i="80"/>
  <c r="A14273" i="80"/>
  <c r="A14274" i="80"/>
  <c r="A14277" i="80"/>
  <c r="A14278" i="80"/>
  <c r="A14279" i="80"/>
  <c r="A14282" i="80"/>
  <c r="A14283" i="80"/>
  <c r="A14284" i="80"/>
  <c r="A14287" i="80"/>
  <c r="A14288" i="80"/>
  <c r="A14289" i="80"/>
  <c r="A14292" i="80"/>
  <c r="A14293" i="80"/>
  <c r="A14294" i="80"/>
  <c r="A14297" i="80"/>
  <c r="A14298" i="80"/>
  <c r="A14299" i="80"/>
  <c r="A14302" i="80"/>
  <c r="A14303" i="80"/>
  <c r="A14304" i="80"/>
  <c r="A14307" i="80"/>
  <c r="A14308" i="80"/>
  <c r="A14309" i="80"/>
  <c r="A14312" i="80"/>
  <c r="A14313" i="80"/>
  <c r="A14314" i="80"/>
  <c r="A14317" i="80"/>
  <c r="A14318" i="80"/>
  <c r="A14319" i="80"/>
  <c r="A14322" i="80"/>
  <c r="A14323" i="80"/>
  <c r="A14324" i="80"/>
  <c r="A14327" i="80"/>
  <c r="A14328" i="80"/>
  <c r="A14329" i="80"/>
  <c r="A14332" i="80"/>
  <c r="A14333" i="80"/>
  <c r="A14334" i="80"/>
  <c r="A14337" i="80"/>
  <c r="A14338" i="80"/>
  <c r="A14339" i="80"/>
  <c r="A14342" i="80"/>
  <c r="A14343" i="80"/>
  <c r="A14344" i="80"/>
  <c r="A14347" i="80"/>
  <c r="A14348" i="80"/>
  <c r="A14349" i="80"/>
  <c r="A14352" i="80"/>
  <c r="A14353" i="80"/>
  <c r="A14354" i="80"/>
  <c r="A14357" i="80"/>
  <c r="A14358" i="80"/>
  <c r="A14359" i="80"/>
  <c r="A14362" i="80"/>
  <c r="A14363" i="80"/>
  <c r="A14364" i="80"/>
  <c r="A14367" i="80"/>
  <c r="A14368" i="80"/>
  <c r="A14369" i="80"/>
  <c r="A14372" i="80"/>
  <c r="A14373" i="80"/>
  <c r="A14374" i="80"/>
  <c r="A14377" i="80"/>
  <c r="A14378" i="80"/>
  <c r="A14379" i="80"/>
  <c r="A14382" i="80"/>
  <c r="A14383" i="80"/>
  <c r="A14384" i="80"/>
  <c r="A14387" i="80"/>
  <c r="A14388" i="80"/>
  <c r="A14389" i="80"/>
  <c r="A14392" i="80"/>
  <c r="A14393" i="80"/>
  <c r="A14394" i="80"/>
  <c r="A14397" i="80"/>
  <c r="A14398" i="80"/>
  <c r="A14399" i="80"/>
  <c r="A14402" i="80"/>
  <c r="A14403" i="80"/>
  <c r="A14404" i="80"/>
  <c r="A14407" i="80"/>
  <c r="A14408" i="80"/>
  <c r="A14409" i="80"/>
  <c r="A14412" i="80"/>
  <c r="A14413" i="80"/>
  <c r="A14414" i="80"/>
  <c r="A14417" i="80"/>
  <c r="A14418" i="80"/>
  <c r="A14419" i="80"/>
  <c r="A14422" i="80"/>
  <c r="A14423" i="80"/>
  <c r="A14424" i="80"/>
  <c r="A14427" i="80"/>
  <c r="A14428" i="80"/>
  <c r="A14429" i="80"/>
  <c r="A14432" i="80"/>
  <c r="A14433" i="80"/>
  <c r="A14434" i="80"/>
  <c r="A14437" i="80"/>
  <c r="A14438" i="80"/>
  <c r="A14439" i="80"/>
  <c r="A14442" i="80"/>
  <c r="A14443" i="80"/>
  <c r="A14444" i="80"/>
  <c r="A14447" i="80"/>
  <c r="A14448" i="80"/>
  <c r="A14449" i="80"/>
  <c r="A14452" i="80"/>
  <c r="A14453" i="80"/>
  <c r="A14454" i="80"/>
  <c r="A14457" i="80"/>
  <c r="A14458" i="80"/>
  <c r="A14459" i="80"/>
  <c r="A14462" i="80"/>
  <c r="A14463" i="80"/>
  <c r="A14464" i="80"/>
  <c r="A14467" i="80"/>
  <c r="A14468" i="80"/>
  <c r="A14469" i="80"/>
  <c r="A14472" i="80"/>
  <c r="A14473" i="80"/>
  <c r="A14474" i="80"/>
  <c r="A14477" i="80"/>
  <c r="A14478" i="80"/>
  <c r="A14479" i="80"/>
  <c r="A14482" i="80"/>
  <c r="A14483" i="80"/>
  <c r="A14484" i="80"/>
  <c r="A14487" i="80"/>
  <c r="A14488" i="80"/>
  <c r="A14489" i="80"/>
  <c r="A14492" i="80"/>
  <c r="A14493" i="80"/>
  <c r="A14494" i="80"/>
  <c r="A14497" i="80"/>
  <c r="A14498" i="80"/>
  <c r="A14499" i="80"/>
  <c r="A14502" i="80"/>
  <c r="A14503" i="80"/>
  <c r="A14504" i="80"/>
  <c r="A14507" i="80"/>
  <c r="A14508" i="80"/>
  <c r="A14509" i="80"/>
  <c r="A14512" i="80"/>
  <c r="A14513" i="80"/>
  <c r="A14514" i="80"/>
  <c r="A14517" i="80"/>
  <c r="A14518" i="80"/>
  <c r="A14519" i="80"/>
  <c r="A14522" i="80"/>
  <c r="A14523" i="80"/>
  <c r="A14524" i="80"/>
  <c r="A14527" i="80"/>
  <c r="A14528" i="80"/>
  <c r="A14529" i="80"/>
  <c r="A14532" i="80"/>
  <c r="A14533" i="80"/>
  <c r="A14534" i="80"/>
  <c r="A14537" i="80"/>
  <c r="A14538" i="80"/>
  <c r="A14539" i="80"/>
  <c r="A14542" i="80"/>
  <c r="A14543" i="80"/>
  <c r="A14544" i="80"/>
  <c r="A14547" i="80"/>
  <c r="A14548" i="80"/>
  <c r="A14549" i="80"/>
  <c r="A14552" i="80"/>
  <c r="A14553" i="80"/>
  <c r="A14554" i="80"/>
  <c r="A14557" i="80"/>
  <c r="A14558" i="80"/>
  <c r="A14559" i="80"/>
  <c r="A14562" i="80"/>
  <c r="A14563" i="80"/>
  <c r="A14564" i="80"/>
  <c r="A14567" i="80"/>
  <c r="A14568" i="80"/>
  <c r="A14569" i="80"/>
  <c r="A14572" i="80"/>
  <c r="A14573" i="80"/>
  <c r="A14574" i="80"/>
  <c r="A14577" i="80"/>
  <c r="A14578" i="80"/>
  <c r="A14579" i="80"/>
  <c r="A14582" i="80"/>
  <c r="A14583" i="80"/>
  <c r="A14584" i="80"/>
  <c r="A14587" i="80"/>
  <c r="A14588" i="80"/>
  <c r="A14589" i="80"/>
  <c r="A14592" i="80"/>
  <c r="A14593" i="80"/>
  <c r="A14594" i="80"/>
  <c r="A14597" i="80"/>
  <c r="A14598" i="80"/>
  <c r="A14599" i="80"/>
  <c r="A14602" i="80"/>
  <c r="A14603" i="80"/>
  <c r="A14604" i="80"/>
  <c r="A14607" i="80"/>
  <c r="A14608" i="80"/>
  <c r="A14609" i="80"/>
  <c r="A14612" i="80"/>
  <c r="A14613" i="80"/>
  <c r="A14614" i="80"/>
  <c r="A14617" i="80"/>
  <c r="A14618" i="80"/>
  <c r="A14619" i="80"/>
  <c r="A14622" i="80"/>
  <c r="A14623" i="80"/>
  <c r="A14624" i="80"/>
  <c r="A14627" i="80"/>
  <c r="A14628" i="80"/>
  <c r="A14629" i="80"/>
  <c r="A14632" i="80"/>
  <c r="A14633" i="80"/>
  <c r="A14634" i="80"/>
  <c r="A14637" i="80"/>
  <c r="A14638" i="80"/>
  <c r="A14639" i="80"/>
  <c r="A14642" i="80"/>
  <c r="A14643" i="80"/>
  <c r="A14644" i="80"/>
  <c r="A14647" i="80"/>
  <c r="A14648" i="80"/>
  <c r="A14649" i="80"/>
  <c r="A14652" i="80"/>
  <c r="A14653" i="80"/>
  <c r="A14654" i="80"/>
  <c r="A14657" i="80"/>
  <c r="A14658" i="80"/>
  <c r="A14659" i="80"/>
  <c r="A14662" i="80"/>
  <c r="A14663" i="80"/>
  <c r="A14664" i="80"/>
  <c r="A14667" i="80"/>
  <c r="A14668" i="80"/>
  <c r="A14669" i="80"/>
  <c r="A14672" i="80"/>
  <c r="A14673" i="80"/>
  <c r="A14674" i="80"/>
  <c r="A14677" i="80"/>
  <c r="A14678" i="80"/>
  <c r="A14679" i="80"/>
  <c r="A14682" i="80"/>
  <c r="A14683" i="80"/>
  <c r="A14684" i="80"/>
  <c r="A14687" i="80"/>
  <c r="A14688" i="80"/>
  <c r="A14689" i="80"/>
  <c r="A14692" i="80"/>
  <c r="A14693" i="80"/>
  <c r="A14694" i="80"/>
  <c r="A14697" i="80"/>
  <c r="A14698" i="80"/>
  <c r="A14699" i="80"/>
  <c r="A14702" i="80"/>
  <c r="A14703" i="80"/>
  <c r="A14704" i="80"/>
  <c r="A14707" i="80"/>
  <c r="A14708" i="80"/>
  <c r="A14709" i="80"/>
  <c r="A14712" i="80"/>
  <c r="A14713" i="80"/>
  <c r="A14714" i="80"/>
  <c r="A14717" i="80"/>
  <c r="A14718" i="80"/>
  <c r="A14719" i="80"/>
  <c r="A14722" i="80"/>
  <c r="A14723" i="80"/>
  <c r="A14724" i="80"/>
  <c r="A14727" i="80"/>
  <c r="A14728" i="80"/>
  <c r="A14729" i="80"/>
  <c r="A14732" i="80"/>
  <c r="A14733" i="80"/>
  <c r="A14734" i="80"/>
  <c r="A14737" i="80"/>
  <c r="A14738" i="80"/>
  <c r="A14739" i="80"/>
  <c r="A14742" i="80"/>
  <c r="A14743" i="80"/>
  <c r="A14744" i="80"/>
  <c r="A14747" i="80"/>
  <c r="A14748" i="80"/>
  <c r="A14749" i="80"/>
  <c r="A14752" i="80"/>
  <c r="A14753" i="80"/>
  <c r="A14754" i="80"/>
  <c r="A14757" i="80"/>
  <c r="A14758" i="80"/>
  <c r="A14759" i="80"/>
  <c r="A14762" i="80"/>
  <c r="A14763" i="80"/>
  <c r="A14764" i="80"/>
  <c r="A14767" i="80"/>
  <c r="A14768" i="80"/>
  <c r="A14769" i="80"/>
  <c r="A14772" i="80"/>
  <c r="A14773" i="80"/>
  <c r="A14774" i="80"/>
  <c r="A14777" i="80"/>
  <c r="A14778" i="80"/>
  <c r="A14779" i="80"/>
  <c r="A14782" i="80"/>
  <c r="A14783" i="80"/>
  <c r="A14784" i="80"/>
  <c r="A14787" i="80"/>
  <c r="A14788" i="80"/>
  <c r="A14789" i="80"/>
  <c r="A14792" i="80"/>
  <c r="A14793" i="80"/>
  <c r="A14794" i="80"/>
  <c r="A14797" i="80"/>
  <c r="A14798" i="80"/>
  <c r="A14799" i="80"/>
  <c r="A14802" i="80"/>
  <c r="A14803" i="80"/>
  <c r="A14804" i="80"/>
  <c r="A14807" i="80"/>
  <c r="A14808" i="80"/>
  <c r="A14809" i="80"/>
  <c r="A14812" i="80"/>
  <c r="A14813" i="80"/>
  <c r="A14814" i="80"/>
  <c r="A14817" i="80"/>
  <c r="A14818" i="80"/>
  <c r="A14819" i="80"/>
  <c r="A14822" i="80"/>
  <c r="A14823" i="80"/>
  <c r="A14824" i="80"/>
  <c r="A14827" i="80"/>
  <c r="A14828" i="80"/>
  <c r="A14829" i="80"/>
  <c r="A14832" i="80"/>
  <c r="A14833" i="80"/>
  <c r="A14834" i="80"/>
  <c r="A14837" i="80"/>
  <c r="A14838" i="80"/>
  <c r="A14839" i="80"/>
  <c r="A14842" i="80"/>
  <c r="A14843" i="80"/>
  <c r="A14844" i="80"/>
  <c r="A14847" i="80"/>
  <c r="A14848" i="80"/>
  <c r="A14849" i="80"/>
  <c r="A14852" i="80"/>
  <c r="A14853" i="80"/>
  <c r="A14854" i="80"/>
  <c r="A14857" i="80"/>
  <c r="A14858" i="80"/>
  <c r="A14859" i="80"/>
  <c r="A14862" i="80"/>
  <c r="A14863" i="80"/>
  <c r="A14864" i="80"/>
  <c r="A14867" i="80"/>
  <c r="A14868" i="80"/>
  <c r="A14869" i="80"/>
  <c r="A14872" i="80"/>
  <c r="A14873" i="80"/>
  <c r="A14874" i="80"/>
  <c r="A14877" i="80"/>
  <c r="A14878" i="80"/>
  <c r="A14879" i="80"/>
  <c r="A14882" i="80"/>
  <c r="A14883" i="80"/>
  <c r="A14884" i="80"/>
  <c r="A14887" i="80"/>
  <c r="A14888" i="80"/>
  <c r="A14889" i="80"/>
  <c r="A14892" i="80"/>
  <c r="A14893" i="80"/>
  <c r="A14894" i="80"/>
  <c r="A14897" i="80"/>
  <c r="A14898" i="80"/>
  <c r="A14899" i="80"/>
  <c r="A14902" i="80"/>
  <c r="A14903" i="80"/>
  <c r="A14904" i="80"/>
  <c r="A14907" i="80"/>
  <c r="A14908" i="80"/>
  <c r="A14909" i="80"/>
  <c r="A14912" i="80"/>
  <c r="A14913" i="80"/>
  <c r="A14914" i="80"/>
  <c r="A14917" i="80"/>
  <c r="A14918" i="80"/>
  <c r="A14919" i="80"/>
  <c r="A14922" i="80"/>
  <c r="A14923" i="80"/>
  <c r="A14924" i="80"/>
  <c r="A14927" i="80"/>
  <c r="A14928" i="80"/>
  <c r="A14929" i="80"/>
  <c r="A14932" i="80"/>
  <c r="A14933" i="80"/>
  <c r="A14934" i="80"/>
  <c r="A14937" i="80"/>
  <c r="A14938" i="80"/>
  <c r="A14939" i="80"/>
  <c r="A14942" i="80"/>
  <c r="A14943" i="80"/>
  <c r="A14944" i="80"/>
  <c r="A14947" i="80"/>
  <c r="A14948" i="80"/>
  <c r="A14949" i="80"/>
  <c r="A14952" i="80"/>
  <c r="A14953" i="80"/>
  <c r="A14954" i="80"/>
  <c r="A14957" i="80"/>
  <c r="A14958" i="80"/>
  <c r="A14959" i="80"/>
  <c r="A14962" i="80"/>
  <c r="A14963" i="80"/>
  <c r="A14964" i="80"/>
  <c r="A14967" i="80"/>
  <c r="A14968" i="80"/>
  <c r="A14969" i="80"/>
  <c r="A14972" i="80"/>
  <c r="A14973" i="80"/>
  <c r="A14974" i="80"/>
  <c r="A14977" i="80"/>
  <c r="A14978" i="80"/>
  <c r="A14979" i="80"/>
  <c r="A14982" i="80"/>
  <c r="A14983" i="80"/>
  <c r="A14984" i="80"/>
  <c r="A14987" i="80"/>
  <c r="A14988" i="80"/>
  <c r="A14989" i="80"/>
  <c r="A14992" i="80"/>
  <c r="A14993" i="80"/>
  <c r="A14994" i="80"/>
  <c r="A14997" i="80"/>
  <c r="A14998" i="80"/>
  <c r="A14999" i="80"/>
  <c r="A15002" i="80"/>
  <c r="A15003" i="80"/>
  <c r="A15004" i="80"/>
  <c r="A15007" i="80"/>
  <c r="A15008" i="80"/>
  <c r="A15009" i="80"/>
  <c r="A15012" i="80"/>
  <c r="A15013" i="80"/>
  <c r="A15014" i="80"/>
  <c r="A15017" i="80"/>
  <c r="A15018" i="80"/>
  <c r="A15019" i="80"/>
  <c r="A15022" i="80"/>
  <c r="A15023" i="80"/>
  <c r="A15024" i="80"/>
  <c r="A15027" i="80"/>
  <c r="A15028" i="80"/>
  <c r="A15029" i="80"/>
  <c r="A15032" i="80"/>
  <c r="A15033" i="80"/>
  <c r="A15034" i="80"/>
  <c r="A15037" i="80"/>
  <c r="A15038" i="80"/>
  <c r="A15039" i="80"/>
  <c r="A15042" i="80"/>
  <c r="A15043" i="80"/>
  <c r="A15044" i="80"/>
  <c r="A15047" i="80"/>
  <c r="A15048" i="80"/>
  <c r="A15049" i="80"/>
  <c r="A15052" i="80"/>
  <c r="A15053" i="80"/>
  <c r="A15054" i="80"/>
  <c r="A15057" i="80"/>
  <c r="A15058" i="80"/>
  <c r="A15059" i="80"/>
  <c r="A15062" i="80"/>
  <c r="A15063" i="80"/>
  <c r="A15064" i="80"/>
  <c r="A15067" i="80"/>
  <c r="A15068" i="80"/>
  <c r="A15069" i="80"/>
  <c r="A15072" i="80"/>
  <c r="A15073" i="80"/>
  <c r="A15074" i="80"/>
  <c r="A15077" i="80"/>
  <c r="A15078" i="80"/>
  <c r="A15079" i="80"/>
  <c r="A15082" i="80"/>
  <c r="A15083" i="80"/>
  <c r="A15084" i="80"/>
  <c r="A15087" i="80"/>
  <c r="A15088" i="80"/>
  <c r="A15089" i="80"/>
  <c r="A15092" i="80"/>
  <c r="A15093" i="80"/>
  <c r="A15094" i="80"/>
  <c r="A15097" i="80"/>
  <c r="A15098" i="80"/>
  <c r="A15099" i="80"/>
  <c r="A15102" i="80"/>
  <c r="A15103" i="80"/>
  <c r="A15104" i="80"/>
  <c r="A15107" i="80"/>
  <c r="A15108" i="80"/>
  <c r="A15109" i="80"/>
  <c r="A15112" i="80"/>
  <c r="A15113" i="80"/>
  <c r="A15114" i="80"/>
  <c r="A15117" i="80"/>
  <c r="A15118" i="80"/>
  <c r="A15119" i="80"/>
  <c r="A15122" i="80"/>
  <c r="A15123" i="80"/>
  <c r="A15124" i="80"/>
  <c r="A15127" i="80"/>
  <c r="A15128" i="80"/>
  <c r="A15129" i="80"/>
  <c r="A15132" i="80"/>
  <c r="A15133" i="80"/>
  <c r="A15134" i="80"/>
  <c r="A15137" i="80"/>
  <c r="A15138" i="80"/>
  <c r="A15139" i="80"/>
  <c r="A15142" i="80"/>
  <c r="A15143" i="80"/>
  <c r="A15144" i="80"/>
  <c r="A15147" i="80"/>
  <c r="A15148" i="80"/>
  <c r="A15149" i="80"/>
  <c r="A15152" i="80"/>
  <c r="A15153" i="80"/>
  <c r="A15154" i="80"/>
  <c r="A15157" i="80"/>
  <c r="A15158" i="80"/>
  <c r="A15159" i="80"/>
  <c r="A15162" i="80"/>
  <c r="A15163" i="80"/>
  <c r="A15164" i="80"/>
  <c r="A15167" i="80"/>
  <c r="A15168" i="80"/>
  <c r="A15169" i="80"/>
  <c r="A15172" i="80"/>
  <c r="A15173" i="80"/>
  <c r="A15174" i="80"/>
  <c r="A15177" i="80"/>
  <c r="A15178" i="80"/>
  <c r="A15179" i="80"/>
  <c r="A15182" i="80"/>
  <c r="A15183" i="80"/>
  <c r="A15184" i="80"/>
  <c r="A15187" i="80"/>
  <c r="A15188" i="80"/>
  <c r="A15189" i="80"/>
  <c r="A15192" i="80"/>
  <c r="A15193" i="80"/>
  <c r="A15194" i="80"/>
  <c r="A15197" i="80"/>
  <c r="A15198" i="80"/>
  <c r="A15199" i="80"/>
  <c r="A15202" i="80"/>
  <c r="A15203" i="80"/>
  <c r="A15204" i="80"/>
  <c r="A15207" i="80"/>
  <c r="A15208" i="80"/>
  <c r="A15209" i="80"/>
  <c r="A15212" i="80"/>
  <c r="A15213" i="80"/>
  <c r="A15214" i="80"/>
  <c r="A15217" i="80"/>
  <c r="A15218" i="80"/>
  <c r="A15219" i="80"/>
  <c r="A15222" i="80"/>
  <c r="A15223" i="80"/>
  <c r="A15224" i="80"/>
  <c r="A15227" i="80"/>
  <c r="A15228" i="80"/>
  <c r="A15229" i="80"/>
  <c r="A15232" i="80"/>
  <c r="A15233" i="80"/>
  <c r="A15234" i="80"/>
  <c r="A15237" i="80"/>
  <c r="A15238" i="80"/>
  <c r="A15239" i="80"/>
  <c r="A15242" i="80"/>
  <c r="A15243" i="80"/>
  <c r="A15244" i="80"/>
  <c r="A15247" i="80"/>
  <c r="A15248" i="80"/>
  <c r="A15249" i="80"/>
  <c r="A15252" i="80"/>
  <c r="A15253" i="80"/>
  <c r="A15254" i="80"/>
  <c r="A15257" i="80"/>
  <c r="A15258" i="80"/>
  <c r="A15259" i="80"/>
  <c r="A15262" i="80"/>
  <c r="A15263" i="80"/>
  <c r="A15264" i="80"/>
  <c r="A15267" i="80"/>
  <c r="A15268" i="80"/>
  <c r="A15269" i="80"/>
  <c r="A15272" i="80"/>
  <c r="A15273" i="80"/>
  <c r="A15274" i="80"/>
  <c r="A15277" i="80"/>
  <c r="A15278" i="80"/>
  <c r="A15279" i="80"/>
  <c r="A15282" i="80"/>
  <c r="A15283" i="80"/>
  <c r="A15284" i="80"/>
  <c r="A15287" i="80"/>
  <c r="A15288" i="80"/>
  <c r="A15289" i="80"/>
  <c r="A15292" i="80"/>
  <c r="A15293" i="80"/>
  <c r="A15294" i="80"/>
  <c r="A15297" i="80"/>
  <c r="A15298" i="80"/>
  <c r="A15299" i="80"/>
  <c r="A15302" i="80"/>
  <c r="A15303" i="80"/>
  <c r="A15304" i="80"/>
  <c r="A15307" i="80"/>
  <c r="A15308" i="80"/>
  <c r="A15309" i="80"/>
  <c r="A15312" i="80"/>
  <c r="A15313" i="80"/>
  <c r="A15314" i="80"/>
  <c r="A15317" i="80"/>
  <c r="A15318" i="80"/>
  <c r="A15319" i="80"/>
  <c r="A15322" i="80"/>
  <c r="A15323" i="80"/>
  <c r="A15324" i="80"/>
  <c r="A15327" i="80"/>
  <c r="A15328" i="80"/>
  <c r="A15329" i="80"/>
  <c r="A15332" i="80"/>
  <c r="A15333" i="80"/>
  <c r="A15334" i="80"/>
  <c r="A15337" i="80"/>
  <c r="A15338" i="80"/>
  <c r="A15339" i="80"/>
  <c r="A15342" i="80"/>
  <c r="A15343" i="80"/>
  <c r="A15344" i="80"/>
  <c r="A15347" i="80"/>
  <c r="A15348" i="80"/>
  <c r="A15349" i="80"/>
  <c r="A15352" i="80"/>
  <c r="A15353" i="80"/>
  <c r="A15354" i="80"/>
  <c r="A15357" i="80"/>
  <c r="A15358" i="80"/>
  <c r="A15359" i="80"/>
  <c r="A15362" i="80"/>
  <c r="A15363" i="80"/>
  <c r="A15364" i="80"/>
  <c r="A15367" i="80"/>
  <c r="A15368" i="80"/>
  <c r="A15369" i="80"/>
  <c r="A15372" i="80"/>
  <c r="A15373" i="80"/>
  <c r="A15374" i="80"/>
  <c r="A15377" i="80"/>
  <c r="A15378" i="80"/>
  <c r="A15379" i="80"/>
  <c r="A15382" i="80"/>
  <c r="A15383" i="80"/>
  <c r="A15384" i="80"/>
  <c r="A15387" i="80"/>
  <c r="A15388" i="80"/>
  <c r="A15389" i="80"/>
  <c r="A15392" i="80"/>
  <c r="A15393" i="80"/>
  <c r="A15394" i="80"/>
  <c r="A15397" i="80"/>
  <c r="A15398" i="80"/>
  <c r="A15399" i="80"/>
  <c r="A15402" i="80"/>
  <c r="A15403" i="80"/>
  <c r="A15404" i="80"/>
  <c r="A15407" i="80"/>
  <c r="A15408" i="80"/>
  <c r="A15409" i="80"/>
  <c r="A15412" i="80"/>
  <c r="A15413" i="80"/>
  <c r="A15414" i="80"/>
  <c r="A15417" i="80"/>
  <c r="A15418" i="80"/>
  <c r="A15419" i="80"/>
  <c r="A15422" i="80"/>
  <c r="A15423" i="80"/>
  <c r="A15424" i="80"/>
  <c r="A15427" i="80"/>
  <c r="A15428" i="80"/>
  <c r="A15429" i="80"/>
  <c r="A15432" i="80"/>
  <c r="A15433" i="80"/>
  <c r="A15434" i="80"/>
  <c r="A15437" i="80"/>
  <c r="A15438" i="80"/>
  <c r="A15439" i="80"/>
  <c r="A15442" i="80"/>
  <c r="A15443" i="80"/>
  <c r="A15444" i="80"/>
  <c r="A15447" i="80"/>
  <c r="A15448" i="80"/>
  <c r="A15449" i="80"/>
  <c r="A15452" i="80"/>
  <c r="A15453" i="80"/>
  <c r="A15454" i="80"/>
  <c r="A15457" i="80"/>
  <c r="A15458" i="80"/>
  <c r="A15459" i="80"/>
  <c r="A15462" i="80"/>
  <c r="A15463" i="80"/>
  <c r="A15464" i="80"/>
  <c r="A15467" i="80"/>
  <c r="A15468" i="80"/>
  <c r="A15469" i="80"/>
  <c r="A15472" i="80"/>
  <c r="A15473" i="80"/>
  <c r="A15474" i="80"/>
  <c r="A15477" i="80"/>
  <c r="A15478" i="80"/>
  <c r="A15479" i="80"/>
  <c r="A15482" i="80"/>
  <c r="A15483" i="80"/>
  <c r="A15484" i="80"/>
  <c r="A15487" i="80"/>
  <c r="A15488" i="80"/>
  <c r="A15489" i="80"/>
  <c r="A15492" i="80"/>
  <c r="A15493" i="80"/>
  <c r="A15494" i="80"/>
  <c r="A15497" i="80"/>
  <c r="A15498" i="80"/>
  <c r="A15499" i="80"/>
  <c r="A15502" i="80"/>
  <c r="A15503" i="80"/>
  <c r="A15504" i="80"/>
  <c r="A15507" i="80"/>
  <c r="A15508" i="80"/>
  <c r="A15509" i="80"/>
  <c r="A15512" i="80"/>
  <c r="A15513" i="80"/>
  <c r="A15514" i="80"/>
  <c r="A15517" i="80"/>
  <c r="A15518" i="80"/>
  <c r="A15519" i="80"/>
  <c r="A15522" i="80"/>
  <c r="A15523" i="80"/>
  <c r="A15524" i="80"/>
  <c r="A15527" i="80"/>
  <c r="A15528" i="80"/>
  <c r="A15529" i="80"/>
  <c r="A15532" i="80"/>
  <c r="A15533" i="80"/>
  <c r="A15534" i="80"/>
  <c r="A15537" i="80"/>
  <c r="A15538" i="80"/>
  <c r="A15539" i="80"/>
  <c r="A15542" i="80"/>
  <c r="A15543" i="80"/>
  <c r="A15544" i="80"/>
  <c r="A15547" i="80"/>
  <c r="A15548" i="80"/>
  <c r="A15549" i="80"/>
  <c r="A15552" i="80"/>
  <c r="A15553" i="80"/>
  <c r="A15554" i="80"/>
  <c r="A15557" i="80"/>
  <c r="A15558" i="80"/>
  <c r="A15559" i="80"/>
  <c r="A15562" i="80"/>
  <c r="A15563" i="80"/>
  <c r="A15564" i="80"/>
  <c r="A15567" i="80"/>
  <c r="A15568" i="80"/>
  <c r="A15569" i="80"/>
  <c r="A15572" i="80"/>
  <c r="A15573" i="80"/>
  <c r="A15574" i="80"/>
  <c r="A15577" i="80"/>
  <c r="A15578" i="80"/>
  <c r="A15579" i="80"/>
  <c r="A15582" i="80"/>
  <c r="A15583" i="80"/>
  <c r="A15584" i="80"/>
  <c r="A15587" i="80"/>
  <c r="A15588" i="80"/>
  <c r="A15589" i="80"/>
  <c r="A15592" i="80"/>
  <c r="A15593" i="80"/>
  <c r="A15594" i="80"/>
  <c r="A15597" i="80"/>
  <c r="A15598" i="80"/>
  <c r="A15599" i="80"/>
  <c r="A15602" i="80"/>
  <c r="A15603" i="80"/>
  <c r="A15604" i="80"/>
  <c r="A15607" i="80"/>
  <c r="A15608" i="80"/>
  <c r="A15609" i="80"/>
  <c r="A15612" i="80"/>
  <c r="A15613" i="80"/>
  <c r="A15614" i="80"/>
  <c r="A15617" i="80"/>
  <c r="A15618" i="80"/>
  <c r="A15619" i="80"/>
  <c r="A15622" i="80"/>
  <c r="A15623" i="80"/>
  <c r="A15624" i="80"/>
  <c r="A15627" i="80"/>
  <c r="A15628" i="80"/>
  <c r="A15629" i="80"/>
  <c r="A15632" i="80"/>
  <c r="A15633" i="80"/>
  <c r="A15634" i="80"/>
  <c r="A15637" i="80"/>
  <c r="A15638" i="80"/>
  <c r="A15639" i="80"/>
  <c r="A15642" i="80"/>
  <c r="A15643" i="80"/>
  <c r="A15644" i="80"/>
  <c r="A15647" i="80"/>
  <c r="A15648" i="80"/>
  <c r="A15649" i="80"/>
  <c r="A15652" i="80"/>
  <c r="A15653" i="80"/>
  <c r="A15654" i="80"/>
  <c r="A15657" i="80"/>
  <c r="A15658" i="80"/>
  <c r="A15659" i="80"/>
  <c r="A15662" i="80"/>
  <c r="A15663" i="80"/>
  <c r="A15664" i="80"/>
  <c r="A15667" i="80"/>
  <c r="A15668" i="80"/>
  <c r="A15669" i="80"/>
  <c r="A15672" i="80"/>
  <c r="A15673" i="80"/>
  <c r="A15674" i="80"/>
  <c r="A15677" i="80"/>
  <c r="A15678" i="80"/>
  <c r="A15679" i="80"/>
  <c r="A15682" i="80"/>
  <c r="A15683" i="80"/>
  <c r="A15684" i="80"/>
  <c r="A15687" i="80"/>
  <c r="A15688" i="80"/>
  <c r="A15689" i="80"/>
  <c r="A15692" i="80"/>
  <c r="A15693" i="80"/>
  <c r="A15694" i="80"/>
  <c r="A15697" i="80"/>
  <c r="A15698" i="80"/>
  <c r="A15699" i="80"/>
  <c r="A15702" i="80"/>
  <c r="A15703" i="80"/>
  <c r="A15704" i="80"/>
  <c r="A15707" i="80"/>
  <c r="A15708" i="80"/>
  <c r="A15709" i="80"/>
  <c r="A15712" i="80"/>
  <c r="A15713" i="80"/>
  <c r="A15714" i="80"/>
  <c r="A15717" i="80"/>
  <c r="A15718" i="80"/>
  <c r="A15719" i="80"/>
  <c r="A15722" i="80"/>
  <c r="A15723" i="80"/>
  <c r="A15724" i="80"/>
  <c r="A15727" i="80"/>
  <c r="A15728" i="80"/>
  <c r="A15729" i="80"/>
  <c r="A15732" i="80"/>
  <c r="A15733" i="80"/>
  <c r="A15734" i="80"/>
  <c r="A15737" i="80"/>
  <c r="A15738" i="80"/>
  <c r="A15739" i="80"/>
  <c r="A15742" i="80"/>
  <c r="A15743" i="80"/>
  <c r="A15744" i="80"/>
  <c r="A15747" i="80"/>
  <c r="A15748" i="80"/>
  <c r="A15749" i="80"/>
  <c r="A15752" i="80"/>
  <c r="A15753" i="80"/>
  <c r="A15754" i="80"/>
  <c r="A15757" i="80"/>
  <c r="A15758" i="80"/>
  <c r="A15759" i="80"/>
  <c r="A15762" i="80"/>
  <c r="A15763" i="80"/>
  <c r="A15764" i="80"/>
  <c r="A15767" i="80"/>
  <c r="A15768" i="80"/>
  <c r="A15769" i="80"/>
  <c r="A15772" i="80"/>
  <c r="A15773" i="80"/>
  <c r="A15774" i="80"/>
  <c r="A15777" i="80"/>
  <c r="A15778" i="80"/>
  <c r="A15779" i="80"/>
  <c r="A15782" i="80"/>
  <c r="A15783" i="80"/>
  <c r="A15784" i="80"/>
  <c r="A15787" i="80"/>
  <c r="A15788" i="80"/>
  <c r="A15789" i="80"/>
  <c r="A15792" i="80"/>
  <c r="A15793" i="80"/>
  <c r="A15794" i="80"/>
  <c r="A15797" i="80"/>
  <c r="A15798" i="80"/>
  <c r="A15799" i="80"/>
  <c r="A15802" i="80"/>
  <c r="A15803" i="80"/>
  <c r="A15804" i="80"/>
  <c r="A15807" i="80"/>
  <c r="A15808" i="80"/>
  <c r="A15809" i="80"/>
  <c r="A15812" i="80"/>
  <c r="A15813" i="80"/>
  <c r="A15814" i="80"/>
  <c r="A15817" i="80"/>
  <c r="A15818" i="80"/>
  <c r="A15819" i="80"/>
  <c r="A15822" i="80"/>
  <c r="A15823" i="80"/>
  <c r="A15824" i="80"/>
  <c r="A15827" i="80"/>
  <c r="A15828" i="80"/>
  <c r="A15829" i="80"/>
  <c r="A15832" i="80"/>
  <c r="A15833" i="80"/>
  <c r="A15834" i="80"/>
  <c r="A15837" i="80"/>
  <c r="A15838" i="80"/>
  <c r="A15839" i="80"/>
  <c r="A15842" i="80"/>
  <c r="A15843" i="80"/>
  <c r="A15844" i="80"/>
  <c r="A15847" i="80"/>
  <c r="A15848" i="80"/>
  <c r="A15849" i="80"/>
  <c r="A15852" i="80"/>
  <c r="A15853" i="80"/>
  <c r="A15854" i="80"/>
  <c r="A15857" i="80"/>
  <c r="A15858" i="80"/>
  <c r="A15859" i="80"/>
  <c r="A15862" i="80"/>
  <c r="A15863" i="80"/>
  <c r="A15864" i="80"/>
  <c r="A15867" i="80"/>
  <c r="A15868" i="80"/>
  <c r="A15869" i="80"/>
  <c r="A15872" i="80"/>
  <c r="A15873" i="80"/>
  <c r="A15874" i="80"/>
  <c r="A15877" i="80"/>
  <c r="A15878" i="80"/>
  <c r="A15879" i="80"/>
  <c r="A15882" i="80"/>
  <c r="A15883" i="80"/>
  <c r="A15884" i="80"/>
  <c r="A15887" i="80"/>
  <c r="A15888" i="80"/>
  <c r="A15889" i="80"/>
  <c r="A15892" i="80"/>
  <c r="A15893" i="80"/>
  <c r="A15894" i="80"/>
  <c r="A15897" i="80"/>
  <c r="A15898" i="80"/>
  <c r="A15899" i="80"/>
  <c r="A15902" i="80"/>
  <c r="A15903" i="80"/>
  <c r="A15904" i="80"/>
  <c r="A15907" i="80"/>
  <c r="A15908" i="80"/>
  <c r="A15909" i="80"/>
  <c r="A15912" i="80"/>
  <c r="A15913" i="80"/>
  <c r="A15914" i="80"/>
  <c r="A15917" i="80"/>
  <c r="A15918" i="80"/>
  <c r="A15919" i="80"/>
  <c r="A15922" i="80"/>
  <c r="A15923" i="80"/>
  <c r="A15924" i="80"/>
  <c r="A15927" i="80"/>
  <c r="A15928" i="80"/>
  <c r="A15929" i="80"/>
  <c r="A15932" i="80"/>
  <c r="A15933" i="80"/>
  <c r="A15934" i="80"/>
  <c r="A15937" i="80"/>
  <c r="A15938" i="80"/>
  <c r="A15939" i="80"/>
  <c r="A15942" i="80"/>
  <c r="A15943" i="80"/>
  <c r="A15944" i="80"/>
  <c r="A15947" i="80"/>
  <c r="A15948" i="80"/>
  <c r="A15949" i="80"/>
  <c r="A15952" i="80"/>
  <c r="A15953" i="80"/>
  <c r="A15954" i="80"/>
  <c r="A15957" i="80"/>
  <c r="A15958" i="80"/>
  <c r="A15959" i="80"/>
  <c r="A15962" i="80"/>
  <c r="A15963" i="80"/>
  <c r="A15964" i="80"/>
  <c r="A15967" i="80"/>
  <c r="A15968" i="80"/>
  <c r="A15969" i="80"/>
  <c r="A15972" i="80"/>
  <c r="A15973" i="80"/>
  <c r="A15974" i="80"/>
  <c r="A15977" i="80"/>
  <c r="A15978" i="80"/>
  <c r="A15979" i="80"/>
  <c r="A15982" i="80"/>
  <c r="A15983" i="80"/>
  <c r="A15984" i="80"/>
  <c r="A15987" i="80"/>
  <c r="A15988" i="80"/>
  <c r="A15989" i="80"/>
  <c r="A15992" i="80"/>
  <c r="A15993" i="80"/>
  <c r="A15994" i="80"/>
  <c r="A15997" i="80"/>
  <c r="A15998" i="80"/>
  <c r="A15999" i="80"/>
  <c r="A16002" i="80"/>
  <c r="A16003" i="80"/>
  <c r="A16004" i="80"/>
  <c r="A16007" i="80"/>
  <c r="A16008" i="80"/>
  <c r="A16009" i="80"/>
  <c r="A16012" i="80"/>
  <c r="A16013" i="80"/>
  <c r="A16014" i="80"/>
  <c r="A16017" i="80"/>
  <c r="A16018" i="80"/>
  <c r="A16019" i="80"/>
  <c r="A16022" i="80"/>
  <c r="A16023" i="80"/>
  <c r="A16024" i="80"/>
  <c r="A16027" i="80"/>
  <c r="A16028" i="80"/>
  <c r="A16029" i="80"/>
  <c r="A16032" i="80"/>
  <c r="A16033" i="80"/>
  <c r="A16034" i="80"/>
  <c r="A16037" i="80"/>
  <c r="A16038" i="80"/>
  <c r="A16039" i="80"/>
  <c r="A16042" i="80"/>
  <c r="A16043" i="80"/>
  <c r="A16044" i="80"/>
  <c r="A16047" i="80"/>
  <c r="A16048" i="80"/>
  <c r="A16049" i="80"/>
  <c r="A16052" i="80"/>
  <c r="A16053" i="80"/>
  <c r="A16054" i="80"/>
  <c r="A16057" i="80"/>
  <c r="A16058" i="80"/>
  <c r="A16059" i="80"/>
  <c r="A16062" i="80"/>
  <c r="A16063" i="80"/>
  <c r="A16064" i="80"/>
  <c r="A16067" i="80"/>
  <c r="A16068" i="80"/>
  <c r="A16069" i="80"/>
  <c r="A16072" i="80"/>
  <c r="A16073" i="80"/>
  <c r="A16074" i="80"/>
  <c r="A16077" i="80"/>
  <c r="A16078" i="80"/>
  <c r="A16079" i="80"/>
  <c r="A16082" i="80"/>
  <c r="A16083" i="80"/>
  <c r="A16084" i="80"/>
  <c r="A16087" i="80"/>
  <c r="A16088" i="80"/>
  <c r="A16089" i="80"/>
  <c r="A16092" i="80"/>
  <c r="A16093" i="80"/>
  <c r="A16094" i="80"/>
  <c r="A16097" i="80"/>
  <c r="A16098" i="80"/>
  <c r="A16099" i="80"/>
  <c r="A16102" i="80"/>
  <c r="A16103" i="80"/>
  <c r="A16104" i="80"/>
  <c r="A16107" i="80"/>
  <c r="A16108" i="80"/>
  <c r="A16109" i="80"/>
  <c r="A16112" i="80"/>
  <c r="A16113" i="80"/>
  <c r="A16114" i="80"/>
  <c r="A16117" i="80"/>
  <c r="A16118" i="80"/>
  <c r="A16119" i="80"/>
  <c r="A16122" i="80"/>
  <c r="A16123" i="80"/>
  <c r="A16124" i="80"/>
  <c r="A16127" i="80"/>
  <c r="A16128" i="80"/>
  <c r="A16129" i="80"/>
  <c r="A16132" i="80"/>
  <c r="A16133" i="80"/>
  <c r="A16134" i="80"/>
  <c r="A16137" i="80"/>
  <c r="A16138" i="80"/>
  <c r="A16139" i="80"/>
  <c r="A16142" i="80"/>
  <c r="A16143" i="80"/>
  <c r="A16144" i="80"/>
  <c r="A16147" i="80"/>
  <c r="A16148" i="80"/>
  <c r="A16149" i="80"/>
  <c r="A16152" i="80"/>
  <c r="A16153" i="80"/>
  <c r="A16154" i="80"/>
  <c r="A16157" i="80"/>
  <c r="A16158" i="80"/>
  <c r="A16159" i="80"/>
  <c r="A16162" i="80"/>
  <c r="A16163" i="80"/>
  <c r="A16164" i="80"/>
  <c r="A16167" i="80"/>
  <c r="A16168" i="80"/>
  <c r="A16169" i="80"/>
  <c r="A16172" i="80"/>
  <c r="A16173" i="80"/>
  <c r="A16174" i="80"/>
  <c r="A16177" i="80"/>
  <c r="A16178" i="80"/>
  <c r="A16179" i="80"/>
  <c r="A16182" i="80"/>
  <c r="A16183" i="80"/>
  <c r="A16184" i="80"/>
  <c r="A16187" i="80"/>
  <c r="A16188" i="80"/>
  <c r="A16189" i="80"/>
  <c r="A16192" i="80"/>
  <c r="A16193" i="80"/>
  <c r="A16194" i="80"/>
  <c r="A16197" i="80"/>
  <c r="A16198" i="80"/>
  <c r="A16199" i="80"/>
  <c r="A16202" i="80"/>
  <c r="A16203" i="80"/>
  <c r="A16204" i="80"/>
  <c r="A16207" i="80"/>
  <c r="A16208" i="80"/>
  <c r="A16209" i="80"/>
  <c r="A16212" i="80"/>
  <c r="A16213" i="80"/>
  <c r="A16214" i="80"/>
  <c r="A16217" i="80"/>
  <c r="A16218" i="80"/>
  <c r="A16219" i="80"/>
  <c r="A16222" i="80"/>
  <c r="A16223" i="80"/>
  <c r="A16224" i="80"/>
  <c r="A16227" i="80"/>
  <c r="A16228" i="80"/>
  <c r="A16229" i="80"/>
  <c r="A16232" i="80"/>
  <c r="A16233" i="80"/>
  <c r="A16234" i="80"/>
  <c r="A16237" i="80"/>
  <c r="A16238" i="80"/>
  <c r="A16239" i="80"/>
  <c r="A16242" i="80"/>
  <c r="A16243" i="80"/>
  <c r="A16244" i="80"/>
  <c r="A16247" i="80"/>
  <c r="A16248" i="80"/>
  <c r="A16249" i="80"/>
  <c r="A16252" i="80"/>
  <c r="A16253" i="80"/>
  <c r="A16254" i="80"/>
  <c r="A16257" i="80"/>
  <c r="A16258" i="80"/>
  <c r="A16259" i="80"/>
  <c r="A16262" i="80"/>
  <c r="A16263" i="80"/>
  <c r="A16264" i="80"/>
  <c r="A16267" i="80"/>
  <c r="A16268" i="80"/>
  <c r="A16269" i="80"/>
  <c r="A16272" i="80"/>
  <c r="A16273" i="80"/>
  <c r="A16274" i="80"/>
  <c r="A16277" i="80"/>
  <c r="A16278" i="80"/>
  <c r="A16279" i="80"/>
  <c r="A16282" i="80"/>
  <c r="A16283" i="80"/>
  <c r="A16284" i="80"/>
  <c r="A16287" i="80"/>
  <c r="A16288" i="80"/>
  <c r="A16289" i="80"/>
  <c r="A16292" i="80"/>
  <c r="A16293" i="80"/>
  <c r="A16294" i="80"/>
  <c r="A16297" i="80"/>
  <c r="A16298" i="80"/>
  <c r="A16299" i="80"/>
  <c r="A16302" i="80"/>
  <c r="A16303" i="80"/>
  <c r="A16304" i="80"/>
  <c r="A16307" i="80"/>
  <c r="A16308" i="80"/>
  <c r="A16309" i="80"/>
  <c r="A16312" i="80"/>
  <c r="A16313" i="80"/>
  <c r="A16314" i="80"/>
  <c r="A16317" i="80"/>
  <c r="A16318" i="80"/>
  <c r="A16319" i="80"/>
  <c r="A16322" i="80"/>
  <c r="A16323" i="80"/>
  <c r="A16324" i="80"/>
  <c r="A16327" i="80"/>
  <c r="A16328" i="80"/>
  <c r="A16329" i="80"/>
  <c r="A16332" i="80"/>
  <c r="A16333" i="80"/>
  <c r="A16334" i="80"/>
  <c r="A16337" i="80"/>
  <c r="A16338" i="80"/>
  <c r="A16339" i="80"/>
  <c r="A16342" i="80"/>
  <c r="A16343" i="80"/>
  <c r="A16344" i="80"/>
  <c r="A16347" i="80"/>
  <c r="A16348" i="80"/>
  <c r="A16349" i="80"/>
  <c r="A16352" i="80"/>
  <c r="A16353" i="80"/>
  <c r="A16354" i="80"/>
  <c r="A16357" i="80"/>
  <c r="A16358" i="80"/>
  <c r="A16359" i="80"/>
  <c r="A16362" i="80"/>
  <c r="A16363" i="80"/>
  <c r="A16364" i="80"/>
  <c r="A16367" i="80"/>
  <c r="A16368" i="80"/>
  <c r="A16369" i="80"/>
  <c r="A16372" i="80"/>
  <c r="A16373" i="80"/>
  <c r="A16374" i="80"/>
  <c r="A16377" i="80"/>
  <c r="A16378" i="80"/>
  <c r="A16379" i="80"/>
  <c r="A16382" i="80"/>
  <c r="A16383" i="80"/>
  <c r="A16384" i="80"/>
  <c r="A16387" i="80"/>
  <c r="A16388" i="80"/>
  <c r="A16389" i="80"/>
  <c r="A16392" i="80"/>
  <c r="A16393" i="80"/>
  <c r="A16394" i="80"/>
  <c r="A16397" i="80"/>
  <c r="A16398" i="80"/>
  <c r="A16399" i="80"/>
  <c r="A16402" i="80"/>
  <c r="A16403" i="80"/>
  <c r="A16404" i="80"/>
  <c r="A16407" i="80"/>
  <c r="A16408" i="80"/>
  <c r="A16409" i="80"/>
  <c r="A16412" i="80"/>
  <c r="A16413" i="80"/>
  <c r="A16414" i="80"/>
  <c r="A16417" i="80"/>
  <c r="A16418" i="80"/>
  <c r="A16419" i="80"/>
  <c r="A16422" i="80"/>
  <c r="A16423" i="80"/>
  <c r="A16424" i="80"/>
  <c r="A16427" i="80"/>
  <c r="A16428" i="80"/>
  <c r="A16429" i="80"/>
  <c r="A16432" i="80"/>
  <c r="A16433" i="80"/>
  <c r="A16434" i="80"/>
  <c r="A16437" i="80"/>
  <c r="A16438" i="80"/>
  <c r="A16439" i="80"/>
  <c r="A16442" i="80"/>
  <c r="A16443" i="80"/>
  <c r="A16444" i="80"/>
  <c r="A16447" i="80"/>
  <c r="A16448" i="80"/>
  <c r="A16449" i="80"/>
  <c r="A16452" i="80"/>
  <c r="A16453" i="80"/>
  <c r="A16454" i="80"/>
  <c r="A16457" i="80"/>
  <c r="A16458" i="80"/>
  <c r="A16459" i="80"/>
  <c r="A16462" i="80"/>
  <c r="A16463" i="80"/>
  <c r="A16464" i="80"/>
  <c r="A16467" i="80"/>
  <c r="A16468" i="80"/>
  <c r="A16469" i="80"/>
  <c r="A16472" i="80"/>
  <c r="A16473" i="80"/>
  <c r="A16474" i="80"/>
  <c r="A16477" i="80"/>
  <c r="A16478" i="80"/>
  <c r="A16479" i="80"/>
  <c r="A16482" i="80"/>
  <c r="A16483" i="80"/>
  <c r="A16484" i="80"/>
  <c r="A16487" i="80"/>
  <c r="A16488" i="80"/>
  <c r="A16489" i="80"/>
  <c r="A16492" i="80"/>
  <c r="A16493" i="80"/>
  <c r="A16494" i="80"/>
  <c r="A16497" i="80"/>
  <c r="A16498" i="80"/>
  <c r="A16499" i="80"/>
  <c r="A16502" i="80"/>
  <c r="A16503" i="80"/>
  <c r="A16504" i="80"/>
  <c r="A16507" i="80"/>
  <c r="A16508" i="80"/>
  <c r="A16509" i="80"/>
  <c r="A16512" i="80"/>
  <c r="A16513" i="80"/>
  <c r="A16514" i="80"/>
  <c r="A16517" i="80"/>
  <c r="A16518" i="80"/>
  <c r="A16519" i="80"/>
  <c r="A16522" i="80"/>
  <c r="A16523" i="80"/>
  <c r="A16524" i="80"/>
  <c r="A16527" i="80"/>
  <c r="A16528" i="80"/>
  <c r="A16529" i="80"/>
  <c r="A16532" i="80"/>
  <c r="A16533" i="80"/>
  <c r="A16534" i="80"/>
  <c r="A16537" i="80"/>
  <c r="A16538" i="80"/>
  <c r="A16539" i="80"/>
  <c r="A16542" i="80"/>
  <c r="A16543" i="80"/>
  <c r="A16544" i="80"/>
  <c r="A16547" i="80"/>
  <c r="A16548" i="80"/>
  <c r="A16549" i="80"/>
  <c r="A16552" i="80"/>
  <c r="A16553" i="80"/>
  <c r="A16554" i="80"/>
  <c r="A16557" i="80"/>
  <c r="A16558" i="80"/>
  <c r="A16559" i="80"/>
  <c r="A16562" i="80"/>
  <c r="A16563" i="80"/>
  <c r="A16564" i="80"/>
  <c r="A16567" i="80"/>
  <c r="A16568" i="80"/>
  <c r="A16569" i="80"/>
  <c r="A16572" i="80"/>
  <c r="A16573" i="80"/>
  <c r="A16574" i="80"/>
  <c r="A16577" i="80"/>
  <c r="A16578" i="80"/>
  <c r="A16579" i="80"/>
  <c r="A16582" i="80"/>
  <c r="A16583" i="80"/>
  <c r="A16584" i="80"/>
  <c r="A16587" i="80"/>
  <c r="A16588" i="80"/>
  <c r="A16589" i="80"/>
  <c r="A16592" i="80"/>
  <c r="A16593" i="80"/>
  <c r="A16594" i="80"/>
  <c r="A16597" i="80"/>
  <c r="A16598" i="80"/>
  <c r="A16599" i="80"/>
  <c r="A16602" i="80"/>
  <c r="A16603" i="80"/>
  <c r="A16604" i="80"/>
  <c r="A16607" i="80"/>
  <c r="A16608" i="80"/>
  <c r="A16609" i="80"/>
  <c r="A16612" i="80"/>
  <c r="A16613" i="80"/>
  <c r="A16614" i="80"/>
  <c r="A16617" i="80"/>
  <c r="A16618" i="80"/>
  <c r="A16619" i="80"/>
  <c r="A16622" i="80"/>
  <c r="A16623" i="80"/>
  <c r="A16624" i="80"/>
  <c r="A16627" i="80"/>
  <c r="A16628" i="80"/>
  <c r="A16629" i="80"/>
  <c r="A16632" i="80"/>
  <c r="A16633" i="80"/>
  <c r="A16634" i="80"/>
  <c r="A16637" i="80"/>
  <c r="A16638" i="80"/>
  <c r="A16639" i="80"/>
  <c r="A16642" i="80"/>
  <c r="A16643" i="80"/>
  <c r="A16644" i="80"/>
  <c r="A16647" i="80"/>
  <c r="A16648" i="80"/>
  <c r="A16649" i="80"/>
  <c r="A16652" i="80"/>
  <c r="A16653" i="80"/>
  <c r="A16654" i="80"/>
  <c r="A16657" i="80"/>
  <c r="A16658" i="80"/>
  <c r="A16659" i="80"/>
  <c r="A16662" i="80"/>
  <c r="A16663" i="80"/>
  <c r="A16664" i="80"/>
  <c r="A16667" i="80"/>
  <c r="A16668" i="80"/>
  <c r="A16669" i="80"/>
  <c r="A16672" i="80"/>
  <c r="A16673" i="80"/>
  <c r="A16674" i="80"/>
  <c r="A16677" i="80"/>
  <c r="A16678" i="80"/>
  <c r="A16679" i="80"/>
  <c r="A16682" i="80"/>
  <c r="A16683" i="80"/>
  <c r="A16684" i="80"/>
  <c r="A16687" i="80"/>
  <c r="A16688" i="80"/>
  <c r="A16689" i="80"/>
  <c r="A16692" i="80"/>
  <c r="A16693" i="80"/>
  <c r="A16694" i="80"/>
  <c r="A16697" i="80"/>
  <c r="A16698" i="80"/>
  <c r="A16699" i="80"/>
  <c r="A16702" i="80"/>
  <c r="A16703" i="80"/>
  <c r="A16704" i="80"/>
  <c r="A16707" i="80"/>
  <c r="A16708" i="80"/>
  <c r="A16709" i="80"/>
  <c r="A16712" i="80"/>
  <c r="A16713" i="80"/>
  <c r="A16714" i="80"/>
  <c r="A16717" i="80"/>
  <c r="A16718" i="80"/>
  <c r="A16719" i="80"/>
  <c r="A16722" i="80"/>
  <c r="A16723" i="80"/>
  <c r="A16724" i="80"/>
  <c r="A16727" i="80"/>
  <c r="A16728" i="80"/>
  <c r="A16729" i="80"/>
  <c r="A16732" i="80"/>
  <c r="A16733" i="80"/>
  <c r="A16734" i="80"/>
  <c r="A16737" i="80"/>
  <c r="A16738" i="80"/>
  <c r="A16739" i="80"/>
  <c r="A16742" i="80"/>
  <c r="A16743" i="80"/>
  <c r="A16744" i="80"/>
  <c r="A16747" i="80"/>
  <c r="A16748" i="80"/>
  <c r="A16749" i="80"/>
  <c r="A16752" i="80"/>
  <c r="A16753" i="80"/>
  <c r="A16754" i="80"/>
  <c r="A16757" i="80"/>
  <c r="A16758" i="80"/>
  <c r="A16759" i="80"/>
  <c r="A16762" i="80"/>
  <c r="A16763" i="80"/>
  <c r="A16764" i="80"/>
  <c r="A16767" i="80"/>
  <c r="A16768" i="80"/>
  <c r="A16769" i="80"/>
  <c r="A16772" i="80"/>
  <c r="A16773" i="80"/>
  <c r="A16774" i="80"/>
  <c r="A16777" i="80"/>
  <c r="A16778" i="80"/>
  <c r="A16779" i="80"/>
  <c r="A16782" i="80"/>
  <c r="A16783" i="80"/>
  <c r="A16784" i="80"/>
  <c r="A16787" i="80"/>
  <c r="A16788" i="80"/>
  <c r="A16789" i="80"/>
  <c r="A16792" i="80"/>
  <c r="A16793" i="80"/>
  <c r="A16794" i="80"/>
  <c r="A16797" i="80"/>
  <c r="A16798" i="80"/>
  <c r="A16799" i="80"/>
  <c r="A16802" i="80"/>
  <c r="A16803" i="80"/>
  <c r="A16804" i="80"/>
  <c r="A16807" i="80"/>
  <c r="A16808" i="80"/>
  <c r="A16809" i="80"/>
  <c r="A16812" i="80"/>
  <c r="A16813" i="80"/>
  <c r="A16814" i="80"/>
  <c r="A16817" i="80"/>
  <c r="A16818" i="80"/>
  <c r="A16819" i="80"/>
  <c r="A16822" i="80"/>
  <c r="A16823" i="80"/>
  <c r="A16824" i="80"/>
  <c r="A16827" i="80"/>
  <c r="A16828" i="80"/>
  <c r="A16829" i="80"/>
  <c r="A16832" i="80"/>
  <c r="A16833" i="80"/>
  <c r="A16834" i="80"/>
  <c r="A16837" i="80"/>
  <c r="A16838" i="80"/>
  <c r="A16839" i="80"/>
  <c r="A16842" i="80"/>
  <c r="A16843" i="80"/>
  <c r="A16844" i="80"/>
  <c r="A16847" i="80"/>
  <c r="A16848" i="80"/>
  <c r="A16849" i="80"/>
  <c r="A16852" i="80"/>
  <c r="A16853" i="80"/>
  <c r="A16854" i="80"/>
  <c r="A16857" i="80"/>
  <c r="A16858" i="80"/>
  <c r="A16859" i="80"/>
  <c r="A16862" i="80"/>
  <c r="A16863" i="80"/>
  <c r="A16864" i="80"/>
  <c r="A16867" i="80"/>
  <c r="A16868" i="80"/>
  <c r="A16869" i="80"/>
  <c r="A16872" i="80"/>
  <c r="A16873" i="80"/>
  <c r="A16874" i="80"/>
  <c r="A16877" i="80"/>
  <c r="A16878" i="80"/>
  <c r="A16879" i="80"/>
  <c r="A16882" i="80"/>
  <c r="A16883" i="80"/>
  <c r="A16884" i="80"/>
  <c r="A16887" i="80"/>
  <c r="A16888" i="80"/>
  <c r="A16889" i="80"/>
  <c r="A16892" i="80"/>
  <c r="A16893" i="80"/>
  <c r="A16894" i="80"/>
  <c r="A16897" i="80"/>
  <c r="A16898" i="80"/>
  <c r="A16899" i="80"/>
  <c r="A16902" i="80"/>
  <c r="A16903" i="80"/>
  <c r="A16904" i="80"/>
  <c r="A16907" i="80"/>
  <c r="A16908" i="80"/>
  <c r="A16909" i="80"/>
  <c r="A16912" i="80"/>
  <c r="A16913" i="80"/>
  <c r="A16914" i="80"/>
  <c r="A16917" i="80"/>
  <c r="A16918" i="80"/>
  <c r="A16919" i="80"/>
  <c r="A16922" i="80"/>
  <c r="A16923" i="80"/>
  <c r="A16924" i="80"/>
  <c r="A16927" i="80"/>
  <c r="A16928" i="80"/>
  <c r="A16929" i="80"/>
  <c r="A16932" i="80"/>
  <c r="A16933" i="80"/>
  <c r="A16934" i="80"/>
  <c r="A16937" i="80"/>
  <c r="A16938" i="80"/>
  <c r="A16939" i="80"/>
  <c r="A16942" i="80"/>
  <c r="A16943" i="80"/>
  <c r="A16944" i="80"/>
  <c r="A16947" i="80"/>
  <c r="A16948" i="80"/>
  <c r="A16949" i="80"/>
  <c r="A16952" i="80"/>
  <c r="A16953" i="80"/>
  <c r="A16954" i="80"/>
  <c r="A16957" i="80"/>
  <c r="A16958" i="80"/>
  <c r="A16959" i="80"/>
  <c r="A16962" i="80"/>
  <c r="A16963" i="80"/>
  <c r="A16964" i="80"/>
  <c r="A16967" i="80"/>
  <c r="A16968" i="80"/>
  <c r="A16969" i="80"/>
  <c r="A16972" i="80"/>
  <c r="A16973" i="80"/>
  <c r="A16974" i="80"/>
  <c r="A16977" i="80"/>
  <c r="A16978" i="80"/>
  <c r="A16979" i="80"/>
  <c r="A16982" i="80"/>
  <c r="A16983" i="80"/>
  <c r="A16984" i="80"/>
  <c r="A16987" i="80"/>
  <c r="A16988" i="80"/>
  <c r="A16989" i="80"/>
  <c r="A16992" i="80"/>
  <c r="A16993" i="80"/>
  <c r="A16994" i="80"/>
  <c r="A16997" i="80"/>
  <c r="A16998" i="80"/>
  <c r="A16999" i="80"/>
  <c r="A17002" i="80"/>
  <c r="A17003" i="80"/>
  <c r="A17004" i="80"/>
  <c r="A17007" i="80"/>
  <c r="A17008" i="80"/>
  <c r="A17009" i="80"/>
  <c r="A17012" i="80"/>
  <c r="A17013" i="80"/>
  <c r="A17014" i="80"/>
  <c r="A17017" i="80"/>
  <c r="A17018" i="80"/>
  <c r="A17019" i="80"/>
  <c r="A17022" i="80"/>
  <c r="A17023" i="80"/>
  <c r="A17024" i="80"/>
  <c r="A17027" i="80"/>
  <c r="A17028" i="80"/>
  <c r="A17029" i="80"/>
  <c r="A17032" i="80"/>
  <c r="A17033" i="80"/>
  <c r="A17034" i="80"/>
  <c r="A17037" i="80"/>
  <c r="A17038" i="80"/>
  <c r="A17039" i="80"/>
  <c r="A17042" i="80"/>
  <c r="A17043" i="80"/>
  <c r="A17044" i="80"/>
  <c r="A17047" i="80"/>
  <c r="A17048" i="80"/>
  <c r="A17049" i="80"/>
  <c r="A17052" i="80"/>
  <c r="A17053" i="80"/>
  <c r="A17054" i="80"/>
  <c r="A17057" i="80"/>
  <c r="A17058" i="80"/>
  <c r="A17059" i="80"/>
  <c r="A17062" i="80"/>
  <c r="A17063" i="80"/>
  <c r="A17064" i="80"/>
  <c r="A17067" i="80"/>
  <c r="A17068" i="80"/>
  <c r="A17069" i="80"/>
  <c r="A17072" i="80"/>
  <c r="A17073" i="80"/>
  <c r="A17074" i="80"/>
  <c r="A17077" i="80"/>
  <c r="A17078" i="80"/>
  <c r="A17079" i="80"/>
  <c r="A17082" i="80"/>
  <c r="A17083" i="80"/>
  <c r="A17084" i="80"/>
  <c r="A17087" i="80"/>
  <c r="A17088" i="80"/>
  <c r="A17089" i="80"/>
  <c r="A17092" i="80"/>
  <c r="A17093" i="80"/>
  <c r="A17094" i="80"/>
  <c r="A17097" i="80"/>
  <c r="A17098" i="80"/>
  <c r="A17099" i="80"/>
  <c r="A17102" i="80"/>
  <c r="A17103" i="80"/>
  <c r="A17104" i="80"/>
  <c r="A17107" i="80"/>
  <c r="A17108" i="80"/>
  <c r="A17109" i="80"/>
  <c r="A17112" i="80"/>
  <c r="A17113" i="80"/>
  <c r="A17114" i="80"/>
  <c r="A17117" i="80"/>
  <c r="A17118" i="80"/>
  <c r="A17119" i="80"/>
  <c r="A17122" i="80"/>
  <c r="A17123" i="80"/>
  <c r="A17124" i="80"/>
  <c r="A17127" i="80"/>
  <c r="A17128" i="80"/>
  <c r="A17129" i="80"/>
  <c r="A17132" i="80"/>
  <c r="A17133" i="80"/>
  <c r="A17134" i="80"/>
  <c r="A17137" i="80"/>
  <c r="A17138" i="80"/>
  <c r="A17139" i="80"/>
  <c r="A17142" i="80"/>
  <c r="A17143" i="80"/>
  <c r="A17144" i="80"/>
  <c r="A17147" i="80"/>
  <c r="A17148" i="80"/>
  <c r="A17149" i="80"/>
  <c r="A17152" i="80"/>
  <c r="A17153" i="80"/>
  <c r="A17154" i="80"/>
  <c r="A17157" i="80"/>
  <c r="A17158" i="80"/>
  <c r="A17159" i="80"/>
  <c r="A17162" i="80"/>
  <c r="A17163" i="80"/>
  <c r="A17164" i="80"/>
  <c r="A17167" i="80"/>
  <c r="A17168" i="80"/>
  <c r="A17169" i="80"/>
  <c r="A17172" i="80"/>
  <c r="A17173" i="80"/>
  <c r="A17174" i="80"/>
  <c r="A17177" i="80"/>
  <c r="A17178" i="80"/>
  <c r="A17179" i="80"/>
  <c r="A17182" i="80"/>
  <c r="A17183" i="80"/>
  <c r="A17184" i="80"/>
  <c r="A17187" i="80"/>
  <c r="A17188" i="80"/>
  <c r="A17189" i="80"/>
  <c r="A17192" i="80"/>
  <c r="A17193" i="80"/>
  <c r="A17194" i="80"/>
  <c r="A17197" i="80"/>
  <c r="A17198" i="80"/>
  <c r="A17199" i="80"/>
  <c r="A17202" i="80"/>
  <c r="A17203" i="80"/>
  <c r="A17204" i="80"/>
  <c r="A17207" i="80"/>
  <c r="A17208" i="80"/>
  <c r="A17209" i="80"/>
  <c r="A17212" i="80"/>
  <c r="A17213" i="80"/>
  <c r="A17214" i="80"/>
  <c r="A17217" i="80"/>
  <c r="A17218" i="80"/>
  <c r="A17219" i="80"/>
  <c r="A17222" i="80"/>
  <c r="A17223" i="80"/>
  <c r="A17224" i="80"/>
  <c r="A17227" i="80"/>
  <c r="A17228" i="80"/>
  <c r="A17229" i="80"/>
  <c r="A17232" i="80"/>
  <c r="A17233" i="80"/>
  <c r="A17234" i="80"/>
  <c r="A17237" i="80"/>
  <c r="A17238" i="80"/>
  <c r="A17239" i="80"/>
  <c r="A17242" i="80"/>
  <c r="A17243" i="80"/>
  <c r="A17244" i="80"/>
  <c r="A17247" i="80"/>
  <c r="A17248" i="80"/>
  <c r="A17249" i="80"/>
  <c r="A17252" i="80"/>
  <c r="A17253" i="80"/>
  <c r="A17254" i="80"/>
  <c r="A17257" i="80"/>
  <c r="A17258" i="80"/>
  <c r="A17259" i="80"/>
  <c r="A17262" i="80"/>
  <c r="A17263" i="80"/>
  <c r="A17264" i="80"/>
  <c r="A17267" i="80"/>
  <c r="A17268" i="80"/>
  <c r="A17269" i="80"/>
  <c r="A17272" i="80"/>
  <c r="A17273" i="80"/>
  <c r="A17274" i="80"/>
  <c r="A17277" i="80"/>
  <c r="A17278" i="80"/>
  <c r="A17279" i="80"/>
  <c r="A17282" i="80"/>
  <c r="A17283" i="80"/>
  <c r="A17284" i="80"/>
  <c r="A17287" i="80"/>
  <c r="A17288" i="80"/>
  <c r="A17289" i="80"/>
  <c r="A17290" i="80"/>
  <c r="A17291" i="80"/>
  <c r="A17293" i="80"/>
  <c r="A17294" i="80"/>
  <c r="A17295" i="80"/>
  <c r="A17296" i="80"/>
  <c r="A17297" i="80"/>
  <c r="A17299" i="80"/>
  <c r="A17300" i="80"/>
  <c r="A17301" i="80"/>
  <c r="A17302" i="80"/>
  <c r="A17303" i="80"/>
  <c r="A17305" i="80"/>
  <c r="A17306" i="80"/>
  <c r="A17307" i="80"/>
  <c r="A17308" i="80"/>
  <c r="A17309" i="80"/>
  <c r="A17311" i="80"/>
  <c r="A17312" i="80"/>
  <c r="A17313" i="80"/>
  <c r="A17314" i="80"/>
  <c r="A17315" i="80"/>
  <c r="A17317" i="80"/>
  <c r="A17318" i="80"/>
  <c r="A17319" i="80"/>
  <c r="A17320" i="80"/>
  <c r="A17321" i="80"/>
  <c r="A17323" i="80"/>
  <c r="A17324" i="80"/>
  <c r="A17325" i="80"/>
  <c r="A17326" i="80"/>
  <c r="A17327" i="80"/>
  <c r="A17328" i="80"/>
  <c r="A17329" i="80"/>
  <c r="A17331" i="80"/>
  <c r="A17332" i="80"/>
  <c r="A17333" i="80"/>
  <c r="A17334" i="80"/>
  <c r="A17335" i="80"/>
  <c r="A17337" i="80"/>
  <c r="A17338" i="80"/>
  <c r="A17339" i="80"/>
  <c r="A17340" i="80"/>
  <c r="A17341" i="80"/>
  <c r="A17343" i="80"/>
  <c r="A17344" i="80"/>
  <c r="A17345" i="80"/>
  <c r="A17346" i="80"/>
  <c r="A17347" i="80"/>
  <c r="A17349" i="80"/>
  <c r="A17350" i="80"/>
  <c r="A17351" i="80"/>
  <c r="A17352" i="80"/>
  <c r="A17353" i="80"/>
  <c r="A17354" i="80"/>
  <c r="A17355" i="80"/>
  <c r="A17356" i="80"/>
  <c r="A17357" i="80"/>
  <c r="A17358" i="80"/>
  <c r="A17360" i="80"/>
  <c r="A17361" i="80"/>
  <c r="A17362" i="80"/>
  <c r="A17363" i="80"/>
  <c r="A17364" i="80"/>
  <c r="A17366" i="80"/>
  <c r="A17367" i="80"/>
  <c r="A17368" i="80"/>
  <c r="A17369" i="80"/>
  <c r="A17370" i="80"/>
  <c r="A17372" i="80"/>
  <c r="A17373" i="80"/>
  <c r="A17374" i="80"/>
  <c r="A17375" i="80"/>
  <c r="A17376" i="80"/>
  <c r="A17378" i="80"/>
  <c r="A17379" i="80"/>
  <c r="A17380" i="80"/>
  <c r="A17381" i="80"/>
  <c r="A17382" i="80"/>
  <c r="A17384" i="80"/>
  <c r="A17385" i="80"/>
  <c r="A17386" i="80"/>
  <c r="A17387" i="80"/>
  <c r="A17388" i="80"/>
  <c r="A17390" i="80"/>
  <c r="A17391" i="80"/>
  <c r="A17392" i="80"/>
  <c r="A17393" i="80"/>
  <c r="A17394" i="80"/>
  <c r="A17396" i="80"/>
  <c r="A17397" i="80"/>
  <c r="A17398" i="80"/>
  <c r="A17399" i="80"/>
  <c r="A17400" i="80"/>
  <c r="A17402" i="80"/>
  <c r="A17403" i="80"/>
  <c r="A17404" i="80"/>
  <c r="A17405" i="80"/>
  <c r="A17406" i="80"/>
  <c r="A17408" i="80"/>
  <c r="A17409" i="80"/>
  <c r="A17410" i="80"/>
  <c r="A17411" i="80"/>
  <c r="A17412" i="80"/>
  <c r="A17414" i="80"/>
  <c r="A17415" i="80"/>
  <c r="A17416" i="80"/>
  <c r="A17417" i="80"/>
  <c r="A17418" i="80"/>
  <c r="A17420" i="80"/>
  <c r="A17421" i="80"/>
  <c r="A17422" i="80"/>
  <c r="A17423" i="80"/>
  <c r="A17424" i="80"/>
  <c r="A17426" i="80"/>
  <c r="A17427" i="80"/>
  <c r="A17428" i="80"/>
  <c r="A17429" i="80"/>
  <c r="A17430" i="80"/>
  <c r="A17432" i="80"/>
  <c r="A17433" i="80"/>
  <c r="A17434" i="80"/>
  <c r="A17435" i="80"/>
  <c r="A17436" i="80"/>
  <c r="A17438" i="80"/>
  <c r="A17439" i="80"/>
  <c r="A17440" i="80"/>
  <c r="A17441" i="80"/>
  <c r="A17442" i="80"/>
  <c r="A17444" i="80"/>
  <c r="A17445" i="80"/>
  <c r="A17446" i="80"/>
  <c r="A17447" i="80"/>
  <c r="A17448" i="80"/>
  <c r="A17450" i="80"/>
  <c r="A17451" i="80"/>
  <c r="A17452" i="80"/>
  <c r="A17453" i="80"/>
  <c r="A17454" i="80"/>
  <c r="A17456" i="80"/>
  <c r="A17457" i="80"/>
  <c r="A17458" i="80"/>
  <c r="A17459" i="80"/>
  <c r="A17460" i="80"/>
  <c r="A17462" i="80"/>
  <c r="A17463" i="80"/>
  <c r="A17464" i="80"/>
  <c r="A17465" i="80"/>
  <c r="A17466" i="80"/>
  <c r="A17468" i="80"/>
  <c r="A17469" i="80"/>
  <c r="A17470" i="80"/>
  <c r="A17471" i="80"/>
  <c r="A17472" i="80"/>
  <c r="A17474" i="80"/>
  <c r="A17475" i="80"/>
  <c r="A17476" i="80"/>
  <c r="A17477" i="80"/>
  <c r="A17478" i="80"/>
  <c r="A17480" i="80"/>
  <c r="A17481" i="80"/>
  <c r="A17482" i="80"/>
  <c r="A17483" i="80"/>
  <c r="A17484" i="80"/>
  <c r="A17486" i="80"/>
  <c r="A17487" i="80"/>
  <c r="A17488" i="80"/>
  <c r="A17489" i="80"/>
  <c r="A17490" i="80"/>
  <c r="A17492" i="80"/>
  <c r="A17493" i="80"/>
  <c r="A17494" i="80"/>
  <c r="A17495" i="80"/>
  <c r="A17496" i="80"/>
  <c r="A17498" i="80"/>
  <c r="A17499" i="80"/>
  <c r="A17500" i="80"/>
  <c r="A17501" i="80"/>
  <c r="A17502" i="80"/>
  <c r="A17504" i="80"/>
  <c r="A17505" i="80"/>
  <c r="A17506" i="80"/>
  <c r="A17507" i="80"/>
  <c r="A17508" i="80"/>
  <c r="A17510" i="80"/>
  <c r="A17511" i="80"/>
  <c r="A17512" i="80"/>
  <c r="A17513" i="80"/>
  <c r="A17514" i="80"/>
  <c r="A17516" i="80"/>
  <c r="A17517" i="80"/>
  <c r="A17518" i="80"/>
  <c r="A17519" i="80"/>
  <c r="A17520" i="80"/>
  <c r="A17522" i="80"/>
  <c r="A17523" i="80"/>
  <c r="A17524" i="80"/>
  <c r="A17525" i="80"/>
  <c r="A17526" i="80"/>
  <c r="A17528" i="80"/>
  <c r="A17529" i="80"/>
  <c r="A17530" i="80"/>
  <c r="A17531" i="80"/>
  <c r="A17532" i="80"/>
  <c r="A17534" i="80"/>
  <c r="A17535" i="80"/>
  <c r="A17536" i="80"/>
  <c r="A17537" i="80"/>
  <c r="A17538" i="80"/>
  <c r="A17540" i="80"/>
  <c r="A17541" i="80"/>
  <c r="A17542" i="80"/>
  <c r="A17543" i="80"/>
  <c r="A17544" i="80"/>
  <c r="A17546" i="80"/>
  <c r="A17547" i="80"/>
  <c r="A17548" i="80"/>
  <c r="A17549" i="80"/>
  <c r="A17550" i="80"/>
  <c r="A17552" i="80"/>
  <c r="A17553" i="80"/>
  <c r="A17554" i="80"/>
  <c r="A17555" i="80"/>
  <c r="A17556" i="80"/>
  <c r="A17558" i="80"/>
  <c r="A17559" i="80"/>
  <c r="A17560" i="80"/>
  <c r="A17561" i="80"/>
  <c r="A17562" i="80"/>
  <c r="A17564" i="80"/>
  <c r="A17565" i="80"/>
  <c r="A17566" i="80"/>
  <c r="A17567" i="80"/>
  <c r="A17568" i="80"/>
  <c r="A17570" i="80"/>
  <c r="A17571" i="80"/>
  <c r="A17572" i="80"/>
  <c r="A17573" i="80"/>
  <c r="A17574" i="80"/>
  <c r="A17576" i="80"/>
  <c r="A17577" i="80"/>
  <c r="A17578" i="80"/>
  <c r="A17579" i="80"/>
  <c r="A17580" i="80"/>
  <c r="A17582" i="80"/>
  <c r="A17583" i="80"/>
  <c r="A17584" i="80"/>
  <c r="A17585" i="80"/>
  <c r="A17586" i="80"/>
  <c r="A17588" i="80"/>
  <c r="A17589" i="80"/>
  <c r="A17590" i="80"/>
  <c r="A17591" i="80"/>
  <c r="A17592" i="80"/>
  <c r="A17594" i="80"/>
  <c r="A17595" i="80"/>
  <c r="A17596" i="80"/>
  <c r="A17597" i="80"/>
  <c r="A17598" i="80"/>
  <c r="A17600" i="80"/>
  <c r="A17601" i="80"/>
  <c r="A17602" i="80"/>
  <c r="A17603" i="80"/>
  <c r="A17604" i="80"/>
  <c r="A17606" i="80"/>
  <c r="A17607" i="80"/>
  <c r="A17608" i="80"/>
  <c r="A17609" i="80"/>
  <c r="A17610" i="80"/>
  <c r="A17612" i="80"/>
  <c r="A17613" i="80"/>
  <c r="A17614" i="80"/>
  <c r="A17615" i="80"/>
  <c r="A17616" i="80"/>
  <c r="A17618" i="80"/>
  <c r="A17619" i="80"/>
  <c r="A17620" i="80"/>
  <c r="A17621" i="80"/>
  <c r="A17622" i="80"/>
  <c r="A17624" i="80"/>
  <c r="A17625" i="80"/>
  <c r="A17626" i="80"/>
  <c r="A17627" i="80"/>
  <c r="A17628" i="80"/>
  <c r="A17630" i="80"/>
  <c r="A17631" i="80"/>
  <c r="A17632" i="80"/>
  <c r="A17633" i="80"/>
  <c r="A17634" i="80"/>
  <c r="A17636" i="80"/>
  <c r="A17637" i="80"/>
  <c r="A17638" i="80"/>
  <c r="A17639" i="80"/>
  <c r="A17640" i="80"/>
  <c r="A17642" i="80"/>
  <c r="A17643" i="80"/>
  <c r="A17644" i="80"/>
  <c r="A17645" i="80"/>
  <c r="A17646" i="80"/>
  <c r="A17648" i="80"/>
  <c r="A17649" i="80"/>
  <c r="A17650" i="80"/>
  <c r="A17651" i="80"/>
  <c r="A17652" i="80"/>
  <c r="A17654" i="80"/>
  <c r="A17655" i="80"/>
  <c r="A17656" i="80"/>
  <c r="A17657" i="80"/>
  <c r="A17658" i="80"/>
  <c r="A17660" i="80"/>
  <c r="A17661" i="80"/>
  <c r="A17662" i="80"/>
  <c r="A17663" i="80"/>
  <c r="A17664" i="80"/>
  <c r="A17666" i="80"/>
  <c r="A17667" i="80"/>
  <c r="A17668" i="80"/>
  <c r="A17669" i="80"/>
  <c r="A17670" i="80"/>
  <c r="A17672" i="80"/>
  <c r="A17673" i="80"/>
  <c r="A17674" i="80"/>
  <c r="A17675" i="80"/>
  <c r="A17676" i="80"/>
  <c r="A17678" i="80"/>
  <c r="A17679" i="80"/>
  <c r="A17680" i="80"/>
  <c r="A17681" i="80"/>
  <c r="A17682" i="80"/>
  <c r="A17684" i="80"/>
  <c r="A17685" i="80"/>
  <c r="A17686" i="80"/>
  <c r="A17687" i="80"/>
  <c r="A17688" i="80"/>
  <c r="A17690" i="80"/>
  <c r="A17691" i="80"/>
  <c r="A17692" i="80"/>
  <c r="A17693" i="80"/>
  <c r="A17694" i="80"/>
  <c r="A17696" i="80"/>
  <c r="A17697" i="80"/>
  <c r="A17698" i="80"/>
  <c r="A17699" i="80"/>
  <c r="A17700" i="80"/>
  <c r="A17702" i="80"/>
  <c r="A17703" i="80"/>
  <c r="A17704" i="80"/>
  <c r="A17705" i="80"/>
  <c r="A17706" i="80"/>
  <c r="A17708" i="80"/>
  <c r="A17709" i="80"/>
  <c r="A17710" i="80"/>
  <c r="A17711" i="80"/>
  <c r="A17712" i="80"/>
  <c r="A17714" i="80"/>
  <c r="A17715" i="80"/>
  <c r="A17716" i="80"/>
  <c r="A17717" i="80"/>
  <c r="A17718" i="80"/>
  <c r="A17720" i="80"/>
  <c r="A17721" i="80"/>
  <c r="A17722" i="80"/>
  <c r="A17723" i="80"/>
  <c r="A17724" i="80"/>
  <c r="A17726" i="80"/>
  <c r="A17727" i="80"/>
  <c r="A17728" i="80"/>
  <c r="A17729" i="80"/>
  <c r="A17730" i="80"/>
  <c r="A17732" i="80"/>
  <c r="A17733" i="80"/>
  <c r="A17734" i="80"/>
  <c r="A17735" i="80"/>
  <c r="A17736" i="80"/>
  <c r="A17738" i="80"/>
  <c r="A17739" i="80"/>
  <c r="A17740" i="80"/>
  <c r="A17741" i="80"/>
  <c r="A17742" i="80"/>
  <c r="A17744" i="80"/>
  <c r="A17745" i="80"/>
  <c r="A17746" i="80"/>
  <c r="A17747" i="80"/>
  <c r="A17748" i="80"/>
  <c r="A17750" i="80"/>
  <c r="A17751" i="80"/>
  <c r="A17752" i="80"/>
  <c r="A17753" i="80"/>
  <c r="A17754" i="80"/>
  <c r="A17756" i="80"/>
  <c r="A17757" i="80"/>
  <c r="A17758" i="80"/>
  <c r="A17759" i="80"/>
  <c r="A17760" i="80"/>
  <c r="A17762" i="80"/>
  <c r="A17763" i="80"/>
  <c r="A17764" i="80"/>
  <c r="A17765" i="80"/>
  <c r="A17766" i="80"/>
  <c r="A17768" i="80"/>
  <c r="A17769" i="80"/>
  <c r="A17770" i="80"/>
  <c r="A17771" i="80"/>
  <c r="A17772" i="80"/>
  <c r="A17774" i="80"/>
  <c r="A17775" i="80"/>
  <c r="A17776" i="80"/>
  <c r="A17777" i="80"/>
  <c r="A17778" i="80"/>
  <c r="A17780" i="80"/>
  <c r="A17781" i="80"/>
  <c r="A17782" i="80"/>
  <c r="A17783" i="80"/>
  <c r="A17784" i="80"/>
  <c r="A17786" i="80"/>
  <c r="A17787" i="80"/>
  <c r="A17788" i="80"/>
  <c r="A17789" i="80"/>
  <c r="A17790" i="80"/>
  <c r="A17792" i="80"/>
  <c r="A17793" i="80"/>
  <c r="A17794" i="80"/>
  <c r="A17795" i="80"/>
  <c r="A17796" i="80"/>
  <c r="A17798" i="80"/>
  <c r="A17799" i="80"/>
  <c r="A17800" i="80"/>
  <c r="A17801" i="80"/>
  <c r="A17802" i="80"/>
  <c r="A17804" i="80"/>
  <c r="A17805" i="80"/>
  <c r="A17806" i="80"/>
  <c r="A17807" i="80"/>
  <c r="A17808" i="80"/>
  <c r="A17810" i="80"/>
  <c r="A17811" i="80"/>
  <c r="A17812" i="80"/>
  <c r="A17813" i="80"/>
  <c r="A17814" i="80"/>
  <c r="A17816" i="80"/>
  <c r="A17817" i="80"/>
  <c r="A17818" i="80"/>
  <c r="A17819" i="80"/>
  <c r="A17820" i="80"/>
  <c r="A17822" i="80"/>
  <c r="A17823" i="80"/>
  <c r="A17824" i="80"/>
  <c r="A17825" i="80"/>
  <c r="A17826" i="80"/>
  <c r="A17828" i="80"/>
  <c r="A17829" i="80"/>
  <c r="A17830" i="80"/>
  <c r="A17831" i="80"/>
  <c r="A17832" i="80"/>
  <c r="A17834" i="80"/>
  <c r="A17835" i="80"/>
  <c r="A17836" i="80"/>
  <c r="A17837" i="80"/>
  <c r="A17838" i="80"/>
  <c r="A17840" i="80"/>
  <c r="A17841" i="80"/>
  <c r="A17842" i="80"/>
  <c r="A17843" i="80"/>
  <c r="A17844" i="80"/>
  <c r="A17846" i="80"/>
  <c r="A17847" i="80"/>
  <c r="A17848" i="80"/>
  <c r="A17849" i="80"/>
  <c r="A17850" i="80"/>
  <c r="A17852" i="80"/>
  <c r="A17853" i="80"/>
  <c r="A17854" i="80"/>
  <c r="A17855" i="80"/>
  <c r="A17856" i="80"/>
  <c r="A17858" i="80"/>
  <c r="A17859" i="80"/>
  <c r="A17860" i="80"/>
  <c r="A17861" i="80"/>
  <c r="A17862" i="80"/>
  <c r="A17864" i="80"/>
  <c r="A17865" i="80"/>
  <c r="A17866" i="80"/>
  <c r="A17867" i="80"/>
  <c r="A17868" i="80"/>
  <c r="A17870" i="80"/>
  <c r="A17871" i="80"/>
  <c r="A17872" i="80"/>
  <c r="A17873" i="80"/>
  <c r="A17874" i="80"/>
  <c r="A17876" i="80"/>
  <c r="A17877" i="80"/>
  <c r="A17878" i="80"/>
  <c r="A17879" i="80"/>
  <c r="A17880" i="80"/>
  <c r="A17882" i="80"/>
  <c r="A17883" i="80"/>
  <c r="A17884" i="80"/>
  <c r="A17885" i="80"/>
  <c r="A17886" i="80"/>
  <c r="A17887" i="80"/>
  <c r="A17888" i="80"/>
  <c r="A17890" i="80"/>
  <c r="A17891" i="80"/>
  <c r="A17892" i="80"/>
  <c r="A17893" i="80"/>
  <c r="A17894" i="80"/>
  <c r="A17895" i="80"/>
  <c r="A17896" i="80"/>
  <c r="A17897" i="80"/>
  <c r="A17899" i="80"/>
  <c r="A17900" i="80"/>
  <c r="A17901" i="80"/>
  <c r="A17902" i="80"/>
  <c r="A17904" i="80"/>
  <c r="A17905" i="80"/>
  <c r="A17906" i="80"/>
  <c r="A17907" i="80"/>
  <c r="A17909" i="80"/>
  <c r="A17910" i="80"/>
  <c r="A17911" i="80"/>
  <c r="A17912" i="80"/>
  <c r="A17914" i="80"/>
  <c r="A17915" i="80"/>
  <c r="A17916" i="80"/>
  <c r="A17917" i="80"/>
  <c r="A17919" i="80"/>
  <c r="A17920" i="80"/>
  <c r="A17921" i="80"/>
  <c r="A17922" i="80"/>
  <c r="A17924" i="80"/>
  <c r="A17925" i="80"/>
  <c r="A17926" i="80"/>
  <c r="A17927" i="80"/>
  <c r="A17929" i="80"/>
  <c r="A17930" i="80"/>
  <c r="A17931" i="80"/>
  <c r="A17932" i="80"/>
  <c r="A17934" i="80"/>
  <c r="A17935" i="80"/>
  <c r="A17936" i="80"/>
  <c r="A17937" i="80"/>
  <c r="A17939" i="80"/>
  <c r="A17940" i="80"/>
  <c r="A17941" i="80"/>
  <c r="A17942" i="80"/>
  <c r="A17944" i="80"/>
  <c r="A17945" i="80"/>
  <c r="A17946" i="80"/>
  <c r="A17947" i="80"/>
  <c r="A17949" i="80"/>
  <c r="A17950" i="80"/>
  <c r="A17951" i="80"/>
  <c r="A17952" i="80"/>
  <c r="A17954" i="80"/>
  <c r="A17955" i="80"/>
  <c r="A17956" i="80"/>
  <c r="A17957" i="80"/>
  <c r="A17959" i="80"/>
  <c r="A17960" i="80"/>
  <c r="A17961" i="80"/>
  <c r="A17962" i="80"/>
  <c r="A17964" i="80"/>
  <c r="A17965" i="80"/>
  <c r="A17966" i="80"/>
  <c r="A17967" i="80"/>
  <c r="A17969" i="80"/>
  <c r="A17970" i="80"/>
  <c r="A17971" i="80"/>
  <c r="A17972" i="80"/>
  <c r="A17974" i="80"/>
  <c r="A17975" i="80"/>
  <c r="A17976" i="80"/>
  <c r="A17977" i="80"/>
  <c r="A17979" i="80"/>
  <c r="A17980" i="80"/>
  <c r="A17981" i="80"/>
  <c r="A17982" i="80"/>
  <c r="A17984" i="80"/>
  <c r="A17985" i="80"/>
  <c r="A17986" i="80"/>
  <c r="A17987" i="80"/>
  <c r="A17989" i="80"/>
  <c r="A17990" i="80"/>
  <c r="A17991" i="80"/>
  <c r="A17992" i="80"/>
  <c r="A17994" i="80"/>
  <c r="A17995" i="80"/>
  <c r="A17996" i="80"/>
  <c r="A17997" i="80"/>
  <c r="A17999" i="80"/>
  <c r="A18000" i="80"/>
  <c r="A18001" i="80"/>
  <c r="A18002" i="80"/>
  <c r="A18004" i="80"/>
  <c r="A18005" i="80"/>
  <c r="A18006" i="80"/>
  <c r="A18007" i="80"/>
  <c r="A18009" i="80"/>
  <c r="A18010" i="80"/>
  <c r="A18011" i="80"/>
  <c r="A18012" i="80"/>
  <c r="A18014" i="80"/>
  <c r="A18015" i="80"/>
  <c r="A18016" i="80"/>
  <c r="A18017" i="80"/>
  <c r="A18019" i="80"/>
  <c r="A18020" i="80"/>
  <c r="A18021" i="80"/>
  <c r="A18022" i="80"/>
  <c r="A18024" i="80"/>
  <c r="A18025" i="80"/>
  <c r="A18026" i="80"/>
  <c r="A18027" i="80"/>
  <c r="A18029" i="80"/>
  <c r="A18030" i="80"/>
  <c r="A18031" i="80"/>
  <c r="A18032" i="80"/>
  <c r="A18034" i="80"/>
  <c r="A18035" i="80"/>
  <c r="A18036" i="80"/>
  <c r="A18037" i="80"/>
  <c r="A18039" i="80"/>
  <c r="A18040" i="80"/>
  <c r="A18041" i="80"/>
  <c r="A18042" i="80"/>
  <c r="A18044" i="80"/>
  <c r="A18045" i="80"/>
  <c r="A18046" i="80"/>
  <c r="A18047" i="80"/>
  <c r="A18049" i="80"/>
  <c r="A18050" i="80"/>
  <c r="A18051" i="80"/>
  <c r="A18052" i="80"/>
  <c r="A18054" i="80"/>
  <c r="A18055" i="80"/>
  <c r="A18056" i="80"/>
  <c r="A18057" i="80"/>
  <c r="A18059" i="80"/>
  <c r="A18060" i="80"/>
  <c r="A18061" i="80"/>
  <c r="A18062" i="80"/>
  <c r="A18064" i="80"/>
  <c r="A18065" i="80"/>
  <c r="A18066" i="80"/>
  <c r="A18067" i="80"/>
  <c r="A18069" i="80"/>
  <c r="A18070" i="80"/>
  <c r="A18071" i="80"/>
  <c r="A18072" i="80"/>
  <c r="A18074" i="80"/>
  <c r="A18075" i="80"/>
  <c r="A18076" i="80"/>
  <c r="A18077" i="80"/>
  <c r="A18079" i="80"/>
  <c r="A18080" i="80"/>
  <c r="A18081" i="80"/>
  <c r="A18082" i="80"/>
  <c r="A18084" i="80"/>
  <c r="A18085" i="80"/>
  <c r="A18086" i="80"/>
  <c r="A18087" i="80"/>
  <c r="A18089" i="80"/>
  <c r="A18090" i="80"/>
  <c r="A18091" i="80"/>
  <c r="A18092" i="80"/>
  <c r="A18094" i="80"/>
  <c r="A18095" i="80"/>
  <c r="A18096" i="80"/>
  <c r="A18097" i="80"/>
  <c r="A18099" i="80"/>
  <c r="A18100" i="80"/>
  <c r="A18101" i="80"/>
  <c r="A18102" i="80"/>
  <c r="A18104" i="80"/>
  <c r="A18105" i="80"/>
  <c r="A18106" i="80"/>
  <c r="A18107" i="80"/>
  <c r="A18109" i="80"/>
  <c r="A18110" i="80"/>
  <c r="A18111" i="80"/>
  <c r="A18112" i="80"/>
  <c r="A18114" i="80"/>
  <c r="A18115" i="80"/>
  <c r="A18116" i="80"/>
  <c r="A18117" i="80"/>
  <c r="A18119" i="80"/>
  <c r="A18120" i="80"/>
  <c r="A18121" i="80"/>
  <c r="A18122" i="80"/>
  <c r="A18124" i="80"/>
  <c r="A18125" i="80"/>
  <c r="A18126" i="80"/>
  <c r="A18127" i="80"/>
  <c r="A18129" i="80"/>
  <c r="A18130" i="80"/>
  <c r="A18131" i="80"/>
  <c r="A18132" i="80"/>
  <c r="A18134" i="80"/>
  <c r="A18135" i="80"/>
  <c r="A18136" i="80"/>
  <c r="A18137" i="80"/>
  <c r="A18139" i="80"/>
  <c r="A18140" i="80"/>
  <c r="A18141" i="80"/>
  <c r="A18142" i="80"/>
  <c r="A18144" i="80"/>
  <c r="A18145" i="80"/>
  <c r="A18146" i="80"/>
  <c r="A18147" i="80"/>
  <c r="A18149" i="80"/>
  <c r="A18150" i="80"/>
  <c r="A18151" i="80"/>
  <c r="A18152" i="80"/>
  <c r="A18154" i="80"/>
  <c r="A18155" i="80"/>
  <c r="A18156" i="80"/>
  <c r="A18157" i="80"/>
  <c r="A18159" i="80"/>
  <c r="A18160" i="80"/>
  <c r="A18161" i="80"/>
  <c r="A18162" i="80"/>
  <c r="A18164" i="80"/>
  <c r="A18165" i="80"/>
  <c r="A18166" i="80"/>
  <c r="A18167" i="80"/>
  <c r="A18169" i="80"/>
  <c r="A18170" i="80"/>
  <c r="A18171" i="80"/>
  <c r="A18172" i="80"/>
  <c r="A18174" i="80"/>
  <c r="A18175" i="80"/>
  <c r="A18176" i="80"/>
  <c r="A18177" i="80"/>
  <c r="A18179" i="80"/>
  <c r="A18180" i="80"/>
  <c r="A18181" i="80"/>
  <c r="A18182" i="80"/>
  <c r="A18184" i="80"/>
  <c r="A18185" i="80"/>
  <c r="A18186" i="80"/>
  <c r="A18187" i="80"/>
  <c r="A18189" i="80"/>
  <c r="A18190" i="80"/>
  <c r="A18191" i="80"/>
  <c r="A18192" i="80"/>
  <c r="A18194" i="80"/>
  <c r="A18195" i="80"/>
  <c r="A18196" i="80"/>
  <c r="A18197" i="80"/>
  <c r="A18199" i="80"/>
  <c r="A18200" i="80"/>
  <c r="A18201" i="80"/>
  <c r="A18202" i="80"/>
  <c r="A18204" i="80"/>
  <c r="A18205" i="80"/>
  <c r="A18206" i="80"/>
  <c r="A18207" i="80"/>
  <c r="A18209" i="80"/>
  <c r="A18210" i="80"/>
  <c r="A18211" i="80"/>
  <c r="A18212" i="80"/>
  <c r="A18214" i="80"/>
  <c r="A18215" i="80"/>
  <c r="A18216" i="80"/>
  <c r="A18217" i="80"/>
  <c r="A18219" i="80"/>
  <c r="A18220" i="80"/>
  <c r="A18221" i="80"/>
  <c r="A18222" i="80"/>
  <c r="A18224" i="80"/>
  <c r="A18225" i="80"/>
  <c r="A18226" i="80"/>
  <c r="A18227" i="80"/>
  <c r="A18229" i="80"/>
  <c r="A18230" i="80"/>
  <c r="A18231" i="80"/>
  <c r="A18232" i="80"/>
  <c r="A18234" i="80"/>
  <c r="A18235" i="80"/>
  <c r="A18236" i="80"/>
  <c r="A18237" i="80"/>
  <c r="A18239" i="80"/>
  <c r="A18240" i="80"/>
  <c r="A18241" i="80"/>
  <c r="A18242" i="80"/>
  <c r="A18244" i="80"/>
  <c r="A18245" i="80"/>
  <c r="A18246" i="80"/>
  <c r="A18247" i="80"/>
  <c r="A18249" i="80"/>
  <c r="A18250" i="80"/>
  <c r="A18251" i="80"/>
  <c r="A18252" i="80"/>
  <c r="A18254" i="80"/>
  <c r="A18255" i="80"/>
  <c r="A18256" i="80"/>
  <c r="A18257" i="80"/>
  <c r="A18259" i="80"/>
  <c r="A18260" i="80"/>
  <c r="A18261" i="80"/>
  <c r="A18262" i="80"/>
  <c r="A18264" i="80"/>
  <c r="A18265" i="80"/>
  <c r="A18266" i="80"/>
  <c r="A18267" i="80"/>
  <c r="A18269" i="80"/>
  <c r="A18270" i="80"/>
  <c r="A18271" i="80"/>
  <c r="A18272" i="80"/>
  <c r="A18274" i="80"/>
  <c r="A18275" i="80"/>
  <c r="A18276" i="80"/>
  <c r="A18277" i="80"/>
  <c r="A18279" i="80"/>
  <c r="A18280" i="80"/>
  <c r="A18281" i="80"/>
  <c r="A18282" i="80"/>
  <c r="A18284" i="80"/>
  <c r="A18285" i="80"/>
  <c r="A18286" i="80"/>
  <c r="A18287" i="80"/>
  <c r="A18289" i="80"/>
  <c r="A18290" i="80"/>
  <c r="A18291" i="80"/>
  <c r="A18292" i="80"/>
  <c r="A18294" i="80"/>
  <c r="A18295" i="80"/>
  <c r="A18296" i="80"/>
  <c r="A18297" i="80"/>
  <c r="A18299" i="80"/>
  <c r="A18300" i="80"/>
  <c r="A18301" i="80"/>
  <c r="A18302" i="80"/>
  <c r="A18304" i="80"/>
  <c r="A18305" i="80"/>
  <c r="A18306" i="80"/>
  <c r="A18307" i="80"/>
  <c r="A18309" i="80"/>
  <c r="A18310" i="80"/>
  <c r="A18311" i="80"/>
  <c r="A18312" i="80"/>
  <c r="A18314" i="80"/>
  <c r="A18315" i="80"/>
  <c r="A18316" i="80"/>
  <c r="A18317" i="80"/>
  <c r="A18319" i="80"/>
  <c r="A18320" i="80"/>
  <c r="A18321" i="80"/>
  <c r="A18322" i="80"/>
  <c r="A18324" i="80"/>
  <c r="A18325" i="80"/>
  <c r="A18326" i="80"/>
  <c r="A18327" i="80"/>
  <c r="A18329" i="80"/>
  <c r="A18330" i="80"/>
  <c r="A18331" i="80"/>
  <c r="A18332" i="80"/>
  <c r="A18334" i="80"/>
  <c r="A18335" i="80"/>
  <c r="A18336" i="80"/>
  <c r="A18337" i="80"/>
  <c r="A18339" i="80"/>
  <c r="A18340" i="80"/>
  <c r="A18341" i="80"/>
  <c r="A18342" i="80"/>
  <c r="A18344" i="80"/>
  <c r="A18345" i="80"/>
  <c r="A18346" i="80"/>
  <c r="A18347" i="80"/>
  <c r="A18349" i="80"/>
  <c r="A18350" i="80"/>
  <c r="A18351" i="80"/>
  <c r="A18352" i="80"/>
  <c r="A18354" i="80"/>
  <c r="A18355" i="80"/>
  <c r="A18356" i="80"/>
  <c r="A18357" i="80"/>
  <c r="A18359" i="80"/>
  <c r="A18360" i="80"/>
  <c r="A18361" i="80"/>
  <c r="A18362" i="80"/>
  <c r="A18364" i="80"/>
  <c r="A18365" i="80"/>
  <c r="A18366" i="80"/>
  <c r="A18367" i="80"/>
  <c r="A18369" i="80"/>
  <c r="A18370" i="80"/>
  <c r="A18371" i="80"/>
  <c r="A18372" i="80"/>
  <c r="A18374" i="80"/>
  <c r="A18375" i="80"/>
  <c r="A18376" i="80"/>
  <c r="A18377" i="80"/>
  <c r="A18379" i="80"/>
  <c r="A18380" i="80"/>
  <c r="A18381" i="80"/>
  <c r="A18382" i="80"/>
  <c r="A18384" i="80"/>
  <c r="A18385" i="80"/>
  <c r="A18386" i="80"/>
  <c r="A18387" i="80"/>
  <c r="A18389" i="80"/>
  <c r="A18390" i="80"/>
  <c r="A18391" i="80"/>
  <c r="A18392" i="80"/>
  <c r="A18394" i="80"/>
  <c r="A18395" i="80"/>
  <c r="A18396" i="80"/>
  <c r="A18397" i="80"/>
  <c r="A18399" i="80"/>
  <c r="A18400" i="80"/>
  <c r="A18401" i="80"/>
  <c r="A18402" i="80"/>
  <c r="A18404" i="80"/>
  <c r="A18405" i="80"/>
  <c r="A18406" i="80"/>
  <c r="A18407" i="80"/>
  <c r="A18409" i="80"/>
  <c r="A18410" i="80"/>
  <c r="A18411" i="80"/>
  <c r="A18412" i="80"/>
  <c r="A18414" i="80"/>
  <c r="A18415" i="80"/>
  <c r="A18416" i="80"/>
  <c r="A18417" i="80"/>
  <c r="A18418" i="80"/>
  <c r="A18419" i="80"/>
  <c r="A18421" i="80"/>
  <c r="A18422" i="80"/>
  <c r="A18423" i="80"/>
  <c r="A18424" i="80"/>
  <c r="A18425" i="80"/>
  <c r="A18427" i="80"/>
  <c r="A18428" i="80"/>
  <c r="A18429" i="80"/>
  <c r="A18430" i="80"/>
  <c r="A18431" i="80"/>
  <c r="A18433" i="80"/>
  <c r="A18434" i="80"/>
  <c r="A18435" i="80"/>
  <c r="A18436" i="80"/>
  <c r="A18437" i="80"/>
  <c r="A18439" i="80"/>
  <c r="A18440" i="80"/>
  <c r="A18441" i="80"/>
  <c r="A18442" i="80"/>
  <c r="A18443" i="80"/>
  <c r="A18445" i="80"/>
  <c r="A18446" i="80"/>
  <c r="A18447" i="80"/>
  <c r="A18448" i="80"/>
  <c r="A18449" i="80"/>
  <c r="A18451" i="80"/>
  <c r="A18452" i="80"/>
  <c r="A18453" i="80"/>
  <c r="A18454" i="80"/>
  <c r="A18455" i="80"/>
  <c r="A18456" i="80"/>
  <c r="A18457" i="80"/>
  <c r="A18459" i="80"/>
  <c r="A18460" i="80"/>
  <c r="A18461" i="80"/>
  <c r="A18462" i="80"/>
  <c r="A18463" i="80"/>
  <c r="A18464" i="80"/>
  <c r="A18465" i="80"/>
  <c r="A18466" i="80"/>
  <c r="A18468" i="80"/>
  <c r="A18469" i="80"/>
  <c r="A18470" i="80"/>
  <c r="A18471" i="80"/>
  <c r="A18473" i="80"/>
  <c r="A18474" i="80"/>
  <c r="A18475" i="80"/>
  <c r="A18476" i="80"/>
  <c r="A18478" i="80"/>
  <c r="A18479" i="80"/>
  <c r="A18480" i="80"/>
  <c r="A18481" i="80"/>
  <c r="A18483" i="80"/>
  <c r="A18484" i="80"/>
  <c r="A18485" i="80"/>
  <c r="A18486" i="80"/>
  <c r="A18488" i="80"/>
  <c r="A18489" i="80"/>
  <c r="A18490" i="80"/>
  <c r="A18491" i="80"/>
  <c r="A18493" i="80"/>
  <c r="A18494" i="80"/>
  <c r="A18495" i="80"/>
  <c r="A18496" i="80"/>
  <c r="A18498" i="80"/>
  <c r="A18499" i="80"/>
  <c r="A18500" i="80"/>
  <c r="A18501" i="80"/>
  <c r="A18503" i="80"/>
  <c r="A18504" i="80"/>
  <c r="A18505" i="80"/>
  <c r="A18506" i="80"/>
  <c r="A18508" i="80"/>
  <c r="A18509" i="80"/>
  <c r="A18510" i="80"/>
  <c r="A18511" i="80"/>
  <c r="A18513" i="80"/>
  <c r="A18514" i="80"/>
  <c r="A18515" i="80"/>
  <c r="A18516" i="80"/>
  <c r="A18518" i="80"/>
  <c r="A18519" i="80"/>
  <c r="A18520" i="80"/>
  <c r="A18521" i="80"/>
  <c r="A18523" i="80"/>
  <c r="A18524" i="80"/>
  <c r="A18525" i="80"/>
  <c r="A18526" i="80"/>
  <c r="A18528" i="80"/>
  <c r="A18529" i="80"/>
  <c r="A18530" i="80"/>
  <c r="A18531" i="80"/>
  <c r="A18533" i="80"/>
  <c r="A18534" i="80"/>
  <c r="A18535" i="80"/>
  <c r="A18536" i="80"/>
  <c r="A18538" i="80"/>
  <c r="A18539" i="80"/>
  <c r="A18540" i="80"/>
  <c r="A18541" i="80"/>
  <c r="A18543" i="80"/>
  <c r="A18544" i="80"/>
  <c r="A18545" i="80"/>
  <c r="A18546" i="80"/>
  <c r="A18548" i="80"/>
  <c r="A18549" i="80"/>
  <c r="A18550" i="80"/>
  <c r="A18551" i="80"/>
  <c r="A18553" i="80"/>
  <c r="A18554" i="80"/>
  <c r="A18555" i="80"/>
  <c r="A18556" i="80"/>
  <c r="A18558" i="80"/>
  <c r="A18559" i="80"/>
  <c r="A18560" i="80"/>
  <c r="A18561" i="80"/>
  <c r="A18563" i="80"/>
  <c r="A18564" i="80"/>
  <c r="A18565" i="80"/>
  <c r="A18566" i="80"/>
  <c r="A18568" i="80"/>
  <c r="A18569" i="80"/>
  <c r="A18570" i="80"/>
  <c r="A18571" i="80"/>
  <c r="A18573" i="80"/>
  <c r="A18574" i="80"/>
  <c r="A18575" i="80"/>
  <c r="A18576" i="80"/>
  <c r="A18578" i="80"/>
  <c r="A18579" i="80"/>
  <c r="A18580" i="80"/>
  <c r="A18581" i="80"/>
  <c r="A18583" i="80"/>
  <c r="A18584" i="80"/>
  <c r="A18585" i="80"/>
  <c r="A18586" i="80"/>
  <c r="A18588" i="80"/>
  <c r="A18589" i="80"/>
  <c r="A18590" i="80"/>
  <c r="A18591" i="80"/>
  <c r="A18593" i="80"/>
  <c r="A18594" i="80"/>
  <c r="A18595" i="80"/>
  <c r="A18596" i="80"/>
  <c r="A18598" i="80"/>
  <c r="A18599" i="80"/>
  <c r="A18600" i="80"/>
  <c r="A18601" i="80"/>
  <c r="A18603" i="80"/>
  <c r="A18604" i="80"/>
  <c r="A18605" i="80"/>
  <c r="A18606" i="80"/>
  <c r="A18608" i="80"/>
  <c r="A18609" i="80"/>
  <c r="A18610" i="80"/>
  <c r="A18611" i="80"/>
  <c r="A18613" i="80"/>
  <c r="A18614" i="80"/>
  <c r="A18615" i="80"/>
  <c r="A18616" i="80"/>
  <c r="A18618" i="80"/>
  <c r="A18619" i="80"/>
  <c r="A18620" i="80"/>
  <c r="A18621" i="80"/>
  <c r="A18623" i="80"/>
  <c r="A18624" i="80"/>
  <c r="A18625" i="80"/>
  <c r="A18626" i="80"/>
  <c r="A18628" i="80"/>
  <c r="A18629" i="80"/>
  <c r="A18630" i="80"/>
  <c r="A18631" i="80"/>
  <c r="A18633" i="80"/>
  <c r="A18634" i="80"/>
  <c r="A18635" i="80"/>
  <c r="A18636" i="80"/>
  <c r="A18638" i="80"/>
  <c r="A18639" i="80"/>
  <c r="A18640" i="80"/>
  <c r="A18641" i="80"/>
  <c r="A18643" i="80"/>
  <c r="A18644" i="80"/>
  <c r="A18645" i="80"/>
  <c r="A18646" i="80"/>
  <c r="A18648" i="80"/>
  <c r="A18649" i="80"/>
  <c r="A18650" i="80"/>
  <c r="A18651" i="80"/>
  <c r="A18653" i="80"/>
  <c r="A18654" i="80"/>
  <c r="A18655" i="80"/>
  <c r="A18656" i="80"/>
  <c r="A18658" i="80"/>
  <c r="A18659" i="80"/>
  <c r="A18660" i="80"/>
  <c r="A18661" i="80"/>
  <c r="A18663" i="80"/>
  <c r="A18664" i="80"/>
  <c r="A18665" i="80"/>
  <c r="A18666" i="80"/>
  <c r="A18668" i="80"/>
  <c r="A18669" i="80"/>
  <c r="A18670" i="80"/>
  <c r="A18671" i="80"/>
  <c r="A18673" i="80"/>
  <c r="A18674" i="80"/>
  <c r="A18675" i="80"/>
  <c r="A18676" i="80"/>
  <c r="A18678" i="80"/>
  <c r="A18679" i="80"/>
  <c r="A18680" i="80"/>
  <c r="A18681" i="80"/>
  <c r="A18683" i="80"/>
  <c r="A18684" i="80"/>
  <c r="A18685" i="80"/>
  <c r="A18686" i="80"/>
  <c r="A18688" i="80"/>
  <c r="A18689" i="80"/>
  <c r="A18690" i="80"/>
  <c r="A18691" i="80"/>
  <c r="A18693" i="80"/>
  <c r="A18694" i="80"/>
  <c r="A18695" i="80"/>
  <c r="A18696" i="80"/>
  <c r="A18698" i="80"/>
  <c r="A18699" i="80"/>
  <c r="A18700" i="80"/>
  <c r="A18701" i="80"/>
  <c r="A18703" i="80"/>
  <c r="A18704" i="80"/>
  <c r="A18705" i="80"/>
  <c r="A18706" i="80"/>
  <c r="A18707" i="80"/>
  <c r="A18708" i="80"/>
  <c r="A18710" i="80"/>
  <c r="A18711" i="80"/>
  <c r="A18712" i="80"/>
  <c r="A18713" i="80"/>
  <c r="A18714" i="80"/>
  <c r="A18716" i="80"/>
  <c r="A18717" i="80"/>
  <c r="A18718" i="80"/>
  <c r="A18719" i="80"/>
  <c r="A18720" i="80"/>
  <c r="A18721" i="80"/>
  <c r="A18722" i="80"/>
  <c r="A18723" i="80"/>
  <c r="A18724" i="80"/>
  <c r="A18725" i="80"/>
  <c r="A18726" i="80"/>
  <c r="A18727" i="80"/>
  <c r="A18729" i="80"/>
  <c r="A18730" i="80"/>
  <c r="A18731" i="80"/>
  <c r="A18732" i="80"/>
  <c r="A18733" i="80"/>
  <c r="A18735" i="80"/>
  <c r="A18736" i="80"/>
  <c r="A18737" i="80"/>
  <c r="A18738" i="80"/>
  <c r="A18739" i="80"/>
  <c r="A18741" i="80"/>
  <c r="A18742" i="80"/>
  <c r="A18743" i="80"/>
  <c r="A18744" i="80"/>
  <c r="A18745" i="80"/>
  <c r="A18747" i="80"/>
  <c r="A18748" i="80"/>
  <c r="A18749" i="80"/>
  <c r="A18750" i="80"/>
  <c r="A18751" i="80"/>
  <c r="A18753" i="80"/>
  <c r="A18754" i="80"/>
  <c r="A18755" i="80"/>
  <c r="A18756" i="80"/>
  <c r="A18757" i="80"/>
  <c r="A18759" i="80"/>
  <c r="A18760" i="80"/>
  <c r="A18761" i="80"/>
  <c r="A18762" i="80"/>
  <c r="A18763" i="80"/>
  <c r="A18765" i="80"/>
  <c r="A18766" i="80"/>
  <c r="A18767" i="80"/>
  <c r="A18768" i="80"/>
  <c r="A18769" i="80"/>
  <c r="A18771" i="80"/>
  <c r="A18772" i="80"/>
  <c r="A18773" i="80"/>
  <c r="A18774" i="80"/>
  <c r="A18775" i="80"/>
  <c r="A18777" i="80"/>
  <c r="A18778" i="80"/>
  <c r="A18779" i="80"/>
  <c r="A18780" i="80"/>
  <c r="A18781" i="80"/>
  <c r="A18783" i="80"/>
  <c r="A18784" i="80"/>
  <c r="A18785" i="80"/>
  <c r="A18786" i="80"/>
  <c r="A18787" i="80"/>
  <c r="A18789" i="80"/>
  <c r="A18790" i="80"/>
  <c r="A18791" i="80"/>
  <c r="A18792" i="80"/>
  <c r="A18793" i="80"/>
  <c r="A18795" i="80"/>
  <c r="A18796" i="80"/>
  <c r="A18797" i="80"/>
  <c r="A18798" i="80"/>
  <c r="A18799" i="80"/>
  <c r="A18801" i="80"/>
  <c r="A18802" i="80"/>
  <c r="A18803" i="80"/>
  <c r="A18804" i="80"/>
  <c r="A18805" i="80"/>
  <c r="A18807" i="80"/>
  <c r="A18808" i="80"/>
  <c r="A18809" i="80"/>
  <c r="A18810" i="80"/>
  <c r="A18811" i="80"/>
  <c r="A18813" i="80"/>
  <c r="A18814" i="80"/>
  <c r="A18815" i="80"/>
  <c r="A18816" i="80"/>
  <c r="A18817" i="80"/>
  <c r="A18819" i="80"/>
  <c r="A18820" i="80"/>
  <c r="A18821" i="80"/>
  <c r="A18822" i="80"/>
  <c r="A18823" i="80"/>
  <c r="A18825" i="80"/>
  <c r="A18826" i="80"/>
  <c r="A18827" i="80"/>
  <c r="A18828" i="80"/>
  <c r="A18829" i="80"/>
  <c r="A18831" i="80"/>
  <c r="A18832" i="80"/>
  <c r="A18833" i="80"/>
  <c r="A18834" i="80"/>
  <c r="A18835" i="80"/>
  <c r="A18837" i="80"/>
  <c r="A18838" i="80"/>
  <c r="A18839" i="80"/>
  <c r="A18840" i="80"/>
  <c r="A18841" i="80"/>
  <c r="A18843" i="80"/>
  <c r="A18844" i="80"/>
  <c r="A18845" i="80"/>
  <c r="A18846" i="80"/>
  <c r="A18847" i="80"/>
  <c r="A18849" i="80"/>
  <c r="A18850" i="80"/>
  <c r="A18851" i="80"/>
  <c r="A18852" i="80"/>
  <c r="A18853" i="80"/>
  <c r="A18855" i="80"/>
  <c r="A18856" i="80"/>
  <c r="A18857" i="80"/>
  <c r="A18858" i="80"/>
  <c r="A18859" i="80"/>
  <c r="A18861" i="80"/>
  <c r="A18862" i="80"/>
  <c r="A18863" i="80"/>
  <c r="A18864" i="80"/>
  <c r="A18865" i="80"/>
  <c r="A18867" i="80"/>
  <c r="A18868" i="80"/>
  <c r="A18869" i="80"/>
  <c r="A18870" i="80"/>
  <c r="A18871" i="80"/>
  <c r="A18873" i="80"/>
  <c r="A18874" i="80"/>
  <c r="A18875" i="80"/>
  <c r="A18876" i="80"/>
  <c r="A18877" i="80"/>
  <c r="A18879" i="80"/>
  <c r="A18880" i="80"/>
  <c r="A18881" i="80"/>
  <c r="A18882" i="80"/>
  <c r="A18883" i="80"/>
  <c r="A18885" i="80"/>
  <c r="A18886" i="80"/>
  <c r="A18887" i="80"/>
  <c r="A18888" i="80"/>
  <c r="A18889" i="80"/>
  <c r="A18891" i="80"/>
  <c r="A18892" i="80"/>
  <c r="A18893" i="80"/>
  <c r="A18894" i="80"/>
  <c r="A18895" i="80"/>
  <c r="A18897" i="80"/>
  <c r="A18898" i="80"/>
  <c r="A18899" i="80"/>
  <c r="A18900" i="80"/>
  <c r="A18901" i="80"/>
  <c r="A18903" i="80"/>
  <c r="A18904" i="80"/>
  <c r="A18905" i="80"/>
  <c r="A18906" i="80"/>
  <c r="A18907" i="80"/>
  <c r="A18909" i="80"/>
  <c r="A18910" i="80"/>
  <c r="A18911" i="80"/>
  <c r="A18912" i="80"/>
  <c r="A18913" i="80"/>
  <c r="A18915" i="80"/>
  <c r="A18916" i="80"/>
  <c r="A18917" i="80"/>
  <c r="A18918" i="80"/>
  <c r="A18919" i="80"/>
  <c r="A18921" i="80"/>
  <c r="A18922" i="80"/>
  <c r="A18923" i="80"/>
  <c r="A18924" i="80"/>
  <c r="A18925" i="80"/>
  <c r="A18927" i="80"/>
  <c r="A18928" i="80"/>
  <c r="A18929" i="80"/>
  <c r="A18930" i="80"/>
  <c r="A18931" i="80"/>
  <c r="A18933" i="80"/>
  <c r="A18934" i="80"/>
  <c r="A18935" i="80"/>
  <c r="A18936" i="80"/>
  <c r="A18937" i="80"/>
  <c r="A18939" i="80"/>
  <c r="A18940" i="80"/>
  <c r="A18941" i="80"/>
  <c r="A18942" i="80"/>
  <c r="A18943" i="80"/>
  <c r="A18945" i="80"/>
  <c r="A18946" i="80"/>
  <c r="A18947" i="80"/>
  <c r="A18948" i="80"/>
  <c r="A18949" i="80"/>
  <c r="A18951" i="80"/>
  <c r="A18952" i="80"/>
  <c r="A18953" i="80"/>
  <c r="A18954" i="80"/>
  <c r="A18955" i="80"/>
  <c r="A18957" i="80"/>
  <c r="A18958" i="80"/>
  <c r="A18959" i="80"/>
  <c r="A18960" i="80"/>
  <c r="A18961" i="80"/>
  <c r="A18963" i="80"/>
  <c r="A18964" i="80"/>
  <c r="A18965" i="80"/>
  <c r="A18966" i="80"/>
  <c r="A18967" i="80"/>
  <c r="A18969" i="80"/>
  <c r="A18970" i="80"/>
  <c r="A18971" i="80"/>
  <c r="A18972" i="80"/>
  <c r="A18973" i="80"/>
  <c r="A18975" i="80"/>
  <c r="A18976" i="80"/>
  <c r="A18977" i="80"/>
  <c r="A18978" i="80"/>
  <c r="A18979" i="80"/>
  <c r="A18981" i="80"/>
  <c r="A18982" i="80"/>
  <c r="A18983" i="80"/>
  <c r="A18984" i="80"/>
  <c r="A18985" i="80"/>
  <c r="A18987" i="80"/>
  <c r="A18988" i="80"/>
  <c r="A18989" i="80"/>
  <c r="A18990" i="80"/>
  <c r="A18991" i="80"/>
  <c r="A18993" i="80"/>
  <c r="A18994" i="80"/>
  <c r="A18995" i="80"/>
  <c r="A18996" i="80"/>
  <c r="A18997" i="80"/>
  <c r="A18999" i="80"/>
  <c r="A19000" i="80"/>
  <c r="A19001" i="80"/>
  <c r="A19002" i="80"/>
  <c r="A19003" i="80"/>
  <c r="A19005" i="80"/>
  <c r="A19006" i="80"/>
  <c r="A19007" i="80"/>
  <c r="A19008" i="80"/>
  <c r="A19009" i="80"/>
  <c r="A19011" i="80"/>
  <c r="A19012" i="80"/>
  <c r="A19013" i="80"/>
  <c r="A19014" i="80"/>
  <c r="A19015" i="80"/>
  <c r="A19017" i="80"/>
  <c r="A19018" i="80"/>
  <c r="A19019" i="80"/>
  <c r="A19020" i="80"/>
  <c r="A19021" i="80"/>
  <c r="A19023" i="80"/>
  <c r="A19024" i="80"/>
  <c r="A19025" i="80"/>
  <c r="A19026" i="80"/>
  <c r="A19027" i="80"/>
  <c r="A19029" i="80"/>
  <c r="A19030" i="80"/>
  <c r="A19031" i="80"/>
  <c r="A19032" i="80"/>
  <c r="A19033" i="80"/>
  <c r="A19035" i="80"/>
  <c r="A19036" i="80"/>
  <c r="A19037" i="80"/>
  <c r="A19038" i="80"/>
  <c r="A19039" i="80"/>
  <c r="A19041" i="80"/>
  <c r="A19042" i="80"/>
  <c r="A19043" i="80"/>
  <c r="A19044" i="80"/>
  <c r="A19045" i="80"/>
  <c r="A19047" i="80"/>
  <c r="A19048" i="80"/>
  <c r="A19049" i="80"/>
  <c r="A19050" i="80"/>
  <c r="A19051" i="80"/>
  <c r="A19053" i="80"/>
  <c r="A19054" i="80"/>
  <c r="A19055" i="80"/>
  <c r="A19056" i="80"/>
  <c r="A19057" i="80"/>
  <c r="A19059" i="80"/>
  <c r="A19060" i="80"/>
  <c r="A19061" i="80"/>
  <c r="A19062" i="80"/>
  <c r="A19063" i="80"/>
  <c r="A19065" i="80"/>
  <c r="A19066" i="80"/>
  <c r="A19067" i="80"/>
  <c r="A19068" i="80"/>
  <c r="A19069" i="80"/>
  <c r="A19071" i="80"/>
  <c r="A19072" i="80"/>
  <c r="A19073" i="80"/>
  <c r="A19074" i="80"/>
  <c r="A19075" i="80"/>
  <c r="A19077" i="80"/>
  <c r="A19078" i="80"/>
  <c r="A19079" i="80"/>
  <c r="A19080" i="80"/>
  <c r="A19081" i="80"/>
  <c r="A19083" i="80"/>
  <c r="A19084" i="80"/>
  <c r="A19085" i="80"/>
  <c r="A19086" i="80"/>
  <c r="A19087" i="80"/>
  <c r="A19089" i="80"/>
  <c r="A19090" i="80"/>
  <c r="A19091" i="80"/>
  <c r="A19092" i="80"/>
  <c r="A19093" i="80"/>
  <c r="A19095" i="80"/>
  <c r="A19096" i="80"/>
  <c r="A19097" i="80"/>
  <c r="A19098" i="80"/>
  <c r="A19099" i="80"/>
  <c r="A19101" i="80"/>
  <c r="A19102" i="80"/>
  <c r="A19103" i="80"/>
  <c r="A19104" i="80"/>
  <c r="A19105" i="80"/>
  <c r="A19107" i="80"/>
  <c r="A19108" i="80"/>
  <c r="A19109" i="80"/>
  <c r="A19110" i="80"/>
  <c r="A19111" i="80"/>
  <c r="A19113" i="80"/>
  <c r="A19114" i="80"/>
  <c r="A19115" i="80"/>
  <c r="A19116" i="80"/>
  <c r="A19117" i="80"/>
  <c r="A19119" i="80"/>
  <c r="A19120" i="80"/>
  <c r="A19121" i="80"/>
  <c r="A19122" i="80"/>
  <c r="A19123" i="80"/>
  <c r="A19125" i="80"/>
  <c r="A19126" i="80"/>
  <c r="A19127" i="80"/>
  <c r="A19128" i="80"/>
  <c r="A19129" i="80"/>
  <c r="A19131" i="80"/>
  <c r="A19132" i="80"/>
  <c r="A19133" i="80"/>
  <c r="A19134" i="80"/>
  <c r="A19135" i="80"/>
  <c r="A19137" i="80"/>
  <c r="A19138" i="80"/>
  <c r="A19139" i="80"/>
  <c r="A19140" i="80"/>
  <c r="A19141" i="80"/>
  <c r="A19143" i="80"/>
  <c r="A19144" i="80"/>
  <c r="A19145" i="80"/>
  <c r="A19146" i="80"/>
  <c r="A19147" i="80"/>
  <c r="A19149" i="80"/>
  <c r="A19150" i="80"/>
  <c r="A19151" i="80"/>
  <c r="A19152" i="80"/>
  <c r="A19153" i="80"/>
  <c r="A19155" i="80"/>
  <c r="A19156" i="80"/>
  <c r="A19157" i="80"/>
  <c r="A19158" i="80"/>
  <c r="A19159" i="80"/>
  <c r="A19161" i="80"/>
  <c r="A19162" i="80"/>
  <c r="A19163" i="80"/>
  <c r="A19164" i="80"/>
  <c r="A19165" i="80"/>
  <c r="A19167" i="80"/>
  <c r="A19168" i="80"/>
  <c r="A19169" i="80"/>
  <c r="A19170" i="80"/>
  <c r="A19171" i="80"/>
  <c r="A19173" i="80"/>
  <c r="A19174" i="80"/>
  <c r="A19175" i="80"/>
  <c r="A19176" i="80"/>
  <c r="A19177" i="80"/>
  <c r="A19179" i="80"/>
  <c r="A19180" i="80"/>
  <c r="A19181" i="80"/>
  <c r="A19182" i="80"/>
  <c r="A19183" i="80"/>
  <c r="A19185" i="80"/>
  <c r="A19186" i="80"/>
  <c r="A19187" i="80"/>
  <c r="A19188" i="80"/>
  <c r="A19189" i="80"/>
  <c r="A19191" i="80"/>
  <c r="A19192" i="80"/>
  <c r="A19193" i="80"/>
  <c r="A19194" i="80"/>
  <c r="A19195" i="80"/>
  <c r="A19197" i="80"/>
  <c r="A19198" i="80"/>
  <c r="A19199" i="80"/>
  <c r="A19200" i="80"/>
  <c r="A19201" i="80"/>
  <c r="A19203" i="80"/>
  <c r="A19204" i="80"/>
  <c r="A19205" i="80"/>
  <c r="A19206" i="80"/>
  <c r="A19207" i="80"/>
  <c r="A19209" i="80"/>
  <c r="A19210" i="80"/>
  <c r="A19211" i="80"/>
  <c r="A19212" i="80"/>
  <c r="A19213" i="80"/>
  <c r="A19215" i="80"/>
  <c r="A19216" i="80"/>
  <c r="A19217" i="80"/>
  <c r="A19218" i="80"/>
  <c r="A19219" i="80"/>
  <c r="A19221" i="80"/>
  <c r="A19222" i="80"/>
  <c r="A19223" i="80"/>
  <c r="A19224" i="80"/>
  <c r="A19225" i="80"/>
  <c r="A19227" i="80"/>
  <c r="A19228" i="80"/>
  <c r="A19229" i="80"/>
  <c r="A19230" i="80"/>
  <c r="A19231" i="80"/>
  <c r="A19233" i="80"/>
  <c r="A19234" i="80"/>
  <c r="A19235" i="80"/>
  <c r="A19236" i="80"/>
  <c r="A19237" i="80"/>
  <c r="A19239" i="80"/>
  <c r="A19240" i="80"/>
  <c r="A19241" i="80"/>
  <c r="A19242" i="80"/>
  <c r="A19243" i="80"/>
  <c r="A19245" i="80"/>
  <c r="A19246" i="80"/>
  <c r="A19247" i="80"/>
  <c r="A19248" i="80"/>
  <c r="A19249" i="80"/>
  <c r="A19251" i="80"/>
  <c r="A19252" i="80"/>
  <c r="A19253" i="80"/>
  <c r="A19254" i="80"/>
  <c r="A19255" i="80"/>
  <c r="A19257" i="80"/>
  <c r="A19258" i="80"/>
  <c r="A19259" i="80"/>
  <c r="A19260" i="80"/>
  <c r="A19261" i="80"/>
  <c r="A19263" i="80"/>
  <c r="A19264" i="80"/>
  <c r="A19265" i="80"/>
  <c r="A19266" i="80"/>
  <c r="A19267" i="80"/>
  <c r="A19269" i="80"/>
  <c r="A19270" i="80"/>
  <c r="A19271" i="80"/>
  <c r="A19272" i="80"/>
  <c r="A19273" i="80"/>
  <c r="A19275" i="80"/>
  <c r="A19276" i="80"/>
  <c r="A19277" i="80"/>
  <c r="A19278" i="80"/>
  <c r="A19279" i="80"/>
  <c r="A19281" i="80"/>
  <c r="A19282" i="80"/>
  <c r="A19283" i="80"/>
  <c r="A19284" i="80"/>
  <c r="A19285" i="80"/>
  <c r="A19287" i="80"/>
  <c r="A19288" i="80"/>
  <c r="A19289" i="80"/>
  <c r="A19290" i="80"/>
  <c r="A19291" i="80"/>
  <c r="A19293" i="80"/>
  <c r="A19294" i="80"/>
  <c r="A19295" i="80"/>
  <c r="A19296" i="80"/>
  <c r="A19297" i="80"/>
  <c r="A19299" i="80"/>
  <c r="A19300" i="80"/>
  <c r="A19301" i="80"/>
  <c r="A19302" i="80"/>
  <c r="A19303" i="80"/>
  <c r="A19305" i="80"/>
  <c r="A19306" i="80"/>
  <c r="A19307" i="80"/>
  <c r="A19308" i="80"/>
  <c r="A19309" i="80"/>
  <c r="A19311" i="80"/>
  <c r="A19312" i="80"/>
  <c r="A19313" i="80"/>
  <c r="A19314" i="80"/>
  <c r="A19315" i="80"/>
  <c r="A19317" i="80"/>
  <c r="A19318" i="80"/>
  <c r="A19319" i="80"/>
  <c r="A19320" i="80"/>
  <c r="A19321" i="80"/>
  <c r="A19323" i="80"/>
  <c r="A19324" i="80"/>
  <c r="A19325" i="80"/>
  <c r="A19326" i="80"/>
  <c r="A19327" i="80"/>
  <c r="A19329" i="80"/>
  <c r="A19330" i="80"/>
  <c r="A19331" i="80"/>
  <c r="A19332" i="80"/>
  <c r="A19333" i="80"/>
  <c r="A19335" i="80"/>
  <c r="A19336" i="80"/>
  <c r="A19337" i="80"/>
  <c r="A19338" i="80"/>
  <c r="A19339" i="80"/>
  <c r="A19341" i="80"/>
  <c r="A19342" i="80"/>
  <c r="A19343" i="80"/>
  <c r="A19344" i="80"/>
  <c r="A19345" i="80"/>
  <c r="A19347" i="80"/>
  <c r="A19348" i="80"/>
  <c r="A19349" i="80"/>
  <c r="A19350" i="80"/>
  <c r="A19351" i="80"/>
  <c r="A19353" i="80"/>
  <c r="A19354" i="80"/>
  <c r="A19355" i="80"/>
  <c r="A19356" i="80"/>
  <c r="A19357" i="80"/>
  <c r="A19359" i="80"/>
  <c r="A19360" i="80"/>
  <c r="A19361" i="80"/>
  <c r="A19362" i="80"/>
  <c r="A19363" i="80"/>
  <c r="A19365" i="80"/>
  <c r="A19366" i="80"/>
  <c r="A19367" i="80"/>
  <c r="A19368" i="80"/>
  <c r="A19369" i="80"/>
  <c r="A19371" i="80"/>
  <c r="A19372" i="80"/>
  <c r="A19373" i="80"/>
  <c r="A19374" i="80"/>
  <c r="A19375" i="80"/>
  <c r="A19377" i="80"/>
  <c r="A19378" i="80"/>
  <c r="A19379" i="80"/>
  <c r="A19380" i="80"/>
  <c r="A19381" i="80"/>
  <c r="A19383" i="80"/>
  <c r="A19384" i="80"/>
  <c r="A19385" i="80"/>
  <c r="A19386" i="80"/>
  <c r="A19387" i="80"/>
  <c r="A19389" i="80"/>
  <c r="A19390" i="80"/>
  <c r="A19391" i="80"/>
  <c r="A19392" i="80"/>
  <c r="A19393" i="80"/>
  <c r="A19395" i="80"/>
  <c r="A19396" i="80"/>
  <c r="A19397" i="80"/>
  <c r="A19398" i="80"/>
  <c r="A19399" i="80"/>
  <c r="A19401" i="80"/>
  <c r="A19402" i="80"/>
  <c r="A19403" i="80"/>
  <c r="A19404" i="80"/>
  <c r="A19405" i="80"/>
  <c r="A19407" i="80"/>
  <c r="A19408" i="80"/>
  <c r="A19409" i="80"/>
  <c r="A19410" i="80"/>
  <c r="A19411" i="80"/>
  <c r="A19413" i="80"/>
  <c r="A19414" i="80"/>
  <c r="A19415" i="80"/>
  <c r="A19416" i="80"/>
  <c r="A19417" i="80"/>
  <c r="A19419" i="80"/>
  <c r="A19420" i="80"/>
  <c r="A19421" i="80"/>
  <c r="A19422" i="80"/>
  <c r="A19423" i="80"/>
  <c r="A19425" i="80"/>
  <c r="A19426" i="80"/>
  <c r="A19427" i="80"/>
  <c r="A19428" i="80"/>
  <c r="A19429" i="80"/>
  <c r="A19431" i="80"/>
  <c r="A19432" i="80"/>
  <c r="A19433" i="80"/>
  <c r="A19434" i="80"/>
  <c r="A19435" i="80"/>
  <c r="A19437" i="80"/>
  <c r="A19438" i="80"/>
  <c r="A19439" i="80"/>
  <c r="A19440" i="80"/>
  <c r="A19441" i="80"/>
  <c r="A19443" i="80"/>
  <c r="A19444" i="80"/>
  <c r="A19445" i="80"/>
  <c r="A19446" i="80"/>
  <c r="A19447" i="80"/>
  <c r="A19449" i="80"/>
  <c r="A19450" i="80"/>
  <c r="A19451" i="80"/>
  <c r="A19452" i="80"/>
  <c r="A19453" i="80"/>
  <c r="A19455" i="80"/>
  <c r="A19456" i="80"/>
  <c r="A19457" i="80"/>
  <c r="A19458" i="80"/>
  <c r="A19459" i="80"/>
  <c r="A19461" i="80"/>
  <c r="A19462" i="80"/>
  <c r="A19463" i="80"/>
  <c r="A19464" i="80"/>
  <c r="A19465" i="80"/>
  <c r="A19467" i="80"/>
  <c r="A19468" i="80"/>
  <c r="A19469" i="80"/>
  <c r="A19470" i="80"/>
  <c r="A19471" i="80"/>
  <c r="A19473" i="80"/>
  <c r="A19474" i="80"/>
  <c r="A19475" i="80"/>
  <c r="A19476" i="80"/>
  <c r="A19477" i="80"/>
  <c r="A19479" i="80"/>
  <c r="A19480" i="80"/>
  <c r="A19481" i="80"/>
  <c r="A19482" i="80"/>
  <c r="A19483" i="80"/>
  <c r="A19485" i="80"/>
  <c r="A19486" i="80"/>
  <c r="A19487" i="80"/>
  <c r="A19488" i="80"/>
  <c r="A19489" i="80"/>
  <c r="A19491" i="80"/>
  <c r="A19492" i="80"/>
  <c r="A19493" i="80"/>
  <c r="A19494" i="80"/>
  <c r="A19495" i="80"/>
  <c r="A19497" i="80"/>
  <c r="A19498" i="80"/>
  <c r="A19499" i="80"/>
  <c r="A19500" i="80"/>
  <c r="A19501" i="80"/>
  <c r="A19503" i="80"/>
  <c r="A19504" i="80"/>
  <c r="A19505" i="80"/>
  <c r="A19506" i="80"/>
  <c r="A19507" i="80"/>
  <c r="A19509" i="80"/>
  <c r="A19510" i="80"/>
  <c r="A19511" i="80"/>
  <c r="A19512" i="80"/>
  <c r="A19513" i="80"/>
  <c r="A19515" i="80"/>
  <c r="A19516" i="80"/>
  <c r="A19517" i="80"/>
  <c r="A19518" i="80"/>
  <c r="A19519" i="80"/>
  <c r="A19521" i="80"/>
  <c r="A19522" i="80"/>
  <c r="A19523" i="80"/>
  <c r="A19524" i="80"/>
  <c r="A19525" i="80"/>
  <c r="A19527" i="80"/>
  <c r="A19528" i="80"/>
  <c r="A19529" i="80"/>
  <c r="A19530" i="80"/>
  <c r="A19531" i="80"/>
  <c r="A19533" i="80"/>
  <c r="A19534" i="80"/>
  <c r="A19535" i="80"/>
  <c r="A19536" i="80"/>
  <c r="A19537" i="80"/>
  <c r="A19539" i="80"/>
  <c r="A19540" i="80"/>
  <c r="A19541" i="80"/>
  <c r="A19542" i="80"/>
  <c r="A19543" i="80"/>
  <c r="A19545" i="80"/>
  <c r="A19546" i="80"/>
  <c r="A19547" i="80"/>
  <c r="A19548" i="80"/>
  <c r="A19549" i="80"/>
  <c r="A19551" i="80"/>
  <c r="A19552" i="80"/>
  <c r="A19553" i="80"/>
  <c r="A19554" i="80"/>
  <c r="A19555" i="80"/>
  <c r="A19557" i="80"/>
  <c r="A19558" i="80"/>
  <c r="A19559" i="80"/>
  <c r="A19560" i="80"/>
  <c r="A19561" i="80"/>
  <c r="A19563" i="80"/>
  <c r="A19564" i="80"/>
  <c r="A19565" i="80"/>
  <c r="A19566" i="80"/>
  <c r="A19567" i="80"/>
  <c r="A19569" i="80"/>
  <c r="A19570" i="80"/>
  <c r="A19571" i="80"/>
  <c r="A19572" i="80"/>
  <c r="A19573" i="80"/>
  <c r="A19575" i="80"/>
  <c r="A19576" i="80"/>
  <c r="A19577" i="80"/>
  <c r="A19578" i="80"/>
  <c r="A19579" i="80"/>
  <c r="A19581" i="80"/>
  <c r="A19582" i="80"/>
  <c r="A19583" i="80"/>
  <c r="A19584" i="80"/>
  <c r="A19585" i="80"/>
  <c r="A19587" i="80"/>
  <c r="A19588" i="80"/>
  <c r="A19589" i="80"/>
  <c r="A19590" i="80"/>
  <c r="A19591" i="80"/>
  <c r="A19593" i="80"/>
  <c r="A19594" i="80"/>
  <c r="A19595" i="80"/>
  <c r="A19596" i="80"/>
  <c r="A19597" i="80"/>
  <c r="A19599" i="80"/>
  <c r="A19600" i="80"/>
  <c r="A19601" i="80"/>
  <c r="A19602" i="80"/>
  <c r="A19603" i="80"/>
  <c r="A19605" i="80"/>
  <c r="A19606" i="80"/>
  <c r="A19607" i="80"/>
  <c r="A19608" i="80"/>
  <c r="A19609" i="80"/>
  <c r="A19611" i="80"/>
  <c r="A19612" i="80"/>
  <c r="A19613" i="80"/>
  <c r="A19614" i="80"/>
  <c r="A19615" i="80"/>
  <c r="A19617" i="80"/>
  <c r="A19618" i="80"/>
  <c r="A19619" i="80"/>
  <c r="A19620" i="80"/>
  <c r="A19621" i="80"/>
  <c r="A19623" i="80"/>
  <c r="A19624" i="80"/>
  <c r="A19625" i="80"/>
  <c r="A19626" i="80"/>
  <c r="A19627" i="80"/>
  <c r="A19629" i="80"/>
  <c r="A19630" i="80"/>
  <c r="A19631" i="80"/>
  <c r="A19632" i="80"/>
  <c r="A19633" i="80"/>
  <c r="A19635" i="80"/>
  <c r="A19636" i="80"/>
  <c r="A19637" i="80"/>
  <c r="A19638" i="80"/>
  <c r="A19639" i="80"/>
  <c r="A19641" i="80"/>
  <c r="A19642" i="80"/>
  <c r="A19643" i="80"/>
  <c r="A19644" i="80"/>
  <c r="A19645" i="80"/>
  <c r="A19647" i="80"/>
  <c r="A19648" i="80"/>
  <c r="A19649" i="80"/>
  <c r="A19650" i="80"/>
  <c r="A19651" i="80"/>
  <c r="A19653" i="80"/>
  <c r="A19654" i="80"/>
  <c r="A19655" i="80"/>
  <c r="A19656" i="80"/>
  <c r="A19657" i="80"/>
  <c r="A19659" i="80"/>
  <c r="A19660" i="80"/>
  <c r="A19661" i="80"/>
  <c r="A19662" i="80"/>
  <c r="A19663" i="80"/>
  <c r="A19665" i="80"/>
  <c r="A19666" i="80"/>
  <c r="A19667" i="80"/>
  <c r="A19668" i="80"/>
  <c r="A19669" i="80"/>
  <c r="A19671" i="80"/>
  <c r="A19672" i="80"/>
  <c r="A19673" i="80"/>
  <c r="A19674" i="80"/>
  <c r="A19675" i="80"/>
  <c r="A19677" i="80"/>
  <c r="A19678" i="80"/>
  <c r="A19679" i="80"/>
  <c r="A19680" i="80"/>
  <c r="A19681" i="80"/>
  <c r="A19683" i="80"/>
  <c r="A19684" i="80"/>
  <c r="A19685" i="80"/>
  <c r="A19686" i="80"/>
  <c r="A19687" i="80"/>
  <c r="A19689" i="80"/>
  <c r="A19690" i="80"/>
  <c r="A19691" i="80"/>
  <c r="A19692" i="80"/>
  <c r="A19693" i="80"/>
  <c r="A19695" i="80"/>
  <c r="A19696" i="80"/>
  <c r="A19697" i="80"/>
  <c r="A19698" i="80"/>
  <c r="A19699" i="80"/>
  <c r="A19701" i="80"/>
  <c r="A19702" i="80"/>
  <c r="A19703" i="80"/>
  <c r="A19704" i="80"/>
  <c r="A19705" i="80"/>
  <c r="A19707" i="80"/>
  <c r="A19708" i="80"/>
  <c r="A19709" i="80"/>
  <c r="A19710" i="80"/>
  <c r="A19711" i="80"/>
  <c r="A19713" i="80"/>
  <c r="A19714" i="80"/>
  <c r="A19715" i="80"/>
  <c r="A19716" i="80"/>
  <c r="A19717" i="80"/>
  <c r="A19719" i="80"/>
  <c r="A19720" i="80"/>
  <c r="A19721" i="80"/>
  <c r="A19722" i="80"/>
  <c r="A19723" i="80"/>
  <c r="A19725" i="80"/>
  <c r="A19726" i="80"/>
  <c r="A19727" i="80"/>
  <c r="A19728" i="80"/>
  <c r="A19729" i="80"/>
  <c r="A19731" i="80"/>
  <c r="A19732" i="80"/>
  <c r="A19733" i="80"/>
  <c r="A19734" i="80"/>
  <c r="A19735" i="80"/>
  <c r="A19737" i="80"/>
  <c r="A19738" i="80"/>
  <c r="A19739" i="80"/>
  <c r="A19740" i="80"/>
  <c r="A19741" i="80"/>
  <c r="A19743" i="80"/>
  <c r="A19744" i="80"/>
  <c r="A19745" i="80"/>
  <c r="A19746" i="80"/>
  <c r="A19747" i="80"/>
  <c r="A19749" i="80"/>
  <c r="A19750" i="80"/>
  <c r="A19751" i="80"/>
  <c r="A19752" i="80"/>
  <c r="A19753" i="80"/>
  <c r="A19755" i="80"/>
  <c r="A19756" i="80"/>
  <c r="A19757" i="80"/>
  <c r="A19758" i="80"/>
  <c r="A19759" i="80"/>
  <c r="A19761" i="80"/>
  <c r="A19762" i="80"/>
  <c r="A19763" i="80"/>
  <c r="A19764" i="80"/>
  <c r="A19765" i="80"/>
  <c r="A19767" i="80"/>
  <c r="A19768" i="80"/>
  <c r="A19769" i="80"/>
  <c r="A19770" i="80"/>
  <c r="A19771" i="80"/>
  <c r="A19773" i="80"/>
  <c r="A19774" i="80"/>
  <c r="A19775" i="80"/>
  <c r="A19776" i="80"/>
  <c r="A19777" i="80"/>
  <c r="A19779" i="80"/>
  <c r="A19780" i="80"/>
  <c r="A19781" i="80"/>
  <c r="A19782" i="80"/>
  <c r="A19783" i="80"/>
  <c r="A19785" i="80"/>
  <c r="A19786" i="80"/>
  <c r="A19787" i="80"/>
  <c r="A19788" i="80"/>
  <c r="A19789" i="80"/>
  <c r="A19791" i="80"/>
  <c r="A19792" i="80"/>
  <c r="A19793" i="80"/>
  <c r="A19794" i="80"/>
  <c r="A19795" i="80"/>
  <c r="A19797" i="80"/>
  <c r="A19798" i="80"/>
  <c r="A19799" i="80"/>
  <c r="A19800" i="80"/>
  <c r="A19801" i="80"/>
  <c r="A19803" i="80"/>
  <c r="A19804" i="80"/>
  <c r="A19805" i="80"/>
  <c r="A19806" i="80"/>
  <c r="A19807" i="80"/>
  <c r="A19809" i="80"/>
  <c r="A19810" i="80"/>
  <c r="A19811" i="80"/>
  <c r="A19812" i="80"/>
  <c r="A19813" i="80"/>
  <c r="A19815" i="80"/>
  <c r="A19816" i="80"/>
  <c r="A19817" i="80"/>
  <c r="A19818" i="80"/>
  <c r="A19819" i="80"/>
  <c r="A19821" i="80"/>
  <c r="A19822" i="80"/>
  <c r="A19823" i="80"/>
  <c r="A19824" i="80"/>
  <c r="A19825" i="80"/>
  <c r="A19827" i="80"/>
  <c r="A19828" i="80"/>
  <c r="A19829" i="80"/>
  <c r="A19830" i="80"/>
  <c r="A19831" i="80"/>
  <c r="A19833" i="80"/>
  <c r="A19834" i="80"/>
  <c r="A19835" i="80"/>
  <c r="A19836" i="80"/>
  <c r="A19837" i="80"/>
  <c r="A19839" i="80"/>
  <c r="A19840" i="80"/>
  <c r="A19841" i="80"/>
  <c r="A19842" i="80"/>
  <c r="A19843" i="80"/>
  <c r="A19845" i="80"/>
  <c r="A19846" i="80"/>
  <c r="A19847" i="80"/>
  <c r="A19848" i="80"/>
  <c r="A19849" i="80"/>
  <c r="A19851" i="80"/>
  <c r="A19852" i="80"/>
  <c r="A19853" i="80"/>
  <c r="A19854" i="80"/>
  <c r="A19855" i="80"/>
  <c r="A19857" i="80"/>
  <c r="A19858" i="80"/>
  <c r="A19859" i="80"/>
  <c r="A19860" i="80"/>
  <c r="A19861" i="80"/>
  <c r="A19863" i="80"/>
  <c r="A19864" i="80"/>
  <c r="A19865" i="80"/>
  <c r="A19866" i="80"/>
  <c r="A19867" i="80"/>
  <c r="A19869" i="80"/>
  <c r="A19870" i="80"/>
  <c r="A19871" i="80"/>
  <c r="A19872" i="80"/>
  <c r="A19873" i="80"/>
  <c r="A19875" i="80"/>
  <c r="A19876" i="80"/>
  <c r="A19877" i="80"/>
  <c r="A19878" i="80"/>
  <c r="A19879" i="80"/>
  <c r="A19881" i="80"/>
  <c r="A19882" i="80"/>
  <c r="A19883" i="80"/>
  <c r="A19884" i="80"/>
  <c r="A19885" i="80"/>
  <c r="A19887" i="80"/>
  <c r="A19888" i="80"/>
  <c r="A19889" i="80"/>
  <c r="A19890" i="80"/>
  <c r="A19891" i="80"/>
  <c r="A19893" i="80"/>
  <c r="A19894" i="80"/>
  <c r="A19895" i="80"/>
  <c r="A19896" i="80"/>
  <c r="A19897" i="80"/>
  <c r="A19899" i="80"/>
  <c r="A19900" i="80"/>
  <c r="A19901" i="80"/>
  <c r="A19902" i="80"/>
  <c r="A19903" i="80"/>
  <c r="A19905" i="80"/>
  <c r="A19906" i="80"/>
  <c r="A19907" i="80"/>
  <c r="A19908" i="80"/>
  <c r="A19909" i="80"/>
  <c r="A19911" i="80"/>
  <c r="A19912" i="80"/>
  <c r="A19913" i="80"/>
  <c r="A19914" i="80"/>
  <c r="A19915" i="80"/>
  <c r="A19917" i="80"/>
  <c r="A19918" i="80"/>
  <c r="A19919" i="80"/>
  <c r="A19920" i="80"/>
  <c r="A19921" i="80"/>
  <c r="A19923" i="80"/>
  <c r="A19924" i="80"/>
  <c r="A19925" i="80"/>
  <c r="A19926" i="80"/>
  <c r="A19927" i="80"/>
  <c r="A19929" i="80"/>
  <c r="A19930" i="80"/>
  <c r="A19931" i="80"/>
  <c r="A19932" i="80"/>
  <c r="A19933" i="80"/>
  <c r="A19935" i="80"/>
  <c r="A19936" i="80"/>
  <c r="A19937" i="80"/>
  <c r="A19938" i="80"/>
  <c r="A19939" i="80"/>
  <c r="A19941" i="80"/>
  <c r="A19942" i="80"/>
  <c r="A19943" i="80"/>
  <c r="A19944" i="80"/>
  <c r="A19945" i="80"/>
  <c r="A19947" i="80"/>
  <c r="A19948" i="80"/>
  <c r="A19949" i="80"/>
  <c r="A19950" i="80"/>
  <c r="A19951" i="80"/>
  <c r="A19953" i="80"/>
  <c r="A19954" i="80"/>
  <c r="A19955" i="80"/>
  <c r="A19956" i="80"/>
  <c r="A19957" i="80"/>
  <c r="A19959" i="80"/>
  <c r="A19960" i="80"/>
  <c r="A19961" i="80"/>
  <c r="A19962" i="80"/>
  <c r="A19963" i="80"/>
  <c r="A19965" i="80"/>
  <c r="A19966" i="80"/>
  <c r="A19967" i="80"/>
  <c r="A19968" i="80"/>
  <c r="A19969" i="80"/>
  <c r="A19971" i="80"/>
  <c r="A19972" i="80"/>
  <c r="A19973" i="80"/>
  <c r="A19974" i="80"/>
  <c r="A19975" i="80"/>
  <c r="A19977" i="80"/>
  <c r="A19978" i="80"/>
  <c r="A19979" i="80"/>
  <c r="A19980" i="80"/>
  <c r="A19981" i="80"/>
  <c r="A19983" i="80"/>
  <c r="A19984" i="80"/>
  <c r="A19985" i="80"/>
  <c r="A19986" i="80"/>
  <c r="A19987" i="80"/>
  <c r="A19988" i="80"/>
  <c r="A19989" i="80"/>
  <c r="A19990" i="80"/>
  <c r="A19991" i="80"/>
  <c r="A19992" i="80"/>
  <c r="A19993" i="80"/>
  <c r="A19994" i="80"/>
  <c r="A19996" i="80"/>
  <c r="A19997" i="80"/>
  <c r="A19998" i="80"/>
  <c r="A19999" i="80"/>
  <c r="A20000" i="80"/>
  <c r="A20002" i="80"/>
  <c r="A20003" i="80"/>
  <c r="A20004" i="80"/>
  <c r="A20005" i="80"/>
  <c r="A20006" i="80"/>
  <c r="A20008" i="80"/>
  <c r="A20009" i="80"/>
  <c r="A20010" i="80"/>
  <c r="A20011" i="80"/>
  <c r="A20012" i="80"/>
  <c r="A20014" i="80"/>
  <c r="A20015" i="80"/>
  <c r="A20016" i="80"/>
  <c r="A20017" i="80"/>
  <c r="A20018" i="80"/>
  <c r="A20020" i="80"/>
  <c r="A20021" i="80"/>
  <c r="A20022" i="80"/>
  <c r="A20023" i="80"/>
  <c r="A20024" i="80"/>
  <c r="A20026" i="80"/>
  <c r="A20027" i="80"/>
  <c r="A20028" i="80"/>
  <c r="A20029" i="80"/>
  <c r="A20030" i="80"/>
  <c r="A20032" i="80"/>
  <c r="A20033" i="80"/>
  <c r="A20034" i="80"/>
  <c r="A20035" i="80"/>
  <c r="A20036" i="80"/>
  <c r="A20038" i="80"/>
  <c r="A20039" i="80"/>
  <c r="A20040" i="80"/>
  <c r="A20041" i="80"/>
  <c r="A20042" i="80"/>
  <c r="A20044" i="80"/>
  <c r="A20045" i="80"/>
  <c r="A20046" i="80"/>
  <c r="A20047" i="80"/>
  <c r="A20048" i="80"/>
  <c r="A20050" i="80"/>
  <c r="A20051" i="80"/>
  <c r="A20052" i="80"/>
  <c r="A20053" i="80"/>
  <c r="A20054" i="80"/>
  <c r="A20056" i="80"/>
  <c r="A20057" i="80"/>
  <c r="A20058" i="80"/>
  <c r="A20059" i="80"/>
  <c r="A20060" i="80"/>
  <c r="A20062" i="80"/>
  <c r="A20063" i="80"/>
  <c r="A20064" i="80"/>
  <c r="A20065" i="80"/>
  <c r="A20066" i="80"/>
  <c r="A20068" i="80"/>
  <c r="A20069" i="80"/>
  <c r="A20070" i="80"/>
  <c r="A20071" i="80"/>
  <c r="A20072" i="80"/>
  <c r="A20074" i="80"/>
  <c r="A20075" i="80"/>
  <c r="A20076" i="80"/>
  <c r="A20077" i="80"/>
  <c r="A20078" i="80"/>
  <c r="A20080" i="80"/>
  <c r="A20081" i="80"/>
  <c r="A20082" i="80"/>
  <c r="A20083" i="80"/>
  <c r="A20084" i="80"/>
  <c r="A20086" i="80"/>
  <c r="A20087" i="80"/>
  <c r="A20088" i="80"/>
  <c r="A20089" i="80"/>
  <c r="A20090" i="80"/>
  <c r="A20092" i="80"/>
  <c r="A20093" i="80"/>
  <c r="A20094" i="80"/>
  <c r="A20095" i="80"/>
  <c r="A20096" i="80"/>
  <c r="A20098" i="80"/>
  <c r="A20099" i="80"/>
  <c r="A20100" i="80"/>
  <c r="A20101" i="80"/>
  <c r="A20102" i="80"/>
  <c r="A20104" i="80"/>
  <c r="A20105" i="80"/>
  <c r="A20106" i="80"/>
  <c r="A20107" i="80"/>
  <c r="A20108" i="80"/>
  <c r="A20110" i="80"/>
  <c r="A20111" i="80"/>
  <c r="A20112" i="80"/>
  <c r="A20113" i="80"/>
  <c r="A20114" i="80"/>
  <c r="A20115" i="80"/>
  <c r="A20116" i="80"/>
  <c r="A20117" i="80"/>
  <c r="A20118" i="80"/>
  <c r="A20119" i="80"/>
  <c r="A20121" i="80"/>
  <c r="A20122" i="80"/>
  <c r="A20123" i="80"/>
  <c r="A20124" i="80"/>
  <c r="A20126" i="80"/>
  <c r="A20127" i="80"/>
  <c r="A20128" i="80"/>
  <c r="A20129" i="80"/>
  <c r="A20131" i="80"/>
  <c r="A20132" i="80"/>
  <c r="A20133" i="80"/>
  <c r="A20134" i="80"/>
  <c r="A20136" i="80"/>
  <c r="A20137" i="80"/>
  <c r="A20138" i="80"/>
  <c r="A20139" i="80"/>
  <c r="A20141" i="80"/>
  <c r="A20142" i="80"/>
  <c r="A20143" i="80"/>
  <c r="A20144" i="80"/>
  <c r="A20146" i="80"/>
  <c r="A20147" i="80"/>
  <c r="A20148" i="80"/>
  <c r="A20149" i="80"/>
  <c r="A20151" i="80"/>
  <c r="A20152" i="80"/>
  <c r="A20153" i="80"/>
  <c r="A20154" i="80"/>
  <c r="A20156" i="80"/>
  <c r="A20157" i="80"/>
  <c r="A20158" i="80"/>
  <c r="A20159" i="80"/>
  <c r="A20161" i="80"/>
  <c r="A20162" i="80"/>
  <c r="A20163" i="80"/>
  <c r="A20164" i="80"/>
  <c r="A20166" i="80"/>
  <c r="A20167" i="80"/>
  <c r="A20168" i="80"/>
  <c r="A20169" i="80"/>
  <c r="A20171" i="80"/>
  <c r="A20172" i="80"/>
  <c r="A20173" i="80"/>
  <c r="A20174" i="80"/>
  <c r="A20176" i="80"/>
  <c r="A20177" i="80"/>
  <c r="A20178" i="80"/>
  <c r="A20179" i="80"/>
  <c r="A20180" i="80"/>
  <c r="A20181" i="80"/>
  <c r="A20182" i="80"/>
  <c r="A20183" i="80"/>
  <c r="A20184" i="80"/>
  <c r="A20185" i="80"/>
  <c r="A20186" i="80"/>
  <c r="A20187" i="80"/>
  <c r="A20188" i="80"/>
  <c r="A20190" i="80"/>
  <c r="A20191" i="80"/>
  <c r="A20192" i="80"/>
  <c r="A20193" i="80"/>
  <c r="A20194" i="80"/>
  <c r="A20196" i="80"/>
  <c r="A20197" i="80"/>
  <c r="A20198" i="80"/>
  <c r="A20199" i="80"/>
  <c r="A20200" i="80"/>
  <c r="A20202" i="80"/>
  <c r="A20203" i="80"/>
  <c r="A20204" i="80"/>
  <c r="A20205" i="80"/>
  <c r="A20206" i="80"/>
  <c r="A20208" i="80"/>
  <c r="A20209" i="80"/>
  <c r="A20210" i="80"/>
  <c r="A20211" i="80"/>
  <c r="A20212" i="80"/>
  <c r="A20214" i="80"/>
  <c r="A20215" i="80"/>
  <c r="A20216" i="80"/>
  <c r="A20217" i="80"/>
  <c r="A20218" i="80"/>
  <c r="A20220" i="80"/>
  <c r="A20221" i="80"/>
  <c r="A20222" i="80"/>
  <c r="A20223" i="80"/>
  <c r="A20224" i="80"/>
  <c r="A20225" i="80"/>
  <c r="A20226" i="80"/>
  <c r="A20227" i="80"/>
  <c r="A20228" i="80"/>
  <c r="A20229" i="80"/>
  <c r="A20230" i="80"/>
  <c r="A20231" i="80"/>
  <c r="A20233" i="80"/>
  <c r="A20234" i="80"/>
  <c r="A20235" i="80"/>
  <c r="A20236" i="80"/>
  <c r="A20237" i="80"/>
  <c r="A20239" i="80"/>
  <c r="A20240" i="80"/>
  <c r="A20241" i="80"/>
  <c r="A20242" i="80"/>
  <c r="A20243" i="80"/>
  <c r="A20245" i="80"/>
  <c r="A20246" i="80"/>
  <c r="A20247" i="80"/>
  <c r="A20248" i="80"/>
  <c r="A20249" i="80"/>
  <c r="A20251" i="80"/>
  <c r="A20252" i="80"/>
  <c r="A20253" i="80"/>
  <c r="A20254" i="80"/>
  <c r="A20255" i="80"/>
  <c r="A20257" i="80"/>
  <c r="A20258" i="80"/>
  <c r="A20259" i="80"/>
  <c r="A20260" i="80"/>
  <c r="A20261" i="80"/>
  <c r="A20263" i="80"/>
  <c r="A20264" i="80"/>
  <c r="A20265" i="80"/>
  <c r="A20266" i="80"/>
  <c r="A20267" i="80"/>
  <c r="A20269" i="80"/>
  <c r="A20270" i="80"/>
  <c r="A20271" i="80"/>
  <c r="A20272" i="80"/>
  <c r="A20273" i="80"/>
  <c r="A20275" i="80"/>
  <c r="A20276" i="80"/>
  <c r="A20277" i="80"/>
  <c r="A20278" i="80"/>
  <c r="A20279" i="80"/>
  <c r="A20281" i="80"/>
  <c r="A20282" i="80"/>
  <c r="A20283" i="80"/>
  <c r="A20284" i="80"/>
  <c r="A20285" i="80"/>
  <c r="A20287" i="80"/>
  <c r="A20288" i="80"/>
  <c r="A20289" i="80"/>
  <c r="A20290" i="80"/>
  <c r="A20291" i="80"/>
  <c r="A20293" i="80"/>
  <c r="A20294" i="80"/>
  <c r="A20295" i="80"/>
  <c r="A20296" i="80"/>
  <c r="A20297" i="80"/>
  <c r="A20299" i="80"/>
  <c r="A20300" i="80"/>
  <c r="A20301" i="80"/>
  <c r="A20302" i="80"/>
  <c r="A20303" i="80"/>
  <c r="A20305" i="80"/>
  <c r="A20306" i="80"/>
  <c r="A20307" i="80"/>
  <c r="A20308" i="80"/>
  <c r="A20309" i="80"/>
  <c r="A20311" i="80"/>
  <c r="A20312" i="80"/>
  <c r="A20313" i="80"/>
  <c r="A20314" i="80"/>
  <c r="A20315" i="80"/>
  <c r="A20317" i="80"/>
  <c r="A20318" i="80"/>
  <c r="A20319" i="80"/>
  <c r="A20320" i="80"/>
  <c r="A20321" i="80"/>
  <c r="A20323" i="80"/>
  <c r="A20324" i="80"/>
  <c r="A20325" i="80"/>
  <c r="A20326" i="80"/>
  <c r="A20327" i="80"/>
  <c r="A20329" i="80"/>
  <c r="A20330" i="80"/>
  <c r="A20331" i="80"/>
  <c r="A20332" i="80"/>
  <c r="A20333" i="80"/>
  <c r="A20335" i="80"/>
  <c r="A20336" i="80"/>
  <c r="A20337" i="80"/>
  <c r="A20338" i="80"/>
  <c r="A20339" i="80"/>
  <c r="A20341" i="80"/>
  <c r="A20342" i="80"/>
  <c r="A20343" i="80"/>
  <c r="A20344" i="80"/>
  <c r="A20345" i="80"/>
  <c r="A20347" i="80"/>
  <c r="A20348" i="80"/>
  <c r="A20349" i="80"/>
  <c r="A20350" i="80"/>
  <c r="A20351" i="80"/>
  <c r="A20353" i="80"/>
  <c r="A20354" i="80"/>
  <c r="A20355" i="80"/>
  <c r="A20356" i="80"/>
  <c r="A20357" i="80"/>
  <c r="A20359" i="80"/>
  <c r="A20360" i="80"/>
  <c r="A20361" i="80"/>
  <c r="A20362" i="80"/>
  <c r="A20363" i="80"/>
  <c r="A20365" i="80"/>
  <c r="A20366" i="80"/>
  <c r="A20367" i="80"/>
  <c r="A20368" i="80"/>
  <c r="A20369" i="80"/>
  <c r="A20371" i="80"/>
  <c r="A20372" i="80"/>
  <c r="A20373" i="80"/>
  <c r="A20374" i="80"/>
  <c r="A20375" i="80"/>
  <c r="A20377" i="80"/>
  <c r="A20378" i="80"/>
  <c r="A20379" i="80"/>
  <c r="A20380" i="80"/>
  <c r="A20381" i="80"/>
  <c r="A20383" i="80"/>
  <c r="A20384" i="80"/>
  <c r="A20385" i="80"/>
  <c r="A20386" i="80"/>
  <c r="A20387" i="80"/>
  <c r="A20389" i="80"/>
  <c r="A20390" i="80"/>
  <c r="A20391" i="80"/>
  <c r="A20392" i="80"/>
  <c r="A20393" i="80"/>
  <c r="A20395" i="80"/>
  <c r="A20396" i="80"/>
  <c r="A20397" i="80"/>
  <c r="A20398" i="80"/>
  <c r="A20399" i="80"/>
  <c r="A20401" i="80"/>
  <c r="A20402" i="80"/>
  <c r="A20403" i="80"/>
  <c r="A20404" i="80"/>
  <c r="A20405" i="80"/>
  <c r="A20407" i="80"/>
  <c r="A20408" i="80"/>
  <c r="A20409" i="80"/>
  <c r="A20410" i="80"/>
  <c r="A20411" i="80"/>
  <c r="A20413" i="80"/>
  <c r="A20414" i="80"/>
  <c r="A20415" i="80"/>
  <c r="A20416" i="80"/>
  <c r="A20417" i="80"/>
  <c r="A20419" i="80"/>
  <c r="A20420" i="80"/>
  <c r="A20421" i="80"/>
  <c r="A20422" i="80"/>
  <c r="A20423" i="80"/>
  <c r="A20425" i="80"/>
  <c r="A20426" i="80"/>
  <c r="A20427" i="80"/>
  <c r="A20428" i="80"/>
  <c r="A20429" i="80"/>
  <c r="A20431" i="80"/>
  <c r="A20432" i="80"/>
  <c r="A20433" i="80"/>
  <c r="A20434" i="80"/>
  <c r="A20435" i="80"/>
  <c r="A20437" i="80"/>
  <c r="A20438" i="80"/>
  <c r="A20439" i="80"/>
  <c r="A20440" i="80"/>
  <c r="A20441" i="80"/>
  <c r="A20443" i="80"/>
  <c r="A20444" i="80"/>
  <c r="A20445" i="80"/>
  <c r="A20446" i="80"/>
  <c r="A20447" i="80"/>
  <c r="A20449" i="80"/>
  <c r="A20450" i="80"/>
  <c r="A20451" i="80"/>
  <c r="A20452" i="80"/>
  <c r="A20453" i="80"/>
  <c r="A20455" i="80"/>
  <c r="A20456" i="80"/>
  <c r="A20457" i="80"/>
  <c r="A20458" i="80"/>
  <c r="A20459" i="80"/>
  <c r="A20461" i="80"/>
  <c r="A20462" i="80"/>
  <c r="A20463" i="80"/>
  <c r="A20464" i="80"/>
  <c r="A20465" i="80"/>
  <c r="A20467" i="80"/>
  <c r="A20468" i="80"/>
  <c r="A20469" i="80"/>
  <c r="A20470" i="80"/>
  <c r="A20471" i="80"/>
  <c r="A20473" i="80"/>
  <c r="A20474" i="80"/>
  <c r="A20475" i="80"/>
  <c r="A20476" i="80"/>
  <c r="A20477" i="80"/>
  <c r="A20479" i="80"/>
  <c r="A20480" i="80"/>
  <c r="A20481" i="80"/>
  <c r="A20482" i="80"/>
  <c r="A20483" i="80"/>
  <c r="A20485" i="80"/>
  <c r="A20486" i="80"/>
  <c r="A20487" i="80"/>
  <c r="A20488" i="80"/>
  <c r="A20489" i="80"/>
  <c r="A20491" i="80"/>
  <c r="A20492" i="80"/>
  <c r="A20493" i="80"/>
  <c r="A20494" i="80"/>
  <c r="A20495" i="80"/>
  <c r="A20497" i="80"/>
  <c r="A20498" i="80"/>
  <c r="A20499" i="80"/>
  <c r="A20500" i="80"/>
  <c r="A20501" i="80"/>
  <c r="A20503" i="80"/>
  <c r="A20504" i="80"/>
  <c r="A20505" i="80"/>
  <c r="A20506" i="80"/>
  <c r="A20507" i="80"/>
  <c r="A20509" i="80"/>
  <c r="A20510" i="80"/>
  <c r="A20511" i="80"/>
  <c r="A20512" i="80"/>
  <c r="A20513" i="80"/>
  <c r="A20515" i="80"/>
  <c r="A20516" i="80"/>
  <c r="A20517" i="80"/>
  <c r="A20518" i="80"/>
  <c r="A20519" i="80"/>
  <c r="A20521" i="80"/>
  <c r="A20522" i="80"/>
  <c r="A20523" i="80"/>
  <c r="A20524" i="80"/>
  <c r="A20525" i="80"/>
  <c r="A20527" i="80"/>
  <c r="A20528" i="80"/>
  <c r="A20529" i="80"/>
  <c r="A20530" i="80"/>
  <c r="A20531" i="80"/>
  <c r="A20533" i="80"/>
  <c r="A20534" i="80"/>
  <c r="A20535" i="80"/>
  <c r="A20536" i="80"/>
  <c r="A20537" i="80"/>
  <c r="A20539" i="80"/>
  <c r="A20540" i="80"/>
  <c r="A20541" i="80"/>
  <c r="A20542" i="80"/>
  <c r="A20543" i="80"/>
  <c r="A20545" i="80"/>
  <c r="A20546" i="80"/>
  <c r="A20547" i="80"/>
  <c r="A20548" i="80"/>
  <c r="A20549" i="80"/>
  <c r="A20551" i="80"/>
  <c r="A20552" i="80"/>
  <c r="A20553" i="80"/>
  <c r="A20554" i="80"/>
  <c r="A20555" i="80"/>
  <c r="A20557" i="80"/>
  <c r="A20558" i="80"/>
  <c r="A20559" i="80"/>
  <c r="A20560" i="80"/>
  <c r="A20561" i="80"/>
  <c r="A20563" i="80"/>
  <c r="A20564" i="80"/>
  <c r="A20565" i="80"/>
  <c r="A20566" i="80"/>
  <c r="A20567" i="80"/>
  <c r="A20569" i="80"/>
  <c r="A20570" i="80"/>
  <c r="A20571" i="80"/>
  <c r="A20572" i="80"/>
  <c r="A20573" i="80"/>
  <c r="A20575" i="80"/>
  <c r="A20576" i="80"/>
  <c r="A20577" i="80"/>
  <c r="A20578" i="80"/>
  <c r="A20579" i="80"/>
  <c r="A20581" i="80"/>
  <c r="A20582" i="80"/>
  <c r="A20583" i="80"/>
  <c r="A20584" i="80"/>
  <c r="A20585" i="80"/>
  <c r="A20587" i="80"/>
  <c r="A20588" i="80"/>
  <c r="A20589" i="80"/>
  <c r="A20590" i="80"/>
  <c r="A20591" i="80"/>
  <c r="A20593" i="80"/>
  <c r="A20594" i="80"/>
  <c r="A20595" i="80"/>
  <c r="A20596" i="80"/>
  <c r="A20597" i="80"/>
  <c r="A20599" i="80"/>
  <c r="A20600" i="80"/>
  <c r="A20601" i="80"/>
  <c r="A20602" i="80"/>
  <c r="A20603" i="80"/>
  <c r="A20605" i="80"/>
  <c r="A20606" i="80"/>
  <c r="A20607" i="80"/>
  <c r="A20608" i="80"/>
  <c r="A20609" i="80"/>
  <c r="A20611" i="80"/>
  <c r="A20612" i="80"/>
  <c r="A20613" i="80"/>
  <c r="A20614" i="80"/>
  <c r="A20615" i="80"/>
  <c r="A20617" i="80"/>
  <c r="A20618" i="80"/>
  <c r="A20619" i="80"/>
  <c r="A20620" i="80"/>
  <c r="A20621" i="80"/>
  <c r="A20623" i="80"/>
  <c r="A20624" i="80"/>
  <c r="A20625" i="80"/>
  <c r="A20626" i="80"/>
  <c r="A20627" i="80"/>
  <c r="A20629" i="80"/>
  <c r="A20630" i="80"/>
  <c r="A20631" i="80"/>
  <c r="A20632" i="80"/>
  <c r="A20633" i="80"/>
  <c r="A20635" i="80"/>
  <c r="A20636" i="80"/>
  <c r="A20637" i="80"/>
  <c r="A20638" i="80"/>
  <c r="A20639" i="80"/>
  <c r="A20641" i="80"/>
  <c r="A20642" i="80"/>
  <c r="A20643" i="80"/>
  <c r="A20644" i="80"/>
  <c r="A20645" i="80"/>
  <c r="A20647" i="80"/>
  <c r="A20648" i="80"/>
  <c r="A20649" i="80"/>
  <c r="A20650" i="80"/>
  <c r="A20651" i="80"/>
  <c r="A20653" i="80"/>
  <c r="A20654" i="80"/>
  <c r="A20655" i="80"/>
  <c r="A20656" i="80"/>
  <c r="A20657" i="80"/>
  <c r="A20659" i="80"/>
  <c r="A20660" i="80"/>
  <c r="A20661" i="80"/>
  <c r="A20662" i="80"/>
  <c r="A20663" i="80"/>
  <c r="A20665" i="80"/>
  <c r="A20666" i="80"/>
  <c r="A20667" i="80"/>
  <c r="A20668" i="80"/>
  <c r="A20669" i="80"/>
  <c r="A20671" i="80"/>
  <c r="A20672" i="80"/>
  <c r="A20673" i="80"/>
  <c r="A20674" i="80"/>
  <c r="A20675" i="80"/>
  <c r="A20677" i="80"/>
  <c r="A20678" i="80"/>
  <c r="A20679" i="80"/>
  <c r="A20680" i="80"/>
  <c r="A20681" i="80"/>
  <c r="A20683" i="80"/>
  <c r="A20684" i="80"/>
  <c r="A20685" i="80"/>
  <c r="A20686" i="80"/>
  <c r="A20687" i="80"/>
  <c r="A20689" i="80"/>
  <c r="A20690" i="80"/>
  <c r="A20691" i="80"/>
  <c r="A20692" i="80"/>
  <c r="A20693" i="80"/>
  <c r="A20695" i="80"/>
  <c r="A20696" i="80"/>
  <c r="A20697" i="80"/>
  <c r="A20698" i="80"/>
  <c r="A20699" i="80"/>
  <c r="A20701" i="80"/>
  <c r="A20702" i="80"/>
  <c r="A20703" i="80"/>
  <c r="A20704" i="80"/>
  <c r="A20705" i="80"/>
  <c r="A20707" i="80"/>
  <c r="A20708" i="80"/>
  <c r="A20709" i="80"/>
  <c r="A20710" i="80"/>
  <c r="A20711" i="80"/>
  <c r="A20713" i="80"/>
  <c r="A20714" i="80"/>
  <c r="A20715" i="80"/>
  <c r="A20716" i="80"/>
  <c r="A20717" i="80"/>
  <c r="A20719" i="80"/>
  <c r="A20720" i="80"/>
  <c r="A20721" i="80"/>
  <c r="A20722" i="80"/>
  <c r="A20723" i="80"/>
  <c r="A20725" i="80"/>
  <c r="A20726" i="80"/>
  <c r="A20727" i="80"/>
  <c r="A20728" i="80"/>
  <c r="A20729" i="80"/>
  <c r="A20731" i="80"/>
  <c r="A20732" i="80"/>
  <c r="A20733" i="80"/>
  <c r="A20734" i="80"/>
  <c r="A20735" i="80"/>
  <c r="A20737" i="80"/>
  <c r="A20738" i="80"/>
  <c r="A20739" i="80"/>
  <c r="A20740" i="80"/>
  <c r="A20741" i="80"/>
  <c r="A20743" i="80"/>
  <c r="A20744" i="80"/>
  <c r="A20745" i="80"/>
  <c r="A20746" i="80"/>
  <c r="A20747" i="80"/>
  <c r="A20749" i="80"/>
  <c r="A20750" i="80"/>
  <c r="A20751" i="80"/>
  <c r="A20752" i="80"/>
  <c r="A20753" i="80"/>
  <c r="A20755" i="80"/>
  <c r="A20756" i="80"/>
  <c r="A20757" i="80"/>
  <c r="A20758" i="80"/>
  <c r="A20759" i="80"/>
  <c r="A20761" i="80"/>
  <c r="A20762" i="80"/>
  <c r="A20763" i="80"/>
  <c r="A20764" i="80"/>
  <c r="A20765" i="80"/>
  <c r="A20767" i="80"/>
  <c r="A20768" i="80"/>
  <c r="A20769" i="80"/>
  <c r="A20770" i="80"/>
  <c r="A20771" i="80"/>
  <c r="A20773" i="80"/>
  <c r="A20774" i="80"/>
  <c r="A20775" i="80"/>
  <c r="A20776" i="80"/>
  <c r="A20777" i="80"/>
  <c r="A20779" i="80"/>
  <c r="A20780" i="80"/>
  <c r="A20781" i="80"/>
  <c r="A20782" i="80"/>
  <c r="A20783" i="80"/>
  <c r="A20785" i="80"/>
  <c r="A20786" i="80"/>
  <c r="A20787" i="80"/>
  <c r="A20788" i="80"/>
  <c r="A20789" i="80"/>
  <c r="A20791" i="80"/>
  <c r="A20792" i="80"/>
  <c r="A20793" i="80"/>
  <c r="A20794" i="80"/>
  <c r="A20795" i="80"/>
  <c r="A20797" i="80"/>
  <c r="A20798" i="80"/>
  <c r="A20799" i="80"/>
  <c r="A20800" i="80"/>
  <c r="A20801" i="80"/>
  <c r="A20803" i="80"/>
  <c r="A20804" i="80"/>
  <c r="A20805" i="80"/>
  <c r="A20806" i="80"/>
  <c r="A20807" i="80"/>
  <c r="A20809" i="80"/>
  <c r="A20810" i="80"/>
  <c r="A20811" i="80"/>
  <c r="A20812" i="80"/>
  <c r="A20813" i="80"/>
  <c r="A20815" i="80"/>
  <c r="A20816" i="80"/>
  <c r="A20817" i="80"/>
  <c r="A20818" i="80"/>
  <c r="A20819" i="80"/>
  <c r="A20821" i="80"/>
  <c r="A20822" i="80"/>
  <c r="A20823" i="80"/>
  <c r="A20824" i="80"/>
  <c r="A20825" i="80"/>
  <c r="A20827" i="80"/>
  <c r="A20828" i="80"/>
  <c r="A20829" i="80"/>
  <c r="A20830" i="80"/>
  <c r="A20831" i="80"/>
  <c r="A20833" i="80"/>
  <c r="A20834" i="80"/>
  <c r="A20835" i="80"/>
  <c r="A20836" i="80"/>
  <c r="A20837" i="80"/>
  <c r="A20839" i="80"/>
  <c r="A20840" i="80"/>
  <c r="A20841" i="80"/>
  <c r="A20842" i="80"/>
  <c r="A20843" i="80"/>
  <c r="A20845" i="80"/>
  <c r="A20846" i="80"/>
  <c r="A20847" i="80"/>
  <c r="A20848" i="80"/>
  <c r="A20849" i="80"/>
  <c r="A20851" i="80"/>
  <c r="A20852" i="80"/>
  <c r="A20853" i="80"/>
  <c r="A20854" i="80"/>
  <c r="A20855" i="80"/>
  <c r="A20857" i="80"/>
  <c r="A20858" i="80"/>
  <c r="A20859" i="80"/>
  <c r="A20860" i="80"/>
  <c r="A20861" i="80"/>
  <c r="A20863" i="80"/>
  <c r="A20864" i="80"/>
  <c r="A20865" i="80"/>
  <c r="A20866" i="80"/>
  <c r="A20867" i="80"/>
  <c r="A20869" i="80"/>
  <c r="A20870" i="80"/>
  <c r="A20871" i="80"/>
  <c r="A20872" i="80"/>
  <c r="A20873" i="80"/>
  <c r="A20875" i="80"/>
  <c r="A20876" i="80"/>
  <c r="A20877" i="80"/>
  <c r="A20878" i="80"/>
  <c r="A20879" i="80"/>
  <c r="A20881" i="80"/>
  <c r="A20882" i="80"/>
  <c r="A20883" i="80"/>
  <c r="A20884" i="80"/>
  <c r="A20885" i="80"/>
  <c r="A20887" i="80"/>
  <c r="A20888" i="80"/>
  <c r="A20889" i="80"/>
  <c r="A20890" i="80"/>
  <c r="A20891" i="80"/>
  <c r="A20893" i="80"/>
  <c r="A20894" i="80"/>
  <c r="A20895" i="80"/>
  <c r="A20896" i="80"/>
  <c r="A20897" i="80"/>
  <c r="A20899" i="80"/>
  <c r="A20900" i="80"/>
  <c r="A20901" i="80"/>
  <c r="A20902" i="80"/>
  <c r="A20903" i="80"/>
  <c r="A20905" i="80"/>
  <c r="A20906" i="80"/>
  <c r="A20907" i="80"/>
  <c r="A20908" i="80"/>
  <c r="A20909" i="80"/>
  <c r="A20911" i="80"/>
  <c r="A20912" i="80"/>
  <c r="A20913" i="80"/>
  <c r="A20914" i="80"/>
  <c r="A20915" i="80"/>
  <c r="A20917" i="80"/>
  <c r="A20918" i="80"/>
  <c r="A20919" i="80"/>
  <c r="A20920" i="80"/>
  <c r="A20921" i="80"/>
  <c r="A20923" i="80"/>
  <c r="A20924" i="80"/>
  <c r="A20925" i="80"/>
  <c r="A20926" i="80"/>
  <c r="A20927" i="80"/>
  <c r="A20929" i="80"/>
  <c r="A20930" i="80"/>
  <c r="A20931" i="80"/>
  <c r="A20932" i="80"/>
  <c r="A20933" i="80"/>
  <c r="A20935" i="80"/>
  <c r="A20936" i="80"/>
  <c r="A20937" i="80"/>
  <c r="A20938" i="80"/>
  <c r="A20939" i="80"/>
  <c r="A20941" i="80"/>
  <c r="A20942" i="80"/>
  <c r="A20943" i="80"/>
  <c r="A20944" i="80"/>
  <c r="A20945" i="80"/>
  <c r="A20947" i="80"/>
  <c r="A20948" i="80"/>
  <c r="A20949" i="80"/>
  <c r="A20950" i="80"/>
  <c r="A20951" i="80"/>
  <c r="A20953" i="80"/>
  <c r="A20954" i="80"/>
  <c r="A20955" i="80"/>
  <c r="A20956" i="80"/>
  <c r="A20957" i="80"/>
  <c r="A20959" i="80"/>
  <c r="A20960" i="80"/>
  <c r="A20961" i="80"/>
  <c r="A20962" i="80"/>
  <c r="A20963" i="80"/>
  <c r="A20965" i="80"/>
  <c r="A20966" i="80"/>
  <c r="A20967" i="80"/>
  <c r="A20968" i="80"/>
  <c r="A20969" i="80"/>
  <c r="A20971" i="80"/>
  <c r="A20972" i="80"/>
  <c r="A20973" i="80"/>
  <c r="A20974" i="80"/>
  <c r="A20975" i="80"/>
  <c r="A20977" i="80"/>
  <c r="A20978" i="80"/>
  <c r="A20979" i="80"/>
  <c r="A20980" i="80"/>
  <c r="A20981" i="80"/>
  <c r="A20983" i="80"/>
  <c r="A20984" i="80"/>
  <c r="A20985" i="80"/>
  <c r="A20986" i="80"/>
  <c r="A20987" i="80"/>
  <c r="A20989" i="80"/>
  <c r="A20990" i="80"/>
  <c r="A20991" i="80"/>
  <c r="A20992" i="80"/>
  <c r="A20993" i="80"/>
  <c r="A20995" i="80"/>
  <c r="A20996" i="80"/>
  <c r="A20997" i="80"/>
  <c r="A20998" i="80"/>
  <c r="A20999" i="80"/>
  <c r="A21000" i="80"/>
  <c r="A21001" i="80"/>
  <c r="A21002" i="80"/>
  <c r="A21003" i="80"/>
  <c r="A21004" i="80"/>
  <c r="A21005" i="80"/>
  <c r="A21006" i="80"/>
  <c r="A21008" i="80"/>
  <c r="A21009" i="80"/>
  <c r="A21010" i="80"/>
  <c r="A21011" i="80"/>
  <c r="A21012" i="80"/>
  <c r="A21014" i="80"/>
  <c r="A21015" i="80"/>
  <c r="A21016" i="80"/>
  <c r="A21017" i="80"/>
  <c r="A21018" i="80"/>
  <c r="A21020" i="80"/>
  <c r="A21021" i="80"/>
  <c r="A21022" i="80"/>
  <c r="A21023" i="80"/>
  <c r="A21024" i="80"/>
  <c r="A21026" i="80"/>
  <c r="A21027" i="80"/>
  <c r="A21028" i="80"/>
  <c r="A21029" i="80"/>
  <c r="A21030" i="80"/>
  <c r="A21032" i="80"/>
  <c r="A21033" i="80"/>
  <c r="A21034" i="80"/>
  <c r="A21035" i="80"/>
  <c r="A21036" i="80"/>
  <c r="A21038" i="80"/>
  <c r="A21039" i="80"/>
  <c r="A21040" i="80"/>
  <c r="A21041" i="80"/>
  <c r="A21042" i="80"/>
  <c r="A21044" i="80"/>
  <c r="A21045" i="80"/>
  <c r="A21046" i="80"/>
  <c r="A21047" i="80"/>
  <c r="A21048" i="80"/>
  <c r="A21050" i="80"/>
  <c r="A21051" i="80"/>
  <c r="A21052" i="80"/>
  <c r="A21053" i="80"/>
  <c r="A21054" i="80"/>
  <c r="A21056" i="80"/>
  <c r="A21057" i="80"/>
  <c r="A21058" i="80"/>
  <c r="A21059" i="80"/>
  <c r="A21060" i="80"/>
  <c r="A21062" i="80"/>
  <c r="A21063" i="80"/>
  <c r="A21064" i="80"/>
  <c r="A21065" i="80"/>
  <c r="A21066" i="80"/>
  <c r="A21068" i="80"/>
  <c r="A21069" i="80"/>
  <c r="A21070" i="80"/>
  <c r="A21071" i="80"/>
  <c r="A21072" i="80"/>
  <c r="A21074" i="80"/>
  <c r="A21075" i="80"/>
  <c r="A21076" i="80"/>
  <c r="A21077" i="80"/>
  <c r="A21078" i="80"/>
  <c r="A21080" i="80"/>
  <c r="A21081" i="80"/>
  <c r="A21082" i="80"/>
  <c r="A21083" i="80"/>
  <c r="A21084" i="80"/>
  <c r="A21086" i="80"/>
  <c r="A21087" i="80"/>
  <c r="A21088" i="80"/>
  <c r="A21089" i="80"/>
  <c r="A21090" i="80"/>
  <c r="A21092" i="80"/>
  <c r="A21093" i="80"/>
  <c r="A21094" i="80"/>
  <c r="A21095" i="80"/>
  <c r="A21096" i="80"/>
  <c r="A21098" i="80"/>
  <c r="A21099" i="80"/>
  <c r="A21100" i="80"/>
  <c r="A21101" i="80"/>
  <c r="A21102" i="80"/>
  <c r="A21104" i="80"/>
  <c r="A21105" i="80"/>
  <c r="A21106" i="80"/>
  <c r="A21107" i="80"/>
  <c r="A21108" i="80"/>
  <c r="A21110" i="80"/>
  <c r="A21111" i="80"/>
  <c r="A21112" i="80"/>
  <c r="A21113" i="80"/>
  <c r="A21114" i="80"/>
  <c r="A21116" i="80"/>
  <c r="A21117" i="80"/>
  <c r="A21118" i="80"/>
  <c r="A21119" i="80"/>
  <c r="A21120" i="80"/>
  <c r="A21122" i="80"/>
  <c r="A21123" i="80"/>
  <c r="A21124" i="80"/>
  <c r="A21125" i="80"/>
  <c r="A21126" i="80"/>
  <c r="A21128" i="80"/>
  <c r="A21129" i="80"/>
  <c r="A21130" i="80"/>
  <c r="A21131" i="80"/>
  <c r="A21132" i="80"/>
  <c r="A21134" i="80"/>
  <c r="A21135" i="80"/>
  <c r="A21136" i="80"/>
  <c r="A21137" i="80"/>
  <c r="A21138" i="80"/>
  <c r="A21140" i="80"/>
  <c r="A21141" i="80"/>
  <c r="A21142" i="80"/>
  <c r="A21143" i="80"/>
  <c r="A21144" i="80"/>
  <c r="A21145" i="80"/>
  <c r="A21146" i="80"/>
  <c r="A21147" i="80"/>
  <c r="A21148" i="80"/>
  <c r="A21149" i="80"/>
  <c r="A21150" i="80"/>
  <c r="A21151" i="80"/>
  <c r="A21153" i="80"/>
  <c r="A21154" i="80"/>
  <c r="A21155" i="80"/>
  <c r="A21156" i="80"/>
  <c r="A21157" i="80"/>
  <c r="A21159" i="80"/>
  <c r="A21160" i="80"/>
  <c r="A21161" i="80"/>
  <c r="A21163" i="80"/>
  <c r="A21164" i="80"/>
  <c r="A21165" i="80"/>
  <c r="A21166" i="80"/>
  <c r="A21168" i="80"/>
  <c r="A21169" i="80"/>
  <c r="A21170" i="80"/>
  <c r="A21171" i="80"/>
  <c r="A21172" i="80"/>
  <c r="A21173" i="80"/>
  <c r="A21175" i="80"/>
  <c r="A21176" i="80"/>
  <c r="A21177" i="80"/>
  <c r="A21178" i="80"/>
  <c r="A21179" i="80"/>
  <c r="A21181" i="80"/>
  <c r="A21182" i="80"/>
  <c r="A21183" i="80"/>
  <c r="A21184" i="80"/>
  <c r="A21185" i="80"/>
  <c r="A21187" i="80"/>
  <c r="A21188" i="80"/>
  <c r="A21189" i="80"/>
  <c r="A21190" i="80"/>
  <c r="A21191" i="80"/>
  <c r="A21193" i="80"/>
  <c r="A21194" i="80"/>
  <c r="A21195" i="80"/>
  <c r="A21197" i="80"/>
  <c r="A21198" i="80"/>
  <c r="A21199" i="80"/>
  <c r="A21200" i="80"/>
  <c r="A21202" i="80"/>
  <c r="A21203" i="80"/>
  <c r="A21204" i="80"/>
  <c r="A21205" i="80"/>
  <c r="A21207" i="80"/>
  <c r="A21208" i="80"/>
  <c r="A21209" i="80"/>
  <c r="A21210" i="80"/>
  <c r="A21212" i="80"/>
  <c r="A21213" i="80"/>
  <c r="A21214" i="80"/>
  <c r="A21215" i="80"/>
  <c r="A21216" i="80"/>
  <c r="A21217" i="80"/>
  <c r="A21219" i="80"/>
  <c r="A21220" i="80"/>
  <c r="A21221" i="80"/>
  <c r="A21222" i="80"/>
  <c r="A21223" i="80"/>
  <c r="A21225" i="80"/>
  <c r="A21226" i="80"/>
  <c r="A21227" i="80"/>
  <c r="A21228" i="80"/>
  <c r="A21229" i="80"/>
  <c r="A21230" i="80"/>
  <c r="A21231" i="80"/>
  <c r="A21232" i="80"/>
  <c r="A21233" i="80"/>
  <c r="A21234" i="80"/>
  <c r="A21235" i="80"/>
  <c r="A21236" i="80"/>
  <c r="A21237" i="80"/>
  <c r="A80" i="71"/>
  <c r="A81" i="71" s="1"/>
  <c r="I20176" i="79"/>
  <c r="A20175" i="80" s="1"/>
  <c r="I20171" i="79"/>
  <c r="A20170" i="80" s="1"/>
  <c r="I20166" i="79"/>
  <c r="A20165" i="80" s="1"/>
  <c r="I20161" i="79"/>
  <c r="A20160" i="80" s="1"/>
  <c r="I20156" i="79"/>
  <c r="A20155" i="80" s="1"/>
  <c r="I20151" i="79"/>
  <c r="A20150" i="80" s="1"/>
  <c r="I20121" i="79"/>
  <c r="A20120" i="80" s="1"/>
  <c r="I21212" i="79"/>
  <c r="A21211" i="80" s="1"/>
  <c r="I21207" i="79"/>
  <c r="A21206" i="80" s="1"/>
  <c r="I21202" i="79"/>
  <c r="A21201" i="80" s="1"/>
  <c r="I21197" i="79"/>
  <c r="A21196" i="80" s="1"/>
  <c r="I21193" i="79"/>
  <c r="A21192" i="80" s="1"/>
  <c r="I21187" i="79"/>
  <c r="A21186" i="80" s="1"/>
  <c r="I21181" i="79"/>
  <c r="A21180" i="80" s="1"/>
  <c r="I21168" i="79"/>
  <c r="A21167" i="80" s="1"/>
  <c r="I21163" i="79"/>
  <c r="A21162" i="80" s="1"/>
  <c r="I21159" i="79"/>
  <c r="A21158" i="80" s="1"/>
  <c r="I21153" i="79"/>
  <c r="A21152" i="80" s="1"/>
  <c r="I21140" i="79"/>
  <c r="A21139" i="80" s="1"/>
  <c r="I21134" i="79"/>
  <c r="A21133" i="80" s="1"/>
  <c r="I21128" i="79"/>
  <c r="A21127" i="80" s="1"/>
  <c r="I21122" i="79"/>
  <c r="A21121" i="80" s="1"/>
  <c r="I21116" i="79"/>
  <c r="A21115" i="80" s="1"/>
  <c r="I21110" i="79"/>
  <c r="A21109" i="80" s="1"/>
  <c r="I21104" i="79"/>
  <c r="A21103" i="80" s="1"/>
  <c r="I21098" i="79"/>
  <c r="A21097" i="80" s="1"/>
  <c r="I21092" i="79"/>
  <c r="A21091" i="80" s="1"/>
  <c r="I21086" i="79"/>
  <c r="A21085" i="80" s="1"/>
  <c r="I21080" i="79"/>
  <c r="A21079" i="80" s="1"/>
  <c r="I21074" i="79"/>
  <c r="A21073" i="80" s="1"/>
  <c r="I21068" i="79"/>
  <c r="A21067" i="80" s="1"/>
  <c r="I21062" i="79"/>
  <c r="A21061" i="80" s="1"/>
  <c r="I21056" i="79"/>
  <c r="A21055" i="80" s="1"/>
  <c r="I21050" i="79"/>
  <c r="A21049" i="80" s="1"/>
  <c r="I21044" i="79"/>
  <c r="A21043" i="80" s="1"/>
  <c r="I21038" i="79"/>
  <c r="A21037" i="80" s="1"/>
  <c r="I21032" i="79"/>
  <c r="A21031" i="80" s="1"/>
  <c r="I21026" i="79"/>
  <c r="A21025" i="80" s="1"/>
  <c r="I21020" i="79"/>
  <c r="A21019" i="80" s="1"/>
  <c r="I21014" i="79"/>
  <c r="A21013" i="80" s="1"/>
  <c r="I21008" i="79"/>
  <c r="A21007" i="80" s="1"/>
  <c r="I20941" i="79"/>
  <c r="A20940" i="80" s="1"/>
  <c r="I20923" i="79"/>
  <c r="A20922" i="80" s="1"/>
  <c r="I20911" i="79"/>
  <c r="A20910" i="80" s="1"/>
  <c r="I20899" i="79"/>
  <c r="A20898" i="80" s="1"/>
  <c r="I20893" i="79"/>
  <c r="A20892" i="80" s="1"/>
  <c r="I20887" i="79"/>
  <c r="A20886" i="80"/>
  <c r="I20881" i="79"/>
  <c r="A20880" i="80"/>
  <c r="I20875" i="79"/>
  <c r="A20874" i="80"/>
  <c r="I20869" i="79"/>
  <c r="A20868" i="80"/>
  <c r="I20863" i="79"/>
  <c r="A20862" i="80"/>
  <c r="I20857" i="79"/>
  <c r="A20856" i="80"/>
  <c r="I20839" i="79"/>
  <c r="A20838" i="80"/>
  <c r="I20833" i="79"/>
  <c r="A20832" i="80"/>
  <c r="I20827" i="79"/>
  <c r="A20826" i="80"/>
  <c r="I20821" i="79"/>
  <c r="A20820" i="80" s="1"/>
  <c r="I20815" i="79"/>
  <c r="A20814" i="80"/>
  <c r="I20803" i="79"/>
  <c r="A20802" i="80"/>
  <c r="I20797" i="79"/>
  <c r="A20796" i="80"/>
  <c r="I20791" i="79"/>
  <c r="A20790" i="80"/>
  <c r="I20785" i="79"/>
  <c r="A20784" i="80"/>
  <c r="I20779" i="79"/>
  <c r="A20778" i="80"/>
  <c r="I20773" i="79"/>
  <c r="A20772" i="80"/>
  <c r="I20767" i="79"/>
  <c r="A20766" i="80"/>
  <c r="I20761" i="79"/>
  <c r="A20760" i="80"/>
  <c r="I20701" i="79"/>
  <c r="A20700" i="80"/>
  <c r="I20689" i="79"/>
  <c r="A20688" i="80"/>
  <c r="I20659" i="79"/>
  <c r="A20658" i="80"/>
  <c r="I20653" i="79"/>
  <c r="A20652" i="80"/>
  <c r="I20647" i="79"/>
  <c r="A20646" i="80" s="1"/>
  <c r="I20641" i="79"/>
  <c r="A20640" i="80" s="1"/>
  <c r="I20611" i="79"/>
  <c r="A20610" i="80" s="1"/>
  <c r="I20605" i="79"/>
  <c r="A20604" i="80" s="1"/>
  <c r="I20599" i="79"/>
  <c r="A20598" i="80" s="1"/>
  <c r="I20593" i="79"/>
  <c r="A20592" i="80" s="1"/>
  <c r="I20587" i="79"/>
  <c r="A20586" i="80" s="1"/>
  <c r="I20581" i="79"/>
  <c r="A20580" i="80" s="1"/>
  <c r="I20575" i="79"/>
  <c r="A20574" i="80" s="1"/>
  <c r="I20569" i="79"/>
  <c r="A20568" i="80" s="1"/>
  <c r="I20563" i="79"/>
  <c r="A20562" i="80" s="1"/>
  <c r="I20557" i="79"/>
  <c r="A20556" i="80" s="1"/>
  <c r="I20551" i="79"/>
  <c r="A20550" i="80" s="1"/>
  <c r="I20545" i="79"/>
  <c r="A20544" i="80" s="1"/>
  <c r="I20467" i="79"/>
  <c r="A20466" i="80" s="1"/>
  <c r="I20461" i="79"/>
  <c r="A20460" i="80" s="1"/>
  <c r="I20455" i="79"/>
  <c r="A20454" i="80" s="1"/>
  <c r="I20449" i="79"/>
  <c r="A20448" i="80" s="1"/>
  <c r="I20443" i="79"/>
  <c r="A20442" i="80" s="1"/>
  <c r="I20437" i="79"/>
  <c r="A20436" i="80" s="1"/>
  <c r="I20431" i="79"/>
  <c r="A20430" i="80" s="1"/>
  <c r="I20425" i="79"/>
  <c r="A20424" i="80" s="1"/>
  <c r="I20419" i="79"/>
  <c r="A20418" i="80" s="1"/>
  <c r="I20413" i="79"/>
  <c r="A20412" i="80" s="1"/>
  <c r="I20407" i="79"/>
  <c r="A20406" i="80" s="1"/>
  <c r="I20401" i="79"/>
  <c r="A20400" i="80" s="1"/>
  <c r="I20220" i="79"/>
  <c r="A20219" i="80" s="1"/>
  <c r="I20214" i="79"/>
  <c r="A20213" i="80" s="1"/>
  <c r="I20208" i="79"/>
  <c r="A20207" i="80" s="1"/>
  <c r="I20202" i="79"/>
  <c r="A20201" i="80" s="1"/>
  <c r="I20196" i="79"/>
  <c r="A20195" i="80" s="1"/>
  <c r="I20190" i="79"/>
  <c r="A20189" i="80" s="1"/>
  <c r="I20146" i="79"/>
  <c r="A20145" i="80" s="1"/>
  <c r="I20141" i="79"/>
  <c r="A20140" i="80" s="1"/>
  <c r="I20136" i="79"/>
  <c r="A20135" i="80" s="1"/>
  <c r="I20131" i="79"/>
  <c r="A20130" i="80" s="1"/>
  <c r="I20126" i="79"/>
  <c r="A20125" i="80" s="1"/>
  <c r="I20104" i="79"/>
  <c r="A20103" i="80" s="1"/>
  <c r="I20092" i="79"/>
  <c r="A20091" i="80" s="1"/>
  <c r="I20074" i="79"/>
  <c r="A20073" i="80" s="1"/>
  <c r="I20062" i="79"/>
  <c r="A20061" i="80" s="1"/>
  <c r="I20056" i="79"/>
  <c r="A20055" i="80" s="1"/>
  <c r="I20050" i="79"/>
  <c r="A20049" i="80" s="1"/>
  <c r="I20044" i="79"/>
  <c r="A20043" i="80" s="1"/>
  <c r="I20038" i="79"/>
  <c r="A20037" i="80" s="1"/>
  <c r="I20032" i="79"/>
  <c r="A20031" i="80" s="1"/>
  <c r="I20026" i="79"/>
  <c r="A20025" i="80" s="1"/>
  <c r="I20020" i="79"/>
  <c r="A20019" i="80" s="1"/>
  <c r="I20014" i="79"/>
  <c r="A20013" i="80" s="1"/>
  <c r="I20008" i="79"/>
  <c r="A20007" i="80" s="1"/>
  <c r="I20002" i="79"/>
  <c r="A20001" i="80" s="1"/>
  <c r="I19996" i="79"/>
  <c r="A19995" i="80" s="1"/>
  <c r="I21225" i="79"/>
  <c r="A21224" i="80" s="1"/>
  <c r="I21175" i="79"/>
  <c r="A21174" i="80" s="1"/>
  <c r="A2" i="80"/>
  <c r="I17311" i="79"/>
  <c r="A17310" i="80"/>
  <c r="I8236" i="79"/>
  <c r="A8235" i="80" s="1"/>
  <c r="I8231" i="79"/>
  <c r="A8230" i="80" s="1"/>
  <c r="I8226" i="79"/>
  <c r="A8225" i="80" s="1"/>
  <c r="I8221" i="79"/>
  <c r="A8220" i="80" s="1"/>
  <c r="I8216" i="79"/>
  <c r="A8215" i="80" s="1"/>
  <c r="I8211" i="79"/>
  <c r="A8210" i="80" s="1"/>
  <c r="I8206" i="79"/>
  <c r="A8205" i="80" s="1"/>
  <c r="I8201" i="79"/>
  <c r="A8200" i="80" s="1"/>
  <c r="I8196" i="79"/>
  <c r="A8195" i="80" s="1"/>
  <c r="I8191" i="79"/>
  <c r="A8190" i="80" s="1"/>
  <c r="C8288" i="79"/>
  <c r="C8338" i="79" s="1"/>
  <c r="C8388" i="79"/>
  <c r="C8438" i="79" s="1"/>
  <c r="C8488" i="79" s="1"/>
  <c r="C8538" i="79" s="1"/>
  <c r="C8588" i="79" s="1"/>
  <c r="C8638" i="79" s="1"/>
  <c r="C8688" i="79" s="1"/>
  <c r="C8738" i="79" s="1"/>
  <c r="C8788" i="79" s="1"/>
  <c r="C8838" i="79" s="1"/>
  <c r="C8888" i="79" s="1"/>
  <c r="C8938" i="79" s="1"/>
  <c r="C8988" i="79" s="1"/>
  <c r="C9038" i="79" s="1"/>
  <c r="C9088" i="79" s="1"/>
  <c r="C9138" i="79" s="1"/>
  <c r="C9188" i="79" s="1"/>
  <c r="C9238" i="79" s="1"/>
  <c r="C9288" i="79" s="1"/>
  <c r="C9338" i="79" s="1"/>
  <c r="C9388" i="79" s="1"/>
  <c r="C9438" i="79" s="1"/>
  <c r="C9488" i="79" s="1"/>
  <c r="C9538" i="79" s="1"/>
  <c r="C9588" i="79" s="1"/>
  <c r="C9638" i="79" s="1"/>
  <c r="C9688" i="79" s="1"/>
  <c r="C9738" i="79" s="1"/>
  <c r="C9788" i="79" s="1"/>
  <c r="C9838" i="79" s="1"/>
  <c r="C9888" i="79" s="1"/>
  <c r="C9938" i="79" s="1"/>
  <c r="C9988" i="79" s="1"/>
  <c r="C10038" i="79" s="1"/>
  <c r="C10088" i="79" s="1"/>
  <c r="C10138" i="79" s="1"/>
  <c r="C10188" i="79" s="1"/>
  <c r="C10238" i="79" s="1"/>
  <c r="C10288" i="79" s="1"/>
  <c r="C10338" i="79" s="1"/>
  <c r="C10388" i="79" s="1"/>
  <c r="C10438" i="79" s="1"/>
  <c r="C10488" i="79" s="1"/>
  <c r="C10538" i="79" s="1"/>
  <c r="C10588" i="79" s="1"/>
  <c r="C10638" i="79" s="1"/>
  <c r="C10688" i="79" s="1"/>
  <c r="C10738" i="79" s="1"/>
  <c r="C10788" i="79" s="1"/>
  <c r="C10838" i="79" s="1"/>
  <c r="C10888" i="79" s="1"/>
  <c r="C10938" i="79" s="1"/>
  <c r="C10988" i="79" s="1"/>
  <c r="C11038" i="79" s="1"/>
  <c r="C11088" i="79" s="1"/>
  <c r="C11138" i="79" s="1"/>
  <c r="C11188" i="79" s="1"/>
  <c r="C11238" i="79" s="1"/>
  <c r="C11288" i="79" s="1"/>
  <c r="C11338" i="79" s="1"/>
  <c r="C11388" i="79" s="1"/>
  <c r="C11438" i="79" s="1"/>
  <c r="C11488" i="79" s="1"/>
  <c r="C11538" i="79" s="1"/>
  <c r="C11588" i="79" s="1"/>
  <c r="C11638" i="79" s="1"/>
  <c r="C11688" i="79" s="1"/>
  <c r="C11738" i="79" s="1"/>
  <c r="C11788" i="79" s="1"/>
  <c r="C11838" i="79" s="1"/>
  <c r="C11888" i="79" s="1"/>
  <c r="C11938" i="79" s="1"/>
  <c r="C11988" i="79" s="1"/>
  <c r="C12038" i="79" s="1"/>
  <c r="C12088" i="79" s="1"/>
  <c r="C12138" i="79" s="1"/>
  <c r="C12188" i="79" s="1"/>
  <c r="C12238" i="79" s="1"/>
  <c r="C12288" i="79" s="1"/>
  <c r="C12338" i="79" s="1"/>
  <c r="C12388" i="79" s="1"/>
  <c r="C12438" i="79" s="1"/>
  <c r="C12488" i="79" s="1"/>
  <c r="C12538" i="79" s="1"/>
  <c r="C12588" i="79" s="1"/>
  <c r="C12638" i="79" s="1"/>
  <c r="C12688" i="79" s="1"/>
  <c r="C12738" i="79" s="1"/>
  <c r="C12788" i="79" s="1"/>
  <c r="C12838" i="79" s="1"/>
  <c r="C12888" i="79" s="1"/>
  <c r="C12938" i="79" s="1"/>
  <c r="C12988" i="79" s="1"/>
  <c r="C13038" i="79" s="1"/>
  <c r="C13088" i="79" s="1"/>
  <c r="C13138" i="79" s="1"/>
  <c r="C13188" i="79" s="1"/>
  <c r="C13238" i="79" s="1"/>
  <c r="C13288" i="79" s="1"/>
  <c r="C13338" i="79" s="1"/>
  <c r="C13388" i="79" s="1"/>
  <c r="C13438" i="79" s="1"/>
  <c r="C13488" i="79" s="1"/>
  <c r="C13538" i="79" s="1"/>
  <c r="C13588" i="79" s="1"/>
  <c r="C13638" i="79" s="1"/>
  <c r="C13688" i="79" s="1"/>
  <c r="C13738" i="79" s="1"/>
  <c r="C13788" i="79" s="1"/>
  <c r="C13838" i="79" s="1"/>
  <c r="C13888" i="79" s="1"/>
  <c r="C13938" i="79" s="1"/>
  <c r="C13988" i="79" s="1"/>
  <c r="C14038" i="79" s="1"/>
  <c r="C14088" i="79" s="1"/>
  <c r="C14138" i="79" s="1"/>
  <c r="C14188" i="79" s="1"/>
  <c r="C14238" i="79" s="1"/>
  <c r="C14288" i="79" s="1"/>
  <c r="C14338" i="79" s="1"/>
  <c r="C14388" i="79" s="1"/>
  <c r="C14438" i="79" s="1"/>
  <c r="C14488" i="79" s="1"/>
  <c r="C14538" i="79" s="1"/>
  <c r="C14588" i="79" s="1"/>
  <c r="C14638" i="79" s="1"/>
  <c r="C14688" i="79" s="1"/>
  <c r="C14738" i="79" s="1"/>
  <c r="C14788" i="79" s="1"/>
  <c r="C14838" i="79" s="1"/>
  <c r="C14888" i="79" s="1"/>
  <c r="C14938" i="79" s="1"/>
  <c r="C14988" i="79" s="1"/>
  <c r="C15038" i="79" s="1"/>
  <c r="C15088" i="79" s="1"/>
  <c r="C15138" i="79" s="1"/>
  <c r="C15188" i="79" s="1"/>
  <c r="C15238" i="79" s="1"/>
  <c r="C15288" i="79" s="1"/>
  <c r="C15338" i="79" s="1"/>
  <c r="C15388" i="79" s="1"/>
  <c r="C15438" i="79" s="1"/>
  <c r="C15488" i="79" s="1"/>
  <c r="C15538" i="79" s="1"/>
  <c r="C15588" i="79" s="1"/>
  <c r="C15638" i="79" s="1"/>
  <c r="C15688" i="79" s="1"/>
  <c r="C15738" i="79" s="1"/>
  <c r="C15788" i="79" s="1"/>
  <c r="C15838" i="79" s="1"/>
  <c r="C15888" i="79" s="1"/>
  <c r="C15938" i="79" s="1"/>
  <c r="C15988" i="79" s="1"/>
  <c r="C16038" i="79" s="1"/>
  <c r="C16088" i="79" s="1"/>
  <c r="C16138" i="79" s="1"/>
  <c r="C16188" i="79" s="1"/>
  <c r="C16238" i="79" s="1"/>
  <c r="C16288" i="79" s="1"/>
  <c r="C16338" i="79" s="1"/>
  <c r="C16388" i="79" s="1"/>
  <c r="C16438" i="79" s="1"/>
  <c r="C16488" i="79" s="1"/>
  <c r="C16538" i="79" s="1"/>
  <c r="C16588" i="79" s="1"/>
  <c r="C16638" i="79" s="1"/>
  <c r="C16688" i="79" s="1"/>
  <c r="C16738" i="79" s="1"/>
  <c r="C16788" i="79" s="1"/>
  <c r="C16838" i="79" s="1"/>
  <c r="C16888" i="79" s="1"/>
  <c r="C16938" i="79" s="1"/>
  <c r="C16988" i="79" s="1"/>
  <c r="C17038" i="79" s="1"/>
  <c r="C17088" i="79" s="1"/>
  <c r="C17138" i="79" s="1"/>
  <c r="C17188" i="79" s="1"/>
  <c r="C17238" i="79" s="1"/>
  <c r="C17288" i="79" s="1"/>
  <c r="C8287" i="79"/>
  <c r="I8287" i="79"/>
  <c r="A8286" i="80" s="1"/>
  <c r="C8286" i="79"/>
  <c r="C8285" i="79"/>
  <c r="C8335" i="79"/>
  <c r="C8385" i="79" s="1"/>
  <c r="C8435" i="79" s="1"/>
  <c r="C8485" i="79" s="1"/>
  <c r="C8535" i="79" s="1"/>
  <c r="C8585" i="79" s="1"/>
  <c r="C8635" i="79" s="1"/>
  <c r="C8685" i="79" s="1"/>
  <c r="C8735" i="79" s="1"/>
  <c r="C8785" i="79" s="1"/>
  <c r="C8835" i="79" s="1"/>
  <c r="C8885" i="79" s="1"/>
  <c r="C8935" i="79" s="1"/>
  <c r="C8985" i="79" s="1"/>
  <c r="C9035" i="79" s="1"/>
  <c r="C9085" i="79" s="1"/>
  <c r="C9135" i="79" s="1"/>
  <c r="C9185" i="79" s="1"/>
  <c r="C9235" i="79" s="1"/>
  <c r="C9285" i="79" s="1"/>
  <c r="C9335" i="79" s="1"/>
  <c r="C9385" i="79" s="1"/>
  <c r="C9435" i="79" s="1"/>
  <c r="C9485" i="79" s="1"/>
  <c r="C9535" i="79" s="1"/>
  <c r="C9585" i="79" s="1"/>
  <c r="C9635" i="79" s="1"/>
  <c r="C9685" i="79" s="1"/>
  <c r="C9735" i="79" s="1"/>
  <c r="C9785" i="79" s="1"/>
  <c r="C9835" i="79" s="1"/>
  <c r="C9885" i="79" s="1"/>
  <c r="C9935" i="79" s="1"/>
  <c r="C9985" i="79" s="1"/>
  <c r="C10035" i="79" s="1"/>
  <c r="C10085" i="79" s="1"/>
  <c r="C10135" i="79" s="1"/>
  <c r="C10185" i="79" s="1"/>
  <c r="C10235" i="79" s="1"/>
  <c r="C10285" i="79" s="1"/>
  <c r="C10335" i="79" s="1"/>
  <c r="C10385" i="79" s="1"/>
  <c r="C10435" i="79" s="1"/>
  <c r="C10485" i="79" s="1"/>
  <c r="C10535" i="79" s="1"/>
  <c r="C10585" i="79" s="1"/>
  <c r="C10635" i="79" s="1"/>
  <c r="C10685" i="79" s="1"/>
  <c r="C10735" i="79" s="1"/>
  <c r="C10785" i="79" s="1"/>
  <c r="C10835" i="79" s="1"/>
  <c r="C10885" i="79" s="1"/>
  <c r="C10935" i="79" s="1"/>
  <c r="C10985" i="79" s="1"/>
  <c r="C11035" i="79" s="1"/>
  <c r="C11085" i="79" s="1"/>
  <c r="C11135" i="79" s="1"/>
  <c r="C11185" i="79" s="1"/>
  <c r="C11235" i="79" s="1"/>
  <c r="C11285" i="79" s="1"/>
  <c r="C11335" i="79" s="1"/>
  <c r="C11385" i="79" s="1"/>
  <c r="C11435" i="79" s="1"/>
  <c r="C11485" i="79" s="1"/>
  <c r="C11535" i="79" s="1"/>
  <c r="C11585" i="79" s="1"/>
  <c r="C11635" i="79" s="1"/>
  <c r="C11685" i="79" s="1"/>
  <c r="C11735" i="79" s="1"/>
  <c r="C11785" i="79" s="1"/>
  <c r="C11835" i="79" s="1"/>
  <c r="C11885" i="79" s="1"/>
  <c r="C11935" i="79" s="1"/>
  <c r="C11985" i="79" s="1"/>
  <c r="C12035" i="79" s="1"/>
  <c r="C12085" i="79" s="1"/>
  <c r="C12135" i="79" s="1"/>
  <c r="C12185" i="79" s="1"/>
  <c r="C12235" i="79" s="1"/>
  <c r="C12285" i="79" s="1"/>
  <c r="C12335" i="79" s="1"/>
  <c r="C12385" i="79" s="1"/>
  <c r="C12435" i="79" s="1"/>
  <c r="C12485" i="79" s="1"/>
  <c r="C12535" i="79" s="1"/>
  <c r="C12585" i="79" s="1"/>
  <c r="C12635" i="79" s="1"/>
  <c r="C12685" i="79" s="1"/>
  <c r="C12735" i="79" s="1"/>
  <c r="C12785" i="79" s="1"/>
  <c r="C12835" i="79" s="1"/>
  <c r="C12885" i="79" s="1"/>
  <c r="C12935" i="79" s="1"/>
  <c r="C12985" i="79" s="1"/>
  <c r="C13035" i="79" s="1"/>
  <c r="C13085" i="79" s="1"/>
  <c r="C13135" i="79" s="1"/>
  <c r="C13185" i="79" s="1"/>
  <c r="C13235" i="79" s="1"/>
  <c r="C13285" i="79" s="1"/>
  <c r="C13335" i="79" s="1"/>
  <c r="C13385" i="79" s="1"/>
  <c r="C13435" i="79" s="1"/>
  <c r="C13485" i="79" s="1"/>
  <c r="C13535" i="79" s="1"/>
  <c r="C13585" i="79" s="1"/>
  <c r="C13635" i="79" s="1"/>
  <c r="C13685" i="79" s="1"/>
  <c r="C13735" i="79" s="1"/>
  <c r="C13785" i="79" s="1"/>
  <c r="C13835" i="79" s="1"/>
  <c r="C13885" i="79" s="1"/>
  <c r="C13935" i="79" s="1"/>
  <c r="C13985" i="79" s="1"/>
  <c r="C14035" i="79" s="1"/>
  <c r="C14085" i="79" s="1"/>
  <c r="C14135" i="79" s="1"/>
  <c r="C14185" i="79" s="1"/>
  <c r="C14235" i="79" s="1"/>
  <c r="C14285" i="79" s="1"/>
  <c r="C14335" i="79" s="1"/>
  <c r="C14385" i="79" s="1"/>
  <c r="C14435" i="79" s="1"/>
  <c r="C14485" i="79" s="1"/>
  <c r="C14535" i="79" s="1"/>
  <c r="C14585" i="79" s="1"/>
  <c r="C14635" i="79" s="1"/>
  <c r="C14685" i="79" s="1"/>
  <c r="C14735" i="79" s="1"/>
  <c r="C14785" i="79" s="1"/>
  <c r="C14835" i="79" s="1"/>
  <c r="C14885" i="79" s="1"/>
  <c r="C14935" i="79" s="1"/>
  <c r="C14985" i="79" s="1"/>
  <c r="C15035" i="79" s="1"/>
  <c r="C15085" i="79" s="1"/>
  <c r="C15135" i="79" s="1"/>
  <c r="C15185" i="79" s="1"/>
  <c r="C15235" i="79" s="1"/>
  <c r="C15285" i="79" s="1"/>
  <c r="C15335" i="79" s="1"/>
  <c r="C15385" i="79" s="1"/>
  <c r="C15435" i="79" s="1"/>
  <c r="C15485" i="79" s="1"/>
  <c r="C15535" i="79" s="1"/>
  <c r="C15585" i="79" s="1"/>
  <c r="C15635" i="79" s="1"/>
  <c r="C15685" i="79" s="1"/>
  <c r="C15735" i="79" s="1"/>
  <c r="C15785" i="79" s="1"/>
  <c r="C15835" i="79" s="1"/>
  <c r="C15885" i="79" s="1"/>
  <c r="C15935" i="79" s="1"/>
  <c r="C15985" i="79" s="1"/>
  <c r="C16035" i="79" s="1"/>
  <c r="C16085" i="79" s="1"/>
  <c r="C16135" i="79" s="1"/>
  <c r="C16185" i="79" s="1"/>
  <c r="C16235" i="79" s="1"/>
  <c r="C16285" i="79" s="1"/>
  <c r="C16335" i="79" s="1"/>
  <c r="C16385" i="79" s="1"/>
  <c r="C16435" i="79" s="1"/>
  <c r="C16485" i="79" s="1"/>
  <c r="C16535" i="79" s="1"/>
  <c r="C16585" i="79" s="1"/>
  <c r="C16635" i="79" s="1"/>
  <c r="C16685" i="79" s="1"/>
  <c r="C16735" i="79" s="1"/>
  <c r="C16785" i="79" s="1"/>
  <c r="C16835" i="79" s="1"/>
  <c r="C16885" i="79" s="1"/>
  <c r="C16935" i="79" s="1"/>
  <c r="C16985" i="79" s="1"/>
  <c r="C17035" i="79" s="1"/>
  <c r="C17085" i="79" s="1"/>
  <c r="C17135" i="79" s="1"/>
  <c r="C17185" i="79" s="1"/>
  <c r="C17235" i="79" s="1"/>
  <c r="C17285" i="79" s="1"/>
  <c r="C8284" i="79"/>
  <c r="C8334" i="79" s="1"/>
  <c r="C8384" i="79" s="1"/>
  <c r="C8434" i="79" s="1"/>
  <c r="C8484" i="79" s="1"/>
  <c r="C8534" i="79" s="1"/>
  <c r="C8584" i="79" s="1"/>
  <c r="C8634" i="79" s="1"/>
  <c r="C8684" i="79" s="1"/>
  <c r="C8734" i="79" s="1"/>
  <c r="C8784" i="79" s="1"/>
  <c r="C8834" i="79" s="1"/>
  <c r="C8884" i="79" s="1"/>
  <c r="C8934" i="79" s="1"/>
  <c r="C8984" i="79" s="1"/>
  <c r="C9034" i="79" s="1"/>
  <c r="C9084" i="79" s="1"/>
  <c r="C9134" i="79" s="1"/>
  <c r="C9184" i="79" s="1"/>
  <c r="C9234" i="79" s="1"/>
  <c r="C9284" i="79" s="1"/>
  <c r="C9334" i="79" s="1"/>
  <c r="C9384" i="79" s="1"/>
  <c r="C9434" i="79" s="1"/>
  <c r="C9484" i="79" s="1"/>
  <c r="C9534" i="79" s="1"/>
  <c r="C9584" i="79" s="1"/>
  <c r="C9634" i="79" s="1"/>
  <c r="C9684" i="79" s="1"/>
  <c r="C9734" i="79" s="1"/>
  <c r="C9784" i="79" s="1"/>
  <c r="C9834" i="79" s="1"/>
  <c r="C9884" i="79" s="1"/>
  <c r="C9934" i="79" s="1"/>
  <c r="C9984" i="79" s="1"/>
  <c r="C10034" i="79" s="1"/>
  <c r="C10084" i="79" s="1"/>
  <c r="C10134" i="79" s="1"/>
  <c r="C10184" i="79" s="1"/>
  <c r="C10234" i="79" s="1"/>
  <c r="C10284" i="79" s="1"/>
  <c r="C10334" i="79" s="1"/>
  <c r="C10384" i="79" s="1"/>
  <c r="C10434" i="79" s="1"/>
  <c r="C10484" i="79" s="1"/>
  <c r="C10534" i="79" s="1"/>
  <c r="C10584" i="79" s="1"/>
  <c r="C10634" i="79" s="1"/>
  <c r="C10684" i="79" s="1"/>
  <c r="C10734" i="79" s="1"/>
  <c r="C10784" i="79" s="1"/>
  <c r="C10834" i="79" s="1"/>
  <c r="C10884" i="79" s="1"/>
  <c r="C10934" i="79" s="1"/>
  <c r="C10984" i="79" s="1"/>
  <c r="C11034" i="79" s="1"/>
  <c r="C11084" i="79" s="1"/>
  <c r="C11134" i="79" s="1"/>
  <c r="C11184" i="79" s="1"/>
  <c r="C11234" i="79" s="1"/>
  <c r="C11284" i="79" s="1"/>
  <c r="C11334" i="79" s="1"/>
  <c r="C11384" i="79" s="1"/>
  <c r="C11434" i="79" s="1"/>
  <c r="C11484" i="79" s="1"/>
  <c r="C11534" i="79" s="1"/>
  <c r="C11584" i="79" s="1"/>
  <c r="C11634" i="79" s="1"/>
  <c r="C11684" i="79" s="1"/>
  <c r="C11734" i="79" s="1"/>
  <c r="C11784" i="79" s="1"/>
  <c r="C11834" i="79" s="1"/>
  <c r="C11884" i="79" s="1"/>
  <c r="C11934" i="79" s="1"/>
  <c r="C11984" i="79" s="1"/>
  <c r="C12034" i="79" s="1"/>
  <c r="C12084" i="79" s="1"/>
  <c r="C12134" i="79" s="1"/>
  <c r="C12184" i="79" s="1"/>
  <c r="C12234" i="79" s="1"/>
  <c r="C12284" i="79" s="1"/>
  <c r="C12334" i="79" s="1"/>
  <c r="C12384" i="79" s="1"/>
  <c r="C12434" i="79" s="1"/>
  <c r="C12484" i="79" s="1"/>
  <c r="C12534" i="79" s="1"/>
  <c r="C12584" i="79" s="1"/>
  <c r="C12634" i="79" s="1"/>
  <c r="C12684" i="79" s="1"/>
  <c r="C12734" i="79" s="1"/>
  <c r="C12784" i="79" s="1"/>
  <c r="C12834" i="79" s="1"/>
  <c r="C12884" i="79" s="1"/>
  <c r="C12934" i="79" s="1"/>
  <c r="C12984" i="79" s="1"/>
  <c r="C13034" i="79" s="1"/>
  <c r="C13084" i="79" s="1"/>
  <c r="C13134" i="79" s="1"/>
  <c r="C13184" i="79" s="1"/>
  <c r="C13234" i="79" s="1"/>
  <c r="C13284" i="79" s="1"/>
  <c r="C13334" i="79" s="1"/>
  <c r="C13384" i="79" s="1"/>
  <c r="C13434" i="79" s="1"/>
  <c r="C13484" i="79" s="1"/>
  <c r="C13534" i="79" s="1"/>
  <c r="C13584" i="79" s="1"/>
  <c r="C13634" i="79" s="1"/>
  <c r="C13684" i="79" s="1"/>
  <c r="C13734" i="79" s="1"/>
  <c r="C13784" i="79" s="1"/>
  <c r="C13834" i="79" s="1"/>
  <c r="C13884" i="79" s="1"/>
  <c r="C13934" i="79" s="1"/>
  <c r="C13984" i="79" s="1"/>
  <c r="C14034" i="79" s="1"/>
  <c r="C14084" i="79" s="1"/>
  <c r="C14134" i="79" s="1"/>
  <c r="C14184" i="79" s="1"/>
  <c r="C14234" i="79" s="1"/>
  <c r="C14284" i="79" s="1"/>
  <c r="C14334" i="79" s="1"/>
  <c r="C14384" i="79" s="1"/>
  <c r="C14434" i="79" s="1"/>
  <c r="C14484" i="79" s="1"/>
  <c r="C14534" i="79" s="1"/>
  <c r="C14584" i="79" s="1"/>
  <c r="C14634" i="79" s="1"/>
  <c r="C14684" i="79" s="1"/>
  <c r="C14734" i="79" s="1"/>
  <c r="C14784" i="79" s="1"/>
  <c r="C14834" i="79" s="1"/>
  <c r="C14884" i="79" s="1"/>
  <c r="C14934" i="79" s="1"/>
  <c r="C14984" i="79" s="1"/>
  <c r="C15034" i="79" s="1"/>
  <c r="C15084" i="79" s="1"/>
  <c r="C15134" i="79" s="1"/>
  <c r="C15184" i="79" s="1"/>
  <c r="C15234" i="79" s="1"/>
  <c r="C15284" i="79" s="1"/>
  <c r="C15334" i="79" s="1"/>
  <c r="C15384" i="79" s="1"/>
  <c r="C15434" i="79" s="1"/>
  <c r="C15484" i="79" s="1"/>
  <c r="C15534" i="79" s="1"/>
  <c r="C15584" i="79" s="1"/>
  <c r="C15634" i="79" s="1"/>
  <c r="C15684" i="79" s="1"/>
  <c r="C15734" i="79" s="1"/>
  <c r="C15784" i="79" s="1"/>
  <c r="C15834" i="79" s="1"/>
  <c r="C15884" i="79" s="1"/>
  <c r="C15934" i="79" s="1"/>
  <c r="C15984" i="79" s="1"/>
  <c r="C16034" i="79" s="1"/>
  <c r="C16084" i="79" s="1"/>
  <c r="C16134" i="79" s="1"/>
  <c r="C16184" i="79" s="1"/>
  <c r="C16234" i="79" s="1"/>
  <c r="C16284" i="79" s="1"/>
  <c r="C16334" i="79" s="1"/>
  <c r="C16384" i="79" s="1"/>
  <c r="C16434" i="79" s="1"/>
  <c r="C16484" i="79" s="1"/>
  <c r="C16534" i="79" s="1"/>
  <c r="C16584" i="79" s="1"/>
  <c r="C16634" i="79" s="1"/>
  <c r="C16684" i="79" s="1"/>
  <c r="C16734" i="79" s="1"/>
  <c r="C16784" i="79" s="1"/>
  <c r="C16834" i="79" s="1"/>
  <c r="C16884" i="79" s="1"/>
  <c r="C16934" i="79" s="1"/>
  <c r="C16984" i="79" s="1"/>
  <c r="C17034" i="79" s="1"/>
  <c r="C17084" i="79" s="1"/>
  <c r="C17134" i="79" s="1"/>
  <c r="C17184" i="79" s="1"/>
  <c r="C17234" i="79" s="1"/>
  <c r="C17284" i="79" s="1"/>
  <c r="C8283" i="79"/>
  <c r="C8333" i="79"/>
  <c r="C8383" i="79" s="1"/>
  <c r="C8433" i="79" s="1"/>
  <c r="C8483" i="79" s="1"/>
  <c r="C8533" i="79" s="1"/>
  <c r="C8583" i="79" s="1"/>
  <c r="C8633" i="79" s="1"/>
  <c r="C8683" i="79" s="1"/>
  <c r="C8733" i="79" s="1"/>
  <c r="C8783" i="79" s="1"/>
  <c r="C8833" i="79" s="1"/>
  <c r="C8883" i="79" s="1"/>
  <c r="C8933" i="79" s="1"/>
  <c r="C8983" i="79" s="1"/>
  <c r="C9033" i="79" s="1"/>
  <c r="C9083" i="79" s="1"/>
  <c r="C9133" i="79" s="1"/>
  <c r="C9183" i="79" s="1"/>
  <c r="C9233" i="79" s="1"/>
  <c r="C9283" i="79" s="1"/>
  <c r="C9333" i="79" s="1"/>
  <c r="C9383" i="79" s="1"/>
  <c r="C9433" i="79" s="1"/>
  <c r="C9483" i="79" s="1"/>
  <c r="C9533" i="79" s="1"/>
  <c r="C9583" i="79" s="1"/>
  <c r="C9633" i="79" s="1"/>
  <c r="C9683" i="79" s="1"/>
  <c r="C9733" i="79" s="1"/>
  <c r="C9783" i="79" s="1"/>
  <c r="C9833" i="79" s="1"/>
  <c r="C9883" i="79" s="1"/>
  <c r="C9933" i="79" s="1"/>
  <c r="C9983" i="79" s="1"/>
  <c r="C10033" i="79" s="1"/>
  <c r="C10083" i="79" s="1"/>
  <c r="C10133" i="79" s="1"/>
  <c r="C10183" i="79" s="1"/>
  <c r="C10233" i="79" s="1"/>
  <c r="C10283" i="79" s="1"/>
  <c r="C10333" i="79" s="1"/>
  <c r="C10383" i="79" s="1"/>
  <c r="C10433" i="79" s="1"/>
  <c r="C10483" i="79" s="1"/>
  <c r="C10533" i="79" s="1"/>
  <c r="C10583" i="79" s="1"/>
  <c r="C10633" i="79" s="1"/>
  <c r="C10683" i="79" s="1"/>
  <c r="C10733" i="79" s="1"/>
  <c r="C10783" i="79" s="1"/>
  <c r="C10833" i="79" s="1"/>
  <c r="C10883" i="79" s="1"/>
  <c r="C10933" i="79" s="1"/>
  <c r="C10983" i="79" s="1"/>
  <c r="C11033" i="79" s="1"/>
  <c r="C11083" i="79" s="1"/>
  <c r="C11133" i="79" s="1"/>
  <c r="C11183" i="79" s="1"/>
  <c r="C11233" i="79" s="1"/>
  <c r="C11283" i="79" s="1"/>
  <c r="C11333" i="79" s="1"/>
  <c r="C11383" i="79" s="1"/>
  <c r="C11433" i="79" s="1"/>
  <c r="C11483" i="79" s="1"/>
  <c r="C11533" i="79" s="1"/>
  <c r="C11583" i="79" s="1"/>
  <c r="C11633" i="79" s="1"/>
  <c r="C11683" i="79" s="1"/>
  <c r="C11733" i="79" s="1"/>
  <c r="C11783" i="79" s="1"/>
  <c r="C11833" i="79" s="1"/>
  <c r="C11883" i="79" s="1"/>
  <c r="C11933" i="79" s="1"/>
  <c r="C11983" i="79" s="1"/>
  <c r="C12033" i="79" s="1"/>
  <c r="C12083" i="79" s="1"/>
  <c r="C12133" i="79" s="1"/>
  <c r="C12183" i="79" s="1"/>
  <c r="C12233" i="79" s="1"/>
  <c r="C12283" i="79" s="1"/>
  <c r="C12333" i="79" s="1"/>
  <c r="C12383" i="79" s="1"/>
  <c r="C12433" i="79" s="1"/>
  <c r="C12483" i="79" s="1"/>
  <c r="C12533" i="79" s="1"/>
  <c r="C12583" i="79" s="1"/>
  <c r="C12633" i="79" s="1"/>
  <c r="C12683" i="79" s="1"/>
  <c r="C12733" i="79" s="1"/>
  <c r="C12783" i="79" s="1"/>
  <c r="C12833" i="79" s="1"/>
  <c r="C12883" i="79" s="1"/>
  <c r="C12933" i="79" s="1"/>
  <c r="C12983" i="79" s="1"/>
  <c r="C13033" i="79" s="1"/>
  <c r="C13083" i="79" s="1"/>
  <c r="C13133" i="79" s="1"/>
  <c r="C13183" i="79" s="1"/>
  <c r="C13233" i="79" s="1"/>
  <c r="C13283" i="79" s="1"/>
  <c r="C13333" i="79" s="1"/>
  <c r="C13383" i="79" s="1"/>
  <c r="C13433" i="79" s="1"/>
  <c r="C13483" i="79" s="1"/>
  <c r="C13533" i="79" s="1"/>
  <c r="C13583" i="79" s="1"/>
  <c r="C13633" i="79" s="1"/>
  <c r="C13683" i="79" s="1"/>
  <c r="C13733" i="79" s="1"/>
  <c r="C13783" i="79" s="1"/>
  <c r="C13833" i="79" s="1"/>
  <c r="C13883" i="79" s="1"/>
  <c r="C13933" i="79" s="1"/>
  <c r="C13983" i="79" s="1"/>
  <c r="C14033" i="79" s="1"/>
  <c r="C14083" i="79" s="1"/>
  <c r="C14133" i="79" s="1"/>
  <c r="C14183" i="79" s="1"/>
  <c r="C14233" i="79" s="1"/>
  <c r="C14283" i="79" s="1"/>
  <c r="C14333" i="79" s="1"/>
  <c r="C14383" i="79" s="1"/>
  <c r="C14433" i="79" s="1"/>
  <c r="C14483" i="79" s="1"/>
  <c r="C14533" i="79" s="1"/>
  <c r="C14583" i="79" s="1"/>
  <c r="C14633" i="79" s="1"/>
  <c r="C14683" i="79" s="1"/>
  <c r="C14733" i="79" s="1"/>
  <c r="C14783" i="79" s="1"/>
  <c r="C14833" i="79" s="1"/>
  <c r="C14883" i="79" s="1"/>
  <c r="C14933" i="79" s="1"/>
  <c r="C14983" i="79" s="1"/>
  <c r="C15033" i="79" s="1"/>
  <c r="C15083" i="79" s="1"/>
  <c r="C15133" i="79" s="1"/>
  <c r="C15183" i="79" s="1"/>
  <c r="C15233" i="79" s="1"/>
  <c r="C15283" i="79" s="1"/>
  <c r="C15333" i="79" s="1"/>
  <c r="C15383" i="79" s="1"/>
  <c r="C15433" i="79" s="1"/>
  <c r="C15483" i="79" s="1"/>
  <c r="C15533" i="79" s="1"/>
  <c r="C15583" i="79" s="1"/>
  <c r="C15633" i="79" s="1"/>
  <c r="C15683" i="79" s="1"/>
  <c r="C15733" i="79" s="1"/>
  <c r="C15783" i="79" s="1"/>
  <c r="C15833" i="79" s="1"/>
  <c r="C15883" i="79" s="1"/>
  <c r="C15933" i="79" s="1"/>
  <c r="C15983" i="79" s="1"/>
  <c r="C16033" i="79" s="1"/>
  <c r="C16083" i="79" s="1"/>
  <c r="C16133" i="79" s="1"/>
  <c r="C16183" i="79" s="1"/>
  <c r="C16233" i="79" s="1"/>
  <c r="C16283" i="79" s="1"/>
  <c r="C16333" i="79" s="1"/>
  <c r="C16383" i="79" s="1"/>
  <c r="C16433" i="79" s="1"/>
  <c r="C16483" i="79" s="1"/>
  <c r="C16533" i="79" s="1"/>
  <c r="C16583" i="79" s="1"/>
  <c r="C16633" i="79" s="1"/>
  <c r="C16683" i="79" s="1"/>
  <c r="C16733" i="79" s="1"/>
  <c r="C16783" i="79" s="1"/>
  <c r="C16833" i="79" s="1"/>
  <c r="C16883" i="79" s="1"/>
  <c r="C16933" i="79" s="1"/>
  <c r="C16983" i="79" s="1"/>
  <c r="C17033" i="79" s="1"/>
  <c r="C17083" i="79" s="1"/>
  <c r="C17133" i="79" s="1"/>
  <c r="C17183" i="79" s="1"/>
  <c r="C17233" i="79" s="1"/>
  <c r="C17283" i="79" s="1"/>
  <c r="C8282" i="79"/>
  <c r="I8282" i="79"/>
  <c r="A8281" i="80" s="1"/>
  <c r="C8281" i="79"/>
  <c r="C8331" i="79" s="1"/>
  <c r="C8280" i="79"/>
  <c r="C8330" i="79" s="1"/>
  <c r="C8380" i="79" s="1"/>
  <c r="C8430" i="79" s="1"/>
  <c r="C8480" i="79" s="1"/>
  <c r="C8530" i="79" s="1"/>
  <c r="C8580" i="79" s="1"/>
  <c r="C8630" i="79" s="1"/>
  <c r="C8680" i="79" s="1"/>
  <c r="C8730" i="79" s="1"/>
  <c r="C8780" i="79" s="1"/>
  <c r="C8830" i="79" s="1"/>
  <c r="C8880" i="79" s="1"/>
  <c r="C8930" i="79" s="1"/>
  <c r="C8980" i="79" s="1"/>
  <c r="C9030" i="79" s="1"/>
  <c r="C9080" i="79" s="1"/>
  <c r="C9130" i="79" s="1"/>
  <c r="C9180" i="79" s="1"/>
  <c r="C9230" i="79" s="1"/>
  <c r="C9280" i="79" s="1"/>
  <c r="C9330" i="79" s="1"/>
  <c r="C9380" i="79" s="1"/>
  <c r="C9430" i="79" s="1"/>
  <c r="C9480" i="79" s="1"/>
  <c r="C9530" i="79" s="1"/>
  <c r="C9580" i="79" s="1"/>
  <c r="C9630" i="79" s="1"/>
  <c r="C9680" i="79" s="1"/>
  <c r="C9730" i="79" s="1"/>
  <c r="C9780" i="79" s="1"/>
  <c r="C9830" i="79" s="1"/>
  <c r="C9880" i="79" s="1"/>
  <c r="C9930" i="79" s="1"/>
  <c r="C9980" i="79" s="1"/>
  <c r="C10030" i="79" s="1"/>
  <c r="C10080" i="79" s="1"/>
  <c r="C10130" i="79" s="1"/>
  <c r="C10180" i="79" s="1"/>
  <c r="C10230" i="79" s="1"/>
  <c r="C10280" i="79" s="1"/>
  <c r="C10330" i="79" s="1"/>
  <c r="C10380" i="79" s="1"/>
  <c r="C10430" i="79" s="1"/>
  <c r="C10480" i="79" s="1"/>
  <c r="C10530" i="79" s="1"/>
  <c r="C10580" i="79" s="1"/>
  <c r="C10630" i="79" s="1"/>
  <c r="C10680" i="79" s="1"/>
  <c r="C10730" i="79" s="1"/>
  <c r="C10780" i="79" s="1"/>
  <c r="C10830" i="79" s="1"/>
  <c r="C10880" i="79" s="1"/>
  <c r="C10930" i="79" s="1"/>
  <c r="C10980" i="79" s="1"/>
  <c r="C11030" i="79" s="1"/>
  <c r="C11080" i="79" s="1"/>
  <c r="C11130" i="79" s="1"/>
  <c r="C11180" i="79" s="1"/>
  <c r="C11230" i="79" s="1"/>
  <c r="C11280" i="79" s="1"/>
  <c r="C11330" i="79" s="1"/>
  <c r="C11380" i="79" s="1"/>
  <c r="C11430" i="79" s="1"/>
  <c r="C11480" i="79" s="1"/>
  <c r="C11530" i="79" s="1"/>
  <c r="C11580" i="79" s="1"/>
  <c r="C11630" i="79" s="1"/>
  <c r="C11680" i="79" s="1"/>
  <c r="C11730" i="79" s="1"/>
  <c r="C11780" i="79" s="1"/>
  <c r="C11830" i="79" s="1"/>
  <c r="C11880" i="79" s="1"/>
  <c r="C11930" i="79" s="1"/>
  <c r="C11980" i="79" s="1"/>
  <c r="C12030" i="79" s="1"/>
  <c r="C12080" i="79" s="1"/>
  <c r="C12130" i="79" s="1"/>
  <c r="C12180" i="79" s="1"/>
  <c r="C12230" i="79" s="1"/>
  <c r="C12280" i="79" s="1"/>
  <c r="C12330" i="79" s="1"/>
  <c r="C12380" i="79" s="1"/>
  <c r="C12430" i="79" s="1"/>
  <c r="C12480" i="79" s="1"/>
  <c r="C12530" i="79" s="1"/>
  <c r="C12580" i="79" s="1"/>
  <c r="C12630" i="79" s="1"/>
  <c r="C12680" i="79" s="1"/>
  <c r="C12730" i="79" s="1"/>
  <c r="C12780" i="79" s="1"/>
  <c r="C12830" i="79" s="1"/>
  <c r="C12880" i="79" s="1"/>
  <c r="C12930" i="79" s="1"/>
  <c r="C12980" i="79" s="1"/>
  <c r="C13030" i="79" s="1"/>
  <c r="C13080" i="79" s="1"/>
  <c r="C13130" i="79" s="1"/>
  <c r="C13180" i="79" s="1"/>
  <c r="C13230" i="79" s="1"/>
  <c r="C13280" i="79" s="1"/>
  <c r="C13330" i="79" s="1"/>
  <c r="C13380" i="79" s="1"/>
  <c r="C13430" i="79" s="1"/>
  <c r="C13480" i="79" s="1"/>
  <c r="C13530" i="79" s="1"/>
  <c r="C13580" i="79" s="1"/>
  <c r="C13630" i="79" s="1"/>
  <c r="C13680" i="79" s="1"/>
  <c r="C13730" i="79" s="1"/>
  <c r="C13780" i="79" s="1"/>
  <c r="C13830" i="79" s="1"/>
  <c r="C13880" i="79" s="1"/>
  <c r="C13930" i="79" s="1"/>
  <c r="C13980" i="79" s="1"/>
  <c r="C14030" i="79" s="1"/>
  <c r="C14080" i="79" s="1"/>
  <c r="C14130" i="79" s="1"/>
  <c r="C14180" i="79" s="1"/>
  <c r="C14230" i="79" s="1"/>
  <c r="C14280" i="79" s="1"/>
  <c r="C14330" i="79" s="1"/>
  <c r="C14380" i="79" s="1"/>
  <c r="C14430" i="79" s="1"/>
  <c r="C14480" i="79" s="1"/>
  <c r="C14530" i="79" s="1"/>
  <c r="C14580" i="79" s="1"/>
  <c r="C14630" i="79" s="1"/>
  <c r="C14680" i="79" s="1"/>
  <c r="C14730" i="79" s="1"/>
  <c r="C14780" i="79" s="1"/>
  <c r="C14830" i="79" s="1"/>
  <c r="C14880" i="79" s="1"/>
  <c r="C14930" i="79" s="1"/>
  <c r="C14980" i="79" s="1"/>
  <c r="C15030" i="79" s="1"/>
  <c r="C15080" i="79" s="1"/>
  <c r="C15130" i="79" s="1"/>
  <c r="C15180" i="79" s="1"/>
  <c r="C15230" i="79" s="1"/>
  <c r="C15280" i="79" s="1"/>
  <c r="C15330" i="79" s="1"/>
  <c r="C15380" i="79" s="1"/>
  <c r="C15430" i="79" s="1"/>
  <c r="C15480" i="79" s="1"/>
  <c r="C15530" i="79" s="1"/>
  <c r="C15580" i="79" s="1"/>
  <c r="C15630" i="79" s="1"/>
  <c r="C15680" i="79" s="1"/>
  <c r="C15730" i="79" s="1"/>
  <c r="C15780" i="79" s="1"/>
  <c r="C15830" i="79" s="1"/>
  <c r="C15880" i="79" s="1"/>
  <c r="C15930" i="79" s="1"/>
  <c r="C15980" i="79" s="1"/>
  <c r="C16030" i="79" s="1"/>
  <c r="C16080" i="79" s="1"/>
  <c r="C16130" i="79" s="1"/>
  <c r="C16180" i="79" s="1"/>
  <c r="C16230" i="79" s="1"/>
  <c r="C16280" i="79" s="1"/>
  <c r="C16330" i="79" s="1"/>
  <c r="C16380" i="79" s="1"/>
  <c r="C16430" i="79" s="1"/>
  <c r="C16480" i="79" s="1"/>
  <c r="C16530" i="79" s="1"/>
  <c r="C16580" i="79" s="1"/>
  <c r="C16630" i="79" s="1"/>
  <c r="C16680" i="79" s="1"/>
  <c r="C16730" i="79" s="1"/>
  <c r="C16780" i="79" s="1"/>
  <c r="C16830" i="79" s="1"/>
  <c r="C16880" i="79" s="1"/>
  <c r="C16930" i="79" s="1"/>
  <c r="C16980" i="79" s="1"/>
  <c r="C17030" i="79" s="1"/>
  <c r="C17080" i="79" s="1"/>
  <c r="C17130" i="79" s="1"/>
  <c r="C17180" i="79" s="1"/>
  <c r="C17230" i="79" s="1"/>
  <c r="C17280" i="79" s="1"/>
  <c r="C8279" i="79"/>
  <c r="C8329" i="79"/>
  <c r="C8379" i="79" s="1"/>
  <c r="C8429" i="79" s="1"/>
  <c r="C8479" i="79" s="1"/>
  <c r="C8529" i="79" s="1"/>
  <c r="C8579" i="79" s="1"/>
  <c r="C8629" i="79" s="1"/>
  <c r="C8679" i="79" s="1"/>
  <c r="C8729" i="79" s="1"/>
  <c r="C8779" i="79" s="1"/>
  <c r="C8829" i="79" s="1"/>
  <c r="C8879" i="79" s="1"/>
  <c r="C8929" i="79" s="1"/>
  <c r="C8979" i="79" s="1"/>
  <c r="C9029" i="79" s="1"/>
  <c r="C9079" i="79" s="1"/>
  <c r="C9129" i="79" s="1"/>
  <c r="C9179" i="79" s="1"/>
  <c r="C9229" i="79" s="1"/>
  <c r="C9279" i="79" s="1"/>
  <c r="C9329" i="79" s="1"/>
  <c r="C9379" i="79" s="1"/>
  <c r="C9429" i="79" s="1"/>
  <c r="C9479" i="79" s="1"/>
  <c r="C9529" i="79" s="1"/>
  <c r="C9579" i="79" s="1"/>
  <c r="C9629" i="79" s="1"/>
  <c r="C9679" i="79" s="1"/>
  <c r="C9729" i="79" s="1"/>
  <c r="C9779" i="79" s="1"/>
  <c r="C9829" i="79" s="1"/>
  <c r="C9879" i="79" s="1"/>
  <c r="C9929" i="79" s="1"/>
  <c r="C9979" i="79" s="1"/>
  <c r="C10029" i="79" s="1"/>
  <c r="C10079" i="79" s="1"/>
  <c r="C10129" i="79" s="1"/>
  <c r="C10179" i="79" s="1"/>
  <c r="C10229" i="79" s="1"/>
  <c r="C10279" i="79" s="1"/>
  <c r="C10329" i="79" s="1"/>
  <c r="C10379" i="79" s="1"/>
  <c r="C10429" i="79" s="1"/>
  <c r="C10479" i="79" s="1"/>
  <c r="C10529" i="79" s="1"/>
  <c r="C10579" i="79" s="1"/>
  <c r="C10629" i="79" s="1"/>
  <c r="C10679" i="79" s="1"/>
  <c r="C10729" i="79" s="1"/>
  <c r="C10779" i="79" s="1"/>
  <c r="C10829" i="79" s="1"/>
  <c r="C10879" i="79" s="1"/>
  <c r="C10929" i="79" s="1"/>
  <c r="C10979" i="79" s="1"/>
  <c r="C11029" i="79" s="1"/>
  <c r="C11079" i="79" s="1"/>
  <c r="C11129" i="79" s="1"/>
  <c r="C11179" i="79" s="1"/>
  <c r="C11229" i="79" s="1"/>
  <c r="C11279" i="79" s="1"/>
  <c r="C11329" i="79" s="1"/>
  <c r="C11379" i="79" s="1"/>
  <c r="C11429" i="79" s="1"/>
  <c r="C11479" i="79" s="1"/>
  <c r="C11529" i="79" s="1"/>
  <c r="C11579" i="79" s="1"/>
  <c r="C11629" i="79" s="1"/>
  <c r="C11679" i="79" s="1"/>
  <c r="C11729" i="79" s="1"/>
  <c r="C11779" i="79" s="1"/>
  <c r="C11829" i="79" s="1"/>
  <c r="C11879" i="79" s="1"/>
  <c r="C11929" i="79" s="1"/>
  <c r="C11979" i="79" s="1"/>
  <c r="C12029" i="79" s="1"/>
  <c r="C12079" i="79" s="1"/>
  <c r="C12129" i="79" s="1"/>
  <c r="C12179" i="79" s="1"/>
  <c r="C12229" i="79" s="1"/>
  <c r="C12279" i="79" s="1"/>
  <c r="C12329" i="79" s="1"/>
  <c r="C12379" i="79" s="1"/>
  <c r="C12429" i="79" s="1"/>
  <c r="C12479" i="79" s="1"/>
  <c r="C12529" i="79" s="1"/>
  <c r="C12579" i="79" s="1"/>
  <c r="C12629" i="79" s="1"/>
  <c r="C12679" i="79" s="1"/>
  <c r="C12729" i="79" s="1"/>
  <c r="C12779" i="79" s="1"/>
  <c r="C12829" i="79" s="1"/>
  <c r="C12879" i="79" s="1"/>
  <c r="C12929" i="79" s="1"/>
  <c r="C12979" i="79" s="1"/>
  <c r="C13029" i="79" s="1"/>
  <c r="C13079" i="79" s="1"/>
  <c r="C13129" i="79" s="1"/>
  <c r="C13179" i="79" s="1"/>
  <c r="C13229" i="79" s="1"/>
  <c r="C13279" i="79" s="1"/>
  <c r="C13329" i="79" s="1"/>
  <c r="C13379" i="79" s="1"/>
  <c r="C13429" i="79" s="1"/>
  <c r="C13479" i="79" s="1"/>
  <c r="C13529" i="79" s="1"/>
  <c r="C13579" i="79" s="1"/>
  <c r="C13629" i="79" s="1"/>
  <c r="C13679" i="79" s="1"/>
  <c r="C13729" i="79" s="1"/>
  <c r="C13779" i="79" s="1"/>
  <c r="C13829" i="79" s="1"/>
  <c r="C13879" i="79" s="1"/>
  <c r="C13929" i="79" s="1"/>
  <c r="C13979" i="79" s="1"/>
  <c r="C14029" i="79" s="1"/>
  <c r="C14079" i="79" s="1"/>
  <c r="C14129" i="79" s="1"/>
  <c r="C14179" i="79" s="1"/>
  <c r="C14229" i="79" s="1"/>
  <c r="C14279" i="79" s="1"/>
  <c r="C14329" i="79" s="1"/>
  <c r="C14379" i="79" s="1"/>
  <c r="C14429" i="79" s="1"/>
  <c r="C14479" i="79" s="1"/>
  <c r="C14529" i="79" s="1"/>
  <c r="C14579" i="79" s="1"/>
  <c r="C14629" i="79" s="1"/>
  <c r="C14679" i="79" s="1"/>
  <c r="C14729" i="79" s="1"/>
  <c r="C14779" i="79" s="1"/>
  <c r="C14829" i="79" s="1"/>
  <c r="C14879" i="79" s="1"/>
  <c r="C14929" i="79" s="1"/>
  <c r="C14979" i="79" s="1"/>
  <c r="C15029" i="79" s="1"/>
  <c r="C15079" i="79" s="1"/>
  <c r="C15129" i="79" s="1"/>
  <c r="C15179" i="79" s="1"/>
  <c r="C15229" i="79" s="1"/>
  <c r="C15279" i="79" s="1"/>
  <c r="C15329" i="79" s="1"/>
  <c r="C15379" i="79" s="1"/>
  <c r="C15429" i="79" s="1"/>
  <c r="C15479" i="79" s="1"/>
  <c r="C15529" i="79" s="1"/>
  <c r="C15579" i="79" s="1"/>
  <c r="C15629" i="79" s="1"/>
  <c r="C15679" i="79" s="1"/>
  <c r="C15729" i="79" s="1"/>
  <c r="C15779" i="79" s="1"/>
  <c r="C15829" i="79" s="1"/>
  <c r="C15879" i="79" s="1"/>
  <c r="C15929" i="79" s="1"/>
  <c r="C15979" i="79" s="1"/>
  <c r="C16029" i="79" s="1"/>
  <c r="C16079" i="79" s="1"/>
  <c r="C16129" i="79" s="1"/>
  <c r="C16179" i="79" s="1"/>
  <c r="C16229" i="79" s="1"/>
  <c r="C16279" i="79" s="1"/>
  <c r="C16329" i="79" s="1"/>
  <c r="C16379" i="79" s="1"/>
  <c r="C16429" i="79" s="1"/>
  <c r="C16479" i="79" s="1"/>
  <c r="C16529" i="79" s="1"/>
  <c r="C16579" i="79" s="1"/>
  <c r="C16629" i="79" s="1"/>
  <c r="C16679" i="79" s="1"/>
  <c r="C16729" i="79" s="1"/>
  <c r="C16779" i="79" s="1"/>
  <c r="C16829" i="79" s="1"/>
  <c r="C16879" i="79" s="1"/>
  <c r="C16929" i="79" s="1"/>
  <c r="C16979" i="79" s="1"/>
  <c r="C17029" i="79" s="1"/>
  <c r="C17079" i="79" s="1"/>
  <c r="C17129" i="79" s="1"/>
  <c r="C17179" i="79" s="1"/>
  <c r="C17229" i="79" s="1"/>
  <c r="C17279" i="79" s="1"/>
  <c r="C8278" i="79"/>
  <c r="C8328" i="79" s="1"/>
  <c r="C8378" i="79" s="1"/>
  <c r="C8428" i="79" s="1"/>
  <c r="C8478" i="79" s="1"/>
  <c r="C8528" i="79" s="1"/>
  <c r="C8578" i="79" s="1"/>
  <c r="C8628" i="79" s="1"/>
  <c r="C8678" i="79" s="1"/>
  <c r="C8728" i="79" s="1"/>
  <c r="C8778" i="79" s="1"/>
  <c r="C8828" i="79" s="1"/>
  <c r="C8878" i="79" s="1"/>
  <c r="C8928" i="79" s="1"/>
  <c r="C8978" i="79" s="1"/>
  <c r="C9028" i="79" s="1"/>
  <c r="C9078" i="79" s="1"/>
  <c r="C9128" i="79" s="1"/>
  <c r="C9178" i="79" s="1"/>
  <c r="C9228" i="79" s="1"/>
  <c r="C9278" i="79" s="1"/>
  <c r="C9328" i="79" s="1"/>
  <c r="C9378" i="79" s="1"/>
  <c r="C9428" i="79" s="1"/>
  <c r="C9478" i="79" s="1"/>
  <c r="C9528" i="79" s="1"/>
  <c r="C9578" i="79" s="1"/>
  <c r="C9628" i="79" s="1"/>
  <c r="C9678" i="79" s="1"/>
  <c r="C9728" i="79" s="1"/>
  <c r="C9778" i="79" s="1"/>
  <c r="C9828" i="79" s="1"/>
  <c r="C9878" i="79" s="1"/>
  <c r="C9928" i="79" s="1"/>
  <c r="C9978" i="79" s="1"/>
  <c r="C10028" i="79" s="1"/>
  <c r="C10078" i="79" s="1"/>
  <c r="C10128" i="79" s="1"/>
  <c r="C10178" i="79" s="1"/>
  <c r="C10228" i="79" s="1"/>
  <c r="C10278" i="79" s="1"/>
  <c r="C10328" i="79" s="1"/>
  <c r="C10378" i="79" s="1"/>
  <c r="C10428" i="79" s="1"/>
  <c r="C10478" i="79" s="1"/>
  <c r="C10528" i="79" s="1"/>
  <c r="C10578" i="79" s="1"/>
  <c r="C10628" i="79" s="1"/>
  <c r="C10678" i="79" s="1"/>
  <c r="C10728" i="79" s="1"/>
  <c r="C10778" i="79" s="1"/>
  <c r="C10828" i="79" s="1"/>
  <c r="C10878" i="79" s="1"/>
  <c r="C10928" i="79" s="1"/>
  <c r="C10978" i="79" s="1"/>
  <c r="C11028" i="79" s="1"/>
  <c r="C11078" i="79" s="1"/>
  <c r="C11128" i="79" s="1"/>
  <c r="C11178" i="79" s="1"/>
  <c r="C11228" i="79" s="1"/>
  <c r="C11278" i="79" s="1"/>
  <c r="C11328" i="79" s="1"/>
  <c r="C11378" i="79" s="1"/>
  <c r="C11428" i="79" s="1"/>
  <c r="C11478" i="79" s="1"/>
  <c r="C11528" i="79" s="1"/>
  <c r="C11578" i="79" s="1"/>
  <c r="C11628" i="79" s="1"/>
  <c r="C11678" i="79" s="1"/>
  <c r="C11728" i="79" s="1"/>
  <c r="C11778" i="79" s="1"/>
  <c r="C11828" i="79" s="1"/>
  <c r="C11878" i="79" s="1"/>
  <c r="C11928" i="79" s="1"/>
  <c r="C11978" i="79" s="1"/>
  <c r="C12028" i="79" s="1"/>
  <c r="C12078" i="79" s="1"/>
  <c r="C12128" i="79" s="1"/>
  <c r="C12178" i="79" s="1"/>
  <c r="C12228" i="79" s="1"/>
  <c r="C12278" i="79" s="1"/>
  <c r="C12328" i="79" s="1"/>
  <c r="C12378" i="79" s="1"/>
  <c r="C12428" i="79" s="1"/>
  <c r="C12478" i="79" s="1"/>
  <c r="C12528" i="79" s="1"/>
  <c r="C12578" i="79" s="1"/>
  <c r="C12628" i="79" s="1"/>
  <c r="C12678" i="79" s="1"/>
  <c r="C12728" i="79" s="1"/>
  <c r="C12778" i="79" s="1"/>
  <c r="C12828" i="79" s="1"/>
  <c r="C12878" i="79" s="1"/>
  <c r="C12928" i="79" s="1"/>
  <c r="C12978" i="79" s="1"/>
  <c r="C13028" i="79" s="1"/>
  <c r="C13078" i="79" s="1"/>
  <c r="C13128" i="79" s="1"/>
  <c r="C13178" i="79" s="1"/>
  <c r="C13228" i="79" s="1"/>
  <c r="C13278" i="79" s="1"/>
  <c r="C13328" i="79" s="1"/>
  <c r="C13378" i="79" s="1"/>
  <c r="C13428" i="79" s="1"/>
  <c r="C13478" i="79" s="1"/>
  <c r="C13528" i="79" s="1"/>
  <c r="C13578" i="79" s="1"/>
  <c r="C13628" i="79" s="1"/>
  <c r="C13678" i="79" s="1"/>
  <c r="C13728" i="79" s="1"/>
  <c r="C13778" i="79" s="1"/>
  <c r="C13828" i="79" s="1"/>
  <c r="C13878" i="79" s="1"/>
  <c r="C13928" i="79" s="1"/>
  <c r="C13978" i="79" s="1"/>
  <c r="C14028" i="79" s="1"/>
  <c r="C14078" i="79" s="1"/>
  <c r="C14128" i="79" s="1"/>
  <c r="C14178" i="79" s="1"/>
  <c r="C14228" i="79" s="1"/>
  <c r="C14278" i="79" s="1"/>
  <c r="C14328" i="79" s="1"/>
  <c r="C14378" i="79" s="1"/>
  <c r="C14428" i="79" s="1"/>
  <c r="C14478" i="79" s="1"/>
  <c r="C14528" i="79" s="1"/>
  <c r="C14578" i="79" s="1"/>
  <c r="C14628" i="79" s="1"/>
  <c r="C14678" i="79" s="1"/>
  <c r="C14728" i="79" s="1"/>
  <c r="C14778" i="79" s="1"/>
  <c r="C14828" i="79" s="1"/>
  <c r="C14878" i="79" s="1"/>
  <c r="C14928" i="79" s="1"/>
  <c r="C14978" i="79" s="1"/>
  <c r="C15028" i="79" s="1"/>
  <c r="C15078" i="79" s="1"/>
  <c r="C15128" i="79" s="1"/>
  <c r="C15178" i="79" s="1"/>
  <c r="C15228" i="79" s="1"/>
  <c r="C15278" i="79" s="1"/>
  <c r="C15328" i="79" s="1"/>
  <c r="C15378" i="79" s="1"/>
  <c r="C15428" i="79" s="1"/>
  <c r="C15478" i="79" s="1"/>
  <c r="C15528" i="79" s="1"/>
  <c r="C15578" i="79" s="1"/>
  <c r="C15628" i="79" s="1"/>
  <c r="C15678" i="79" s="1"/>
  <c r="C15728" i="79" s="1"/>
  <c r="C15778" i="79" s="1"/>
  <c r="C15828" i="79" s="1"/>
  <c r="C15878" i="79" s="1"/>
  <c r="C15928" i="79" s="1"/>
  <c r="C15978" i="79" s="1"/>
  <c r="C16028" i="79" s="1"/>
  <c r="C16078" i="79" s="1"/>
  <c r="C16128" i="79" s="1"/>
  <c r="C16178" i="79" s="1"/>
  <c r="C16228" i="79" s="1"/>
  <c r="C16278" i="79" s="1"/>
  <c r="C16328" i="79" s="1"/>
  <c r="C16378" i="79" s="1"/>
  <c r="C16428" i="79" s="1"/>
  <c r="C16478" i="79" s="1"/>
  <c r="C16528" i="79" s="1"/>
  <c r="C16578" i="79" s="1"/>
  <c r="C16628" i="79" s="1"/>
  <c r="C16678" i="79" s="1"/>
  <c r="C16728" i="79" s="1"/>
  <c r="C16778" i="79" s="1"/>
  <c r="C16828" i="79" s="1"/>
  <c r="C16878" i="79" s="1"/>
  <c r="C16928" i="79" s="1"/>
  <c r="C16978" i="79" s="1"/>
  <c r="C17028" i="79" s="1"/>
  <c r="C17078" i="79" s="1"/>
  <c r="C17128" i="79" s="1"/>
  <c r="C17178" i="79" s="1"/>
  <c r="C17228" i="79" s="1"/>
  <c r="C17278" i="79" s="1"/>
  <c r="C8277" i="79"/>
  <c r="I8277" i="79"/>
  <c r="A8276" i="80" s="1"/>
  <c r="C8276" i="79"/>
  <c r="C8275" i="79"/>
  <c r="C8325" i="79"/>
  <c r="C8375" i="79" s="1"/>
  <c r="C8425" i="79" s="1"/>
  <c r="C8475" i="79" s="1"/>
  <c r="C8525" i="79" s="1"/>
  <c r="C8575" i="79" s="1"/>
  <c r="C8625" i="79" s="1"/>
  <c r="C8675" i="79" s="1"/>
  <c r="C8725" i="79" s="1"/>
  <c r="C8775" i="79" s="1"/>
  <c r="C8825" i="79" s="1"/>
  <c r="C8875" i="79" s="1"/>
  <c r="C8925" i="79" s="1"/>
  <c r="C8975" i="79" s="1"/>
  <c r="C9025" i="79" s="1"/>
  <c r="C9075" i="79" s="1"/>
  <c r="C9125" i="79" s="1"/>
  <c r="C9175" i="79" s="1"/>
  <c r="C9225" i="79" s="1"/>
  <c r="C9275" i="79" s="1"/>
  <c r="C9325" i="79" s="1"/>
  <c r="C9375" i="79" s="1"/>
  <c r="C9425" i="79" s="1"/>
  <c r="C9475" i="79" s="1"/>
  <c r="C9525" i="79" s="1"/>
  <c r="C9575" i="79" s="1"/>
  <c r="C9625" i="79" s="1"/>
  <c r="C9675" i="79" s="1"/>
  <c r="C9725" i="79" s="1"/>
  <c r="C9775" i="79" s="1"/>
  <c r="C9825" i="79" s="1"/>
  <c r="C9875" i="79" s="1"/>
  <c r="C9925" i="79" s="1"/>
  <c r="C9975" i="79" s="1"/>
  <c r="C10025" i="79" s="1"/>
  <c r="C10075" i="79" s="1"/>
  <c r="C10125" i="79" s="1"/>
  <c r="C10175" i="79" s="1"/>
  <c r="C10225" i="79" s="1"/>
  <c r="C10275" i="79" s="1"/>
  <c r="C10325" i="79" s="1"/>
  <c r="C10375" i="79" s="1"/>
  <c r="C10425" i="79" s="1"/>
  <c r="C10475" i="79" s="1"/>
  <c r="C10525" i="79" s="1"/>
  <c r="C10575" i="79" s="1"/>
  <c r="C10625" i="79" s="1"/>
  <c r="C10675" i="79" s="1"/>
  <c r="C10725" i="79" s="1"/>
  <c r="C10775" i="79" s="1"/>
  <c r="C10825" i="79" s="1"/>
  <c r="C10875" i="79" s="1"/>
  <c r="C10925" i="79" s="1"/>
  <c r="C10975" i="79" s="1"/>
  <c r="C11025" i="79" s="1"/>
  <c r="C11075" i="79" s="1"/>
  <c r="C11125" i="79" s="1"/>
  <c r="C11175" i="79" s="1"/>
  <c r="C11225" i="79" s="1"/>
  <c r="C11275" i="79" s="1"/>
  <c r="C11325" i="79" s="1"/>
  <c r="C11375" i="79" s="1"/>
  <c r="C11425" i="79" s="1"/>
  <c r="C11475" i="79" s="1"/>
  <c r="C11525" i="79" s="1"/>
  <c r="C11575" i="79" s="1"/>
  <c r="C11625" i="79" s="1"/>
  <c r="C11675" i="79" s="1"/>
  <c r="C11725" i="79" s="1"/>
  <c r="C11775" i="79" s="1"/>
  <c r="C11825" i="79" s="1"/>
  <c r="C11875" i="79" s="1"/>
  <c r="C11925" i="79" s="1"/>
  <c r="C11975" i="79" s="1"/>
  <c r="C12025" i="79" s="1"/>
  <c r="C12075" i="79" s="1"/>
  <c r="C12125" i="79" s="1"/>
  <c r="C12175" i="79" s="1"/>
  <c r="C12225" i="79" s="1"/>
  <c r="C12275" i="79" s="1"/>
  <c r="C12325" i="79" s="1"/>
  <c r="C12375" i="79" s="1"/>
  <c r="C12425" i="79" s="1"/>
  <c r="C12475" i="79" s="1"/>
  <c r="C12525" i="79" s="1"/>
  <c r="C12575" i="79" s="1"/>
  <c r="C12625" i="79" s="1"/>
  <c r="C12675" i="79" s="1"/>
  <c r="C12725" i="79" s="1"/>
  <c r="C12775" i="79" s="1"/>
  <c r="C12825" i="79" s="1"/>
  <c r="C12875" i="79" s="1"/>
  <c r="C12925" i="79" s="1"/>
  <c r="C12975" i="79" s="1"/>
  <c r="C13025" i="79" s="1"/>
  <c r="C13075" i="79" s="1"/>
  <c r="C13125" i="79" s="1"/>
  <c r="C13175" i="79" s="1"/>
  <c r="C13225" i="79" s="1"/>
  <c r="C13275" i="79" s="1"/>
  <c r="C13325" i="79" s="1"/>
  <c r="C13375" i="79" s="1"/>
  <c r="C13425" i="79" s="1"/>
  <c r="C13475" i="79" s="1"/>
  <c r="C13525" i="79" s="1"/>
  <c r="C13575" i="79" s="1"/>
  <c r="C13625" i="79" s="1"/>
  <c r="C13675" i="79" s="1"/>
  <c r="C13725" i="79" s="1"/>
  <c r="C13775" i="79" s="1"/>
  <c r="C13825" i="79" s="1"/>
  <c r="C13875" i="79" s="1"/>
  <c r="C13925" i="79" s="1"/>
  <c r="C13975" i="79" s="1"/>
  <c r="C14025" i="79" s="1"/>
  <c r="C14075" i="79" s="1"/>
  <c r="C14125" i="79" s="1"/>
  <c r="C14175" i="79" s="1"/>
  <c r="C14225" i="79" s="1"/>
  <c r="C14275" i="79" s="1"/>
  <c r="C14325" i="79" s="1"/>
  <c r="C14375" i="79" s="1"/>
  <c r="C14425" i="79" s="1"/>
  <c r="C14475" i="79" s="1"/>
  <c r="C14525" i="79" s="1"/>
  <c r="C14575" i="79" s="1"/>
  <c r="C14625" i="79" s="1"/>
  <c r="C14675" i="79" s="1"/>
  <c r="C14725" i="79" s="1"/>
  <c r="C14775" i="79" s="1"/>
  <c r="C14825" i="79" s="1"/>
  <c r="C14875" i="79" s="1"/>
  <c r="C14925" i="79" s="1"/>
  <c r="C14975" i="79" s="1"/>
  <c r="C15025" i="79" s="1"/>
  <c r="C15075" i="79" s="1"/>
  <c r="C15125" i="79" s="1"/>
  <c r="C15175" i="79" s="1"/>
  <c r="C15225" i="79" s="1"/>
  <c r="C15275" i="79" s="1"/>
  <c r="C15325" i="79" s="1"/>
  <c r="C15375" i="79" s="1"/>
  <c r="C15425" i="79" s="1"/>
  <c r="C15475" i="79" s="1"/>
  <c r="C15525" i="79" s="1"/>
  <c r="C15575" i="79" s="1"/>
  <c r="C15625" i="79" s="1"/>
  <c r="C15675" i="79" s="1"/>
  <c r="C15725" i="79" s="1"/>
  <c r="C15775" i="79" s="1"/>
  <c r="C15825" i="79" s="1"/>
  <c r="C15875" i="79" s="1"/>
  <c r="C15925" i="79" s="1"/>
  <c r="C15975" i="79" s="1"/>
  <c r="C16025" i="79" s="1"/>
  <c r="C16075" i="79" s="1"/>
  <c r="C16125" i="79" s="1"/>
  <c r="C16175" i="79" s="1"/>
  <c r="C16225" i="79" s="1"/>
  <c r="C16275" i="79" s="1"/>
  <c r="C16325" i="79" s="1"/>
  <c r="C16375" i="79" s="1"/>
  <c r="C16425" i="79" s="1"/>
  <c r="C16475" i="79" s="1"/>
  <c r="C16525" i="79" s="1"/>
  <c r="C16575" i="79" s="1"/>
  <c r="C16625" i="79" s="1"/>
  <c r="C16675" i="79" s="1"/>
  <c r="C16725" i="79" s="1"/>
  <c r="C16775" i="79" s="1"/>
  <c r="C16825" i="79" s="1"/>
  <c r="C16875" i="79" s="1"/>
  <c r="C16925" i="79" s="1"/>
  <c r="C16975" i="79" s="1"/>
  <c r="C17025" i="79" s="1"/>
  <c r="C17075" i="79" s="1"/>
  <c r="C17125" i="79" s="1"/>
  <c r="C17175" i="79" s="1"/>
  <c r="C17225" i="79" s="1"/>
  <c r="C17275" i="79" s="1"/>
  <c r="C8274" i="79"/>
  <c r="C8324" i="79" s="1"/>
  <c r="C8374" i="79" s="1"/>
  <c r="C8424" i="79" s="1"/>
  <c r="C8474" i="79" s="1"/>
  <c r="C8524" i="79" s="1"/>
  <c r="C8574" i="79" s="1"/>
  <c r="C8624" i="79" s="1"/>
  <c r="C8674" i="79" s="1"/>
  <c r="C8724" i="79" s="1"/>
  <c r="C8774" i="79" s="1"/>
  <c r="C8824" i="79" s="1"/>
  <c r="C8874" i="79" s="1"/>
  <c r="C8924" i="79" s="1"/>
  <c r="C8974" i="79" s="1"/>
  <c r="C9024" i="79" s="1"/>
  <c r="C9074" i="79" s="1"/>
  <c r="C9124" i="79" s="1"/>
  <c r="C9174" i="79" s="1"/>
  <c r="C9224" i="79" s="1"/>
  <c r="C9274" i="79" s="1"/>
  <c r="C9324" i="79" s="1"/>
  <c r="C9374" i="79" s="1"/>
  <c r="C9424" i="79" s="1"/>
  <c r="C9474" i="79" s="1"/>
  <c r="C9524" i="79" s="1"/>
  <c r="C9574" i="79" s="1"/>
  <c r="C9624" i="79" s="1"/>
  <c r="C9674" i="79" s="1"/>
  <c r="C9724" i="79" s="1"/>
  <c r="C9774" i="79" s="1"/>
  <c r="C9824" i="79" s="1"/>
  <c r="C9874" i="79" s="1"/>
  <c r="C9924" i="79" s="1"/>
  <c r="C9974" i="79" s="1"/>
  <c r="C10024" i="79" s="1"/>
  <c r="C10074" i="79" s="1"/>
  <c r="C10124" i="79" s="1"/>
  <c r="C10174" i="79" s="1"/>
  <c r="C10224" i="79" s="1"/>
  <c r="C10274" i="79" s="1"/>
  <c r="C10324" i="79" s="1"/>
  <c r="C10374" i="79" s="1"/>
  <c r="C10424" i="79" s="1"/>
  <c r="C10474" i="79" s="1"/>
  <c r="C10524" i="79" s="1"/>
  <c r="C10574" i="79" s="1"/>
  <c r="C10624" i="79" s="1"/>
  <c r="C10674" i="79" s="1"/>
  <c r="C10724" i="79" s="1"/>
  <c r="C10774" i="79" s="1"/>
  <c r="C10824" i="79" s="1"/>
  <c r="C10874" i="79" s="1"/>
  <c r="C10924" i="79" s="1"/>
  <c r="C10974" i="79" s="1"/>
  <c r="C11024" i="79" s="1"/>
  <c r="C11074" i="79" s="1"/>
  <c r="C11124" i="79" s="1"/>
  <c r="C11174" i="79" s="1"/>
  <c r="C11224" i="79" s="1"/>
  <c r="C11274" i="79" s="1"/>
  <c r="C11324" i="79" s="1"/>
  <c r="C11374" i="79" s="1"/>
  <c r="C11424" i="79" s="1"/>
  <c r="C11474" i="79" s="1"/>
  <c r="C11524" i="79" s="1"/>
  <c r="C11574" i="79" s="1"/>
  <c r="C11624" i="79" s="1"/>
  <c r="C11674" i="79" s="1"/>
  <c r="C11724" i="79" s="1"/>
  <c r="C11774" i="79" s="1"/>
  <c r="C11824" i="79" s="1"/>
  <c r="C11874" i="79" s="1"/>
  <c r="C11924" i="79" s="1"/>
  <c r="C11974" i="79" s="1"/>
  <c r="C12024" i="79" s="1"/>
  <c r="C12074" i="79" s="1"/>
  <c r="C12124" i="79" s="1"/>
  <c r="C12174" i="79" s="1"/>
  <c r="C12224" i="79" s="1"/>
  <c r="C12274" i="79" s="1"/>
  <c r="C12324" i="79" s="1"/>
  <c r="C12374" i="79" s="1"/>
  <c r="C12424" i="79" s="1"/>
  <c r="C12474" i="79" s="1"/>
  <c r="C12524" i="79" s="1"/>
  <c r="C12574" i="79" s="1"/>
  <c r="C12624" i="79" s="1"/>
  <c r="C12674" i="79" s="1"/>
  <c r="C12724" i="79" s="1"/>
  <c r="C12774" i="79" s="1"/>
  <c r="C12824" i="79" s="1"/>
  <c r="C12874" i="79" s="1"/>
  <c r="C12924" i="79" s="1"/>
  <c r="C12974" i="79" s="1"/>
  <c r="C13024" i="79" s="1"/>
  <c r="C13074" i="79" s="1"/>
  <c r="C13124" i="79" s="1"/>
  <c r="C13174" i="79" s="1"/>
  <c r="C13224" i="79" s="1"/>
  <c r="C13274" i="79" s="1"/>
  <c r="C13324" i="79" s="1"/>
  <c r="C13374" i="79" s="1"/>
  <c r="C13424" i="79" s="1"/>
  <c r="C13474" i="79" s="1"/>
  <c r="C13524" i="79" s="1"/>
  <c r="C13574" i="79" s="1"/>
  <c r="C13624" i="79" s="1"/>
  <c r="C13674" i="79" s="1"/>
  <c r="C13724" i="79" s="1"/>
  <c r="C13774" i="79" s="1"/>
  <c r="C13824" i="79" s="1"/>
  <c r="C13874" i="79" s="1"/>
  <c r="C13924" i="79" s="1"/>
  <c r="C13974" i="79" s="1"/>
  <c r="C14024" i="79" s="1"/>
  <c r="C14074" i="79" s="1"/>
  <c r="C14124" i="79" s="1"/>
  <c r="C14174" i="79" s="1"/>
  <c r="C14224" i="79" s="1"/>
  <c r="C14274" i="79" s="1"/>
  <c r="C14324" i="79" s="1"/>
  <c r="C14374" i="79" s="1"/>
  <c r="C14424" i="79" s="1"/>
  <c r="C14474" i="79" s="1"/>
  <c r="C14524" i="79" s="1"/>
  <c r="C14574" i="79" s="1"/>
  <c r="C14624" i="79" s="1"/>
  <c r="C14674" i="79" s="1"/>
  <c r="C14724" i="79" s="1"/>
  <c r="C14774" i="79" s="1"/>
  <c r="C14824" i="79" s="1"/>
  <c r="C14874" i="79" s="1"/>
  <c r="C14924" i="79" s="1"/>
  <c r="C14974" i="79" s="1"/>
  <c r="C15024" i="79" s="1"/>
  <c r="C15074" i="79" s="1"/>
  <c r="C15124" i="79" s="1"/>
  <c r="C15174" i="79" s="1"/>
  <c r="C15224" i="79" s="1"/>
  <c r="C15274" i="79" s="1"/>
  <c r="C15324" i="79" s="1"/>
  <c r="C15374" i="79" s="1"/>
  <c r="C15424" i="79" s="1"/>
  <c r="C15474" i="79" s="1"/>
  <c r="C15524" i="79" s="1"/>
  <c r="C15574" i="79" s="1"/>
  <c r="C15624" i="79" s="1"/>
  <c r="C15674" i="79" s="1"/>
  <c r="C15724" i="79" s="1"/>
  <c r="C15774" i="79" s="1"/>
  <c r="C15824" i="79" s="1"/>
  <c r="C15874" i="79" s="1"/>
  <c r="C15924" i="79" s="1"/>
  <c r="C15974" i="79" s="1"/>
  <c r="C16024" i="79" s="1"/>
  <c r="C16074" i="79" s="1"/>
  <c r="C16124" i="79" s="1"/>
  <c r="C16174" i="79" s="1"/>
  <c r="C16224" i="79" s="1"/>
  <c r="C16274" i="79" s="1"/>
  <c r="C16324" i="79" s="1"/>
  <c r="C16374" i="79" s="1"/>
  <c r="C16424" i="79" s="1"/>
  <c r="C16474" i="79" s="1"/>
  <c r="C16524" i="79" s="1"/>
  <c r="C16574" i="79" s="1"/>
  <c r="C16624" i="79" s="1"/>
  <c r="C16674" i="79" s="1"/>
  <c r="C16724" i="79" s="1"/>
  <c r="C16774" i="79" s="1"/>
  <c r="C16824" i="79" s="1"/>
  <c r="C16874" i="79" s="1"/>
  <c r="C16924" i="79" s="1"/>
  <c r="C16974" i="79" s="1"/>
  <c r="C17024" i="79" s="1"/>
  <c r="C17074" i="79" s="1"/>
  <c r="C17124" i="79" s="1"/>
  <c r="C17174" i="79" s="1"/>
  <c r="C17224" i="79" s="1"/>
  <c r="C17274" i="79" s="1"/>
  <c r="C8273" i="79"/>
  <c r="C8323" i="79"/>
  <c r="C8373" i="79" s="1"/>
  <c r="C8423" i="79" s="1"/>
  <c r="C8473" i="79" s="1"/>
  <c r="C8523" i="79" s="1"/>
  <c r="C8573" i="79" s="1"/>
  <c r="C8623" i="79" s="1"/>
  <c r="C8673" i="79" s="1"/>
  <c r="C8723" i="79" s="1"/>
  <c r="C8773" i="79" s="1"/>
  <c r="C8823" i="79" s="1"/>
  <c r="C8873" i="79" s="1"/>
  <c r="C8923" i="79" s="1"/>
  <c r="C8973" i="79" s="1"/>
  <c r="C9023" i="79" s="1"/>
  <c r="C9073" i="79" s="1"/>
  <c r="C9123" i="79" s="1"/>
  <c r="C9173" i="79" s="1"/>
  <c r="C9223" i="79" s="1"/>
  <c r="C9273" i="79" s="1"/>
  <c r="C9323" i="79" s="1"/>
  <c r="C9373" i="79" s="1"/>
  <c r="C9423" i="79" s="1"/>
  <c r="C9473" i="79" s="1"/>
  <c r="C9523" i="79" s="1"/>
  <c r="C9573" i="79" s="1"/>
  <c r="C9623" i="79" s="1"/>
  <c r="C9673" i="79" s="1"/>
  <c r="C9723" i="79" s="1"/>
  <c r="C9773" i="79" s="1"/>
  <c r="C9823" i="79" s="1"/>
  <c r="C9873" i="79" s="1"/>
  <c r="C9923" i="79" s="1"/>
  <c r="C9973" i="79" s="1"/>
  <c r="C10023" i="79" s="1"/>
  <c r="C10073" i="79" s="1"/>
  <c r="C10123" i="79" s="1"/>
  <c r="C10173" i="79" s="1"/>
  <c r="C10223" i="79" s="1"/>
  <c r="C10273" i="79" s="1"/>
  <c r="C10323" i="79" s="1"/>
  <c r="C10373" i="79" s="1"/>
  <c r="C10423" i="79" s="1"/>
  <c r="C10473" i="79" s="1"/>
  <c r="C10523" i="79" s="1"/>
  <c r="C10573" i="79" s="1"/>
  <c r="C10623" i="79" s="1"/>
  <c r="C10673" i="79" s="1"/>
  <c r="C10723" i="79" s="1"/>
  <c r="C10773" i="79" s="1"/>
  <c r="C10823" i="79" s="1"/>
  <c r="C10873" i="79" s="1"/>
  <c r="C10923" i="79" s="1"/>
  <c r="C10973" i="79" s="1"/>
  <c r="C11023" i="79" s="1"/>
  <c r="C11073" i="79" s="1"/>
  <c r="C11123" i="79" s="1"/>
  <c r="C11173" i="79" s="1"/>
  <c r="C11223" i="79" s="1"/>
  <c r="C11273" i="79" s="1"/>
  <c r="C11323" i="79" s="1"/>
  <c r="C11373" i="79" s="1"/>
  <c r="C11423" i="79" s="1"/>
  <c r="C11473" i="79" s="1"/>
  <c r="C11523" i="79" s="1"/>
  <c r="C11573" i="79" s="1"/>
  <c r="C11623" i="79" s="1"/>
  <c r="C11673" i="79" s="1"/>
  <c r="C11723" i="79" s="1"/>
  <c r="C11773" i="79" s="1"/>
  <c r="C11823" i="79" s="1"/>
  <c r="C11873" i="79" s="1"/>
  <c r="C11923" i="79" s="1"/>
  <c r="C11973" i="79" s="1"/>
  <c r="C12023" i="79" s="1"/>
  <c r="C12073" i="79" s="1"/>
  <c r="C12123" i="79" s="1"/>
  <c r="C12173" i="79" s="1"/>
  <c r="C12223" i="79" s="1"/>
  <c r="C12273" i="79" s="1"/>
  <c r="C12323" i="79" s="1"/>
  <c r="C12373" i="79" s="1"/>
  <c r="C12423" i="79" s="1"/>
  <c r="C12473" i="79" s="1"/>
  <c r="C12523" i="79" s="1"/>
  <c r="C12573" i="79" s="1"/>
  <c r="C12623" i="79" s="1"/>
  <c r="C12673" i="79" s="1"/>
  <c r="C12723" i="79" s="1"/>
  <c r="C12773" i="79" s="1"/>
  <c r="C12823" i="79" s="1"/>
  <c r="C12873" i="79" s="1"/>
  <c r="C12923" i="79" s="1"/>
  <c r="C12973" i="79" s="1"/>
  <c r="C13023" i="79" s="1"/>
  <c r="C13073" i="79" s="1"/>
  <c r="C13123" i="79" s="1"/>
  <c r="C13173" i="79" s="1"/>
  <c r="C13223" i="79" s="1"/>
  <c r="C13273" i="79" s="1"/>
  <c r="C13323" i="79" s="1"/>
  <c r="C13373" i="79" s="1"/>
  <c r="C13423" i="79" s="1"/>
  <c r="C13473" i="79" s="1"/>
  <c r="C13523" i="79" s="1"/>
  <c r="C13573" i="79" s="1"/>
  <c r="C13623" i="79" s="1"/>
  <c r="C13673" i="79" s="1"/>
  <c r="C13723" i="79" s="1"/>
  <c r="C13773" i="79" s="1"/>
  <c r="C13823" i="79" s="1"/>
  <c r="C13873" i="79" s="1"/>
  <c r="C13923" i="79" s="1"/>
  <c r="C13973" i="79" s="1"/>
  <c r="C14023" i="79" s="1"/>
  <c r="C14073" i="79" s="1"/>
  <c r="C14123" i="79" s="1"/>
  <c r="C14173" i="79" s="1"/>
  <c r="C14223" i="79" s="1"/>
  <c r="C14273" i="79" s="1"/>
  <c r="C14323" i="79" s="1"/>
  <c r="C14373" i="79" s="1"/>
  <c r="C14423" i="79" s="1"/>
  <c r="C14473" i="79" s="1"/>
  <c r="C14523" i="79" s="1"/>
  <c r="C14573" i="79" s="1"/>
  <c r="C14623" i="79" s="1"/>
  <c r="C14673" i="79" s="1"/>
  <c r="C14723" i="79" s="1"/>
  <c r="C14773" i="79" s="1"/>
  <c r="C14823" i="79" s="1"/>
  <c r="C14873" i="79" s="1"/>
  <c r="C14923" i="79" s="1"/>
  <c r="C14973" i="79" s="1"/>
  <c r="C15023" i="79" s="1"/>
  <c r="C15073" i="79" s="1"/>
  <c r="C15123" i="79" s="1"/>
  <c r="C15173" i="79" s="1"/>
  <c r="C15223" i="79" s="1"/>
  <c r="C15273" i="79" s="1"/>
  <c r="C15323" i="79" s="1"/>
  <c r="C15373" i="79" s="1"/>
  <c r="C15423" i="79" s="1"/>
  <c r="C15473" i="79" s="1"/>
  <c r="C15523" i="79" s="1"/>
  <c r="C15573" i="79" s="1"/>
  <c r="C15623" i="79" s="1"/>
  <c r="C15673" i="79" s="1"/>
  <c r="C15723" i="79" s="1"/>
  <c r="C15773" i="79" s="1"/>
  <c r="C15823" i="79" s="1"/>
  <c r="C15873" i="79" s="1"/>
  <c r="C15923" i="79" s="1"/>
  <c r="C15973" i="79" s="1"/>
  <c r="C16023" i="79" s="1"/>
  <c r="C16073" i="79" s="1"/>
  <c r="C16123" i="79" s="1"/>
  <c r="C16173" i="79" s="1"/>
  <c r="C16223" i="79" s="1"/>
  <c r="C16273" i="79" s="1"/>
  <c r="C16323" i="79" s="1"/>
  <c r="C16373" i="79" s="1"/>
  <c r="C16423" i="79" s="1"/>
  <c r="C16473" i="79" s="1"/>
  <c r="C16523" i="79" s="1"/>
  <c r="C16573" i="79" s="1"/>
  <c r="C16623" i="79" s="1"/>
  <c r="C16673" i="79" s="1"/>
  <c r="C16723" i="79" s="1"/>
  <c r="C16773" i="79" s="1"/>
  <c r="C16823" i="79" s="1"/>
  <c r="C16873" i="79" s="1"/>
  <c r="C16923" i="79" s="1"/>
  <c r="C16973" i="79" s="1"/>
  <c r="C17023" i="79" s="1"/>
  <c r="C17073" i="79" s="1"/>
  <c r="C17123" i="79" s="1"/>
  <c r="C17173" i="79" s="1"/>
  <c r="C17223" i="79" s="1"/>
  <c r="C17273" i="79" s="1"/>
  <c r="C8272" i="79"/>
  <c r="I8272" i="79" s="1"/>
  <c r="A8271" i="80" s="1"/>
  <c r="C8271" i="79"/>
  <c r="C8321" i="79"/>
  <c r="C8270" i="79"/>
  <c r="C8320" i="79"/>
  <c r="C8370" i="79" s="1"/>
  <c r="C8420" i="79" s="1"/>
  <c r="C8470" i="79" s="1"/>
  <c r="C8520" i="79" s="1"/>
  <c r="C8570" i="79" s="1"/>
  <c r="C8620" i="79" s="1"/>
  <c r="C8670" i="79" s="1"/>
  <c r="C8720" i="79" s="1"/>
  <c r="C8770" i="79" s="1"/>
  <c r="C8820" i="79" s="1"/>
  <c r="C8870" i="79" s="1"/>
  <c r="C8920" i="79" s="1"/>
  <c r="C8970" i="79" s="1"/>
  <c r="C9020" i="79" s="1"/>
  <c r="C9070" i="79" s="1"/>
  <c r="C9120" i="79" s="1"/>
  <c r="C9170" i="79" s="1"/>
  <c r="C9220" i="79" s="1"/>
  <c r="C9270" i="79" s="1"/>
  <c r="C9320" i="79" s="1"/>
  <c r="C9370" i="79" s="1"/>
  <c r="C9420" i="79" s="1"/>
  <c r="C9470" i="79" s="1"/>
  <c r="C9520" i="79" s="1"/>
  <c r="C9570" i="79" s="1"/>
  <c r="C9620" i="79" s="1"/>
  <c r="C9670" i="79" s="1"/>
  <c r="C9720" i="79" s="1"/>
  <c r="C9770" i="79" s="1"/>
  <c r="C9820" i="79" s="1"/>
  <c r="C9870" i="79" s="1"/>
  <c r="C9920" i="79" s="1"/>
  <c r="C9970" i="79" s="1"/>
  <c r="C10020" i="79" s="1"/>
  <c r="C10070" i="79" s="1"/>
  <c r="C10120" i="79" s="1"/>
  <c r="C10170" i="79" s="1"/>
  <c r="C10220" i="79" s="1"/>
  <c r="C10270" i="79" s="1"/>
  <c r="C10320" i="79" s="1"/>
  <c r="C10370" i="79" s="1"/>
  <c r="C10420" i="79" s="1"/>
  <c r="C10470" i="79" s="1"/>
  <c r="C10520" i="79" s="1"/>
  <c r="C10570" i="79" s="1"/>
  <c r="C10620" i="79" s="1"/>
  <c r="C10670" i="79" s="1"/>
  <c r="C10720" i="79" s="1"/>
  <c r="C10770" i="79" s="1"/>
  <c r="C10820" i="79" s="1"/>
  <c r="C10870" i="79" s="1"/>
  <c r="C10920" i="79" s="1"/>
  <c r="C10970" i="79" s="1"/>
  <c r="C11020" i="79" s="1"/>
  <c r="C11070" i="79" s="1"/>
  <c r="C11120" i="79" s="1"/>
  <c r="C11170" i="79" s="1"/>
  <c r="C11220" i="79" s="1"/>
  <c r="C11270" i="79" s="1"/>
  <c r="C11320" i="79" s="1"/>
  <c r="C11370" i="79" s="1"/>
  <c r="C11420" i="79" s="1"/>
  <c r="C11470" i="79" s="1"/>
  <c r="C11520" i="79" s="1"/>
  <c r="C11570" i="79" s="1"/>
  <c r="C11620" i="79" s="1"/>
  <c r="C11670" i="79" s="1"/>
  <c r="C11720" i="79" s="1"/>
  <c r="C11770" i="79" s="1"/>
  <c r="C11820" i="79" s="1"/>
  <c r="C11870" i="79" s="1"/>
  <c r="C11920" i="79" s="1"/>
  <c r="C11970" i="79" s="1"/>
  <c r="C12020" i="79" s="1"/>
  <c r="C12070" i="79" s="1"/>
  <c r="C12120" i="79" s="1"/>
  <c r="C12170" i="79" s="1"/>
  <c r="C12220" i="79" s="1"/>
  <c r="C12270" i="79" s="1"/>
  <c r="C12320" i="79" s="1"/>
  <c r="C12370" i="79" s="1"/>
  <c r="C12420" i="79" s="1"/>
  <c r="C12470" i="79" s="1"/>
  <c r="C12520" i="79" s="1"/>
  <c r="C12570" i="79" s="1"/>
  <c r="C12620" i="79" s="1"/>
  <c r="C12670" i="79" s="1"/>
  <c r="C12720" i="79" s="1"/>
  <c r="C12770" i="79" s="1"/>
  <c r="C12820" i="79" s="1"/>
  <c r="C12870" i="79" s="1"/>
  <c r="C12920" i="79" s="1"/>
  <c r="C12970" i="79" s="1"/>
  <c r="C13020" i="79" s="1"/>
  <c r="C13070" i="79" s="1"/>
  <c r="C13120" i="79" s="1"/>
  <c r="C13170" i="79" s="1"/>
  <c r="C13220" i="79" s="1"/>
  <c r="C13270" i="79" s="1"/>
  <c r="C13320" i="79" s="1"/>
  <c r="C13370" i="79" s="1"/>
  <c r="C13420" i="79" s="1"/>
  <c r="C13470" i="79" s="1"/>
  <c r="C13520" i="79" s="1"/>
  <c r="C13570" i="79" s="1"/>
  <c r="C13620" i="79" s="1"/>
  <c r="C13670" i="79" s="1"/>
  <c r="C13720" i="79" s="1"/>
  <c r="C13770" i="79" s="1"/>
  <c r="C13820" i="79" s="1"/>
  <c r="C13870" i="79" s="1"/>
  <c r="C13920" i="79" s="1"/>
  <c r="C13970" i="79" s="1"/>
  <c r="C14020" i="79" s="1"/>
  <c r="C14070" i="79" s="1"/>
  <c r="C14120" i="79" s="1"/>
  <c r="C14170" i="79" s="1"/>
  <c r="C14220" i="79" s="1"/>
  <c r="C14270" i="79" s="1"/>
  <c r="C14320" i="79" s="1"/>
  <c r="C14370" i="79" s="1"/>
  <c r="C14420" i="79" s="1"/>
  <c r="C14470" i="79" s="1"/>
  <c r="C14520" i="79" s="1"/>
  <c r="C14570" i="79" s="1"/>
  <c r="C14620" i="79" s="1"/>
  <c r="C14670" i="79" s="1"/>
  <c r="C14720" i="79" s="1"/>
  <c r="C14770" i="79" s="1"/>
  <c r="C14820" i="79" s="1"/>
  <c r="C14870" i="79" s="1"/>
  <c r="C14920" i="79" s="1"/>
  <c r="C14970" i="79" s="1"/>
  <c r="C15020" i="79" s="1"/>
  <c r="C15070" i="79" s="1"/>
  <c r="C15120" i="79" s="1"/>
  <c r="C15170" i="79" s="1"/>
  <c r="C15220" i="79" s="1"/>
  <c r="C15270" i="79" s="1"/>
  <c r="C15320" i="79" s="1"/>
  <c r="C15370" i="79" s="1"/>
  <c r="C15420" i="79" s="1"/>
  <c r="C15470" i="79" s="1"/>
  <c r="C15520" i="79" s="1"/>
  <c r="C15570" i="79" s="1"/>
  <c r="C15620" i="79" s="1"/>
  <c r="C15670" i="79" s="1"/>
  <c r="C15720" i="79" s="1"/>
  <c r="C15770" i="79" s="1"/>
  <c r="C15820" i="79" s="1"/>
  <c r="C15870" i="79" s="1"/>
  <c r="C15920" i="79" s="1"/>
  <c r="C15970" i="79" s="1"/>
  <c r="C16020" i="79" s="1"/>
  <c r="C16070" i="79" s="1"/>
  <c r="C16120" i="79" s="1"/>
  <c r="C16170" i="79" s="1"/>
  <c r="C16220" i="79" s="1"/>
  <c r="C16270" i="79" s="1"/>
  <c r="C16320" i="79" s="1"/>
  <c r="C16370" i="79" s="1"/>
  <c r="C16420" i="79" s="1"/>
  <c r="C16470" i="79" s="1"/>
  <c r="C16520" i="79" s="1"/>
  <c r="C16570" i="79" s="1"/>
  <c r="C16620" i="79" s="1"/>
  <c r="C16670" i="79" s="1"/>
  <c r="C16720" i="79" s="1"/>
  <c r="C16770" i="79" s="1"/>
  <c r="C16820" i="79" s="1"/>
  <c r="C16870" i="79" s="1"/>
  <c r="C16920" i="79" s="1"/>
  <c r="C16970" i="79" s="1"/>
  <c r="C17020" i="79" s="1"/>
  <c r="C17070" i="79" s="1"/>
  <c r="C17120" i="79" s="1"/>
  <c r="C17170" i="79" s="1"/>
  <c r="C17220" i="79" s="1"/>
  <c r="C17270" i="79" s="1"/>
  <c r="C8269" i="79"/>
  <c r="C8319" i="79"/>
  <c r="C8369" i="79" s="1"/>
  <c r="C8419" i="79" s="1"/>
  <c r="C8469" i="79" s="1"/>
  <c r="C8519" i="79" s="1"/>
  <c r="C8569" i="79" s="1"/>
  <c r="C8619" i="79" s="1"/>
  <c r="C8669" i="79" s="1"/>
  <c r="C8719" i="79" s="1"/>
  <c r="C8769" i="79" s="1"/>
  <c r="C8819" i="79" s="1"/>
  <c r="C8869" i="79" s="1"/>
  <c r="C8919" i="79" s="1"/>
  <c r="C8969" i="79" s="1"/>
  <c r="C9019" i="79" s="1"/>
  <c r="C9069" i="79" s="1"/>
  <c r="C9119" i="79" s="1"/>
  <c r="C9169" i="79" s="1"/>
  <c r="C9219" i="79" s="1"/>
  <c r="C9269" i="79" s="1"/>
  <c r="C9319" i="79" s="1"/>
  <c r="C9369" i="79" s="1"/>
  <c r="C9419" i="79" s="1"/>
  <c r="C9469" i="79" s="1"/>
  <c r="C9519" i="79" s="1"/>
  <c r="C9569" i="79" s="1"/>
  <c r="C9619" i="79" s="1"/>
  <c r="C9669" i="79" s="1"/>
  <c r="C9719" i="79" s="1"/>
  <c r="C9769" i="79" s="1"/>
  <c r="C9819" i="79" s="1"/>
  <c r="C9869" i="79" s="1"/>
  <c r="C9919" i="79" s="1"/>
  <c r="C9969" i="79" s="1"/>
  <c r="C10019" i="79" s="1"/>
  <c r="C10069" i="79" s="1"/>
  <c r="C10119" i="79" s="1"/>
  <c r="C10169" i="79" s="1"/>
  <c r="C10219" i="79" s="1"/>
  <c r="C10269" i="79" s="1"/>
  <c r="C10319" i="79" s="1"/>
  <c r="C10369" i="79" s="1"/>
  <c r="C10419" i="79" s="1"/>
  <c r="C10469" i="79" s="1"/>
  <c r="C10519" i="79" s="1"/>
  <c r="C10569" i="79" s="1"/>
  <c r="C10619" i="79" s="1"/>
  <c r="C10669" i="79" s="1"/>
  <c r="C10719" i="79" s="1"/>
  <c r="C10769" i="79" s="1"/>
  <c r="C10819" i="79" s="1"/>
  <c r="C10869" i="79" s="1"/>
  <c r="C10919" i="79" s="1"/>
  <c r="C10969" i="79" s="1"/>
  <c r="C11019" i="79" s="1"/>
  <c r="C11069" i="79" s="1"/>
  <c r="C11119" i="79" s="1"/>
  <c r="C11169" i="79" s="1"/>
  <c r="C11219" i="79" s="1"/>
  <c r="C11269" i="79" s="1"/>
  <c r="C11319" i="79" s="1"/>
  <c r="C11369" i="79" s="1"/>
  <c r="C11419" i="79" s="1"/>
  <c r="C11469" i="79" s="1"/>
  <c r="C11519" i="79" s="1"/>
  <c r="C11569" i="79" s="1"/>
  <c r="C11619" i="79" s="1"/>
  <c r="C11669" i="79" s="1"/>
  <c r="C11719" i="79" s="1"/>
  <c r="C11769" i="79" s="1"/>
  <c r="C11819" i="79" s="1"/>
  <c r="C11869" i="79" s="1"/>
  <c r="C11919" i="79" s="1"/>
  <c r="C11969" i="79" s="1"/>
  <c r="C12019" i="79" s="1"/>
  <c r="C12069" i="79" s="1"/>
  <c r="C12119" i="79" s="1"/>
  <c r="C12169" i="79" s="1"/>
  <c r="C12219" i="79" s="1"/>
  <c r="C12269" i="79" s="1"/>
  <c r="C12319" i="79" s="1"/>
  <c r="C12369" i="79" s="1"/>
  <c r="C12419" i="79" s="1"/>
  <c r="C12469" i="79" s="1"/>
  <c r="C12519" i="79" s="1"/>
  <c r="C12569" i="79" s="1"/>
  <c r="C12619" i="79" s="1"/>
  <c r="C12669" i="79" s="1"/>
  <c r="C12719" i="79" s="1"/>
  <c r="C12769" i="79" s="1"/>
  <c r="C12819" i="79" s="1"/>
  <c r="C12869" i="79" s="1"/>
  <c r="C12919" i="79" s="1"/>
  <c r="C12969" i="79" s="1"/>
  <c r="C13019" i="79" s="1"/>
  <c r="C13069" i="79" s="1"/>
  <c r="C13119" i="79" s="1"/>
  <c r="C13169" i="79" s="1"/>
  <c r="C13219" i="79" s="1"/>
  <c r="C13269" i="79" s="1"/>
  <c r="C13319" i="79" s="1"/>
  <c r="C13369" i="79" s="1"/>
  <c r="C13419" i="79" s="1"/>
  <c r="C13469" i="79" s="1"/>
  <c r="C13519" i="79" s="1"/>
  <c r="C13569" i="79" s="1"/>
  <c r="C13619" i="79" s="1"/>
  <c r="C13669" i="79" s="1"/>
  <c r="C13719" i="79" s="1"/>
  <c r="C13769" i="79" s="1"/>
  <c r="C13819" i="79" s="1"/>
  <c r="C13869" i="79" s="1"/>
  <c r="C13919" i="79" s="1"/>
  <c r="C13969" i="79" s="1"/>
  <c r="C14019" i="79" s="1"/>
  <c r="C14069" i="79" s="1"/>
  <c r="C14119" i="79" s="1"/>
  <c r="C14169" i="79" s="1"/>
  <c r="C14219" i="79" s="1"/>
  <c r="C14269" i="79" s="1"/>
  <c r="C14319" i="79" s="1"/>
  <c r="C14369" i="79" s="1"/>
  <c r="C14419" i="79" s="1"/>
  <c r="C14469" i="79" s="1"/>
  <c r="C14519" i="79" s="1"/>
  <c r="C14569" i="79" s="1"/>
  <c r="C14619" i="79" s="1"/>
  <c r="C14669" i="79" s="1"/>
  <c r="C14719" i="79" s="1"/>
  <c r="C14769" i="79" s="1"/>
  <c r="C14819" i="79" s="1"/>
  <c r="C14869" i="79" s="1"/>
  <c r="C14919" i="79" s="1"/>
  <c r="C14969" i="79" s="1"/>
  <c r="C15019" i="79" s="1"/>
  <c r="C15069" i="79" s="1"/>
  <c r="C15119" i="79" s="1"/>
  <c r="C15169" i="79" s="1"/>
  <c r="C15219" i="79" s="1"/>
  <c r="C15269" i="79" s="1"/>
  <c r="C15319" i="79" s="1"/>
  <c r="C15369" i="79" s="1"/>
  <c r="C15419" i="79" s="1"/>
  <c r="C15469" i="79" s="1"/>
  <c r="C15519" i="79" s="1"/>
  <c r="C15569" i="79" s="1"/>
  <c r="C15619" i="79" s="1"/>
  <c r="C15669" i="79" s="1"/>
  <c r="C15719" i="79" s="1"/>
  <c r="C15769" i="79" s="1"/>
  <c r="C15819" i="79" s="1"/>
  <c r="C15869" i="79" s="1"/>
  <c r="C15919" i="79" s="1"/>
  <c r="C15969" i="79" s="1"/>
  <c r="C16019" i="79" s="1"/>
  <c r="C16069" i="79" s="1"/>
  <c r="C16119" i="79" s="1"/>
  <c r="C16169" i="79" s="1"/>
  <c r="C16219" i="79" s="1"/>
  <c r="C16269" i="79" s="1"/>
  <c r="C16319" i="79" s="1"/>
  <c r="C16369" i="79" s="1"/>
  <c r="C16419" i="79" s="1"/>
  <c r="C16469" i="79" s="1"/>
  <c r="C16519" i="79" s="1"/>
  <c r="C16569" i="79" s="1"/>
  <c r="C16619" i="79" s="1"/>
  <c r="C16669" i="79" s="1"/>
  <c r="C16719" i="79" s="1"/>
  <c r="C16769" i="79" s="1"/>
  <c r="C16819" i="79" s="1"/>
  <c r="C16869" i="79" s="1"/>
  <c r="C16919" i="79" s="1"/>
  <c r="C16969" i="79" s="1"/>
  <c r="C17019" i="79" s="1"/>
  <c r="C17069" i="79" s="1"/>
  <c r="C17119" i="79" s="1"/>
  <c r="C17169" i="79" s="1"/>
  <c r="C17219" i="79" s="1"/>
  <c r="C17269" i="79" s="1"/>
  <c r="C8268" i="79"/>
  <c r="C8318" i="79" s="1"/>
  <c r="C8368" i="79" s="1"/>
  <c r="C8418" i="79" s="1"/>
  <c r="C8468" i="79" s="1"/>
  <c r="C8518" i="79" s="1"/>
  <c r="C8568" i="79" s="1"/>
  <c r="C8618" i="79" s="1"/>
  <c r="C8668" i="79" s="1"/>
  <c r="C8718" i="79" s="1"/>
  <c r="C8768" i="79" s="1"/>
  <c r="C8818" i="79" s="1"/>
  <c r="C8868" i="79" s="1"/>
  <c r="C8918" i="79" s="1"/>
  <c r="C8968" i="79" s="1"/>
  <c r="C9018" i="79" s="1"/>
  <c r="C9068" i="79" s="1"/>
  <c r="C9118" i="79" s="1"/>
  <c r="C9168" i="79" s="1"/>
  <c r="C9218" i="79" s="1"/>
  <c r="C9268" i="79" s="1"/>
  <c r="C9318" i="79" s="1"/>
  <c r="C9368" i="79" s="1"/>
  <c r="C9418" i="79" s="1"/>
  <c r="C9468" i="79" s="1"/>
  <c r="C9518" i="79" s="1"/>
  <c r="C9568" i="79" s="1"/>
  <c r="C9618" i="79" s="1"/>
  <c r="C9668" i="79" s="1"/>
  <c r="C9718" i="79" s="1"/>
  <c r="C9768" i="79" s="1"/>
  <c r="C9818" i="79" s="1"/>
  <c r="C9868" i="79" s="1"/>
  <c r="C9918" i="79" s="1"/>
  <c r="C9968" i="79" s="1"/>
  <c r="C10018" i="79" s="1"/>
  <c r="C10068" i="79" s="1"/>
  <c r="C10118" i="79" s="1"/>
  <c r="C10168" i="79" s="1"/>
  <c r="C10218" i="79" s="1"/>
  <c r="C10268" i="79" s="1"/>
  <c r="C10318" i="79" s="1"/>
  <c r="C10368" i="79" s="1"/>
  <c r="C10418" i="79" s="1"/>
  <c r="C10468" i="79" s="1"/>
  <c r="C10518" i="79" s="1"/>
  <c r="C10568" i="79" s="1"/>
  <c r="C10618" i="79" s="1"/>
  <c r="C10668" i="79" s="1"/>
  <c r="C10718" i="79" s="1"/>
  <c r="C10768" i="79" s="1"/>
  <c r="C10818" i="79" s="1"/>
  <c r="C10868" i="79" s="1"/>
  <c r="C10918" i="79" s="1"/>
  <c r="C10968" i="79" s="1"/>
  <c r="C11018" i="79" s="1"/>
  <c r="C11068" i="79" s="1"/>
  <c r="C11118" i="79" s="1"/>
  <c r="C11168" i="79" s="1"/>
  <c r="C11218" i="79" s="1"/>
  <c r="C11268" i="79" s="1"/>
  <c r="C11318" i="79" s="1"/>
  <c r="C11368" i="79" s="1"/>
  <c r="C11418" i="79" s="1"/>
  <c r="C11468" i="79" s="1"/>
  <c r="C11518" i="79" s="1"/>
  <c r="C11568" i="79" s="1"/>
  <c r="C11618" i="79" s="1"/>
  <c r="C11668" i="79" s="1"/>
  <c r="C11718" i="79" s="1"/>
  <c r="C11768" i="79" s="1"/>
  <c r="C11818" i="79" s="1"/>
  <c r="C11868" i="79" s="1"/>
  <c r="C11918" i="79" s="1"/>
  <c r="C11968" i="79" s="1"/>
  <c r="C12018" i="79" s="1"/>
  <c r="C12068" i="79" s="1"/>
  <c r="C12118" i="79" s="1"/>
  <c r="C12168" i="79" s="1"/>
  <c r="C12218" i="79" s="1"/>
  <c r="C12268" i="79" s="1"/>
  <c r="C12318" i="79" s="1"/>
  <c r="C12368" i="79" s="1"/>
  <c r="C12418" i="79" s="1"/>
  <c r="C12468" i="79" s="1"/>
  <c r="C12518" i="79" s="1"/>
  <c r="C12568" i="79" s="1"/>
  <c r="C12618" i="79" s="1"/>
  <c r="C12668" i="79" s="1"/>
  <c r="C12718" i="79" s="1"/>
  <c r="C12768" i="79" s="1"/>
  <c r="C12818" i="79" s="1"/>
  <c r="C12868" i="79" s="1"/>
  <c r="C12918" i="79" s="1"/>
  <c r="C12968" i="79" s="1"/>
  <c r="C13018" i="79" s="1"/>
  <c r="C13068" i="79" s="1"/>
  <c r="C13118" i="79" s="1"/>
  <c r="C13168" i="79" s="1"/>
  <c r="C13218" i="79" s="1"/>
  <c r="C13268" i="79" s="1"/>
  <c r="C13318" i="79" s="1"/>
  <c r="C13368" i="79" s="1"/>
  <c r="C13418" i="79" s="1"/>
  <c r="C13468" i="79" s="1"/>
  <c r="C13518" i="79" s="1"/>
  <c r="C13568" i="79" s="1"/>
  <c r="C13618" i="79" s="1"/>
  <c r="C13668" i="79" s="1"/>
  <c r="C13718" i="79" s="1"/>
  <c r="C13768" i="79" s="1"/>
  <c r="C13818" i="79" s="1"/>
  <c r="C13868" i="79" s="1"/>
  <c r="C13918" i="79" s="1"/>
  <c r="C13968" i="79" s="1"/>
  <c r="C14018" i="79" s="1"/>
  <c r="C14068" i="79" s="1"/>
  <c r="C14118" i="79" s="1"/>
  <c r="C14168" i="79" s="1"/>
  <c r="C14218" i="79" s="1"/>
  <c r="C14268" i="79" s="1"/>
  <c r="C14318" i="79" s="1"/>
  <c r="C14368" i="79" s="1"/>
  <c r="C14418" i="79" s="1"/>
  <c r="C14468" i="79" s="1"/>
  <c r="C14518" i="79" s="1"/>
  <c r="C14568" i="79" s="1"/>
  <c r="C14618" i="79" s="1"/>
  <c r="C14668" i="79" s="1"/>
  <c r="C14718" i="79" s="1"/>
  <c r="C14768" i="79" s="1"/>
  <c r="C14818" i="79" s="1"/>
  <c r="C14868" i="79" s="1"/>
  <c r="C14918" i="79" s="1"/>
  <c r="C14968" i="79" s="1"/>
  <c r="C15018" i="79" s="1"/>
  <c r="C15068" i="79" s="1"/>
  <c r="C15118" i="79" s="1"/>
  <c r="C15168" i="79" s="1"/>
  <c r="C15218" i="79" s="1"/>
  <c r="C15268" i="79" s="1"/>
  <c r="C15318" i="79" s="1"/>
  <c r="C15368" i="79" s="1"/>
  <c r="C15418" i="79" s="1"/>
  <c r="C15468" i="79" s="1"/>
  <c r="C15518" i="79" s="1"/>
  <c r="C15568" i="79" s="1"/>
  <c r="C15618" i="79" s="1"/>
  <c r="C15668" i="79" s="1"/>
  <c r="C15718" i="79" s="1"/>
  <c r="C15768" i="79" s="1"/>
  <c r="C15818" i="79" s="1"/>
  <c r="C15868" i="79" s="1"/>
  <c r="C15918" i="79" s="1"/>
  <c r="C15968" i="79" s="1"/>
  <c r="C16018" i="79" s="1"/>
  <c r="C16068" i="79" s="1"/>
  <c r="C16118" i="79" s="1"/>
  <c r="C16168" i="79" s="1"/>
  <c r="C16218" i="79" s="1"/>
  <c r="C16268" i="79" s="1"/>
  <c r="C16318" i="79" s="1"/>
  <c r="C16368" i="79" s="1"/>
  <c r="C16418" i="79" s="1"/>
  <c r="C16468" i="79" s="1"/>
  <c r="C16518" i="79" s="1"/>
  <c r="C16568" i="79" s="1"/>
  <c r="C16618" i="79" s="1"/>
  <c r="C16668" i="79" s="1"/>
  <c r="C16718" i="79" s="1"/>
  <c r="C16768" i="79" s="1"/>
  <c r="C16818" i="79" s="1"/>
  <c r="C16868" i="79" s="1"/>
  <c r="C16918" i="79" s="1"/>
  <c r="C16968" i="79" s="1"/>
  <c r="C17018" i="79" s="1"/>
  <c r="C17068" i="79" s="1"/>
  <c r="C17118" i="79" s="1"/>
  <c r="C17168" i="79" s="1"/>
  <c r="C17218" i="79" s="1"/>
  <c r="C17268" i="79" s="1"/>
  <c r="C8267" i="79"/>
  <c r="I8267" i="79" s="1"/>
  <c r="A8266" i="80" s="1"/>
  <c r="C8266" i="79"/>
  <c r="C8265" i="79"/>
  <c r="C8315" i="79" s="1"/>
  <c r="C8365" i="79" s="1"/>
  <c r="C8415" i="79" s="1"/>
  <c r="C8465" i="79" s="1"/>
  <c r="C8515" i="79" s="1"/>
  <c r="C8565" i="79" s="1"/>
  <c r="C8615" i="79" s="1"/>
  <c r="C8665" i="79" s="1"/>
  <c r="C8715" i="79" s="1"/>
  <c r="C8765" i="79" s="1"/>
  <c r="C8815" i="79" s="1"/>
  <c r="C8865" i="79" s="1"/>
  <c r="C8915" i="79" s="1"/>
  <c r="C8965" i="79" s="1"/>
  <c r="C9015" i="79" s="1"/>
  <c r="C9065" i="79" s="1"/>
  <c r="C9115" i="79" s="1"/>
  <c r="C9165" i="79" s="1"/>
  <c r="C9215" i="79" s="1"/>
  <c r="C9265" i="79" s="1"/>
  <c r="C9315" i="79" s="1"/>
  <c r="C9365" i="79" s="1"/>
  <c r="C9415" i="79" s="1"/>
  <c r="C9465" i="79" s="1"/>
  <c r="C9515" i="79" s="1"/>
  <c r="C9565" i="79" s="1"/>
  <c r="C9615" i="79" s="1"/>
  <c r="C9665" i="79" s="1"/>
  <c r="C9715" i="79" s="1"/>
  <c r="C9765" i="79" s="1"/>
  <c r="C9815" i="79" s="1"/>
  <c r="C9865" i="79" s="1"/>
  <c r="C9915" i="79" s="1"/>
  <c r="C9965" i="79" s="1"/>
  <c r="C10015" i="79" s="1"/>
  <c r="C10065" i="79" s="1"/>
  <c r="C10115" i="79" s="1"/>
  <c r="C10165" i="79" s="1"/>
  <c r="C10215" i="79" s="1"/>
  <c r="C10265" i="79" s="1"/>
  <c r="C10315" i="79" s="1"/>
  <c r="C10365" i="79" s="1"/>
  <c r="C10415" i="79" s="1"/>
  <c r="C10465" i="79" s="1"/>
  <c r="C10515" i="79" s="1"/>
  <c r="C10565" i="79" s="1"/>
  <c r="C10615" i="79" s="1"/>
  <c r="C10665" i="79" s="1"/>
  <c r="C10715" i="79" s="1"/>
  <c r="C10765" i="79" s="1"/>
  <c r="C10815" i="79" s="1"/>
  <c r="C10865" i="79" s="1"/>
  <c r="C10915" i="79" s="1"/>
  <c r="C10965" i="79" s="1"/>
  <c r="C11015" i="79" s="1"/>
  <c r="C11065" i="79" s="1"/>
  <c r="C11115" i="79" s="1"/>
  <c r="C11165" i="79" s="1"/>
  <c r="C11215" i="79" s="1"/>
  <c r="C11265" i="79" s="1"/>
  <c r="C11315" i="79" s="1"/>
  <c r="C11365" i="79" s="1"/>
  <c r="C11415" i="79" s="1"/>
  <c r="C11465" i="79" s="1"/>
  <c r="C11515" i="79" s="1"/>
  <c r="C11565" i="79" s="1"/>
  <c r="C11615" i="79" s="1"/>
  <c r="C11665" i="79" s="1"/>
  <c r="C11715" i="79" s="1"/>
  <c r="C11765" i="79" s="1"/>
  <c r="C11815" i="79" s="1"/>
  <c r="C11865" i="79" s="1"/>
  <c r="C11915" i="79" s="1"/>
  <c r="C11965" i="79" s="1"/>
  <c r="C12015" i="79" s="1"/>
  <c r="C12065" i="79" s="1"/>
  <c r="C12115" i="79" s="1"/>
  <c r="C12165" i="79" s="1"/>
  <c r="C12215" i="79" s="1"/>
  <c r="C12265" i="79" s="1"/>
  <c r="C12315" i="79" s="1"/>
  <c r="C12365" i="79" s="1"/>
  <c r="C12415" i="79" s="1"/>
  <c r="C12465" i="79" s="1"/>
  <c r="C12515" i="79" s="1"/>
  <c r="C12565" i="79" s="1"/>
  <c r="C12615" i="79" s="1"/>
  <c r="C12665" i="79" s="1"/>
  <c r="C12715" i="79" s="1"/>
  <c r="C12765" i="79" s="1"/>
  <c r="C12815" i="79" s="1"/>
  <c r="C12865" i="79" s="1"/>
  <c r="C12915" i="79" s="1"/>
  <c r="C12965" i="79" s="1"/>
  <c r="C13015" i="79" s="1"/>
  <c r="C13065" i="79" s="1"/>
  <c r="C13115" i="79" s="1"/>
  <c r="C13165" i="79" s="1"/>
  <c r="C13215" i="79" s="1"/>
  <c r="C13265" i="79" s="1"/>
  <c r="C13315" i="79" s="1"/>
  <c r="C13365" i="79" s="1"/>
  <c r="C13415" i="79" s="1"/>
  <c r="C13465" i="79" s="1"/>
  <c r="C13515" i="79" s="1"/>
  <c r="C13565" i="79" s="1"/>
  <c r="C13615" i="79" s="1"/>
  <c r="C13665" i="79" s="1"/>
  <c r="C13715" i="79" s="1"/>
  <c r="C13765" i="79" s="1"/>
  <c r="C13815" i="79" s="1"/>
  <c r="C13865" i="79" s="1"/>
  <c r="C13915" i="79" s="1"/>
  <c r="C13965" i="79" s="1"/>
  <c r="C14015" i="79" s="1"/>
  <c r="C14065" i="79" s="1"/>
  <c r="C14115" i="79" s="1"/>
  <c r="C14165" i="79" s="1"/>
  <c r="C14215" i="79" s="1"/>
  <c r="C14265" i="79" s="1"/>
  <c r="C14315" i="79" s="1"/>
  <c r="C14365" i="79" s="1"/>
  <c r="C14415" i="79" s="1"/>
  <c r="C14465" i="79" s="1"/>
  <c r="C14515" i="79" s="1"/>
  <c r="C14565" i="79" s="1"/>
  <c r="C14615" i="79" s="1"/>
  <c r="C14665" i="79" s="1"/>
  <c r="C14715" i="79" s="1"/>
  <c r="C14765" i="79" s="1"/>
  <c r="C14815" i="79" s="1"/>
  <c r="C14865" i="79" s="1"/>
  <c r="C14915" i="79" s="1"/>
  <c r="C14965" i="79" s="1"/>
  <c r="C15015" i="79" s="1"/>
  <c r="C15065" i="79" s="1"/>
  <c r="C15115" i="79" s="1"/>
  <c r="C15165" i="79" s="1"/>
  <c r="C15215" i="79" s="1"/>
  <c r="C15265" i="79" s="1"/>
  <c r="C15315" i="79" s="1"/>
  <c r="C15365" i="79" s="1"/>
  <c r="C15415" i="79" s="1"/>
  <c r="C15465" i="79" s="1"/>
  <c r="C15515" i="79" s="1"/>
  <c r="C15565" i="79" s="1"/>
  <c r="C15615" i="79" s="1"/>
  <c r="C15665" i="79" s="1"/>
  <c r="C15715" i="79" s="1"/>
  <c r="C15765" i="79" s="1"/>
  <c r="C15815" i="79" s="1"/>
  <c r="C15865" i="79" s="1"/>
  <c r="C15915" i="79" s="1"/>
  <c r="C15965" i="79" s="1"/>
  <c r="C16015" i="79" s="1"/>
  <c r="C16065" i="79" s="1"/>
  <c r="C16115" i="79" s="1"/>
  <c r="C16165" i="79" s="1"/>
  <c r="C16215" i="79" s="1"/>
  <c r="C16265" i="79" s="1"/>
  <c r="C16315" i="79" s="1"/>
  <c r="C16365" i="79" s="1"/>
  <c r="C16415" i="79" s="1"/>
  <c r="C16465" i="79" s="1"/>
  <c r="C16515" i="79" s="1"/>
  <c r="C16565" i="79" s="1"/>
  <c r="C16615" i="79" s="1"/>
  <c r="C16665" i="79" s="1"/>
  <c r="C16715" i="79" s="1"/>
  <c r="C16765" i="79" s="1"/>
  <c r="C16815" i="79" s="1"/>
  <c r="C16865" i="79" s="1"/>
  <c r="C16915" i="79" s="1"/>
  <c r="C16965" i="79" s="1"/>
  <c r="C17015" i="79" s="1"/>
  <c r="C17065" i="79" s="1"/>
  <c r="C17115" i="79" s="1"/>
  <c r="C17165" i="79" s="1"/>
  <c r="C17215" i="79" s="1"/>
  <c r="C17265" i="79" s="1"/>
  <c r="C8264" i="79"/>
  <c r="C8314" i="79"/>
  <c r="C8364" i="79" s="1"/>
  <c r="C8414" i="79" s="1"/>
  <c r="C8464" i="79" s="1"/>
  <c r="C8514" i="79" s="1"/>
  <c r="C8564" i="79" s="1"/>
  <c r="C8614" i="79" s="1"/>
  <c r="C8664" i="79" s="1"/>
  <c r="C8714" i="79" s="1"/>
  <c r="C8764" i="79" s="1"/>
  <c r="C8814" i="79" s="1"/>
  <c r="C8864" i="79" s="1"/>
  <c r="C8914" i="79" s="1"/>
  <c r="C8964" i="79" s="1"/>
  <c r="C9014" i="79" s="1"/>
  <c r="C9064" i="79" s="1"/>
  <c r="C9114" i="79" s="1"/>
  <c r="C9164" i="79" s="1"/>
  <c r="C9214" i="79" s="1"/>
  <c r="C9264" i="79" s="1"/>
  <c r="C9314" i="79" s="1"/>
  <c r="C9364" i="79" s="1"/>
  <c r="C9414" i="79" s="1"/>
  <c r="C9464" i="79" s="1"/>
  <c r="C9514" i="79" s="1"/>
  <c r="C9564" i="79" s="1"/>
  <c r="C9614" i="79" s="1"/>
  <c r="C9664" i="79" s="1"/>
  <c r="C9714" i="79" s="1"/>
  <c r="C9764" i="79" s="1"/>
  <c r="C9814" i="79" s="1"/>
  <c r="C9864" i="79" s="1"/>
  <c r="C9914" i="79" s="1"/>
  <c r="C9964" i="79" s="1"/>
  <c r="C10014" i="79" s="1"/>
  <c r="C10064" i="79" s="1"/>
  <c r="C10114" i="79" s="1"/>
  <c r="C10164" i="79" s="1"/>
  <c r="C10214" i="79" s="1"/>
  <c r="C10264" i="79" s="1"/>
  <c r="C10314" i="79" s="1"/>
  <c r="C10364" i="79" s="1"/>
  <c r="C10414" i="79" s="1"/>
  <c r="C10464" i="79" s="1"/>
  <c r="C10514" i="79" s="1"/>
  <c r="C10564" i="79" s="1"/>
  <c r="C10614" i="79" s="1"/>
  <c r="C10664" i="79" s="1"/>
  <c r="C10714" i="79" s="1"/>
  <c r="C10764" i="79" s="1"/>
  <c r="C10814" i="79" s="1"/>
  <c r="C10864" i="79" s="1"/>
  <c r="C10914" i="79" s="1"/>
  <c r="C10964" i="79" s="1"/>
  <c r="C11014" i="79" s="1"/>
  <c r="C11064" i="79" s="1"/>
  <c r="C11114" i="79" s="1"/>
  <c r="C11164" i="79" s="1"/>
  <c r="C11214" i="79" s="1"/>
  <c r="C11264" i="79" s="1"/>
  <c r="C11314" i="79" s="1"/>
  <c r="C11364" i="79" s="1"/>
  <c r="C11414" i="79" s="1"/>
  <c r="C11464" i="79" s="1"/>
  <c r="C11514" i="79" s="1"/>
  <c r="C11564" i="79" s="1"/>
  <c r="C11614" i="79" s="1"/>
  <c r="C11664" i="79" s="1"/>
  <c r="C11714" i="79" s="1"/>
  <c r="C11764" i="79" s="1"/>
  <c r="C11814" i="79" s="1"/>
  <c r="C11864" i="79" s="1"/>
  <c r="C11914" i="79" s="1"/>
  <c r="C11964" i="79" s="1"/>
  <c r="C12014" i="79" s="1"/>
  <c r="C12064" i="79" s="1"/>
  <c r="C12114" i="79" s="1"/>
  <c r="C12164" i="79" s="1"/>
  <c r="C12214" i="79" s="1"/>
  <c r="C12264" i="79" s="1"/>
  <c r="C12314" i="79" s="1"/>
  <c r="C12364" i="79" s="1"/>
  <c r="C12414" i="79" s="1"/>
  <c r="C12464" i="79" s="1"/>
  <c r="C12514" i="79" s="1"/>
  <c r="C12564" i="79" s="1"/>
  <c r="C12614" i="79" s="1"/>
  <c r="C12664" i="79" s="1"/>
  <c r="C12714" i="79" s="1"/>
  <c r="C12764" i="79" s="1"/>
  <c r="C12814" i="79" s="1"/>
  <c r="C12864" i="79" s="1"/>
  <c r="C12914" i="79" s="1"/>
  <c r="C12964" i="79" s="1"/>
  <c r="C13014" i="79" s="1"/>
  <c r="C13064" i="79" s="1"/>
  <c r="C13114" i="79" s="1"/>
  <c r="C13164" i="79" s="1"/>
  <c r="C13214" i="79" s="1"/>
  <c r="C13264" i="79" s="1"/>
  <c r="C13314" i="79" s="1"/>
  <c r="C13364" i="79" s="1"/>
  <c r="C13414" i="79" s="1"/>
  <c r="C13464" i="79" s="1"/>
  <c r="C13514" i="79" s="1"/>
  <c r="C13564" i="79" s="1"/>
  <c r="C13614" i="79" s="1"/>
  <c r="C13664" i="79" s="1"/>
  <c r="C13714" i="79" s="1"/>
  <c r="C13764" i="79" s="1"/>
  <c r="C13814" i="79" s="1"/>
  <c r="C13864" i="79" s="1"/>
  <c r="C13914" i="79" s="1"/>
  <c r="C13964" i="79" s="1"/>
  <c r="C14014" i="79" s="1"/>
  <c r="C14064" i="79" s="1"/>
  <c r="C14114" i="79" s="1"/>
  <c r="C14164" i="79" s="1"/>
  <c r="C14214" i="79" s="1"/>
  <c r="C14264" i="79" s="1"/>
  <c r="C14314" i="79" s="1"/>
  <c r="C14364" i="79" s="1"/>
  <c r="C14414" i="79" s="1"/>
  <c r="C14464" i="79" s="1"/>
  <c r="C14514" i="79" s="1"/>
  <c r="C14564" i="79" s="1"/>
  <c r="C14614" i="79" s="1"/>
  <c r="C14664" i="79" s="1"/>
  <c r="C14714" i="79" s="1"/>
  <c r="C14764" i="79" s="1"/>
  <c r="C14814" i="79" s="1"/>
  <c r="C14864" i="79" s="1"/>
  <c r="C14914" i="79" s="1"/>
  <c r="C14964" i="79" s="1"/>
  <c r="C15014" i="79" s="1"/>
  <c r="C15064" i="79" s="1"/>
  <c r="C15114" i="79" s="1"/>
  <c r="C15164" i="79" s="1"/>
  <c r="C15214" i="79" s="1"/>
  <c r="C15264" i="79" s="1"/>
  <c r="C15314" i="79" s="1"/>
  <c r="C15364" i="79" s="1"/>
  <c r="C15414" i="79" s="1"/>
  <c r="C15464" i="79" s="1"/>
  <c r="C15514" i="79" s="1"/>
  <c r="C15564" i="79" s="1"/>
  <c r="C15614" i="79" s="1"/>
  <c r="C15664" i="79" s="1"/>
  <c r="C15714" i="79" s="1"/>
  <c r="C15764" i="79" s="1"/>
  <c r="C15814" i="79" s="1"/>
  <c r="C15864" i="79" s="1"/>
  <c r="C15914" i="79" s="1"/>
  <c r="C15964" i="79" s="1"/>
  <c r="C16014" i="79" s="1"/>
  <c r="C16064" i="79" s="1"/>
  <c r="C16114" i="79" s="1"/>
  <c r="C16164" i="79" s="1"/>
  <c r="C16214" i="79" s="1"/>
  <c r="C16264" i="79" s="1"/>
  <c r="C16314" i="79" s="1"/>
  <c r="C16364" i="79" s="1"/>
  <c r="C16414" i="79" s="1"/>
  <c r="C16464" i="79" s="1"/>
  <c r="C16514" i="79" s="1"/>
  <c r="C16564" i="79" s="1"/>
  <c r="C16614" i="79" s="1"/>
  <c r="C16664" i="79" s="1"/>
  <c r="C16714" i="79" s="1"/>
  <c r="C16764" i="79" s="1"/>
  <c r="C16814" i="79" s="1"/>
  <c r="C16864" i="79" s="1"/>
  <c r="C16914" i="79" s="1"/>
  <c r="C16964" i="79" s="1"/>
  <c r="C17014" i="79" s="1"/>
  <c r="C17064" i="79" s="1"/>
  <c r="C17114" i="79" s="1"/>
  <c r="C17164" i="79" s="1"/>
  <c r="C17214" i="79" s="1"/>
  <c r="C17264" i="79" s="1"/>
  <c r="C8263" i="79"/>
  <c r="C8313" i="79" s="1"/>
  <c r="C8363" i="79" s="1"/>
  <c r="C8413" i="79" s="1"/>
  <c r="C8463" i="79" s="1"/>
  <c r="C8513" i="79" s="1"/>
  <c r="C8563" i="79" s="1"/>
  <c r="C8613" i="79" s="1"/>
  <c r="C8663" i="79" s="1"/>
  <c r="C8713" i="79" s="1"/>
  <c r="C8763" i="79" s="1"/>
  <c r="C8813" i="79" s="1"/>
  <c r="C8863" i="79" s="1"/>
  <c r="C8913" i="79" s="1"/>
  <c r="C8963" i="79" s="1"/>
  <c r="C9013" i="79" s="1"/>
  <c r="C9063" i="79" s="1"/>
  <c r="C9113" i="79" s="1"/>
  <c r="C9163" i="79" s="1"/>
  <c r="C9213" i="79" s="1"/>
  <c r="C9263" i="79" s="1"/>
  <c r="C9313" i="79" s="1"/>
  <c r="C9363" i="79" s="1"/>
  <c r="C9413" i="79" s="1"/>
  <c r="C9463" i="79" s="1"/>
  <c r="C9513" i="79" s="1"/>
  <c r="C9563" i="79" s="1"/>
  <c r="C9613" i="79" s="1"/>
  <c r="C9663" i="79" s="1"/>
  <c r="C9713" i="79" s="1"/>
  <c r="C9763" i="79" s="1"/>
  <c r="C9813" i="79" s="1"/>
  <c r="C9863" i="79" s="1"/>
  <c r="C9913" i="79" s="1"/>
  <c r="C9963" i="79" s="1"/>
  <c r="C10013" i="79" s="1"/>
  <c r="C10063" i="79" s="1"/>
  <c r="C10113" i="79" s="1"/>
  <c r="C10163" i="79" s="1"/>
  <c r="C10213" i="79" s="1"/>
  <c r="C10263" i="79" s="1"/>
  <c r="C10313" i="79" s="1"/>
  <c r="C10363" i="79" s="1"/>
  <c r="C10413" i="79" s="1"/>
  <c r="C10463" i="79" s="1"/>
  <c r="C10513" i="79" s="1"/>
  <c r="C10563" i="79" s="1"/>
  <c r="C10613" i="79" s="1"/>
  <c r="C10663" i="79" s="1"/>
  <c r="C10713" i="79" s="1"/>
  <c r="C10763" i="79" s="1"/>
  <c r="C10813" i="79" s="1"/>
  <c r="C10863" i="79" s="1"/>
  <c r="C10913" i="79" s="1"/>
  <c r="C10963" i="79" s="1"/>
  <c r="C11013" i="79" s="1"/>
  <c r="C11063" i="79" s="1"/>
  <c r="C11113" i="79" s="1"/>
  <c r="C11163" i="79" s="1"/>
  <c r="C11213" i="79" s="1"/>
  <c r="C11263" i="79" s="1"/>
  <c r="C11313" i="79" s="1"/>
  <c r="C11363" i="79" s="1"/>
  <c r="C11413" i="79" s="1"/>
  <c r="C11463" i="79" s="1"/>
  <c r="C11513" i="79" s="1"/>
  <c r="C11563" i="79" s="1"/>
  <c r="C11613" i="79" s="1"/>
  <c r="C11663" i="79" s="1"/>
  <c r="C11713" i="79" s="1"/>
  <c r="C11763" i="79" s="1"/>
  <c r="C11813" i="79" s="1"/>
  <c r="C11863" i="79" s="1"/>
  <c r="C11913" i="79" s="1"/>
  <c r="C11963" i="79" s="1"/>
  <c r="C12013" i="79" s="1"/>
  <c r="C12063" i="79" s="1"/>
  <c r="C12113" i="79" s="1"/>
  <c r="C12163" i="79" s="1"/>
  <c r="C12213" i="79" s="1"/>
  <c r="C12263" i="79" s="1"/>
  <c r="C12313" i="79" s="1"/>
  <c r="C12363" i="79" s="1"/>
  <c r="C12413" i="79" s="1"/>
  <c r="C12463" i="79" s="1"/>
  <c r="C12513" i="79" s="1"/>
  <c r="C12563" i="79" s="1"/>
  <c r="C12613" i="79" s="1"/>
  <c r="C12663" i="79" s="1"/>
  <c r="C12713" i="79" s="1"/>
  <c r="C12763" i="79" s="1"/>
  <c r="C12813" i="79" s="1"/>
  <c r="C12863" i="79" s="1"/>
  <c r="C12913" i="79" s="1"/>
  <c r="C12963" i="79" s="1"/>
  <c r="C13013" i="79" s="1"/>
  <c r="C13063" i="79" s="1"/>
  <c r="C13113" i="79" s="1"/>
  <c r="C13163" i="79" s="1"/>
  <c r="C13213" i="79" s="1"/>
  <c r="C13263" i="79" s="1"/>
  <c r="C13313" i="79" s="1"/>
  <c r="C13363" i="79" s="1"/>
  <c r="C13413" i="79" s="1"/>
  <c r="C13463" i="79" s="1"/>
  <c r="C13513" i="79" s="1"/>
  <c r="C13563" i="79" s="1"/>
  <c r="C13613" i="79" s="1"/>
  <c r="C13663" i="79" s="1"/>
  <c r="C13713" i="79" s="1"/>
  <c r="C13763" i="79" s="1"/>
  <c r="C13813" i="79" s="1"/>
  <c r="C13863" i="79" s="1"/>
  <c r="C13913" i="79" s="1"/>
  <c r="C13963" i="79" s="1"/>
  <c r="C14013" i="79" s="1"/>
  <c r="C14063" i="79" s="1"/>
  <c r="C14113" i="79" s="1"/>
  <c r="C14163" i="79" s="1"/>
  <c r="C14213" i="79" s="1"/>
  <c r="C14263" i="79" s="1"/>
  <c r="C14313" i="79" s="1"/>
  <c r="C14363" i="79" s="1"/>
  <c r="C14413" i="79" s="1"/>
  <c r="C14463" i="79" s="1"/>
  <c r="C14513" i="79" s="1"/>
  <c r="C14563" i="79" s="1"/>
  <c r="C14613" i="79" s="1"/>
  <c r="C14663" i="79" s="1"/>
  <c r="C14713" i="79" s="1"/>
  <c r="C14763" i="79" s="1"/>
  <c r="C14813" i="79" s="1"/>
  <c r="C14863" i="79" s="1"/>
  <c r="C14913" i="79" s="1"/>
  <c r="C14963" i="79" s="1"/>
  <c r="C15013" i="79" s="1"/>
  <c r="C15063" i="79" s="1"/>
  <c r="C15113" i="79" s="1"/>
  <c r="C15163" i="79" s="1"/>
  <c r="C15213" i="79" s="1"/>
  <c r="C15263" i="79" s="1"/>
  <c r="C15313" i="79" s="1"/>
  <c r="C15363" i="79" s="1"/>
  <c r="C15413" i="79" s="1"/>
  <c r="C15463" i="79" s="1"/>
  <c r="C15513" i="79" s="1"/>
  <c r="C15563" i="79" s="1"/>
  <c r="C15613" i="79" s="1"/>
  <c r="C15663" i="79" s="1"/>
  <c r="C15713" i="79" s="1"/>
  <c r="C15763" i="79" s="1"/>
  <c r="C15813" i="79" s="1"/>
  <c r="C15863" i="79" s="1"/>
  <c r="C15913" i="79" s="1"/>
  <c r="C15963" i="79" s="1"/>
  <c r="C16013" i="79" s="1"/>
  <c r="C16063" i="79" s="1"/>
  <c r="C16113" i="79" s="1"/>
  <c r="C16163" i="79" s="1"/>
  <c r="C16213" i="79" s="1"/>
  <c r="C16263" i="79" s="1"/>
  <c r="C16313" i="79" s="1"/>
  <c r="C16363" i="79" s="1"/>
  <c r="C16413" i="79" s="1"/>
  <c r="C16463" i="79" s="1"/>
  <c r="C16513" i="79" s="1"/>
  <c r="C16563" i="79" s="1"/>
  <c r="C16613" i="79" s="1"/>
  <c r="C16663" i="79" s="1"/>
  <c r="C16713" i="79" s="1"/>
  <c r="C16763" i="79" s="1"/>
  <c r="C16813" i="79" s="1"/>
  <c r="C16863" i="79" s="1"/>
  <c r="C16913" i="79" s="1"/>
  <c r="C16963" i="79" s="1"/>
  <c r="C17013" i="79" s="1"/>
  <c r="C17063" i="79" s="1"/>
  <c r="C17113" i="79" s="1"/>
  <c r="C17163" i="79" s="1"/>
  <c r="C17213" i="79" s="1"/>
  <c r="C17263" i="79" s="1"/>
  <c r="C8262" i="79"/>
  <c r="I8262" i="79"/>
  <c r="A8261" i="80" s="1"/>
  <c r="C8261" i="79"/>
  <c r="C8311" i="79" s="1"/>
  <c r="C8260" i="79"/>
  <c r="C8310" i="79" s="1"/>
  <c r="C8360" i="79" s="1"/>
  <c r="C8410" i="79" s="1"/>
  <c r="C8460" i="79" s="1"/>
  <c r="C8510" i="79" s="1"/>
  <c r="C8560" i="79" s="1"/>
  <c r="C8610" i="79" s="1"/>
  <c r="C8660" i="79" s="1"/>
  <c r="C8710" i="79" s="1"/>
  <c r="C8760" i="79" s="1"/>
  <c r="C8810" i="79" s="1"/>
  <c r="C8860" i="79" s="1"/>
  <c r="C8910" i="79" s="1"/>
  <c r="C8960" i="79" s="1"/>
  <c r="C9010" i="79" s="1"/>
  <c r="C9060" i="79" s="1"/>
  <c r="C9110" i="79" s="1"/>
  <c r="C9160" i="79" s="1"/>
  <c r="C9210" i="79" s="1"/>
  <c r="C9260" i="79" s="1"/>
  <c r="C9310" i="79" s="1"/>
  <c r="C9360" i="79" s="1"/>
  <c r="C9410" i="79" s="1"/>
  <c r="C9460" i="79" s="1"/>
  <c r="C9510" i="79" s="1"/>
  <c r="C9560" i="79" s="1"/>
  <c r="C9610" i="79" s="1"/>
  <c r="C9660" i="79" s="1"/>
  <c r="C9710" i="79" s="1"/>
  <c r="C9760" i="79" s="1"/>
  <c r="C9810" i="79" s="1"/>
  <c r="C9860" i="79" s="1"/>
  <c r="C9910" i="79" s="1"/>
  <c r="C9960" i="79" s="1"/>
  <c r="C10010" i="79" s="1"/>
  <c r="C10060" i="79" s="1"/>
  <c r="C10110" i="79" s="1"/>
  <c r="C10160" i="79" s="1"/>
  <c r="C10210" i="79" s="1"/>
  <c r="C10260" i="79" s="1"/>
  <c r="C10310" i="79" s="1"/>
  <c r="C10360" i="79" s="1"/>
  <c r="C10410" i="79" s="1"/>
  <c r="C10460" i="79" s="1"/>
  <c r="C10510" i="79" s="1"/>
  <c r="C10560" i="79" s="1"/>
  <c r="C10610" i="79" s="1"/>
  <c r="C10660" i="79" s="1"/>
  <c r="C10710" i="79" s="1"/>
  <c r="C10760" i="79" s="1"/>
  <c r="C10810" i="79" s="1"/>
  <c r="C10860" i="79" s="1"/>
  <c r="C10910" i="79" s="1"/>
  <c r="C10960" i="79" s="1"/>
  <c r="C11010" i="79" s="1"/>
  <c r="C11060" i="79" s="1"/>
  <c r="C11110" i="79" s="1"/>
  <c r="C11160" i="79" s="1"/>
  <c r="C11210" i="79" s="1"/>
  <c r="C11260" i="79" s="1"/>
  <c r="C11310" i="79" s="1"/>
  <c r="C11360" i="79" s="1"/>
  <c r="C11410" i="79" s="1"/>
  <c r="C11460" i="79" s="1"/>
  <c r="C11510" i="79" s="1"/>
  <c r="C11560" i="79" s="1"/>
  <c r="C11610" i="79" s="1"/>
  <c r="C11660" i="79" s="1"/>
  <c r="C11710" i="79" s="1"/>
  <c r="C11760" i="79" s="1"/>
  <c r="C11810" i="79" s="1"/>
  <c r="C11860" i="79" s="1"/>
  <c r="C11910" i="79" s="1"/>
  <c r="C11960" i="79" s="1"/>
  <c r="C12010" i="79" s="1"/>
  <c r="C12060" i="79" s="1"/>
  <c r="C12110" i="79" s="1"/>
  <c r="C12160" i="79" s="1"/>
  <c r="C12210" i="79" s="1"/>
  <c r="C12260" i="79" s="1"/>
  <c r="C12310" i="79" s="1"/>
  <c r="C12360" i="79" s="1"/>
  <c r="C12410" i="79" s="1"/>
  <c r="C12460" i="79" s="1"/>
  <c r="C12510" i="79" s="1"/>
  <c r="C12560" i="79" s="1"/>
  <c r="C12610" i="79" s="1"/>
  <c r="C12660" i="79" s="1"/>
  <c r="C12710" i="79" s="1"/>
  <c r="C12760" i="79" s="1"/>
  <c r="C12810" i="79" s="1"/>
  <c r="C12860" i="79" s="1"/>
  <c r="C12910" i="79" s="1"/>
  <c r="C12960" i="79" s="1"/>
  <c r="C13010" i="79" s="1"/>
  <c r="C13060" i="79" s="1"/>
  <c r="C13110" i="79" s="1"/>
  <c r="C13160" i="79" s="1"/>
  <c r="C13210" i="79" s="1"/>
  <c r="C13260" i="79" s="1"/>
  <c r="C13310" i="79" s="1"/>
  <c r="C13360" i="79" s="1"/>
  <c r="C13410" i="79" s="1"/>
  <c r="C13460" i="79" s="1"/>
  <c r="C13510" i="79" s="1"/>
  <c r="C13560" i="79" s="1"/>
  <c r="C13610" i="79" s="1"/>
  <c r="C13660" i="79" s="1"/>
  <c r="C13710" i="79" s="1"/>
  <c r="C13760" i="79" s="1"/>
  <c r="C13810" i="79" s="1"/>
  <c r="C13860" i="79" s="1"/>
  <c r="C13910" i="79" s="1"/>
  <c r="C13960" i="79" s="1"/>
  <c r="C14010" i="79" s="1"/>
  <c r="C14060" i="79" s="1"/>
  <c r="C14110" i="79" s="1"/>
  <c r="C14160" i="79" s="1"/>
  <c r="C14210" i="79" s="1"/>
  <c r="C14260" i="79" s="1"/>
  <c r="C14310" i="79" s="1"/>
  <c r="C14360" i="79" s="1"/>
  <c r="C14410" i="79" s="1"/>
  <c r="C14460" i="79" s="1"/>
  <c r="C14510" i="79" s="1"/>
  <c r="C14560" i="79" s="1"/>
  <c r="C14610" i="79" s="1"/>
  <c r="C14660" i="79" s="1"/>
  <c r="C14710" i="79" s="1"/>
  <c r="C14760" i="79" s="1"/>
  <c r="C14810" i="79" s="1"/>
  <c r="C14860" i="79" s="1"/>
  <c r="C14910" i="79" s="1"/>
  <c r="C14960" i="79" s="1"/>
  <c r="C15010" i="79" s="1"/>
  <c r="C15060" i="79" s="1"/>
  <c r="C15110" i="79" s="1"/>
  <c r="C15160" i="79" s="1"/>
  <c r="C15210" i="79" s="1"/>
  <c r="C15260" i="79" s="1"/>
  <c r="C15310" i="79" s="1"/>
  <c r="C15360" i="79" s="1"/>
  <c r="C15410" i="79" s="1"/>
  <c r="C15460" i="79" s="1"/>
  <c r="C15510" i="79" s="1"/>
  <c r="C15560" i="79" s="1"/>
  <c r="C15610" i="79" s="1"/>
  <c r="C15660" i="79" s="1"/>
  <c r="C15710" i="79" s="1"/>
  <c r="C15760" i="79" s="1"/>
  <c r="C15810" i="79" s="1"/>
  <c r="C15860" i="79" s="1"/>
  <c r="C15910" i="79" s="1"/>
  <c r="C15960" i="79" s="1"/>
  <c r="C16010" i="79" s="1"/>
  <c r="C16060" i="79" s="1"/>
  <c r="C16110" i="79" s="1"/>
  <c r="C16160" i="79" s="1"/>
  <c r="C16210" i="79" s="1"/>
  <c r="C16260" i="79" s="1"/>
  <c r="C16310" i="79" s="1"/>
  <c r="C16360" i="79" s="1"/>
  <c r="C16410" i="79" s="1"/>
  <c r="C16460" i="79" s="1"/>
  <c r="C16510" i="79" s="1"/>
  <c r="C16560" i="79" s="1"/>
  <c r="C16610" i="79" s="1"/>
  <c r="C16660" i="79" s="1"/>
  <c r="C16710" i="79" s="1"/>
  <c r="C16760" i="79" s="1"/>
  <c r="C16810" i="79" s="1"/>
  <c r="C16860" i="79" s="1"/>
  <c r="C16910" i="79" s="1"/>
  <c r="C16960" i="79" s="1"/>
  <c r="C17010" i="79" s="1"/>
  <c r="C17060" i="79" s="1"/>
  <c r="C17110" i="79" s="1"/>
  <c r="C17160" i="79" s="1"/>
  <c r="C17210" i="79" s="1"/>
  <c r="C17260" i="79" s="1"/>
  <c r="C8259" i="79"/>
  <c r="C8309" i="79"/>
  <c r="C8359" i="79" s="1"/>
  <c r="C8409" i="79" s="1"/>
  <c r="C8459" i="79" s="1"/>
  <c r="C8509" i="79" s="1"/>
  <c r="C8559" i="79" s="1"/>
  <c r="C8609" i="79" s="1"/>
  <c r="C8659" i="79" s="1"/>
  <c r="C8709" i="79" s="1"/>
  <c r="C8759" i="79" s="1"/>
  <c r="C8809" i="79" s="1"/>
  <c r="C8859" i="79" s="1"/>
  <c r="C8909" i="79" s="1"/>
  <c r="C8959" i="79" s="1"/>
  <c r="C9009" i="79" s="1"/>
  <c r="C9059" i="79" s="1"/>
  <c r="C9109" i="79" s="1"/>
  <c r="C9159" i="79" s="1"/>
  <c r="C9209" i="79" s="1"/>
  <c r="C9259" i="79" s="1"/>
  <c r="C9309" i="79" s="1"/>
  <c r="C9359" i="79" s="1"/>
  <c r="C9409" i="79" s="1"/>
  <c r="C9459" i="79" s="1"/>
  <c r="C9509" i="79" s="1"/>
  <c r="C9559" i="79" s="1"/>
  <c r="C9609" i="79" s="1"/>
  <c r="C9659" i="79" s="1"/>
  <c r="C9709" i="79" s="1"/>
  <c r="C9759" i="79" s="1"/>
  <c r="C9809" i="79" s="1"/>
  <c r="C9859" i="79" s="1"/>
  <c r="C9909" i="79" s="1"/>
  <c r="C9959" i="79" s="1"/>
  <c r="C10009" i="79" s="1"/>
  <c r="C10059" i="79" s="1"/>
  <c r="C10109" i="79" s="1"/>
  <c r="C10159" i="79" s="1"/>
  <c r="C10209" i="79" s="1"/>
  <c r="C10259" i="79" s="1"/>
  <c r="C10309" i="79" s="1"/>
  <c r="C10359" i="79" s="1"/>
  <c r="C10409" i="79" s="1"/>
  <c r="C10459" i="79" s="1"/>
  <c r="C10509" i="79" s="1"/>
  <c r="C10559" i="79" s="1"/>
  <c r="C10609" i="79" s="1"/>
  <c r="C10659" i="79" s="1"/>
  <c r="C10709" i="79" s="1"/>
  <c r="C10759" i="79" s="1"/>
  <c r="C10809" i="79" s="1"/>
  <c r="C10859" i="79" s="1"/>
  <c r="C10909" i="79" s="1"/>
  <c r="C10959" i="79" s="1"/>
  <c r="C11009" i="79" s="1"/>
  <c r="C11059" i="79" s="1"/>
  <c r="C11109" i="79" s="1"/>
  <c r="C11159" i="79" s="1"/>
  <c r="C11209" i="79" s="1"/>
  <c r="C11259" i="79" s="1"/>
  <c r="C11309" i="79" s="1"/>
  <c r="C11359" i="79" s="1"/>
  <c r="C11409" i="79" s="1"/>
  <c r="C11459" i="79" s="1"/>
  <c r="C11509" i="79" s="1"/>
  <c r="C11559" i="79" s="1"/>
  <c r="C11609" i="79" s="1"/>
  <c r="C11659" i="79" s="1"/>
  <c r="C11709" i="79" s="1"/>
  <c r="C11759" i="79" s="1"/>
  <c r="C11809" i="79" s="1"/>
  <c r="C11859" i="79" s="1"/>
  <c r="C11909" i="79" s="1"/>
  <c r="C11959" i="79" s="1"/>
  <c r="C12009" i="79" s="1"/>
  <c r="C12059" i="79" s="1"/>
  <c r="C12109" i="79" s="1"/>
  <c r="C12159" i="79" s="1"/>
  <c r="C12209" i="79" s="1"/>
  <c r="C12259" i="79" s="1"/>
  <c r="C12309" i="79" s="1"/>
  <c r="C12359" i="79" s="1"/>
  <c r="C12409" i="79" s="1"/>
  <c r="C12459" i="79" s="1"/>
  <c r="C12509" i="79" s="1"/>
  <c r="C12559" i="79" s="1"/>
  <c r="C12609" i="79" s="1"/>
  <c r="C12659" i="79" s="1"/>
  <c r="C12709" i="79" s="1"/>
  <c r="C12759" i="79" s="1"/>
  <c r="C12809" i="79" s="1"/>
  <c r="C12859" i="79" s="1"/>
  <c r="C12909" i="79" s="1"/>
  <c r="C12959" i="79" s="1"/>
  <c r="C13009" i="79" s="1"/>
  <c r="C13059" i="79" s="1"/>
  <c r="C13109" i="79" s="1"/>
  <c r="C13159" i="79" s="1"/>
  <c r="C13209" i="79" s="1"/>
  <c r="C13259" i="79" s="1"/>
  <c r="C13309" i="79" s="1"/>
  <c r="C13359" i="79" s="1"/>
  <c r="C13409" i="79" s="1"/>
  <c r="C13459" i="79" s="1"/>
  <c r="C13509" i="79" s="1"/>
  <c r="C13559" i="79" s="1"/>
  <c r="C13609" i="79" s="1"/>
  <c r="C13659" i="79" s="1"/>
  <c r="C13709" i="79" s="1"/>
  <c r="C13759" i="79" s="1"/>
  <c r="C13809" i="79" s="1"/>
  <c r="C13859" i="79" s="1"/>
  <c r="C13909" i="79" s="1"/>
  <c r="C13959" i="79" s="1"/>
  <c r="C14009" i="79" s="1"/>
  <c r="C14059" i="79" s="1"/>
  <c r="C14109" i="79" s="1"/>
  <c r="C14159" i="79" s="1"/>
  <c r="C14209" i="79" s="1"/>
  <c r="C14259" i="79" s="1"/>
  <c r="C14309" i="79" s="1"/>
  <c r="C14359" i="79" s="1"/>
  <c r="C14409" i="79" s="1"/>
  <c r="C14459" i="79" s="1"/>
  <c r="C14509" i="79" s="1"/>
  <c r="C14559" i="79" s="1"/>
  <c r="C14609" i="79" s="1"/>
  <c r="C14659" i="79" s="1"/>
  <c r="C14709" i="79" s="1"/>
  <c r="C14759" i="79" s="1"/>
  <c r="C14809" i="79" s="1"/>
  <c r="C14859" i="79" s="1"/>
  <c r="C14909" i="79" s="1"/>
  <c r="C14959" i="79" s="1"/>
  <c r="C15009" i="79" s="1"/>
  <c r="C15059" i="79" s="1"/>
  <c r="C15109" i="79" s="1"/>
  <c r="C15159" i="79" s="1"/>
  <c r="C15209" i="79" s="1"/>
  <c r="C15259" i="79" s="1"/>
  <c r="C15309" i="79" s="1"/>
  <c r="C15359" i="79" s="1"/>
  <c r="C15409" i="79" s="1"/>
  <c r="C15459" i="79" s="1"/>
  <c r="C15509" i="79" s="1"/>
  <c r="C15559" i="79" s="1"/>
  <c r="C15609" i="79" s="1"/>
  <c r="C15659" i="79" s="1"/>
  <c r="C15709" i="79" s="1"/>
  <c r="C15759" i="79" s="1"/>
  <c r="C15809" i="79" s="1"/>
  <c r="C15859" i="79" s="1"/>
  <c r="C15909" i="79" s="1"/>
  <c r="C15959" i="79" s="1"/>
  <c r="C16009" i="79" s="1"/>
  <c r="C16059" i="79" s="1"/>
  <c r="C16109" i="79" s="1"/>
  <c r="C16159" i="79" s="1"/>
  <c r="C16209" i="79" s="1"/>
  <c r="C16259" i="79" s="1"/>
  <c r="C16309" i="79" s="1"/>
  <c r="C16359" i="79" s="1"/>
  <c r="C16409" i="79" s="1"/>
  <c r="C16459" i="79" s="1"/>
  <c r="C16509" i="79" s="1"/>
  <c r="C16559" i="79" s="1"/>
  <c r="C16609" i="79" s="1"/>
  <c r="C16659" i="79" s="1"/>
  <c r="C16709" i="79" s="1"/>
  <c r="C16759" i="79" s="1"/>
  <c r="C16809" i="79" s="1"/>
  <c r="C16859" i="79" s="1"/>
  <c r="C16909" i="79" s="1"/>
  <c r="C16959" i="79" s="1"/>
  <c r="C17009" i="79" s="1"/>
  <c r="C17059" i="79" s="1"/>
  <c r="C17109" i="79" s="1"/>
  <c r="C17159" i="79" s="1"/>
  <c r="C17209" i="79" s="1"/>
  <c r="C17259" i="79" s="1"/>
  <c r="C8258" i="79"/>
  <c r="C8308" i="79"/>
  <c r="C8358" i="79"/>
  <c r="C8408" i="79" s="1"/>
  <c r="C8458" i="79" s="1"/>
  <c r="C8508" i="79" s="1"/>
  <c r="C8558" i="79" s="1"/>
  <c r="C8608" i="79" s="1"/>
  <c r="C8658" i="79" s="1"/>
  <c r="C8708" i="79" s="1"/>
  <c r="C8758" i="79" s="1"/>
  <c r="C8808" i="79" s="1"/>
  <c r="C8858" i="79" s="1"/>
  <c r="C8908" i="79" s="1"/>
  <c r="C8958" i="79" s="1"/>
  <c r="C9008" i="79" s="1"/>
  <c r="C9058" i="79" s="1"/>
  <c r="C9108" i="79" s="1"/>
  <c r="C9158" i="79" s="1"/>
  <c r="C9208" i="79" s="1"/>
  <c r="C9258" i="79" s="1"/>
  <c r="C9308" i="79" s="1"/>
  <c r="C9358" i="79" s="1"/>
  <c r="C9408" i="79" s="1"/>
  <c r="C9458" i="79" s="1"/>
  <c r="C9508" i="79" s="1"/>
  <c r="C9558" i="79" s="1"/>
  <c r="C9608" i="79" s="1"/>
  <c r="C9658" i="79" s="1"/>
  <c r="C9708" i="79" s="1"/>
  <c r="C9758" i="79" s="1"/>
  <c r="C9808" i="79" s="1"/>
  <c r="C9858" i="79" s="1"/>
  <c r="C9908" i="79" s="1"/>
  <c r="C9958" i="79" s="1"/>
  <c r="C10008" i="79" s="1"/>
  <c r="C10058" i="79" s="1"/>
  <c r="C10108" i="79" s="1"/>
  <c r="C10158" i="79" s="1"/>
  <c r="C10208" i="79" s="1"/>
  <c r="C10258" i="79" s="1"/>
  <c r="C10308" i="79" s="1"/>
  <c r="C10358" i="79" s="1"/>
  <c r="C10408" i="79" s="1"/>
  <c r="C10458" i="79" s="1"/>
  <c r="C10508" i="79" s="1"/>
  <c r="C10558" i="79" s="1"/>
  <c r="C10608" i="79" s="1"/>
  <c r="C10658" i="79" s="1"/>
  <c r="C10708" i="79" s="1"/>
  <c r="C10758" i="79" s="1"/>
  <c r="C10808" i="79" s="1"/>
  <c r="C10858" i="79" s="1"/>
  <c r="C10908" i="79" s="1"/>
  <c r="C10958" i="79" s="1"/>
  <c r="C11008" i="79" s="1"/>
  <c r="C11058" i="79" s="1"/>
  <c r="C11108" i="79" s="1"/>
  <c r="C11158" i="79" s="1"/>
  <c r="C11208" i="79" s="1"/>
  <c r="C11258" i="79" s="1"/>
  <c r="C11308" i="79" s="1"/>
  <c r="C11358" i="79" s="1"/>
  <c r="C11408" i="79" s="1"/>
  <c r="C11458" i="79" s="1"/>
  <c r="C11508" i="79" s="1"/>
  <c r="C11558" i="79" s="1"/>
  <c r="C11608" i="79" s="1"/>
  <c r="C11658" i="79" s="1"/>
  <c r="C11708" i="79" s="1"/>
  <c r="C11758" i="79" s="1"/>
  <c r="C11808" i="79" s="1"/>
  <c r="C11858" i="79" s="1"/>
  <c r="C11908" i="79" s="1"/>
  <c r="C11958" i="79" s="1"/>
  <c r="C12008" i="79" s="1"/>
  <c r="C12058" i="79" s="1"/>
  <c r="C12108" i="79" s="1"/>
  <c r="C12158" i="79" s="1"/>
  <c r="C12208" i="79" s="1"/>
  <c r="C12258" i="79" s="1"/>
  <c r="C12308" i="79" s="1"/>
  <c r="C12358" i="79" s="1"/>
  <c r="C12408" i="79" s="1"/>
  <c r="C12458" i="79" s="1"/>
  <c r="C12508" i="79" s="1"/>
  <c r="C12558" i="79" s="1"/>
  <c r="C12608" i="79" s="1"/>
  <c r="C12658" i="79" s="1"/>
  <c r="C12708" i="79" s="1"/>
  <c r="C12758" i="79" s="1"/>
  <c r="C12808" i="79" s="1"/>
  <c r="C12858" i="79" s="1"/>
  <c r="C12908" i="79" s="1"/>
  <c r="C12958" i="79" s="1"/>
  <c r="C13008" i="79" s="1"/>
  <c r="C13058" i="79" s="1"/>
  <c r="C13108" i="79" s="1"/>
  <c r="C13158" i="79" s="1"/>
  <c r="C13208" i="79" s="1"/>
  <c r="C13258" i="79" s="1"/>
  <c r="C13308" i="79" s="1"/>
  <c r="C13358" i="79" s="1"/>
  <c r="C13408" i="79" s="1"/>
  <c r="C13458" i="79" s="1"/>
  <c r="C13508" i="79" s="1"/>
  <c r="C13558" i="79" s="1"/>
  <c r="C13608" i="79"/>
  <c r="C13658" i="79" s="1"/>
  <c r="C13708" i="79" s="1"/>
  <c r="C13758" i="79" s="1"/>
  <c r="C13808" i="79" s="1"/>
  <c r="C13858" i="79" s="1"/>
  <c r="C13908" i="79" s="1"/>
  <c r="C13958" i="79" s="1"/>
  <c r="C14008" i="79" s="1"/>
  <c r="C14058" i="79" s="1"/>
  <c r="C14108" i="79" s="1"/>
  <c r="C14158" i="79" s="1"/>
  <c r="C14208" i="79" s="1"/>
  <c r="C14258" i="79" s="1"/>
  <c r="C14308" i="79" s="1"/>
  <c r="C14358" i="79" s="1"/>
  <c r="C14408" i="79" s="1"/>
  <c r="C14458" i="79" s="1"/>
  <c r="C14508" i="79" s="1"/>
  <c r="C14558" i="79" s="1"/>
  <c r="C14608" i="79" s="1"/>
  <c r="C14658" i="79" s="1"/>
  <c r="C14708" i="79" s="1"/>
  <c r="C14758" i="79" s="1"/>
  <c r="C14808" i="79" s="1"/>
  <c r="C14858" i="79" s="1"/>
  <c r="C14908" i="79" s="1"/>
  <c r="C14958" i="79" s="1"/>
  <c r="C15008" i="79" s="1"/>
  <c r="C15058" i="79" s="1"/>
  <c r="C15108" i="79" s="1"/>
  <c r="C15158" i="79" s="1"/>
  <c r="C15208" i="79" s="1"/>
  <c r="C15258" i="79" s="1"/>
  <c r="C15308" i="79" s="1"/>
  <c r="C15358" i="79" s="1"/>
  <c r="C15408" i="79" s="1"/>
  <c r="C15458" i="79" s="1"/>
  <c r="C15508" i="79" s="1"/>
  <c r="C15558" i="79" s="1"/>
  <c r="C15608" i="79" s="1"/>
  <c r="C15658" i="79" s="1"/>
  <c r="C15708" i="79" s="1"/>
  <c r="C15758" i="79" s="1"/>
  <c r="C15808" i="79" s="1"/>
  <c r="C15858" i="79" s="1"/>
  <c r="C15908" i="79" s="1"/>
  <c r="C15958" i="79" s="1"/>
  <c r="C16008" i="79" s="1"/>
  <c r="C16058" i="79" s="1"/>
  <c r="C16108" i="79" s="1"/>
  <c r="C16158" i="79" s="1"/>
  <c r="C16208" i="79" s="1"/>
  <c r="C16258" i="79" s="1"/>
  <c r="C16308" i="79" s="1"/>
  <c r="C16358" i="79" s="1"/>
  <c r="C16408" i="79" s="1"/>
  <c r="C16458" i="79" s="1"/>
  <c r="C16508" i="79" s="1"/>
  <c r="C16558" i="79" s="1"/>
  <c r="C16608" i="79" s="1"/>
  <c r="C16658" i="79" s="1"/>
  <c r="C16708" i="79" s="1"/>
  <c r="C16758" i="79" s="1"/>
  <c r="C16808" i="79" s="1"/>
  <c r="C16858" i="79" s="1"/>
  <c r="C16908" i="79" s="1"/>
  <c r="C16958" i="79" s="1"/>
  <c r="C17008" i="79" s="1"/>
  <c r="C17058" i="79" s="1"/>
  <c r="C17108" i="79" s="1"/>
  <c r="C17158" i="79" s="1"/>
  <c r="C17208" i="79" s="1"/>
  <c r="C17258" i="79" s="1"/>
  <c r="C8257" i="79"/>
  <c r="I8257" i="79"/>
  <c r="A8256" i="80" s="1"/>
  <c r="C8256" i="79"/>
  <c r="C8306" i="79" s="1"/>
  <c r="C8255" i="79"/>
  <c r="C8305" i="79" s="1"/>
  <c r="C8355" i="79" s="1"/>
  <c r="C8405" i="79" s="1"/>
  <c r="C8455" i="79" s="1"/>
  <c r="C8505" i="79" s="1"/>
  <c r="C8555" i="79" s="1"/>
  <c r="C8605" i="79" s="1"/>
  <c r="C8655" i="79" s="1"/>
  <c r="C8705" i="79" s="1"/>
  <c r="C8755" i="79" s="1"/>
  <c r="C8805" i="79" s="1"/>
  <c r="C8855" i="79" s="1"/>
  <c r="C8905" i="79" s="1"/>
  <c r="C8955" i="79" s="1"/>
  <c r="C9005" i="79" s="1"/>
  <c r="C9055" i="79" s="1"/>
  <c r="C9105" i="79" s="1"/>
  <c r="C9155" i="79" s="1"/>
  <c r="C9205" i="79" s="1"/>
  <c r="C9255" i="79" s="1"/>
  <c r="C9305" i="79" s="1"/>
  <c r="C9355" i="79" s="1"/>
  <c r="C9405" i="79" s="1"/>
  <c r="C9455" i="79" s="1"/>
  <c r="C9505" i="79" s="1"/>
  <c r="C9555" i="79" s="1"/>
  <c r="C9605" i="79" s="1"/>
  <c r="C9655" i="79" s="1"/>
  <c r="C9705" i="79" s="1"/>
  <c r="C9755" i="79" s="1"/>
  <c r="C9805" i="79" s="1"/>
  <c r="C9855" i="79" s="1"/>
  <c r="C9905" i="79" s="1"/>
  <c r="C9955" i="79" s="1"/>
  <c r="C10005" i="79" s="1"/>
  <c r="C10055" i="79" s="1"/>
  <c r="C10105" i="79" s="1"/>
  <c r="C10155" i="79" s="1"/>
  <c r="C10205" i="79" s="1"/>
  <c r="C10255" i="79" s="1"/>
  <c r="C10305" i="79" s="1"/>
  <c r="C10355" i="79" s="1"/>
  <c r="C10405" i="79" s="1"/>
  <c r="C10455" i="79" s="1"/>
  <c r="C10505" i="79" s="1"/>
  <c r="C10555" i="79" s="1"/>
  <c r="C10605" i="79" s="1"/>
  <c r="C10655" i="79" s="1"/>
  <c r="C10705" i="79" s="1"/>
  <c r="C10755" i="79" s="1"/>
  <c r="C10805" i="79" s="1"/>
  <c r="C10855" i="79" s="1"/>
  <c r="C10905" i="79" s="1"/>
  <c r="C10955" i="79" s="1"/>
  <c r="C11005" i="79" s="1"/>
  <c r="C11055" i="79" s="1"/>
  <c r="C11105" i="79" s="1"/>
  <c r="C11155" i="79" s="1"/>
  <c r="C11205" i="79" s="1"/>
  <c r="C11255" i="79" s="1"/>
  <c r="C11305" i="79" s="1"/>
  <c r="C11355" i="79" s="1"/>
  <c r="C11405" i="79" s="1"/>
  <c r="C11455" i="79" s="1"/>
  <c r="C11505" i="79" s="1"/>
  <c r="C11555" i="79" s="1"/>
  <c r="C11605" i="79" s="1"/>
  <c r="C11655" i="79" s="1"/>
  <c r="C11705" i="79" s="1"/>
  <c r="C11755" i="79" s="1"/>
  <c r="C11805" i="79" s="1"/>
  <c r="C11855" i="79" s="1"/>
  <c r="C11905" i="79" s="1"/>
  <c r="C11955" i="79" s="1"/>
  <c r="C12005" i="79" s="1"/>
  <c r="C12055" i="79" s="1"/>
  <c r="C12105" i="79" s="1"/>
  <c r="C12155" i="79" s="1"/>
  <c r="C12205" i="79" s="1"/>
  <c r="C12255" i="79" s="1"/>
  <c r="C12305" i="79" s="1"/>
  <c r="C12355" i="79" s="1"/>
  <c r="C12405" i="79" s="1"/>
  <c r="C12455" i="79" s="1"/>
  <c r="C12505" i="79" s="1"/>
  <c r="C12555" i="79" s="1"/>
  <c r="C12605" i="79" s="1"/>
  <c r="C12655" i="79" s="1"/>
  <c r="C12705" i="79" s="1"/>
  <c r="C12755" i="79" s="1"/>
  <c r="C12805" i="79" s="1"/>
  <c r="C12855" i="79" s="1"/>
  <c r="C12905" i="79" s="1"/>
  <c r="C12955" i="79" s="1"/>
  <c r="C13005" i="79" s="1"/>
  <c r="C13055" i="79" s="1"/>
  <c r="C13105" i="79" s="1"/>
  <c r="C13155" i="79" s="1"/>
  <c r="C13205" i="79" s="1"/>
  <c r="C13255" i="79" s="1"/>
  <c r="C13305" i="79" s="1"/>
  <c r="C13355" i="79" s="1"/>
  <c r="C13405" i="79" s="1"/>
  <c r="C13455" i="79" s="1"/>
  <c r="C13505" i="79" s="1"/>
  <c r="C13555" i="79" s="1"/>
  <c r="C13605" i="79" s="1"/>
  <c r="C13655" i="79" s="1"/>
  <c r="C13705" i="79" s="1"/>
  <c r="C13755" i="79" s="1"/>
  <c r="C13805" i="79" s="1"/>
  <c r="C13855" i="79" s="1"/>
  <c r="C13905" i="79" s="1"/>
  <c r="C13955" i="79" s="1"/>
  <c r="C14005" i="79" s="1"/>
  <c r="C14055" i="79" s="1"/>
  <c r="C14105" i="79" s="1"/>
  <c r="C14155" i="79" s="1"/>
  <c r="C14205" i="79" s="1"/>
  <c r="C14255" i="79" s="1"/>
  <c r="C14305" i="79" s="1"/>
  <c r="C14355" i="79" s="1"/>
  <c r="C14405" i="79" s="1"/>
  <c r="C14455" i="79" s="1"/>
  <c r="C14505" i="79" s="1"/>
  <c r="C14555" i="79" s="1"/>
  <c r="C14605" i="79" s="1"/>
  <c r="C14655" i="79" s="1"/>
  <c r="C14705" i="79" s="1"/>
  <c r="C14755" i="79" s="1"/>
  <c r="C14805" i="79" s="1"/>
  <c r="C14855" i="79" s="1"/>
  <c r="C14905" i="79" s="1"/>
  <c r="C14955" i="79" s="1"/>
  <c r="C15005" i="79" s="1"/>
  <c r="C15055" i="79" s="1"/>
  <c r="C15105" i="79" s="1"/>
  <c r="C15155" i="79" s="1"/>
  <c r="C15205" i="79" s="1"/>
  <c r="C15255" i="79" s="1"/>
  <c r="C15305" i="79" s="1"/>
  <c r="C15355" i="79" s="1"/>
  <c r="C15405" i="79" s="1"/>
  <c r="C15455" i="79" s="1"/>
  <c r="C15505" i="79" s="1"/>
  <c r="C15555" i="79" s="1"/>
  <c r="C15605" i="79" s="1"/>
  <c r="C15655" i="79" s="1"/>
  <c r="C15705" i="79" s="1"/>
  <c r="C15755" i="79" s="1"/>
  <c r="C15805" i="79" s="1"/>
  <c r="C15855" i="79" s="1"/>
  <c r="C15905" i="79" s="1"/>
  <c r="C15955" i="79" s="1"/>
  <c r="C16005" i="79" s="1"/>
  <c r="C16055" i="79" s="1"/>
  <c r="C16105" i="79" s="1"/>
  <c r="C16155" i="79" s="1"/>
  <c r="C16205" i="79" s="1"/>
  <c r="C16255" i="79" s="1"/>
  <c r="C16305" i="79" s="1"/>
  <c r="C16355" i="79" s="1"/>
  <c r="C16405" i="79" s="1"/>
  <c r="C16455" i="79" s="1"/>
  <c r="C16505" i="79" s="1"/>
  <c r="C16555" i="79" s="1"/>
  <c r="C16605" i="79" s="1"/>
  <c r="C16655" i="79" s="1"/>
  <c r="C16705" i="79" s="1"/>
  <c r="C16755" i="79" s="1"/>
  <c r="C16805" i="79" s="1"/>
  <c r="C16855" i="79" s="1"/>
  <c r="C16905" i="79" s="1"/>
  <c r="C16955" i="79" s="1"/>
  <c r="C17005" i="79" s="1"/>
  <c r="C17055" i="79" s="1"/>
  <c r="C17105" i="79" s="1"/>
  <c r="C17155" i="79" s="1"/>
  <c r="C17205" i="79" s="1"/>
  <c r="C17255" i="79" s="1"/>
  <c r="C8254" i="79"/>
  <c r="C8304" i="79"/>
  <c r="C8354" i="79"/>
  <c r="C8404" i="79" s="1"/>
  <c r="C8454" i="79" s="1"/>
  <c r="C8504" i="79" s="1"/>
  <c r="C8554" i="79" s="1"/>
  <c r="C8604" i="79" s="1"/>
  <c r="C8654" i="79" s="1"/>
  <c r="C8704" i="79" s="1"/>
  <c r="C8754" i="79" s="1"/>
  <c r="C8804" i="79" s="1"/>
  <c r="C8854" i="79" s="1"/>
  <c r="C8904" i="79" s="1"/>
  <c r="C8954" i="79" s="1"/>
  <c r="C9004" i="79" s="1"/>
  <c r="C9054" i="79" s="1"/>
  <c r="C9104" i="79" s="1"/>
  <c r="C9154" i="79" s="1"/>
  <c r="C9204" i="79" s="1"/>
  <c r="C9254" i="79" s="1"/>
  <c r="C9304" i="79" s="1"/>
  <c r="C9354" i="79" s="1"/>
  <c r="C9404" i="79" s="1"/>
  <c r="C9454" i="79" s="1"/>
  <c r="C9504" i="79" s="1"/>
  <c r="C9554" i="79" s="1"/>
  <c r="C9604" i="79" s="1"/>
  <c r="C9654" i="79" s="1"/>
  <c r="C9704" i="79" s="1"/>
  <c r="C9754" i="79" s="1"/>
  <c r="C9804" i="79" s="1"/>
  <c r="C9854" i="79" s="1"/>
  <c r="C9904" i="79" s="1"/>
  <c r="C9954" i="79" s="1"/>
  <c r="C10004" i="79" s="1"/>
  <c r="C10054" i="79" s="1"/>
  <c r="C10104" i="79" s="1"/>
  <c r="C10154" i="79" s="1"/>
  <c r="C10204" i="79" s="1"/>
  <c r="C10254" i="79" s="1"/>
  <c r="C10304" i="79" s="1"/>
  <c r="C10354" i="79" s="1"/>
  <c r="C10404" i="79" s="1"/>
  <c r="C10454" i="79" s="1"/>
  <c r="C10504" i="79" s="1"/>
  <c r="C10554" i="79" s="1"/>
  <c r="C10604" i="79" s="1"/>
  <c r="C10654" i="79" s="1"/>
  <c r="C10704" i="79" s="1"/>
  <c r="C10754" i="79" s="1"/>
  <c r="C10804" i="79" s="1"/>
  <c r="C10854" i="79" s="1"/>
  <c r="C10904" i="79" s="1"/>
  <c r="C10954" i="79" s="1"/>
  <c r="C11004" i="79" s="1"/>
  <c r="C11054" i="79" s="1"/>
  <c r="C11104" i="79" s="1"/>
  <c r="C11154" i="79" s="1"/>
  <c r="C11204" i="79" s="1"/>
  <c r="C11254" i="79" s="1"/>
  <c r="C11304" i="79" s="1"/>
  <c r="C11354" i="79" s="1"/>
  <c r="C11404" i="79" s="1"/>
  <c r="C11454" i="79" s="1"/>
  <c r="C11504" i="79" s="1"/>
  <c r="C11554" i="79" s="1"/>
  <c r="C11604" i="79" s="1"/>
  <c r="C11654" i="79" s="1"/>
  <c r="C11704" i="79" s="1"/>
  <c r="C11754" i="79" s="1"/>
  <c r="C11804" i="79" s="1"/>
  <c r="C11854" i="79" s="1"/>
  <c r="C11904" i="79" s="1"/>
  <c r="C11954" i="79" s="1"/>
  <c r="C12004" i="79" s="1"/>
  <c r="C12054" i="79" s="1"/>
  <c r="C12104" i="79" s="1"/>
  <c r="C12154" i="79" s="1"/>
  <c r="C12204" i="79" s="1"/>
  <c r="C12254" i="79" s="1"/>
  <c r="C12304" i="79" s="1"/>
  <c r="C12354" i="79" s="1"/>
  <c r="C12404" i="79" s="1"/>
  <c r="C12454" i="79" s="1"/>
  <c r="C12504" i="79" s="1"/>
  <c r="C12554" i="79" s="1"/>
  <c r="C12604" i="79" s="1"/>
  <c r="C12654" i="79" s="1"/>
  <c r="C12704" i="79" s="1"/>
  <c r="C12754" i="79" s="1"/>
  <c r="C12804" i="79" s="1"/>
  <c r="C12854" i="79" s="1"/>
  <c r="C12904" i="79" s="1"/>
  <c r="C12954" i="79" s="1"/>
  <c r="C13004" i="79" s="1"/>
  <c r="C13054" i="79" s="1"/>
  <c r="C13104" i="79" s="1"/>
  <c r="C13154" i="79" s="1"/>
  <c r="C13204" i="79" s="1"/>
  <c r="C13254" i="79" s="1"/>
  <c r="C13304" i="79" s="1"/>
  <c r="C13354" i="79" s="1"/>
  <c r="C13404" i="79" s="1"/>
  <c r="C13454" i="79" s="1"/>
  <c r="C13504" i="79" s="1"/>
  <c r="C13554" i="79" s="1"/>
  <c r="C13604" i="79" s="1"/>
  <c r="C13654" i="79" s="1"/>
  <c r="C13704" i="79" s="1"/>
  <c r="C13754" i="79" s="1"/>
  <c r="C13804" i="79" s="1"/>
  <c r="C13854" i="79" s="1"/>
  <c r="C13904" i="79" s="1"/>
  <c r="C13954" i="79" s="1"/>
  <c r="C14004" i="79" s="1"/>
  <c r="C14054" i="79" s="1"/>
  <c r="C14104" i="79" s="1"/>
  <c r="C14154" i="79" s="1"/>
  <c r="C14204" i="79" s="1"/>
  <c r="C14254" i="79" s="1"/>
  <c r="C14304" i="79" s="1"/>
  <c r="C14354" i="79" s="1"/>
  <c r="C14404" i="79" s="1"/>
  <c r="C14454" i="79" s="1"/>
  <c r="C14504" i="79" s="1"/>
  <c r="C14554" i="79" s="1"/>
  <c r="C14604" i="79" s="1"/>
  <c r="C14654" i="79" s="1"/>
  <c r="C14704" i="79" s="1"/>
  <c r="C14754" i="79" s="1"/>
  <c r="C14804" i="79" s="1"/>
  <c r="C14854" i="79" s="1"/>
  <c r="C14904" i="79" s="1"/>
  <c r="C14954" i="79" s="1"/>
  <c r="C15004" i="79" s="1"/>
  <c r="C15054" i="79" s="1"/>
  <c r="C15104" i="79" s="1"/>
  <c r="C15154" i="79" s="1"/>
  <c r="C15204" i="79" s="1"/>
  <c r="C15254" i="79" s="1"/>
  <c r="C15304" i="79" s="1"/>
  <c r="C15354" i="79" s="1"/>
  <c r="C15404" i="79" s="1"/>
  <c r="C15454" i="79" s="1"/>
  <c r="C15504" i="79" s="1"/>
  <c r="C15554" i="79" s="1"/>
  <c r="C15604" i="79" s="1"/>
  <c r="C15654" i="79" s="1"/>
  <c r="C15704" i="79" s="1"/>
  <c r="C15754" i="79" s="1"/>
  <c r="C15804" i="79" s="1"/>
  <c r="C15854" i="79" s="1"/>
  <c r="C15904" i="79" s="1"/>
  <c r="C15954" i="79" s="1"/>
  <c r="C16004" i="79" s="1"/>
  <c r="C16054" i="79" s="1"/>
  <c r="C16104" i="79" s="1"/>
  <c r="C16154" i="79" s="1"/>
  <c r="C16204" i="79" s="1"/>
  <c r="C16254" i="79" s="1"/>
  <c r="C16304" i="79" s="1"/>
  <c r="C16354" i="79" s="1"/>
  <c r="C16404" i="79" s="1"/>
  <c r="C16454" i="79" s="1"/>
  <c r="C16504" i="79" s="1"/>
  <c r="C16554" i="79" s="1"/>
  <c r="C16604" i="79" s="1"/>
  <c r="C16654" i="79" s="1"/>
  <c r="C16704" i="79" s="1"/>
  <c r="C16754" i="79" s="1"/>
  <c r="C16804" i="79" s="1"/>
  <c r="C16854" i="79" s="1"/>
  <c r="C16904" i="79" s="1"/>
  <c r="C16954" i="79" s="1"/>
  <c r="C17004" i="79" s="1"/>
  <c r="C17054" i="79" s="1"/>
  <c r="C17104" i="79" s="1"/>
  <c r="C17154" i="79" s="1"/>
  <c r="C17204" i="79" s="1"/>
  <c r="C17254" i="79" s="1"/>
  <c r="C8253" i="79"/>
  <c r="C8303" i="79" s="1"/>
  <c r="C8353" i="79" s="1"/>
  <c r="C8403" i="79" s="1"/>
  <c r="C8453" i="79" s="1"/>
  <c r="C8503" i="79" s="1"/>
  <c r="C8553" i="79" s="1"/>
  <c r="C8603" i="79" s="1"/>
  <c r="C8653" i="79" s="1"/>
  <c r="C8703" i="79" s="1"/>
  <c r="C8753" i="79" s="1"/>
  <c r="C8803" i="79" s="1"/>
  <c r="C8853" i="79" s="1"/>
  <c r="C8903" i="79" s="1"/>
  <c r="C8953" i="79" s="1"/>
  <c r="C9003" i="79" s="1"/>
  <c r="C9053" i="79" s="1"/>
  <c r="C9103" i="79" s="1"/>
  <c r="C9153" i="79" s="1"/>
  <c r="C9203" i="79" s="1"/>
  <c r="C9253" i="79" s="1"/>
  <c r="C9303" i="79" s="1"/>
  <c r="C9353" i="79" s="1"/>
  <c r="C9403" i="79" s="1"/>
  <c r="C9453" i="79" s="1"/>
  <c r="C9503" i="79" s="1"/>
  <c r="C9553" i="79" s="1"/>
  <c r="C9603" i="79" s="1"/>
  <c r="C9653" i="79" s="1"/>
  <c r="C9703" i="79" s="1"/>
  <c r="C9753" i="79" s="1"/>
  <c r="C9803" i="79" s="1"/>
  <c r="C9853" i="79" s="1"/>
  <c r="C9903" i="79" s="1"/>
  <c r="C9953" i="79" s="1"/>
  <c r="C10003" i="79" s="1"/>
  <c r="C10053" i="79" s="1"/>
  <c r="C10103" i="79" s="1"/>
  <c r="C10153" i="79" s="1"/>
  <c r="C10203" i="79" s="1"/>
  <c r="C10253" i="79" s="1"/>
  <c r="C10303" i="79" s="1"/>
  <c r="C10353" i="79" s="1"/>
  <c r="C10403" i="79" s="1"/>
  <c r="C10453" i="79" s="1"/>
  <c r="C10503" i="79" s="1"/>
  <c r="C10553" i="79" s="1"/>
  <c r="C10603" i="79" s="1"/>
  <c r="C10653" i="79" s="1"/>
  <c r="C10703" i="79" s="1"/>
  <c r="C10753" i="79" s="1"/>
  <c r="C10803" i="79" s="1"/>
  <c r="C10853" i="79" s="1"/>
  <c r="C10903" i="79" s="1"/>
  <c r="C10953" i="79" s="1"/>
  <c r="C11003" i="79" s="1"/>
  <c r="C11053" i="79" s="1"/>
  <c r="C11103" i="79" s="1"/>
  <c r="C11153" i="79" s="1"/>
  <c r="C11203" i="79" s="1"/>
  <c r="C11253" i="79" s="1"/>
  <c r="C11303" i="79" s="1"/>
  <c r="C11353" i="79" s="1"/>
  <c r="C11403" i="79" s="1"/>
  <c r="C11453" i="79" s="1"/>
  <c r="C11503" i="79" s="1"/>
  <c r="C11553" i="79" s="1"/>
  <c r="C11603" i="79" s="1"/>
  <c r="C11653" i="79" s="1"/>
  <c r="C11703" i="79" s="1"/>
  <c r="C11753" i="79" s="1"/>
  <c r="C11803" i="79" s="1"/>
  <c r="C11853" i="79" s="1"/>
  <c r="C11903" i="79" s="1"/>
  <c r="C11953" i="79" s="1"/>
  <c r="C12003" i="79" s="1"/>
  <c r="C12053" i="79" s="1"/>
  <c r="C12103" i="79" s="1"/>
  <c r="C12153" i="79" s="1"/>
  <c r="C12203" i="79" s="1"/>
  <c r="C12253" i="79" s="1"/>
  <c r="C12303" i="79" s="1"/>
  <c r="C12353" i="79" s="1"/>
  <c r="C12403" i="79" s="1"/>
  <c r="C12453" i="79" s="1"/>
  <c r="C12503" i="79" s="1"/>
  <c r="C12553" i="79" s="1"/>
  <c r="C12603" i="79" s="1"/>
  <c r="C12653" i="79" s="1"/>
  <c r="C12703" i="79" s="1"/>
  <c r="C12753" i="79" s="1"/>
  <c r="C12803" i="79" s="1"/>
  <c r="C12853" i="79" s="1"/>
  <c r="C12903" i="79" s="1"/>
  <c r="C12953" i="79" s="1"/>
  <c r="C13003" i="79" s="1"/>
  <c r="C13053" i="79" s="1"/>
  <c r="C13103" i="79" s="1"/>
  <c r="C13153" i="79" s="1"/>
  <c r="C13203" i="79" s="1"/>
  <c r="C13253" i="79" s="1"/>
  <c r="C13303" i="79" s="1"/>
  <c r="C13353" i="79" s="1"/>
  <c r="C13403" i="79" s="1"/>
  <c r="C13453" i="79" s="1"/>
  <c r="C13503" i="79" s="1"/>
  <c r="C13553" i="79" s="1"/>
  <c r="C13603" i="79" s="1"/>
  <c r="C13653" i="79" s="1"/>
  <c r="C13703" i="79" s="1"/>
  <c r="C13753" i="79" s="1"/>
  <c r="C13803" i="79" s="1"/>
  <c r="C13853" i="79" s="1"/>
  <c r="C13903" i="79" s="1"/>
  <c r="C13953" i="79" s="1"/>
  <c r="C14003" i="79" s="1"/>
  <c r="C14053" i="79" s="1"/>
  <c r="C14103" i="79" s="1"/>
  <c r="C14153" i="79" s="1"/>
  <c r="C14203" i="79" s="1"/>
  <c r="C14253" i="79" s="1"/>
  <c r="C14303" i="79" s="1"/>
  <c r="C14353" i="79" s="1"/>
  <c r="C14403" i="79" s="1"/>
  <c r="C14453" i="79" s="1"/>
  <c r="C14503" i="79" s="1"/>
  <c r="C14553" i="79" s="1"/>
  <c r="C14603" i="79" s="1"/>
  <c r="C14653" i="79" s="1"/>
  <c r="C14703" i="79" s="1"/>
  <c r="C14753" i="79" s="1"/>
  <c r="C14803" i="79" s="1"/>
  <c r="C14853" i="79" s="1"/>
  <c r="C14903" i="79" s="1"/>
  <c r="C14953" i="79" s="1"/>
  <c r="C15003" i="79" s="1"/>
  <c r="C15053" i="79" s="1"/>
  <c r="C15103" i="79" s="1"/>
  <c r="C15153" i="79" s="1"/>
  <c r="C15203" i="79" s="1"/>
  <c r="C15253" i="79" s="1"/>
  <c r="C15303" i="79" s="1"/>
  <c r="C15353" i="79" s="1"/>
  <c r="C15403" i="79" s="1"/>
  <c r="C15453" i="79" s="1"/>
  <c r="C15503" i="79" s="1"/>
  <c r="C15553" i="79" s="1"/>
  <c r="C15603" i="79" s="1"/>
  <c r="C15653" i="79" s="1"/>
  <c r="C15703" i="79" s="1"/>
  <c r="C15753" i="79" s="1"/>
  <c r="C15803" i="79" s="1"/>
  <c r="C15853" i="79" s="1"/>
  <c r="C15903" i="79" s="1"/>
  <c r="C15953" i="79" s="1"/>
  <c r="C16003" i="79" s="1"/>
  <c r="C16053" i="79" s="1"/>
  <c r="C16103" i="79" s="1"/>
  <c r="C16153" i="79" s="1"/>
  <c r="C16203" i="79" s="1"/>
  <c r="C16253" i="79" s="1"/>
  <c r="C16303" i="79" s="1"/>
  <c r="C16353" i="79" s="1"/>
  <c r="C16403" i="79" s="1"/>
  <c r="C16453" i="79" s="1"/>
  <c r="C16503" i="79" s="1"/>
  <c r="C16553" i="79" s="1"/>
  <c r="C16603" i="79" s="1"/>
  <c r="C16653" i="79" s="1"/>
  <c r="C16703" i="79" s="1"/>
  <c r="C16753" i="79" s="1"/>
  <c r="C16803" i="79" s="1"/>
  <c r="C16853" i="79" s="1"/>
  <c r="C16903" i="79" s="1"/>
  <c r="C16953" i="79" s="1"/>
  <c r="C17003" i="79" s="1"/>
  <c r="C17053" i="79" s="1"/>
  <c r="C17103" i="79" s="1"/>
  <c r="C17153" i="79" s="1"/>
  <c r="C17203" i="79" s="1"/>
  <c r="C17253" i="79" s="1"/>
  <c r="C8252" i="79"/>
  <c r="I8252" i="79" s="1"/>
  <c r="A8251" i="80" s="1"/>
  <c r="C8251" i="79"/>
  <c r="C8250" i="79"/>
  <c r="C8300" i="79" s="1"/>
  <c r="C8350" i="79" s="1"/>
  <c r="C8400" i="79" s="1"/>
  <c r="C8450" i="79" s="1"/>
  <c r="C8500" i="79" s="1"/>
  <c r="C8550" i="79" s="1"/>
  <c r="C8600" i="79" s="1"/>
  <c r="C8650" i="79" s="1"/>
  <c r="C8700" i="79" s="1"/>
  <c r="C8750" i="79" s="1"/>
  <c r="C8800" i="79" s="1"/>
  <c r="C8850" i="79" s="1"/>
  <c r="C8900" i="79" s="1"/>
  <c r="C8950" i="79" s="1"/>
  <c r="C9000" i="79" s="1"/>
  <c r="C9050" i="79" s="1"/>
  <c r="C9100" i="79" s="1"/>
  <c r="C9150" i="79" s="1"/>
  <c r="C9200" i="79" s="1"/>
  <c r="C9250" i="79" s="1"/>
  <c r="C9300" i="79" s="1"/>
  <c r="C9350" i="79" s="1"/>
  <c r="C9400" i="79" s="1"/>
  <c r="C9450" i="79" s="1"/>
  <c r="C9500" i="79" s="1"/>
  <c r="C9550" i="79" s="1"/>
  <c r="C9600" i="79" s="1"/>
  <c r="C9650" i="79" s="1"/>
  <c r="C9700" i="79" s="1"/>
  <c r="C9750" i="79" s="1"/>
  <c r="C9800" i="79" s="1"/>
  <c r="C9850" i="79" s="1"/>
  <c r="C9900" i="79" s="1"/>
  <c r="C9950" i="79" s="1"/>
  <c r="C10000" i="79" s="1"/>
  <c r="C10050" i="79" s="1"/>
  <c r="C10100" i="79" s="1"/>
  <c r="C10150" i="79" s="1"/>
  <c r="C10200" i="79" s="1"/>
  <c r="C10250" i="79" s="1"/>
  <c r="C10300" i="79" s="1"/>
  <c r="C10350" i="79" s="1"/>
  <c r="C10400" i="79" s="1"/>
  <c r="C10450" i="79" s="1"/>
  <c r="C10500" i="79" s="1"/>
  <c r="C10550" i="79" s="1"/>
  <c r="C10600" i="79" s="1"/>
  <c r="C10650" i="79" s="1"/>
  <c r="C10700" i="79" s="1"/>
  <c r="C10750" i="79" s="1"/>
  <c r="C10800" i="79" s="1"/>
  <c r="C10850" i="79" s="1"/>
  <c r="C10900" i="79" s="1"/>
  <c r="C10950" i="79" s="1"/>
  <c r="C11000" i="79" s="1"/>
  <c r="C11050" i="79" s="1"/>
  <c r="C11100" i="79" s="1"/>
  <c r="C11150" i="79" s="1"/>
  <c r="C11200" i="79" s="1"/>
  <c r="C11250" i="79" s="1"/>
  <c r="C11300" i="79" s="1"/>
  <c r="C11350" i="79" s="1"/>
  <c r="C11400" i="79" s="1"/>
  <c r="C11450" i="79" s="1"/>
  <c r="C11500" i="79" s="1"/>
  <c r="C11550" i="79" s="1"/>
  <c r="C11600" i="79" s="1"/>
  <c r="C11650" i="79" s="1"/>
  <c r="C11700" i="79" s="1"/>
  <c r="C11750" i="79" s="1"/>
  <c r="C11800" i="79" s="1"/>
  <c r="C11850" i="79" s="1"/>
  <c r="C11900" i="79" s="1"/>
  <c r="C11950" i="79" s="1"/>
  <c r="C12000" i="79" s="1"/>
  <c r="C12050" i="79" s="1"/>
  <c r="C12100" i="79" s="1"/>
  <c r="C12150" i="79" s="1"/>
  <c r="C12200" i="79" s="1"/>
  <c r="C12250" i="79" s="1"/>
  <c r="C12300" i="79" s="1"/>
  <c r="C12350" i="79" s="1"/>
  <c r="C12400" i="79" s="1"/>
  <c r="C12450" i="79" s="1"/>
  <c r="C12500" i="79" s="1"/>
  <c r="C12550" i="79" s="1"/>
  <c r="C12600" i="79" s="1"/>
  <c r="C12650" i="79" s="1"/>
  <c r="C12700" i="79" s="1"/>
  <c r="C12750" i="79" s="1"/>
  <c r="C12800" i="79" s="1"/>
  <c r="C12850" i="79" s="1"/>
  <c r="C12900" i="79" s="1"/>
  <c r="C12950" i="79" s="1"/>
  <c r="C13000" i="79" s="1"/>
  <c r="C13050" i="79" s="1"/>
  <c r="C13100" i="79" s="1"/>
  <c r="C13150" i="79" s="1"/>
  <c r="C13200" i="79" s="1"/>
  <c r="C13250" i="79" s="1"/>
  <c r="C13300" i="79" s="1"/>
  <c r="C13350" i="79" s="1"/>
  <c r="C13400" i="79" s="1"/>
  <c r="C13450" i="79" s="1"/>
  <c r="C13500" i="79" s="1"/>
  <c r="C13550" i="79" s="1"/>
  <c r="C13600" i="79" s="1"/>
  <c r="C13650" i="79" s="1"/>
  <c r="C13700" i="79" s="1"/>
  <c r="C13750" i="79" s="1"/>
  <c r="C13800" i="79" s="1"/>
  <c r="C13850" i="79" s="1"/>
  <c r="C13900" i="79" s="1"/>
  <c r="C13950" i="79" s="1"/>
  <c r="C14000" i="79" s="1"/>
  <c r="C14050" i="79" s="1"/>
  <c r="C14100" i="79" s="1"/>
  <c r="C14150" i="79" s="1"/>
  <c r="C14200" i="79" s="1"/>
  <c r="C14250" i="79" s="1"/>
  <c r="C14300" i="79" s="1"/>
  <c r="C14350" i="79" s="1"/>
  <c r="C14400" i="79" s="1"/>
  <c r="C14450" i="79" s="1"/>
  <c r="C14500" i="79" s="1"/>
  <c r="C14550" i="79" s="1"/>
  <c r="C14600" i="79" s="1"/>
  <c r="C14650" i="79" s="1"/>
  <c r="C14700" i="79" s="1"/>
  <c r="C14750" i="79" s="1"/>
  <c r="C14800" i="79" s="1"/>
  <c r="C14850" i="79" s="1"/>
  <c r="C14900" i="79" s="1"/>
  <c r="C14950" i="79" s="1"/>
  <c r="C15000" i="79" s="1"/>
  <c r="C15050" i="79" s="1"/>
  <c r="C15100" i="79" s="1"/>
  <c r="C15150" i="79" s="1"/>
  <c r="C15200" i="79" s="1"/>
  <c r="C15250" i="79" s="1"/>
  <c r="C15300" i="79" s="1"/>
  <c r="C15350" i="79" s="1"/>
  <c r="C15400" i="79" s="1"/>
  <c r="C15450" i="79" s="1"/>
  <c r="C15500" i="79" s="1"/>
  <c r="C15550" i="79" s="1"/>
  <c r="C15600" i="79" s="1"/>
  <c r="C15650" i="79" s="1"/>
  <c r="C15700" i="79" s="1"/>
  <c r="C15750" i="79" s="1"/>
  <c r="C15800" i="79" s="1"/>
  <c r="C15850" i="79" s="1"/>
  <c r="C15900" i="79" s="1"/>
  <c r="C15950" i="79" s="1"/>
  <c r="C16000" i="79" s="1"/>
  <c r="C16050" i="79" s="1"/>
  <c r="C16100" i="79" s="1"/>
  <c r="C16150" i="79" s="1"/>
  <c r="C16200" i="79" s="1"/>
  <c r="C16250" i="79" s="1"/>
  <c r="C16300" i="79" s="1"/>
  <c r="C16350" i="79" s="1"/>
  <c r="C16400" i="79" s="1"/>
  <c r="C16450" i="79" s="1"/>
  <c r="C16500" i="79" s="1"/>
  <c r="C16550" i="79" s="1"/>
  <c r="C16600" i="79" s="1"/>
  <c r="C16650" i="79" s="1"/>
  <c r="C16700" i="79" s="1"/>
  <c r="C16750" i="79" s="1"/>
  <c r="C16800" i="79" s="1"/>
  <c r="C16850" i="79" s="1"/>
  <c r="C16900" i="79" s="1"/>
  <c r="C16950" i="79" s="1"/>
  <c r="C17000" i="79" s="1"/>
  <c r="C17050" i="79" s="1"/>
  <c r="C17100" i="79" s="1"/>
  <c r="C17150" i="79" s="1"/>
  <c r="C17200" i="79" s="1"/>
  <c r="C17250" i="79" s="1"/>
  <c r="C8249" i="79"/>
  <c r="C8299" i="79" s="1"/>
  <c r="C8349" i="79" s="1"/>
  <c r="C8399" i="79" s="1"/>
  <c r="C8449" i="79" s="1"/>
  <c r="C8499" i="79" s="1"/>
  <c r="C8549" i="79" s="1"/>
  <c r="C8599" i="79" s="1"/>
  <c r="C8649" i="79" s="1"/>
  <c r="C8699" i="79" s="1"/>
  <c r="C8749" i="79" s="1"/>
  <c r="C8799" i="79" s="1"/>
  <c r="C8849" i="79" s="1"/>
  <c r="C8899" i="79" s="1"/>
  <c r="C8949" i="79" s="1"/>
  <c r="C8999" i="79" s="1"/>
  <c r="C9049" i="79" s="1"/>
  <c r="C9099" i="79" s="1"/>
  <c r="C9149" i="79" s="1"/>
  <c r="C9199" i="79" s="1"/>
  <c r="C9249" i="79" s="1"/>
  <c r="C9299" i="79" s="1"/>
  <c r="C9349" i="79" s="1"/>
  <c r="C9399" i="79" s="1"/>
  <c r="C9449" i="79" s="1"/>
  <c r="C9499" i="79" s="1"/>
  <c r="C9549" i="79" s="1"/>
  <c r="C9599" i="79" s="1"/>
  <c r="C9649" i="79" s="1"/>
  <c r="C9699" i="79" s="1"/>
  <c r="C9749" i="79" s="1"/>
  <c r="C9799" i="79" s="1"/>
  <c r="C9849" i="79" s="1"/>
  <c r="C9899" i="79" s="1"/>
  <c r="C9949" i="79" s="1"/>
  <c r="C9999" i="79" s="1"/>
  <c r="C10049" i="79" s="1"/>
  <c r="C10099" i="79" s="1"/>
  <c r="C10149" i="79" s="1"/>
  <c r="C10199" i="79" s="1"/>
  <c r="C10249" i="79" s="1"/>
  <c r="C10299" i="79" s="1"/>
  <c r="C10349" i="79" s="1"/>
  <c r="C10399" i="79" s="1"/>
  <c r="C10449" i="79" s="1"/>
  <c r="C10499" i="79" s="1"/>
  <c r="C10549" i="79" s="1"/>
  <c r="C10599" i="79" s="1"/>
  <c r="C10649" i="79" s="1"/>
  <c r="C10699" i="79" s="1"/>
  <c r="C10749" i="79" s="1"/>
  <c r="C10799" i="79" s="1"/>
  <c r="C10849" i="79" s="1"/>
  <c r="C10899" i="79" s="1"/>
  <c r="C10949" i="79" s="1"/>
  <c r="C10999" i="79" s="1"/>
  <c r="C11049" i="79" s="1"/>
  <c r="C11099" i="79" s="1"/>
  <c r="C11149" i="79" s="1"/>
  <c r="C11199" i="79" s="1"/>
  <c r="C11249" i="79" s="1"/>
  <c r="C11299" i="79" s="1"/>
  <c r="C11349" i="79" s="1"/>
  <c r="C11399" i="79" s="1"/>
  <c r="C11449" i="79" s="1"/>
  <c r="C11499" i="79" s="1"/>
  <c r="C11549" i="79" s="1"/>
  <c r="C11599" i="79" s="1"/>
  <c r="C11649" i="79" s="1"/>
  <c r="C11699" i="79" s="1"/>
  <c r="C11749" i="79" s="1"/>
  <c r="C11799" i="79" s="1"/>
  <c r="C11849" i="79" s="1"/>
  <c r="C11899" i="79" s="1"/>
  <c r="C11949" i="79" s="1"/>
  <c r="C11999" i="79" s="1"/>
  <c r="C12049" i="79" s="1"/>
  <c r="C12099" i="79" s="1"/>
  <c r="C12149" i="79" s="1"/>
  <c r="C12199" i="79" s="1"/>
  <c r="C12249" i="79" s="1"/>
  <c r="C12299" i="79" s="1"/>
  <c r="C12349" i="79" s="1"/>
  <c r="C12399" i="79" s="1"/>
  <c r="C12449" i="79" s="1"/>
  <c r="C12499" i="79" s="1"/>
  <c r="C12549" i="79" s="1"/>
  <c r="C12599" i="79" s="1"/>
  <c r="C12649" i="79" s="1"/>
  <c r="C12699" i="79" s="1"/>
  <c r="C12749" i="79" s="1"/>
  <c r="C12799" i="79" s="1"/>
  <c r="C12849" i="79" s="1"/>
  <c r="C12899" i="79" s="1"/>
  <c r="C12949" i="79" s="1"/>
  <c r="C12999" i="79" s="1"/>
  <c r="C13049" i="79" s="1"/>
  <c r="C13099" i="79" s="1"/>
  <c r="C13149" i="79" s="1"/>
  <c r="C13199" i="79" s="1"/>
  <c r="C13249" i="79" s="1"/>
  <c r="C13299" i="79" s="1"/>
  <c r="C13349" i="79" s="1"/>
  <c r="C13399" i="79" s="1"/>
  <c r="C13449" i="79" s="1"/>
  <c r="C13499" i="79" s="1"/>
  <c r="C13549" i="79" s="1"/>
  <c r="C13599" i="79" s="1"/>
  <c r="C13649" i="79" s="1"/>
  <c r="C13699" i="79" s="1"/>
  <c r="C13749" i="79" s="1"/>
  <c r="C13799" i="79" s="1"/>
  <c r="C13849" i="79" s="1"/>
  <c r="C13899" i="79" s="1"/>
  <c r="C13949" i="79" s="1"/>
  <c r="C13999" i="79" s="1"/>
  <c r="C14049" i="79" s="1"/>
  <c r="C14099" i="79" s="1"/>
  <c r="C14149" i="79" s="1"/>
  <c r="C14199" i="79" s="1"/>
  <c r="C14249" i="79" s="1"/>
  <c r="C14299" i="79" s="1"/>
  <c r="C14349" i="79" s="1"/>
  <c r="C14399" i="79" s="1"/>
  <c r="C14449" i="79" s="1"/>
  <c r="C14499" i="79" s="1"/>
  <c r="C14549" i="79" s="1"/>
  <c r="C14599" i="79" s="1"/>
  <c r="C14649" i="79" s="1"/>
  <c r="C14699" i="79" s="1"/>
  <c r="C14749" i="79" s="1"/>
  <c r="C14799" i="79" s="1"/>
  <c r="C14849" i="79" s="1"/>
  <c r="C14899" i="79" s="1"/>
  <c r="C14949" i="79" s="1"/>
  <c r="C14999" i="79" s="1"/>
  <c r="C15049" i="79" s="1"/>
  <c r="C15099" i="79" s="1"/>
  <c r="C15149" i="79" s="1"/>
  <c r="C15199" i="79" s="1"/>
  <c r="C15249" i="79" s="1"/>
  <c r="C15299" i="79" s="1"/>
  <c r="C15349" i="79" s="1"/>
  <c r="C15399" i="79" s="1"/>
  <c r="C15449" i="79" s="1"/>
  <c r="C15499" i="79" s="1"/>
  <c r="C15549" i="79" s="1"/>
  <c r="C15599" i="79" s="1"/>
  <c r="C15649" i="79" s="1"/>
  <c r="C15699" i="79" s="1"/>
  <c r="C15749" i="79" s="1"/>
  <c r="C15799" i="79" s="1"/>
  <c r="C15849" i="79" s="1"/>
  <c r="C15899" i="79" s="1"/>
  <c r="C15949" i="79" s="1"/>
  <c r="C15999" i="79" s="1"/>
  <c r="C16049" i="79" s="1"/>
  <c r="C16099" i="79" s="1"/>
  <c r="C16149" i="79" s="1"/>
  <c r="C16199" i="79" s="1"/>
  <c r="C16249" i="79" s="1"/>
  <c r="C16299" i="79" s="1"/>
  <c r="C16349" i="79" s="1"/>
  <c r="C16399" i="79" s="1"/>
  <c r="C16449" i="79" s="1"/>
  <c r="C16499" i="79" s="1"/>
  <c r="C16549" i="79" s="1"/>
  <c r="C16599" i="79" s="1"/>
  <c r="C16649" i="79" s="1"/>
  <c r="C16699" i="79" s="1"/>
  <c r="C16749" i="79" s="1"/>
  <c r="C16799" i="79" s="1"/>
  <c r="C16849" i="79" s="1"/>
  <c r="C16899" i="79" s="1"/>
  <c r="C16949" i="79" s="1"/>
  <c r="C16999" i="79" s="1"/>
  <c r="C17049" i="79" s="1"/>
  <c r="C17099" i="79" s="1"/>
  <c r="C17149" i="79" s="1"/>
  <c r="C17199" i="79" s="1"/>
  <c r="C17249" i="79" s="1"/>
  <c r="C8248" i="79"/>
  <c r="C8298" i="79" s="1"/>
  <c r="C8348" i="79" s="1"/>
  <c r="C8398" i="79" s="1"/>
  <c r="C8448" i="79" s="1"/>
  <c r="C8498" i="79" s="1"/>
  <c r="C8548" i="79" s="1"/>
  <c r="C8598" i="79" s="1"/>
  <c r="C8648" i="79" s="1"/>
  <c r="C8698" i="79" s="1"/>
  <c r="C8748" i="79" s="1"/>
  <c r="C8798" i="79" s="1"/>
  <c r="C8848" i="79" s="1"/>
  <c r="C8898" i="79" s="1"/>
  <c r="C8948" i="79" s="1"/>
  <c r="C8998" i="79" s="1"/>
  <c r="C9048" i="79" s="1"/>
  <c r="C9098" i="79" s="1"/>
  <c r="C9148" i="79" s="1"/>
  <c r="C9198" i="79" s="1"/>
  <c r="C9248" i="79" s="1"/>
  <c r="C9298" i="79" s="1"/>
  <c r="C9348" i="79" s="1"/>
  <c r="C9398" i="79" s="1"/>
  <c r="C9448" i="79" s="1"/>
  <c r="C9498" i="79" s="1"/>
  <c r="C9548" i="79" s="1"/>
  <c r="C9598" i="79" s="1"/>
  <c r="C9648" i="79" s="1"/>
  <c r="C9698" i="79" s="1"/>
  <c r="C9748" i="79" s="1"/>
  <c r="C9798" i="79" s="1"/>
  <c r="C9848" i="79" s="1"/>
  <c r="C9898" i="79" s="1"/>
  <c r="C9948" i="79" s="1"/>
  <c r="C9998" i="79" s="1"/>
  <c r="C10048" i="79" s="1"/>
  <c r="C10098" i="79" s="1"/>
  <c r="C10148" i="79" s="1"/>
  <c r="C10198" i="79" s="1"/>
  <c r="C10248" i="79" s="1"/>
  <c r="C10298" i="79" s="1"/>
  <c r="C10348" i="79" s="1"/>
  <c r="C10398" i="79" s="1"/>
  <c r="C10448" i="79" s="1"/>
  <c r="C10498" i="79" s="1"/>
  <c r="C10548" i="79" s="1"/>
  <c r="C10598" i="79" s="1"/>
  <c r="C10648" i="79" s="1"/>
  <c r="C10698" i="79" s="1"/>
  <c r="C10748" i="79" s="1"/>
  <c r="C10798" i="79" s="1"/>
  <c r="C10848" i="79" s="1"/>
  <c r="C10898" i="79" s="1"/>
  <c r="C10948" i="79" s="1"/>
  <c r="C10998" i="79" s="1"/>
  <c r="C11048" i="79" s="1"/>
  <c r="C11098" i="79" s="1"/>
  <c r="C11148" i="79" s="1"/>
  <c r="C11198" i="79" s="1"/>
  <c r="C11248" i="79" s="1"/>
  <c r="C11298" i="79" s="1"/>
  <c r="C11348" i="79" s="1"/>
  <c r="C11398" i="79" s="1"/>
  <c r="C11448" i="79" s="1"/>
  <c r="C11498" i="79" s="1"/>
  <c r="C11548" i="79" s="1"/>
  <c r="C11598" i="79" s="1"/>
  <c r="C11648" i="79" s="1"/>
  <c r="C11698" i="79" s="1"/>
  <c r="C11748" i="79" s="1"/>
  <c r="C11798" i="79" s="1"/>
  <c r="C11848" i="79" s="1"/>
  <c r="C11898" i="79" s="1"/>
  <c r="C11948" i="79" s="1"/>
  <c r="C11998" i="79" s="1"/>
  <c r="C12048" i="79" s="1"/>
  <c r="C12098" i="79" s="1"/>
  <c r="C12148" i="79" s="1"/>
  <c r="C12198" i="79" s="1"/>
  <c r="C12248" i="79" s="1"/>
  <c r="C12298" i="79" s="1"/>
  <c r="C12348" i="79" s="1"/>
  <c r="C12398" i="79" s="1"/>
  <c r="C12448" i="79" s="1"/>
  <c r="C12498" i="79" s="1"/>
  <c r="C12548" i="79" s="1"/>
  <c r="C12598" i="79" s="1"/>
  <c r="C12648" i="79" s="1"/>
  <c r="C12698" i="79" s="1"/>
  <c r="C12748" i="79" s="1"/>
  <c r="C12798" i="79" s="1"/>
  <c r="C12848" i="79" s="1"/>
  <c r="C12898" i="79" s="1"/>
  <c r="C12948" i="79" s="1"/>
  <c r="C12998" i="79" s="1"/>
  <c r="C13048" i="79" s="1"/>
  <c r="C13098" i="79" s="1"/>
  <c r="C13148" i="79" s="1"/>
  <c r="C13198" i="79" s="1"/>
  <c r="C13248" i="79" s="1"/>
  <c r="C13298" i="79" s="1"/>
  <c r="C13348" i="79" s="1"/>
  <c r="C13398" i="79" s="1"/>
  <c r="C13448" i="79" s="1"/>
  <c r="C13498" i="79" s="1"/>
  <c r="C13548" i="79" s="1"/>
  <c r="C13598" i="79" s="1"/>
  <c r="C13648" i="79" s="1"/>
  <c r="C13698" i="79" s="1"/>
  <c r="C13748" i="79" s="1"/>
  <c r="C13798" i="79" s="1"/>
  <c r="C13848" i="79" s="1"/>
  <c r="C13898" i="79" s="1"/>
  <c r="C13948" i="79" s="1"/>
  <c r="C13998" i="79" s="1"/>
  <c r="C14048" i="79" s="1"/>
  <c r="C14098" i="79" s="1"/>
  <c r="C14148" i="79" s="1"/>
  <c r="C14198" i="79" s="1"/>
  <c r="C14248" i="79" s="1"/>
  <c r="C14298" i="79" s="1"/>
  <c r="C14348" i="79" s="1"/>
  <c r="C14398" i="79" s="1"/>
  <c r="C14448" i="79" s="1"/>
  <c r="C14498" i="79" s="1"/>
  <c r="C14548" i="79" s="1"/>
  <c r="C14598" i="79" s="1"/>
  <c r="C14648" i="79" s="1"/>
  <c r="C14698" i="79" s="1"/>
  <c r="C14748" i="79" s="1"/>
  <c r="C14798" i="79" s="1"/>
  <c r="C14848" i="79" s="1"/>
  <c r="C14898" i="79" s="1"/>
  <c r="C14948" i="79" s="1"/>
  <c r="C14998" i="79" s="1"/>
  <c r="C15048" i="79" s="1"/>
  <c r="C15098" i="79" s="1"/>
  <c r="C15148" i="79" s="1"/>
  <c r="C15198" i="79" s="1"/>
  <c r="C15248" i="79" s="1"/>
  <c r="C15298" i="79" s="1"/>
  <c r="C15348" i="79" s="1"/>
  <c r="C15398" i="79" s="1"/>
  <c r="C15448" i="79" s="1"/>
  <c r="C15498" i="79" s="1"/>
  <c r="C15548" i="79" s="1"/>
  <c r="C15598" i="79" s="1"/>
  <c r="C15648" i="79" s="1"/>
  <c r="C15698" i="79" s="1"/>
  <c r="C15748" i="79" s="1"/>
  <c r="C15798" i="79" s="1"/>
  <c r="C15848" i="79" s="1"/>
  <c r="C15898" i="79" s="1"/>
  <c r="C15948" i="79" s="1"/>
  <c r="C15998" i="79" s="1"/>
  <c r="C16048" i="79" s="1"/>
  <c r="C16098" i="79" s="1"/>
  <c r="C16148" i="79" s="1"/>
  <c r="C16198" i="79" s="1"/>
  <c r="C16248" i="79" s="1"/>
  <c r="C16298" i="79" s="1"/>
  <c r="C16348" i="79" s="1"/>
  <c r="C16398" i="79" s="1"/>
  <c r="C16448" i="79" s="1"/>
  <c r="C16498" i="79" s="1"/>
  <c r="C16548" i="79" s="1"/>
  <c r="C16598" i="79" s="1"/>
  <c r="C16648" i="79" s="1"/>
  <c r="C16698" i="79" s="1"/>
  <c r="C16748" i="79" s="1"/>
  <c r="C16798" i="79" s="1"/>
  <c r="C16848" i="79" s="1"/>
  <c r="C16898" i="79" s="1"/>
  <c r="C16948" i="79" s="1"/>
  <c r="C16998" i="79" s="1"/>
  <c r="C17048" i="79" s="1"/>
  <c r="C17098" i="79" s="1"/>
  <c r="C17148" i="79" s="1"/>
  <c r="C17198" i="79" s="1"/>
  <c r="C17248" i="79" s="1"/>
  <c r="C8247" i="79"/>
  <c r="I8247" i="79"/>
  <c r="A8246" i="80" s="1"/>
  <c r="C8246" i="79"/>
  <c r="C8245" i="79"/>
  <c r="C8295" i="79"/>
  <c r="C8345" i="79" s="1"/>
  <c r="C8395" i="79" s="1"/>
  <c r="C8445" i="79" s="1"/>
  <c r="C8495" i="79" s="1"/>
  <c r="C8545" i="79" s="1"/>
  <c r="C8595" i="79" s="1"/>
  <c r="C8645" i="79" s="1"/>
  <c r="C8695" i="79" s="1"/>
  <c r="C8745" i="79" s="1"/>
  <c r="C8795" i="79" s="1"/>
  <c r="C8845" i="79" s="1"/>
  <c r="C8895" i="79" s="1"/>
  <c r="C8945" i="79" s="1"/>
  <c r="C8995" i="79" s="1"/>
  <c r="C9045" i="79" s="1"/>
  <c r="C9095" i="79" s="1"/>
  <c r="C9145" i="79" s="1"/>
  <c r="C9195" i="79" s="1"/>
  <c r="C9245" i="79" s="1"/>
  <c r="C9295" i="79" s="1"/>
  <c r="C9345" i="79" s="1"/>
  <c r="C9395" i="79" s="1"/>
  <c r="C9445" i="79" s="1"/>
  <c r="C9495" i="79" s="1"/>
  <c r="C9545" i="79" s="1"/>
  <c r="C9595" i="79" s="1"/>
  <c r="C9645" i="79" s="1"/>
  <c r="C9695" i="79" s="1"/>
  <c r="C9745" i="79" s="1"/>
  <c r="C9795" i="79" s="1"/>
  <c r="C9845" i="79" s="1"/>
  <c r="C9895" i="79" s="1"/>
  <c r="C9945" i="79" s="1"/>
  <c r="C9995" i="79" s="1"/>
  <c r="C10045" i="79" s="1"/>
  <c r="C10095" i="79" s="1"/>
  <c r="C10145" i="79" s="1"/>
  <c r="C10195" i="79" s="1"/>
  <c r="C10245" i="79" s="1"/>
  <c r="C10295" i="79" s="1"/>
  <c r="C10345" i="79" s="1"/>
  <c r="C10395" i="79" s="1"/>
  <c r="C10445" i="79" s="1"/>
  <c r="C10495" i="79" s="1"/>
  <c r="C10545" i="79" s="1"/>
  <c r="C10595" i="79" s="1"/>
  <c r="C10645" i="79" s="1"/>
  <c r="C10695" i="79" s="1"/>
  <c r="C10745" i="79" s="1"/>
  <c r="C10795" i="79" s="1"/>
  <c r="C10845" i="79" s="1"/>
  <c r="C10895" i="79" s="1"/>
  <c r="C10945" i="79" s="1"/>
  <c r="C10995" i="79" s="1"/>
  <c r="C11045" i="79" s="1"/>
  <c r="C11095" i="79" s="1"/>
  <c r="C11145" i="79" s="1"/>
  <c r="C11195" i="79" s="1"/>
  <c r="C11245" i="79" s="1"/>
  <c r="C11295" i="79" s="1"/>
  <c r="C11345" i="79" s="1"/>
  <c r="C11395" i="79" s="1"/>
  <c r="C11445" i="79" s="1"/>
  <c r="C11495" i="79" s="1"/>
  <c r="C11545" i="79" s="1"/>
  <c r="C11595" i="79" s="1"/>
  <c r="C11645" i="79" s="1"/>
  <c r="C11695" i="79" s="1"/>
  <c r="C11745" i="79" s="1"/>
  <c r="C11795" i="79" s="1"/>
  <c r="C11845" i="79" s="1"/>
  <c r="C11895" i="79" s="1"/>
  <c r="C11945" i="79" s="1"/>
  <c r="C11995" i="79" s="1"/>
  <c r="C12045" i="79" s="1"/>
  <c r="C12095" i="79" s="1"/>
  <c r="C12145" i="79" s="1"/>
  <c r="C12195" i="79" s="1"/>
  <c r="C12245" i="79" s="1"/>
  <c r="C12295" i="79" s="1"/>
  <c r="C12345" i="79" s="1"/>
  <c r="C12395" i="79" s="1"/>
  <c r="C12445" i="79" s="1"/>
  <c r="C12495" i="79" s="1"/>
  <c r="C12545" i="79" s="1"/>
  <c r="C12595" i="79" s="1"/>
  <c r="C12645" i="79" s="1"/>
  <c r="C12695" i="79" s="1"/>
  <c r="C12745" i="79" s="1"/>
  <c r="C12795" i="79" s="1"/>
  <c r="C12845" i="79" s="1"/>
  <c r="C12895" i="79" s="1"/>
  <c r="C12945" i="79" s="1"/>
  <c r="C12995" i="79" s="1"/>
  <c r="C13045" i="79" s="1"/>
  <c r="C13095" i="79" s="1"/>
  <c r="C13145" i="79" s="1"/>
  <c r="C13195" i="79" s="1"/>
  <c r="C13245" i="79" s="1"/>
  <c r="C13295" i="79" s="1"/>
  <c r="C13345" i="79" s="1"/>
  <c r="C13395" i="79" s="1"/>
  <c r="C13445" i="79" s="1"/>
  <c r="C13495" i="79" s="1"/>
  <c r="C13545" i="79" s="1"/>
  <c r="C13595" i="79" s="1"/>
  <c r="C13645" i="79" s="1"/>
  <c r="C13695" i="79" s="1"/>
  <c r="C13745" i="79" s="1"/>
  <c r="C13795" i="79" s="1"/>
  <c r="C13845" i="79" s="1"/>
  <c r="C13895" i="79" s="1"/>
  <c r="C13945" i="79" s="1"/>
  <c r="C13995" i="79" s="1"/>
  <c r="C14045" i="79" s="1"/>
  <c r="C14095" i="79" s="1"/>
  <c r="C14145" i="79" s="1"/>
  <c r="C14195" i="79" s="1"/>
  <c r="C14245" i="79" s="1"/>
  <c r="C14295" i="79" s="1"/>
  <c r="C14345" i="79" s="1"/>
  <c r="C14395" i="79" s="1"/>
  <c r="C14445" i="79" s="1"/>
  <c r="C14495" i="79" s="1"/>
  <c r="C14545" i="79" s="1"/>
  <c r="C14595" i="79" s="1"/>
  <c r="C14645" i="79" s="1"/>
  <c r="C14695" i="79" s="1"/>
  <c r="C14745" i="79" s="1"/>
  <c r="C14795" i="79" s="1"/>
  <c r="C14845" i="79" s="1"/>
  <c r="C14895" i="79" s="1"/>
  <c r="C14945" i="79" s="1"/>
  <c r="C14995" i="79" s="1"/>
  <c r="C15045" i="79" s="1"/>
  <c r="C15095" i="79" s="1"/>
  <c r="C15145" i="79" s="1"/>
  <c r="C15195" i="79" s="1"/>
  <c r="C15245" i="79" s="1"/>
  <c r="C15295" i="79" s="1"/>
  <c r="C15345" i="79" s="1"/>
  <c r="C15395" i="79" s="1"/>
  <c r="C15445" i="79" s="1"/>
  <c r="C15495" i="79" s="1"/>
  <c r="C15545" i="79" s="1"/>
  <c r="C15595" i="79" s="1"/>
  <c r="C15645" i="79" s="1"/>
  <c r="C15695" i="79" s="1"/>
  <c r="C15745" i="79" s="1"/>
  <c r="C15795" i="79" s="1"/>
  <c r="C15845" i="79" s="1"/>
  <c r="C15895" i="79" s="1"/>
  <c r="C15945" i="79" s="1"/>
  <c r="C15995" i="79" s="1"/>
  <c r="C16045" i="79" s="1"/>
  <c r="C16095" i="79" s="1"/>
  <c r="C16145" i="79" s="1"/>
  <c r="C16195" i="79" s="1"/>
  <c r="C16245" i="79" s="1"/>
  <c r="C16295" i="79" s="1"/>
  <c r="C16345" i="79" s="1"/>
  <c r="C16395" i="79" s="1"/>
  <c r="C16445" i="79" s="1"/>
  <c r="C16495" i="79" s="1"/>
  <c r="C16545" i="79" s="1"/>
  <c r="C16595" i="79" s="1"/>
  <c r="C16645" i="79" s="1"/>
  <c r="C16695" i="79" s="1"/>
  <c r="C16745" i="79" s="1"/>
  <c r="C16795" i="79" s="1"/>
  <c r="C16845" i="79" s="1"/>
  <c r="C16895" i="79" s="1"/>
  <c r="C16945" i="79" s="1"/>
  <c r="C16995" i="79" s="1"/>
  <c r="C17045" i="79" s="1"/>
  <c r="C17095" i="79" s="1"/>
  <c r="C17145" i="79" s="1"/>
  <c r="C17195" i="79" s="1"/>
  <c r="C17245" i="79" s="1"/>
  <c r="C8244" i="79"/>
  <c r="C8294" i="79"/>
  <c r="C8344" i="79" s="1"/>
  <c r="C8394" i="79" s="1"/>
  <c r="C8444" i="79" s="1"/>
  <c r="C8494" i="79" s="1"/>
  <c r="C8544" i="79" s="1"/>
  <c r="C8594" i="79" s="1"/>
  <c r="C8644" i="79" s="1"/>
  <c r="C8694" i="79" s="1"/>
  <c r="C8744" i="79" s="1"/>
  <c r="C8794" i="79" s="1"/>
  <c r="C8844" i="79" s="1"/>
  <c r="C8894" i="79" s="1"/>
  <c r="C8944" i="79" s="1"/>
  <c r="C8994" i="79" s="1"/>
  <c r="C9044" i="79" s="1"/>
  <c r="C9094" i="79" s="1"/>
  <c r="C9144" i="79" s="1"/>
  <c r="C9194" i="79" s="1"/>
  <c r="C9244" i="79" s="1"/>
  <c r="C9294" i="79" s="1"/>
  <c r="C9344" i="79" s="1"/>
  <c r="C9394" i="79" s="1"/>
  <c r="C9444" i="79" s="1"/>
  <c r="C9494" i="79" s="1"/>
  <c r="C9544" i="79" s="1"/>
  <c r="C9594" i="79" s="1"/>
  <c r="C9644" i="79" s="1"/>
  <c r="C9694" i="79" s="1"/>
  <c r="C9744" i="79" s="1"/>
  <c r="C9794" i="79" s="1"/>
  <c r="C9844" i="79" s="1"/>
  <c r="C9894" i="79" s="1"/>
  <c r="C9944" i="79" s="1"/>
  <c r="C9994" i="79" s="1"/>
  <c r="C10044" i="79" s="1"/>
  <c r="C10094" i="79" s="1"/>
  <c r="C10144" i="79" s="1"/>
  <c r="C10194" i="79" s="1"/>
  <c r="C10244" i="79" s="1"/>
  <c r="C10294" i="79" s="1"/>
  <c r="C10344" i="79" s="1"/>
  <c r="C10394" i="79" s="1"/>
  <c r="C10444" i="79" s="1"/>
  <c r="C10494" i="79" s="1"/>
  <c r="C10544" i="79" s="1"/>
  <c r="C10594" i="79" s="1"/>
  <c r="C10644" i="79" s="1"/>
  <c r="C10694" i="79" s="1"/>
  <c r="C10744" i="79" s="1"/>
  <c r="C10794" i="79" s="1"/>
  <c r="C10844" i="79" s="1"/>
  <c r="C10894" i="79" s="1"/>
  <c r="C10944" i="79" s="1"/>
  <c r="C10994" i="79" s="1"/>
  <c r="C11044" i="79" s="1"/>
  <c r="C11094" i="79" s="1"/>
  <c r="C11144" i="79" s="1"/>
  <c r="C11194" i="79" s="1"/>
  <c r="C11244" i="79" s="1"/>
  <c r="C11294" i="79" s="1"/>
  <c r="C11344" i="79" s="1"/>
  <c r="C11394" i="79" s="1"/>
  <c r="C11444" i="79" s="1"/>
  <c r="C11494" i="79" s="1"/>
  <c r="C11544" i="79" s="1"/>
  <c r="C11594" i="79" s="1"/>
  <c r="C11644" i="79" s="1"/>
  <c r="C11694" i="79" s="1"/>
  <c r="C11744" i="79" s="1"/>
  <c r="C11794" i="79" s="1"/>
  <c r="C11844" i="79" s="1"/>
  <c r="C11894" i="79" s="1"/>
  <c r="C11944" i="79" s="1"/>
  <c r="C11994" i="79" s="1"/>
  <c r="C12044" i="79" s="1"/>
  <c r="C12094" i="79" s="1"/>
  <c r="C12144" i="79" s="1"/>
  <c r="C12194" i="79" s="1"/>
  <c r="C12244" i="79" s="1"/>
  <c r="C12294" i="79" s="1"/>
  <c r="C12344" i="79" s="1"/>
  <c r="C12394" i="79" s="1"/>
  <c r="C12444" i="79" s="1"/>
  <c r="C12494" i="79" s="1"/>
  <c r="C12544" i="79" s="1"/>
  <c r="C12594" i="79" s="1"/>
  <c r="C12644" i="79" s="1"/>
  <c r="C12694" i="79" s="1"/>
  <c r="C12744" i="79" s="1"/>
  <c r="C12794" i="79" s="1"/>
  <c r="C12844" i="79" s="1"/>
  <c r="C12894" i="79" s="1"/>
  <c r="C12944" i="79" s="1"/>
  <c r="C12994" i="79" s="1"/>
  <c r="C13044" i="79" s="1"/>
  <c r="C13094" i="79" s="1"/>
  <c r="C13144" i="79" s="1"/>
  <c r="C13194" i="79" s="1"/>
  <c r="C13244" i="79" s="1"/>
  <c r="C13294" i="79" s="1"/>
  <c r="C13344" i="79" s="1"/>
  <c r="C13394" i="79" s="1"/>
  <c r="C13444" i="79" s="1"/>
  <c r="C13494" i="79" s="1"/>
  <c r="C13544" i="79" s="1"/>
  <c r="C13594" i="79" s="1"/>
  <c r="C13644" i="79" s="1"/>
  <c r="C13694" i="79" s="1"/>
  <c r="C13744" i="79" s="1"/>
  <c r="C13794" i="79" s="1"/>
  <c r="C13844" i="79" s="1"/>
  <c r="C13894" i="79" s="1"/>
  <c r="C13944" i="79" s="1"/>
  <c r="C13994" i="79" s="1"/>
  <c r="C14044" i="79" s="1"/>
  <c r="C14094" i="79" s="1"/>
  <c r="C14144" i="79" s="1"/>
  <c r="C14194" i="79" s="1"/>
  <c r="C14244" i="79" s="1"/>
  <c r="C14294" i="79" s="1"/>
  <c r="C14344" i="79" s="1"/>
  <c r="C14394" i="79" s="1"/>
  <c r="C14444" i="79" s="1"/>
  <c r="C14494" i="79" s="1"/>
  <c r="C14544" i="79" s="1"/>
  <c r="C14594" i="79" s="1"/>
  <c r="C14644" i="79" s="1"/>
  <c r="C14694" i="79" s="1"/>
  <c r="C14744" i="79" s="1"/>
  <c r="C14794" i="79" s="1"/>
  <c r="C14844" i="79" s="1"/>
  <c r="C14894" i="79" s="1"/>
  <c r="C14944" i="79" s="1"/>
  <c r="C14994" i="79" s="1"/>
  <c r="C15044" i="79" s="1"/>
  <c r="C15094" i="79" s="1"/>
  <c r="C15144" i="79" s="1"/>
  <c r="C15194" i="79" s="1"/>
  <c r="C15244" i="79" s="1"/>
  <c r="C15294" i="79" s="1"/>
  <c r="C15344" i="79" s="1"/>
  <c r="C15394" i="79" s="1"/>
  <c r="C15444" i="79" s="1"/>
  <c r="C15494" i="79" s="1"/>
  <c r="C15544" i="79" s="1"/>
  <c r="C15594" i="79" s="1"/>
  <c r="C15644" i="79" s="1"/>
  <c r="C15694" i="79" s="1"/>
  <c r="C15744" i="79" s="1"/>
  <c r="C15794" i="79" s="1"/>
  <c r="C15844" i="79" s="1"/>
  <c r="C15894" i="79" s="1"/>
  <c r="C15944" i="79" s="1"/>
  <c r="C15994" i="79" s="1"/>
  <c r="C16044" i="79" s="1"/>
  <c r="C16094" i="79" s="1"/>
  <c r="C16144" i="79" s="1"/>
  <c r="C16194" i="79" s="1"/>
  <c r="C16244" i="79" s="1"/>
  <c r="C16294" i="79" s="1"/>
  <c r="C16344" i="79" s="1"/>
  <c r="C16394" i="79" s="1"/>
  <c r="C16444" i="79" s="1"/>
  <c r="C16494" i="79" s="1"/>
  <c r="C16544" i="79" s="1"/>
  <c r="C16594" i="79" s="1"/>
  <c r="C16644" i="79" s="1"/>
  <c r="C16694" i="79" s="1"/>
  <c r="C16744" i="79" s="1"/>
  <c r="C16794" i="79" s="1"/>
  <c r="C16844" i="79" s="1"/>
  <c r="C16894" i="79" s="1"/>
  <c r="C16944" i="79" s="1"/>
  <c r="C16994" i="79" s="1"/>
  <c r="C17044" i="79" s="1"/>
  <c r="C17094" i="79" s="1"/>
  <c r="C17144" i="79" s="1"/>
  <c r="C17194" i="79" s="1"/>
  <c r="C17244" i="79" s="1"/>
  <c r="C8243" i="79"/>
  <c r="C8293" i="79" s="1"/>
  <c r="C8343" i="79" s="1"/>
  <c r="C8393" i="79" s="1"/>
  <c r="C8443" i="79" s="1"/>
  <c r="C8493" i="79" s="1"/>
  <c r="C8543" i="79" s="1"/>
  <c r="C8593" i="79" s="1"/>
  <c r="C8643" i="79" s="1"/>
  <c r="C8693" i="79" s="1"/>
  <c r="C8743" i="79" s="1"/>
  <c r="C8793" i="79" s="1"/>
  <c r="C8843" i="79" s="1"/>
  <c r="C8893" i="79" s="1"/>
  <c r="C8943" i="79" s="1"/>
  <c r="C8993" i="79" s="1"/>
  <c r="C9043" i="79" s="1"/>
  <c r="C9093" i="79" s="1"/>
  <c r="C9143" i="79" s="1"/>
  <c r="C9193" i="79" s="1"/>
  <c r="C9243" i="79" s="1"/>
  <c r="C9293" i="79" s="1"/>
  <c r="C9343" i="79" s="1"/>
  <c r="C9393" i="79" s="1"/>
  <c r="C9443" i="79" s="1"/>
  <c r="C9493" i="79" s="1"/>
  <c r="C9543" i="79" s="1"/>
  <c r="C9593" i="79" s="1"/>
  <c r="C9643" i="79" s="1"/>
  <c r="C9693" i="79" s="1"/>
  <c r="C9743" i="79" s="1"/>
  <c r="C9793" i="79" s="1"/>
  <c r="C9843" i="79" s="1"/>
  <c r="C9893" i="79" s="1"/>
  <c r="C9943" i="79" s="1"/>
  <c r="C9993" i="79" s="1"/>
  <c r="C10043" i="79" s="1"/>
  <c r="C10093" i="79" s="1"/>
  <c r="C10143" i="79" s="1"/>
  <c r="C10193" i="79" s="1"/>
  <c r="C10243" i="79" s="1"/>
  <c r="C10293" i="79" s="1"/>
  <c r="C10343" i="79" s="1"/>
  <c r="C10393" i="79" s="1"/>
  <c r="C10443" i="79" s="1"/>
  <c r="C10493" i="79" s="1"/>
  <c r="C10543" i="79" s="1"/>
  <c r="C10593" i="79" s="1"/>
  <c r="C10643" i="79" s="1"/>
  <c r="C10693" i="79" s="1"/>
  <c r="C10743" i="79" s="1"/>
  <c r="C10793" i="79" s="1"/>
  <c r="C10843" i="79" s="1"/>
  <c r="C10893" i="79" s="1"/>
  <c r="C10943" i="79" s="1"/>
  <c r="C10993" i="79" s="1"/>
  <c r="C11043" i="79" s="1"/>
  <c r="C11093" i="79" s="1"/>
  <c r="C11143" i="79" s="1"/>
  <c r="C11193" i="79" s="1"/>
  <c r="C11243" i="79" s="1"/>
  <c r="C11293" i="79" s="1"/>
  <c r="C11343" i="79" s="1"/>
  <c r="C11393" i="79" s="1"/>
  <c r="C11443" i="79" s="1"/>
  <c r="C11493" i="79" s="1"/>
  <c r="C11543" i="79" s="1"/>
  <c r="C11593" i="79" s="1"/>
  <c r="C11643" i="79" s="1"/>
  <c r="C11693" i="79" s="1"/>
  <c r="C11743" i="79" s="1"/>
  <c r="C11793" i="79" s="1"/>
  <c r="C11843" i="79" s="1"/>
  <c r="C11893" i="79" s="1"/>
  <c r="C11943" i="79" s="1"/>
  <c r="C11993" i="79" s="1"/>
  <c r="C12043" i="79" s="1"/>
  <c r="C12093" i="79" s="1"/>
  <c r="C12143" i="79" s="1"/>
  <c r="C12193" i="79" s="1"/>
  <c r="C12243" i="79" s="1"/>
  <c r="C12293" i="79" s="1"/>
  <c r="C12343" i="79" s="1"/>
  <c r="C12393" i="79" s="1"/>
  <c r="C12443" i="79" s="1"/>
  <c r="C12493" i="79" s="1"/>
  <c r="C12543" i="79" s="1"/>
  <c r="C12593" i="79" s="1"/>
  <c r="C12643" i="79" s="1"/>
  <c r="C12693" i="79" s="1"/>
  <c r="C12743" i="79" s="1"/>
  <c r="C12793" i="79" s="1"/>
  <c r="C12843" i="79" s="1"/>
  <c r="C12893" i="79" s="1"/>
  <c r="C12943" i="79" s="1"/>
  <c r="C12993" i="79" s="1"/>
  <c r="C13043" i="79" s="1"/>
  <c r="C13093" i="79" s="1"/>
  <c r="C13143" i="79" s="1"/>
  <c r="C13193" i="79" s="1"/>
  <c r="C13243" i="79" s="1"/>
  <c r="C13293" i="79" s="1"/>
  <c r="C13343" i="79" s="1"/>
  <c r="C13393" i="79" s="1"/>
  <c r="C13443" i="79" s="1"/>
  <c r="C13493" i="79" s="1"/>
  <c r="C13543" i="79" s="1"/>
  <c r="C13593" i="79" s="1"/>
  <c r="C13643" i="79" s="1"/>
  <c r="C13693" i="79" s="1"/>
  <c r="C13743" i="79" s="1"/>
  <c r="C13793" i="79" s="1"/>
  <c r="C13843" i="79" s="1"/>
  <c r="C13893" i="79" s="1"/>
  <c r="C13943" i="79" s="1"/>
  <c r="C13993" i="79" s="1"/>
  <c r="C14043" i="79" s="1"/>
  <c r="C14093" i="79" s="1"/>
  <c r="C14143" i="79" s="1"/>
  <c r="C14193" i="79" s="1"/>
  <c r="C14243" i="79" s="1"/>
  <c r="C14293" i="79" s="1"/>
  <c r="C14343" i="79" s="1"/>
  <c r="C14393" i="79" s="1"/>
  <c r="C14443" i="79" s="1"/>
  <c r="C14493" i="79" s="1"/>
  <c r="C14543" i="79" s="1"/>
  <c r="C14593" i="79" s="1"/>
  <c r="C14643" i="79" s="1"/>
  <c r="C14693" i="79" s="1"/>
  <c r="C14743" i="79" s="1"/>
  <c r="C14793" i="79" s="1"/>
  <c r="C14843" i="79" s="1"/>
  <c r="C14893" i="79" s="1"/>
  <c r="C14943" i="79" s="1"/>
  <c r="C14993" i="79" s="1"/>
  <c r="C15043" i="79" s="1"/>
  <c r="C15093" i="79" s="1"/>
  <c r="C15143" i="79" s="1"/>
  <c r="C15193" i="79" s="1"/>
  <c r="C15243" i="79" s="1"/>
  <c r="C15293" i="79" s="1"/>
  <c r="C15343" i="79" s="1"/>
  <c r="C15393" i="79" s="1"/>
  <c r="C15443" i="79" s="1"/>
  <c r="C15493" i="79" s="1"/>
  <c r="C15543" i="79" s="1"/>
  <c r="C15593" i="79" s="1"/>
  <c r="C15643" i="79" s="1"/>
  <c r="C15693" i="79" s="1"/>
  <c r="C15743" i="79" s="1"/>
  <c r="C15793" i="79" s="1"/>
  <c r="C15843" i="79" s="1"/>
  <c r="C15893" i="79" s="1"/>
  <c r="C15943" i="79" s="1"/>
  <c r="C15993" i="79" s="1"/>
  <c r="C16043" i="79" s="1"/>
  <c r="C16093" i="79" s="1"/>
  <c r="C16143" i="79" s="1"/>
  <c r="C16193" i="79" s="1"/>
  <c r="C16243" i="79" s="1"/>
  <c r="C16293" i="79" s="1"/>
  <c r="C16343" i="79" s="1"/>
  <c r="C16393" i="79" s="1"/>
  <c r="C16443" i="79" s="1"/>
  <c r="C16493" i="79" s="1"/>
  <c r="C16543" i="79" s="1"/>
  <c r="C16593" i="79" s="1"/>
  <c r="C16643" i="79" s="1"/>
  <c r="C16693" i="79" s="1"/>
  <c r="C16743" i="79" s="1"/>
  <c r="C16793" i="79" s="1"/>
  <c r="C16843" i="79" s="1"/>
  <c r="C16893" i="79" s="1"/>
  <c r="C16943" i="79" s="1"/>
  <c r="C16993" i="79" s="1"/>
  <c r="C17043" i="79" s="1"/>
  <c r="C17093" i="79" s="1"/>
  <c r="C17143" i="79" s="1"/>
  <c r="C17193" i="79" s="1"/>
  <c r="C17243" i="79" s="1"/>
  <c r="C8242" i="79"/>
  <c r="I8242" i="79"/>
  <c r="A8241" i="80" s="1"/>
  <c r="C8241" i="79"/>
  <c r="C8291" i="79" s="1"/>
  <c r="C8341" i="79" s="1"/>
  <c r="C8391" i="79" s="1"/>
  <c r="C8441" i="79" s="1"/>
  <c r="C8491" i="79" s="1"/>
  <c r="C8541" i="79" s="1"/>
  <c r="C8591" i="79" s="1"/>
  <c r="C8641" i="79" s="1"/>
  <c r="C8691" i="79" s="1"/>
  <c r="C8741" i="79" s="1"/>
  <c r="C8791" i="79" s="1"/>
  <c r="C8841" i="79" s="1"/>
  <c r="C8891" i="79" s="1"/>
  <c r="C8941" i="79" s="1"/>
  <c r="C8991" i="79" s="1"/>
  <c r="C9041" i="79" s="1"/>
  <c r="C9091" i="79" s="1"/>
  <c r="C9141" i="79" s="1"/>
  <c r="C9191" i="79" s="1"/>
  <c r="C9241" i="79" s="1"/>
  <c r="C9291" i="79" s="1"/>
  <c r="C9341" i="79" s="1"/>
  <c r="C9391" i="79" s="1"/>
  <c r="C9441" i="79" s="1"/>
  <c r="C9491" i="79" s="1"/>
  <c r="C9541" i="79" s="1"/>
  <c r="C9591" i="79" s="1"/>
  <c r="C9641" i="79" s="1"/>
  <c r="C9691" i="79" s="1"/>
  <c r="C9741" i="79" s="1"/>
  <c r="C9791" i="79" s="1"/>
  <c r="C9841" i="79" s="1"/>
  <c r="C9891" i="79" s="1"/>
  <c r="C9941" i="79" s="1"/>
  <c r="C9991" i="79" s="1"/>
  <c r="C10041" i="79" s="1"/>
  <c r="C10091" i="79" s="1"/>
  <c r="C10141" i="79" s="1"/>
  <c r="C10191" i="79" s="1"/>
  <c r="C10241" i="79" s="1"/>
  <c r="C10291" i="79" s="1"/>
  <c r="C10341" i="79" s="1"/>
  <c r="C10391" i="79" s="1"/>
  <c r="C10441" i="79" s="1"/>
  <c r="C10491" i="79" s="1"/>
  <c r="C10541" i="79" s="1"/>
  <c r="C10591" i="79" s="1"/>
  <c r="C10641" i="79" s="1"/>
  <c r="C10691" i="79" s="1"/>
  <c r="C10741" i="79" s="1"/>
  <c r="C10791" i="79" s="1"/>
  <c r="C10841" i="79" s="1"/>
  <c r="C10891" i="79" s="1"/>
  <c r="C10941" i="79" s="1"/>
  <c r="C8240" i="79"/>
  <c r="C8290" i="79" s="1"/>
  <c r="C8340" i="79" s="1"/>
  <c r="C8390" i="79" s="1"/>
  <c r="C8440" i="79" s="1"/>
  <c r="C8490" i="79" s="1"/>
  <c r="C8540" i="79" s="1"/>
  <c r="C8590" i="79" s="1"/>
  <c r="C8640" i="79" s="1"/>
  <c r="C8690" i="79" s="1"/>
  <c r="C8740" i="79" s="1"/>
  <c r="C8790" i="79" s="1"/>
  <c r="C8840" i="79" s="1"/>
  <c r="C8890" i="79" s="1"/>
  <c r="C8940" i="79" s="1"/>
  <c r="C8990" i="79" s="1"/>
  <c r="C9040" i="79" s="1"/>
  <c r="C9090" i="79" s="1"/>
  <c r="C9140" i="79" s="1"/>
  <c r="C9190" i="79" s="1"/>
  <c r="C9240" i="79" s="1"/>
  <c r="C9290" i="79" s="1"/>
  <c r="C9340" i="79" s="1"/>
  <c r="C9390" i="79" s="1"/>
  <c r="C9440" i="79" s="1"/>
  <c r="C9490" i="79" s="1"/>
  <c r="C9540" i="79" s="1"/>
  <c r="C9590" i="79" s="1"/>
  <c r="C9640" i="79" s="1"/>
  <c r="C9690" i="79" s="1"/>
  <c r="C9740" i="79" s="1"/>
  <c r="C9790" i="79" s="1"/>
  <c r="C9840" i="79" s="1"/>
  <c r="C9890" i="79" s="1"/>
  <c r="C9940" i="79" s="1"/>
  <c r="C9990" i="79" s="1"/>
  <c r="C10040" i="79" s="1"/>
  <c r="C10090" i="79" s="1"/>
  <c r="C10140" i="79" s="1"/>
  <c r="C10190" i="79" s="1"/>
  <c r="C10240" i="79" s="1"/>
  <c r="C10290" i="79" s="1"/>
  <c r="C10340" i="79" s="1"/>
  <c r="C10390" i="79" s="1"/>
  <c r="C10440" i="79" s="1"/>
  <c r="C10490" i="79" s="1"/>
  <c r="C10540" i="79" s="1"/>
  <c r="C10590" i="79" s="1"/>
  <c r="C10640" i="79" s="1"/>
  <c r="C10690" i="79" s="1"/>
  <c r="C10740" i="79" s="1"/>
  <c r="C10790" i="79" s="1"/>
  <c r="C10840" i="79" s="1"/>
  <c r="C10890" i="79" s="1"/>
  <c r="C10940" i="79" s="1"/>
  <c r="C10990" i="79" s="1"/>
  <c r="C11040" i="79" s="1"/>
  <c r="C11090" i="79" s="1"/>
  <c r="C11140" i="79" s="1"/>
  <c r="C11190" i="79" s="1"/>
  <c r="C11240" i="79" s="1"/>
  <c r="C11290" i="79" s="1"/>
  <c r="C11340" i="79" s="1"/>
  <c r="C11390" i="79" s="1"/>
  <c r="C11440" i="79" s="1"/>
  <c r="C11490" i="79" s="1"/>
  <c r="C11540" i="79" s="1"/>
  <c r="C11590" i="79" s="1"/>
  <c r="C11640" i="79" s="1"/>
  <c r="C11690" i="79" s="1"/>
  <c r="C11740" i="79" s="1"/>
  <c r="C11790" i="79" s="1"/>
  <c r="C11840" i="79" s="1"/>
  <c r="C11890" i="79" s="1"/>
  <c r="C11940" i="79" s="1"/>
  <c r="C11990" i="79" s="1"/>
  <c r="C12040" i="79" s="1"/>
  <c r="C12090" i="79" s="1"/>
  <c r="C12140" i="79" s="1"/>
  <c r="C12190" i="79" s="1"/>
  <c r="C12240" i="79" s="1"/>
  <c r="C12290" i="79" s="1"/>
  <c r="C12340" i="79" s="1"/>
  <c r="C12390" i="79" s="1"/>
  <c r="C12440" i="79" s="1"/>
  <c r="C12490" i="79" s="1"/>
  <c r="C12540" i="79" s="1"/>
  <c r="C12590" i="79" s="1"/>
  <c r="C12640" i="79" s="1"/>
  <c r="C12690" i="79" s="1"/>
  <c r="C12740" i="79" s="1"/>
  <c r="C12790" i="79" s="1"/>
  <c r="C12840" i="79" s="1"/>
  <c r="C12890" i="79" s="1"/>
  <c r="C12940" i="79" s="1"/>
  <c r="C12990" i="79" s="1"/>
  <c r="C13040" i="79" s="1"/>
  <c r="C13090" i="79" s="1"/>
  <c r="C13140" i="79" s="1"/>
  <c r="C13190" i="79" s="1"/>
  <c r="C13240" i="79" s="1"/>
  <c r="C13290" i="79" s="1"/>
  <c r="C13340" i="79" s="1"/>
  <c r="C13390" i="79" s="1"/>
  <c r="C13440" i="79" s="1"/>
  <c r="C13490" i="79" s="1"/>
  <c r="C13540" i="79" s="1"/>
  <c r="C13590" i="79" s="1"/>
  <c r="C13640" i="79" s="1"/>
  <c r="C13690" i="79" s="1"/>
  <c r="C13740" i="79" s="1"/>
  <c r="C13790" i="79" s="1"/>
  <c r="C13840" i="79" s="1"/>
  <c r="C13890" i="79" s="1"/>
  <c r="C13940" i="79" s="1"/>
  <c r="C13990" i="79" s="1"/>
  <c r="C14040" i="79" s="1"/>
  <c r="C14090" i="79" s="1"/>
  <c r="C14140" i="79" s="1"/>
  <c r="C14190" i="79" s="1"/>
  <c r="C14240" i="79" s="1"/>
  <c r="C14290" i="79" s="1"/>
  <c r="C14340" i="79" s="1"/>
  <c r="C14390" i="79" s="1"/>
  <c r="C14440" i="79" s="1"/>
  <c r="C14490" i="79" s="1"/>
  <c r="C14540" i="79" s="1"/>
  <c r="C14590" i="79" s="1"/>
  <c r="C14640" i="79" s="1"/>
  <c r="C14690" i="79" s="1"/>
  <c r="C14740" i="79" s="1"/>
  <c r="C14790" i="79" s="1"/>
  <c r="C14840" i="79" s="1"/>
  <c r="C14890" i="79" s="1"/>
  <c r="C14940" i="79" s="1"/>
  <c r="C14990" i="79" s="1"/>
  <c r="C15040" i="79" s="1"/>
  <c r="C15090" i="79" s="1"/>
  <c r="C15140" i="79" s="1"/>
  <c r="C15190" i="79" s="1"/>
  <c r="C15240" i="79" s="1"/>
  <c r="C15290" i="79" s="1"/>
  <c r="C15340" i="79" s="1"/>
  <c r="C15390" i="79" s="1"/>
  <c r="C15440" i="79" s="1"/>
  <c r="C15490" i="79" s="1"/>
  <c r="C15540" i="79" s="1"/>
  <c r="C15590" i="79" s="1"/>
  <c r="C15640" i="79" s="1"/>
  <c r="C15690" i="79" s="1"/>
  <c r="C15740" i="79" s="1"/>
  <c r="C15790" i="79" s="1"/>
  <c r="C15840" i="79" s="1"/>
  <c r="C15890" i="79" s="1"/>
  <c r="C15940" i="79" s="1"/>
  <c r="C15990" i="79" s="1"/>
  <c r="C16040" i="79" s="1"/>
  <c r="C16090" i="79" s="1"/>
  <c r="C16140" i="79" s="1"/>
  <c r="C16190" i="79" s="1"/>
  <c r="C16240" i="79" s="1"/>
  <c r="C16290" i="79" s="1"/>
  <c r="C16340" i="79" s="1"/>
  <c r="C16390" i="79" s="1"/>
  <c r="C16440" i="79" s="1"/>
  <c r="C16490" i="79" s="1"/>
  <c r="C16540" i="79" s="1"/>
  <c r="C16590" i="79" s="1"/>
  <c r="C16640" i="79" s="1"/>
  <c r="C16690" i="79" s="1"/>
  <c r="C16740" i="79" s="1"/>
  <c r="C16790" i="79" s="1"/>
  <c r="C16840" i="79" s="1"/>
  <c r="C16890" i="79" s="1"/>
  <c r="C16940" i="79" s="1"/>
  <c r="C16990" i="79" s="1"/>
  <c r="C17040" i="79" s="1"/>
  <c r="C17090" i="79" s="1"/>
  <c r="C17140" i="79" s="1"/>
  <c r="C17190" i="79" s="1"/>
  <c r="C17240" i="79" s="1"/>
  <c r="C8239" i="79"/>
  <c r="C8289" i="79"/>
  <c r="C8339" i="79" s="1"/>
  <c r="C8389" i="79" s="1"/>
  <c r="C8439" i="79" s="1"/>
  <c r="C8489" i="79" s="1"/>
  <c r="C8539" i="79" s="1"/>
  <c r="C8589" i="79" s="1"/>
  <c r="C8639" i="79" s="1"/>
  <c r="C8689" i="79" s="1"/>
  <c r="C8739" i="79" s="1"/>
  <c r="C8789" i="79" s="1"/>
  <c r="C8839" i="79" s="1"/>
  <c r="C8889" i="79" s="1"/>
  <c r="C8939" i="79" s="1"/>
  <c r="C8989" i="79" s="1"/>
  <c r="C9039" i="79" s="1"/>
  <c r="C9089" i="79" s="1"/>
  <c r="C9139" i="79" s="1"/>
  <c r="C9189" i="79" s="1"/>
  <c r="C9239" i="79" s="1"/>
  <c r="C9289" i="79" s="1"/>
  <c r="C9339" i="79" s="1"/>
  <c r="C9389" i="79" s="1"/>
  <c r="C9439" i="79" s="1"/>
  <c r="C9489" i="79" s="1"/>
  <c r="C9539" i="79" s="1"/>
  <c r="C9589" i="79" s="1"/>
  <c r="C9639" i="79" s="1"/>
  <c r="C9689" i="79" s="1"/>
  <c r="C9739" i="79" s="1"/>
  <c r="C9789" i="79" s="1"/>
  <c r="C9839" i="79" s="1"/>
  <c r="C9889" i="79" s="1"/>
  <c r="C9939" i="79" s="1"/>
  <c r="C9989" i="79" s="1"/>
  <c r="C10039" i="79" s="1"/>
  <c r="C10089" i="79" s="1"/>
  <c r="C10139" i="79" s="1"/>
  <c r="C10189" i="79" s="1"/>
  <c r="C10239" i="79" s="1"/>
  <c r="C10289" i="79" s="1"/>
  <c r="C10339" i="79" s="1"/>
  <c r="C10389" i="79" s="1"/>
  <c r="C10439" i="79" s="1"/>
  <c r="C10489" i="79" s="1"/>
  <c r="C10539" i="79" s="1"/>
  <c r="C10589" i="79" s="1"/>
  <c r="C10639" i="79" s="1"/>
  <c r="C10689" i="79" s="1"/>
  <c r="C10739" i="79" s="1"/>
  <c r="C10789" i="79" s="1"/>
  <c r="C10839" i="79" s="1"/>
  <c r="C10889" i="79" s="1"/>
  <c r="C10939" i="79" s="1"/>
  <c r="C10989" i="79" s="1"/>
  <c r="C11039" i="79" s="1"/>
  <c r="C11089" i="79" s="1"/>
  <c r="C11139" i="79" s="1"/>
  <c r="C11189" i="79" s="1"/>
  <c r="C11239" i="79" s="1"/>
  <c r="C11289" i="79" s="1"/>
  <c r="C11339" i="79" s="1"/>
  <c r="C11389" i="79" s="1"/>
  <c r="C11439" i="79" s="1"/>
  <c r="C11489" i="79" s="1"/>
  <c r="C11539" i="79" s="1"/>
  <c r="C11589" i="79" s="1"/>
  <c r="C11639" i="79" s="1"/>
  <c r="C11689" i="79" s="1"/>
  <c r="C11739" i="79" s="1"/>
  <c r="C11789" i="79" s="1"/>
  <c r="C11839" i="79" s="1"/>
  <c r="C11889" i="79" s="1"/>
  <c r="C11939" i="79" s="1"/>
  <c r="C11989" i="79" s="1"/>
  <c r="C12039" i="79" s="1"/>
  <c r="C12089" i="79" s="1"/>
  <c r="C12139" i="79" s="1"/>
  <c r="C12189" i="79" s="1"/>
  <c r="C12239" i="79" s="1"/>
  <c r="C12289" i="79" s="1"/>
  <c r="C12339" i="79" s="1"/>
  <c r="C12389" i="79" s="1"/>
  <c r="C12439" i="79" s="1"/>
  <c r="C12489" i="79" s="1"/>
  <c r="C12539" i="79" s="1"/>
  <c r="C12589" i="79" s="1"/>
  <c r="C12639" i="79" s="1"/>
  <c r="C12689" i="79" s="1"/>
  <c r="C12739" i="79" s="1"/>
  <c r="C12789" i="79" s="1"/>
  <c r="C12839" i="79" s="1"/>
  <c r="C12889" i="79" s="1"/>
  <c r="C12939" i="79" s="1"/>
  <c r="C12989" i="79" s="1"/>
  <c r="C13039" i="79" s="1"/>
  <c r="C13089" i="79" s="1"/>
  <c r="C13139" i="79" s="1"/>
  <c r="C13189" i="79" s="1"/>
  <c r="C13239" i="79" s="1"/>
  <c r="C13289" i="79" s="1"/>
  <c r="C13339" i="79" s="1"/>
  <c r="C13389" i="79" s="1"/>
  <c r="C13439" i="79" s="1"/>
  <c r="C13489" i="79" s="1"/>
  <c r="C13539" i="79" s="1"/>
  <c r="C13589" i="79" s="1"/>
  <c r="C13639" i="79" s="1"/>
  <c r="C13689" i="79" s="1"/>
  <c r="C13739" i="79" s="1"/>
  <c r="C13789" i="79" s="1"/>
  <c r="C13839" i="79" s="1"/>
  <c r="C13889" i="79" s="1"/>
  <c r="C13939" i="79" s="1"/>
  <c r="C13989" i="79" s="1"/>
  <c r="C14039" i="79" s="1"/>
  <c r="C14089" i="79" s="1"/>
  <c r="C14139" i="79" s="1"/>
  <c r="C14189" i="79" s="1"/>
  <c r="C14239" i="79" s="1"/>
  <c r="C14289" i="79" s="1"/>
  <c r="C14339" i="79" s="1"/>
  <c r="C14389" i="79" s="1"/>
  <c r="C14439" i="79" s="1"/>
  <c r="C14489" i="79" s="1"/>
  <c r="C14539" i="79" s="1"/>
  <c r="C14589" i="79" s="1"/>
  <c r="C14639" i="79" s="1"/>
  <c r="C14689" i="79" s="1"/>
  <c r="C14739" i="79" s="1"/>
  <c r="C14789" i="79" s="1"/>
  <c r="C14839" i="79" s="1"/>
  <c r="C14889" i="79" s="1"/>
  <c r="C14939" i="79" s="1"/>
  <c r="C14989" i="79" s="1"/>
  <c r="C15039" i="79" s="1"/>
  <c r="C15089" i="79" s="1"/>
  <c r="C15139" i="79" s="1"/>
  <c r="C15189" i="79" s="1"/>
  <c r="C15239" i="79" s="1"/>
  <c r="C15289" i="79" s="1"/>
  <c r="C15339" i="79" s="1"/>
  <c r="C15389" i="79" s="1"/>
  <c r="C15439" i="79" s="1"/>
  <c r="C15489" i="79" s="1"/>
  <c r="C15539" i="79" s="1"/>
  <c r="C15589" i="79" s="1"/>
  <c r="C15639" i="79" s="1"/>
  <c r="C15689" i="79" s="1"/>
  <c r="C15739" i="79" s="1"/>
  <c r="C15789" i="79" s="1"/>
  <c r="C15839" i="79" s="1"/>
  <c r="C15889" i="79" s="1"/>
  <c r="C15939" i="79" s="1"/>
  <c r="C15989" i="79" s="1"/>
  <c r="C16039" i="79" s="1"/>
  <c r="C16089" i="79" s="1"/>
  <c r="C16139" i="79" s="1"/>
  <c r="C16189" i="79" s="1"/>
  <c r="C16239" i="79" s="1"/>
  <c r="C16289" i="79" s="1"/>
  <c r="C16339" i="79" s="1"/>
  <c r="C16389" i="79" s="1"/>
  <c r="C16439" i="79" s="1"/>
  <c r="C16489" i="79" s="1"/>
  <c r="C16539" i="79" s="1"/>
  <c r="C16589" i="79" s="1"/>
  <c r="C16639" i="79" s="1"/>
  <c r="C16689" i="79" s="1"/>
  <c r="C16739" i="79" s="1"/>
  <c r="C16789" i="79" s="1"/>
  <c r="C16839" i="79" s="1"/>
  <c r="C16889" i="79" s="1"/>
  <c r="C16939" i="79" s="1"/>
  <c r="C16989" i="79" s="1"/>
  <c r="C17039" i="79" s="1"/>
  <c r="C17089" i="79" s="1"/>
  <c r="C17139" i="79" s="1"/>
  <c r="C17189" i="79" s="1"/>
  <c r="C17239" i="79" s="1"/>
  <c r="I8237" i="79"/>
  <c r="A8236" i="80" s="1"/>
  <c r="I8232" i="79"/>
  <c r="A8231" i="80" s="1"/>
  <c r="I8227" i="79"/>
  <c r="A8226" i="80" s="1"/>
  <c r="I8222" i="79"/>
  <c r="A8221" i="80" s="1"/>
  <c r="I8217" i="79"/>
  <c r="A8216" i="80" s="1"/>
  <c r="I8212" i="79"/>
  <c r="A8211" i="80" s="1"/>
  <c r="I8207" i="79"/>
  <c r="A8206" i="80" s="1"/>
  <c r="I8202" i="79"/>
  <c r="A8201" i="80" s="1"/>
  <c r="I8197" i="79"/>
  <c r="A8196" i="80" s="1"/>
  <c r="I8192" i="79"/>
  <c r="A8191" i="80" s="1"/>
  <c r="C8326" i="79"/>
  <c r="C8376" i="79" s="1"/>
  <c r="C8426" i="79" s="1"/>
  <c r="C8476" i="79" s="1"/>
  <c r="C8526" i="79" s="1"/>
  <c r="C8576" i="79" s="1"/>
  <c r="C8626" i="79" s="1"/>
  <c r="C8676" i="79" s="1"/>
  <c r="C8726" i="79" s="1"/>
  <c r="C8776" i="79" s="1"/>
  <c r="C8826" i="79" s="1"/>
  <c r="C8876" i="79" s="1"/>
  <c r="C8926" i="79" s="1"/>
  <c r="C8976" i="79" s="1"/>
  <c r="C9026" i="79" s="1"/>
  <c r="C9076" i="79" s="1"/>
  <c r="C9126" i="79" s="1"/>
  <c r="C9176" i="79" s="1"/>
  <c r="C9226" i="79" s="1"/>
  <c r="C9276" i="79" s="1"/>
  <c r="C9326" i="79" s="1"/>
  <c r="C9376" i="79" s="1"/>
  <c r="C9426" i="79" s="1"/>
  <c r="C9476" i="79" s="1"/>
  <c r="C9526" i="79" s="1"/>
  <c r="C9576" i="79" s="1"/>
  <c r="C9626" i="79" s="1"/>
  <c r="C9676" i="79" s="1"/>
  <c r="C9726" i="79" s="1"/>
  <c r="C9776" i="79" s="1"/>
  <c r="C9826" i="79" s="1"/>
  <c r="C9876" i="79" s="1"/>
  <c r="C9926" i="79" s="1"/>
  <c r="C9976" i="79" s="1"/>
  <c r="C10026" i="79" s="1"/>
  <c r="C10076" i="79" s="1"/>
  <c r="C10126" i="79" s="1"/>
  <c r="C10176" i="79" s="1"/>
  <c r="C10226" i="79" s="1"/>
  <c r="C10276" i="79" s="1"/>
  <c r="C10326" i="79" s="1"/>
  <c r="C10376" i="79" s="1"/>
  <c r="C10426" i="79" s="1"/>
  <c r="C10476" i="79" s="1"/>
  <c r="C10526" i="79" s="1"/>
  <c r="C10576" i="79" s="1"/>
  <c r="C10626" i="79" s="1"/>
  <c r="C10676" i="79" s="1"/>
  <c r="C10726" i="79" s="1"/>
  <c r="C10776" i="79" s="1"/>
  <c r="C10826" i="79" s="1"/>
  <c r="C10876" i="79" s="1"/>
  <c r="C10926" i="79" s="1"/>
  <c r="C10976" i="79" s="1"/>
  <c r="C8301" i="79"/>
  <c r="C8351" i="79" s="1"/>
  <c r="C8401" i="79" s="1"/>
  <c r="C8451" i="79" s="1"/>
  <c r="C8501" i="79" s="1"/>
  <c r="C8551" i="79" s="1"/>
  <c r="C8601" i="79" s="1"/>
  <c r="C8651" i="79" s="1"/>
  <c r="C8701" i="79" s="1"/>
  <c r="C8751" i="79" s="1"/>
  <c r="C8801" i="79" s="1"/>
  <c r="C8851" i="79" s="1"/>
  <c r="C8901" i="79" s="1"/>
  <c r="C8951" i="79" s="1"/>
  <c r="C9001" i="79" s="1"/>
  <c r="C9051" i="79" s="1"/>
  <c r="C9101" i="79" s="1"/>
  <c r="C9151" i="79" s="1"/>
  <c r="C9201" i="79" s="1"/>
  <c r="C9251" i="79" s="1"/>
  <c r="C9301" i="79" s="1"/>
  <c r="C9351" i="79" s="1"/>
  <c r="C9401" i="79" s="1"/>
  <c r="C9451" i="79" s="1"/>
  <c r="C9501" i="79" s="1"/>
  <c r="C9551" i="79" s="1"/>
  <c r="C9601" i="79" s="1"/>
  <c r="C9651" i="79" s="1"/>
  <c r="C9701" i="79" s="1"/>
  <c r="C9751" i="79" s="1"/>
  <c r="C9801" i="79" s="1"/>
  <c r="C9851" i="79" s="1"/>
  <c r="C9901" i="79" s="1"/>
  <c r="C9951" i="79" s="1"/>
  <c r="C10001" i="79" s="1"/>
  <c r="C10051" i="79" s="1"/>
  <c r="C10101" i="79" s="1"/>
  <c r="C10151" i="79" s="1"/>
  <c r="C10201" i="79" s="1"/>
  <c r="C10251" i="79" s="1"/>
  <c r="C10301" i="79" s="1"/>
  <c r="C10351" i="79" s="1"/>
  <c r="C10401" i="79" s="1"/>
  <c r="C10451" i="79" s="1"/>
  <c r="C10501" i="79" s="1"/>
  <c r="C10551" i="79" s="1"/>
  <c r="C10601" i="79" s="1"/>
  <c r="C10651" i="79" s="1"/>
  <c r="C10701" i="79" s="1"/>
  <c r="C10751" i="79" s="1"/>
  <c r="C10801" i="79" s="1"/>
  <c r="C10851" i="79" s="1"/>
  <c r="C10901" i="79" s="1"/>
  <c r="C10951" i="79" s="1"/>
  <c r="C11001" i="79" s="1"/>
  <c r="C11051" i="79" s="1"/>
  <c r="C11101" i="79" s="1"/>
  <c r="C11151" i="79" s="1"/>
  <c r="C11201" i="79" s="1"/>
  <c r="C11251" i="79" s="1"/>
  <c r="C11301" i="79" s="1"/>
  <c r="C11351" i="79" s="1"/>
  <c r="C11401" i="79" s="1"/>
  <c r="C11451" i="79" s="1"/>
  <c r="C11501" i="79" s="1"/>
  <c r="C11551" i="79" s="1"/>
  <c r="C11601" i="79" s="1"/>
  <c r="C11651" i="79" s="1"/>
  <c r="C11701" i="79" s="1"/>
  <c r="C11751" i="79" s="1"/>
  <c r="C11801" i="79" s="1"/>
  <c r="C11851" i="79" s="1"/>
  <c r="C11901" i="79" s="1"/>
  <c r="C11951" i="79" s="1"/>
  <c r="C12001" i="79" s="1"/>
  <c r="C12051" i="79" s="1"/>
  <c r="C12101" i="79" s="1"/>
  <c r="C12151" i="79" s="1"/>
  <c r="C12201" i="79" s="1"/>
  <c r="C12251" i="79" s="1"/>
  <c r="C12301" i="79" s="1"/>
  <c r="C12351" i="79" s="1"/>
  <c r="C12401" i="79" s="1"/>
  <c r="C12451" i="79" s="1"/>
  <c r="C12501" i="79" s="1"/>
  <c r="C12551" i="79" s="1"/>
  <c r="C12601" i="79" s="1"/>
  <c r="C12651" i="79" s="1"/>
  <c r="C12701" i="79" s="1"/>
  <c r="C12751" i="79" s="1"/>
  <c r="C12801" i="79" s="1"/>
  <c r="C12851" i="79" s="1"/>
  <c r="C12901" i="79" s="1"/>
  <c r="C12951" i="79" s="1"/>
  <c r="C13001" i="79" s="1"/>
  <c r="C13051" i="79" s="1"/>
  <c r="C13101" i="79" s="1"/>
  <c r="C13151" i="79" s="1"/>
  <c r="C13201" i="79" s="1"/>
  <c r="C13251" i="79" s="1"/>
  <c r="C13301" i="79" s="1"/>
  <c r="C13351" i="79" s="1"/>
  <c r="C13401" i="79" s="1"/>
  <c r="C13451" i="79" s="1"/>
  <c r="C13501" i="79" s="1"/>
  <c r="C8317" i="79"/>
  <c r="C8367" i="79" s="1"/>
  <c r="C8337" i="79"/>
  <c r="I8337" i="79" s="1"/>
  <c r="A8336" i="80" s="1"/>
  <c r="C8371" i="79"/>
  <c r="C8361" i="79"/>
  <c r="C8381" i="79"/>
  <c r="C8356" i="79"/>
  <c r="C8406" i="79" s="1"/>
  <c r="C8456" i="79" s="1"/>
  <c r="C8506" i="79" s="1"/>
  <c r="C8556" i="79" s="1"/>
  <c r="C8606" i="79" s="1"/>
  <c r="C8656" i="79" s="1"/>
  <c r="C8706" i="79" s="1"/>
  <c r="C8756" i="79" s="1"/>
  <c r="C8806" i="79" s="1"/>
  <c r="C8856" i="79" s="1"/>
  <c r="C8906" i="79" s="1"/>
  <c r="C8956" i="79" s="1"/>
  <c r="C9006" i="79" s="1"/>
  <c r="C9056" i="79" s="1"/>
  <c r="C9106" i="79" s="1"/>
  <c r="C9156" i="79" s="1"/>
  <c r="C9206" i="79" s="1"/>
  <c r="C9256" i="79" s="1"/>
  <c r="C9306" i="79" s="1"/>
  <c r="C9356" i="79" s="1"/>
  <c r="C9406" i="79" s="1"/>
  <c r="C9456" i="79" s="1"/>
  <c r="C9506" i="79" s="1"/>
  <c r="C9556" i="79" s="1"/>
  <c r="C9606" i="79" s="1"/>
  <c r="C9656" i="79" s="1"/>
  <c r="C9706" i="79" s="1"/>
  <c r="C9756" i="79" s="1"/>
  <c r="C9806" i="79" s="1"/>
  <c r="C9856" i="79" s="1"/>
  <c r="C9906" i="79" s="1"/>
  <c r="C9956" i="79" s="1"/>
  <c r="C10006" i="79" s="1"/>
  <c r="C10056" i="79" s="1"/>
  <c r="C10106" i="79" s="1"/>
  <c r="C10156" i="79" s="1"/>
  <c r="C10206" i="79" s="1"/>
  <c r="C10256" i="79" s="1"/>
  <c r="C10306" i="79" s="1"/>
  <c r="C10356" i="79" s="1"/>
  <c r="C10406" i="79" s="1"/>
  <c r="C10456" i="79" s="1"/>
  <c r="C10506" i="79" s="1"/>
  <c r="C10556" i="79" s="1"/>
  <c r="C10606" i="79" s="1"/>
  <c r="C10656" i="79" s="1"/>
  <c r="C10706" i="79" s="1"/>
  <c r="C10756" i="79" s="1"/>
  <c r="C10806" i="79" s="1"/>
  <c r="C10856" i="79" s="1"/>
  <c r="C10906" i="79" s="1"/>
  <c r="C10956" i="79" s="1"/>
  <c r="C11006" i="79" s="1"/>
  <c r="C11056" i="79" s="1"/>
  <c r="C11106" i="79" s="1"/>
  <c r="C11156" i="79" s="1"/>
  <c r="C11206" i="79" s="1"/>
  <c r="C11256" i="79" s="1"/>
  <c r="C11306" i="79" s="1"/>
  <c r="C11356" i="79" s="1"/>
  <c r="C11406" i="79" s="1"/>
  <c r="C11456" i="79" s="1"/>
  <c r="C11506" i="79" s="1"/>
  <c r="C11556" i="79" s="1"/>
  <c r="C11606" i="79" s="1"/>
  <c r="C11656" i="79" s="1"/>
  <c r="C11706" i="79" s="1"/>
  <c r="C11756" i="79" s="1"/>
  <c r="C11806" i="79" s="1"/>
  <c r="C11856" i="79" s="1"/>
  <c r="C11906" i="79" s="1"/>
  <c r="C11956" i="79" s="1"/>
  <c r="C12006" i="79" s="1"/>
  <c r="C12056" i="79" s="1"/>
  <c r="C12106" i="79" s="1"/>
  <c r="C12156" i="79" s="1"/>
  <c r="C12206" i="79" s="1"/>
  <c r="C12256" i="79" s="1"/>
  <c r="C12306" i="79" s="1"/>
  <c r="C12356" i="79" s="1"/>
  <c r="C12406" i="79" s="1"/>
  <c r="C12456" i="79" s="1"/>
  <c r="C12506" i="79" s="1"/>
  <c r="C12556" i="79" s="1"/>
  <c r="C12606" i="79" s="1"/>
  <c r="C12656" i="79" s="1"/>
  <c r="C12706" i="79" s="1"/>
  <c r="C12756" i="79" s="1"/>
  <c r="C12806" i="79" s="1"/>
  <c r="C12856" i="79" s="1"/>
  <c r="C12906" i="79" s="1"/>
  <c r="C12956" i="79" s="1"/>
  <c r="C13006" i="79" s="1"/>
  <c r="C13056" i="79" s="1"/>
  <c r="C13106" i="79" s="1"/>
  <c r="C13156" i="79" s="1"/>
  <c r="C13206" i="79" s="1"/>
  <c r="C13256" i="79" s="1"/>
  <c r="C13306" i="79" s="1"/>
  <c r="C13356" i="79" s="1"/>
  <c r="C13406" i="79" s="1"/>
  <c r="C13456" i="79" s="1"/>
  <c r="C8296" i="79"/>
  <c r="C8332" i="79"/>
  <c r="I8332" i="79" s="1"/>
  <c r="A8331" i="80" s="1"/>
  <c r="C8312" i="79"/>
  <c r="C8292" i="79"/>
  <c r="C8297" i="79"/>
  <c r="C8327" i="79"/>
  <c r="C8302" i="79"/>
  <c r="C8307" i="79"/>
  <c r="I8307" i="79" s="1"/>
  <c r="A8306" i="80" s="1"/>
  <c r="C8316" i="79"/>
  <c r="C8322" i="79"/>
  <c r="C8336" i="79"/>
  <c r="C8387" i="79"/>
  <c r="I8387" i="79" s="1"/>
  <c r="A8386" i="80" s="1"/>
  <c r="I8327" i="79"/>
  <c r="A8326" i="80" s="1"/>
  <c r="C8377" i="79"/>
  <c r="C8411" i="79"/>
  <c r="C8386" i="79"/>
  <c r="I8302" i="79"/>
  <c r="A8301" i="80" s="1"/>
  <c r="C8352" i="79"/>
  <c r="C8346" i="79"/>
  <c r="C8421" i="79"/>
  <c r="C8366" i="79"/>
  <c r="I8292" i="79"/>
  <c r="A8291" i="80" s="1"/>
  <c r="C8342" i="79"/>
  <c r="I8322" i="79"/>
  <c r="A8321" i="80" s="1"/>
  <c r="C8372" i="79"/>
  <c r="I8297" i="79"/>
  <c r="A8296" i="80" s="1"/>
  <c r="C8347" i="79"/>
  <c r="I8347" i="79" s="1"/>
  <c r="A8346" i="80" s="1"/>
  <c r="I8312" i="79"/>
  <c r="A8311" i="80"/>
  <c r="C8362" i="79"/>
  <c r="C8437" i="79"/>
  <c r="I8437" i="79" s="1"/>
  <c r="A8436" i="80" s="1"/>
  <c r="C8431" i="79"/>
  <c r="C8396" i="79"/>
  <c r="C8436" i="79"/>
  <c r="C8471" i="79"/>
  <c r="C8461" i="79"/>
  <c r="C8481" i="79"/>
  <c r="C8416" i="79"/>
  <c r="C8412" i="79"/>
  <c r="I8362" i="79"/>
  <c r="A8361" i="80" s="1"/>
  <c r="C8397" i="79"/>
  <c r="C8422" i="79"/>
  <c r="I8372" i="79"/>
  <c r="A8371" i="80" s="1"/>
  <c r="C8392" i="79"/>
  <c r="I8342" i="79"/>
  <c r="A8341" i="80"/>
  <c r="C8402" i="79"/>
  <c r="I8352" i="79"/>
  <c r="A8351" i="80" s="1"/>
  <c r="C8427" i="79"/>
  <c r="I8427" i="79" s="1"/>
  <c r="A8426" i="80" s="1"/>
  <c r="I8377" i="79"/>
  <c r="A8376" i="80"/>
  <c r="I8402" i="79"/>
  <c r="A8401" i="80"/>
  <c r="C8452" i="79"/>
  <c r="I8422" i="79"/>
  <c r="A8421" i="80" s="1"/>
  <c r="C8472" i="79"/>
  <c r="I8412" i="79"/>
  <c r="A8411" i="80" s="1"/>
  <c r="C8462" i="79"/>
  <c r="C8446" i="79"/>
  <c r="C8531" i="79"/>
  <c r="I8392" i="79"/>
  <c r="A8391" i="80" s="1"/>
  <c r="C8442" i="79"/>
  <c r="I8442" i="79" s="1"/>
  <c r="A8441" i="80" s="1"/>
  <c r="I8397" i="79"/>
  <c r="A8396" i="80"/>
  <c r="C8447" i="79"/>
  <c r="C8466" i="79"/>
  <c r="C8486" i="79"/>
  <c r="C8511" i="79"/>
  <c r="C8561" i="79" s="1"/>
  <c r="C8611" i="79" s="1"/>
  <c r="C8661" i="79" s="1"/>
  <c r="C8711" i="79" s="1"/>
  <c r="C8761" i="79" s="1"/>
  <c r="C8811" i="79" s="1"/>
  <c r="C8861" i="79" s="1"/>
  <c r="C8911" i="79" s="1"/>
  <c r="C8961" i="79" s="1"/>
  <c r="C9011" i="79" s="1"/>
  <c r="C9061" i="79" s="1"/>
  <c r="C9111" i="79" s="1"/>
  <c r="C9161" i="79" s="1"/>
  <c r="C9211" i="79" s="1"/>
  <c r="C9261" i="79" s="1"/>
  <c r="C9311" i="79" s="1"/>
  <c r="C9361" i="79" s="1"/>
  <c r="C9411" i="79" s="1"/>
  <c r="C9461" i="79" s="1"/>
  <c r="C9511" i="79" s="1"/>
  <c r="C9561" i="79" s="1"/>
  <c r="C9611" i="79" s="1"/>
  <c r="C9661" i="79" s="1"/>
  <c r="C9711" i="79" s="1"/>
  <c r="C9761" i="79" s="1"/>
  <c r="C9811" i="79" s="1"/>
  <c r="C9861" i="79" s="1"/>
  <c r="C9911" i="79" s="1"/>
  <c r="C9961" i="79" s="1"/>
  <c r="C10011" i="79" s="1"/>
  <c r="C10061" i="79" s="1"/>
  <c r="C10111" i="79" s="1"/>
  <c r="C10161" i="79" s="1"/>
  <c r="C10211" i="79" s="1"/>
  <c r="C10261" i="79" s="1"/>
  <c r="C10311" i="79" s="1"/>
  <c r="C10361" i="79" s="1"/>
  <c r="C10411" i="79" s="1"/>
  <c r="C10461" i="79" s="1"/>
  <c r="C10511" i="79" s="1"/>
  <c r="C10561" i="79" s="1"/>
  <c r="C10611" i="79" s="1"/>
  <c r="C10661" i="79" s="1"/>
  <c r="C10711" i="79" s="1"/>
  <c r="C10761" i="79" s="1"/>
  <c r="C10811" i="79" s="1"/>
  <c r="C10861" i="79" s="1"/>
  <c r="C10911" i="79" s="1"/>
  <c r="C10961" i="79" s="1"/>
  <c r="C8521" i="79"/>
  <c r="C8571" i="79"/>
  <c r="C8516" i="79"/>
  <c r="C8497" i="79"/>
  <c r="I8447" i="79"/>
  <c r="A8446" i="80"/>
  <c r="C8496" i="79"/>
  <c r="C8546" i="79" s="1"/>
  <c r="C8596" i="79" s="1"/>
  <c r="C8646" i="79" s="1"/>
  <c r="C8696" i="79" s="1"/>
  <c r="C8746" i="79" s="1"/>
  <c r="C8796" i="79" s="1"/>
  <c r="C8846" i="79" s="1"/>
  <c r="C8896" i="79" s="1"/>
  <c r="C8946" i="79" s="1"/>
  <c r="C8996" i="79" s="1"/>
  <c r="C9046" i="79" s="1"/>
  <c r="C9096" i="79" s="1"/>
  <c r="C9146" i="79" s="1"/>
  <c r="C9196" i="79" s="1"/>
  <c r="C9246" i="79" s="1"/>
  <c r="C9296" i="79" s="1"/>
  <c r="C9346" i="79" s="1"/>
  <c r="C9396" i="79" s="1"/>
  <c r="C9446" i="79" s="1"/>
  <c r="C9496" i="79" s="1"/>
  <c r="C9546" i="79" s="1"/>
  <c r="C9596" i="79" s="1"/>
  <c r="C9646" i="79" s="1"/>
  <c r="C9696" i="79" s="1"/>
  <c r="C9746" i="79" s="1"/>
  <c r="C9796" i="79" s="1"/>
  <c r="C9846" i="79" s="1"/>
  <c r="C9896" i="79" s="1"/>
  <c r="C9946" i="79" s="1"/>
  <c r="C9996" i="79" s="1"/>
  <c r="C10046" i="79" s="1"/>
  <c r="C10096" i="79" s="1"/>
  <c r="C10146" i="79" s="1"/>
  <c r="C10196" i="79" s="1"/>
  <c r="C10246" i="79" s="1"/>
  <c r="C10296" i="79" s="1"/>
  <c r="C10346" i="79" s="1"/>
  <c r="C10396" i="79" s="1"/>
  <c r="C10446" i="79" s="1"/>
  <c r="C10496" i="79" s="1"/>
  <c r="C10546" i="79" s="1"/>
  <c r="C10596" i="79" s="1"/>
  <c r="C10646" i="79" s="1"/>
  <c r="C10696" i="79" s="1"/>
  <c r="C10746" i="79" s="1"/>
  <c r="C10796" i="79" s="1"/>
  <c r="C10846" i="79" s="1"/>
  <c r="C10896" i="79" s="1"/>
  <c r="C8502" i="79"/>
  <c r="I8452" i="79"/>
  <c r="A8451" i="80" s="1"/>
  <c r="C8581" i="79"/>
  <c r="C8536" i="79"/>
  <c r="C8492" i="79"/>
  <c r="I8492" i="79" s="1"/>
  <c r="A8491" i="80" s="1"/>
  <c r="C8512" i="79"/>
  <c r="I8462" i="79"/>
  <c r="A8461" i="80" s="1"/>
  <c r="C8522" i="79"/>
  <c r="I8472" i="79"/>
  <c r="A8471" i="80"/>
  <c r="I8502" i="79"/>
  <c r="A8501" i="80" s="1"/>
  <c r="C8552" i="79"/>
  <c r="I8552" i="79" s="1"/>
  <c r="A8551" i="80" s="1"/>
  <c r="C8566" i="79"/>
  <c r="C8616" i="79" s="1"/>
  <c r="C8666" i="79" s="1"/>
  <c r="C8716" i="79" s="1"/>
  <c r="C8766" i="79" s="1"/>
  <c r="C8816" i="79" s="1"/>
  <c r="C8866" i="79" s="1"/>
  <c r="C8916" i="79" s="1"/>
  <c r="C8966" i="79" s="1"/>
  <c r="C9016" i="79" s="1"/>
  <c r="C9066" i="79" s="1"/>
  <c r="C9116" i="79" s="1"/>
  <c r="C9166" i="79" s="1"/>
  <c r="C9216" i="79" s="1"/>
  <c r="C9266" i="79" s="1"/>
  <c r="C9316" i="79" s="1"/>
  <c r="C9366" i="79" s="1"/>
  <c r="C9416" i="79" s="1"/>
  <c r="C9466" i="79" s="1"/>
  <c r="C9516" i="79" s="1"/>
  <c r="C9566" i="79" s="1"/>
  <c r="C9616" i="79" s="1"/>
  <c r="C9666" i="79" s="1"/>
  <c r="C9716" i="79" s="1"/>
  <c r="C9766" i="79" s="1"/>
  <c r="C9816" i="79" s="1"/>
  <c r="C9866" i="79" s="1"/>
  <c r="C9916" i="79" s="1"/>
  <c r="C9966" i="79" s="1"/>
  <c r="C10016" i="79" s="1"/>
  <c r="C10066" i="79" s="1"/>
  <c r="C10116" i="79" s="1"/>
  <c r="C10166" i="79" s="1"/>
  <c r="C10216" i="79" s="1"/>
  <c r="C10266" i="79" s="1"/>
  <c r="C10316" i="79" s="1"/>
  <c r="C10366" i="79" s="1"/>
  <c r="C10416" i="79" s="1"/>
  <c r="C10466" i="79" s="1"/>
  <c r="C10516" i="79" s="1"/>
  <c r="C10566" i="79" s="1"/>
  <c r="C10616" i="79" s="1"/>
  <c r="C10666" i="79" s="1"/>
  <c r="C10716" i="79" s="1"/>
  <c r="C10766" i="79" s="1"/>
  <c r="C10816" i="79" s="1"/>
  <c r="C10866" i="79" s="1"/>
  <c r="C10916" i="79" s="1"/>
  <c r="C8621" i="79"/>
  <c r="I8522" i="79"/>
  <c r="A8521" i="80" s="1"/>
  <c r="C8572" i="79"/>
  <c r="I8572" i="79" s="1"/>
  <c r="A8571" i="80" s="1"/>
  <c r="C8586" i="79"/>
  <c r="C8636" i="79" s="1"/>
  <c r="C8686" i="79" s="1"/>
  <c r="C8736" i="79" s="1"/>
  <c r="C8786" i="79" s="1"/>
  <c r="C8836" i="79" s="1"/>
  <c r="C8886" i="79" s="1"/>
  <c r="C8936" i="79" s="1"/>
  <c r="C8986" i="79" s="1"/>
  <c r="C9036" i="79" s="1"/>
  <c r="C9086" i="79" s="1"/>
  <c r="C9136" i="79" s="1"/>
  <c r="C9186" i="79" s="1"/>
  <c r="C9236" i="79" s="1"/>
  <c r="C9286" i="79" s="1"/>
  <c r="C9336" i="79" s="1"/>
  <c r="C9386" i="79" s="1"/>
  <c r="C9436" i="79" s="1"/>
  <c r="C9486" i="79" s="1"/>
  <c r="C9536" i="79" s="1"/>
  <c r="C9586" i="79" s="1"/>
  <c r="C9636" i="79" s="1"/>
  <c r="C9686" i="79" s="1"/>
  <c r="C9736" i="79" s="1"/>
  <c r="C9786" i="79" s="1"/>
  <c r="C9836" i="79" s="1"/>
  <c r="C9886" i="79" s="1"/>
  <c r="C9936" i="79" s="1"/>
  <c r="C9986" i="79" s="1"/>
  <c r="C10036" i="79" s="1"/>
  <c r="C10086" i="79" s="1"/>
  <c r="C10136" i="79" s="1"/>
  <c r="C10186" i="79" s="1"/>
  <c r="C10236" i="79" s="1"/>
  <c r="C10286" i="79" s="1"/>
  <c r="C10336" i="79" s="1"/>
  <c r="C10386" i="79" s="1"/>
  <c r="C10436" i="79" s="1"/>
  <c r="C10486" i="79" s="1"/>
  <c r="C10536" i="79" s="1"/>
  <c r="C10586" i="79" s="1"/>
  <c r="C10636" i="79" s="1"/>
  <c r="C10686" i="79" s="1"/>
  <c r="C10736" i="79" s="1"/>
  <c r="C10786" i="79" s="1"/>
  <c r="C10836" i="79" s="1"/>
  <c r="C10886" i="79" s="1"/>
  <c r="I8497" i="79"/>
  <c r="A8496" i="80" s="1"/>
  <c r="C8547" i="79"/>
  <c r="I8547" i="79" s="1"/>
  <c r="A8546" i="80" s="1"/>
  <c r="I8512" i="79"/>
  <c r="A8511" i="80" s="1"/>
  <c r="C8562" i="79"/>
  <c r="C8612" i="79" s="1"/>
  <c r="C8631" i="79"/>
  <c r="C8681" i="79"/>
  <c r="C8671" i="79"/>
  <c r="I8562" i="79"/>
  <c r="A8561" i="80" s="1"/>
  <c r="C8597" i="79"/>
  <c r="C8622" i="79"/>
  <c r="I8622" i="79" s="1"/>
  <c r="A8621" i="80" s="1"/>
  <c r="C8602" i="79"/>
  <c r="I8602" i="79"/>
  <c r="A8601" i="80" s="1"/>
  <c r="C8652" i="79"/>
  <c r="I8652" i="79" s="1"/>
  <c r="A8651" i="80" s="1"/>
  <c r="I8597" i="79"/>
  <c r="A8596" i="80" s="1"/>
  <c r="C8647" i="79"/>
  <c r="C8697" i="79" s="1"/>
  <c r="C8721" i="79"/>
  <c r="C8731" i="79"/>
  <c r="C8781" i="79" s="1"/>
  <c r="C8831" i="79" s="1"/>
  <c r="C8881" i="79" s="1"/>
  <c r="C8931" i="79" s="1"/>
  <c r="C8981" i="79" s="1"/>
  <c r="C9031" i="79" s="1"/>
  <c r="C9081" i="79" s="1"/>
  <c r="C9131" i="79" s="1"/>
  <c r="C9181" i="79" s="1"/>
  <c r="C9231" i="79" s="1"/>
  <c r="C9281" i="79" s="1"/>
  <c r="C9331" i="79" s="1"/>
  <c r="C9381" i="79" s="1"/>
  <c r="C9431" i="79" s="1"/>
  <c r="C9481" i="79" s="1"/>
  <c r="C9531" i="79" s="1"/>
  <c r="C9581" i="79" s="1"/>
  <c r="C9631" i="79" s="1"/>
  <c r="C9681" i="79" s="1"/>
  <c r="C9731" i="79" s="1"/>
  <c r="C9781" i="79" s="1"/>
  <c r="C9831" i="79" s="1"/>
  <c r="C9881" i="79" s="1"/>
  <c r="C9931" i="79" s="1"/>
  <c r="C9981" i="79" s="1"/>
  <c r="C10031" i="79" s="1"/>
  <c r="C10081" i="79" s="1"/>
  <c r="C10131" i="79" s="1"/>
  <c r="C10181" i="79" s="1"/>
  <c r="C10231" i="79" s="1"/>
  <c r="C10281" i="79" s="1"/>
  <c r="C10331" i="79" s="1"/>
  <c r="C10381" i="79" s="1"/>
  <c r="C10431" i="79" s="1"/>
  <c r="C10481" i="79" s="1"/>
  <c r="C10531" i="79" s="1"/>
  <c r="C10581" i="79" s="1"/>
  <c r="C10631" i="79" s="1"/>
  <c r="C10681" i="79" s="1"/>
  <c r="C10731" i="79" s="1"/>
  <c r="C10781" i="79" s="1"/>
  <c r="C10831" i="79" s="1"/>
  <c r="C10881" i="79" s="1"/>
  <c r="C10931" i="79" s="1"/>
  <c r="C10981" i="79" s="1"/>
  <c r="C8771" i="79"/>
  <c r="I8647" i="79"/>
  <c r="A8646" i="80" s="1"/>
  <c r="C8702" i="79"/>
  <c r="I8702" i="79" s="1"/>
  <c r="A8701" i="80" s="1"/>
  <c r="C8821" i="79"/>
  <c r="C8752" i="79"/>
  <c r="C8802" i="79" s="1"/>
  <c r="C8871" i="79"/>
  <c r="I8752" i="79"/>
  <c r="A8751" i="80" s="1"/>
  <c r="C8921" i="79"/>
  <c r="C8971" i="79"/>
  <c r="C9021" i="79" s="1"/>
  <c r="C9071" i="79" s="1"/>
  <c r="C9121" i="79" s="1"/>
  <c r="C9171" i="79" s="1"/>
  <c r="C9221" i="79" s="1"/>
  <c r="C9271" i="79" s="1"/>
  <c r="C9321" i="79" s="1"/>
  <c r="C9371" i="79" s="1"/>
  <c r="C9421" i="79" s="1"/>
  <c r="C9471" i="79" s="1"/>
  <c r="C9521" i="79" s="1"/>
  <c r="C9571" i="79" s="1"/>
  <c r="C9621" i="79" s="1"/>
  <c r="C9671" i="79" s="1"/>
  <c r="C9721" i="79" s="1"/>
  <c r="C9771" i="79" s="1"/>
  <c r="C9821" i="79" s="1"/>
  <c r="C9871" i="79" s="1"/>
  <c r="C9921" i="79" s="1"/>
  <c r="C9971" i="79" s="1"/>
  <c r="C10021" i="79" s="1"/>
  <c r="C10071" i="79" s="1"/>
  <c r="C10121" i="79" s="1"/>
  <c r="C10171" i="79" s="1"/>
  <c r="C10221" i="79" s="1"/>
  <c r="C10271" i="79" s="1"/>
  <c r="C10321" i="79" s="1"/>
  <c r="C10371" i="79" s="1"/>
  <c r="C10421" i="79" s="1"/>
  <c r="C10471" i="79" s="1"/>
  <c r="C10521" i="79" s="1"/>
  <c r="C10571" i="79" s="1"/>
  <c r="C10621" i="79" s="1"/>
  <c r="C10671" i="79" s="1"/>
  <c r="C10721" i="79" s="1"/>
  <c r="C10771" i="79" s="1"/>
  <c r="C10821" i="79" s="1"/>
  <c r="C10871" i="79" s="1"/>
  <c r="C10921" i="79" s="1"/>
  <c r="C10971" i="79" s="1"/>
  <c r="C10936" i="79"/>
  <c r="C10986" i="79" s="1"/>
  <c r="C11036" i="79" s="1"/>
  <c r="C11086" i="79" s="1"/>
  <c r="C11136" i="79" s="1"/>
  <c r="C11186" i="79" s="1"/>
  <c r="C11236" i="79" s="1"/>
  <c r="C11286" i="79" s="1"/>
  <c r="C11336" i="79" s="1"/>
  <c r="C11386" i="79" s="1"/>
  <c r="C11436" i="79" s="1"/>
  <c r="C11486" i="79" s="1"/>
  <c r="C11536" i="79" s="1"/>
  <c r="C11586" i="79" s="1"/>
  <c r="C11636" i="79" s="1"/>
  <c r="C11686" i="79" s="1"/>
  <c r="C11736" i="79" s="1"/>
  <c r="C11786" i="79" s="1"/>
  <c r="C11836" i="79" s="1"/>
  <c r="C11886" i="79" s="1"/>
  <c r="C11936" i="79" s="1"/>
  <c r="C11986" i="79" s="1"/>
  <c r="C12036" i="79" s="1"/>
  <c r="C12086" i="79" s="1"/>
  <c r="C12136" i="79" s="1"/>
  <c r="C12186" i="79" s="1"/>
  <c r="C12236" i="79" s="1"/>
  <c r="C12286" i="79" s="1"/>
  <c r="C12336" i="79" s="1"/>
  <c r="C12386" i="79" s="1"/>
  <c r="C12436" i="79" s="1"/>
  <c r="C12486" i="79" s="1"/>
  <c r="C12536" i="79" s="1"/>
  <c r="C12586" i="79" s="1"/>
  <c r="C12636" i="79" s="1"/>
  <c r="C12686" i="79" s="1"/>
  <c r="C12736" i="79" s="1"/>
  <c r="C12786" i="79" s="1"/>
  <c r="C12836" i="79" s="1"/>
  <c r="C12886" i="79" s="1"/>
  <c r="C12936" i="79" s="1"/>
  <c r="C12986" i="79" s="1"/>
  <c r="C13036" i="79" s="1"/>
  <c r="C13086" i="79" s="1"/>
  <c r="C13136" i="79" s="1"/>
  <c r="C13186" i="79" s="1"/>
  <c r="C13236" i="79" s="1"/>
  <c r="C13286" i="79" s="1"/>
  <c r="C13336" i="79" s="1"/>
  <c r="C13386" i="79" s="1"/>
  <c r="C13436" i="79" s="1"/>
  <c r="C11031" i="79"/>
  <c r="C11021" i="79"/>
  <c r="C10946" i="79"/>
  <c r="C11011" i="79"/>
  <c r="C10966" i="79"/>
  <c r="C11016" i="79" s="1"/>
  <c r="C11066" i="79" s="1"/>
  <c r="C11116" i="79" s="1"/>
  <c r="C11166" i="79" s="1"/>
  <c r="C11216" i="79" s="1"/>
  <c r="C11266" i="79" s="1"/>
  <c r="C11316" i="79" s="1"/>
  <c r="C11366" i="79" s="1"/>
  <c r="C11416" i="79" s="1"/>
  <c r="C11466" i="79" s="1"/>
  <c r="C11516" i="79" s="1"/>
  <c r="C11566" i="79" s="1"/>
  <c r="C11616" i="79" s="1"/>
  <c r="C11666" i="79" s="1"/>
  <c r="C11716" i="79" s="1"/>
  <c r="C11766" i="79" s="1"/>
  <c r="C11816" i="79" s="1"/>
  <c r="C11866" i="79" s="1"/>
  <c r="C11916" i="79" s="1"/>
  <c r="C11966" i="79" s="1"/>
  <c r="C12016" i="79" s="1"/>
  <c r="C12066" i="79" s="1"/>
  <c r="C12116" i="79" s="1"/>
  <c r="C12166" i="79" s="1"/>
  <c r="C12216" i="79" s="1"/>
  <c r="C12266" i="79" s="1"/>
  <c r="C12316" i="79" s="1"/>
  <c r="C12366" i="79" s="1"/>
  <c r="C12416" i="79" s="1"/>
  <c r="C12466" i="79" s="1"/>
  <c r="C12516" i="79" s="1"/>
  <c r="C12566" i="79" s="1"/>
  <c r="C12616" i="79" s="1"/>
  <c r="C12666" i="79" s="1"/>
  <c r="C12716" i="79" s="1"/>
  <c r="C12766" i="79" s="1"/>
  <c r="C12816" i="79" s="1"/>
  <c r="C12866" i="79" s="1"/>
  <c r="C12916" i="79" s="1"/>
  <c r="C12966" i="79" s="1"/>
  <c r="C13016" i="79" s="1"/>
  <c r="C13066" i="79" s="1"/>
  <c r="C13116" i="79" s="1"/>
  <c r="C13166" i="79" s="1"/>
  <c r="C13216" i="79" s="1"/>
  <c r="C13266" i="79" s="1"/>
  <c r="C13316" i="79" s="1"/>
  <c r="C13366" i="79" s="1"/>
  <c r="C13416" i="79" s="1"/>
  <c r="C10991" i="79"/>
  <c r="C11026" i="79"/>
  <c r="C11081" i="79"/>
  <c r="C11041" i="79"/>
  <c r="C11091" i="79" s="1"/>
  <c r="C11141" i="79" s="1"/>
  <c r="C11191" i="79" s="1"/>
  <c r="C11241" i="79" s="1"/>
  <c r="C11291" i="79" s="1"/>
  <c r="C11341" i="79" s="1"/>
  <c r="C11391" i="79" s="1"/>
  <c r="C11441" i="79" s="1"/>
  <c r="C11491" i="79" s="1"/>
  <c r="C11541" i="79" s="1"/>
  <c r="C11591" i="79" s="1"/>
  <c r="C11641" i="79" s="1"/>
  <c r="C11691" i="79" s="1"/>
  <c r="C11741" i="79" s="1"/>
  <c r="C11791" i="79" s="1"/>
  <c r="C11841" i="79" s="1"/>
  <c r="C11891" i="79" s="1"/>
  <c r="C11941" i="79" s="1"/>
  <c r="C11991" i="79" s="1"/>
  <c r="C12041" i="79" s="1"/>
  <c r="C12091" i="79" s="1"/>
  <c r="C12141" i="79" s="1"/>
  <c r="C12191" i="79" s="1"/>
  <c r="C12241" i="79" s="1"/>
  <c r="C12291" i="79" s="1"/>
  <c r="C12341" i="79" s="1"/>
  <c r="C12391" i="79" s="1"/>
  <c r="C12441" i="79" s="1"/>
  <c r="C12491" i="79" s="1"/>
  <c r="C12541" i="79" s="1"/>
  <c r="C12591" i="79" s="1"/>
  <c r="C12641" i="79" s="1"/>
  <c r="C12691" i="79" s="1"/>
  <c r="C12741" i="79" s="1"/>
  <c r="C12791" i="79" s="1"/>
  <c r="C12841" i="79" s="1"/>
  <c r="C12891" i="79" s="1"/>
  <c r="C12941" i="79" s="1"/>
  <c r="C12991" i="79" s="1"/>
  <c r="C13041" i="79" s="1"/>
  <c r="C13091" i="79" s="1"/>
  <c r="C13141" i="79" s="1"/>
  <c r="C13191" i="79" s="1"/>
  <c r="C13241" i="79" s="1"/>
  <c r="C13291" i="79" s="1"/>
  <c r="C13341" i="79" s="1"/>
  <c r="C13391" i="79" s="1"/>
  <c r="C13441" i="79" s="1"/>
  <c r="C11076" i="79"/>
  <c r="C11061" i="79"/>
  <c r="C11111" i="79" s="1"/>
  <c r="C11161" i="79" s="1"/>
  <c r="C11211" i="79" s="1"/>
  <c r="C11261" i="79" s="1"/>
  <c r="C11311" i="79" s="1"/>
  <c r="C11361" i="79" s="1"/>
  <c r="C11411" i="79" s="1"/>
  <c r="C11461" i="79" s="1"/>
  <c r="C11511" i="79" s="1"/>
  <c r="C11561" i="79" s="1"/>
  <c r="C11611" i="79" s="1"/>
  <c r="C11661" i="79" s="1"/>
  <c r="C11711" i="79" s="1"/>
  <c r="C11761" i="79" s="1"/>
  <c r="C11811" i="79" s="1"/>
  <c r="C11861" i="79" s="1"/>
  <c r="C11911" i="79" s="1"/>
  <c r="C11961" i="79" s="1"/>
  <c r="C12011" i="79" s="1"/>
  <c r="C12061" i="79" s="1"/>
  <c r="C12111" i="79" s="1"/>
  <c r="C12161" i="79" s="1"/>
  <c r="C12211" i="79" s="1"/>
  <c r="C12261" i="79" s="1"/>
  <c r="C12311" i="79" s="1"/>
  <c r="C12361" i="79" s="1"/>
  <c r="C12411" i="79" s="1"/>
  <c r="C12461" i="79" s="1"/>
  <c r="C12511" i="79" s="1"/>
  <c r="C12561" i="79" s="1"/>
  <c r="C12611" i="79" s="1"/>
  <c r="C12661" i="79" s="1"/>
  <c r="C12711" i="79" s="1"/>
  <c r="C12761" i="79" s="1"/>
  <c r="C12811" i="79" s="1"/>
  <c r="C12861" i="79" s="1"/>
  <c r="C12911" i="79" s="1"/>
  <c r="C12961" i="79" s="1"/>
  <c r="C13011" i="79" s="1"/>
  <c r="C13061" i="79" s="1"/>
  <c r="C13111" i="79" s="1"/>
  <c r="C13161" i="79" s="1"/>
  <c r="C13211" i="79" s="1"/>
  <c r="C13261" i="79" s="1"/>
  <c r="C13311" i="79" s="1"/>
  <c r="C13361" i="79" s="1"/>
  <c r="C13411" i="79" s="1"/>
  <c r="C13461" i="79" s="1"/>
  <c r="C10996" i="79"/>
  <c r="C11071" i="79"/>
  <c r="C11121" i="79" s="1"/>
  <c r="C11171" i="79" s="1"/>
  <c r="C11221" i="79" s="1"/>
  <c r="C11271" i="79" s="1"/>
  <c r="C11321" i="79" s="1"/>
  <c r="C11371" i="79" s="1"/>
  <c r="C11421" i="79" s="1"/>
  <c r="C11471" i="79" s="1"/>
  <c r="C11521" i="79" s="1"/>
  <c r="C11571" i="79" s="1"/>
  <c r="C11621" i="79" s="1"/>
  <c r="C11671" i="79" s="1"/>
  <c r="C11721" i="79" s="1"/>
  <c r="C11771" i="79" s="1"/>
  <c r="C11821" i="79" s="1"/>
  <c r="C11871" i="79" s="1"/>
  <c r="C11921" i="79" s="1"/>
  <c r="C11971" i="79" s="1"/>
  <c r="C12021" i="79" s="1"/>
  <c r="C12071" i="79" s="1"/>
  <c r="C12121" i="79" s="1"/>
  <c r="C12171" i="79" s="1"/>
  <c r="C12221" i="79" s="1"/>
  <c r="C12271" i="79" s="1"/>
  <c r="C12321" i="79" s="1"/>
  <c r="C12371" i="79" s="1"/>
  <c r="C12421" i="79" s="1"/>
  <c r="C12471" i="79" s="1"/>
  <c r="C12521" i="79" s="1"/>
  <c r="C12571" i="79" s="1"/>
  <c r="C12621" i="79" s="1"/>
  <c r="C12671" i="79" s="1"/>
  <c r="C12721" i="79" s="1"/>
  <c r="C12771" i="79" s="1"/>
  <c r="C12821" i="79" s="1"/>
  <c r="C12871" i="79" s="1"/>
  <c r="C12921" i="79" s="1"/>
  <c r="C12971" i="79" s="1"/>
  <c r="C13021" i="79" s="1"/>
  <c r="C13071" i="79" s="1"/>
  <c r="C13121" i="79" s="1"/>
  <c r="C13171" i="79" s="1"/>
  <c r="C13221" i="79" s="1"/>
  <c r="C13271" i="79" s="1"/>
  <c r="C13321" i="79" s="1"/>
  <c r="C13371" i="79" s="1"/>
  <c r="C13421" i="79" s="1"/>
  <c r="C13471" i="79" s="1"/>
  <c r="C11131" i="79"/>
  <c r="C11046" i="79"/>
  <c r="C11126" i="79"/>
  <c r="C11176" i="79" s="1"/>
  <c r="C11226" i="79" s="1"/>
  <c r="C11276" i="79" s="1"/>
  <c r="C11326" i="79" s="1"/>
  <c r="C11376" i="79" s="1"/>
  <c r="C11426" i="79" s="1"/>
  <c r="C11476" i="79" s="1"/>
  <c r="C11526" i="79" s="1"/>
  <c r="C11576" i="79" s="1"/>
  <c r="C11626" i="79" s="1"/>
  <c r="C11676" i="79" s="1"/>
  <c r="C11726" i="79" s="1"/>
  <c r="C11776" i="79" s="1"/>
  <c r="C11826" i="79" s="1"/>
  <c r="C11876" i="79" s="1"/>
  <c r="C11926" i="79" s="1"/>
  <c r="C11976" i="79" s="1"/>
  <c r="C12026" i="79" s="1"/>
  <c r="C12076" i="79" s="1"/>
  <c r="C12126" i="79" s="1"/>
  <c r="C12176" i="79" s="1"/>
  <c r="C12226" i="79" s="1"/>
  <c r="C12276" i="79" s="1"/>
  <c r="C12326" i="79" s="1"/>
  <c r="C12376" i="79" s="1"/>
  <c r="C12426" i="79" s="1"/>
  <c r="C12476" i="79" s="1"/>
  <c r="C12526" i="79" s="1"/>
  <c r="C12576" i="79" s="1"/>
  <c r="C12626" i="79" s="1"/>
  <c r="C12676" i="79" s="1"/>
  <c r="C12726" i="79" s="1"/>
  <c r="C12776" i="79" s="1"/>
  <c r="C12826" i="79" s="1"/>
  <c r="C12876" i="79" s="1"/>
  <c r="C12926" i="79" s="1"/>
  <c r="C12976" i="79" s="1"/>
  <c r="C13026" i="79" s="1"/>
  <c r="C13076" i="79" s="1"/>
  <c r="C13126" i="79" s="1"/>
  <c r="C13176" i="79" s="1"/>
  <c r="C13226" i="79" s="1"/>
  <c r="C13276" i="79" s="1"/>
  <c r="C13326" i="79" s="1"/>
  <c r="C13376" i="79" s="1"/>
  <c r="C13426" i="79" s="1"/>
  <c r="C13476" i="79" s="1"/>
  <c r="C11181" i="79"/>
  <c r="C11096" i="79"/>
  <c r="C11146" i="79" s="1"/>
  <c r="C11196" i="79" s="1"/>
  <c r="C11246" i="79" s="1"/>
  <c r="C11296" i="79" s="1"/>
  <c r="C11346" i="79" s="1"/>
  <c r="C11396" i="79" s="1"/>
  <c r="C11446" i="79" s="1"/>
  <c r="C11496" i="79" s="1"/>
  <c r="C11546" i="79" s="1"/>
  <c r="C11596" i="79" s="1"/>
  <c r="C11646" i="79" s="1"/>
  <c r="C11696" i="79" s="1"/>
  <c r="C11746" i="79" s="1"/>
  <c r="C11796" i="79" s="1"/>
  <c r="C11846" i="79" s="1"/>
  <c r="C11896" i="79" s="1"/>
  <c r="C11946" i="79" s="1"/>
  <c r="C11996" i="79" s="1"/>
  <c r="C12046" i="79" s="1"/>
  <c r="C12096" i="79" s="1"/>
  <c r="C12146" i="79" s="1"/>
  <c r="C12196" i="79" s="1"/>
  <c r="C12246" i="79" s="1"/>
  <c r="C12296" i="79" s="1"/>
  <c r="C12346" i="79" s="1"/>
  <c r="C12396" i="79" s="1"/>
  <c r="C12446" i="79" s="1"/>
  <c r="C12496" i="79" s="1"/>
  <c r="C12546" i="79" s="1"/>
  <c r="C12596" i="79" s="1"/>
  <c r="C12646" i="79" s="1"/>
  <c r="C12696" i="79" s="1"/>
  <c r="C12746" i="79" s="1"/>
  <c r="C12796" i="79" s="1"/>
  <c r="C12846" i="79" s="1"/>
  <c r="C12896" i="79" s="1"/>
  <c r="C12946" i="79" s="1"/>
  <c r="C12996" i="79" s="1"/>
  <c r="C13046" i="79" s="1"/>
  <c r="C13096" i="79" s="1"/>
  <c r="C13146" i="79" s="1"/>
  <c r="C13196" i="79" s="1"/>
  <c r="C13246" i="79" s="1"/>
  <c r="C13296" i="79" s="1"/>
  <c r="C13346" i="79" s="1"/>
  <c r="C13396" i="79" s="1"/>
  <c r="C11231" i="79"/>
  <c r="C11281" i="79"/>
  <c r="C11331" i="79"/>
  <c r="C11381" i="79" s="1"/>
  <c r="C11431" i="79" s="1"/>
  <c r="C11481" i="79" s="1"/>
  <c r="C11531" i="79" s="1"/>
  <c r="C11581" i="79" s="1"/>
  <c r="C11631" i="79" s="1"/>
  <c r="C11681" i="79" s="1"/>
  <c r="C11731" i="79" s="1"/>
  <c r="C11781" i="79" s="1"/>
  <c r="C11831" i="79" s="1"/>
  <c r="C11881" i="79" s="1"/>
  <c r="C11931" i="79" s="1"/>
  <c r="C11981" i="79" s="1"/>
  <c r="C12031" i="79" s="1"/>
  <c r="C12081" i="79" s="1"/>
  <c r="C12131" i="79" s="1"/>
  <c r="C12181" i="79" s="1"/>
  <c r="C12231" i="79" s="1"/>
  <c r="C12281" i="79" s="1"/>
  <c r="C12331" i="79" s="1"/>
  <c r="C12381" i="79" s="1"/>
  <c r="C12431" i="79" s="1"/>
  <c r="C12481" i="79" s="1"/>
  <c r="C12531" i="79" s="1"/>
  <c r="C12581" i="79" s="1"/>
  <c r="C12631" i="79" s="1"/>
  <c r="C12681" i="79" s="1"/>
  <c r="C12731" i="79" s="1"/>
  <c r="C12781" i="79" s="1"/>
  <c r="C12831" i="79" s="1"/>
  <c r="C12881" i="79" s="1"/>
  <c r="C12931" i="79" s="1"/>
  <c r="C12981" i="79" s="1"/>
  <c r="C13031" i="79" s="1"/>
  <c r="C13081" i="79" s="1"/>
  <c r="C13131" i="79" s="1"/>
  <c r="C13181" i="79" s="1"/>
  <c r="C13231" i="79" s="1"/>
  <c r="C13281" i="79" s="1"/>
  <c r="C13331" i="79" s="1"/>
  <c r="C13381" i="79" s="1"/>
  <c r="C13431" i="79" s="1"/>
  <c r="C13481" i="79" s="1"/>
  <c r="A82" i="7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A105" i="71" s="1"/>
  <c r="A106" i="71" s="1"/>
  <c r="A107" i="71" s="1"/>
  <c r="A108" i="71" s="1"/>
  <c r="A109" i="71" s="1"/>
  <c r="A110" i="71" s="1"/>
  <c r="A111" i="71" s="1"/>
  <c r="A112" i="71" s="1"/>
  <c r="A113" i="71" s="1"/>
  <c r="A114" i="71" s="1"/>
  <c r="A115" i="71" s="1"/>
  <c r="A116" i="71" s="1"/>
  <c r="A117" i="71" s="1"/>
  <c r="A118" i="71" s="1"/>
  <c r="A119" i="71" s="1"/>
  <c r="A120" i="71" s="1"/>
  <c r="A121" i="71" s="1"/>
  <c r="A122" i="71" s="1"/>
  <c r="A123" i="71" s="1"/>
  <c r="A124" i="71" s="1"/>
  <c r="A125" i="71" s="1"/>
  <c r="A126" i="71" s="1"/>
  <c r="A127" i="71" s="1"/>
  <c r="A128" i="71" s="1"/>
  <c r="A129" i="71" s="1"/>
  <c r="A130" i="71" s="1"/>
  <c r="A131" i="71" s="1"/>
  <c r="A132" i="71" s="1"/>
  <c r="A133" i="71" s="1"/>
  <c r="A134" i="71" s="1"/>
  <c r="A135" i="71" s="1"/>
  <c r="A136" i="71" s="1"/>
  <c r="A137" i="71" s="1"/>
  <c r="A138" i="71" s="1"/>
  <c r="A139" i="71" s="1"/>
  <c r="A140" i="71" s="1"/>
  <c r="A141" i="71" s="1"/>
  <c r="A142" i="71" s="1"/>
  <c r="A143" i="71" s="1"/>
  <c r="A144" i="71" s="1"/>
  <c r="A145" i="71" s="1"/>
  <c r="A146" i="71" s="1"/>
  <c r="A147" i="71" s="1"/>
  <c r="A148" i="71" s="1"/>
  <c r="A149" i="71" s="1"/>
  <c r="A150" i="71" s="1"/>
  <c r="A151" i="71" s="1"/>
  <c r="A152" i="71" s="1"/>
  <c r="A153" i="71" s="1"/>
  <c r="A154" i="71" s="1"/>
  <c r="A155" i="71" s="1"/>
  <c r="A156" i="71" s="1"/>
  <c r="A157" i="71" s="1"/>
  <c r="A158" i="71" s="1"/>
  <c r="A159" i="71" s="1"/>
  <c r="A160" i="71" s="1"/>
  <c r="A161" i="71" s="1"/>
  <c r="A162" i="71" s="1"/>
  <c r="A163" i="71" s="1"/>
  <c r="A164" i="71" s="1"/>
  <c r="A165" i="71" s="1"/>
  <c r="A166" i="71" s="1"/>
  <c r="A167" i="71" s="1"/>
  <c r="A168" i="71" s="1"/>
  <c r="A169" i="71" s="1"/>
  <c r="A170" i="71" s="1"/>
  <c r="A171" i="71" s="1"/>
  <c r="A172" i="71" s="1"/>
  <c r="A173" i="71" s="1"/>
  <c r="A174" i="71" s="1"/>
  <c r="A175" i="71" s="1"/>
  <c r="A176" i="71" s="1"/>
  <c r="A177" i="71" s="1"/>
  <c r="A178" i="71" s="1"/>
  <c r="A179" i="71" s="1"/>
  <c r="A180" i="71" s="1"/>
  <c r="A181" i="71" s="1"/>
  <c r="A182" i="71" s="1"/>
  <c r="A183" i="71" s="1"/>
  <c r="A184" i="71" s="1"/>
  <c r="A185" i="71" s="1"/>
  <c r="A186" i="71" s="1"/>
  <c r="A187" i="71" s="1"/>
  <c r="A188" i="71" s="1"/>
  <c r="A189" i="71" s="1"/>
  <c r="A190" i="71" s="1"/>
  <c r="A191" i="71" s="1"/>
  <c r="A192" i="71" s="1"/>
  <c r="A193" i="71" s="1"/>
  <c r="A194" i="71" s="1"/>
  <c r="A195" i="71" s="1"/>
  <c r="H14" i="24"/>
  <c r="E14" i="24"/>
  <c r="D14" i="24"/>
  <c r="B32" i="62"/>
  <c r="B31" i="62"/>
  <c r="B27" i="62"/>
  <c r="C32" i="75"/>
  <c r="C31" i="75"/>
  <c r="C27" i="75"/>
  <c r="C21" i="75"/>
  <c r="C21" i="62"/>
  <c r="I7506" i="79"/>
  <c r="A7505" i="80"/>
  <c r="I7501" i="79"/>
  <c r="A7500" i="80"/>
  <c r="I7496" i="79"/>
  <c r="A7495" i="80"/>
  <c r="I7491" i="79"/>
  <c r="A7490" i="80"/>
  <c r="I7486" i="79"/>
  <c r="A7485" i="80"/>
  <c r="I7481" i="79"/>
  <c r="A7480" i="80"/>
  <c r="I7476" i="79"/>
  <c r="A7475" i="80"/>
  <c r="I7471" i="79"/>
  <c r="A7470" i="80"/>
  <c r="I7466" i="79"/>
  <c r="A7465" i="80"/>
  <c r="I7461" i="79"/>
  <c r="A7460" i="80"/>
  <c r="I7556" i="79"/>
  <c r="A7555" i="80"/>
  <c r="I7551" i="79"/>
  <c r="A7550" i="80"/>
  <c r="I7546" i="79"/>
  <c r="A7545" i="80"/>
  <c r="I7541" i="79"/>
  <c r="A7540" i="80"/>
  <c r="I7536" i="79"/>
  <c r="A7535" i="80"/>
  <c r="I7531" i="79"/>
  <c r="A7530" i="80"/>
  <c r="I7526" i="79"/>
  <c r="A7525" i="80"/>
  <c r="I7521" i="79"/>
  <c r="A7520" i="80"/>
  <c r="I7516" i="79"/>
  <c r="A7515" i="80"/>
  <c r="I7511" i="79"/>
  <c r="A7510" i="80"/>
  <c r="I7606" i="79"/>
  <c r="A7605" i="80"/>
  <c r="I7601" i="79"/>
  <c r="A7600" i="80"/>
  <c r="I7596" i="79"/>
  <c r="A7595" i="80"/>
  <c r="I7591" i="79"/>
  <c r="A7590" i="80"/>
  <c r="I7586" i="79"/>
  <c r="A7585" i="80"/>
  <c r="I7581" i="79"/>
  <c r="A7580" i="80"/>
  <c r="I7576" i="79"/>
  <c r="A7575" i="80"/>
  <c r="I7571" i="79"/>
  <c r="A7570" i="80"/>
  <c r="I7566" i="79"/>
  <c r="A7565" i="80"/>
  <c r="I7561" i="79"/>
  <c r="A7560" i="80"/>
  <c r="F9" i="79"/>
  <c r="A8" i="80" s="1"/>
  <c r="F10" i="79"/>
  <c r="A9" i="80"/>
  <c r="E15" i="75"/>
  <c r="A3" i="79"/>
  <c r="A4" i="79" s="1"/>
  <c r="A5" i="79" s="1"/>
  <c r="A6" i="79" s="1"/>
  <c r="A7" i="79" s="1"/>
  <c r="A8" i="79" s="1"/>
  <c r="A9" i="79" s="1"/>
  <c r="A10" i="79" s="1"/>
  <c r="A11" i="79" s="1"/>
  <c r="A12" i="79" s="1"/>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 r="A1015" i="79" s="1"/>
  <c r="A1016" i="79" s="1"/>
  <c r="A1017" i="79" s="1"/>
  <c r="A1018" i="79" s="1"/>
  <c r="A1019" i="79" s="1"/>
  <c r="A1020" i="79" s="1"/>
  <c r="A1021" i="79" s="1"/>
  <c r="A1022" i="79" s="1"/>
  <c r="A1023" i="79" s="1"/>
  <c r="A1024" i="79" s="1"/>
  <c r="A1025" i="79" s="1"/>
  <c r="A1026" i="79" s="1"/>
  <c r="A1027" i="79" s="1"/>
  <c r="A1028" i="79" s="1"/>
  <c r="A1029" i="79" s="1"/>
  <c r="A1030" i="79" s="1"/>
  <c r="A1031" i="79" s="1"/>
  <c r="A1032" i="79" s="1"/>
  <c r="A1033" i="79" s="1"/>
  <c r="A1034" i="79" s="1"/>
  <c r="A1035" i="79" s="1"/>
  <c r="A1036" i="79" s="1"/>
  <c r="A1037" i="79" s="1"/>
  <c r="A1038" i="79" s="1"/>
  <c r="A1039" i="79" s="1"/>
  <c r="A1040" i="79" s="1"/>
  <c r="A1041" i="79" s="1"/>
  <c r="A1042" i="79" s="1"/>
  <c r="A1043" i="79" s="1"/>
  <c r="A1044" i="79" s="1"/>
  <c r="A1045" i="79" s="1"/>
  <c r="A1046" i="79" s="1"/>
  <c r="A1047" i="79" s="1"/>
  <c r="A1048" i="79" s="1"/>
  <c r="A1049" i="79" s="1"/>
  <c r="A1050" i="79" s="1"/>
  <c r="A1051" i="79" s="1"/>
  <c r="A1052" i="79" s="1"/>
  <c r="A1053" i="79" s="1"/>
  <c r="A1054" i="79" s="1"/>
  <c r="A1055" i="79" s="1"/>
  <c r="A1056" i="79" s="1"/>
  <c r="A1057" i="79" s="1"/>
  <c r="A1058" i="79" s="1"/>
  <c r="A1059" i="79" s="1"/>
  <c r="A1060" i="79" s="1"/>
  <c r="A1061" i="79" s="1"/>
  <c r="A1062" i="79" s="1"/>
  <c r="A1063" i="79" s="1"/>
  <c r="A1064" i="79" s="1"/>
  <c r="A1065" i="79" s="1"/>
  <c r="A1066" i="79" s="1"/>
  <c r="A1067" i="79" s="1"/>
  <c r="A1068" i="79" s="1"/>
  <c r="A1069" i="79" s="1"/>
  <c r="A1070" i="79" s="1"/>
  <c r="A1071" i="79" s="1"/>
  <c r="A1072" i="79" s="1"/>
  <c r="A1073" i="79" s="1"/>
  <c r="A1074" i="79" s="1"/>
  <c r="A1075" i="79" s="1"/>
  <c r="A1076" i="79" s="1"/>
  <c r="A1077" i="79" s="1"/>
  <c r="A1078" i="79" s="1"/>
  <c r="A1079" i="79" s="1"/>
  <c r="A1080" i="79" s="1"/>
  <c r="A1081" i="79" s="1"/>
  <c r="A1082" i="79" s="1"/>
  <c r="A1083" i="79" s="1"/>
  <c r="A1084" i="79" s="1"/>
  <c r="A1085" i="79" s="1"/>
  <c r="A1086" i="79" s="1"/>
  <c r="A1087" i="79" s="1"/>
  <c r="A1088" i="79" s="1"/>
  <c r="A1089" i="79" s="1"/>
  <c r="A1090" i="79" s="1"/>
  <c r="A1091" i="79" s="1"/>
  <c r="A1092" i="79" s="1"/>
  <c r="A1093" i="79" s="1"/>
  <c r="A1094" i="79" s="1"/>
  <c r="A1095" i="79" s="1"/>
  <c r="A1096" i="79" s="1"/>
  <c r="A1097" i="79" s="1"/>
  <c r="A1098" i="79" s="1"/>
  <c r="A1099" i="79" s="1"/>
  <c r="A1100" i="79" s="1"/>
  <c r="A1101" i="79" s="1"/>
  <c r="A1102" i="79" s="1"/>
  <c r="A1103" i="79" s="1"/>
  <c r="A1104" i="79" s="1"/>
  <c r="A1105" i="79" s="1"/>
  <c r="A1106" i="79" s="1"/>
  <c r="A1107" i="79" s="1"/>
  <c r="A1108" i="79" s="1"/>
  <c r="A1109" i="79" s="1"/>
  <c r="A1110" i="79" s="1"/>
  <c r="A1111" i="79" s="1"/>
  <c r="A1112" i="79" s="1"/>
  <c r="A1113" i="79" s="1"/>
  <c r="A1114" i="79" s="1"/>
  <c r="A1115" i="79" s="1"/>
  <c r="A1116" i="79" s="1"/>
  <c r="A1117" i="79" s="1"/>
  <c r="A1118" i="79" s="1"/>
  <c r="A1119" i="79" s="1"/>
  <c r="A1120" i="79" s="1"/>
  <c r="A1121" i="79" s="1"/>
  <c r="A1122" i="79" s="1"/>
  <c r="A1123" i="79" s="1"/>
  <c r="A1124" i="79" s="1"/>
  <c r="A1125" i="79" s="1"/>
  <c r="A1126" i="79" s="1"/>
  <c r="A1127" i="79" s="1"/>
  <c r="A1128" i="79" s="1"/>
  <c r="A1129" i="79" s="1"/>
  <c r="A1130" i="79" s="1"/>
  <c r="A1131" i="79" s="1"/>
  <c r="A1132" i="79" s="1"/>
  <c r="A1133" i="79" s="1"/>
  <c r="A1134" i="79" s="1"/>
  <c r="A1135" i="79" s="1"/>
  <c r="A1136" i="79" s="1"/>
  <c r="A1137" i="79" s="1"/>
  <c r="A1138" i="79" s="1"/>
  <c r="A1139" i="79" s="1"/>
  <c r="A1140" i="79" s="1"/>
  <c r="A1141" i="79" s="1"/>
  <c r="A1142" i="79" s="1"/>
  <c r="A1143" i="79" s="1"/>
  <c r="A1144" i="79" s="1"/>
  <c r="A1145" i="79" s="1"/>
  <c r="A1146" i="79" s="1"/>
  <c r="A1147" i="79" s="1"/>
  <c r="A1148" i="79" s="1"/>
  <c r="A1149" i="79" s="1"/>
  <c r="A1150" i="79" s="1"/>
  <c r="A1151" i="79" s="1"/>
  <c r="A1152" i="79" s="1"/>
  <c r="A1153" i="79" s="1"/>
  <c r="A1154" i="79" s="1"/>
  <c r="A1155" i="79" s="1"/>
  <c r="A1156" i="79" s="1"/>
  <c r="A1157" i="79" s="1"/>
  <c r="A1158" i="79" s="1"/>
  <c r="A1159" i="79" s="1"/>
  <c r="A1160" i="79" s="1"/>
  <c r="A1161" i="79" s="1"/>
  <c r="A1162" i="79" s="1"/>
  <c r="A1163" i="79" s="1"/>
  <c r="A1164" i="79" s="1"/>
  <c r="A1165" i="79" s="1"/>
  <c r="A1166" i="79" s="1"/>
  <c r="A1167" i="79" s="1"/>
  <c r="A1168" i="79" s="1"/>
  <c r="A1169" i="79" s="1"/>
  <c r="A1170" i="79" s="1"/>
  <c r="A1171" i="79" s="1"/>
  <c r="A1172" i="79" s="1"/>
  <c r="A1173" i="79" s="1"/>
  <c r="A1174" i="79" s="1"/>
  <c r="A1175" i="79" s="1"/>
  <c r="A1176" i="79" s="1"/>
  <c r="A1177" i="79" s="1"/>
  <c r="A1178" i="79" s="1"/>
  <c r="A1179" i="79" s="1"/>
  <c r="A1180" i="79" s="1"/>
  <c r="A1181" i="79" s="1"/>
  <c r="A1182" i="79" s="1"/>
  <c r="A1183" i="79" s="1"/>
  <c r="A1184" i="79" s="1"/>
  <c r="A1185" i="79" s="1"/>
  <c r="A1186" i="79" s="1"/>
  <c r="A1187" i="79" s="1"/>
  <c r="A1188" i="79" s="1"/>
  <c r="A1189" i="79" s="1"/>
  <c r="A1190" i="79" s="1"/>
  <c r="A1191" i="79" s="1"/>
  <c r="A1192" i="79" s="1"/>
  <c r="A1193" i="79" s="1"/>
  <c r="A1194" i="79" s="1"/>
  <c r="A1195" i="79" s="1"/>
  <c r="A1196" i="79" s="1"/>
  <c r="A1197" i="79" s="1"/>
  <c r="A1198" i="79" s="1"/>
  <c r="A1199" i="79" s="1"/>
  <c r="A1200" i="79" s="1"/>
  <c r="A1201" i="79" s="1"/>
  <c r="A1202" i="79" s="1"/>
  <c r="A1203" i="79" s="1"/>
  <c r="A1204" i="79" s="1"/>
  <c r="A1205" i="79" s="1"/>
  <c r="A1206" i="79" s="1"/>
  <c r="A1207" i="79" s="1"/>
  <c r="A1208" i="79" s="1"/>
  <c r="A1209" i="79" s="1"/>
  <c r="A1210" i="79" s="1"/>
  <c r="A1211" i="79" s="1"/>
  <c r="A1212" i="79" s="1"/>
  <c r="A1213" i="79" s="1"/>
  <c r="A1214" i="79" s="1"/>
  <c r="A1215" i="79" s="1"/>
  <c r="A1216" i="79" s="1"/>
  <c r="A1217" i="79" s="1"/>
  <c r="A1218" i="79" s="1"/>
  <c r="A1219" i="79" s="1"/>
  <c r="A1220" i="79" s="1"/>
  <c r="A1221" i="79" s="1"/>
  <c r="A1222" i="79" s="1"/>
  <c r="A1223" i="79" s="1"/>
  <c r="A1224" i="79" s="1"/>
  <c r="A1225" i="79" s="1"/>
  <c r="A1226" i="79" s="1"/>
  <c r="A1227" i="79" s="1"/>
  <c r="A1228" i="79" s="1"/>
  <c r="A1229" i="79" s="1"/>
  <c r="A1230" i="79" s="1"/>
  <c r="A1231" i="79" s="1"/>
  <c r="A1232" i="79" s="1"/>
  <c r="A1233" i="79" s="1"/>
  <c r="A1234" i="79" s="1"/>
  <c r="A1235" i="79" s="1"/>
  <c r="A1236" i="79" s="1"/>
  <c r="A1237" i="79" s="1"/>
  <c r="A1238" i="79" s="1"/>
  <c r="A1239" i="79" s="1"/>
  <c r="A1240" i="79" s="1"/>
  <c r="A1241" i="79" s="1"/>
  <c r="A1242" i="79" s="1"/>
  <c r="A1243" i="79" s="1"/>
  <c r="A1244" i="79" s="1"/>
  <c r="A1245" i="79" s="1"/>
  <c r="A1246" i="79" s="1"/>
  <c r="A1247" i="79" s="1"/>
  <c r="A1248" i="79" s="1"/>
  <c r="A1249" i="79" s="1"/>
  <c r="A1250" i="79" s="1"/>
  <c r="A1251" i="79" s="1"/>
  <c r="A1252" i="79" s="1"/>
  <c r="A1253" i="79" s="1"/>
  <c r="A1254" i="79" s="1"/>
  <c r="A1255" i="79" s="1"/>
  <c r="A1256" i="79" s="1"/>
  <c r="A1257" i="79" s="1"/>
  <c r="A1258" i="79" s="1"/>
  <c r="A1259" i="79" s="1"/>
  <c r="A1260" i="79" s="1"/>
  <c r="A1261" i="79" s="1"/>
  <c r="A1262" i="79" s="1"/>
  <c r="A1263" i="79" s="1"/>
  <c r="A1264" i="79" s="1"/>
  <c r="A1265" i="79" s="1"/>
  <c r="A1266" i="79" s="1"/>
  <c r="A1267" i="79" s="1"/>
  <c r="A1268" i="79" s="1"/>
  <c r="A1269" i="79" s="1"/>
  <c r="A1270" i="79" s="1"/>
  <c r="A1271" i="79" s="1"/>
  <c r="A1272" i="79" s="1"/>
  <c r="A1273" i="79" s="1"/>
  <c r="A1274" i="79" s="1"/>
  <c r="A1275" i="79" s="1"/>
  <c r="A1276" i="79" s="1"/>
  <c r="A1277" i="79" s="1"/>
  <c r="A1278" i="79" s="1"/>
  <c r="A1279" i="79" s="1"/>
  <c r="A1280" i="79" s="1"/>
  <c r="A1281" i="79" s="1"/>
  <c r="A1282" i="79" s="1"/>
  <c r="A1283" i="79" s="1"/>
  <c r="A1284" i="79" s="1"/>
  <c r="A1285" i="79" s="1"/>
  <c r="A1286" i="79" s="1"/>
  <c r="A1287" i="79" s="1"/>
  <c r="A1288" i="79" s="1"/>
  <c r="A1289" i="79" s="1"/>
  <c r="A1290" i="79" s="1"/>
  <c r="A1291" i="79" s="1"/>
  <c r="A1292" i="79" s="1"/>
  <c r="A1293" i="79" s="1"/>
  <c r="A1294" i="79" s="1"/>
  <c r="A1295" i="79" s="1"/>
  <c r="A1296" i="79" s="1"/>
  <c r="A1297" i="79" s="1"/>
  <c r="A1298" i="79" s="1"/>
  <c r="A1299" i="79" s="1"/>
  <c r="A1300" i="79" s="1"/>
  <c r="A1301" i="79" s="1"/>
  <c r="A1302" i="79" s="1"/>
  <c r="A1303" i="79" s="1"/>
  <c r="A1304" i="79" s="1"/>
  <c r="A1305" i="79" s="1"/>
  <c r="A1306" i="79" s="1"/>
  <c r="A1307" i="79" s="1"/>
  <c r="A1308" i="79" s="1"/>
  <c r="A1309" i="79" s="1"/>
  <c r="A1310" i="79" s="1"/>
  <c r="A1311" i="79" s="1"/>
  <c r="A1312" i="79" s="1"/>
  <c r="A1313" i="79" s="1"/>
  <c r="A1314" i="79" s="1"/>
  <c r="A1315" i="79" s="1"/>
  <c r="A1316" i="79" s="1"/>
  <c r="A1317" i="79" s="1"/>
  <c r="A1318" i="79" s="1"/>
  <c r="A1319" i="79" s="1"/>
  <c r="A1320" i="79" s="1"/>
  <c r="A1321" i="79" s="1"/>
  <c r="A1322" i="79" s="1"/>
  <c r="A1323" i="79" s="1"/>
  <c r="A1324" i="79" s="1"/>
  <c r="A1325" i="79" s="1"/>
  <c r="A1326" i="79" s="1"/>
  <c r="A1327" i="79" s="1"/>
  <c r="A1328" i="79" s="1"/>
  <c r="A1329" i="79" s="1"/>
  <c r="A1330" i="79" s="1"/>
  <c r="A1331" i="79" s="1"/>
  <c r="A1332" i="79" s="1"/>
  <c r="A1333" i="79" s="1"/>
  <c r="A1334" i="79" s="1"/>
  <c r="A1335" i="79" s="1"/>
  <c r="A1336" i="79" s="1"/>
  <c r="A1337" i="79" s="1"/>
  <c r="A1338" i="79" s="1"/>
  <c r="A1339" i="79" s="1"/>
  <c r="A1340" i="79" s="1"/>
  <c r="A1341" i="79" s="1"/>
  <c r="A1342" i="79" s="1"/>
  <c r="A1343" i="79" s="1"/>
  <c r="A1344" i="79" s="1"/>
  <c r="A1345" i="79" s="1"/>
  <c r="A1346" i="79" s="1"/>
  <c r="A1347" i="79" s="1"/>
  <c r="A1348" i="79" s="1"/>
  <c r="A1349" i="79" s="1"/>
  <c r="A1350" i="79" s="1"/>
  <c r="A1351" i="79" s="1"/>
  <c r="A1352" i="79" s="1"/>
  <c r="A1353" i="79" s="1"/>
  <c r="A1354" i="79" s="1"/>
  <c r="A1355" i="79" s="1"/>
  <c r="A1356" i="79" s="1"/>
  <c r="A1357" i="79" s="1"/>
  <c r="A1358" i="79" s="1"/>
  <c r="A1359" i="79" s="1"/>
  <c r="A1360" i="79" s="1"/>
  <c r="A1361" i="79" s="1"/>
  <c r="A1362" i="79" s="1"/>
  <c r="A1363" i="79" s="1"/>
  <c r="A1364" i="79" s="1"/>
  <c r="A1365" i="79" s="1"/>
  <c r="A1366" i="79" s="1"/>
  <c r="A1367" i="79" s="1"/>
  <c r="A1368" i="79" s="1"/>
  <c r="A1369" i="79" s="1"/>
  <c r="A1370" i="79" s="1"/>
  <c r="A1371" i="79" s="1"/>
  <c r="A1372" i="79" s="1"/>
  <c r="A1373" i="79" s="1"/>
  <c r="A1374" i="79" s="1"/>
  <c r="A1375" i="79" s="1"/>
  <c r="A1376" i="79" s="1"/>
  <c r="A1377" i="79" s="1"/>
  <c r="A1378" i="79" s="1"/>
  <c r="A1379" i="79" s="1"/>
  <c r="A1380" i="79" s="1"/>
  <c r="A1381" i="79" s="1"/>
  <c r="A1382" i="79" s="1"/>
  <c r="A1383" i="79" s="1"/>
  <c r="A1384" i="79" s="1"/>
  <c r="A1385" i="79" s="1"/>
  <c r="A1386" i="79" s="1"/>
  <c r="A1387" i="79" s="1"/>
  <c r="A1388" i="79" s="1"/>
  <c r="A1389" i="79" s="1"/>
  <c r="A1390" i="79" s="1"/>
  <c r="A1391" i="79" s="1"/>
  <c r="A1392" i="79" s="1"/>
  <c r="A1393" i="79" s="1"/>
  <c r="A1394" i="79" s="1"/>
  <c r="A1395" i="79" s="1"/>
  <c r="A1396" i="79" s="1"/>
  <c r="A1397" i="79" s="1"/>
  <c r="A1398" i="79" s="1"/>
  <c r="A1399" i="79" s="1"/>
  <c r="A1400" i="79" s="1"/>
  <c r="A1401" i="79" s="1"/>
  <c r="A1402" i="79" s="1"/>
  <c r="A1403" i="79" s="1"/>
  <c r="A1404" i="79" s="1"/>
  <c r="A1405" i="79" s="1"/>
  <c r="A1406" i="79" s="1"/>
  <c r="A1407" i="79" s="1"/>
  <c r="A1408" i="79" s="1"/>
  <c r="A1409" i="79" s="1"/>
  <c r="A1410" i="79" s="1"/>
  <c r="A1411" i="79" s="1"/>
  <c r="A1412" i="79" s="1"/>
  <c r="A1413" i="79" s="1"/>
  <c r="A1414" i="79" s="1"/>
  <c r="A1415" i="79" s="1"/>
  <c r="A1416" i="79" s="1"/>
  <c r="A1417" i="79" s="1"/>
  <c r="A1418" i="79" s="1"/>
  <c r="A1419" i="79" s="1"/>
  <c r="A1420" i="79" s="1"/>
  <c r="A1421" i="79" s="1"/>
  <c r="A1422" i="79" s="1"/>
  <c r="A1423" i="79" s="1"/>
  <c r="A1424" i="79" s="1"/>
  <c r="A1425" i="79" s="1"/>
  <c r="A1426" i="79" s="1"/>
  <c r="A1427" i="79" s="1"/>
  <c r="A1428" i="79" s="1"/>
  <c r="A1429" i="79" s="1"/>
  <c r="A1430" i="79" s="1"/>
  <c r="A1431" i="79" s="1"/>
  <c r="A1432" i="79" s="1"/>
  <c r="A1433" i="79" s="1"/>
  <c r="A1434" i="79" s="1"/>
  <c r="A1435" i="79" s="1"/>
  <c r="A1436" i="79" s="1"/>
  <c r="A1437" i="79" s="1"/>
  <c r="A1438" i="79" s="1"/>
  <c r="A1439" i="79" s="1"/>
  <c r="A1440" i="79" s="1"/>
  <c r="A1441" i="79" s="1"/>
  <c r="A1442" i="79" s="1"/>
  <c r="A1443" i="79" s="1"/>
  <c r="A1444" i="79" s="1"/>
  <c r="A1445" i="79" s="1"/>
  <c r="A1446" i="79" s="1"/>
  <c r="A1447" i="79" s="1"/>
  <c r="A1448" i="79" s="1"/>
  <c r="A1449" i="79" s="1"/>
  <c r="A1450" i="79" s="1"/>
  <c r="A1451" i="79" s="1"/>
  <c r="A1452" i="79" s="1"/>
  <c r="A1453" i="79" s="1"/>
  <c r="A1454" i="79" s="1"/>
  <c r="A1455" i="79" s="1"/>
  <c r="A1456" i="79" s="1"/>
  <c r="A1457" i="79" s="1"/>
  <c r="A1458" i="79" s="1"/>
  <c r="A1459" i="79" s="1"/>
  <c r="A1460" i="79" s="1"/>
  <c r="A1461" i="79" s="1"/>
  <c r="A1462" i="79" s="1"/>
  <c r="A1463" i="79" s="1"/>
  <c r="A1464" i="79" s="1"/>
  <c r="A1465" i="79" s="1"/>
  <c r="A1466" i="79" s="1"/>
  <c r="A1467" i="79" s="1"/>
  <c r="A1468" i="79" s="1"/>
  <c r="A1469" i="79" s="1"/>
  <c r="A1470" i="79" s="1"/>
  <c r="A1471" i="79" s="1"/>
  <c r="A1472" i="79" s="1"/>
  <c r="A1473" i="79" s="1"/>
  <c r="A1474" i="79" s="1"/>
  <c r="A1475" i="79" s="1"/>
  <c r="A1476" i="79" s="1"/>
  <c r="A1477" i="79" s="1"/>
  <c r="A1478" i="79" s="1"/>
  <c r="A1479" i="79" s="1"/>
  <c r="A1480" i="79" s="1"/>
  <c r="A1481" i="79" s="1"/>
  <c r="A1482" i="79" s="1"/>
  <c r="A1483" i="79" s="1"/>
  <c r="A1484" i="79" s="1"/>
  <c r="A1485" i="79" s="1"/>
  <c r="A1486" i="79" s="1"/>
  <c r="A1487" i="79" s="1"/>
  <c r="A1488" i="79" s="1"/>
  <c r="A1489" i="79" s="1"/>
  <c r="A1490" i="79" s="1"/>
  <c r="A1491" i="79" s="1"/>
  <c r="A1492" i="79" s="1"/>
  <c r="A1493" i="79" s="1"/>
  <c r="A1494" i="79" s="1"/>
  <c r="A1495" i="79" s="1"/>
  <c r="A1496" i="79" s="1"/>
  <c r="A1497" i="79" s="1"/>
  <c r="A1498" i="79" s="1"/>
  <c r="A1499" i="79" s="1"/>
  <c r="A1500" i="79" s="1"/>
  <c r="A1501" i="79" s="1"/>
  <c r="A1502" i="79" s="1"/>
  <c r="A1503" i="79" s="1"/>
  <c r="A1504" i="79" s="1"/>
  <c r="A1505" i="79" s="1"/>
  <c r="A1506" i="79" s="1"/>
  <c r="A1507" i="79" s="1"/>
  <c r="A1508" i="79" s="1"/>
  <c r="A1509" i="79" s="1"/>
  <c r="A1510" i="79" s="1"/>
  <c r="A1511" i="79" s="1"/>
  <c r="A1512" i="79" s="1"/>
  <c r="A1513" i="79" s="1"/>
  <c r="A1514" i="79" s="1"/>
  <c r="A1515" i="79" s="1"/>
  <c r="A1516" i="79" s="1"/>
  <c r="A1517" i="79" s="1"/>
  <c r="A1518" i="79" s="1"/>
  <c r="A1519" i="79" s="1"/>
  <c r="A1520" i="79" s="1"/>
  <c r="A1521" i="79" s="1"/>
  <c r="A1522" i="79" s="1"/>
  <c r="A1523" i="79" s="1"/>
  <c r="A1524" i="79" s="1"/>
  <c r="A1525" i="79" s="1"/>
  <c r="A1526" i="79" s="1"/>
  <c r="A1527" i="79" s="1"/>
  <c r="A1528" i="79" s="1"/>
  <c r="A1529" i="79" s="1"/>
  <c r="A1530" i="79" s="1"/>
  <c r="A1531" i="79" s="1"/>
  <c r="A1532" i="79" s="1"/>
  <c r="A1533" i="79" s="1"/>
  <c r="A1534" i="79" s="1"/>
  <c r="A1535" i="79" s="1"/>
  <c r="A1536" i="79" s="1"/>
  <c r="A1537" i="79" s="1"/>
  <c r="A1538" i="79" s="1"/>
  <c r="A1539" i="79" s="1"/>
  <c r="A1540" i="79" s="1"/>
  <c r="A1541" i="79" s="1"/>
  <c r="A1542" i="79" s="1"/>
  <c r="A1543" i="79" s="1"/>
  <c r="A1544" i="79" s="1"/>
  <c r="A1545" i="79" s="1"/>
  <c r="A1546" i="79" s="1"/>
  <c r="A1547" i="79" s="1"/>
  <c r="A1548" i="79" s="1"/>
  <c r="A1549" i="79" s="1"/>
  <c r="A1550" i="79" s="1"/>
  <c r="A1551" i="79" s="1"/>
  <c r="A1552" i="79" s="1"/>
  <c r="A1553" i="79" s="1"/>
  <c r="A1554" i="79" s="1"/>
  <c r="A1555" i="79" s="1"/>
  <c r="A1556" i="79" s="1"/>
  <c r="A1557" i="79" s="1"/>
  <c r="A1558" i="79" s="1"/>
  <c r="A1559" i="79" s="1"/>
  <c r="A1560" i="79" s="1"/>
  <c r="A1561" i="79" s="1"/>
  <c r="A1562" i="79" s="1"/>
  <c r="A1563" i="79" s="1"/>
  <c r="A1564" i="79" s="1"/>
  <c r="A1565" i="79" s="1"/>
  <c r="A1566" i="79" s="1"/>
  <c r="A1567" i="79" s="1"/>
  <c r="A1568" i="79" s="1"/>
  <c r="A1569" i="79" s="1"/>
  <c r="A1570" i="79" s="1"/>
  <c r="A1571" i="79" s="1"/>
  <c r="A1572" i="79" s="1"/>
  <c r="A1573" i="79" s="1"/>
  <c r="A1574" i="79" s="1"/>
  <c r="A1575" i="79" s="1"/>
  <c r="A1576" i="79" s="1"/>
  <c r="A1577" i="79" s="1"/>
  <c r="A1578" i="79" s="1"/>
  <c r="A1579" i="79" s="1"/>
  <c r="A1580" i="79" s="1"/>
  <c r="A1581" i="79" s="1"/>
  <c r="A1582" i="79" s="1"/>
  <c r="A1583" i="79" s="1"/>
  <c r="A1584" i="79" s="1"/>
  <c r="A1585" i="79" s="1"/>
  <c r="A1586" i="79" s="1"/>
  <c r="A1587" i="79" s="1"/>
  <c r="A1588" i="79" s="1"/>
  <c r="A1589" i="79" s="1"/>
  <c r="A1590" i="79" s="1"/>
  <c r="A1591" i="79" s="1"/>
  <c r="A1592" i="79" s="1"/>
  <c r="A1593" i="79" s="1"/>
  <c r="A1594" i="79" s="1"/>
  <c r="A1595" i="79" s="1"/>
  <c r="A1596" i="79" s="1"/>
  <c r="A1597" i="79" s="1"/>
  <c r="A1598" i="79" s="1"/>
  <c r="A1599" i="79" s="1"/>
  <c r="A1600" i="79" s="1"/>
  <c r="A1601" i="79" s="1"/>
  <c r="A1602" i="79" s="1"/>
  <c r="A1603" i="79" s="1"/>
  <c r="A1604" i="79" s="1"/>
  <c r="A1605" i="79" s="1"/>
  <c r="A1606" i="79" s="1"/>
  <c r="A1607" i="79" s="1"/>
  <c r="A1608" i="79" s="1"/>
  <c r="A1609" i="79" s="1"/>
  <c r="A1610" i="79" s="1"/>
  <c r="A1611" i="79" s="1"/>
  <c r="A1612" i="79" s="1"/>
  <c r="A1613" i="79" s="1"/>
  <c r="A1614" i="79" s="1"/>
  <c r="A1615" i="79" s="1"/>
  <c r="A1616" i="79" s="1"/>
  <c r="A1617" i="79" s="1"/>
  <c r="A1618" i="79" s="1"/>
  <c r="A1619" i="79" s="1"/>
  <c r="A1620" i="79" s="1"/>
  <c r="A1621" i="79" s="1"/>
  <c r="A1622" i="79" s="1"/>
  <c r="A1623" i="79" s="1"/>
  <c r="A1624" i="79" s="1"/>
  <c r="A1625" i="79" s="1"/>
  <c r="A1626" i="79" s="1"/>
  <c r="A1627" i="79" s="1"/>
  <c r="A1628" i="79" s="1"/>
  <c r="A1629" i="79" s="1"/>
  <c r="A1630" i="79" s="1"/>
  <c r="A1631" i="79" s="1"/>
  <c r="A1632" i="79" s="1"/>
  <c r="A1633" i="79" s="1"/>
  <c r="A1634" i="79" s="1"/>
  <c r="A1635" i="79" s="1"/>
  <c r="A1636" i="79" s="1"/>
  <c r="A1637" i="79" s="1"/>
  <c r="A1638" i="79" s="1"/>
  <c r="A1639" i="79" s="1"/>
  <c r="A1640" i="79" s="1"/>
  <c r="A1641" i="79" s="1"/>
  <c r="A1642" i="79" s="1"/>
  <c r="A1643" i="79" s="1"/>
  <c r="A1644" i="79" s="1"/>
  <c r="A1645" i="79" s="1"/>
  <c r="A1646" i="79" s="1"/>
  <c r="A1647" i="79" s="1"/>
  <c r="A1648" i="79" s="1"/>
  <c r="A1649" i="79" s="1"/>
  <c r="A1650" i="79" s="1"/>
  <c r="A1651" i="79" s="1"/>
  <c r="A1652" i="79" s="1"/>
  <c r="A1653" i="79" s="1"/>
  <c r="A1654" i="79" s="1"/>
  <c r="A1655" i="79" s="1"/>
  <c r="A1656" i="79" s="1"/>
  <c r="A1657" i="79" s="1"/>
  <c r="A1658" i="79" s="1"/>
  <c r="A1659" i="79" s="1"/>
  <c r="A1660" i="79" s="1"/>
  <c r="A1661" i="79" s="1"/>
  <c r="A1662" i="79" s="1"/>
  <c r="A1663" i="79" s="1"/>
  <c r="A1664" i="79" s="1"/>
  <c r="A1665" i="79" s="1"/>
  <c r="A1666" i="79" s="1"/>
  <c r="A1667" i="79" s="1"/>
  <c r="A1668" i="79" s="1"/>
  <c r="A1669" i="79" s="1"/>
  <c r="A1670" i="79" s="1"/>
  <c r="A1671" i="79" s="1"/>
  <c r="A1672" i="79" s="1"/>
  <c r="A1673" i="79" s="1"/>
  <c r="A1674" i="79" s="1"/>
  <c r="A1675" i="79" s="1"/>
  <c r="A1676" i="79" s="1"/>
  <c r="A1677" i="79" s="1"/>
  <c r="A1678" i="79" s="1"/>
  <c r="A1679" i="79" s="1"/>
  <c r="A1680" i="79" s="1"/>
  <c r="A1681" i="79" s="1"/>
  <c r="A1682" i="79" s="1"/>
  <c r="A1683" i="79" s="1"/>
  <c r="A1684" i="79" s="1"/>
  <c r="A1685" i="79" s="1"/>
  <c r="A1686" i="79" s="1"/>
  <c r="A1687" i="79" s="1"/>
  <c r="A1688" i="79" s="1"/>
  <c r="A1689" i="79" s="1"/>
  <c r="A1690" i="79" s="1"/>
  <c r="A1691" i="79" s="1"/>
  <c r="A1692" i="79" s="1"/>
  <c r="A1693" i="79" s="1"/>
  <c r="A1694" i="79" s="1"/>
  <c r="A1695" i="79" s="1"/>
  <c r="A1696" i="79" s="1"/>
  <c r="A1697" i="79" s="1"/>
  <c r="A1698" i="79" s="1"/>
  <c r="A1699" i="79" s="1"/>
  <c r="A1700" i="79" s="1"/>
  <c r="A1701" i="79" s="1"/>
  <c r="A1702" i="79" s="1"/>
  <c r="A1703" i="79" s="1"/>
  <c r="A1704" i="79" s="1"/>
  <c r="A1705" i="79" s="1"/>
  <c r="A1706" i="79" s="1"/>
  <c r="A1707" i="79" s="1"/>
  <c r="A1708" i="79" s="1"/>
  <c r="A1709" i="79" s="1"/>
  <c r="A1710" i="79" s="1"/>
  <c r="A1711" i="79" s="1"/>
  <c r="A1712" i="79" s="1"/>
  <c r="A1713" i="79" s="1"/>
  <c r="A1714" i="79" s="1"/>
  <c r="A1715" i="79" s="1"/>
  <c r="A1716" i="79" s="1"/>
  <c r="A1717" i="79" s="1"/>
  <c r="A1718" i="79" s="1"/>
  <c r="A1719" i="79" s="1"/>
  <c r="A1720" i="79" s="1"/>
  <c r="A1721" i="79" s="1"/>
  <c r="A1722" i="79" s="1"/>
  <c r="A1723" i="79" s="1"/>
  <c r="A1724" i="79" s="1"/>
  <c r="A1725" i="79" s="1"/>
  <c r="A1726" i="79" s="1"/>
  <c r="A1727" i="79" s="1"/>
  <c r="A1728" i="79" s="1"/>
  <c r="A1729" i="79" s="1"/>
  <c r="A1730" i="79" s="1"/>
  <c r="A1731" i="79" s="1"/>
  <c r="A1732" i="79" s="1"/>
  <c r="A1733" i="79" s="1"/>
  <c r="A1734" i="79" s="1"/>
  <c r="A1735" i="79" s="1"/>
  <c r="A1736" i="79" s="1"/>
  <c r="A1737" i="79" s="1"/>
  <c r="A1738" i="79" s="1"/>
  <c r="A1739" i="79" s="1"/>
  <c r="A1740" i="79" s="1"/>
  <c r="A1741" i="79" s="1"/>
  <c r="A1742" i="79" s="1"/>
  <c r="A1743" i="79" s="1"/>
  <c r="A1744" i="79" s="1"/>
  <c r="A1745" i="79" s="1"/>
  <c r="A1746" i="79" s="1"/>
  <c r="A1747" i="79" s="1"/>
  <c r="A1748" i="79" s="1"/>
  <c r="A1749" i="79" s="1"/>
  <c r="A1750" i="79" s="1"/>
  <c r="A1751" i="79" s="1"/>
  <c r="A1752" i="79" s="1"/>
  <c r="A1753" i="79" s="1"/>
  <c r="A1754" i="79" s="1"/>
  <c r="A1755" i="79" s="1"/>
  <c r="A1756" i="79" s="1"/>
  <c r="A1757" i="79" s="1"/>
  <c r="A1758" i="79" s="1"/>
  <c r="A1759" i="79" s="1"/>
  <c r="A1760" i="79" s="1"/>
  <c r="A1761" i="79" s="1"/>
  <c r="A1762" i="79" s="1"/>
  <c r="A1763" i="79" s="1"/>
  <c r="A1764" i="79" s="1"/>
  <c r="A1765" i="79" s="1"/>
  <c r="A1766" i="79" s="1"/>
  <c r="A1767" i="79" s="1"/>
  <c r="A1768" i="79" s="1"/>
  <c r="A1769" i="79" s="1"/>
  <c r="A1770" i="79" s="1"/>
  <c r="A1771" i="79" s="1"/>
  <c r="A1772" i="79" s="1"/>
  <c r="A1773" i="79" s="1"/>
  <c r="A1774" i="79" s="1"/>
  <c r="A1775" i="79" s="1"/>
  <c r="A1776" i="79" s="1"/>
  <c r="A1777" i="79" s="1"/>
  <c r="A1778" i="79" s="1"/>
  <c r="A1779" i="79" s="1"/>
  <c r="A1780" i="79" s="1"/>
  <c r="A1781" i="79" s="1"/>
  <c r="A1782" i="79" s="1"/>
  <c r="A1783" i="79" s="1"/>
  <c r="A1784" i="79" s="1"/>
  <c r="A1785" i="79" s="1"/>
  <c r="A1786" i="79" s="1"/>
  <c r="A1787" i="79" s="1"/>
  <c r="A1788" i="79" s="1"/>
  <c r="A1789" i="79" s="1"/>
  <c r="A1790" i="79" s="1"/>
  <c r="A1791" i="79" s="1"/>
  <c r="A1792" i="79" s="1"/>
  <c r="A1793" i="79" s="1"/>
  <c r="A1794" i="79" s="1"/>
  <c r="A1795" i="79" s="1"/>
  <c r="A1796" i="79" s="1"/>
  <c r="A1797" i="79" s="1"/>
  <c r="A1798" i="79" s="1"/>
  <c r="A1799" i="79" s="1"/>
  <c r="A1800" i="79" s="1"/>
  <c r="A1801" i="79" s="1"/>
  <c r="A1802" i="79" s="1"/>
  <c r="A1803" i="79" s="1"/>
  <c r="A1804" i="79" s="1"/>
  <c r="A1805" i="79" s="1"/>
  <c r="A1806" i="79" s="1"/>
  <c r="A1807" i="79" s="1"/>
  <c r="A1808" i="79" s="1"/>
  <c r="A1809" i="79" s="1"/>
  <c r="A1810" i="79" s="1"/>
  <c r="A1811" i="79" s="1"/>
  <c r="A1812" i="79" s="1"/>
  <c r="A1813" i="79" s="1"/>
  <c r="A1814" i="79" s="1"/>
  <c r="A1815" i="79" s="1"/>
  <c r="A1816" i="79" s="1"/>
  <c r="A1817" i="79" s="1"/>
  <c r="A1818" i="79" s="1"/>
  <c r="A1819" i="79" s="1"/>
  <c r="A1820" i="79" s="1"/>
  <c r="A1821" i="79" s="1"/>
  <c r="A1822" i="79" s="1"/>
  <c r="A1823" i="79" s="1"/>
  <c r="A1824" i="79" s="1"/>
  <c r="A1825" i="79" s="1"/>
  <c r="A1826" i="79" s="1"/>
  <c r="A1827" i="79" s="1"/>
  <c r="A1828" i="79" s="1"/>
  <c r="A1829" i="79" s="1"/>
  <c r="A1830" i="79" s="1"/>
  <c r="A1831" i="79" s="1"/>
  <c r="A1832" i="79" s="1"/>
  <c r="A1833" i="79" s="1"/>
  <c r="A1834" i="79" s="1"/>
  <c r="A1835" i="79" s="1"/>
  <c r="A1836" i="79" s="1"/>
  <c r="A1837" i="79" s="1"/>
  <c r="A1838" i="79" s="1"/>
  <c r="A1839" i="79" s="1"/>
  <c r="A1840" i="79" s="1"/>
  <c r="A1841" i="79" s="1"/>
  <c r="A1842" i="79" s="1"/>
  <c r="A1843" i="79" s="1"/>
  <c r="A1844" i="79" s="1"/>
  <c r="A1845" i="79" s="1"/>
  <c r="A1846" i="79" s="1"/>
  <c r="A1847" i="79" s="1"/>
  <c r="A1848" i="79" s="1"/>
  <c r="A1849" i="79" s="1"/>
  <c r="A1850" i="79" s="1"/>
  <c r="A1851" i="79" s="1"/>
  <c r="A1852" i="79" s="1"/>
  <c r="A1853" i="79" s="1"/>
  <c r="A1854" i="79" s="1"/>
  <c r="A1855" i="79" s="1"/>
  <c r="A1856" i="79" s="1"/>
  <c r="A1857" i="79" s="1"/>
  <c r="A1858" i="79" s="1"/>
  <c r="A1859" i="79" s="1"/>
  <c r="A1860" i="79" s="1"/>
  <c r="A1861" i="79" s="1"/>
  <c r="A1862" i="79" s="1"/>
  <c r="A1863" i="79" s="1"/>
  <c r="A1864" i="79" s="1"/>
  <c r="A1865" i="79" s="1"/>
  <c r="A1866" i="79" s="1"/>
  <c r="A1867" i="79" s="1"/>
  <c r="A1868" i="79" s="1"/>
  <c r="A1869" i="79" s="1"/>
  <c r="A1870" i="79" s="1"/>
  <c r="A1871" i="79" s="1"/>
  <c r="A1872" i="79" s="1"/>
  <c r="A1873" i="79" s="1"/>
  <c r="A1874" i="79" s="1"/>
  <c r="A1875" i="79" s="1"/>
  <c r="A1876" i="79" s="1"/>
  <c r="A1877" i="79" s="1"/>
  <c r="A1878" i="79" s="1"/>
  <c r="A1879" i="79" s="1"/>
  <c r="A1880" i="79" s="1"/>
  <c r="A1881" i="79" s="1"/>
  <c r="A1882" i="79" s="1"/>
  <c r="A1883" i="79" s="1"/>
  <c r="A1884" i="79" s="1"/>
  <c r="A1885" i="79" s="1"/>
  <c r="A1886" i="79" s="1"/>
  <c r="A1887" i="79" s="1"/>
  <c r="A1888" i="79" s="1"/>
  <c r="A1889" i="79" s="1"/>
  <c r="A1890" i="79" s="1"/>
  <c r="A1891" i="79" s="1"/>
  <c r="A1892" i="79" s="1"/>
  <c r="A1893" i="79" s="1"/>
  <c r="A1894" i="79" s="1"/>
  <c r="A1895" i="79" s="1"/>
  <c r="A1896" i="79" s="1"/>
  <c r="A1897" i="79" s="1"/>
  <c r="A1898" i="79" s="1"/>
  <c r="A1899" i="79" s="1"/>
  <c r="A1900" i="79" s="1"/>
  <c r="A1901" i="79" s="1"/>
  <c r="A1902" i="79" s="1"/>
  <c r="A1903" i="79" s="1"/>
  <c r="A1904" i="79" s="1"/>
  <c r="A1905" i="79" s="1"/>
  <c r="A1906" i="79" s="1"/>
  <c r="A1907" i="79" s="1"/>
  <c r="A1908" i="79" s="1"/>
  <c r="A1909" i="79" s="1"/>
  <c r="A1910" i="79" s="1"/>
  <c r="A1911" i="79" s="1"/>
  <c r="A1912" i="79" s="1"/>
  <c r="A1913" i="79" s="1"/>
  <c r="A1914" i="79" s="1"/>
  <c r="A1915" i="79" s="1"/>
  <c r="A1916" i="79" s="1"/>
  <c r="A1917" i="79" s="1"/>
  <c r="A1918" i="79" s="1"/>
  <c r="A1919" i="79" s="1"/>
  <c r="A1920" i="79" s="1"/>
  <c r="A1921" i="79" s="1"/>
  <c r="A1922" i="79" s="1"/>
  <c r="A1923" i="79" s="1"/>
  <c r="A1924" i="79" s="1"/>
  <c r="A1925" i="79" s="1"/>
  <c r="A1926" i="79" s="1"/>
  <c r="A1927" i="79" s="1"/>
  <c r="A1928" i="79" s="1"/>
  <c r="A1929" i="79" s="1"/>
  <c r="A1930" i="79" s="1"/>
  <c r="A1931" i="79" s="1"/>
  <c r="A1932" i="79" s="1"/>
  <c r="A1933" i="79" s="1"/>
  <c r="A1934" i="79" s="1"/>
  <c r="A1935" i="79" s="1"/>
  <c r="A1936" i="79" s="1"/>
  <c r="A1937" i="79" s="1"/>
  <c r="A1938" i="79" s="1"/>
  <c r="A1939" i="79" s="1"/>
  <c r="A1940" i="79" s="1"/>
  <c r="A1941" i="79" s="1"/>
  <c r="A1942" i="79" s="1"/>
  <c r="A1943" i="79" s="1"/>
  <c r="A1944" i="79" s="1"/>
  <c r="A1945" i="79" s="1"/>
  <c r="A1946" i="79" s="1"/>
  <c r="A1947" i="79" s="1"/>
  <c r="A1948" i="79" s="1"/>
  <c r="A1949" i="79" s="1"/>
  <c r="A1950" i="79" s="1"/>
  <c r="A1951" i="79" s="1"/>
  <c r="A1952" i="79" s="1"/>
  <c r="A1953" i="79" s="1"/>
  <c r="A1954" i="79" s="1"/>
  <c r="A1955" i="79" s="1"/>
  <c r="A1956" i="79" s="1"/>
  <c r="A1957" i="79" s="1"/>
  <c r="A1958" i="79" s="1"/>
  <c r="A1959" i="79" s="1"/>
  <c r="A1960" i="79" s="1"/>
  <c r="A1961" i="79" s="1"/>
  <c r="A1962" i="79" s="1"/>
  <c r="A1963" i="79" s="1"/>
  <c r="A1964" i="79" s="1"/>
  <c r="A1965" i="79" s="1"/>
  <c r="A1966" i="79" s="1"/>
  <c r="A1967" i="79" s="1"/>
  <c r="A1968" i="79" s="1"/>
  <c r="A1969" i="79" s="1"/>
  <c r="A1970" i="79" s="1"/>
  <c r="A1971" i="79" s="1"/>
  <c r="A1972" i="79" s="1"/>
  <c r="A1973" i="79" s="1"/>
  <c r="A1974" i="79" s="1"/>
  <c r="A1975" i="79" s="1"/>
  <c r="A1976" i="79" s="1"/>
  <c r="A1977" i="79" s="1"/>
  <c r="A1978" i="79" s="1"/>
  <c r="A1979" i="79" s="1"/>
  <c r="A1980" i="79" s="1"/>
  <c r="A1981" i="79" s="1"/>
  <c r="A1982" i="79" s="1"/>
  <c r="A1983" i="79" s="1"/>
  <c r="A1984" i="79" s="1"/>
  <c r="A1985" i="79" s="1"/>
  <c r="A1986" i="79" s="1"/>
  <c r="A1987" i="79" s="1"/>
  <c r="A1988" i="79" s="1"/>
  <c r="A1989" i="79" s="1"/>
  <c r="A1990" i="79" s="1"/>
  <c r="A1991" i="79" s="1"/>
  <c r="A1992" i="79" s="1"/>
  <c r="A1993" i="79" s="1"/>
  <c r="A1994" i="79" s="1"/>
  <c r="A1995" i="79" s="1"/>
  <c r="A1996" i="79" s="1"/>
  <c r="A1997" i="79" s="1"/>
  <c r="A1998" i="79" s="1"/>
  <c r="A1999" i="79" s="1"/>
  <c r="A2000" i="79" s="1"/>
  <c r="A2001" i="79" s="1"/>
  <c r="A2002" i="79" s="1"/>
  <c r="A2003" i="79" s="1"/>
  <c r="A2004" i="79" s="1"/>
  <c r="A2005" i="79" s="1"/>
  <c r="A2006" i="79" s="1"/>
  <c r="A2007" i="79" s="1"/>
  <c r="A2008" i="79" s="1"/>
  <c r="A2009" i="79" s="1"/>
  <c r="A2010" i="79" s="1"/>
  <c r="A2011" i="79" s="1"/>
  <c r="A2012" i="79" s="1"/>
  <c r="A2013" i="79" s="1"/>
  <c r="A2014" i="79" s="1"/>
  <c r="A2015" i="79" s="1"/>
  <c r="A2016" i="79" s="1"/>
  <c r="A2017" i="79" s="1"/>
  <c r="A2018" i="79" s="1"/>
  <c r="A2019" i="79" s="1"/>
  <c r="A2020" i="79" s="1"/>
  <c r="A2021" i="79" s="1"/>
  <c r="A2022" i="79" s="1"/>
  <c r="A2023" i="79" s="1"/>
  <c r="A2024" i="79" s="1"/>
  <c r="A2025" i="79" s="1"/>
  <c r="A2026" i="79" s="1"/>
  <c r="A2027" i="79" s="1"/>
  <c r="A2028" i="79" s="1"/>
  <c r="A2029" i="79" s="1"/>
  <c r="A2030" i="79" s="1"/>
  <c r="A2031" i="79" s="1"/>
  <c r="A2032" i="79" s="1"/>
  <c r="A2033" i="79" s="1"/>
  <c r="A2034" i="79" s="1"/>
  <c r="A2035" i="79" s="1"/>
  <c r="A2036" i="79" s="1"/>
  <c r="A2037" i="79" s="1"/>
  <c r="A2038" i="79" s="1"/>
  <c r="A2039" i="79" s="1"/>
  <c r="A2040" i="79" s="1"/>
  <c r="A2041" i="79" s="1"/>
  <c r="A2042" i="79" s="1"/>
  <c r="A2043" i="79" s="1"/>
  <c r="A2044" i="79" s="1"/>
  <c r="A2045" i="79" s="1"/>
  <c r="A2046" i="79" s="1"/>
  <c r="A2047" i="79" s="1"/>
  <c r="A2048" i="79" s="1"/>
  <c r="A2049" i="79" s="1"/>
  <c r="A2050" i="79" s="1"/>
  <c r="A2051" i="79" s="1"/>
  <c r="A2052" i="79" s="1"/>
  <c r="A2053" i="79" s="1"/>
  <c r="A2054" i="79" s="1"/>
  <c r="A2055" i="79" s="1"/>
  <c r="A2056" i="79" s="1"/>
  <c r="A2057" i="79" s="1"/>
  <c r="A2058" i="79" s="1"/>
  <c r="A2059" i="79" s="1"/>
  <c r="A2060" i="79" s="1"/>
  <c r="A2061" i="79" s="1"/>
  <c r="A2062" i="79" s="1"/>
  <c r="A2063" i="79" s="1"/>
  <c r="A2064" i="79" s="1"/>
  <c r="A2065" i="79" s="1"/>
  <c r="A2066" i="79" s="1"/>
  <c r="A2067" i="79" s="1"/>
  <c r="A2068" i="79" s="1"/>
  <c r="A2069" i="79" s="1"/>
  <c r="A2070" i="79" s="1"/>
  <c r="A2071" i="79" s="1"/>
  <c r="A2072" i="79" s="1"/>
  <c r="A2073" i="79" s="1"/>
  <c r="A2074" i="79" s="1"/>
  <c r="A2075" i="79" s="1"/>
  <c r="A2076" i="79" s="1"/>
  <c r="A2077" i="79" s="1"/>
  <c r="A2078" i="79" s="1"/>
  <c r="A2079" i="79" s="1"/>
  <c r="A2080" i="79" s="1"/>
  <c r="A2081" i="79" s="1"/>
  <c r="A2082" i="79" s="1"/>
  <c r="A2083" i="79" s="1"/>
  <c r="A2084" i="79" s="1"/>
  <c r="A2085" i="79" s="1"/>
  <c r="A2086" i="79" s="1"/>
  <c r="A2087" i="79" s="1"/>
  <c r="A2088" i="79" s="1"/>
  <c r="A2089" i="79" s="1"/>
  <c r="A2090" i="79" s="1"/>
  <c r="A2091" i="79" s="1"/>
  <c r="A2092" i="79" s="1"/>
  <c r="A2093" i="79" s="1"/>
  <c r="A2094" i="79" s="1"/>
  <c r="A2095" i="79" s="1"/>
  <c r="A2096" i="79" s="1"/>
  <c r="A2097" i="79" s="1"/>
  <c r="A2098" i="79" s="1"/>
  <c r="A2099" i="79" s="1"/>
  <c r="A2100" i="79" s="1"/>
  <c r="A2101" i="79" s="1"/>
  <c r="A2102" i="79" s="1"/>
  <c r="A2103" i="79" s="1"/>
  <c r="A2104" i="79" s="1"/>
  <c r="A2105" i="79" s="1"/>
  <c r="A2106" i="79" s="1"/>
  <c r="A2107" i="79" s="1"/>
  <c r="A2108" i="79" s="1"/>
  <c r="A2109" i="79" s="1"/>
  <c r="A2110" i="79" s="1"/>
  <c r="A2111" i="79" s="1"/>
  <c r="A2112" i="79" s="1"/>
  <c r="A2113" i="79" s="1"/>
  <c r="A2114" i="79" s="1"/>
  <c r="A2115" i="79" s="1"/>
  <c r="A2116" i="79" s="1"/>
  <c r="A2117" i="79" s="1"/>
  <c r="A2118" i="79" s="1"/>
  <c r="A2119" i="79" s="1"/>
  <c r="A2120" i="79" s="1"/>
  <c r="A2121" i="79" s="1"/>
  <c r="A2122" i="79" s="1"/>
  <c r="A2123" i="79" s="1"/>
  <c r="A2124" i="79" s="1"/>
  <c r="A2125" i="79" s="1"/>
  <c r="A2126" i="79" s="1"/>
  <c r="A2127" i="79" s="1"/>
  <c r="A2128" i="79" s="1"/>
  <c r="A2129" i="79" s="1"/>
  <c r="A2130" i="79" s="1"/>
  <c r="A2131" i="79" s="1"/>
  <c r="A2132" i="79" s="1"/>
  <c r="A2133" i="79" s="1"/>
  <c r="A2134" i="79" s="1"/>
  <c r="A2135" i="79" s="1"/>
  <c r="A2136" i="79" s="1"/>
  <c r="A2137" i="79" s="1"/>
  <c r="A2138" i="79" s="1"/>
  <c r="A2139" i="79" s="1"/>
  <c r="A2140" i="79" s="1"/>
  <c r="A2141" i="79" s="1"/>
  <c r="A2142" i="79" s="1"/>
  <c r="A2143" i="79" s="1"/>
  <c r="A2144" i="79" s="1"/>
  <c r="A2145" i="79" s="1"/>
  <c r="A2146" i="79" s="1"/>
  <c r="A2147" i="79" s="1"/>
  <c r="A2148" i="79" s="1"/>
  <c r="A2149" i="79" s="1"/>
  <c r="A2150" i="79" s="1"/>
  <c r="A2151" i="79" s="1"/>
  <c r="A2152" i="79" s="1"/>
  <c r="A2153" i="79" s="1"/>
  <c r="A2154" i="79" s="1"/>
  <c r="A2155" i="79" s="1"/>
  <c r="A2156" i="79" s="1"/>
  <c r="A2157" i="79" s="1"/>
  <c r="A2158" i="79" s="1"/>
  <c r="A2159" i="79" s="1"/>
  <c r="A2160" i="79" s="1"/>
  <c r="A2161" i="79" s="1"/>
  <c r="A2162" i="79" s="1"/>
  <c r="A2163" i="79" s="1"/>
  <c r="A2164" i="79" s="1"/>
  <c r="A2165" i="79" s="1"/>
  <c r="A2166" i="79" s="1"/>
  <c r="A2167" i="79" s="1"/>
  <c r="A2168" i="79" s="1"/>
  <c r="A2169" i="79" s="1"/>
  <c r="A2170" i="79" s="1"/>
  <c r="A2171" i="79" s="1"/>
  <c r="A2172" i="79" s="1"/>
  <c r="A2173" i="79" s="1"/>
  <c r="A2174" i="79" s="1"/>
  <c r="A2175" i="79" s="1"/>
  <c r="A2176" i="79" s="1"/>
  <c r="A2177" i="79" s="1"/>
  <c r="A2178" i="79" s="1"/>
  <c r="A2179" i="79" s="1"/>
  <c r="A2180" i="79" s="1"/>
  <c r="A2181" i="79" s="1"/>
  <c r="A2182" i="79" s="1"/>
  <c r="A2183" i="79" s="1"/>
  <c r="A2184" i="79" s="1"/>
  <c r="A2185" i="79" s="1"/>
  <c r="A2186" i="79" s="1"/>
  <c r="A2187" i="79" s="1"/>
  <c r="A2188" i="79" s="1"/>
  <c r="A2189" i="79" s="1"/>
  <c r="A2190" i="79" s="1"/>
  <c r="A2191" i="79" s="1"/>
  <c r="A2192" i="79" s="1"/>
  <c r="A2193" i="79" s="1"/>
  <c r="A2194" i="79" s="1"/>
  <c r="A2195" i="79" s="1"/>
  <c r="A2196" i="79" s="1"/>
  <c r="A2197" i="79" s="1"/>
  <c r="A2198" i="79" s="1"/>
  <c r="A2199" i="79" s="1"/>
  <c r="A2200" i="79" s="1"/>
  <c r="A2201" i="79" s="1"/>
  <c r="A2202" i="79" s="1"/>
  <c r="A2203" i="79" s="1"/>
  <c r="A2204" i="79" s="1"/>
  <c r="A2205" i="79" s="1"/>
  <c r="A2206" i="79" s="1"/>
  <c r="A2207" i="79" s="1"/>
  <c r="A2208" i="79" s="1"/>
  <c r="A2209" i="79" s="1"/>
  <c r="A2210" i="79" s="1"/>
  <c r="A2211" i="79" s="1"/>
  <c r="A2212" i="79" s="1"/>
  <c r="A2213" i="79" s="1"/>
  <c r="A2214" i="79" s="1"/>
  <c r="A2215" i="79" s="1"/>
  <c r="A2216" i="79" s="1"/>
  <c r="A2217" i="79" s="1"/>
  <c r="A2218" i="79" s="1"/>
  <c r="A2219" i="79" s="1"/>
  <c r="A2220" i="79" s="1"/>
  <c r="A2221" i="79" s="1"/>
  <c r="A2222" i="79" s="1"/>
  <c r="A2223" i="79" s="1"/>
  <c r="A2224" i="79" s="1"/>
  <c r="A2225" i="79" s="1"/>
  <c r="A2226" i="79" s="1"/>
  <c r="A2227" i="79" s="1"/>
  <c r="A2228" i="79" s="1"/>
  <c r="A2229" i="79" s="1"/>
  <c r="A2230" i="79" s="1"/>
  <c r="A2231" i="79" s="1"/>
  <c r="A2232" i="79" s="1"/>
  <c r="A2233" i="79" s="1"/>
  <c r="A2234" i="79" s="1"/>
  <c r="A2235" i="79" s="1"/>
  <c r="A2236" i="79" s="1"/>
  <c r="A2237" i="79" s="1"/>
  <c r="A2238" i="79" s="1"/>
  <c r="A2239" i="79" s="1"/>
  <c r="A2240" i="79" s="1"/>
  <c r="A2241" i="79" s="1"/>
  <c r="A2242" i="79" s="1"/>
  <c r="A2243" i="79" s="1"/>
  <c r="A2244" i="79" s="1"/>
  <c r="A2245" i="79" s="1"/>
  <c r="A2246" i="79" s="1"/>
  <c r="A2247" i="79" s="1"/>
  <c r="A2248" i="79" s="1"/>
  <c r="A2249" i="79" s="1"/>
  <c r="A2250" i="79" s="1"/>
  <c r="A2251" i="79" s="1"/>
  <c r="A2252" i="79" s="1"/>
  <c r="A2253" i="79" s="1"/>
  <c r="A2254" i="79" s="1"/>
  <c r="A2255" i="79" s="1"/>
  <c r="A2256" i="79" s="1"/>
  <c r="A2257" i="79" s="1"/>
  <c r="A2258" i="79" s="1"/>
  <c r="A2259" i="79" s="1"/>
  <c r="A2260" i="79" s="1"/>
  <c r="A2261" i="79" s="1"/>
  <c r="A2262" i="79" s="1"/>
  <c r="A2263" i="79" s="1"/>
  <c r="A2264" i="79" s="1"/>
  <c r="A2265" i="79" s="1"/>
  <c r="A2266" i="79" s="1"/>
  <c r="A2267" i="79" s="1"/>
  <c r="A2268" i="79" s="1"/>
  <c r="A2269" i="79" s="1"/>
  <c r="A2270" i="79" s="1"/>
  <c r="A2271" i="79" s="1"/>
  <c r="A2272" i="79" s="1"/>
  <c r="A2273" i="79" s="1"/>
  <c r="A2274" i="79" s="1"/>
  <c r="A2275" i="79" s="1"/>
  <c r="A2276" i="79" s="1"/>
  <c r="A2277" i="79" s="1"/>
  <c r="A2278" i="79" s="1"/>
  <c r="A2279" i="79" s="1"/>
  <c r="A2280" i="79" s="1"/>
  <c r="A2281" i="79" s="1"/>
  <c r="A2282" i="79" s="1"/>
  <c r="A2283" i="79" s="1"/>
  <c r="A2284" i="79" s="1"/>
  <c r="A2285" i="79" s="1"/>
  <c r="A2286" i="79" s="1"/>
  <c r="A2287" i="79" s="1"/>
  <c r="A2288" i="79" s="1"/>
  <c r="A2289" i="79" s="1"/>
  <c r="A2290" i="79" s="1"/>
  <c r="A2291" i="79" s="1"/>
  <c r="A2292" i="79" s="1"/>
  <c r="A2293" i="79" s="1"/>
  <c r="A2294" i="79" s="1"/>
  <c r="A2295" i="79" s="1"/>
  <c r="A2296" i="79" s="1"/>
  <c r="A2297" i="79" s="1"/>
  <c r="A2298" i="79" s="1"/>
  <c r="A2299" i="79" s="1"/>
  <c r="A2300" i="79" s="1"/>
  <c r="A2301" i="79" s="1"/>
  <c r="A2302" i="79" s="1"/>
  <c r="A2303" i="79" s="1"/>
  <c r="A2304" i="79" s="1"/>
  <c r="A2305" i="79" s="1"/>
  <c r="A2306" i="79" s="1"/>
  <c r="A2307" i="79" s="1"/>
  <c r="A2308" i="79" s="1"/>
  <c r="A2309" i="79" s="1"/>
  <c r="A2310" i="79" s="1"/>
  <c r="A2311" i="79" s="1"/>
  <c r="A2312" i="79" s="1"/>
  <c r="A2313" i="79" s="1"/>
  <c r="A2314" i="79" s="1"/>
  <c r="A2315" i="79" s="1"/>
  <c r="A2316" i="79" s="1"/>
  <c r="A2317" i="79" s="1"/>
  <c r="A2318" i="79" s="1"/>
  <c r="A2319" i="79" s="1"/>
  <c r="A2320" i="79" s="1"/>
  <c r="A2321" i="79" s="1"/>
  <c r="A2322" i="79" s="1"/>
  <c r="A2323" i="79" s="1"/>
  <c r="A2324" i="79" s="1"/>
  <c r="A2325" i="79" s="1"/>
  <c r="A2326" i="79" s="1"/>
  <c r="A2327" i="79" s="1"/>
  <c r="A2328" i="79" s="1"/>
  <c r="A2329" i="79" s="1"/>
  <c r="A2330" i="79" s="1"/>
  <c r="A2331" i="79" s="1"/>
  <c r="A2332" i="79" s="1"/>
  <c r="A2333" i="79" s="1"/>
  <c r="A2334" i="79" s="1"/>
  <c r="A2335" i="79" s="1"/>
  <c r="A2336" i="79" s="1"/>
  <c r="A2337" i="79" s="1"/>
  <c r="A2338" i="79" s="1"/>
  <c r="A2339" i="79" s="1"/>
  <c r="A2340" i="79" s="1"/>
  <c r="A2341" i="79" s="1"/>
  <c r="A2342" i="79" s="1"/>
  <c r="A2343" i="79" s="1"/>
  <c r="A2344" i="79" s="1"/>
  <c r="A2345" i="79" s="1"/>
  <c r="A2346" i="79" s="1"/>
  <c r="A2347" i="79" s="1"/>
  <c r="A2348" i="79" s="1"/>
  <c r="A2349" i="79" s="1"/>
  <c r="A2350" i="79" s="1"/>
  <c r="A2351" i="79" s="1"/>
  <c r="A2352" i="79" s="1"/>
  <c r="A2353" i="79" s="1"/>
  <c r="A2354" i="79" s="1"/>
  <c r="A2355" i="79" s="1"/>
  <c r="A2356" i="79" s="1"/>
  <c r="A2357" i="79" s="1"/>
  <c r="A2358" i="79" s="1"/>
  <c r="A2359" i="79" s="1"/>
  <c r="A2360" i="79" s="1"/>
  <c r="A2361" i="79" s="1"/>
  <c r="A2362" i="79" s="1"/>
  <c r="A2363" i="79" s="1"/>
  <c r="A2364" i="79" s="1"/>
  <c r="A2365" i="79" s="1"/>
  <c r="A2366" i="79" s="1"/>
  <c r="A2367" i="79" s="1"/>
  <c r="A2368" i="79" s="1"/>
  <c r="A2369" i="79" s="1"/>
  <c r="A2370" i="79" s="1"/>
  <c r="A2371" i="79" s="1"/>
  <c r="A2372" i="79" s="1"/>
  <c r="A2373" i="79" s="1"/>
  <c r="A2374" i="79" s="1"/>
  <c r="A2375" i="79" s="1"/>
  <c r="A2376" i="79" s="1"/>
  <c r="A2377" i="79" s="1"/>
  <c r="A2378" i="79" s="1"/>
  <c r="A2379" i="79" s="1"/>
  <c r="A2380" i="79" s="1"/>
  <c r="A2381" i="79" s="1"/>
  <c r="A2382" i="79" s="1"/>
  <c r="A2383" i="79" s="1"/>
  <c r="A2384" i="79" s="1"/>
  <c r="A2385" i="79" s="1"/>
  <c r="A2386" i="79" s="1"/>
  <c r="A2387" i="79" s="1"/>
  <c r="A2388" i="79" s="1"/>
  <c r="A2389" i="79" s="1"/>
  <c r="A2390" i="79" s="1"/>
  <c r="A2391" i="79" s="1"/>
  <c r="A2392" i="79" s="1"/>
  <c r="A2393" i="79" s="1"/>
  <c r="A2394" i="79" s="1"/>
  <c r="A2395" i="79" s="1"/>
  <c r="A2396" i="79" s="1"/>
  <c r="A2397" i="79" s="1"/>
  <c r="A2398" i="79" s="1"/>
  <c r="A2399" i="79" s="1"/>
  <c r="A2400" i="79" s="1"/>
  <c r="A2401" i="79" s="1"/>
  <c r="A2402" i="79" s="1"/>
  <c r="A2403" i="79" s="1"/>
  <c r="A2404" i="79" s="1"/>
  <c r="A2405" i="79" s="1"/>
  <c r="A2406" i="79" s="1"/>
  <c r="A2407" i="79" s="1"/>
  <c r="A2408" i="79" s="1"/>
  <c r="A2409" i="79" s="1"/>
  <c r="A2410" i="79" s="1"/>
  <c r="A2411" i="79" s="1"/>
  <c r="A2412" i="79" s="1"/>
  <c r="A2413" i="79" s="1"/>
  <c r="A2414" i="79" s="1"/>
  <c r="A2415" i="79" s="1"/>
  <c r="A2416" i="79" s="1"/>
  <c r="A2417" i="79" s="1"/>
  <c r="A2418" i="79" s="1"/>
  <c r="A2419" i="79" s="1"/>
  <c r="A2420" i="79" s="1"/>
  <c r="A2421" i="79" s="1"/>
  <c r="A2422" i="79" s="1"/>
  <c r="A2423" i="79" s="1"/>
  <c r="A2424" i="79" s="1"/>
  <c r="A2425" i="79" s="1"/>
  <c r="A2426" i="79" s="1"/>
  <c r="A2427" i="79" s="1"/>
  <c r="A2428" i="79" s="1"/>
  <c r="A2429" i="79" s="1"/>
  <c r="A2430" i="79" s="1"/>
  <c r="A2431" i="79" s="1"/>
  <c r="A2432" i="79" s="1"/>
  <c r="A2433" i="79" s="1"/>
  <c r="A2434" i="79" s="1"/>
  <c r="A2435" i="79" s="1"/>
  <c r="A2436" i="79" s="1"/>
  <c r="A2437" i="79" s="1"/>
  <c r="A2438" i="79" s="1"/>
  <c r="A2439" i="79" s="1"/>
  <c r="A2440" i="79" s="1"/>
  <c r="A2441" i="79" s="1"/>
  <c r="A2442" i="79" s="1"/>
  <c r="A2443" i="79" s="1"/>
  <c r="A2444" i="79" s="1"/>
  <c r="A2445" i="79" s="1"/>
  <c r="A2446" i="79" s="1"/>
  <c r="A2447" i="79" s="1"/>
  <c r="A2448" i="79" s="1"/>
  <c r="A2449" i="79" s="1"/>
  <c r="A2450" i="79" s="1"/>
  <c r="A2451" i="79" s="1"/>
  <c r="A2452" i="79" s="1"/>
  <c r="A2453" i="79" s="1"/>
  <c r="A2454" i="79" s="1"/>
  <c r="A2455" i="79" s="1"/>
  <c r="A2456" i="79" s="1"/>
  <c r="A2457" i="79" s="1"/>
  <c r="A2458" i="79" s="1"/>
  <c r="A2459" i="79" s="1"/>
  <c r="A2460" i="79" s="1"/>
  <c r="A2461" i="79" s="1"/>
  <c r="A2462" i="79" s="1"/>
  <c r="A2463" i="79" s="1"/>
  <c r="A2464" i="79" s="1"/>
  <c r="A2465" i="79" s="1"/>
  <c r="A2466" i="79" s="1"/>
  <c r="A2467" i="79" s="1"/>
  <c r="A2468" i="79" s="1"/>
  <c r="A2469" i="79" s="1"/>
  <c r="A2470" i="79" s="1"/>
  <c r="A2471" i="79" s="1"/>
  <c r="A2472" i="79" s="1"/>
  <c r="A2473" i="79" s="1"/>
  <c r="A2474" i="79" s="1"/>
  <c r="A2475" i="79" s="1"/>
  <c r="A2476" i="79" s="1"/>
  <c r="A2477" i="79" s="1"/>
  <c r="A2478" i="79" s="1"/>
  <c r="A2479" i="79" s="1"/>
  <c r="A2480" i="79" s="1"/>
  <c r="A2481" i="79" s="1"/>
  <c r="A2482" i="79" s="1"/>
  <c r="A2483" i="79" s="1"/>
  <c r="A2484" i="79" s="1"/>
  <c r="A2485" i="79" s="1"/>
  <c r="A2486" i="79" s="1"/>
  <c r="A2487" i="79" s="1"/>
  <c r="A2488" i="79" s="1"/>
  <c r="A2489" i="79" s="1"/>
  <c r="A2490" i="79" s="1"/>
  <c r="A2491" i="79" s="1"/>
  <c r="A2492" i="79" s="1"/>
  <c r="A2493" i="79" s="1"/>
  <c r="A2494" i="79" s="1"/>
  <c r="A2495" i="79" s="1"/>
  <c r="A2496" i="79" s="1"/>
  <c r="A2497" i="79" s="1"/>
  <c r="A2498" i="79" s="1"/>
  <c r="A2499" i="79" s="1"/>
  <c r="A2500" i="79" s="1"/>
  <c r="A2501" i="79" s="1"/>
  <c r="A2502" i="79" s="1"/>
  <c r="A2503" i="79" s="1"/>
  <c r="A2504" i="79" s="1"/>
  <c r="A2505" i="79" s="1"/>
  <c r="A2506" i="79" s="1"/>
  <c r="A2507" i="79" s="1"/>
  <c r="A2508" i="79" s="1"/>
  <c r="A2509" i="79" s="1"/>
  <c r="A2510" i="79" s="1"/>
  <c r="A2511" i="79" s="1"/>
  <c r="A2512" i="79" s="1"/>
  <c r="A2513" i="79" s="1"/>
  <c r="A2514" i="79" s="1"/>
  <c r="A2515" i="79" s="1"/>
  <c r="A2516" i="79" s="1"/>
  <c r="A2517" i="79" s="1"/>
  <c r="A2518" i="79" s="1"/>
  <c r="A2519" i="79" s="1"/>
  <c r="A2520" i="79" s="1"/>
  <c r="A2521" i="79" s="1"/>
  <c r="A2522" i="79" s="1"/>
  <c r="A2523" i="79" s="1"/>
  <c r="A2524" i="79" s="1"/>
  <c r="A2525" i="79" s="1"/>
  <c r="A2526" i="79" s="1"/>
  <c r="A2527" i="79" s="1"/>
  <c r="A2528" i="79" s="1"/>
  <c r="A2529" i="79" s="1"/>
  <c r="A2530" i="79" s="1"/>
  <c r="A2531" i="79" s="1"/>
  <c r="A2532" i="79" s="1"/>
  <c r="A2533" i="79" s="1"/>
  <c r="A2534" i="79" s="1"/>
  <c r="A2535" i="79" s="1"/>
  <c r="A2536" i="79" s="1"/>
  <c r="A2537" i="79" s="1"/>
  <c r="A2538" i="79" s="1"/>
  <c r="A2539" i="79" s="1"/>
  <c r="A2540" i="79" s="1"/>
  <c r="A2541" i="79" s="1"/>
  <c r="A2542" i="79" s="1"/>
  <c r="A2543" i="79" s="1"/>
  <c r="A2544" i="79" s="1"/>
  <c r="A2545" i="79" s="1"/>
  <c r="A2546" i="79" s="1"/>
  <c r="A2547" i="79" s="1"/>
  <c r="A2548" i="79" s="1"/>
  <c r="A2549" i="79" s="1"/>
  <c r="A2550" i="79" s="1"/>
  <c r="A2551" i="79" s="1"/>
  <c r="A2552" i="79" s="1"/>
  <c r="A2553" i="79" s="1"/>
  <c r="A2554" i="79" s="1"/>
  <c r="A2555" i="79" s="1"/>
  <c r="A2556" i="79" s="1"/>
  <c r="A2557" i="79" s="1"/>
  <c r="A2558" i="79" s="1"/>
  <c r="A2559" i="79" s="1"/>
  <c r="A2560" i="79" s="1"/>
  <c r="A2561" i="79" s="1"/>
  <c r="A2562" i="79" s="1"/>
  <c r="A2563" i="79" s="1"/>
  <c r="A2564" i="79" s="1"/>
  <c r="A2565" i="79" s="1"/>
  <c r="A2566" i="79" s="1"/>
  <c r="A2567" i="79" s="1"/>
  <c r="A2568" i="79" s="1"/>
  <c r="A2569" i="79" s="1"/>
  <c r="A2570" i="79" s="1"/>
  <c r="A2571" i="79" s="1"/>
  <c r="A2572" i="79" s="1"/>
  <c r="A2573" i="79" s="1"/>
  <c r="A2574" i="79" s="1"/>
  <c r="A2575" i="79" s="1"/>
  <c r="A2576" i="79" s="1"/>
  <c r="A2577" i="79" s="1"/>
  <c r="A2578" i="79" s="1"/>
  <c r="A2579" i="79" s="1"/>
  <c r="A2580" i="79" s="1"/>
  <c r="A2581" i="79" s="1"/>
  <c r="A2582" i="79" s="1"/>
  <c r="A2583" i="79" s="1"/>
  <c r="A2584" i="79" s="1"/>
  <c r="A2585" i="79" s="1"/>
  <c r="A2586" i="79" s="1"/>
  <c r="A2587" i="79" s="1"/>
  <c r="A2588" i="79" s="1"/>
  <c r="A2589" i="79" s="1"/>
  <c r="A2590" i="79" s="1"/>
  <c r="A2591" i="79" s="1"/>
  <c r="A2592" i="79" s="1"/>
  <c r="A2593" i="79" s="1"/>
  <c r="A2594" i="79" s="1"/>
  <c r="A2595" i="79" s="1"/>
  <c r="A2596" i="79" s="1"/>
  <c r="A2597" i="79" s="1"/>
  <c r="A2598" i="79" s="1"/>
  <c r="A2599" i="79" s="1"/>
  <c r="A2600" i="79" s="1"/>
  <c r="A2601" i="79" s="1"/>
  <c r="A2602" i="79" s="1"/>
  <c r="A2603" i="79" s="1"/>
  <c r="A2604" i="79" s="1"/>
  <c r="A2605" i="79" s="1"/>
  <c r="A2606" i="79" s="1"/>
  <c r="A2607" i="79" s="1"/>
  <c r="A2608" i="79" s="1"/>
  <c r="A2609" i="79" s="1"/>
  <c r="A2610" i="79" s="1"/>
  <c r="A2611" i="79" s="1"/>
  <c r="A2612" i="79" s="1"/>
  <c r="A2613" i="79" s="1"/>
  <c r="A2614" i="79" s="1"/>
  <c r="A2615" i="79" s="1"/>
  <c r="A2616" i="79" s="1"/>
  <c r="A2617" i="79" s="1"/>
  <c r="A2618" i="79" s="1"/>
  <c r="A2619" i="79" s="1"/>
  <c r="A2620" i="79" s="1"/>
  <c r="A2621" i="79" s="1"/>
  <c r="A2622" i="79" s="1"/>
  <c r="A2623" i="79" s="1"/>
  <c r="A2624" i="79" s="1"/>
  <c r="A2625" i="79" s="1"/>
  <c r="A2626" i="79" s="1"/>
  <c r="A2627" i="79" s="1"/>
  <c r="A2628" i="79" s="1"/>
  <c r="A2629" i="79" s="1"/>
  <c r="A2630" i="79" s="1"/>
  <c r="A2631" i="79" s="1"/>
  <c r="A2632" i="79" s="1"/>
  <c r="A2633" i="79" s="1"/>
  <c r="A2634" i="79" s="1"/>
  <c r="A2635" i="79" s="1"/>
  <c r="A2636" i="79" s="1"/>
  <c r="A2637" i="79" s="1"/>
  <c r="A2638" i="79" s="1"/>
  <c r="A2639" i="79" s="1"/>
  <c r="A2640" i="79" s="1"/>
  <c r="A2641" i="79" s="1"/>
  <c r="A2642" i="79" s="1"/>
  <c r="A2643" i="79" s="1"/>
  <c r="A2644" i="79" s="1"/>
  <c r="A2645" i="79" s="1"/>
  <c r="A2646" i="79" s="1"/>
  <c r="A2647" i="79" s="1"/>
  <c r="A2648" i="79" s="1"/>
  <c r="A2649" i="79" s="1"/>
  <c r="A2650" i="79" s="1"/>
  <c r="A2651" i="79" s="1"/>
  <c r="A2652" i="79" s="1"/>
  <c r="A2653" i="79" s="1"/>
  <c r="A2654" i="79" s="1"/>
  <c r="A2655" i="79" s="1"/>
  <c r="A2656" i="79" s="1"/>
  <c r="A2657" i="79" s="1"/>
  <c r="A2658" i="79" s="1"/>
  <c r="A2659" i="79" s="1"/>
  <c r="A2660" i="79" s="1"/>
  <c r="A2661" i="79" s="1"/>
  <c r="A2662" i="79" s="1"/>
  <c r="A2663" i="79" s="1"/>
  <c r="A2664" i="79" s="1"/>
  <c r="A2665" i="79" s="1"/>
  <c r="A2666" i="79" s="1"/>
  <c r="A2667" i="79" s="1"/>
  <c r="A2668" i="79" s="1"/>
  <c r="A2669" i="79" s="1"/>
  <c r="A2670" i="79" s="1"/>
  <c r="A2671" i="79" s="1"/>
  <c r="A2672" i="79" s="1"/>
  <c r="A2673" i="79" s="1"/>
  <c r="A2674" i="79" s="1"/>
  <c r="A2675" i="79" s="1"/>
  <c r="A2676" i="79" s="1"/>
  <c r="A2677" i="79" s="1"/>
  <c r="A2678" i="79" s="1"/>
  <c r="A2679" i="79" s="1"/>
  <c r="A2680" i="79" s="1"/>
  <c r="A2681" i="79" s="1"/>
  <c r="A2682" i="79" s="1"/>
  <c r="A2683" i="79" s="1"/>
  <c r="A2684" i="79" s="1"/>
  <c r="A2685" i="79" s="1"/>
  <c r="A2686" i="79" s="1"/>
  <c r="A2687" i="79" s="1"/>
  <c r="A2688" i="79" s="1"/>
  <c r="A2689" i="79" s="1"/>
  <c r="A2690" i="79" s="1"/>
  <c r="A2691" i="79" s="1"/>
  <c r="A2692" i="79" s="1"/>
  <c r="A2693" i="79" s="1"/>
  <c r="A2694" i="79" s="1"/>
  <c r="A2695" i="79" s="1"/>
  <c r="A2696" i="79" s="1"/>
  <c r="A2697" i="79" s="1"/>
  <c r="A2698" i="79" s="1"/>
  <c r="A2699" i="79" s="1"/>
  <c r="A2700" i="79" s="1"/>
  <c r="A2701" i="79" s="1"/>
  <c r="A2702" i="79" s="1"/>
  <c r="A2703" i="79" s="1"/>
  <c r="A2704" i="79" s="1"/>
  <c r="A2705" i="79" s="1"/>
  <c r="A2706" i="79" s="1"/>
  <c r="A2707" i="79" s="1"/>
  <c r="A2708" i="79" s="1"/>
  <c r="A2709" i="79" s="1"/>
  <c r="A2710" i="79" s="1"/>
  <c r="A2711" i="79" s="1"/>
  <c r="A2712" i="79" s="1"/>
  <c r="A2713" i="79" s="1"/>
  <c r="A2714" i="79" s="1"/>
  <c r="A2715" i="79" s="1"/>
  <c r="A2716" i="79" s="1"/>
  <c r="A2717" i="79" s="1"/>
  <c r="A2718" i="79" s="1"/>
  <c r="A2719" i="79" s="1"/>
  <c r="A2720" i="79" s="1"/>
  <c r="A2721" i="79" s="1"/>
  <c r="A2722" i="79" s="1"/>
  <c r="A2723" i="79" s="1"/>
  <c r="A2724" i="79" s="1"/>
  <c r="A2725" i="79" s="1"/>
  <c r="A2726" i="79" s="1"/>
  <c r="A2727" i="79" s="1"/>
  <c r="A2728" i="79" s="1"/>
  <c r="A2729" i="79" s="1"/>
  <c r="A2730" i="79" s="1"/>
  <c r="A2731" i="79" s="1"/>
  <c r="A2732" i="79" s="1"/>
  <c r="A2733" i="79" s="1"/>
  <c r="A2734" i="79" s="1"/>
  <c r="A2735" i="79" s="1"/>
  <c r="A2736" i="79" s="1"/>
  <c r="A2737" i="79" s="1"/>
  <c r="A2738" i="79" s="1"/>
  <c r="A2739" i="79" s="1"/>
  <c r="A2740" i="79" s="1"/>
  <c r="A2741" i="79" s="1"/>
  <c r="A2742" i="79" s="1"/>
  <c r="A2743" i="79" s="1"/>
  <c r="A2744" i="79" s="1"/>
  <c r="A2745" i="79" s="1"/>
  <c r="A2746" i="79" s="1"/>
  <c r="A2747" i="79" s="1"/>
  <c r="A2748" i="79" s="1"/>
  <c r="A2749" i="79" s="1"/>
  <c r="A2750" i="79" s="1"/>
  <c r="A2751" i="79" s="1"/>
  <c r="A2752" i="79" s="1"/>
  <c r="A2753" i="79" s="1"/>
  <c r="A2754" i="79" s="1"/>
  <c r="A2755" i="79" s="1"/>
  <c r="A2756" i="79" s="1"/>
  <c r="A2757" i="79" s="1"/>
  <c r="A2758" i="79" s="1"/>
  <c r="A2759" i="79" s="1"/>
  <c r="A2760" i="79" s="1"/>
  <c r="A2761" i="79" s="1"/>
  <c r="A2762" i="79" s="1"/>
  <c r="A2763" i="79" s="1"/>
  <c r="A2764" i="79" s="1"/>
  <c r="A2765" i="79" s="1"/>
  <c r="A2766" i="79" s="1"/>
  <c r="A2767" i="79" s="1"/>
  <c r="A2768" i="79" s="1"/>
  <c r="A2769" i="79" s="1"/>
  <c r="A2770" i="79" s="1"/>
  <c r="A2771" i="79" s="1"/>
  <c r="A2772" i="79" s="1"/>
  <c r="A2773" i="79" s="1"/>
  <c r="A2774" i="79" s="1"/>
  <c r="A2775" i="79" s="1"/>
  <c r="A2776" i="79" s="1"/>
  <c r="A2777" i="79" s="1"/>
  <c r="A2778" i="79" s="1"/>
  <c r="A2779" i="79" s="1"/>
  <c r="A2780" i="79" s="1"/>
  <c r="A2781" i="79" s="1"/>
  <c r="A2782" i="79" s="1"/>
  <c r="A2783" i="79" s="1"/>
  <c r="A2784" i="79" s="1"/>
  <c r="A2785" i="79" s="1"/>
  <c r="A2786" i="79" s="1"/>
  <c r="A2787" i="79" s="1"/>
  <c r="A2788" i="79" s="1"/>
  <c r="A2789" i="79" s="1"/>
  <c r="A2790" i="79" s="1"/>
  <c r="A2791" i="79" s="1"/>
  <c r="A2792" i="79" s="1"/>
  <c r="A2793" i="79" s="1"/>
  <c r="A2794" i="79" s="1"/>
  <c r="A2795" i="79" s="1"/>
  <c r="A2796" i="79" s="1"/>
  <c r="A2797" i="79" s="1"/>
  <c r="A2798" i="79" s="1"/>
  <c r="A2799" i="79" s="1"/>
  <c r="A2800" i="79" s="1"/>
  <c r="A2801" i="79" s="1"/>
  <c r="A2802" i="79" s="1"/>
  <c r="A2803" i="79" s="1"/>
  <c r="A2804" i="79" s="1"/>
  <c r="A2805" i="79" s="1"/>
  <c r="A2806" i="79" s="1"/>
  <c r="A2807" i="79" s="1"/>
  <c r="A2808" i="79" s="1"/>
  <c r="A2809" i="79" s="1"/>
  <c r="A2810" i="79" s="1"/>
  <c r="A2811" i="79" s="1"/>
  <c r="A2812" i="79" s="1"/>
  <c r="A2813" i="79" s="1"/>
  <c r="A2814" i="79" s="1"/>
  <c r="A2815" i="79" s="1"/>
  <c r="A2816" i="79" s="1"/>
  <c r="A2817" i="79" s="1"/>
  <c r="A2818" i="79" s="1"/>
  <c r="A2819" i="79" s="1"/>
  <c r="A2820" i="79" s="1"/>
  <c r="A2821" i="79" s="1"/>
  <c r="A2822" i="79" s="1"/>
  <c r="A2823" i="79" s="1"/>
  <c r="A2824" i="79" s="1"/>
  <c r="A2825" i="79" s="1"/>
  <c r="A2826" i="79" s="1"/>
  <c r="A2827" i="79" s="1"/>
  <c r="A2828" i="79" s="1"/>
  <c r="A2829" i="79" s="1"/>
  <c r="A2830" i="79" s="1"/>
  <c r="A2831" i="79" s="1"/>
  <c r="A2832" i="79" s="1"/>
  <c r="A2833" i="79" s="1"/>
  <c r="A2834" i="79" s="1"/>
  <c r="A2835" i="79" s="1"/>
  <c r="A2836" i="79" s="1"/>
  <c r="A2837" i="79" s="1"/>
  <c r="A2838" i="79" s="1"/>
  <c r="A2839" i="79" s="1"/>
  <c r="A2840" i="79" s="1"/>
  <c r="A2841" i="79" s="1"/>
  <c r="A2842" i="79" s="1"/>
  <c r="A2843" i="79" s="1"/>
  <c r="A2844" i="79" s="1"/>
  <c r="A2845" i="79" s="1"/>
  <c r="A2846" i="79" s="1"/>
  <c r="A2847" i="79" s="1"/>
  <c r="A2848" i="79" s="1"/>
  <c r="A2849" i="79" s="1"/>
  <c r="A2850" i="79" s="1"/>
  <c r="A2851" i="79" s="1"/>
  <c r="A2852" i="79" s="1"/>
  <c r="A2853" i="79" s="1"/>
  <c r="A2854" i="79" s="1"/>
  <c r="A2855" i="79" s="1"/>
  <c r="A2856" i="79" s="1"/>
  <c r="A2857" i="79" s="1"/>
  <c r="A2858" i="79" s="1"/>
  <c r="A2859" i="79" s="1"/>
  <c r="A2860" i="79" s="1"/>
  <c r="A2861" i="79" s="1"/>
  <c r="A2862" i="79" s="1"/>
  <c r="A2863" i="79" s="1"/>
  <c r="A2864" i="79" s="1"/>
  <c r="A2865" i="79" s="1"/>
  <c r="A2866" i="79" s="1"/>
  <c r="A2867" i="79" s="1"/>
  <c r="A2868" i="79" s="1"/>
  <c r="A2869" i="79" s="1"/>
  <c r="A2870" i="79" s="1"/>
  <c r="A2871" i="79" s="1"/>
  <c r="A2872" i="79" s="1"/>
  <c r="A2873" i="79" s="1"/>
  <c r="A2874" i="79" s="1"/>
  <c r="A2875" i="79" s="1"/>
  <c r="A2876" i="79" s="1"/>
  <c r="A2877" i="79" s="1"/>
  <c r="A2878" i="79" s="1"/>
  <c r="A2879" i="79" s="1"/>
  <c r="A2880" i="79" s="1"/>
  <c r="A2881" i="79" s="1"/>
  <c r="A2882" i="79" s="1"/>
  <c r="A2883" i="79" s="1"/>
  <c r="A2884" i="79" s="1"/>
  <c r="A2885" i="79" s="1"/>
  <c r="A2886" i="79" s="1"/>
  <c r="A2887" i="79" s="1"/>
  <c r="A2888" i="79" s="1"/>
  <c r="A2889" i="79" s="1"/>
  <c r="A2890" i="79" s="1"/>
  <c r="A2891" i="79" s="1"/>
  <c r="A2892" i="79" s="1"/>
  <c r="A2893" i="79" s="1"/>
  <c r="A2894" i="79" s="1"/>
  <c r="A2895" i="79" s="1"/>
  <c r="A2896" i="79" s="1"/>
  <c r="A2897" i="79" s="1"/>
  <c r="A2898" i="79" s="1"/>
  <c r="A2899" i="79" s="1"/>
  <c r="A2900" i="79" s="1"/>
  <c r="A2901" i="79" s="1"/>
  <c r="A2902" i="79" s="1"/>
  <c r="A2903" i="79" s="1"/>
  <c r="A2904" i="79" s="1"/>
  <c r="A2905" i="79" s="1"/>
  <c r="A2906" i="79" s="1"/>
  <c r="A2907" i="79" s="1"/>
  <c r="A2908" i="79" s="1"/>
  <c r="A2909" i="79" s="1"/>
  <c r="A2910" i="79" s="1"/>
  <c r="A2911" i="79" s="1"/>
  <c r="A2912" i="79" s="1"/>
  <c r="A2913" i="79" s="1"/>
  <c r="A2914" i="79" s="1"/>
  <c r="A2915" i="79" s="1"/>
  <c r="A2916" i="79" s="1"/>
  <c r="A2917" i="79" s="1"/>
  <c r="A2918" i="79" s="1"/>
  <c r="A2919" i="79" s="1"/>
  <c r="A2920" i="79" s="1"/>
  <c r="A2921" i="79" s="1"/>
  <c r="A2922" i="79" s="1"/>
  <c r="A2923" i="79" s="1"/>
  <c r="A2924" i="79" s="1"/>
  <c r="A2925" i="79" s="1"/>
  <c r="A2926" i="79" s="1"/>
  <c r="A2927" i="79" s="1"/>
  <c r="A2928" i="79" s="1"/>
  <c r="A2929" i="79" s="1"/>
  <c r="A2930" i="79" s="1"/>
  <c r="A2931" i="79" s="1"/>
  <c r="A2932" i="79" s="1"/>
  <c r="A2933" i="79" s="1"/>
  <c r="A2934" i="79" s="1"/>
  <c r="A2935" i="79" s="1"/>
  <c r="A2936" i="79" s="1"/>
  <c r="A2937" i="79" s="1"/>
  <c r="A2938" i="79" s="1"/>
  <c r="A2939" i="79" s="1"/>
  <c r="A2940" i="79" s="1"/>
  <c r="A2941" i="79" s="1"/>
  <c r="A2942" i="79" s="1"/>
  <c r="A2943" i="79" s="1"/>
  <c r="A2944" i="79" s="1"/>
  <c r="A2945" i="79" s="1"/>
  <c r="A2946" i="79" s="1"/>
  <c r="A2947" i="79" s="1"/>
  <c r="A2948" i="79" s="1"/>
  <c r="A2949" i="79" s="1"/>
  <c r="A2950" i="79" s="1"/>
  <c r="A2951" i="79" s="1"/>
  <c r="A2952" i="79" s="1"/>
  <c r="A2953" i="79" s="1"/>
  <c r="A2954" i="79" s="1"/>
  <c r="A2955" i="79" s="1"/>
  <c r="A2956" i="79" s="1"/>
  <c r="A2957" i="79" s="1"/>
  <c r="A2958" i="79" s="1"/>
  <c r="A2959" i="79" s="1"/>
  <c r="A2960" i="79" s="1"/>
  <c r="A2961" i="79" s="1"/>
  <c r="A2962" i="79" s="1"/>
  <c r="A2963" i="79" s="1"/>
  <c r="A2964" i="79" s="1"/>
  <c r="A2965" i="79" s="1"/>
  <c r="A2966" i="79" s="1"/>
  <c r="A2967" i="79" s="1"/>
  <c r="A2968" i="79" s="1"/>
  <c r="A2969" i="79" s="1"/>
  <c r="A2970" i="79" s="1"/>
  <c r="A2971" i="79" s="1"/>
  <c r="A2972" i="79" s="1"/>
  <c r="A2973" i="79" s="1"/>
  <c r="A2974" i="79" s="1"/>
  <c r="A2975" i="79" s="1"/>
  <c r="A2976" i="79" s="1"/>
  <c r="A2977" i="79" s="1"/>
  <c r="A2978" i="79" s="1"/>
  <c r="A2979" i="79" s="1"/>
  <c r="A2980" i="79" s="1"/>
  <c r="A2981" i="79" s="1"/>
  <c r="A2982" i="79" s="1"/>
  <c r="A2983" i="79" s="1"/>
  <c r="A2984" i="79" s="1"/>
  <c r="A2985" i="79" s="1"/>
  <c r="A2986" i="79" s="1"/>
  <c r="A2987" i="79" s="1"/>
  <c r="A2988" i="79" s="1"/>
  <c r="A2989" i="79" s="1"/>
  <c r="A2990" i="79" s="1"/>
  <c r="A2991" i="79" s="1"/>
  <c r="A2992" i="79" s="1"/>
  <c r="A2993" i="79" s="1"/>
  <c r="A2994" i="79" s="1"/>
  <c r="A2995" i="79" s="1"/>
  <c r="A2996" i="79" s="1"/>
  <c r="A2997" i="79" s="1"/>
  <c r="A2998" i="79" s="1"/>
  <c r="A2999" i="79" s="1"/>
  <c r="A3000" i="79" s="1"/>
  <c r="A3001" i="79" s="1"/>
  <c r="A3002" i="79" s="1"/>
  <c r="A3003" i="79" s="1"/>
  <c r="A3004" i="79" s="1"/>
  <c r="A3005" i="79" s="1"/>
  <c r="A3006" i="79" s="1"/>
  <c r="A3007" i="79" s="1"/>
  <c r="A3008" i="79" s="1"/>
  <c r="A3009" i="79" s="1"/>
  <c r="A3010" i="79" s="1"/>
  <c r="A3011" i="79" s="1"/>
  <c r="A3012" i="79" s="1"/>
  <c r="A3013" i="79" s="1"/>
  <c r="A3014" i="79" s="1"/>
  <c r="A3015" i="79" s="1"/>
  <c r="A3016" i="79" s="1"/>
  <c r="A3017" i="79" s="1"/>
  <c r="A3018" i="79" s="1"/>
  <c r="A3019" i="79" s="1"/>
  <c r="A3020" i="79" s="1"/>
  <c r="A3021" i="79" s="1"/>
  <c r="A3022" i="79" s="1"/>
  <c r="A3023" i="79" s="1"/>
  <c r="A3024" i="79" s="1"/>
  <c r="A3025" i="79" s="1"/>
  <c r="A3026" i="79" s="1"/>
  <c r="A3027" i="79" s="1"/>
  <c r="A3028" i="79" s="1"/>
  <c r="A3029" i="79" s="1"/>
  <c r="A3030" i="79" s="1"/>
  <c r="A3031" i="79" s="1"/>
  <c r="A3032" i="79" s="1"/>
  <c r="A3033" i="79" s="1"/>
  <c r="A3034" i="79" s="1"/>
  <c r="A3035" i="79" s="1"/>
  <c r="A3036" i="79" s="1"/>
  <c r="A3037" i="79" s="1"/>
  <c r="A3038" i="79" s="1"/>
  <c r="A3039" i="79" s="1"/>
  <c r="A3040" i="79" s="1"/>
  <c r="A3041" i="79" s="1"/>
  <c r="A3042" i="79" s="1"/>
  <c r="A3043" i="79" s="1"/>
  <c r="A3044" i="79" s="1"/>
  <c r="A3045" i="79" s="1"/>
  <c r="A3046" i="79" s="1"/>
  <c r="A3047" i="79" s="1"/>
  <c r="A3048" i="79" s="1"/>
  <c r="A3049" i="79" s="1"/>
  <c r="A3050" i="79" s="1"/>
  <c r="A3051" i="79" s="1"/>
  <c r="A3052" i="79" s="1"/>
  <c r="A3053" i="79" s="1"/>
  <c r="A3054" i="79" s="1"/>
  <c r="A3055" i="79" s="1"/>
  <c r="A3056" i="79" s="1"/>
  <c r="A3057" i="79" s="1"/>
  <c r="A3058" i="79" s="1"/>
  <c r="A3059" i="79" s="1"/>
  <c r="A3060" i="79" s="1"/>
  <c r="A3061" i="79" s="1"/>
  <c r="A3062" i="79" s="1"/>
  <c r="A3063" i="79" s="1"/>
  <c r="A3064" i="79" s="1"/>
  <c r="A3065" i="79" s="1"/>
  <c r="A3066" i="79" s="1"/>
  <c r="A3067" i="79" s="1"/>
  <c r="A3068" i="79" s="1"/>
  <c r="A3069" i="79" s="1"/>
  <c r="A3070" i="79" s="1"/>
  <c r="A3071" i="79" s="1"/>
  <c r="A3072" i="79" s="1"/>
  <c r="A3073" i="79" s="1"/>
  <c r="A3074" i="79" s="1"/>
  <c r="A3075" i="79" s="1"/>
  <c r="A3076" i="79" s="1"/>
  <c r="A3077" i="79" s="1"/>
  <c r="A3078" i="79" s="1"/>
  <c r="A3079" i="79" s="1"/>
  <c r="A3080" i="79" s="1"/>
  <c r="A3081" i="79" s="1"/>
  <c r="A3082" i="79" s="1"/>
  <c r="A3083" i="79" s="1"/>
  <c r="A3084" i="79" s="1"/>
  <c r="A3085" i="79" s="1"/>
  <c r="A3086" i="79" s="1"/>
  <c r="A3087" i="79" s="1"/>
  <c r="A3088" i="79" s="1"/>
  <c r="A3089" i="79" s="1"/>
  <c r="A3090" i="79" s="1"/>
  <c r="A3091" i="79" s="1"/>
  <c r="A3092" i="79" s="1"/>
  <c r="A3093" i="79" s="1"/>
  <c r="A3094" i="79" s="1"/>
  <c r="A3095" i="79" s="1"/>
  <c r="A3096" i="79" s="1"/>
  <c r="A3097" i="79" s="1"/>
  <c r="A3098" i="79" s="1"/>
  <c r="A3099" i="79" s="1"/>
  <c r="A3100" i="79" s="1"/>
  <c r="A3101" i="79" s="1"/>
  <c r="A3102" i="79" s="1"/>
  <c r="A3103" i="79" s="1"/>
  <c r="A3104" i="79" s="1"/>
  <c r="A3105" i="79" s="1"/>
  <c r="A3106" i="79" s="1"/>
  <c r="A3107" i="79" s="1"/>
  <c r="A3108" i="79" s="1"/>
  <c r="A3109" i="79" s="1"/>
  <c r="A3110" i="79" s="1"/>
  <c r="A3111" i="79" s="1"/>
  <c r="A3112" i="79" s="1"/>
  <c r="A3113" i="79" s="1"/>
  <c r="A3114" i="79" s="1"/>
  <c r="A3115" i="79" s="1"/>
  <c r="A3116" i="79" s="1"/>
  <c r="A3117" i="79" s="1"/>
  <c r="A3118" i="79" s="1"/>
  <c r="A3119" i="79" s="1"/>
  <c r="A3120" i="79" s="1"/>
  <c r="A3121" i="79" s="1"/>
  <c r="A3122" i="79" s="1"/>
  <c r="A3123" i="79" s="1"/>
  <c r="A3124" i="79" s="1"/>
  <c r="A3125" i="79" s="1"/>
  <c r="A3126" i="79" s="1"/>
  <c r="A3127" i="79" s="1"/>
  <c r="A3128" i="79" s="1"/>
  <c r="A3129" i="79" s="1"/>
  <c r="A3130" i="79" s="1"/>
  <c r="A3131" i="79" s="1"/>
  <c r="A3132" i="79" s="1"/>
  <c r="A3133" i="79" s="1"/>
  <c r="A3134" i="79" s="1"/>
  <c r="A3135" i="79" s="1"/>
  <c r="A3136" i="79" s="1"/>
  <c r="A3137" i="79" s="1"/>
  <c r="A3138" i="79" s="1"/>
  <c r="A3139" i="79" s="1"/>
  <c r="A3140" i="79" s="1"/>
  <c r="A3141" i="79" s="1"/>
  <c r="A3142" i="79" s="1"/>
  <c r="A3143" i="79" s="1"/>
  <c r="A3144" i="79" s="1"/>
  <c r="A3145" i="79" s="1"/>
  <c r="A3146" i="79" s="1"/>
  <c r="A3147" i="79" s="1"/>
  <c r="A3148" i="79" s="1"/>
  <c r="A3149" i="79" s="1"/>
  <c r="A3150" i="79" s="1"/>
  <c r="A3151" i="79" s="1"/>
  <c r="A3152" i="79" s="1"/>
  <c r="A3153" i="79" s="1"/>
  <c r="A3154" i="79" s="1"/>
  <c r="A3155" i="79" s="1"/>
  <c r="A3156" i="79" s="1"/>
  <c r="A3157" i="79" s="1"/>
  <c r="A3158" i="79" s="1"/>
  <c r="A3159" i="79" s="1"/>
  <c r="A3160" i="79" s="1"/>
  <c r="A3161" i="79" s="1"/>
  <c r="A3162" i="79" s="1"/>
  <c r="A3163" i="79" s="1"/>
  <c r="A3164" i="79" s="1"/>
  <c r="A3165" i="79" s="1"/>
  <c r="A3166" i="79" s="1"/>
  <c r="A3167" i="79" s="1"/>
  <c r="A3168" i="79" s="1"/>
  <c r="A3169" i="79" s="1"/>
  <c r="A3170" i="79" s="1"/>
  <c r="A3171" i="79" s="1"/>
  <c r="A3172" i="79" s="1"/>
  <c r="A3173" i="79" s="1"/>
  <c r="A3174" i="79" s="1"/>
  <c r="A3175" i="79" s="1"/>
  <c r="A3176" i="79" s="1"/>
  <c r="A3177" i="79" s="1"/>
  <c r="A3178" i="79" s="1"/>
  <c r="A3179" i="79" s="1"/>
  <c r="A3180" i="79" s="1"/>
  <c r="A3181" i="79" s="1"/>
  <c r="A3182" i="79" s="1"/>
  <c r="A3183" i="79" s="1"/>
  <c r="A3184" i="79" s="1"/>
  <c r="A3185" i="79" s="1"/>
  <c r="A3186" i="79" s="1"/>
  <c r="A3187" i="79" s="1"/>
  <c r="A3188" i="79" s="1"/>
  <c r="A3189" i="79" s="1"/>
  <c r="A3190" i="79" s="1"/>
  <c r="A3191" i="79" s="1"/>
  <c r="A3192" i="79" s="1"/>
  <c r="A3193" i="79" s="1"/>
  <c r="A3194" i="79" s="1"/>
  <c r="A3195" i="79" s="1"/>
  <c r="A3196" i="79" s="1"/>
  <c r="A3197" i="79" s="1"/>
  <c r="A3198" i="79" s="1"/>
  <c r="A3199" i="79" s="1"/>
  <c r="A3200" i="79" s="1"/>
  <c r="A3201" i="79" s="1"/>
  <c r="A3202" i="79" s="1"/>
  <c r="A3203" i="79" s="1"/>
  <c r="A3204" i="79" s="1"/>
  <c r="A3205" i="79" s="1"/>
  <c r="A3206" i="79" s="1"/>
  <c r="A3207" i="79" s="1"/>
  <c r="A3208" i="79" s="1"/>
  <c r="A3209" i="79" s="1"/>
  <c r="A3210" i="79" s="1"/>
  <c r="A3211" i="79" s="1"/>
  <c r="A3212" i="79" s="1"/>
  <c r="A3213" i="79" s="1"/>
  <c r="A3214" i="79" s="1"/>
  <c r="A3215" i="79" s="1"/>
  <c r="A3216" i="79" s="1"/>
  <c r="A3217" i="79" s="1"/>
  <c r="A3218" i="79" s="1"/>
  <c r="A3219" i="79" s="1"/>
  <c r="A3220" i="79" s="1"/>
  <c r="A3221" i="79" s="1"/>
  <c r="A3222" i="79" s="1"/>
  <c r="A3223" i="79" s="1"/>
  <c r="A3224" i="79" s="1"/>
  <c r="A3225" i="79" s="1"/>
  <c r="A3226" i="79" s="1"/>
  <c r="A3227" i="79" s="1"/>
  <c r="A3228" i="79" s="1"/>
  <c r="A3229" i="79" s="1"/>
  <c r="A3230" i="79" s="1"/>
  <c r="A3231" i="79" s="1"/>
  <c r="A3232" i="79" s="1"/>
  <c r="A3233" i="79" s="1"/>
  <c r="A3234" i="79" s="1"/>
  <c r="A3235" i="79" s="1"/>
  <c r="A3236" i="79" s="1"/>
  <c r="A3237" i="79" s="1"/>
  <c r="A3238" i="79" s="1"/>
  <c r="A3239" i="79" s="1"/>
  <c r="A3240" i="79" s="1"/>
  <c r="A3241" i="79" s="1"/>
  <c r="A3242" i="79" s="1"/>
  <c r="A3243" i="79" s="1"/>
  <c r="A3244" i="79" s="1"/>
  <c r="A3245" i="79" s="1"/>
  <c r="A3246" i="79" s="1"/>
  <c r="A3247" i="79" s="1"/>
  <c r="A3248" i="79" s="1"/>
  <c r="A3249" i="79" s="1"/>
  <c r="A3250" i="79" s="1"/>
  <c r="A3251" i="79" s="1"/>
  <c r="A3252" i="79" s="1"/>
  <c r="A3253" i="79" s="1"/>
  <c r="A3254" i="79" s="1"/>
  <c r="A3255" i="79" s="1"/>
  <c r="A3256" i="79" s="1"/>
  <c r="A3257" i="79" s="1"/>
  <c r="A3258" i="79" s="1"/>
  <c r="A3259" i="79" s="1"/>
  <c r="A3260" i="79" s="1"/>
  <c r="A3261" i="79" s="1"/>
  <c r="A3262" i="79" s="1"/>
  <c r="A3263" i="79" s="1"/>
  <c r="A3264" i="79" s="1"/>
  <c r="A3265" i="79" s="1"/>
  <c r="A3266" i="79" s="1"/>
  <c r="A3267" i="79" s="1"/>
  <c r="A3268" i="79" s="1"/>
  <c r="A3269" i="79" s="1"/>
  <c r="A3270" i="79" s="1"/>
  <c r="A3271" i="79" s="1"/>
  <c r="A3272" i="79" s="1"/>
  <c r="A3273" i="79" s="1"/>
  <c r="A3274" i="79" s="1"/>
  <c r="A3275" i="79" s="1"/>
  <c r="A3276" i="79" s="1"/>
  <c r="A3277" i="79" s="1"/>
  <c r="A3278" i="79" s="1"/>
  <c r="A3279" i="79" s="1"/>
  <c r="A3280" i="79" s="1"/>
  <c r="A3281" i="79" s="1"/>
  <c r="A3282" i="79" s="1"/>
  <c r="A3283" i="79" s="1"/>
  <c r="A3284" i="79" s="1"/>
  <c r="A3285" i="79" s="1"/>
  <c r="A3286" i="79" s="1"/>
  <c r="A3287" i="79" s="1"/>
  <c r="A3288" i="79" s="1"/>
  <c r="A3289" i="79" s="1"/>
  <c r="A3290" i="79" s="1"/>
  <c r="A3291" i="79" s="1"/>
  <c r="A3292" i="79" s="1"/>
  <c r="A3293" i="79" s="1"/>
  <c r="A3294" i="79" s="1"/>
  <c r="A3295" i="79" s="1"/>
  <c r="A3296" i="79" s="1"/>
  <c r="A3297" i="79" s="1"/>
  <c r="A3298" i="79" s="1"/>
  <c r="A3299" i="79" s="1"/>
  <c r="A3300" i="79" s="1"/>
  <c r="A3301" i="79" s="1"/>
  <c r="A3302" i="79" s="1"/>
  <c r="A3303" i="79" s="1"/>
  <c r="A3304" i="79" s="1"/>
  <c r="A3305" i="79" s="1"/>
  <c r="A3306" i="79" s="1"/>
  <c r="A3307" i="79" s="1"/>
  <c r="A3308" i="79" s="1"/>
  <c r="A3309" i="79" s="1"/>
  <c r="A3310" i="79" s="1"/>
  <c r="A3311" i="79" s="1"/>
  <c r="A3312" i="79" s="1"/>
  <c r="A3313" i="79" s="1"/>
  <c r="A3314" i="79" s="1"/>
  <c r="A3315" i="79" s="1"/>
  <c r="A3316" i="79" s="1"/>
  <c r="A3317" i="79" s="1"/>
  <c r="A3318" i="79" s="1"/>
  <c r="A3319" i="79" s="1"/>
  <c r="A3320" i="79" s="1"/>
  <c r="A3321" i="79" s="1"/>
  <c r="A3322" i="79" s="1"/>
  <c r="A3323" i="79" s="1"/>
  <c r="A3324" i="79" s="1"/>
  <c r="A3325" i="79" s="1"/>
  <c r="A3326" i="79" s="1"/>
  <c r="A3327" i="79" s="1"/>
  <c r="A3328" i="79" s="1"/>
  <c r="A3329" i="79" s="1"/>
  <c r="A3330" i="79" s="1"/>
  <c r="A3331" i="79" s="1"/>
  <c r="A3332" i="79" s="1"/>
  <c r="A3333" i="79" s="1"/>
  <c r="A3334" i="79" s="1"/>
  <c r="A3335" i="79" s="1"/>
  <c r="A3336" i="79" s="1"/>
  <c r="A3337" i="79" s="1"/>
  <c r="A3338" i="79" s="1"/>
  <c r="A3339" i="79" s="1"/>
  <c r="A3340" i="79" s="1"/>
  <c r="A3341" i="79" s="1"/>
  <c r="A3342" i="79" s="1"/>
  <c r="A3343" i="79" s="1"/>
  <c r="A3344" i="79" s="1"/>
  <c r="A3345" i="79" s="1"/>
  <c r="A3346" i="79" s="1"/>
  <c r="A3347" i="79" s="1"/>
  <c r="A3348" i="79" s="1"/>
  <c r="A3349" i="79" s="1"/>
  <c r="A3350" i="79" s="1"/>
  <c r="A3351" i="79" s="1"/>
  <c r="A3352" i="79" s="1"/>
  <c r="A3353" i="79" s="1"/>
  <c r="A3354" i="79" s="1"/>
  <c r="A3355" i="79" s="1"/>
  <c r="A3356" i="79" s="1"/>
  <c r="A3357" i="79" s="1"/>
  <c r="A3358" i="79" s="1"/>
  <c r="A3359" i="79" s="1"/>
  <c r="A3360" i="79" s="1"/>
  <c r="A3361" i="79" s="1"/>
  <c r="A3362" i="79" s="1"/>
  <c r="A3363" i="79" s="1"/>
  <c r="A3364" i="79" s="1"/>
  <c r="A3365" i="79" s="1"/>
  <c r="A3366" i="79" s="1"/>
  <c r="A3367" i="79" s="1"/>
  <c r="A3368" i="79" s="1"/>
  <c r="A3369" i="79" s="1"/>
  <c r="A3370" i="79" s="1"/>
  <c r="A3371" i="79" s="1"/>
  <c r="A3372" i="79" s="1"/>
  <c r="A3373" i="79" s="1"/>
  <c r="A3374" i="79" s="1"/>
  <c r="A3375" i="79" s="1"/>
  <c r="A3376" i="79" s="1"/>
  <c r="A3377" i="79" s="1"/>
  <c r="A3378" i="79" s="1"/>
  <c r="A3379" i="79" s="1"/>
  <c r="A3380" i="79" s="1"/>
  <c r="A3381" i="79" s="1"/>
  <c r="A3382" i="79" s="1"/>
  <c r="A3383" i="79" s="1"/>
  <c r="A3384" i="79" s="1"/>
  <c r="A3385" i="79" s="1"/>
  <c r="A3386" i="79" s="1"/>
  <c r="A3387" i="79" s="1"/>
  <c r="A3388" i="79" s="1"/>
  <c r="A3389" i="79" s="1"/>
  <c r="A3390" i="79" s="1"/>
  <c r="A3391" i="79" s="1"/>
  <c r="A3392" i="79" s="1"/>
  <c r="A3393" i="79" s="1"/>
  <c r="A3394" i="79" s="1"/>
  <c r="A3395" i="79" s="1"/>
  <c r="A3396" i="79" s="1"/>
  <c r="A3397" i="79" s="1"/>
  <c r="A3398" i="79" s="1"/>
  <c r="A3399" i="79" s="1"/>
  <c r="A3400" i="79" s="1"/>
  <c r="A3401" i="79" s="1"/>
  <c r="A3402" i="79" s="1"/>
  <c r="A3403" i="79" s="1"/>
  <c r="A3404" i="79" s="1"/>
  <c r="A3405" i="79" s="1"/>
  <c r="A3406" i="79" s="1"/>
  <c r="A3407" i="79" s="1"/>
  <c r="A3408" i="79" s="1"/>
  <c r="A3409" i="79" s="1"/>
  <c r="A3410" i="79" s="1"/>
  <c r="A3411" i="79" s="1"/>
  <c r="A3412" i="79" s="1"/>
  <c r="A3413" i="79" s="1"/>
  <c r="A3414" i="79" s="1"/>
  <c r="A3415" i="79" s="1"/>
  <c r="A3416" i="79" s="1"/>
  <c r="A3417" i="79" s="1"/>
  <c r="A3418" i="79" s="1"/>
  <c r="A3419" i="79" s="1"/>
  <c r="A3420" i="79" s="1"/>
  <c r="A3421" i="79" s="1"/>
  <c r="A3422" i="79" s="1"/>
  <c r="A3423" i="79" s="1"/>
  <c r="A3424" i="79" s="1"/>
  <c r="A3425" i="79" s="1"/>
  <c r="A3426" i="79" s="1"/>
  <c r="A3427" i="79" s="1"/>
  <c r="A3428" i="79" s="1"/>
  <c r="A3429" i="79" s="1"/>
  <c r="A3430" i="79" s="1"/>
  <c r="A3431" i="79" s="1"/>
  <c r="A3432" i="79" s="1"/>
  <c r="A3433" i="79" s="1"/>
  <c r="A3434" i="79" s="1"/>
  <c r="A3435" i="79" s="1"/>
  <c r="A3436" i="79" s="1"/>
  <c r="A3437" i="79" s="1"/>
  <c r="A3438" i="79" s="1"/>
  <c r="A3439" i="79" s="1"/>
  <c r="A3440" i="79" s="1"/>
  <c r="A3441" i="79" s="1"/>
  <c r="A3442" i="79" s="1"/>
  <c r="A3443" i="79" s="1"/>
  <c r="A3444" i="79" s="1"/>
  <c r="A3445" i="79" s="1"/>
  <c r="A3446" i="79" s="1"/>
  <c r="A3447" i="79" s="1"/>
  <c r="A3448" i="79" s="1"/>
  <c r="A3449" i="79" s="1"/>
  <c r="A3450" i="79" s="1"/>
  <c r="A3451" i="79" s="1"/>
  <c r="A3452" i="79" s="1"/>
  <c r="A3453" i="79" s="1"/>
  <c r="A3454" i="79" s="1"/>
  <c r="A3455" i="79" s="1"/>
  <c r="A3456" i="79" s="1"/>
  <c r="A3457" i="79" s="1"/>
  <c r="A3458" i="79" s="1"/>
  <c r="A3459" i="79" s="1"/>
  <c r="A3460" i="79" s="1"/>
  <c r="A3461" i="79" s="1"/>
  <c r="A3462" i="79" s="1"/>
  <c r="A3463" i="79" s="1"/>
  <c r="A3464" i="79" s="1"/>
  <c r="A3465" i="79" s="1"/>
  <c r="A3466" i="79" s="1"/>
  <c r="A3467" i="79" s="1"/>
  <c r="A3468" i="79" s="1"/>
  <c r="A3469" i="79" s="1"/>
  <c r="A3470" i="79" s="1"/>
  <c r="A3471" i="79" s="1"/>
  <c r="A3472" i="79" s="1"/>
  <c r="A3473" i="79" s="1"/>
  <c r="A3474" i="79" s="1"/>
  <c r="A3475" i="79" s="1"/>
  <c r="A3476" i="79" s="1"/>
  <c r="A3477" i="79" s="1"/>
  <c r="A3478" i="79" s="1"/>
  <c r="A3479" i="79" s="1"/>
  <c r="A3480" i="79" s="1"/>
  <c r="A3481" i="79" s="1"/>
  <c r="A3482" i="79" s="1"/>
  <c r="A3483" i="79" s="1"/>
  <c r="A3484" i="79" s="1"/>
  <c r="A3485" i="79" s="1"/>
  <c r="A3486" i="79" s="1"/>
  <c r="A3487" i="79" s="1"/>
  <c r="A3488" i="79" s="1"/>
  <c r="A3489" i="79" s="1"/>
  <c r="A3490" i="79" s="1"/>
  <c r="A3491" i="79" s="1"/>
  <c r="A3492" i="79" s="1"/>
  <c r="A3493" i="79" s="1"/>
  <c r="A3494" i="79" s="1"/>
  <c r="A3495" i="79" s="1"/>
  <c r="A3496" i="79" s="1"/>
  <c r="A3497" i="79" s="1"/>
  <c r="A3498" i="79" s="1"/>
  <c r="A3499" i="79" s="1"/>
  <c r="A3500" i="79" s="1"/>
  <c r="A3501" i="79" s="1"/>
  <c r="A3502" i="79" s="1"/>
  <c r="A3503" i="79" s="1"/>
  <c r="A3504" i="79" s="1"/>
  <c r="A3505" i="79" s="1"/>
  <c r="A3506" i="79" s="1"/>
  <c r="A3507" i="79" s="1"/>
  <c r="A3508" i="79" s="1"/>
  <c r="A3509" i="79" s="1"/>
  <c r="A3510" i="79" s="1"/>
  <c r="A3511" i="79" s="1"/>
  <c r="A3512" i="79" s="1"/>
  <c r="A3513" i="79" s="1"/>
  <c r="A3514" i="79" s="1"/>
  <c r="A3515" i="79" s="1"/>
  <c r="A3516" i="79" s="1"/>
  <c r="A3517" i="79" s="1"/>
  <c r="A3518" i="79" s="1"/>
  <c r="A3519" i="79" s="1"/>
  <c r="A3520" i="79" s="1"/>
  <c r="A3521" i="79" s="1"/>
  <c r="A3522" i="79" s="1"/>
  <c r="A3523" i="79" s="1"/>
  <c r="A3524" i="79" s="1"/>
  <c r="A3525" i="79" s="1"/>
  <c r="A3526" i="79" s="1"/>
  <c r="A3527" i="79" s="1"/>
  <c r="A3528" i="79" s="1"/>
  <c r="A3529" i="79" s="1"/>
  <c r="A3530" i="79" s="1"/>
  <c r="A3531" i="79" s="1"/>
  <c r="A3532" i="79" s="1"/>
  <c r="A3533" i="79" s="1"/>
  <c r="A3534" i="79" s="1"/>
  <c r="A3535" i="79" s="1"/>
  <c r="A3536" i="79" s="1"/>
  <c r="A3537" i="79" s="1"/>
  <c r="A3538" i="79" s="1"/>
  <c r="A3539" i="79" s="1"/>
  <c r="A3540" i="79" s="1"/>
  <c r="A3541" i="79" s="1"/>
  <c r="A3542" i="79" s="1"/>
  <c r="A3543" i="79" s="1"/>
  <c r="A3544" i="79" s="1"/>
  <c r="A3545" i="79" s="1"/>
  <c r="A3546" i="79" s="1"/>
  <c r="A3547" i="79" s="1"/>
  <c r="A3548" i="79" s="1"/>
  <c r="A3549" i="79" s="1"/>
  <c r="A3550" i="79" s="1"/>
  <c r="A3551" i="79" s="1"/>
  <c r="A3552" i="79" s="1"/>
  <c r="A3553" i="79" s="1"/>
  <c r="A3554" i="79" s="1"/>
  <c r="A3555" i="79" s="1"/>
  <c r="A3556" i="79" s="1"/>
  <c r="A3557" i="79" s="1"/>
  <c r="A3558" i="79" s="1"/>
  <c r="A3559" i="79" s="1"/>
  <c r="A3560" i="79" s="1"/>
  <c r="A3561" i="79" s="1"/>
  <c r="A3562" i="79" s="1"/>
  <c r="A3563" i="79" s="1"/>
  <c r="A3564" i="79" s="1"/>
  <c r="A3565" i="79" s="1"/>
  <c r="A3566" i="79" s="1"/>
  <c r="A3567" i="79" s="1"/>
  <c r="A3568" i="79" s="1"/>
  <c r="A3569" i="79" s="1"/>
  <c r="A3570" i="79" s="1"/>
  <c r="A3571" i="79" s="1"/>
  <c r="A3572" i="79" s="1"/>
  <c r="A3573" i="79" s="1"/>
  <c r="A3574" i="79" s="1"/>
  <c r="A3575" i="79" s="1"/>
  <c r="A3576" i="79" s="1"/>
  <c r="A3577" i="79" s="1"/>
  <c r="A3578" i="79" s="1"/>
  <c r="A3579" i="79" s="1"/>
  <c r="A3580" i="79" s="1"/>
  <c r="A3581" i="79" s="1"/>
  <c r="A3582" i="79" s="1"/>
  <c r="A3583" i="79" s="1"/>
  <c r="A3584" i="79" s="1"/>
  <c r="A3585" i="79" s="1"/>
  <c r="A3586" i="79" s="1"/>
  <c r="A3587" i="79" s="1"/>
  <c r="A3588" i="79" s="1"/>
  <c r="A3589" i="79" s="1"/>
  <c r="A3590" i="79" s="1"/>
  <c r="A3591" i="79" s="1"/>
  <c r="A3592" i="79" s="1"/>
  <c r="A3593" i="79" s="1"/>
  <c r="A3594" i="79" s="1"/>
  <c r="A3595" i="79" s="1"/>
  <c r="A3596" i="79" s="1"/>
  <c r="A3597" i="79" s="1"/>
  <c r="A3598" i="79" s="1"/>
  <c r="A3599" i="79" s="1"/>
  <c r="A3600" i="79" s="1"/>
  <c r="A3601" i="79" s="1"/>
  <c r="A3602" i="79" s="1"/>
  <c r="A3603" i="79" s="1"/>
  <c r="A3604" i="79" s="1"/>
  <c r="A3605" i="79" s="1"/>
  <c r="A3606" i="79" s="1"/>
  <c r="A3607" i="79" s="1"/>
  <c r="A3608" i="79" s="1"/>
  <c r="A3609" i="79" s="1"/>
  <c r="A3610" i="79" s="1"/>
  <c r="A3611" i="79" s="1"/>
  <c r="A3612" i="79" s="1"/>
  <c r="A3613" i="79" s="1"/>
  <c r="A3614" i="79" s="1"/>
  <c r="A3615" i="79" s="1"/>
  <c r="A3616" i="79" s="1"/>
  <c r="A3617" i="79" s="1"/>
  <c r="A3618" i="79" s="1"/>
  <c r="A3619" i="79" s="1"/>
  <c r="A3620" i="79" s="1"/>
  <c r="A3621" i="79" s="1"/>
  <c r="A3622" i="79" s="1"/>
  <c r="A3623" i="79" s="1"/>
  <c r="A3624" i="79" s="1"/>
  <c r="A3625" i="79" s="1"/>
  <c r="A3626" i="79" s="1"/>
  <c r="A3627" i="79" s="1"/>
  <c r="A3628" i="79" s="1"/>
  <c r="A3629" i="79" s="1"/>
  <c r="A3630" i="79" s="1"/>
  <c r="A3631" i="79" s="1"/>
  <c r="A3632" i="79" s="1"/>
  <c r="A3633" i="79" s="1"/>
  <c r="A3634" i="79" s="1"/>
  <c r="A3635" i="79" s="1"/>
  <c r="A3636" i="79" s="1"/>
  <c r="A3637" i="79" s="1"/>
  <c r="A3638" i="79" s="1"/>
  <c r="A3639" i="79" s="1"/>
  <c r="A3640" i="79" s="1"/>
  <c r="A3641" i="79" s="1"/>
  <c r="A3642" i="79" s="1"/>
  <c r="A3643" i="79" s="1"/>
  <c r="A3644" i="79" s="1"/>
  <c r="A3645" i="79" s="1"/>
  <c r="A3646" i="79" s="1"/>
  <c r="A3647" i="79" s="1"/>
  <c r="A3648" i="79" s="1"/>
  <c r="A3649" i="79" s="1"/>
  <c r="A3650" i="79" s="1"/>
  <c r="A3651" i="79" s="1"/>
  <c r="A3652" i="79" s="1"/>
  <c r="A3653" i="79" s="1"/>
  <c r="A3654" i="79" s="1"/>
  <c r="A3655" i="79" s="1"/>
  <c r="A3656" i="79" s="1"/>
  <c r="A3657" i="79" s="1"/>
  <c r="A3658" i="79" s="1"/>
  <c r="A3659" i="79" s="1"/>
  <c r="A3660" i="79" s="1"/>
  <c r="A3661" i="79" s="1"/>
  <c r="A3662" i="79" s="1"/>
  <c r="A3663" i="79" s="1"/>
  <c r="A3664" i="79" s="1"/>
  <c r="A3665" i="79" s="1"/>
  <c r="A3666" i="79" s="1"/>
  <c r="A3667" i="79" s="1"/>
  <c r="A3668" i="79" s="1"/>
  <c r="A3669" i="79" s="1"/>
  <c r="A3670" i="79" s="1"/>
  <c r="A3671" i="79" s="1"/>
  <c r="A3672" i="79" s="1"/>
  <c r="A3673" i="79" s="1"/>
  <c r="A3674" i="79" s="1"/>
  <c r="A3675" i="79" s="1"/>
  <c r="A3676" i="79" s="1"/>
  <c r="A3677" i="79" s="1"/>
  <c r="A3678" i="79" s="1"/>
  <c r="A3679" i="79" s="1"/>
  <c r="A3680" i="79" s="1"/>
  <c r="A3681" i="79" s="1"/>
  <c r="A3682" i="79" s="1"/>
  <c r="A3683" i="79" s="1"/>
  <c r="A3684" i="79" s="1"/>
  <c r="A3685" i="79" s="1"/>
  <c r="A3686" i="79" s="1"/>
  <c r="A3687" i="79" s="1"/>
  <c r="A3688" i="79" s="1"/>
  <c r="A3689" i="79" s="1"/>
  <c r="A3690" i="79" s="1"/>
  <c r="A3691" i="79" s="1"/>
  <c r="A3692" i="79" s="1"/>
  <c r="A3693" i="79" s="1"/>
  <c r="A3694" i="79" s="1"/>
  <c r="A3695" i="79" s="1"/>
  <c r="A3696" i="79" s="1"/>
  <c r="A3697" i="79" s="1"/>
  <c r="A3698" i="79" s="1"/>
  <c r="A3699" i="79" s="1"/>
  <c r="A3700" i="79" s="1"/>
  <c r="A3701" i="79" s="1"/>
  <c r="A3702" i="79" s="1"/>
  <c r="A3703" i="79" s="1"/>
  <c r="A3704" i="79" s="1"/>
  <c r="A3705" i="79" s="1"/>
  <c r="A3706" i="79" s="1"/>
  <c r="A3707" i="79" s="1"/>
  <c r="A3708" i="79" s="1"/>
  <c r="A3709" i="79" s="1"/>
  <c r="A3710" i="79" s="1"/>
  <c r="A3711" i="79" s="1"/>
  <c r="A3712" i="79" s="1"/>
  <c r="A3713" i="79" s="1"/>
  <c r="A3714" i="79" s="1"/>
  <c r="A3715" i="79" s="1"/>
  <c r="A3716" i="79" s="1"/>
  <c r="A3717" i="79" s="1"/>
  <c r="A3718" i="79" s="1"/>
  <c r="A3719" i="79" s="1"/>
  <c r="A3720" i="79" s="1"/>
  <c r="A3721" i="79" s="1"/>
  <c r="A3722" i="79" s="1"/>
  <c r="A3723" i="79" s="1"/>
  <c r="A3724" i="79" s="1"/>
  <c r="A3725" i="79" s="1"/>
  <c r="A3726" i="79" s="1"/>
  <c r="A3727" i="79" s="1"/>
  <c r="A3728" i="79" s="1"/>
  <c r="A3729" i="79" s="1"/>
  <c r="A3730" i="79" s="1"/>
  <c r="A3731" i="79" s="1"/>
  <c r="A3732" i="79" s="1"/>
  <c r="A3733" i="79" s="1"/>
  <c r="A3734" i="79" s="1"/>
  <c r="A3735" i="79" s="1"/>
  <c r="A3736" i="79" s="1"/>
  <c r="A3737" i="79" s="1"/>
  <c r="A3738" i="79" s="1"/>
  <c r="A3739" i="79" s="1"/>
  <c r="A3740" i="79" s="1"/>
  <c r="A3741" i="79" s="1"/>
  <c r="A3742" i="79" s="1"/>
  <c r="A3743" i="79" s="1"/>
  <c r="A3744" i="79" s="1"/>
  <c r="A3745" i="79" s="1"/>
  <c r="A3746" i="79" s="1"/>
  <c r="A3747" i="79" s="1"/>
  <c r="A3748" i="79" s="1"/>
  <c r="A3749" i="79" s="1"/>
  <c r="A3750" i="79" s="1"/>
  <c r="A3751" i="79" s="1"/>
  <c r="A3752" i="79" s="1"/>
  <c r="A3753" i="79" s="1"/>
  <c r="A3754" i="79" s="1"/>
  <c r="A3755" i="79" s="1"/>
  <c r="A3756" i="79" s="1"/>
  <c r="A3757" i="79" s="1"/>
  <c r="A3758" i="79" s="1"/>
  <c r="A3759" i="79" s="1"/>
  <c r="A3760" i="79" s="1"/>
  <c r="A3761" i="79" s="1"/>
  <c r="A3762" i="79" s="1"/>
  <c r="A3763" i="79" s="1"/>
  <c r="A3764" i="79" s="1"/>
  <c r="A3765" i="79" s="1"/>
  <c r="A3766" i="79" s="1"/>
  <c r="A3767" i="79" s="1"/>
  <c r="A3768" i="79" s="1"/>
  <c r="A3769" i="79" s="1"/>
  <c r="A3770" i="79" s="1"/>
  <c r="A3771" i="79" s="1"/>
  <c r="A3772" i="79" s="1"/>
  <c r="A3773" i="79" s="1"/>
  <c r="A3774" i="79" s="1"/>
  <c r="A3775" i="79" s="1"/>
  <c r="A3776" i="79" s="1"/>
  <c r="A3777" i="79" s="1"/>
  <c r="A3778" i="79" s="1"/>
  <c r="A3779" i="79" s="1"/>
  <c r="A3780" i="79" s="1"/>
  <c r="A3781" i="79" s="1"/>
  <c r="A3782" i="79" s="1"/>
  <c r="A3783" i="79" s="1"/>
  <c r="A3784" i="79" s="1"/>
  <c r="A3785" i="79" s="1"/>
  <c r="A3786" i="79" s="1"/>
  <c r="A3787" i="79" s="1"/>
  <c r="A3788" i="79" s="1"/>
  <c r="A3789" i="79" s="1"/>
  <c r="A3790" i="79" s="1"/>
  <c r="A3791" i="79" s="1"/>
  <c r="A3792" i="79" s="1"/>
  <c r="A3793" i="79" s="1"/>
  <c r="A3794" i="79" s="1"/>
  <c r="A3795" i="79" s="1"/>
  <c r="A3796" i="79" s="1"/>
  <c r="A3797" i="79" s="1"/>
  <c r="A3798" i="79" s="1"/>
  <c r="A3799" i="79" s="1"/>
  <c r="A3800" i="79" s="1"/>
  <c r="A3801" i="79" s="1"/>
  <c r="A3802" i="79" s="1"/>
  <c r="A3803" i="79" s="1"/>
  <c r="A3804" i="79" s="1"/>
  <c r="A3805" i="79" s="1"/>
  <c r="A3806" i="79" s="1"/>
  <c r="A3807" i="79" s="1"/>
  <c r="A3808" i="79" s="1"/>
  <c r="A3809" i="79" s="1"/>
  <c r="A3810" i="79" s="1"/>
  <c r="A3811" i="79" s="1"/>
  <c r="A3812" i="79" s="1"/>
  <c r="A3813" i="79" s="1"/>
  <c r="A3814" i="79" s="1"/>
  <c r="A3815" i="79" s="1"/>
  <c r="A3816" i="79" s="1"/>
  <c r="A3817" i="79" s="1"/>
  <c r="A3818" i="79" s="1"/>
  <c r="A3819" i="79" s="1"/>
  <c r="A3820" i="79" s="1"/>
  <c r="A3821" i="79" s="1"/>
  <c r="A3822" i="79" s="1"/>
  <c r="A3823" i="79" s="1"/>
  <c r="A3824" i="79" s="1"/>
  <c r="A3825" i="79" s="1"/>
  <c r="A3826" i="79" s="1"/>
  <c r="A3827" i="79" s="1"/>
  <c r="A3828" i="79" s="1"/>
  <c r="A3829" i="79" s="1"/>
  <c r="A3830" i="79" s="1"/>
  <c r="A3831" i="79" s="1"/>
  <c r="A3832" i="79" s="1"/>
  <c r="A3833" i="79" s="1"/>
  <c r="A3834" i="79" s="1"/>
  <c r="A3835" i="79" s="1"/>
  <c r="A3836" i="79" s="1"/>
  <c r="A3837" i="79" s="1"/>
  <c r="A3838" i="79" s="1"/>
  <c r="A3839" i="79" s="1"/>
  <c r="A3840" i="79" s="1"/>
  <c r="A3841" i="79" s="1"/>
  <c r="A3842" i="79" s="1"/>
  <c r="A3843" i="79" s="1"/>
  <c r="A3844" i="79" s="1"/>
  <c r="A3845" i="79" s="1"/>
  <c r="A3846" i="79" s="1"/>
  <c r="A3847" i="79" s="1"/>
  <c r="A3848" i="79" s="1"/>
  <c r="A3849" i="79" s="1"/>
  <c r="A3850" i="79" s="1"/>
  <c r="A3851" i="79" s="1"/>
  <c r="A3852" i="79" s="1"/>
  <c r="A3853" i="79" s="1"/>
  <c r="A3854" i="79" s="1"/>
  <c r="A3855" i="79" s="1"/>
  <c r="A3856" i="79" s="1"/>
  <c r="A3857" i="79" s="1"/>
  <c r="A3858" i="79" s="1"/>
  <c r="A3859" i="79" s="1"/>
  <c r="A3860" i="79" s="1"/>
  <c r="A3861" i="79" s="1"/>
  <c r="A3862" i="79" s="1"/>
  <c r="A3863" i="79" s="1"/>
  <c r="A3864" i="79" s="1"/>
  <c r="A3865" i="79" s="1"/>
  <c r="A3866" i="79" s="1"/>
  <c r="A3867" i="79" s="1"/>
  <c r="A3868" i="79" s="1"/>
  <c r="A3869" i="79" s="1"/>
  <c r="A3870" i="79" s="1"/>
  <c r="A3871" i="79" s="1"/>
  <c r="A3872" i="79" s="1"/>
  <c r="A3873" i="79" s="1"/>
  <c r="A3874" i="79" s="1"/>
  <c r="A3875" i="79" s="1"/>
  <c r="A3876" i="79" s="1"/>
  <c r="A3877" i="79" s="1"/>
  <c r="A3878" i="79" s="1"/>
  <c r="A3879" i="79" s="1"/>
  <c r="A3880" i="79" s="1"/>
  <c r="A3881" i="79" s="1"/>
  <c r="A3882" i="79" s="1"/>
  <c r="A3883" i="79" s="1"/>
  <c r="A3884" i="79" s="1"/>
  <c r="A3885" i="79" s="1"/>
  <c r="A3886" i="79" s="1"/>
  <c r="A3887" i="79" s="1"/>
  <c r="A3888" i="79" s="1"/>
  <c r="A3889" i="79" s="1"/>
  <c r="A3890" i="79" s="1"/>
  <c r="A3891" i="79" s="1"/>
  <c r="A3892" i="79" s="1"/>
  <c r="A3893" i="79" s="1"/>
  <c r="A3894" i="79" s="1"/>
  <c r="A3895" i="79" s="1"/>
  <c r="A3896" i="79" s="1"/>
  <c r="A3897" i="79" s="1"/>
  <c r="A3898" i="79" s="1"/>
  <c r="A3899" i="79" s="1"/>
  <c r="A3900" i="79" s="1"/>
  <c r="A3901" i="79" s="1"/>
  <c r="A3902" i="79" s="1"/>
  <c r="A3903" i="79" s="1"/>
  <c r="A3904" i="79" s="1"/>
  <c r="A3905" i="79" s="1"/>
  <c r="A3906" i="79" s="1"/>
  <c r="A3907" i="79" s="1"/>
  <c r="A3908" i="79" s="1"/>
  <c r="A3909" i="79" s="1"/>
  <c r="A3910" i="79" s="1"/>
  <c r="A3911" i="79" s="1"/>
  <c r="A3912" i="79" s="1"/>
  <c r="A3913" i="79" s="1"/>
  <c r="A3914" i="79" s="1"/>
  <c r="A3915" i="79" s="1"/>
  <c r="A3916" i="79" s="1"/>
  <c r="A3917" i="79" s="1"/>
  <c r="A3918" i="79" s="1"/>
  <c r="A3919" i="79" s="1"/>
  <c r="A3920" i="79" s="1"/>
  <c r="A3921" i="79" s="1"/>
  <c r="A3922" i="79" s="1"/>
  <c r="A3923" i="79" s="1"/>
  <c r="A3924" i="79" s="1"/>
  <c r="A3925" i="79" s="1"/>
  <c r="A3926" i="79" s="1"/>
  <c r="A3927" i="79" s="1"/>
  <c r="A3928" i="79" s="1"/>
  <c r="A3929" i="79" s="1"/>
  <c r="A3930" i="79" s="1"/>
  <c r="A3931" i="79" s="1"/>
  <c r="A3932" i="79" s="1"/>
  <c r="A3933" i="79" s="1"/>
  <c r="A3934" i="79" s="1"/>
  <c r="A3935" i="79" s="1"/>
  <c r="A3936" i="79" s="1"/>
  <c r="A3937" i="79" s="1"/>
  <c r="A3938" i="79" s="1"/>
  <c r="A3939" i="79" s="1"/>
  <c r="A3940" i="79" s="1"/>
  <c r="A3941" i="79" s="1"/>
  <c r="A3942" i="79" s="1"/>
  <c r="A3943" i="79" s="1"/>
  <c r="A3944" i="79" s="1"/>
  <c r="A3945" i="79" s="1"/>
  <c r="A3946" i="79" s="1"/>
  <c r="A3947" i="79" s="1"/>
  <c r="A3948" i="79" s="1"/>
  <c r="A3949" i="79" s="1"/>
  <c r="A3950" i="79" s="1"/>
  <c r="A3951" i="79" s="1"/>
  <c r="A3952" i="79" s="1"/>
  <c r="A3953" i="79" s="1"/>
  <c r="A3954" i="79" s="1"/>
  <c r="A3955" i="79" s="1"/>
  <c r="A3956" i="79" s="1"/>
  <c r="A3957" i="79" s="1"/>
  <c r="A3958" i="79" s="1"/>
  <c r="A3959" i="79" s="1"/>
  <c r="A3960" i="79" s="1"/>
  <c r="A3961" i="79" s="1"/>
  <c r="A3962" i="79" s="1"/>
  <c r="A3963" i="79" s="1"/>
  <c r="A3964" i="79" s="1"/>
  <c r="A3965" i="79" s="1"/>
  <c r="A3966" i="79" s="1"/>
  <c r="A3967" i="79" s="1"/>
  <c r="A3968" i="79" s="1"/>
  <c r="A3969" i="79" s="1"/>
  <c r="A3970" i="79" s="1"/>
  <c r="A3971" i="79" s="1"/>
  <c r="A3972" i="79" s="1"/>
  <c r="A3973" i="79" s="1"/>
  <c r="A3974" i="79" s="1"/>
  <c r="A3975" i="79" s="1"/>
  <c r="A3976" i="79" s="1"/>
  <c r="A3977" i="79" s="1"/>
  <c r="A3978" i="79" s="1"/>
  <c r="A3979" i="79" s="1"/>
  <c r="A3980" i="79" s="1"/>
  <c r="A3981" i="79" s="1"/>
  <c r="A3982" i="79" s="1"/>
  <c r="A3983" i="79" s="1"/>
  <c r="A3984" i="79" s="1"/>
  <c r="A3985" i="79" s="1"/>
  <c r="A3986" i="79" s="1"/>
  <c r="A3987" i="79" s="1"/>
  <c r="A3988" i="79" s="1"/>
  <c r="A3989" i="79" s="1"/>
  <c r="A3990" i="79" s="1"/>
  <c r="A3991" i="79" s="1"/>
  <c r="A3992" i="79" s="1"/>
  <c r="A3993" i="79" s="1"/>
  <c r="A3994" i="79" s="1"/>
  <c r="A3995" i="79" s="1"/>
  <c r="A3996" i="79" s="1"/>
  <c r="A3997" i="79" s="1"/>
  <c r="A3998" i="79" s="1"/>
  <c r="A3999" i="79" s="1"/>
  <c r="A4000" i="79" s="1"/>
  <c r="A4001" i="79" s="1"/>
  <c r="A4002" i="79" s="1"/>
  <c r="A4003" i="79" s="1"/>
  <c r="A4004" i="79" s="1"/>
  <c r="A4005" i="79" s="1"/>
  <c r="A4006" i="79" s="1"/>
  <c r="A4007" i="79" s="1"/>
  <c r="A4008" i="79" s="1"/>
  <c r="A4009" i="79" s="1"/>
  <c r="A4010" i="79" s="1"/>
  <c r="A4011" i="79" s="1"/>
  <c r="A4012" i="79" s="1"/>
  <c r="A4013" i="79" s="1"/>
  <c r="A4014" i="79" s="1"/>
  <c r="A4015" i="79" s="1"/>
  <c r="A4016" i="79" s="1"/>
  <c r="A4017" i="79" s="1"/>
  <c r="A4018" i="79" s="1"/>
  <c r="A4019" i="79" s="1"/>
  <c r="A4020" i="79" s="1"/>
  <c r="A4021" i="79" s="1"/>
  <c r="A4022" i="79" s="1"/>
  <c r="A4023" i="79" s="1"/>
  <c r="A4024" i="79" s="1"/>
  <c r="A4025" i="79" s="1"/>
  <c r="A4026" i="79" s="1"/>
  <c r="A4027" i="79" s="1"/>
  <c r="A4028" i="79" s="1"/>
  <c r="A4029" i="79" s="1"/>
  <c r="A4030" i="79" s="1"/>
  <c r="A4031" i="79" s="1"/>
  <c r="A4032" i="79" s="1"/>
  <c r="A4033" i="79" s="1"/>
  <c r="A4034" i="79" s="1"/>
  <c r="A4035" i="79" s="1"/>
  <c r="A4036" i="79" s="1"/>
  <c r="A4037" i="79" s="1"/>
  <c r="A4038" i="79" s="1"/>
  <c r="A4039" i="79" s="1"/>
  <c r="A4040" i="79" s="1"/>
  <c r="A4041" i="79" s="1"/>
  <c r="A4042" i="79" s="1"/>
  <c r="A4043" i="79" s="1"/>
  <c r="A4044" i="79" s="1"/>
  <c r="A4045" i="79" s="1"/>
  <c r="A4046" i="79" s="1"/>
  <c r="A4047" i="79" s="1"/>
  <c r="A4048" i="79" s="1"/>
  <c r="A4049" i="79" s="1"/>
  <c r="A4050" i="79" s="1"/>
  <c r="A4051" i="79" s="1"/>
  <c r="A4052" i="79" s="1"/>
  <c r="A4053" i="79" s="1"/>
  <c r="A4054" i="79" s="1"/>
  <c r="A4055" i="79" s="1"/>
  <c r="A4056" i="79" s="1"/>
  <c r="A4057" i="79" s="1"/>
  <c r="A4058" i="79" s="1"/>
  <c r="A4059" i="79" s="1"/>
  <c r="A4060" i="79" s="1"/>
  <c r="A4061" i="79" s="1"/>
  <c r="A4062" i="79" s="1"/>
  <c r="A4063" i="79" s="1"/>
  <c r="A4064" i="79" s="1"/>
  <c r="A4065" i="79" s="1"/>
  <c r="A4066" i="79" s="1"/>
  <c r="A4067" i="79" s="1"/>
  <c r="A4068" i="79" s="1"/>
  <c r="A4069" i="79" s="1"/>
  <c r="A4070" i="79" s="1"/>
  <c r="A4071" i="79" s="1"/>
  <c r="A4072" i="79" s="1"/>
  <c r="A4073" i="79" s="1"/>
  <c r="A4074" i="79" s="1"/>
  <c r="A4075" i="79" s="1"/>
  <c r="A4076" i="79" s="1"/>
  <c r="A4077" i="79" s="1"/>
  <c r="A4078" i="79" s="1"/>
  <c r="A4079" i="79" s="1"/>
  <c r="A4080" i="79" s="1"/>
  <c r="A4081" i="79" s="1"/>
  <c r="A4082" i="79" s="1"/>
  <c r="A4083" i="79" s="1"/>
  <c r="A4084" i="79" s="1"/>
  <c r="A4085" i="79" s="1"/>
  <c r="A4086" i="79" s="1"/>
  <c r="A4087" i="79" s="1"/>
  <c r="A4088" i="79" s="1"/>
  <c r="A4089" i="79" s="1"/>
  <c r="A4090" i="79" s="1"/>
  <c r="A4091" i="79" s="1"/>
  <c r="A4092" i="79" s="1"/>
  <c r="A4093" i="79" s="1"/>
  <c r="A4094" i="79" s="1"/>
  <c r="A4095" i="79" s="1"/>
  <c r="A4096" i="79" s="1"/>
  <c r="A4097" i="79" s="1"/>
  <c r="A4098" i="79" s="1"/>
  <c r="A4099" i="79" s="1"/>
  <c r="A4100" i="79" s="1"/>
  <c r="A4101" i="79" s="1"/>
  <c r="A4102" i="79" s="1"/>
  <c r="A4103" i="79" s="1"/>
  <c r="A4104" i="79" s="1"/>
  <c r="A4105" i="79" s="1"/>
  <c r="A4106" i="79" s="1"/>
  <c r="A4107" i="79" s="1"/>
  <c r="A4108" i="79" s="1"/>
  <c r="A4109" i="79" s="1"/>
  <c r="A4110" i="79" s="1"/>
  <c r="A4111" i="79" s="1"/>
  <c r="A4112" i="79" s="1"/>
  <c r="A4113" i="79" s="1"/>
  <c r="A4114" i="79" s="1"/>
  <c r="A4115" i="79" s="1"/>
  <c r="A4116" i="79" s="1"/>
  <c r="A4117" i="79" s="1"/>
  <c r="A4118" i="79" s="1"/>
  <c r="A4119" i="79" s="1"/>
  <c r="A4120" i="79" s="1"/>
  <c r="A4121" i="79" s="1"/>
  <c r="A4122" i="79" s="1"/>
  <c r="A4123" i="79" s="1"/>
  <c r="A4124" i="79" s="1"/>
  <c r="A4125" i="79" s="1"/>
  <c r="A4126" i="79" s="1"/>
  <c r="A4127" i="79" s="1"/>
  <c r="A4128" i="79" s="1"/>
  <c r="A4129" i="79" s="1"/>
  <c r="A4130" i="79" s="1"/>
  <c r="A4131" i="79" s="1"/>
  <c r="A4132" i="79" s="1"/>
  <c r="A4133" i="79" s="1"/>
  <c r="A4134" i="79" s="1"/>
  <c r="A4135" i="79" s="1"/>
  <c r="A4136" i="79" s="1"/>
  <c r="A4137" i="79" s="1"/>
  <c r="A4138" i="79" s="1"/>
  <c r="A4139" i="79" s="1"/>
  <c r="A4140" i="79" s="1"/>
  <c r="A4141" i="79" s="1"/>
  <c r="A4142" i="79" s="1"/>
  <c r="A4143" i="79" s="1"/>
  <c r="A4144" i="79" s="1"/>
  <c r="A4145" i="79" s="1"/>
  <c r="A4146" i="79" s="1"/>
  <c r="A4147" i="79" s="1"/>
  <c r="A4148" i="79" s="1"/>
  <c r="A4149" i="79" s="1"/>
  <c r="A4150" i="79" s="1"/>
  <c r="A4151" i="79" s="1"/>
  <c r="A4152" i="79" s="1"/>
  <c r="A4153" i="79" s="1"/>
  <c r="A4154" i="79" s="1"/>
  <c r="A4155" i="79" s="1"/>
  <c r="A4156" i="79" s="1"/>
  <c r="A4157" i="79" s="1"/>
  <c r="A4158" i="79" s="1"/>
  <c r="A4159" i="79" s="1"/>
  <c r="A4160" i="79" s="1"/>
  <c r="A4161" i="79" s="1"/>
  <c r="A4162" i="79" s="1"/>
  <c r="A4163" i="79" s="1"/>
  <c r="A4164" i="79" s="1"/>
  <c r="A4165" i="79" s="1"/>
  <c r="A4166" i="79" s="1"/>
  <c r="A4167" i="79" s="1"/>
  <c r="A4168" i="79" s="1"/>
  <c r="A4169" i="79" s="1"/>
  <c r="A4170" i="79" s="1"/>
  <c r="A4171" i="79" s="1"/>
  <c r="A4172" i="79" s="1"/>
  <c r="A4173" i="79" s="1"/>
  <c r="A4174" i="79" s="1"/>
  <c r="A4175" i="79" s="1"/>
  <c r="A4176" i="79" s="1"/>
  <c r="A4177" i="79" s="1"/>
  <c r="A4178" i="79" s="1"/>
  <c r="A4179" i="79" s="1"/>
  <c r="A4180" i="79" s="1"/>
  <c r="A4181" i="79" s="1"/>
  <c r="A4182" i="79" s="1"/>
  <c r="A4183" i="79" s="1"/>
  <c r="A4184" i="79" s="1"/>
  <c r="A4185" i="79" s="1"/>
  <c r="A4186" i="79" s="1"/>
  <c r="A4187" i="79" s="1"/>
  <c r="A4188" i="79" s="1"/>
  <c r="A4189" i="79" s="1"/>
  <c r="A4190" i="79" s="1"/>
  <c r="A4191" i="79" s="1"/>
  <c r="A4192" i="79" s="1"/>
  <c r="A4193" i="79" s="1"/>
  <c r="A4194" i="79" s="1"/>
  <c r="A4195" i="79" s="1"/>
  <c r="A4196" i="79" s="1"/>
  <c r="A4197" i="79" s="1"/>
  <c r="A4198" i="79" s="1"/>
  <c r="A4199" i="79" s="1"/>
  <c r="A4200" i="79" s="1"/>
  <c r="A4201" i="79" s="1"/>
  <c r="A4202" i="79" s="1"/>
  <c r="A4203" i="79" s="1"/>
  <c r="A4204" i="79" s="1"/>
  <c r="A4205" i="79" s="1"/>
  <c r="A4206" i="79" s="1"/>
  <c r="A4207" i="79" s="1"/>
  <c r="A4208" i="79" s="1"/>
  <c r="A4209" i="79" s="1"/>
  <c r="A4210" i="79" s="1"/>
  <c r="A4211" i="79" s="1"/>
  <c r="A4212" i="79" s="1"/>
  <c r="A4213" i="79" s="1"/>
  <c r="A4214" i="79" s="1"/>
  <c r="A4215" i="79" s="1"/>
  <c r="A4216" i="79" s="1"/>
  <c r="A4217" i="79" s="1"/>
  <c r="A4218" i="79" s="1"/>
  <c r="A4219" i="79" s="1"/>
  <c r="A4220" i="79" s="1"/>
  <c r="A4221" i="79" s="1"/>
  <c r="A4222" i="79" s="1"/>
  <c r="A4223" i="79" s="1"/>
  <c r="A4224" i="79" s="1"/>
  <c r="A4225" i="79" s="1"/>
  <c r="A4226" i="79" s="1"/>
  <c r="A4227" i="79" s="1"/>
  <c r="A4228" i="79" s="1"/>
  <c r="A4229" i="79" s="1"/>
  <c r="A4230" i="79" s="1"/>
  <c r="A4231" i="79" s="1"/>
  <c r="A4232" i="79" s="1"/>
  <c r="A4233" i="79" s="1"/>
  <c r="A4234" i="79" s="1"/>
  <c r="A4235" i="79" s="1"/>
  <c r="A4236" i="79" s="1"/>
  <c r="A4237" i="79" s="1"/>
  <c r="A4238" i="79" s="1"/>
  <c r="A4239" i="79" s="1"/>
  <c r="A4240" i="79" s="1"/>
  <c r="A4241" i="79" s="1"/>
  <c r="A4242" i="79" s="1"/>
  <c r="A4243" i="79" s="1"/>
  <c r="A4244" i="79" s="1"/>
  <c r="A4245" i="79" s="1"/>
  <c r="A4246" i="79" s="1"/>
  <c r="A4247" i="79" s="1"/>
  <c r="A4248" i="79" s="1"/>
  <c r="A4249" i="79" s="1"/>
  <c r="A4250" i="79" s="1"/>
  <c r="A4251" i="79" s="1"/>
  <c r="A4252" i="79" s="1"/>
  <c r="A4253" i="79" s="1"/>
  <c r="A4254" i="79" s="1"/>
  <c r="A4255" i="79" s="1"/>
  <c r="A4256" i="79" s="1"/>
  <c r="A4257" i="79" s="1"/>
  <c r="A4258" i="79" s="1"/>
  <c r="A4259" i="79" s="1"/>
  <c r="A4260" i="79" s="1"/>
  <c r="A4261" i="79" s="1"/>
  <c r="A4262" i="79" s="1"/>
  <c r="A4263" i="79" s="1"/>
  <c r="A4264" i="79" s="1"/>
  <c r="A4265" i="79" s="1"/>
  <c r="A4266" i="79" s="1"/>
  <c r="A4267" i="79" s="1"/>
  <c r="A4268" i="79" s="1"/>
  <c r="A4269" i="79" s="1"/>
  <c r="A4270" i="79" s="1"/>
  <c r="A4271" i="79" s="1"/>
  <c r="A4272" i="79" s="1"/>
  <c r="A4273" i="79" s="1"/>
  <c r="A4274" i="79" s="1"/>
  <c r="A4275" i="79" s="1"/>
  <c r="A4276" i="79" s="1"/>
  <c r="A4277" i="79" s="1"/>
  <c r="A4278" i="79" s="1"/>
  <c r="A4279" i="79" s="1"/>
  <c r="A4280" i="79" s="1"/>
  <c r="A4281" i="79" s="1"/>
  <c r="A4282" i="79" s="1"/>
  <c r="A4283" i="79" s="1"/>
  <c r="A4284" i="79" s="1"/>
  <c r="A4285" i="79" s="1"/>
  <c r="A4286" i="79" s="1"/>
  <c r="A4287" i="79" s="1"/>
  <c r="A4288" i="79" s="1"/>
  <c r="A4289" i="79" s="1"/>
  <c r="A4290" i="79" s="1"/>
  <c r="A4291" i="79" s="1"/>
  <c r="A4292" i="79" s="1"/>
  <c r="A4293" i="79" s="1"/>
  <c r="A4294" i="79" s="1"/>
  <c r="A4295" i="79" s="1"/>
  <c r="A4296" i="79" s="1"/>
  <c r="A4297" i="79" s="1"/>
  <c r="A4298" i="79" s="1"/>
  <c r="A4299" i="79" s="1"/>
  <c r="A4300" i="79" s="1"/>
  <c r="A4301" i="79" s="1"/>
  <c r="A4302" i="79" s="1"/>
  <c r="A4303" i="79" s="1"/>
  <c r="A4304" i="79" s="1"/>
  <c r="A4305" i="79" s="1"/>
  <c r="A4306" i="79" s="1"/>
  <c r="A4307" i="79" s="1"/>
  <c r="A4308" i="79" s="1"/>
  <c r="A4309" i="79" s="1"/>
  <c r="A4310" i="79" s="1"/>
  <c r="A4311" i="79" s="1"/>
  <c r="A4312" i="79" s="1"/>
  <c r="A4313" i="79" s="1"/>
  <c r="A4314" i="79" s="1"/>
  <c r="A4315" i="79" s="1"/>
  <c r="A4316" i="79" s="1"/>
  <c r="A4317" i="79" s="1"/>
  <c r="A4318" i="79" s="1"/>
  <c r="A4319" i="79" s="1"/>
  <c r="A4320" i="79" s="1"/>
  <c r="A4321" i="79" s="1"/>
  <c r="A4322" i="79" s="1"/>
  <c r="A4323" i="79" s="1"/>
  <c r="A4324" i="79" s="1"/>
  <c r="A4325" i="79" s="1"/>
  <c r="A4326" i="79" s="1"/>
  <c r="A4327" i="79" s="1"/>
  <c r="A4328" i="79" s="1"/>
  <c r="A4329" i="79" s="1"/>
  <c r="A4330" i="79" s="1"/>
  <c r="A4331" i="79" s="1"/>
  <c r="A4332" i="79" s="1"/>
  <c r="A4333" i="79" s="1"/>
  <c r="A4334" i="79" s="1"/>
  <c r="A4335" i="79" s="1"/>
  <c r="A4336" i="79" s="1"/>
  <c r="A4337" i="79" s="1"/>
  <c r="A4338" i="79" s="1"/>
  <c r="A4339" i="79" s="1"/>
  <c r="A4340" i="79" s="1"/>
  <c r="A4341" i="79" s="1"/>
  <c r="A4342" i="79" s="1"/>
  <c r="A4343" i="79" s="1"/>
  <c r="A4344" i="79" s="1"/>
  <c r="A4345" i="79" s="1"/>
  <c r="A4346" i="79" s="1"/>
  <c r="A4347" i="79" s="1"/>
  <c r="A4348" i="79" s="1"/>
  <c r="A4349" i="79" s="1"/>
  <c r="A4350" i="79" s="1"/>
  <c r="A4351" i="79" s="1"/>
  <c r="A4352" i="79" s="1"/>
  <c r="A4353" i="79" s="1"/>
  <c r="A4354" i="79" s="1"/>
  <c r="A4355" i="79" s="1"/>
  <c r="A4356" i="79" s="1"/>
  <c r="A4357" i="79" s="1"/>
  <c r="A4358" i="79" s="1"/>
  <c r="A4359" i="79" s="1"/>
  <c r="A4360" i="79" s="1"/>
  <c r="A4361" i="79" s="1"/>
  <c r="A4362" i="79" s="1"/>
  <c r="A4363" i="79" s="1"/>
  <c r="A4364" i="79" s="1"/>
  <c r="A4365" i="79" s="1"/>
  <c r="A4366" i="79" s="1"/>
  <c r="A4367" i="79" s="1"/>
  <c r="A4368" i="79" s="1"/>
  <c r="A4369" i="79" s="1"/>
  <c r="A4370" i="79" s="1"/>
  <c r="A4371" i="79" s="1"/>
  <c r="A4372" i="79" s="1"/>
  <c r="A4373" i="79" s="1"/>
  <c r="A4374" i="79" s="1"/>
  <c r="A4375" i="79" s="1"/>
  <c r="A4376" i="79" s="1"/>
  <c r="A4377" i="79" s="1"/>
  <c r="A4378" i="79" s="1"/>
  <c r="A4379" i="79" s="1"/>
  <c r="A4380" i="79" s="1"/>
  <c r="A4381" i="79" s="1"/>
  <c r="A4382" i="79" s="1"/>
  <c r="A4383" i="79" s="1"/>
  <c r="A4384" i="79" s="1"/>
  <c r="A4385" i="79" s="1"/>
  <c r="A4386" i="79" s="1"/>
  <c r="A4387" i="79" s="1"/>
  <c r="A4388" i="79" s="1"/>
  <c r="A4389" i="79" s="1"/>
  <c r="A4390" i="79" s="1"/>
  <c r="A4391" i="79" s="1"/>
  <c r="A4392" i="79" s="1"/>
  <c r="A4393" i="79" s="1"/>
  <c r="A4394" i="79" s="1"/>
  <c r="A4395" i="79" s="1"/>
  <c r="A4396" i="79" s="1"/>
  <c r="A4397" i="79" s="1"/>
  <c r="A4398" i="79" s="1"/>
  <c r="A4399" i="79" s="1"/>
  <c r="A4400" i="79" s="1"/>
  <c r="A4401" i="79" s="1"/>
  <c r="A4402" i="79" s="1"/>
  <c r="A4403" i="79" s="1"/>
  <c r="A4404" i="79" s="1"/>
  <c r="A4405" i="79" s="1"/>
  <c r="A4406" i="79" s="1"/>
  <c r="A4407" i="79" s="1"/>
  <c r="A4408" i="79" s="1"/>
  <c r="A4409" i="79" s="1"/>
  <c r="A4410" i="79" s="1"/>
  <c r="A4411" i="79" s="1"/>
  <c r="A4412" i="79" s="1"/>
  <c r="A4413" i="79" s="1"/>
  <c r="A4414" i="79" s="1"/>
  <c r="A4415" i="79" s="1"/>
  <c r="A4416" i="79" s="1"/>
  <c r="A4417" i="79" s="1"/>
  <c r="A4418" i="79" s="1"/>
  <c r="A4419" i="79" s="1"/>
  <c r="A4420" i="79" s="1"/>
  <c r="A4421" i="79" s="1"/>
  <c r="A4422" i="79" s="1"/>
  <c r="A4423" i="79" s="1"/>
  <c r="A4424" i="79" s="1"/>
  <c r="A4425" i="79" s="1"/>
  <c r="A4426" i="79" s="1"/>
  <c r="A4427" i="79" s="1"/>
  <c r="A4428" i="79" s="1"/>
  <c r="A4429" i="79" s="1"/>
  <c r="A4430" i="79" s="1"/>
  <c r="A4431" i="79" s="1"/>
  <c r="A4432" i="79" s="1"/>
  <c r="A4433" i="79" s="1"/>
  <c r="A4434" i="79" s="1"/>
  <c r="A4435" i="79" s="1"/>
  <c r="A4436" i="79" s="1"/>
  <c r="A4437" i="79" s="1"/>
  <c r="A4438" i="79" s="1"/>
  <c r="A4439" i="79" s="1"/>
  <c r="A4440" i="79" s="1"/>
  <c r="A4441" i="79" s="1"/>
  <c r="A4442" i="79" s="1"/>
  <c r="A4443" i="79" s="1"/>
  <c r="A4444" i="79" s="1"/>
  <c r="A4445" i="79" s="1"/>
  <c r="A4446" i="79" s="1"/>
  <c r="A4447" i="79" s="1"/>
  <c r="A4448" i="79" s="1"/>
  <c r="A4449" i="79" s="1"/>
  <c r="A4450" i="79" s="1"/>
  <c r="A4451" i="79" s="1"/>
  <c r="A4452" i="79" s="1"/>
  <c r="A4453" i="79" s="1"/>
  <c r="A4454" i="79" s="1"/>
  <c r="A4455" i="79" s="1"/>
  <c r="A4456" i="79" s="1"/>
  <c r="A4457" i="79" s="1"/>
  <c r="A4458" i="79" s="1"/>
  <c r="A4459" i="79" s="1"/>
  <c r="A4460" i="79" s="1"/>
  <c r="A4461" i="79" s="1"/>
  <c r="A4462" i="79" s="1"/>
  <c r="A4463" i="79" s="1"/>
  <c r="A4464" i="79" s="1"/>
  <c r="A4465" i="79" s="1"/>
  <c r="A4466" i="79" s="1"/>
  <c r="A4467" i="79" s="1"/>
  <c r="A4468" i="79" s="1"/>
  <c r="A4469" i="79" s="1"/>
  <c r="A4470" i="79" s="1"/>
  <c r="A4471" i="79" s="1"/>
  <c r="A4472" i="79" s="1"/>
  <c r="A4473" i="79" s="1"/>
  <c r="A4474" i="79" s="1"/>
  <c r="A4475" i="79" s="1"/>
  <c r="A4476" i="79" s="1"/>
  <c r="A4477" i="79" s="1"/>
  <c r="A4478" i="79" s="1"/>
  <c r="A4479" i="79" s="1"/>
  <c r="A4480" i="79" s="1"/>
  <c r="A4481" i="79" s="1"/>
  <c r="A4482" i="79" s="1"/>
  <c r="A4483" i="79" s="1"/>
  <c r="A4484" i="79" s="1"/>
  <c r="A4485" i="79" s="1"/>
  <c r="A4486" i="79" s="1"/>
  <c r="A4487" i="79" s="1"/>
  <c r="A4488" i="79" s="1"/>
  <c r="A4489" i="79" s="1"/>
  <c r="A4490" i="79" s="1"/>
  <c r="A4491" i="79" s="1"/>
  <c r="A4492" i="79" s="1"/>
  <c r="A4493" i="79" s="1"/>
  <c r="A4494" i="79" s="1"/>
  <c r="A4495" i="79" s="1"/>
  <c r="A4496" i="79" s="1"/>
  <c r="A4497" i="79" s="1"/>
  <c r="A4498" i="79" s="1"/>
  <c r="A4499" i="79" s="1"/>
  <c r="A4500" i="79" s="1"/>
  <c r="A4501" i="79" s="1"/>
  <c r="A4502" i="79" s="1"/>
  <c r="A4503" i="79" s="1"/>
  <c r="A4504" i="79" s="1"/>
  <c r="A4505" i="79" s="1"/>
  <c r="A4506" i="79" s="1"/>
  <c r="A4507" i="79" s="1"/>
  <c r="A4508" i="79" s="1"/>
  <c r="A4509" i="79" s="1"/>
  <c r="A4510" i="79" s="1"/>
  <c r="A4511" i="79" s="1"/>
  <c r="A4512" i="79" s="1"/>
  <c r="A4513" i="79" s="1"/>
  <c r="A4514" i="79" s="1"/>
  <c r="A4515" i="79" s="1"/>
  <c r="A4516" i="79" s="1"/>
  <c r="A4517" i="79" s="1"/>
  <c r="A4518" i="79" s="1"/>
  <c r="A4519" i="79" s="1"/>
  <c r="A4520" i="79" s="1"/>
  <c r="A4521" i="79" s="1"/>
  <c r="A4522" i="79" s="1"/>
  <c r="A4523" i="79" s="1"/>
  <c r="A4524" i="79" s="1"/>
  <c r="A4525" i="79" s="1"/>
  <c r="A4526" i="79" s="1"/>
  <c r="A4527" i="79" s="1"/>
  <c r="A4528" i="79" s="1"/>
  <c r="A4529" i="79" s="1"/>
  <c r="A4530" i="79" s="1"/>
  <c r="A4531" i="79" s="1"/>
  <c r="A4532" i="79" s="1"/>
  <c r="A4533" i="79" s="1"/>
  <c r="A4534" i="79" s="1"/>
  <c r="A4535" i="79" s="1"/>
  <c r="A4536" i="79" s="1"/>
  <c r="A4537" i="79" s="1"/>
  <c r="A4538" i="79" s="1"/>
  <c r="A4539" i="79" s="1"/>
  <c r="A4540" i="79" s="1"/>
  <c r="A4541" i="79" s="1"/>
  <c r="A4542" i="79" s="1"/>
  <c r="A4543" i="79" s="1"/>
  <c r="A4544" i="79" s="1"/>
  <c r="A4545" i="79" s="1"/>
  <c r="A4546" i="79" s="1"/>
  <c r="A4547" i="79" s="1"/>
  <c r="A4548" i="79" s="1"/>
  <c r="A4549" i="79" s="1"/>
  <c r="A4550" i="79" s="1"/>
  <c r="A4551" i="79" s="1"/>
  <c r="A4552" i="79" s="1"/>
  <c r="A4553" i="79" s="1"/>
  <c r="A4554" i="79" s="1"/>
  <c r="A4555" i="79" s="1"/>
  <c r="A4556" i="79" s="1"/>
  <c r="A4557" i="79" s="1"/>
  <c r="A4558" i="79" s="1"/>
  <c r="A4559" i="79" s="1"/>
  <c r="A4560" i="79" s="1"/>
  <c r="A4561" i="79" s="1"/>
  <c r="A4562" i="79" s="1"/>
  <c r="A4563" i="79" s="1"/>
  <c r="A4564" i="79" s="1"/>
  <c r="A4565" i="79" s="1"/>
  <c r="A4566" i="79" s="1"/>
  <c r="A4567" i="79" s="1"/>
  <c r="A4568" i="79" s="1"/>
  <c r="A4569" i="79" s="1"/>
  <c r="A4570" i="79" s="1"/>
  <c r="A4571" i="79" s="1"/>
  <c r="A4572" i="79" s="1"/>
  <c r="A4573" i="79" s="1"/>
  <c r="A4574" i="79" s="1"/>
  <c r="A4575" i="79" s="1"/>
  <c r="A4576" i="79" s="1"/>
  <c r="A4577" i="79" s="1"/>
  <c r="A4578" i="79" s="1"/>
  <c r="A4579" i="79" s="1"/>
  <c r="A4580" i="79" s="1"/>
  <c r="A4581" i="79" s="1"/>
  <c r="A4582" i="79" s="1"/>
  <c r="A4583" i="79" s="1"/>
  <c r="A4584" i="79" s="1"/>
  <c r="A4585" i="79" s="1"/>
  <c r="A4586" i="79" s="1"/>
  <c r="A4587" i="79" s="1"/>
  <c r="A4588" i="79" s="1"/>
  <c r="A4589" i="79" s="1"/>
  <c r="A4590" i="79" s="1"/>
  <c r="A4591" i="79" s="1"/>
  <c r="A4592" i="79" s="1"/>
  <c r="A4593" i="79" s="1"/>
  <c r="A4594" i="79" s="1"/>
  <c r="A4595" i="79" s="1"/>
  <c r="A4596" i="79" s="1"/>
  <c r="A4597" i="79" s="1"/>
  <c r="A4598" i="79" s="1"/>
  <c r="A4599" i="79" s="1"/>
  <c r="A4600" i="79" s="1"/>
  <c r="A4601" i="79" s="1"/>
  <c r="A4602" i="79" s="1"/>
  <c r="A4603" i="79" s="1"/>
  <c r="A4604" i="79" s="1"/>
  <c r="A4605" i="79" s="1"/>
  <c r="A4606" i="79" s="1"/>
  <c r="A4607" i="79" s="1"/>
  <c r="A4608" i="79" s="1"/>
  <c r="A4609" i="79" s="1"/>
  <c r="A4610" i="79" s="1"/>
  <c r="A4611" i="79" s="1"/>
  <c r="A4612" i="79" s="1"/>
  <c r="A4613" i="79" s="1"/>
  <c r="A4614" i="79" s="1"/>
  <c r="A4615" i="79" s="1"/>
  <c r="A4616" i="79" s="1"/>
  <c r="A4617" i="79" s="1"/>
  <c r="A4618" i="79" s="1"/>
  <c r="A4619" i="79" s="1"/>
  <c r="A4620" i="79" s="1"/>
  <c r="A4621" i="79" s="1"/>
  <c r="A4622" i="79" s="1"/>
  <c r="A4623" i="79" s="1"/>
  <c r="A4624" i="79" s="1"/>
  <c r="A4625" i="79" s="1"/>
  <c r="A4626" i="79" s="1"/>
  <c r="A4627" i="79" s="1"/>
  <c r="A4628" i="79" s="1"/>
  <c r="A4629" i="79" s="1"/>
  <c r="A4630" i="79" s="1"/>
  <c r="A4631" i="79" s="1"/>
  <c r="A4632" i="79" s="1"/>
  <c r="A4633" i="79" s="1"/>
  <c r="A4634" i="79" s="1"/>
  <c r="A4635" i="79" s="1"/>
  <c r="A4636" i="79" s="1"/>
  <c r="A4637" i="79" s="1"/>
  <c r="A4638" i="79" s="1"/>
  <c r="A4639" i="79" s="1"/>
  <c r="A4640" i="79" s="1"/>
  <c r="A4641" i="79" s="1"/>
  <c r="A4642" i="79" s="1"/>
  <c r="A4643" i="79" s="1"/>
  <c r="A4644" i="79" s="1"/>
  <c r="A4645" i="79" s="1"/>
  <c r="A4646" i="79" s="1"/>
  <c r="A4647" i="79" s="1"/>
  <c r="A4648" i="79" s="1"/>
  <c r="A4649" i="79" s="1"/>
  <c r="A4650" i="79" s="1"/>
  <c r="A4651" i="79" s="1"/>
  <c r="A4652" i="79" s="1"/>
  <c r="A4653" i="79" s="1"/>
  <c r="A4654" i="79" s="1"/>
  <c r="A4655" i="79" s="1"/>
  <c r="A4656" i="79" s="1"/>
  <c r="A4657" i="79" s="1"/>
  <c r="A4658" i="79" s="1"/>
  <c r="A4659" i="79" s="1"/>
  <c r="A4660" i="79" s="1"/>
  <c r="A4661" i="79" s="1"/>
  <c r="A4662" i="79" s="1"/>
  <c r="A4663" i="79" s="1"/>
  <c r="A4664" i="79" s="1"/>
  <c r="A4665" i="79" s="1"/>
  <c r="A4666" i="79" s="1"/>
  <c r="A4667" i="79" s="1"/>
  <c r="A4668" i="79" s="1"/>
  <c r="A4669" i="79" s="1"/>
  <c r="A4670" i="79" s="1"/>
  <c r="A4671" i="79" s="1"/>
  <c r="A4672" i="79" s="1"/>
  <c r="A4673" i="79" s="1"/>
  <c r="A4674" i="79" s="1"/>
  <c r="A4675" i="79" s="1"/>
  <c r="A4676" i="79" s="1"/>
  <c r="A4677" i="79" s="1"/>
  <c r="A4678" i="79" s="1"/>
  <c r="A4679" i="79" s="1"/>
  <c r="A4680" i="79" s="1"/>
  <c r="A4681" i="79" s="1"/>
  <c r="A4682" i="79" s="1"/>
  <c r="A4683" i="79" s="1"/>
  <c r="A4684" i="79" s="1"/>
  <c r="A4685" i="79" s="1"/>
  <c r="A4686" i="79" s="1"/>
  <c r="A4687" i="79" s="1"/>
  <c r="A4688" i="79" s="1"/>
  <c r="A4689" i="79" s="1"/>
  <c r="A4690" i="79" s="1"/>
  <c r="A4691" i="79" s="1"/>
  <c r="A4692" i="79" s="1"/>
  <c r="A4693" i="79" s="1"/>
  <c r="A4694" i="79" s="1"/>
  <c r="A4695" i="79" s="1"/>
  <c r="A4696" i="79" s="1"/>
  <c r="A4697" i="79" s="1"/>
  <c r="A4698" i="79" s="1"/>
  <c r="A4699" i="79" s="1"/>
  <c r="A4700" i="79" s="1"/>
  <c r="A4701" i="79" s="1"/>
  <c r="A4702" i="79" s="1"/>
  <c r="A4703" i="79" s="1"/>
  <c r="A4704" i="79" s="1"/>
  <c r="A4705" i="79" s="1"/>
  <c r="A4706" i="79" s="1"/>
  <c r="A4707" i="79" s="1"/>
  <c r="A4708" i="79" s="1"/>
  <c r="A4709" i="79" s="1"/>
  <c r="A4710" i="79" s="1"/>
  <c r="A4711" i="79" s="1"/>
  <c r="A4712" i="79" s="1"/>
  <c r="A4713" i="79" s="1"/>
  <c r="A4714" i="79" s="1"/>
  <c r="A4715" i="79" s="1"/>
  <c r="A4716" i="79" s="1"/>
  <c r="A4717" i="79" s="1"/>
  <c r="A4718" i="79" s="1"/>
  <c r="A4719" i="79" s="1"/>
  <c r="A4720" i="79" s="1"/>
  <c r="A4721" i="79" s="1"/>
  <c r="A4722" i="79" s="1"/>
  <c r="A4723" i="79" s="1"/>
  <c r="A4724" i="79" s="1"/>
  <c r="A4725" i="79" s="1"/>
  <c r="A4726" i="79" s="1"/>
  <c r="A4727" i="79" s="1"/>
  <c r="A4728" i="79" s="1"/>
  <c r="A4729" i="79" s="1"/>
  <c r="A4730" i="79" s="1"/>
  <c r="A4731" i="79" s="1"/>
  <c r="A4732" i="79" s="1"/>
  <c r="A4733" i="79" s="1"/>
  <c r="A4734" i="79" s="1"/>
  <c r="A4735" i="79" s="1"/>
  <c r="A4736" i="79" s="1"/>
  <c r="A4737" i="79" s="1"/>
  <c r="A4738" i="79" s="1"/>
  <c r="A4739" i="79" s="1"/>
  <c r="A4740" i="79" s="1"/>
  <c r="A4741" i="79" s="1"/>
  <c r="A4742" i="79" s="1"/>
  <c r="A4743" i="79" s="1"/>
  <c r="A4744" i="79" s="1"/>
  <c r="A4745" i="79" s="1"/>
  <c r="A4746" i="79" s="1"/>
  <c r="A4747" i="79" s="1"/>
  <c r="A4748" i="79" s="1"/>
  <c r="A4749" i="79" s="1"/>
  <c r="A4750" i="79" s="1"/>
  <c r="A4751" i="79" s="1"/>
  <c r="A4752" i="79" s="1"/>
  <c r="A4753" i="79" s="1"/>
  <c r="A4754" i="79" s="1"/>
  <c r="A4755" i="79" s="1"/>
  <c r="A4756" i="79" s="1"/>
  <c r="A4757" i="79" s="1"/>
  <c r="A4758" i="79" s="1"/>
  <c r="A4759" i="79" s="1"/>
  <c r="A4760" i="79" s="1"/>
  <c r="A4761" i="79" s="1"/>
  <c r="A4762" i="79" s="1"/>
  <c r="A4763" i="79" s="1"/>
  <c r="A4764" i="79" s="1"/>
  <c r="A4765" i="79" s="1"/>
  <c r="A4766" i="79" s="1"/>
  <c r="A4767" i="79" s="1"/>
  <c r="A4768" i="79" s="1"/>
  <c r="A4769" i="79" s="1"/>
  <c r="A4770" i="79" s="1"/>
  <c r="A4771" i="79" s="1"/>
  <c r="A4772" i="79" s="1"/>
  <c r="A4773" i="79" s="1"/>
  <c r="A4774" i="79" s="1"/>
  <c r="A4775" i="79" s="1"/>
  <c r="A4776" i="79" s="1"/>
  <c r="A4777" i="79" s="1"/>
  <c r="A4778" i="79" s="1"/>
  <c r="A4779" i="79" s="1"/>
  <c r="A4780" i="79" s="1"/>
  <c r="A4781" i="79" s="1"/>
  <c r="A4782" i="79" s="1"/>
  <c r="A4783" i="79" s="1"/>
  <c r="A4784" i="79" s="1"/>
  <c r="A4785" i="79" s="1"/>
  <c r="A4786" i="79" s="1"/>
  <c r="A4787" i="79" s="1"/>
  <c r="A4788" i="79" s="1"/>
  <c r="A4789" i="79" s="1"/>
  <c r="A4790" i="79" s="1"/>
  <c r="A4791" i="79" s="1"/>
  <c r="A4792" i="79" s="1"/>
  <c r="A4793" i="79" s="1"/>
  <c r="A4794" i="79" s="1"/>
  <c r="A4795" i="79" s="1"/>
  <c r="A4796" i="79" s="1"/>
  <c r="A4797" i="79" s="1"/>
  <c r="A4798" i="79" s="1"/>
  <c r="A4799" i="79" s="1"/>
  <c r="A4800" i="79" s="1"/>
  <c r="A4801" i="79" s="1"/>
  <c r="A4802" i="79" s="1"/>
  <c r="A4803" i="79" s="1"/>
  <c r="A4804" i="79" s="1"/>
  <c r="A4805" i="79" s="1"/>
  <c r="A4806" i="79" s="1"/>
  <c r="A4807" i="79" s="1"/>
  <c r="A4808" i="79" s="1"/>
  <c r="A4809" i="79" s="1"/>
  <c r="A4810" i="79" s="1"/>
  <c r="A4811" i="79" s="1"/>
  <c r="A4812" i="79" s="1"/>
  <c r="A4813" i="79" s="1"/>
  <c r="A4814" i="79" s="1"/>
  <c r="A4815" i="79" s="1"/>
  <c r="A4816" i="79" s="1"/>
  <c r="A4817" i="79" s="1"/>
  <c r="A4818" i="79" s="1"/>
  <c r="A4819" i="79" s="1"/>
  <c r="A4820" i="79" s="1"/>
  <c r="A4821" i="79" s="1"/>
  <c r="A4822" i="79" s="1"/>
  <c r="A4823" i="79" s="1"/>
  <c r="A4824" i="79" s="1"/>
  <c r="A4825" i="79" s="1"/>
  <c r="A4826" i="79" s="1"/>
  <c r="A4827" i="79" s="1"/>
  <c r="A4828" i="79" s="1"/>
  <c r="A4829" i="79" s="1"/>
  <c r="A4830" i="79" s="1"/>
  <c r="A4831" i="79" s="1"/>
  <c r="A4832" i="79" s="1"/>
  <c r="A4833" i="79" s="1"/>
  <c r="A4834" i="79" s="1"/>
  <c r="A4835" i="79" s="1"/>
  <c r="A4836" i="79" s="1"/>
  <c r="A4837" i="79" s="1"/>
  <c r="A4838" i="79" s="1"/>
  <c r="A4839" i="79" s="1"/>
  <c r="A4840" i="79" s="1"/>
  <c r="A4841" i="79" s="1"/>
  <c r="A4842" i="79" s="1"/>
  <c r="A4843" i="79" s="1"/>
  <c r="A4844" i="79" s="1"/>
  <c r="A4845" i="79" s="1"/>
  <c r="A4846" i="79" s="1"/>
  <c r="A4847" i="79" s="1"/>
  <c r="A4848" i="79" s="1"/>
  <c r="A4849" i="79" s="1"/>
  <c r="A4850" i="79" s="1"/>
  <c r="A4851" i="79" s="1"/>
  <c r="A4852" i="79" s="1"/>
  <c r="A4853" i="79" s="1"/>
  <c r="A4854" i="79" s="1"/>
  <c r="A4855" i="79" s="1"/>
  <c r="A4856" i="79" s="1"/>
  <c r="A4857" i="79" s="1"/>
  <c r="A4858" i="79" s="1"/>
  <c r="A4859" i="79" s="1"/>
  <c r="A4860" i="79" s="1"/>
  <c r="A4861" i="79" s="1"/>
  <c r="A4862" i="79" s="1"/>
  <c r="A4863" i="79" s="1"/>
  <c r="A4864" i="79" s="1"/>
  <c r="A4865" i="79" s="1"/>
  <c r="A4866" i="79" s="1"/>
  <c r="A4867" i="79" s="1"/>
  <c r="A4868" i="79" s="1"/>
  <c r="A4869" i="79" s="1"/>
  <c r="A4870" i="79" s="1"/>
  <c r="A4871" i="79" s="1"/>
  <c r="A4872" i="79" s="1"/>
  <c r="A4873" i="79" s="1"/>
  <c r="A4874" i="79" s="1"/>
  <c r="A4875" i="79" s="1"/>
  <c r="A4876" i="79" s="1"/>
  <c r="A4877" i="79" s="1"/>
  <c r="A4878" i="79" s="1"/>
  <c r="A4879" i="79" s="1"/>
  <c r="A4880" i="79" s="1"/>
  <c r="A4881" i="79" s="1"/>
  <c r="A4882" i="79" s="1"/>
  <c r="A4883" i="79" s="1"/>
  <c r="A4884" i="79" s="1"/>
  <c r="A4885" i="79" s="1"/>
  <c r="A4886" i="79" s="1"/>
  <c r="A4887" i="79" s="1"/>
  <c r="A4888" i="79" s="1"/>
  <c r="A4889" i="79" s="1"/>
  <c r="A4890" i="79" s="1"/>
  <c r="A4891" i="79" s="1"/>
  <c r="A4892" i="79" s="1"/>
  <c r="A4893" i="79" s="1"/>
  <c r="A4894" i="79" s="1"/>
  <c r="A4895" i="79" s="1"/>
  <c r="A4896" i="79" s="1"/>
  <c r="A4897" i="79" s="1"/>
  <c r="A4898" i="79" s="1"/>
  <c r="A4899" i="79" s="1"/>
  <c r="A4900" i="79" s="1"/>
  <c r="A4901" i="79" s="1"/>
  <c r="A4902" i="79" s="1"/>
  <c r="A4903" i="79" s="1"/>
  <c r="A4904" i="79" s="1"/>
  <c r="A4905" i="79" s="1"/>
  <c r="A4906" i="79" s="1"/>
  <c r="A4907" i="79" s="1"/>
  <c r="A4908" i="79" s="1"/>
  <c r="A4909" i="79" s="1"/>
  <c r="A4910" i="79" s="1"/>
  <c r="A4911" i="79" s="1"/>
  <c r="A4912" i="79" s="1"/>
  <c r="A4913" i="79" s="1"/>
  <c r="A4914" i="79" s="1"/>
  <c r="A4915" i="79" s="1"/>
  <c r="A4916" i="79" s="1"/>
  <c r="A4917" i="79" s="1"/>
  <c r="A4918" i="79" s="1"/>
  <c r="A4919" i="79" s="1"/>
  <c r="A4920" i="79" s="1"/>
  <c r="A4921" i="79" s="1"/>
  <c r="A4922" i="79" s="1"/>
  <c r="A4923" i="79" s="1"/>
  <c r="A4924" i="79" s="1"/>
  <c r="A4925" i="79" s="1"/>
  <c r="A4926" i="79" s="1"/>
  <c r="A4927" i="79" s="1"/>
  <c r="A4928" i="79" s="1"/>
  <c r="A4929" i="79" s="1"/>
  <c r="A4930" i="79" s="1"/>
  <c r="A4931" i="79" s="1"/>
  <c r="A4932" i="79" s="1"/>
  <c r="A4933" i="79" s="1"/>
  <c r="A4934" i="79" s="1"/>
  <c r="A4935" i="79" s="1"/>
  <c r="A4936" i="79" s="1"/>
  <c r="A4937" i="79" s="1"/>
  <c r="A4938" i="79" s="1"/>
  <c r="A4939" i="79" s="1"/>
  <c r="A4940" i="79" s="1"/>
  <c r="A4941" i="79" s="1"/>
  <c r="A4942" i="79" s="1"/>
  <c r="A4943" i="79" s="1"/>
  <c r="A4944" i="79" s="1"/>
  <c r="A4945" i="79" s="1"/>
  <c r="A4946" i="79" s="1"/>
  <c r="A4947" i="79" s="1"/>
  <c r="A4948" i="79" s="1"/>
  <c r="A4949" i="79" s="1"/>
  <c r="A4950" i="79" s="1"/>
  <c r="A4951" i="79" s="1"/>
  <c r="A4952" i="79" s="1"/>
  <c r="A4953" i="79" s="1"/>
  <c r="A4954" i="79" s="1"/>
  <c r="A4955" i="79" s="1"/>
  <c r="A4956" i="79" s="1"/>
  <c r="A4957" i="79" s="1"/>
  <c r="A4958" i="79" s="1"/>
  <c r="A4959" i="79" s="1"/>
  <c r="A4960" i="79" s="1"/>
  <c r="A4961" i="79" s="1"/>
  <c r="A4962" i="79" s="1"/>
  <c r="A4963" i="79" s="1"/>
  <c r="A4964" i="79" s="1"/>
  <c r="A4965" i="79" s="1"/>
  <c r="A4966" i="79" s="1"/>
  <c r="A4967" i="79" s="1"/>
  <c r="A4968" i="79" s="1"/>
  <c r="A4969" i="79" s="1"/>
  <c r="A4970" i="79" s="1"/>
  <c r="A4971" i="79" s="1"/>
  <c r="A4972" i="79" s="1"/>
  <c r="A4973" i="79" s="1"/>
  <c r="A4974" i="79" s="1"/>
  <c r="A4975" i="79" s="1"/>
  <c r="A4976" i="79" s="1"/>
  <c r="A4977" i="79" s="1"/>
  <c r="A4978" i="79" s="1"/>
  <c r="A4979" i="79" s="1"/>
  <c r="A4980" i="79" s="1"/>
  <c r="A4981" i="79" s="1"/>
  <c r="A4982" i="79" s="1"/>
  <c r="A4983" i="79" s="1"/>
  <c r="A4984" i="79" s="1"/>
  <c r="A4985" i="79" s="1"/>
  <c r="A4986" i="79" s="1"/>
  <c r="A4987" i="79" s="1"/>
  <c r="A4988" i="79" s="1"/>
  <c r="A4989" i="79" s="1"/>
  <c r="A4990" i="79" s="1"/>
  <c r="A4991" i="79" s="1"/>
  <c r="A4992" i="79" s="1"/>
  <c r="A4993" i="79" s="1"/>
  <c r="A4994" i="79" s="1"/>
  <c r="A4995" i="79" s="1"/>
  <c r="A4996" i="79" s="1"/>
  <c r="A4997" i="79" s="1"/>
  <c r="A4998" i="79" s="1"/>
  <c r="A4999" i="79" s="1"/>
  <c r="A5000" i="79" s="1"/>
  <c r="A5001" i="79" s="1"/>
  <c r="A5002" i="79" s="1"/>
  <c r="A5003" i="79" s="1"/>
  <c r="A5004" i="79" s="1"/>
  <c r="A5005" i="79" s="1"/>
  <c r="A5006" i="79" s="1"/>
  <c r="A5007" i="79" s="1"/>
  <c r="A5008" i="79" s="1"/>
  <c r="A5009" i="79" s="1"/>
  <c r="A5010" i="79" s="1"/>
  <c r="A5011" i="79" s="1"/>
  <c r="A5012" i="79" s="1"/>
  <c r="A5013" i="79" s="1"/>
  <c r="A5014" i="79" s="1"/>
  <c r="A5015" i="79" s="1"/>
  <c r="A5016" i="79" s="1"/>
  <c r="A5017" i="79" s="1"/>
  <c r="A5018" i="79" s="1"/>
  <c r="A5019" i="79" s="1"/>
  <c r="A5020" i="79" s="1"/>
  <c r="A5021" i="79" s="1"/>
  <c r="A5022" i="79" s="1"/>
  <c r="A5023" i="79" s="1"/>
  <c r="A5024" i="79" s="1"/>
  <c r="A5025" i="79" s="1"/>
  <c r="A5026" i="79" s="1"/>
  <c r="A5027" i="79" s="1"/>
  <c r="A5028" i="79" s="1"/>
  <c r="A5029" i="79" s="1"/>
  <c r="A5030" i="79" s="1"/>
  <c r="A5031" i="79" s="1"/>
  <c r="A5032" i="79" s="1"/>
  <c r="A5033" i="79" s="1"/>
  <c r="A5034" i="79" s="1"/>
  <c r="A5035" i="79" s="1"/>
  <c r="A5036" i="79" s="1"/>
  <c r="A5037" i="79" s="1"/>
  <c r="A5038" i="79" s="1"/>
  <c r="A5039" i="79" s="1"/>
  <c r="A5040" i="79" s="1"/>
  <c r="A5041" i="79" s="1"/>
  <c r="A5042" i="79" s="1"/>
  <c r="A5043" i="79" s="1"/>
  <c r="A5044" i="79" s="1"/>
  <c r="A5045" i="79" s="1"/>
  <c r="A5046" i="79" s="1"/>
  <c r="A5047" i="79" s="1"/>
  <c r="A5048" i="79" s="1"/>
  <c r="A5049" i="79" s="1"/>
  <c r="A5050" i="79" s="1"/>
  <c r="A5051" i="79" s="1"/>
  <c r="A5052" i="79" s="1"/>
  <c r="A5053" i="79" s="1"/>
  <c r="A5054" i="79" s="1"/>
  <c r="A5055" i="79" s="1"/>
  <c r="A5056" i="79" s="1"/>
  <c r="A5057" i="79" s="1"/>
  <c r="A5058" i="79" s="1"/>
  <c r="A5059" i="79" s="1"/>
  <c r="A5060" i="79" s="1"/>
  <c r="A5061" i="79" s="1"/>
  <c r="A5062" i="79" s="1"/>
  <c r="A5063" i="79" s="1"/>
  <c r="A5064" i="79" s="1"/>
  <c r="A5065" i="79" s="1"/>
  <c r="A5066" i="79" s="1"/>
  <c r="A5067" i="79" s="1"/>
  <c r="A5068" i="79" s="1"/>
  <c r="A5069" i="79" s="1"/>
  <c r="A5070" i="79" s="1"/>
  <c r="A5071" i="79" s="1"/>
  <c r="A5072" i="79" s="1"/>
  <c r="A5073" i="79" s="1"/>
  <c r="A5074" i="79" s="1"/>
  <c r="A5075" i="79" s="1"/>
  <c r="A5076" i="79" s="1"/>
  <c r="A5077" i="79" s="1"/>
  <c r="A5078" i="79" s="1"/>
  <c r="A5079" i="79" s="1"/>
  <c r="A5080" i="79" s="1"/>
  <c r="A5081" i="79" s="1"/>
  <c r="A5082" i="79" s="1"/>
  <c r="A5083" i="79" s="1"/>
  <c r="A5084" i="79" s="1"/>
  <c r="A5085" i="79" s="1"/>
  <c r="A5086" i="79" s="1"/>
  <c r="A5087" i="79" s="1"/>
  <c r="A5088" i="79" s="1"/>
  <c r="A5089" i="79" s="1"/>
  <c r="A5090" i="79" s="1"/>
  <c r="A5091" i="79" s="1"/>
  <c r="A5092" i="79" s="1"/>
  <c r="A5093" i="79" s="1"/>
  <c r="A5094" i="79" s="1"/>
  <c r="A5095" i="79" s="1"/>
  <c r="A5096" i="79" s="1"/>
  <c r="A5097" i="79" s="1"/>
  <c r="A5098" i="79" s="1"/>
  <c r="A5099" i="79" s="1"/>
  <c r="A5100" i="79" s="1"/>
  <c r="A5101" i="79" s="1"/>
  <c r="A5102" i="79" s="1"/>
  <c r="A5103" i="79" s="1"/>
  <c r="A5104" i="79" s="1"/>
  <c r="A5105" i="79" s="1"/>
  <c r="A5106" i="79" s="1"/>
  <c r="A5107" i="79" s="1"/>
  <c r="A5108" i="79" s="1"/>
  <c r="A5109" i="79" s="1"/>
  <c r="A5110" i="79" s="1"/>
  <c r="A5111" i="79" s="1"/>
  <c r="A5112" i="79" s="1"/>
  <c r="A5113" i="79" s="1"/>
  <c r="A5114" i="79" s="1"/>
  <c r="A5115" i="79" s="1"/>
  <c r="A5116" i="79" s="1"/>
  <c r="A5117" i="79" s="1"/>
  <c r="A5118" i="79" s="1"/>
  <c r="A5119" i="79" s="1"/>
  <c r="A5120" i="79" s="1"/>
  <c r="A5121" i="79" s="1"/>
  <c r="A5122" i="79" s="1"/>
  <c r="A5123" i="79" s="1"/>
  <c r="A5124" i="79" s="1"/>
  <c r="A5125" i="79" s="1"/>
  <c r="A5126" i="79" s="1"/>
  <c r="A5127" i="79" s="1"/>
  <c r="A5128" i="79" s="1"/>
  <c r="A5129" i="79" s="1"/>
  <c r="A5130" i="79" s="1"/>
  <c r="A5131" i="79" s="1"/>
  <c r="A5132" i="79" s="1"/>
  <c r="A5133" i="79" s="1"/>
  <c r="A5134" i="79" s="1"/>
  <c r="A5135" i="79" s="1"/>
  <c r="A5136" i="79" s="1"/>
  <c r="A5137" i="79" s="1"/>
  <c r="A5138" i="79" s="1"/>
  <c r="A5139" i="79" s="1"/>
  <c r="A5140" i="79" s="1"/>
  <c r="A5141" i="79" s="1"/>
  <c r="A5142" i="79" s="1"/>
  <c r="A5143" i="79" s="1"/>
  <c r="A5144" i="79" s="1"/>
  <c r="A5145" i="79" s="1"/>
  <c r="A5146" i="79" s="1"/>
  <c r="A5147" i="79" s="1"/>
  <c r="A5148" i="79" s="1"/>
  <c r="A5149" i="79" s="1"/>
  <c r="A5150" i="79" s="1"/>
  <c r="A5151" i="79" s="1"/>
  <c r="A5152" i="79" s="1"/>
  <c r="A5153" i="79" s="1"/>
  <c r="A5154" i="79" s="1"/>
  <c r="A5155" i="79" s="1"/>
  <c r="A5156" i="79" s="1"/>
  <c r="A5157" i="79" s="1"/>
  <c r="A5158" i="79" s="1"/>
  <c r="A5159" i="79" s="1"/>
  <c r="A5160" i="79" s="1"/>
  <c r="A5161" i="79" s="1"/>
  <c r="A5162" i="79" s="1"/>
  <c r="A5163" i="79" s="1"/>
  <c r="A5164" i="79" s="1"/>
  <c r="A5165" i="79" s="1"/>
  <c r="A5166" i="79" s="1"/>
  <c r="A5167" i="79" s="1"/>
  <c r="A5168" i="79" s="1"/>
  <c r="A5169" i="79" s="1"/>
  <c r="A5170" i="79" s="1"/>
  <c r="A5171" i="79" s="1"/>
  <c r="A5172" i="79" s="1"/>
  <c r="A5173" i="79" s="1"/>
  <c r="A5174" i="79" s="1"/>
  <c r="A5175" i="79" s="1"/>
  <c r="A5176" i="79" s="1"/>
  <c r="A5177" i="79" s="1"/>
  <c r="A5178" i="79" s="1"/>
  <c r="A5179" i="79" s="1"/>
  <c r="A5180" i="79" s="1"/>
  <c r="A5181" i="79" s="1"/>
  <c r="A5182" i="79" s="1"/>
  <c r="A5183" i="79" s="1"/>
  <c r="A5184" i="79" s="1"/>
  <c r="A5185" i="79" s="1"/>
  <c r="A5186" i="79" s="1"/>
  <c r="A5187" i="79" s="1"/>
  <c r="A5188" i="79" s="1"/>
  <c r="A5189" i="79" s="1"/>
  <c r="A5190" i="79" s="1"/>
  <c r="A5191" i="79" s="1"/>
  <c r="A5192" i="79" s="1"/>
  <c r="A5193" i="79" s="1"/>
  <c r="A5194" i="79" s="1"/>
  <c r="A5195" i="79" s="1"/>
  <c r="A5196" i="79" s="1"/>
  <c r="A5197" i="79" s="1"/>
  <c r="A5198" i="79" s="1"/>
  <c r="A5199" i="79" s="1"/>
  <c r="A5200" i="79" s="1"/>
  <c r="A5201" i="79" s="1"/>
  <c r="A5202" i="79" s="1"/>
  <c r="A5203" i="79" s="1"/>
  <c r="A5204" i="79" s="1"/>
  <c r="A5205" i="79" s="1"/>
  <c r="A5206" i="79" s="1"/>
  <c r="A5207" i="79" s="1"/>
  <c r="A5208" i="79" s="1"/>
  <c r="A5209" i="79" s="1"/>
  <c r="A5210" i="79" s="1"/>
  <c r="A5211" i="79" s="1"/>
  <c r="A5212" i="79" s="1"/>
  <c r="A5213" i="79" s="1"/>
  <c r="A5214" i="79" s="1"/>
  <c r="A5215" i="79" s="1"/>
  <c r="A5216" i="79" s="1"/>
  <c r="A5217" i="79" s="1"/>
  <c r="A5218" i="79" s="1"/>
  <c r="A5219" i="79" s="1"/>
  <c r="A5220" i="79" s="1"/>
  <c r="A5221" i="79" s="1"/>
  <c r="A5222" i="79" s="1"/>
  <c r="A5223" i="79" s="1"/>
  <c r="A5224" i="79" s="1"/>
  <c r="A5225" i="79" s="1"/>
  <c r="A5226" i="79" s="1"/>
  <c r="A5227" i="79" s="1"/>
  <c r="A5228" i="79" s="1"/>
  <c r="A5229" i="79" s="1"/>
  <c r="A5230" i="79" s="1"/>
  <c r="A5231" i="79" s="1"/>
  <c r="A5232" i="79" s="1"/>
  <c r="A5233" i="79" s="1"/>
  <c r="A5234" i="79" s="1"/>
  <c r="A5235" i="79" s="1"/>
  <c r="A5236" i="79" s="1"/>
  <c r="A5237" i="79" s="1"/>
  <c r="A5238" i="79" s="1"/>
  <c r="A5239" i="79" s="1"/>
  <c r="A5240" i="79" s="1"/>
  <c r="A5241" i="79" s="1"/>
  <c r="A5242" i="79" s="1"/>
  <c r="A5243" i="79" s="1"/>
  <c r="A5244" i="79" s="1"/>
  <c r="A5245" i="79" s="1"/>
  <c r="A5246" i="79" s="1"/>
  <c r="A5247" i="79" s="1"/>
  <c r="A5248" i="79" s="1"/>
  <c r="A5249" i="79" s="1"/>
  <c r="A5250" i="79" s="1"/>
  <c r="A5251" i="79" s="1"/>
  <c r="A5252" i="79" s="1"/>
  <c r="A5253" i="79" s="1"/>
  <c r="A5254" i="79" s="1"/>
  <c r="A5255" i="79" s="1"/>
  <c r="A5256" i="79" s="1"/>
  <c r="A5257" i="79" s="1"/>
  <c r="A5258" i="79" s="1"/>
  <c r="A5259" i="79" s="1"/>
  <c r="A5260" i="79" s="1"/>
  <c r="A5261" i="79" s="1"/>
  <c r="A5262" i="79" s="1"/>
  <c r="A5263" i="79" s="1"/>
  <c r="A5264" i="79" s="1"/>
  <c r="A5265" i="79" s="1"/>
  <c r="A5266" i="79" s="1"/>
  <c r="A5267" i="79" s="1"/>
  <c r="A5268" i="79" s="1"/>
  <c r="A5269" i="79" s="1"/>
  <c r="A5270" i="79" s="1"/>
  <c r="A5271" i="79" s="1"/>
  <c r="A5272" i="79" s="1"/>
  <c r="A5273" i="79" s="1"/>
  <c r="A5274" i="79" s="1"/>
  <c r="A5275" i="79" s="1"/>
  <c r="A5276" i="79" s="1"/>
  <c r="A5277" i="79" s="1"/>
  <c r="A5278" i="79" s="1"/>
  <c r="A5279" i="79" s="1"/>
  <c r="A5280" i="79" s="1"/>
  <c r="A5281" i="79" s="1"/>
  <c r="A5282" i="79" s="1"/>
  <c r="A5283" i="79" s="1"/>
  <c r="A5284" i="79" s="1"/>
  <c r="A5285" i="79" s="1"/>
  <c r="A5286" i="79" s="1"/>
  <c r="A5287" i="79" s="1"/>
  <c r="A5288" i="79" s="1"/>
  <c r="A5289" i="79" s="1"/>
  <c r="A5290" i="79" s="1"/>
  <c r="A5291" i="79" s="1"/>
  <c r="A5292" i="79" s="1"/>
  <c r="A5293" i="79" s="1"/>
  <c r="A5294" i="79" s="1"/>
  <c r="A5295" i="79" s="1"/>
  <c r="A5296" i="79" s="1"/>
  <c r="A5297" i="79" s="1"/>
  <c r="A5298" i="79" s="1"/>
  <c r="A5299" i="79" s="1"/>
  <c r="A5300" i="79" s="1"/>
  <c r="A5301" i="79" s="1"/>
  <c r="A5302" i="79" s="1"/>
  <c r="A5303" i="79" s="1"/>
  <c r="A5304" i="79" s="1"/>
  <c r="A5305" i="79" s="1"/>
  <c r="A5306" i="79" s="1"/>
  <c r="A5307" i="79" s="1"/>
  <c r="A5308" i="79" s="1"/>
  <c r="A5309" i="79" s="1"/>
  <c r="A5310" i="79" s="1"/>
  <c r="A5311" i="79" s="1"/>
  <c r="A5312" i="79" s="1"/>
  <c r="A5313" i="79" s="1"/>
  <c r="A5314" i="79" s="1"/>
  <c r="A5315" i="79" s="1"/>
  <c r="A5316" i="79" s="1"/>
  <c r="A5317" i="79" s="1"/>
  <c r="A5318" i="79" s="1"/>
  <c r="A5319" i="79" s="1"/>
  <c r="A5320" i="79" s="1"/>
  <c r="A5321" i="79" s="1"/>
  <c r="A5322" i="79" s="1"/>
  <c r="A5323" i="79" s="1"/>
  <c r="A5324" i="79" s="1"/>
  <c r="A5325" i="79" s="1"/>
  <c r="A5326" i="79" s="1"/>
  <c r="A5327" i="79" s="1"/>
  <c r="A5328" i="79" s="1"/>
  <c r="A5329" i="79" s="1"/>
  <c r="A5330" i="79" s="1"/>
  <c r="A5331" i="79" s="1"/>
  <c r="A5332" i="79" s="1"/>
  <c r="A5333" i="79" s="1"/>
  <c r="A5334" i="79" s="1"/>
  <c r="A5335" i="79" s="1"/>
  <c r="A5336" i="79" s="1"/>
  <c r="A5337" i="79" s="1"/>
  <c r="A5338" i="79" s="1"/>
  <c r="A5339" i="79" s="1"/>
  <c r="A5340" i="79" s="1"/>
  <c r="A5341" i="79" s="1"/>
  <c r="A5342" i="79" s="1"/>
  <c r="A5343" i="79" s="1"/>
  <c r="A5344" i="79" s="1"/>
  <c r="A5345" i="79" s="1"/>
  <c r="A5346" i="79" s="1"/>
  <c r="A5347" i="79" s="1"/>
  <c r="A5348" i="79" s="1"/>
  <c r="A5349" i="79" s="1"/>
  <c r="A5350" i="79" s="1"/>
  <c r="A5351" i="79" s="1"/>
  <c r="A5352" i="79" s="1"/>
  <c r="A5353" i="79" s="1"/>
  <c r="A5354" i="79" s="1"/>
  <c r="A5355" i="79" s="1"/>
  <c r="A5356" i="79" s="1"/>
  <c r="A5357" i="79" s="1"/>
  <c r="A5358" i="79" s="1"/>
  <c r="A5359" i="79" s="1"/>
  <c r="A5360" i="79" s="1"/>
  <c r="A5361" i="79" s="1"/>
  <c r="A5362" i="79" s="1"/>
  <c r="A5363" i="79" s="1"/>
  <c r="A5364" i="79" s="1"/>
  <c r="A5365" i="79" s="1"/>
  <c r="A5366" i="79" s="1"/>
  <c r="A5367" i="79" s="1"/>
  <c r="A5368" i="79" s="1"/>
  <c r="A5369" i="79" s="1"/>
  <c r="A5370" i="79" s="1"/>
  <c r="A5371" i="79" s="1"/>
  <c r="A5372" i="79" s="1"/>
  <c r="A5373" i="79" s="1"/>
  <c r="A5374" i="79" s="1"/>
  <c r="A5375" i="79" s="1"/>
  <c r="A5376" i="79" s="1"/>
  <c r="A5377" i="79" s="1"/>
  <c r="A5378" i="79" s="1"/>
  <c r="A5379" i="79" s="1"/>
  <c r="A5380" i="79" s="1"/>
  <c r="A5381" i="79" s="1"/>
  <c r="A5382" i="79" s="1"/>
  <c r="A5383" i="79" s="1"/>
  <c r="A5384" i="79" s="1"/>
  <c r="A5385" i="79" s="1"/>
  <c r="A5386" i="79" s="1"/>
  <c r="A5387" i="79" s="1"/>
  <c r="A5388" i="79" s="1"/>
  <c r="A5389" i="79" s="1"/>
  <c r="A5390" i="79" s="1"/>
  <c r="A5391" i="79" s="1"/>
  <c r="A5392" i="79" s="1"/>
  <c r="A5393" i="79" s="1"/>
  <c r="A5394" i="79" s="1"/>
  <c r="A5395" i="79" s="1"/>
  <c r="A5396" i="79" s="1"/>
  <c r="A5397" i="79" s="1"/>
  <c r="A5398" i="79" s="1"/>
  <c r="A5399" i="79" s="1"/>
  <c r="A5400" i="79" s="1"/>
  <c r="A5401" i="79" s="1"/>
  <c r="A5402" i="79" s="1"/>
  <c r="A5403" i="79" s="1"/>
  <c r="A5404" i="79" s="1"/>
  <c r="A5405" i="79" s="1"/>
  <c r="A5406" i="79" s="1"/>
  <c r="A5407" i="79" s="1"/>
  <c r="A5408" i="79" s="1"/>
  <c r="A5409" i="79" s="1"/>
  <c r="A5410" i="79" s="1"/>
  <c r="A5411" i="79" s="1"/>
  <c r="A5412" i="79" s="1"/>
  <c r="A5413" i="79" s="1"/>
  <c r="A5414" i="79" s="1"/>
  <c r="A5415" i="79" s="1"/>
  <c r="A5416" i="79" s="1"/>
  <c r="A5417" i="79" s="1"/>
  <c r="A5418" i="79" s="1"/>
  <c r="A5419" i="79" s="1"/>
  <c r="A5420" i="79" s="1"/>
  <c r="A5421" i="79" s="1"/>
  <c r="A5422" i="79" s="1"/>
  <c r="A5423" i="79" s="1"/>
  <c r="A5424" i="79" s="1"/>
  <c r="A5425" i="79" s="1"/>
  <c r="A5426" i="79" s="1"/>
  <c r="A5427" i="79" s="1"/>
  <c r="A5428" i="79" s="1"/>
  <c r="A5429" i="79" s="1"/>
  <c r="A5430" i="79" s="1"/>
  <c r="A5431" i="79" s="1"/>
  <c r="A5432" i="79" s="1"/>
  <c r="A5433" i="79" s="1"/>
  <c r="A5434" i="79" s="1"/>
  <c r="A5435" i="79" s="1"/>
  <c r="A5436" i="79" s="1"/>
  <c r="A5437" i="79" s="1"/>
  <c r="A5438" i="79" s="1"/>
  <c r="A5439" i="79" s="1"/>
  <c r="A5440" i="79" s="1"/>
  <c r="A5441" i="79" s="1"/>
  <c r="A5442" i="79" s="1"/>
  <c r="A5443" i="79" s="1"/>
  <c r="A5444" i="79" s="1"/>
  <c r="A5445" i="79" s="1"/>
  <c r="A5446" i="79" s="1"/>
  <c r="A5447" i="79" s="1"/>
  <c r="A5448" i="79" s="1"/>
  <c r="A5449" i="79" s="1"/>
  <c r="A5450" i="79" s="1"/>
  <c r="A5451" i="79" s="1"/>
  <c r="A5452" i="79" s="1"/>
  <c r="A5453" i="79" s="1"/>
  <c r="A5454" i="79" s="1"/>
  <c r="A5455" i="79" s="1"/>
  <c r="A5456" i="79" s="1"/>
  <c r="A5457" i="79" s="1"/>
  <c r="A5458" i="79" s="1"/>
  <c r="A5459" i="79" s="1"/>
  <c r="A5460" i="79" s="1"/>
  <c r="A5461" i="79" s="1"/>
  <c r="A5462" i="79" s="1"/>
  <c r="A5463" i="79" s="1"/>
  <c r="A5464" i="79" s="1"/>
  <c r="A5465" i="79" s="1"/>
  <c r="A5466" i="79" s="1"/>
  <c r="A5467" i="79" s="1"/>
  <c r="A5468" i="79" s="1"/>
  <c r="A5469" i="79" s="1"/>
  <c r="A5470" i="79" s="1"/>
  <c r="A5471" i="79" s="1"/>
  <c r="A5472" i="79" s="1"/>
  <c r="A5473" i="79" s="1"/>
  <c r="A5474" i="79" s="1"/>
  <c r="A5475" i="79" s="1"/>
  <c r="A5476" i="79" s="1"/>
  <c r="A5477" i="79" s="1"/>
  <c r="A5478" i="79" s="1"/>
  <c r="A5479" i="79" s="1"/>
  <c r="A5480" i="79" s="1"/>
  <c r="A5481" i="79" s="1"/>
  <c r="A5482" i="79" s="1"/>
  <c r="A5483" i="79" s="1"/>
  <c r="A5484" i="79" s="1"/>
  <c r="A5485" i="79" s="1"/>
  <c r="A5486" i="79" s="1"/>
  <c r="A5487" i="79" s="1"/>
  <c r="A5488" i="79" s="1"/>
  <c r="A5489" i="79" s="1"/>
  <c r="A5490" i="79" s="1"/>
  <c r="A5491" i="79" s="1"/>
  <c r="A5492" i="79" s="1"/>
  <c r="A5493" i="79" s="1"/>
  <c r="A5494" i="79" s="1"/>
  <c r="A5495" i="79" s="1"/>
  <c r="A5496" i="79" s="1"/>
  <c r="A5497" i="79" s="1"/>
  <c r="A5498" i="79" s="1"/>
  <c r="A5499" i="79" s="1"/>
  <c r="A5500" i="79" s="1"/>
  <c r="A5501" i="79" s="1"/>
  <c r="A5502" i="79" s="1"/>
  <c r="A5503" i="79" s="1"/>
  <c r="A5504" i="79" s="1"/>
  <c r="A5505" i="79" s="1"/>
  <c r="A5506" i="79" s="1"/>
  <c r="A5507" i="79" s="1"/>
  <c r="A5508" i="79" s="1"/>
  <c r="A5509" i="79" s="1"/>
  <c r="A5510" i="79" s="1"/>
  <c r="A5511" i="79" s="1"/>
  <c r="A5512" i="79" s="1"/>
  <c r="A5513" i="79" s="1"/>
  <c r="A5514" i="79" s="1"/>
  <c r="A5515" i="79" s="1"/>
  <c r="A5516" i="79" s="1"/>
  <c r="A5517" i="79" s="1"/>
  <c r="A5518" i="79" s="1"/>
  <c r="A5519" i="79" s="1"/>
  <c r="A5520" i="79" s="1"/>
  <c r="A5521" i="79" s="1"/>
  <c r="A5522" i="79" s="1"/>
  <c r="A5523" i="79" s="1"/>
  <c r="A5524" i="79" s="1"/>
  <c r="A5525" i="79" s="1"/>
  <c r="A5526" i="79" s="1"/>
  <c r="A5527" i="79" s="1"/>
  <c r="A5528" i="79" s="1"/>
  <c r="A5529" i="79" s="1"/>
  <c r="A5530" i="79" s="1"/>
  <c r="A5531" i="79" s="1"/>
  <c r="A5532" i="79" s="1"/>
  <c r="A5533" i="79" s="1"/>
  <c r="A5534" i="79" s="1"/>
  <c r="A5535" i="79" s="1"/>
  <c r="A5536" i="79" s="1"/>
  <c r="A5537" i="79" s="1"/>
  <c r="A5538" i="79" s="1"/>
  <c r="A5539" i="79" s="1"/>
  <c r="A5540" i="79" s="1"/>
  <c r="A5541" i="79" s="1"/>
  <c r="A5542" i="79" s="1"/>
  <c r="A5543" i="79" s="1"/>
  <c r="A5544" i="79" s="1"/>
  <c r="A5545" i="79" s="1"/>
  <c r="A5546" i="79" s="1"/>
  <c r="A5547" i="79" s="1"/>
  <c r="A5548" i="79" s="1"/>
  <c r="A5549" i="79" s="1"/>
  <c r="A5550" i="79" s="1"/>
  <c r="A5551" i="79" s="1"/>
  <c r="A5552" i="79" s="1"/>
  <c r="A5553" i="79" s="1"/>
  <c r="A5554" i="79" s="1"/>
  <c r="A5555" i="79" s="1"/>
  <c r="A5556" i="79" s="1"/>
  <c r="A5557" i="79" s="1"/>
  <c r="A5558" i="79" s="1"/>
  <c r="A5559" i="79" s="1"/>
  <c r="A5560" i="79" s="1"/>
  <c r="A5561" i="79" s="1"/>
  <c r="A5562" i="79" s="1"/>
  <c r="A5563" i="79" s="1"/>
  <c r="A5564" i="79" s="1"/>
  <c r="A5565" i="79" s="1"/>
  <c r="A5566" i="79" s="1"/>
  <c r="A5567" i="79" s="1"/>
  <c r="A5568" i="79" s="1"/>
  <c r="A5569" i="79" s="1"/>
  <c r="A5570" i="79" s="1"/>
  <c r="A5571" i="79" s="1"/>
  <c r="A5572" i="79" s="1"/>
  <c r="A5573" i="79" s="1"/>
  <c r="A5574" i="79" s="1"/>
  <c r="A5575" i="79" s="1"/>
  <c r="A5576" i="79" s="1"/>
  <c r="A5577" i="79" s="1"/>
  <c r="A5578" i="79" s="1"/>
  <c r="A5579" i="79" s="1"/>
  <c r="A5580" i="79" s="1"/>
  <c r="A5581" i="79" s="1"/>
  <c r="A5582" i="79" s="1"/>
  <c r="A5583" i="79" s="1"/>
  <c r="A5584" i="79" s="1"/>
  <c r="A5585" i="79" s="1"/>
  <c r="A5586" i="79" s="1"/>
  <c r="A5587" i="79" s="1"/>
  <c r="A5588" i="79" s="1"/>
  <c r="A5589" i="79" s="1"/>
  <c r="A5590" i="79" s="1"/>
  <c r="A5591" i="79" s="1"/>
  <c r="A5592" i="79" s="1"/>
  <c r="A5593" i="79" s="1"/>
  <c r="A5594" i="79" s="1"/>
  <c r="A5595" i="79" s="1"/>
  <c r="A5596" i="79" s="1"/>
  <c r="A5597" i="79" s="1"/>
  <c r="A5598" i="79" s="1"/>
  <c r="A5599" i="79" s="1"/>
  <c r="A5600" i="79" s="1"/>
  <c r="A5601" i="79" s="1"/>
  <c r="A5602" i="79" s="1"/>
  <c r="A5603" i="79" s="1"/>
  <c r="A5604" i="79" s="1"/>
  <c r="A5605" i="79" s="1"/>
  <c r="A5606" i="79" s="1"/>
  <c r="A5607" i="79" s="1"/>
  <c r="A5608" i="79" s="1"/>
  <c r="A5609" i="79" s="1"/>
  <c r="A5610" i="79" s="1"/>
  <c r="A5611" i="79" s="1"/>
  <c r="A5612" i="79" s="1"/>
  <c r="A5613" i="79" s="1"/>
  <c r="A5614" i="79" s="1"/>
  <c r="A5615" i="79" s="1"/>
  <c r="A5616" i="79" s="1"/>
  <c r="A5617" i="79" s="1"/>
  <c r="A5618" i="79" s="1"/>
  <c r="A5619" i="79" s="1"/>
  <c r="A5620" i="79" s="1"/>
  <c r="A5621" i="79" s="1"/>
  <c r="A5622" i="79" s="1"/>
  <c r="A5623" i="79" s="1"/>
  <c r="A5624" i="79" s="1"/>
  <c r="A5625" i="79" s="1"/>
  <c r="A5626" i="79" s="1"/>
  <c r="A5627" i="79" s="1"/>
  <c r="A5628" i="79" s="1"/>
  <c r="A5629" i="79" s="1"/>
  <c r="A5630" i="79" s="1"/>
  <c r="A5631" i="79" s="1"/>
  <c r="A5632" i="79" s="1"/>
  <c r="A5633" i="79" s="1"/>
  <c r="A5634" i="79" s="1"/>
  <c r="A5635" i="79" s="1"/>
  <c r="A5636" i="79" s="1"/>
  <c r="A5637" i="79" s="1"/>
  <c r="A5638" i="79" s="1"/>
  <c r="A5639" i="79" s="1"/>
  <c r="A5640" i="79" s="1"/>
  <c r="A5641" i="79" s="1"/>
  <c r="A5642" i="79" s="1"/>
  <c r="A5643" i="79" s="1"/>
  <c r="A5644" i="79" s="1"/>
  <c r="A5645" i="79" s="1"/>
  <c r="A5646" i="79" s="1"/>
  <c r="A5647" i="79" s="1"/>
  <c r="A5648" i="79" s="1"/>
  <c r="A5649" i="79" s="1"/>
  <c r="A5650" i="79" s="1"/>
  <c r="A5651" i="79" s="1"/>
  <c r="A5652" i="79" s="1"/>
  <c r="A5653" i="79" s="1"/>
  <c r="A5654" i="79" s="1"/>
  <c r="A5655" i="79" s="1"/>
  <c r="A5656" i="79" s="1"/>
  <c r="A5657" i="79" s="1"/>
  <c r="A5658" i="79" s="1"/>
  <c r="A5659" i="79" s="1"/>
  <c r="A5660" i="79" s="1"/>
  <c r="A5661" i="79" s="1"/>
  <c r="A5662" i="79" s="1"/>
  <c r="A5663" i="79" s="1"/>
  <c r="A5664" i="79" s="1"/>
  <c r="A5665" i="79" s="1"/>
  <c r="A5666" i="79" s="1"/>
  <c r="A5667" i="79" s="1"/>
  <c r="A5668" i="79" s="1"/>
  <c r="A5669" i="79" s="1"/>
  <c r="A5670" i="79" s="1"/>
  <c r="A5671" i="79" s="1"/>
  <c r="A5672" i="79" s="1"/>
  <c r="A5673" i="79" s="1"/>
  <c r="A5674" i="79" s="1"/>
  <c r="A5675" i="79" s="1"/>
  <c r="A5676" i="79" s="1"/>
  <c r="A5677" i="79" s="1"/>
  <c r="A5678" i="79" s="1"/>
  <c r="A5679" i="79" s="1"/>
  <c r="A5680" i="79" s="1"/>
  <c r="A5681" i="79" s="1"/>
  <c r="A5682" i="79" s="1"/>
  <c r="A5683" i="79" s="1"/>
  <c r="A5684" i="79" s="1"/>
  <c r="A5685" i="79" s="1"/>
  <c r="A5686" i="79" s="1"/>
  <c r="A5687" i="79" s="1"/>
  <c r="A5688" i="79" s="1"/>
  <c r="A5689" i="79" s="1"/>
  <c r="A5690" i="79" s="1"/>
  <c r="A5691" i="79" s="1"/>
  <c r="A5692" i="79" s="1"/>
  <c r="A5693" i="79" s="1"/>
  <c r="A5694" i="79" s="1"/>
  <c r="A5695" i="79" s="1"/>
  <c r="A5696" i="79" s="1"/>
  <c r="A5697" i="79" s="1"/>
  <c r="A5698" i="79" s="1"/>
  <c r="A5699" i="79" s="1"/>
  <c r="A5700" i="79" s="1"/>
  <c r="A5701" i="79" s="1"/>
  <c r="A5702" i="79" s="1"/>
  <c r="A5703" i="79" s="1"/>
  <c r="A5704" i="79" s="1"/>
  <c r="A5705" i="79" s="1"/>
  <c r="A5706" i="79" s="1"/>
  <c r="A5707" i="79" s="1"/>
  <c r="A5708" i="79" s="1"/>
  <c r="A5709" i="79" s="1"/>
  <c r="A5710" i="79" s="1"/>
  <c r="A5711" i="79" s="1"/>
  <c r="A5712" i="79" s="1"/>
  <c r="A5713" i="79" s="1"/>
  <c r="A5714" i="79" s="1"/>
  <c r="A5715" i="79" s="1"/>
  <c r="A5716" i="79" s="1"/>
  <c r="A5717" i="79" s="1"/>
  <c r="A5718" i="79" s="1"/>
  <c r="A5719" i="79" s="1"/>
  <c r="A5720" i="79" s="1"/>
  <c r="A5721" i="79" s="1"/>
  <c r="A5722" i="79" s="1"/>
  <c r="A5723" i="79" s="1"/>
  <c r="A5724" i="79" s="1"/>
  <c r="A5725" i="79" s="1"/>
  <c r="A5726" i="79" s="1"/>
  <c r="A5727" i="79" s="1"/>
  <c r="A5728" i="79" s="1"/>
  <c r="A5729" i="79" s="1"/>
  <c r="A5730" i="79" s="1"/>
  <c r="A5731" i="79" s="1"/>
  <c r="A5732" i="79" s="1"/>
  <c r="A5733" i="79" s="1"/>
  <c r="A5734" i="79" s="1"/>
  <c r="A5735" i="79" s="1"/>
  <c r="A5736" i="79" s="1"/>
  <c r="A5737" i="79" s="1"/>
  <c r="A5738" i="79" s="1"/>
  <c r="A5739" i="79" s="1"/>
  <c r="A5740" i="79" s="1"/>
  <c r="A5741" i="79" s="1"/>
  <c r="A5742" i="79" s="1"/>
  <c r="A5743" i="79" s="1"/>
  <c r="A5744" i="79" s="1"/>
  <c r="A5745" i="79" s="1"/>
  <c r="A5746" i="79" s="1"/>
  <c r="A5747" i="79" s="1"/>
  <c r="A5748" i="79" s="1"/>
  <c r="A5749" i="79" s="1"/>
  <c r="A5750" i="79" s="1"/>
  <c r="A5751" i="79" s="1"/>
  <c r="A5752" i="79" s="1"/>
  <c r="A5753" i="79" s="1"/>
  <c r="A5754" i="79" s="1"/>
  <c r="A5755" i="79" s="1"/>
  <c r="A5756" i="79" s="1"/>
  <c r="A5757" i="79" s="1"/>
  <c r="A5758" i="79" s="1"/>
  <c r="A5759" i="79" s="1"/>
  <c r="A5760" i="79" s="1"/>
  <c r="A5761" i="79" s="1"/>
  <c r="A5762" i="79" s="1"/>
  <c r="A5763" i="79" s="1"/>
  <c r="A5764" i="79" s="1"/>
  <c r="A5765" i="79" s="1"/>
  <c r="A5766" i="79" s="1"/>
  <c r="A5767" i="79" s="1"/>
  <c r="A5768" i="79" s="1"/>
  <c r="A5769" i="79" s="1"/>
  <c r="A5770" i="79" s="1"/>
  <c r="A5771" i="79" s="1"/>
  <c r="A5772" i="79" s="1"/>
  <c r="A5773" i="79" s="1"/>
  <c r="A5774" i="79" s="1"/>
  <c r="A5775" i="79" s="1"/>
  <c r="A5776" i="79" s="1"/>
  <c r="A5777" i="79" s="1"/>
  <c r="A5778" i="79" s="1"/>
  <c r="A5779" i="79" s="1"/>
  <c r="A5780" i="79" s="1"/>
  <c r="A5781" i="79" s="1"/>
  <c r="A5782" i="79" s="1"/>
  <c r="A5783" i="79" s="1"/>
  <c r="A5784" i="79" s="1"/>
  <c r="A5785" i="79" s="1"/>
  <c r="A5786" i="79" s="1"/>
  <c r="A5787" i="79" s="1"/>
  <c r="A5788" i="79" s="1"/>
  <c r="A5789" i="79" s="1"/>
  <c r="A5790" i="79" s="1"/>
  <c r="A5791" i="79" s="1"/>
  <c r="A5792" i="79" s="1"/>
  <c r="A5793" i="79" s="1"/>
  <c r="A5794" i="79" s="1"/>
  <c r="A5795" i="79" s="1"/>
  <c r="A5796" i="79" s="1"/>
  <c r="A5797" i="79" s="1"/>
  <c r="A5798" i="79" s="1"/>
  <c r="A5799" i="79" s="1"/>
  <c r="A5800" i="79" s="1"/>
  <c r="A5801" i="79" s="1"/>
  <c r="A5802" i="79" s="1"/>
  <c r="A5803" i="79" s="1"/>
  <c r="A5804" i="79" s="1"/>
  <c r="A5805" i="79" s="1"/>
  <c r="A5806" i="79" s="1"/>
  <c r="A5807" i="79" s="1"/>
  <c r="A5808" i="79" s="1"/>
  <c r="A5809" i="79" s="1"/>
  <c r="A5810" i="79" s="1"/>
  <c r="A5811" i="79" s="1"/>
  <c r="A5812" i="79" s="1"/>
  <c r="A5813" i="79" s="1"/>
  <c r="A5814" i="79" s="1"/>
  <c r="A5815" i="79" s="1"/>
  <c r="A5816" i="79" s="1"/>
  <c r="A5817" i="79" s="1"/>
  <c r="A5818" i="79" s="1"/>
  <c r="A5819" i="79" s="1"/>
  <c r="A5820" i="79" s="1"/>
  <c r="A5821" i="79" s="1"/>
  <c r="A5822" i="79" s="1"/>
  <c r="A5823" i="79" s="1"/>
  <c r="A5824" i="79" s="1"/>
  <c r="A5825" i="79" s="1"/>
  <c r="A5826" i="79" s="1"/>
  <c r="A5827" i="79" s="1"/>
  <c r="A5828" i="79" s="1"/>
  <c r="A5829" i="79" s="1"/>
  <c r="A5830" i="79" s="1"/>
  <c r="A5831" i="79" s="1"/>
  <c r="A5832" i="79" s="1"/>
  <c r="A5833" i="79" s="1"/>
  <c r="A5834" i="79" s="1"/>
  <c r="A5835" i="79" s="1"/>
  <c r="A5836" i="79" s="1"/>
  <c r="A5837" i="79" s="1"/>
  <c r="A5838" i="79" s="1"/>
  <c r="A5839" i="79" s="1"/>
  <c r="A5840" i="79" s="1"/>
  <c r="A5841" i="79" s="1"/>
  <c r="A5842" i="79" s="1"/>
  <c r="A5843" i="79" s="1"/>
  <c r="A5844" i="79" s="1"/>
  <c r="A5845" i="79" s="1"/>
  <c r="A5846" i="79" s="1"/>
  <c r="A5847" i="79" s="1"/>
  <c r="A5848" i="79" s="1"/>
  <c r="A5849" i="79" s="1"/>
  <c r="A5850" i="79" s="1"/>
  <c r="A5851" i="79" s="1"/>
  <c r="A5852" i="79" s="1"/>
  <c r="A5853" i="79" s="1"/>
  <c r="A5854" i="79" s="1"/>
  <c r="A5855" i="79" s="1"/>
  <c r="A5856" i="79" s="1"/>
  <c r="A5857" i="79" s="1"/>
  <c r="A5858" i="79" s="1"/>
  <c r="A5859" i="79" s="1"/>
  <c r="A5860" i="79" s="1"/>
  <c r="A5861" i="79" s="1"/>
  <c r="A5862" i="79" s="1"/>
  <c r="A5863" i="79" s="1"/>
  <c r="A5864" i="79" s="1"/>
  <c r="A5865" i="79" s="1"/>
  <c r="A5866" i="79" s="1"/>
  <c r="A5867" i="79" s="1"/>
  <c r="A5868" i="79" s="1"/>
  <c r="A5869" i="79" s="1"/>
  <c r="A5870" i="79" s="1"/>
  <c r="A5871" i="79" s="1"/>
  <c r="A5872" i="79" s="1"/>
  <c r="A5873" i="79" s="1"/>
  <c r="A5874" i="79" s="1"/>
  <c r="A5875" i="79" s="1"/>
  <c r="A5876" i="79" s="1"/>
  <c r="A5877" i="79" s="1"/>
  <c r="A5878" i="79" s="1"/>
  <c r="A5879" i="79" s="1"/>
  <c r="A5880" i="79" s="1"/>
  <c r="A5881" i="79" s="1"/>
  <c r="A5882" i="79" s="1"/>
  <c r="A5883" i="79" s="1"/>
  <c r="A5884" i="79" s="1"/>
  <c r="A5885" i="79" s="1"/>
  <c r="A5886" i="79" s="1"/>
  <c r="A5887" i="79" s="1"/>
  <c r="A5888" i="79" s="1"/>
  <c r="A5889" i="79" s="1"/>
  <c r="A5890" i="79" s="1"/>
  <c r="A5891" i="79" s="1"/>
  <c r="A5892" i="79" s="1"/>
  <c r="A5893" i="79" s="1"/>
  <c r="A5894" i="79" s="1"/>
  <c r="A5895" i="79" s="1"/>
  <c r="A5896" i="79" s="1"/>
  <c r="A5897" i="79" s="1"/>
  <c r="A5898" i="79" s="1"/>
  <c r="A5899" i="79" s="1"/>
  <c r="A5900" i="79" s="1"/>
  <c r="A5901" i="79" s="1"/>
  <c r="A5902" i="79" s="1"/>
  <c r="A5903" i="79" s="1"/>
  <c r="A5904" i="79" s="1"/>
  <c r="A5905" i="79" s="1"/>
  <c r="A5906" i="79" s="1"/>
  <c r="A5907" i="79" s="1"/>
  <c r="A5908" i="79" s="1"/>
  <c r="A5909" i="79" s="1"/>
  <c r="A5910" i="79" s="1"/>
  <c r="A5911" i="79" s="1"/>
  <c r="A5912" i="79" s="1"/>
  <c r="A5913" i="79" s="1"/>
  <c r="A5914" i="79" s="1"/>
  <c r="A5915" i="79" s="1"/>
  <c r="A5916" i="79" s="1"/>
  <c r="A5917" i="79" s="1"/>
  <c r="A5918" i="79" s="1"/>
  <c r="A5919" i="79" s="1"/>
  <c r="A5920" i="79" s="1"/>
  <c r="A5921" i="79" s="1"/>
  <c r="A5922" i="79" s="1"/>
  <c r="A5923" i="79" s="1"/>
  <c r="A5924" i="79" s="1"/>
  <c r="A5925" i="79" s="1"/>
  <c r="A5926" i="79" s="1"/>
  <c r="A5927" i="79" s="1"/>
  <c r="A5928" i="79" s="1"/>
  <c r="A5929" i="79" s="1"/>
  <c r="A5930" i="79" s="1"/>
  <c r="A5931" i="79" s="1"/>
  <c r="A5932" i="79" s="1"/>
  <c r="A5933" i="79" s="1"/>
  <c r="A5934" i="79" s="1"/>
  <c r="A5935" i="79" s="1"/>
  <c r="A5936" i="79" s="1"/>
  <c r="A5937" i="79" s="1"/>
  <c r="A5938" i="79" s="1"/>
  <c r="A5939" i="79" s="1"/>
  <c r="A5940" i="79" s="1"/>
  <c r="A5941" i="79" s="1"/>
  <c r="A5942" i="79" s="1"/>
  <c r="A5943" i="79" s="1"/>
  <c r="A5944" i="79" s="1"/>
  <c r="A5945" i="79" s="1"/>
  <c r="A5946" i="79" s="1"/>
  <c r="A5947" i="79" s="1"/>
  <c r="A5948" i="79" s="1"/>
  <c r="A5949" i="79" s="1"/>
  <c r="A5950" i="79" s="1"/>
  <c r="A5951" i="79" s="1"/>
  <c r="A5952" i="79" s="1"/>
  <c r="A5953" i="79" s="1"/>
  <c r="A5954" i="79" s="1"/>
  <c r="A5955" i="79" s="1"/>
  <c r="A5956" i="79" s="1"/>
  <c r="A5957" i="79" s="1"/>
  <c r="A5958" i="79" s="1"/>
  <c r="A5959" i="79" s="1"/>
  <c r="A5960" i="79" s="1"/>
  <c r="A5961" i="79" s="1"/>
  <c r="A5962" i="79" s="1"/>
  <c r="A5963" i="79" s="1"/>
  <c r="A5964" i="79" s="1"/>
  <c r="A5965" i="79" s="1"/>
  <c r="A5966" i="79" s="1"/>
  <c r="A5967" i="79" s="1"/>
  <c r="A5968" i="79" s="1"/>
  <c r="A5969" i="79" s="1"/>
  <c r="A5970" i="79" s="1"/>
  <c r="A5971" i="79" s="1"/>
  <c r="A5972" i="79" s="1"/>
  <c r="A5973" i="79" s="1"/>
  <c r="A5974" i="79" s="1"/>
  <c r="A5975" i="79" s="1"/>
  <c r="A5976" i="79" s="1"/>
  <c r="A5977" i="79" s="1"/>
  <c r="A5978" i="79" s="1"/>
  <c r="A5979" i="79" s="1"/>
  <c r="A5980" i="79" s="1"/>
  <c r="A5981" i="79" s="1"/>
  <c r="A5982" i="79" s="1"/>
  <c r="A5983" i="79" s="1"/>
  <c r="A5984" i="79" s="1"/>
  <c r="A5985" i="79" s="1"/>
  <c r="A5986" i="79" s="1"/>
  <c r="A5987" i="79" s="1"/>
  <c r="A5988" i="79" s="1"/>
  <c r="A5989" i="79" s="1"/>
  <c r="A5990" i="79" s="1"/>
  <c r="A5991" i="79" s="1"/>
  <c r="A5992" i="79" s="1"/>
  <c r="A5993" i="79" s="1"/>
  <c r="A5994" i="79" s="1"/>
  <c r="A5995" i="79" s="1"/>
  <c r="A5996" i="79" s="1"/>
  <c r="A5997" i="79" s="1"/>
  <c r="A5998" i="79" s="1"/>
  <c r="A5999" i="79" s="1"/>
  <c r="A6000" i="79" s="1"/>
  <c r="A6001" i="79" s="1"/>
  <c r="A6002" i="79" s="1"/>
  <c r="A6003" i="79" s="1"/>
  <c r="A6004" i="79" s="1"/>
  <c r="A6005" i="79" s="1"/>
  <c r="A6006" i="79" s="1"/>
  <c r="A6007" i="79" s="1"/>
  <c r="A6008" i="79" s="1"/>
  <c r="A6009" i="79" s="1"/>
  <c r="A6010" i="79" s="1"/>
  <c r="A6011" i="79" s="1"/>
  <c r="A6012" i="79" s="1"/>
  <c r="A6013" i="79" s="1"/>
  <c r="A6014" i="79" s="1"/>
  <c r="A6015" i="79" s="1"/>
  <c r="A6016" i="79" s="1"/>
  <c r="A6017" i="79" s="1"/>
  <c r="A6018" i="79" s="1"/>
  <c r="A6019" i="79" s="1"/>
  <c r="A6020" i="79" s="1"/>
  <c r="A6021" i="79" s="1"/>
  <c r="A6022" i="79" s="1"/>
  <c r="A6023" i="79" s="1"/>
  <c r="A6024" i="79" s="1"/>
  <c r="A6025" i="79" s="1"/>
  <c r="A6026" i="79" s="1"/>
  <c r="A6027" i="79" s="1"/>
  <c r="A6028" i="79" s="1"/>
  <c r="A6029" i="79" s="1"/>
  <c r="A6030" i="79" s="1"/>
  <c r="A6031" i="79" s="1"/>
  <c r="A6032" i="79" s="1"/>
  <c r="A6033" i="79" s="1"/>
  <c r="A6034" i="79" s="1"/>
  <c r="A6035" i="79" s="1"/>
  <c r="A6036" i="79" s="1"/>
  <c r="A6037" i="79" s="1"/>
  <c r="A6038" i="79" s="1"/>
  <c r="A6039" i="79" s="1"/>
  <c r="A6040" i="79" s="1"/>
  <c r="A6041" i="79" s="1"/>
  <c r="A6042" i="79" s="1"/>
  <c r="A6043" i="79" s="1"/>
  <c r="A6044" i="79" s="1"/>
  <c r="A6045" i="79" s="1"/>
  <c r="A6046" i="79" s="1"/>
  <c r="A6047" i="79" s="1"/>
  <c r="A6048" i="79" s="1"/>
  <c r="A6049" i="79" s="1"/>
  <c r="A6050" i="79" s="1"/>
  <c r="A6051" i="79" s="1"/>
  <c r="A6052" i="79" s="1"/>
  <c r="A6053" i="79" s="1"/>
  <c r="A6054" i="79" s="1"/>
  <c r="A6055" i="79" s="1"/>
  <c r="A6056" i="79" s="1"/>
  <c r="A6057" i="79" s="1"/>
  <c r="A6058" i="79" s="1"/>
  <c r="A6059" i="79" s="1"/>
  <c r="A6060" i="79" s="1"/>
  <c r="A6061" i="79" s="1"/>
  <c r="A6062" i="79" s="1"/>
  <c r="A6063" i="79" s="1"/>
  <c r="A6064" i="79" s="1"/>
  <c r="A6065" i="79" s="1"/>
  <c r="A6066" i="79" s="1"/>
  <c r="A6067" i="79" s="1"/>
  <c r="A6068" i="79" s="1"/>
  <c r="A6069" i="79" s="1"/>
  <c r="A6070" i="79" s="1"/>
  <c r="A6071" i="79" s="1"/>
  <c r="A6072" i="79" s="1"/>
  <c r="A6073" i="79" s="1"/>
  <c r="A6074" i="79" s="1"/>
  <c r="A6075" i="79" s="1"/>
  <c r="A6076" i="79" s="1"/>
  <c r="A6077" i="79" s="1"/>
  <c r="A6078" i="79" s="1"/>
  <c r="A6079" i="79" s="1"/>
  <c r="A6080" i="79" s="1"/>
  <c r="A6081" i="79" s="1"/>
  <c r="A6082" i="79" s="1"/>
  <c r="A6083" i="79" s="1"/>
  <c r="A6084" i="79" s="1"/>
  <c r="A6085" i="79" s="1"/>
  <c r="A6086" i="79" s="1"/>
  <c r="A6087" i="79" s="1"/>
  <c r="A6088" i="79" s="1"/>
  <c r="A6089" i="79" s="1"/>
  <c r="A6090" i="79" s="1"/>
  <c r="A6091" i="79" s="1"/>
  <c r="A6092" i="79" s="1"/>
  <c r="A6093" i="79" s="1"/>
  <c r="A6094" i="79" s="1"/>
  <c r="A6095" i="79" s="1"/>
  <c r="A6096" i="79" s="1"/>
  <c r="A6097" i="79" s="1"/>
  <c r="A6098" i="79" s="1"/>
  <c r="A6099" i="79" s="1"/>
  <c r="A6100" i="79" s="1"/>
  <c r="A6101" i="79" s="1"/>
  <c r="A6102" i="79" s="1"/>
  <c r="A6103" i="79" s="1"/>
  <c r="A6104" i="79" s="1"/>
  <c r="A6105" i="79" s="1"/>
  <c r="A6106" i="79" s="1"/>
  <c r="A6107" i="79" s="1"/>
  <c r="A6108" i="79" s="1"/>
  <c r="A6109" i="79" s="1"/>
  <c r="A6110" i="79" s="1"/>
  <c r="A6111" i="79" s="1"/>
  <c r="A6112" i="79" s="1"/>
  <c r="A6113" i="79" s="1"/>
  <c r="A6114" i="79" s="1"/>
  <c r="A6115" i="79" s="1"/>
  <c r="A6116" i="79" s="1"/>
  <c r="A6117" i="79" s="1"/>
  <c r="A6118" i="79" s="1"/>
  <c r="A6119" i="79" s="1"/>
  <c r="A6120" i="79" s="1"/>
  <c r="A6121" i="79" s="1"/>
  <c r="A6122" i="79" s="1"/>
  <c r="A6123" i="79" s="1"/>
  <c r="A6124" i="79" s="1"/>
  <c r="A6125" i="79" s="1"/>
  <c r="A6126" i="79" s="1"/>
  <c r="A6127" i="79" s="1"/>
  <c r="A6128" i="79" s="1"/>
  <c r="A6129" i="79" s="1"/>
  <c r="A6130" i="79" s="1"/>
  <c r="A6131" i="79" s="1"/>
  <c r="A6132" i="79" s="1"/>
  <c r="A6133" i="79" s="1"/>
  <c r="A6134" i="79" s="1"/>
  <c r="A6135" i="79" s="1"/>
  <c r="A6136" i="79" s="1"/>
  <c r="A6137" i="79" s="1"/>
  <c r="A6138" i="79" s="1"/>
  <c r="A6139" i="79" s="1"/>
  <c r="A6140" i="79" s="1"/>
  <c r="A6141" i="79" s="1"/>
  <c r="A6142" i="79" s="1"/>
  <c r="A6143" i="79" s="1"/>
  <c r="A6144" i="79" s="1"/>
  <c r="A6145" i="79" s="1"/>
  <c r="A6146" i="79" s="1"/>
  <c r="A6147" i="79" s="1"/>
  <c r="A6148" i="79" s="1"/>
  <c r="A6149" i="79" s="1"/>
  <c r="A6150" i="79" s="1"/>
  <c r="A6151" i="79" s="1"/>
  <c r="A6152" i="79" s="1"/>
  <c r="A6153" i="79" s="1"/>
  <c r="A6154" i="79" s="1"/>
  <c r="A6155" i="79" s="1"/>
  <c r="A6156" i="79" s="1"/>
  <c r="A6157" i="79" s="1"/>
  <c r="A6158" i="79" s="1"/>
  <c r="A6159" i="79" s="1"/>
  <c r="A6160" i="79" s="1"/>
  <c r="A6161" i="79" s="1"/>
  <c r="A6162" i="79" s="1"/>
  <c r="A6163" i="79" s="1"/>
  <c r="A6164" i="79" s="1"/>
  <c r="A6165" i="79" s="1"/>
  <c r="A6166" i="79" s="1"/>
  <c r="A6167" i="79" s="1"/>
  <c r="A6168" i="79" s="1"/>
  <c r="A6169" i="79" s="1"/>
  <c r="A6170" i="79" s="1"/>
  <c r="A6171" i="79" s="1"/>
  <c r="A6172" i="79" s="1"/>
  <c r="A6173" i="79" s="1"/>
  <c r="A6174" i="79" s="1"/>
  <c r="A6175" i="79" s="1"/>
  <c r="A6176" i="79" s="1"/>
  <c r="A6177" i="79" s="1"/>
  <c r="A6178" i="79" s="1"/>
  <c r="A6179" i="79" s="1"/>
  <c r="A6180" i="79" s="1"/>
  <c r="A6181" i="79" s="1"/>
  <c r="A6182" i="79" s="1"/>
  <c r="A6183" i="79" s="1"/>
  <c r="A6184" i="79" s="1"/>
  <c r="A6185" i="79" s="1"/>
  <c r="A6186" i="79" s="1"/>
  <c r="A6187" i="79" s="1"/>
  <c r="A6188" i="79" s="1"/>
  <c r="A6189" i="79" s="1"/>
  <c r="A6190" i="79" s="1"/>
  <c r="A6191" i="79" s="1"/>
  <c r="A6192" i="79" s="1"/>
  <c r="A6193" i="79" s="1"/>
  <c r="A6194" i="79" s="1"/>
  <c r="A6195" i="79" s="1"/>
  <c r="A6196" i="79" s="1"/>
  <c r="A6197" i="79" s="1"/>
  <c r="A6198" i="79" s="1"/>
  <c r="A6199" i="79" s="1"/>
  <c r="A6200" i="79" s="1"/>
  <c r="A6201" i="79" s="1"/>
  <c r="A6202" i="79" s="1"/>
  <c r="A6203" i="79" s="1"/>
  <c r="A6204" i="79" s="1"/>
  <c r="A6205" i="79" s="1"/>
  <c r="A6206" i="79" s="1"/>
  <c r="A6207" i="79" s="1"/>
  <c r="A6208" i="79" s="1"/>
  <c r="A6209" i="79" s="1"/>
  <c r="A6210" i="79" s="1"/>
  <c r="A6211" i="79" s="1"/>
  <c r="A6212" i="79" s="1"/>
  <c r="A6213" i="79" s="1"/>
  <c r="A6214" i="79" s="1"/>
  <c r="A6215" i="79" s="1"/>
  <c r="A6216" i="79" s="1"/>
  <c r="A6217" i="79" s="1"/>
  <c r="A6218" i="79" s="1"/>
  <c r="A6219" i="79" s="1"/>
  <c r="A6220" i="79" s="1"/>
  <c r="A6221" i="79" s="1"/>
  <c r="A6222" i="79" s="1"/>
  <c r="A6223" i="79" s="1"/>
  <c r="A6224" i="79" s="1"/>
  <c r="A6225" i="79" s="1"/>
  <c r="A6226" i="79" s="1"/>
  <c r="A6227" i="79" s="1"/>
  <c r="A6228" i="79" s="1"/>
  <c r="A6229" i="79" s="1"/>
  <c r="A6230" i="79" s="1"/>
  <c r="A6231" i="79" s="1"/>
  <c r="A6232" i="79" s="1"/>
  <c r="A6233" i="79" s="1"/>
  <c r="A6234" i="79" s="1"/>
  <c r="A6235" i="79" s="1"/>
  <c r="A6236" i="79" s="1"/>
  <c r="A6237" i="79" s="1"/>
  <c r="A6238" i="79" s="1"/>
  <c r="A6239" i="79" s="1"/>
  <c r="A6240" i="79" s="1"/>
  <c r="A6241" i="79" s="1"/>
  <c r="A6242" i="79" s="1"/>
  <c r="A6243" i="79" s="1"/>
  <c r="A6244" i="79" s="1"/>
  <c r="A6245" i="79" s="1"/>
  <c r="A6246" i="79" s="1"/>
  <c r="A6247" i="79" s="1"/>
  <c r="A6248" i="79" s="1"/>
  <c r="A6249" i="79" s="1"/>
  <c r="A6250" i="79" s="1"/>
  <c r="A6251" i="79" s="1"/>
  <c r="A6252" i="79" s="1"/>
  <c r="A6253" i="79" s="1"/>
  <c r="A6254" i="79" s="1"/>
  <c r="A6255" i="79" s="1"/>
  <c r="A6256" i="79" s="1"/>
  <c r="A6257" i="79" s="1"/>
  <c r="A6258" i="79" s="1"/>
  <c r="A6259" i="79" s="1"/>
  <c r="A6260" i="79" s="1"/>
  <c r="A6261" i="79" s="1"/>
  <c r="A6262" i="79" s="1"/>
  <c r="A6263" i="79" s="1"/>
  <c r="A6264" i="79" s="1"/>
  <c r="A6265" i="79" s="1"/>
  <c r="A6266" i="79" s="1"/>
  <c r="A6267" i="79" s="1"/>
  <c r="A6268" i="79" s="1"/>
  <c r="A6269" i="79" s="1"/>
  <c r="A6270" i="79" s="1"/>
  <c r="A6271" i="79" s="1"/>
  <c r="A6272" i="79" s="1"/>
  <c r="A6273" i="79" s="1"/>
  <c r="A6274" i="79" s="1"/>
  <c r="A6275" i="79" s="1"/>
  <c r="A6276" i="79" s="1"/>
  <c r="A6277" i="79" s="1"/>
  <c r="A6278" i="79" s="1"/>
  <c r="A6279" i="79" s="1"/>
  <c r="A6280" i="79" s="1"/>
  <c r="A6281" i="79" s="1"/>
  <c r="A6282" i="79" s="1"/>
  <c r="A6283" i="79" s="1"/>
  <c r="A6284" i="79" s="1"/>
  <c r="A6285" i="79" s="1"/>
  <c r="A6286" i="79" s="1"/>
  <c r="A6287" i="79" s="1"/>
  <c r="A6288" i="79" s="1"/>
  <c r="A6289" i="79" s="1"/>
  <c r="A6290" i="79" s="1"/>
  <c r="A6291" i="79" s="1"/>
  <c r="A6292" i="79" s="1"/>
  <c r="A6293" i="79" s="1"/>
  <c r="A6294" i="79" s="1"/>
  <c r="A6295" i="79" s="1"/>
  <c r="A6296" i="79" s="1"/>
  <c r="A6297" i="79" s="1"/>
  <c r="A6298" i="79" s="1"/>
  <c r="A6299" i="79" s="1"/>
  <c r="A6300" i="79" s="1"/>
  <c r="A6301" i="79" s="1"/>
  <c r="A6302" i="79" s="1"/>
  <c r="A6303" i="79" s="1"/>
  <c r="A6304" i="79" s="1"/>
  <c r="A6305" i="79" s="1"/>
  <c r="A6306" i="79" s="1"/>
  <c r="A6307" i="79" s="1"/>
  <c r="A6308" i="79" s="1"/>
  <c r="A6309" i="79" s="1"/>
  <c r="A6310" i="79" s="1"/>
  <c r="A6311" i="79" s="1"/>
  <c r="A6312" i="79" s="1"/>
  <c r="A6313" i="79" s="1"/>
  <c r="A6314" i="79" s="1"/>
  <c r="A6315" i="79" s="1"/>
  <c r="A6316" i="79" s="1"/>
  <c r="A6317" i="79" s="1"/>
  <c r="A6318" i="79" s="1"/>
  <c r="A6319" i="79" s="1"/>
  <c r="A6320" i="79" s="1"/>
  <c r="A6321" i="79" s="1"/>
  <c r="A6322" i="79" s="1"/>
  <c r="A6323" i="79" s="1"/>
  <c r="A6324" i="79" s="1"/>
  <c r="A6325" i="79" s="1"/>
  <c r="A6326" i="79" s="1"/>
  <c r="A6327" i="79" s="1"/>
  <c r="A6328" i="79" s="1"/>
  <c r="A6329" i="79" s="1"/>
  <c r="A6330" i="79" s="1"/>
  <c r="A6331" i="79" s="1"/>
  <c r="A6332" i="79" s="1"/>
  <c r="A6333" i="79" s="1"/>
  <c r="A6334" i="79" s="1"/>
  <c r="A6335" i="79" s="1"/>
  <c r="A6336" i="79" s="1"/>
  <c r="A6337" i="79" s="1"/>
  <c r="A6338" i="79" s="1"/>
  <c r="A6339" i="79" s="1"/>
  <c r="A6340" i="79" s="1"/>
  <c r="A6341" i="79" s="1"/>
  <c r="A6342" i="79" s="1"/>
  <c r="A6343" i="79" s="1"/>
  <c r="A6344" i="79" s="1"/>
  <c r="A6345" i="79" s="1"/>
  <c r="A6346" i="79" s="1"/>
  <c r="A6347" i="79" s="1"/>
  <c r="A6348" i="79" s="1"/>
  <c r="A6349" i="79" s="1"/>
  <c r="A6350" i="79" s="1"/>
  <c r="A6351" i="79" s="1"/>
  <c r="A6352" i="79" s="1"/>
  <c r="A6353" i="79" s="1"/>
  <c r="A6354" i="79" s="1"/>
  <c r="A6355" i="79" s="1"/>
  <c r="A6356" i="79" s="1"/>
  <c r="A6357" i="79" s="1"/>
  <c r="A6358" i="79" s="1"/>
  <c r="A6359" i="79" s="1"/>
  <c r="A6360" i="79" s="1"/>
  <c r="A6361" i="79" s="1"/>
  <c r="A6362" i="79" s="1"/>
  <c r="A6363" i="79" s="1"/>
  <c r="A6364" i="79" s="1"/>
  <c r="A6365" i="79" s="1"/>
  <c r="A6366" i="79" s="1"/>
  <c r="A6367" i="79" s="1"/>
  <c r="A6368" i="79" s="1"/>
  <c r="A6369" i="79" s="1"/>
  <c r="A6370" i="79" s="1"/>
  <c r="A6371" i="79" s="1"/>
  <c r="A6372" i="79" s="1"/>
  <c r="A6373" i="79" s="1"/>
  <c r="A6374" i="79" s="1"/>
  <c r="A6375" i="79" s="1"/>
  <c r="A6376" i="79" s="1"/>
  <c r="A6377" i="79" s="1"/>
  <c r="A6378" i="79" s="1"/>
  <c r="A6379" i="79" s="1"/>
  <c r="A6380" i="79" s="1"/>
  <c r="A6381" i="79" s="1"/>
  <c r="A6382" i="79" s="1"/>
  <c r="A6383" i="79" s="1"/>
  <c r="A6384" i="79" s="1"/>
  <c r="A6385" i="79" s="1"/>
  <c r="A6386" i="79" s="1"/>
  <c r="A6387" i="79" s="1"/>
  <c r="A6388" i="79" s="1"/>
  <c r="A6389" i="79" s="1"/>
  <c r="A6390" i="79" s="1"/>
  <c r="A6391" i="79" s="1"/>
  <c r="A6392" i="79" s="1"/>
  <c r="A6393" i="79" s="1"/>
  <c r="A6394" i="79" s="1"/>
  <c r="A6395" i="79" s="1"/>
  <c r="A6396" i="79" s="1"/>
  <c r="A6397" i="79" s="1"/>
  <c r="A6398" i="79" s="1"/>
  <c r="A6399" i="79" s="1"/>
  <c r="A6400" i="79" s="1"/>
  <c r="A6401" i="79" s="1"/>
  <c r="A6402" i="79" s="1"/>
  <c r="A6403" i="79" s="1"/>
  <c r="A6404" i="79" s="1"/>
  <c r="A6405" i="79" s="1"/>
  <c r="A6406" i="79" s="1"/>
  <c r="A6407" i="79" s="1"/>
  <c r="A6408" i="79" s="1"/>
  <c r="A6409" i="79" s="1"/>
  <c r="A6410" i="79" s="1"/>
  <c r="A6411" i="79" s="1"/>
  <c r="A6412" i="79" s="1"/>
  <c r="A6413" i="79" s="1"/>
  <c r="A6414" i="79" s="1"/>
  <c r="A6415" i="79" s="1"/>
  <c r="A6416" i="79" s="1"/>
  <c r="A6417" i="79" s="1"/>
  <c r="A6418" i="79" s="1"/>
  <c r="A6419" i="79" s="1"/>
  <c r="A6420" i="79" s="1"/>
  <c r="A6421" i="79" s="1"/>
  <c r="A6422" i="79" s="1"/>
  <c r="A6423" i="79" s="1"/>
  <c r="A6424" i="79" s="1"/>
  <c r="A6425" i="79" s="1"/>
  <c r="A6426" i="79" s="1"/>
  <c r="A6427" i="79" s="1"/>
  <c r="A6428" i="79" s="1"/>
  <c r="A6429" i="79" s="1"/>
  <c r="A6430" i="79" s="1"/>
  <c r="A6431" i="79" s="1"/>
  <c r="A6432" i="79" s="1"/>
  <c r="A6433" i="79" s="1"/>
  <c r="A6434" i="79" s="1"/>
  <c r="A6435" i="79" s="1"/>
  <c r="A6436" i="79" s="1"/>
  <c r="A6437" i="79" s="1"/>
  <c r="A6438" i="79" s="1"/>
  <c r="A6439" i="79" s="1"/>
  <c r="A6440" i="79" s="1"/>
  <c r="A6441" i="79" s="1"/>
  <c r="A6442" i="79" s="1"/>
  <c r="A6443" i="79" s="1"/>
  <c r="A6444" i="79" s="1"/>
  <c r="A6445" i="79" s="1"/>
  <c r="A6446" i="79" s="1"/>
  <c r="A6447" i="79" s="1"/>
  <c r="A6448" i="79" s="1"/>
  <c r="A6449" i="79" s="1"/>
  <c r="A6450" i="79" s="1"/>
  <c r="A6451" i="79" s="1"/>
  <c r="A6452" i="79" s="1"/>
  <c r="A6453" i="79" s="1"/>
  <c r="A6454" i="79" s="1"/>
  <c r="A6455" i="79" s="1"/>
  <c r="A6456" i="79" s="1"/>
  <c r="A6457" i="79" s="1"/>
  <c r="A6458" i="79" s="1"/>
  <c r="A6459" i="79" s="1"/>
  <c r="A6460" i="79" s="1"/>
  <c r="A6461" i="79" s="1"/>
  <c r="A6462" i="79" s="1"/>
  <c r="A6463" i="79" s="1"/>
  <c r="A6464" i="79" s="1"/>
  <c r="A6465" i="79" s="1"/>
  <c r="A6466" i="79" s="1"/>
  <c r="A6467" i="79" s="1"/>
  <c r="A6468" i="79" s="1"/>
  <c r="A6469" i="79" s="1"/>
  <c r="A6470" i="79" s="1"/>
  <c r="A6471" i="79" s="1"/>
  <c r="A6472" i="79" s="1"/>
  <c r="A6473" i="79" s="1"/>
  <c r="A6474" i="79" s="1"/>
  <c r="A6475" i="79" s="1"/>
  <c r="A6476" i="79" s="1"/>
  <c r="A6477" i="79" s="1"/>
  <c r="A6478" i="79" s="1"/>
  <c r="A6479" i="79" s="1"/>
  <c r="A6480" i="79" s="1"/>
  <c r="A6481" i="79" s="1"/>
  <c r="A6482" i="79" s="1"/>
  <c r="A6483" i="79" s="1"/>
  <c r="A6484" i="79" s="1"/>
  <c r="A6485" i="79" s="1"/>
  <c r="A6486" i="79" s="1"/>
  <c r="A6487" i="79" s="1"/>
  <c r="A6488" i="79" s="1"/>
  <c r="A6489" i="79" s="1"/>
  <c r="A6490" i="79" s="1"/>
  <c r="A6491" i="79" s="1"/>
  <c r="A6492" i="79" s="1"/>
  <c r="A6493" i="79" s="1"/>
  <c r="A6494" i="79" s="1"/>
  <c r="A6495" i="79" s="1"/>
  <c r="A6496" i="79" s="1"/>
  <c r="A6497" i="79" s="1"/>
  <c r="A6498" i="79" s="1"/>
  <c r="A6499" i="79" s="1"/>
  <c r="A6500" i="79" s="1"/>
  <c r="A6501" i="79" s="1"/>
  <c r="A6502" i="79" s="1"/>
  <c r="A6503" i="79" s="1"/>
  <c r="A6504" i="79" s="1"/>
  <c r="A6505" i="79" s="1"/>
  <c r="A6506" i="79" s="1"/>
  <c r="A6507" i="79" s="1"/>
  <c r="A6508" i="79" s="1"/>
  <c r="A6509" i="79" s="1"/>
  <c r="A6510" i="79" s="1"/>
  <c r="A6511" i="79" s="1"/>
  <c r="A6512" i="79" s="1"/>
  <c r="A6513" i="79" s="1"/>
  <c r="A6514" i="79" s="1"/>
  <c r="A6515" i="79" s="1"/>
  <c r="A6516" i="79" s="1"/>
  <c r="A6517" i="79" s="1"/>
  <c r="A6518" i="79" s="1"/>
  <c r="A6519" i="79" s="1"/>
  <c r="A6520" i="79" s="1"/>
  <c r="A6521" i="79" s="1"/>
  <c r="A6522" i="79" s="1"/>
  <c r="A6523" i="79" s="1"/>
  <c r="A6524" i="79" s="1"/>
  <c r="A6525" i="79" s="1"/>
  <c r="A6526" i="79" s="1"/>
  <c r="A6527" i="79" s="1"/>
  <c r="A6528" i="79" s="1"/>
  <c r="A6529" i="79" s="1"/>
  <c r="A6530" i="79" s="1"/>
  <c r="A6531" i="79" s="1"/>
  <c r="A6532" i="79" s="1"/>
  <c r="A6533" i="79" s="1"/>
  <c r="A6534" i="79" s="1"/>
  <c r="A6535" i="79" s="1"/>
  <c r="A6536" i="79" s="1"/>
  <c r="A6537" i="79" s="1"/>
  <c r="A6538" i="79" s="1"/>
  <c r="A6539" i="79" s="1"/>
  <c r="A6540" i="79" s="1"/>
  <c r="A6541" i="79" s="1"/>
  <c r="A6542" i="79" s="1"/>
  <c r="A6543" i="79" s="1"/>
  <c r="A6544" i="79" s="1"/>
  <c r="A6545" i="79" s="1"/>
  <c r="A6546" i="79" s="1"/>
  <c r="A6547" i="79" s="1"/>
  <c r="A6548" i="79" s="1"/>
  <c r="A6549" i="79" s="1"/>
  <c r="A6550" i="79" s="1"/>
  <c r="A6551" i="79" s="1"/>
  <c r="A6552" i="79" s="1"/>
  <c r="A6553" i="79" s="1"/>
  <c r="A6554" i="79" s="1"/>
  <c r="A6555" i="79" s="1"/>
  <c r="A6556" i="79" s="1"/>
  <c r="A6557" i="79" s="1"/>
  <c r="A6558" i="79" s="1"/>
  <c r="A6559" i="79" s="1"/>
  <c r="A6560" i="79" s="1"/>
  <c r="A6561" i="79" s="1"/>
  <c r="A6562" i="79" s="1"/>
  <c r="A6563" i="79" s="1"/>
  <c r="A6564" i="79" s="1"/>
  <c r="A6565" i="79" s="1"/>
  <c r="A6566" i="79" s="1"/>
  <c r="A6567" i="79" s="1"/>
  <c r="A6568" i="79" s="1"/>
  <c r="A6569" i="79" s="1"/>
  <c r="A6570" i="79" s="1"/>
  <c r="A6571" i="79" s="1"/>
  <c r="A6572" i="79" s="1"/>
  <c r="A6573" i="79" s="1"/>
  <c r="A6574" i="79" s="1"/>
  <c r="A6575" i="79" s="1"/>
  <c r="A6576" i="79" s="1"/>
  <c r="A6577" i="79" s="1"/>
  <c r="A6578" i="79" s="1"/>
  <c r="A6579" i="79" s="1"/>
  <c r="A6580" i="79" s="1"/>
  <c r="A6581" i="79" s="1"/>
  <c r="A6582" i="79" s="1"/>
  <c r="A6583" i="79" s="1"/>
  <c r="A6584" i="79" s="1"/>
  <c r="A6585" i="79" s="1"/>
  <c r="A6586" i="79" s="1"/>
  <c r="A6587" i="79" s="1"/>
  <c r="A6588" i="79" s="1"/>
  <c r="A6589" i="79" s="1"/>
  <c r="A6590" i="79" s="1"/>
  <c r="A6591" i="79" s="1"/>
  <c r="A6592" i="79" s="1"/>
  <c r="A6593" i="79" s="1"/>
  <c r="A6594" i="79" s="1"/>
  <c r="A6595" i="79" s="1"/>
  <c r="A6596" i="79" s="1"/>
  <c r="A6597" i="79" s="1"/>
  <c r="A6598" i="79" s="1"/>
  <c r="A6599" i="79" s="1"/>
  <c r="A6600" i="79" s="1"/>
  <c r="A6601" i="79" s="1"/>
  <c r="A6602" i="79" s="1"/>
  <c r="A6603" i="79" s="1"/>
  <c r="A6604" i="79" s="1"/>
  <c r="A6605" i="79" s="1"/>
  <c r="A6606" i="79" s="1"/>
  <c r="A6607" i="79" s="1"/>
  <c r="A6608" i="79" s="1"/>
  <c r="A6609" i="79" s="1"/>
  <c r="A6610" i="79" s="1"/>
  <c r="A6611" i="79" s="1"/>
  <c r="A6612" i="79" s="1"/>
  <c r="A6613" i="79" s="1"/>
  <c r="A6614" i="79" s="1"/>
  <c r="A6615" i="79" s="1"/>
  <c r="A6616" i="79" s="1"/>
  <c r="A6617" i="79" s="1"/>
  <c r="A6618" i="79" s="1"/>
  <c r="A6619" i="79" s="1"/>
  <c r="A6620" i="79" s="1"/>
  <c r="A6621" i="79" s="1"/>
  <c r="A6622" i="79" s="1"/>
  <c r="A6623" i="79" s="1"/>
  <c r="A6624" i="79" s="1"/>
  <c r="A6625" i="79" s="1"/>
  <c r="A6626" i="79" s="1"/>
  <c r="A6627" i="79" s="1"/>
  <c r="A6628" i="79" s="1"/>
  <c r="A6629" i="79" s="1"/>
  <c r="A6630" i="79" s="1"/>
  <c r="A6631" i="79" s="1"/>
  <c r="A6632" i="79" s="1"/>
  <c r="A6633" i="79" s="1"/>
  <c r="A6634" i="79" s="1"/>
  <c r="A6635" i="79" s="1"/>
  <c r="A6636" i="79" s="1"/>
  <c r="A6637" i="79" s="1"/>
  <c r="A6638" i="79" s="1"/>
  <c r="A6639" i="79" s="1"/>
  <c r="A6640" i="79" s="1"/>
  <c r="A6641" i="79" s="1"/>
  <c r="A6642" i="79" s="1"/>
  <c r="A6643" i="79" s="1"/>
  <c r="A6644" i="79" s="1"/>
  <c r="A6645" i="79" s="1"/>
  <c r="A6646" i="79" s="1"/>
  <c r="A6647" i="79" s="1"/>
  <c r="A6648" i="79" s="1"/>
  <c r="A6649" i="79" s="1"/>
  <c r="A6650" i="79" s="1"/>
  <c r="A6651" i="79" s="1"/>
  <c r="A6652" i="79" s="1"/>
  <c r="A6653" i="79" s="1"/>
  <c r="A6654" i="79" s="1"/>
  <c r="A6655" i="79" s="1"/>
  <c r="A6656" i="79" s="1"/>
  <c r="A6657" i="79" s="1"/>
  <c r="A6658" i="79" s="1"/>
  <c r="A6659" i="79" s="1"/>
  <c r="A6660" i="79" s="1"/>
  <c r="A6661" i="79" s="1"/>
  <c r="A6662" i="79" s="1"/>
  <c r="A6663" i="79" s="1"/>
  <c r="A6664" i="79" s="1"/>
  <c r="A6665" i="79" s="1"/>
  <c r="A6666" i="79" s="1"/>
  <c r="A6667" i="79" s="1"/>
  <c r="A6668" i="79" s="1"/>
  <c r="A6669" i="79" s="1"/>
  <c r="A6670" i="79" s="1"/>
  <c r="A6671" i="79" s="1"/>
  <c r="A6672" i="79" s="1"/>
  <c r="A6673" i="79" s="1"/>
  <c r="A6674" i="79" s="1"/>
  <c r="A6675" i="79" s="1"/>
  <c r="A6676" i="79" s="1"/>
  <c r="A6677" i="79" s="1"/>
  <c r="A6678" i="79" s="1"/>
  <c r="A6679" i="79" s="1"/>
  <c r="A6680" i="79" s="1"/>
  <c r="A6681" i="79" s="1"/>
  <c r="A6682" i="79" s="1"/>
  <c r="A6683" i="79" s="1"/>
  <c r="A6684" i="79" s="1"/>
  <c r="A6685" i="79" s="1"/>
  <c r="A6686" i="79" s="1"/>
  <c r="A6687" i="79" s="1"/>
  <c r="A6688" i="79" s="1"/>
  <c r="A6689" i="79" s="1"/>
  <c r="A6690" i="79" s="1"/>
  <c r="A6691" i="79" s="1"/>
  <c r="A6692" i="79" s="1"/>
  <c r="A6693" i="79" s="1"/>
  <c r="A6694" i="79" s="1"/>
  <c r="A6695" i="79" s="1"/>
  <c r="A6696" i="79" s="1"/>
  <c r="A6697" i="79" s="1"/>
  <c r="A6698" i="79" s="1"/>
  <c r="A6699" i="79" s="1"/>
  <c r="A6700" i="79" s="1"/>
  <c r="A6701" i="79" s="1"/>
  <c r="A6702" i="79" s="1"/>
  <c r="A6703" i="79" s="1"/>
  <c r="A6704" i="79" s="1"/>
  <c r="A6705" i="79" s="1"/>
  <c r="A6706" i="79" s="1"/>
  <c r="A6707" i="79" s="1"/>
  <c r="A6708" i="79" s="1"/>
  <c r="A6709" i="79" s="1"/>
  <c r="A6710" i="79" s="1"/>
  <c r="A6711" i="79" s="1"/>
  <c r="A6712" i="79" s="1"/>
  <c r="A6713" i="79" s="1"/>
  <c r="A6714" i="79" s="1"/>
  <c r="A6715" i="79" s="1"/>
  <c r="A6716" i="79" s="1"/>
  <c r="A6717" i="79" s="1"/>
  <c r="A6718" i="79" s="1"/>
  <c r="A6719" i="79" s="1"/>
  <c r="A6720" i="79" s="1"/>
  <c r="A6721" i="79" s="1"/>
  <c r="A6722" i="79" s="1"/>
  <c r="A6723" i="79" s="1"/>
  <c r="A6724" i="79" s="1"/>
  <c r="A6725" i="79" s="1"/>
  <c r="A6726" i="79" s="1"/>
  <c r="A6727" i="79" s="1"/>
  <c r="A6728" i="79" s="1"/>
  <c r="A6729" i="79" s="1"/>
  <c r="A6730" i="79" s="1"/>
  <c r="A6731" i="79" s="1"/>
  <c r="A6732" i="79" s="1"/>
  <c r="A6733" i="79" s="1"/>
  <c r="A6734" i="79" s="1"/>
  <c r="A6735" i="79" s="1"/>
  <c r="A6736" i="79" s="1"/>
  <c r="A6737" i="79" s="1"/>
  <c r="A6738" i="79" s="1"/>
  <c r="A6739" i="79" s="1"/>
  <c r="A6740" i="79" s="1"/>
  <c r="A6741" i="79" s="1"/>
  <c r="A6742" i="79" s="1"/>
  <c r="A6743" i="79" s="1"/>
  <c r="A6744" i="79" s="1"/>
  <c r="A6745" i="79" s="1"/>
  <c r="A6746" i="79" s="1"/>
  <c r="A6747" i="79" s="1"/>
  <c r="A6748" i="79" s="1"/>
  <c r="A6749" i="79" s="1"/>
  <c r="A6750" i="79" s="1"/>
  <c r="A6751" i="79" s="1"/>
  <c r="A6752" i="79" s="1"/>
  <c r="A6753" i="79" s="1"/>
  <c r="A6754" i="79" s="1"/>
  <c r="A6755" i="79" s="1"/>
  <c r="A6756" i="79" s="1"/>
  <c r="A6757" i="79" s="1"/>
  <c r="A6758" i="79" s="1"/>
  <c r="A6759" i="79" s="1"/>
  <c r="A6760" i="79" s="1"/>
  <c r="A6761" i="79" s="1"/>
  <c r="A6762" i="79" s="1"/>
  <c r="A6763" i="79" s="1"/>
  <c r="A6764" i="79" s="1"/>
  <c r="A6765" i="79" s="1"/>
  <c r="A6766" i="79" s="1"/>
  <c r="A6767" i="79" s="1"/>
  <c r="A6768" i="79" s="1"/>
  <c r="A6769" i="79" s="1"/>
  <c r="A6770" i="79" s="1"/>
  <c r="A6771" i="79" s="1"/>
  <c r="A6772" i="79" s="1"/>
  <c r="A6773" i="79" s="1"/>
  <c r="A6774" i="79" s="1"/>
  <c r="A6775" i="79" s="1"/>
  <c r="A6776" i="79" s="1"/>
  <c r="A6777" i="79" s="1"/>
  <c r="A6778" i="79" s="1"/>
  <c r="A6779" i="79" s="1"/>
  <c r="A6780" i="79" s="1"/>
  <c r="A6781" i="79" s="1"/>
  <c r="A6782" i="79" s="1"/>
  <c r="A6783" i="79" s="1"/>
  <c r="A6784" i="79" s="1"/>
  <c r="A6785" i="79" s="1"/>
  <c r="A6786" i="79" s="1"/>
  <c r="A6787" i="79" s="1"/>
  <c r="A6788" i="79" s="1"/>
  <c r="A6789" i="79" s="1"/>
  <c r="A6790" i="79" s="1"/>
  <c r="A6791" i="79" s="1"/>
  <c r="A6792" i="79" s="1"/>
  <c r="A6793" i="79" s="1"/>
  <c r="A6794" i="79" s="1"/>
  <c r="A6795" i="79" s="1"/>
  <c r="A6796" i="79" s="1"/>
  <c r="A6797" i="79" s="1"/>
  <c r="A6798" i="79" s="1"/>
  <c r="A6799" i="79" s="1"/>
  <c r="A6800" i="79" s="1"/>
  <c r="A6801" i="79" s="1"/>
  <c r="A6802" i="79" s="1"/>
  <c r="A6803" i="79" s="1"/>
  <c r="A6804" i="79" s="1"/>
  <c r="A6805" i="79" s="1"/>
  <c r="A6806" i="79" s="1"/>
  <c r="A6807" i="79" s="1"/>
  <c r="A6808" i="79" s="1"/>
  <c r="A6809" i="79" s="1"/>
  <c r="A6810" i="79" s="1"/>
  <c r="A6811" i="79" s="1"/>
  <c r="A6812" i="79" s="1"/>
  <c r="A6813" i="79" s="1"/>
  <c r="A6814" i="79" s="1"/>
  <c r="A6815" i="79" s="1"/>
  <c r="A6816" i="79" s="1"/>
  <c r="A6817" i="79" s="1"/>
  <c r="A6818" i="79" s="1"/>
  <c r="A6819" i="79" s="1"/>
  <c r="A6820" i="79" s="1"/>
  <c r="A6821" i="79" s="1"/>
  <c r="A6822" i="79" s="1"/>
  <c r="A6823" i="79" s="1"/>
  <c r="A6824" i="79" s="1"/>
  <c r="A6825" i="79" s="1"/>
  <c r="A6826" i="79" s="1"/>
  <c r="A6827" i="79" s="1"/>
  <c r="A6828" i="79" s="1"/>
  <c r="A6829" i="79" s="1"/>
  <c r="A6830" i="79" s="1"/>
  <c r="A6831" i="79" s="1"/>
  <c r="A6832" i="79" s="1"/>
  <c r="A6833" i="79" s="1"/>
  <c r="A6834" i="79" s="1"/>
  <c r="A6835" i="79" s="1"/>
  <c r="A6836" i="79" s="1"/>
  <c r="A6837" i="79" s="1"/>
  <c r="A6838" i="79" s="1"/>
  <c r="A6839" i="79" s="1"/>
  <c r="A6840" i="79" s="1"/>
  <c r="A6841" i="79" s="1"/>
  <c r="A6842" i="79" s="1"/>
  <c r="A6843" i="79" s="1"/>
  <c r="A6844" i="79" s="1"/>
  <c r="A6845" i="79" s="1"/>
  <c r="A6846" i="79" s="1"/>
  <c r="A6847" i="79" s="1"/>
  <c r="A6848" i="79" s="1"/>
  <c r="A6849" i="79" s="1"/>
  <c r="A6850" i="79" s="1"/>
  <c r="A6851" i="79" s="1"/>
  <c r="A6852" i="79" s="1"/>
  <c r="A6853" i="79" s="1"/>
  <c r="A6854" i="79" s="1"/>
  <c r="A6855" i="79" s="1"/>
  <c r="A6856" i="79" s="1"/>
  <c r="A6857" i="79" s="1"/>
  <c r="A6858" i="79" s="1"/>
  <c r="A6859" i="79" s="1"/>
  <c r="A6860" i="79" s="1"/>
  <c r="A6861" i="79" s="1"/>
  <c r="A6862" i="79" s="1"/>
  <c r="A6863" i="79" s="1"/>
  <c r="A6864" i="79" s="1"/>
  <c r="A6865" i="79" s="1"/>
  <c r="A6866" i="79" s="1"/>
  <c r="A6867" i="79" s="1"/>
  <c r="A6868" i="79" s="1"/>
  <c r="A6869" i="79" s="1"/>
  <c r="A6870" i="79" s="1"/>
  <c r="A6871" i="79" s="1"/>
  <c r="A6872" i="79" s="1"/>
  <c r="A6873" i="79" s="1"/>
  <c r="A6874" i="79" s="1"/>
  <c r="A6875" i="79" s="1"/>
  <c r="A6876" i="79" s="1"/>
  <c r="A6877" i="79" s="1"/>
  <c r="A6878" i="79" s="1"/>
  <c r="A6879" i="79" s="1"/>
  <c r="A6880" i="79" s="1"/>
  <c r="A6881" i="79" s="1"/>
  <c r="A6882" i="79" s="1"/>
  <c r="A6883" i="79" s="1"/>
  <c r="A6884" i="79" s="1"/>
  <c r="A6885" i="79" s="1"/>
  <c r="A6886" i="79" s="1"/>
  <c r="A6887" i="79" s="1"/>
  <c r="A6888" i="79" s="1"/>
  <c r="A6889" i="79" s="1"/>
  <c r="A6890" i="79" s="1"/>
  <c r="A6891" i="79" s="1"/>
  <c r="A6892" i="79" s="1"/>
  <c r="A6893" i="79" s="1"/>
  <c r="A6894" i="79" s="1"/>
  <c r="A6895" i="79" s="1"/>
  <c r="A6896" i="79" s="1"/>
  <c r="A6897" i="79" s="1"/>
  <c r="A6898" i="79" s="1"/>
  <c r="A6899" i="79" s="1"/>
  <c r="A6900" i="79" s="1"/>
  <c r="A6901" i="79" s="1"/>
  <c r="A6902" i="79" s="1"/>
  <c r="A6903" i="79" s="1"/>
  <c r="A6904" i="79" s="1"/>
  <c r="A6905" i="79" s="1"/>
  <c r="A6906" i="79" s="1"/>
  <c r="A6907" i="79" s="1"/>
  <c r="A6908" i="79" s="1"/>
  <c r="A6909" i="79" s="1"/>
  <c r="A6910" i="79" s="1"/>
  <c r="A6911" i="79" s="1"/>
  <c r="A6912" i="79" s="1"/>
  <c r="A6913" i="79" s="1"/>
  <c r="A6914" i="79" s="1"/>
  <c r="A6915" i="79" s="1"/>
  <c r="A6916" i="79" s="1"/>
  <c r="A6917" i="79" s="1"/>
  <c r="A6918" i="79" s="1"/>
  <c r="A6919" i="79" s="1"/>
  <c r="A6920" i="79" s="1"/>
  <c r="A6921" i="79" s="1"/>
  <c r="A6922" i="79" s="1"/>
  <c r="A6923" i="79" s="1"/>
  <c r="A6924" i="79" s="1"/>
  <c r="A6925" i="79" s="1"/>
  <c r="A6926" i="79" s="1"/>
  <c r="A6927" i="79" s="1"/>
  <c r="A6928" i="79" s="1"/>
  <c r="A6929" i="79" s="1"/>
  <c r="A6930" i="79" s="1"/>
  <c r="A6931" i="79" s="1"/>
  <c r="A6932" i="79" s="1"/>
  <c r="A6933" i="79" s="1"/>
  <c r="A6934" i="79" s="1"/>
  <c r="A6935" i="79" s="1"/>
  <c r="A6936" i="79" s="1"/>
  <c r="A6937" i="79" s="1"/>
  <c r="A6938" i="79" s="1"/>
  <c r="A6939" i="79" s="1"/>
  <c r="A6940" i="79" s="1"/>
  <c r="A6941" i="79" s="1"/>
  <c r="A6942" i="79" s="1"/>
  <c r="A6943" i="79" s="1"/>
  <c r="A6944" i="79" s="1"/>
  <c r="A6945" i="79" s="1"/>
  <c r="A6946" i="79" s="1"/>
  <c r="A6947" i="79" s="1"/>
  <c r="A6948" i="79" s="1"/>
  <c r="A6949" i="79" s="1"/>
  <c r="A6950" i="79" s="1"/>
  <c r="A6951" i="79" s="1"/>
  <c r="A6952" i="79" s="1"/>
  <c r="A6953" i="79" s="1"/>
  <c r="A6954" i="79" s="1"/>
  <c r="A6955" i="79" s="1"/>
  <c r="A6956" i="79" s="1"/>
  <c r="A6957" i="79" s="1"/>
  <c r="A6958" i="79" s="1"/>
  <c r="A6959" i="79" s="1"/>
  <c r="A6960" i="79" s="1"/>
  <c r="A6961" i="79" s="1"/>
  <c r="A6962" i="79" s="1"/>
  <c r="A6963" i="79" s="1"/>
  <c r="A6964" i="79" s="1"/>
  <c r="A6965" i="79" s="1"/>
  <c r="A6966" i="79" s="1"/>
  <c r="A6967" i="79" s="1"/>
  <c r="A6968" i="79" s="1"/>
  <c r="A6969" i="79" s="1"/>
  <c r="A6970" i="79" s="1"/>
  <c r="A6971" i="79" s="1"/>
  <c r="A6972" i="79" s="1"/>
  <c r="A6973" i="79" s="1"/>
  <c r="A6974" i="79" s="1"/>
  <c r="A6975" i="79" s="1"/>
  <c r="A6976" i="79" s="1"/>
  <c r="A6977" i="79" s="1"/>
  <c r="A6978" i="79" s="1"/>
  <c r="A6979" i="79" s="1"/>
  <c r="A6980" i="79" s="1"/>
  <c r="A6981" i="79" s="1"/>
  <c r="A6982" i="79" s="1"/>
  <c r="A6983" i="79" s="1"/>
  <c r="A6984" i="79" s="1"/>
  <c r="A6985" i="79" s="1"/>
  <c r="A6986" i="79" s="1"/>
  <c r="A6987" i="79" s="1"/>
  <c r="A6988" i="79" s="1"/>
  <c r="A6989" i="79" s="1"/>
  <c r="A6990" i="79" s="1"/>
  <c r="A6991" i="79" s="1"/>
  <c r="A6992" i="79" s="1"/>
  <c r="A6993" i="79" s="1"/>
  <c r="A6994" i="79" s="1"/>
  <c r="A6995" i="79" s="1"/>
  <c r="A6996" i="79" s="1"/>
  <c r="A6997" i="79" s="1"/>
  <c r="A6998" i="79" s="1"/>
  <c r="A6999" i="79" s="1"/>
  <c r="A7000" i="79" s="1"/>
  <c r="A7001" i="79" s="1"/>
  <c r="A7002" i="79" s="1"/>
  <c r="A7003" i="79" s="1"/>
  <c r="A7004" i="79" s="1"/>
  <c r="A7005" i="79" s="1"/>
  <c r="A7006" i="79" s="1"/>
  <c r="A7007" i="79" s="1"/>
  <c r="A7008" i="79" s="1"/>
  <c r="A7009" i="79" s="1"/>
  <c r="A7010" i="79" s="1"/>
  <c r="A7011" i="79" s="1"/>
  <c r="A7012" i="79" s="1"/>
  <c r="A7013" i="79" s="1"/>
  <c r="A7014" i="79" s="1"/>
  <c r="A7015" i="79" s="1"/>
  <c r="A7016" i="79" s="1"/>
  <c r="A7017" i="79" s="1"/>
  <c r="A7018" i="79" s="1"/>
  <c r="A7019" i="79" s="1"/>
  <c r="A7020" i="79" s="1"/>
  <c r="A7021" i="79" s="1"/>
  <c r="A7022" i="79" s="1"/>
  <c r="A7023" i="79" s="1"/>
  <c r="A7024" i="79" s="1"/>
  <c r="A7025" i="79" s="1"/>
  <c r="A7026" i="79" s="1"/>
  <c r="A7027" i="79" s="1"/>
  <c r="A7028" i="79" s="1"/>
  <c r="A7029" i="79" s="1"/>
  <c r="A7030" i="79" s="1"/>
  <c r="A7031" i="79" s="1"/>
  <c r="A7032" i="79" s="1"/>
  <c r="A7033" i="79" s="1"/>
  <c r="A7034" i="79" s="1"/>
  <c r="A7035" i="79" s="1"/>
  <c r="A7036" i="79" s="1"/>
  <c r="A7037" i="79" s="1"/>
  <c r="A7038" i="79" s="1"/>
  <c r="A7039" i="79" s="1"/>
  <c r="A7040" i="79" s="1"/>
  <c r="A7041" i="79" s="1"/>
  <c r="A7042" i="79" s="1"/>
  <c r="A7043" i="79" s="1"/>
  <c r="A7044" i="79" s="1"/>
  <c r="A7045" i="79" s="1"/>
  <c r="A7046" i="79" s="1"/>
  <c r="A7047" i="79" s="1"/>
  <c r="A7048" i="79" s="1"/>
  <c r="A7049" i="79" s="1"/>
  <c r="A7050" i="79" s="1"/>
  <c r="A7051" i="79" s="1"/>
  <c r="A7052" i="79" s="1"/>
  <c r="A7053" i="79" s="1"/>
  <c r="A7054" i="79" s="1"/>
  <c r="A7055" i="79" s="1"/>
  <c r="A7056" i="79" s="1"/>
  <c r="A7057" i="79" s="1"/>
  <c r="A7058" i="79" s="1"/>
  <c r="A7059" i="79" s="1"/>
  <c r="A7060" i="79" s="1"/>
  <c r="A7061" i="79" s="1"/>
  <c r="A7062" i="79" s="1"/>
  <c r="A7063" i="79" s="1"/>
  <c r="A7064" i="79" s="1"/>
  <c r="A7065" i="79" s="1"/>
  <c r="A7066" i="79" s="1"/>
  <c r="A7067" i="79" s="1"/>
  <c r="A7068" i="79" s="1"/>
  <c r="A7069" i="79" s="1"/>
  <c r="A7070" i="79" s="1"/>
  <c r="A7071" i="79" s="1"/>
  <c r="A7072" i="79" s="1"/>
  <c r="A7073" i="79" s="1"/>
  <c r="A7074" i="79" s="1"/>
  <c r="A7075" i="79" s="1"/>
  <c r="A7076" i="79" s="1"/>
  <c r="A7077" i="79" s="1"/>
  <c r="A7078" i="79" s="1"/>
  <c r="A7079" i="79" s="1"/>
  <c r="A7080" i="79" s="1"/>
  <c r="A7081" i="79" s="1"/>
  <c r="A7082" i="79" s="1"/>
  <c r="A7083" i="79" s="1"/>
  <c r="A7084" i="79" s="1"/>
  <c r="A7085" i="79" s="1"/>
  <c r="A7086" i="79" s="1"/>
  <c r="A7087" i="79" s="1"/>
  <c r="A7088" i="79" s="1"/>
  <c r="A7089" i="79" s="1"/>
  <c r="A7090" i="79" s="1"/>
  <c r="A7091" i="79" s="1"/>
  <c r="A7092" i="79" s="1"/>
  <c r="A7093" i="79" s="1"/>
  <c r="A7094" i="79" s="1"/>
  <c r="A7095" i="79" s="1"/>
  <c r="A7096" i="79" s="1"/>
  <c r="A7097" i="79" s="1"/>
  <c r="A7098" i="79" s="1"/>
  <c r="A7099" i="79" s="1"/>
  <c r="A7100" i="79" s="1"/>
  <c r="A7101" i="79" s="1"/>
  <c r="A7102" i="79" s="1"/>
  <c r="A7103" i="79" s="1"/>
  <c r="A7104" i="79" s="1"/>
  <c r="A7105" i="79" s="1"/>
  <c r="A7106" i="79" s="1"/>
  <c r="A7107" i="79" s="1"/>
  <c r="A7108" i="79" s="1"/>
  <c r="A7109" i="79" s="1"/>
  <c r="A7110" i="79" s="1"/>
  <c r="A7111" i="79" s="1"/>
  <c r="A7112" i="79" s="1"/>
  <c r="A7113" i="79" s="1"/>
  <c r="A7114" i="79" s="1"/>
  <c r="A7115" i="79" s="1"/>
  <c r="A7116" i="79" s="1"/>
  <c r="A7117" i="79" s="1"/>
  <c r="A7118" i="79" s="1"/>
  <c r="A7119" i="79" s="1"/>
  <c r="A7120" i="79" s="1"/>
  <c r="A7121" i="79" s="1"/>
  <c r="A7122" i="79" s="1"/>
  <c r="A7123" i="79" s="1"/>
  <c r="A7124" i="79" s="1"/>
  <c r="A7125" i="79" s="1"/>
  <c r="A7126" i="79" s="1"/>
  <c r="A7127" i="79" s="1"/>
  <c r="A7128" i="79" s="1"/>
  <c r="A7129" i="79" s="1"/>
  <c r="A7130" i="79" s="1"/>
  <c r="A7131" i="79" s="1"/>
  <c r="A7132" i="79" s="1"/>
  <c r="A7133" i="79" s="1"/>
  <c r="A7134" i="79" s="1"/>
  <c r="A7135" i="79" s="1"/>
  <c r="A7136" i="79" s="1"/>
  <c r="A7137" i="79" s="1"/>
  <c r="A7138" i="79" s="1"/>
  <c r="A7139" i="79" s="1"/>
  <c r="A7140" i="79" s="1"/>
  <c r="A7141" i="79" s="1"/>
  <c r="A7142" i="79" s="1"/>
  <c r="A7143" i="79" s="1"/>
  <c r="A7144" i="79" s="1"/>
  <c r="A7145" i="79" s="1"/>
  <c r="A7146" i="79" s="1"/>
  <c r="A7147" i="79" s="1"/>
  <c r="A7148" i="79" s="1"/>
  <c r="A7149" i="79" s="1"/>
  <c r="A7150" i="79" s="1"/>
  <c r="A7151" i="79" s="1"/>
  <c r="A7152" i="79" s="1"/>
  <c r="A7153" i="79" s="1"/>
  <c r="A7154" i="79" s="1"/>
  <c r="A7155" i="79" s="1"/>
  <c r="A7156" i="79" s="1"/>
  <c r="A7157" i="79" s="1"/>
  <c r="A7158" i="79" s="1"/>
  <c r="A7159" i="79" s="1"/>
  <c r="A7160" i="79" s="1"/>
  <c r="A7161" i="79" s="1"/>
  <c r="A7162" i="79" s="1"/>
  <c r="A7163" i="79" s="1"/>
  <c r="A7164" i="79" s="1"/>
  <c r="A7165" i="79" s="1"/>
  <c r="A7166" i="79" s="1"/>
  <c r="A7167" i="79" s="1"/>
  <c r="A7168" i="79" s="1"/>
  <c r="A7169" i="79" s="1"/>
  <c r="A7170" i="79" s="1"/>
  <c r="A7171" i="79" s="1"/>
  <c r="A7172" i="79" s="1"/>
  <c r="A7173" i="79" s="1"/>
  <c r="A7174" i="79" s="1"/>
  <c r="A7175" i="79" s="1"/>
  <c r="A7176" i="79" s="1"/>
  <c r="A7177" i="79" s="1"/>
  <c r="A7178" i="79" s="1"/>
  <c r="A7179" i="79" s="1"/>
  <c r="A7180" i="79" s="1"/>
  <c r="A7181" i="79" s="1"/>
  <c r="A7182" i="79" s="1"/>
  <c r="A7183" i="79" s="1"/>
  <c r="A7184" i="79" s="1"/>
  <c r="A7185" i="79" s="1"/>
  <c r="A7186" i="79" s="1"/>
  <c r="A7187" i="79" s="1"/>
  <c r="A7188" i="79" s="1"/>
  <c r="A7189" i="79" s="1"/>
  <c r="A7190" i="79" s="1"/>
  <c r="A7191" i="79" s="1"/>
  <c r="A7192" i="79" s="1"/>
  <c r="A7193" i="79" s="1"/>
  <c r="A7194" i="79" s="1"/>
  <c r="A7195" i="79" s="1"/>
  <c r="A7196" i="79" s="1"/>
  <c r="A7197" i="79" s="1"/>
  <c r="A7198" i="79" s="1"/>
  <c r="A7199" i="79" s="1"/>
  <c r="A7200" i="79" s="1"/>
  <c r="A7201" i="79" s="1"/>
  <c r="A7202" i="79" s="1"/>
  <c r="A7203" i="79" s="1"/>
  <c r="A7204" i="79" s="1"/>
  <c r="A7205" i="79" s="1"/>
  <c r="A7206" i="79" s="1"/>
  <c r="A7207" i="79" s="1"/>
  <c r="A7208" i="79" s="1"/>
  <c r="A7209" i="79" s="1"/>
  <c r="A7210" i="79" s="1"/>
  <c r="A7211" i="79" s="1"/>
  <c r="A7212" i="79" s="1"/>
  <c r="A7213" i="79" s="1"/>
  <c r="A7214" i="79" s="1"/>
  <c r="A7215" i="79" s="1"/>
  <c r="A7216" i="79" s="1"/>
  <c r="A7217" i="79" s="1"/>
  <c r="A7218" i="79" s="1"/>
  <c r="A7219" i="79" s="1"/>
  <c r="A7220" i="79" s="1"/>
  <c r="A7221" i="79" s="1"/>
  <c r="A7222" i="79" s="1"/>
  <c r="A7223" i="79" s="1"/>
  <c r="A7224" i="79" s="1"/>
  <c r="A7225" i="79" s="1"/>
  <c r="A7226" i="79" s="1"/>
  <c r="A7227" i="79" s="1"/>
  <c r="A7228" i="79" s="1"/>
  <c r="A7229" i="79" s="1"/>
  <c r="A7230" i="79" s="1"/>
  <c r="A7231" i="79" s="1"/>
  <c r="A7232" i="79" s="1"/>
  <c r="A7233" i="79" s="1"/>
  <c r="A7234" i="79" s="1"/>
  <c r="A7235" i="79" s="1"/>
  <c r="A7236" i="79" s="1"/>
  <c r="A7237" i="79" s="1"/>
  <c r="A7238" i="79" s="1"/>
  <c r="A7239" i="79" s="1"/>
  <c r="A7240" i="79" s="1"/>
  <c r="A7241" i="79" s="1"/>
  <c r="A7242" i="79" s="1"/>
  <c r="A7243" i="79" s="1"/>
  <c r="A7244" i="79" s="1"/>
  <c r="A7245" i="79" s="1"/>
  <c r="A7246" i="79" s="1"/>
  <c r="A7247" i="79" s="1"/>
  <c r="A7248" i="79" s="1"/>
  <c r="A7249" i="79" s="1"/>
  <c r="A7250" i="79" s="1"/>
  <c r="A7251" i="79" s="1"/>
  <c r="A7252" i="79" s="1"/>
  <c r="A7253" i="79" s="1"/>
  <c r="A7254" i="79" s="1"/>
  <c r="A7255" i="79" s="1"/>
  <c r="A7256" i="79" s="1"/>
  <c r="A7257" i="79" s="1"/>
  <c r="A7258" i="79" s="1"/>
  <c r="A7259" i="79" s="1"/>
  <c r="A7260" i="79" s="1"/>
  <c r="A7261" i="79" s="1"/>
  <c r="A7262" i="79" s="1"/>
  <c r="A7263" i="79" s="1"/>
  <c r="A7264" i="79" s="1"/>
  <c r="A7265" i="79" s="1"/>
  <c r="A7266" i="79" s="1"/>
  <c r="A7267" i="79" s="1"/>
  <c r="A7268" i="79" s="1"/>
  <c r="A7269" i="79" s="1"/>
  <c r="A7270" i="79" s="1"/>
  <c r="A7271" i="79" s="1"/>
  <c r="A7272" i="79" s="1"/>
  <c r="A7273" i="79" s="1"/>
  <c r="A7274" i="79" s="1"/>
  <c r="A7275" i="79" s="1"/>
  <c r="A7276" i="79" s="1"/>
  <c r="A7277" i="79" s="1"/>
  <c r="A7278" i="79" s="1"/>
  <c r="A7279" i="79" s="1"/>
  <c r="A7280" i="79" s="1"/>
  <c r="A7281" i="79" s="1"/>
  <c r="A7282" i="79" s="1"/>
  <c r="A7283" i="79" s="1"/>
  <c r="A7284" i="79" s="1"/>
  <c r="A7285" i="79" s="1"/>
  <c r="A7286" i="79" s="1"/>
  <c r="A7287" i="79" s="1"/>
  <c r="A7288" i="79" s="1"/>
  <c r="A7289" i="79" s="1"/>
  <c r="A7290" i="79" s="1"/>
  <c r="A7291" i="79" s="1"/>
  <c r="A7292" i="79" s="1"/>
  <c r="A7293" i="79" s="1"/>
  <c r="A7294" i="79" s="1"/>
  <c r="A7295" i="79" s="1"/>
  <c r="A7296" i="79" s="1"/>
  <c r="A7297" i="79" s="1"/>
  <c r="A7298" i="79" s="1"/>
  <c r="A7299" i="79" s="1"/>
  <c r="A7300" i="79" s="1"/>
  <c r="A7301" i="79" s="1"/>
  <c r="A7302" i="79" s="1"/>
  <c r="A7303" i="79" s="1"/>
  <c r="A7304" i="79" s="1"/>
  <c r="A7305" i="79" s="1"/>
  <c r="A7306" i="79" s="1"/>
  <c r="A7307" i="79" s="1"/>
  <c r="A7308" i="79" s="1"/>
  <c r="A7309" i="79" s="1"/>
  <c r="A7310" i="79" s="1"/>
  <c r="A7311" i="79" s="1"/>
  <c r="A7312" i="79" s="1"/>
  <c r="A7313" i="79" s="1"/>
  <c r="A7314" i="79" s="1"/>
  <c r="A7315" i="79" s="1"/>
  <c r="A7316" i="79" s="1"/>
  <c r="A7317" i="79" s="1"/>
  <c r="A7318" i="79" s="1"/>
  <c r="A7319" i="79" s="1"/>
  <c r="A7320" i="79" s="1"/>
  <c r="A7321" i="79" s="1"/>
  <c r="A7322" i="79" s="1"/>
  <c r="A7323" i="79" s="1"/>
  <c r="A7324" i="79" s="1"/>
  <c r="A7325" i="79" s="1"/>
  <c r="A7326" i="79" s="1"/>
  <c r="A7327" i="79" s="1"/>
  <c r="A7328" i="79" s="1"/>
  <c r="A7329" i="79" s="1"/>
  <c r="A7330" i="79" s="1"/>
  <c r="A7331" i="79" s="1"/>
  <c r="A7332" i="79" s="1"/>
  <c r="A7333" i="79" s="1"/>
  <c r="A7334" i="79" s="1"/>
  <c r="A7335" i="79" s="1"/>
  <c r="A7336" i="79" s="1"/>
  <c r="A7337" i="79" s="1"/>
  <c r="A7338" i="79" s="1"/>
  <c r="A7339" i="79" s="1"/>
  <c r="A7340" i="79" s="1"/>
  <c r="A7341" i="79" s="1"/>
  <c r="A7342" i="79" s="1"/>
  <c r="A7343" i="79" s="1"/>
  <c r="A7344" i="79" s="1"/>
  <c r="A7345" i="79" s="1"/>
  <c r="A7346" i="79" s="1"/>
  <c r="A7347" i="79" s="1"/>
  <c r="A7348" i="79" s="1"/>
  <c r="A7349" i="79" s="1"/>
  <c r="A7350" i="79" s="1"/>
  <c r="A7351" i="79" s="1"/>
  <c r="A7352" i="79" s="1"/>
  <c r="A7353" i="79" s="1"/>
  <c r="A7354" i="79" s="1"/>
  <c r="A7355" i="79" s="1"/>
  <c r="A7356" i="79" s="1"/>
  <c r="A7357" i="79" s="1"/>
  <c r="A7358" i="79" s="1"/>
  <c r="A7359" i="79" s="1"/>
  <c r="A7360" i="79" s="1"/>
  <c r="A7361" i="79" s="1"/>
  <c r="A7362" i="79" s="1"/>
  <c r="A7363" i="79" s="1"/>
  <c r="A7364" i="79" s="1"/>
  <c r="A7365" i="79" s="1"/>
  <c r="A7366" i="79" s="1"/>
  <c r="A7367" i="79" s="1"/>
  <c r="A7368" i="79" s="1"/>
  <c r="A7369" i="79" s="1"/>
  <c r="A7370" i="79" s="1"/>
  <c r="A7371" i="79" s="1"/>
  <c r="A7372" i="79" s="1"/>
  <c r="A7373" i="79" s="1"/>
  <c r="A7374" i="79" s="1"/>
  <c r="A7375" i="79" s="1"/>
  <c r="A7376" i="79" s="1"/>
  <c r="A7377" i="79" s="1"/>
  <c r="A7378" i="79" s="1"/>
  <c r="A7379" i="79" s="1"/>
  <c r="A7380" i="79" s="1"/>
  <c r="A7381" i="79" s="1"/>
  <c r="A7382" i="79" s="1"/>
  <c r="A7383" i="79" s="1"/>
  <c r="A7384" i="79" s="1"/>
  <c r="A7385" i="79" s="1"/>
  <c r="A7386" i="79" s="1"/>
  <c r="A7387" i="79" s="1"/>
  <c r="A7388" i="79" s="1"/>
  <c r="A7389" i="79" s="1"/>
  <c r="A7390" i="79" s="1"/>
  <c r="A7391" i="79" s="1"/>
  <c r="A7392" i="79" s="1"/>
  <c r="A7393" i="79" s="1"/>
  <c r="A7394" i="79" s="1"/>
  <c r="A7395" i="79" s="1"/>
  <c r="A7396" i="79" s="1"/>
  <c r="A7397" i="79" s="1"/>
  <c r="A7398" i="79" s="1"/>
  <c r="A7399" i="79" s="1"/>
  <c r="A7400" i="79" s="1"/>
  <c r="A7401" i="79" s="1"/>
  <c r="A7402" i="79" s="1"/>
  <c r="A7403" i="79" s="1"/>
  <c r="A7404" i="79" s="1"/>
  <c r="A7405" i="79" s="1"/>
  <c r="A7406" i="79" s="1"/>
  <c r="A7407" i="79" s="1"/>
  <c r="A7408" i="79" s="1"/>
  <c r="A7409" i="79" s="1"/>
  <c r="A7410" i="79" s="1"/>
  <c r="A7411" i="79" s="1"/>
  <c r="A7412" i="79" s="1"/>
  <c r="A7413" i="79" s="1"/>
  <c r="A7414" i="79" s="1"/>
  <c r="A7415" i="79" s="1"/>
  <c r="A7416" i="79" s="1"/>
  <c r="A7417" i="79" s="1"/>
  <c r="A7418" i="79" s="1"/>
  <c r="A7419" i="79" s="1"/>
  <c r="A7420" i="79" s="1"/>
  <c r="A7421" i="79" s="1"/>
  <c r="A7422" i="79" s="1"/>
  <c r="A7423" i="79" s="1"/>
  <c r="A7424" i="79" s="1"/>
  <c r="A7425" i="79" s="1"/>
  <c r="A7426" i="79" s="1"/>
  <c r="A7427" i="79" s="1"/>
  <c r="A7428" i="79" s="1"/>
  <c r="A7429" i="79" s="1"/>
  <c r="A7430" i="79" s="1"/>
  <c r="A7431" i="79" s="1"/>
  <c r="A7432" i="79" s="1"/>
  <c r="A7433" i="79" s="1"/>
  <c r="A7434" i="79" s="1"/>
  <c r="A7435" i="79" s="1"/>
  <c r="A7436" i="79" s="1"/>
  <c r="A7437" i="79" s="1"/>
  <c r="A7438" i="79" s="1"/>
  <c r="A7439" i="79" s="1"/>
  <c r="A7440" i="79" s="1"/>
  <c r="A7441" i="79" s="1"/>
  <c r="A7442" i="79" s="1"/>
  <c r="A7443" i="79" s="1"/>
  <c r="A7444" i="79" s="1"/>
  <c r="A7445" i="79" s="1"/>
  <c r="A7446" i="79" s="1"/>
  <c r="A7447" i="79" s="1"/>
  <c r="A7448" i="79" s="1"/>
  <c r="A7449" i="79" s="1"/>
  <c r="A7450" i="79" s="1"/>
  <c r="A7451" i="79" s="1"/>
  <c r="A7452" i="79" s="1"/>
  <c r="A7453" i="79" s="1"/>
  <c r="A7454" i="79" s="1"/>
  <c r="A7455" i="79" s="1"/>
  <c r="A7456" i="79" s="1"/>
  <c r="A7457" i="79" s="1"/>
  <c r="A7458" i="79" s="1"/>
  <c r="A7459" i="79" s="1"/>
  <c r="A7460" i="79" s="1"/>
  <c r="A7461" i="79" s="1"/>
  <c r="A7462" i="79" s="1"/>
  <c r="A7463" i="79" s="1"/>
  <c r="A7464" i="79" s="1"/>
  <c r="A7465" i="79" s="1"/>
  <c r="A7466" i="79" s="1"/>
  <c r="A7467" i="79" s="1"/>
  <c r="A7468" i="79" s="1"/>
  <c r="A7469" i="79" s="1"/>
  <c r="A7470" i="79" s="1"/>
  <c r="A7471" i="79" s="1"/>
  <c r="A7472" i="79" s="1"/>
  <c r="A7473" i="79" s="1"/>
  <c r="A7474" i="79" s="1"/>
  <c r="A7475" i="79" s="1"/>
  <c r="A7476" i="79" s="1"/>
  <c r="A7477" i="79" s="1"/>
  <c r="A7478" i="79" s="1"/>
  <c r="A7479" i="79" s="1"/>
  <c r="A7480" i="79" s="1"/>
  <c r="A7481" i="79" s="1"/>
  <c r="A7482" i="79" s="1"/>
  <c r="A7483" i="79" s="1"/>
  <c r="A7484" i="79" s="1"/>
  <c r="A7485" i="79" s="1"/>
  <c r="A7486" i="79" s="1"/>
  <c r="A7487" i="79" s="1"/>
  <c r="A7488" i="79" s="1"/>
  <c r="A7489" i="79" s="1"/>
  <c r="A7490" i="79" s="1"/>
  <c r="A7491" i="79" s="1"/>
  <c r="A7492" i="79" s="1"/>
  <c r="A7493" i="79" s="1"/>
  <c r="A7494" i="79" s="1"/>
  <c r="A7495" i="79" s="1"/>
  <c r="A7496" i="79" s="1"/>
  <c r="A7497" i="79" s="1"/>
  <c r="A7498" i="79" s="1"/>
  <c r="A7499" i="79" s="1"/>
  <c r="A7500" i="79" s="1"/>
  <c r="A7501" i="79" s="1"/>
  <c r="A7502" i="79" s="1"/>
  <c r="A7503" i="79" s="1"/>
  <c r="A7504" i="79" s="1"/>
  <c r="A7505" i="79" s="1"/>
  <c r="A7506" i="79" s="1"/>
  <c r="A7507" i="79" s="1"/>
  <c r="A7508" i="79" s="1"/>
  <c r="A7509" i="79" s="1"/>
  <c r="A7510" i="79" s="1"/>
  <c r="A7511" i="79" s="1"/>
  <c r="A7512" i="79" s="1"/>
  <c r="A7513" i="79" s="1"/>
  <c r="A7514" i="79" s="1"/>
  <c r="A7515" i="79" s="1"/>
  <c r="A7516" i="79" s="1"/>
  <c r="A7517" i="79" s="1"/>
  <c r="A7518" i="79" s="1"/>
  <c r="A7519" i="79" s="1"/>
  <c r="A7520" i="79" s="1"/>
  <c r="A7521" i="79" s="1"/>
  <c r="A7522" i="79" s="1"/>
  <c r="A7523" i="79" s="1"/>
  <c r="A7524" i="79" s="1"/>
  <c r="A7525" i="79" s="1"/>
  <c r="A7526" i="79" s="1"/>
  <c r="A7527" i="79" s="1"/>
  <c r="A7528" i="79" s="1"/>
  <c r="A7529" i="79" s="1"/>
  <c r="A7530" i="79" s="1"/>
  <c r="A7531" i="79" s="1"/>
  <c r="A7532" i="79" s="1"/>
  <c r="A7533" i="79" s="1"/>
  <c r="A7534" i="79" s="1"/>
  <c r="A7535" i="79" s="1"/>
  <c r="A7536" i="79" s="1"/>
  <c r="A7537" i="79" s="1"/>
  <c r="A7538" i="79" s="1"/>
  <c r="A7539" i="79" s="1"/>
  <c r="A7540" i="79" s="1"/>
  <c r="A7541" i="79" s="1"/>
  <c r="A7542" i="79" s="1"/>
  <c r="A7543" i="79" s="1"/>
  <c r="A7544" i="79" s="1"/>
  <c r="A7545" i="79" s="1"/>
  <c r="A7546" i="79" s="1"/>
  <c r="A7547" i="79" s="1"/>
  <c r="A7548" i="79" s="1"/>
  <c r="A7549" i="79" s="1"/>
  <c r="A7550" i="79" s="1"/>
  <c r="A7551" i="79" s="1"/>
  <c r="A7552" i="79" s="1"/>
  <c r="A7553" i="79" s="1"/>
  <c r="A7554" i="79" s="1"/>
  <c r="A7555" i="79" s="1"/>
  <c r="A7556" i="79" s="1"/>
  <c r="A7557" i="79" s="1"/>
  <c r="A7558" i="79" s="1"/>
  <c r="A7559" i="79" s="1"/>
  <c r="A7560" i="79" s="1"/>
  <c r="A7561" i="79" s="1"/>
  <c r="A7562" i="79" s="1"/>
  <c r="A7563" i="79" s="1"/>
  <c r="A7564" i="79" s="1"/>
  <c r="A7565" i="79" s="1"/>
  <c r="A7566" i="79" s="1"/>
  <c r="A7567" i="79" s="1"/>
  <c r="A7568" i="79" s="1"/>
  <c r="A7569" i="79" s="1"/>
  <c r="A7570" i="79" s="1"/>
  <c r="A7571" i="79" s="1"/>
  <c r="A7572" i="79" s="1"/>
  <c r="A7573" i="79" s="1"/>
  <c r="A7574" i="79" s="1"/>
  <c r="A7575" i="79" s="1"/>
  <c r="A7576" i="79" s="1"/>
  <c r="A7577" i="79" s="1"/>
  <c r="A7578" i="79" s="1"/>
  <c r="A7579" i="79" s="1"/>
  <c r="A7580" i="79" s="1"/>
  <c r="A7581" i="79" s="1"/>
  <c r="A7582" i="79" s="1"/>
  <c r="A7583" i="79" s="1"/>
  <c r="A7584" i="79" s="1"/>
  <c r="A7585" i="79" s="1"/>
  <c r="A7586" i="79" s="1"/>
  <c r="A7587" i="79" s="1"/>
  <c r="A7588" i="79" s="1"/>
  <c r="A7589" i="79" s="1"/>
  <c r="A7590" i="79" s="1"/>
  <c r="A7591" i="79" s="1"/>
  <c r="A7592" i="79" s="1"/>
  <c r="A7593" i="79" s="1"/>
  <c r="A7594" i="79" s="1"/>
  <c r="A7595" i="79" s="1"/>
  <c r="A7596" i="79" s="1"/>
  <c r="A7597" i="79" s="1"/>
  <c r="A7598" i="79" s="1"/>
  <c r="A7599" i="79" s="1"/>
  <c r="A7600" i="79" s="1"/>
  <c r="A7601" i="79" s="1"/>
  <c r="A7602" i="79" s="1"/>
  <c r="A7603" i="79" s="1"/>
  <c r="A7604" i="79" s="1"/>
  <c r="A7605" i="79" s="1"/>
  <c r="A7606" i="79" s="1"/>
  <c r="A7607" i="79" s="1"/>
  <c r="A7608" i="79" s="1"/>
  <c r="A7609" i="79" s="1"/>
  <c r="A7610" i="79" s="1"/>
  <c r="A7611" i="79" s="1"/>
  <c r="A7612" i="79" s="1"/>
  <c r="A7613" i="79" s="1"/>
  <c r="A7614" i="79" s="1"/>
  <c r="A7615" i="79" s="1"/>
  <c r="A7616" i="79" s="1"/>
  <c r="A7617" i="79" s="1"/>
  <c r="A7618" i="79" s="1"/>
  <c r="A7619" i="79" s="1"/>
  <c r="A7620" i="79" s="1"/>
  <c r="A7621" i="79" s="1"/>
  <c r="A7622" i="79" s="1"/>
  <c r="A7623" i="79" s="1"/>
  <c r="A7624" i="79" s="1"/>
  <c r="A7625" i="79" s="1"/>
  <c r="A7626" i="79" s="1"/>
  <c r="A7627" i="79" s="1"/>
  <c r="A7628" i="79" s="1"/>
  <c r="A7629" i="79" s="1"/>
  <c r="A7630" i="79" s="1"/>
  <c r="A7631" i="79" s="1"/>
  <c r="A7632" i="79" s="1"/>
  <c r="A7633" i="79" s="1"/>
  <c r="A7634" i="79" s="1"/>
  <c r="A7635" i="79" s="1"/>
  <c r="A7636" i="79" s="1"/>
  <c r="A7637" i="79" s="1"/>
  <c r="A7638" i="79" s="1"/>
  <c r="A7639" i="79" s="1"/>
  <c r="A7640" i="79" s="1"/>
  <c r="A7641" i="79" s="1"/>
  <c r="A7642" i="79" s="1"/>
  <c r="A7643" i="79" s="1"/>
  <c r="A7644" i="79" s="1"/>
  <c r="A7645" i="79" s="1"/>
  <c r="A7646" i="79" s="1"/>
  <c r="A7647" i="79" s="1"/>
  <c r="A7648" i="79" s="1"/>
  <c r="A7649" i="79" s="1"/>
  <c r="A7650" i="79" s="1"/>
  <c r="A7651" i="79" s="1"/>
  <c r="A7652" i="79" s="1"/>
  <c r="A7653" i="79" s="1"/>
  <c r="A7654" i="79" s="1"/>
  <c r="A7655" i="79" s="1"/>
  <c r="A7656" i="79" s="1"/>
  <c r="A7657" i="79" s="1"/>
  <c r="A7658" i="79" s="1"/>
  <c r="A7659" i="79" s="1"/>
  <c r="A7660" i="79" s="1"/>
  <c r="A7661" i="79" s="1"/>
  <c r="A7662" i="79" s="1"/>
  <c r="A7663" i="79" s="1"/>
  <c r="A7664" i="79" s="1"/>
  <c r="A7665" i="79" s="1"/>
  <c r="A7666" i="79" s="1"/>
  <c r="A7667" i="79" s="1"/>
  <c r="A7668" i="79" s="1"/>
  <c r="A7669" i="79" s="1"/>
  <c r="A7670" i="79" s="1"/>
  <c r="A7671" i="79" s="1"/>
  <c r="A7672" i="79" s="1"/>
  <c r="A7673" i="79" s="1"/>
  <c r="A7674" i="79" s="1"/>
  <c r="A7675" i="79" s="1"/>
  <c r="A7676" i="79" s="1"/>
  <c r="A7677" i="79" s="1"/>
  <c r="A7678" i="79" s="1"/>
  <c r="A7679" i="79" s="1"/>
  <c r="A7680" i="79" s="1"/>
  <c r="A7681" i="79" s="1"/>
  <c r="A7682" i="79" s="1"/>
  <c r="A7683" i="79" s="1"/>
  <c r="A7684" i="79" s="1"/>
  <c r="A7685" i="79" s="1"/>
  <c r="A7686" i="79" s="1"/>
  <c r="A7687" i="79" s="1"/>
  <c r="A7688" i="79" s="1"/>
  <c r="A7689" i="79" s="1"/>
  <c r="A7690" i="79" s="1"/>
  <c r="A7691" i="79" s="1"/>
  <c r="A7692" i="79" s="1"/>
  <c r="A7693" i="79" s="1"/>
  <c r="A7694" i="79" s="1"/>
  <c r="A7695" i="79" s="1"/>
  <c r="A7696" i="79" s="1"/>
  <c r="A7697" i="79" s="1"/>
  <c r="A7698" i="79" s="1"/>
  <c r="A7699" i="79" s="1"/>
  <c r="A7700" i="79" s="1"/>
  <c r="A7701" i="79" s="1"/>
  <c r="A7702" i="79" s="1"/>
  <c r="A7703" i="79" s="1"/>
  <c r="A7704" i="79" s="1"/>
  <c r="A7705" i="79" s="1"/>
  <c r="A7706" i="79" s="1"/>
  <c r="A7707" i="79" s="1"/>
  <c r="A7708" i="79" s="1"/>
  <c r="A7709" i="79" s="1"/>
  <c r="A7710" i="79" s="1"/>
  <c r="A7711" i="79" s="1"/>
  <c r="A7712" i="79" s="1"/>
  <c r="A7713" i="79" s="1"/>
  <c r="A7714" i="79" s="1"/>
  <c r="A7715" i="79" s="1"/>
  <c r="A7716" i="79" s="1"/>
  <c r="A7717" i="79" s="1"/>
  <c r="A7718" i="79" s="1"/>
  <c r="A7719" i="79" s="1"/>
  <c r="A7720" i="79" s="1"/>
  <c r="A7721" i="79" s="1"/>
  <c r="A7722" i="79" s="1"/>
  <c r="A7723" i="79" s="1"/>
  <c r="A7724" i="79" s="1"/>
  <c r="A7725" i="79" s="1"/>
  <c r="A7726" i="79" s="1"/>
  <c r="A7727" i="79" s="1"/>
  <c r="A7728" i="79" s="1"/>
  <c r="A7729" i="79" s="1"/>
  <c r="A7730" i="79" s="1"/>
  <c r="A7731" i="79" s="1"/>
  <c r="A7732" i="79" s="1"/>
  <c r="A7733" i="79" s="1"/>
  <c r="A7734" i="79" s="1"/>
  <c r="A7735" i="79" s="1"/>
  <c r="A7736" i="79" s="1"/>
  <c r="A7737" i="79" s="1"/>
  <c r="A7738" i="79" s="1"/>
  <c r="A7739" i="79" s="1"/>
  <c r="A7740" i="79" s="1"/>
  <c r="A7741" i="79" s="1"/>
  <c r="A7742" i="79" s="1"/>
  <c r="A7743" i="79" s="1"/>
  <c r="A7744" i="79" s="1"/>
  <c r="A7745" i="79" s="1"/>
  <c r="A7746" i="79" s="1"/>
  <c r="A7747" i="79" s="1"/>
  <c r="A7748" i="79" s="1"/>
  <c r="A7749" i="79" s="1"/>
  <c r="A7750" i="79" s="1"/>
  <c r="A7751" i="79" s="1"/>
  <c r="A7752" i="79" s="1"/>
  <c r="A7753" i="79" s="1"/>
  <c r="A7754" i="79" s="1"/>
  <c r="A7755" i="79" s="1"/>
  <c r="A7756" i="79" s="1"/>
  <c r="A7757" i="79" s="1"/>
  <c r="A7758" i="79" s="1"/>
  <c r="A7759" i="79" s="1"/>
  <c r="A7760" i="79" s="1"/>
  <c r="A7761" i="79" s="1"/>
  <c r="A7762" i="79" s="1"/>
  <c r="A7763" i="79" s="1"/>
  <c r="A7764" i="79" s="1"/>
  <c r="A7765" i="79" s="1"/>
  <c r="A7766" i="79" s="1"/>
  <c r="A7767" i="79" s="1"/>
  <c r="A7768" i="79" s="1"/>
  <c r="A7769" i="79" s="1"/>
  <c r="A7770" i="79" s="1"/>
  <c r="A7771" i="79" s="1"/>
  <c r="A7772" i="79" s="1"/>
  <c r="A7773" i="79" s="1"/>
  <c r="A7774" i="79" s="1"/>
  <c r="A7775" i="79" s="1"/>
  <c r="A7776" i="79" s="1"/>
  <c r="A7777" i="79" s="1"/>
  <c r="A7778" i="79" s="1"/>
  <c r="A7779" i="79" s="1"/>
  <c r="A7780" i="79" s="1"/>
  <c r="A7781" i="79" s="1"/>
  <c r="A7782" i="79" s="1"/>
  <c r="A7783" i="79" s="1"/>
  <c r="A7784" i="79" s="1"/>
  <c r="A7785" i="79" s="1"/>
  <c r="A7786" i="79" s="1"/>
  <c r="A7787" i="79" s="1"/>
  <c r="A7788" i="79" s="1"/>
  <c r="A7789" i="79" s="1"/>
  <c r="A7790" i="79" s="1"/>
  <c r="A7791" i="79" s="1"/>
  <c r="A7792" i="79" s="1"/>
  <c r="A7793" i="79" s="1"/>
  <c r="A7794" i="79" s="1"/>
  <c r="A7795" i="79" s="1"/>
  <c r="A7796" i="79" s="1"/>
  <c r="A7797" i="79" s="1"/>
  <c r="A7798" i="79" s="1"/>
  <c r="A7799" i="79" s="1"/>
  <c r="A7800" i="79" s="1"/>
  <c r="A7801" i="79" s="1"/>
  <c r="A7802" i="79" s="1"/>
  <c r="A7803" i="79" s="1"/>
  <c r="A7804" i="79" s="1"/>
  <c r="A7805" i="79" s="1"/>
  <c r="A7806" i="79" s="1"/>
  <c r="A7807" i="79" s="1"/>
  <c r="A7808" i="79" s="1"/>
  <c r="A7809" i="79" s="1"/>
  <c r="A7810" i="79" s="1"/>
  <c r="A7811" i="79" s="1"/>
  <c r="A7812" i="79" s="1"/>
  <c r="A7813" i="79" s="1"/>
  <c r="A7814" i="79" s="1"/>
  <c r="A7815" i="79" s="1"/>
  <c r="A7816" i="79" s="1"/>
  <c r="A7817" i="79" s="1"/>
  <c r="A7818" i="79" s="1"/>
  <c r="A7819" i="79" s="1"/>
  <c r="A7820" i="79" s="1"/>
  <c r="A7821" i="79" s="1"/>
  <c r="A7822" i="79" s="1"/>
  <c r="A7823" i="79" s="1"/>
  <c r="A7824" i="79" s="1"/>
  <c r="A7825" i="79" s="1"/>
  <c r="A7826" i="79" s="1"/>
  <c r="A7827" i="79" s="1"/>
  <c r="A7828" i="79" s="1"/>
  <c r="A7829" i="79" s="1"/>
  <c r="A7830" i="79" s="1"/>
  <c r="A7831" i="79" s="1"/>
  <c r="A7832" i="79" s="1"/>
  <c r="A7833" i="79" s="1"/>
  <c r="A7834" i="79" s="1"/>
  <c r="A7835" i="79" s="1"/>
  <c r="A7836" i="79" s="1"/>
  <c r="A7837" i="79" s="1"/>
  <c r="A7838" i="79" s="1"/>
  <c r="A7839" i="79" s="1"/>
  <c r="A7840" i="79" s="1"/>
  <c r="A7841" i="79" s="1"/>
  <c r="A7842" i="79" s="1"/>
  <c r="A7843" i="79" s="1"/>
  <c r="A7844" i="79" s="1"/>
  <c r="A7845" i="79" s="1"/>
  <c r="A7846" i="79" s="1"/>
  <c r="A7847" i="79" s="1"/>
  <c r="A7848" i="79" s="1"/>
  <c r="A7849" i="79" s="1"/>
  <c r="A7850" i="79" s="1"/>
  <c r="A7851" i="79" s="1"/>
  <c r="A7852" i="79" s="1"/>
  <c r="A7853" i="79" s="1"/>
  <c r="A7854" i="79" s="1"/>
  <c r="A7855" i="79" s="1"/>
  <c r="A7856" i="79" s="1"/>
  <c r="A7857" i="79" s="1"/>
  <c r="A7858" i="79" s="1"/>
  <c r="A7859" i="79" s="1"/>
  <c r="A7860" i="79" s="1"/>
  <c r="A7861" i="79" s="1"/>
  <c r="A7862" i="79" s="1"/>
  <c r="A7863" i="79" s="1"/>
  <c r="A7864" i="79" s="1"/>
  <c r="A7865" i="79" s="1"/>
  <c r="A7866" i="79" s="1"/>
  <c r="A7867" i="79" s="1"/>
  <c r="A7868" i="79" s="1"/>
  <c r="A7869" i="79" s="1"/>
  <c r="A7870" i="79" s="1"/>
  <c r="A7871" i="79" s="1"/>
  <c r="A7872" i="79" s="1"/>
  <c r="A7873" i="79" s="1"/>
  <c r="A7874" i="79" s="1"/>
  <c r="A7875" i="79" s="1"/>
  <c r="A7876" i="79" s="1"/>
  <c r="A7877" i="79" s="1"/>
  <c r="A7878" i="79" s="1"/>
  <c r="A7879" i="79" s="1"/>
  <c r="A7880" i="79" s="1"/>
  <c r="A7881" i="79" s="1"/>
  <c r="A7882" i="79" s="1"/>
  <c r="A7883" i="79" s="1"/>
  <c r="A7884" i="79" s="1"/>
  <c r="A7885" i="79" s="1"/>
  <c r="A7886" i="79" s="1"/>
  <c r="A7887" i="79" s="1"/>
  <c r="A7888" i="79" s="1"/>
  <c r="A7889" i="79" s="1"/>
  <c r="A7890" i="79" s="1"/>
  <c r="A7891" i="79" s="1"/>
  <c r="A7892" i="79" s="1"/>
  <c r="A7893" i="79" s="1"/>
  <c r="A7894" i="79" s="1"/>
  <c r="A7895" i="79" s="1"/>
  <c r="A7896" i="79" s="1"/>
  <c r="A7897" i="79" s="1"/>
  <c r="A7898" i="79" s="1"/>
  <c r="A7899" i="79" s="1"/>
  <c r="A7900" i="79" s="1"/>
  <c r="A7901" i="79" s="1"/>
  <c r="A7902" i="79" s="1"/>
  <c r="A7903" i="79" s="1"/>
  <c r="A7904" i="79" s="1"/>
  <c r="A7905" i="79" s="1"/>
  <c r="A7906" i="79" s="1"/>
  <c r="A7907" i="79" s="1"/>
  <c r="A7908" i="79" s="1"/>
  <c r="A7909" i="79" s="1"/>
  <c r="A7910" i="79" s="1"/>
  <c r="A7911" i="79" s="1"/>
  <c r="A7912" i="79" s="1"/>
  <c r="A7913" i="79" s="1"/>
  <c r="A7914" i="79" s="1"/>
  <c r="A7915" i="79" s="1"/>
  <c r="A7916" i="79" s="1"/>
  <c r="A7917" i="79" s="1"/>
  <c r="A7918" i="79" s="1"/>
  <c r="A7919" i="79" s="1"/>
  <c r="A7920" i="79" s="1"/>
  <c r="A7921" i="79" s="1"/>
  <c r="A7922" i="79" s="1"/>
  <c r="A7923" i="79" s="1"/>
  <c r="A7924" i="79" s="1"/>
  <c r="A7925" i="79" s="1"/>
  <c r="A7926" i="79" s="1"/>
  <c r="A7927" i="79" s="1"/>
  <c r="A7928" i="79" s="1"/>
  <c r="A7929" i="79" s="1"/>
  <c r="A7930" i="79" s="1"/>
  <c r="A7931" i="79" s="1"/>
  <c r="A7932" i="79" s="1"/>
  <c r="A7933" i="79" s="1"/>
  <c r="A7934" i="79" s="1"/>
  <c r="A7935" i="79" s="1"/>
  <c r="A7936" i="79" s="1"/>
  <c r="A7937" i="79" s="1"/>
  <c r="A7938" i="79" s="1"/>
  <c r="A7939" i="79" s="1"/>
  <c r="A7940" i="79" s="1"/>
  <c r="A7941" i="79" s="1"/>
  <c r="A7942" i="79" s="1"/>
  <c r="A7943" i="79" s="1"/>
  <c r="A7944" i="79" s="1"/>
  <c r="A7945" i="79" s="1"/>
  <c r="A7946" i="79" s="1"/>
  <c r="A7947" i="79" s="1"/>
  <c r="A7948" i="79" s="1"/>
  <c r="A7949" i="79" s="1"/>
  <c r="A7950" i="79" s="1"/>
  <c r="A7951" i="79" s="1"/>
  <c r="A7952" i="79" s="1"/>
  <c r="A7953" i="79" s="1"/>
  <c r="A7954" i="79" s="1"/>
  <c r="A7955" i="79" s="1"/>
  <c r="A7956" i="79" s="1"/>
  <c r="A7957" i="79" s="1"/>
  <c r="A7958" i="79" s="1"/>
  <c r="A7959" i="79" s="1"/>
  <c r="A7960" i="79" s="1"/>
  <c r="A7961" i="79" s="1"/>
  <c r="A7962" i="79" s="1"/>
  <c r="A7963" i="79" s="1"/>
  <c r="A7964" i="79" s="1"/>
  <c r="A7965" i="79" s="1"/>
  <c r="A7966" i="79" s="1"/>
  <c r="A7967" i="79" s="1"/>
  <c r="A7968" i="79" s="1"/>
  <c r="A7969" i="79" s="1"/>
  <c r="A7970" i="79" s="1"/>
  <c r="A7971" i="79" s="1"/>
  <c r="A7972" i="79" s="1"/>
  <c r="A7973" i="79" s="1"/>
  <c r="A7974" i="79" s="1"/>
  <c r="A7975" i="79" s="1"/>
  <c r="A7976" i="79" s="1"/>
  <c r="A7977" i="79" s="1"/>
  <c r="A7978" i="79" s="1"/>
  <c r="A7979" i="79" s="1"/>
  <c r="A7980" i="79" s="1"/>
  <c r="A7981" i="79" s="1"/>
  <c r="A7982" i="79" s="1"/>
  <c r="A7983" i="79" s="1"/>
  <c r="A7984" i="79" s="1"/>
  <c r="A7985" i="79" s="1"/>
  <c r="A7986" i="79" s="1"/>
  <c r="A7987" i="79" s="1"/>
  <c r="A7988" i="79" s="1"/>
  <c r="A7989" i="79" s="1"/>
  <c r="A7990" i="79" s="1"/>
  <c r="A7991" i="79" s="1"/>
  <c r="A7992" i="79" s="1"/>
  <c r="A7993" i="79" s="1"/>
  <c r="A7994" i="79" s="1"/>
  <c r="A7995" i="79" s="1"/>
  <c r="A7996" i="79" s="1"/>
  <c r="A7997" i="79" s="1"/>
  <c r="A7998" i="79" s="1"/>
  <c r="A7999" i="79" s="1"/>
  <c r="A8000" i="79" s="1"/>
  <c r="A8001" i="79" s="1"/>
  <c r="A8002" i="79" s="1"/>
  <c r="A8003" i="79" s="1"/>
  <c r="A8004" i="79" s="1"/>
  <c r="A8005" i="79" s="1"/>
  <c r="A8006" i="79" s="1"/>
  <c r="A8007" i="79" s="1"/>
  <c r="A8008" i="79" s="1"/>
  <c r="A8009" i="79" s="1"/>
  <c r="A8010" i="79" s="1"/>
  <c r="A8011" i="79" s="1"/>
  <c r="A8012" i="79" s="1"/>
  <c r="A8013" i="79" s="1"/>
  <c r="A8014" i="79" s="1"/>
  <c r="A8015" i="79" s="1"/>
  <c r="A8016" i="79" s="1"/>
  <c r="A8017" i="79" s="1"/>
  <c r="A8018" i="79" s="1"/>
  <c r="A8019" i="79" s="1"/>
  <c r="A8020" i="79" s="1"/>
  <c r="A8021" i="79" s="1"/>
  <c r="A8022" i="79" s="1"/>
  <c r="A8023" i="79" s="1"/>
  <c r="A8024" i="79" s="1"/>
  <c r="A8025" i="79" s="1"/>
  <c r="A8026" i="79" s="1"/>
  <c r="A8027" i="79" s="1"/>
  <c r="A8028" i="79" s="1"/>
  <c r="A8029" i="79" s="1"/>
  <c r="A8030" i="79" s="1"/>
  <c r="A8031" i="79" s="1"/>
  <c r="A8032" i="79" s="1"/>
  <c r="A8033" i="79" s="1"/>
  <c r="A8034" i="79" s="1"/>
  <c r="A8035" i="79" s="1"/>
  <c r="A8036" i="79" s="1"/>
  <c r="A8037" i="79" s="1"/>
  <c r="A8038" i="79" s="1"/>
  <c r="A8039" i="79" s="1"/>
  <c r="A8040" i="79" s="1"/>
  <c r="A8041" i="79" s="1"/>
  <c r="A8042" i="79" s="1"/>
  <c r="A8043" i="79" s="1"/>
  <c r="A8044" i="79" s="1"/>
  <c r="A8045" i="79" s="1"/>
  <c r="A8046" i="79" s="1"/>
  <c r="A8047" i="79" s="1"/>
  <c r="A8048" i="79" s="1"/>
  <c r="A8049" i="79" s="1"/>
  <c r="A8050" i="79" s="1"/>
  <c r="A8051" i="79" s="1"/>
  <c r="A8052" i="79" s="1"/>
  <c r="A8053" i="79" s="1"/>
  <c r="A8054" i="79" s="1"/>
  <c r="A8055" i="79" s="1"/>
  <c r="A8056" i="79" s="1"/>
  <c r="A8057" i="79" s="1"/>
  <c r="A8058" i="79" s="1"/>
  <c r="A8059" i="79" s="1"/>
  <c r="A8060" i="79" s="1"/>
  <c r="A8061" i="79" s="1"/>
  <c r="A8062" i="79" s="1"/>
  <c r="A8063" i="79" s="1"/>
  <c r="A8064" i="79" s="1"/>
  <c r="A8065" i="79" s="1"/>
  <c r="A8066" i="79" s="1"/>
  <c r="A8067" i="79" s="1"/>
  <c r="A8068" i="79" s="1"/>
  <c r="A8069" i="79" s="1"/>
  <c r="A8070" i="79" s="1"/>
  <c r="A8071" i="79" s="1"/>
  <c r="A8072" i="79" s="1"/>
  <c r="A8073" i="79" s="1"/>
  <c r="A8074" i="79" s="1"/>
  <c r="A8075" i="79" s="1"/>
  <c r="A8076" i="79" s="1"/>
  <c r="A8077" i="79" s="1"/>
  <c r="A8078" i="79" s="1"/>
  <c r="A8079" i="79" s="1"/>
  <c r="A8080" i="79" s="1"/>
  <c r="A8081" i="79" s="1"/>
  <c r="A8082" i="79" s="1"/>
  <c r="A8083" i="79" s="1"/>
  <c r="A8084" i="79" s="1"/>
  <c r="A8085" i="79" s="1"/>
  <c r="A8086" i="79" s="1"/>
  <c r="A8087" i="79" s="1"/>
  <c r="A8088" i="79" s="1"/>
  <c r="A8089" i="79" s="1"/>
  <c r="A8090" i="79" s="1"/>
  <c r="A8091" i="79" s="1"/>
  <c r="A8092" i="79" s="1"/>
  <c r="A8093" i="79" s="1"/>
  <c r="A8094" i="79" s="1"/>
  <c r="A8095" i="79" s="1"/>
  <c r="A8096" i="79" s="1"/>
  <c r="A8097" i="79" s="1"/>
  <c r="A8098" i="79" s="1"/>
  <c r="A8099" i="79" s="1"/>
  <c r="A8100" i="79" s="1"/>
  <c r="A8101" i="79" s="1"/>
  <c r="A8102" i="79" s="1"/>
  <c r="A8103" i="79" s="1"/>
  <c r="A8104" i="79" s="1"/>
  <c r="A8105" i="79" s="1"/>
  <c r="A8106" i="79" s="1"/>
  <c r="A8107" i="79" s="1"/>
  <c r="A8108" i="79" s="1"/>
  <c r="A8109" i="79" s="1"/>
  <c r="A8110" i="79" s="1"/>
  <c r="A8111" i="79" s="1"/>
  <c r="A8112" i="79" s="1"/>
  <c r="A8113" i="79" s="1"/>
  <c r="A8114" i="79" s="1"/>
  <c r="A8115" i="79" s="1"/>
  <c r="A8116" i="79" s="1"/>
  <c r="A8117" i="79" s="1"/>
  <c r="A8118" i="79" s="1"/>
  <c r="A8119" i="79" s="1"/>
  <c r="A8120" i="79" s="1"/>
  <c r="A8121" i="79" s="1"/>
  <c r="A8122" i="79" s="1"/>
  <c r="A8123" i="79" s="1"/>
  <c r="A8124" i="79" s="1"/>
  <c r="A8125" i="79" s="1"/>
  <c r="A8126" i="79" s="1"/>
  <c r="A8127" i="79" s="1"/>
  <c r="A8128" i="79" s="1"/>
  <c r="A8129" i="79" s="1"/>
  <c r="A8130" i="79" s="1"/>
  <c r="A8131" i="79" s="1"/>
  <c r="A8132" i="79" s="1"/>
  <c r="A8133" i="79" s="1"/>
  <c r="A8134" i="79" s="1"/>
  <c r="A8135" i="79" s="1"/>
  <c r="A8136" i="79" s="1"/>
  <c r="A8137" i="79" s="1"/>
  <c r="A8138" i="79" s="1"/>
  <c r="A8139" i="79" s="1"/>
  <c r="A8140" i="79" s="1"/>
  <c r="A8141" i="79" s="1"/>
  <c r="A8142" i="79" s="1"/>
  <c r="A8143" i="79" s="1"/>
  <c r="A8144" i="79" s="1"/>
  <c r="A8145" i="79" s="1"/>
  <c r="A8146" i="79" s="1"/>
  <c r="A8147" i="79" s="1"/>
  <c r="A8148" i="79" s="1"/>
  <c r="A8149" i="79" s="1"/>
  <c r="A8150" i="79" s="1"/>
  <c r="A8151" i="79" s="1"/>
  <c r="A8152" i="79" s="1"/>
  <c r="A8153" i="79" s="1"/>
  <c r="A8154" i="79" s="1"/>
  <c r="A8155" i="79" s="1"/>
  <c r="A8156" i="79" s="1"/>
  <c r="A8157" i="79" s="1"/>
  <c r="A8158" i="79" s="1"/>
  <c r="A8159" i="79" s="1"/>
  <c r="A8160" i="79" s="1"/>
  <c r="A8161" i="79" s="1"/>
  <c r="A8162" i="79" s="1"/>
  <c r="A8163" i="79" s="1"/>
  <c r="A8164" i="79" s="1"/>
  <c r="A8165" i="79" s="1"/>
  <c r="A8166" i="79" s="1"/>
  <c r="A8167" i="79" s="1"/>
  <c r="A8168" i="79" s="1"/>
  <c r="A8169" i="79" s="1"/>
  <c r="A8170" i="79" s="1"/>
  <c r="A8171" i="79" s="1"/>
  <c r="A8172" i="79" s="1"/>
  <c r="A8173" i="79" s="1"/>
  <c r="A8174" i="79" s="1"/>
  <c r="A8175" i="79" s="1"/>
  <c r="A8176" i="79" s="1"/>
  <c r="A8177" i="79" s="1"/>
  <c r="A8178" i="79" s="1"/>
  <c r="A8179" i="79" s="1"/>
  <c r="A8180" i="79" s="1"/>
  <c r="A8181" i="79" s="1"/>
  <c r="A8182" i="79" s="1"/>
  <c r="A8183" i="79" s="1"/>
  <c r="A8184" i="79" s="1"/>
  <c r="A8185" i="79" s="1"/>
  <c r="A8186" i="79" s="1"/>
  <c r="A8187" i="79" s="1"/>
  <c r="A8188" i="79" s="1"/>
  <c r="A8189" i="79" s="1"/>
  <c r="A8190" i="79" s="1"/>
  <c r="A8191" i="79" s="1"/>
  <c r="A8192" i="79" s="1"/>
  <c r="A8193" i="79" s="1"/>
  <c r="A8194" i="79" s="1"/>
  <c r="A8195" i="79" s="1"/>
  <c r="A8196" i="79" s="1"/>
  <c r="A8197" i="79" s="1"/>
  <c r="A8198" i="79" s="1"/>
  <c r="A8199" i="79" s="1"/>
  <c r="A8200" i="79" s="1"/>
  <c r="A8201" i="79" s="1"/>
  <c r="A8202" i="79" s="1"/>
  <c r="A8203" i="79" s="1"/>
  <c r="A8204" i="79" s="1"/>
  <c r="A8205" i="79" s="1"/>
  <c r="A8206" i="79" s="1"/>
  <c r="A8207" i="79" s="1"/>
  <c r="A8208" i="79" s="1"/>
  <c r="A8209" i="79" s="1"/>
  <c r="A8210" i="79" s="1"/>
  <c r="A8211" i="79" s="1"/>
  <c r="A8212" i="79" s="1"/>
  <c r="A8213" i="79" s="1"/>
  <c r="A8214" i="79" s="1"/>
  <c r="A8215" i="79" s="1"/>
  <c r="A8216" i="79" s="1"/>
  <c r="A8217" i="79" s="1"/>
  <c r="A8218" i="79" s="1"/>
  <c r="A8219" i="79" s="1"/>
  <c r="A8220" i="79" s="1"/>
  <c r="A8221" i="79" s="1"/>
  <c r="A8222" i="79" s="1"/>
  <c r="A8223" i="79" s="1"/>
  <c r="A8224" i="79" s="1"/>
  <c r="A8225" i="79" s="1"/>
  <c r="A8226" i="79" s="1"/>
  <c r="A8227" i="79" s="1"/>
  <c r="A8228" i="79" s="1"/>
  <c r="A8229" i="79" s="1"/>
  <c r="A8230" i="79" s="1"/>
  <c r="A8231" i="79" s="1"/>
  <c r="A8232" i="79" s="1"/>
  <c r="A8233" i="79" s="1"/>
  <c r="A8234" i="79" s="1"/>
  <c r="A8235" i="79" s="1"/>
  <c r="A8236" i="79" s="1"/>
  <c r="A8237" i="79" s="1"/>
  <c r="A8238" i="79" s="1"/>
  <c r="A8239" i="79" s="1"/>
  <c r="A8240" i="79" s="1"/>
  <c r="A8241" i="79" s="1"/>
  <c r="A8242" i="79" s="1"/>
  <c r="A8243" i="79" s="1"/>
  <c r="A8244" i="79" s="1"/>
  <c r="A8245" i="79" s="1"/>
  <c r="A8246" i="79" s="1"/>
  <c r="A8247" i="79" s="1"/>
  <c r="A8248" i="79" s="1"/>
  <c r="A8249" i="79" s="1"/>
  <c r="A8250" i="79" s="1"/>
  <c r="A8251" i="79" s="1"/>
  <c r="A8252" i="79" s="1"/>
  <c r="A8253" i="79" s="1"/>
  <c r="A8254" i="79" s="1"/>
  <c r="A8255" i="79" s="1"/>
  <c r="A8256" i="79" s="1"/>
  <c r="A8257" i="79" s="1"/>
  <c r="A8258" i="79" s="1"/>
  <c r="A8259" i="79" s="1"/>
  <c r="A8260" i="79" s="1"/>
  <c r="A8261" i="79" s="1"/>
  <c r="A8262" i="79" s="1"/>
  <c r="A8263" i="79" s="1"/>
  <c r="A8264" i="79" s="1"/>
  <c r="A8265" i="79" s="1"/>
  <c r="A8266" i="79" s="1"/>
  <c r="A8267" i="79" s="1"/>
  <c r="A8268" i="79" s="1"/>
  <c r="A8269" i="79" s="1"/>
  <c r="A8270" i="79" s="1"/>
  <c r="A8271" i="79" s="1"/>
  <c r="A8272" i="79" s="1"/>
  <c r="A8273" i="79" s="1"/>
  <c r="A8274" i="79" s="1"/>
  <c r="A8275" i="79" s="1"/>
  <c r="A8276" i="79" s="1"/>
  <c r="A8277" i="79" s="1"/>
  <c r="A8278" i="79" s="1"/>
  <c r="A8279" i="79" s="1"/>
  <c r="A8280" i="79" s="1"/>
  <c r="A8281" i="79" s="1"/>
  <c r="A8282" i="79" s="1"/>
  <c r="A8283" i="79" s="1"/>
  <c r="A8284" i="79" s="1"/>
  <c r="A8285" i="79" s="1"/>
  <c r="A8286" i="79" s="1"/>
  <c r="A8287" i="79" s="1"/>
  <c r="A8288" i="79" s="1"/>
  <c r="A8289" i="79" s="1"/>
  <c r="A8290" i="79" s="1"/>
  <c r="A8291" i="79" s="1"/>
  <c r="A8292" i="79" s="1"/>
  <c r="A8293" i="79" s="1"/>
  <c r="A8294" i="79" s="1"/>
  <c r="A8295" i="79" s="1"/>
  <c r="A8296" i="79" s="1"/>
  <c r="A8297" i="79" s="1"/>
  <c r="A8298" i="79" s="1"/>
  <c r="A8299" i="79" s="1"/>
  <c r="A8300" i="79" s="1"/>
  <c r="A8301" i="79" s="1"/>
  <c r="A8302" i="79" s="1"/>
  <c r="A8303" i="79" s="1"/>
  <c r="A8304" i="79" s="1"/>
  <c r="A8305" i="79" s="1"/>
  <c r="A8306" i="79" s="1"/>
  <c r="A8307" i="79" s="1"/>
  <c r="A8308" i="79" s="1"/>
  <c r="A8309" i="79" s="1"/>
  <c r="A8310" i="79" s="1"/>
  <c r="A8311" i="79" s="1"/>
  <c r="A8312" i="79" s="1"/>
  <c r="A8313" i="79" s="1"/>
  <c r="A8314" i="79" s="1"/>
  <c r="A8315" i="79" s="1"/>
  <c r="A8316" i="79" s="1"/>
  <c r="A8317" i="79" s="1"/>
  <c r="A8318" i="79" s="1"/>
  <c r="A8319" i="79" s="1"/>
  <c r="A8320" i="79" s="1"/>
  <c r="A8321" i="79" s="1"/>
  <c r="A8322" i="79" s="1"/>
  <c r="A8323" i="79" s="1"/>
  <c r="A8324" i="79" s="1"/>
  <c r="A8325" i="79" s="1"/>
  <c r="A8326" i="79" s="1"/>
  <c r="A8327" i="79" s="1"/>
  <c r="A8328" i="79" s="1"/>
  <c r="A8329" i="79" s="1"/>
  <c r="A8330" i="79" s="1"/>
  <c r="A8331" i="79" s="1"/>
  <c r="A8332" i="79" s="1"/>
  <c r="A8333" i="79" s="1"/>
  <c r="A8334" i="79" s="1"/>
  <c r="A8335" i="79" s="1"/>
  <c r="A8336" i="79" s="1"/>
  <c r="A8337" i="79" s="1"/>
  <c r="A8338" i="79" s="1"/>
  <c r="A8339" i="79" s="1"/>
  <c r="A8340" i="79" s="1"/>
  <c r="A8341" i="79" s="1"/>
  <c r="A8342" i="79" s="1"/>
  <c r="A8343" i="79" s="1"/>
  <c r="A8344" i="79" s="1"/>
  <c r="A8345" i="79" s="1"/>
  <c r="A8346" i="79" s="1"/>
  <c r="A8347" i="79" s="1"/>
  <c r="A8348" i="79" s="1"/>
  <c r="A8349" i="79" s="1"/>
  <c r="A8350" i="79" s="1"/>
  <c r="A8351" i="79" s="1"/>
  <c r="A8352" i="79" s="1"/>
  <c r="A8353" i="79" s="1"/>
  <c r="A8354" i="79" s="1"/>
  <c r="A8355" i="79" s="1"/>
  <c r="A8356" i="79" s="1"/>
  <c r="A8357" i="79" s="1"/>
  <c r="A8358" i="79" s="1"/>
  <c r="A8359" i="79" s="1"/>
  <c r="A8360" i="79" s="1"/>
  <c r="A8361" i="79" s="1"/>
  <c r="A8362" i="79" s="1"/>
  <c r="A8363" i="79" s="1"/>
  <c r="A8364" i="79" s="1"/>
  <c r="A8365" i="79" s="1"/>
  <c r="A8366" i="79" s="1"/>
  <c r="A8367" i="79" s="1"/>
  <c r="A8368" i="79" s="1"/>
  <c r="A8369" i="79" s="1"/>
  <c r="A8370" i="79" s="1"/>
  <c r="A8371" i="79" s="1"/>
  <c r="A8372" i="79" s="1"/>
  <c r="A8373" i="79" s="1"/>
  <c r="A8374" i="79" s="1"/>
  <c r="A8375" i="79" s="1"/>
  <c r="A8376" i="79" s="1"/>
  <c r="A8377" i="79" s="1"/>
  <c r="A8378" i="79" s="1"/>
  <c r="A8379" i="79" s="1"/>
  <c r="A8380" i="79" s="1"/>
  <c r="A8381" i="79" s="1"/>
  <c r="A8382" i="79" s="1"/>
  <c r="A8383" i="79" s="1"/>
  <c r="A8384" i="79" s="1"/>
  <c r="A8385" i="79" s="1"/>
  <c r="A8386" i="79" s="1"/>
  <c r="A8387" i="79" s="1"/>
  <c r="A8388" i="79" s="1"/>
  <c r="A8389" i="79" s="1"/>
  <c r="A8390" i="79" s="1"/>
  <c r="A8391" i="79" s="1"/>
  <c r="A8392" i="79" s="1"/>
  <c r="A8393" i="79" s="1"/>
  <c r="A8394" i="79" s="1"/>
  <c r="A8395" i="79" s="1"/>
  <c r="A8396" i="79" s="1"/>
  <c r="A8397" i="79" s="1"/>
  <c r="A8398" i="79" s="1"/>
  <c r="A8399" i="79" s="1"/>
  <c r="A8400" i="79" s="1"/>
  <c r="A8401" i="79" s="1"/>
  <c r="A8402" i="79" s="1"/>
  <c r="A8403" i="79" s="1"/>
  <c r="A8404" i="79" s="1"/>
  <c r="A8405" i="79" s="1"/>
  <c r="A8406" i="79" s="1"/>
  <c r="A8407" i="79" s="1"/>
  <c r="A8408" i="79" s="1"/>
  <c r="A8409" i="79" s="1"/>
  <c r="A8410" i="79" s="1"/>
  <c r="A8411" i="79" s="1"/>
  <c r="A8412" i="79" s="1"/>
  <c r="A8413" i="79" s="1"/>
  <c r="A8414" i="79" s="1"/>
  <c r="A8415" i="79" s="1"/>
  <c r="A8416" i="79" s="1"/>
  <c r="A8417" i="79" s="1"/>
  <c r="A8418" i="79" s="1"/>
  <c r="A8419" i="79" s="1"/>
  <c r="A8420" i="79" s="1"/>
  <c r="A8421" i="79" s="1"/>
  <c r="A8422" i="79" s="1"/>
  <c r="A8423" i="79" s="1"/>
  <c r="A8424" i="79" s="1"/>
  <c r="A8425" i="79" s="1"/>
  <c r="A8426" i="79" s="1"/>
  <c r="A8427" i="79" s="1"/>
  <c r="A8428" i="79" s="1"/>
  <c r="A8429" i="79" s="1"/>
  <c r="A8430" i="79" s="1"/>
  <c r="A8431" i="79" s="1"/>
  <c r="A8432" i="79" s="1"/>
  <c r="A8433" i="79" s="1"/>
  <c r="A8434" i="79" s="1"/>
  <c r="A8435" i="79" s="1"/>
  <c r="A8436" i="79" s="1"/>
  <c r="A8437" i="79" s="1"/>
  <c r="A8438" i="79" s="1"/>
  <c r="A8439" i="79" s="1"/>
  <c r="A8440" i="79" s="1"/>
  <c r="A8441" i="79" s="1"/>
  <c r="A8442" i="79" s="1"/>
  <c r="A8443" i="79" s="1"/>
  <c r="A8444" i="79" s="1"/>
  <c r="A8445" i="79" s="1"/>
  <c r="A8446" i="79" s="1"/>
  <c r="A8447" i="79" s="1"/>
  <c r="A8448" i="79" s="1"/>
  <c r="A8449" i="79" s="1"/>
  <c r="A8450" i="79" s="1"/>
  <c r="A8451" i="79" s="1"/>
  <c r="A8452" i="79" s="1"/>
  <c r="A8453" i="79" s="1"/>
  <c r="A8454" i="79" s="1"/>
  <c r="A8455" i="79" s="1"/>
  <c r="A8456" i="79" s="1"/>
  <c r="A8457" i="79" s="1"/>
  <c r="A8458" i="79" s="1"/>
  <c r="A8459" i="79" s="1"/>
  <c r="A8460" i="79" s="1"/>
  <c r="A8461" i="79" s="1"/>
  <c r="A8462" i="79" s="1"/>
  <c r="A8463" i="79" s="1"/>
  <c r="A8464" i="79" s="1"/>
  <c r="A8465" i="79" s="1"/>
  <c r="A8466" i="79" s="1"/>
  <c r="A8467" i="79" s="1"/>
  <c r="A8468" i="79" s="1"/>
  <c r="A8469" i="79" s="1"/>
  <c r="A8470" i="79" s="1"/>
  <c r="A8471" i="79" s="1"/>
  <c r="A8472" i="79" s="1"/>
  <c r="A8473" i="79" s="1"/>
  <c r="A8474" i="79" s="1"/>
  <c r="A8475" i="79" s="1"/>
  <c r="A8476" i="79" s="1"/>
  <c r="A8477" i="79" s="1"/>
  <c r="A8478" i="79" s="1"/>
  <c r="A8479" i="79" s="1"/>
  <c r="A8480" i="79" s="1"/>
  <c r="A8481" i="79" s="1"/>
  <c r="A8482" i="79" s="1"/>
  <c r="A8483" i="79" s="1"/>
  <c r="A8484" i="79" s="1"/>
  <c r="A8485" i="79" s="1"/>
  <c r="A8486" i="79" s="1"/>
  <c r="A8487" i="79" s="1"/>
  <c r="A8488" i="79" s="1"/>
  <c r="A8489" i="79" s="1"/>
  <c r="A8490" i="79" s="1"/>
  <c r="A8491" i="79" s="1"/>
  <c r="A8492" i="79" s="1"/>
  <c r="A8493" i="79" s="1"/>
  <c r="A8494" i="79" s="1"/>
  <c r="A8495" i="79" s="1"/>
  <c r="A8496" i="79" s="1"/>
  <c r="A8497" i="79" s="1"/>
  <c r="A8498" i="79" s="1"/>
  <c r="A8499" i="79" s="1"/>
  <c r="A8500" i="79" s="1"/>
  <c r="A8501" i="79" s="1"/>
  <c r="A8502" i="79" s="1"/>
  <c r="A8503" i="79" s="1"/>
  <c r="A8504" i="79" s="1"/>
  <c r="A8505" i="79" s="1"/>
  <c r="A8506" i="79" s="1"/>
  <c r="A8507" i="79" s="1"/>
  <c r="A8508" i="79" s="1"/>
  <c r="A8509" i="79" s="1"/>
  <c r="A8510" i="79" s="1"/>
  <c r="A8511" i="79" s="1"/>
  <c r="A8512" i="79" s="1"/>
  <c r="A8513" i="79" s="1"/>
  <c r="A8514" i="79" s="1"/>
  <c r="A8515" i="79" s="1"/>
  <c r="A8516" i="79" s="1"/>
  <c r="A8517" i="79" s="1"/>
  <c r="A8518" i="79" s="1"/>
  <c r="A8519" i="79" s="1"/>
  <c r="A8520" i="79" s="1"/>
  <c r="A8521" i="79" s="1"/>
  <c r="A8522" i="79" s="1"/>
  <c r="A8523" i="79" s="1"/>
  <c r="A8524" i="79" s="1"/>
  <c r="A8525" i="79" s="1"/>
  <c r="A8526" i="79" s="1"/>
  <c r="A8527" i="79" s="1"/>
  <c r="A8528" i="79" s="1"/>
  <c r="A8529" i="79" s="1"/>
  <c r="A8530" i="79" s="1"/>
  <c r="A8531" i="79" s="1"/>
  <c r="A8532" i="79" s="1"/>
  <c r="A8533" i="79" s="1"/>
  <c r="A8534" i="79" s="1"/>
  <c r="A8535" i="79" s="1"/>
  <c r="A8536" i="79" s="1"/>
  <c r="A8537" i="79" s="1"/>
  <c r="A8538" i="79" s="1"/>
  <c r="A8539" i="79" s="1"/>
  <c r="A8540" i="79" s="1"/>
  <c r="A8541" i="79" s="1"/>
  <c r="A8542" i="79" s="1"/>
  <c r="A8543" i="79" s="1"/>
  <c r="A8544" i="79" s="1"/>
  <c r="A8545" i="79" s="1"/>
  <c r="A8546" i="79" s="1"/>
  <c r="A8547" i="79" s="1"/>
  <c r="A8548" i="79" s="1"/>
  <c r="A8549" i="79" s="1"/>
  <c r="A8550" i="79" s="1"/>
  <c r="A8551" i="79" s="1"/>
  <c r="A8552" i="79" s="1"/>
  <c r="A8553" i="79" s="1"/>
  <c r="A8554" i="79" s="1"/>
  <c r="A8555" i="79" s="1"/>
  <c r="A8556" i="79" s="1"/>
  <c r="A8557" i="79" s="1"/>
  <c r="A8558" i="79" s="1"/>
  <c r="A8559" i="79" s="1"/>
  <c r="A8560" i="79" s="1"/>
  <c r="A8561" i="79" s="1"/>
  <c r="A8562" i="79" s="1"/>
  <c r="A8563" i="79" s="1"/>
  <c r="A8564" i="79" s="1"/>
  <c r="A8565" i="79" s="1"/>
  <c r="A8566" i="79" s="1"/>
  <c r="A8567" i="79" s="1"/>
  <c r="A8568" i="79" s="1"/>
  <c r="A8569" i="79" s="1"/>
  <c r="A8570" i="79" s="1"/>
  <c r="A8571" i="79" s="1"/>
  <c r="A8572" i="79" s="1"/>
  <c r="A8573" i="79" s="1"/>
  <c r="A8574" i="79" s="1"/>
  <c r="A8575" i="79" s="1"/>
  <c r="A8576" i="79" s="1"/>
  <c r="A8577" i="79" s="1"/>
  <c r="A8578" i="79" s="1"/>
  <c r="A8579" i="79" s="1"/>
  <c r="A8580" i="79" s="1"/>
  <c r="A8581" i="79" s="1"/>
  <c r="A8582" i="79" s="1"/>
  <c r="A8583" i="79" s="1"/>
  <c r="A8584" i="79" s="1"/>
  <c r="A8585" i="79" s="1"/>
  <c r="A8586" i="79" s="1"/>
  <c r="A8587" i="79" s="1"/>
  <c r="A8588" i="79" s="1"/>
  <c r="A8589" i="79" s="1"/>
  <c r="A8590" i="79" s="1"/>
  <c r="A8591" i="79" s="1"/>
  <c r="A8592" i="79" s="1"/>
  <c r="A8593" i="79" s="1"/>
  <c r="A8594" i="79" s="1"/>
  <c r="A8595" i="79" s="1"/>
  <c r="A8596" i="79" s="1"/>
  <c r="A8597" i="79" s="1"/>
  <c r="A8598" i="79" s="1"/>
  <c r="A8599" i="79" s="1"/>
  <c r="A8600" i="79" s="1"/>
  <c r="A8601" i="79" s="1"/>
  <c r="A8602" i="79" s="1"/>
  <c r="A8603" i="79" s="1"/>
  <c r="A8604" i="79" s="1"/>
  <c r="A8605" i="79" s="1"/>
  <c r="A8606" i="79" s="1"/>
  <c r="A8607" i="79" s="1"/>
  <c r="A8608" i="79" s="1"/>
  <c r="A8609" i="79" s="1"/>
  <c r="A8610" i="79" s="1"/>
  <c r="A8611" i="79" s="1"/>
  <c r="A8612" i="79" s="1"/>
  <c r="A8613" i="79" s="1"/>
  <c r="A8614" i="79" s="1"/>
  <c r="A8615" i="79" s="1"/>
  <c r="A8616" i="79" s="1"/>
  <c r="A8617" i="79" s="1"/>
  <c r="A8618" i="79" s="1"/>
  <c r="A8619" i="79" s="1"/>
  <c r="A8620" i="79" s="1"/>
  <c r="A8621" i="79" s="1"/>
  <c r="A8622" i="79" s="1"/>
  <c r="A8623" i="79" s="1"/>
  <c r="A8624" i="79" s="1"/>
  <c r="A8625" i="79" s="1"/>
  <c r="A8626" i="79" s="1"/>
  <c r="A8627" i="79" s="1"/>
  <c r="A8628" i="79" s="1"/>
  <c r="A8629" i="79" s="1"/>
  <c r="A8630" i="79" s="1"/>
  <c r="A8631" i="79" s="1"/>
  <c r="A8632" i="79" s="1"/>
  <c r="A8633" i="79" s="1"/>
  <c r="A8634" i="79" s="1"/>
  <c r="A8635" i="79" s="1"/>
  <c r="A8636" i="79" s="1"/>
  <c r="A8637" i="79" s="1"/>
  <c r="A8638" i="79" s="1"/>
  <c r="A8639" i="79" s="1"/>
  <c r="A8640" i="79" s="1"/>
  <c r="A8641" i="79" s="1"/>
  <c r="A8642" i="79" s="1"/>
  <c r="A8643" i="79" s="1"/>
  <c r="A8644" i="79" s="1"/>
  <c r="A8645" i="79" s="1"/>
  <c r="A8646" i="79" s="1"/>
  <c r="A8647" i="79" s="1"/>
  <c r="A8648" i="79" s="1"/>
  <c r="A8649" i="79" s="1"/>
  <c r="A8650" i="79" s="1"/>
  <c r="A8651" i="79" s="1"/>
  <c r="A8652" i="79" s="1"/>
  <c r="A8653" i="79" s="1"/>
  <c r="A8654" i="79" s="1"/>
  <c r="A8655" i="79" s="1"/>
  <c r="A8656" i="79" s="1"/>
  <c r="A8657" i="79" s="1"/>
  <c r="A8658" i="79" s="1"/>
  <c r="A8659" i="79" s="1"/>
  <c r="A8660" i="79" s="1"/>
  <c r="A8661" i="79" s="1"/>
  <c r="A8662" i="79" s="1"/>
  <c r="A8663" i="79" s="1"/>
  <c r="A8664" i="79" s="1"/>
  <c r="A8665" i="79" s="1"/>
  <c r="A8666" i="79" s="1"/>
  <c r="A8667" i="79" s="1"/>
  <c r="A8668" i="79" s="1"/>
  <c r="A8669" i="79" s="1"/>
  <c r="A8670" i="79" s="1"/>
  <c r="A8671" i="79" s="1"/>
  <c r="A8672" i="79" s="1"/>
  <c r="A8673" i="79" s="1"/>
  <c r="A8674" i="79" s="1"/>
  <c r="A8675" i="79" s="1"/>
  <c r="A8676" i="79" s="1"/>
  <c r="A8677" i="79" s="1"/>
  <c r="A8678" i="79" s="1"/>
  <c r="A8679" i="79" s="1"/>
  <c r="A8680" i="79" s="1"/>
  <c r="A8681" i="79" s="1"/>
  <c r="A8682" i="79" s="1"/>
  <c r="A8683" i="79" s="1"/>
  <c r="A8684" i="79" s="1"/>
  <c r="A8685" i="79" s="1"/>
  <c r="A8686" i="79" s="1"/>
  <c r="A8687" i="79" s="1"/>
  <c r="A8688" i="79" s="1"/>
  <c r="A8689" i="79" s="1"/>
  <c r="A8690" i="79" s="1"/>
  <c r="A8691" i="79" s="1"/>
  <c r="A8692" i="79" s="1"/>
  <c r="A8693" i="79" s="1"/>
  <c r="A8694" i="79" s="1"/>
  <c r="A8695" i="79" s="1"/>
  <c r="A8696" i="79" s="1"/>
  <c r="A8697" i="79" s="1"/>
  <c r="A8698" i="79" s="1"/>
  <c r="A8699" i="79" s="1"/>
  <c r="A8700" i="79" s="1"/>
  <c r="A8701" i="79" s="1"/>
  <c r="A8702" i="79" s="1"/>
  <c r="A8703" i="79" s="1"/>
  <c r="A8704" i="79" s="1"/>
  <c r="A8705" i="79" s="1"/>
  <c r="A8706" i="79" s="1"/>
  <c r="A8707" i="79" s="1"/>
  <c r="A8708" i="79" s="1"/>
  <c r="A8709" i="79" s="1"/>
  <c r="A8710" i="79" s="1"/>
  <c r="A8711" i="79" s="1"/>
  <c r="A8712" i="79" s="1"/>
  <c r="A8713" i="79" s="1"/>
  <c r="A8714" i="79" s="1"/>
  <c r="A8715" i="79" s="1"/>
  <c r="A8716" i="79" s="1"/>
  <c r="A8717" i="79" s="1"/>
  <c r="A8718" i="79" s="1"/>
  <c r="A8719" i="79" s="1"/>
  <c r="A8720" i="79" s="1"/>
  <c r="A8721" i="79" s="1"/>
  <c r="A8722" i="79" s="1"/>
  <c r="A8723" i="79" s="1"/>
  <c r="A8724" i="79" s="1"/>
  <c r="A8725" i="79" s="1"/>
  <c r="A8726" i="79" s="1"/>
  <c r="A8727" i="79" s="1"/>
  <c r="A8728" i="79" s="1"/>
  <c r="A8729" i="79" s="1"/>
  <c r="A8730" i="79" s="1"/>
  <c r="A8731" i="79" s="1"/>
  <c r="A8732" i="79" s="1"/>
  <c r="A8733" i="79" s="1"/>
  <c r="A8734" i="79" s="1"/>
  <c r="A8735" i="79" s="1"/>
  <c r="A8736" i="79" s="1"/>
  <c r="A8737" i="79" s="1"/>
  <c r="A8738" i="79" s="1"/>
  <c r="A8739" i="79" s="1"/>
  <c r="A8740" i="79" s="1"/>
  <c r="A8741" i="79" s="1"/>
  <c r="A8742" i="79" s="1"/>
  <c r="A8743" i="79" s="1"/>
  <c r="A8744" i="79" s="1"/>
  <c r="A8745" i="79" s="1"/>
  <c r="A8746" i="79" s="1"/>
  <c r="A8747" i="79" s="1"/>
  <c r="A8748" i="79" s="1"/>
  <c r="A8749" i="79" s="1"/>
  <c r="A8750" i="79" s="1"/>
  <c r="A8751" i="79" s="1"/>
  <c r="A8752" i="79" s="1"/>
  <c r="A8753" i="79" s="1"/>
  <c r="A8754" i="79" s="1"/>
  <c r="A8755" i="79" s="1"/>
  <c r="A8756" i="79" s="1"/>
  <c r="A8757" i="79" s="1"/>
  <c r="A8758" i="79" s="1"/>
  <c r="A8759" i="79" s="1"/>
  <c r="A8760" i="79" s="1"/>
  <c r="A8761" i="79" s="1"/>
  <c r="A8762" i="79" s="1"/>
  <c r="A8763" i="79" s="1"/>
  <c r="A8764" i="79" s="1"/>
  <c r="A8765" i="79" s="1"/>
  <c r="A8766" i="79" s="1"/>
  <c r="A8767" i="79" s="1"/>
  <c r="A8768" i="79" s="1"/>
  <c r="A8769" i="79" s="1"/>
  <c r="A8770" i="79" s="1"/>
  <c r="A8771" i="79" s="1"/>
  <c r="A8772" i="79" s="1"/>
  <c r="A8773" i="79" s="1"/>
  <c r="A8774" i="79" s="1"/>
  <c r="A8775" i="79" s="1"/>
  <c r="A8776" i="79" s="1"/>
  <c r="A8777" i="79" s="1"/>
  <c r="A8778" i="79" s="1"/>
  <c r="A8779" i="79" s="1"/>
  <c r="A8780" i="79" s="1"/>
  <c r="A8781" i="79" s="1"/>
  <c r="A8782" i="79" s="1"/>
  <c r="A8783" i="79" s="1"/>
  <c r="A8784" i="79" s="1"/>
  <c r="A8785" i="79" s="1"/>
  <c r="A8786" i="79" s="1"/>
  <c r="A8787" i="79" s="1"/>
  <c r="A8788" i="79" s="1"/>
  <c r="A8789" i="79" s="1"/>
  <c r="A8790" i="79" s="1"/>
  <c r="A8791" i="79" s="1"/>
  <c r="A8792" i="79" s="1"/>
  <c r="A8793" i="79" s="1"/>
  <c r="A8794" i="79" s="1"/>
  <c r="A8795" i="79" s="1"/>
  <c r="A8796" i="79" s="1"/>
  <c r="A8797" i="79" s="1"/>
  <c r="A8798" i="79" s="1"/>
  <c r="A8799" i="79" s="1"/>
  <c r="A8800" i="79" s="1"/>
  <c r="A8801" i="79" s="1"/>
  <c r="A8802" i="79" s="1"/>
  <c r="A8803" i="79" s="1"/>
  <c r="A8804" i="79" s="1"/>
  <c r="A8805" i="79" s="1"/>
  <c r="A8806" i="79" s="1"/>
  <c r="A8807" i="79" s="1"/>
  <c r="A8808" i="79" s="1"/>
  <c r="A8809" i="79" s="1"/>
  <c r="A8810" i="79" s="1"/>
  <c r="A8811" i="79" s="1"/>
  <c r="A8812" i="79" s="1"/>
  <c r="A8813" i="79" s="1"/>
  <c r="A8814" i="79" s="1"/>
  <c r="A8815" i="79" s="1"/>
  <c r="A8816" i="79" s="1"/>
  <c r="A8817" i="79" s="1"/>
  <c r="A8818" i="79" s="1"/>
  <c r="A8819" i="79" s="1"/>
  <c r="A8820" i="79" s="1"/>
  <c r="A8821" i="79" s="1"/>
  <c r="A8822" i="79" s="1"/>
  <c r="A8823" i="79" s="1"/>
  <c r="A8824" i="79" s="1"/>
  <c r="A8825" i="79" s="1"/>
  <c r="A8826" i="79" s="1"/>
  <c r="A8827" i="79" s="1"/>
  <c r="A8828" i="79" s="1"/>
  <c r="A8829" i="79" s="1"/>
  <c r="A8830" i="79" s="1"/>
  <c r="A8831" i="79" s="1"/>
  <c r="A8832" i="79" s="1"/>
  <c r="A8833" i="79" s="1"/>
  <c r="A8834" i="79" s="1"/>
  <c r="A8835" i="79" s="1"/>
  <c r="A8836" i="79" s="1"/>
  <c r="A8837" i="79" s="1"/>
  <c r="A8838" i="79" s="1"/>
  <c r="A8839" i="79" s="1"/>
  <c r="A8840" i="79" s="1"/>
  <c r="A8841" i="79" s="1"/>
  <c r="A8842" i="79" s="1"/>
  <c r="A8843" i="79" s="1"/>
  <c r="A8844" i="79" s="1"/>
  <c r="A8845" i="79" s="1"/>
  <c r="A8846" i="79" s="1"/>
  <c r="A8847" i="79" s="1"/>
  <c r="A8848" i="79" s="1"/>
  <c r="A8849" i="79" s="1"/>
  <c r="A8850" i="79" s="1"/>
  <c r="A8851" i="79" s="1"/>
  <c r="A8852" i="79" s="1"/>
  <c r="A8853" i="79" s="1"/>
  <c r="A8854" i="79" s="1"/>
  <c r="A8855" i="79" s="1"/>
  <c r="A8856" i="79" s="1"/>
  <c r="A8857" i="79" s="1"/>
  <c r="A8858" i="79" s="1"/>
  <c r="A8859" i="79" s="1"/>
  <c r="A8860" i="79" s="1"/>
  <c r="A8861" i="79" s="1"/>
  <c r="A8862" i="79" s="1"/>
  <c r="A8863" i="79" s="1"/>
  <c r="A8864" i="79" s="1"/>
  <c r="A8865" i="79" s="1"/>
  <c r="A8866" i="79" s="1"/>
  <c r="A8867" i="79" s="1"/>
  <c r="A8868" i="79" s="1"/>
  <c r="A8869" i="79" s="1"/>
  <c r="A8870" i="79" s="1"/>
  <c r="A8871" i="79" s="1"/>
  <c r="A8872" i="79" s="1"/>
  <c r="A8873" i="79" s="1"/>
  <c r="A8874" i="79" s="1"/>
  <c r="A8875" i="79" s="1"/>
  <c r="A8876" i="79" s="1"/>
  <c r="A8877" i="79" s="1"/>
  <c r="A8878" i="79" s="1"/>
  <c r="A8879" i="79" s="1"/>
  <c r="A8880" i="79" s="1"/>
  <c r="A8881" i="79" s="1"/>
  <c r="A8882" i="79" s="1"/>
  <c r="A8883" i="79" s="1"/>
  <c r="A8884" i="79" s="1"/>
  <c r="A8885" i="79" s="1"/>
  <c r="A8886" i="79" s="1"/>
  <c r="A8887" i="79" s="1"/>
  <c r="A8888" i="79" s="1"/>
  <c r="A8889" i="79" s="1"/>
  <c r="A8890" i="79" s="1"/>
  <c r="A8891" i="79" s="1"/>
  <c r="A8892" i="79" s="1"/>
  <c r="A8893" i="79" s="1"/>
  <c r="A8894" i="79" s="1"/>
  <c r="A8895" i="79" s="1"/>
  <c r="A8896" i="79" s="1"/>
  <c r="A8897" i="79" s="1"/>
  <c r="A8898" i="79" s="1"/>
  <c r="A8899" i="79" s="1"/>
  <c r="A8900" i="79" s="1"/>
  <c r="A8901" i="79" s="1"/>
  <c r="A8902" i="79" s="1"/>
  <c r="A8903" i="79" s="1"/>
  <c r="A8904" i="79" s="1"/>
  <c r="A8905" i="79" s="1"/>
  <c r="A8906" i="79" s="1"/>
  <c r="A8907" i="79" s="1"/>
  <c r="A8908" i="79" s="1"/>
  <c r="A8909" i="79" s="1"/>
  <c r="A8910" i="79" s="1"/>
  <c r="A8911" i="79" s="1"/>
  <c r="A8912" i="79" s="1"/>
  <c r="A8913" i="79" s="1"/>
  <c r="A8914" i="79" s="1"/>
  <c r="A8915" i="79" s="1"/>
  <c r="A8916" i="79" s="1"/>
  <c r="A8917" i="79" s="1"/>
  <c r="A8918" i="79" s="1"/>
  <c r="A8919" i="79" s="1"/>
  <c r="A8920" i="79" s="1"/>
  <c r="A8921" i="79" s="1"/>
  <c r="A8922" i="79" s="1"/>
  <c r="A8923" i="79" s="1"/>
  <c r="A8924" i="79" s="1"/>
  <c r="A8925" i="79" s="1"/>
  <c r="A8926" i="79" s="1"/>
  <c r="A8927" i="79" s="1"/>
  <c r="A8928" i="79" s="1"/>
  <c r="A8929" i="79" s="1"/>
  <c r="A8930" i="79" s="1"/>
  <c r="A8931" i="79" s="1"/>
  <c r="A8932" i="79" s="1"/>
  <c r="A8933" i="79" s="1"/>
  <c r="A8934" i="79" s="1"/>
  <c r="A8935" i="79" s="1"/>
  <c r="A8936" i="79" s="1"/>
  <c r="A8937" i="79" s="1"/>
  <c r="A8938" i="79" s="1"/>
  <c r="A8939" i="79" s="1"/>
  <c r="A8940" i="79" s="1"/>
  <c r="A8941" i="79" s="1"/>
  <c r="A8942" i="79" s="1"/>
  <c r="A8943" i="79" s="1"/>
  <c r="A8944" i="79" s="1"/>
  <c r="A8945" i="79" s="1"/>
  <c r="A8946" i="79" s="1"/>
  <c r="A8947" i="79" s="1"/>
  <c r="A8948" i="79" s="1"/>
  <c r="A8949" i="79" s="1"/>
  <c r="A8950" i="79" s="1"/>
  <c r="A8951" i="79" s="1"/>
  <c r="A8952" i="79" s="1"/>
  <c r="A8953" i="79" s="1"/>
  <c r="A8954" i="79" s="1"/>
  <c r="A8955" i="79" s="1"/>
  <c r="A8956" i="79" s="1"/>
  <c r="A8957" i="79" s="1"/>
  <c r="A8958" i="79" s="1"/>
  <c r="A8959" i="79" s="1"/>
  <c r="A8960" i="79" s="1"/>
  <c r="A8961" i="79" s="1"/>
  <c r="A8962" i="79" s="1"/>
  <c r="A8963" i="79" s="1"/>
  <c r="A8964" i="79" s="1"/>
  <c r="A8965" i="79" s="1"/>
  <c r="A8966" i="79" s="1"/>
  <c r="A8967" i="79" s="1"/>
  <c r="A8968" i="79" s="1"/>
  <c r="A8969" i="79" s="1"/>
  <c r="A8970" i="79" s="1"/>
  <c r="A8971" i="79" s="1"/>
  <c r="A8972" i="79" s="1"/>
  <c r="A8973" i="79" s="1"/>
  <c r="A8974" i="79" s="1"/>
  <c r="A8975" i="79" s="1"/>
  <c r="A8976" i="79" s="1"/>
  <c r="A8977" i="79" s="1"/>
  <c r="A8978" i="79" s="1"/>
  <c r="A8979" i="79" s="1"/>
  <c r="A8980" i="79" s="1"/>
  <c r="A8981" i="79" s="1"/>
  <c r="A8982" i="79" s="1"/>
  <c r="A8983" i="79" s="1"/>
  <c r="A8984" i="79" s="1"/>
  <c r="A8985" i="79" s="1"/>
  <c r="A8986" i="79" s="1"/>
  <c r="A8987" i="79" s="1"/>
  <c r="A8988" i="79" s="1"/>
  <c r="A8989" i="79" s="1"/>
  <c r="A8990" i="79" s="1"/>
  <c r="A8991" i="79" s="1"/>
  <c r="A8992" i="79" s="1"/>
  <c r="A8993" i="79" s="1"/>
  <c r="A8994" i="79" s="1"/>
  <c r="A8995" i="79" s="1"/>
  <c r="A8996" i="79" s="1"/>
  <c r="A8997" i="79" s="1"/>
  <c r="A8998" i="79" s="1"/>
  <c r="A8999" i="79" s="1"/>
  <c r="A9000" i="79" s="1"/>
  <c r="A9001" i="79" s="1"/>
  <c r="A9002" i="79" s="1"/>
  <c r="A9003" i="79" s="1"/>
  <c r="A9004" i="79" s="1"/>
  <c r="A9005" i="79" s="1"/>
  <c r="A9006" i="79" s="1"/>
  <c r="A9007" i="79" s="1"/>
  <c r="A9008" i="79" s="1"/>
  <c r="A9009" i="79" s="1"/>
  <c r="A9010" i="79" s="1"/>
  <c r="A9011" i="79" s="1"/>
  <c r="A9012" i="79" s="1"/>
  <c r="A9013" i="79" s="1"/>
  <c r="A9014" i="79" s="1"/>
  <c r="A9015" i="79" s="1"/>
  <c r="A9016" i="79" s="1"/>
  <c r="A9017" i="79" s="1"/>
  <c r="A9018" i="79" s="1"/>
  <c r="A9019" i="79" s="1"/>
  <c r="A9020" i="79" s="1"/>
  <c r="A9021" i="79" s="1"/>
  <c r="A9022" i="79" s="1"/>
  <c r="A9023" i="79" s="1"/>
  <c r="A9024" i="79" s="1"/>
  <c r="A9025" i="79" s="1"/>
  <c r="A9026" i="79" s="1"/>
  <c r="A9027" i="79" s="1"/>
  <c r="A9028" i="79" s="1"/>
  <c r="A9029" i="79" s="1"/>
  <c r="A9030" i="79" s="1"/>
  <c r="A9031" i="79" s="1"/>
  <c r="A9032" i="79" s="1"/>
  <c r="A9033" i="79" s="1"/>
  <c r="A9034" i="79" s="1"/>
  <c r="A9035" i="79" s="1"/>
  <c r="A9036" i="79" s="1"/>
  <c r="A9037" i="79" s="1"/>
  <c r="A9038" i="79" s="1"/>
  <c r="A9039" i="79" s="1"/>
  <c r="A9040" i="79" s="1"/>
  <c r="A9041" i="79" s="1"/>
  <c r="A9042" i="79" s="1"/>
  <c r="A9043" i="79" s="1"/>
  <c r="A9044" i="79" s="1"/>
  <c r="A9045" i="79" s="1"/>
  <c r="A9046" i="79" s="1"/>
  <c r="A9047" i="79" s="1"/>
  <c r="A9048" i="79" s="1"/>
  <c r="A9049" i="79" s="1"/>
  <c r="A9050" i="79" s="1"/>
  <c r="A9051" i="79" s="1"/>
  <c r="A9052" i="79" s="1"/>
  <c r="A9053" i="79" s="1"/>
  <c r="A9054" i="79" s="1"/>
  <c r="A9055" i="79" s="1"/>
  <c r="A9056" i="79" s="1"/>
  <c r="A9057" i="79" s="1"/>
  <c r="A9058" i="79" s="1"/>
  <c r="A9059" i="79" s="1"/>
  <c r="A9060" i="79" s="1"/>
  <c r="A9061" i="79" s="1"/>
  <c r="A9062" i="79" s="1"/>
  <c r="A9063" i="79" s="1"/>
  <c r="A9064" i="79" s="1"/>
  <c r="A9065" i="79" s="1"/>
  <c r="A9066" i="79" s="1"/>
  <c r="A9067" i="79" s="1"/>
  <c r="A9068" i="79" s="1"/>
  <c r="A9069" i="79" s="1"/>
  <c r="A9070" i="79" s="1"/>
  <c r="A9071" i="79" s="1"/>
  <c r="A9072" i="79" s="1"/>
  <c r="A9073" i="79" s="1"/>
  <c r="A9074" i="79" s="1"/>
  <c r="A9075" i="79" s="1"/>
  <c r="A9076" i="79" s="1"/>
  <c r="A9077" i="79" s="1"/>
  <c r="A9078" i="79" s="1"/>
  <c r="A9079" i="79" s="1"/>
  <c r="A9080" i="79" s="1"/>
  <c r="A9081" i="79" s="1"/>
  <c r="A9082" i="79" s="1"/>
  <c r="A9083" i="79" s="1"/>
  <c r="A9084" i="79" s="1"/>
  <c r="A9085" i="79" s="1"/>
  <c r="A9086" i="79" s="1"/>
  <c r="A9087" i="79" s="1"/>
  <c r="A9088" i="79" s="1"/>
  <c r="A9089" i="79" s="1"/>
  <c r="A9090" i="79" s="1"/>
  <c r="A9091" i="79" s="1"/>
  <c r="A9092" i="79" s="1"/>
  <c r="A9093" i="79" s="1"/>
  <c r="A9094" i="79" s="1"/>
  <c r="A9095" i="79" s="1"/>
  <c r="A9096" i="79" s="1"/>
  <c r="A9097" i="79" s="1"/>
  <c r="A9098" i="79" s="1"/>
  <c r="A9099" i="79" s="1"/>
  <c r="A9100" i="79" s="1"/>
  <c r="A9101" i="79" s="1"/>
  <c r="A9102" i="79" s="1"/>
  <c r="A9103" i="79" s="1"/>
  <c r="A9104" i="79" s="1"/>
  <c r="A9105" i="79" s="1"/>
  <c r="A9106" i="79" s="1"/>
  <c r="A9107" i="79" s="1"/>
  <c r="A9108" i="79" s="1"/>
  <c r="A9109" i="79" s="1"/>
  <c r="A9110" i="79" s="1"/>
  <c r="A9111" i="79" s="1"/>
  <c r="A9112" i="79" s="1"/>
  <c r="A9113" i="79" s="1"/>
  <c r="A9114" i="79" s="1"/>
  <c r="A9115" i="79" s="1"/>
  <c r="A9116" i="79" s="1"/>
  <c r="A9117" i="79" s="1"/>
  <c r="A9118" i="79" s="1"/>
  <c r="A9119" i="79" s="1"/>
  <c r="A9120" i="79" s="1"/>
  <c r="A9121" i="79" s="1"/>
  <c r="A9122" i="79" s="1"/>
  <c r="A9123" i="79" s="1"/>
  <c r="A9124" i="79" s="1"/>
  <c r="A9125" i="79" s="1"/>
  <c r="A9126" i="79" s="1"/>
  <c r="A9127" i="79" s="1"/>
  <c r="A9128" i="79" s="1"/>
  <c r="A9129" i="79" s="1"/>
  <c r="A9130" i="79" s="1"/>
  <c r="A9131" i="79" s="1"/>
  <c r="A9132" i="79" s="1"/>
  <c r="A9133" i="79" s="1"/>
  <c r="A9134" i="79" s="1"/>
  <c r="A9135" i="79" s="1"/>
  <c r="A9136" i="79" s="1"/>
  <c r="A9137" i="79" s="1"/>
  <c r="A9138" i="79" s="1"/>
  <c r="A9139" i="79" s="1"/>
  <c r="A9140" i="79" s="1"/>
  <c r="A9141" i="79" s="1"/>
  <c r="A9142" i="79" s="1"/>
  <c r="A9143" i="79" s="1"/>
  <c r="A9144" i="79" s="1"/>
  <c r="A9145" i="79" s="1"/>
  <c r="A9146" i="79" s="1"/>
  <c r="A9147" i="79" s="1"/>
  <c r="A9148" i="79" s="1"/>
  <c r="A9149" i="79" s="1"/>
  <c r="A9150" i="79" s="1"/>
  <c r="A9151" i="79" s="1"/>
  <c r="A9152" i="79" s="1"/>
  <c r="A9153" i="79" s="1"/>
  <c r="A9154" i="79" s="1"/>
  <c r="A9155" i="79" s="1"/>
  <c r="A9156" i="79" s="1"/>
  <c r="A9157" i="79" s="1"/>
  <c r="A9158" i="79" s="1"/>
  <c r="A9159" i="79" s="1"/>
  <c r="A9160" i="79" s="1"/>
  <c r="A9161" i="79" s="1"/>
  <c r="A9162" i="79" s="1"/>
  <c r="A9163" i="79" s="1"/>
  <c r="A9164" i="79" s="1"/>
  <c r="A9165" i="79" s="1"/>
  <c r="A9166" i="79" s="1"/>
  <c r="A9167" i="79" s="1"/>
  <c r="A9168" i="79" s="1"/>
  <c r="A9169" i="79" s="1"/>
  <c r="A9170" i="79" s="1"/>
  <c r="A9171" i="79" s="1"/>
  <c r="A9172" i="79" s="1"/>
  <c r="A9173" i="79" s="1"/>
  <c r="A9174" i="79" s="1"/>
  <c r="A9175" i="79" s="1"/>
  <c r="A9176" i="79" s="1"/>
  <c r="A9177" i="79" s="1"/>
  <c r="A9178" i="79" s="1"/>
  <c r="A9179" i="79" s="1"/>
  <c r="A9180" i="79" s="1"/>
  <c r="A9181" i="79" s="1"/>
  <c r="A9182" i="79" s="1"/>
  <c r="A9183" i="79" s="1"/>
  <c r="A9184" i="79" s="1"/>
  <c r="A9185" i="79" s="1"/>
  <c r="A9186" i="79" s="1"/>
  <c r="A9187" i="79" s="1"/>
  <c r="A9188" i="79" s="1"/>
  <c r="A9189" i="79" s="1"/>
  <c r="A9190" i="79" s="1"/>
  <c r="A9191" i="79" s="1"/>
  <c r="A9192" i="79" s="1"/>
  <c r="A9193" i="79" s="1"/>
  <c r="A9194" i="79" s="1"/>
  <c r="A9195" i="79" s="1"/>
  <c r="A9196" i="79" s="1"/>
  <c r="A9197" i="79" s="1"/>
  <c r="A9198" i="79" s="1"/>
  <c r="A9199" i="79" s="1"/>
  <c r="A9200" i="79" s="1"/>
  <c r="A9201" i="79" s="1"/>
  <c r="A9202" i="79" s="1"/>
  <c r="A9203" i="79" s="1"/>
  <c r="A9204" i="79" s="1"/>
  <c r="A9205" i="79" s="1"/>
  <c r="A9206" i="79" s="1"/>
  <c r="A9207" i="79" s="1"/>
  <c r="A9208" i="79" s="1"/>
  <c r="A9209" i="79" s="1"/>
  <c r="A9210" i="79" s="1"/>
  <c r="A9211" i="79" s="1"/>
  <c r="A9212" i="79" s="1"/>
  <c r="A9213" i="79" s="1"/>
  <c r="A9214" i="79" s="1"/>
  <c r="A9215" i="79" s="1"/>
  <c r="A9216" i="79" s="1"/>
  <c r="A9217" i="79" s="1"/>
  <c r="A9218" i="79" s="1"/>
  <c r="A9219" i="79" s="1"/>
  <c r="A9220" i="79" s="1"/>
  <c r="A9221" i="79" s="1"/>
  <c r="A9222" i="79" s="1"/>
  <c r="A9223" i="79" s="1"/>
  <c r="A9224" i="79" s="1"/>
  <c r="A9225" i="79" s="1"/>
  <c r="A9226" i="79" s="1"/>
  <c r="A9227" i="79" s="1"/>
  <c r="A9228" i="79" s="1"/>
  <c r="A9229" i="79" s="1"/>
  <c r="A9230" i="79" s="1"/>
  <c r="A9231" i="79" s="1"/>
  <c r="A9232" i="79" s="1"/>
  <c r="A9233" i="79" s="1"/>
  <c r="A9234" i="79" s="1"/>
  <c r="A9235" i="79" s="1"/>
  <c r="A9236" i="79" s="1"/>
  <c r="A9237" i="79" s="1"/>
  <c r="A9238" i="79" s="1"/>
  <c r="A9239" i="79" s="1"/>
  <c r="A9240" i="79" s="1"/>
  <c r="A9241" i="79" s="1"/>
  <c r="A9242" i="79" s="1"/>
  <c r="A9243" i="79" s="1"/>
  <c r="A9244" i="79" s="1"/>
  <c r="A9245" i="79" s="1"/>
  <c r="A9246" i="79" s="1"/>
  <c r="A9247" i="79" s="1"/>
  <c r="A9248" i="79" s="1"/>
  <c r="A9249" i="79" s="1"/>
  <c r="A9250" i="79" s="1"/>
  <c r="A9251" i="79" s="1"/>
  <c r="A9252" i="79" s="1"/>
  <c r="A9253" i="79" s="1"/>
  <c r="A9254" i="79" s="1"/>
  <c r="A9255" i="79" s="1"/>
  <c r="A9256" i="79" s="1"/>
  <c r="A9257" i="79" s="1"/>
  <c r="A9258" i="79" s="1"/>
  <c r="A9259" i="79" s="1"/>
  <c r="A9260" i="79" s="1"/>
  <c r="A9261" i="79" s="1"/>
  <c r="A9262" i="79" s="1"/>
  <c r="A9263" i="79" s="1"/>
  <c r="A9264" i="79" s="1"/>
  <c r="A9265" i="79" s="1"/>
  <c r="A9266" i="79" s="1"/>
  <c r="A9267" i="79" s="1"/>
  <c r="A9268" i="79" s="1"/>
  <c r="A9269" i="79" s="1"/>
  <c r="A9270" i="79" s="1"/>
  <c r="A9271" i="79" s="1"/>
  <c r="A9272" i="79" s="1"/>
  <c r="A9273" i="79" s="1"/>
  <c r="A9274" i="79" s="1"/>
  <c r="A9275" i="79" s="1"/>
  <c r="A9276" i="79" s="1"/>
  <c r="A9277" i="79" s="1"/>
  <c r="A9278" i="79" s="1"/>
  <c r="A9279" i="79" s="1"/>
  <c r="A9280" i="79" s="1"/>
  <c r="A9281" i="79" s="1"/>
  <c r="A9282" i="79" s="1"/>
  <c r="A9283" i="79" s="1"/>
  <c r="A9284" i="79" s="1"/>
  <c r="A9285" i="79" s="1"/>
  <c r="A9286" i="79" s="1"/>
  <c r="A9287" i="79" s="1"/>
  <c r="A9288" i="79" s="1"/>
  <c r="A9289" i="79" s="1"/>
  <c r="A9290" i="79" s="1"/>
  <c r="A9291" i="79" s="1"/>
  <c r="A9292" i="79" s="1"/>
  <c r="A9293" i="79" s="1"/>
  <c r="A9294" i="79" s="1"/>
  <c r="A9295" i="79" s="1"/>
  <c r="A9296" i="79" s="1"/>
  <c r="A9297" i="79" s="1"/>
  <c r="A9298" i="79" s="1"/>
  <c r="A9299" i="79" s="1"/>
  <c r="A9300" i="79" s="1"/>
  <c r="A9301" i="79" s="1"/>
  <c r="A9302" i="79" s="1"/>
  <c r="A9303" i="79" s="1"/>
  <c r="A9304" i="79" s="1"/>
  <c r="A9305" i="79" s="1"/>
  <c r="A9306" i="79" s="1"/>
  <c r="A9307" i="79" s="1"/>
  <c r="A9308" i="79" s="1"/>
  <c r="A9309" i="79" s="1"/>
  <c r="A9310" i="79" s="1"/>
  <c r="A9311" i="79" s="1"/>
  <c r="A9312" i="79" s="1"/>
  <c r="A9313" i="79" s="1"/>
  <c r="A9314" i="79" s="1"/>
  <c r="A9315" i="79" s="1"/>
  <c r="A9316" i="79" s="1"/>
  <c r="A9317" i="79" s="1"/>
  <c r="A9318" i="79" s="1"/>
  <c r="A9319" i="79" s="1"/>
  <c r="A9320" i="79" s="1"/>
  <c r="A9321" i="79" s="1"/>
  <c r="A9322" i="79" s="1"/>
  <c r="A9323" i="79" s="1"/>
  <c r="A9324" i="79" s="1"/>
  <c r="A9325" i="79" s="1"/>
  <c r="A9326" i="79" s="1"/>
  <c r="A9327" i="79" s="1"/>
  <c r="A9328" i="79" s="1"/>
  <c r="A9329" i="79" s="1"/>
  <c r="A9330" i="79" s="1"/>
  <c r="A9331" i="79" s="1"/>
  <c r="A9332" i="79" s="1"/>
  <c r="A9333" i="79" s="1"/>
  <c r="A9334" i="79" s="1"/>
  <c r="A9335" i="79" s="1"/>
  <c r="A9336" i="79" s="1"/>
  <c r="A9337" i="79" s="1"/>
  <c r="A9338" i="79" s="1"/>
  <c r="A9339" i="79" s="1"/>
  <c r="A9340" i="79" s="1"/>
  <c r="A9341" i="79" s="1"/>
  <c r="A9342" i="79" s="1"/>
  <c r="A9343" i="79" s="1"/>
  <c r="A9344" i="79" s="1"/>
  <c r="A9345" i="79" s="1"/>
  <c r="A9346" i="79" s="1"/>
  <c r="A9347" i="79" s="1"/>
  <c r="A9348" i="79" s="1"/>
  <c r="A9349" i="79" s="1"/>
  <c r="A9350" i="79" s="1"/>
  <c r="A9351" i="79" s="1"/>
  <c r="A9352" i="79" s="1"/>
  <c r="A9353" i="79" s="1"/>
  <c r="A9354" i="79" s="1"/>
  <c r="A9355" i="79" s="1"/>
  <c r="A9356" i="79" s="1"/>
  <c r="A9357" i="79" s="1"/>
  <c r="A9358" i="79" s="1"/>
  <c r="A9359" i="79" s="1"/>
  <c r="A9360" i="79" s="1"/>
  <c r="A9361" i="79" s="1"/>
  <c r="A9362" i="79" s="1"/>
  <c r="A9363" i="79" s="1"/>
  <c r="A9364" i="79" s="1"/>
  <c r="A9365" i="79" s="1"/>
  <c r="A9366" i="79" s="1"/>
  <c r="A9367" i="79" s="1"/>
  <c r="A9368" i="79" s="1"/>
  <c r="A9369" i="79" s="1"/>
  <c r="A9370" i="79" s="1"/>
  <c r="A9371" i="79" s="1"/>
  <c r="A9372" i="79" s="1"/>
  <c r="A9373" i="79" s="1"/>
  <c r="A9374" i="79" s="1"/>
  <c r="A9375" i="79" s="1"/>
  <c r="A9376" i="79" s="1"/>
  <c r="A9377" i="79" s="1"/>
  <c r="A9378" i="79" s="1"/>
  <c r="A9379" i="79" s="1"/>
  <c r="A9380" i="79" s="1"/>
  <c r="A9381" i="79" s="1"/>
  <c r="A9382" i="79" s="1"/>
  <c r="A9383" i="79" s="1"/>
  <c r="A9384" i="79" s="1"/>
  <c r="A9385" i="79" s="1"/>
  <c r="A9386" i="79" s="1"/>
  <c r="A9387" i="79" s="1"/>
  <c r="A9388" i="79" s="1"/>
  <c r="A9389" i="79" s="1"/>
  <c r="A9390" i="79" s="1"/>
  <c r="A9391" i="79" s="1"/>
  <c r="A9392" i="79" s="1"/>
  <c r="A9393" i="79" s="1"/>
  <c r="A9394" i="79" s="1"/>
  <c r="A9395" i="79" s="1"/>
  <c r="A9396" i="79" s="1"/>
  <c r="A9397" i="79" s="1"/>
  <c r="A9398" i="79" s="1"/>
  <c r="A9399" i="79" s="1"/>
  <c r="A9400" i="79" s="1"/>
  <c r="A9401" i="79" s="1"/>
  <c r="A9402" i="79" s="1"/>
  <c r="A9403" i="79" s="1"/>
  <c r="A9404" i="79" s="1"/>
  <c r="A9405" i="79" s="1"/>
  <c r="A9406" i="79" s="1"/>
  <c r="A9407" i="79" s="1"/>
  <c r="A9408" i="79" s="1"/>
  <c r="A9409" i="79" s="1"/>
  <c r="A9410" i="79" s="1"/>
  <c r="A9411" i="79" s="1"/>
  <c r="A9412" i="79" s="1"/>
  <c r="A9413" i="79" s="1"/>
  <c r="A9414" i="79" s="1"/>
  <c r="A9415" i="79" s="1"/>
  <c r="A9416" i="79" s="1"/>
  <c r="A9417" i="79" s="1"/>
  <c r="A9418" i="79" s="1"/>
  <c r="A9419" i="79" s="1"/>
  <c r="A9420" i="79" s="1"/>
  <c r="A9421" i="79" s="1"/>
  <c r="A9422" i="79" s="1"/>
  <c r="A9423" i="79" s="1"/>
  <c r="A9424" i="79" s="1"/>
  <c r="A9425" i="79" s="1"/>
  <c r="A9426" i="79" s="1"/>
  <c r="A9427" i="79" s="1"/>
  <c r="A9428" i="79" s="1"/>
  <c r="A9429" i="79" s="1"/>
  <c r="A9430" i="79" s="1"/>
  <c r="A9431" i="79" s="1"/>
  <c r="A9432" i="79" s="1"/>
  <c r="A9433" i="79" s="1"/>
  <c r="A9434" i="79" s="1"/>
  <c r="A9435" i="79" s="1"/>
  <c r="A9436" i="79" s="1"/>
  <c r="A9437" i="79" s="1"/>
  <c r="A9438" i="79" s="1"/>
  <c r="A9439" i="79" s="1"/>
  <c r="A9440" i="79" s="1"/>
  <c r="A9441" i="79" s="1"/>
  <c r="A9442" i="79" s="1"/>
  <c r="A9443" i="79" s="1"/>
  <c r="A9444" i="79" s="1"/>
  <c r="A9445" i="79" s="1"/>
  <c r="A9446" i="79" s="1"/>
  <c r="A9447" i="79" s="1"/>
  <c r="A9448" i="79" s="1"/>
  <c r="A9449" i="79" s="1"/>
  <c r="A9450" i="79" s="1"/>
  <c r="A9451" i="79" s="1"/>
  <c r="A9452" i="79" s="1"/>
  <c r="A9453" i="79" s="1"/>
  <c r="A9454" i="79" s="1"/>
  <c r="A9455" i="79" s="1"/>
  <c r="A9456" i="79" s="1"/>
  <c r="A9457" i="79" s="1"/>
  <c r="A9458" i="79" s="1"/>
  <c r="A9459" i="79" s="1"/>
  <c r="A9460" i="79" s="1"/>
  <c r="A9461" i="79" s="1"/>
  <c r="A9462" i="79" s="1"/>
  <c r="A9463" i="79" s="1"/>
  <c r="A9464" i="79" s="1"/>
  <c r="A9465" i="79" s="1"/>
  <c r="A9466" i="79" s="1"/>
  <c r="A9467" i="79" s="1"/>
  <c r="A9468" i="79" s="1"/>
  <c r="A9469" i="79" s="1"/>
  <c r="A9470" i="79" s="1"/>
  <c r="A9471" i="79" s="1"/>
  <c r="A9472" i="79" s="1"/>
  <c r="A9473" i="79" s="1"/>
  <c r="A9474" i="79" s="1"/>
  <c r="A9475" i="79" s="1"/>
  <c r="A9476" i="79" s="1"/>
  <c r="A9477" i="79" s="1"/>
  <c r="A9478" i="79" s="1"/>
  <c r="A9479" i="79" s="1"/>
  <c r="A9480" i="79" s="1"/>
  <c r="A9481" i="79" s="1"/>
  <c r="A9482" i="79" s="1"/>
  <c r="A9483" i="79" s="1"/>
  <c r="A9484" i="79" s="1"/>
  <c r="A9485" i="79" s="1"/>
  <c r="A9486" i="79" s="1"/>
  <c r="A9487" i="79" s="1"/>
  <c r="A9488" i="79" s="1"/>
  <c r="A9489" i="79" s="1"/>
  <c r="A9490" i="79" s="1"/>
  <c r="A9491" i="79" s="1"/>
  <c r="A9492" i="79" s="1"/>
  <c r="A9493" i="79" s="1"/>
  <c r="A9494" i="79" s="1"/>
  <c r="A9495" i="79" s="1"/>
  <c r="A9496" i="79" s="1"/>
  <c r="A9497" i="79" s="1"/>
  <c r="A9498" i="79" s="1"/>
  <c r="A9499" i="79" s="1"/>
  <c r="A9500" i="79" s="1"/>
  <c r="A9501" i="79" s="1"/>
  <c r="A9502" i="79" s="1"/>
  <c r="A9503" i="79" s="1"/>
  <c r="A9504" i="79" s="1"/>
  <c r="A9505" i="79" s="1"/>
  <c r="A9506" i="79" s="1"/>
  <c r="A9507" i="79" s="1"/>
  <c r="A9508" i="79" s="1"/>
  <c r="A9509" i="79" s="1"/>
  <c r="A9510" i="79" s="1"/>
  <c r="A9511" i="79" s="1"/>
  <c r="A9512" i="79" s="1"/>
  <c r="A9513" i="79" s="1"/>
  <c r="A9514" i="79" s="1"/>
  <c r="A9515" i="79" s="1"/>
  <c r="A9516" i="79" s="1"/>
  <c r="A9517" i="79" s="1"/>
  <c r="A9518" i="79" s="1"/>
  <c r="A9519" i="79" s="1"/>
  <c r="A9520" i="79" s="1"/>
  <c r="A9521" i="79" s="1"/>
  <c r="A9522" i="79" s="1"/>
  <c r="A9523" i="79" s="1"/>
  <c r="A9524" i="79" s="1"/>
  <c r="A9525" i="79" s="1"/>
  <c r="A9526" i="79" s="1"/>
  <c r="A9527" i="79" s="1"/>
  <c r="A9528" i="79" s="1"/>
  <c r="A9529" i="79" s="1"/>
  <c r="A9530" i="79" s="1"/>
  <c r="A9531" i="79" s="1"/>
  <c r="A9532" i="79" s="1"/>
  <c r="A9533" i="79" s="1"/>
  <c r="A9534" i="79" s="1"/>
  <c r="A9535" i="79" s="1"/>
  <c r="A9536" i="79" s="1"/>
  <c r="A9537" i="79" s="1"/>
  <c r="A9538" i="79" s="1"/>
  <c r="A9539" i="79" s="1"/>
  <c r="A9540" i="79" s="1"/>
  <c r="A9541" i="79" s="1"/>
  <c r="A9542" i="79" s="1"/>
  <c r="A9543" i="79" s="1"/>
  <c r="A9544" i="79" s="1"/>
  <c r="A9545" i="79" s="1"/>
  <c r="A9546" i="79" s="1"/>
  <c r="A9547" i="79" s="1"/>
  <c r="A9548" i="79" s="1"/>
  <c r="A9549" i="79" s="1"/>
  <c r="A9550" i="79" s="1"/>
  <c r="A9551" i="79" s="1"/>
  <c r="A9552" i="79" s="1"/>
  <c r="A9553" i="79" s="1"/>
  <c r="A9554" i="79" s="1"/>
  <c r="A9555" i="79" s="1"/>
  <c r="A9556" i="79" s="1"/>
  <c r="A9557" i="79" s="1"/>
  <c r="A9558" i="79" s="1"/>
  <c r="A9559" i="79" s="1"/>
  <c r="A9560" i="79" s="1"/>
  <c r="A9561" i="79" s="1"/>
  <c r="A9562" i="79" s="1"/>
  <c r="A9563" i="79" s="1"/>
  <c r="A9564" i="79" s="1"/>
  <c r="A9565" i="79" s="1"/>
  <c r="A9566" i="79" s="1"/>
  <c r="A9567" i="79" s="1"/>
  <c r="A9568" i="79" s="1"/>
  <c r="A9569" i="79" s="1"/>
  <c r="A9570" i="79" s="1"/>
  <c r="A9571" i="79" s="1"/>
  <c r="A9572" i="79" s="1"/>
  <c r="A9573" i="79" s="1"/>
  <c r="A9574" i="79" s="1"/>
  <c r="A9575" i="79" s="1"/>
  <c r="A9576" i="79" s="1"/>
  <c r="A9577" i="79" s="1"/>
  <c r="A9578" i="79" s="1"/>
  <c r="A9579" i="79" s="1"/>
  <c r="A9580" i="79" s="1"/>
  <c r="A9581" i="79" s="1"/>
  <c r="A9582" i="79" s="1"/>
  <c r="A9583" i="79" s="1"/>
  <c r="A9584" i="79" s="1"/>
  <c r="A9585" i="79" s="1"/>
  <c r="A9586" i="79" s="1"/>
  <c r="A9587" i="79" s="1"/>
  <c r="A9588" i="79" s="1"/>
  <c r="A9589" i="79" s="1"/>
  <c r="A9590" i="79" s="1"/>
  <c r="A9591" i="79" s="1"/>
  <c r="A9592" i="79" s="1"/>
  <c r="A9593" i="79" s="1"/>
  <c r="A9594" i="79" s="1"/>
  <c r="A9595" i="79" s="1"/>
  <c r="A9596" i="79" s="1"/>
  <c r="A9597" i="79" s="1"/>
  <c r="A9598" i="79" s="1"/>
  <c r="A9599" i="79" s="1"/>
  <c r="A9600" i="79" s="1"/>
  <c r="A9601" i="79" s="1"/>
  <c r="A9602" i="79" s="1"/>
  <c r="A9603" i="79" s="1"/>
  <c r="A9604" i="79" s="1"/>
  <c r="A9605" i="79" s="1"/>
  <c r="A9606" i="79" s="1"/>
  <c r="A9607" i="79" s="1"/>
  <c r="A9608" i="79" s="1"/>
  <c r="A9609" i="79" s="1"/>
  <c r="A9610" i="79" s="1"/>
  <c r="A9611" i="79" s="1"/>
  <c r="A9612" i="79" s="1"/>
  <c r="A9613" i="79" s="1"/>
  <c r="A9614" i="79" s="1"/>
  <c r="A9615" i="79" s="1"/>
  <c r="A9616" i="79" s="1"/>
  <c r="A9617" i="79" s="1"/>
  <c r="A9618" i="79" s="1"/>
  <c r="A9619" i="79" s="1"/>
  <c r="A9620" i="79" s="1"/>
  <c r="A9621" i="79" s="1"/>
  <c r="A9622" i="79" s="1"/>
  <c r="A9623" i="79" s="1"/>
  <c r="A9624" i="79" s="1"/>
  <c r="A9625" i="79" s="1"/>
  <c r="A9626" i="79" s="1"/>
  <c r="A9627" i="79" s="1"/>
  <c r="A9628" i="79" s="1"/>
  <c r="A9629" i="79" s="1"/>
  <c r="A9630" i="79" s="1"/>
  <c r="A9631" i="79" s="1"/>
  <c r="A9632" i="79" s="1"/>
  <c r="A9633" i="79" s="1"/>
  <c r="A9634" i="79" s="1"/>
  <c r="A9635" i="79" s="1"/>
  <c r="A9636" i="79" s="1"/>
  <c r="A9637" i="79" s="1"/>
  <c r="A9638" i="79" s="1"/>
  <c r="A9639" i="79" s="1"/>
  <c r="A9640" i="79" s="1"/>
  <c r="A9641" i="79" s="1"/>
  <c r="A9642" i="79" s="1"/>
  <c r="A9643" i="79" s="1"/>
  <c r="A9644" i="79" s="1"/>
  <c r="A9645" i="79" s="1"/>
  <c r="A9646" i="79" s="1"/>
  <c r="A9647" i="79" s="1"/>
  <c r="A9648" i="79" s="1"/>
  <c r="A9649" i="79" s="1"/>
  <c r="A9650" i="79" s="1"/>
  <c r="A9651" i="79" s="1"/>
  <c r="A9652" i="79" s="1"/>
  <c r="A9653" i="79" s="1"/>
  <c r="A9654" i="79" s="1"/>
  <c r="A9655" i="79" s="1"/>
  <c r="A9656" i="79" s="1"/>
  <c r="A9657" i="79" s="1"/>
  <c r="A9658" i="79" s="1"/>
  <c r="A9659" i="79" s="1"/>
  <c r="A9660" i="79" s="1"/>
  <c r="A9661" i="79" s="1"/>
  <c r="A9662" i="79" s="1"/>
  <c r="A9663" i="79" s="1"/>
  <c r="A9664" i="79" s="1"/>
  <c r="A9665" i="79" s="1"/>
  <c r="A9666" i="79" s="1"/>
  <c r="A9667" i="79" s="1"/>
  <c r="A9668" i="79" s="1"/>
  <c r="A9669" i="79" s="1"/>
  <c r="A9670" i="79" s="1"/>
  <c r="A9671" i="79" s="1"/>
  <c r="A9672" i="79" s="1"/>
  <c r="A9673" i="79" s="1"/>
  <c r="A9674" i="79" s="1"/>
  <c r="A9675" i="79" s="1"/>
  <c r="A9676" i="79" s="1"/>
  <c r="A9677" i="79" s="1"/>
  <c r="A9678" i="79" s="1"/>
  <c r="A9679" i="79" s="1"/>
  <c r="A9680" i="79" s="1"/>
  <c r="A9681" i="79" s="1"/>
  <c r="A9682" i="79" s="1"/>
  <c r="A9683" i="79" s="1"/>
  <c r="A9684" i="79" s="1"/>
  <c r="A9685" i="79" s="1"/>
  <c r="A9686" i="79" s="1"/>
  <c r="A9687" i="79" s="1"/>
  <c r="A9688" i="79" s="1"/>
  <c r="A9689" i="79" s="1"/>
  <c r="A9690" i="79" s="1"/>
  <c r="A9691" i="79" s="1"/>
  <c r="A9692" i="79" s="1"/>
  <c r="A9693" i="79" s="1"/>
  <c r="A9694" i="79" s="1"/>
  <c r="A9695" i="79" s="1"/>
  <c r="A9696" i="79" s="1"/>
  <c r="A9697" i="79" s="1"/>
  <c r="A9698" i="79" s="1"/>
  <c r="A9699" i="79" s="1"/>
  <c r="A9700" i="79" s="1"/>
  <c r="A9701" i="79" s="1"/>
  <c r="A9702" i="79" s="1"/>
  <c r="A9703" i="79" s="1"/>
  <c r="A9704" i="79" s="1"/>
  <c r="A9705" i="79" s="1"/>
  <c r="A9706" i="79" s="1"/>
  <c r="A9707" i="79" s="1"/>
  <c r="A9708" i="79" s="1"/>
  <c r="A9709" i="79" s="1"/>
  <c r="A9710" i="79" s="1"/>
  <c r="A9711" i="79" s="1"/>
  <c r="A9712" i="79" s="1"/>
  <c r="A9713" i="79" s="1"/>
  <c r="A9714" i="79" s="1"/>
  <c r="A9715" i="79" s="1"/>
  <c r="A9716" i="79" s="1"/>
  <c r="A9717" i="79" s="1"/>
  <c r="A9718" i="79" s="1"/>
  <c r="A9719" i="79" s="1"/>
  <c r="A9720" i="79" s="1"/>
  <c r="A9721" i="79" s="1"/>
  <c r="A9722" i="79" s="1"/>
  <c r="A9723" i="79" s="1"/>
  <c r="A9724" i="79" s="1"/>
  <c r="A9725" i="79" s="1"/>
  <c r="A9726" i="79" s="1"/>
  <c r="A9727" i="79" s="1"/>
  <c r="A9728" i="79" s="1"/>
  <c r="A9729" i="79" s="1"/>
  <c r="A9730" i="79" s="1"/>
  <c r="A9731" i="79" s="1"/>
  <c r="A9732" i="79" s="1"/>
  <c r="A9733" i="79" s="1"/>
  <c r="A9734" i="79" s="1"/>
  <c r="A9735" i="79" s="1"/>
  <c r="A9736" i="79" s="1"/>
  <c r="A9737" i="79" s="1"/>
  <c r="A9738" i="79" s="1"/>
  <c r="A9739" i="79" s="1"/>
  <c r="A9740" i="79" s="1"/>
  <c r="A9741" i="79" s="1"/>
  <c r="A9742" i="79" s="1"/>
  <c r="A9743" i="79" s="1"/>
  <c r="A9744" i="79" s="1"/>
  <c r="A9745" i="79" s="1"/>
  <c r="A9746" i="79" s="1"/>
  <c r="A9747" i="79" s="1"/>
  <c r="A9748" i="79" s="1"/>
  <c r="A9749" i="79" s="1"/>
  <c r="A9750" i="79" s="1"/>
  <c r="A9751" i="79" s="1"/>
  <c r="A9752" i="79" s="1"/>
  <c r="A9753" i="79" s="1"/>
  <c r="A9754" i="79" s="1"/>
  <c r="A9755" i="79" s="1"/>
  <c r="A9756" i="79" s="1"/>
  <c r="A9757" i="79" s="1"/>
  <c r="A9758" i="79" s="1"/>
  <c r="A9759" i="79" s="1"/>
  <c r="A9760" i="79" s="1"/>
  <c r="A9761" i="79" s="1"/>
  <c r="A9762" i="79" s="1"/>
  <c r="A9763" i="79" s="1"/>
  <c r="A9764" i="79" s="1"/>
  <c r="A9765" i="79" s="1"/>
  <c r="A9766" i="79" s="1"/>
  <c r="A9767" i="79" s="1"/>
  <c r="A9768" i="79" s="1"/>
  <c r="A9769" i="79" s="1"/>
  <c r="A9770" i="79" s="1"/>
  <c r="A9771" i="79" s="1"/>
  <c r="A9772" i="79" s="1"/>
  <c r="A9773" i="79" s="1"/>
  <c r="A9774" i="79" s="1"/>
  <c r="A9775" i="79" s="1"/>
  <c r="A9776" i="79" s="1"/>
  <c r="A9777" i="79" s="1"/>
  <c r="A9778" i="79" s="1"/>
  <c r="A9779" i="79" s="1"/>
  <c r="A9780" i="79" s="1"/>
  <c r="A9781" i="79" s="1"/>
  <c r="A9782" i="79" s="1"/>
  <c r="A9783" i="79" s="1"/>
  <c r="A9784" i="79" s="1"/>
  <c r="A9785" i="79" s="1"/>
  <c r="A9786" i="79" s="1"/>
  <c r="A9787" i="79" s="1"/>
  <c r="A9788" i="79" s="1"/>
  <c r="A9789" i="79" s="1"/>
  <c r="A9790" i="79" s="1"/>
  <c r="A9791" i="79" s="1"/>
  <c r="A9792" i="79" s="1"/>
  <c r="A9793" i="79" s="1"/>
  <c r="A9794" i="79" s="1"/>
  <c r="A9795" i="79" s="1"/>
  <c r="A9796" i="79" s="1"/>
  <c r="A9797" i="79" s="1"/>
  <c r="A9798" i="79" s="1"/>
  <c r="A9799" i="79" s="1"/>
  <c r="A9800" i="79" s="1"/>
  <c r="A9801" i="79" s="1"/>
  <c r="A9802" i="79" s="1"/>
  <c r="A9803" i="79" s="1"/>
  <c r="A9804" i="79" s="1"/>
  <c r="A9805" i="79" s="1"/>
  <c r="A9806" i="79" s="1"/>
  <c r="A9807" i="79" s="1"/>
  <c r="A9808" i="79" s="1"/>
  <c r="A9809" i="79" s="1"/>
  <c r="A9810" i="79" s="1"/>
  <c r="A9811" i="79" s="1"/>
  <c r="A9812" i="79" s="1"/>
  <c r="A9813" i="79" s="1"/>
  <c r="A9814" i="79" s="1"/>
  <c r="A9815" i="79" s="1"/>
  <c r="A9816" i="79" s="1"/>
  <c r="A9817" i="79" s="1"/>
  <c r="A9818" i="79" s="1"/>
  <c r="A9819" i="79" s="1"/>
  <c r="A9820" i="79" s="1"/>
  <c r="A9821" i="79" s="1"/>
  <c r="A9822" i="79" s="1"/>
  <c r="A9823" i="79" s="1"/>
  <c r="A9824" i="79" s="1"/>
  <c r="A9825" i="79" s="1"/>
  <c r="A9826" i="79" s="1"/>
  <c r="A9827" i="79" s="1"/>
  <c r="A9828" i="79" s="1"/>
  <c r="A9829" i="79" s="1"/>
  <c r="A9830" i="79" s="1"/>
  <c r="A9831" i="79" s="1"/>
  <c r="A9832" i="79" s="1"/>
  <c r="A9833" i="79" s="1"/>
  <c r="A9834" i="79" s="1"/>
  <c r="A9835" i="79" s="1"/>
  <c r="A9836" i="79" s="1"/>
  <c r="A9837" i="79" s="1"/>
  <c r="A9838" i="79" s="1"/>
  <c r="A9839" i="79" s="1"/>
  <c r="A9840" i="79" s="1"/>
  <c r="A9841" i="79" s="1"/>
  <c r="A9842" i="79" s="1"/>
  <c r="A9843" i="79" s="1"/>
  <c r="A9844" i="79" s="1"/>
  <c r="A9845" i="79" s="1"/>
  <c r="A9846" i="79" s="1"/>
  <c r="A9847" i="79" s="1"/>
  <c r="A9848" i="79" s="1"/>
  <c r="A9849" i="79" s="1"/>
  <c r="A9850" i="79" s="1"/>
  <c r="A9851" i="79" s="1"/>
  <c r="A9852" i="79" s="1"/>
  <c r="A9853" i="79" s="1"/>
  <c r="A9854" i="79" s="1"/>
  <c r="A9855" i="79" s="1"/>
  <c r="A9856" i="79" s="1"/>
  <c r="A9857" i="79" s="1"/>
  <c r="A9858" i="79" s="1"/>
  <c r="A9859" i="79" s="1"/>
  <c r="A9860" i="79" s="1"/>
  <c r="A9861" i="79" s="1"/>
  <c r="A9862" i="79" s="1"/>
  <c r="A9863" i="79" s="1"/>
  <c r="A9864" i="79" s="1"/>
  <c r="A9865" i="79" s="1"/>
  <c r="A9866" i="79" s="1"/>
  <c r="A9867" i="79" s="1"/>
  <c r="A9868" i="79" s="1"/>
  <c r="A9869" i="79" s="1"/>
  <c r="A9870" i="79" s="1"/>
  <c r="A9871" i="79" s="1"/>
  <c r="A9872" i="79" s="1"/>
  <c r="A9873" i="79" s="1"/>
  <c r="A9874" i="79" s="1"/>
  <c r="A9875" i="79" s="1"/>
  <c r="A9876" i="79" s="1"/>
  <c r="A9877" i="79" s="1"/>
  <c r="A9878" i="79" s="1"/>
  <c r="A9879" i="79" s="1"/>
  <c r="A9880" i="79" s="1"/>
  <c r="A9881" i="79" s="1"/>
  <c r="A9882" i="79" s="1"/>
  <c r="A9883" i="79" s="1"/>
  <c r="A9884" i="79" s="1"/>
  <c r="A9885" i="79" s="1"/>
  <c r="A9886" i="79" s="1"/>
  <c r="A9887" i="79" s="1"/>
  <c r="A9888" i="79" s="1"/>
  <c r="A9889" i="79" s="1"/>
  <c r="A9890" i="79" s="1"/>
  <c r="A9891" i="79" s="1"/>
  <c r="A9892" i="79" s="1"/>
  <c r="A9893" i="79" s="1"/>
  <c r="A9894" i="79" s="1"/>
  <c r="A9895" i="79" s="1"/>
  <c r="A9896" i="79" s="1"/>
  <c r="A9897" i="79" s="1"/>
  <c r="A9898" i="79" s="1"/>
  <c r="A9899" i="79" s="1"/>
  <c r="A9900" i="79" s="1"/>
  <c r="A9901" i="79" s="1"/>
  <c r="A9902" i="79" s="1"/>
  <c r="A9903" i="79" s="1"/>
  <c r="A9904" i="79" s="1"/>
  <c r="A9905" i="79" s="1"/>
  <c r="A9906" i="79" s="1"/>
  <c r="A9907" i="79" s="1"/>
  <c r="A9908" i="79" s="1"/>
  <c r="A9909" i="79" s="1"/>
  <c r="A9910" i="79" s="1"/>
  <c r="A9911" i="79" s="1"/>
  <c r="A9912" i="79" s="1"/>
  <c r="A9913" i="79" s="1"/>
  <c r="A9914" i="79" s="1"/>
  <c r="A9915" i="79" s="1"/>
  <c r="A9916" i="79" s="1"/>
  <c r="A9917" i="79" s="1"/>
  <c r="A9918" i="79" s="1"/>
  <c r="A9919" i="79" s="1"/>
  <c r="A9920" i="79" s="1"/>
  <c r="A9921" i="79" s="1"/>
  <c r="A9922" i="79" s="1"/>
  <c r="A9923" i="79" s="1"/>
  <c r="A9924" i="79" s="1"/>
  <c r="A9925" i="79" s="1"/>
  <c r="A9926" i="79" s="1"/>
  <c r="A9927" i="79" s="1"/>
  <c r="A9928" i="79" s="1"/>
  <c r="A9929" i="79" s="1"/>
  <c r="A9930" i="79" s="1"/>
  <c r="A9931" i="79" s="1"/>
  <c r="A9932" i="79" s="1"/>
  <c r="A9933" i="79" s="1"/>
  <c r="A9934" i="79" s="1"/>
  <c r="A9935" i="79" s="1"/>
  <c r="A9936" i="79" s="1"/>
  <c r="A9937" i="79" s="1"/>
  <c r="A9938" i="79" s="1"/>
  <c r="A9939" i="79" s="1"/>
  <c r="A9940" i="79" s="1"/>
  <c r="A9941" i="79" s="1"/>
  <c r="A9942" i="79" s="1"/>
  <c r="A9943" i="79" s="1"/>
  <c r="A9944" i="79" s="1"/>
  <c r="A9945" i="79" s="1"/>
  <c r="A9946" i="79" s="1"/>
  <c r="A9947" i="79" s="1"/>
  <c r="A9948" i="79" s="1"/>
  <c r="A9949" i="79" s="1"/>
  <c r="A9950" i="79" s="1"/>
  <c r="A9951" i="79" s="1"/>
  <c r="A9952" i="79" s="1"/>
  <c r="A9953" i="79" s="1"/>
  <c r="A9954" i="79" s="1"/>
  <c r="A9955" i="79" s="1"/>
  <c r="A9956" i="79" s="1"/>
  <c r="A9957" i="79" s="1"/>
  <c r="A9958" i="79" s="1"/>
  <c r="A9959" i="79" s="1"/>
  <c r="A9960" i="79" s="1"/>
  <c r="A9961" i="79" s="1"/>
  <c r="A9962" i="79" s="1"/>
  <c r="A9963" i="79" s="1"/>
  <c r="A9964" i="79" s="1"/>
  <c r="A9965" i="79" s="1"/>
  <c r="A9966" i="79" s="1"/>
  <c r="A9967" i="79" s="1"/>
  <c r="A9968" i="79" s="1"/>
  <c r="A9969" i="79" s="1"/>
  <c r="A9970" i="79" s="1"/>
  <c r="A9971" i="79" s="1"/>
  <c r="A9972" i="79" s="1"/>
  <c r="A9973" i="79" s="1"/>
  <c r="A9974" i="79" s="1"/>
  <c r="A9975" i="79" s="1"/>
  <c r="A9976" i="79" s="1"/>
  <c r="A9977" i="79" s="1"/>
  <c r="A9978" i="79" s="1"/>
  <c r="A9979" i="79" s="1"/>
  <c r="A9980" i="79" s="1"/>
  <c r="A9981" i="79" s="1"/>
  <c r="A9982" i="79" s="1"/>
  <c r="A9983" i="79" s="1"/>
  <c r="A9984" i="79" s="1"/>
  <c r="A9985" i="79" s="1"/>
  <c r="A9986" i="79" s="1"/>
  <c r="A9987" i="79" s="1"/>
  <c r="A9988" i="79" s="1"/>
  <c r="A9989" i="79" s="1"/>
  <c r="A9990" i="79" s="1"/>
  <c r="A9991" i="79" s="1"/>
  <c r="A9992" i="79" s="1"/>
  <c r="A9993" i="79" s="1"/>
  <c r="A9994" i="79" s="1"/>
  <c r="A9995" i="79" s="1"/>
  <c r="A9996" i="79" s="1"/>
  <c r="A9997" i="79" s="1"/>
  <c r="A9998" i="79" s="1"/>
  <c r="A9999" i="79" s="1"/>
  <c r="A10000" i="79" s="1"/>
  <c r="A10001" i="79" s="1"/>
  <c r="A10002" i="79" s="1"/>
  <c r="A10003" i="79" s="1"/>
  <c r="A10004" i="79" s="1"/>
  <c r="A10005" i="79" s="1"/>
  <c r="A10006" i="79" s="1"/>
  <c r="A10007" i="79" s="1"/>
  <c r="A10008" i="79" s="1"/>
  <c r="A10009" i="79" s="1"/>
  <c r="A10010" i="79" s="1"/>
  <c r="A10011" i="79" s="1"/>
  <c r="A10012" i="79" s="1"/>
  <c r="A10013" i="79" s="1"/>
  <c r="A10014" i="79" s="1"/>
  <c r="A10015" i="79" s="1"/>
  <c r="A10016" i="79" s="1"/>
  <c r="A10017" i="79" s="1"/>
  <c r="A10018" i="79" s="1"/>
  <c r="A10019" i="79" s="1"/>
  <c r="A10020" i="79" s="1"/>
  <c r="A10021" i="79" s="1"/>
  <c r="A10022" i="79" s="1"/>
  <c r="A10023" i="79" s="1"/>
  <c r="A10024" i="79" s="1"/>
  <c r="A10025" i="79" s="1"/>
  <c r="A10026" i="79" s="1"/>
  <c r="A10027" i="79" s="1"/>
  <c r="A10028" i="79" s="1"/>
  <c r="A10029" i="79" s="1"/>
  <c r="A10030" i="79" s="1"/>
  <c r="A10031" i="79" s="1"/>
  <c r="A10032" i="79" s="1"/>
  <c r="A10033" i="79" s="1"/>
  <c r="A10034" i="79" s="1"/>
  <c r="A10035" i="79" s="1"/>
  <c r="A10036" i="79" s="1"/>
  <c r="A10037" i="79" s="1"/>
  <c r="A10038" i="79" s="1"/>
  <c r="A10039" i="79" s="1"/>
  <c r="A10040" i="79" s="1"/>
  <c r="A10041" i="79" s="1"/>
  <c r="A10042" i="79" s="1"/>
  <c r="A10043" i="79" s="1"/>
  <c r="A10044" i="79" s="1"/>
  <c r="A10045" i="79" s="1"/>
  <c r="A10046" i="79" s="1"/>
  <c r="A10047" i="79" s="1"/>
  <c r="A10048" i="79" s="1"/>
  <c r="A10049" i="79" s="1"/>
  <c r="A10050" i="79" s="1"/>
  <c r="A10051" i="79" s="1"/>
  <c r="A10052" i="79" s="1"/>
  <c r="A10053" i="79" s="1"/>
  <c r="A10054" i="79" s="1"/>
  <c r="A10055" i="79" s="1"/>
  <c r="A10056" i="79" s="1"/>
  <c r="A10057" i="79" s="1"/>
  <c r="A10058" i="79" s="1"/>
  <c r="A10059" i="79" s="1"/>
  <c r="A10060" i="79" s="1"/>
  <c r="A10061" i="79" s="1"/>
  <c r="A10062" i="79" s="1"/>
  <c r="A10063" i="79" s="1"/>
  <c r="A10064" i="79" s="1"/>
  <c r="A10065" i="79" s="1"/>
  <c r="A10066" i="79" s="1"/>
  <c r="A10067" i="79" s="1"/>
  <c r="A10068" i="79" s="1"/>
  <c r="A10069" i="79" s="1"/>
  <c r="A10070" i="79" s="1"/>
  <c r="A10071" i="79" s="1"/>
  <c r="A10072" i="79" s="1"/>
  <c r="A10073" i="79" s="1"/>
  <c r="A10074" i="79" s="1"/>
  <c r="A10075" i="79" s="1"/>
  <c r="A10076" i="79" s="1"/>
  <c r="A10077" i="79" s="1"/>
  <c r="A10078" i="79" s="1"/>
  <c r="A10079" i="79" s="1"/>
  <c r="A10080" i="79" s="1"/>
  <c r="A10081" i="79" s="1"/>
  <c r="A10082" i="79" s="1"/>
  <c r="A10083" i="79" s="1"/>
  <c r="A10084" i="79" s="1"/>
  <c r="A10085" i="79" s="1"/>
  <c r="A10086" i="79" s="1"/>
  <c r="A10087" i="79" s="1"/>
  <c r="A10088" i="79" s="1"/>
  <c r="A10089" i="79" s="1"/>
  <c r="A10090" i="79" s="1"/>
  <c r="A10091" i="79" s="1"/>
  <c r="A10092" i="79" s="1"/>
  <c r="A10093" i="79" s="1"/>
  <c r="A10094" i="79" s="1"/>
  <c r="A10095" i="79" s="1"/>
  <c r="A10096" i="79" s="1"/>
  <c r="A10097" i="79" s="1"/>
  <c r="A10098" i="79" s="1"/>
  <c r="A10099" i="79" s="1"/>
  <c r="A10100" i="79" s="1"/>
  <c r="A10101" i="79" s="1"/>
  <c r="A10102" i="79" s="1"/>
  <c r="A10103" i="79" s="1"/>
  <c r="A10104" i="79" s="1"/>
  <c r="A10105" i="79" s="1"/>
  <c r="A10106" i="79" s="1"/>
  <c r="A10107" i="79" s="1"/>
  <c r="A10108" i="79" s="1"/>
  <c r="A10109" i="79" s="1"/>
  <c r="A10110" i="79" s="1"/>
  <c r="A10111" i="79" s="1"/>
  <c r="A10112" i="79" s="1"/>
  <c r="A10113" i="79" s="1"/>
  <c r="A10114" i="79" s="1"/>
  <c r="A10115" i="79" s="1"/>
  <c r="A10116" i="79" s="1"/>
  <c r="A10117" i="79" s="1"/>
  <c r="A10118" i="79" s="1"/>
  <c r="A10119" i="79" s="1"/>
  <c r="A10120" i="79" s="1"/>
  <c r="A10121" i="79" s="1"/>
  <c r="A10122" i="79" s="1"/>
  <c r="A10123" i="79" s="1"/>
  <c r="A10124" i="79" s="1"/>
  <c r="A10125" i="79" s="1"/>
  <c r="A10126" i="79" s="1"/>
  <c r="A10127" i="79" s="1"/>
  <c r="A10128" i="79" s="1"/>
  <c r="A10129" i="79" s="1"/>
  <c r="A10130" i="79" s="1"/>
  <c r="A10131" i="79" s="1"/>
  <c r="A10132" i="79" s="1"/>
  <c r="A10133" i="79" s="1"/>
  <c r="A10134" i="79" s="1"/>
  <c r="A10135" i="79" s="1"/>
  <c r="A10136" i="79" s="1"/>
  <c r="A10137" i="79" s="1"/>
  <c r="A10138" i="79" s="1"/>
  <c r="A10139" i="79" s="1"/>
  <c r="A10140" i="79" s="1"/>
  <c r="A10141" i="79" s="1"/>
  <c r="A10142" i="79" s="1"/>
  <c r="A10143" i="79" s="1"/>
  <c r="A10144" i="79" s="1"/>
  <c r="A10145" i="79" s="1"/>
  <c r="A10146" i="79" s="1"/>
  <c r="A10147" i="79" s="1"/>
  <c r="A10148" i="79" s="1"/>
  <c r="A10149" i="79" s="1"/>
  <c r="A10150" i="79" s="1"/>
  <c r="A10151" i="79" s="1"/>
  <c r="A10152" i="79" s="1"/>
  <c r="A10153" i="79" s="1"/>
  <c r="A10154" i="79" s="1"/>
  <c r="A10155" i="79" s="1"/>
  <c r="A10156" i="79" s="1"/>
  <c r="A10157" i="79" s="1"/>
  <c r="A10158" i="79" s="1"/>
  <c r="A10159" i="79" s="1"/>
  <c r="A10160" i="79" s="1"/>
  <c r="A10161" i="79" s="1"/>
  <c r="A10162" i="79" s="1"/>
  <c r="A10163" i="79" s="1"/>
  <c r="A10164" i="79" s="1"/>
  <c r="A10165" i="79" s="1"/>
  <c r="A10166" i="79" s="1"/>
  <c r="A10167" i="79" s="1"/>
  <c r="A10168" i="79" s="1"/>
  <c r="A10169" i="79" s="1"/>
  <c r="A10170" i="79" s="1"/>
  <c r="A10171" i="79" s="1"/>
  <c r="A10172" i="79" s="1"/>
  <c r="A10173" i="79" s="1"/>
  <c r="A10174" i="79" s="1"/>
  <c r="A10175" i="79" s="1"/>
  <c r="A10176" i="79" s="1"/>
  <c r="A10177" i="79" s="1"/>
  <c r="A10178" i="79" s="1"/>
  <c r="A10179" i="79" s="1"/>
  <c r="A10180" i="79" s="1"/>
  <c r="A10181" i="79" s="1"/>
  <c r="A10182" i="79" s="1"/>
  <c r="A10183" i="79" s="1"/>
  <c r="A10184" i="79" s="1"/>
  <c r="A10185" i="79" s="1"/>
  <c r="A10186" i="79" s="1"/>
  <c r="A10187" i="79" s="1"/>
  <c r="A10188" i="79" s="1"/>
  <c r="A10189" i="79" s="1"/>
  <c r="A10190" i="79" s="1"/>
  <c r="A10191" i="79" s="1"/>
  <c r="A10192" i="79" s="1"/>
  <c r="A10193" i="79" s="1"/>
  <c r="A10194" i="79" s="1"/>
  <c r="A10195" i="79" s="1"/>
  <c r="A10196" i="79" s="1"/>
  <c r="A10197" i="79" s="1"/>
  <c r="A10198" i="79" s="1"/>
  <c r="A10199" i="79" s="1"/>
  <c r="A10200" i="79" s="1"/>
  <c r="A10201" i="79" s="1"/>
  <c r="A10202" i="79" s="1"/>
  <c r="A10203" i="79" s="1"/>
  <c r="A10204" i="79" s="1"/>
  <c r="A10205" i="79" s="1"/>
  <c r="A10206" i="79" s="1"/>
  <c r="A10207" i="79" s="1"/>
  <c r="A10208" i="79" s="1"/>
  <c r="A10209" i="79" s="1"/>
  <c r="A10210" i="79" s="1"/>
  <c r="A10211" i="79" s="1"/>
  <c r="A10212" i="79" s="1"/>
  <c r="A10213" i="79" s="1"/>
  <c r="A10214" i="79" s="1"/>
  <c r="A10215" i="79" s="1"/>
  <c r="A10216" i="79" s="1"/>
  <c r="A10217" i="79" s="1"/>
  <c r="A10218" i="79" s="1"/>
  <c r="A10219" i="79" s="1"/>
  <c r="A10220" i="79" s="1"/>
  <c r="A10221" i="79" s="1"/>
  <c r="A10222" i="79" s="1"/>
  <c r="A10223" i="79" s="1"/>
  <c r="A10224" i="79" s="1"/>
  <c r="A10225" i="79" s="1"/>
  <c r="A10226" i="79" s="1"/>
  <c r="A10227" i="79" s="1"/>
  <c r="A10228" i="79" s="1"/>
  <c r="A10229" i="79" s="1"/>
  <c r="A10230" i="79" s="1"/>
  <c r="A10231" i="79" s="1"/>
  <c r="A10232" i="79" s="1"/>
  <c r="A10233" i="79" s="1"/>
  <c r="A10234" i="79" s="1"/>
  <c r="A10235" i="79" s="1"/>
  <c r="A10236" i="79" s="1"/>
  <c r="A10237" i="79" s="1"/>
  <c r="A10238" i="79" s="1"/>
  <c r="A10239" i="79" s="1"/>
  <c r="A10240" i="79" s="1"/>
  <c r="A10241" i="79" s="1"/>
  <c r="A10242" i="79" s="1"/>
  <c r="A10243" i="79" s="1"/>
  <c r="A10244" i="79" s="1"/>
  <c r="A10245" i="79" s="1"/>
  <c r="A10246" i="79" s="1"/>
  <c r="A10247" i="79" s="1"/>
  <c r="A10248" i="79" s="1"/>
  <c r="A10249" i="79" s="1"/>
  <c r="A10250" i="79" s="1"/>
  <c r="A10251" i="79" s="1"/>
  <c r="A10252" i="79" s="1"/>
  <c r="A10253" i="79" s="1"/>
  <c r="A10254" i="79" s="1"/>
  <c r="A10255" i="79" s="1"/>
  <c r="A10256" i="79" s="1"/>
  <c r="A10257" i="79" s="1"/>
  <c r="A10258" i="79" s="1"/>
  <c r="A10259" i="79" s="1"/>
  <c r="A10260" i="79" s="1"/>
  <c r="A10261" i="79" s="1"/>
  <c r="A10262" i="79" s="1"/>
  <c r="A10263" i="79" s="1"/>
  <c r="A10264" i="79" s="1"/>
  <c r="A10265" i="79" s="1"/>
  <c r="A10266" i="79" s="1"/>
  <c r="A10267" i="79" s="1"/>
  <c r="A10268" i="79" s="1"/>
  <c r="A10269" i="79" s="1"/>
  <c r="A10270" i="79" s="1"/>
  <c r="A10271" i="79" s="1"/>
  <c r="A10272" i="79" s="1"/>
  <c r="A10273" i="79" s="1"/>
  <c r="A10274" i="79" s="1"/>
  <c r="A10275" i="79" s="1"/>
  <c r="A10276" i="79" s="1"/>
  <c r="A10277" i="79" s="1"/>
  <c r="A10278" i="79" s="1"/>
  <c r="A10279" i="79" s="1"/>
  <c r="A10280" i="79" s="1"/>
  <c r="A10281" i="79" s="1"/>
  <c r="A10282" i="79" s="1"/>
  <c r="A10283" i="79" s="1"/>
  <c r="A10284" i="79" s="1"/>
  <c r="A10285" i="79" s="1"/>
  <c r="A10286" i="79" s="1"/>
  <c r="A10287" i="79" s="1"/>
  <c r="A10288" i="79" s="1"/>
  <c r="A10289" i="79" s="1"/>
  <c r="A10290" i="79" s="1"/>
  <c r="A10291" i="79" s="1"/>
  <c r="A10292" i="79" s="1"/>
  <c r="A10293" i="79" s="1"/>
  <c r="A10294" i="79" s="1"/>
  <c r="A10295" i="79" s="1"/>
  <c r="A10296" i="79" s="1"/>
  <c r="A10297" i="79" s="1"/>
  <c r="A10298" i="79" s="1"/>
  <c r="A10299" i="79" s="1"/>
  <c r="A10300" i="79" s="1"/>
  <c r="A10301" i="79" s="1"/>
  <c r="A10302" i="79" s="1"/>
  <c r="A10303" i="79" s="1"/>
  <c r="A10304" i="79" s="1"/>
  <c r="A10305" i="79" s="1"/>
  <c r="A10306" i="79" s="1"/>
  <c r="A10307" i="79" s="1"/>
  <c r="A10308" i="79" s="1"/>
  <c r="A10309" i="79" s="1"/>
  <c r="A10310" i="79" s="1"/>
  <c r="A10311" i="79" s="1"/>
  <c r="A10312" i="79" s="1"/>
  <c r="A10313" i="79" s="1"/>
  <c r="A10314" i="79" s="1"/>
  <c r="A10315" i="79" s="1"/>
  <c r="A10316" i="79" s="1"/>
  <c r="A10317" i="79" s="1"/>
  <c r="A10318" i="79" s="1"/>
  <c r="A10319" i="79" s="1"/>
  <c r="A10320" i="79" s="1"/>
  <c r="A10321" i="79" s="1"/>
  <c r="A10322" i="79" s="1"/>
  <c r="A10323" i="79" s="1"/>
  <c r="A10324" i="79" s="1"/>
  <c r="A10325" i="79" s="1"/>
  <c r="A10326" i="79" s="1"/>
  <c r="A10327" i="79" s="1"/>
  <c r="A10328" i="79" s="1"/>
  <c r="A10329" i="79" s="1"/>
  <c r="A10330" i="79" s="1"/>
  <c r="A10331" i="79" s="1"/>
  <c r="A10332" i="79" s="1"/>
  <c r="A10333" i="79" s="1"/>
  <c r="A10334" i="79" s="1"/>
  <c r="A10335" i="79" s="1"/>
  <c r="A10336" i="79" s="1"/>
  <c r="A10337" i="79" s="1"/>
  <c r="A10338" i="79" s="1"/>
  <c r="A10339" i="79" s="1"/>
  <c r="A10340" i="79" s="1"/>
  <c r="A10341" i="79" s="1"/>
  <c r="A10342" i="79" s="1"/>
  <c r="A10343" i="79" s="1"/>
  <c r="A10344" i="79" s="1"/>
  <c r="A10345" i="79" s="1"/>
  <c r="A10346" i="79" s="1"/>
  <c r="A10347" i="79" s="1"/>
  <c r="A10348" i="79" s="1"/>
  <c r="A10349" i="79" s="1"/>
  <c r="A10350" i="79" s="1"/>
  <c r="A10351" i="79" s="1"/>
  <c r="A10352" i="79" s="1"/>
  <c r="A10353" i="79" s="1"/>
  <c r="A10354" i="79" s="1"/>
  <c r="A10355" i="79" s="1"/>
  <c r="A10356" i="79" s="1"/>
  <c r="A10357" i="79" s="1"/>
  <c r="A10358" i="79" s="1"/>
  <c r="A10359" i="79" s="1"/>
  <c r="A10360" i="79" s="1"/>
  <c r="A10361" i="79" s="1"/>
  <c r="A10362" i="79" s="1"/>
  <c r="A10363" i="79" s="1"/>
  <c r="A10364" i="79" s="1"/>
  <c r="A10365" i="79" s="1"/>
  <c r="A10366" i="79" s="1"/>
  <c r="A10367" i="79" s="1"/>
  <c r="A10368" i="79" s="1"/>
  <c r="A10369" i="79" s="1"/>
  <c r="A10370" i="79" s="1"/>
  <c r="A10371" i="79" s="1"/>
  <c r="A10372" i="79" s="1"/>
  <c r="A10373" i="79" s="1"/>
  <c r="A10374" i="79" s="1"/>
  <c r="A10375" i="79" s="1"/>
  <c r="A10376" i="79" s="1"/>
  <c r="A10377" i="79" s="1"/>
  <c r="A10378" i="79" s="1"/>
  <c r="A10379" i="79" s="1"/>
  <c r="A10380" i="79" s="1"/>
  <c r="A10381" i="79" s="1"/>
  <c r="A10382" i="79" s="1"/>
  <c r="A10383" i="79" s="1"/>
  <c r="A10384" i="79" s="1"/>
  <c r="A10385" i="79" s="1"/>
  <c r="A10386" i="79" s="1"/>
  <c r="A10387" i="79" s="1"/>
  <c r="A10388" i="79" s="1"/>
  <c r="A10389" i="79" s="1"/>
  <c r="A10390" i="79" s="1"/>
  <c r="A10391" i="79" s="1"/>
  <c r="A10392" i="79" s="1"/>
  <c r="A10393" i="79" s="1"/>
  <c r="A10394" i="79" s="1"/>
  <c r="A10395" i="79" s="1"/>
  <c r="A10396" i="79" s="1"/>
  <c r="A10397" i="79" s="1"/>
  <c r="A10398" i="79" s="1"/>
  <c r="A10399" i="79" s="1"/>
  <c r="A10400" i="79" s="1"/>
  <c r="A10401" i="79" s="1"/>
  <c r="A10402" i="79" s="1"/>
  <c r="A10403" i="79" s="1"/>
  <c r="A10404" i="79" s="1"/>
  <c r="A10405" i="79" s="1"/>
  <c r="A10406" i="79" s="1"/>
  <c r="A10407" i="79" s="1"/>
  <c r="A10408" i="79" s="1"/>
  <c r="A10409" i="79" s="1"/>
  <c r="A10410" i="79" s="1"/>
  <c r="A10411" i="79" s="1"/>
  <c r="A10412" i="79" s="1"/>
  <c r="A10413" i="79" s="1"/>
  <c r="A10414" i="79" s="1"/>
  <c r="A10415" i="79" s="1"/>
  <c r="A10416" i="79" s="1"/>
  <c r="A10417" i="79" s="1"/>
  <c r="A10418" i="79" s="1"/>
  <c r="A10419" i="79" s="1"/>
  <c r="A10420" i="79" s="1"/>
  <c r="A10421" i="79" s="1"/>
  <c r="A10422" i="79" s="1"/>
  <c r="A10423" i="79" s="1"/>
  <c r="A10424" i="79" s="1"/>
  <c r="A10425" i="79" s="1"/>
  <c r="A10426" i="79" s="1"/>
  <c r="A10427" i="79" s="1"/>
  <c r="A10428" i="79" s="1"/>
  <c r="A10429" i="79" s="1"/>
  <c r="A10430" i="79" s="1"/>
  <c r="A10431" i="79" s="1"/>
  <c r="A10432" i="79" s="1"/>
  <c r="A10433" i="79" s="1"/>
  <c r="A10434" i="79" s="1"/>
  <c r="A10435" i="79" s="1"/>
  <c r="A10436" i="79" s="1"/>
  <c r="A10437" i="79" s="1"/>
  <c r="A10438" i="79" s="1"/>
  <c r="A10439" i="79" s="1"/>
  <c r="A10440" i="79" s="1"/>
  <c r="A10441" i="79" s="1"/>
  <c r="A10442" i="79" s="1"/>
  <c r="A10443" i="79" s="1"/>
  <c r="A10444" i="79" s="1"/>
  <c r="A10445" i="79" s="1"/>
  <c r="A10446" i="79" s="1"/>
  <c r="A10447" i="79" s="1"/>
  <c r="A10448" i="79" s="1"/>
  <c r="A10449" i="79" s="1"/>
  <c r="A10450" i="79" s="1"/>
  <c r="A10451" i="79" s="1"/>
  <c r="A10452" i="79" s="1"/>
  <c r="A10453" i="79" s="1"/>
  <c r="A10454" i="79" s="1"/>
  <c r="A10455" i="79" s="1"/>
  <c r="A10456" i="79" s="1"/>
  <c r="A10457" i="79" s="1"/>
  <c r="A10458" i="79" s="1"/>
  <c r="A10459" i="79" s="1"/>
  <c r="A10460" i="79" s="1"/>
  <c r="A10461" i="79" s="1"/>
  <c r="A10462" i="79" s="1"/>
  <c r="A10463" i="79" s="1"/>
  <c r="A10464" i="79" s="1"/>
  <c r="A10465" i="79" s="1"/>
  <c r="A10466" i="79" s="1"/>
  <c r="A10467" i="79" s="1"/>
  <c r="A10468" i="79" s="1"/>
  <c r="A10469" i="79" s="1"/>
  <c r="A10470" i="79" s="1"/>
  <c r="A10471" i="79" s="1"/>
  <c r="A10472" i="79" s="1"/>
  <c r="A10473" i="79" s="1"/>
  <c r="A10474" i="79" s="1"/>
  <c r="A10475" i="79" s="1"/>
  <c r="A10476" i="79" s="1"/>
  <c r="A10477" i="79" s="1"/>
  <c r="A10478" i="79" s="1"/>
  <c r="A10479" i="79" s="1"/>
  <c r="A10480" i="79" s="1"/>
  <c r="A10481" i="79" s="1"/>
  <c r="A10482" i="79" s="1"/>
  <c r="A10483" i="79" s="1"/>
  <c r="A10484" i="79" s="1"/>
  <c r="A10485" i="79" s="1"/>
  <c r="A10486" i="79" s="1"/>
  <c r="A10487" i="79" s="1"/>
  <c r="A10488" i="79" s="1"/>
  <c r="A10489" i="79" s="1"/>
  <c r="A10490" i="79" s="1"/>
  <c r="A10491" i="79" s="1"/>
  <c r="A10492" i="79" s="1"/>
  <c r="A10493" i="79" s="1"/>
  <c r="A10494" i="79" s="1"/>
  <c r="A10495" i="79" s="1"/>
  <c r="A10496" i="79" s="1"/>
  <c r="A10497" i="79" s="1"/>
  <c r="A10498" i="79" s="1"/>
  <c r="A10499" i="79" s="1"/>
  <c r="A10500" i="79" s="1"/>
  <c r="A10501" i="79" s="1"/>
  <c r="A10502" i="79" s="1"/>
  <c r="A10503" i="79" s="1"/>
  <c r="A10504" i="79" s="1"/>
  <c r="A10505" i="79" s="1"/>
  <c r="A10506" i="79" s="1"/>
  <c r="A10507" i="79" s="1"/>
  <c r="A10508" i="79" s="1"/>
  <c r="A10509" i="79" s="1"/>
  <c r="A10510" i="79" s="1"/>
  <c r="A10511" i="79" s="1"/>
  <c r="A10512" i="79" s="1"/>
  <c r="A10513" i="79" s="1"/>
  <c r="A10514" i="79" s="1"/>
  <c r="A10515" i="79" s="1"/>
  <c r="A10516" i="79" s="1"/>
  <c r="A10517" i="79" s="1"/>
  <c r="A10518" i="79" s="1"/>
  <c r="A10519" i="79" s="1"/>
  <c r="A10520" i="79" s="1"/>
  <c r="A10521" i="79" s="1"/>
  <c r="A10522" i="79" s="1"/>
  <c r="A10523" i="79" s="1"/>
  <c r="A10524" i="79" s="1"/>
  <c r="A10525" i="79" s="1"/>
  <c r="A10526" i="79" s="1"/>
  <c r="A10527" i="79" s="1"/>
  <c r="A10528" i="79" s="1"/>
  <c r="A10529" i="79" s="1"/>
  <c r="A10530" i="79" s="1"/>
  <c r="A10531" i="79" s="1"/>
  <c r="A10532" i="79" s="1"/>
  <c r="A10533" i="79" s="1"/>
  <c r="A10534" i="79" s="1"/>
  <c r="A10535" i="79" s="1"/>
  <c r="A10536" i="79" s="1"/>
  <c r="A10537" i="79" s="1"/>
  <c r="A10538" i="79" s="1"/>
  <c r="A10539" i="79" s="1"/>
  <c r="A10540" i="79" s="1"/>
  <c r="A10541" i="79" s="1"/>
  <c r="A10542" i="79" s="1"/>
  <c r="A10543" i="79" s="1"/>
  <c r="A10544" i="79" s="1"/>
  <c r="A10545" i="79" s="1"/>
  <c r="A10546" i="79" s="1"/>
  <c r="A10547" i="79" s="1"/>
  <c r="A10548" i="79" s="1"/>
  <c r="A10549" i="79" s="1"/>
  <c r="A10550" i="79" s="1"/>
  <c r="A10551" i="79" s="1"/>
  <c r="A10552" i="79" s="1"/>
  <c r="A10553" i="79" s="1"/>
  <c r="A10554" i="79" s="1"/>
  <c r="A10555" i="79" s="1"/>
  <c r="A10556" i="79" s="1"/>
  <c r="A10557" i="79" s="1"/>
  <c r="A10558" i="79" s="1"/>
  <c r="A10559" i="79" s="1"/>
  <c r="A10560" i="79" s="1"/>
  <c r="A10561" i="79" s="1"/>
  <c r="A10562" i="79" s="1"/>
  <c r="A10563" i="79" s="1"/>
  <c r="A10564" i="79" s="1"/>
  <c r="A10565" i="79" s="1"/>
  <c r="A10566" i="79" s="1"/>
  <c r="A10567" i="79" s="1"/>
  <c r="A10568" i="79" s="1"/>
  <c r="A10569" i="79" s="1"/>
  <c r="A10570" i="79" s="1"/>
  <c r="A10571" i="79" s="1"/>
  <c r="A10572" i="79" s="1"/>
  <c r="A10573" i="79" s="1"/>
  <c r="A10574" i="79" s="1"/>
  <c r="A10575" i="79" s="1"/>
  <c r="A10576" i="79" s="1"/>
  <c r="A10577" i="79" s="1"/>
  <c r="A10578" i="79" s="1"/>
  <c r="A10579" i="79" s="1"/>
  <c r="A10580" i="79" s="1"/>
  <c r="A10581" i="79" s="1"/>
  <c r="A10582" i="79" s="1"/>
  <c r="A10583" i="79" s="1"/>
  <c r="A10584" i="79" s="1"/>
  <c r="A10585" i="79" s="1"/>
  <c r="A10586" i="79" s="1"/>
  <c r="A10587" i="79" s="1"/>
  <c r="A10588" i="79" s="1"/>
  <c r="A10589" i="79" s="1"/>
  <c r="A10590" i="79" s="1"/>
  <c r="A10591" i="79" s="1"/>
  <c r="A10592" i="79" s="1"/>
  <c r="A10593" i="79" s="1"/>
  <c r="A10594" i="79" s="1"/>
  <c r="A10595" i="79" s="1"/>
  <c r="A10596" i="79" s="1"/>
  <c r="A10597" i="79" s="1"/>
  <c r="A10598" i="79" s="1"/>
  <c r="A10599" i="79" s="1"/>
  <c r="A10600" i="79" s="1"/>
  <c r="A10601" i="79" s="1"/>
  <c r="A10602" i="79" s="1"/>
  <c r="A10603" i="79" s="1"/>
  <c r="A10604" i="79" s="1"/>
  <c r="A10605" i="79" s="1"/>
  <c r="A10606" i="79" s="1"/>
  <c r="A10607" i="79" s="1"/>
  <c r="A10608" i="79" s="1"/>
  <c r="A10609" i="79" s="1"/>
  <c r="A10610" i="79" s="1"/>
  <c r="A10611" i="79" s="1"/>
  <c r="A10612" i="79" s="1"/>
  <c r="A10613" i="79" s="1"/>
  <c r="A10614" i="79" s="1"/>
  <c r="A10615" i="79" s="1"/>
  <c r="A10616" i="79" s="1"/>
  <c r="A10617" i="79" s="1"/>
  <c r="A10618" i="79" s="1"/>
  <c r="A10619" i="79" s="1"/>
  <c r="A10620" i="79" s="1"/>
  <c r="A10621" i="79" s="1"/>
  <c r="A10622" i="79" s="1"/>
  <c r="A10623" i="79" s="1"/>
  <c r="A10624" i="79" s="1"/>
  <c r="A10625" i="79" s="1"/>
  <c r="A10626" i="79" s="1"/>
  <c r="A10627" i="79" s="1"/>
  <c r="A10628" i="79" s="1"/>
  <c r="A10629" i="79" s="1"/>
  <c r="A10630" i="79" s="1"/>
  <c r="A10631" i="79" s="1"/>
  <c r="A10632" i="79" s="1"/>
  <c r="A10633" i="79" s="1"/>
  <c r="A10634" i="79" s="1"/>
  <c r="A10635" i="79" s="1"/>
  <c r="A10636" i="79" s="1"/>
  <c r="A10637" i="79" s="1"/>
  <c r="A10638" i="79" s="1"/>
  <c r="A10639" i="79" s="1"/>
  <c r="A10640" i="79" s="1"/>
  <c r="A10641" i="79" s="1"/>
  <c r="A10642" i="79" s="1"/>
  <c r="A10643" i="79" s="1"/>
  <c r="A10644" i="79" s="1"/>
  <c r="A10645" i="79" s="1"/>
  <c r="A10646" i="79" s="1"/>
  <c r="A10647" i="79" s="1"/>
  <c r="A10648" i="79" s="1"/>
  <c r="A10649" i="79" s="1"/>
  <c r="A10650" i="79" s="1"/>
  <c r="A10651" i="79" s="1"/>
  <c r="A10652" i="79" s="1"/>
  <c r="A10653" i="79" s="1"/>
  <c r="A10654" i="79" s="1"/>
  <c r="A10655" i="79" s="1"/>
  <c r="A10656" i="79" s="1"/>
  <c r="A10657" i="79" s="1"/>
  <c r="A10658" i="79" s="1"/>
  <c r="A10659" i="79" s="1"/>
  <c r="A10660" i="79" s="1"/>
  <c r="A10661" i="79" s="1"/>
  <c r="A10662" i="79" s="1"/>
  <c r="A10663" i="79" s="1"/>
  <c r="A10664" i="79" s="1"/>
  <c r="A10665" i="79" s="1"/>
  <c r="A10666" i="79" s="1"/>
  <c r="A10667" i="79" s="1"/>
  <c r="A10668" i="79" s="1"/>
  <c r="A10669" i="79" s="1"/>
  <c r="A10670" i="79" s="1"/>
  <c r="A10671" i="79" s="1"/>
  <c r="A10672" i="79" s="1"/>
  <c r="A10673" i="79" s="1"/>
  <c r="A10674" i="79" s="1"/>
  <c r="A10675" i="79" s="1"/>
  <c r="A10676" i="79" s="1"/>
  <c r="A10677" i="79" s="1"/>
  <c r="A10678" i="79" s="1"/>
  <c r="A10679" i="79" s="1"/>
  <c r="A10680" i="79" s="1"/>
  <c r="A10681" i="79" s="1"/>
  <c r="A10682" i="79" s="1"/>
  <c r="A10683" i="79" s="1"/>
  <c r="A10684" i="79" s="1"/>
  <c r="A10685" i="79" s="1"/>
  <c r="A10686" i="79" s="1"/>
  <c r="A10687" i="79" s="1"/>
  <c r="A10688" i="79" s="1"/>
  <c r="A10689" i="79" s="1"/>
  <c r="A10690" i="79" s="1"/>
  <c r="A10691" i="79" s="1"/>
  <c r="A10692" i="79" s="1"/>
  <c r="A10693" i="79" s="1"/>
  <c r="A10694" i="79" s="1"/>
  <c r="A10695" i="79" s="1"/>
  <c r="A10696" i="79" s="1"/>
  <c r="A10697" i="79" s="1"/>
  <c r="A10698" i="79" s="1"/>
  <c r="A10699" i="79" s="1"/>
  <c r="A10700" i="79" s="1"/>
  <c r="A10701" i="79" s="1"/>
  <c r="A10702" i="79" s="1"/>
  <c r="A10703" i="79" s="1"/>
  <c r="A10704" i="79" s="1"/>
  <c r="A10705" i="79" s="1"/>
  <c r="A10706" i="79" s="1"/>
  <c r="A10707" i="79" s="1"/>
  <c r="A10708" i="79" s="1"/>
  <c r="A10709" i="79" s="1"/>
  <c r="A10710" i="79" s="1"/>
  <c r="A10711" i="79" s="1"/>
  <c r="A10712" i="79" s="1"/>
  <c r="A10713" i="79" s="1"/>
  <c r="A10714" i="79" s="1"/>
  <c r="A10715" i="79" s="1"/>
  <c r="A10716" i="79" s="1"/>
  <c r="A10717" i="79" s="1"/>
  <c r="A10718" i="79" s="1"/>
  <c r="A10719" i="79" s="1"/>
  <c r="A10720" i="79" s="1"/>
  <c r="A10721" i="79" s="1"/>
  <c r="A10722" i="79" s="1"/>
  <c r="A10723" i="79" s="1"/>
  <c r="A10724" i="79" s="1"/>
  <c r="A10725" i="79" s="1"/>
  <c r="A10726" i="79" s="1"/>
  <c r="A10727" i="79" s="1"/>
  <c r="A10728" i="79" s="1"/>
  <c r="A10729" i="79" s="1"/>
  <c r="A10730" i="79" s="1"/>
  <c r="A10731" i="79" s="1"/>
  <c r="A10732" i="79" s="1"/>
  <c r="A10733" i="79" s="1"/>
  <c r="A10734" i="79" s="1"/>
  <c r="A10735" i="79" s="1"/>
  <c r="A10736" i="79" s="1"/>
  <c r="A10737" i="79" s="1"/>
  <c r="A10738" i="79" s="1"/>
  <c r="A10739" i="79" s="1"/>
  <c r="A10740" i="79" s="1"/>
  <c r="A10741" i="79" s="1"/>
  <c r="A10742" i="79" s="1"/>
  <c r="A10743" i="79" s="1"/>
  <c r="A10744" i="79" s="1"/>
  <c r="A10745" i="79" s="1"/>
  <c r="A10746" i="79" s="1"/>
  <c r="A10747" i="79" s="1"/>
  <c r="A10748" i="79" s="1"/>
  <c r="A10749" i="79" s="1"/>
  <c r="A10750" i="79" s="1"/>
  <c r="A10751" i="79" s="1"/>
  <c r="A10752" i="79" s="1"/>
  <c r="A10753" i="79" s="1"/>
  <c r="A10754" i="79" s="1"/>
  <c r="A10755" i="79" s="1"/>
  <c r="A10756" i="79" s="1"/>
  <c r="A10757" i="79" s="1"/>
  <c r="A10758" i="79" s="1"/>
  <c r="A10759" i="79" s="1"/>
  <c r="A10760" i="79" s="1"/>
  <c r="A10761" i="79" s="1"/>
  <c r="A10762" i="79" s="1"/>
  <c r="A10763" i="79" s="1"/>
  <c r="A10764" i="79" s="1"/>
  <c r="A10765" i="79" s="1"/>
  <c r="A10766" i="79" s="1"/>
  <c r="A10767" i="79" s="1"/>
  <c r="A10768" i="79" s="1"/>
  <c r="A10769" i="79" s="1"/>
  <c r="A10770" i="79" s="1"/>
  <c r="A10771" i="79" s="1"/>
  <c r="A10772" i="79" s="1"/>
  <c r="A10773" i="79" s="1"/>
  <c r="A10774" i="79" s="1"/>
  <c r="A10775" i="79" s="1"/>
  <c r="A10776" i="79" s="1"/>
  <c r="A10777" i="79" s="1"/>
  <c r="A10778" i="79" s="1"/>
  <c r="A10779" i="79" s="1"/>
  <c r="A10780" i="79" s="1"/>
  <c r="A10781" i="79" s="1"/>
  <c r="A10782" i="79" s="1"/>
  <c r="A10783" i="79" s="1"/>
  <c r="A10784" i="79" s="1"/>
  <c r="A10785" i="79" s="1"/>
  <c r="A10786" i="79" s="1"/>
  <c r="A10787" i="79" s="1"/>
  <c r="A10788" i="79" s="1"/>
  <c r="A10789" i="79" s="1"/>
  <c r="A10790" i="79" s="1"/>
  <c r="A10791" i="79" s="1"/>
  <c r="A10792" i="79" s="1"/>
  <c r="A10793" i="79" s="1"/>
  <c r="A10794" i="79" s="1"/>
  <c r="A10795" i="79" s="1"/>
  <c r="A10796" i="79" s="1"/>
  <c r="A10797" i="79" s="1"/>
  <c r="A10798" i="79" s="1"/>
  <c r="A10799" i="79" s="1"/>
  <c r="A10800" i="79" s="1"/>
  <c r="A10801" i="79" s="1"/>
  <c r="A10802" i="79" s="1"/>
  <c r="A10803" i="79" s="1"/>
  <c r="A10804" i="79" s="1"/>
  <c r="A10805" i="79" s="1"/>
  <c r="A10806" i="79" s="1"/>
  <c r="A10807" i="79" s="1"/>
  <c r="A10808" i="79" s="1"/>
  <c r="A10809" i="79" s="1"/>
  <c r="A10810" i="79" s="1"/>
  <c r="A10811" i="79" s="1"/>
  <c r="A10812" i="79" s="1"/>
  <c r="A10813" i="79" s="1"/>
  <c r="A10814" i="79" s="1"/>
  <c r="A10815" i="79" s="1"/>
  <c r="A10816" i="79" s="1"/>
  <c r="A10817" i="79" s="1"/>
  <c r="A10818" i="79" s="1"/>
  <c r="A10819" i="79" s="1"/>
  <c r="A10820" i="79" s="1"/>
  <c r="A10821" i="79" s="1"/>
  <c r="A10822" i="79" s="1"/>
  <c r="A10823" i="79" s="1"/>
  <c r="A10824" i="79" s="1"/>
  <c r="A10825" i="79" s="1"/>
  <c r="A10826" i="79" s="1"/>
  <c r="A10827" i="79" s="1"/>
  <c r="A10828" i="79" s="1"/>
  <c r="A10829" i="79" s="1"/>
  <c r="A10830" i="79" s="1"/>
  <c r="A10831" i="79" s="1"/>
  <c r="A10832" i="79" s="1"/>
  <c r="A10833" i="79" s="1"/>
  <c r="A10834" i="79" s="1"/>
  <c r="A10835" i="79" s="1"/>
  <c r="A10836" i="79" s="1"/>
  <c r="A10837" i="79" s="1"/>
  <c r="A10838" i="79" s="1"/>
  <c r="A10839" i="79" s="1"/>
  <c r="A10840" i="79" s="1"/>
  <c r="A10841" i="79" s="1"/>
  <c r="A10842" i="79" s="1"/>
  <c r="A10843" i="79" s="1"/>
  <c r="A10844" i="79" s="1"/>
  <c r="A10845" i="79" s="1"/>
  <c r="A10846" i="79" s="1"/>
  <c r="A10847" i="79" s="1"/>
  <c r="A10848" i="79" s="1"/>
  <c r="A10849" i="79" s="1"/>
  <c r="A10850" i="79" s="1"/>
  <c r="A10851" i="79" s="1"/>
  <c r="A10852" i="79" s="1"/>
  <c r="A10853" i="79" s="1"/>
  <c r="A10854" i="79" s="1"/>
  <c r="A10855" i="79" s="1"/>
  <c r="A10856" i="79" s="1"/>
  <c r="A10857" i="79" s="1"/>
  <c r="A10858" i="79" s="1"/>
  <c r="A10859" i="79" s="1"/>
  <c r="A10860" i="79" s="1"/>
  <c r="A10861" i="79" s="1"/>
  <c r="A10862" i="79" s="1"/>
  <c r="A10863" i="79" s="1"/>
  <c r="A10864" i="79" s="1"/>
  <c r="A10865" i="79" s="1"/>
  <c r="A10866" i="79" s="1"/>
  <c r="A10867" i="79" s="1"/>
  <c r="A10868" i="79" s="1"/>
  <c r="A10869" i="79" s="1"/>
  <c r="A10870" i="79" s="1"/>
  <c r="A10871" i="79" s="1"/>
  <c r="A10872" i="79" s="1"/>
  <c r="A10873" i="79" s="1"/>
  <c r="A10874" i="79" s="1"/>
  <c r="A10875" i="79" s="1"/>
  <c r="A10876" i="79" s="1"/>
  <c r="A10877" i="79" s="1"/>
  <c r="A10878" i="79" s="1"/>
  <c r="A10879" i="79" s="1"/>
  <c r="A10880" i="79" s="1"/>
  <c r="A10881" i="79" s="1"/>
  <c r="A10882" i="79" s="1"/>
  <c r="A10883" i="79" s="1"/>
  <c r="A10884" i="79" s="1"/>
  <c r="A10885" i="79" s="1"/>
  <c r="A10886" i="79" s="1"/>
  <c r="A10887" i="79" s="1"/>
  <c r="A10888" i="79" s="1"/>
  <c r="A10889" i="79" s="1"/>
  <c r="A10890" i="79" s="1"/>
  <c r="A10891" i="79" s="1"/>
  <c r="A10892" i="79" s="1"/>
  <c r="A10893" i="79" s="1"/>
  <c r="A10894" i="79" s="1"/>
  <c r="A10895" i="79" s="1"/>
  <c r="A10896" i="79" s="1"/>
  <c r="A10897" i="79" s="1"/>
  <c r="A10898" i="79" s="1"/>
  <c r="A10899" i="79" s="1"/>
  <c r="A10900" i="79" s="1"/>
  <c r="A10901" i="79" s="1"/>
  <c r="A10902" i="79" s="1"/>
  <c r="A10903" i="79" s="1"/>
  <c r="A10904" i="79" s="1"/>
  <c r="A10905" i="79" s="1"/>
  <c r="A10906" i="79" s="1"/>
  <c r="A10907" i="79" s="1"/>
  <c r="A10908" i="79" s="1"/>
  <c r="A10909" i="79" s="1"/>
  <c r="A10910" i="79" s="1"/>
  <c r="A10911" i="79" s="1"/>
  <c r="A10912" i="79" s="1"/>
  <c r="A10913" i="79" s="1"/>
  <c r="A10914" i="79" s="1"/>
  <c r="A10915" i="79" s="1"/>
  <c r="A10916" i="79" s="1"/>
  <c r="A10917" i="79" s="1"/>
  <c r="A10918" i="79" s="1"/>
  <c r="A10919" i="79" s="1"/>
  <c r="A10920" i="79" s="1"/>
  <c r="A10921" i="79" s="1"/>
  <c r="A10922" i="79" s="1"/>
  <c r="A10923" i="79" s="1"/>
  <c r="A10924" i="79" s="1"/>
  <c r="A10925" i="79" s="1"/>
  <c r="A10926" i="79" s="1"/>
  <c r="A10927" i="79" s="1"/>
  <c r="A10928" i="79" s="1"/>
  <c r="A10929" i="79" s="1"/>
  <c r="A10930" i="79" s="1"/>
  <c r="A10931" i="79" s="1"/>
  <c r="A10932" i="79" s="1"/>
  <c r="A10933" i="79" s="1"/>
  <c r="A10934" i="79" s="1"/>
  <c r="A10935" i="79" s="1"/>
  <c r="A10936" i="79" s="1"/>
  <c r="A10937" i="79" s="1"/>
  <c r="A10938" i="79" s="1"/>
  <c r="A10939" i="79" s="1"/>
  <c r="A10940" i="79" s="1"/>
  <c r="A10941" i="79" s="1"/>
  <c r="A10942" i="79" s="1"/>
  <c r="A10943" i="79" s="1"/>
  <c r="A10944" i="79" s="1"/>
  <c r="A10945" i="79" s="1"/>
  <c r="A10946" i="79" s="1"/>
  <c r="A10947" i="79" s="1"/>
  <c r="A10948" i="79" s="1"/>
  <c r="A10949" i="79" s="1"/>
  <c r="A10950" i="79" s="1"/>
  <c r="A10951" i="79" s="1"/>
  <c r="A10952" i="79" s="1"/>
  <c r="A10953" i="79" s="1"/>
  <c r="A10954" i="79" s="1"/>
  <c r="A10955" i="79" s="1"/>
  <c r="A10956" i="79" s="1"/>
  <c r="A10957" i="79" s="1"/>
  <c r="A10958" i="79" s="1"/>
  <c r="A10959" i="79" s="1"/>
  <c r="A10960" i="79" s="1"/>
  <c r="A10961" i="79" s="1"/>
  <c r="A10962" i="79" s="1"/>
  <c r="A10963" i="79" s="1"/>
  <c r="A10964" i="79" s="1"/>
  <c r="A10965" i="79" s="1"/>
  <c r="A10966" i="79" s="1"/>
  <c r="A10967" i="79" s="1"/>
  <c r="A10968" i="79" s="1"/>
  <c r="A10969" i="79" s="1"/>
  <c r="A10970" i="79" s="1"/>
  <c r="A10971" i="79" s="1"/>
  <c r="A10972" i="79" s="1"/>
  <c r="A10973" i="79" s="1"/>
  <c r="A10974" i="79" s="1"/>
  <c r="A10975" i="79" s="1"/>
  <c r="A10976" i="79" s="1"/>
  <c r="A10977" i="79" s="1"/>
  <c r="A10978" i="79" s="1"/>
  <c r="A10979" i="79" s="1"/>
  <c r="A10980" i="79" s="1"/>
  <c r="A10981" i="79" s="1"/>
  <c r="A10982" i="79" s="1"/>
  <c r="A10983" i="79" s="1"/>
  <c r="A10984" i="79" s="1"/>
  <c r="A10985" i="79" s="1"/>
  <c r="A10986" i="79" s="1"/>
  <c r="A10987" i="79" s="1"/>
  <c r="A10988" i="79" s="1"/>
  <c r="A10989" i="79" s="1"/>
  <c r="A10990" i="79" s="1"/>
  <c r="A10991" i="79" s="1"/>
  <c r="A10992" i="79" s="1"/>
  <c r="A10993" i="79" s="1"/>
  <c r="A10994" i="79" s="1"/>
  <c r="A10995" i="79" s="1"/>
  <c r="A10996" i="79" s="1"/>
  <c r="A10997" i="79" s="1"/>
  <c r="A10998" i="79" s="1"/>
  <c r="A10999" i="79" s="1"/>
  <c r="A11000" i="79" s="1"/>
  <c r="A11001" i="79" s="1"/>
  <c r="A11002" i="79" s="1"/>
  <c r="A11003" i="79" s="1"/>
  <c r="A11004" i="79" s="1"/>
  <c r="A11005" i="79" s="1"/>
  <c r="A11006" i="79" s="1"/>
  <c r="A11007" i="79" s="1"/>
  <c r="A11008" i="79" s="1"/>
  <c r="A11009" i="79" s="1"/>
  <c r="A11010" i="79" s="1"/>
  <c r="A11011" i="79" s="1"/>
  <c r="A11012" i="79" s="1"/>
  <c r="A11013" i="79" s="1"/>
  <c r="A11014" i="79" s="1"/>
  <c r="A11015" i="79" s="1"/>
  <c r="A11016" i="79" s="1"/>
  <c r="A11017" i="79" s="1"/>
  <c r="A11018" i="79" s="1"/>
  <c r="A11019" i="79" s="1"/>
  <c r="A11020" i="79" s="1"/>
  <c r="A11021" i="79" s="1"/>
  <c r="A11022" i="79" s="1"/>
  <c r="A11023" i="79" s="1"/>
  <c r="A11024" i="79" s="1"/>
  <c r="A11025" i="79" s="1"/>
  <c r="A11026" i="79" s="1"/>
  <c r="A11027" i="79" s="1"/>
  <c r="A11028" i="79" s="1"/>
  <c r="A11029" i="79" s="1"/>
  <c r="A11030" i="79" s="1"/>
  <c r="A11031" i="79" s="1"/>
  <c r="A11032" i="79" s="1"/>
  <c r="A11033" i="79" s="1"/>
  <c r="A11034" i="79" s="1"/>
  <c r="A11035" i="79" s="1"/>
  <c r="A11036" i="79" s="1"/>
  <c r="A11037" i="79" s="1"/>
  <c r="A11038" i="79" s="1"/>
  <c r="A11039" i="79" s="1"/>
  <c r="A11040" i="79" s="1"/>
  <c r="A11041" i="79" s="1"/>
  <c r="A11042" i="79" s="1"/>
  <c r="A11043" i="79" s="1"/>
  <c r="A11044" i="79" s="1"/>
  <c r="A11045" i="79" s="1"/>
  <c r="A11046" i="79" s="1"/>
  <c r="A11047" i="79" s="1"/>
  <c r="A11048" i="79" s="1"/>
  <c r="A11049" i="79" s="1"/>
  <c r="A11050" i="79" s="1"/>
  <c r="A11051" i="79" s="1"/>
  <c r="A11052" i="79" s="1"/>
  <c r="A11053" i="79" s="1"/>
  <c r="A11054" i="79" s="1"/>
  <c r="A11055" i="79" s="1"/>
  <c r="A11056" i="79" s="1"/>
  <c r="A11057" i="79" s="1"/>
  <c r="A11058" i="79" s="1"/>
  <c r="A11059" i="79" s="1"/>
  <c r="A11060" i="79" s="1"/>
  <c r="A11061" i="79" s="1"/>
  <c r="A11062" i="79" s="1"/>
  <c r="A11063" i="79" s="1"/>
  <c r="A11064" i="79" s="1"/>
  <c r="A11065" i="79" s="1"/>
  <c r="A11066" i="79" s="1"/>
  <c r="A11067" i="79" s="1"/>
  <c r="A11068" i="79" s="1"/>
  <c r="A11069" i="79" s="1"/>
  <c r="A11070" i="79" s="1"/>
  <c r="A11071" i="79" s="1"/>
  <c r="A11072" i="79" s="1"/>
  <c r="A11073" i="79" s="1"/>
  <c r="A11074" i="79" s="1"/>
  <c r="A11075" i="79" s="1"/>
  <c r="A11076" i="79" s="1"/>
  <c r="A11077" i="79" s="1"/>
  <c r="A11078" i="79" s="1"/>
  <c r="A11079" i="79" s="1"/>
  <c r="A11080" i="79" s="1"/>
  <c r="A11081" i="79" s="1"/>
  <c r="A11082" i="79" s="1"/>
  <c r="A11083" i="79" s="1"/>
  <c r="A11084" i="79" s="1"/>
  <c r="A11085" i="79" s="1"/>
  <c r="A11086" i="79" s="1"/>
  <c r="A11087" i="79" s="1"/>
  <c r="A11088" i="79" s="1"/>
  <c r="A11089" i="79" s="1"/>
  <c r="A11090" i="79" s="1"/>
  <c r="A11091" i="79" s="1"/>
  <c r="A11092" i="79" s="1"/>
  <c r="A11093" i="79" s="1"/>
  <c r="A11094" i="79" s="1"/>
  <c r="A11095" i="79" s="1"/>
  <c r="A11096" i="79" s="1"/>
  <c r="A11097" i="79" s="1"/>
  <c r="A11098" i="79" s="1"/>
  <c r="A11099" i="79" s="1"/>
  <c r="A11100" i="79" s="1"/>
  <c r="A11101" i="79" s="1"/>
  <c r="A11102" i="79" s="1"/>
  <c r="A11103" i="79" s="1"/>
  <c r="A11104" i="79" s="1"/>
  <c r="A11105" i="79" s="1"/>
  <c r="A11106" i="79" s="1"/>
  <c r="A11107" i="79" s="1"/>
  <c r="A11108" i="79" s="1"/>
  <c r="A11109" i="79" s="1"/>
  <c r="A11110" i="79" s="1"/>
  <c r="A11111" i="79" s="1"/>
  <c r="A11112" i="79" s="1"/>
  <c r="A11113" i="79" s="1"/>
  <c r="A11114" i="79" s="1"/>
  <c r="A11115" i="79" s="1"/>
  <c r="A11116" i="79" s="1"/>
  <c r="A11117" i="79" s="1"/>
  <c r="A11118" i="79" s="1"/>
  <c r="A11119" i="79" s="1"/>
  <c r="A11120" i="79" s="1"/>
  <c r="A11121" i="79" s="1"/>
  <c r="A11122" i="79" s="1"/>
  <c r="A11123" i="79" s="1"/>
  <c r="A11124" i="79" s="1"/>
  <c r="A11125" i="79" s="1"/>
  <c r="A11126" i="79" s="1"/>
  <c r="A11127" i="79" s="1"/>
  <c r="A11128" i="79" s="1"/>
  <c r="A11129" i="79" s="1"/>
  <c r="A11130" i="79" s="1"/>
  <c r="A11131" i="79" s="1"/>
  <c r="A11132" i="79" s="1"/>
  <c r="A11133" i="79" s="1"/>
  <c r="A11134" i="79" s="1"/>
  <c r="A11135" i="79" s="1"/>
  <c r="A11136" i="79" s="1"/>
  <c r="A11137" i="79" s="1"/>
  <c r="A11138" i="79" s="1"/>
  <c r="A11139" i="79" s="1"/>
  <c r="A11140" i="79" s="1"/>
  <c r="A11141" i="79" s="1"/>
  <c r="A11142" i="79" s="1"/>
  <c r="A11143" i="79" s="1"/>
  <c r="A11144" i="79" s="1"/>
  <c r="A11145" i="79" s="1"/>
  <c r="A11146" i="79" s="1"/>
  <c r="A11147" i="79" s="1"/>
  <c r="A11148" i="79" s="1"/>
  <c r="A11149" i="79" s="1"/>
  <c r="A11150" i="79" s="1"/>
  <c r="A11151" i="79" s="1"/>
  <c r="A11152" i="79" s="1"/>
  <c r="A11153" i="79" s="1"/>
  <c r="A11154" i="79" s="1"/>
  <c r="A11155" i="79" s="1"/>
  <c r="A11156" i="79" s="1"/>
  <c r="A11157" i="79" s="1"/>
  <c r="A11158" i="79" s="1"/>
  <c r="A11159" i="79" s="1"/>
  <c r="A11160" i="79" s="1"/>
  <c r="A11161" i="79" s="1"/>
  <c r="A11162" i="79" s="1"/>
  <c r="A11163" i="79" s="1"/>
  <c r="A11164" i="79" s="1"/>
  <c r="A11165" i="79" s="1"/>
  <c r="A11166" i="79" s="1"/>
  <c r="A11167" i="79" s="1"/>
  <c r="A11168" i="79" s="1"/>
  <c r="A11169" i="79" s="1"/>
  <c r="A11170" i="79" s="1"/>
  <c r="A11171" i="79" s="1"/>
  <c r="A11172" i="79" s="1"/>
  <c r="A11173" i="79" s="1"/>
  <c r="A11174" i="79" s="1"/>
  <c r="A11175" i="79" s="1"/>
  <c r="A11176" i="79" s="1"/>
  <c r="A11177" i="79" s="1"/>
  <c r="A11178" i="79" s="1"/>
  <c r="A11179" i="79" s="1"/>
  <c r="A11180" i="79" s="1"/>
  <c r="A11181" i="79" s="1"/>
  <c r="A11182" i="79" s="1"/>
  <c r="A11183" i="79" s="1"/>
  <c r="A11184" i="79" s="1"/>
  <c r="A11185" i="79" s="1"/>
  <c r="A11186" i="79" s="1"/>
  <c r="A11187" i="79" s="1"/>
  <c r="A11188" i="79" s="1"/>
  <c r="A11189" i="79" s="1"/>
  <c r="A11190" i="79" s="1"/>
  <c r="A11191" i="79" s="1"/>
  <c r="A11192" i="79" s="1"/>
  <c r="A11193" i="79" s="1"/>
  <c r="A11194" i="79" s="1"/>
  <c r="A11195" i="79" s="1"/>
  <c r="A11196" i="79" s="1"/>
  <c r="A11197" i="79" s="1"/>
  <c r="A11198" i="79" s="1"/>
  <c r="A11199" i="79" s="1"/>
  <c r="A11200" i="79" s="1"/>
  <c r="A11201" i="79" s="1"/>
  <c r="A11202" i="79" s="1"/>
  <c r="A11203" i="79" s="1"/>
  <c r="A11204" i="79" s="1"/>
  <c r="A11205" i="79" s="1"/>
  <c r="A11206" i="79" s="1"/>
  <c r="A11207" i="79" s="1"/>
  <c r="A11208" i="79" s="1"/>
  <c r="A11209" i="79" s="1"/>
  <c r="A11210" i="79" s="1"/>
  <c r="A11211" i="79" s="1"/>
  <c r="A11212" i="79" s="1"/>
  <c r="A11213" i="79" s="1"/>
  <c r="A11214" i="79" s="1"/>
  <c r="A11215" i="79" s="1"/>
  <c r="A11216" i="79" s="1"/>
  <c r="A11217" i="79" s="1"/>
  <c r="A11218" i="79" s="1"/>
  <c r="A11219" i="79" s="1"/>
  <c r="A11220" i="79" s="1"/>
  <c r="A11221" i="79" s="1"/>
  <c r="A11222" i="79" s="1"/>
  <c r="A11223" i="79" s="1"/>
  <c r="A11224" i="79" s="1"/>
  <c r="A11225" i="79" s="1"/>
  <c r="A11226" i="79" s="1"/>
  <c r="A11227" i="79" s="1"/>
  <c r="A11228" i="79" s="1"/>
  <c r="A11229" i="79" s="1"/>
  <c r="A11230" i="79" s="1"/>
  <c r="A11231" i="79" s="1"/>
  <c r="A11232" i="79" s="1"/>
  <c r="A11233" i="79" s="1"/>
  <c r="A11234" i="79" s="1"/>
  <c r="A11235" i="79" s="1"/>
  <c r="A11236" i="79" s="1"/>
  <c r="A11237" i="79" s="1"/>
  <c r="A11238" i="79" s="1"/>
  <c r="A11239" i="79" s="1"/>
  <c r="A11240" i="79" s="1"/>
  <c r="A11241" i="79" s="1"/>
  <c r="A11242" i="79" s="1"/>
  <c r="A11243" i="79" s="1"/>
  <c r="A11244" i="79" s="1"/>
  <c r="A11245" i="79" s="1"/>
  <c r="A11246" i="79" s="1"/>
  <c r="A11247" i="79" s="1"/>
  <c r="A11248" i="79" s="1"/>
  <c r="A11249" i="79" s="1"/>
  <c r="A11250" i="79" s="1"/>
  <c r="A11251" i="79" s="1"/>
  <c r="A11252" i="79" s="1"/>
  <c r="A11253" i="79" s="1"/>
  <c r="A11254" i="79" s="1"/>
  <c r="A11255" i="79" s="1"/>
  <c r="A11256" i="79" s="1"/>
  <c r="A11257" i="79" s="1"/>
  <c r="A11258" i="79" s="1"/>
  <c r="A11259" i="79" s="1"/>
  <c r="A11260" i="79" s="1"/>
  <c r="A11261" i="79" s="1"/>
  <c r="A11262" i="79" s="1"/>
  <c r="A11263" i="79" s="1"/>
  <c r="A11264" i="79" s="1"/>
  <c r="A11265" i="79" s="1"/>
  <c r="A11266" i="79" s="1"/>
  <c r="A11267" i="79" s="1"/>
  <c r="A11268" i="79" s="1"/>
  <c r="A11269" i="79" s="1"/>
  <c r="A11270" i="79" s="1"/>
  <c r="A11271" i="79" s="1"/>
  <c r="A11272" i="79" s="1"/>
  <c r="A11273" i="79" s="1"/>
  <c r="A11274" i="79" s="1"/>
  <c r="A11275" i="79" s="1"/>
  <c r="A11276" i="79" s="1"/>
  <c r="A11277" i="79" s="1"/>
  <c r="A11278" i="79" s="1"/>
  <c r="A11279" i="79" s="1"/>
  <c r="A11280" i="79" s="1"/>
  <c r="A11281" i="79" s="1"/>
  <c r="A11282" i="79" s="1"/>
  <c r="A11283" i="79" s="1"/>
  <c r="A11284" i="79" s="1"/>
  <c r="A11285" i="79" s="1"/>
  <c r="A11286" i="79" s="1"/>
  <c r="A11287" i="79" s="1"/>
  <c r="A11288" i="79" s="1"/>
  <c r="A11289" i="79" s="1"/>
  <c r="A11290" i="79" s="1"/>
  <c r="A11291" i="79" s="1"/>
  <c r="A11292" i="79" s="1"/>
  <c r="A11293" i="79" s="1"/>
  <c r="A11294" i="79" s="1"/>
  <c r="A11295" i="79" s="1"/>
  <c r="A11296" i="79" s="1"/>
  <c r="A11297" i="79" s="1"/>
  <c r="A11298" i="79" s="1"/>
  <c r="A11299" i="79" s="1"/>
  <c r="A11300" i="79" s="1"/>
  <c r="A11301" i="79" s="1"/>
  <c r="A11302" i="79" s="1"/>
  <c r="A11303" i="79" s="1"/>
  <c r="A11304" i="79" s="1"/>
  <c r="A11305" i="79" s="1"/>
  <c r="A11306" i="79" s="1"/>
  <c r="A11307" i="79" s="1"/>
  <c r="A11308" i="79" s="1"/>
  <c r="A11309" i="79" s="1"/>
  <c r="A11310" i="79" s="1"/>
  <c r="A11311" i="79" s="1"/>
  <c r="A11312" i="79" s="1"/>
  <c r="A11313" i="79" s="1"/>
  <c r="A11314" i="79" s="1"/>
  <c r="A11315" i="79" s="1"/>
  <c r="A11316" i="79" s="1"/>
  <c r="A11317" i="79" s="1"/>
  <c r="A11318" i="79" s="1"/>
  <c r="A11319" i="79" s="1"/>
  <c r="A11320" i="79" s="1"/>
  <c r="A11321" i="79" s="1"/>
  <c r="A11322" i="79" s="1"/>
  <c r="A11323" i="79" s="1"/>
  <c r="A11324" i="79" s="1"/>
  <c r="A11325" i="79" s="1"/>
  <c r="A11326" i="79" s="1"/>
  <c r="A11327" i="79" s="1"/>
  <c r="A11328" i="79" s="1"/>
  <c r="A11329" i="79" s="1"/>
  <c r="A11330" i="79" s="1"/>
  <c r="A11331" i="79" s="1"/>
  <c r="A11332" i="79" s="1"/>
  <c r="A11333" i="79" s="1"/>
  <c r="A11334" i="79" s="1"/>
  <c r="A11335" i="79" s="1"/>
  <c r="A11336" i="79" s="1"/>
  <c r="A11337" i="79" s="1"/>
  <c r="A11338" i="79" s="1"/>
  <c r="A11339" i="79" s="1"/>
  <c r="A11340" i="79" s="1"/>
  <c r="A11341" i="79" s="1"/>
  <c r="A11342" i="79" s="1"/>
  <c r="A11343" i="79" s="1"/>
  <c r="A11344" i="79" s="1"/>
  <c r="A11345" i="79" s="1"/>
  <c r="A11346" i="79" s="1"/>
  <c r="A11347" i="79" s="1"/>
  <c r="A11348" i="79" s="1"/>
  <c r="A11349" i="79" s="1"/>
  <c r="A11350" i="79" s="1"/>
  <c r="A11351" i="79" s="1"/>
  <c r="A11352" i="79" s="1"/>
  <c r="A11353" i="79" s="1"/>
  <c r="A11354" i="79" s="1"/>
  <c r="A11355" i="79" s="1"/>
  <c r="A11356" i="79" s="1"/>
  <c r="A11357" i="79" s="1"/>
  <c r="A11358" i="79" s="1"/>
  <c r="A11359" i="79" s="1"/>
  <c r="A11360" i="79" s="1"/>
  <c r="A11361" i="79" s="1"/>
  <c r="A11362" i="79" s="1"/>
  <c r="A11363" i="79" s="1"/>
  <c r="A11364" i="79" s="1"/>
  <c r="A11365" i="79" s="1"/>
  <c r="A11366" i="79" s="1"/>
  <c r="A11367" i="79" s="1"/>
  <c r="A11368" i="79" s="1"/>
  <c r="A11369" i="79" s="1"/>
  <c r="A11370" i="79" s="1"/>
  <c r="A11371" i="79" s="1"/>
  <c r="A11372" i="79" s="1"/>
  <c r="A11373" i="79" s="1"/>
  <c r="A11374" i="79" s="1"/>
  <c r="A11375" i="79" s="1"/>
  <c r="A11376" i="79" s="1"/>
  <c r="A11377" i="79" s="1"/>
  <c r="A11378" i="79" s="1"/>
  <c r="A11379" i="79" s="1"/>
  <c r="A11380" i="79" s="1"/>
  <c r="A11381" i="79" s="1"/>
  <c r="A11382" i="79" s="1"/>
  <c r="A11383" i="79" s="1"/>
  <c r="A11384" i="79" s="1"/>
  <c r="A11385" i="79" s="1"/>
  <c r="A11386" i="79" s="1"/>
  <c r="A11387" i="79" s="1"/>
  <c r="A11388" i="79" s="1"/>
  <c r="A11389" i="79" s="1"/>
  <c r="A11390" i="79" s="1"/>
  <c r="A11391" i="79" s="1"/>
  <c r="A11392" i="79" s="1"/>
  <c r="A11393" i="79" s="1"/>
  <c r="A11394" i="79" s="1"/>
  <c r="A11395" i="79" s="1"/>
  <c r="A11396" i="79" s="1"/>
  <c r="A11397" i="79" s="1"/>
  <c r="A11398" i="79" s="1"/>
  <c r="A11399" i="79" s="1"/>
  <c r="A11400" i="79" s="1"/>
  <c r="A11401" i="79" s="1"/>
  <c r="A11402" i="79" s="1"/>
  <c r="A11403" i="79" s="1"/>
  <c r="A11404" i="79" s="1"/>
  <c r="A11405" i="79" s="1"/>
  <c r="A11406" i="79" s="1"/>
  <c r="A11407" i="79" s="1"/>
  <c r="A11408" i="79" s="1"/>
  <c r="A11409" i="79" s="1"/>
  <c r="A11410" i="79" s="1"/>
  <c r="A11411" i="79" s="1"/>
  <c r="A11412" i="79" s="1"/>
  <c r="A11413" i="79" s="1"/>
  <c r="A11414" i="79" s="1"/>
  <c r="A11415" i="79" s="1"/>
  <c r="A11416" i="79" s="1"/>
  <c r="A11417" i="79" s="1"/>
  <c r="A11418" i="79" s="1"/>
  <c r="A11419" i="79" s="1"/>
  <c r="A11420" i="79" s="1"/>
  <c r="A11421" i="79" s="1"/>
  <c r="A11422" i="79" s="1"/>
  <c r="A11423" i="79" s="1"/>
  <c r="A11424" i="79" s="1"/>
  <c r="A11425" i="79" s="1"/>
  <c r="A11426" i="79" s="1"/>
  <c r="A11427" i="79" s="1"/>
  <c r="A11428" i="79" s="1"/>
  <c r="A11429" i="79" s="1"/>
  <c r="A11430" i="79" s="1"/>
  <c r="A11431" i="79" s="1"/>
  <c r="A11432" i="79" s="1"/>
  <c r="A11433" i="79" s="1"/>
  <c r="A11434" i="79" s="1"/>
  <c r="A11435" i="79" s="1"/>
  <c r="A11436" i="79" s="1"/>
  <c r="A11437" i="79" s="1"/>
  <c r="A11438" i="79" s="1"/>
  <c r="A11439" i="79" s="1"/>
  <c r="A11440" i="79" s="1"/>
  <c r="A11441" i="79" s="1"/>
  <c r="A11442" i="79" s="1"/>
  <c r="A11443" i="79" s="1"/>
  <c r="A11444" i="79" s="1"/>
  <c r="A11445" i="79" s="1"/>
  <c r="A11446" i="79" s="1"/>
  <c r="A11447" i="79" s="1"/>
  <c r="A11448" i="79" s="1"/>
  <c r="A11449" i="79" s="1"/>
  <c r="A11450" i="79" s="1"/>
  <c r="A11451" i="79" s="1"/>
  <c r="A11452" i="79" s="1"/>
  <c r="A11453" i="79" s="1"/>
  <c r="A11454" i="79" s="1"/>
  <c r="A11455" i="79" s="1"/>
  <c r="A11456" i="79" s="1"/>
  <c r="A11457" i="79" s="1"/>
  <c r="A11458" i="79" s="1"/>
  <c r="A11459" i="79" s="1"/>
  <c r="A11460" i="79" s="1"/>
  <c r="A11461" i="79" s="1"/>
  <c r="A11462" i="79" s="1"/>
  <c r="A11463" i="79" s="1"/>
  <c r="A11464" i="79" s="1"/>
  <c r="A11465" i="79" s="1"/>
  <c r="A11466" i="79" s="1"/>
  <c r="A11467" i="79" s="1"/>
  <c r="A11468" i="79" s="1"/>
  <c r="A11469" i="79" s="1"/>
  <c r="A11470" i="79" s="1"/>
  <c r="A11471" i="79" s="1"/>
  <c r="A11472" i="79" s="1"/>
  <c r="A11473" i="79" s="1"/>
  <c r="A11474" i="79" s="1"/>
  <c r="A11475" i="79" s="1"/>
  <c r="A11476" i="79" s="1"/>
  <c r="A11477" i="79" s="1"/>
  <c r="A11478" i="79" s="1"/>
  <c r="A11479" i="79" s="1"/>
  <c r="A11480" i="79" s="1"/>
  <c r="A11481" i="79" s="1"/>
  <c r="A11482" i="79" s="1"/>
  <c r="A11483" i="79" s="1"/>
  <c r="A11484" i="79" s="1"/>
  <c r="A11485" i="79" s="1"/>
  <c r="A11486" i="79" s="1"/>
  <c r="A11487" i="79" s="1"/>
  <c r="A11488" i="79" s="1"/>
  <c r="A11489" i="79" s="1"/>
  <c r="A11490" i="79" s="1"/>
  <c r="A11491" i="79" s="1"/>
  <c r="A11492" i="79" s="1"/>
  <c r="A11493" i="79" s="1"/>
  <c r="A11494" i="79" s="1"/>
  <c r="A11495" i="79" s="1"/>
  <c r="A11496" i="79" s="1"/>
  <c r="A11497" i="79" s="1"/>
  <c r="A11498" i="79" s="1"/>
  <c r="A11499" i="79" s="1"/>
  <c r="A11500" i="79" s="1"/>
  <c r="A11501" i="79" s="1"/>
  <c r="A11502" i="79" s="1"/>
  <c r="A11503" i="79" s="1"/>
  <c r="A11504" i="79" s="1"/>
  <c r="A11505" i="79" s="1"/>
  <c r="A11506" i="79" s="1"/>
  <c r="A11507" i="79" s="1"/>
  <c r="A11508" i="79" s="1"/>
  <c r="A11509" i="79" s="1"/>
  <c r="A11510" i="79" s="1"/>
  <c r="A11511" i="79" s="1"/>
  <c r="A11512" i="79" s="1"/>
  <c r="A11513" i="79" s="1"/>
  <c r="A11514" i="79" s="1"/>
  <c r="A11515" i="79" s="1"/>
  <c r="A11516" i="79" s="1"/>
  <c r="A11517" i="79" s="1"/>
  <c r="A11518" i="79" s="1"/>
  <c r="A11519" i="79" s="1"/>
  <c r="A11520" i="79" s="1"/>
  <c r="A11521" i="79" s="1"/>
  <c r="A11522" i="79" s="1"/>
  <c r="A11523" i="79" s="1"/>
  <c r="A11524" i="79" s="1"/>
  <c r="A11525" i="79" s="1"/>
  <c r="A11526" i="79" s="1"/>
  <c r="A11527" i="79" s="1"/>
  <c r="A11528" i="79" s="1"/>
  <c r="A11529" i="79" s="1"/>
  <c r="A11530" i="79" s="1"/>
  <c r="A11531" i="79" s="1"/>
  <c r="A11532" i="79" s="1"/>
  <c r="A11533" i="79" s="1"/>
  <c r="A11534" i="79" s="1"/>
  <c r="A11535" i="79" s="1"/>
  <c r="A11536" i="79" s="1"/>
  <c r="A11537" i="79" s="1"/>
  <c r="A11538" i="79" s="1"/>
  <c r="A11539" i="79" s="1"/>
  <c r="A11540" i="79" s="1"/>
  <c r="A11541" i="79" s="1"/>
  <c r="A11542" i="79" s="1"/>
  <c r="A11543" i="79" s="1"/>
  <c r="A11544" i="79" s="1"/>
  <c r="A11545" i="79" s="1"/>
  <c r="A11546" i="79" s="1"/>
  <c r="A11547" i="79" s="1"/>
  <c r="A11548" i="79" s="1"/>
  <c r="A11549" i="79" s="1"/>
  <c r="A11550" i="79" s="1"/>
  <c r="A11551" i="79" s="1"/>
  <c r="A11552" i="79" s="1"/>
  <c r="A11553" i="79" s="1"/>
  <c r="A11554" i="79" s="1"/>
  <c r="A11555" i="79" s="1"/>
  <c r="A11556" i="79" s="1"/>
  <c r="A11557" i="79" s="1"/>
  <c r="A11558" i="79" s="1"/>
  <c r="A11559" i="79" s="1"/>
  <c r="A11560" i="79" s="1"/>
  <c r="A11561" i="79" s="1"/>
  <c r="A11562" i="79" s="1"/>
  <c r="A11563" i="79" s="1"/>
  <c r="A11564" i="79" s="1"/>
  <c r="A11565" i="79" s="1"/>
  <c r="A11566" i="79" s="1"/>
  <c r="A11567" i="79" s="1"/>
  <c r="A11568" i="79" s="1"/>
  <c r="A11569" i="79" s="1"/>
  <c r="A11570" i="79" s="1"/>
  <c r="A11571" i="79" s="1"/>
  <c r="A11572" i="79" s="1"/>
  <c r="A11573" i="79" s="1"/>
  <c r="A11574" i="79" s="1"/>
  <c r="A11575" i="79" s="1"/>
  <c r="A11576" i="79" s="1"/>
  <c r="A11577" i="79" s="1"/>
  <c r="A11578" i="79" s="1"/>
  <c r="A11579" i="79" s="1"/>
  <c r="A11580" i="79" s="1"/>
  <c r="A11581" i="79" s="1"/>
  <c r="A11582" i="79" s="1"/>
  <c r="A11583" i="79" s="1"/>
  <c r="A11584" i="79" s="1"/>
  <c r="A11585" i="79" s="1"/>
  <c r="A11586" i="79" s="1"/>
  <c r="A11587" i="79" s="1"/>
  <c r="A11588" i="79" s="1"/>
  <c r="A11589" i="79" s="1"/>
  <c r="A11590" i="79" s="1"/>
  <c r="A11591" i="79" s="1"/>
  <c r="A11592" i="79" s="1"/>
  <c r="A11593" i="79" s="1"/>
  <c r="A11594" i="79" s="1"/>
  <c r="A11595" i="79" s="1"/>
  <c r="A11596" i="79" s="1"/>
  <c r="A11597" i="79" s="1"/>
  <c r="A11598" i="79" s="1"/>
  <c r="A11599" i="79" s="1"/>
  <c r="A11600" i="79" s="1"/>
  <c r="A11601" i="79" s="1"/>
  <c r="A11602" i="79" s="1"/>
  <c r="A11603" i="79" s="1"/>
  <c r="A11604" i="79" s="1"/>
  <c r="A11605" i="79" s="1"/>
  <c r="A11606" i="79" s="1"/>
  <c r="A11607" i="79" s="1"/>
  <c r="A11608" i="79" s="1"/>
  <c r="A11609" i="79" s="1"/>
  <c r="A11610" i="79" s="1"/>
  <c r="A11611" i="79" s="1"/>
  <c r="A11612" i="79" s="1"/>
  <c r="A11613" i="79" s="1"/>
  <c r="A11614" i="79" s="1"/>
  <c r="A11615" i="79" s="1"/>
  <c r="A11616" i="79" s="1"/>
  <c r="A11617" i="79" s="1"/>
  <c r="A11618" i="79" s="1"/>
  <c r="A11619" i="79" s="1"/>
  <c r="A11620" i="79" s="1"/>
  <c r="A11621" i="79" s="1"/>
  <c r="A11622" i="79" s="1"/>
  <c r="A11623" i="79" s="1"/>
  <c r="A11624" i="79" s="1"/>
  <c r="A11625" i="79" s="1"/>
  <c r="A11626" i="79" s="1"/>
  <c r="A11627" i="79" s="1"/>
  <c r="A11628" i="79" s="1"/>
  <c r="A11629" i="79" s="1"/>
  <c r="A11630" i="79" s="1"/>
  <c r="A11631" i="79" s="1"/>
  <c r="A11632" i="79" s="1"/>
  <c r="A11633" i="79" s="1"/>
  <c r="A11634" i="79" s="1"/>
  <c r="A11635" i="79" s="1"/>
  <c r="A11636" i="79" s="1"/>
  <c r="A11637" i="79" s="1"/>
  <c r="A11638" i="79" s="1"/>
  <c r="A11639" i="79" s="1"/>
  <c r="A11640" i="79" s="1"/>
  <c r="A11641" i="79" s="1"/>
  <c r="A11642" i="79" s="1"/>
  <c r="A11643" i="79" s="1"/>
  <c r="A11644" i="79" s="1"/>
  <c r="A11645" i="79" s="1"/>
  <c r="A11646" i="79" s="1"/>
  <c r="A11647" i="79" s="1"/>
  <c r="A11648" i="79" s="1"/>
  <c r="A11649" i="79" s="1"/>
  <c r="A11650" i="79" s="1"/>
  <c r="A11651" i="79" s="1"/>
  <c r="A11652" i="79" s="1"/>
  <c r="A11653" i="79" s="1"/>
  <c r="A11654" i="79" s="1"/>
  <c r="A11655" i="79" s="1"/>
  <c r="A11656" i="79" s="1"/>
  <c r="A11657" i="79" s="1"/>
  <c r="A11658" i="79" s="1"/>
  <c r="A11659" i="79" s="1"/>
  <c r="A11660" i="79" s="1"/>
  <c r="A11661" i="79" s="1"/>
  <c r="A11662" i="79" s="1"/>
  <c r="A11663" i="79" s="1"/>
  <c r="A11664" i="79" s="1"/>
  <c r="A11665" i="79" s="1"/>
  <c r="A11666" i="79" s="1"/>
  <c r="A11667" i="79" s="1"/>
  <c r="A11668" i="79" s="1"/>
  <c r="A11669" i="79" s="1"/>
  <c r="A11670" i="79" s="1"/>
  <c r="A11671" i="79" s="1"/>
  <c r="A11672" i="79" s="1"/>
  <c r="A11673" i="79" s="1"/>
  <c r="A11674" i="79" s="1"/>
  <c r="A11675" i="79" s="1"/>
  <c r="A11676" i="79" s="1"/>
  <c r="A11677" i="79" s="1"/>
  <c r="A11678" i="79" s="1"/>
  <c r="A11679" i="79" s="1"/>
  <c r="A11680" i="79" s="1"/>
  <c r="A11681" i="79" s="1"/>
  <c r="A11682" i="79" s="1"/>
  <c r="A11683" i="79" s="1"/>
  <c r="A11684" i="79" s="1"/>
  <c r="A11685" i="79" s="1"/>
  <c r="A11686" i="79" s="1"/>
  <c r="A11687" i="79" s="1"/>
  <c r="A11688" i="79" s="1"/>
  <c r="A11689" i="79" s="1"/>
  <c r="A11690" i="79" s="1"/>
  <c r="A11691" i="79" s="1"/>
  <c r="A11692" i="79" s="1"/>
  <c r="A11693" i="79" s="1"/>
  <c r="A11694" i="79" s="1"/>
  <c r="A11695" i="79" s="1"/>
  <c r="A11696" i="79" s="1"/>
  <c r="A11697" i="79" s="1"/>
  <c r="A11698" i="79" s="1"/>
  <c r="A11699" i="79" s="1"/>
  <c r="A11700" i="79" s="1"/>
  <c r="A11701" i="79" s="1"/>
  <c r="A11702" i="79" s="1"/>
  <c r="A11703" i="79" s="1"/>
  <c r="A11704" i="79" s="1"/>
  <c r="A11705" i="79" s="1"/>
  <c r="A11706" i="79" s="1"/>
  <c r="A11707" i="79" s="1"/>
  <c r="A11708" i="79" s="1"/>
  <c r="A11709" i="79" s="1"/>
  <c r="A11710" i="79" s="1"/>
  <c r="A11711" i="79" s="1"/>
  <c r="A11712" i="79" s="1"/>
  <c r="A11713" i="79" s="1"/>
  <c r="A11714" i="79" s="1"/>
  <c r="A11715" i="79" s="1"/>
  <c r="A11716" i="79" s="1"/>
  <c r="A11717" i="79" s="1"/>
  <c r="A11718" i="79" s="1"/>
  <c r="A11719" i="79" s="1"/>
  <c r="A11720" i="79" s="1"/>
  <c r="A11721" i="79" s="1"/>
  <c r="A11722" i="79" s="1"/>
  <c r="A11723" i="79" s="1"/>
  <c r="A11724" i="79" s="1"/>
  <c r="A11725" i="79" s="1"/>
  <c r="A11726" i="79" s="1"/>
  <c r="A11727" i="79" s="1"/>
  <c r="A11728" i="79" s="1"/>
  <c r="A11729" i="79" s="1"/>
  <c r="A11730" i="79" s="1"/>
  <c r="A11731" i="79" s="1"/>
  <c r="A11732" i="79" s="1"/>
  <c r="A11733" i="79" s="1"/>
  <c r="A11734" i="79" s="1"/>
  <c r="A11735" i="79" s="1"/>
  <c r="A11736" i="79" s="1"/>
  <c r="A11737" i="79" s="1"/>
  <c r="A11738" i="79" s="1"/>
  <c r="A11739" i="79" s="1"/>
  <c r="A11740" i="79" s="1"/>
  <c r="A11741" i="79" s="1"/>
  <c r="A11742" i="79" s="1"/>
  <c r="A11743" i="79" s="1"/>
  <c r="A11744" i="79" s="1"/>
  <c r="A11745" i="79" s="1"/>
  <c r="A11746" i="79" s="1"/>
  <c r="A11747" i="79" s="1"/>
  <c r="A11748" i="79" s="1"/>
  <c r="A11749" i="79" s="1"/>
  <c r="A11750" i="79" s="1"/>
  <c r="A11751" i="79" s="1"/>
  <c r="A11752" i="79" s="1"/>
  <c r="A11753" i="79" s="1"/>
  <c r="A11754" i="79" s="1"/>
  <c r="A11755" i="79" s="1"/>
  <c r="A11756" i="79" s="1"/>
  <c r="A11757" i="79" s="1"/>
  <c r="A11758" i="79" s="1"/>
  <c r="A11759" i="79" s="1"/>
  <c r="A11760" i="79" s="1"/>
  <c r="A11761" i="79" s="1"/>
  <c r="A11762" i="79" s="1"/>
  <c r="A11763" i="79" s="1"/>
  <c r="A11764" i="79" s="1"/>
  <c r="A11765" i="79" s="1"/>
  <c r="A11766" i="79" s="1"/>
  <c r="A11767" i="79" s="1"/>
  <c r="A11768" i="79" s="1"/>
  <c r="A11769" i="79" s="1"/>
  <c r="A11770" i="79" s="1"/>
  <c r="A11771" i="79" s="1"/>
  <c r="A11772" i="79" s="1"/>
  <c r="A11773" i="79" s="1"/>
  <c r="A11774" i="79" s="1"/>
  <c r="A11775" i="79" s="1"/>
  <c r="A11776" i="79" s="1"/>
  <c r="A11777" i="79" s="1"/>
  <c r="A11778" i="79" s="1"/>
  <c r="A11779" i="79" s="1"/>
  <c r="A11780" i="79" s="1"/>
  <c r="A11781" i="79" s="1"/>
  <c r="A11782" i="79" s="1"/>
  <c r="A11783" i="79" s="1"/>
  <c r="A11784" i="79" s="1"/>
  <c r="A11785" i="79" s="1"/>
  <c r="A11786" i="79" s="1"/>
  <c r="A11787" i="79" s="1"/>
  <c r="A11788" i="79" s="1"/>
  <c r="A11789" i="79" s="1"/>
  <c r="A11790" i="79" s="1"/>
  <c r="A11791" i="79" s="1"/>
  <c r="A11792" i="79" s="1"/>
  <c r="A11793" i="79" s="1"/>
  <c r="A11794" i="79" s="1"/>
  <c r="A11795" i="79" s="1"/>
  <c r="A11796" i="79" s="1"/>
  <c r="A11797" i="79" s="1"/>
  <c r="A11798" i="79" s="1"/>
  <c r="A11799" i="79" s="1"/>
  <c r="A11800" i="79" s="1"/>
  <c r="A11801" i="79" s="1"/>
  <c r="A11802" i="79" s="1"/>
  <c r="A11803" i="79" s="1"/>
  <c r="A11804" i="79" s="1"/>
  <c r="A11805" i="79" s="1"/>
  <c r="A11806" i="79" s="1"/>
  <c r="A11807" i="79" s="1"/>
  <c r="A11808" i="79" s="1"/>
  <c r="A11809" i="79" s="1"/>
  <c r="A11810" i="79" s="1"/>
  <c r="A11811" i="79" s="1"/>
  <c r="A11812" i="79" s="1"/>
  <c r="A11813" i="79" s="1"/>
  <c r="A11814" i="79" s="1"/>
  <c r="A11815" i="79" s="1"/>
  <c r="A11816" i="79" s="1"/>
  <c r="A11817" i="79" s="1"/>
  <c r="A11818" i="79" s="1"/>
  <c r="A11819" i="79" s="1"/>
  <c r="A11820" i="79" s="1"/>
  <c r="A11821" i="79" s="1"/>
  <c r="A11822" i="79" s="1"/>
  <c r="A11823" i="79" s="1"/>
  <c r="A11824" i="79" s="1"/>
  <c r="A11825" i="79" s="1"/>
  <c r="A11826" i="79" s="1"/>
  <c r="A11827" i="79" s="1"/>
  <c r="A11828" i="79" s="1"/>
  <c r="A11829" i="79" s="1"/>
  <c r="A11830" i="79" s="1"/>
  <c r="A11831" i="79" s="1"/>
  <c r="A11832" i="79" s="1"/>
  <c r="A11833" i="79" s="1"/>
  <c r="A11834" i="79" s="1"/>
  <c r="A11835" i="79" s="1"/>
  <c r="A11836" i="79" s="1"/>
  <c r="A11837" i="79" s="1"/>
  <c r="A11838" i="79" s="1"/>
  <c r="A11839" i="79" s="1"/>
  <c r="A11840" i="79" s="1"/>
  <c r="A11841" i="79" s="1"/>
  <c r="A11842" i="79" s="1"/>
  <c r="A11843" i="79" s="1"/>
  <c r="A11844" i="79" s="1"/>
  <c r="A11845" i="79" s="1"/>
  <c r="A11846" i="79" s="1"/>
  <c r="A11847" i="79" s="1"/>
  <c r="A11848" i="79" s="1"/>
  <c r="A11849" i="79" s="1"/>
  <c r="A11850" i="79" s="1"/>
  <c r="A11851" i="79" s="1"/>
  <c r="A11852" i="79" s="1"/>
  <c r="A11853" i="79" s="1"/>
  <c r="A11854" i="79" s="1"/>
  <c r="A11855" i="79" s="1"/>
  <c r="A11856" i="79" s="1"/>
  <c r="A11857" i="79" s="1"/>
  <c r="A11858" i="79" s="1"/>
  <c r="A11859" i="79" s="1"/>
  <c r="A11860" i="79" s="1"/>
  <c r="A11861" i="79" s="1"/>
  <c r="A11862" i="79" s="1"/>
  <c r="A11863" i="79" s="1"/>
  <c r="A11864" i="79" s="1"/>
  <c r="A11865" i="79" s="1"/>
  <c r="A11866" i="79" s="1"/>
  <c r="A11867" i="79" s="1"/>
  <c r="A11868" i="79" s="1"/>
  <c r="A11869" i="79" s="1"/>
  <c r="A11870" i="79" s="1"/>
  <c r="A11871" i="79" s="1"/>
  <c r="A11872" i="79" s="1"/>
  <c r="A11873" i="79" s="1"/>
  <c r="A11874" i="79" s="1"/>
  <c r="A11875" i="79" s="1"/>
  <c r="A11876" i="79" s="1"/>
  <c r="A11877" i="79" s="1"/>
  <c r="A11878" i="79" s="1"/>
  <c r="A11879" i="79" s="1"/>
  <c r="A11880" i="79" s="1"/>
  <c r="A11881" i="79" s="1"/>
  <c r="A11882" i="79" s="1"/>
  <c r="A11883" i="79" s="1"/>
  <c r="A11884" i="79" s="1"/>
  <c r="A11885" i="79" s="1"/>
  <c r="A11886" i="79" s="1"/>
  <c r="A11887" i="79" s="1"/>
  <c r="A11888" i="79" s="1"/>
  <c r="A11889" i="79" s="1"/>
  <c r="A11890" i="79" s="1"/>
  <c r="A11891" i="79" s="1"/>
  <c r="A11892" i="79" s="1"/>
  <c r="A11893" i="79" s="1"/>
  <c r="A11894" i="79" s="1"/>
  <c r="A11895" i="79" s="1"/>
  <c r="A11896" i="79" s="1"/>
  <c r="A11897" i="79" s="1"/>
  <c r="A11898" i="79" s="1"/>
  <c r="A11899" i="79" s="1"/>
  <c r="A11900" i="79" s="1"/>
  <c r="A11901" i="79" s="1"/>
  <c r="A11902" i="79" s="1"/>
  <c r="A11903" i="79" s="1"/>
  <c r="A11904" i="79" s="1"/>
  <c r="A11905" i="79" s="1"/>
  <c r="A11906" i="79" s="1"/>
  <c r="A11907" i="79" s="1"/>
  <c r="A11908" i="79" s="1"/>
  <c r="A11909" i="79" s="1"/>
  <c r="A11910" i="79" s="1"/>
  <c r="A11911" i="79" s="1"/>
  <c r="A11912" i="79" s="1"/>
  <c r="A11913" i="79" s="1"/>
  <c r="A11914" i="79" s="1"/>
  <c r="A11915" i="79" s="1"/>
  <c r="A11916" i="79" s="1"/>
  <c r="A11917" i="79" s="1"/>
  <c r="A11918" i="79" s="1"/>
  <c r="A11919" i="79" s="1"/>
  <c r="A11920" i="79" s="1"/>
  <c r="A11921" i="79" s="1"/>
  <c r="A11922" i="79" s="1"/>
  <c r="A11923" i="79" s="1"/>
  <c r="A11924" i="79" s="1"/>
  <c r="A11925" i="79" s="1"/>
  <c r="A11926" i="79" s="1"/>
  <c r="A11927" i="79" s="1"/>
  <c r="A11928" i="79" s="1"/>
  <c r="A11929" i="79" s="1"/>
  <c r="A11930" i="79" s="1"/>
  <c r="A11931" i="79" s="1"/>
  <c r="A11932" i="79" s="1"/>
  <c r="A11933" i="79" s="1"/>
  <c r="A11934" i="79" s="1"/>
  <c r="A11935" i="79" s="1"/>
  <c r="A11936" i="79" s="1"/>
  <c r="A11937" i="79" s="1"/>
  <c r="A11938" i="79" s="1"/>
  <c r="A11939" i="79" s="1"/>
  <c r="A11940" i="79" s="1"/>
  <c r="A11941" i="79" s="1"/>
  <c r="A11942" i="79" s="1"/>
  <c r="A11943" i="79" s="1"/>
  <c r="A11944" i="79" s="1"/>
  <c r="A11945" i="79" s="1"/>
  <c r="A11946" i="79" s="1"/>
  <c r="A11947" i="79" s="1"/>
  <c r="A11948" i="79" s="1"/>
  <c r="A11949" i="79" s="1"/>
  <c r="A11950" i="79" s="1"/>
  <c r="A11951" i="79" s="1"/>
  <c r="A11952" i="79" s="1"/>
  <c r="A11953" i="79" s="1"/>
  <c r="A11954" i="79" s="1"/>
  <c r="A11955" i="79" s="1"/>
  <c r="A11956" i="79" s="1"/>
  <c r="A11957" i="79" s="1"/>
  <c r="A11958" i="79" s="1"/>
  <c r="A11959" i="79" s="1"/>
  <c r="A11960" i="79" s="1"/>
  <c r="A11961" i="79" s="1"/>
  <c r="A11962" i="79" s="1"/>
  <c r="A11963" i="79" s="1"/>
  <c r="A11964" i="79" s="1"/>
  <c r="A11965" i="79" s="1"/>
  <c r="A11966" i="79" s="1"/>
  <c r="A11967" i="79" s="1"/>
  <c r="A11968" i="79" s="1"/>
  <c r="A11969" i="79" s="1"/>
  <c r="A11970" i="79" s="1"/>
  <c r="A11971" i="79" s="1"/>
  <c r="A11972" i="79" s="1"/>
  <c r="A11973" i="79" s="1"/>
  <c r="A11974" i="79" s="1"/>
  <c r="A11975" i="79" s="1"/>
  <c r="A11976" i="79" s="1"/>
  <c r="A11977" i="79" s="1"/>
  <c r="A11978" i="79" s="1"/>
  <c r="A11979" i="79" s="1"/>
  <c r="A11980" i="79" s="1"/>
  <c r="A11981" i="79" s="1"/>
  <c r="A11982" i="79" s="1"/>
  <c r="A11983" i="79" s="1"/>
  <c r="A11984" i="79" s="1"/>
  <c r="A11985" i="79" s="1"/>
  <c r="A11986" i="79" s="1"/>
  <c r="A11987" i="79" s="1"/>
  <c r="A11988" i="79" s="1"/>
  <c r="A11989" i="79" s="1"/>
  <c r="A11990" i="79" s="1"/>
  <c r="A11991" i="79" s="1"/>
  <c r="A11992" i="79" s="1"/>
  <c r="A11993" i="79" s="1"/>
  <c r="A11994" i="79" s="1"/>
  <c r="A11995" i="79" s="1"/>
  <c r="A11996" i="79" s="1"/>
  <c r="A11997" i="79" s="1"/>
  <c r="A11998" i="79" s="1"/>
  <c r="A11999" i="79" s="1"/>
  <c r="A12000" i="79" s="1"/>
  <c r="A12001" i="79" s="1"/>
  <c r="A12002" i="79" s="1"/>
  <c r="A12003" i="79" s="1"/>
  <c r="A12004" i="79" s="1"/>
  <c r="A12005" i="79" s="1"/>
  <c r="A12006" i="79" s="1"/>
  <c r="A12007" i="79" s="1"/>
  <c r="A12008" i="79" s="1"/>
  <c r="A12009" i="79" s="1"/>
  <c r="A12010" i="79" s="1"/>
  <c r="A12011" i="79" s="1"/>
  <c r="A12012" i="79" s="1"/>
  <c r="A12013" i="79" s="1"/>
  <c r="A12014" i="79" s="1"/>
  <c r="A12015" i="79" s="1"/>
  <c r="A12016" i="79" s="1"/>
  <c r="A12017" i="79" s="1"/>
  <c r="A12018" i="79" s="1"/>
  <c r="A12019" i="79" s="1"/>
  <c r="A12020" i="79" s="1"/>
  <c r="A12021" i="79" s="1"/>
  <c r="A12022" i="79" s="1"/>
  <c r="A12023" i="79" s="1"/>
  <c r="A12024" i="79" s="1"/>
  <c r="A12025" i="79" s="1"/>
  <c r="A12026" i="79" s="1"/>
  <c r="A12027" i="79" s="1"/>
  <c r="A12028" i="79" s="1"/>
  <c r="A12029" i="79" s="1"/>
  <c r="A12030" i="79" s="1"/>
  <c r="A12031" i="79" s="1"/>
  <c r="A12032" i="79" s="1"/>
  <c r="A12033" i="79" s="1"/>
  <c r="A12034" i="79" s="1"/>
  <c r="A12035" i="79" s="1"/>
  <c r="A12036" i="79" s="1"/>
  <c r="A12037" i="79" s="1"/>
  <c r="A12038" i="79" s="1"/>
  <c r="A12039" i="79" s="1"/>
  <c r="A12040" i="79" s="1"/>
  <c r="A12041" i="79" s="1"/>
  <c r="A12042" i="79" s="1"/>
  <c r="A12043" i="79" s="1"/>
  <c r="A12044" i="79" s="1"/>
  <c r="A12045" i="79" s="1"/>
  <c r="A12046" i="79" s="1"/>
  <c r="A12047" i="79" s="1"/>
  <c r="A12048" i="79" s="1"/>
  <c r="A12049" i="79" s="1"/>
  <c r="A12050" i="79" s="1"/>
  <c r="A12051" i="79" s="1"/>
  <c r="A12052" i="79" s="1"/>
  <c r="A12053" i="79" s="1"/>
  <c r="A12054" i="79" s="1"/>
  <c r="A12055" i="79" s="1"/>
  <c r="A12056" i="79" s="1"/>
  <c r="A12057" i="79" s="1"/>
  <c r="A12058" i="79" s="1"/>
  <c r="A12059" i="79" s="1"/>
  <c r="A12060" i="79" s="1"/>
  <c r="A12061" i="79" s="1"/>
  <c r="A12062" i="79" s="1"/>
  <c r="A12063" i="79" s="1"/>
  <c r="A12064" i="79" s="1"/>
  <c r="A12065" i="79" s="1"/>
  <c r="A12066" i="79" s="1"/>
  <c r="A12067" i="79" s="1"/>
  <c r="A12068" i="79" s="1"/>
  <c r="A12069" i="79" s="1"/>
  <c r="A12070" i="79" s="1"/>
  <c r="A12071" i="79" s="1"/>
  <c r="A12072" i="79" s="1"/>
  <c r="A12073" i="79" s="1"/>
  <c r="A12074" i="79" s="1"/>
  <c r="A12075" i="79" s="1"/>
  <c r="A12076" i="79" s="1"/>
  <c r="A12077" i="79" s="1"/>
  <c r="A12078" i="79" s="1"/>
  <c r="A12079" i="79" s="1"/>
  <c r="A12080" i="79" s="1"/>
  <c r="A12081" i="79" s="1"/>
  <c r="A12082" i="79" s="1"/>
  <c r="A12083" i="79" s="1"/>
  <c r="A12084" i="79" s="1"/>
  <c r="A12085" i="79" s="1"/>
  <c r="A12086" i="79" s="1"/>
  <c r="A12087" i="79" s="1"/>
  <c r="A12088" i="79" s="1"/>
  <c r="A12089" i="79" s="1"/>
  <c r="A12090" i="79" s="1"/>
  <c r="A12091" i="79" s="1"/>
  <c r="A12092" i="79" s="1"/>
  <c r="A12093" i="79" s="1"/>
  <c r="A12094" i="79" s="1"/>
  <c r="A12095" i="79" s="1"/>
  <c r="A12096" i="79" s="1"/>
  <c r="A12097" i="79" s="1"/>
  <c r="A12098" i="79" s="1"/>
  <c r="A12099" i="79" s="1"/>
  <c r="A12100" i="79" s="1"/>
  <c r="A12101" i="79" s="1"/>
  <c r="A12102" i="79" s="1"/>
  <c r="A12103" i="79" s="1"/>
  <c r="A12104" i="79" s="1"/>
  <c r="A12105" i="79" s="1"/>
  <c r="A12106" i="79" s="1"/>
  <c r="A12107" i="79" s="1"/>
  <c r="A12108" i="79" s="1"/>
  <c r="A12109" i="79" s="1"/>
  <c r="A12110" i="79" s="1"/>
  <c r="A12111" i="79" s="1"/>
  <c r="A12112" i="79" s="1"/>
  <c r="A12113" i="79" s="1"/>
  <c r="A12114" i="79" s="1"/>
  <c r="A12115" i="79" s="1"/>
  <c r="A12116" i="79" s="1"/>
  <c r="A12117" i="79" s="1"/>
  <c r="A12118" i="79" s="1"/>
  <c r="A12119" i="79" s="1"/>
  <c r="A12120" i="79" s="1"/>
  <c r="A12121" i="79" s="1"/>
  <c r="A12122" i="79" s="1"/>
  <c r="A12123" i="79" s="1"/>
  <c r="A12124" i="79" s="1"/>
  <c r="A12125" i="79" s="1"/>
  <c r="A12126" i="79" s="1"/>
  <c r="A12127" i="79" s="1"/>
  <c r="A12128" i="79" s="1"/>
  <c r="A12129" i="79" s="1"/>
  <c r="A12130" i="79" s="1"/>
  <c r="A12131" i="79" s="1"/>
  <c r="A12132" i="79" s="1"/>
  <c r="A12133" i="79" s="1"/>
  <c r="A12134" i="79" s="1"/>
  <c r="A12135" i="79" s="1"/>
  <c r="A12136" i="79" s="1"/>
  <c r="A12137" i="79" s="1"/>
  <c r="A12138" i="79" s="1"/>
  <c r="A12139" i="79" s="1"/>
  <c r="A12140" i="79" s="1"/>
  <c r="A12141" i="79" s="1"/>
  <c r="A12142" i="79" s="1"/>
  <c r="A12143" i="79" s="1"/>
  <c r="A12144" i="79" s="1"/>
  <c r="A12145" i="79" s="1"/>
  <c r="A12146" i="79" s="1"/>
  <c r="A12147" i="79" s="1"/>
  <c r="A12148" i="79" s="1"/>
  <c r="A12149" i="79" s="1"/>
  <c r="A12150" i="79" s="1"/>
  <c r="A12151" i="79" s="1"/>
  <c r="A12152" i="79" s="1"/>
  <c r="A12153" i="79" s="1"/>
  <c r="A12154" i="79" s="1"/>
  <c r="A12155" i="79" s="1"/>
  <c r="A12156" i="79" s="1"/>
  <c r="A12157" i="79" s="1"/>
  <c r="A12158" i="79" s="1"/>
  <c r="A12159" i="79" s="1"/>
  <c r="A12160" i="79" s="1"/>
  <c r="A12161" i="79" s="1"/>
  <c r="A12162" i="79" s="1"/>
  <c r="A12163" i="79" s="1"/>
  <c r="A12164" i="79" s="1"/>
  <c r="A12165" i="79" s="1"/>
  <c r="A12166" i="79" s="1"/>
  <c r="A12167" i="79" s="1"/>
  <c r="A12168" i="79" s="1"/>
  <c r="A12169" i="79" s="1"/>
  <c r="A12170" i="79" s="1"/>
  <c r="A12171" i="79" s="1"/>
  <c r="A12172" i="79" s="1"/>
  <c r="A12173" i="79" s="1"/>
  <c r="A12174" i="79" s="1"/>
  <c r="A12175" i="79" s="1"/>
  <c r="A12176" i="79" s="1"/>
  <c r="A12177" i="79" s="1"/>
  <c r="A12178" i="79" s="1"/>
  <c r="A12179" i="79" s="1"/>
  <c r="A12180" i="79" s="1"/>
  <c r="A12181" i="79" s="1"/>
  <c r="A12182" i="79" s="1"/>
  <c r="A12183" i="79" s="1"/>
  <c r="A12184" i="79" s="1"/>
  <c r="A12185" i="79" s="1"/>
  <c r="A12186" i="79" s="1"/>
  <c r="A12187" i="79" s="1"/>
  <c r="A12188" i="79" s="1"/>
  <c r="A12189" i="79" s="1"/>
  <c r="A12190" i="79" s="1"/>
  <c r="A12191" i="79" s="1"/>
  <c r="A12192" i="79" s="1"/>
  <c r="A12193" i="79" s="1"/>
  <c r="A12194" i="79" s="1"/>
  <c r="A12195" i="79" s="1"/>
  <c r="A12196" i="79" s="1"/>
  <c r="A12197" i="79" s="1"/>
  <c r="A12198" i="79" s="1"/>
  <c r="A12199" i="79" s="1"/>
  <c r="A12200" i="79" s="1"/>
  <c r="A12201" i="79" s="1"/>
  <c r="A12202" i="79" s="1"/>
  <c r="A12203" i="79" s="1"/>
  <c r="A12204" i="79" s="1"/>
  <c r="A12205" i="79" s="1"/>
  <c r="A12206" i="79" s="1"/>
  <c r="A12207" i="79" s="1"/>
  <c r="A12208" i="79" s="1"/>
  <c r="A12209" i="79" s="1"/>
  <c r="A12210" i="79" s="1"/>
  <c r="A12211" i="79" s="1"/>
  <c r="A12212" i="79" s="1"/>
  <c r="A12213" i="79" s="1"/>
  <c r="A12214" i="79" s="1"/>
  <c r="A12215" i="79" s="1"/>
  <c r="A12216" i="79" s="1"/>
  <c r="A12217" i="79" s="1"/>
  <c r="A12218" i="79" s="1"/>
  <c r="A12219" i="79" s="1"/>
  <c r="A12220" i="79" s="1"/>
  <c r="A12221" i="79" s="1"/>
  <c r="A12222" i="79" s="1"/>
  <c r="A12223" i="79" s="1"/>
  <c r="A12224" i="79" s="1"/>
  <c r="A12225" i="79" s="1"/>
  <c r="A12226" i="79" s="1"/>
  <c r="A12227" i="79" s="1"/>
  <c r="A12228" i="79" s="1"/>
  <c r="A12229" i="79" s="1"/>
  <c r="A12230" i="79" s="1"/>
  <c r="A12231" i="79" s="1"/>
  <c r="A12232" i="79" s="1"/>
  <c r="A12233" i="79" s="1"/>
  <c r="A12234" i="79" s="1"/>
  <c r="A12235" i="79" s="1"/>
  <c r="A12236" i="79" s="1"/>
  <c r="A12237" i="79" s="1"/>
  <c r="A12238" i="79" s="1"/>
  <c r="A12239" i="79" s="1"/>
  <c r="A12240" i="79" s="1"/>
  <c r="A12241" i="79" s="1"/>
  <c r="A12242" i="79" s="1"/>
  <c r="A12243" i="79" s="1"/>
  <c r="A12244" i="79" s="1"/>
  <c r="A12245" i="79" s="1"/>
  <c r="A12246" i="79" s="1"/>
  <c r="A12247" i="79" s="1"/>
  <c r="A12248" i="79" s="1"/>
  <c r="A12249" i="79" s="1"/>
  <c r="A12250" i="79" s="1"/>
  <c r="A12251" i="79" s="1"/>
  <c r="A12252" i="79" s="1"/>
  <c r="A12253" i="79" s="1"/>
  <c r="A12254" i="79" s="1"/>
  <c r="A12255" i="79" s="1"/>
  <c r="A12256" i="79" s="1"/>
  <c r="A12257" i="79" s="1"/>
  <c r="A12258" i="79" s="1"/>
  <c r="A12259" i="79" s="1"/>
  <c r="A12260" i="79" s="1"/>
  <c r="A12261" i="79" s="1"/>
  <c r="A12262" i="79" s="1"/>
  <c r="A12263" i="79" s="1"/>
  <c r="A12264" i="79" s="1"/>
  <c r="A12265" i="79" s="1"/>
  <c r="A12266" i="79" s="1"/>
  <c r="A12267" i="79" s="1"/>
  <c r="A12268" i="79" s="1"/>
  <c r="A12269" i="79" s="1"/>
  <c r="A12270" i="79" s="1"/>
  <c r="A12271" i="79" s="1"/>
  <c r="A12272" i="79" s="1"/>
  <c r="A12273" i="79" s="1"/>
  <c r="A12274" i="79" s="1"/>
  <c r="A12275" i="79" s="1"/>
  <c r="A12276" i="79" s="1"/>
  <c r="A12277" i="79" s="1"/>
  <c r="A12278" i="79" s="1"/>
  <c r="A12279" i="79" s="1"/>
  <c r="A12280" i="79" s="1"/>
  <c r="A12281" i="79" s="1"/>
  <c r="A12282" i="79" s="1"/>
  <c r="A12283" i="79" s="1"/>
  <c r="A12284" i="79" s="1"/>
  <c r="A12285" i="79" s="1"/>
  <c r="A12286" i="79" s="1"/>
  <c r="A12287" i="79" s="1"/>
  <c r="A12288" i="79" s="1"/>
  <c r="A12289" i="79" s="1"/>
  <c r="A12290" i="79" s="1"/>
  <c r="A12291" i="79" s="1"/>
  <c r="A12292" i="79" s="1"/>
  <c r="A12293" i="79" s="1"/>
  <c r="A12294" i="79" s="1"/>
  <c r="A12295" i="79" s="1"/>
  <c r="A12296" i="79" s="1"/>
  <c r="A12297" i="79" s="1"/>
  <c r="A12298" i="79" s="1"/>
  <c r="A12299" i="79" s="1"/>
  <c r="A12300" i="79" s="1"/>
  <c r="A12301" i="79" s="1"/>
  <c r="A12302" i="79" s="1"/>
  <c r="A12303" i="79" s="1"/>
  <c r="A12304" i="79" s="1"/>
  <c r="A12305" i="79" s="1"/>
  <c r="A12306" i="79" s="1"/>
  <c r="A12307" i="79" s="1"/>
  <c r="A12308" i="79" s="1"/>
  <c r="A12309" i="79" s="1"/>
  <c r="A12310" i="79" s="1"/>
  <c r="A12311" i="79" s="1"/>
  <c r="A12312" i="79" s="1"/>
  <c r="A12313" i="79" s="1"/>
  <c r="A12314" i="79" s="1"/>
  <c r="A12315" i="79" s="1"/>
  <c r="A12316" i="79" s="1"/>
  <c r="A12317" i="79" s="1"/>
  <c r="A12318" i="79" s="1"/>
  <c r="A12319" i="79" s="1"/>
  <c r="A12320" i="79" s="1"/>
  <c r="A12321" i="79" s="1"/>
  <c r="A12322" i="79" s="1"/>
  <c r="A12323" i="79" s="1"/>
  <c r="A12324" i="79" s="1"/>
  <c r="A12325" i="79" s="1"/>
  <c r="A12326" i="79" s="1"/>
  <c r="A12327" i="79" s="1"/>
  <c r="A12328" i="79" s="1"/>
  <c r="A12329" i="79" s="1"/>
  <c r="A12330" i="79" s="1"/>
  <c r="A12331" i="79" s="1"/>
  <c r="A12332" i="79" s="1"/>
  <c r="A12333" i="79" s="1"/>
  <c r="A12334" i="79" s="1"/>
  <c r="A12335" i="79" s="1"/>
  <c r="A12336" i="79" s="1"/>
  <c r="A12337" i="79" s="1"/>
  <c r="A12338" i="79" s="1"/>
  <c r="A12339" i="79" s="1"/>
  <c r="A12340" i="79" s="1"/>
  <c r="A12341" i="79" s="1"/>
  <c r="A12342" i="79" s="1"/>
  <c r="A12343" i="79" s="1"/>
  <c r="A12344" i="79" s="1"/>
  <c r="A12345" i="79" s="1"/>
  <c r="A12346" i="79" s="1"/>
  <c r="A12347" i="79" s="1"/>
  <c r="A12348" i="79" s="1"/>
  <c r="A12349" i="79" s="1"/>
  <c r="A12350" i="79" s="1"/>
  <c r="A12351" i="79" s="1"/>
  <c r="A12352" i="79" s="1"/>
  <c r="A12353" i="79" s="1"/>
  <c r="A12354" i="79" s="1"/>
  <c r="A12355" i="79" s="1"/>
  <c r="A12356" i="79" s="1"/>
  <c r="A12357" i="79" s="1"/>
  <c r="A12358" i="79" s="1"/>
  <c r="A12359" i="79" s="1"/>
  <c r="A12360" i="79" s="1"/>
  <c r="A12361" i="79" s="1"/>
  <c r="A12362" i="79" s="1"/>
  <c r="A12363" i="79" s="1"/>
  <c r="A12364" i="79" s="1"/>
  <c r="A12365" i="79" s="1"/>
  <c r="A12366" i="79" s="1"/>
  <c r="A12367" i="79" s="1"/>
  <c r="A12368" i="79" s="1"/>
  <c r="A12369" i="79" s="1"/>
  <c r="A12370" i="79" s="1"/>
  <c r="A12371" i="79" s="1"/>
  <c r="A12372" i="79" s="1"/>
  <c r="A12373" i="79" s="1"/>
  <c r="A12374" i="79" s="1"/>
  <c r="A12375" i="79" s="1"/>
  <c r="A12376" i="79" s="1"/>
  <c r="A12377" i="79" s="1"/>
  <c r="A12378" i="79" s="1"/>
  <c r="A12379" i="79" s="1"/>
  <c r="A12380" i="79" s="1"/>
  <c r="A12381" i="79" s="1"/>
  <c r="A12382" i="79" s="1"/>
  <c r="A12383" i="79" s="1"/>
  <c r="A12384" i="79" s="1"/>
  <c r="A12385" i="79" s="1"/>
  <c r="A12386" i="79" s="1"/>
  <c r="A12387" i="79" s="1"/>
  <c r="A12388" i="79" s="1"/>
  <c r="A12389" i="79" s="1"/>
  <c r="A12390" i="79" s="1"/>
  <c r="A12391" i="79" s="1"/>
  <c r="A12392" i="79" s="1"/>
  <c r="A12393" i="79" s="1"/>
  <c r="A12394" i="79" s="1"/>
  <c r="A12395" i="79" s="1"/>
  <c r="A12396" i="79" s="1"/>
  <c r="A12397" i="79" s="1"/>
  <c r="A12398" i="79" s="1"/>
  <c r="A12399" i="79" s="1"/>
  <c r="A12400" i="79" s="1"/>
  <c r="A12401" i="79" s="1"/>
  <c r="A12402" i="79" s="1"/>
  <c r="A12403" i="79" s="1"/>
  <c r="A12404" i="79" s="1"/>
  <c r="A12405" i="79" s="1"/>
  <c r="A12406" i="79" s="1"/>
  <c r="A12407" i="79" s="1"/>
  <c r="A12408" i="79" s="1"/>
  <c r="A12409" i="79" s="1"/>
  <c r="A12410" i="79" s="1"/>
  <c r="A12411" i="79" s="1"/>
  <c r="A12412" i="79" s="1"/>
  <c r="A12413" i="79" s="1"/>
  <c r="A12414" i="79" s="1"/>
  <c r="A12415" i="79" s="1"/>
  <c r="A12416" i="79" s="1"/>
  <c r="A12417" i="79" s="1"/>
  <c r="A12418" i="79" s="1"/>
  <c r="A12419" i="79" s="1"/>
  <c r="A12420" i="79" s="1"/>
  <c r="A12421" i="79" s="1"/>
  <c r="A12422" i="79" s="1"/>
  <c r="A12423" i="79" s="1"/>
  <c r="A12424" i="79" s="1"/>
  <c r="A12425" i="79" s="1"/>
  <c r="A12426" i="79" s="1"/>
  <c r="A12427" i="79" s="1"/>
  <c r="A12428" i="79" s="1"/>
  <c r="A12429" i="79" s="1"/>
  <c r="A12430" i="79" s="1"/>
  <c r="A12431" i="79" s="1"/>
  <c r="A12432" i="79" s="1"/>
  <c r="A12433" i="79" s="1"/>
  <c r="A12434" i="79" s="1"/>
  <c r="A12435" i="79" s="1"/>
  <c r="A12436" i="79" s="1"/>
  <c r="A12437" i="79" s="1"/>
  <c r="A12438" i="79" s="1"/>
  <c r="A12439" i="79" s="1"/>
  <c r="A12440" i="79" s="1"/>
  <c r="A12441" i="79" s="1"/>
  <c r="A12442" i="79" s="1"/>
  <c r="A12443" i="79" s="1"/>
  <c r="A12444" i="79" s="1"/>
  <c r="A12445" i="79" s="1"/>
  <c r="A12446" i="79" s="1"/>
  <c r="A12447" i="79" s="1"/>
  <c r="A12448" i="79" s="1"/>
  <c r="A12449" i="79" s="1"/>
  <c r="A12450" i="79" s="1"/>
  <c r="A12451" i="79" s="1"/>
  <c r="A12452" i="79" s="1"/>
  <c r="A12453" i="79" s="1"/>
  <c r="A12454" i="79" s="1"/>
  <c r="A12455" i="79" s="1"/>
  <c r="A12456" i="79" s="1"/>
  <c r="A12457" i="79" s="1"/>
  <c r="A12458" i="79" s="1"/>
  <c r="A12459" i="79" s="1"/>
  <c r="A12460" i="79" s="1"/>
  <c r="A12461" i="79" s="1"/>
  <c r="A12462" i="79" s="1"/>
  <c r="A12463" i="79" s="1"/>
  <c r="A12464" i="79" s="1"/>
  <c r="A12465" i="79" s="1"/>
  <c r="A12466" i="79" s="1"/>
  <c r="A12467" i="79" s="1"/>
  <c r="A12468" i="79" s="1"/>
  <c r="A12469" i="79" s="1"/>
  <c r="A12470" i="79" s="1"/>
  <c r="A12471" i="79" s="1"/>
  <c r="A12472" i="79" s="1"/>
  <c r="A12473" i="79" s="1"/>
  <c r="A12474" i="79" s="1"/>
  <c r="A12475" i="79" s="1"/>
  <c r="A12476" i="79" s="1"/>
  <c r="A12477" i="79" s="1"/>
  <c r="A12478" i="79" s="1"/>
  <c r="A12479" i="79" s="1"/>
  <c r="A12480" i="79" s="1"/>
  <c r="A12481" i="79" s="1"/>
  <c r="A12482" i="79" s="1"/>
  <c r="A12483" i="79" s="1"/>
  <c r="A12484" i="79" s="1"/>
  <c r="A12485" i="79" s="1"/>
  <c r="A12486" i="79" s="1"/>
  <c r="A12487" i="79" s="1"/>
  <c r="A12488" i="79" s="1"/>
  <c r="A12489" i="79" s="1"/>
  <c r="A12490" i="79" s="1"/>
  <c r="A12491" i="79" s="1"/>
  <c r="A12492" i="79" s="1"/>
  <c r="A12493" i="79" s="1"/>
  <c r="A12494" i="79" s="1"/>
  <c r="A12495" i="79" s="1"/>
  <c r="A12496" i="79" s="1"/>
  <c r="A12497" i="79" s="1"/>
  <c r="A12498" i="79" s="1"/>
  <c r="A12499" i="79" s="1"/>
  <c r="A12500" i="79" s="1"/>
  <c r="A12501" i="79" s="1"/>
  <c r="A12502" i="79" s="1"/>
  <c r="A12503" i="79" s="1"/>
  <c r="A12504" i="79" s="1"/>
  <c r="A12505" i="79" s="1"/>
  <c r="A12506" i="79" s="1"/>
  <c r="A12507" i="79" s="1"/>
  <c r="A12508" i="79" s="1"/>
  <c r="A12509" i="79" s="1"/>
  <c r="A12510" i="79" s="1"/>
  <c r="A12511" i="79" s="1"/>
  <c r="A12512" i="79" s="1"/>
  <c r="A12513" i="79" s="1"/>
  <c r="A12514" i="79" s="1"/>
  <c r="A12515" i="79" s="1"/>
  <c r="A12516" i="79" s="1"/>
  <c r="A12517" i="79" s="1"/>
  <c r="A12518" i="79" s="1"/>
  <c r="A12519" i="79" s="1"/>
  <c r="A12520" i="79" s="1"/>
  <c r="A12521" i="79" s="1"/>
  <c r="A12522" i="79" s="1"/>
  <c r="A12523" i="79" s="1"/>
  <c r="A12524" i="79" s="1"/>
  <c r="A12525" i="79" s="1"/>
  <c r="A12526" i="79" s="1"/>
  <c r="A12527" i="79" s="1"/>
  <c r="A12528" i="79" s="1"/>
  <c r="A12529" i="79" s="1"/>
  <c r="A12530" i="79" s="1"/>
  <c r="A12531" i="79" s="1"/>
  <c r="A12532" i="79" s="1"/>
  <c r="A12533" i="79" s="1"/>
  <c r="A12534" i="79" s="1"/>
  <c r="A12535" i="79" s="1"/>
  <c r="A12536" i="79" s="1"/>
  <c r="A12537" i="79" s="1"/>
  <c r="A12538" i="79" s="1"/>
  <c r="A12539" i="79" s="1"/>
  <c r="A12540" i="79" s="1"/>
  <c r="A12541" i="79" s="1"/>
  <c r="A12542" i="79" s="1"/>
  <c r="A12543" i="79" s="1"/>
  <c r="A12544" i="79" s="1"/>
  <c r="A12545" i="79" s="1"/>
  <c r="A12546" i="79" s="1"/>
  <c r="A12547" i="79" s="1"/>
  <c r="A12548" i="79" s="1"/>
  <c r="A12549" i="79" s="1"/>
  <c r="A12550" i="79" s="1"/>
  <c r="A12551" i="79" s="1"/>
  <c r="A12552" i="79" s="1"/>
  <c r="A12553" i="79" s="1"/>
  <c r="A12554" i="79" s="1"/>
  <c r="A12555" i="79" s="1"/>
  <c r="A12556" i="79" s="1"/>
  <c r="A12557" i="79" s="1"/>
  <c r="A12558" i="79" s="1"/>
  <c r="A12559" i="79" s="1"/>
  <c r="A12560" i="79" s="1"/>
  <c r="A12561" i="79" s="1"/>
  <c r="A12562" i="79" s="1"/>
  <c r="A12563" i="79" s="1"/>
  <c r="A12564" i="79" s="1"/>
  <c r="A12565" i="79" s="1"/>
  <c r="A12566" i="79" s="1"/>
  <c r="A12567" i="79" s="1"/>
  <c r="A12568" i="79" s="1"/>
  <c r="A12569" i="79" s="1"/>
  <c r="A12570" i="79" s="1"/>
  <c r="A12571" i="79" s="1"/>
  <c r="A12572" i="79" s="1"/>
  <c r="A12573" i="79" s="1"/>
  <c r="A12574" i="79" s="1"/>
  <c r="A12575" i="79" s="1"/>
  <c r="A12576" i="79" s="1"/>
  <c r="A12577" i="79" s="1"/>
  <c r="A12578" i="79" s="1"/>
  <c r="A12579" i="79" s="1"/>
  <c r="A12580" i="79" s="1"/>
  <c r="A12581" i="79" s="1"/>
  <c r="A12582" i="79" s="1"/>
  <c r="A12583" i="79" s="1"/>
  <c r="A12584" i="79" s="1"/>
  <c r="A12585" i="79" s="1"/>
  <c r="A12586" i="79" s="1"/>
  <c r="A12587" i="79" s="1"/>
  <c r="A12588" i="79" s="1"/>
  <c r="A12589" i="79" s="1"/>
  <c r="A12590" i="79" s="1"/>
  <c r="A12591" i="79" s="1"/>
  <c r="A12592" i="79" s="1"/>
  <c r="A12593" i="79" s="1"/>
  <c r="A12594" i="79" s="1"/>
  <c r="A12595" i="79" s="1"/>
  <c r="A12596" i="79" s="1"/>
  <c r="A12597" i="79" s="1"/>
  <c r="A12598" i="79" s="1"/>
  <c r="A12599" i="79" s="1"/>
  <c r="A12600" i="79" s="1"/>
  <c r="A12601" i="79" s="1"/>
  <c r="A12602" i="79" s="1"/>
  <c r="A12603" i="79" s="1"/>
  <c r="A12604" i="79" s="1"/>
  <c r="A12605" i="79" s="1"/>
  <c r="A12606" i="79" s="1"/>
  <c r="A12607" i="79" s="1"/>
  <c r="A12608" i="79" s="1"/>
  <c r="A12609" i="79" s="1"/>
  <c r="A12610" i="79" s="1"/>
  <c r="A12611" i="79" s="1"/>
  <c r="A12612" i="79" s="1"/>
  <c r="A12613" i="79" s="1"/>
  <c r="A12614" i="79" s="1"/>
  <c r="A12615" i="79" s="1"/>
  <c r="A12616" i="79" s="1"/>
  <c r="A12617" i="79" s="1"/>
  <c r="A12618" i="79" s="1"/>
  <c r="A12619" i="79" s="1"/>
  <c r="A12620" i="79" s="1"/>
  <c r="A12621" i="79" s="1"/>
  <c r="A12622" i="79" s="1"/>
  <c r="A12623" i="79" s="1"/>
  <c r="A12624" i="79" s="1"/>
  <c r="A12625" i="79" s="1"/>
  <c r="A12626" i="79" s="1"/>
  <c r="A12627" i="79" s="1"/>
  <c r="A12628" i="79" s="1"/>
  <c r="A12629" i="79" s="1"/>
  <c r="A12630" i="79" s="1"/>
  <c r="A12631" i="79" s="1"/>
  <c r="A12632" i="79" s="1"/>
  <c r="A12633" i="79" s="1"/>
  <c r="A12634" i="79" s="1"/>
  <c r="A12635" i="79" s="1"/>
  <c r="A12636" i="79" s="1"/>
  <c r="A12637" i="79" s="1"/>
  <c r="A12638" i="79" s="1"/>
  <c r="A12639" i="79" s="1"/>
  <c r="A12640" i="79" s="1"/>
  <c r="A12641" i="79" s="1"/>
  <c r="A12642" i="79" s="1"/>
  <c r="A12643" i="79" s="1"/>
  <c r="A12644" i="79" s="1"/>
  <c r="A12645" i="79" s="1"/>
  <c r="A12646" i="79" s="1"/>
  <c r="A12647" i="79" s="1"/>
  <c r="A12648" i="79" s="1"/>
  <c r="A12649" i="79" s="1"/>
  <c r="A12650" i="79" s="1"/>
  <c r="A12651" i="79" s="1"/>
  <c r="A12652" i="79" s="1"/>
  <c r="A12653" i="79" s="1"/>
  <c r="A12654" i="79" s="1"/>
  <c r="A12655" i="79" s="1"/>
  <c r="A12656" i="79" s="1"/>
  <c r="A12657" i="79" s="1"/>
  <c r="A12658" i="79" s="1"/>
  <c r="A12659" i="79" s="1"/>
  <c r="A12660" i="79" s="1"/>
  <c r="A12661" i="79" s="1"/>
  <c r="A12662" i="79" s="1"/>
  <c r="A12663" i="79" s="1"/>
  <c r="A12664" i="79" s="1"/>
  <c r="A12665" i="79" s="1"/>
  <c r="A12666" i="79" s="1"/>
  <c r="A12667" i="79" s="1"/>
  <c r="A12668" i="79" s="1"/>
  <c r="A12669" i="79" s="1"/>
  <c r="A12670" i="79" s="1"/>
  <c r="A12671" i="79" s="1"/>
  <c r="A12672" i="79" s="1"/>
  <c r="A12673" i="79" s="1"/>
  <c r="A12674" i="79" s="1"/>
  <c r="A12675" i="79" s="1"/>
  <c r="A12676" i="79" s="1"/>
  <c r="A12677" i="79" s="1"/>
  <c r="A12678" i="79" s="1"/>
  <c r="A12679" i="79" s="1"/>
  <c r="A12680" i="79" s="1"/>
  <c r="A12681" i="79" s="1"/>
  <c r="A12682" i="79" s="1"/>
  <c r="A12683" i="79" s="1"/>
  <c r="A12684" i="79" s="1"/>
  <c r="A12685" i="79" s="1"/>
  <c r="A12686" i="79" s="1"/>
  <c r="A12687" i="79" s="1"/>
  <c r="A12688" i="79" s="1"/>
  <c r="A12689" i="79" s="1"/>
  <c r="A12690" i="79" s="1"/>
  <c r="A12691" i="79" s="1"/>
  <c r="A12692" i="79" s="1"/>
  <c r="A12693" i="79" s="1"/>
  <c r="A12694" i="79" s="1"/>
  <c r="A12695" i="79" s="1"/>
  <c r="A12696" i="79" s="1"/>
  <c r="A12697" i="79" s="1"/>
  <c r="A12698" i="79" s="1"/>
  <c r="A12699" i="79" s="1"/>
  <c r="A12700" i="79" s="1"/>
  <c r="A12701" i="79" s="1"/>
  <c r="A12702" i="79" s="1"/>
  <c r="A12703" i="79" s="1"/>
  <c r="A12704" i="79" s="1"/>
  <c r="A12705" i="79" s="1"/>
  <c r="A12706" i="79" s="1"/>
  <c r="A12707" i="79" s="1"/>
  <c r="A12708" i="79" s="1"/>
  <c r="A12709" i="79" s="1"/>
  <c r="A12710" i="79" s="1"/>
  <c r="A12711" i="79" s="1"/>
  <c r="A12712" i="79" s="1"/>
  <c r="A12713" i="79" s="1"/>
  <c r="A12714" i="79" s="1"/>
  <c r="A12715" i="79" s="1"/>
  <c r="A12716" i="79" s="1"/>
  <c r="A12717" i="79" s="1"/>
  <c r="A12718" i="79" s="1"/>
  <c r="A12719" i="79" s="1"/>
  <c r="A12720" i="79" s="1"/>
  <c r="A12721" i="79" s="1"/>
  <c r="A12722" i="79" s="1"/>
  <c r="A12723" i="79" s="1"/>
  <c r="A12724" i="79" s="1"/>
  <c r="A12725" i="79" s="1"/>
  <c r="A12726" i="79" s="1"/>
  <c r="A12727" i="79" s="1"/>
  <c r="A12728" i="79" s="1"/>
  <c r="A12729" i="79" s="1"/>
  <c r="A12730" i="79" s="1"/>
  <c r="A12731" i="79" s="1"/>
  <c r="A12732" i="79" s="1"/>
  <c r="A12733" i="79" s="1"/>
  <c r="A12734" i="79" s="1"/>
  <c r="A12735" i="79" s="1"/>
  <c r="A12736" i="79" s="1"/>
  <c r="A12737" i="79" s="1"/>
  <c r="A12738" i="79" s="1"/>
  <c r="A12739" i="79" s="1"/>
  <c r="A12740" i="79" s="1"/>
  <c r="A12741" i="79" s="1"/>
  <c r="A12742" i="79" s="1"/>
  <c r="A12743" i="79" s="1"/>
  <c r="A12744" i="79" s="1"/>
  <c r="A12745" i="79" s="1"/>
  <c r="A12746" i="79" s="1"/>
  <c r="A12747" i="79" s="1"/>
  <c r="A12748" i="79" s="1"/>
  <c r="A12749" i="79" s="1"/>
  <c r="A12750" i="79" s="1"/>
  <c r="A12751" i="79" s="1"/>
  <c r="A12752" i="79" s="1"/>
  <c r="A12753" i="79" s="1"/>
  <c r="A12754" i="79" s="1"/>
  <c r="A12755" i="79" s="1"/>
  <c r="A12756" i="79" s="1"/>
  <c r="A12757" i="79" s="1"/>
  <c r="A12758" i="79" s="1"/>
  <c r="A12759" i="79" s="1"/>
  <c r="A12760" i="79" s="1"/>
  <c r="A12761" i="79" s="1"/>
  <c r="A12762" i="79" s="1"/>
  <c r="A12763" i="79" s="1"/>
  <c r="A12764" i="79" s="1"/>
  <c r="A12765" i="79" s="1"/>
  <c r="A12766" i="79" s="1"/>
  <c r="A12767" i="79" s="1"/>
  <c r="A12768" i="79" s="1"/>
  <c r="A12769" i="79" s="1"/>
  <c r="A12770" i="79" s="1"/>
  <c r="A12771" i="79" s="1"/>
  <c r="A12772" i="79" s="1"/>
  <c r="A12773" i="79" s="1"/>
  <c r="A12774" i="79" s="1"/>
  <c r="A12775" i="79" s="1"/>
  <c r="A12776" i="79" s="1"/>
  <c r="A12777" i="79" s="1"/>
  <c r="A12778" i="79" s="1"/>
  <c r="A12779" i="79" s="1"/>
  <c r="A12780" i="79" s="1"/>
  <c r="A12781" i="79" s="1"/>
  <c r="A12782" i="79" s="1"/>
  <c r="A12783" i="79" s="1"/>
  <c r="A12784" i="79" s="1"/>
  <c r="A12785" i="79" s="1"/>
  <c r="A12786" i="79" s="1"/>
  <c r="A12787" i="79" s="1"/>
  <c r="A12788" i="79" s="1"/>
  <c r="A12789" i="79" s="1"/>
  <c r="A12790" i="79" s="1"/>
  <c r="A12791" i="79" s="1"/>
  <c r="A12792" i="79" s="1"/>
  <c r="A12793" i="79" s="1"/>
  <c r="A12794" i="79" s="1"/>
  <c r="A12795" i="79" s="1"/>
  <c r="A12796" i="79" s="1"/>
  <c r="A12797" i="79" s="1"/>
  <c r="A12798" i="79" s="1"/>
  <c r="A12799" i="79" s="1"/>
  <c r="A12800" i="79" s="1"/>
  <c r="A12801" i="79" s="1"/>
  <c r="A12802" i="79" s="1"/>
  <c r="A12803" i="79" s="1"/>
  <c r="A12804" i="79" s="1"/>
  <c r="A12805" i="79" s="1"/>
  <c r="A12806" i="79" s="1"/>
  <c r="A12807" i="79" s="1"/>
  <c r="A12808" i="79" s="1"/>
  <c r="A12809" i="79" s="1"/>
  <c r="A12810" i="79" s="1"/>
  <c r="A12811" i="79" s="1"/>
  <c r="A12812" i="79" s="1"/>
  <c r="A12813" i="79" s="1"/>
  <c r="A12814" i="79" s="1"/>
  <c r="A12815" i="79" s="1"/>
  <c r="A12816" i="79" s="1"/>
  <c r="A12817" i="79" s="1"/>
  <c r="A12818" i="79" s="1"/>
  <c r="A12819" i="79" s="1"/>
  <c r="A12820" i="79" s="1"/>
  <c r="A12821" i="79" s="1"/>
  <c r="A12822" i="79" s="1"/>
  <c r="A12823" i="79" s="1"/>
  <c r="A12824" i="79" s="1"/>
  <c r="A12825" i="79" s="1"/>
  <c r="A12826" i="79" s="1"/>
  <c r="A12827" i="79" s="1"/>
  <c r="A12828" i="79" s="1"/>
  <c r="A12829" i="79" s="1"/>
  <c r="A12830" i="79" s="1"/>
  <c r="A12831" i="79" s="1"/>
  <c r="A12832" i="79" s="1"/>
  <c r="A12833" i="79" s="1"/>
  <c r="A12834" i="79" s="1"/>
  <c r="A12835" i="79" s="1"/>
  <c r="A12836" i="79" s="1"/>
  <c r="A12837" i="79" s="1"/>
  <c r="A12838" i="79" s="1"/>
  <c r="A12839" i="79" s="1"/>
  <c r="A12840" i="79" s="1"/>
  <c r="A12841" i="79" s="1"/>
  <c r="A12842" i="79" s="1"/>
  <c r="A12843" i="79" s="1"/>
  <c r="A12844" i="79" s="1"/>
  <c r="A12845" i="79" s="1"/>
  <c r="A12846" i="79" s="1"/>
  <c r="A12847" i="79" s="1"/>
  <c r="A12848" i="79" s="1"/>
  <c r="A12849" i="79" s="1"/>
  <c r="A12850" i="79" s="1"/>
  <c r="A12851" i="79" s="1"/>
  <c r="A12852" i="79" s="1"/>
  <c r="A12853" i="79" s="1"/>
  <c r="A12854" i="79" s="1"/>
  <c r="A12855" i="79" s="1"/>
  <c r="A12856" i="79" s="1"/>
  <c r="A12857" i="79" s="1"/>
  <c r="A12858" i="79" s="1"/>
  <c r="A12859" i="79" s="1"/>
  <c r="A12860" i="79" s="1"/>
  <c r="A12861" i="79" s="1"/>
  <c r="A12862" i="79" s="1"/>
  <c r="A12863" i="79" s="1"/>
  <c r="A12864" i="79" s="1"/>
  <c r="A12865" i="79" s="1"/>
  <c r="A12866" i="79" s="1"/>
  <c r="A12867" i="79" s="1"/>
  <c r="A12868" i="79" s="1"/>
  <c r="A12869" i="79" s="1"/>
  <c r="A12870" i="79" s="1"/>
  <c r="A12871" i="79" s="1"/>
  <c r="A12872" i="79" s="1"/>
  <c r="A12873" i="79" s="1"/>
  <c r="A12874" i="79" s="1"/>
  <c r="A12875" i="79" s="1"/>
  <c r="A12876" i="79" s="1"/>
  <c r="A12877" i="79" s="1"/>
  <c r="A12878" i="79" s="1"/>
  <c r="A12879" i="79" s="1"/>
  <c r="A12880" i="79" s="1"/>
  <c r="A12881" i="79" s="1"/>
  <c r="A12882" i="79" s="1"/>
  <c r="A12883" i="79" s="1"/>
  <c r="A12884" i="79" s="1"/>
  <c r="A12885" i="79" s="1"/>
  <c r="A12886" i="79" s="1"/>
  <c r="A12887" i="79" s="1"/>
  <c r="A12888" i="79" s="1"/>
  <c r="A12889" i="79" s="1"/>
  <c r="A12890" i="79" s="1"/>
  <c r="A12891" i="79" s="1"/>
  <c r="A12892" i="79" s="1"/>
  <c r="A12893" i="79" s="1"/>
  <c r="A12894" i="79" s="1"/>
  <c r="A12895" i="79" s="1"/>
  <c r="A12896" i="79" s="1"/>
  <c r="A12897" i="79" s="1"/>
  <c r="A12898" i="79" s="1"/>
  <c r="A12899" i="79" s="1"/>
  <c r="A12900" i="79" s="1"/>
  <c r="A12901" i="79" s="1"/>
  <c r="A12902" i="79" s="1"/>
  <c r="A12903" i="79" s="1"/>
  <c r="A12904" i="79" s="1"/>
  <c r="A12905" i="79" s="1"/>
  <c r="A12906" i="79" s="1"/>
  <c r="A12907" i="79" s="1"/>
  <c r="A12908" i="79" s="1"/>
  <c r="A12909" i="79" s="1"/>
  <c r="A12910" i="79" s="1"/>
  <c r="A12911" i="79" s="1"/>
  <c r="A12912" i="79" s="1"/>
  <c r="A12913" i="79" s="1"/>
  <c r="A12914" i="79" s="1"/>
  <c r="A12915" i="79" s="1"/>
  <c r="A12916" i="79" s="1"/>
  <c r="A12917" i="79" s="1"/>
  <c r="A12918" i="79" s="1"/>
  <c r="A12919" i="79" s="1"/>
  <c r="A12920" i="79" s="1"/>
  <c r="A12921" i="79" s="1"/>
  <c r="A12922" i="79" s="1"/>
  <c r="A12923" i="79" s="1"/>
  <c r="A12924" i="79" s="1"/>
  <c r="A12925" i="79" s="1"/>
  <c r="A12926" i="79" s="1"/>
  <c r="A12927" i="79" s="1"/>
  <c r="A12928" i="79" s="1"/>
  <c r="A12929" i="79" s="1"/>
  <c r="A12930" i="79" s="1"/>
  <c r="A12931" i="79" s="1"/>
  <c r="A12932" i="79" s="1"/>
  <c r="A12933" i="79" s="1"/>
  <c r="A12934" i="79" s="1"/>
  <c r="A12935" i="79" s="1"/>
  <c r="A12936" i="79" s="1"/>
  <c r="A12937" i="79" s="1"/>
  <c r="A12938" i="79" s="1"/>
  <c r="A12939" i="79" s="1"/>
  <c r="A12940" i="79" s="1"/>
  <c r="A12941" i="79" s="1"/>
  <c r="A12942" i="79" s="1"/>
  <c r="A12943" i="79" s="1"/>
  <c r="A12944" i="79" s="1"/>
  <c r="A12945" i="79" s="1"/>
  <c r="A12946" i="79" s="1"/>
  <c r="A12947" i="79" s="1"/>
  <c r="A12948" i="79" s="1"/>
  <c r="A12949" i="79" s="1"/>
  <c r="A12950" i="79" s="1"/>
  <c r="A12951" i="79" s="1"/>
  <c r="A12952" i="79" s="1"/>
  <c r="A12953" i="79" s="1"/>
  <c r="A12954" i="79" s="1"/>
  <c r="A12955" i="79" s="1"/>
  <c r="A12956" i="79" s="1"/>
  <c r="A12957" i="79" s="1"/>
  <c r="A12958" i="79" s="1"/>
  <c r="A12959" i="79" s="1"/>
  <c r="A12960" i="79" s="1"/>
  <c r="A12961" i="79" s="1"/>
  <c r="A12962" i="79" s="1"/>
  <c r="A12963" i="79" s="1"/>
  <c r="A12964" i="79" s="1"/>
  <c r="A12965" i="79" s="1"/>
  <c r="A12966" i="79" s="1"/>
  <c r="A12967" i="79" s="1"/>
  <c r="A12968" i="79" s="1"/>
  <c r="A12969" i="79" s="1"/>
  <c r="A12970" i="79" s="1"/>
  <c r="A12971" i="79" s="1"/>
  <c r="A12972" i="79" s="1"/>
  <c r="A12973" i="79" s="1"/>
  <c r="A12974" i="79" s="1"/>
  <c r="A12975" i="79" s="1"/>
  <c r="A12976" i="79" s="1"/>
  <c r="A12977" i="79" s="1"/>
  <c r="A12978" i="79" s="1"/>
  <c r="A12979" i="79" s="1"/>
  <c r="A12980" i="79" s="1"/>
  <c r="A12981" i="79" s="1"/>
  <c r="A12982" i="79" s="1"/>
  <c r="A12983" i="79" s="1"/>
  <c r="A12984" i="79" s="1"/>
  <c r="A12985" i="79" s="1"/>
  <c r="A12986" i="79" s="1"/>
  <c r="A12987" i="79" s="1"/>
  <c r="A12988" i="79" s="1"/>
  <c r="A12989" i="79" s="1"/>
  <c r="A12990" i="79" s="1"/>
  <c r="A12991" i="79" s="1"/>
  <c r="A12992" i="79" s="1"/>
  <c r="A12993" i="79" s="1"/>
  <c r="A12994" i="79" s="1"/>
  <c r="A12995" i="79" s="1"/>
  <c r="A12996" i="79" s="1"/>
  <c r="A12997" i="79" s="1"/>
  <c r="A12998" i="79" s="1"/>
  <c r="A12999" i="79" s="1"/>
  <c r="A13000" i="79" s="1"/>
  <c r="A13001" i="79" s="1"/>
  <c r="A13002" i="79" s="1"/>
  <c r="A13003" i="79" s="1"/>
  <c r="A13004" i="79" s="1"/>
  <c r="A13005" i="79" s="1"/>
  <c r="A13006" i="79" s="1"/>
  <c r="A13007" i="79" s="1"/>
  <c r="A13008" i="79" s="1"/>
  <c r="A13009" i="79" s="1"/>
  <c r="A13010" i="79" s="1"/>
  <c r="A13011" i="79" s="1"/>
  <c r="A13012" i="79" s="1"/>
  <c r="A13013" i="79" s="1"/>
  <c r="A13014" i="79" s="1"/>
  <c r="A13015" i="79" s="1"/>
  <c r="A13016" i="79" s="1"/>
  <c r="A13017" i="79" s="1"/>
  <c r="A13018" i="79" s="1"/>
  <c r="A13019" i="79" s="1"/>
  <c r="A13020" i="79" s="1"/>
  <c r="A13021" i="79" s="1"/>
  <c r="A13022" i="79" s="1"/>
  <c r="A13023" i="79" s="1"/>
  <c r="A13024" i="79" s="1"/>
  <c r="A13025" i="79" s="1"/>
  <c r="A13026" i="79" s="1"/>
  <c r="A13027" i="79" s="1"/>
  <c r="A13028" i="79" s="1"/>
  <c r="A13029" i="79" s="1"/>
  <c r="A13030" i="79" s="1"/>
  <c r="A13031" i="79" s="1"/>
  <c r="A13032" i="79" s="1"/>
  <c r="A13033" i="79" s="1"/>
  <c r="A13034" i="79" s="1"/>
  <c r="A13035" i="79" s="1"/>
  <c r="A13036" i="79" s="1"/>
  <c r="A13037" i="79" s="1"/>
  <c r="A13038" i="79" s="1"/>
  <c r="A13039" i="79" s="1"/>
  <c r="A13040" i="79" s="1"/>
  <c r="A13041" i="79" s="1"/>
  <c r="A13042" i="79" s="1"/>
  <c r="A13043" i="79" s="1"/>
  <c r="A13044" i="79" s="1"/>
  <c r="A13045" i="79" s="1"/>
  <c r="A13046" i="79" s="1"/>
  <c r="A13047" i="79" s="1"/>
  <c r="A13048" i="79" s="1"/>
  <c r="A13049" i="79" s="1"/>
  <c r="A13050" i="79" s="1"/>
  <c r="A13051" i="79" s="1"/>
  <c r="A13052" i="79" s="1"/>
  <c r="A13053" i="79" s="1"/>
  <c r="A13054" i="79" s="1"/>
  <c r="A13055" i="79" s="1"/>
  <c r="A13056" i="79" s="1"/>
  <c r="A13057" i="79" s="1"/>
  <c r="A13058" i="79" s="1"/>
  <c r="A13059" i="79" s="1"/>
  <c r="A13060" i="79" s="1"/>
  <c r="A13061" i="79" s="1"/>
  <c r="A13062" i="79" s="1"/>
  <c r="A13063" i="79" s="1"/>
  <c r="A13064" i="79" s="1"/>
  <c r="A13065" i="79" s="1"/>
  <c r="A13066" i="79" s="1"/>
  <c r="A13067" i="79" s="1"/>
  <c r="A13068" i="79" s="1"/>
  <c r="A13069" i="79" s="1"/>
  <c r="A13070" i="79" s="1"/>
  <c r="A13071" i="79" s="1"/>
  <c r="A13072" i="79" s="1"/>
  <c r="A13073" i="79" s="1"/>
  <c r="A13074" i="79" s="1"/>
  <c r="A13075" i="79" s="1"/>
  <c r="A13076" i="79" s="1"/>
  <c r="A13077" i="79" s="1"/>
  <c r="A13078" i="79" s="1"/>
  <c r="A13079" i="79" s="1"/>
  <c r="A13080" i="79" s="1"/>
  <c r="A13081" i="79" s="1"/>
  <c r="A13082" i="79" s="1"/>
  <c r="A13083" i="79" s="1"/>
  <c r="A13084" i="79" s="1"/>
  <c r="A13085" i="79" s="1"/>
  <c r="A13086" i="79" s="1"/>
  <c r="A13087" i="79" s="1"/>
  <c r="A13088" i="79" s="1"/>
  <c r="A13089" i="79" s="1"/>
  <c r="A13090" i="79" s="1"/>
  <c r="A13091" i="79" s="1"/>
  <c r="A13092" i="79" s="1"/>
  <c r="A13093" i="79" s="1"/>
  <c r="A13094" i="79" s="1"/>
  <c r="A13095" i="79" s="1"/>
  <c r="A13096" i="79" s="1"/>
  <c r="A13097" i="79" s="1"/>
  <c r="A13098" i="79" s="1"/>
  <c r="A13099" i="79" s="1"/>
  <c r="A13100" i="79" s="1"/>
  <c r="A13101" i="79" s="1"/>
  <c r="A13102" i="79" s="1"/>
  <c r="A13103" i="79" s="1"/>
  <c r="A13104" i="79" s="1"/>
  <c r="A13105" i="79" s="1"/>
  <c r="A13106" i="79" s="1"/>
  <c r="A13107" i="79" s="1"/>
  <c r="A13108" i="79" s="1"/>
  <c r="A13109" i="79" s="1"/>
  <c r="A13110" i="79" s="1"/>
  <c r="A13111" i="79" s="1"/>
  <c r="A13112" i="79" s="1"/>
  <c r="A13113" i="79" s="1"/>
  <c r="A13114" i="79" s="1"/>
  <c r="A13115" i="79" s="1"/>
  <c r="A13116" i="79" s="1"/>
  <c r="A13117" i="79" s="1"/>
  <c r="A13118" i="79" s="1"/>
  <c r="A13119" i="79" s="1"/>
  <c r="A13120" i="79" s="1"/>
  <c r="A13121" i="79" s="1"/>
  <c r="A13122" i="79" s="1"/>
  <c r="A13123" i="79" s="1"/>
  <c r="A13124" i="79" s="1"/>
  <c r="A13125" i="79" s="1"/>
  <c r="A13126" i="79" s="1"/>
  <c r="A13127" i="79" s="1"/>
  <c r="A13128" i="79" s="1"/>
  <c r="A13129" i="79" s="1"/>
  <c r="A13130" i="79" s="1"/>
  <c r="A13131" i="79" s="1"/>
  <c r="A13132" i="79" s="1"/>
  <c r="A13133" i="79" s="1"/>
  <c r="A13134" i="79" s="1"/>
  <c r="A13135" i="79" s="1"/>
  <c r="A13136" i="79" s="1"/>
  <c r="A13137" i="79" s="1"/>
  <c r="A13138" i="79" s="1"/>
  <c r="A13139" i="79" s="1"/>
  <c r="A13140" i="79" s="1"/>
  <c r="A13141" i="79" s="1"/>
  <c r="A13142" i="79" s="1"/>
  <c r="A13143" i="79" s="1"/>
  <c r="A13144" i="79" s="1"/>
  <c r="A13145" i="79" s="1"/>
  <c r="A13146" i="79" s="1"/>
  <c r="A13147" i="79" s="1"/>
  <c r="A13148" i="79" s="1"/>
  <c r="A13149" i="79" s="1"/>
  <c r="A13150" i="79" s="1"/>
  <c r="A13151" i="79" s="1"/>
  <c r="A13152" i="79" s="1"/>
  <c r="A13153" i="79" s="1"/>
  <c r="A13154" i="79" s="1"/>
  <c r="A13155" i="79" s="1"/>
  <c r="A13156" i="79" s="1"/>
  <c r="A13157" i="79" s="1"/>
  <c r="A13158" i="79" s="1"/>
  <c r="A13159" i="79" s="1"/>
  <c r="A13160" i="79" s="1"/>
  <c r="A13161" i="79" s="1"/>
  <c r="A13162" i="79" s="1"/>
  <c r="A13163" i="79" s="1"/>
  <c r="A13164" i="79" s="1"/>
  <c r="A13165" i="79" s="1"/>
  <c r="A13166" i="79" s="1"/>
  <c r="A13167" i="79" s="1"/>
  <c r="A13168" i="79" s="1"/>
  <c r="A13169" i="79" s="1"/>
  <c r="A13170" i="79" s="1"/>
  <c r="A13171" i="79" s="1"/>
  <c r="A13172" i="79" s="1"/>
  <c r="A13173" i="79" s="1"/>
  <c r="A13174" i="79" s="1"/>
  <c r="A13175" i="79" s="1"/>
  <c r="A13176" i="79" s="1"/>
  <c r="A13177" i="79" s="1"/>
  <c r="A13178" i="79" s="1"/>
  <c r="A13179" i="79" s="1"/>
  <c r="A13180" i="79" s="1"/>
  <c r="A13181" i="79" s="1"/>
  <c r="A13182" i="79" s="1"/>
  <c r="A13183" i="79" s="1"/>
  <c r="A13184" i="79" s="1"/>
  <c r="A13185" i="79" s="1"/>
  <c r="A13186" i="79" s="1"/>
  <c r="A13187" i="79" s="1"/>
  <c r="A13188" i="79" s="1"/>
  <c r="A13189" i="79" s="1"/>
  <c r="A13190" i="79" s="1"/>
  <c r="A13191" i="79" s="1"/>
  <c r="A13192" i="79" s="1"/>
  <c r="A13193" i="79" s="1"/>
  <c r="A13194" i="79" s="1"/>
  <c r="A13195" i="79" s="1"/>
  <c r="A13196" i="79" s="1"/>
  <c r="A13197" i="79" s="1"/>
  <c r="A13198" i="79" s="1"/>
  <c r="A13199" i="79" s="1"/>
  <c r="A13200" i="79" s="1"/>
  <c r="A13201" i="79" s="1"/>
  <c r="A13202" i="79" s="1"/>
  <c r="A13203" i="79" s="1"/>
  <c r="A13204" i="79" s="1"/>
  <c r="A13205" i="79" s="1"/>
  <c r="A13206" i="79" s="1"/>
  <c r="A13207" i="79" s="1"/>
  <c r="A13208" i="79" s="1"/>
  <c r="A13209" i="79" s="1"/>
  <c r="A13210" i="79" s="1"/>
  <c r="A13211" i="79" s="1"/>
  <c r="A13212" i="79" s="1"/>
  <c r="A13213" i="79" s="1"/>
  <c r="A13214" i="79" s="1"/>
  <c r="A13215" i="79" s="1"/>
  <c r="A13216" i="79" s="1"/>
  <c r="A13217" i="79" s="1"/>
  <c r="A13218" i="79" s="1"/>
  <c r="A13219" i="79" s="1"/>
  <c r="A13220" i="79" s="1"/>
  <c r="A13221" i="79" s="1"/>
  <c r="A13222" i="79" s="1"/>
  <c r="A13223" i="79" s="1"/>
  <c r="A13224" i="79" s="1"/>
  <c r="A13225" i="79" s="1"/>
  <c r="A13226" i="79" s="1"/>
  <c r="A13227" i="79" s="1"/>
  <c r="A13228" i="79" s="1"/>
  <c r="A13229" i="79" s="1"/>
  <c r="A13230" i="79" s="1"/>
  <c r="A13231" i="79" s="1"/>
  <c r="A13232" i="79" s="1"/>
  <c r="A13233" i="79" s="1"/>
  <c r="A13234" i="79" s="1"/>
  <c r="A13235" i="79" s="1"/>
  <c r="A13236" i="79" s="1"/>
  <c r="A13237" i="79" s="1"/>
  <c r="A13238" i="79" s="1"/>
  <c r="A13239" i="79" s="1"/>
  <c r="A13240" i="79" s="1"/>
  <c r="A13241" i="79" s="1"/>
  <c r="A13242" i="79" s="1"/>
  <c r="A13243" i="79" s="1"/>
  <c r="A13244" i="79" s="1"/>
  <c r="A13245" i="79" s="1"/>
  <c r="A13246" i="79" s="1"/>
  <c r="A13247" i="79" s="1"/>
  <c r="A13248" i="79" s="1"/>
  <c r="A13249" i="79" s="1"/>
  <c r="A13250" i="79" s="1"/>
  <c r="A13251" i="79" s="1"/>
  <c r="A13252" i="79" s="1"/>
  <c r="A13253" i="79" s="1"/>
  <c r="A13254" i="79" s="1"/>
  <c r="A13255" i="79" s="1"/>
  <c r="A13256" i="79" s="1"/>
  <c r="A13257" i="79" s="1"/>
  <c r="A13258" i="79" s="1"/>
  <c r="A13259" i="79" s="1"/>
  <c r="A13260" i="79" s="1"/>
  <c r="A13261" i="79" s="1"/>
  <c r="A13262" i="79" s="1"/>
  <c r="A13263" i="79" s="1"/>
  <c r="A13264" i="79" s="1"/>
  <c r="A13265" i="79" s="1"/>
  <c r="A13266" i="79" s="1"/>
  <c r="A13267" i="79" s="1"/>
  <c r="A13268" i="79" s="1"/>
  <c r="A13269" i="79" s="1"/>
  <c r="A13270" i="79" s="1"/>
  <c r="A13271" i="79" s="1"/>
  <c r="A13272" i="79" s="1"/>
  <c r="A13273" i="79" s="1"/>
  <c r="A13274" i="79" s="1"/>
  <c r="A13275" i="79" s="1"/>
  <c r="A13276" i="79" s="1"/>
  <c r="A13277" i="79" s="1"/>
  <c r="A13278" i="79" s="1"/>
  <c r="A13279" i="79" s="1"/>
  <c r="A13280" i="79" s="1"/>
  <c r="A13281" i="79" s="1"/>
  <c r="A13282" i="79" s="1"/>
  <c r="A13283" i="79" s="1"/>
  <c r="A13284" i="79" s="1"/>
  <c r="A13285" i="79" s="1"/>
  <c r="A13286" i="79" s="1"/>
  <c r="A13287" i="79" s="1"/>
  <c r="A13288" i="79" s="1"/>
  <c r="A13289" i="79" s="1"/>
  <c r="A13290" i="79" s="1"/>
  <c r="A13291" i="79" s="1"/>
  <c r="A13292" i="79" s="1"/>
  <c r="A13293" i="79" s="1"/>
  <c r="A13294" i="79" s="1"/>
  <c r="A13295" i="79" s="1"/>
  <c r="A13296" i="79" s="1"/>
  <c r="A13297" i="79" s="1"/>
  <c r="A13298" i="79" s="1"/>
  <c r="A13299" i="79" s="1"/>
  <c r="A13300" i="79" s="1"/>
  <c r="A13301" i="79" s="1"/>
  <c r="A13302" i="79" s="1"/>
  <c r="A13303" i="79" s="1"/>
  <c r="A13304" i="79" s="1"/>
  <c r="A13305" i="79" s="1"/>
  <c r="A13306" i="79" s="1"/>
  <c r="A13307" i="79" s="1"/>
  <c r="A13308" i="79" s="1"/>
  <c r="A13309" i="79" s="1"/>
  <c r="A13310" i="79" s="1"/>
  <c r="A13311" i="79" s="1"/>
  <c r="A13312" i="79" s="1"/>
  <c r="A13313" i="79" s="1"/>
  <c r="A13314" i="79" s="1"/>
  <c r="A13315" i="79" s="1"/>
  <c r="A13316" i="79" s="1"/>
  <c r="A13317" i="79" s="1"/>
  <c r="A13318" i="79" s="1"/>
  <c r="A13319" i="79" s="1"/>
  <c r="A13320" i="79" s="1"/>
  <c r="A13321" i="79" s="1"/>
  <c r="A13322" i="79" s="1"/>
  <c r="A13323" i="79" s="1"/>
  <c r="A13324" i="79" s="1"/>
  <c r="A13325" i="79" s="1"/>
  <c r="A13326" i="79" s="1"/>
  <c r="A13327" i="79" s="1"/>
  <c r="A13328" i="79" s="1"/>
  <c r="A13329" i="79" s="1"/>
  <c r="A13330" i="79" s="1"/>
  <c r="A13331" i="79" s="1"/>
  <c r="A13332" i="79" s="1"/>
  <c r="A13333" i="79" s="1"/>
  <c r="A13334" i="79" s="1"/>
  <c r="A13335" i="79" s="1"/>
  <c r="A13336" i="79" s="1"/>
  <c r="A13337" i="79" s="1"/>
  <c r="A13338" i="79" s="1"/>
  <c r="A13339" i="79" s="1"/>
  <c r="A13340" i="79" s="1"/>
  <c r="A13341" i="79" s="1"/>
  <c r="A13342" i="79" s="1"/>
  <c r="A13343" i="79" s="1"/>
  <c r="A13344" i="79" s="1"/>
  <c r="A13345" i="79" s="1"/>
  <c r="A13346" i="79" s="1"/>
  <c r="A13347" i="79" s="1"/>
  <c r="A13348" i="79" s="1"/>
  <c r="A13349" i="79" s="1"/>
  <c r="A13350" i="79" s="1"/>
  <c r="A13351" i="79" s="1"/>
  <c r="A13352" i="79" s="1"/>
  <c r="A13353" i="79" s="1"/>
  <c r="A13354" i="79" s="1"/>
  <c r="A13355" i="79" s="1"/>
  <c r="A13356" i="79" s="1"/>
  <c r="A13357" i="79" s="1"/>
  <c r="A13358" i="79" s="1"/>
  <c r="A13359" i="79" s="1"/>
  <c r="A13360" i="79" s="1"/>
  <c r="A13361" i="79" s="1"/>
  <c r="A13362" i="79" s="1"/>
  <c r="A13363" i="79" s="1"/>
  <c r="A13364" i="79" s="1"/>
  <c r="A13365" i="79" s="1"/>
  <c r="A13366" i="79" s="1"/>
  <c r="A13367" i="79" s="1"/>
  <c r="A13368" i="79" s="1"/>
  <c r="A13369" i="79" s="1"/>
  <c r="A13370" i="79" s="1"/>
  <c r="A13371" i="79" s="1"/>
  <c r="A13372" i="79" s="1"/>
  <c r="A13373" i="79" s="1"/>
  <c r="A13374" i="79" s="1"/>
  <c r="A13375" i="79" s="1"/>
  <c r="A13376" i="79" s="1"/>
  <c r="A13377" i="79" s="1"/>
  <c r="A13378" i="79" s="1"/>
  <c r="A13379" i="79" s="1"/>
  <c r="A13380" i="79" s="1"/>
  <c r="A13381" i="79" s="1"/>
  <c r="A13382" i="79" s="1"/>
  <c r="A13383" i="79" s="1"/>
  <c r="A13384" i="79" s="1"/>
  <c r="A13385" i="79" s="1"/>
  <c r="A13386" i="79" s="1"/>
  <c r="A13387" i="79" s="1"/>
  <c r="A13388" i="79" s="1"/>
  <c r="A13389" i="79" s="1"/>
  <c r="A13390" i="79" s="1"/>
  <c r="A13391" i="79" s="1"/>
  <c r="A13392" i="79" s="1"/>
  <c r="A13393" i="79" s="1"/>
  <c r="A13394" i="79" s="1"/>
  <c r="A13395" i="79" s="1"/>
  <c r="A13396" i="79" s="1"/>
  <c r="A13397" i="79" s="1"/>
  <c r="A13398" i="79" s="1"/>
  <c r="A13399" i="79" s="1"/>
  <c r="A13400" i="79" s="1"/>
  <c r="A13401" i="79" s="1"/>
  <c r="A13402" i="79" s="1"/>
  <c r="A13403" i="79" s="1"/>
  <c r="A13404" i="79" s="1"/>
  <c r="A13405" i="79" s="1"/>
  <c r="A13406" i="79" s="1"/>
  <c r="A13407" i="79" s="1"/>
  <c r="A13408" i="79" s="1"/>
  <c r="A13409" i="79" s="1"/>
  <c r="A13410" i="79" s="1"/>
  <c r="A13411" i="79" s="1"/>
  <c r="A13412" i="79" s="1"/>
  <c r="A13413" i="79" s="1"/>
  <c r="A13414" i="79" s="1"/>
  <c r="A13415" i="79" s="1"/>
  <c r="A13416" i="79" s="1"/>
  <c r="A13417" i="79" s="1"/>
  <c r="A13418" i="79" s="1"/>
  <c r="A13419" i="79" s="1"/>
  <c r="A13420" i="79" s="1"/>
  <c r="A13421" i="79" s="1"/>
  <c r="A13422" i="79" s="1"/>
  <c r="A13423" i="79" s="1"/>
  <c r="A13424" i="79" s="1"/>
  <c r="A13425" i="79" s="1"/>
  <c r="A13426" i="79" s="1"/>
  <c r="A13427" i="79" s="1"/>
  <c r="A13428" i="79" s="1"/>
  <c r="A13429" i="79" s="1"/>
  <c r="A13430" i="79" s="1"/>
  <c r="A13431" i="79" s="1"/>
  <c r="A13432" i="79" s="1"/>
  <c r="A13433" i="79" s="1"/>
  <c r="A13434" i="79" s="1"/>
  <c r="A13435" i="79" s="1"/>
  <c r="A13436" i="79" s="1"/>
  <c r="A13437" i="79" s="1"/>
  <c r="A13438" i="79" s="1"/>
  <c r="A13439" i="79" s="1"/>
  <c r="A13440" i="79" s="1"/>
  <c r="A13441" i="79" s="1"/>
  <c r="A13442" i="79" s="1"/>
  <c r="A13443" i="79" s="1"/>
  <c r="A13444" i="79" s="1"/>
  <c r="A13445" i="79" s="1"/>
  <c r="A13446" i="79" s="1"/>
  <c r="A13447" i="79" s="1"/>
  <c r="A13448" i="79" s="1"/>
  <c r="A13449" i="79" s="1"/>
  <c r="A13450" i="79" s="1"/>
  <c r="A13451" i="79" s="1"/>
  <c r="A13452" i="79" s="1"/>
  <c r="A13453" i="79" s="1"/>
  <c r="A13454" i="79" s="1"/>
  <c r="A13455" i="79" s="1"/>
  <c r="A13456" i="79" s="1"/>
  <c r="A13457" i="79" s="1"/>
  <c r="A13458" i="79" s="1"/>
  <c r="A13459" i="79" s="1"/>
  <c r="A13460" i="79" s="1"/>
  <c r="A13461" i="79" s="1"/>
  <c r="A13462" i="79" s="1"/>
  <c r="A13463" i="79" s="1"/>
  <c r="A13464" i="79" s="1"/>
  <c r="A13465" i="79" s="1"/>
  <c r="A13466" i="79" s="1"/>
  <c r="A13467" i="79" s="1"/>
  <c r="A13468" i="79" s="1"/>
  <c r="A13469" i="79" s="1"/>
  <c r="A13470" i="79" s="1"/>
  <c r="A13471" i="79" s="1"/>
  <c r="A13472" i="79" s="1"/>
  <c r="A13473" i="79" s="1"/>
  <c r="A13474" i="79" s="1"/>
  <c r="A13475" i="79" s="1"/>
  <c r="A13476" i="79" s="1"/>
  <c r="A13477" i="79" s="1"/>
  <c r="A13478" i="79" s="1"/>
  <c r="A13479" i="79" s="1"/>
  <c r="A13480" i="79" s="1"/>
  <c r="A13481" i="79" s="1"/>
  <c r="A13482" i="79" s="1"/>
  <c r="A13483" i="79" s="1"/>
  <c r="A13484" i="79" s="1"/>
  <c r="A13485" i="79" s="1"/>
  <c r="A13486" i="79" s="1"/>
  <c r="A13487" i="79" s="1"/>
  <c r="A13488" i="79" s="1"/>
  <c r="A13489" i="79" s="1"/>
  <c r="A13490" i="79" s="1"/>
  <c r="A13491" i="79" s="1"/>
  <c r="A13492" i="79" s="1"/>
  <c r="A13493" i="79" s="1"/>
  <c r="A13494" i="79" s="1"/>
  <c r="A13495" i="79" s="1"/>
  <c r="A13496" i="79" s="1"/>
  <c r="A13497" i="79" s="1"/>
  <c r="A13498" i="79" s="1"/>
  <c r="A13499" i="79" s="1"/>
  <c r="A13500" i="79" s="1"/>
  <c r="A13501" i="79" s="1"/>
  <c r="A13502" i="79" s="1"/>
  <c r="A13503" i="79" s="1"/>
  <c r="A13504" i="79" s="1"/>
  <c r="A13505" i="79" s="1"/>
  <c r="A13506" i="79" s="1"/>
  <c r="A13507" i="79" s="1"/>
  <c r="A13508" i="79" s="1"/>
  <c r="A13509" i="79" s="1"/>
  <c r="A13510" i="79" s="1"/>
  <c r="A13511" i="79" s="1"/>
  <c r="A13512" i="79" s="1"/>
  <c r="A13513" i="79" s="1"/>
  <c r="A13514" i="79" s="1"/>
  <c r="A13515" i="79" s="1"/>
  <c r="A13516" i="79" s="1"/>
  <c r="A13517" i="79" s="1"/>
  <c r="A13518" i="79" s="1"/>
  <c r="A13519" i="79" s="1"/>
  <c r="A13520" i="79" s="1"/>
  <c r="A13521" i="79" s="1"/>
  <c r="A13522" i="79" s="1"/>
  <c r="A13523" i="79" s="1"/>
  <c r="A13524" i="79" s="1"/>
  <c r="A13525" i="79" s="1"/>
  <c r="A13526" i="79" s="1"/>
  <c r="A13527" i="79" s="1"/>
  <c r="A13528" i="79" s="1"/>
  <c r="A13529" i="79" s="1"/>
  <c r="A13530" i="79" s="1"/>
  <c r="A13531" i="79" s="1"/>
  <c r="A13532" i="79" s="1"/>
  <c r="A13533" i="79" s="1"/>
  <c r="A13534" i="79" s="1"/>
  <c r="A13535" i="79" s="1"/>
  <c r="A13536" i="79" s="1"/>
  <c r="A13537" i="79" s="1"/>
  <c r="A13538" i="79" s="1"/>
  <c r="A13539" i="79" s="1"/>
  <c r="A13540" i="79" s="1"/>
  <c r="A13541" i="79" s="1"/>
  <c r="A13542" i="79" s="1"/>
  <c r="A13543" i="79" s="1"/>
  <c r="A13544" i="79" s="1"/>
  <c r="A13545" i="79" s="1"/>
  <c r="A13546" i="79" s="1"/>
  <c r="A13547" i="79" s="1"/>
  <c r="A13548" i="79" s="1"/>
  <c r="A13549" i="79" s="1"/>
  <c r="A13550" i="79" s="1"/>
  <c r="A13551" i="79" s="1"/>
  <c r="A13552" i="79" s="1"/>
  <c r="A13553" i="79" s="1"/>
  <c r="A13554" i="79" s="1"/>
  <c r="A13555" i="79" s="1"/>
  <c r="A13556" i="79" s="1"/>
  <c r="A13557" i="79" s="1"/>
  <c r="A13558" i="79" s="1"/>
  <c r="A13559" i="79" s="1"/>
  <c r="A13560" i="79" s="1"/>
  <c r="A13561" i="79" s="1"/>
  <c r="A13562" i="79" s="1"/>
  <c r="A13563" i="79" s="1"/>
  <c r="A13564" i="79" s="1"/>
  <c r="A13565" i="79" s="1"/>
  <c r="A13566" i="79" s="1"/>
  <c r="A13567" i="79" s="1"/>
  <c r="A13568" i="79" s="1"/>
  <c r="A13569" i="79" s="1"/>
  <c r="A13570" i="79" s="1"/>
  <c r="A13571" i="79" s="1"/>
  <c r="A13572" i="79" s="1"/>
  <c r="A13573" i="79" s="1"/>
  <c r="A13574" i="79" s="1"/>
  <c r="A13575" i="79" s="1"/>
  <c r="A13576" i="79" s="1"/>
  <c r="A13577" i="79" s="1"/>
  <c r="A13578" i="79" s="1"/>
  <c r="A13579" i="79" s="1"/>
  <c r="A13580" i="79" s="1"/>
  <c r="A13581" i="79" s="1"/>
  <c r="A13582" i="79" s="1"/>
  <c r="A13583" i="79" s="1"/>
  <c r="A13584" i="79" s="1"/>
  <c r="A13585" i="79" s="1"/>
  <c r="A13586" i="79" s="1"/>
  <c r="A13587" i="79" s="1"/>
  <c r="A13588" i="79" s="1"/>
  <c r="A13589" i="79" s="1"/>
  <c r="A13590" i="79" s="1"/>
  <c r="A13591" i="79" s="1"/>
  <c r="A13592" i="79" s="1"/>
  <c r="A13593" i="79" s="1"/>
  <c r="A13594" i="79" s="1"/>
  <c r="A13595" i="79" s="1"/>
  <c r="A13596" i="79" s="1"/>
  <c r="A13597" i="79" s="1"/>
  <c r="A13598" i="79" s="1"/>
  <c r="A13599" i="79" s="1"/>
  <c r="A13600" i="79" s="1"/>
  <c r="A13601" i="79" s="1"/>
  <c r="A13602" i="79" s="1"/>
  <c r="A13603" i="79" s="1"/>
  <c r="A13604" i="79" s="1"/>
  <c r="A13605" i="79" s="1"/>
  <c r="A13606" i="79" s="1"/>
  <c r="A13607" i="79" s="1"/>
  <c r="A13608" i="79" s="1"/>
  <c r="A13609" i="79" s="1"/>
  <c r="A13610" i="79" s="1"/>
  <c r="A13611" i="79" s="1"/>
  <c r="A13612" i="79" s="1"/>
  <c r="A13613" i="79" s="1"/>
  <c r="A13614" i="79" s="1"/>
  <c r="A13615" i="79" s="1"/>
  <c r="A13616" i="79" s="1"/>
  <c r="A13617" i="79" s="1"/>
  <c r="A13618" i="79" s="1"/>
  <c r="A13619" i="79" s="1"/>
  <c r="A13620" i="79" s="1"/>
  <c r="A13621" i="79" s="1"/>
  <c r="A13622" i="79" s="1"/>
  <c r="A13623" i="79" s="1"/>
  <c r="A13624" i="79" s="1"/>
  <c r="A13625" i="79" s="1"/>
  <c r="A13626" i="79" s="1"/>
  <c r="A13627" i="79" s="1"/>
  <c r="A13628" i="79" s="1"/>
  <c r="A13629" i="79" s="1"/>
  <c r="A13630" i="79" s="1"/>
  <c r="A13631" i="79" s="1"/>
  <c r="A13632" i="79" s="1"/>
  <c r="A13633" i="79" s="1"/>
  <c r="A13634" i="79" s="1"/>
  <c r="A13635" i="79" s="1"/>
  <c r="A13636" i="79" s="1"/>
  <c r="A13637" i="79" s="1"/>
  <c r="A13638" i="79" s="1"/>
  <c r="A13639" i="79" s="1"/>
  <c r="A13640" i="79" s="1"/>
  <c r="A13641" i="79" s="1"/>
  <c r="A13642" i="79" s="1"/>
  <c r="A13643" i="79" s="1"/>
  <c r="A13644" i="79" s="1"/>
  <c r="A13645" i="79" s="1"/>
  <c r="A13646" i="79" s="1"/>
  <c r="A13647" i="79" s="1"/>
  <c r="A13648" i="79" s="1"/>
  <c r="A13649" i="79" s="1"/>
  <c r="A13650" i="79" s="1"/>
  <c r="A13651" i="79" s="1"/>
  <c r="A13652" i="79" s="1"/>
  <c r="A13653" i="79" s="1"/>
  <c r="A13654" i="79" s="1"/>
  <c r="A13655" i="79" s="1"/>
  <c r="A13656" i="79" s="1"/>
  <c r="A13657" i="79" s="1"/>
  <c r="A13658" i="79" s="1"/>
  <c r="A13659" i="79" s="1"/>
  <c r="A13660" i="79" s="1"/>
  <c r="A13661" i="79" s="1"/>
  <c r="A13662" i="79" s="1"/>
  <c r="A13663" i="79" s="1"/>
  <c r="A13664" i="79" s="1"/>
  <c r="A13665" i="79" s="1"/>
  <c r="A13666" i="79" s="1"/>
  <c r="A13667" i="79" s="1"/>
  <c r="A13668" i="79" s="1"/>
  <c r="A13669" i="79" s="1"/>
  <c r="A13670" i="79" s="1"/>
  <c r="A13671" i="79" s="1"/>
  <c r="A13672" i="79" s="1"/>
  <c r="A13673" i="79" s="1"/>
  <c r="A13674" i="79" s="1"/>
  <c r="A13675" i="79" s="1"/>
  <c r="A13676" i="79" s="1"/>
  <c r="A13677" i="79" s="1"/>
  <c r="A13678" i="79" s="1"/>
  <c r="A13679" i="79" s="1"/>
  <c r="A13680" i="79" s="1"/>
  <c r="A13681" i="79" s="1"/>
  <c r="A13682" i="79" s="1"/>
  <c r="A13683" i="79" s="1"/>
  <c r="A13684" i="79" s="1"/>
  <c r="A13685" i="79" s="1"/>
  <c r="A13686" i="79" s="1"/>
  <c r="A13687" i="79" s="1"/>
  <c r="A13688" i="79" s="1"/>
  <c r="A13689" i="79" s="1"/>
  <c r="A13690" i="79" s="1"/>
  <c r="A13691" i="79" s="1"/>
  <c r="A13692" i="79" s="1"/>
  <c r="A13693" i="79" s="1"/>
  <c r="A13694" i="79" s="1"/>
  <c r="A13695" i="79" s="1"/>
  <c r="A13696" i="79" s="1"/>
  <c r="A13697" i="79" s="1"/>
  <c r="A13698" i="79" s="1"/>
  <c r="A13699" i="79" s="1"/>
  <c r="A13700" i="79" s="1"/>
  <c r="A13701" i="79" s="1"/>
  <c r="A13702" i="79" s="1"/>
  <c r="A13703" i="79" s="1"/>
  <c r="A13704" i="79" s="1"/>
  <c r="A13705" i="79" s="1"/>
  <c r="A13706" i="79" s="1"/>
  <c r="A13707" i="79" s="1"/>
  <c r="A13708" i="79" s="1"/>
  <c r="A13709" i="79" s="1"/>
  <c r="A13710" i="79" s="1"/>
  <c r="A13711" i="79" s="1"/>
  <c r="A13712" i="79" s="1"/>
  <c r="A13713" i="79" s="1"/>
  <c r="A13714" i="79" s="1"/>
  <c r="A13715" i="79" s="1"/>
  <c r="A13716" i="79" s="1"/>
  <c r="A13717" i="79" s="1"/>
  <c r="A13718" i="79" s="1"/>
  <c r="A13719" i="79" s="1"/>
  <c r="A13720" i="79" s="1"/>
  <c r="A13721" i="79" s="1"/>
  <c r="A13722" i="79" s="1"/>
  <c r="A13723" i="79" s="1"/>
  <c r="A13724" i="79" s="1"/>
  <c r="A13725" i="79" s="1"/>
  <c r="A13726" i="79" s="1"/>
  <c r="A13727" i="79" s="1"/>
  <c r="A13728" i="79" s="1"/>
  <c r="A13729" i="79" s="1"/>
  <c r="A13730" i="79" s="1"/>
  <c r="A13731" i="79" s="1"/>
  <c r="A13732" i="79" s="1"/>
  <c r="A13733" i="79" s="1"/>
  <c r="A13734" i="79" s="1"/>
  <c r="A13735" i="79" s="1"/>
  <c r="A13736" i="79" s="1"/>
  <c r="A13737" i="79" s="1"/>
  <c r="A13738" i="79" s="1"/>
  <c r="A13739" i="79" s="1"/>
  <c r="A13740" i="79" s="1"/>
  <c r="A13741" i="79" s="1"/>
  <c r="A13742" i="79" s="1"/>
  <c r="A13743" i="79" s="1"/>
  <c r="A13744" i="79" s="1"/>
  <c r="A13745" i="79" s="1"/>
  <c r="A13746" i="79" s="1"/>
  <c r="A13747" i="79" s="1"/>
  <c r="A13748" i="79" s="1"/>
  <c r="A13749" i="79" s="1"/>
  <c r="A13750" i="79" s="1"/>
  <c r="A13751" i="79" s="1"/>
  <c r="A13752" i="79" s="1"/>
  <c r="A13753" i="79" s="1"/>
  <c r="A13754" i="79" s="1"/>
  <c r="A13755" i="79" s="1"/>
  <c r="A13756" i="79" s="1"/>
  <c r="A13757" i="79" s="1"/>
  <c r="A13758" i="79" s="1"/>
  <c r="A13759" i="79" s="1"/>
  <c r="A13760" i="79" s="1"/>
  <c r="A13761" i="79" s="1"/>
  <c r="A13762" i="79" s="1"/>
  <c r="A13763" i="79" s="1"/>
  <c r="A13764" i="79" s="1"/>
  <c r="A13765" i="79" s="1"/>
  <c r="A13766" i="79" s="1"/>
  <c r="A13767" i="79" s="1"/>
  <c r="A13768" i="79" s="1"/>
  <c r="A13769" i="79" s="1"/>
  <c r="A13770" i="79" s="1"/>
  <c r="A13771" i="79" s="1"/>
  <c r="A13772" i="79" s="1"/>
  <c r="A13773" i="79" s="1"/>
  <c r="A13774" i="79" s="1"/>
  <c r="A13775" i="79" s="1"/>
  <c r="A13776" i="79" s="1"/>
  <c r="A13777" i="79" s="1"/>
  <c r="A13778" i="79" s="1"/>
  <c r="A13779" i="79" s="1"/>
  <c r="A13780" i="79" s="1"/>
  <c r="A13781" i="79" s="1"/>
  <c r="A13782" i="79" s="1"/>
  <c r="A13783" i="79" s="1"/>
  <c r="A13784" i="79" s="1"/>
  <c r="A13785" i="79" s="1"/>
  <c r="A13786" i="79" s="1"/>
  <c r="A13787" i="79" s="1"/>
  <c r="A13788" i="79" s="1"/>
  <c r="A13789" i="79" s="1"/>
  <c r="A13790" i="79" s="1"/>
  <c r="A13791" i="79" s="1"/>
  <c r="A13792" i="79" s="1"/>
  <c r="A13793" i="79" s="1"/>
  <c r="A13794" i="79" s="1"/>
  <c r="A13795" i="79" s="1"/>
  <c r="A13796" i="79" s="1"/>
  <c r="A13797" i="79" s="1"/>
  <c r="A13798" i="79" s="1"/>
  <c r="A13799" i="79" s="1"/>
  <c r="A13800" i="79" s="1"/>
  <c r="A13801" i="79" s="1"/>
  <c r="A13802" i="79" s="1"/>
  <c r="A13803" i="79" s="1"/>
  <c r="A13804" i="79" s="1"/>
  <c r="A13805" i="79" s="1"/>
  <c r="A13806" i="79" s="1"/>
  <c r="A13807" i="79" s="1"/>
  <c r="A13808" i="79" s="1"/>
  <c r="A13809" i="79" s="1"/>
  <c r="A13810" i="79" s="1"/>
  <c r="A13811" i="79" s="1"/>
  <c r="A13812" i="79" s="1"/>
  <c r="A13813" i="79" s="1"/>
  <c r="A13814" i="79" s="1"/>
  <c r="A13815" i="79" s="1"/>
  <c r="A13816" i="79" s="1"/>
  <c r="A13817" i="79" s="1"/>
  <c r="A13818" i="79" s="1"/>
  <c r="A13819" i="79" s="1"/>
  <c r="A13820" i="79" s="1"/>
  <c r="A13821" i="79" s="1"/>
  <c r="A13822" i="79" s="1"/>
  <c r="A13823" i="79" s="1"/>
  <c r="A13824" i="79" s="1"/>
  <c r="A13825" i="79" s="1"/>
  <c r="A13826" i="79" s="1"/>
  <c r="A13827" i="79" s="1"/>
  <c r="A13828" i="79" s="1"/>
  <c r="A13829" i="79" s="1"/>
  <c r="A13830" i="79" s="1"/>
  <c r="A13831" i="79" s="1"/>
  <c r="A13832" i="79" s="1"/>
  <c r="A13833" i="79" s="1"/>
  <c r="A13834" i="79" s="1"/>
  <c r="A13835" i="79" s="1"/>
  <c r="A13836" i="79" s="1"/>
  <c r="A13837" i="79" s="1"/>
  <c r="A13838" i="79" s="1"/>
  <c r="A13839" i="79" s="1"/>
  <c r="A13840" i="79" s="1"/>
  <c r="A13841" i="79" s="1"/>
  <c r="A13842" i="79" s="1"/>
  <c r="A13843" i="79" s="1"/>
  <c r="A13844" i="79" s="1"/>
  <c r="A13845" i="79" s="1"/>
  <c r="A13846" i="79" s="1"/>
  <c r="A13847" i="79" s="1"/>
  <c r="A13848" i="79" s="1"/>
  <c r="A13849" i="79" s="1"/>
  <c r="A13850" i="79" s="1"/>
  <c r="A13851" i="79" s="1"/>
  <c r="A13852" i="79" s="1"/>
  <c r="A13853" i="79" s="1"/>
  <c r="A13854" i="79" s="1"/>
  <c r="A13855" i="79" s="1"/>
  <c r="A13856" i="79" s="1"/>
  <c r="A13857" i="79" s="1"/>
  <c r="A13858" i="79" s="1"/>
  <c r="A13859" i="79" s="1"/>
  <c r="A13860" i="79" s="1"/>
  <c r="A13861" i="79" s="1"/>
  <c r="A13862" i="79" s="1"/>
  <c r="A13863" i="79" s="1"/>
  <c r="A13864" i="79" s="1"/>
  <c r="A13865" i="79" s="1"/>
  <c r="A13866" i="79" s="1"/>
  <c r="A13867" i="79" s="1"/>
  <c r="A13868" i="79" s="1"/>
  <c r="A13869" i="79" s="1"/>
  <c r="A13870" i="79" s="1"/>
  <c r="A13871" i="79" s="1"/>
  <c r="A13872" i="79" s="1"/>
  <c r="A13873" i="79" s="1"/>
  <c r="A13874" i="79" s="1"/>
  <c r="A13875" i="79" s="1"/>
  <c r="A13876" i="79" s="1"/>
  <c r="A13877" i="79" s="1"/>
  <c r="A13878" i="79" s="1"/>
  <c r="A13879" i="79" s="1"/>
  <c r="A13880" i="79" s="1"/>
  <c r="A13881" i="79" s="1"/>
  <c r="A13882" i="79" s="1"/>
  <c r="A13883" i="79" s="1"/>
  <c r="A13884" i="79" s="1"/>
  <c r="A13885" i="79" s="1"/>
  <c r="A13886" i="79" s="1"/>
  <c r="A13887" i="79" s="1"/>
  <c r="A13888" i="79" s="1"/>
  <c r="A13889" i="79" s="1"/>
  <c r="A13890" i="79" s="1"/>
  <c r="A13891" i="79" s="1"/>
  <c r="A13892" i="79" s="1"/>
  <c r="A13893" i="79" s="1"/>
  <c r="A13894" i="79" s="1"/>
  <c r="A13895" i="79" s="1"/>
  <c r="A13896" i="79" s="1"/>
  <c r="A13897" i="79" s="1"/>
  <c r="A13898" i="79" s="1"/>
  <c r="A13899" i="79" s="1"/>
  <c r="A13900" i="79" s="1"/>
  <c r="A13901" i="79" s="1"/>
  <c r="A13902" i="79" s="1"/>
  <c r="A13903" i="79" s="1"/>
  <c r="A13904" i="79" s="1"/>
  <c r="A13905" i="79" s="1"/>
  <c r="A13906" i="79" s="1"/>
  <c r="A13907" i="79" s="1"/>
  <c r="A13908" i="79" s="1"/>
  <c r="A13909" i="79" s="1"/>
  <c r="A13910" i="79" s="1"/>
  <c r="A13911" i="79" s="1"/>
  <c r="A13912" i="79" s="1"/>
  <c r="A13913" i="79" s="1"/>
  <c r="A13914" i="79" s="1"/>
  <c r="A13915" i="79" s="1"/>
  <c r="A13916" i="79" s="1"/>
  <c r="A13917" i="79" s="1"/>
  <c r="A13918" i="79" s="1"/>
  <c r="A13919" i="79" s="1"/>
  <c r="A13920" i="79" s="1"/>
  <c r="A13921" i="79" s="1"/>
  <c r="A13922" i="79" s="1"/>
  <c r="A13923" i="79" s="1"/>
  <c r="A13924" i="79" s="1"/>
  <c r="A13925" i="79" s="1"/>
  <c r="A13926" i="79" s="1"/>
  <c r="A13927" i="79" s="1"/>
  <c r="A13928" i="79" s="1"/>
  <c r="A13929" i="79" s="1"/>
  <c r="A13930" i="79" s="1"/>
  <c r="A13931" i="79" s="1"/>
  <c r="A13932" i="79" s="1"/>
  <c r="A13933" i="79" s="1"/>
  <c r="A13934" i="79" s="1"/>
  <c r="A13935" i="79" s="1"/>
  <c r="A13936" i="79" s="1"/>
  <c r="A13937" i="79" s="1"/>
  <c r="A13938" i="79" s="1"/>
  <c r="A13939" i="79" s="1"/>
  <c r="A13940" i="79" s="1"/>
  <c r="A13941" i="79" s="1"/>
  <c r="A13942" i="79" s="1"/>
  <c r="A13943" i="79" s="1"/>
  <c r="A13944" i="79" s="1"/>
  <c r="A13945" i="79" s="1"/>
  <c r="A13946" i="79" s="1"/>
  <c r="A13947" i="79" s="1"/>
  <c r="A13948" i="79" s="1"/>
  <c r="A13949" i="79" s="1"/>
  <c r="A13950" i="79" s="1"/>
  <c r="A13951" i="79" s="1"/>
  <c r="A13952" i="79" s="1"/>
  <c r="A13953" i="79" s="1"/>
  <c r="A13954" i="79" s="1"/>
  <c r="A13955" i="79" s="1"/>
  <c r="A13956" i="79" s="1"/>
  <c r="A13957" i="79" s="1"/>
  <c r="A13958" i="79" s="1"/>
  <c r="A13959" i="79" s="1"/>
  <c r="A13960" i="79" s="1"/>
  <c r="A13961" i="79" s="1"/>
  <c r="A13962" i="79" s="1"/>
  <c r="A13963" i="79" s="1"/>
  <c r="A13964" i="79" s="1"/>
  <c r="A13965" i="79" s="1"/>
  <c r="A13966" i="79" s="1"/>
  <c r="A13967" i="79" s="1"/>
  <c r="A13968" i="79" s="1"/>
  <c r="A13969" i="79" s="1"/>
  <c r="A13970" i="79" s="1"/>
  <c r="A13971" i="79" s="1"/>
  <c r="A13972" i="79" s="1"/>
  <c r="A13973" i="79" s="1"/>
  <c r="A13974" i="79" s="1"/>
  <c r="A13975" i="79" s="1"/>
  <c r="A13976" i="79" s="1"/>
  <c r="A13977" i="79" s="1"/>
  <c r="A13978" i="79" s="1"/>
  <c r="A13979" i="79" s="1"/>
  <c r="A13980" i="79" s="1"/>
  <c r="A13981" i="79" s="1"/>
  <c r="A13982" i="79" s="1"/>
  <c r="A13983" i="79" s="1"/>
  <c r="A13984" i="79" s="1"/>
  <c r="A13985" i="79" s="1"/>
  <c r="A13986" i="79" s="1"/>
  <c r="A13987" i="79" s="1"/>
  <c r="A13988" i="79" s="1"/>
  <c r="A13989" i="79" s="1"/>
  <c r="A13990" i="79" s="1"/>
  <c r="A13991" i="79" s="1"/>
  <c r="A13992" i="79" s="1"/>
  <c r="A13993" i="79" s="1"/>
  <c r="A13994" i="79" s="1"/>
  <c r="A13995" i="79" s="1"/>
  <c r="A13996" i="79" s="1"/>
  <c r="A13997" i="79" s="1"/>
  <c r="A13998" i="79" s="1"/>
  <c r="A13999" i="79" s="1"/>
  <c r="A14000" i="79" s="1"/>
  <c r="A14001" i="79" s="1"/>
  <c r="A14002" i="79" s="1"/>
  <c r="A14003" i="79" s="1"/>
  <c r="A14004" i="79" s="1"/>
  <c r="A14005" i="79" s="1"/>
  <c r="A14006" i="79" s="1"/>
  <c r="A14007" i="79" s="1"/>
  <c r="A14008" i="79" s="1"/>
  <c r="A14009" i="79" s="1"/>
  <c r="A14010" i="79" s="1"/>
  <c r="A14011" i="79" s="1"/>
  <c r="A14012" i="79" s="1"/>
  <c r="A14013" i="79" s="1"/>
  <c r="A14014" i="79" s="1"/>
  <c r="A14015" i="79" s="1"/>
  <c r="A14016" i="79" s="1"/>
  <c r="A14017" i="79" s="1"/>
  <c r="A14018" i="79" s="1"/>
  <c r="A14019" i="79" s="1"/>
  <c r="A14020" i="79" s="1"/>
  <c r="A14021" i="79" s="1"/>
  <c r="A14022" i="79" s="1"/>
  <c r="A14023" i="79" s="1"/>
  <c r="A14024" i="79" s="1"/>
  <c r="A14025" i="79" s="1"/>
  <c r="A14026" i="79" s="1"/>
  <c r="A14027" i="79" s="1"/>
  <c r="A14028" i="79" s="1"/>
  <c r="A14029" i="79" s="1"/>
  <c r="A14030" i="79" s="1"/>
  <c r="A14031" i="79" s="1"/>
  <c r="A14032" i="79" s="1"/>
  <c r="A14033" i="79" s="1"/>
  <c r="A14034" i="79" s="1"/>
  <c r="A14035" i="79" s="1"/>
  <c r="A14036" i="79" s="1"/>
  <c r="A14037" i="79" s="1"/>
  <c r="A14038" i="79" s="1"/>
  <c r="A14039" i="79" s="1"/>
  <c r="A14040" i="79" s="1"/>
  <c r="A14041" i="79" s="1"/>
  <c r="A14042" i="79" s="1"/>
  <c r="A14043" i="79" s="1"/>
  <c r="A14044" i="79" s="1"/>
  <c r="A14045" i="79" s="1"/>
  <c r="A14046" i="79" s="1"/>
  <c r="A14047" i="79" s="1"/>
  <c r="A14048" i="79" s="1"/>
  <c r="A14049" i="79" s="1"/>
  <c r="A14050" i="79" s="1"/>
  <c r="A14051" i="79" s="1"/>
  <c r="A14052" i="79" s="1"/>
  <c r="A14053" i="79" s="1"/>
  <c r="A14054" i="79" s="1"/>
  <c r="A14055" i="79" s="1"/>
  <c r="A14056" i="79" s="1"/>
  <c r="A14057" i="79" s="1"/>
  <c r="A14058" i="79" s="1"/>
  <c r="A14059" i="79" s="1"/>
  <c r="A14060" i="79" s="1"/>
  <c r="A14061" i="79" s="1"/>
  <c r="A14062" i="79" s="1"/>
  <c r="A14063" i="79" s="1"/>
  <c r="A14064" i="79" s="1"/>
  <c r="A14065" i="79" s="1"/>
  <c r="A14066" i="79" s="1"/>
  <c r="A14067" i="79" s="1"/>
  <c r="A14068" i="79" s="1"/>
  <c r="A14069" i="79" s="1"/>
  <c r="A14070" i="79" s="1"/>
  <c r="A14071" i="79" s="1"/>
  <c r="A14072" i="79" s="1"/>
  <c r="A14073" i="79" s="1"/>
  <c r="A14074" i="79" s="1"/>
  <c r="A14075" i="79" s="1"/>
  <c r="A14076" i="79" s="1"/>
  <c r="A14077" i="79" s="1"/>
  <c r="A14078" i="79" s="1"/>
  <c r="A14079" i="79" s="1"/>
  <c r="A14080" i="79" s="1"/>
  <c r="A14081" i="79" s="1"/>
  <c r="A14082" i="79" s="1"/>
  <c r="A14083" i="79" s="1"/>
  <c r="A14084" i="79" s="1"/>
  <c r="A14085" i="79" s="1"/>
  <c r="A14086" i="79" s="1"/>
  <c r="A14087" i="79" s="1"/>
  <c r="A14088" i="79" s="1"/>
  <c r="A14089" i="79" s="1"/>
  <c r="A14090" i="79" s="1"/>
  <c r="A14091" i="79" s="1"/>
  <c r="A14092" i="79" s="1"/>
  <c r="A14093" i="79" s="1"/>
  <c r="A14094" i="79" s="1"/>
  <c r="A14095" i="79" s="1"/>
  <c r="A14096" i="79" s="1"/>
  <c r="A14097" i="79" s="1"/>
  <c r="A14098" i="79" s="1"/>
  <c r="A14099" i="79" s="1"/>
  <c r="A14100" i="79" s="1"/>
  <c r="A14101" i="79" s="1"/>
  <c r="A14102" i="79" s="1"/>
  <c r="A14103" i="79" s="1"/>
  <c r="A14104" i="79" s="1"/>
  <c r="A14105" i="79" s="1"/>
  <c r="A14106" i="79" s="1"/>
  <c r="A14107" i="79" s="1"/>
  <c r="A14108" i="79" s="1"/>
  <c r="A14109" i="79" s="1"/>
  <c r="A14110" i="79" s="1"/>
  <c r="A14111" i="79" s="1"/>
  <c r="A14112" i="79" s="1"/>
  <c r="A14113" i="79" s="1"/>
  <c r="A14114" i="79" s="1"/>
  <c r="A14115" i="79" s="1"/>
  <c r="A14116" i="79" s="1"/>
  <c r="A14117" i="79" s="1"/>
  <c r="A14118" i="79" s="1"/>
  <c r="A14119" i="79" s="1"/>
  <c r="A14120" i="79" s="1"/>
  <c r="A14121" i="79" s="1"/>
  <c r="A14122" i="79" s="1"/>
  <c r="A14123" i="79" s="1"/>
  <c r="A14124" i="79" s="1"/>
  <c r="A14125" i="79" s="1"/>
  <c r="A14126" i="79" s="1"/>
  <c r="A14127" i="79" s="1"/>
  <c r="A14128" i="79" s="1"/>
  <c r="A14129" i="79" s="1"/>
  <c r="A14130" i="79" s="1"/>
  <c r="A14131" i="79" s="1"/>
  <c r="A14132" i="79" s="1"/>
  <c r="A14133" i="79" s="1"/>
  <c r="A14134" i="79" s="1"/>
  <c r="A14135" i="79" s="1"/>
  <c r="A14136" i="79" s="1"/>
  <c r="A14137" i="79" s="1"/>
  <c r="A14138" i="79" s="1"/>
  <c r="A14139" i="79" s="1"/>
  <c r="A14140" i="79" s="1"/>
  <c r="A14141" i="79" s="1"/>
  <c r="A14142" i="79" s="1"/>
  <c r="A14143" i="79" s="1"/>
  <c r="A14144" i="79" s="1"/>
  <c r="A14145" i="79" s="1"/>
  <c r="A14146" i="79" s="1"/>
  <c r="A14147" i="79" s="1"/>
  <c r="A14148" i="79" s="1"/>
  <c r="A14149" i="79" s="1"/>
  <c r="A14150" i="79" s="1"/>
  <c r="A14151" i="79" s="1"/>
  <c r="A14152" i="79" s="1"/>
  <c r="A14153" i="79" s="1"/>
  <c r="A14154" i="79" s="1"/>
  <c r="A14155" i="79" s="1"/>
  <c r="A14156" i="79" s="1"/>
  <c r="A14157" i="79" s="1"/>
  <c r="A14158" i="79" s="1"/>
  <c r="A14159" i="79" s="1"/>
  <c r="A14160" i="79" s="1"/>
  <c r="A14161" i="79" s="1"/>
  <c r="A14162" i="79" s="1"/>
  <c r="A14163" i="79" s="1"/>
  <c r="A14164" i="79" s="1"/>
  <c r="A14165" i="79" s="1"/>
  <c r="A14166" i="79" s="1"/>
  <c r="A14167" i="79" s="1"/>
  <c r="A14168" i="79" s="1"/>
  <c r="A14169" i="79" s="1"/>
  <c r="A14170" i="79" s="1"/>
  <c r="A14171" i="79" s="1"/>
  <c r="A14172" i="79" s="1"/>
  <c r="A14173" i="79" s="1"/>
  <c r="A14174" i="79" s="1"/>
  <c r="A14175" i="79" s="1"/>
  <c r="A14176" i="79" s="1"/>
  <c r="A14177" i="79" s="1"/>
  <c r="A14178" i="79" s="1"/>
  <c r="A14179" i="79" s="1"/>
  <c r="A14180" i="79" s="1"/>
  <c r="A14181" i="79" s="1"/>
  <c r="A14182" i="79" s="1"/>
  <c r="A14183" i="79" s="1"/>
  <c r="A14184" i="79" s="1"/>
  <c r="A14185" i="79" s="1"/>
  <c r="A14186" i="79" s="1"/>
  <c r="A14187" i="79" s="1"/>
  <c r="A14188" i="79" s="1"/>
  <c r="A14189" i="79" s="1"/>
  <c r="A14190" i="79" s="1"/>
  <c r="A14191" i="79" s="1"/>
  <c r="A14192" i="79" s="1"/>
  <c r="A14193" i="79" s="1"/>
  <c r="A14194" i="79" s="1"/>
  <c r="A14195" i="79" s="1"/>
  <c r="A14196" i="79" s="1"/>
  <c r="A14197" i="79" s="1"/>
  <c r="A14198" i="79" s="1"/>
  <c r="A14199" i="79" s="1"/>
  <c r="A14200" i="79" s="1"/>
  <c r="A14201" i="79" s="1"/>
  <c r="A14202" i="79" s="1"/>
  <c r="A14203" i="79" s="1"/>
  <c r="A14204" i="79" s="1"/>
  <c r="A14205" i="79" s="1"/>
  <c r="A14206" i="79" s="1"/>
  <c r="A14207" i="79" s="1"/>
  <c r="A14208" i="79" s="1"/>
  <c r="A14209" i="79" s="1"/>
  <c r="A14210" i="79" s="1"/>
  <c r="A14211" i="79" s="1"/>
  <c r="A14212" i="79" s="1"/>
  <c r="A14213" i="79" s="1"/>
  <c r="A14214" i="79" s="1"/>
  <c r="A14215" i="79" s="1"/>
  <c r="A14216" i="79" s="1"/>
  <c r="A14217" i="79" s="1"/>
  <c r="A14218" i="79" s="1"/>
  <c r="A14219" i="79" s="1"/>
  <c r="A14220" i="79" s="1"/>
  <c r="A14221" i="79" s="1"/>
  <c r="A14222" i="79" s="1"/>
  <c r="A14223" i="79" s="1"/>
  <c r="A14224" i="79" s="1"/>
  <c r="A14225" i="79" s="1"/>
  <c r="A14226" i="79" s="1"/>
  <c r="A14227" i="79" s="1"/>
  <c r="A14228" i="79" s="1"/>
  <c r="A14229" i="79" s="1"/>
  <c r="A14230" i="79" s="1"/>
  <c r="A14231" i="79" s="1"/>
  <c r="A14232" i="79" s="1"/>
  <c r="A14233" i="79" s="1"/>
  <c r="A14234" i="79" s="1"/>
  <c r="A14235" i="79" s="1"/>
  <c r="A14236" i="79" s="1"/>
  <c r="A14237" i="79" s="1"/>
  <c r="A14238" i="79" s="1"/>
  <c r="A14239" i="79" s="1"/>
  <c r="A14240" i="79" s="1"/>
  <c r="A14241" i="79" s="1"/>
  <c r="A14242" i="79" s="1"/>
  <c r="A14243" i="79" s="1"/>
  <c r="A14244" i="79" s="1"/>
  <c r="A14245" i="79" s="1"/>
  <c r="A14246" i="79" s="1"/>
  <c r="A14247" i="79" s="1"/>
  <c r="A14248" i="79" s="1"/>
  <c r="A14249" i="79" s="1"/>
  <c r="A14250" i="79" s="1"/>
  <c r="A14251" i="79" s="1"/>
  <c r="A14252" i="79" s="1"/>
  <c r="A14253" i="79" s="1"/>
  <c r="A14254" i="79" s="1"/>
  <c r="A14255" i="79" s="1"/>
  <c r="A14256" i="79" s="1"/>
  <c r="A14257" i="79" s="1"/>
  <c r="A14258" i="79" s="1"/>
  <c r="A14259" i="79" s="1"/>
  <c r="A14260" i="79" s="1"/>
  <c r="A14261" i="79" s="1"/>
  <c r="A14262" i="79" s="1"/>
  <c r="A14263" i="79" s="1"/>
  <c r="A14264" i="79" s="1"/>
  <c r="A14265" i="79" s="1"/>
  <c r="A14266" i="79" s="1"/>
  <c r="A14267" i="79" s="1"/>
  <c r="A14268" i="79" s="1"/>
  <c r="A14269" i="79" s="1"/>
  <c r="A14270" i="79" s="1"/>
  <c r="A14271" i="79" s="1"/>
  <c r="A14272" i="79" s="1"/>
  <c r="A14273" i="79" s="1"/>
  <c r="A14274" i="79" s="1"/>
  <c r="A14275" i="79" s="1"/>
  <c r="A14276" i="79" s="1"/>
  <c r="A14277" i="79" s="1"/>
  <c r="A14278" i="79" s="1"/>
  <c r="A14279" i="79" s="1"/>
  <c r="A14280" i="79" s="1"/>
  <c r="A14281" i="79" s="1"/>
  <c r="A14282" i="79" s="1"/>
  <c r="A14283" i="79" s="1"/>
  <c r="A14284" i="79" s="1"/>
  <c r="A14285" i="79" s="1"/>
  <c r="A14286" i="79" s="1"/>
  <c r="A14287" i="79" s="1"/>
  <c r="A14288" i="79" s="1"/>
  <c r="A14289" i="79" s="1"/>
  <c r="A14290" i="79" s="1"/>
  <c r="A14291" i="79" s="1"/>
  <c r="A14292" i="79" s="1"/>
  <c r="A14293" i="79" s="1"/>
  <c r="A14294" i="79" s="1"/>
  <c r="A14295" i="79" s="1"/>
  <c r="A14296" i="79" s="1"/>
  <c r="A14297" i="79" s="1"/>
  <c r="A14298" i="79" s="1"/>
  <c r="A14299" i="79" s="1"/>
  <c r="A14300" i="79" s="1"/>
  <c r="A14301" i="79" s="1"/>
  <c r="A14302" i="79" s="1"/>
  <c r="A14303" i="79" s="1"/>
  <c r="A14304" i="79" s="1"/>
  <c r="A14305" i="79" s="1"/>
  <c r="A14306" i="79" s="1"/>
  <c r="A14307" i="79" s="1"/>
  <c r="A14308" i="79" s="1"/>
  <c r="A14309" i="79" s="1"/>
  <c r="A14310" i="79" s="1"/>
  <c r="A14311" i="79" s="1"/>
  <c r="A14312" i="79" s="1"/>
  <c r="A14313" i="79" s="1"/>
  <c r="A14314" i="79" s="1"/>
  <c r="A14315" i="79" s="1"/>
  <c r="A14316" i="79" s="1"/>
  <c r="A14317" i="79" s="1"/>
  <c r="A14318" i="79" s="1"/>
  <c r="A14319" i="79" s="1"/>
  <c r="A14320" i="79" s="1"/>
  <c r="A14321" i="79" s="1"/>
  <c r="A14322" i="79" s="1"/>
  <c r="A14323" i="79" s="1"/>
  <c r="A14324" i="79" s="1"/>
  <c r="A14325" i="79" s="1"/>
  <c r="A14326" i="79" s="1"/>
  <c r="A14327" i="79" s="1"/>
  <c r="A14328" i="79" s="1"/>
  <c r="A14329" i="79" s="1"/>
  <c r="A14330" i="79" s="1"/>
  <c r="A14331" i="79" s="1"/>
  <c r="A14332" i="79" s="1"/>
  <c r="A14333" i="79" s="1"/>
  <c r="A14334" i="79" s="1"/>
  <c r="A14335" i="79" s="1"/>
  <c r="A14336" i="79" s="1"/>
  <c r="A14337" i="79" s="1"/>
  <c r="A14338" i="79" s="1"/>
  <c r="A14339" i="79" s="1"/>
  <c r="A14340" i="79" s="1"/>
  <c r="A14341" i="79" s="1"/>
  <c r="A14342" i="79" s="1"/>
  <c r="A14343" i="79" s="1"/>
  <c r="A14344" i="79" s="1"/>
  <c r="A14345" i="79" s="1"/>
  <c r="A14346" i="79" s="1"/>
  <c r="A14347" i="79" s="1"/>
  <c r="A14348" i="79" s="1"/>
  <c r="A14349" i="79" s="1"/>
  <c r="A14350" i="79" s="1"/>
  <c r="A14351" i="79" s="1"/>
  <c r="A14352" i="79" s="1"/>
  <c r="A14353" i="79" s="1"/>
  <c r="A14354" i="79" s="1"/>
  <c r="A14355" i="79" s="1"/>
  <c r="A14356" i="79" s="1"/>
  <c r="A14357" i="79" s="1"/>
  <c r="A14358" i="79" s="1"/>
  <c r="A14359" i="79" s="1"/>
  <c r="A14360" i="79" s="1"/>
  <c r="A14361" i="79" s="1"/>
  <c r="A14362" i="79" s="1"/>
  <c r="A14363" i="79" s="1"/>
  <c r="A14364" i="79" s="1"/>
  <c r="A14365" i="79" s="1"/>
  <c r="A14366" i="79" s="1"/>
  <c r="A14367" i="79" s="1"/>
  <c r="A14368" i="79" s="1"/>
  <c r="A14369" i="79" s="1"/>
  <c r="A14370" i="79" s="1"/>
  <c r="A14371" i="79" s="1"/>
  <c r="A14372" i="79" s="1"/>
  <c r="A14373" i="79" s="1"/>
  <c r="A14374" i="79" s="1"/>
  <c r="A14375" i="79" s="1"/>
  <c r="A14376" i="79" s="1"/>
  <c r="A14377" i="79" s="1"/>
  <c r="A14378" i="79" s="1"/>
  <c r="A14379" i="79" s="1"/>
  <c r="A14380" i="79" s="1"/>
  <c r="A14381" i="79" s="1"/>
  <c r="A14382" i="79" s="1"/>
  <c r="A14383" i="79" s="1"/>
  <c r="A14384" i="79" s="1"/>
  <c r="A14385" i="79" s="1"/>
  <c r="A14386" i="79" s="1"/>
  <c r="A14387" i="79" s="1"/>
  <c r="A14388" i="79" s="1"/>
  <c r="A14389" i="79" s="1"/>
  <c r="A14390" i="79" s="1"/>
  <c r="A14391" i="79" s="1"/>
  <c r="A14392" i="79" s="1"/>
  <c r="A14393" i="79" s="1"/>
  <c r="A14394" i="79" s="1"/>
  <c r="A14395" i="79" s="1"/>
  <c r="A14396" i="79" s="1"/>
  <c r="A14397" i="79" s="1"/>
  <c r="A14398" i="79" s="1"/>
  <c r="A14399" i="79" s="1"/>
  <c r="A14400" i="79" s="1"/>
  <c r="A14401" i="79" s="1"/>
  <c r="A14402" i="79" s="1"/>
  <c r="A14403" i="79" s="1"/>
  <c r="A14404" i="79" s="1"/>
  <c r="A14405" i="79" s="1"/>
  <c r="A14406" i="79" s="1"/>
  <c r="A14407" i="79" s="1"/>
  <c r="A14408" i="79" s="1"/>
  <c r="A14409" i="79" s="1"/>
  <c r="A14410" i="79" s="1"/>
  <c r="A14411" i="79" s="1"/>
  <c r="A14412" i="79" s="1"/>
  <c r="A14413" i="79" s="1"/>
  <c r="A14414" i="79" s="1"/>
  <c r="A14415" i="79" s="1"/>
  <c r="A14416" i="79" s="1"/>
  <c r="A14417" i="79" s="1"/>
  <c r="A14418" i="79" s="1"/>
  <c r="A14419" i="79" s="1"/>
  <c r="A14420" i="79" s="1"/>
  <c r="A14421" i="79" s="1"/>
  <c r="A14422" i="79" s="1"/>
  <c r="A14423" i="79" s="1"/>
  <c r="A14424" i="79" s="1"/>
  <c r="A14425" i="79" s="1"/>
  <c r="A14426" i="79" s="1"/>
  <c r="A14427" i="79" s="1"/>
  <c r="A14428" i="79" s="1"/>
  <c r="A14429" i="79" s="1"/>
  <c r="A14430" i="79" s="1"/>
  <c r="A14431" i="79" s="1"/>
  <c r="A14432" i="79" s="1"/>
  <c r="A14433" i="79" s="1"/>
  <c r="A14434" i="79" s="1"/>
  <c r="A14435" i="79" s="1"/>
  <c r="A14436" i="79" s="1"/>
  <c r="A14437" i="79" s="1"/>
  <c r="A14438" i="79" s="1"/>
  <c r="A14439" i="79" s="1"/>
  <c r="A14440" i="79" s="1"/>
  <c r="A14441" i="79" s="1"/>
  <c r="A14442" i="79" s="1"/>
  <c r="A14443" i="79" s="1"/>
  <c r="A14444" i="79" s="1"/>
  <c r="A14445" i="79" s="1"/>
  <c r="A14446" i="79" s="1"/>
  <c r="A14447" i="79" s="1"/>
  <c r="A14448" i="79" s="1"/>
  <c r="A14449" i="79" s="1"/>
  <c r="A14450" i="79" s="1"/>
  <c r="A14451" i="79" s="1"/>
  <c r="A14452" i="79" s="1"/>
  <c r="A14453" i="79" s="1"/>
  <c r="A14454" i="79" s="1"/>
  <c r="A14455" i="79" s="1"/>
  <c r="A14456" i="79" s="1"/>
  <c r="A14457" i="79" s="1"/>
  <c r="A14458" i="79" s="1"/>
  <c r="A14459" i="79" s="1"/>
  <c r="A14460" i="79" s="1"/>
  <c r="A14461" i="79" s="1"/>
  <c r="A14462" i="79" s="1"/>
  <c r="A14463" i="79" s="1"/>
  <c r="A14464" i="79" s="1"/>
  <c r="A14465" i="79" s="1"/>
  <c r="A14466" i="79" s="1"/>
  <c r="A14467" i="79" s="1"/>
  <c r="A14468" i="79" s="1"/>
  <c r="A14469" i="79" s="1"/>
  <c r="A14470" i="79" s="1"/>
  <c r="A14471" i="79" s="1"/>
  <c r="A14472" i="79" s="1"/>
  <c r="A14473" i="79" s="1"/>
  <c r="A14474" i="79" s="1"/>
  <c r="A14475" i="79" s="1"/>
  <c r="A14476" i="79" s="1"/>
  <c r="A14477" i="79" s="1"/>
  <c r="A14478" i="79" s="1"/>
  <c r="A14479" i="79" s="1"/>
  <c r="A14480" i="79" s="1"/>
  <c r="A14481" i="79" s="1"/>
  <c r="A14482" i="79" s="1"/>
  <c r="A14483" i="79" s="1"/>
  <c r="A14484" i="79" s="1"/>
  <c r="A14485" i="79" s="1"/>
  <c r="A14486" i="79" s="1"/>
  <c r="A14487" i="79" s="1"/>
  <c r="A14488" i="79" s="1"/>
  <c r="A14489" i="79" s="1"/>
  <c r="A14490" i="79" s="1"/>
  <c r="A14491" i="79" s="1"/>
  <c r="A14492" i="79" s="1"/>
  <c r="A14493" i="79" s="1"/>
  <c r="A14494" i="79" s="1"/>
  <c r="A14495" i="79" s="1"/>
  <c r="A14496" i="79" s="1"/>
  <c r="A14497" i="79" s="1"/>
  <c r="A14498" i="79" s="1"/>
  <c r="A14499" i="79" s="1"/>
  <c r="A14500" i="79" s="1"/>
  <c r="A14501" i="79" s="1"/>
  <c r="A14502" i="79" s="1"/>
  <c r="A14503" i="79" s="1"/>
  <c r="A14504" i="79" s="1"/>
  <c r="A14505" i="79" s="1"/>
  <c r="A14506" i="79" s="1"/>
  <c r="A14507" i="79" s="1"/>
  <c r="A14508" i="79" s="1"/>
  <c r="A14509" i="79" s="1"/>
  <c r="A14510" i="79" s="1"/>
  <c r="A14511" i="79" s="1"/>
  <c r="A14512" i="79" s="1"/>
  <c r="A14513" i="79" s="1"/>
  <c r="A14514" i="79" s="1"/>
  <c r="A14515" i="79" s="1"/>
  <c r="A14516" i="79" s="1"/>
  <c r="A14517" i="79" s="1"/>
  <c r="A14518" i="79" s="1"/>
  <c r="A14519" i="79" s="1"/>
  <c r="A14520" i="79" s="1"/>
  <c r="A14521" i="79" s="1"/>
  <c r="A14522" i="79" s="1"/>
  <c r="A14523" i="79" s="1"/>
  <c r="A14524" i="79" s="1"/>
  <c r="A14525" i="79" s="1"/>
  <c r="A14526" i="79" s="1"/>
  <c r="A14527" i="79" s="1"/>
  <c r="A14528" i="79" s="1"/>
  <c r="A14529" i="79" s="1"/>
  <c r="A14530" i="79" s="1"/>
  <c r="A14531" i="79" s="1"/>
  <c r="A14532" i="79" s="1"/>
  <c r="A14533" i="79" s="1"/>
  <c r="A14534" i="79" s="1"/>
  <c r="A14535" i="79" s="1"/>
  <c r="A14536" i="79" s="1"/>
  <c r="A14537" i="79" s="1"/>
  <c r="A14538" i="79" s="1"/>
  <c r="A14539" i="79" s="1"/>
  <c r="A14540" i="79" s="1"/>
  <c r="A14541" i="79" s="1"/>
  <c r="A14542" i="79" s="1"/>
  <c r="A14543" i="79" s="1"/>
  <c r="A14544" i="79" s="1"/>
  <c r="A14545" i="79" s="1"/>
  <c r="A14546" i="79" s="1"/>
  <c r="A14547" i="79" s="1"/>
  <c r="A14548" i="79" s="1"/>
  <c r="A14549" i="79" s="1"/>
  <c r="A14550" i="79" s="1"/>
  <c r="A14551" i="79" s="1"/>
  <c r="A14552" i="79" s="1"/>
  <c r="A14553" i="79" s="1"/>
  <c r="A14554" i="79" s="1"/>
  <c r="A14555" i="79" s="1"/>
  <c r="A14556" i="79" s="1"/>
  <c r="A14557" i="79" s="1"/>
  <c r="A14558" i="79" s="1"/>
  <c r="A14559" i="79" s="1"/>
  <c r="A14560" i="79" s="1"/>
  <c r="A14561" i="79" s="1"/>
  <c r="A14562" i="79" s="1"/>
  <c r="A14563" i="79" s="1"/>
  <c r="A14564" i="79" s="1"/>
  <c r="A14565" i="79" s="1"/>
  <c r="A14566" i="79" s="1"/>
  <c r="A14567" i="79" s="1"/>
  <c r="A14568" i="79" s="1"/>
  <c r="A14569" i="79" s="1"/>
  <c r="A14570" i="79" s="1"/>
  <c r="A14571" i="79" s="1"/>
  <c r="A14572" i="79" s="1"/>
  <c r="A14573" i="79" s="1"/>
  <c r="A14574" i="79" s="1"/>
  <c r="A14575" i="79" s="1"/>
  <c r="A14576" i="79" s="1"/>
  <c r="A14577" i="79" s="1"/>
  <c r="A14578" i="79" s="1"/>
  <c r="A14579" i="79" s="1"/>
  <c r="A14580" i="79" s="1"/>
  <c r="A14581" i="79" s="1"/>
  <c r="A14582" i="79" s="1"/>
  <c r="A14583" i="79" s="1"/>
  <c r="A14584" i="79" s="1"/>
  <c r="A14585" i="79" s="1"/>
  <c r="A14586" i="79" s="1"/>
  <c r="A14587" i="79" s="1"/>
  <c r="A14588" i="79" s="1"/>
  <c r="A14589" i="79" s="1"/>
  <c r="A14590" i="79" s="1"/>
  <c r="A14591" i="79" s="1"/>
  <c r="A14592" i="79" s="1"/>
  <c r="A14593" i="79" s="1"/>
  <c r="A14594" i="79" s="1"/>
  <c r="A14595" i="79" s="1"/>
  <c r="A14596" i="79" s="1"/>
  <c r="A14597" i="79" s="1"/>
  <c r="A14598" i="79" s="1"/>
  <c r="A14599" i="79" s="1"/>
  <c r="A14600" i="79" s="1"/>
  <c r="A14601" i="79" s="1"/>
  <c r="A14602" i="79" s="1"/>
  <c r="A14603" i="79" s="1"/>
  <c r="A14604" i="79" s="1"/>
  <c r="A14605" i="79" s="1"/>
  <c r="A14606" i="79" s="1"/>
  <c r="A14607" i="79" s="1"/>
  <c r="A14608" i="79" s="1"/>
  <c r="A14609" i="79" s="1"/>
  <c r="A14610" i="79" s="1"/>
  <c r="A14611" i="79" s="1"/>
  <c r="A14612" i="79" s="1"/>
  <c r="A14613" i="79" s="1"/>
  <c r="A14614" i="79" s="1"/>
  <c r="A14615" i="79" s="1"/>
  <c r="A14616" i="79" s="1"/>
  <c r="A14617" i="79" s="1"/>
  <c r="A14618" i="79" s="1"/>
  <c r="A14619" i="79" s="1"/>
  <c r="A14620" i="79" s="1"/>
  <c r="A14621" i="79" s="1"/>
  <c r="A14622" i="79" s="1"/>
  <c r="A14623" i="79" s="1"/>
  <c r="A14624" i="79" s="1"/>
  <c r="A14625" i="79" s="1"/>
  <c r="A14626" i="79" s="1"/>
  <c r="A14627" i="79" s="1"/>
  <c r="A14628" i="79" s="1"/>
  <c r="A14629" i="79" s="1"/>
  <c r="A14630" i="79" s="1"/>
  <c r="A14631" i="79" s="1"/>
  <c r="A14632" i="79" s="1"/>
  <c r="A14633" i="79" s="1"/>
  <c r="A14634" i="79" s="1"/>
  <c r="A14635" i="79" s="1"/>
  <c r="A14636" i="79" s="1"/>
  <c r="A14637" i="79" s="1"/>
  <c r="A14638" i="79" s="1"/>
  <c r="A14639" i="79" s="1"/>
  <c r="A14640" i="79" s="1"/>
  <c r="A14641" i="79" s="1"/>
  <c r="A14642" i="79" s="1"/>
  <c r="A14643" i="79" s="1"/>
  <c r="A14644" i="79" s="1"/>
  <c r="A14645" i="79" s="1"/>
  <c r="A14646" i="79" s="1"/>
  <c r="A14647" i="79" s="1"/>
  <c r="A14648" i="79" s="1"/>
  <c r="A14649" i="79" s="1"/>
  <c r="A14650" i="79" s="1"/>
  <c r="A14651" i="79" s="1"/>
  <c r="A14652" i="79" s="1"/>
  <c r="A14653" i="79" s="1"/>
  <c r="A14654" i="79" s="1"/>
  <c r="A14655" i="79" s="1"/>
  <c r="A14656" i="79" s="1"/>
  <c r="A14657" i="79" s="1"/>
  <c r="A14658" i="79" s="1"/>
  <c r="A14659" i="79" s="1"/>
  <c r="A14660" i="79" s="1"/>
  <c r="A14661" i="79" s="1"/>
  <c r="A14662" i="79" s="1"/>
  <c r="A14663" i="79" s="1"/>
  <c r="A14664" i="79" s="1"/>
  <c r="A14665" i="79" s="1"/>
  <c r="A14666" i="79" s="1"/>
  <c r="A14667" i="79" s="1"/>
  <c r="A14668" i="79" s="1"/>
  <c r="A14669" i="79" s="1"/>
  <c r="A14670" i="79" s="1"/>
  <c r="A14671" i="79" s="1"/>
  <c r="A14672" i="79" s="1"/>
  <c r="A14673" i="79" s="1"/>
  <c r="A14674" i="79" s="1"/>
  <c r="A14675" i="79" s="1"/>
  <c r="A14676" i="79" s="1"/>
  <c r="A14677" i="79" s="1"/>
  <c r="A14678" i="79" s="1"/>
  <c r="A14679" i="79" s="1"/>
  <c r="A14680" i="79" s="1"/>
  <c r="A14681" i="79" s="1"/>
  <c r="A14682" i="79" s="1"/>
  <c r="A14683" i="79" s="1"/>
  <c r="A14684" i="79" s="1"/>
  <c r="A14685" i="79" s="1"/>
  <c r="A14686" i="79" s="1"/>
  <c r="A14687" i="79" s="1"/>
  <c r="A14688" i="79" s="1"/>
  <c r="A14689" i="79" s="1"/>
  <c r="A14690" i="79" s="1"/>
  <c r="A14691" i="79" s="1"/>
  <c r="A14692" i="79" s="1"/>
  <c r="A14693" i="79" s="1"/>
  <c r="A14694" i="79" s="1"/>
  <c r="A14695" i="79" s="1"/>
  <c r="A14696" i="79" s="1"/>
  <c r="A14697" i="79" s="1"/>
  <c r="A14698" i="79" s="1"/>
  <c r="A14699" i="79" s="1"/>
  <c r="A14700" i="79" s="1"/>
  <c r="A14701" i="79" s="1"/>
  <c r="A14702" i="79" s="1"/>
  <c r="A14703" i="79" s="1"/>
  <c r="A14704" i="79" s="1"/>
  <c r="A14705" i="79" s="1"/>
  <c r="A14706" i="79" s="1"/>
  <c r="A14707" i="79" s="1"/>
  <c r="A14708" i="79" s="1"/>
  <c r="A14709" i="79" s="1"/>
  <c r="A14710" i="79" s="1"/>
  <c r="A14711" i="79" s="1"/>
  <c r="A14712" i="79" s="1"/>
  <c r="A14713" i="79" s="1"/>
  <c r="A14714" i="79" s="1"/>
  <c r="A14715" i="79" s="1"/>
  <c r="A14716" i="79" s="1"/>
  <c r="A14717" i="79" s="1"/>
  <c r="A14718" i="79" s="1"/>
  <c r="A14719" i="79" s="1"/>
  <c r="A14720" i="79" s="1"/>
  <c r="A14721" i="79" s="1"/>
  <c r="A14722" i="79" s="1"/>
  <c r="A14723" i="79" s="1"/>
  <c r="A14724" i="79" s="1"/>
  <c r="A14725" i="79" s="1"/>
  <c r="A14726" i="79" s="1"/>
  <c r="A14727" i="79" s="1"/>
  <c r="A14728" i="79" s="1"/>
  <c r="A14729" i="79" s="1"/>
  <c r="A14730" i="79" s="1"/>
  <c r="A14731" i="79" s="1"/>
  <c r="A14732" i="79" s="1"/>
  <c r="A14733" i="79" s="1"/>
  <c r="A14734" i="79" s="1"/>
  <c r="A14735" i="79" s="1"/>
  <c r="A14736" i="79" s="1"/>
  <c r="A14737" i="79" s="1"/>
  <c r="A14738" i="79" s="1"/>
  <c r="A14739" i="79" s="1"/>
  <c r="A14740" i="79" s="1"/>
  <c r="A14741" i="79" s="1"/>
  <c r="A14742" i="79" s="1"/>
  <c r="A14743" i="79" s="1"/>
  <c r="A14744" i="79" s="1"/>
  <c r="A14745" i="79" s="1"/>
  <c r="A14746" i="79" s="1"/>
  <c r="A14747" i="79" s="1"/>
  <c r="A14748" i="79" s="1"/>
  <c r="A14749" i="79" s="1"/>
  <c r="A14750" i="79" s="1"/>
  <c r="A14751" i="79" s="1"/>
  <c r="A14752" i="79" s="1"/>
  <c r="A14753" i="79" s="1"/>
  <c r="A14754" i="79" s="1"/>
  <c r="A14755" i="79" s="1"/>
  <c r="A14756" i="79" s="1"/>
  <c r="A14757" i="79" s="1"/>
  <c r="A14758" i="79" s="1"/>
  <c r="A14759" i="79" s="1"/>
  <c r="A14760" i="79" s="1"/>
  <c r="A14761" i="79" s="1"/>
  <c r="A14762" i="79" s="1"/>
  <c r="A14763" i="79" s="1"/>
  <c r="A14764" i="79" s="1"/>
  <c r="A14765" i="79" s="1"/>
  <c r="A14766" i="79" s="1"/>
  <c r="A14767" i="79" s="1"/>
  <c r="A14768" i="79" s="1"/>
  <c r="A14769" i="79" s="1"/>
  <c r="A14770" i="79" s="1"/>
  <c r="A14771" i="79" s="1"/>
  <c r="A14772" i="79" s="1"/>
  <c r="A14773" i="79" s="1"/>
  <c r="A14774" i="79" s="1"/>
  <c r="A14775" i="79" s="1"/>
  <c r="A14776" i="79" s="1"/>
  <c r="A14777" i="79" s="1"/>
  <c r="A14778" i="79" s="1"/>
  <c r="A14779" i="79" s="1"/>
  <c r="A14780" i="79" s="1"/>
  <c r="A14781" i="79" s="1"/>
  <c r="A14782" i="79" s="1"/>
  <c r="A14783" i="79" s="1"/>
  <c r="A14784" i="79" s="1"/>
  <c r="A14785" i="79" s="1"/>
  <c r="A14786" i="79" s="1"/>
  <c r="A14787" i="79" s="1"/>
  <c r="A14788" i="79" s="1"/>
  <c r="A14789" i="79" s="1"/>
  <c r="A14790" i="79" s="1"/>
  <c r="A14791" i="79" s="1"/>
  <c r="A14792" i="79" s="1"/>
  <c r="A14793" i="79" s="1"/>
  <c r="A14794" i="79" s="1"/>
  <c r="A14795" i="79" s="1"/>
  <c r="A14796" i="79" s="1"/>
  <c r="A14797" i="79" s="1"/>
  <c r="A14798" i="79" s="1"/>
  <c r="A14799" i="79" s="1"/>
  <c r="A14800" i="79" s="1"/>
  <c r="A14801" i="79" s="1"/>
  <c r="A14802" i="79" s="1"/>
  <c r="A14803" i="79" s="1"/>
  <c r="A14804" i="79" s="1"/>
  <c r="A14805" i="79" s="1"/>
  <c r="A14806" i="79" s="1"/>
  <c r="A14807" i="79" s="1"/>
  <c r="A14808" i="79" s="1"/>
  <c r="A14809" i="79" s="1"/>
  <c r="A14810" i="79" s="1"/>
  <c r="A14811" i="79" s="1"/>
  <c r="A14812" i="79" s="1"/>
  <c r="A14813" i="79" s="1"/>
  <c r="A14814" i="79" s="1"/>
  <c r="A14815" i="79" s="1"/>
  <c r="A14816" i="79" s="1"/>
  <c r="A14817" i="79" s="1"/>
  <c r="A14818" i="79" s="1"/>
  <c r="A14819" i="79" s="1"/>
  <c r="A14820" i="79" s="1"/>
  <c r="A14821" i="79" s="1"/>
  <c r="A14822" i="79" s="1"/>
  <c r="A14823" i="79" s="1"/>
  <c r="A14824" i="79" s="1"/>
  <c r="A14825" i="79" s="1"/>
  <c r="A14826" i="79" s="1"/>
  <c r="A14827" i="79" s="1"/>
  <c r="A14828" i="79" s="1"/>
  <c r="A14829" i="79" s="1"/>
  <c r="A14830" i="79" s="1"/>
  <c r="A14831" i="79" s="1"/>
  <c r="A14832" i="79" s="1"/>
  <c r="A14833" i="79" s="1"/>
  <c r="A14834" i="79" s="1"/>
  <c r="A14835" i="79" s="1"/>
  <c r="A14836" i="79" s="1"/>
  <c r="A14837" i="79" s="1"/>
  <c r="A14838" i="79" s="1"/>
  <c r="A14839" i="79" s="1"/>
  <c r="A14840" i="79" s="1"/>
  <c r="A14841" i="79" s="1"/>
  <c r="A14842" i="79" s="1"/>
  <c r="A14843" i="79" s="1"/>
  <c r="A14844" i="79" s="1"/>
  <c r="A14845" i="79" s="1"/>
  <c r="A14846" i="79" s="1"/>
  <c r="A14847" i="79" s="1"/>
  <c r="A14848" i="79" s="1"/>
  <c r="A14849" i="79" s="1"/>
  <c r="A14850" i="79" s="1"/>
  <c r="A14851" i="79" s="1"/>
  <c r="A14852" i="79" s="1"/>
  <c r="A14853" i="79" s="1"/>
  <c r="A14854" i="79" s="1"/>
  <c r="A14855" i="79" s="1"/>
  <c r="A14856" i="79" s="1"/>
  <c r="A14857" i="79" s="1"/>
  <c r="A14858" i="79" s="1"/>
  <c r="A14859" i="79" s="1"/>
  <c r="A14860" i="79" s="1"/>
  <c r="A14861" i="79" s="1"/>
  <c r="A14862" i="79" s="1"/>
  <c r="A14863" i="79" s="1"/>
  <c r="A14864" i="79" s="1"/>
  <c r="A14865" i="79" s="1"/>
  <c r="A14866" i="79" s="1"/>
  <c r="A14867" i="79" s="1"/>
  <c r="A14868" i="79" s="1"/>
  <c r="A14869" i="79" s="1"/>
  <c r="A14870" i="79" s="1"/>
  <c r="A14871" i="79" s="1"/>
  <c r="A14872" i="79" s="1"/>
  <c r="A14873" i="79" s="1"/>
  <c r="A14874" i="79" s="1"/>
  <c r="A14875" i="79" s="1"/>
  <c r="A14876" i="79" s="1"/>
  <c r="A14877" i="79" s="1"/>
  <c r="A14878" i="79" s="1"/>
  <c r="A14879" i="79" s="1"/>
  <c r="A14880" i="79" s="1"/>
  <c r="A14881" i="79" s="1"/>
  <c r="A14882" i="79" s="1"/>
  <c r="A14883" i="79" s="1"/>
  <c r="A14884" i="79" s="1"/>
  <c r="A14885" i="79" s="1"/>
  <c r="A14886" i="79" s="1"/>
  <c r="A14887" i="79" s="1"/>
  <c r="A14888" i="79" s="1"/>
  <c r="A14889" i="79" s="1"/>
  <c r="A14890" i="79" s="1"/>
  <c r="A14891" i="79" s="1"/>
  <c r="A14892" i="79" s="1"/>
  <c r="A14893" i="79" s="1"/>
  <c r="A14894" i="79" s="1"/>
  <c r="A14895" i="79" s="1"/>
  <c r="A14896" i="79" s="1"/>
  <c r="A14897" i="79" s="1"/>
  <c r="A14898" i="79" s="1"/>
  <c r="A14899" i="79" s="1"/>
  <c r="A14900" i="79" s="1"/>
  <c r="A14901" i="79" s="1"/>
  <c r="A14902" i="79" s="1"/>
  <c r="A14903" i="79" s="1"/>
  <c r="A14904" i="79" s="1"/>
  <c r="A14905" i="79" s="1"/>
  <c r="A14906" i="79" s="1"/>
  <c r="A14907" i="79" s="1"/>
  <c r="A14908" i="79" s="1"/>
  <c r="A14909" i="79" s="1"/>
  <c r="A14910" i="79" s="1"/>
  <c r="A14911" i="79" s="1"/>
  <c r="A14912" i="79" s="1"/>
  <c r="A14913" i="79" s="1"/>
  <c r="A14914" i="79" s="1"/>
  <c r="A14915" i="79" s="1"/>
  <c r="A14916" i="79" s="1"/>
  <c r="A14917" i="79" s="1"/>
  <c r="A14918" i="79" s="1"/>
  <c r="A14919" i="79" s="1"/>
  <c r="A14920" i="79" s="1"/>
  <c r="A14921" i="79" s="1"/>
  <c r="A14922" i="79" s="1"/>
  <c r="A14923" i="79" s="1"/>
  <c r="A14924" i="79" s="1"/>
  <c r="A14925" i="79" s="1"/>
  <c r="A14926" i="79" s="1"/>
  <c r="A14927" i="79" s="1"/>
  <c r="A14928" i="79" s="1"/>
  <c r="A14929" i="79" s="1"/>
  <c r="A14930" i="79" s="1"/>
  <c r="A14931" i="79" s="1"/>
  <c r="A14932" i="79" s="1"/>
  <c r="A14933" i="79" s="1"/>
  <c r="A14934" i="79" s="1"/>
  <c r="A14935" i="79" s="1"/>
  <c r="A14936" i="79" s="1"/>
  <c r="A14937" i="79" s="1"/>
  <c r="A14938" i="79" s="1"/>
  <c r="A14939" i="79" s="1"/>
  <c r="A14940" i="79" s="1"/>
  <c r="A14941" i="79" s="1"/>
  <c r="A14942" i="79" s="1"/>
  <c r="A14943" i="79" s="1"/>
  <c r="A14944" i="79" s="1"/>
  <c r="A14945" i="79" s="1"/>
  <c r="A14946" i="79" s="1"/>
  <c r="A14947" i="79" s="1"/>
  <c r="A14948" i="79" s="1"/>
  <c r="A14949" i="79" s="1"/>
  <c r="A14950" i="79" s="1"/>
  <c r="A14951" i="79" s="1"/>
  <c r="A14952" i="79" s="1"/>
  <c r="A14953" i="79" s="1"/>
  <c r="A14954" i="79" s="1"/>
  <c r="A14955" i="79" s="1"/>
  <c r="A14956" i="79" s="1"/>
  <c r="A14957" i="79" s="1"/>
  <c r="A14958" i="79" s="1"/>
  <c r="A14959" i="79" s="1"/>
  <c r="A14960" i="79" s="1"/>
  <c r="A14961" i="79" s="1"/>
  <c r="A14962" i="79" s="1"/>
  <c r="A14963" i="79" s="1"/>
  <c r="A14964" i="79" s="1"/>
  <c r="A14965" i="79" s="1"/>
  <c r="A14966" i="79" s="1"/>
  <c r="A14967" i="79" s="1"/>
  <c r="A14968" i="79" s="1"/>
  <c r="A14969" i="79" s="1"/>
  <c r="A14970" i="79" s="1"/>
  <c r="A14971" i="79" s="1"/>
  <c r="A14972" i="79" s="1"/>
  <c r="A14973" i="79" s="1"/>
  <c r="A14974" i="79" s="1"/>
  <c r="A14975" i="79" s="1"/>
  <c r="A14976" i="79" s="1"/>
  <c r="A14977" i="79" s="1"/>
  <c r="A14978" i="79" s="1"/>
  <c r="A14979" i="79" s="1"/>
  <c r="A14980" i="79" s="1"/>
  <c r="A14981" i="79" s="1"/>
  <c r="A14982" i="79" s="1"/>
  <c r="A14983" i="79" s="1"/>
  <c r="A14984" i="79" s="1"/>
  <c r="A14985" i="79" s="1"/>
  <c r="A14986" i="79" s="1"/>
  <c r="A14987" i="79" s="1"/>
  <c r="A14988" i="79" s="1"/>
  <c r="A14989" i="79" s="1"/>
  <c r="A14990" i="79" s="1"/>
  <c r="A14991" i="79" s="1"/>
  <c r="A14992" i="79" s="1"/>
  <c r="A14993" i="79" s="1"/>
  <c r="A14994" i="79" s="1"/>
  <c r="A14995" i="79" s="1"/>
  <c r="A14996" i="79" s="1"/>
  <c r="A14997" i="79" s="1"/>
  <c r="A14998" i="79" s="1"/>
  <c r="A14999" i="79" s="1"/>
  <c r="A15000" i="79" s="1"/>
  <c r="A15001" i="79" s="1"/>
  <c r="A15002" i="79" s="1"/>
  <c r="A15003" i="79" s="1"/>
  <c r="A15004" i="79" s="1"/>
  <c r="A15005" i="79" s="1"/>
  <c r="A15006" i="79" s="1"/>
  <c r="A15007" i="79" s="1"/>
  <c r="A15008" i="79" s="1"/>
  <c r="A15009" i="79" s="1"/>
  <c r="A15010" i="79" s="1"/>
  <c r="A15011" i="79" s="1"/>
  <c r="A15012" i="79" s="1"/>
  <c r="A15013" i="79" s="1"/>
  <c r="A15014" i="79" s="1"/>
  <c r="A15015" i="79" s="1"/>
  <c r="A15016" i="79" s="1"/>
  <c r="A15017" i="79" s="1"/>
  <c r="A15018" i="79" s="1"/>
  <c r="A15019" i="79" s="1"/>
  <c r="A15020" i="79" s="1"/>
  <c r="A15021" i="79" s="1"/>
  <c r="A15022" i="79" s="1"/>
  <c r="A15023" i="79" s="1"/>
  <c r="A15024" i="79" s="1"/>
  <c r="A15025" i="79" s="1"/>
  <c r="A15026" i="79" s="1"/>
  <c r="A15027" i="79" s="1"/>
  <c r="A15028" i="79" s="1"/>
  <c r="A15029" i="79" s="1"/>
  <c r="A15030" i="79" s="1"/>
  <c r="A15031" i="79" s="1"/>
  <c r="A15032" i="79" s="1"/>
  <c r="A15033" i="79" s="1"/>
  <c r="A15034" i="79" s="1"/>
  <c r="A15035" i="79" s="1"/>
  <c r="A15036" i="79" s="1"/>
  <c r="A15037" i="79" s="1"/>
  <c r="A15038" i="79" s="1"/>
  <c r="A15039" i="79" s="1"/>
  <c r="A15040" i="79" s="1"/>
  <c r="A15041" i="79" s="1"/>
  <c r="A15042" i="79" s="1"/>
  <c r="A15043" i="79" s="1"/>
  <c r="A15044" i="79" s="1"/>
  <c r="A15045" i="79" s="1"/>
  <c r="A15046" i="79" s="1"/>
  <c r="A15047" i="79" s="1"/>
  <c r="A15048" i="79" s="1"/>
  <c r="A15049" i="79" s="1"/>
  <c r="A15050" i="79" s="1"/>
  <c r="A15051" i="79" s="1"/>
  <c r="A15052" i="79" s="1"/>
  <c r="A15053" i="79" s="1"/>
  <c r="A15054" i="79" s="1"/>
  <c r="A15055" i="79" s="1"/>
  <c r="A15056" i="79" s="1"/>
  <c r="A15057" i="79" s="1"/>
  <c r="A15058" i="79" s="1"/>
  <c r="A15059" i="79" s="1"/>
  <c r="A15060" i="79" s="1"/>
  <c r="A15061" i="79" s="1"/>
  <c r="A15062" i="79" s="1"/>
  <c r="A15063" i="79" s="1"/>
  <c r="A15064" i="79" s="1"/>
  <c r="A15065" i="79" s="1"/>
  <c r="A15066" i="79" s="1"/>
  <c r="A15067" i="79" s="1"/>
  <c r="A15068" i="79" s="1"/>
  <c r="A15069" i="79" s="1"/>
  <c r="A15070" i="79" s="1"/>
  <c r="A15071" i="79" s="1"/>
  <c r="A15072" i="79" s="1"/>
  <c r="A15073" i="79" s="1"/>
  <c r="A15074" i="79" s="1"/>
  <c r="A15075" i="79" s="1"/>
  <c r="A15076" i="79" s="1"/>
  <c r="A15077" i="79" s="1"/>
  <c r="A15078" i="79" s="1"/>
  <c r="A15079" i="79" s="1"/>
  <c r="A15080" i="79" s="1"/>
  <c r="A15081" i="79" s="1"/>
  <c r="A15082" i="79" s="1"/>
  <c r="A15083" i="79" s="1"/>
  <c r="A15084" i="79" s="1"/>
  <c r="A15085" i="79" s="1"/>
  <c r="A15086" i="79" s="1"/>
  <c r="A15087" i="79" s="1"/>
  <c r="A15088" i="79" s="1"/>
  <c r="A15089" i="79" s="1"/>
  <c r="A15090" i="79" s="1"/>
  <c r="A15091" i="79" s="1"/>
  <c r="A15092" i="79" s="1"/>
  <c r="A15093" i="79" s="1"/>
  <c r="A15094" i="79" s="1"/>
  <c r="A15095" i="79" s="1"/>
  <c r="A15096" i="79" s="1"/>
  <c r="A15097" i="79" s="1"/>
  <c r="A15098" i="79" s="1"/>
  <c r="A15099" i="79" s="1"/>
  <c r="A15100" i="79" s="1"/>
  <c r="A15101" i="79" s="1"/>
  <c r="A15102" i="79" s="1"/>
  <c r="A15103" i="79" s="1"/>
  <c r="A15104" i="79" s="1"/>
  <c r="A15105" i="79" s="1"/>
  <c r="A15106" i="79" s="1"/>
  <c r="A15107" i="79" s="1"/>
  <c r="A15108" i="79" s="1"/>
  <c r="A15109" i="79" s="1"/>
  <c r="A15110" i="79" s="1"/>
  <c r="A15111" i="79" s="1"/>
  <c r="A15112" i="79" s="1"/>
  <c r="A15113" i="79" s="1"/>
  <c r="A15114" i="79" s="1"/>
  <c r="A15115" i="79" s="1"/>
  <c r="A15116" i="79" s="1"/>
  <c r="A15117" i="79" s="1"/>
  <c r="A15118" i="79" s="1"/>
  <c r="A15119" i="79" s="1"/>
  <c r="A15120" i="79" s="1"/>
  <c r="A15121" i="79" s="1"/>
  <c r="A15122" i="79" s="1"/>
  <c r="A15123" i="79" s="1"/>
  <c r="A15124" i="79" s="1"/>
  <c r="A15125" i="79" s="1"/>
  <c r="A15126" i="79" s="1"/>
  <c r="A15127" i="79" s="1"/>
  <c r="A15128" i="79" s="1"/>
  <c r="A15129" i="79" s="1"/>
  <c r="A15130" i="79" s="1"/>
  <c r="A15131" i="79" s="1"/>
  <c r="A15132" i="79" s="1"/>
  <c r="A15133" i="79" s="1"/>
  <c r="A15134" i="79" s="1"/>
  <c r="A15135" i="79" s="1"/>
  <c r="A15136" i="79" s="1"/>
  <c r="A15137" i="79" s="1"/>
  <c r="A15138" i="79" s="1"/>
  <c r="A15139" i="79" s="1"/>
  <c r="A15140" i="79" s="1"/>
  <c r="A15141" i="79" s="1"/>
  <c r="A15142" i="79" s="1"/>
  <c r="A15143" i="79" s="1"/>
  <c r="A15144" i="79" s="1"/>
  <c r="A15145" i="79" s="1"/>
  <c r="A15146" i="79" s="1"/>
  <c r="A15147" i="79" s="1"/>
  <c r="A15148" i="79" s="1"/>
  <c r="A15149" i="79" s="1"/>
  <c r="A15150" i="79" s="1"/>
  <c r="A15151" i="79" s="1"/>
  <c r="A15152" i="79" s="1"/>
  <c r="A15153" i="79" s="1"/>
  <c r="A15154" i="79" s="1"/>
  <c r="A15155" i="79" s="1"/>
  <c r="A15156" i="79" s="1"/>
  <c r="A15157" i="79" s="1"/>
  <c r="A15158" i="79" s="1"/>
  <c r="A15159" i="79" s="1"/>
  <c r="A15160" i="79" s="1"/>
  <c r="A15161" i="79" s="1"/>
  <c r="A15162" i="79" s="1"/>
  <c r="A15163" i="79" s="1"/>
  <c r="A15164" i="79" s="1"/>
  <c r="A15165" i="79" s="1"/>
  <c r="A15166" i="79" s="1"/>
  <c r="A15167" i="79" s="1"/>
  <c r="A15168" i="79" s="1"/>
  <c r="A15169" i="79" s="1"/>
  <c r="A15170" i="79" s="1"/>
  <c r="A15171" i="79" s="1"/>
  <c r="A15172" i="79" s="1"/>
  <c r="A15173" i="79" s="1"/>
  <c r="A15174" i="79" s="1"/>
  <c r="A15175" i="79" s="1"/>
  <c r="A15176" i="79" s="1"/>
  <c r="A15177" i="79" s="1"/>
  <c r="A15178" i="79" s="1"/>
  <c r="A15179" i="79" s="1"/>
  <c r="A15180" i="79" s="1"/>
  <c r="A15181" i="79" s="1"/>
  <c r="A15182" i="79" s="1"/>
  <c r="A15183" i="79" s="1"/>
  <c r="A15184" i="79" s="1"/>
  <c r="A15185" i="79" s="1"/>
  <c r="A15186" i="79" s="1"/>
  <c r="A15187" i="79" s="1"/>
  <c r="A15188" i="79" s="1"/>
  <c r="A15189" i="79" s="1"/>
  <c r="A15190" i="79" s="1"/>
  <c r="A15191" i="79" s="1"/>
  <c r="A15192" i="79" s="1"/>
  <c r="A15193" i="79" s="1"/>
  <c r="A15194" i="79" s="1"/>
  <c r="A15195" i="79" s="1"/>
  <c r="A15196" i="79" s="1"/>
  <c r="A15197" i="79" s="1"/>
  <c r="A15198" i="79" s="1"/>
  <c r="A15199" i="79" s="1"/>
  <c r="A15200" i="79" s="1"/>
  <c r="A15201" i="79" s="1"/>
  <c r="A15202" i="79" s="1"/>
  <c r="A15203" i="79" s="1"/>
  <c r="A15204" i="79" s="1"/>
  <c r="A15205" i="79" s="1"/>
  <c r="A15206" i="79" s="1"/>
  <c r="A15207" i="79" s="1"/>
  <c r="A15208" i="79" s="1"/>
  <c r="A15209" i="79" s="1"/>
  <c r="A15210" i="79" s="1"/>
  <c r="A15211" i="79" s="1"/>
  <c r="A15212" i="79" s="1"/>
  <c r="A15213" i="79" s="1"/>
  <c r="A15214" i="79" s="1"/>
  <c r="A15215" i="79" s="1"/>
  <c r="A15216" i="79" s="1"/>
  <c r="A15217" i="79" s="1"/>
  <c r="A15218" i="79" s="1"/>
  <c r="A15219" i="79" s="1"/>
  <c r="A15220" i="79" s="1"/>
  <c r="A15221" i="79" s="1"/>
  <c r="A15222" i="79" s="1"/>
  <c r="A15223" i="79" s="1"/>
  <c r="A15224" i="79" s="1"/>
  <c r="A15225" i="79" s="1"/>
  <c r="A15226" i="79" s="1"/>
  <c r="A15227" i="79" s="1"/>
  <c r="A15228" i="79" s="1"/>
  <c r="A15229" i="79" s="1"/>
  <c r="A15230" i="79" s="1"/>
  <c r="A15231" i="79" s="1"/>
  <c r="A15232" i="79" s="1"/>
  <c r="A15233" i="79" s="1"/>
  <c r="A15234" i="79" s="1"/>
  <c r="A15235" i="79" s="1"/>
  <c r="A15236" i="79" s="1"/>
  <c r="A15237" i="79" s="1"/>
  <c r="A15238" i="79" s="1"/>
  <c r="A15239" i="79" s="1"/>
  <c r="A15240" i="79" s="1"/>
  <c r="A15241" i="79" s="1"/>
  <c r="A15242" i="79" s="1"/>
  <c r="A15243" i="79" s="1"/>
  <c r="A15244" i="79" s="1"/>
  <c r="A15245" i="79" s="1"/>
  <c r="A15246" i="79" s="1"/>
  <c r="A15247" i="79" s="1"/>
  <c r="A15248" i="79" s="1"/>
  <c r="A15249" i="79" s="1"/>
  <c r="A15250" i="79" s="1"/>
  <c r="A15251" i="79" s="1"/>
  <c r="A15252" i="79" s="1"/>
  <c r="A15253" i="79" s="1"/>
  <c r="A15254" i="79" s="1"/>
  <c r="A15255" i="79" s="1"/>
  <c r="A15256" i="79" s="1"/>
  <c r="A15257" i="79" s="1"/>
  <c r="A15258" i="79" s="1"/>
  <c r="A15259" i="79" s="1"/>
  <c r="A15260" i="79" s="1"/>
  <c r="A15261" i="79" s="1"/>
  <c r="A15262" i="79" s="1"/>
  <c r="A15263" i="79" s="1"/>
  <c r="A15264" i="79" s="1"/>
  <c r="A15265" i="79" s="1"/>
  <c r="A15266" i="79" s="1"/>
  <c r="A15267" i="79" s="1"/>
  <c r="A15268" i="79" s="1"/>
  <c r="A15269" i="79" s="1"/>
  <c r="A15270" i="79" s="1"/>
  <c r="A15271" i="79" s="1"/>
  <c r="A15272" i="79" s="1"/>
  <c r="A15273" i="79" s="1"/>
  <c r="A15274" i="79" s="1"/>
  <c r="A15275" i="79" s="1"/>
  <c r="A15276" i="79" s="1"/>
  <c r="A15277" i="79" s="1"/>
  <c r="A15278" i="79" s="1"/>
  <c r="A15279" i="79" s="1"/>
  <c r="A15280" i="79" s="1"/>
  <c r="A15281" i="79" s="1"/>
  <c r="A15282" i="79" s="1"/>
  <c r="A15283" i="79" s="1"/>
  <c r="A15284" i="79" s="1"/>
  <c r="A15285" i="79" s="1"/>
  <c r="A15286" i="79" s="1"/>
  <c r="A15287" i="79" s="1"/>
  <c r="A15288" i="79" s="1"/>
  <c r="A15289" i="79" s="1"/>
  <c r="A15290" i="79" s="1"/>
  <c r="A15291" i="79" s="1"/>
  <c r="A15292" i="79" s="1"/>
  <c r="A15293" i="79" s="1"/>
  <c r="A15294" i="79" s="1"/>
  <c r="A15295" i="79" s="1"/>
  <c r="A15296" i="79" s="1"/>
  <c r="A15297" i="79" s="1"/>
  <c r="A15298" i="79" s="1"/>
  <c r="A15299" i="79" s="1"/>
  <c r="A15300" i="79" s="1"/>
  <c r="A15301" i="79" s="1"/>
  <c r="A15302" i="79" s="1"/>
  <c r="A15303" i="79" s="1"/>
  <c r="A15304" i="79" s="1"/>
  <c r="A15305" i="79" s="1"/>
  <c r="A15306" i="79" s="1"/>
  <c r="A15307" i="79" s="1"/>
  <c r="A15308" i="79" s="1"/>
  <c r="A15309" i="79" s="1"/>
  <c r="A15310" i="79" s="1"/>
  <c r="A15311" i="79" s="1"/>
  <c r="A15312" i="79" s="1"/>
  <c r="A15313" i="79" s="1"/>
  <c r="A15314" i="79" s="1"/>
  <c r="A15315" i="79" s="1"/>
  <c r="A15316" i="79" s="1"/>
  <c r="A15317" i="79" s="1"/>
  <c r="A15318" i="79" s="1"/>
  <c r="A15319" i="79" s="1"/>
  <c r="A15320" i="79" s="1"/>
  <c r="A15321" i="79" s="1"/>
  <c r="A15322" i="79" s="1"/>
  <c r="A15323" i="79" s="1"/>
  <c r="A15324" i="79" s="1"/>
  <c r="A15325" i="79" s="1"/>
  <c r="A15326" i="79" s="1"/>
  <c r="A15327" i="79" s="1"/>
  <c r="A15328" i="79" s="1"/>
  <c r="A15329" i="79" s="1"/>
  <c r="A15330" i="79" s="1"/>
  <c r="A15331" i="79" s="1"/>
  <c r="A15332" i="79" s="1"/>
  <c r="A15333" i="79" s="1"/>
  <c r="A15334" i="79" s="1"/>
  <c r="A15335" i="79" s="1"/>
  <c r="A15336" i="79" s="1"/>
  <c r="A15337" i="79" s="1"/>
  <c r="A15338" i="79" s="1"/>
  <c r="A15339" i="79" s="1"/>
  <c r="A15340" i="79" s="1"/>
  <c r="A15341" i="79" s="1"/>
  <c r="A15342" i="79" s="1"/>
  <c r="A15343" i="79" s="1"/>
  <c r="A15344" i="79" s="1"/>
  <c r="A15345" i="79" s="1"/>
  <c r="A15346" i="79" s="1"/>
  <c r="A15347" i="79" s="1"/>
  <c r="A15348" i="79" s="1"/>
  <c r="A15349" i="79" s="1"/>
  <c r="A15350" i="79" s="1"/>
  <c r="A15351" i="79" s="1"/>
  <c r="A15352" i="79" s="1"/>
  <c r="A15353" i="79" s="1"/>
  <c r="A15354" i="79" s="1"/>
  <c r="A15355" i="79" s="1"/>
  <c r="A15356" i="79" s="1"/>
  <c r="A15357" i="79" s="1"/>
  <c r="A15358" i="79" s="1"/>
  <c r="A15359" i="79" s="1"/>
  <c r="A15360" i="79" s="1"/>
  <c r="A15361" i="79" s="1"/>
  <c r="A15362" i="79" s="1"/>
  <c r="A15363" i="79" s="1"/>
  <c r="A15364" i="79" s="1"/>
  <c r="A15365" i="79" s="1"/>
  <c r="A15366" i="79" s="1"/>
  <c r="A15367" i="79" s="1"/>
  <c r="A15368" i="79" s="1"/>
  <c r="A15369" i="79" s="1"/>
  <c r="A15370" i="79" s="1"/>
  <c r="A15371" i="79" s="1"/>
  <c r="A15372" i="79" s="1"/>
  <c r="A15373" i="79" s="1"/>
  <c r="A15374" i="79" s="1"/>
  <c r="A15375" i="79" s="1"/>
  <c r="A15376" i="79" s="1"/>
  <c r="A15377" i="79" s="1"/>
  <c r="A15378" i="79" s="1"/>
  <c r="A15379" i="79" s="1"/>
  <c r="A15380" i="79" s="1"/>
  <c r="A15381" i="79" s="1"/>
  <c r="A15382" i="79" s="1"/>
  <c r="A15383" i="79" s="1"/>
  <c r="A15384" i="79" s="1"/>
  <c r="A15385" i="79" s="1"/>
  <c r="A15386" i="79" s="1"/>
  <c r="A15387" i="79" s="1"/>
  <c r="A15388" i="79" s="1"/>
  <c r="A15389" i="79" s="1"/>
  <c r="A15390" i="79" s="1"/>
  <c r="A15391" i="79" s="1"/>
  <c r="A15392" i="79" s="1"/>
  <c r="A15393" i="79" s="1"/>
  <c r="A15394" i="79" s="1"/>
  <c r="A15395" i="79" s="1"/>
  <c r="A15396" i="79" s="1"/>
  <c r="A15397" i="79" s="1"/>
  <c r="A15398" i="79" s="1"/>
  <c r="A15399" i="79" s="1"/>
  <c r="A15400" i="79" s="1"/>
  <c r="A15401" i="79" s="1"/>
  <c r="A15402" i="79" s="1"/>
  <c r="A15403" i="79" s="1"/>
  <c r="A15404" i="79" s="1"/>
  <c r="A15405" i="79" s="1"/>
  <c r="A15406" i="79" s="1"/>
  <c r="A15407" i="79" s="1"/>
  <c r="A15408" i="79" s="1"/>
  <c r="A15409" i="79" s="1"/>
  <c r="A15410" i="79" s="1"/>
  <c r="A15411" i="79" s="1"/>
  <c r="A15412" i="79" s="1"/>
  <c r="A15413" i="79" s="1"/>
  <c r="A15414" i="79" s="1"/>
  <c r="A15415" i="79" s="1"/>
  <c r="A15416" i="79" s="1"/>
  <c r="A15417" i="79" s="1"/>
  <c r="A15418" i="79" s="1"/>
  <c r="A15419" i="79" s="1"/>
  <c r="A15420" i="79" s="1"/>
  <c r="A15421" i="79" s="1"/>
  <c r="A15422" i="79" s="1"/>
  <c r="A15423" i="79" s="1"/>
  <c r="A15424" i="79" s="1"/>
  <c r="A15425" i="79" s="1"/>
  <c r="A15426" i="79" s="1"/>
  <c r="A15427" i="79" s="1"/>
  <c r="A15428" i="79" s="1"/>
  <c r="A15429" i="79" s="1"/>
  <c r="A15430" i="79" s="1"/>
  <c r="A15431" i="79" s="1"/>
  <c r="A15432" i="79" s="1"/>
  <c r="A15433" i="79" s="1"/>
  <c r="A15434" i="79" s="1"/>
  <c r="A15435" i="79" s="1"/>
  <c r="A15436" i="79" s="1"/>
  <c r="A15437" i="79" s="1"/>
  <c r="A15438" i="79" s="1"/>
  <c r="A15439" i="79" s="1"/>
  <c r="A15440" i="79" s="1"/>
  <c r="A15441" i="79" s="1"/>
  <c r="A15442" i="79" s="1"/>
  <c r="A15443" i="79" s="1"/>
  <c r="A15444" i="79" s="1"/>
  <c r="A15445" i="79" s="1"/>
  <c r="A15446" i="79" s="1"/>
  <c r="A15447" i="79" s="1"/>
  <c r="A15448" i="79" s="1"/>
  <c r="A15449" i="79" s="1"/>
  <c r="A15450" i="79" s="1"/>
  <c r="A15451" i="79" s="1"/>
  <c r="A15452" i="79" s="1"/>
  <c r="A15453" i="79" s="1"/>
  <c r="A15454" i="79" s="1"/>
  <c r="A15455" i="79" s="1"/>
  <c r="A15456" i="79" s="1"/>
  <c r="A15457" i="79" s="1"/>
  <c r="A15458" i="79" s="1"/>
  <c r="A15459" i="79" s="1"/>
  <c r="A15460" i="79" s="1"/>
  <c r="A15461" i="79" s="1"/>
  <c r="A15462" i="79" s="1"/>
  <c r="A15463" i="79" s="1"/>
  <c r="A15464" i="79" s="1"/>
  <c r="A15465" i="79" s="1"/>
  <c r="A15466" i="79" s="1"/>
  <c r="A15467" i="79" s="1"/>
  <c r="A15468" i="79" s="1"/>
  <c r="A15469" i="79" s="1"/>
  <c r="A15470" i="79" s="1"/>
  <c r="A15471" i="79" s="1"/>
  <c r="A15472" i="79" s="1"/>
  <c r="A15473" i="79" s="1"/>
  <c r="A15474" i="79" s="1"/>
  <c r="A15475" i="79" s="1"/>
  <c r="A15476" i="79" s="1"/>
  <c r="A15477" i="79" s="1"/>
  <c r="A15478" i="79" s="1"/>
  <c r="A15479" i="79" s="1"/>
  <c r="A15480" i="79" s="1"/>
  <c r="A15481" i="79" s="1"/>
  <c r="A15482" i="79" s="1"/>
  <c r="A15483" i="79" s="1"/>
  <c r="A15484" i="79" s="1"/>
  <c r="A15485" i="79" s="1"/>
  <c r="A15486" i="79" s="1"/>
  <c r="A15487" i="79" s="1"/>
  <c r="A15488" i="79" s="1"/>
  <c r="A15489" i="79" s="1"/>
  <c r="A15490" i="79" s="1"/>
  <c r="A15491" i="79" s="1"/>
  <c r="A15492" i="79" s="1"/>
  <c r="A15493" i="79" s="1"/>
  <c r="A15494" i="79" s="1"/>
  <c r="A15495" i="79" s="1"/>
  <c r="A15496" i="79" s="1"/>
  <c r="A15497" i="79" s="1"/>
  <c r="A15498" i="79" s="1"/>
  <c r="A15499" i="79" s="1"/>
  <c r="A15500" i="79" s="1"/>
  <c r="A15501" i="79" s="1"/>
  <c r="A15502" i="79" s="1"/>
  <c r="A15503" i="79" s="1"/>
  <c r="A15504" i="79" s="1"/>
  <c r="A15505" i="79" s="1"/>
  <c r="A15506" i="79" s="1"/>
  <c r="A15507" i="79" s="1"/>
  <c r="A15508" i="79" s="1"/>
  <c r="A15509" i="79" s="1"/>
  <c r="A15510" i="79" s="1"/>
  <c r="A15511" i="79" s="1"/>
  <c r="A15512" i="79" s="1"/>
  <c r="A15513" i="79" s="1"/>
  <c r="A15514" i="79" s="1"/>
  <c r="A15515" i="79" s="1"/>
  <c r="A15516" i="79" s="1"/>
  <c r="A15517" i="79" s="1"/>
  <c r="A15518" i="79" s="1"/>
  <c r="A15519" i="79" s="1"/>
  <c r="A15520" i="79" s="1"/>
  <c r="A15521" i="79" s="1"/>
  <c r="A15522" i="79" s="1"/>
  <c r="A15523" i="79" s="1"/>
  <c r="A15524" i="79" s="1"/>
  <c r="A15525" i="79" s="1"/>
  <c r="A15526" i="79" s="1"/>
  <c r="A15527" i="79" s="1"/>
  <c r="A15528" i="79" s="1"/>
  <c r="A15529" i="79" s="1"/>
  <c r="A15530" i="79" s="1"/>
  <c r="A15531" i="79" s="1"/>
  <c r="A15532" i="79" s="1"/>
  <c r="A15533" i="79" s="1"/>
  <c r="A15534" i="79" s="1"/>
  <c r="A15535" i="79" s="1"/>
  <c r="A15536" i="79" s="1"/>
  <c r="A15537" i="79" s="1"/>
  <c r="A15538" i="79" s="1"/>
  <c r="A15539" i="79" s="1"/>
  <c r="A15540" i="79" s="1"/>
  <c r="A15541" i="79" s="1"/>
  <c r="A15542" i="79" s="1"/>
  <c r="A15543" i="79" s="1"/>
  <c r="A15544" i="79" s="1"/>
  <c r="A15545" i="79" s="1"/>
  <c r="A15546" i="79" s="1"/>
  <c r="A15547" i="79" s="1"/>
  <c r="A15548" i="79" s="1"/>
  <c r="A15549" i="79" s="1"/>
  <c r="A15550" i="79" s="1"/>
  <c r="A15551" i="79" s="1"/>
  <c r="A15552" i="79" s="1"/>
  <c r="A15553" i="79" s="1"/>
  <c r="A15554" i="79" s="1"/>
  <c r="A15555" i="79" s="1"/>
  <c r="A15556" i="79" s="1"/>
  <c r="A15557" i="79" s="1"/>
  <c r="A15558" i="79" s="1"/>
  <c r="A15559" i="79" s="1"/>
  <c r="A15560" i="79" s="1"/>
  <c r="A15561" i="79" s="1"/>
  <c r="A15562" i="79" s="1"/>
  <c r="A15563" i="79" s="1"/>
  <c r="A15564" i="79" s="1"/>
  <c r="A15565" i="79" s="1"/>
  <c r="A15566" i="79" s="1"/>
  <c r="A15567" i="79" s="1"/>
  <c r="A15568" i="79" s="1"/>
  <c r="A15569" i="79" s="1"/>
  <c r="A15570" i="79" s="1"/>
  <c r="A15571" i="79" s="1"/>
  <c r="A15572" i="79" s="1"/>
  <c r="A15573" i="79" s="1"/>
  <c r="A15574" i="79" s="1"/>
  <c r="A15575" i="79" s="1"/>
  <c r="A15576" i="79" s="1"/>
  <c r="A15577" i="79" s="1"/>
  <c r="A15578" i="79" s="1"/>
  <c r="A15579" i="79" s="1"/>
  <c r="A15580" i="79" s="1"/>
  <c r="A15581" i="79" s="1"/>
  <c r="A15582" i="79" s="1"/>
  <c r="A15583" i="79" s="1"/>
  <c r="A15584" i="79" s="1"/>
  <c r="A15585" i="79" s="1"/>
  <c r="A15586" i="79" s="1"/>
  <c r="A15587" i="79" s="1"/>
  <c r="A15588" i="79" s="1"/>
  <c r="A15589" i="79" s="1"/>
  <c r="A15590" i="79" s="1"/>
  <c r="A15591" i="79" s="1"/>
  <c r="A15592" i="79" s="1"/>
  <c r="A15593" i="79" s="1"/>
  <c r="A15594" i="79" s="1"/>
  <c r="A15595" i="79" s="1"/>
  <c r="A15596" i="79" s="1"/>
  <c r="A15597" i="79" s="1"/>
  <c r="A15598" i="79" s="1"/>
  <c r="A15599" i="79" s="1"/>
  <c r="A15600" i="79" s="1"/>
  <c r="A15601" i="79" s="1"/>
  <c r="A15602" i="79" s="1"/>
  <c r="A15603" i="79" s="1"/>
  <c r="A15604" i="79" s="1"/>
  <c r="A15605" i="79" s="1"/>
  <c r="A15606" i="79" s="1"/>
  <c r="A15607" i="79" s="1"/>
  <c r="A15608" i="79" s="1"/>
  <c r="A15609" i="79" s="1"/>
  <c r="A15610" i="79" s="1"/>
  <c r="A15611" i="79" s="1"/>
  <c r="A15612" i="79" s="1"/>
  <c r="A15613" i="79" s="1"/>
  <c r="A15614" i="79" s="1"/>
  <c r="A15615" i="79" s="1"/>
  <c r="A15616" i="79" s="1"/>
  <c r="A15617" i="79" s="1"/>
  <c r="A15618" i="79" s="1"/>
  <c r="A15619" i="79" s="1"/>
  <c r="A15620" i="79" s="1"/>
  <c r="A15621" i="79" s="1"/>
  <c r="A15622" i="79" s="1"/>
  <c r="A15623" i="79" s="1"/>
  <c r="A15624" i="79" s="1"/>
  <c r="A15625" i="79" s="1"/>
  <c r="A15626" i="79" s="1"/>
  <c r="A15627" i="79" s="1"/>
  <c r="A15628" i="79" s="1"/>
  <c r="A15629" i="79" s="1"/>
  <c r="A15630" i="79" s="1"/>
  <c r="A15631" i="79" s="1"/>
  <c r="A15632" i="79" s="1"/>
  <c r="A15633" i="79" s="1"/>
  <c r="A15634" i="79" s="1"/>
  <c r="A15635" i="79" s="1"/>
  <c r="A15636" i="79" s="1"/>
  <c r="A15637" i="79" s="1"/>
  <c r="A15638" i="79" s="1"/>
  <c r="A15639" i="79" s="1"/>
  <c r="A15640" i="79" s="1"/>
  <c r="A15641" i="79" s="1"/>
  <c r="A15642" i="79" s="1"/>
  <c r="A15643" i="79" s="1"/>
  <c r="A15644" i="79" s="1"/>
  <c r="A15645" i="79" s="1"/>
  <c r="A15646" i="79" s="1"/>
  <c r="A15647" i="79" s="1"/>
  <c r="A15648" i="79" s="1"/>
  <c r="A15649" i="79" s="1"/>
  <c r="A15650" i="79" s="1"/>
  <c r="A15651" i="79" s="1"/>
  <c r="A15652" i="79" s="1"/>
  <c r="A15653" i="79" s="1"/>
  <c r="A15654" i="79" s="1"/>
  <c r="A15655" i="79" s="1"/>
  <c r="A15656" i="79" s="1"/>
  <c r="A15657" i="79" s="1"/>
  <c r="A15658" i="79" s="1"/>
  <c r="A15659" i="79" s="1"/>
  <c r="A15660" i="79" s="1"/>
  <c r="A15661" i="79" s="1"/>
  <c r="A15662" i="79" s="1"/>
  <c r="A15663" i="79" s="1"/>
  <c r="A15664" i="79" s="1"/>
  <c r="A15665" i="79" s="1"/>
  <c r="A15666" i="79" s="1"/>
  <c r="A15667" i="79" s="1"/>
  <c r="A15668" i="79" s="1"/>
  <c r="A15669" i="79" s="1"/>
  <c r="A15670" i="79" s="1"/>
  <c r="A15671" i="79" s="1"/>
  <c r="A15672" i="79" s="1"/>
  <c r="A15673" i="79" s="1"/>
  <c r="A15674" i="79" s="1"/>
  <c r="A15675" i="79" s="1"/>
  <c r="A15676" i="79" s="1"/>
  <c r="A15677" i="79" s="1"/>
  <c r="A15678" i="79" s="1"/>
  <c r="A15679" i="79" s="1"/>
  <c r="A15680" i="79" s="1"/>
  <c r="A15681" i="79" s="1"/>
  <c r="A15682" i="79" s="1"/>
  <c r="A15683" i="79" s="1"/>
  <c r="A15684" i="79" s="1"/>
  <c r="A15685" i="79" s="1"/>
  <c r="A15686" i="79" s="1"/>
  <c r="A15687" i="79" s="1"/>
  <c r="A15688" i="79" s="1"/>
  <c r="A15689" i="79" s="1"/>
  <c r="A15690" i="79" s="1"/>
  <c r="A15691" i="79" s="1"/>
  <c r="A15692" i="79" s="1"/>
  <c r="A15693" i="79" s="1"/>
  <c r="A15694" i="79" s="1"/>
  <c r="A15695" i="79" s="1"/>
  <c r="A15696" i="79" s="1"/>
  <c r="A15697" i="79" s="1"/>
  <c r="A15698" i="79" s="1"/>
  <c r="A15699" i="79" s="1"/>
  <c r="A15700" i="79" s="1"/>
  <c r="A15701" i="79" s="1"/>
  <c r="A15702" i="79" s="1"/>
  <c r="A15703" i="79" s="1"/>
  <c r="A15704" i="79" s="1"/>
  <c r="A15705" i="79" s="1"/>
  <c r="A15706" i="79" s="1"/>
  <c r="A15707" i="79" s="1"/>
  <c r="A15708" i="79" s="1"/>
  <c r="A15709" i="79" s="1"/>
  <c r="A15710" i="79" s="1"/>
  <c r="A15711" i="79" s="1"/>
  <c r="A15712" i="79" s="1"/>
  <c r="A15713" i="79" s="1"/>
  <c r="A15714" i="79" s="1"/>
  <c r="A15715" i="79" s="1"/>
  <c r="A15716" i="79" s="1"/>
  <c r="A15717" i="79" s="1"/>
  <c r="A15718" i="79" s="1"/>
  <c r="A15719" i="79" s="1"/>
  <c r="A15720" i="79" s="1"/>
  <c r="A15721" i="79" s="1"/>
  <c r="A15722" i="79" s="1"/>
  <c r="A15723" i="79" s="1"/>
  <c r="A15724" i="79" s="1"/>
  <c r="A15725" i="79" s="1"/>
  <c r="A15726" i="79" s="1"/>
  <c r="A15727" i="79" s="1"/>
  <c r="A15728" i="79" s="1"/>
  <c r="A15729" i="79" s="1"/>
  <c r="A15730" i="79" s="1"/>
  <c r="A15731" i="79" s="1"/>
  <c r="A15732" i="79" s="1"/>
  <c r="A15733" i="79" s="1"/>
  <c r="A15734" i="79" s="1"/>
  <c r="A15735" i="79" s="1"/>
  <c r="A15736" i="79" s="1"/>
  <c r="A15737" i="79" s="1"/>
  <c r="A15738" i="79" s="1"/>
  <c r="A15739" i="79" s="1"/>
  <c r="A15740" i="79" s="1"/>
  <c r="A15741" i="79" s="1"/>
  <c r="A15742" i="79" s="1"/>
  <c r="A15743" i="79" s="1"/>
  <c r="A15744" i="79" s="1"/>
  <c r="A15745" i="79" s="1"/>
  <c r="A15746" i="79" s="1"/>
  <c r="A15747" i="79" s="1"/>
  <c r="A15748" i="79" s="1"/>
  <c r="A15749" i="79" s="1"/>
  <c r="A15750" i="79" s="1"/>
  <c r="A15751" i="79" s="1"/>
  <c r="A15752" i="79" s="1"/>
  <c r="A15753" i="79" s="1"/>
  <c r="A15754" i="79" s="1"/>
  <c r="A15755" i="79" s="1"/>
  <c r="A15756" i="79" s="1"/>
  <c r="A15757" i="79" s="1"/>
  <c r="A15758" i="79" s="1"/>
  <c r="A15759" i="79" s="1"/>
  <c r="A15760" i="79" s="1"/>
  <c r="A15761" i="79" s="1"/>
  <c r="A15762" i="79" s="1"/>
  <c r="A15763" i="79" s="1"/>
  <c r="A15764" i="79" s="1"/>
  <c r="A15765" i="79" s="1"/>
  <c r="A15766" i="79" s="1"/>
  <c r="A15767" i="79" s="1"/>
  <c r="A15768" i="79" s="1"/>
  <c r="A15769" i="79" s="1"/>
  <c r="A15770" i="79" s="1"/>
  <c r="A15771" i="79" s="1"/>
  <c r="A15772" i="79" s="1"/>
  <c r="A15773" i="79" s="1"/>
  <c r="A15774" i="79" s="1"/>
  <c r="A15775" i="79" s="1"/>
  <c r="A15776" i="79" s="1"/>
  <c r="A15777" i="79" s="1"/>
  <c r="A15778" i="79" s="1"/>
  <c r="A15779" i="79" s="1"/>
  <c r="A15780" i="79" s="1"/>
  <c r="A15781" i="79" s="1"/>
  <c r="A15782" i="79" s="1"/>
  <c r="A15783" i="79" s="1"/>
  <c r="A15784" i="79" s="1"/>
  <c r="A15785" i="79" s="1"/>
  <c r="A15786" i="79" s="1"/>
  <c r="A15787" i="79" s="1"/>
  <c r="A15788" i="79" s="1"/>
  <c r="A15789" i="79" s="1"/>
  <c r="A15790" i="79" s="1"/>
  <c r="A15791" i="79" s="1"/>
  <c r="A15792" i="79" s="1"/>
  <c r="A15793" i="79" s="1"/>
  <c r="A15794" i="79" s="1"/>
  <c r="A15795" i="79" s="1"/>
  <c r="A15796" i="79" s="1"/>
  <c r="A15797" i="79" s="1"/>
  <c r="A15798" i="79" s="1"/>
  <c r="A15799" i="79" s="1"/>
  <c r="A15800" i="79" s="1"/>
  <c r="A15801" i="79" s="1"/>
  <c r="A15802" i="79" s="1"/>
  <c r="A15803" i="79" s="1"/>
  <c r="A15804" i="79" s="1"/>
  <c r="A15805" i="79" s="1"/>
  <c r="A15806" i="79" s="1"/>
  <c r="A15807" i="79" s="1"/>
  <c r="A15808" i="79" s="1"/>
  <c r="A15809" i="79" s="1"/>
  <c r="A15810" i="79" s="1"/>
  <c r="A15811" i="79" s="1"/>
  <c r="A15812" i="79" s="1"/>
  <c r="A15813" i="79" s="1"/>
  <c r="A15814" i="79" s="1"/>
  <c r="A15815" i="79" s="1"/>
  <c r="A15816" i="79" s="1"/>
  <c r="A15817" i="79" s="1"/>
  <c r="A15818" i="79" s="1"/>
  <c r="A15819" i="79" s="1"/>
  <c r="A15820" i="79" s="1"/>
  <c r="A15821" i="79" s="1"/>
  <c r="A15822" i="79" s="1"/>
  <c r="A15823" i="79" s="1"/>
  <c r="A15824" i="79" s="1"/>
  <c r="A15825" i="79" s="1"/>
  <c r="A15826" i="79" s="1"/>
  <c r="A15827" i="79" s="1"/>
  <c r="A15828" i="79" s="1"/>
  <c r="A15829" i="79" s="1"/>
  <c r="A15830" i="79" s="1"/>
  <c r="A15831" i="79" s="1"/>
  <c r="A15832" i="79" s="1"/>
  <c r="A15833" i="79" s="1"/>
  <c r="A15834" i="79" s="1"/>
  <c r="A15835" i="79" s="1"/>
  <c r="A15836" i="79" s="1"/>
  <c r="A15837" i="79" s="1"/>
  <c r="A15838" i="79" s="1"/>
  <c r="A15839" i="79" s="1"/>
  <c r="A15840" i="79" s="1"/>
  <c r="A15841" i="79" s="1"/>
  <c r="A15842" i="79" s="1"/>
  <c r="A15843" i="79" s="1"/>
  <c r="A15844" i="79" s="1"/>
  <c r="A15845" i="79" s="1"/>
  <c r="A15846" i="79" s="1"/>
  <c r="A15847" i="79" s="1"/>
  <c r="A15848" i="79" s="1"/>
  <c r="A15849" i="79" s="1"/>
  <c r="A15850" i="79" s="1"/>
  <c r="A15851" i="79" s="1"/>
  <c r="A15852" i="79" s="1"/>
  <c r="A15853" i="79" s="1"/>
  <c r="A15854" i="79" s="1"/>
  <c r="A15855" i="79" s="1"/>
  <c r="A15856" i="79" s="1"/>
  <c r="A15857" i="79" s="1"/>
  <c r="A15858" i="79" s="1"/>
  <c r="A15859" i="79" s="1"/>
  <c r="A15860" i="79" s="1"/>
  <c r="A15861" i="79" s="1"/>
  <c r="A15862" i="79" s="1"/>
  <c r="A15863" i="79" s="1"/>
  <c r="A15864" i="79" s="1"/>
  <c r="A15865" i="79" s="1"/>
  <c r="A15866" i="79" s="1"/>
  <c r="A15867" i="79" s="1"/>
  <c r="A15868" i="79" s="1"/>
  <c r="A15869" i="79" s="1"/>
  <c r="A15870" i="79" s="1"/>
  <c r="A15871" i="79" s="1"/>
  <c r="A15872" i="79" s="1"/>
  <c r="A15873" i="79" s="1"/>
  <c r="A15874" i="79" s="1"/>
  <c r="A15875" i="79" s="1"/>
  <c r="A15876" i="79" s="1"/>
  <c r="A15877" i="79" s="1"/>
  <c r="A15878" i="79" s="1"/>
  <c r="A15879" i="79" s="1"/>
  <c r="A15880" i="79" s="1"/>
  <c r="A15881" i="79" s="1"/>
  <c r="A15882" i="79" s="1"/>
  <c r="A15883" i="79" s="1"/>
  <c r="A15884" i="79" s="1"/>
  <c r="A15885" i="79" s="1"/>
  <c r="A15886" i="79" s="1"/>
  <c r="A15887" i="79" s="1"/>
  <c r="A15888" i="79" s="1"/>
  <c r="A15889" i="79" s="1"/>
  <c r="A15890" i="79" s="1"/>
  <c r="A15891" i="79" s="1"/>
  <c r="A15892" i="79" s="1"/>
  <c r="A15893" i="79" s="1"/>
  <c r="A15894" i="79" s="1"/>
  <c r="A15895" i="79" s="1"/>
  <c r="A15896" i="79" s="1"/>
  <c r="A15897" i="79" s="1"/>
  <c r="A15898" i="79" s="1"/>
  <c r="A15899" i="79" s="1"/>
  <c r="A15900" i="79" s="1"/>
  <c r="A15901" i="79" s="1"/>
  <c r="A15902" i="79" s="1"/>
  <c r="A15903" i="79" s="1"/>
  <c r="A15904" i="79" s="1"/>
  <c r="A15905" i="79" s="1"/>
  <c r="A15906" i="79" s="1"/>
  <c r="A15907" i="79" s="1"/>
  <c r="A15908" i="79" s="1"/>
  <c r="A15909" i="79" s="1"/>
  <c r="A15910" i="79" s="1"/>
  <c r="A15911" i="79" s="1"/>
  <c r="A15912" i="79" s="1"/>
  <c r="A15913" i="79" s="1"/>
  <c r="A15914" i="79" s="1"/>
  <c r="A15915" i="79" s="1"/>
  <c r="A15916" i="79" s="1"/>
  <c r="A15917" i="79" s="1"/>
  <c r="A15918" i="79" s="1"/>
  <c r="A15919" i="79" s="1"/>
  <c r="A15920" i="79" s="1"/>
  <c r="A15921" i="79" s="1"/>
  <c r="A15922" i="79" s="1"/>
  <c r="A15923" i="79" s="1"/>
  <c r="A15924" i="79" s="1"/>
  <c r="A15925" i="79" s="1"/>
  <c r="A15926" i="79" s="1"/>
  <c r="A15927" i="79" s="1"/>
  <c r="A15928" i="79" s="1"/>
  <c r="A15929" i="79" s="1"/>
  <c r="A15930" i="79" s="1"/>
  <c r="A15931" i="79" s="1"/>
  <c r="A15932" i="79" s="1"/>
  <c r="A15933" i="79" s="1"/>
  <c r="A15934" i="79" s="1"/>
  <c r="A15935" i="79" s="1"/>
  <c r="A15936" i="79" s="1"/>
  <c r="A15937" i="79" s="1"/>
  <c r="A15938" i="79" s="1"/>
  <c r="A15939" i="79" s="1"/>
  <c r="A15940" i="79" s="1"/>
  <c r="A15941" i="79" s="1"/>
  <c r="A15942" i="79" s="1"/>
  <c r="A15943" i="79" s="1"/>
  <c r="A15944" i="79" s="1"/>
  <c r="A15945" i="79" s="1"/>
  <c r="A15946" i="79" s="1"/>
  <c r="A15947" i="79" s="1"/>
  <c r="A15948" i="79" s="1"/>
  <c r="A15949" i="79" s="1"/>
  <c r="A15950" i="79" s="1"/>
  <c r="A15951" i="79" s="1"/>
  <c r="A15952" i="79" s="1"/>
  <c r="A15953" i="79" s="1"/>
  <c r="A15954" i="79" s="1"/>
  <c r="A15955" i="79" s="1"/>
  <c r="A15956" i="79" s="1"/>
  <c r="A15957" i="79" s="1"/>
  <c r="A15958" i="79" s="1"/>
  <c r="A15959" i="79" s="1"/>
  <c r="A15960" i="79" s="1"/>
  <c r="A15961" i="79" s="1"/>
  <c r="A15962" i="79" s="1"/>
  <c r="A15963" i="79" s="1"/>
  <c r="A15964" i="79" s="1"/>
  <c r="A15965" i="79" s="1"/>
  <c r="A15966" i="79" s="1"/>
  <c r="A15967" i="79" s="1"/>
  <c r="A15968" i="79" s="1"/>
  <c r="A15969" i="79" s="1"/>
  <c r="A15970" i="79" s="1"/>
  <c r="A15971" i="79" s="1"/>
  <c r="A15972" i="79" s="1"/>
  <c r="A15973" i="79" s="1"/>
  <c r="A15974" i="79" s="1"/>
  <c r="A15975" i="79" s="1"/>
  <c r="A15976" i="79" s="1"/>
  <c r="A15977" i="79" s="1"/>
  <c r="A15978" i="79" s="1"/>
  <c r="A15979" i="79" s="1"/>
  <c r="A15980" i="79" s="1"/>
  <c r="A15981" i="79" s="1"/>
  <c r="A15982" i="79" s="1"/>
  <c r="A15983" i="79" s="1"/>
  <c r="A15984" i="79" s="1"/>
  <c r="A15985" i="79" s="1"/>
  <c r="A15986" i="79" s="1"/>
  <c r="A15987" i="79" s="1"/>
  <c r="A15988" i="79" s="1"/>
  <c r="A15989" i="79" s="1"/>
  <c r="A15990" i="79" s="1"/>
  <c r="A15991" i="79" s="1"/>
  <c r="A15992" i="79" s="1"/>
  <c r="A15993" i="79" s="1"/>
  <c r="A15994" i="79" s="1"/>
  <c r="A15995" i="79" s="1"/>
  <c r="A15996" i="79" s="1"/>
  <c r="A15997" i="79" s="1"/>
  <c r="A15998" i="79" s="1"/>
  <c r="A15999" i="79" s="1"/>
  <c r="A16000" i="79" s="1"/>
  <c r="A16001" i="79" s="1"/>
  <c r="A16002" i="79" s="1"/>
  <c r="A16003" i="79" s="1"/>
  <c r="A16004" i="79" s="1"/>
  <c r="A16005" i="79" s="1"/>
  <c r="A16006" i="79" s="1"/>
  <c r="A16007" i="79" s="1"/>
  <c r="A16008" i="79" s="1"/>
  <c r="A16009" i="79" s="1"/>
  <c r="A16010" i="79" s="1"/>
  <c r="A16011" i="79" s="1"/>
  <c r="A16012" i="79" s="1"/>
  <c r="A16013" i="79" s="1"/>
  <c r="A16014" i="79" s="1"/>
  <c r="A16015" i="79" s="1"/>
  <c r="A16016" i="79" s="1"/>
  <c r="A16017" i="79" s="1"/>
  <c r="A16018" i="79" s="1"/>
  <c r="A16019" i="79" s="1"/>
  <c r="A16020" i="79" s="1"/>
  <c r="A16021" i="79" s="1"/>
  <c r="A16022" i="79" s="1"/>
  <c r="A16023" i="79" s="1"/>
  <c r="A16024" i="79" s="1"/>
  <c r="A16025" i="79" s="1"/>
  <c r="A16026" i="79" s="1"/>
  <c r="A16027" i="79" s="1"/>
  <c r="A16028" i="79" s="1"/>
  <c r="A16029" i="79" s="1"/>
  <c r="A16030" i="79" s="1"/>
  <c r="A16031" i="79" s="1"/>
  <c r="A16032" i="79" s="1"/>
  <c r="A16033" i="79" s="1"/>
  <c r="A16034" i="79" s="1"/>
  <c r="A16035" i="79" s="1"/>
  <c r="A16036" i="79" s="1"/>
  <c r="A16037" i="79" s="1"/>
  <c r="A16038" i="79" s="1"/>
  <c r="A16039" i="79" s="1"/>
  <c r="A16040" i="79" s="1"/>
  <c r="A16041" i="79" s="1"/>
  <c r="A16042" i="79" s="1"/>
  <c r="A16043" i="79" s="1"/>
  <c r="A16044" i="79" s="1"/>
  <c r="A16045" i="79" s="1"/>
  <c r="A16046" i="79" s="1"/>
  <c r="A16047" i="79" s="1"/>
  <c r="A16048" i="79" s="1"/>
  <c r="A16049" i="79" s="1"/>
  <c r="A16050" i="79" s="1"/>
  <c r="A16051" i="79" s="1"/>
  <c r="A16052" i="79" s="1"/>
  <c r="A16053" i="79" s="1"/>
  <c r="A16054" i="79" s="1"/>
  <c r="A16055" i="79" s="1"/>
  <c r="A16056" i="79" s="1"/>
  <c r="A16057" i="79" s="1"/>
  <c r="A16058" i="79" s="1"/>
  <c r="A16059" i="79" s="1"/>
  <c r="A16060" i="79" s="1"/>
  <c r="A16061" i="79" s="1"/>
  <c r="A16062" i="79" s="1"/>
  <c r="A16063" i="79" s="1"/>
  <c r="A16064" i="79" s="1"/>
  <c r="A16065" i="79" s="1"/>
  <c r="A16066" i="79" s="1"/>
  <c r="A16067" i="79" s="1"/>
  <c r="A16068" i="79" s="1"/>
  <c r="A16069" i="79" s="1"/>
  <c r="A16070" i="79" s="1"/>
  <c r="A16071" i="79" s="1"/>
  <c r="A16072" i="79" s="1"/>
  <c r="A16073" i="79" s="1"/>
  <c r="A16074" i="79" s="1"/>
  <c r="A16075" i="79" s="1"/>
  <c r="A16076" i="79" s="1"/>
  <c r="A16077" i="79" s="1"/>
  <c r="A16078" i="79" s="1"/>
  <c r="A16079" i="79" s="1"/>
  <c r="A16080" i="79" s="1"/>
  <c r="A16081" i="79" s="1"/>
  <c r="A16082" i="79" s="1"/>
  <c r="A16083" i="79" s="1"/>
  <c r="A16084" i="79" s="1"/>
  <c r="A16085" i="79" s="1"/>
  <c r="A16086" i="79" s="1"/>
  <c r="A16087" i="79" s="1"/>
  <c r="A16088" i="79" s="1"/>
  <c r="A16089" i="79" s="1"/>
  <c r="A16090" i="79" s="1"/>
  <c r="A16091" i="79" s="1"/>
  <c r="A16092" i="79" s="1"/>
  <c r="A16093" i="79" s="1"/>
  <c r="A16094" i="79" s="1"/>
  <c r="A16095" i="79" s="1"/>
  <c r="A16096" i="79" s="1"/>
  <c r="A16097" i="79" s="1"/>
  <c r="A16098" i="79" s="1"/>
  <c r="A16099" i="79" s="1"/>
  <c r="A16100" i="79" s="1"/>
  <c r="A16101" i="79" s="1"/>
  <c r="A16102" i="79" s="1"/>
  <c r="A16103" i="79" s="1"/>
  <c r="A16104" i="79" s="1"/>
  <c r="A16105" i="79" s="1"/>
  <c r="A16106" i="79" s="1"/>
  <c r="A16107" i="79" s="1"/>
  <c r="A16108" i="79" s="1"/>
  <c r="A16109" i="79" s="1"/>
  <c r="A16110" i="79" s="1"/>
  <c r="A16111" i="79" s="1"/>
  <c r="A16112" i="79" s="1"/>
  <c r="A16113" i="79" s="1"/>
  <c r="A16114" i="79" s="1"/>
  <c r="A16115" i="79" s="1"/>
  <c r="A16116" i="79" s="1"/>
  <c r="A16117" i="79" s="1"/>
  <c r="A16118" i="79" s="1"/>
  <c r="A16119" i="79" s="1"/>
  <c r="A16120" i="79" s="1"/>
  <c r="A16121" i="79" s="1"/>
  <c r="A16122" i="79" s="1"/>
  <c r="A16123" i="79" s="1"/>
  <c r="A16124" i="79" s="1"/>
  <c r="A16125" i="79" s="1"/>
  <c r="A16126" i="79" s="1"/>
  <c r="A16127" i="79" s="1"/>
  <c r="A16128" i="79" s="1"/>
  <c r="A16129" i="79" s="1"/>
  <c r="A16130" i="79" s="1"/>
  <c r="A16131" i="79" s="1"/>
  <c r="A16132" i="79" s="1"/>
  <c r="A16133" i="79" s="1"/>
  <c r="A16134" i="79" s="1"/>
  <c r="A16135" i="79" s="1"/>
  <c r="A16136" i="79" s="1"/>
  <c r="A16137" i="79" s="1"/>
  <c r="A16138" i="79" s="1"/>
  <c r="A16139" i="79" s="1"/>
  <c r="A16140" i="79" s="1"/>
  <c r="A16141" i="79" s="1"/>
  <c r="A16142" i="79" s="1"/>
  <c r="A16143" i="79" s="1"/>
  <c r="A16144" i="79" s="1"/>
  <c r="A16145" i="79" s="1"/>
  <c r="A16146" i="79" s="1"/>
  <c r="A16147" i="79" s="1"/>
  <c r="A16148" i="79" s="1"/>
  <c r="A16149" i="79" s="1"/>
  <c r="A16150" i="79" s="1"/>
  <c r="A16151" i="79" s="1"/>
  <c r="A16152" i="79" s="1"/>
  <c r="A16153" i="79" s="1"/>
  <c r="A16154" i="79" s="1"/>
  <c r="A16155" i="79" s="1"/>
  <c r="A16156" i="79" s="1"/>
  <c r="A16157" i="79" s="1"/>
  <c r="A16158" i="79" s="1"/>
  <c r="A16159" i="79" s="1"/>
  <c r="A16160" i="79" s="1"/>
  <c r="A16161" i="79" s="1"/>
  <c r="A16162" i="79" s="1"/>
  <c r="A16163" i="79" s="1"/>
  <c r="A16164" i="79" s="1"/>
  <c r="A16165" i="79" s="1"/>
  <c r="A16166" i="79" s="1"/>
  <c r="A16167" i="79" s="1"/>
  <c r="A16168" i="79" s="1"/>
  <c r="A16169" i="79" s="1"/>
  <c r="A16170" i="79" s="1"/>
  <c r="A16171" i="79" s="1"/>
  <c r="A16172" i="79" s="1"/>
  <c r="A16173" i="79" s="1"/>
  <c r="A16174" i="79" s="1"/>
  <c r="A16175" i="79" s="1"/>
  <c r="A16176" i="79" s="1"/>
  <c r="A16177" i="79" s="1"/>
  <c r="A16178" i="79" s="1"/>
  <c r="A16179" i="79" s="1"/>
  <c r="A16180" i="79" s="1"/>
  <c r="A16181" i="79" s="1"/>
  <c r="A16182" i="79" s="1"/>
  <c r="A16183" i="79" s="1"/>
  <c r="A16184" i="79" s="1"/>
  <c r="A16185" i="79" s="1"/>
  <c r="A16186" i="79" s="1"/>
  <c r="A16187" i="79" s="1"/>
  <c r="A16188" i="79" s="1"/>
  <c r="A16189" i="79" s="1"/>
  <c r="A16190" i="79" s="1"/>
  <c r="A16191" i="79" s="1"/>
  <c r="A16192" i="79" s="1"/>
  <c r="A16193" i="79" s="1"/>
  <c r="A16194" i="79" s="1"/>
  <c r="A16195" i="79" s="1"/>
  <c r="A16196" i="79" s="1"/>
  <c r="A16197" i="79" s="1"/>
  <c r="A16198" i="79" s="1"/>
  <c r="A16199" i="79" s="1"/>
  <c r="A16200" i="79" s="1"/>
  <c r="A16201" i="79" s="1"/>
  <c r="A16202" i="79" s="1"/>
  <c r="A16203" i="79" s="1"/>
  <c r="A16204" i="79" s="1"/>
  <c r="A16205" i="79" s="1"/>
  <c r="A16206" i="79" s="1"/>
  <c r="A16207" i="79" s="1"/>
  <c r="A16208" i="79" s="1"/>
  <c r="A16209" i="79" s="1"/>
  <c r="A16210" i="79" s="1"/>
  <c r="A16211" i="79" s="1"/>
  <c r="A16212" i="79" s="1"/>
  <c r="A16213" i="79" s="1"/>
  <c r="A16214" i="79" s="1"/>
  <c r="A16215" i="79" s="1"/>
  <c r="A16216" i="79" s="1"/>
  <c r="A16217" i="79" s="1"/>
  <c r="A16218" i="79" s="1"/>
  <c r="A16219" i="79" s="1"/>
  <c r="A16220" i="79" s="1"/>
  <c r="A16221" i="79" s="1"/>
  <c r="A16222" i="79" s="1"/>
  <c r="A16223" i="79" s="1"/>
  <c r="A16224" i="79" s="1"/>
  <c r="A16225" i="79" s="1"/>
  <c r="A16226" i="79" s="1"/>
  <c r="A16227" i="79" s="1"/>
  <c r="A16228" i="79" s="1"/>
  <c r="A16229" i="79" s="1"/>
  <c r="A16230" i="79" s="1"/>
  <c r="A16231" i="79" s="1"/>
  <c r="A16232" i="79" s="1"/>
  <c r="A16233" i="79" s="1"/>
  <c r="A16234" i="79" s="1"/>
  <c r="A16235" i="79" s="1"/>
  <c r="A16236" i="79" s="1"/>
  <c r="A16237" i="79" s="1"/>
  <c r="A16238" i="79" s="1"/>
  <c r="A16239" i="79" s="1"/>
  <c r="A16240" i="79" s="1"/>
  <c r="A16241" i="79" s="1"/>
  <c r="A16242" i="79" s="1"/>
  <c r="A16243" i="79" s="1"/>
  <c r="A16244" i="79" s="1"/>
  <c r="A16245" i="79" s="1"/>
  <c r="A16246" i="79" s="1"/>
  <c r="A16247" i="79" s="1"/>
  <c r="A16248" i="79" s="1"/>
  <c r="A16249" i="79" s="1"/>
  <c r="A16250" i="79" s="1"/>
  <c r="A16251" i="79" s="1"/>
  <c r="A16252" i="79" s="1"/>
  <c r="A16253" i="79" s="1"/>
  <c r="A16254" i="79" s="1"/>
  <c r="A16255" i="79" s="1"/>
  <c r="A16256" i="79" s="1"/>
  <c r="A16257" i="79" s="1"/>
  <c r="A16258" i="79" s="1"/>
  <c r="A16259" i="79" s="1"/>
  <c r="A16260" i="79" s="1"/>
  <c r="A16261" i="79" s="1"/>
  <c r="A16262" i="79" s="1"/>
  <c r="A16263" i="79" s="1"/>
  <c r="A16264" i="79" s="1"/>
  <c r="A16265" i="79" s="1"/>
  <c r="A16266" i="79" s="1"/>
  <c r="A16267" i="79" s="1"/>
  <c r="A16268" i="79" s="1"/>
  <c r="A16269" i="79" s="1"/>
  <c r="A16270" i="79" s="1"/>
  <c r="A16271" i="79" s="1"/>
  <c r="A16272" i="79" s="1"/>
  <c r="A16273" i="79" s="1"/>
  <c r="A16274" i="79" s="1"/>
  <c r="A16275" i="79" s="1"/>
  <c r="A16276" i="79" s="1"/>
  <c r="A16277" i="79" s="1"/>
  <c r="A16278" i="79" s="1"/>
  <c r="A16279" i="79" s="1"/>
  <c r="A16280" i="79" s="1"/>
  <c r="A16281" i="79" s="1"/>
  <c r="A16282" i="79" s="1"/>
  <c r="A16283" i="79" s="1"/>
  <c r="A16284" i="79" s="1"/>
  <c r="A16285" i="79" s="1"/>
  <c r="A16286" i="79" s="1"/>
  <c r="A16287" i="79" s="1"/>
  <c r="A16288" i="79" s="1"/>
  <c r="A16289" i="79" s="1"/>
  <c r="A16290" i="79" s="1"/>
  <c r="A16291" i="79" s="1"/>
  <c r="A16292" i="79" s="1"/>
  <c r="A16293" i="79" s="1"/>
  <c r="A16294" i="79" s="1"/>
  <c r="A16295" i="79" s="1"/>
  <c r="A16296" i="79" s="1"/>
  <c r="A16297" i="79" s="1"/>
  <c r="A16298" i="79" s="1"/>
  <c r="A16299" i="79" s="1"/>
  <c r="A16300" i="79" s="1"/>
  <c r="A16301" i="79" s="1"/>
  <c r="A16302" i="79" s="1"/>
  <c r="A16303" i="79" s="1"/>
  <c r="A16304" i="79" s="1"/>
  <c r="A16305" i="79" s="1"/>
  <c r="A16306" i="79" s="1"/>
  <c r="A16307" i="79" s="1"/>
  <c r="A16308" i="79" s="1"/>
  <c r="A16309" i="79" s="1"/>
  <c r="A16310" i="79" s="1"/>
  <c r="A16311" i="79" s="1"/>
  <c r="A16312" i="79" s="1"/>
  <c r="A16313" i="79" s="1"/>
  <c r="A16314" i="79" s="1"/>
  <c r="A16315" i="79" s="1"/>
  <c r="A16316" i="79" s="1"/>
  <c r="A16317" i="79" s="1"/>
  <c r="A16318" i="79" s="1"/>
  <c r="A16319" i="79" s="1"/>
  <c r="A16320" i="79" s="1"/>
  <c r="A16321" i="79" s="1"/>
  <c r="A16322" i="79" s="1"/>
  <c r="A16323" i="79" s="1"/>
  <c r="A16324" i="79" s="1"/>
  <c r="A16325" i="79" s="1"/>
  <c r="A16326" i="79" s="1"/>
  <c r="A16327" i="79" s="1"/>
  <c r="A16328" i="79" s="1"/>
  <c r="A16329" i="79" s="1"/>
  <c r="A16330" i="79" s="1"/>
  <c r="A16331" i="79" s="1"/>
  <c r="A16332" i="79" s="1"/>
  <c r="A16333" i="79" s="1"/>
  <c r="A16334" i="79" s="1"/>
  <c r="A16335" i="79" s="1"/>
  <c r="A16336" i="79" s="1"/>
  <c r="A16337" i="79" s="1"/>
  <c r="A16338" i="79" s="1"/>
  <c r="A16339" i="79" s="1"/>
  <c r="A16340" i="79" s="1"/>
  <c r="A16341" i="79" s="1"/>
  <c r="A16342" i="79" s="1"/>
  <c r="A16343" i="79" s="1"/>
  <c r="A16344" i="79" s="1"/>
  <c r="A16345" i="79" s="1"/>
  <c r="A16346" i="79" s="1"/>
  <c r="A16347" i="79" s="1"/>
  <c r="A16348" i="79" s="1"/>
  <c r="A16349" i="79" s="1"/>
  <c r="A16350" i="79" s="1"/>
  <c r="A16351" i="79" s="1"/>
  <c r="A16352" i="79" s="1"/>
  <c r="A16353" i="79" s="1"/>
  <c r="A16354" i="79" s="1"/>
  <c r="A16355" i="79" s="1"/>
  <c r="A16356" i="79" s="1"/>
  <c r="A16357" i="79" s="1"/>
  <c r="A16358" i="79" s="1"/>
  <c r="A16359" i="79" s="1"/>
  <c r="A16360" i="79" s="1"/>
  <c r="A16361" i="79" s="1"/>
  <c r="A16362" i="79" s="1"/>
  <c r="A16363" i="79" s="1"/>
  <c r="A16364" i="79" s="1"/>
  <c r="A16365" i="79" s="1"/>
  <c r="A16366" i="79" s="1"/>
  <c r="A16367" i="79" s="1"/>
  <c r="A16368" i="79" s="1"/>
  <c r="A16369" i="79" s="1"/>
  <c r="A16370" i="79" s="1"/>
  <c r="A16371" i="79" s="1"/>
  <c r="A16372" i="79" s="1"/>
  <c r="A16373" i="79" s="1"/>
  <c r="A16374" i="79" s="1"/>
  <c r="A16375" i="79" s="1"/>
  <c r="A16376" i="79" s="1"/>
  <c r="A16377" i="79" s="1"/>
  <c r="A16378" i="79" s="1"/>
  <c r="A16379" i="79" s="1"/>
  <c r="A16380" i="79" s="1"/>
  <c r="A16381" i="79" s="1"/>
  <c r="A16382" i="79" s="1"/>
  <c r="A16383" i="79" s="1"/>
  <c r="A16384" i="79" s="1"/>
  <c r="A16385" i="79" s="1"/>
  <c r="A16386" i="79" s="1"/>
  <c r="A16387" i="79" s="1"/>
  <c r="A16388" i="79" s="1"/>
  <c r="A16389" i="79" s="1"/>
  <c r="A16390" i="79" s="1"/>
  <c r="A16391" i="79" s="1"/>
  <c r="A16392" i="79" s="1"/>
  <c r="A16393" i="79" s="1"/>
  <c r="A16394" i="79" s="1"/>
  <c r="A16395" i="79" s="1"/>
  <c r="A16396" i="79" s="1"/>
  <c r="A16397" i="79" s="1"/>
  <c r="A16398" i="79" s="1"/>
  <c r="A16399" i="79" s="1"/>
  <c r="A16400" i="79" s="1"/>
  <c r="A16401" i="79" s="1"/>
  <c r="A16402" i="79" s="1"/>
  <c r="A16403" i="79" s="1"/>
  <c r="A16404" i="79" s="1"/>
  <c r="A16405" i="79" s="1"/>
  <c r="A16406" i="79" s="1"/>
  <c r="A16407" i="79" s="1"/>
  <c r="A16408" i="79" s="1"/>
  <c r="A16409" i="79" s="1"/>
  <c r="A16410" i="79" s="1"/>
  <c r="A16411" i="79" s="1"/>
  <c r="A16412" i="79" s="1"/>
  <c r="A16413" i="79" s="1"/>
  <c r="A16414" i="79" s="1"/>
  <c r="A16415" i="79" s="1"/>
  <c r="A16416" i="79" s="1"/>
  <c r="A16417" i="79" s="1"/>
  <c r="A16418" i="79" s="1"/>
  <c r="A16419" i="79" s="1"/>
  <c r="A16420" i="79" s="1"/>
  <c r="A16421" i="79" s="1"/>
  <c r="A16422" i="79" s="1"/>
  <c r="A16423" i="79" s="1"/>
  <c r="A16424" i="79" s="1"/>
  <c r="A16425" i="79" s="1"/>
  <c r="A16426" i="79" s="1"/>
  <c r="A16427" i="79" s="1"/>
  <c r="A16428" i="79" s="1"/>
  <c r="A16429" i="79" s="1"/>
  <c r="A16430" i="79" s="1"/>
  <c r="A16431" i="79" s="1"/>
  <c r="A16432" i="79" s="1"/>
  <c r="A16433" i="79" s="1"/>
  <c r="A16434" i="79" s="1"/>
  <c r="A16435" i="79" s="1"/>
  <c r="A16436" i="79" s="1"/>
  <c r="A16437" i="79" s="1"/>
  <c r="A16438" i="79" s="1"/>
  <c r="A16439" i="79" s="1"/>
  <c r="A16440" i="79" s="1"/>
  <c r="A16441" i="79" s="1"/>
  <c r="A16442" i="79" s="1"/>
  <c r="A16443" i="79" s="1"/>
  <c r="A16444" i="79" s="1"/>
  <c r="A16445" i="79" s="1"/>
  <c r="A16446" i="79" s="1"/>
  <c r="A16447" i="79" s="1"/>
  <c r="A16448" i="79" s="1"/>
  <c r="A16449" i="79" s="1"/>
  <c r="A16450" i="79" s="1"/>
  <c r="A16451" i="79" s="1"/>
  <c r="A16452" i="79" s="1"/>
  <c r="A16453" i="79" s="1"/>
  <c r="A16454" i="79" s="1"/>
  <c r="A16455" i="79" s="1"/>
  <c r="A16456" i="79" s="1"/>
  <c r="A16457" i="79" s="1"/>
  <c r="A16458" i="79" s="1"/>
  <c r="A16459" i="79" s="1"/>
  <c r="A16460" i="79" s="1"/>
  <c r="A16461" i="79" s="1"/>
  <c r="A16462" i="79" s="1"/>
  <c r="A16463" i="79" s="1"/>
  <c r="A16464" i="79" s="1"/>
  <c r="A16465" i="79" s="1"/>
  <c r="A16466" i="79" s="1"/>
  <c r="A16467" i="79" s="1"/>
  <c r="A16468" i="79" s="1"/>
  <c r="A16469" i="79" s="1"/>
  <c r="A16470" i="79" s="1"/>
  <c r="A16471" i="79" s="1"/>
  <c r="A16472" i="79" s="1"/>
  <c r="A16473" i="79" s="1"/>
  <c r="A16474" i="79" s="1"/>
  <c r="A16475" i="79" s="1"/>
  <c r="A16476" i="79" s="1"/>
  <c r="A16477" i="79" s="1"/>
  <c r="A16478" i="79" s="1"/>
  <c r="A16479" i="79" s="1"/>
  <c r="A16480" i="79" s="1"/>
  <c r="A16481" i="79" s="1"/>
  <c r="A16482" i="79" s="1"/>
  <c r="A16483" i="79" s="1"/>
  <c r="A16484" i="79" s="1"/>
  <c r="A16485" i="79" s="1"/>
  <c r="A16486" i="79" s="1"/>
  <c r="A16487" i="79" s="1"/>
  <c r="A16488" i="79" s="1"/>
  <c r="A16489" i="79" s="1"/>
  <c r="A16490" i="79" s="1"/>
  <c r="A16491" i="79" s="1"/>
  <c r="A16492" i="79" s="1"/>
  <c r="A16493" i="79" s="1"/>
  <c r="A16494" i="79" s="1"/>
  <c r="A16495" i="79" s="1"/>
  <c r="A16496" i="79" s="1"/>
  <c r="A16497" i="79" s="1"/>
  <c r="A16498" i="79" s="1"/>
  <c r="A16499" i="79" s="1"/>
  <c r="A16500" i="79" s="1"/>
  <c r="A16501" i="79" s="1"/>
  <c r="A16502" i="79" s="1"/>
  <c r="A16503" i="79" s="1"/>
  <c r="A16504" i="79" s="1"/>
  <c r="A16505" i="79" s="1"/>
  <c r="A16506" i="79" s="1"/>
  <c r="A16507" i="79" s="1"/>
  <c r="A16508" i="79" s="1"/>
  <c r="A16509" i="79" s="1"/>
  <c r="A16510" i="79" s="1"/>
  <c r="A16511" i="79" s="1"/>
  <c r="A16512" i="79" s="1"/>
  <c r="A16513" i="79" s="1"/>
  <c r="A16514" i="79" s="1"/>
  <c r="A16515" i="79" s="1"/>
  <c r="A16516" i="79" s="1"/>
  <c r="A16517" i="79" s="1"/>
  <c r="A16518" i="79" s="1"/>
  <c r="A16519" i="79" s="1"/>
  <c r="A16520" i="79" s="1"/>
  <c r="A16521" i="79" s="1"/>
  <c r="A16522" i="79" s="1"/>
  <c r="A16523" i="79" s="1"/>
  <c r="A16524" i="79" s="1"/>
  <c r="A16525" i="79" s="1"/>
  <c r="A16526" i="79" s="1"/>
  <c r="A16527" i="79" s="1"/>
  <c r="A16528" i="79" s="1"/>
  <c r="A16529" i="79" s="1"/>
  <c r="A16530" i="79" s="1"/>
  <c r="A16531" i="79" s="1"/>
  <c r="A16532" i="79" s="1"/>
  <c r="A16533" i="79" s="1"/>
  <c r="A16534" i="79" s="1"/>
  <c r="A16535" i="79" s="1"/>
  <c r="A16536" i="79" s="1"/>
  <c r="A16537" i="79" s="1"/>
  <c r="A16538" i="79" s="1"/>
  <c r="A16539" i="79" s="1"/>
  <c r="A16540" i="79" s="1"/>
  <c r="A16541" i="79" s="1"/>
  <c r="A16542" i="79" s="1"/>
  <c r="A16543" i="79" s="1"/>
  <c r="A16544" i="79" s="1"/>
  <c r="A16545" i="79" s="1"/>
  <c r="A16546" i="79" s="1"/>
  <c r="A16547" i="79" s="1"/>
  <c r="A16548" i="79" s="1"/>
  <c r="A16549" i="79" s="1"/>
  <c r="A16550" i="79" s="1"/>
  <c r="A16551" i="79" s="1"/>
  <c r="A16552" i="79" s="1"/>
  <c r="A16553" i="79" s="1"/>
  <c r="A16554" i="79" s="1"/>
  <c r="A16555" i="79" s="1"/>
  <c r="A16556" i="79" s="1"/>
  <c r="A16557" i="79" s="1"/>
  <c r="A16558" i="79" s="1"/>
  <c r="A16559" i="79" s="1"/>
  <c r="A16560" i="79" s="1"/>
  <c r="A16561" i="79" s="1"/>
  <c r="A16562" i="79" s="1"/>
  <c r="A16563" i="79" s="1"/>
  <c r="A16564" i="79" s="1"/>
  <c r="A16565" i="79" s="1"/>
  <c r="A16566" i="79" s="1"/>
  <c r="A16567" i="79" s="1"/>
  <c r="A16568" i="79" s="1"/>
  <c r="A16569" i="79" s="1"/>
  <c r="A16570" i="79" s="1"/>
  <c r="A16571" i="79" s="1"/>
  <c r="A16572" i="79" s="1"/>
  <c r="A16573" i="79" s="1"/>
  <c r="A16574" i="79" s="1"/>
  <c r="A16575" i="79" s="1"/>
  <c r="A16576" i="79" s="1"/>
  <c r="A16577" i="79" s="1"/>
  <c r="A16578" i="79" s="1"/>
  <c r="A16579" i="79" s="1"/>
  <c r="A16580" i="79" s="1"/>
  <c r="A16581" i="79" s="1"/>
  <c r="A16582" i="79" s="1"/>
  <c r="A16583" i="79" s="1"/>
  <c r="A16584" i="79" s="1"/>
  <c r="A16585" i="79" s="1"/>
  <c r="A16586" i="79" s="1"/>
  <c r="A16587" i="79" s="1"/>
  <c r="A16588" i="79" s="1"/>
  <c r="A16589" i="79" s="1"/>
  <c r="A16590" i="79" s="1"/>
  <c r="A16591" i="79" s="1"/>
  <c r="A16592" i="79" s="1"/>
  <c r="A16593" i="79" s="1"/>
  <c r="A16594" i="79" s="1"/>
  <c r="A16595" i="79" s="1"/>
  <c r="A16596" i="79" s="1"/>
  <c r="A16597" i="79" s="1"/>
  <c r="A16598" i="79" s="1"/>
  <c r="A16599" i="79" s="1"/>
  <c r="A16600" i="79" s="1"/>
  <c r="A16601" i="79" s="1"/>
  <c r="A16602" i="79" s="1"/>
  <c r="A16603" i="79" s="1"/>
  <c r="A16604" i="79" s="1"/>
  <c r="A16605" i="79" s="1"/>
  <c r="A16606" i="79" s="1"/>
  <c r="A16607" i="79" s="1"/>
  <c r="A16608" i="79" s="1"/>
  <c r="A16609" i="79" s="1"/>
  <c r="A16610" i="79" s="1"/>
  <c r="A16611" i="79" s="1"/>
  <c r="A16612" i="79" s="1"/>
  <c r="A16613" i="79" s="1"/>
  <c r="A16614" i="79" s="1"/>
  <c r="A16615" i="79" s="1"/>
  <c r="A16616" i="79" s="1"/>
  <c r="A16617" i="79" s="1"/>
  <c r="A16618" i="79" s="1"/>
  <c r="A16619" i="79" s="1"/>
  <c r="A16620" i="79" s="1"/>
  <c r="A16621" i="79" s="1"/>
  <c r="A16622" i="79" s="1"/>
  <c r="A16623" i="79" s="1"/>
  <c r="A16624" i="79" s="1"/>
  <c r="A16625" i="79" s="1"/>
  <c r="A16626" i="79" s="1"/>
  <c r="A16627" i="79" s="1"/>
  <c r="A16628" i="79" s="1"/>
  <c r="A16629" i="79" s="1"/>
  <c r="A16630" i="79" s="1"/>
  <c r="A16631" i="79" s="1"/>
  <c r="A16632" i="79" s="1"/>
  <c r="A16633" i="79" s="1"/>
  <c r="A16634" i="79" s="1"/>
  <c r="A16635" i="79" s="1"/>
  <c r="A16636" i="79" s="1"/>
  <c r="A16637" i="79" s="1"/>
  <c r="A16638" i="79" s="1"/>
  <c r="A16639" i="79" s="1"/>
  <c r="A16640" i="79" s="1"/>
  <c r="A16641" i="79" s="1"/>
  <c r="A16642" i="79" s="1"/>
  <c r="A16643" i="79" s="1"/>
  <c r="A16644" i="79" s="1"/>
  <c r="A16645" i="79" s="1"/>
  <c r="A16646" i="79" s="1"/>
  <c r="A16647" i="79" s="1"/>
  <c r="A16648" i="79" s="1"/>
  <c r="A16649" i="79" s="1"/>
  <c r="A16650" i="79" s="1"/>
  <c r="A16651" i="79" s="1"/>
  <c r="A16652" i="79" s="1"/>
  <c r="A16653" i="79" s="1"/>
  <c r="A16654" i="79" s="1"/>
  <c r="A16655" i="79" s="1"/>
  <c r="A16656" i="79" s="1"/>
  <c r="A16657" i="79" s="1"/>
  <c r="A16658" i="79" s="1"/>
  <c r="A16659" i="79" s="1"/>
  <c r="A16660" i="79" s="1"/>
  <c r="A16661" i="79" s="1"/>
  <c r="A16662" i="79" s="1"/>
  <c r="A16663" i="79" s="1"/>
  <c r="A16664" i="79" s="1"/>
  <c r="A16665" i="79" s="1"/>
  <c r="A16666" i="79" s="1"/>
  <c r="A16667" i="79" s="1"/>
  <c r="A16668" i="79" s="1"/>
  <c r="A16669" i="79" s="1"/>
  <c r="A16670" i="79" s="1"/>
  <c r="A16671" i="79" s="1"/>
  <c r="A16672" i="79" s="1"/>
  <c r="A16673" i="79" s="1"/>
  <c r="A16674" i="79" s="1"/>
  <c r="A16675" i="79" s="1"/>
  <c r="A16676" i="79" s="1"/>
  <c r="A16677" i="79" s="1"/>
  <c r="A16678" i="79" s="1"/>
  <c r="A16679" i="79" s="1"/>
  <c r="A16680" i="79" s="1"/>
  <c r="A16681" i="79" s="1"/>
  <c r="A16682" i="79" s="1"/>
  <c r="A16683" i="79" s="1"/>
  <c r="A16684" i="79" s="1"/>
  <c r="A16685" i="79" s="1"/>
  <c r="A16686" i="79" s="1"/>
  <c r="A16687" i="79" s="1"/>
  <c r="A16688" i="79" s="1"/>
  <c r="A16689" i="79" s="1"/>
  <c r="A16690" i="79" s="1"/>
  <c r="A16691" i="79" s="1"/>
  <c r="A16692" i="79" s="1"/>
  <c r="A16693" i="79" s="1"/>
  <c r="A16694" i="79" s="1"/>
  <c r="A16695" i="79" s="1"/>
  <c r="A16696" i="79" s="1"/>
  <c r="A16697" i="79" s="1"/>
  <c r="A16698" i="79" s="1"/>
  <c r="A16699" i="79" s="1"/>
  <c r="A16700" i="79" s="1"/>
  <c r="A16701" i="79" s="1"/>
  <c r="A16702" i="79" s="1"/>
  <c r="A16703" i="79" s="1"/>
  <c r="A16704" i="79" s="1"/>
  <c r="A16705" i="79" s="1"/>
  <c r="A16706" i="79" s="1"/>
  <c r="A16707" i="79" s="1"/>
  <c r="A16708" i="79" s="1"/>
  <c r="A16709" i="79" s="1"/>
  <c r="A16710" i="79" s="1"/>
  <c r="A16711" i="79" s="1"/>
  <c r="A16712" i="79" s="1"/>
  <c r="A16713" i="79" s="1"/>
  <c r="A16714" i="79" s="1"/>
  <c r="A16715" i="79" s="1"/>
  <c r="A16716" i="79" s="1"/>
  <c r="A16717" i="79" s="1"/>
  <c r="A16718" i="79" s="1"/>
  <c r="A16719" i="79" s="1"/>
  <c r="A16720" i="79" s="1"/>
  <c r="A16721" i="79" s="1"/>
  <c r="A16722" i="79" s="1"/>
  <c r="A16723" i="79" s="1"/>
  <c r="A16724" i="79" s="1"/>
  <c r="A16725" i="79" s="1"/>
  <c r="A16726" i="79" s="1"/>
  <c r="A16727" i="79" s="1"/>
  <c r="A16728" i="79" s="1"/>
  <c r="A16729" i="79" s="1"/>
  <c r="A16730" i="79" s="1"/>
  <c r="A16731" i="79" s="1"/>
  <c r="A16732" i="79" s="1"/>
  <c r="A16733" i="79" s="1"/>
  <c r="A16734" i="79" s="1"/>
  <c r="A16735" i="79" s="1"/>
  <c r="A16736" i="79" s="1"/>
  <c r="A16737" i="79" s="1"/>
  <c r="A16738" i="79" s="1"/>
  <c r="A16739" i="79" s="1"/>
  <c r="A16740" i="79" s="1"/>
  <c r="A16741" i="79" s="1"/>
  <c r="A16742" i="79" s="1"/>
  <c r="A16743" i="79" s="1"/>
  <c r="A16744" i="79" s="1"/>
  <c r="A16745" i="79" s="1"/>
  <c r="A16746" i="79" s="1"/>
  <c r="A16747" i="79" s="1"/>
  <c r="A16748" i="79" s="1"/>
  <c r="A16749" i="79" s="1"/>
  <c r="A16750" i="79" s="1"/>
  <c r="A16751" i="79" s="1"/>
  <c r="A16752" i="79" s="1"/>
  <c r="A16753" i="79" s="1"/>
  <c r="A16754" i="79" s="1"/>
  <c r="A16755" i="79" s="1"/>
  <c r="A16756" i="79" s="1"/>
  <c r="A16757" i="79" s="1"/>
  <c r="A16758" i="79" s="1"/>
  <c r="A16759" i="79" s="1"/>
  <c r="A16760" i="79" s="1"/>
  <c r="A16761" i="79" s="1"/>
  <c r="A16762" i="79" s="1"/>
  <c r="A16763" i="79" s="1"/>
  <c r="A16764" i="79" s="1"/>
  <c r="A16765" i="79" s="1"/>
  <c r="A16766" i="79" s="1"/>
  <c r="A16767" i="79" s="1"/>
  <c r="A16768" i="79" s="1"/>
  <c r="A16769" i="79" s="1"/>
  <c r="A16770" i="79" s="1"/>
  <c r="A16771" i="79" s="1"/>
  <c r="A16772" i="79" s="1"/>
  <c r="A16773" i="79" s="1"/>
  <c r="A16774" i="79" s="1"/>
  <c r="A16775" i="79" s="1"/>
  <c r="A16776" i="79" s="1"/>
  <c r="A16777" i="79" s="1"/>
  <c r="A16778" i="79" s="1"/>
  <c r="A16779" i="79" s="1"/>
  <c r="A16780" i="79" s="1"/>
  <c r="A16781" i="79" s="1"/>
  <c r="A16782" i="79" s="1"/>
  <c r="A16783" i="79" s="1"/>
  <c r="A16784" i="79" s="1"/>
  <c r="A16785" i="79" s="1"/>
  <c r="A16786" i="79" s="1"/>
  <c r="A16787" i="79" s="1"/>
  <c r="A16788" i="79" s="1"/>
  <c r="A16789" i="79" s="1"/>
  <c r="A16790" i="79" s="1"/>
  <c r="A16791" i="79" s="1"/>
  <c r="A16792" i="79" s="1"/>
  <c r="A16793" i="79" s="1"/>
  <c r="A16794" i="79" s="1"/>
  <c r="A16795" i="79" s="1"/>
  <c r="A16796" i="79" s="1"/>
  <c r="A16797" i="79" s="1"/>
  <c r="A16798" i="79" s="1"/>
  <c r="A16799" i="79" s="1"/>
  <c r="A16800" i="79" s="1"/>
  <c r="A16801" i="79" s="1"/>
  <c r="A16802" i="79" s="1"/>
  <c r="A16803" i="79" s="1"/>
  <c r="A16804" i="79" s="1"/>
  <c r="A16805" i="79" s="1"/>
  <c r="A16806" i="79" s="1"/>
  <c r="A16807" i="79" s="1"/>
  <c r="A16808" i="79" s="1"/>
  <c r="A16809" i="79" s="1"/>
  <c r="A16810" i="79" s="1"/>
  <c r="A16811" i="79" s="1"/>
  <c r="A16812" i="79" s="1"/>
  <c r="A16813" i="79" s="1"/>
  <c r="A16814" i="79" s="1"/>
  <c r="A16815" i="79" s="1"/>
  <c r="A16816" i="79" s="1"/>
  <c r="A16817" i="79" s="1"/>
  <c r="A16818" i="79" s="1"/>
  <c r="A16819" i="79" s="1"/>
  <c r="A16820" i="79" s="1"/>
  <c r="A16821" i="79" s="1"/>
  <c r="A16822" i="79" s="1"/>
  <c r="A16823" i="79" s="1"/>
  <c r="A16824" i="79" s="1"/>
  <c r="A16825" i="79" s="1"/>
  <c r="A16826" i="79" s="1"/>
  <c r="A16827" i="79" s="1"/>
  <c r="A16828" i="79" s="1"/>
  <c r="A16829" i="79" s="1"/>
  <c r="A16830" i="79" s="1"/>
  <c r="A16831" i="79" s="1"/>
  <c r="A16832" i="79" s="1"/>
  <c r="A16833" i="79" s="1"/>
  <c r="A16834" i="79" s="1"/>
  <c r="A16835" i="79" s="1"/>
  <c r="A16836" i="79" s="1"/>
  <c r="A16837" i="79" s="1"/>
  <c r="A16838" i="79" s="1"/>
  <c r="A16839" i="79" s="1"/>
  <c r="A16840" i="79" s="1"/>
  <c r="A16841" i="79" s="1"/>
  <c r="A16842" i="79" s="1"/>
  <c r="A16843" i="79" s="1"/>
  <c r="A16844" i="79" s="1"/>
  <c r="A16845" i="79" s="1"/>
  <c r="A16846" i="79" s="1"/>
  <c r="A16847" i="79" s="1"/>
  <c r="A16848" i="79" s="1"/>
  <c r="A16849" i="79" s="1"/>
  <c r="A16850" i="79" s="1"/>
  <c r="A16851" i="79" s="1"/>
  <c r="A16852" i="79" s="1"/>
  <c r="A16853" i="79" s="1"/>
  <c r="A16854" i="79" s="1"/>
  <c r="A16855" i="79" s="1"/>
  <c r="A16856" i="79" s="1"/>
  <c r="A16857" i="79" s="1"/>
  <c r="A16858" i="79" s="1"/>
  <c r="A16859" i="79" s="1"/>
  <c r="A16860" i="79" s="1"/>
  <c r="A16861" i="79" s="1"/>
  <c r="A16862" i="79" s="1"/>
  <c r="A16863" i="79" s="1"/>
  <c r="A16864" i="79" s="1"/>
  <c r="A16865" i="79" s="1"/>
  <c r="A16866" i="79" s="1"/>
  <c r="A16867" i="79" s="1"/>
  <c r="A16868" i="79" s="1"/>
  <c r="A16869" i="79" s="1"/>
  <c r="A16870" i="79" s="1"/>
  <c r="A16871" i="79" s="1"/>
  <c r="A16872" i="79" s="1"/>
  <c r="A16873" i="79" s="1"/>
  <c r="A16874" i="79" s="1"/>
  <c r="A16875" i="79" s="1"/>
  <c r="A16876" i="79" s="1"/>
  <c r="A16877" i="79" s="1"/>
  <c r="A16878" i="79" s="1"/>
  <c r="A16879" i="79" s="1"/>
  <c r="A16880" i="79" s="1"/>
  <c r="A16881" i="79" s="1"/>
  <c r="A16882" i="79" s="1"/>
  <c r="A16883" i="79" s="1"/>
  <c r="A16884" i="79" s="1"/>
  <c r="A16885" i="79" s="1"/>
  <c r="A16886" i="79" s="1"/>
  <c r="A16887" i="79" s="1"/>
  <c r="A16888" i="79" s="1"/>
  <c r="A16889" i="79" s="1"/>
  <c r="A16890" i="79" s="1"/>
  <c r="A16891" i="79" s="1"/>
  <c r="A16892" i="79" s="1"/>
  <c r="A16893" i="79" s="1"/>
  <c r="A16894" i="79" s="1"/>
  <c r="A16895" i="79" s="1"/>
  <c r="A16896" i="79" s="1"/>
  <c r="A16897" i="79" s="1"/>
  <c r="A16898" i="79" s="1"/>
  <c r="A16899" i="79" s="1"/>
  <c r="A16900" i="79" s="1"/>
  <c r="A16901" i="79" s="1"/>
  <c r="A16902" i="79" s="1"/>
  <c r="A16903" i="79" s="1"/>
  <c r="A16904" i="79" s="1"/>
  <c r="A16905" i="79" s="1"/>
  <c r="A16906" i="79" s="1"/>
  <c r="A16907" i="79" s="1"/>
  <c r="A16908" i="79" s="1"/>
  <c r="A16909" i="79" s="1"/>
  <c r="A16910" i="79" s="1"/>
  <c r="A16911" i="79" s="1"/>
  <c r="A16912" i="79" s="1"/>
  <c r="A16913" i="79" s="1"/>
  <c r="A16914" i="79" s="1"/>
  <c r="A16915" i="79" s="1"/>
  <c r="A16916" i="79" s="1"/>
  <c r="A16917" i="79" s="1"/>
  <c r="A16918" i="79" s="1"/>
  <c r="A16919" i="79" s="1"/>
  <c r="A16920" i="79" s="1"/>
  <c r="A16921" i="79" s="1"/>
  <c r="A16922" i="79" s="1"/>
  <c r="A16923" i="79" s="1"/>
  <c r="A16924" i="79" s="1"/>
  <c r="A16925" i="79" s="1"/>
  <c r="A16926" i="79" s="1"/>
  <c r="A16927" i="79" s="1"/>
  <c r="A16928" i="79" s="1"/>
  <c r="A16929" i="79" s="1"/>
  <c r="A16930" i="79" s="1"/>
  <c r="A16931" i="79" s="1"/>
  <c r="A16932" i="79" s="1"/>
  <c r="A16933" i="79" s="1"/>
  <c r="A16934" i="79" s="1"/>
  <c r="A16935" i="79" s="1"/>
  <c r="A16936" i="79" s="1"/>
  <c r="A16937" i="79" s="1"/>
  <c r="A16938" i="79" s="1"/>
  <c r="A16939" i="79" s="1"/>
  <c r="A16940" i="79" s="1"/>
  <c r="A16941" i="79" s="1"/>
  <c r="A16942" i="79" s="1"/>
  <c r="A16943" i="79" s="1"/>
  <c r="A16944" i="79" s="1"/>
  <c r="A16945" i="79" s="1"/>
  <c r="A16946" i="79" s="1"/>
  <c r="A16947" i="79" s="1"/>
  <c r="A16948" i="79" s="1"/>
  <c r="A16949" i="79" s="1"/>
  <c r="A16950" i="79" s="1"/>
  <c r="A16951" i="79" s="1"/>
  <c r="A16952" i="79" s="1"/>
  <c r="A16953" i="79" s="1"/>
  <c r="A16954" i="79" s="1"/>
  <c r="A16955" i="79" s="1"/>
  <c r="A16956" i="79" s="1"/>
  <c r="A16957" i="79" s="1"/>
  <c r="A16958" i="79" s="1"/>
  <c r="A16959" i="79" s="1"/>
  <c r="A16960" i="79" s="1"/>
  <c r="A16961" i="79" s="1"/>
  <c r="A16962" i="79" s="1"/>
  <c r="A16963" i="79" s="1"/>
  <c r="A16964" i="79" s="1"/>
  <c r="A16965" i="79" s="1"/>
  <c r="A16966" i="79" s="1"/>
  <c r="A16967" i="79" s="1"/>
  <c r="A16968" i="79" s="1"/>
  <c r="A16969" i="79" s="1"/>
  <c r="A16970" i="79" s="1"/>
  <c r="A16971" i="79" s="1"/>
  <c r="A16972" i="79" s="1"/>
  <c r="A16973" i="79" s="1"/>
  <c r="A16974" i="79" s="1"/>
  <c r="A16975" i="79" s="1"/>
  <c r="A16976" i="79" s="1"/>
  <c r="A16977" i="79" s="1"/>
  <c r="A16978" i="79" s="1"/>
  <c r="A16979" i="79" s="1"/>
  <c r="A16980" i="79" s="1"/>
  <c r="A16981" i="79" s="1"/>
  <c r="A16982" i="79" s="1"/>
  <c r="A16983" i="79" s="1"/>
  <c r="A16984" i="79" s="1"/>
  <c r="A16985" i="79" s="1"/>
  <c r="A16986" i="79" s="1"/>
  <c r="A16987" i="79" s="1"/>
  <c r="A16988" i="79" s="1"/>
  <c r="A16989" i="79" s="1"/>
  <c r="A16990" i="79" s="1"/>
  <c r="A16991" i="79" s="1"/>
  <c r="A16992" i="79" s="1"/>
  <c r="A16993" i="79" s="1"/>
  <c r="A16994" i="79" s="1"/>
  <c r="A16995" i="79" s="1"/>
  <c r="A16996" i="79" s="1"/>
  <c r="A16997" i="79" s="1"/>
  <c r="A16998" i="79" s="1"/>
  <c r="A16999" i="79" s="1"/>
  <c r="A17000" i="79" s="1"/>
  <c r="A17001" i="79" s="1"/>
  <c r="A17002" i="79" s="1"/>
  <c r="A17003" i="79" s="1"/>
  <c r="A17004" i="79" s="1"/>
  <c r="A17005" i="79" s="1"/>
  <c r="A17006" i="79" s="1"/>
  <c r="A17007" i="79" s="1"/>
  <c r="A17008" i="79" s="1"/>
  <c r="A17009" i="79" s="1"/>
  <c r="A17010" i="79" s="1"/>
  <c r="A17011" i="79" s="1"/>
  <c r="A17012" i="79" s="1"/>
  <c r="A17013" i="79" s="1"/>
  <c r="A17014" i="79" s="1"/>
  <c r="A17015" i="79" s="1"/>
  <c r="A17016" i="79" s="1"/>
  <c r="A17017" i="79" s="1"/>
  <c r="A17018" i="79" s="1"/>
  <c r="A17019" i="79" s="1"/>
  <c r="A17020" i="79" s="1"/>
  <c r="A17021" i="79" s="1"/>
  <c r="A17022" i="79" s="1"/>
  <c r="A17023" i="79" s="1"/>
  <c r="A17024" i="79" s="1"/>
  <c r="A17025" i="79" s="1"/>
  <c r="A17026" i="79" s="1"/>
  <c r="A17027" i="79" s="1"/>
  <c r="A17028" i="79" s="1"/>
  <c r="A17029" i="79" s="1"/>
  <c r="A17030" i="79" s="1"/>
  <c r="A17031" i="79" s="1"/>
  <c r="A17032" i="79" s="1"/>
  <c r="A17033" i="79" s="1"/>
  <c r="A17034" i="79" s="1"/>
  <c r="A17035" i="79" s="1"/>
  <c r="A17036" i="79" s="1"/>
  <c r="A17037" i="79" s="1"/>
  <c r="A17038" i="79" s="1"/>
  <c r="A17039" i="79" s="1"/>
  <c r="A17040" i="79" s="1"/>
  <c r="A17041" i="79" s="1"/>
  <c r="A17042" i="79" s="1"/>
  <c r="A17043" i="79" s="1"/>
  <c r="A17044" i="79" s="1"/>
  <c r="A17045" i="79" s="1"/>
  <c r="A17046" i="79" s="1"/>
  <c r="A17047" i="79" s="1"/>
  <c r="A17048" i="79" s="1"/>
  <c r="A17049" i="79" s="1"/>
  <c r="A17050" i="79" s="1"/>
  <c r="A17051" i="79" s="1"/>
  <c r="A17052" i="79" s="1"/>
  <c r="A17053" i="79" s="1"/>
  <c r="A17054" i="79" s="1"/>
  <c r="A17055" i="79" s="1"/>
  <c r="A17056" i="79" s="1"/>
  <c r="A17057" i="79" s="1"/>
  <c r="A17058" i="79" s="1"/>
  <c r="A17059" i="79" s="1"/>
  <c r="A17060" i="79" s="1"/>
  <c r="A17061" i="79" s="1"/>
  <c r="A17062" i="79" s="1"/>
  <c r="A17063" i="79" s="1"/>
  <c r="A17064" i="79" s="1"/>
  <c r="A17065" i="79" s="1"/>
  <c r="A17066" i="79" s="1"/>
  <c r="A17067" i="79" s="1"/>
  <c r="A17068" i="79" s="1"/>
  <c r="A17069" i="79" s="1"/>
  <c r="A17070" i="79" s="1"/>
  <c r="A17071" i="79" s="1"/>
  <c r="A17072" i="79" s="1"/>
  <c r="A17073" i="79" s="1"/>
  <c r="A17074" i="79" s="1"/>
  <c r="A17075" i="79" s="1"/>
  <c r="A17076" i="79" s="1"/>
  <c r="A17077" i="79" s="1"/>
  <c r="A17078" i="79" s="1"/>
  <c r="A17079" i="79" s="1"/>
  <c r="A17080" i="79" s="1"/>
  <c r="A17081" i="79" s="1"/>
  <c r="A17082" i="79" s="1"/>
  <c r="A17083" i="79" s="1"/>
  <c r="A17084" i="79" s="1"/>
  <c r="A17085" i="79" s="1"/>
  <c r="A17086" i="79" s="1"/>
  <c r="A17087" i="79" s="1"/>
  <c r="A17088" i="79" s="1"/>
  <c r="A17089" i="79" s="1"/>
  <c r="A17090" i="79" s="1"/>
  <c r="A17091" i="79" s="1"/>
  <c r="A17092" i="79" s="1"/>
  <c r="A17093" i="79" s="1"/>
  <c r="A17094" i="79" s="1"/>
  <c r="A17095" i="79" s="1"/>
  <c r="A17096" i="79" s="1"/>
  <c r="A17097" i="79" s="1"/>
  <c r="A17098" i="79" s="1"/>
  <c r="A17099" i="79" s="1"/>
  <c r="A17100" i="79" s="1"/>
  <c r="A17101" i="79" s="1"/>
  <c r="A17102" i="79" s="1"/>
  <c r="A17103" i="79" s="1"/>
  <c r="A17104" i="79" s="1"/>
  <c r="A17105" i="79" s="1"/>
  <c r="A17106" i="79" s="1"/>
  <c r="A17107" i="79" s="1"/>
  <c r="A17108" i="79" s="1"/>
  <c r="A17109" i="79" s="1"/>
  <c r="A17110" i="79" s="1"/>
  <c r="A17111" i="79" s="1"/>
  <c r="A17112" i="79" s="1"/>
  <c r="A17113" i="79" s="1"/>
  <c r="A17114" i="79" s="1"/>
  <c r="A17115" i="79" s="1"/>
  <c r="A17116" i="79" s="1"/>
  <c r="A17117" i="79" s="1"/>
  <c r="A17118" i="79" s="1"/>
  <c r="A17119" i="79" s="1"/>
  <c r="A17120" i="79" s="1"/>
  <c r="A17121" i="79" s="1"/>
  <c r="A17122" i="79" s="1"/>
  <c r="A17123" i="79" s="1"/>
  <c r="A17124" i="79" s="1"/>
  <c r="A17125" i="79" s="1"/>
  <c r="A17126" i="79" s="1"/>
  <c r="A17127" i="79" s="1"/>
  <c r="A17128" i="79" s="1"/>
  <c r="A17129" i="79" s="1"/>
  <c r="A17130" i="79" s="1"/>
  <c r="A17131" i="79" s="1"/>
  <c r="A17132" i="79" s="1"/>
  <c r="A17133" i="79" s="1"/>
  <c r="A17134" i="79" s="1"/>
  <c r="A17135" i="79" s="1"/>
  <c r="A17136" i="79" s="1"/>
  <c r="A17137" i="79" s="1"/>
  <c r="A17138" i="79" s="1"/>
  <c r="A17139" i="79" s="1"/>
  <c r="A17140" i="79" s="1"/>
  <c r="A17141" i="79" s="1"/>
  <c r="A17142" i="79" s="1"/>
  <c r="A17143" i="79" s="1"/>
  <c r="A17144" i="79" s="1"/>
  <c r="A17145" i="79" s="1"/>
  <c r="A17146" i="79" s="1"/>
  <c r="A17147" i="79" s="1"/>
  <c r="A17148" i="79" s="1"/>
  <c r="A17149" i="79" s="1"/>
  <c r="A17150" i="79" s="1"/>
  <c r="A17151" i="79" s="1"/>
  <c r="A17152" i="79" s="1"/>
  <c r="A17153" i="79" s="1"/>
  <c r="A17154" i="79" s="1"/>
  <c r="A17155" i="79" s="1"/>
  <c r="A17156" i="79" s="1"/>
  <c r="A17157" i="79" s="1"/>
  <c r="A17158" i="79" s="1"/>
  <c r="A17159" i="79" s="1"/>
  <c r="A17160" i="79" s="1"/>
  <c r="A17161" i="79" s="1"/>
  <c r="A17162" i="79" s="1"/>
  <c r="A17163" i="79" s="1"/>
  <c r="A17164" i="79" s="1"/>
  <c r="A17165" i="79" s="1"/>
  <c r="A17166" i="79" s="1"/>
  <c r="A17167" i="79" s="1"/>
  <c r="A17168" i="79" s="1"/>
  <c r="A17169" i="79" s="1"/>
  <c r="A17170" i="79" s="1"/>
  <c r="A17171" i="79" s="1"/>
  <c r="A17172" i="79" s="1"/>
  <c r="A17173" i="79" s="1"/>
  <c r="A17174" i="79" s="1"/>
  <c r="A17175" i="79" s="1"/>
  <c r="A17176" i="79" s="1"/>
  <c r="A17177" i="79" s="1"/>
  <c r="A17178" i="79" s="1"/>
  <c r="A17179" i="79" s="1"/>
  <c r="A17180" i="79" s="1"/>
  <c r="A17181" i="79" s="1"/>
  <c r="A17182" i="79" s="1"/>
  <c r="A17183" i="79" s="1"/>
  <c r="A17184" i="79" s="1"/>
  <c r="A17185" i="79" s="1"/>
  <c r="A17186" i="79" s="1"/>
  <c r="A17187" i="79" s="1"/>
  <c r="A17188" i="79" s="1"/>
  <c r="A17189" i="79" s="1"/>
  <c r="A17190" i="79" s="1"/>
  <c r="A17191" i="79" s="1"/>
  <c r="A17192" i="79" s="1"/>
  <c r="A17193" i="79" s="1"/>
  <c r="A17194" i="79" s="1"/>
  <c r="A17195" i="79" s="1"/>
  <c r="A17196" i="79" s="1"/>
  <c r="A17197" i="79" s="1"/>
  <c r="A17198" i="79" s="1"/>
  <c r="A17199" i="79" s="1"/>
  <c r="A17200" i="79" s="1"/>
  <c r="A17201" i="79" s="1"/>
  <c r="A17202" i="79" s="1"/>
  <c r="A17203" i="79" s="1"/>
  <c r="A17204" i="79" s="1"/>
  <c r="A17205" i="79" s="1"/>
  <c r="A17206" i="79" s="1"/>
  <c r="A17207" i="79" s="1"/>
  <c r="A17208" i="79" s="1"/>
  <c r="A17209" i="79" s="1"/>
  <c r="A17210" i="79" s="1"/>
  <c r="A17211" i="79" s="1"/>
  <c r="A17212" i="79" s="1"/>
  <c r="A17213" i="79" s="1"/>
  <c r="A17214" i="79" s="1"/>
  <c r="A17215" i="79" s="1"/>
  <c r="A17216" i="79" s="1"/>
  <c r="A17217" i="79" s="1"/>
  <c r="A17218" i="79" s="1"/>
  <c r="A17219" i="79" s="1"/>
  <c r="A17220" i="79" s="1"/>
  <c r="A17221" i="79" s="1"/>
  <c r="A17222" i="79" s="1"/>
  <c r="A17223" i="79" s="1"/>
  <c r="A17224" i="79" s="1"/>
  <c r="A17225" i="79" s="1"/>
  <c r="A17226" i="79" s="1"/>
  <c r="A17227" i="79" s="1"/>
  <c r="A17228" i="79" s="1"/>
  <c r="A17229" i="79" s="1"/>
  <c r="A17230" i="79" s="1"/>
  <c r="A17231" i="79" s="1"/>
  <c r="A17232" i="79" s="1"/>
  <c r="A17233" i="79" s="1"/>
  <c r="A17234" i="79" s="1"/>
  <c r="A17235" i="79" s="1"/>
  <c r="A17236" i="79" s="1"/>
  <c r="A17237" i="79" s="1"/>
  <c r="A17238" i="79" s="1"/>
  <c r="A17239" i="79" s="1"/>
  <c r="A17240" i="79" s="1"/>
  <c r="A17241" i="79" s="1"/>
  <c r="A17242" i="79" s="1"/>
  <c r="A17243" i="79" s="1"/>
  <c r="A17244" i="79" s="1"/>
  <c r="A17245" i="79" s="1"/>
  <c r="A17246" i="79" s="1"/>
  <c r="A17247" i="79" s="1"/>
  <c r="A17248" i="79" s="1"/>
  <c r="A17249" i="79" s="1"/>
  <c r="A17250" i="79" s="1"/>
  <c r="A17251" i="79" s="1"/>
  <c r="A17252" i="79" s="1"/>
  <c r="A17253" i="79" s="1"/>
  <c r="A17254" i="79" s="1"/>
  <c r="A17255" i="79" s="1"/>
  <c r="A17256" i="79" s="1"/>
  <c r="A17257" i="79" s="1"/>
  <c r="A17258" i="79" s="1"/>
  <c r="A17259" i="79" s="1"/>
  <c r="A17260" i="79" s="1"/>
  <c r="A17261" i="79" s="1"/>
  <c r="A17262" i="79" s="1"/>
  <c r="A17263" i="79" s="1"/>
  <c r="A17264" i="79" s="1"/>
  <c r="A17265" i="79" s="1"/>
  <c r="A17266" i="79" s="1"/>
  <c r="A17267" i="79" s="1"/>
  <c r="A17268" i="79" s="1"/>
  <c r="A17269" i="79" s="1"/>
  <c r="A17270" i="79" s="1"/>
  <c r="A17271" i="79" s="1"/>
  <c r="A17272" i="79" s="1"/>
  <c r="A17273" i="79" s="1"/>
  <c r="A17274" i="79" s="1"/>
  <c r="A17275" i="79" s="1"/>
  <c r="A17276" i="79" s="1"/>
  <c r="A17277" i="79" s="1"/>
  <c r="A17278" i="79" s="1"/>
  <c r="A17279" i="79" s="1"/>
  <c r="A17280" i="79" s="1"/>
  <c r="A17281" i="79" s="1"/>
  <c r="A17282" i="79" s="1"/>
  <c r="A17283" i="79" s="1"/>
  <c r="A17284" i="79" s="1"/>
  <c r="A17285" i="79" s="1"/>
  <c r="A17286" i="79" s="1"/>
  <c r="A17287" i="79" s="1"/>
  <c r="A17288" i="79" s="1"/>
  <c r="A17289" i="79" s="1"/>
  <c r="A17290" i="79" s="1"/>
  <c r="A17291" i="79" s="1"/>
  <c r="A17292" i="79" s="1"/>
  <c r="A17293" i="79" s="1"/>
  <c r="A17294" i="79" s="1"/>
  <c r="A17295" i="79" s="1"/>
  <c r="A17296" i="79" s="1"/>
  <c r="A17297" i="79" s="1"/>
  <c r="A17298" i="79" s="1"/>
  <c r="A17299" i="79" s="1"/>
  <c r="A17300" i="79" s="1"/>
  <c r="A17301" i="79" s="1"/>
  <c r="A17302" i="79" s="1"/>
  <c r="A17303" i="79" s="1"/>
  <c r="A17304" i="79" s="1"/>
  <c r="A17305" i="79" s="1"/>
  <c r="A17306" i="79" s="1"/>
  <c r="A17307" i="79" s="1"/>
  <c r="A17308" i="79" s="1"/>
  <c r="A17309" i="79" s="1"/>
  <c r="A17310" i="79" s="1"/>
  <c r="A17311" i="79" s="1"/>
  <c r="A17312" i="79" s="1"/>
  <c r="A17313" i="79" s="1"/>
  <c r="A17314" i="79" s="1"/>
  <c r="A17315" i="79" s="1"/>
  <c r="A17316" i="79" s="1"/>
  <c r="A17317" i="79" s="1"/>
  <c r="A17318" i="79" s="1"/>
  <c r="A17319" i="79" s="1"/>
  <c r="A17320" i="79" s="1"/>
  <c r="A17321" i="79" s="1"/>
  <c r="A17322" i="79" s="1"/>
  <c r="A17323" i="79" s="1"/>
  <c r="A17324" i="79" s="1"/>
  <c r="A17325" i="79" s="1"/>
  <c r="A17326" i="79" s="1"/>
  <c r="A17327" i="79" s="1"/>
  <c r="A17328" i="79" s="1"/>
  <c r="A17329" i="79" s="1"/>
  <c r="A17330" i="79" s="1"/>
  <c r="A17331" i="79" s="1"/>
  <c r="A17332" i="79" s="1"/>
  <c r="A17333" i="79" s="1"/>
  <c r="A17334" i="79" s="1"/>
  <c r="A17335" i="79" s="1"/>
  <c r="A17336" i="79" s="1"/>
  <c r="A17337" i="79" s="1"/>
  <c r="A17338" i="79" s="1"/>
  <c r="A17339" i="79" s="1"/>
  <c r="A17340" i="79" s="1"/>
  <c r="A17341" i="79" s="1"/>
  <c r="A17342" i="79" s="1"/>
  <c r="A17343" i="79" s="1"/>
  <c r="A17344" i="79" s="1"/>
  <c r="A17345" i="79" s="1"/>
  <c r="A17346" i="79" s="1"/>
  <c r="A17347" i="79" s="1"/>
  <c r="A17348" i="79" s="1"/>
  <c r="A17349" i="79" s="1"/>
  <c r="A17350" i="79" s="1"/>
  <c r="A17351" i="79" s="1"/>
  <c r="A17352" i="79" s="1"/>
  <c r="A17353" i="79" s="1"/>
  <c r="A17354" i="79" s="1"/>
  <c r="A17355" i="79" s="1"/>
  <c r="A17356" i="79" s="1"/>
  <c r="A17357" i="79" s="1"/>
  <c r="A17358" i="79" s="1"/>
  <c r="A17359" i="79" s="1"/>
  <c r="A17360" i="79" s="1"/>
  <c r="A17361" i="79" s="1"/>
  <c r="A17362" i="79" s="1"/>
  <c r="A17363" i="79" s="1"/>
  <c r="A17364" i="79" s="1"/>
  <c r="A17365" i="79" s="1"/>
  <c r="A17366" i="79" s="1"/>
  <c r="A17367" i="79" s="1"/>
  <c r="A17368" i="79" s="1"/>
  <c r="A17369" i="79" s="1"/>
  <c r="A17370" i="79" s="1"/>
  <c r="A17371" i="79" s="1"/>
  <c r="A17372" i="79" s="1"/>
  <c r="A17373" i="79" s="1"/>
  <c r="A17374" i="79" s="1"/>
  <c r="A17375" i="79" s="1"/>
  <c r="A17376" i="79" s="1"/>
  <c r="A17377" i="79" s="1"/>
  <c r="A17378" i="79" s="1"/>
  <c r="A17379" i="79" s="1"/>
  <c r="A17380" i="79" s="1"/>
  <c r="A17381" i="79" s="1"/>
  <c r="A17382" i="79" s="1"/>
  <c r="A17383" i="79" s="1"/>
  <c r="A17384" i="79" s="1"/>
  <c r="A17385" i="79" s="1"/>
  <c r="A17386" i="79" s="1"/>
  <c r="A17387" i="79" s="1"/>
  <c r="A17388" i="79" s="1"/>
  <c r="A17389" i="79" s="1"/>
  <c r="A17390" i="79" s="1"/>
  <c r="A17391" i="79" s="1"/>
  <c r="A17392" i="79" s="1"/>
  <c r="A17393" i="79" s="1"/>
  <c r="A17394" i="79" s="1"/>
  <c r="A17395" i="79" s="1"/>
  <c r="A17396" i="79" s="1"/>
  <c r="A17397" i="79" s="1"/>
  <c r="A17398" i="79" s="1"/>
  <c r="A17399" i="79" s="1"/>
  <c r="A17400" i="79" s="1"/>
  <c r="A17401" i="79" s="1"/>
  <c r="A17402" i="79" s="1"/>
  <c r="A17403" i="79" s="1"/>
  <c r="A17404" i="79" s="1"/>
  <c r="A17405" i="79" s="1"/>
  <c r="A17406" i="79" s="1"/>
  <c r="A17407" i="79" s="1"/>
  <c r="A17408" i="79" s="1"/>
  <c r="A17409" i="79" s="1"/>
  <c r="A17410" i="79" s="1"/>
  <c r="A17411" i="79" s="1"/>
  <c r="A17412" i="79" s="1"/>
  <c r="A17413" i="79" s="1"/>
  <c r="A17414" i="79" s="1"/>
  <c r="A17415" i="79" s="1"/>
  <c r="A17416" i="79" s="1"/>
  <c r="A17417" i="79" s="1"/>
  <c r="A17418" i="79" s="1"/>
  <c r="A17419" i="79" s="1"/>
  <c r="A17420" i="79" s="1"/>
  <c r="A17421" i="79" s="1"/>
  <c r="A17422" i="79" s="1"/>
  <c r="A17423" i="79" s="1"/>
  <c r="A17424" i="79" s="1"/>
  <c r="A17425" i="79" s="1"/>
  <c r="A17426" i="79" s="1"/>
  <c r="A17427" i="79" s="1"/>
  <c r="A17428" i="79" s="1"/>
  <c r="A17429" i="79" s="1"/>
  <c r="A17430" i="79" s="1"/>
  <c r="A17431" i="79" s="1"/>
  <c r="A17432" i="79" s="1"/>
  <c r="A17433" i="79" s="1"/>
  <c r="A17434" i="79" s="1"/>
  <c r="A17435" i="79" s="1"/>
  <c r="A17436" i="79" s="1"/>
  <c r="A17437" i="79" s="1"/>
  <c r="A17438" i="79" s="1"/>
  <c r="A17439" i="79" s="1"/>
  <c r="A17440" i="79" s="1"/>
  <c r="A17441" i="79" s="1"/>
  <c r="A17442" i="79" s="1"/>
  <c r="A17443" i="79" s="1"/>
  <c r="A17444" i="79" s="1"/>
  <c r="A17445" i="79" s="1"/>
  <c r="A17446" i="79" s="1"/>
  <c r="A17447" i="79" s="1"/>
  <c r="A17448" i="79" s="1"/>
  <c r="A17449" i="79" s="1"/>
  <c r="A17450" i="79" s="1"/>
  <c r="A17451" i="79" s="1"/>
  <c r="A17452" i="79" s="1"/>
  <c r="A17453" i="79" s="1"/>
  <c r="A17454" i="79" s="1"/>
  <c r="A17455" i="79" s="1"/>
  <c r="A17456" i="79" s="1"/>
  <c r="A17457" i="79" s="1"/>
  <c r="A17458" i="79" s="1"/>
  <c r="A17459" i="79" s="1"/>
  <c r="A17460" i="79" s="1"/>
  <c r="A17461" i="79" s="1"/>
  <c r="A17462" i="79" s="1"/>
  <c r="A17463" i="79" s="1"/>
  <c r="A17464" i="79" s="1"/>
  <c r="A17465" i="79" s="1"/>
  <c r="A17466" i="79" s="1"/>
  <c r="A17467" i="79" s="1"/>
  <c r="A17468" i="79" s="1"/>
  <c r="A17469" i="79" s="1"/>
  <c r="A17470" i="79" s="1"/>
  <c r="A17471" i="79" s="1"/>
  <c r="A17472" i="79" s="1"/>
  <c r="A17473" i="79" s="1"/>
  <c r="A17474" i="79" s="1"/>
  <c r="A17475" i="79" s="1"/>
  <c r="A17476" i="79" s="1"/>
  <c r="A17477" i="79" s="1"/>
  <c r="A17478" i="79" s="1"/>
  <c r="A17479" i="79" s="1"/>
  <c r="A17480" i="79" s="1"/>
  <c r="A17481" i="79" s="1"/>
  <c r="A17482" i="79" s="1"/>
  <c r="A17483" i="79" s="1"/>
  <c r="A17484" i="79" s="1"/>
  <c r="A17485" i="79" s="1"/>
  <c r="A17486" i="79" s="1"/>
  <c r="A17487" i="79" s="1"/>
  <c r="A17488" i="79" s="1"/>
  <c r="A17489" i="79" s="1"/>
  <c r="A17490" i="79" s="1"/>
  <c r="A17491" i="79" s="1"/>
  <c r="A17492" i="79" s="1"/>
  <c r="A17493" i="79" s="1"/>
  <c r="A17494" i="79" s="1"/>
  <c r="A17495" i="79" s="1"/>
  <c r="A17496" i="79" s="1"/>
  <c r="A17497" i="79" s="1"/>
  <c r="A17498" i="79" s="1"/>
  <c r="A17499" i="79" s="1"/>
  <c r="A17500" i="79" s="1"/>
  <c r="A17501" i="79" s="1"/>
  <c r="A17502" i="79" s="1"/>
  <c r="A17503" i="79" s="1"/>
  <c r="A17504" i="79" s="1"/>
  <c r="A17505" i="79" s="1"/>
  <c r="A17506" i="79" s="1"/>
  <c r="A17507" i="79" s="1"/>
  <c r="A17508" i="79" s="1"/>
  <c r="A17509" i="79" s="1"/>
  <c r="A17510" i="79" s="1"/>
  <c r="A17511" i="79" s="1"/>
  <c r="A17512" i="79" s="1"/>
  <c r="A17513" i="79" s="1"/>
  <c r="A17514" i="79" s="1"/>
  <c r="A17515" i="79" s="1"/>
  <c r="A17516" i="79" s="1"/>
  <c r="A17517" i="79" s="1"/>
  <c r="A17518" i="79" s="1"/>
  <c r="A17519" i="79" s="1"/>
  <c r="A17520" i="79" s="1"/>
  <c r="A17521" i="79" s="1"/>
  <c r="A17522" i="79" s="1"/>
  <c r="A17523" i="79" s="1"/>
  <c r="A17524" i="79" s="1"/>
  <c r="A17525" i="79" s="1"/>
  <c r="A17526" i="79" s="1"/>
  <c r="A17527" i="79" s="1"/>
  <c r="A17528" i="79" s="1"/>
  <c r="A17529" i="79" s="1"/>
  <c r="A17530" i="79" s="1"/>
  <c r="A17531" i="79" s="1"/>
  <c r="A17532" i="79" s="1"/>
  <c r="A17533" i="79" s="1"/>
  <c r="A17534" i="79" s="1"/>
  <c r="A17535" i="79" s="1"/>
  <c r="A17536" i="79" s="1"/>
  <c r="A17537" i="79" s="1"/>
  <c r="A17538" i="79" s="1"/>
  <c r="A17539" i="79" s="1"/>
  <c r="A17540" i="79" s="1"/>
  <c r="A17541" i="79" s="1"/>
  <c r="A17542" i="79" s="1"/>
  <c r="A17543" i="79" s="1"/>
  <c r="A17544" i="79" s="1"/>
  <c r="A17545" i="79" s="1"/>
  <c r="A17546" i="79" s="1"/>
  <c r="A17547" i="79" s="1"/>
  <c r="A17548" i="79" s="1"/>
  <c r="A17549" i="79" s="1"/>
  <c r="A17550" i="79" s="1"/>
  <c r="A17551" i="79" s="1"/>
  <c r="A17552" i="79" s="1"/>
  <c r="A17553" i="79" s="1"/>
  <c r="A17554" i="79" s="1"/>
  <c r="A17555" i="79" s="1"/>
  <c r="A17556" i="79" s="1"/>
  <c r="A17557" i="79" s="1"/>
  <c r="A17558" i="79" s="1"/>
  <c r="A17559" i="79" s="1"/>
  <c r="A17560" i="79" s="1"/>
  <c r="A17561" i="79" s="1"/>
  <c r="A17562" i="79" s="1"/>
  <c r="A17563" i="79" s="1"/>
  <c r="A17564" i="79" s="1"/>
  <c r="A17565" i="79" s="1"/>
  <c r="A17566" i="79" s="1"/>
  <c r="A17567" i="79" s="1"/>
  <c r="A17568" i="79" s="1"/>
  <c r="A17569" i="79" s="1"/>
  <c r="A17570" i="79" s="1"/>
  <c r="A17571" i="79" s="1"/>
  <c r="A17572" i="79" s="1"/>
  <c r="A17573" i="79" s="1"/>
  <c r="A17574" i="79" s="1"/>
  <c r="A17575" i="79" s="1"/>
  <c r="A17576" i="79" s="1"/>
  <c r="A17577" i="79" s="1"/>
  <c r="A17578" i="79" s="1"/>
  <c r="A17579" i="79" s="1"/>
  <c r="A17580" i="79" s="1"/>
  <c r="A17581" i="79" s="1"/>
  <c r="A17582" i="79" s="1"/>
  <c r="A17583" i="79" s="1"/>
  <c r="A17584" i="79" s="1"/>
  <c r="A17585" i="79" s="1"/>
  <c r="A17586" i="79" s="1"/>
  <c r="A17587" i="79" s="1"/>
  <c r="A17588" i="79" s="1"/>
  <c r="A17589" i="79" s="1"/>
  <c r="A17590" i="79" s="1"/>
  <c r="A17591" i="79" s="1"/>
  <c r="A17592" i="79" s="1"/>
  <c r="A17593" i="79" s="1"/>
  <c r="A17594" i="79" s="1"/>
  <c r="A17595" i="79" s="1"/>
  <c r="A17596" i="79" s="1"/>
  <c r="A17597" i="79" s="1"/>
  <c r="A17598" i="79" s="1"/>
  <c r="A17599" i="79" s="1"/>
  <c r="A17600" i="79" s="1"/>
  <c r="A17601" i="79" s="1"/>
  <c r="A17602" i="79" s="1"/>
  <c r="A17603" i="79" s="1"/>
  <c r="A17604" i="79" s="1"/>
  <c r="A17605" i="79" s="1"/>
  <c r="A17606" i="79" s="1"/>
  <c r="A17607" i="79" s="1"/>
  <c r="A17608" i="79" s="1"/>
  <c r="A17609" i="79" s="1"/>
  <c r="A17610" i="79" s="1"/>
  <c r="A17611" i="79" s="1"/>
  <c r="A17612" i="79" s="1"/>
  <c r="A17613" i="79" s="1"/>
  <c r="A17614" i="79" s="1"/>
  <c r="A17615" i="79" s="1"/>
  <c r="A17616" i="79" s="1"/>
  <c r="A17617" i="79" s="1"/>
  <c r="A17618" i="79" s="1"/>
  <c r="A17619" i="79" s="1"/>
  <c r="A17620" i="79" s="1"/>
  <c r="A17621" i="79" s="1"/>
  <c r="A17622" i="79" s="1"/>
  <c r="A17623" i="79" s="1"/>
  <c r="A17624" i="79" s="1"/>
  <c r="A17625" i="79" s="1"/>
  <c r="A17626" i="79" s="1"/>
  <c r="A17627" i="79" s="1"/>
  <c r="A17628" i="79" s="1"/>
  <c r="A17629" i="79" s="1"/>
  <c r="A17630" i="79" s="1"/>
  <c r="A17631" i="79" s="1"/>
  <c r="A17632" i="79" s="1"/>
  <c r="A17633" i="79" s="1"/>
  <c r="A17634" i="79" s="1"/>
  <c r="A17635" i="79" s="1"/>
  <c r="A17636" i="79" s="1"/>
  <c r="A17637" i="79" s="1"/>
  <c r="A17638" i="79" s="1"/>
  <c r="A17639" i="79" s="1"/>
  <c r="A17640" i="79" s="1"/>
  <c r="A17641" i="79" s="1"/>
  <c r="A17642" i="79" s="1"/>
  <c r="A17643" i="79" s="1"/>
  <c r="A17644" i="79" s="1"/>
  <c r="A17645" i="79" s="1"/>
  <c r="A17646" i="79" s="1"/>
  <c r="A17647" i="79" s="1"/>
  <c r="A17648" i="79" s="1"/>
  <c r="A17649" i="79" s="1"/>
  <c r="A17650" i="79" s="1"/>
  <c r="A17651" i="79" s="1"/>
  <c r="A17652" i="79" s="1"/>
  <c r="A17653" i="79" s="1"/>
  <c r="A17654" i="79" s="1"/>
  <c r="A17655" i="79" s="1"/>
  <c r="A17656" i="79" s="1"/>
  <c r="A17657" i="79" s="1"/>
  <c r="A17658" i="79" s="1"/>
  <c r="A17659" i="79" s="1"/>
  <c r="A17660" i="79" s="1"/>
  <c r="A17661" i="79" s="1"/>
  <c r="A17662" i="79" s="1"/>
  <c r="A17663" i="79" s="1"/>
  <c r="A17664" i="79" s="1"/>
  <c r="A17665" i="79" s="1"/>
  <c r="A17666" i="79" s="1"/>
  <c r="A17667" i="79" s="1"/>
  <c r="A17668" i="79" s="1"/>
  <c r="A17669" i="79" s="1"/>
  <c r="A17670" i="79" s="1"/>
  <c r="A17671" i="79" s="1"/>
  <c r="A17672" i="79" s="1"/>
  <c r="A17673" i="79" s="1"/>
  <c r="A17674" i="79" s="1"/>
  <c r="A17675" i="79" s="1"/>
  <c r="A17676" i="79" s="1"/>
  <c r="A17677" i="79" s="1"/>
  <c r="A17678" i="79" s="1"/>
  <c r="A17679" i="79" s="1"/>
  <c r="A17680" i="79" s="1"/>
  <c r="A17681" i="79" s="1"/>
  <c r="A17682" i="79" s="1"/>
  <c r="A17683" i="79" s="1"/>
  <c r="A17684" i="79" s="1"/>
  <c r="A17685" i="79" s="1"/>
  <c r="A17686" i="79" s="1"/>
  <c r="A17687" i="79" s="1"/>
  <c r="A17688" i="79" s="1"/>
  <c r="A17689" i="79" s="1"/>
  <c r="A17690" i="79" s="1"/>
  <c r="A17691" i="79" s="1"/>
  <c r="A17692" i="79" s="1"/>
  <c r="A17693" i="79" s="1"/>
  <c r="A17694" i="79" s="1"/>
  <c r="A17695" i="79" s="1"/>
  <c r="A17696" i="79" s="1"/>
  <c r="A17697" i="79" s="1"/>
  <c r="A17698" i="79" s="1"/>
  <c r="A17699" i="79" s="1"/>
  <c r="A17700" i="79" s="1"/>
  <c r="A17701" i="79" s="1"/>
  <c r="A17702" i="79" s="1"/>
  <c r="A17703" i="79" s="1"/>
  <c r="A17704" i="79" s="1"/>
  <c r="A17705" i="79" s="1"/>
  <c r="A17706" i="79" s="1"/>
  <c r="A17707" i="79" s="1"/>
  <c r="A17708" i="79" s="1"/>
  <c r="A17709" i="79" s="1"/>
  <c r="A17710" i="79" s="1"/>
  <c r="A17711" i="79" s="1"/>
  <c r="A17712" i="79" s="1"/>
  <c r="A17713" i="79" s="1"/>
  <c r="A17714" i="79" s="1"/>
  <c r="A17715" i="79" s="1"/>
  <c r="A17716" i="79" s="1"/>
  <c r="A17717" i="79" s="1"/>
  <c r="A17718" i="79" s="1"/>
  <c r="A17719" i="79" s="1"/>
  <c r="A17720" i="79" s="1"/>
  <c r="A17721" i="79" s="1"/>
  <c r="A17722" i="79" s="1"/>
  <c r="A17723" i="79" s="1"/>
  <c r="A17724" i="79" s="1"/>
  <c r="A17725" i="79" s="1"/>
  <c r="A17726" i="79" s="1"/>
  <c r="A17727" i="79" s="1"/>
  <c r="A17728" i="79" s="1"/>
  <c r="A17729" i="79" s="1"/>
  <c r="A17730" i="79" s="1"/>
  <c r="A17731" i="79" s="1"/>
  <c r="A17732" i="79" s="1"/>
  <c r="A17733" i="79" s="1"/>
  <c r="A17734" i="79" s="1"/>
  <c r="A17735" i="79" s="1"/>
  <c r="A17736" i="79" s="1"/>
  <c r="A17737" i="79" s="1"/>
  <c r="A17738" i="79" s="1"/>
  <c r="A17739" i="79" s="1"/>
  <c r="A17740" i="79" s="1"/>
  <c r="A17741" i="79" s="1"/>
  <c r="A17742" i="79" s="1"/>
  <c r="A17743" i="79" s="1"/>
  <c r="A17744" i="79" s="1"/>
  <c r="A17745" i="79" s="1"/>
  <c r="A17746" i="79" s="1"/>
  <c r="A17747" i="79" s="1"/>
  <c r="A17748" i="79" s="1"/>
  <c r="A17749" i="79" s="1"/>
  <c r="A17750" i="79" s="1"/>
  <c r="A17751" i="79" s="1"/>
  <c r="A17752" i="79" s="1"/>
  <c r="A17753" i="79" s="1"/>
  <c r="A17754" i="79" s="1"/>
  <c r="A17755" i="79" s="1"/>
  <c r="A17756" i="79" s="1"/>
  <c r="A17757" i="79" s="1"/>
  <c r="A17758" i="79" s="1"/>
  <c r="A17759" i="79" s="1"/>
  <c r="A17760" i="79" s="1"/>
  <c r="A17761" i="79" s="1"/>
  <c r="A17762" i="79" s="1"/>
  <c r="A17763" i="79" s="1"/>
  <c r="A17764" i="79" s="1"/>
  <c r="A17765" i="79" s="1"/>
  <c r="A17766" i="79" s="1"/>
  <c r="A17767" i="79" s="1"/>
  <c r="A17768" i="79" s="1"/>
  <c r="A17769" i="79" s="1"/>
  <c r="A17770" i="79" s="1"/>
  <c r="A17771" i="79" s="1"/>
  <c r="A17772" i="79" s="1"/>
  <c r="A17773" i="79" s="1"/>
  <c r="A17774" i="79" s="1"/>
  <c r="A17775" i="79" s="1"/>
  <c r="A17776" i="79" s="1"/>
  <c r="A17777" i="79" s="1"/>
  <c r="A17778" i="79" s="1"/>
  <c r="A17779" i="79" s="1"/>
  <c r="A17780" i="79" s="1"/>
  <c r="A17781" i="79" s="1"/>
  <c r="A17782" i="79" s="1"/>
  <c r="A17783" i="79" s="1"/>
  <c r="A17784" i="79" s="1"/>
  <c r="A17785" i="79" s="1"/>
  <c r="A17786" i="79" s="1"/>
  <c r="A17787" i="79" s="1"/>
  <c r="A17788" i="79" s="1"/>
  <c r="A17789" i="79" s="1"/>
  <c r="A17790" i="79" s="1"/>
  <c r="A17791" i="79" s="1"/>
  <c r="A17792" i="79" s="1"/>
  <c r="A17793" i="79" s="1"/>
  <c r="A17794" i="79" s="1"/>
  <c r="A17795" i="79" s="1"/>
  <c r="A17796" i="79" s="1"/>
  <c r="A17797" i="79" s="1"/>
  <c r="A17798" i="79" s="1"/>
  <c r="A17799" i="79" s="1"/>
  <c r="A17800" i="79" s="1"/>
  <c r="A17801" i="79" s="1"/>
  <c r="A17802" i="79" s="1"/>
  <c r="A17803" i="79" s="1"/>
  <c r="A17804" i="79" s="1"/>
  <c r="A17805" i="79" s="1"/>
  <c r="A17806" i="79" s="1"/>
  <c r="A17807" i="79" s="1"/>
  <c r="A17808" i="79" s="1"/>
  <c r="A17809" i="79" s="1"/>
  <c r="A17810" i="79" s="1"/>
  <c r="A17811" i="79" s="1"/>
  <c r="A17812" i="79" s="1"/>
  <c r="A17813" i="79" s="1"/>
  <c r="A17814" i="79" s="1"/>
  <c r="A17815" i="79" s="1"/>
  <c r="A17816" i="79" s="1"/>
  <c r="A17817" i="79" s="1"/>
  <c r="A17818" i="79" s="1"/>
  <c r="A17819" i="79" s="1"/>
  <c r="A17820" i="79" s="1"/>
  <c r="A17821" i="79" s="1"/>
  <c r="A17822" i="79" s="1"/>
  <c r="A17823" i="79" s="1"/>
  <c r="A17824" i="79" s="1"/>
  <c r="A17825" i="79" s="1"/>
  <c r="A17826" i="79" s="1"/>
  <c r="A17827" i="79" s="1"/>
  <c r="A17828" i="79" s="1"/>
  <c r="A17829" i="79" s="1"/>
  <c r="A17830" i="79" s="1"/>
  <c r="A17831" i="79" s="1"/>
  <c r="A17832" i="79" s="1"/>
  <c r="A17833" i="79" s="1"/>
  <c r="A17834" i="79" s="1"/>
  <c r="A17835" i="79" s="1"/>
  <c r="A17836" i="79" s="1"/>
  <c r="A17837" i="79" s="1"/>
  <c r="A17838" i="79" s="1"/>
  <c r="A17839" i="79" s="1"/>
  <c r="A17840" i="79" s="1"/>
  <c r="A17841" i="79" s="1"/>
  <c r="A17842" i="79" s="1"/>
  <c r="A17843" i="79" s="1"/>
  <c r="A17844" i="79" s="1"/>
  <c r="A17845" i="79" s="1"/>
  <c r="A17846" i="79" s="1"/>
  <c r="A17847" i="79" s="1"/>
  <c r="A17848" i="79" s="1"/>
  <c r="A17849" i="79" s="1"/>
  <c r="A17850" i="79" s="1"/>
  <c r="A17851" i="79" s="1"/>
  <c r="A17852" i="79" s="1"/>
  <c r="A17853" i="79" s="1"/>
  <c r="A17854" i="79" s="1"/>
  <c r="A17855" i="79" s="1"/>
  <c r="A17856" i="79" s="1"/>
  <c r="A17857" i="79" s="1"/>
  <c r="A17858" i="79" s="1"/>
  <c r="A17859" i="79" s="1"/>
  <c r="A17860" i="79" s="1"/>
  <c r="A17861" i="79" s="1"/>
  <c r="A17862" i="79" s="1"/>
  <c r="A17863" i="79" s="1"/>
  <c r="A17864" i="79" s="1"/>
  <c r="A17865" i="79" s="1"/>
  <c r="A17866" i="79" s="1"/>
  <c r="A17867" i="79" s="1"/>
  <c r="A17868" i="79" s="1"/>
  <c r="A17869" i="79" s="1"/>
  <c r="A17870" i="79" s="1"/>
  <c r="A17871" i="79" s="1"/>
  <c r="A17872" i="79" s="1"/>
  <c r="A17873" i="79" s="1"/>
  <c r="A17874" i="79" s="1"/>
  <c r="A17875" i="79" s="1"/>
  <c r="A17876" i="79" s="1"/>
  <c r="A17877" i="79" s="1"/>
  <c r="A17878" i="79" s="1"/>
  <c r="A17879" i="79" s="1"/>
  <c r="A17880" i="79" s="1"/>
  <c r="A17881" i="79" s="1"/>
  <c r="A17882" i="79" s="1"/>
  <c r="A17883" i="79" s="1"/>
  <c r="A17884" i="79" s="1"/>
  <c r="A17885" i="79" s="1"/>
  <c r="A17886" i="79" s="1"/>
  <c r="A17887" i="79" s="1"/>
  <c r="A17888" i="79" s="1"/>
  <c r="A17889" i="79" s="1"/>
  <c r="A17890" i="79" s="1"/>
  <c r="A17891" i="79" s="1"/>
  <c r="A17892" i="79" s="1"/>
  <c r="A17893" i="79" s="1"/>
  <c r="A17894" i="79" s="1"/>
  <c r="A17895" i="79" s="1"/>
  <c r="A17896" i="79" s="1"/>
  <c r="A17897" i="79" s="1"/>
  <c r="A17898" i="79" s="1"/>
  <c r="A17899" i="79" s="1"/>
  <c r="A17900" i="79" s="1"/>
  <c r="A17901" i="79" s="1"/>
  <c r="A17902" i="79" s="1"/>
  <c r="A17903" i="79" s="1"/>
  <c r="A17904" i="79" s="1"/>
  <c r="A17905" i="79" s="1"/>
  <c r="A17906" i="79" s="1"/>
  <c r="A17907" i="79" s="1"/>
  <c r="A17908" i="79" s="1"/>
  <c r="A17909" i="79" s="1"/>
  <c r="A17910" i="79" s="1"/>
  <c r="A17911" i="79" s="1"/>
  <c r="A17912" i="79" s="1"/>
  <c r="A17913" i="79" s="1"/>
  <c r="A17914" i="79" s="1"/>
  <c r="A17915" i="79" s="1"/>
  <c r="A17916" i="79" s="1"/>
  <c r="A17917" i="79" s="1"/>
  <c r="A17918" i="79" s="1"/>
  <c r="A17919" i="79" s="1"/>
  <c r="A17920" i="79" s="1"/>
  <c r="A17921" i="79" s="1"/>
  <c r="A17922" i="79" s="1"/>
  <c r="A17923" i="79" s="1"/>
  <c r="A17924" i="79" s="1"/>
  <c r="A17925" i="79" s="1"/>
  <c r="A17926" i="79" s="1"/>
  <c r="A17927" i="79" s="1"/>
  <c r="A17928" i="79" s="1"/>
  <c r="A17929" i="79" s="1"/>
  <c r="A17930" i="79" s="1"/>
  <c r="A17931" i="79" s="1"/>
  <c r="A17932" i="79" s="1"/>
  <c r="A17933" i="79" s="1"/>
  <c r="A17934" i="79" s="1"/>
  <c r="A17935" i="79" s="1"/>
  <c r="A17936" i="79" s="1"/>
  <c r="A17937" i="79" s="1"/>
  <c r="A17938" i="79" s="1"/>
  <c r="A17939" i="79" s="1"/>
  <c r="A17940" i="79" s="1"/>
  <c r="A17941" i="79" s="1"/>
  <c r="A17942" i="79" s="1"/>
  <c r="A17943" i="79" s="1"/>
  <c r="A17944" i="79" s="1"/>
  <c r="A17945" i="79" s="1"/>
  <c r="A17946" i="79" s="1"/>
  <c r="A17947" i="79" s="1"/>
  <c r="A17948" i="79" s="1"/>
  <c r="A17949" i="79" s="1"/>
  <c r="A17950" i="79" s="1"/>
  <c r="A17951" i="79" s="1"/>
  <c r="A17952" i="79" s="1"/>
  <c r="A17953" i="79" s="1"/>
  <c r="A17954" i="79" s="1"/>
  <c r="A17955" i="79" s="1"/>
  <c r="A17956" i="79" s="1"/>
  <c r="A17957" i="79" s="1"/>
  <c r="A17958" i="79" s="1"/>
  <c r="A17959" i="79" s="1"/>
  <c r="A17960" i="79" s="1"/>
  <c r="A17961" i="79" s="1"/>
  <c r="A17962" i="79" s="1"/>
  <c r="A17963" i="79" s="1"/>
  <c r="A17964" i="79" s="1"/>
  <c r="A17965" i="79" s="1"/>
  <c r="A17966" i="79" s="1"/>
  <c r="A17967" i="79" s="1"/>
  <c r="A17968" i="79" s="1"/>
  <c r="A17969" i="79" s="1"/>
  <c r="A17970" i="79" s="1"/>
  <c r="A17971" i="79" s="1"/>
  <c r="A17972" i="79" s="1"/>
  <c r="A17973" i="79" s="1"/>
  <c r="A17974" i="79" s="1"/>
  <c r="A17975" i="79" s="1"/>
  <c r="A17976" i="79" s="1"/>
  <c r="A17977" i="79" s="1"/>
  <c r="A17978" i="79" s="1"/>
  <c r="A17979" i="79" s="1"/>
  <c r="A17980" i="79" s="1"/>
  <c r="A17981" i="79" s="1"/>
  <c r="A17982" i="79" s="1"/>
  <c r="A17983" i="79" s="1"/>
  <c r="A17984" i="79" s="1"/>
  <c r="A17985" i="79" s="1"/>
  <c r="A17986" i="79" s="1"/>
  <c r="A17987" i="79" s="1"/>
  <c r="A17988" i="79" s="1"/>
  <c r="A17989" i="79" s="1"/>
  <c r="A17990" i="79" s="1"/>
  <c r="A17991" i="79" s="1"/>
  <c r="A17992" i="79" s="1"/>
  <c r="A17993" i="79" s="1"/>
  <c r="A17994" i="79" s="1"/>
  <c r="A17995" i="79" s="1"/>
  <c r="A17996" i="79" s="1"/>
  <c r="A17997" i="79" s="1"/>
  <c r="A17998" i="79" s="1"/>
  <c r="A17999" i="79" s="1"/>
  <c r="A18000" i="79" s="1"/>
  <c r="A18001" i="79" s="1"/>
  <c r="A18002" i="79" s="1"/>
  <c r="A18003" i="79" s="1"/>
  <c r="A18004" i="79" s="1"/>
  <c r="A18005" i="79" s="1"/>
  <c r="A18006" i="79" s="1"/>
  <c r="A18007" i="79" s="1"/>
  <c r="A18008" i="79" s="1"/>
  <c r="A18009" i="79" s="1"/>
  <c r="A18010" i="79" s="1"/>
  <c r="A18011" i="79" s="1"/>
  <c r="A18012" i="79" s="1"/>
  <c r="A18013" i="79" s="1"/>
  <c r="A18014" i="79" s="1"/>
  <c r="A18015" i="79" s="1"/>
  <c r="A18016" i="79" s="1"/>
  <c r="A18017" i="79" s="1"/>
  <c r="A18018" i="79" s="1"/>
  <c r="A18019" i="79" s="1"/>
  <c r="A18020" i="79" s="1"/>
  <c r="A18021" i="79" s="1"/>
  <c r="A18022" i="79" s="1"/>
  <c r="A18023" i="79" s="1"/>
  <c r="A18024" i="79" s="1"/>
  <c r="A18025" i="79" s="1"/>
  <c r="A18026" i="79" s="1"/>
  <c r="A18027" i="79" s="1"/>
  <c r="A18028" i="79" s="1"/>
  <c r="A18029" i="79" s="1"/>
  <c r="A18030" i="79" s="1"/>
  <c r="A18031" i="79" s="1"/>
  <c r="A18032" i="79" s="1"/>
  <c r="A18033" i="79" s="1"/>
  <c r="A18034" i="79" s="1"/>
  <c r="A18035" i="79" s="1"/>
  <c r="A18036" i="79" s="1"/>
  <c r="A18037" i="79" s="1"/>
  <c r="A18038" i="79" s="1"/>
  <c r="A18039" i="79" s="1"/>
  <c r="A18040" i="79" s="1"/>
  <c r="A18041" i="79" s="1"/>
  <c r="A18042" i="79" s="1"/>
  <c r="A18043" i="79" s="1"/>
  <c r="A18044" i="79" s="1"/>
  <c r="A18045" i="79" s="1"/>
  <c r="A18046" i="79" s="1"/>
  <c r="A18047" i="79" s="1"/>
  <c r="A18048" i="79" s="1"/>
  <c r="A18049" i="79" s="1"/>
  <c r="A18050" i="79" s="1"/>
  <c r="A18051" i="79" s="1"/>
  <c r="A18052" i="79" s="1"/>
  <c r="A18053" i="79" s="1"/>
  <c r="A18054" i="79" s="1"/>
  <c r="A18055" i="79" s="1"/>
  <c r="A18056" i="79" s="1"/>
  <c r="A18057" i="79" s="1"/>
  <c r="A18058" i="79" s="1"/>
  <c r="A18059" i="79" s="1"/>
  <c r="A18060" i="79" s="1"/>
  <c r="A18061" i="79" s="1"/>
  <c r="A18062" i="79" s="1"/>
  <c r="A18063" i="79" s="1"/>
  <c r="A18064" i="79" s="1"/>
  <c r="A18065" i="79" s="1"/>
  <c r="A18066" i="79" s="1"/>
  <c r="A18067" i="79" s="1"/>
  <c r="A18068" i="79" s="1"/>
  <c r="A18069" i="79" s="1"/>
  <c r="A18070" i="79" s="1"/>
  <c r="A18071" i="79" s="1"/>
  <c r="A18072" i="79" s="1"/>
  <c r="A18073" i="79" s="1"/>
  <c r="A18074" i="79" s="1"/>
  <c r="A18075" i="79" s="1"/>
  <c r="A18076" i="79" s="1"/>
  <c r="A18077" i="79" s="1"/>
  <c r="A18078" i="79" s="1"/>
  <c r="A18079" i="79" s="1"/>
  <c r="A18080" i="79" s="1"/>
  <c r="A18081" i="79" s="1"/>
  <c r="A18082" i="79" s="1"/>
  <c r="A18083" i="79" s="1"/>
  <c r="A18084" i="79" s="1"/>
  <c r="A18085" i="79" s="1"/>
  <c r="A18086" i="79" s="1"/>
  <c r="A18087" i="79" s="1"/>
  <c r="A18088" i="79" s="1"/>
  <c r="A18089" i="79" s="1"/>
  <c r="A18090" i="79" s="1"/>
  <c r="A18091" i="79" s="1"/>
  <c r="A18092" i="79" s="1"/>
  <c r="A18093" i="79" s="1"/>
  <c r="A18094" i="79" s="1"/>
  <c r="A18095" i="79" s="1"/>
  <c r="A18096" i="79" s="1"/>
  <c r="A18097" i="79" s="1"/>
  <c r="A18098" i="79" s="1"/>
  <c r="A18099" i="79" s="1"/>
  <c r="A18100" i="79" s="1"/>
  <c r="A18101" i="79" s="1"/>
  <c r="A18102" i="79" s="1"/>
  <c r="A18103" i="79" s="1"/>
  <c r="A18104" i="79" s="1"/>
  <c r="A18105" i="79" s="1"/>
  <c r="A18106" i="79" s="1"/>
  <c r="A18107" i="79" s="1"/>
  <c r="A18108" i="79" s="1"/>
  <c r="A18109" i="79" s="1"/>
  <c r="A18110" i="79" s="1"/>
  <c r="A18111" i="79" s="1"/>
  <c r="A18112" i="79" s="1"/>
  <c r="A18113" i="79" s="1"/>
  <c r="A18114" i="79" s="1"/>
  <c r="A18115" i="79" s="1"/>
  <c r="A18116" i="79" s="1"/>
  <c r="A18117" i="79" s="1"/>
  <c r="A18118" i="79" s="1"/>
  <c r="A18119" i="79" s="1"/>
  <c r="A18120" i="79" s="1"/>
  <c r="A18121" i="79" s="1"/>
  <c r="A18122" i="79" s="1"/>
  <c r="A18123" i="79" s="1"/>
  <c r="A18124" i="79" s="1"/>
  <c r="A18125" i="79" s="1"/>
  <c r="A18126" i="79" s="1"/>
  <c r="A18127" i="79" s="1"/>
  <c r="A18128" i="79" s="1"/>
  <c r="A18129" i="79" s="1"/>
  <c r="A18130" i="79" s="1"/>
  <c r="A18131" i="79" s="1"/>
  <c r="A18132" i="79" s="1"/>
  <c r="A18133" i="79" s="1"/>
  <c r="A18134" i="79" s="1"/>
  <c r="A18135" i="79" s="1"/>
  <c r="A18136" i="79" s="1"/>
  <c r="A18137" i="79" s="1"/>
  <c r="A18138" i="79" s="1"/>
  <c r="A18139" i="79" s="1"/>
  <c r="A18140" i="79" s="1"/>
  <c r="A18141" i="79" s="1"/>
  <c r="A18142" i="79" s="1"/>
  <c r="A18143" i="79" s="1"/>
  <c r="A18144" i="79" s="1"/>
  <c r="A18145" i="79" s="1"/>
  <c r="A18146" i="79" s="1"/>
  <c r="A18147" i="79" s="1"/>
  <c r="A18148" i="79" s="1"/>
  <c r="A18149" i="79" s="1"/>
  <c r="A18150" i="79" s="1"/>
  <c r="A18151" i="79" s="1"/>
  <c r="A18152" i="79" s="1"/>
  <c r="A18153" i="79" s="1"/>
  <c r="A18154" i="79" s="1"/>
  <c r="A18155" i="79" s="1"/>
  <c r="A18156" i="79" s="1"/>
  <c r="A18157" i="79" s="1"/>
  <c r="A18158" i="79" s="1"/>
  <c r="A18159" i="79" s="1"/>
  <c r="A18160" i="79" s="1"/>
  <c r="A18161" i="79" s="1"/>
  <c r="A18162" i="79" s="1"/>
  <c r="A18163" i="79" s="1"/>
  <c r="A18164" i="79" s="1"/>
  <c r="A18165" i="79" s="1"/>
  <c r="A18166" i="79" s="1"/>
  <c r="A18167" i="79" s="1"/>
  <c r="A18168" i="79" s="1"/>
  <c r="A18169" i="79" s="1"/>
  <c r="A18170" i="79" s="1"/>
  <c r="A18171" i="79" s="1"/>
  <c r="A18172" i="79" s="1"/>
  <c r="A18173" i="79" s="1"/>
  <c r="A18174" i="79" s="1"/>
  <c r="A18175" i="79" s="1"/>
  <c r="A18176" i="79" s="1"/>
  <c r="A18177" i="79" s="1"/>
  <c r="A18178" i="79" s="1"/>
  <c r="A18179" i="79" s="1"/>
  <c r="A18180" i="79" s="1"/>
  <c r="A18181" i="79" s="1"/>
  <c r="A18182" i="79" s="1"/>
  <c r="A18183" i="79" s="1"/>
  <c r="A18184" i="79" s="1"/>
  <c r="A18185" i="79" s="1"/>
  <c r="A18186" i="79" s="1"/>
  <c r="A18187" i="79" s="1"/>
  <c r="A18188" i="79" s="1"/>
  <c r="A18189" i="79" s="1"/>
  <c r="A18190" i="79" s="1"/>
  <c r="A18191" i="79" s="1"/>
  <c r="A18192" i="79" s="1"/>
  <c r="A18193" i="79" s="1"/>
  <c r="A18194" i="79" s="1"/>
  <c r="A18195" i="79" s="1"/>
  <c r="A18196" i="79" s="1"/>
  <c r="A18197" i="79" s="1"/>
  <c r="A18198" i="79" s="1"/>
  <c r="A18199" i="79" s="1"/>
  <c r="A18200" i="79" s="1"/>
  <c r="A18201" i="79" s="1"/>
  <c r="A18202" i="79" s="1"/>
  <c r="A18203" i="79" s="1"/>
  <c r="A18204" i="79" s="1"/>
  <c r="A18205" i="79" s="1"/>
  <c r="A18206" i="79" s="1"/>
  <c r="A18207" i="79" s="1"/>
  <c r="A18208" i="79" s="1"/>
  <c r="A18209" i="79" s="1"/>
  <c r="A18210" i="79" s="1"/>
  <c r="A18211" i="79" s="1"/>
  <c r="A18212" i="79" s="1"/>
  <c r="A18213" i="79" s="1"/>
  <c r="A18214" i="79" s="1"/>
  <c r="A18215" i="79" s="1"/>
  <c r="A18216" i="79" s="1"/>
  <c r="A18217" i="79" s="1"/>
  <c r="A18218" i="79" s="1"/>
  <c r="A18219" i="79" s="1"/>
  <c r="A18220" i="79" s="1"/>
  <c r="A18221" i="79" s="1"/>
  <c r="A18222" i="79" s="1"/>
  <c r="A18223" i="79" s="1"/>
  <c r="A18224" i="79" s="1"/>
  <c r="A18225" i="79" s="1"/>
  <c r="A18226" i="79" s="1"/>
  <c r="A18227" i="79" s="1"/>
  <c r="A18228" i="79" s="1"/>
  <c r="A18229" i="79" s="1"/>
  <c r="A18230" i="79" s="1"/>
  <c r="A18231" i="79" s="1"/>
  <c r="A18232" i="79" s="1"/>
  <c r="A18233" i="79" s="1"/>
  <c r="A18234" i="79" s="1"/>
  <c r="A18235" i="79" s="1"/>
  <c r="A18236" i="79" s="1"/>
  <c r="A18237" i="79" s="1"/>
  <c r="A18238" i="79" s="1"/>
  <c r="A18239" i="79" s="1"/>
  <c r="A18240" i="79" s="1"/>
  <c r="A18241" i="79" s="1"/>
  <c r="A18242" i="79" s="1"/>
  <c r="A18243" i="79" s="1"/>
  <c r="A18244" i="79" s="1"/>
  <c r="A18245" i="79" s="1"/>
  <c r="A18246" i="79" s="1"/>
  <c r="A18247" i="79" s="1"/>
  <c r="A18248" i="79" s="1"/>
  <c r="A18249" i="79" s="1"/>
  <c r="A18250" i="79" s="1"/>
  <c r="A18251" i="79" s="1"/>
  <c r="A18252" i="79" s="1"/>
  <c r="A18253" i="79" s="1"/>
  <c r="A18254" i="79" s="1"/>
  <c r="A18255" i="79" s="1"/>
  <c r="A18256" i="79" s="1"/>
  <c r="A18257" i="79" s="1"/>
  <c r="A18258" i="79" s="1"/>
  <c r="A18259" i="79" s="1"/>
  <c r="A18260" i="79" s="1"/>
  <c r="A18261" i="79" s="1"/>
  <c r="A18262" i="79" s="1"/>
  <c r="A18263" i="79" s="1"/>
  <c r="A18264" i="79" s="1"/>
  <c r="A18265" i="79" s="1"/>
  <c r="A18266" i="79" s="1"/>
  <c r="A18267" i="79" s="1"/>
  <c r="A18268" i="79" s="1"/>
  <c r="A18269" i="79" s="1"/>
  <c r="A18270" i="79" s="1"/>
  <c r="A18271" i="79" s="1"/>
  <c r="A18272" i="79" s="1"/>
  <c r="A18273" i="79" s="1"/>
  <c r="A18274" i="79" s="1"/>
  <c r="A18275" i="79" s="1"/>
  <c r="A18276" i="79" s="1"/>
  <c r="A18277" i="79" s="1"/>
  <c r="A18278" i="79" s="1"/>
  <c r="A18279" i="79" s="1"/>
  <c r="A18280" i="79" s="1"/>
  <c r="A18281" i="79" s="1"/>
  <c r="A18282" i="79" s="1"/>
  <c r="A18283" i="79" s="1"/>
  <c r="A18284" i="79" s="1"/>
  <c r="A18285" i="79" s="1"/>
  <c r="A18286" i="79" s="1"/>
  <c r="A18287" i="79" s="1"/>
  <c r="A18288" i="79" s="1"/>
  <c r="A18289" i="79" s="1"/>
  <c r="A18290" i="79" s="1"/>
  <c r="A18291" i="79" s="1"/>
  <c r="A18292" i="79" s="1"/>
  <c r="A18293" i="79" s="1"/>
  <c r="A18294" i="79" s="1"/>
  <c r="A18295" i="79" s="1"/>
  <c r="A18296" i="79" s="1"/>
  <c r="A18297" i="79" s="1"/>
  <c r="A18298" i="79" s="1"/>
  <c r="A18299" i="79" s="1"/>
  <c r="A18300" i="79" s="1"/>
  <c r="A18301" i="79" s="1"/>
  <c r="A18302" i="79" s="1"/>
  <c r="A18303" i="79" s="1"/>
  <c r="A18304" i="79" s="1"/>
  <c r="A18305" i="79" s="1"/>
  <c r="A18306" i="79" s="1"/>
  <c r="A18307" i="79" s="1"/>
  <c r="A18308" i="79" s="1"/>
  <c r="A18309" i="79" s="1"/>
  <c r="A18310" i="79" s="1"/>
  <c r="A18311" i="79" s="1"/>
  <c r="A18312" i="79" s="1"/>
  <c r="A18313" i="79" s="1"/>
  <c r="A18314" i="79" s="1"/>
  <c r="A18315" i="79" s="1"/>
  <c r="A18316" i="79" s="1"/>
  <c r="A18317" i="79" s="1"/>
  <c r="A18318" i="79" s="1"/>
  <c r="A18319" i="79" s="1"/>
  <c r="A18320" i="79" s="1"/>
  <c r="A18321" i="79" s="1"/>
  <c r="A18322" i="79" s="1"/>
  <c r="A18323" i="79" s="1"/>
  <c r="A18324" i="79" s="1"/>
  <c r="A18325" i="79" s="1"/>
  <c r="A18326" i="79" s="1"/>
  <c r="A18327" i="79" s="1"/>
  <c r="A18328" i="79" s="1"/>
  <c r="A18329" i="79" s="1"/>
  <c r="A18330" i="79" s="1"/>
  <c r="A18331" i="79" s="1"/>
  <c r="A18332" i="79" s="1"/>
  <c r="A18333" i="79" s="1"/>
  <c r="A18334" i="79" s="1"/>
  <c r="A18335" i="79" s="1"/>
  <c r="A18336" i="79" s="1"/>
  <c r="A18337" i="79" s="1"/>
  <c r="A18338" i="79" s="1"/>
  <c r="A18339" i="79" s="1"/>
  <c r="A18340" i="79" s="1"/>
  <c r="A18341" i="79" s="1"/>
  <c r="A18342" i="79" s="1"/>
  <c r="A18343" i="79" s="1"/>
  <c r="A18344" i="79" s="1"/>
  <c r="A18345" i="79" s="1"/>
  <c r="A18346" i="79" s="1"/>
  <c r="A18347" i="79" s="1"/>
  <c r="A18348" i="79" s="1"/>
  <c r="A18349" i="79" s="1"/>
  <c r="A18350" i="79" s="1"/>
  <c r="A18351" i="79" s="1"/>
  <c r="A18352" i="79" s="1"/>
  <c r="A18353" i="79" s="1"/>
  <c r="A18354" i="79" s="1"/>
  <c r="A18355" i="79" s="1"/>
  <c r="A18356" i="79" s="1"/>
  <c r="A18357" i="79" s="1"/>
  <c r="A18358" i="79" s="1"/>
  <c r="A18359" i="79" s="1"/>
  <c r="A18360" i="79" s="1"/>
  <c r="A18361" i="79" s="1"/>
  <c r="A18362" i="79" s="1"/>
  <c r="A18363" i="79" s="1"/>
  <c r="A18364" i="79" s="1"/>
  <c r="A18365" i="79" s="1"/>
  <c r="A18366" i="79" s="1"/>
  <c r="A18367" i="79" s="1"/>
  <c r="A18368" i="79" s="1"/>
  <c r="A18369" i="79" s="1"/>
  <c r="A18370" i="79" s="1"/>
  <c r="A18371" i="79" s="1"/>
  <c r="A18372" i="79" s="1"/>
  <c r="A18373" i="79" s="1"/>
  <c r="A18374" i="79" s="1"/>
  <c r="A18375" i="79" s="1"/>
  <c r="A18376" i="79" s="1"/>
  <c r="A18377" i="79" s="1"/>
  <c r="A18378" i="79" s="1"/>
  <c r="A18379" i="79" s="1"/>
  <c r="A18380" i="79" s="1"/>
  <c r="A18381" i="79" s="1"/>
  <c r="A18382" i="79" s="1"/>
  <c r="A18383" i="79" s="1"/>
  <c r="A18384" i="79" s="1"/>
  <c r="A18385" i="79" s="1"/>
  <c r="A18386" i="79" s="1"/>
  <c r="A18387" i="79" s="1"/>
  <c r="A18388" i="79" s="1"/>
  <c r="A18389" i="79" s="1"/>
  <c r="A18390" i="79" s="1"/>
  <c r="A18391" i="79" s="1"/>
  <c r="A18392" i="79" s="1"/>
  <c r="A18393" i="79" s="1"/>
  <c r="A18394" i="79" s="1"/>
  <c r="A18395" i="79" s="1"/>
  <c r="A18396" i="79" s="1"/>
  <c r="A18397" i="79" s="1"/>
  <c r="A18398" i="79" s="1"/>
  <c r="A18399" i="79" s="1"/>
  <c r="A18400" i="79" s="1"/>
  <c r="A18401" i="79" s="1"/>
  <c r="A18402" i="79" s="1"/>
  <c r="A18403" i="79" s="1"/>
  <c r="A18404" i="79" s="1"/>
  <c r="A18405" i="79" s="1"/>
  <c r="A18406" i="79" s="1"/>
  <c r="A18407" i="79" s="1"/>
  <c r="A18408" i="79" s="1"/>
  <c r="A18409" i="79" s="1"/>
  <c r="A18410" i="79" s="1"/>
  <c r="A18411" i="79" s="1"/>
  <c r="A18412" i="79" s="1"/>
  <c r="A18413" i="79" s="1"/>
  <c r="A18414" i="79" s="1"/>
  <c r="A18415" i="79" s="1"/>
  <c r="A18416" i="79" s="1"/>
  <c r="A18417" i="79" s="1"/>
  <c r="A18418" i="79" s="1"/>
  <c r="A18419" i="79" s="1"/>
  <c r="A18420" i="79" s="1"/>
  <c r="A18421" i="79" s="1"/>
  <c r="A18422" i="79" s="1"/>
  <c r="A18423" i="79" s="1"/>
  <c r="A18424" i="79" s="1"/>
  <c r="A18425" i="79" s="1"/>
  <c r="A18426" i="79" s="1"/>
  <c r="A18427" i="79" s="1"/>
  <c r="A18428" i="79" s="1"/>
  <c r="A18429" i="79" s="1"/>
  <c r="A18430" i="79" s="1"/>
  <c r="A18431" i="79" s="1"/>
  <c r="A18432" i="79" s="1"/>
  <c r="A18433" i="79" s="1"/>
  <c r="A18434" i="79" s="1"/>
  <c r="A18435" i="79" s="1"/>
  <c r="A18436" i="79" s="1"/>
  <c r="A18437" i="79" s="1"/>
  <c r="A18438" i="79" s="1"/>
  <c r="A18439" i="79" s="1"/>
  <c r="A18440" i="79" s="1"/>
  <c r="A18441" i="79" s="1"/>
  <c r="A18442" i="79" s="1"/>
  <c r="A18443" i="79" s="1"/>
  <c r="A18444" i="79" s="1"/>
  <c r="A18445" i="79" s="1"/>
  <c r="A18446" i="79" s="1"/>
  <c r="A18447" i="79" s="1"/>
  <c r="A18448" i="79" s="1"/>
  <c r="A18449" i="79" s="1"/>
  <c r="A18450" i="79" s="1"/>
  <c r="A18451" i="79" s="1"/>
  <c r="A18452" i="79" s="1"/>
  <c r="A18453" i="79" s="1"/>
  <c r="A18454" i="79" s="1"/>
  <c r="A18455" i="79" s="1"/>
  <c r="A18456" i="79" s="1"/>
  <c r="A18457" i="79" s="1"/>
  <c r="A18458" i="79" s="1"/>
  <c r="A18459" i="79" s="1"/>
  <c r="A18460" i="79" s="1"/>
  <c r="A18461" i="79" s="1"/>
  <c r="A18462" i="79" s="1"/>
  <c r="A18463" i="79" s="1"/>
  <c r="A18464" i="79" s="1"/>
  <c r="A18465" i="79" s="1"/>
  <c r="A18466" i="79" s="1"/>
  <c r="A18467" i="79" s="1"/>
  <c r="A18468" i="79" s="1"/>
  <c r="A18469" i="79" s="1"/>
  <c r="A18470" i="79" s="1"/>
  <c r="A18471" i="79" s="1"/>
  <c r="A18472" i="79" s="1"/>
  <c r="A18473" i="79" s="1"/>
  <c r="A18474" i="79" s="1"/>
  <c r="A18475" i="79" s="1"/>
  <c r="A18476" i="79" s="1"/>
  <c r="A18477" i="79" s="1"/>
  <c r="A18478" i="79" s="1"/>
  <c r="A18479" i="79" s="1"/>
  <c r="A18480" i="79" s="1"/>
  <c r="A18481" i="79" s="1"/>
  <c r="A18482" i="79" s="1"/>
  <c r="A18483" i="79" s="1"/>
  <c r="A18484" i="79" s="1"/>
  <c r="A18485" i="79" s="1"/>
  <c r="A18486" i="79" s="1"/>
  <c r="A18487" i="79" s="1"/>
  <c r="A18488" i="79" s="1"/>
  <c r="A18489" i="79" s="1"/>
  <c r="A18490" i="79" s="1"/>
  <c r="A18491" i="79" s="1"/>
  <c r="A18492" i="79" s="1"/>
  <c r="A18493" i="79" s="1"/>
  <c r="A18494" i="79" s="1"/>
  <c r="A18495" i="79" s="1"/>
  <c r="A18496" i="79" s="1"/>
  <c r="A18497" i="79" s="1"/>
  <c r="A18498" i="79" s="1"/>
  <c r="A18499" i="79" s="1"/>
  <c r="A18500" i="79" s="1"/>
  <c r="A18501" i="79" s="1"/>
  <c r="A18502" i="79" s="1"/>
  <c r="A18503" i="79" s="1"/>
  <c r="A18504" i="79" s="1"/>
  <c r="A18505" i="79" s="1"/>
  <c r="A18506" i="79" s="1"/>
  <c r="A18507" i="79" s="1"/>
  <c r="A18508" i="79" s="1"/>
  <c r="A18509" i="79" s="1"/>
  <c r="A18510" i="79" s="1"/>
  <c r="A18511" i="79" s="1"/>
  <c r="A18512" i="79" s="1"/>
  <c r="A18513" i="79" s="1"/>
  <c r="A18514" i="79" s="1"/>
  <c r="A18515" i="79" s="1"/>
  <c r="A18516" i="79" s="1"/>
  <c r="A18517" i="79" s="1"/>
  <c r="A18518" i="79" s="1"/>
  <c r="A18519" i="79" s="1"/>
  <c r="A18520" i="79" s="1"/>
  <c r="A18521" i="79" s="1"/>
  <c r="A18522" i="79" s="1"/>
  <c r="A18523" i="79" s="1"/>
  <c r="A18524" i="79" s="1"/>
  <c r="A18525" i="79" s="1"/>
  <c r="A18526" i="79" s="1"/>
  <c r="A18527" i="79" s="1"/>
  <c r="A18528" i="79" s="1"/>
  <c r="A18529" i="79" s="1"/>
  <c r="A18530" i="79" s="1"/>
  <c r="A18531" i="79" s="1"/>
  <c r="A18532" i="79" s="1"/>
  <c r="A18533" i="79" s="1"/>
  <c r="A18534" i="79" s="1"/>
  <c r="A18535" i="79" s="1"/>
  <c r="A18536" i="79" s="1"/>
  <c r="A18537" i="79" s="1"/>
  <c r="A18538" i="79" s="1"/>
  <c r="A18539" i="79" s="1"/>
  <c r="A18540" i="79" s="1"/>
  <c r="A18541" i="79" s="1"/>
  <c r="A18542" i="79" s="1"/>
  <c r="A18543" i="79" s="1"/>
  <c r="A18544" i="79" s="1"/>
  <c r="A18545" i="79" s="1"/>
  <c r="A18546" i="79" s="1"/>
  <c r="A18547" i="79" s="1"/>
  <c r="A18548" i="79" s="1"/>
  <c r="A18549" i="79" s="1"/>
  <c r="A18550" i="79" s="1"/>
  <c r="A18551" i="79" s="1"/>
  <c r="A18552" i="79" s="1"/>
  <c r="A18553" i="79" s="1"/>
  <c r="A18554" i="79" s="1"/>
  <c r="A18555" i="79" s="1"/>
  <c r="A18556" i="79" s="1"/>
  <c r="A18557" i="79" s="1"/>
  <c r="A18558" i="79" s="1"/>
  <c r="A18559" i="79" s="1"/>
  <c r="A18560" i="79" s="1"/>
  <c r="A18561" i="79" s="1"/>
  <c r="A18562" i="79" s="1"/>
  <c r="A18563" i="79" s="1"/>
  <c r="A18564" i="79" s="1"/>
  <c r="A18565" i="79" s="1"/>
  <c r="A18566" i="79" s="1"/>
  <c r="A18567" i="79" s="1"/>
  <c r="A18568" i="79" s="1"/>
  <c r="A18569" i="79" s="1"/>
  <c r="A18570" i="79" s="1"/>
  <c r="A18571" i="79" s="1"/>
  <c r="A18572" i="79" s="1"/>
  <c r="A18573" i="79" s="1"/>
  <c r="A18574" i="79" s="1"/>
  <c r="A18575" i="79" s="1"/>
  <c r="A18576" i="79" s="1"/>
  <c r="A18577" i="79" s="1"/>
  <c r="A18578" i="79" s="1"/>
  <c r="A18579" i="79" s="1"/>
  <c r="A18580" i="79" s="1"/>
  <c r="A18581" i="79" s="1"/>
  <c r="A18582" i="79" s="1"/>
  <c r="A18583" i="79" s="1"/>
  <c r="A18584" i="79" s="1"/>
  <c r="A18585" i="79" s="1"/>
  <c r="A18586" i="79" s="1"/>
  <c r="A18587" i="79" s="1"/>
  <c r="A18588" i="79" s="1"/>
  <c r="A18589" i="79" s="1"/>
  <c r="A18590" i="79" s="1"/>
  <c r="A18591" i="79" s="1"/>
  <c r="A18592" i="79" s="1"/>
  <c r="A18593" i="79" s="1"/>
  <c r="A18594" i="79" s="1"/>
  <c r="A18595" i="79" s="1"/>
  <c r="A18596" i="79" s="1"/>
  <c r="A18597" i="79" s="1"/>
  <c r="A18598" i="79" s="1"/>
  <c r="A18599" i="79" s="1"/>
  <c r="A18600" i="79" s="1"/>
  <c r="A18601" i="79" s="1"/>
  <c r="A18602" i="79" s="1"/>
  <c r="A18603" i="79" s="1"/>
  <c r="A18604" i="79" s="1"/>
  <c r="A18605" i="79" s="1"/>
  <c r="A18606" i="79" s="1"/>
  <c r="A18607" i="79" s="1"/>
  <c r="A18608" i="79" s="1"/>
  <c r="A18609" i="79" s="1"/>
  <c r="A18610" i="79" s="1"/>
  <c r="A18611" i="79" s="1"/>
  <c r="A18612" i="79" s="1"/>
  <c r="A18613" i="79" s="1"/>
  <c r="A18614" i="79" s="1"/>
  <c r="A18615" i="79" s="1"/>
  <c r="A18616" i="79" s="1"/>
  <c r="A18617" i="79" s="1"/>
  <c r="A18618" i="79" s="1"/>
  <c r="A18619" i="79" s="1"/>
  <c r="A18620" i="79" s="1"/>
  <c r="A18621" i="79" s="1"/>
  <c r="A18622" i="79" s="1"/>
  <c r="A18623" i="79" s="1"/>
  <c r="A18624" i="79" s="1"/>
  <c r="A18625" i="79" s="1"/>
  <c r="A18626" i="79" s="1"/>
  <c r="A18627" i="79" s="1"/>
  <c r="A18628" i="79" s="1"/>
  <c r="A18629" i="79" s="1"/>
  <c r="A18630" i="79" s="1"/>
  <c r="A18631" i="79" s="1"/>
  <c r="A18632" i="79" s="1"/>
  <c r="A18633" i="79" s="1"/>
  <c r="A18634" i="79" s="1"/>
  <c r="A18635" i="79" s="1"/>
  <c r="A18636" i="79" s="1"/>
  <c r="A18637" i="79" s="1"/>
  <c r="A18638" i="79" s="1"/>
  <c r="A18639" i="79" s="1"/>
  <c r="A18640" i="79" s="1"/>
  <c r="A18641" i="79" s="1"/>
  <c r="A18642" i="79" s="1"/>
  <c r="A18643" i="79" s="1"/>
  <c r="A18644" i="79" s="1"/>
  <c r="A18645" i="79" s="1"/>
  <c r="A18646" i="79" s="1"/>
  <c r="A18647" i="79" s="1"/>
  <c r="A18648" i="79" s="1"/>
  <c r="A18649" i="79" s="1"/>
  <c r="A18650" i="79" s="1"/>
  <c r="A18651" i="79" s="1"/>
  <c r="A18652" i="79" s="1"/>
  <c r="A18653" i="79" s="1"/>
  <c r="A18654" i="79" s="1"/>
  <c r="A18655" i="79" s="1"/>
  <c r="A18656" i="79" s="1"/>
  <c r="A18657" i="79" s="1"/>
  <c r="A18658" i="79" s="1"/>
  <c r="A18659" i="79" s="1"/>
  <c r="A18660" i="79" s="1"/>
  <c r="A18661" i="79" s="1"/>
  <c r="A18662" i="79" s="1"/>
  <c r="A18663" i="79" s="1"/>
  <c r="A18664" i="79" s="1"/>
  <c r="A18665" i="79" s="1"/>
  <c r="A18666" i="79" s="1"/>
  <c r="A18667" i="79" s="1"/>
  <c r="A18668" i="79" s="1"/>
  <c r="A18669" i="79" s="1"/>
  <c r="A18670" i="79" s="1"/>
  <c r="A18671" i="79" s="1"/>
  <c r="A18672" i="79" s="1"/>
  <c r="A18673" i="79" s="1"/>
  <c r="A18674" i="79" s="1"/>
  <c r="A18675" i="79" s="1"/>
  <c r="A18676" i="79" s="1"/>
  <c r="A18677" i="79" s="1"/>
  <c r="A18678" i="79" s="1"/>
  <c r="A18679" i="79" s="1"/>
  <c r="A18680" i="79" s="1"/>
  <c r="A18681" i="79" s="1"/>
  <c r="A18682" i="79" s="1"/>
  <c r="A18683" i="79" s="1"/>
  <c r="A18684" i="79" s="1"/>
  <c r="A18685" i="79" s="1"/>
  <c r="A18686" i="79" s="1"/>
  <c r="A18687" i="79" s="1"/>
  <c r="A18688" i="79" s="1"/>
  <c r="A18689" i="79" s="1"/>
  <c r="A18690" i="79" s="1"/>
  <c r="A18691" i="79" s="1"/>
  <c r="A18692" i="79" s="1"/>
  <c r="A18693" i="79" s="1"/>
  <c r="A18694" i="79" s="1"/>
  <c r="A18695" i="79" s="1"/>
  <c r="A18696" i="79" s="1"/>
  <c r="A18697" i="79" s="1"/>
  <c r="A18698" i="79" s="1"/>
  <c r="A18699" i="79" s="1"/>
  <c r="A18700" i="79" s="1"/>
  <c r="A18701" i="79" s="1"/>
  <c r="A18702" i="79" s="1"/>
  <c r="A18703" i="79" s="1"/>
  <c r="A18704" i="79" s="1"/>
  <c r="A18705" i="79" s="1"/>
  <c r="A18706" i="79" s="1"/>
  <c r="A18707" i="79" s="1"/>
  <c r="A18708" i="79" s="1"/>
  <c r="A18709" i="79" s="1"/>
  <c r="A18710" i="79" s="1"/>
  <c r="A18711" i="79" s="1"/>
  <c r="A18712" i="79" s="1"/>
  <c r="A18713" i="79" s="1"/>
  <c r="A18714" i="79" s="1"/>
  <c r="A18715" i="79" s="1"/>
  <c r="A18716" i="79" s="1"/>
  <c r="A18717" i="79" s="1"/>
  <c r="A18718" i="79" s="1"/>
  <c r="A18719" i="79" s="1"/>
  <c r="A18720" i="79" s="1"/>
  <c r="A18721" i="79" s="1"/>
  <c r="A18722" i="79" s="1"/>
  <c r="A18723" i="79" s="1"/>
  <c r="A18724" i="79" s="1"/>
  <c r="A18725" i="79" s="1"/>
  <c r="A18726" i="79" s="1"/>
  <c r="A18727" i="79" s="1"/>
  <c r="A18728" i="79" s="1"/>
  <c r="A18729" i="79" s="1"/>
  <c r="A18730" i="79" s="1"/>
  <c r="A18731" i="79" s="1"/>
  <c r="A18732" i="79" s="1"/>
  <c r="A18733" i="79" s="1"/>
  <c r="A18734" i="79" s="1"/>
  <c r="A18735" i="79" s="1"/>
  <c r="A18736" i="79" s="1"/>
  <c r="A18737" i="79" s="1"/>
  <c r="A18738" i="79" s="1"/>
  <c r="A18739" i="79" s="1"/>
  <c r="A18740" i="79" s="1"/>
  <c r="A18741" i="79" s="1"/>
  <c r="A18742" i="79" s="1"/>
  <c r="A18743" i="79" s="1"/>
  <c r="A18744" i="79" s="1"/>
  <c r="A18745" i="79" s="1"/>
  <c r="A18746" i="79" s="1"/>
  <c r="A18747" i="79" s="1"/>
  <c r="A18748" i="79" s="1"/>
  <c r="A18749" i="79" s="1"/>
  <c r="A18750" i="79" s="1"/>
  <c r="A18751" i="79" s="1"/>
  <c r="A18752" i="79" s="1"/>
  <c r="A18753" i="79" s="1"/>
  <c r="A18754" i="79" s="1"/>
  <c r="A18755" i="79" s="1"/>
  <c r="A18756" i="79" s="1"/>
  <c r="A18757" i="79" s="1"/>
  <c r="A18758" i="79" s="1"/>
  <c r="A18759" i="79" s="1"/>
  <c r="A18760" i="79" s="1"/>
  <c r="A18761" i="79" s="1"/>
  <c r="A18762" i="79" s="1"/>
  <c r="A18763" i="79" s="1"/>
  <c r="A18764" i="79" s="1"/>
  <c r="A18765" i="79" s="1"/>
  <c r="A18766" i="79" s="1"/>
  <c r="A18767" i="79" s="1"/>
  <c r="A18768" i="79" s="1"/>
  <c r="A18769" i="79" s="1"/>
  <c r="A18770" i="79" s="1"/>
  <c r="A18771" i="79" s="1"/>
  <c r="A18772" i="79" s="1"/>
  <c r="A18773" i="79" s="1"/>
  <c r="A18774" i="79" s="1"/>
  <c r="A18775" i="79" s="1"/>
  <c r="A18776" i="79" s="1"/>
  <c r="A18777" i="79" s="1"/>
  <c r="A18778" i="79" s="1"/>
  <c r="A18779" i="79" s="1"/>
  <c r="A18780" i="79" s="1"/>
  <c r="A18781" i="79" s="1"/>
  <c r="A18782" i="79" s="1"/>
  <c r="A18783" i="79" s="1"/>
  <c r="A18784" i="79" s="1"/>
  <c r="A18785" i="79" s="1"/>
  <c r="A18786" i="79" s="1"/>
  <c r="A18787" i="79" s="1"/>
  <c r="A18788" i="79" s="1"/>
  <c r="A18789" i="79" s="1"/>
  <c r="A18790" i="79" s="1"/>
  <c r="A18791" i="79" s="1"/>
  <c r="A18792" i="79" s="1"/>
  <c r="A18793" i="79" s="1"/>
  <c r="A18794" i="79" s="1"/>
  <c r="A18795" i="79" s="1"/>
  <c r="A18796" i="79" s="1"/>
  <c r="A18797" i="79" s="1"/>
  <c r="A18798" i="79" s="1"/>
  <c r="A18799" i="79" s="1"/>
  <c r="A18800" i="79" s="1"/>
  <c r="A18801" i="79" s="1"/>
  <c r="A18802" i="79" s="1"/>
  <c r="A18803" i="79" s="1"/>
  <c r="A18804" i="79" s="1"/>
  <c r="A18805" i="79" s="1"/>
  <c r="A18806" i="79" s="1"/>
  <c r="A18807" i="79" s="1"/>
  <c r="A18808" i="79" s="1"/>
  <c r="A18809" i="79" s="1"/>
  <c r="A18810" i="79" s="1"/>
  <c r="A18811" i="79" s="1"/>
  <c r="A18812" i="79" s="1"/>
  <c r="A18813" i="79" s="1"/>
  <c r="A18814" i="79" s="1"/>
  <c r="A18815" i="79" s="1"/>
  <c r="A18816" i="79" s="1"/>
  <c r="A18817" i="79" s="1"/>
  <c r="A18818" i="79" s="1"/>
  <c r="A18819" i="79" s="1"/>
  <c r="A18820" i="79" s="1"/>
  <c r="A18821" i="79" s="1"/>
  <c r="A18822" i="79" s="1"/>
  <c r="A18823" i="79" s="1"/>
  <c r="A18824" i="79" s="1"/>
  <c r="A18825" i="79" s="1"/>
  <c r="A18826" i="79" s="1"/>
  <c r="A18827" i="79" s="1"/>
  <c r="A18828" i="79" s="1"/>
  <c r="A18829" i="79" s="1"/>
  <c r="A18830" i="79" s="1"/>
  <c r="A18831" i="79" s="1"/>
  <c r="A18832" i="79" s="1"/>
  <c r="A18833" i="79" s="1"/>
  <c r="A18834" i="79" s="1"/>
  <c r="A18835" i="79" s="1"/>
  <c r="A18836" i="79" s="1"/>
  <c r="A18837" i="79" s="1"/>
  <c r="A18838" i="79" s="1"/>
  <c r="A18839" i="79" s="1"/>
  <c r="A18840" i="79" s="1"/>
  <c r="A18841" i="79" s="1"/>
  <c r="A18842" i="79" s="1"/>
  <c r="A18843" i="79" s="1"/>
  <c r="A18844" i="79" s="1"/>
  <c r="A18845" i="79" s="1"/>
  <c r="A18846" i="79" s="1"/>
  <c r="A18847" i="79" s="1"/>
  <c r="A18848" i="79" s="1"/>
  <c r="A18849" i="79" s="1"/>
  <c r="A18850" i="79" s="1"/>
  <c r="A18851" i="79" s="1"/>
  <c r="A18852" i="79" s="1"/>
  <c r="A18853" i="79" s="1"/>
  <c r="A18854" i="79" s="1"/>
  <c r="A18855" i="79" s="1"/>
  <c r="A18856" i="79" s="1"/>
  <c r="A18857" i="79" s="1"/>
  <c r="A18858" i="79" s="1"/>
  <c r="A18859" i="79" s="1"/>
  <c r="A18860" i="79" s="1"/>
  <c r="A18861" i="79" s="1"/>
  <c r="A18862" i="79" s="1"/>
  <c r="A18863" i="79" s="1"/>
  <c r="A18864" i="79" s="1"/>
  <c r="A18865" i="79" s="1"/>
  <c r="A18866" i="79" s="1"/>
  <c r="A18867" i="79" s="1"/>
  <c r="A18868" i="79" s="1"/>
  <c r="A18869" i="79" s="1"/>
  <c r="A18870" i="79" s="1"/>
  <c r="A18871" i="79" s="1"/>
  <c r="A18872" i="79" s="1"/>
  <c r="A18873" i="79" s="1"/>
  <c r="A18874" i="79" s="1"/>
  <c r="A18875" i="79" s="1"/>
  <c r="A18876" i="79" s="1"/>
  <c r="A18877" i="79" s="1"/>
  <c r="A18878" i="79" s="1"/>
  <c r="A18879" i="79" s="1"/>
  <c r="A18880" i="79" s="1"/>
  <c r="A18881" i="79" s="1"/>
  <c r="A18882" i="79" s="1"/>
  <c r="A18883" i="79" s="1"/>
  <c r="A18884" i="79" s="1"/>
  <c r="A18885" i="79" s="1"/>
  <c r="A18886" i="79" s="1"/>
  <c r="A18887" i="79" s="1"/>
  <c r="A18888" i="79" s="1"/>
  <c r="A18889" i="79" s="1"/>
  <c r="A18890" i="79" s="1"/>
  <c r="A18891" i="79" s="1"/>
  <c r="A18892" i="79" s="1"/>
  <c r="A18893" i="79" s="1"/>
  <c r="A18894" i="79" s="1"/>
  <c r="A18895" i="79" s="1"/>
  <c r="A18896" i="79" s="1"/>
  <c r="A18897" i="79" s="1"/>
  <c r="A18898" i="79" s="1"/>
  <c r="A18899" i="79" s="1"/>
  <c r="A18900" i="79" s="1"/>
  <c r="A18901" i="79" s="1"/>
  <c r="A18902" i="79" s="1"/>
  <c r="A18903" i="79" s="1"/>
  <c r="A18904" i="79" s="1"/>
  <c r="A18905" i="79" s="1"/>
  <c r="A18906" i="79" s="1"/>
  <c r="A18907" i="79" s="1"/>
  <c r="A18908" i="79" s="1"/>
  <c r="A18909" i="79" s="1"/>
  <c r="A18910" i="79" s="1"/>
  <c r="A18911" i="79" s="1"/>
  <c r="A18912" i="79" s="1"/>
  <c r="A18913" i="79" s="1"/>
  <c r="A18914" i="79" s="1"/>
  <c r="A18915" i="79" s="1"/>
  <c r="A18916" i="79" s="1"/>
  <c r="A18917" i="79" s="1"/>
  <c r="A18918" i="79" s="1"/>
  <c r="A18919" i="79" s="1"/>
  <c r="A18920" i="79" s="1"/>
  <c r="A18921" i="79" s="1"/>
  <c r="A18922" i="79" s="1"/>
  <c r="A18923" i="79" s="1"/>
  <c r="A18924" i="79" s="1"/>
  <c r="A18925" i="79" s="1"/>
  <c r="A18926" i="79" s="1"/>
  <c r="A18927" i="79" s="1"/>
  <c r="A18928" i="79" s="1"/>
  <c r="A18929" i="79" s="1"/>
  <c r="A18930" i="79" s="1"/>
  <c r="A18931" i="79" s="1"/>
  <c r="A18932" i="79" s="1"/>
  <c r="A18933" i="79" s="1"/>
  <c r="A18934" i="79" s="1"/>
  <c r="A18935" i="79" s="1"/>
  <c r="A18936" i="79" s="1"/>
  <c r="A18937" i="79" s="1"/>
  <c r="A18938" i="79" s="1"/>
  <c r="A18939" i="79" s="1"/>
  <c r="A18940" i="79" s="1"/>
  <c r="A18941" i="79" s="1"/>
  <c r="A18942" i="79" s="1"/>
  <c r="A18943" i="79" s="1"/>
  <c r="A18944" i="79" s="1"/>
  <c r="A18945" i="79" s="1"/>
  <c r="A18946" i="79" s="1"/>
  <c r="A18947" i="79" s="1"/>
  <c r="A18948" i="79" s="1"/>
  <c r="A18949" i="79" s="1"/>
  <c r="A18950" i="79" s="1"/>
  <c r="A18951" i="79" s="1"/>
  <c r="A18952" i="79" s="1"/>
  <c r="A18953" i="79" s="1"/>
  <c r="A18954" i="79" s="1"/>
  <c r="A18955" i="79" s="1"/>
  <c r="A18956" i="79" s="1"/>
  <c r="A18957" i="79" s="1"/>
  <c r="A18958" i="79" s="1"/>
  <c r="A18959" i="79" s="1"/>
  <c r="A18960" i="79" s="1"/>
  <c r="A18961" i="79" s="1"/>
  <c r="A18962" i="79" s="1"/>
  <c r="A18963" i="79" s="1"/>
  <c r="A18964" i="79" s="1"/>
  <c r="A18965" i="79" s="1"/>
  <c r="A18966" i="79" s="1"/>
  <c r="A18967" i="79" s="1"/>
  <c r="A18968" i="79" s="1"/>
  <c r="A18969" i="79" s="1"/>
  <c r="A18970" i="79" s="1"/>
  <c r="A18971" i="79" s="1"/>
  <c r="A18972" i="79" s="1"/>
  <c r="A18973" i="79" s="1"/>
  <c r="A18974" i="79" s="1"/>
  <c r="A18975" i="79" s="1"/>
  <c r="A18976" i="79" s="1"/>
  <c r="A18977" i="79" s="1"/>
  <c r="A18978" i="79" s="1"/>
  <c r="A18979" i="79" s="1"/>
  <c r="A18980" i="79" s="1"/>
  <c r="A18981" i="79" s="1"/>
  <c r="A18982" i="79" s="1"/>
  <c r="A18983" i="79" s="1"/>
  <c r="A18984" i="79" s="1"/>
  <c r="A18985" i="79" s="1"/>
  <c r="A18986" i="79" s="1"/>
  <c r="A18987" i="79" s="1"/>
  <c r="A18988" i="79" s="1"/>
  <c r="A18989" i="79" s="1"/>
  <c r="A18990" i="79" s="1"/>
  <c r="A18991" i="79" s="1"/>
  <c r="A18992" i="79" s="1"/>
  <c r="A18993" i="79" s="1"/>
  <c r="A18994" i="79" s="1"/>
  <c r="A18995" i="79" s="1"/>
  <c r="A18996" i="79" s="1"/>
  <c r="A18997" i="79" s="1"/>
  <c r="A18998" i="79" s="1"/>
  <c r="A18999" i="79" s="1"/>
  <c r="A19000" i="79" s="1"/>
  <c r="A19001" i="79" s="1"/>
  <c r="A19002" i="79" s="1"/>
  <c r="A19003" i="79" s="1"/>
  <c r="A19004" i="79" s="1"/>
  <c r="A19005" i="79" s="1"/>
  <c r="A19006" i="79" s="1"/>
  <c r="A19007" i="79" s="1"/>
  <c r="A19008" i="79" s="1"/>
  <c r="A19009" i="79" s="1"/>
  <c r="A19010" i="79" s="1"/>
  <c r="A19011" i="79" s="1"/>
  <c r="A19012" i="79" s="1"/>
  <c r="A19013" i="79" s="1"/>
  <c r="A19014" i="79" s="1"/>
  <c r="A19015" i="79" s="1"/>
  <c r="A19016" i="79" s="1"/>
  <c r="A19017" i="79" s="1"/>
  <c r="A19018" i="79" s="1"/>
  <c r="A19019" i="79" s="1"/>
  <c r="A19020" i="79" s="1"/>
  <c r="A19021" i="79" s="1"/>
  <c r="A19022" i="79" s="1"/>
  <c r="A19023" i="79" s="1"/>
  <c r="A19024" i="79" s="1"/>
  <c r="A19025" i="79" s="1"/>
  <c r="A19026" i="79" s="1"/>
  <c r="A19027" i="79" s="1"/>
  <c r="A19028" i="79" s="1"/>
  <c r="A19029" i="79" s="1"/>
  <c r="A19030" i="79" s="1"/>
  <c r="A19031" i="79" s="1"/>
  <c r="A19032" i="79" s="1"/>
  <c r="A19033" i="79" s="1"/>
  <c r="A19034" i="79" s="1"/>
  <c r="A19035" i="79" s="1"/>
  <c r="A19036" i="79" s="1"/>
  <c r="A19037" i="79" s="1"/>
  <c r="A19038" i="79" s="1"/>
  <c r="A19039" i="79" s="1"/>
  <c r="A19040" i="79" s="1"/>
  <c r="A19041" i="79" s="1"/>
  <c r="A19042" i="79" s="1"/>
  <c r="A19043" i="79" s="1"/>
  <c r="A19044" i="79" s="1"/>
  <c r="A19045" i="79" s="1"/>
  <c r="A19046" i="79" s="1"/>
  <c r="A19047" i="79" s="1"/>
  <c r="A19048" i="79" s="1"/>
  <c r="A19049" i="79" s="1"/>
  <c r="A19050" i="79" s="1"/>
  <c r="A19051" i="79" s="1"/>
  <c r="A19052" i="79" s="1"/>
  <c r="A19053" i="79" s="1"/>
  <c r="A19054" i="79" s="1"/>
  <c r="A19055" i="79" s="1"/>
  <c r="A19056" i="79" s="1"/>
  <c r="A19057" i="79" s="1"/>
  <c r="A19058" i="79" s="1"/>
  <c r="A19059" i="79" s="1"/>
  <c r="A19060" i="79" s="1"/>
  <c r="A19061" i="79" s="1"/>
  <c r="A19062" i="79" s="1"/>
  <c r="A19063" i="79" s="1"/>
  <c r="A19064" i="79" s="1"/>
  <c r="A19065" i="79" s="1"/>
  <c r="A19066" i="79" s="1"/>
  <c r="A19067" i="79" s="1"/>
  <c r="A19068" i="79" s="1"/>
  <c r="A19069" i="79" s="1"/>
  <c r="A19070" i="79" s="1"/>
  <c r="A19071" i="79" s="1"/>
  <c r="A19072" i="79" s="1"/>
  <c r="A19073" i="79" s="1"/>
  <c r="A19074" i="79" s="1"/>
  <c r="A19075" i="79" s="1"/>
  <c r="A19076" i="79" s="1"/>
  <c r="A19077" i="79" s="1"/>
  <c r="A19078" i="79" s="1"/>
  <c r="A19079" i="79" s="1"/>
  <c r="A19080" i="79" s="1"/>
  <c r="A19081" i="79" s="1"/>
  <c r="A19082" i="79" s="1"/>
  <c r="A19083" i="79" s="1"/>
  <c r="A19084" i="79" s="1"/>
  <c r="A19085" i="79" s="1"/>
  <c r="A19086" i="79" s="1"/>
  <c r="A19087" i="79" s="1"/>
  <c r="A19088" i="79" s="1"/>
  <c r="A19089" i="79" s="1"/>
  <c r="A19090" i="79" s="1"/>
  <c r="A19091" i="79" s="1"/>
  <c r="A19092" i="79" s="1"/>
  <c r="A19093" i="79" s="1"/>
  <c r="A19094" i="79" s="1"/>
  <c r="A19095" i="79" s="1"/>
  <c r="A19096" i="79" s="1"/>
  <c r="A19097" i="79" s="1"/>
  <c r="A19098" i="79" s="1"/>
  <c r="A19099" i="79" s="1"/>
  <c r="A19100" i="79" s="1"/>
  <c r="A19101" i="79" s="1"/>
  <c r="A19102" i="79" s="1"/>
  <c r="A19103" i="79" s="1"/>
  <c r="A19104" i="79" s="1"/>
  <c r="A19105" i="79" s="1"/>
  <c r="A19106" i="79" s="1"/>
  <c r="A19107" i="79" s="1"/>
  <c r="A19108" i="79" s="1"/>
  <c r="A19109" i="79" s="1"/>
  <c r="A19110" i="79" s="1"/>
  <c r="A19111" i="79" s="1"/>
  <c r="A19112" i="79" s="1"/>
  <c r="A19113" i="79" s="1"/>
  <c r="A19114" i="79" s="1"/>
  <c r="A19115" i="79" s="1"/>
  <c r="A19116" i="79" s="1"/>
  <c r="A19117" i="79" s="1"/>
  <c r="A19118" i="79" s="1"/>
  <c r="A19119" i="79" s="1"/>
  <c r="A19120" i="79" s="1"/>
  <c r="A19121" i="79" s="1"/>
  <c r="A19122" i="79" s="1"/>
  <c r="A19123" i="79" s="1"/>
  <c r="A19124" i="79" s="1"/>
  <c r="A19125" i="79" s="1"/>
  <c r="A19126" i="79" s="1"/>
  <c r="A19127" i="79" s="1"/>
  <c r="A19128" i="79" s="1"/>
  <c r="A19129" i="79" s="1"/>
  <c r="A19130" i="79" s="1"/>
  <c r="A19131" i="79" s="1"/>
  <c r="A19132" i="79" s="1"/>
  <c r="A19133" i="79" s="1"/>
  <c r="A19134" i="79" s="1"/>
  <c r="A19135" i="79" s="1"/>
  <c r="A19136" i="79" s="1"/>
  <c r="A19137" i="79" s="1"/>
  <c r="A19138" i="79" s="1"/>
  <c r="A19139" i="79" s="1"/>
  <c r="A19140" i="79" s="1"/>
  <c r="A19141" i="79" s="1"/>
  <c r="A19142" i="79" s="1"/>
  <c r="A19143" i="79" s="1"/>
  <c r="A19144" i="79" s="1"/>
  <c r="A19145" i="79" s="1"/>
  <c r="A19146" i="79" s="1"/>
  <c r="A19147" i="79" s="1"/>
  <c r="A19148" i="79" s="1"/>
  <c r="A19149" i="79" s="1"/>
  <c r="A19150" i="79" s="1"/>
  <c r="A19151" i="79" s="1"/>
  <c r="A19152" i="79" s="1"/>
  <c r="A19153" i="79" s="1"/>
  <c r="A19154" i="79" s="1"/>
  <c r="A19155" i="79" s="1"/>
  <c r="A19156" i="79" s="1"/>
  <c r="A19157" i="79" s="1"/>
  <c r="A19158" i="79" s="1"/>
  <c r="A19159" i="79" s="1"/>
  <c r="A19160" i="79" s="1"/>
  <c r="A19161" i="79" s="1"/>
  <c r="A19162" i="79" s="1"/>
  <c r="A19163" i="79" s="1"/>
  <c r="A19164" i="79" s="1"/>
  <c r="A19165" i="79" s="1"/>
  <c r="A19166" i="79" s="1"/>
  <c r="A19167" i="79" s="1"/>
  <c r="A19168" i="79" s="1"/>
  <c r="A19169" i="79" s="1"/>
  <c r="A19170" i="79" s="1"/>
  <c r="A19171" i="79" s="1"/>
  <c r="A19172" i="79" s="1"/>
  <c r="A19173" i="79" s="1"/>
  <c r="A19174" i="79" s="1"/>
  <c r="A19175" i="79" s="1"/>
  <c r="A19176" i="79" s="1"/>
  <c r="A19177" i="79" s="1"/>
  <c r="A19178" i="79" s="1"/>
  <c r="A19179" i="79" s="1"/>
  <c r="A19180" i="79" s="1"/>
  <c r="A19181" i="79" s="1"/>
  <c r="A19182" i="79" s="1"/>
  <c r="A19183" i="79" s="1"/>
  <c r="A19184" i="79" s="1"/>
  <c r="A19185" i="79" s="1"/>
  <c r="A19186" i="79" s="1"/>
  <c r="A19187" i="79" s="1"/>
  <c r="A19188" i="79" s="1"/>
  <c r="A19189" i="79" s="1"/>
  <c r="A19190" i="79" s="1"/>
  <c r="A19191" i="79" s="1"/>
  <c r="A19192" i="79" s="1"/>
  <c r="A19193" i="79" s="1"/>
  <c r="A19194" i="79" s="1"/>
  <c r="A19195" i="79" s="1"/>
  <c r="A19196" i="79" s="1"/>
  <c r="A19197" i="79" s="1"/>
  <c r="A19198" i="79" s="1"/>
  <c r="A19199" i="79" s="1"/>
  <c r="A19200" i="79" s="1"/>
  <c r="A19201" i="79" s="1"/>
  <c r="A19202" i="79" s="1"/>
  <c r="A19203" i="79" s="1"/>
  <c r="A19204" i="79" s="1"/>
  <c r="A19205" i="79" s="1"/>
  <c r="A19206" i="79" s="1"/>
  <c r="A19207" i="79" s="1"/>
  <c r="A19208" i="79" s="1"/>
  <c r="A19209" i="79" s="1"/>
  <c r="A19210" i="79" s="1"/>
  <c r="A19211" i="79" s="1"/>
  <c r="A19212" i="79" s="1"/>
  <c r="A19213" i="79" s="1"/>
  <c r="A19214" i="79" s="1"/>
  <c r="A19215" i="79" s="1"/>
  <c r="A19216" i="79" s="1"/>
  <c r="A19217" i="79" s="1"/>
  <c r="A19218" i="79" s="1"/>
  <c r="A19219" i="79" s="1"/>
  <c r="A19220" i="79" s="1"/>
  <c r="A19221" i="79" s="1"/>
  <c r="A19222" i="79" s="1"/>
  <c r="A19223" i="79" s="1"/>
  <c r="A19224" i="79" s="1"/>
  <c r="A19225" i="79" s="1"/>
  <c r="A19226" i="79" s="1"/>
  <c r="A19227" i="79" s="1"/>
  <c r="A19228" i="79" s="1"/>
  <c r="A19229" i="79" s="1"/>
  <c r="A19230" i="79" s="1"/>
  <c r="A19231" i="79" s="1"/>
  <c r="A19232" i="79" s="1"/>
  <c r="A19233" i="79" s="1"/>
  <c r="A19234" i="79" s="1"/>
  <c r="A19235" i="79" s="1"/>
  <c r="A19236" i="79" s="1"/>
  <c r="A19237" i="79" s="1"/>
  <c r="A19238" i="79" s="1"/>
  <c r="A19239" i="79" s="1"/>
  <c r="A19240" i="79" s="1"/>
  <c r="A19241" i="79" s="1"/>
  <c r="A19242" i="79" s="1"/>
  <c r="A19243" i="79" s="1"/>
  <c r="A19244" i="79" s="1"/>
  <c r="A19245" i="79" s="1"/>
  <c r="A19246" i="79" s="1"/>
  <c r="A19247" i="79" s="1"/>
  <c r="A19248" i="79" s="1"/>
  <c r="A19249" i="79" s="1"/>
  <c r="A19250" i="79" s="1"/>
  <c r="A19251" i="79" s="1"/>
  <c r="A19252" i="79" s="1"/>
  <c r="A19253" i="79" s="1"/>
  <c r="A19254" i="79" s="1"/>
  <c r="A19255" i="79" s="1"/>
  <c r="A19256" i="79" s="1"/>
  <c r="A19257" i="79" s="1"/>
  <c r="A19258" i="79" s="1"/>
  <c r="A19259" i="79" s="1"/>
  <c r="A19260" i="79" s="1"/>
  <c r="A19261" i="79" s="1"/>
  <c r="A19262" i="79" s="1"/>
  <c r="A19263" i="79" s="1"/>
  <c r="A19264" i="79" s="1"/>
  <c r="A19265" i="79" s="1"/>
  <c r="A19266" i="79" s="1"/>
  <c r="A19267" i="79" s="1"/>
  <c r="A19268" i="79" s="1"/>
  <c r="A19269" i="79" s="1"/>
  <c r="A19270" i="79" s="1"/>
  <c r="A19271" i="79" s="1"/>
  <c r="A19272" i="79" s="1"/>
  <c r="A19273" i="79" s="1"/>
  <c r="A19274" i="79" s="1"/>
  <c r="A19275" i="79" s="1"/>
  <c r="A19276" i="79" s="1"/>
  <c r="A19277" i="79" s="1"/>
  <c r="A19278" i="79" s="1"/>
  <c r="A19279" i="79" s="1"/>
  <c r="A19280" i="79" s="1"/>
  <c r="A19281" i="79" s="1"/>
  <c r="A19282" i="79" s="1"/>
  <c r="A19283" i="79" s="1"/>
  <c r="A19284" i="79" s="1"/>
  <c r="A19285" i="79" s="1"/>
  <c r="A19286" i="79" s="1"/>
  <c r="A19287" i="79" s="1"/>
  <c r="A19288" i="79" s="1"/>
  <c r="A19289" i="79" s="1"/>
  <c r="A19290" i="79" s="1"/>
  <c r="A19291" i="79" s="1"/>
  <c r="A19292" i="79" s="1"/>
  <c r="A19293" i="79" s="1"/>
  <c r="A19294" i="79" s="1"/>
  <c r="A19295" i="79" s="1"/>
  <c r="A19296" i="79" s="1"/>
  <c r="A19297" i="79" s="1"/>
  <c r="A19298" i="79" s="1"/>
  <c r="A19299" i="79" s="1"/>
  <c r="A19300" i="79" s="1"/>
  <c r="A19301" i="79" s="1"/>
  <c r="A19302" i="79" s="1"/>
  <c r="A19303" i="79" s="1"/>
  <c r="A19304" i="79" s="1"/>
  <c r="A19305" i="79" s="1"/>
  <c r="A19306" i="79" s="1"/>
  <c r="A19307" i="79" s="1"/>
  <c r="A19308" i="79" s="1"/>
  <c r="A19309" i="79" s="1"/>
  <c r="A19310" i="79" s="1"/>
  <c r="A19311" i="79" s="1"/>
  <c r="A19312" i="79" s="1"/>
  <c r="A19313" i="79" s="1"/>
  <c r="A19314" i="79" s="1"/>
  <c r="A19315" i="79" s="1"/>
  <c r="A19316" i="79" s="1"/>
  <c r="A19317" i="79" s="1"/>
  <c r="A19318" i="79" s="1"/>
  <c r="A19319" i="79" s="1"/>
  <c r="A19320" i="79" s="1"/>
  <c r="A19321" i="79" s="1"/>
  <c r="A19322" i="79" s="1"/>
  <c r="A19323" i="79" s="1"/>
  <c r="A19324" i="79" s="1"/>
  <c r="A19325" i="79" s="1"/>
  <c r="A19326" i="79" s="1"/>
  <c r="A19327" i="79" s="1"/>
  <c r="A19328" i="79" s="1"/>
  <c r="A19329" i="79" s="1"/>
  <c r="A19330" i="79" s="1"/>
  <c r="A19331" i="79" s="1"/>
  <c r="A19332" i="79" s="1"/>
  <c r="A19333" i="79" s="1"/>
  <c r="A19334" i="79" s="1"/>
  <c r="A19335" i="79" s="1"/>
  <c r="A19336" i="79" s="1"/>
  <c r="A19337" i="79" s="1"/>
  <c r="A19338" i="79" s="1"/>
  <c r="A19339" i="79" s="1"/>
  <c r="A19340" i="79" s="1"/>
  <c r="A19341" i="79" s="1"/>
  <c r="A19342" i="79" s="1"/>
  <c r="A19343" i="79" s="1"/>
  <c r="A19344" i="79" s="1"/>
  <c r="A19345" i="79" s="1"/>
  <c r="A19346" i="79" s="1"/>
  <c r="A19347" i="79" s="1"/>
  <c r="A19348" i="79" s="1"/>
  <c r="A19349" i="79" s="1"/>
  <c r="A19350" i="79" s="1"/>
  <c r="A19351" i="79" s="1"/>
  <c r="A19352" i="79" s="1"/>
  <c r="A19353" i="79" s="1"/>
  <c r="A19354" i="79" s="1"/>
  <c r="A19355" i="79" s="1"/>
  <c r="A19356" i="79" s="1"/>
  <c r="A19357" i="79" s="1"/>
  <c r="A19358" i="79" s="1"/>
  <c r="A19359" i="79" s="1"/>
  <c r="A19360" i="79" s="1"/>
  <c r="A19361" i="79" s="1"/>
  <c r="A19362" i="79" s="1"/>
  <c r="A19363" i="79" s="1"/>
  <c r="A19364" i="79" s="1"/>
  <c r="A19365" i="79" s="1"/>
  <c r="A19366" i="79" s="1"/>
  <c r="A19367" i="79" s="1"/>
  <c r="A19368" i="79" s="1"/>
  <c r="A19369" i="79" s="1"/>
  <c r="A19370" i="79" s="1"/>
  <c r="A19371" i="79" s="1"/>
  <c r="A19372" i="79" s="1"/>
  <c r="A19373" i="79" s="1"/>
  <c r="A19374" i="79" s="1"/>
  <c r="A19375" i="79" s="1"/>
  <c r="A19376" i="79" s="1"/>
  <c r="A19377" i="79" s="1"/>
  <c r="A19378" i="79" s="1"/>
  <c r="A19379" i="79" s="1"/>
  <c r="A19380" i="79" s="1"/>
  <c r="A19381" i="79" s="1"/>
  <c r="A19382" i="79" s="1"/>
  <c r="A19383" i="79" s="1"/>
  <c r="A19384" i="79" s="1"/>
  <c r="A19385" i="79" s="1"/>
  <c r="A19386" i="79" s="1"/>
  <c r="A19387" i="79" s="1"/>
  <c r="A19388" i="79" s="1"/>
  <c r="A19389" i="79" s="1"/>
  <c r="A19390" i="79" s="1"/>
  <c r="A19391" i="79" s="1"/>
  <c r="A19392" i="79" s="1"/>
  <c r="A19393" i="79" s="1"/>
  <c r="A19394" i="79" s="1"/>
  <c r="A19395" i="79" s="1"/>
  <c r="A19396" i="79" s="1"/>
  <c r="A19397" i="79" s="1"/>
  <c r="A19398" i="79" s="1"/>
  <c r="A19399" i="79" s="1"/>
  <c r="A19400" i="79" s="1"/>
  <c r="A19401" i="79" s="1"/>
  <c r="A19402" i="79" s="1"/>
  <c r="A19403" i="79" s="1"/>
  <c r="A19404" i="79" s="1"/>
  <c r="A19405" i="79" s="1"/>
  <c r="A19406" i="79" s="1"/>
  <c r="A19407" i="79" s="1"/>
  <c r="A19408" i="79" s="1"/>
  <c r="A19409" i="79" s="1"/>
  <c r="A19410" i="79" s="1"/>
  <c r="A19411" i="79" s="1"/>
  <c r="A19412" i="79" s="1"/>
  <c r="A19413" i="79" s="1"/>
  <c r="A19414" i="79" s="1"/>
  <c r="A19415" i="79" s="1"/>
  <c r="A19416" i="79" s="1"/>
  <c r="A19417" i="79" s="1"/>
  <c r="A19418" i="79" s="1"/>
  <c r="A19419" i="79" s="1"/>
  <c r="A19420" i="79" s="1"/>
  <c r="A19421" i="79" s="1"/>
  <c r="A19422" i="79" s="1"/>
  <c r="A19423" i="79" s="1"/>
  <c r="A19424" i="79" s="1"/>
  <c r="A19425" i="79" s="1"/>
  <c r="A19426" i="79" s="1"/>
  <c r="A19427" i="79" s="1"/>
  <c r="A19428" i="79" s="1"/>
  <c r="A19429" i="79" s="1"/>
  <c r="A19430" i="79" s="1"/>
  <c r="A19431" i="79" s="1"/>
  <c r="A19432" i="79" s="1"/>
  <c r="A19433" i="79" s="1"/>
  <c r="A19434" i="79" s="1"/>
  <c r="A19435" i="79" s="1"/>
  <c r="A19436" i="79" s="1"/>
  <c r="A19437" i="79" s="1"/>
  <c r="A19438" i="79" s="1"/>
  <c r="A19439" i="79" s="1"/>
  <c r="A19440" i="79" s="1"/>
  <c r="A19441" i="79" s="1"/>
  <c r="A19442" i="79" s="1"/>
  <c r="A19443" i="79" s="1"/>
  <c r="A19444" i="79" s="1"/>
  <c r="A19445" i="79" s="1"/>
  <c r="A19446" i="79" s="1"/>
  <c r="A19447" i="79" s="1"/>
  <c r="A19448" i="79" s="1"/>
  <c r="A19449" i="79" s="1"/>
  <c r="A19450" i="79" s="1"/>
  <c r="A19451" i="79" s="1"/>
  <c r="A19452" i="79" s="1"/>
  <c r="A19453" i="79" s="1"/>
  <c r="A19454" i="79" s="1"/>
  <c r="A19455" i="79" s="1"/>
  <c r="A19456" i="79" s="1"/>
  <c r="A19457" i="79" s="1"/>
  <c r="A19458" i="79" s="1"/>
  <c r="A19459" i="79" s="1"/>
  <c r="A19460" i="79" s="1"/>
  <c r="A19461" i="79" s="1"/>
  <c r="A19462" i="79" s="1"/>
  <c r="A19463" i="79" s="1"/>
  <c r="A19464" i="79" s="1"/>
  <c r="A19465" i="79" s="1"/>
  <c r="A19466" i="79" s="1"/>
  <c r="A19467" i="79" s="1"/>
  <c r="A19468" i="79" s="1"/>
  <c r="A19469" i="79" s="1"/>
  <c r="A19470" i="79" s="1"/>
  <c r="A19471" i="79" s="1"/>
  <c r="A19472" i="79" s="1"/>
  <c r="A19473" i="79" s="1"/>
  <c r="A19474" i="79" s="1"/>
  <c r="A19475" i="79" s="1"/>
  <c r="A19476" i="79" s="1"/>
  <c r="A19477" i="79" s="1"/>
  <c r="A19478" i="79" s="1"/>
  <c r="A19479" i="79" s="1"/>
  <c r="A19480" i="79" s="1"/>
  <c r="A19481" i="79" s="1"/>
  <c r="A19482" i="79" s="1"/>
  <c r="A19483" i="79" s="1"/>
  <c r="A19484" i="79" s="1"/>
  <c r="A19485" i="79" s="1"/>
  <c r="A19486" i="79" s="1"/>
  <c r="A19487" i="79" s="1"/>
  <c r="A19488" i="79" s="1"/>
  <c r="A19489" i="79" s="1"/>
  <c r="A19490" i="79" s="1"/>
  <c r="A19491" i="79" s="1"/>
  <c r="A19492" i="79" s="1"/>
  <c r="A19493" i="79" s="1"/>
  <c r="A19494" i="79" s="1"/>
  <c r="A19495" i="79" s="1"/>
  <c r="A19496" i="79" s="1"/>
  <c r="A19497" i="79" s="1"/>
  <c r="A19498" i="79" s="1"/>
  <c r="A19499" i="79" s="1"/>
  <c r="A19500" i="79" s="1"/>
  <c r="A19501" i="79" s="1"/>
  <c r="A19502" i="79" s="1"/>
  <c r="A19503" i="79" s="1"/>
  <c r="A19504" i="79" s="1"/>
  <c r="A19505" i="79" s="1"/>
  <c r="A19506" i="79" s="1"/>
  <c r="A19507" i="79" s="1"/>
  <c r="A19508" i="79" s="1"/>
  <c r="A19509" i="79" s="1"/>
  <c r="A19510" i="79" s="1"/>
  <c r="A19511" i="79" s="1"/>
  <c r="A19512" i="79" s="1"/>
  <c r="A19513" i="79" s="1"/>
  <c r="A19514" i="79" s="1"/>
  <c r="A19515" i="79" s="1"/>
  <c r="A19516" i="79" s="1"/>
  <c r="A19517" i="79" s="1"/>
  <c r="A19518" i="79" s="1"/>
  <c r="A19519" i="79" s="1"/>
  <c r="A19520" i="79" s="1"/>
  <c r="A19521" i="79" s="1"/>
  <c r="A19522" i="79" s="1"/>
  <c r="A19523" i="79" s="1"/>
  <c r="A19524" i="79" s="1"/>
  <c r="A19525" i="79" s="1"/>
  <c r="A19526" i="79" s="1"/>
  <c r="A19527" i="79" s="1"/>
  <c r="A19528" i="79" s="1"/>
  <c r="A19529" i="79" s="1"/>
  <c r="A19530" i="79" s="1"/>
  <c r="A19531" i="79" s="1"/>
  <c r="A19532" i="79" s="1"/>
  <c r="A19533" i="79" s="1"/>
  <c r="A19534" i="79" s="1"/>
  <c r="A19535" i="79" s="1"/>
  <c r="A19536" i="79" s="1"/>
  <c r="A19537" i="79" s="1"/>
  <c r="A19538" i="79" s="1"/>
  <c r="A19539" i="79" s="1"/>
  <c r="A19540" i="79" s="1"/>
  <c r="A19541" i="79" s="1"/>
  <c r="A19542" i="79" s="1"/>
  <c r="A19543" i="79" s="1"/>
  <c r="A19544" i="79" s="1"/>
  <c r="A19545" i="79" s="1"/>
  <c r="A19546" i="79" s="1"/>
  <c r="A19547" i="79" s="1"/>
  <c r="A19548" i="79" s="1"/>
  <c r="A19549" i="79" s="1"/>
  <c r="A19550" i="79" s="1"/>
  <c r="A19551" i="79" s="1"/>
  <c r="A19552" i="79" s="1"/>
  <c r="A19553" i="79" s="1"/>
  <c r="A19554" i="79" s="1"/>
  <c r="A19555" i="79" s="1"/>
  <c r="A19556" i="79" s="1"/>
  <c r="A19557" i="79" s="1"/>
  <c r="A19558" i="79" s="1"/>
  <c r="A19559" i="79" s="1"/>
  <c r="A19560" i="79" s="1"/>
  <c r="A19561" i="79" s="1"/>
  <c r="A19562" i="79" s="1"/>
  <c r="A19563" i="79" s="1"/>
  <c r="A19564" i="79" s="1"/>
  <c r="A19565" i="79" s="1"/>
  <c r="A19566" i="79" s="1"/>
  <c r="A19567" i="79" s="1"/>
  <c r="A19568" i="79" s="1"/>
  <c r="A19569" i="79" s="1"/>
  <c r="A19570" i="79" s="1"/>
  <c r="A19571" i="79" s="1"/>
  <c r="A19572" i="79" s="1"/>
  <c r="A19573" i="79" s="1"/>
  <c r="A19574" i="79" s="1"/>
  <c r="A19575" i="79" s="1"/>
  <c r="A19576" i="79" s="1"/>
  <c r="A19577" i="79" s="1"/>
  <c r="A19578" i="79" s="1"/>
  <c r="A19579" i="79" s="1"/>
  <c r="A19580" i="79" s="1"/>
  <c r="A19581" i="79" s="1"/>
  <c r="A19582" i="79" s="1"/>
  <c r="A19583" i="79" s="1"/>
  <c r="A19584" i="79" s="1"/>
  <c r="A19585" i="79" s="1"/>
  <c r="A19586" i="79" s="1"/>
  <c r="A19587" i="79" s="1"/>
  <c r="A19588" i="79" s="1"/>
  <c r="A19589" i="79" s="1"/>
  <c r="A19590" i="79" s="1"/>
  <c r="A19591" i="79" s="1"/>
  <c r="A19592" i="79" s="1"/>
  <c r="A19593" i="79" s="1"/>
  <c r="A19594" i="79" s="1"/>
  <c r="A19595" i="79" s="1"/>
  <c r="A19596" i="79" s="1"/>
  <c r="A19597" i="79" s="1"/>
  <c r="A19598" i="79" s="1"/>
  <c r="A19599" i="79" s="1"/>
  <c r="A19600" i="79" s="1"/>
  <c r="A19601" i="79" s="1"/>
  <c r="A19602" i="79" s="1"/>
  <c r="A19603" i="79" s="1"/>
  <c r="A19604" i="79" s="1"/>
  <c r="A19605" i="79" s="1"/>
  <c r="A19606" i="79" s="1"/>
  <c r="A19607" i="79" s="1"/>
  <c r="A19608" i="79" s="1"/>
  <c r="A19609" i="79" s="1"/>
  <c r="A19610" i="79" s="1"/>
  <c r="A19611" i="79" s="1"/>
  <c r="A19612" i="79" s="1"/>
  <c r="A19613" i="79" s="1"/>
  <c r="A19614" i="79" s="1"/>
  <c r="A19615" i="79" s="1"/>
  <c r="A19616" i="79" s="1"/>
  <c r="A19617" i="79" s="1"/>
  <c r="A19618" i="79" s="1"/>
  <c r="A19619" i="79" s="1"/>
  <c r="A19620" i="79" s="1"/>
  <c r="A19621" i="79" s="1"/>
  <c r="A19622" i="79" s="1"/>
  <c r="A19623" i="79" s="1"/>
  <c r="A19624" i="79" s="1"/>
  <c r="A19625" i="79" s="1"/>
  <c r="A19626" i="79" s="1"/>
  <c r="A19627" i="79" s="1"/>
  <c r="A19628" i="79" s="1"/>
  <c r="A19629" i="79" s="1"/>
  <c r="A19630" i="79" s="1"/>
  <c r="A19631" i="79" s="1"/>
  <c r="A19632" i="79" s="1"/>
  <c r="A19633" i="79" s="1"/>
  <c r="A19634" i="79" s="1"/>
  <c r="A19635" i="79" s="1"/>
  <c r="A19636" i="79" s="1"/>
  <c r="A19637" i="79" s="1"/>
  <c r="A19638" i="79" s="1"/>
  <c r="A19639" i="79" s="1"/>
  <c r="A19640" i="79" s="1"/>
  <c r="A19641" i="79" s="1"/>
  <c r="A19642" i="79" s="1"/>
  <c r="A19643" i="79" s="1"/>
  <c r="A19644" i="79" s="1"/>
  <c r="A19645" i="79" s="1"/>
  <c r="A19646" i="79" s="1"/>
  <c r="A19647" i="79" s="1"/>
  <c r="A19648" i="79" s="1"/>
  <c r="A19649" i="79" s="1"/>
  <c r="A19650" i="79" s="1"/>
  <c r="A19651" i="79" s="1"/>
  <c r="A19652" i="79" s="1"/>
  <c r="A19653" i="79" s="1"/>
  <c r="A19654" i="79" s="1"/>
  <c r="A19655" i="79" s="1"/>
  <c r="A19656" i="79" s="1"/>
  <c r="A19657" i="79" s="1"/>
  <c r="A19658" i="79" s="1"/>
  <c r="A19659" i="79" s="1"/>
  <c r="A19660" i="79" s="1"/>
  <c r="A19661" i="79" s="1"/>
  <c r="A19662" i="79" s="1"/>
  <c r="A19663" i="79" s="1"/>
  <c r="A19664" i="79" s="1"/>
  <c r="A19665" i="79" s="1"/>
  <c r="A19666" i="79" s="1"/>
  <c r="A19667" i="79" s="1"/>
  <c r="A19668" i="79" s="1"/>
  <c r="A19669" i="79" s="1"/>
  <c r="A19670" i="79" s="1"/>
  <c r="A19671" i="79" s="1"/>
  <c r="A19672" i="79" s="1"/>
  <c r="A19673" i="79" s="1"/>
  <c r="A19674" i="79" s="1"/>
  <c r="A19675" i="79" s="1"/>
  <c r="A19676" i="79" s="1"/>
  <c r="A19677" i="79" s="1"/>
  <c r="A19678" i="79" s="1"/>
  <c r="A19679" i="79" s="1"/>
  <c r="A19680" i="79" s="1"/>
  <c r="A19681" i="79" s="1"/>
  <c r="A19682" i="79" s="1"/>
  <c r="A19683" i="79" s="1"/>
  <c r="A19684" i="79" s="1"/>
  <c r="A19685" i="79" s="1"/>
  <c r="A19686" i="79" s="1"/>
  <c r="A19687" i="79" s="1"/>
  <c r="A19688" i="79" s="1"/>
  <c r="A19689" i="79" s="1"/>
  <c r="A19690" i="79" s="1"/>
  <c r="A19691" i="79" s="1"/>
  <c r="A19692" i="79" s="1"/>
  <c r="A19693" i="79" s="1"/>
  <c r="A19694" i="79" s="1"/>
  <c r="A19695" i="79" s="1"/>
  <c r="A19696" i="79" s="1"/>
  <c r="A19697" i="79" s="1"/>
  <c r="A19698" i="79" s="1"/>
  <c r="A19699" i="79" s="1"/>
  <c r="A19700" i="79" s="1"/>
  <c r="A19701" i="79" s="1"/>
  <c r="A19702" i="79" s="1"/>
  <c r="A19703" i="79" s="1"/>
  <c r="A19704" i="79" s="1"/>
  <c r="A19705" i="79" s="1"/>
  <c r="A19706" i="79" s="1"/>
  <c r="A19707" i="79" s="1"/>
  <c r="A19708" i="79" s="1"/>
  <c r="A19709" i="79" s="1"/>
  <c r="A19710" i="79" s="1"/>
  <c r="A19711" i="79" s="1"/>
  <c r="A19712" i="79" s="1"/>
  <c r="A19713" i="79" s="1"/>
  <c r="A19714" i="79" s="1"/>
  <c r="A19715" i="79" s="1"/>
  <c r="A19716" i="79" s="1"/>
  <c r="A19717" i="79" s="1"/>
  <c r="A19718" i="79" s="1"/>
  <c r="A19719" i="79" s="1"/>
  <c r="A19720" i="79" s="1"/>
  <c r="A19721" i="79" s="1"/>
  <c r="A19722" i="79" s="1"/>
  <c r="A19723" i="79" s="1"/>
  <c r="A19724" i="79" s="1"/>
  <c r="A19725" i="79" s="1"/>
  <c r="A19726" i="79" s="1"/>
  <c r="A19727" i="79" s="1"/>
  <c r="A19728" i="79" s="1"/>
  <c r="A19729" i="79" s="1"/>
  <c r="A19730" i="79" s="1"/>
  <c r="A19731" i="79" s="1"/>
  <c r="A19732" i="79" s="1"/>
  <c r="A19733" i="79" s="1"/>
  <c r="A19734" i="79" s="1"/>
  <c r="A19735" i="79" s="1"/>
  <c r="A19736" i="79" s="1"/>
  <c r="A19737" i="79" s="1"/>
  <c r="A19738" i="79" s="1"/>
  <c r="A19739" i="79" s="1"/>
  <c r="A19740" i="79" s="1"/>
  <c r="A19741" i="79" s="1"/>
  <c r="A19742" i="79" s="1"/>
  <c r="A19743" i="79" s="1"/>
  <c r="A19744" i="79" s="1"/>
  <c r="A19745" i="79" s="1"/>
  <c r="A19746" i="79" s="1"/>
  <c r="A19747" i="79" s="1"/>
  <c r="A19748" i="79" s="1"/>
  <c r="A19749" i="79" s="1"/>
  <c r="A19750" i="79" s="1"/>
  <c r="A19751" i="79" s="1"/>
  <c r="A19752" i="79" s="1"/>
  <c r="A19753" i="79" s="1"/>
  <c r="A19754" i="79" s="1"/>
  <c r="A19755" i="79" s="1"/>
  <c r="A19756" i="79" s="1"/>
  <c r="A19757" i="79" s="1"/>
  <c r="A19758" i="79" s="1"/>
  <c r="A19759" i="79" s="1"/>
  <c r="A19760" i="79" s="1"/>
  <c r="A19761" i="79" s="1"/>
  <c r="A19762" i="79" s="1"/>
  <c r="A19763" i="79" s="1"/>
  <c r="A19764" i="79" s="1"/>
  <c r="A19765" i="79" s="1"/>
  <c r="A19766" i="79" s="1"/>
  <c r="A19767" i="79" s="1"/>
  <c r="A19768" i="79" s="1"/>
  <c r="A19769" i="79" s="1"/>
  <c r="A19770" i="79" s="1"/>
  <c r="A19771" i="79" s="1"/>
  <c r="A19772" i="79" s="1"/>
  <c r="A19773" i="79" s="1"/>
  <c r="A19774" i="79" s="1"/>
  <c r="A19775" i="79" s="1"/>
  <c r="A19776" i="79" s="1"/>
  <c r="A19777" i="79" s="1"/>
  <c r="A19778" i="79" s="1"/>
  <c r="A19779" i="79" s="1"/>
  <c r="A19780" i="79" s="1"/>
  <c r="A19781" i="79" s="1"/>
  <c r="A19782" i="79" s="1"/>
  <c r="A19783" i="79" s="1"/>
  <c r="A19784" i="79" s="1"/>
  <c r="A19785" i="79" s="1"/>
  <c r="A19786" i="79" s="1"/>
  <c r="A19787" i="79" s="1"/>
  <c r="A19788" i="79" s="1"/>
  <c r="A19789" i="79" s="1"/>
  <c r="A19790" i="79" s="1"/>
  <c r="A19791" i="79" s="1"/>
  <c r="A19792" i="79" s="1"/>
  <c r="A19793" i="79" s="1"/>
  <c r="A19794" i="79" s="1"/>
  <c r="A19795" i="79" s="1"/>
  <c r="A19796" i="79" s="1"/>
  <c r="A19797" i="79" s="1"/>
  <c r="A19798" i="79" s="1"/>
  <c r="A19799" i="79" s="1"/>
  <c r="A19800" i="79" s="1"/>
  <c r="A19801" i="79" s="1"/>
  <c r="A19802" i="79" s="1"/>
  <c r="A19803" i="79" s="1"/>
  <c r="A19804" i="79" s="1"/>
  <c r="A19805" i="79" s="1"/>
  <c r="A19806" i="79" s="1"/>
  <c r="A19807" i="79" s="1"/>
  <c r="A19808" i="79" s="1"/>
  <c r="A19809" i="79" s="1"/>
  <c r="A19810" i="79" s="1"/>
  <c r="A19811" i="79" s="1"/>
  <c r="A19812" i="79" s="1"/>
  <c r="A19813" i="79" s="1"/>
  <c r="A19814" i="79" s="1"/>
  <c r="A19815" i="79" s="1"/>
  <c r="A19816" i="79" s="1"/>
  <c r="A19817" i="79" s="1"/>
  <c r="A19818" i="79" s="1"/>
  <c r="A19819" i="79" s="1"/>
  <c r="A19820" i="79" s="1"/>
  <c r="A19821" i="79" s="1"/>
  <c r="A19822" i="79" s="1"/>
  <c r="A19823" i="79" s="1"/>
  <c r="A19824" i="79" s="1"/>
  <c r="A19825" i="79" s="1"/>
  <c r="A19826" i="79" s="1"/>
  <c r="A19827" i="79" s="1"/>
  <c r="A19828" i="79" s="1"/>
  <c r="A19829" i="79" s="1"/>
  <c r="A19830" i="79" s="1"/>
  <c r="A19831" i="79" s="1"/>
  <c r="A19832" i="79" s="1"/>
  <c r="A19833" i="79" s="1"/>
  <c r="A19834" i="79" s="1"/>
  <c r="A19835" i="79" s="1"/>
  <c r="A19836" i="79" s="1"/>
  <c r="A19837" i="79" s="1"/>
  <c r="A19838" i="79" s="1"/>
  <c r="A19839" i="79" s="1"/>
  <c r="A19840" i="79" s="1"/>
  <c r="A19841" i="79" s="1"/>
  <c r="A19842" i="79" s="1"/>
  <c r="A19843" i="79" s="1"/>
  <c r="A19844" i="79" s="1"/>
  <c r="A19845" i="79" s="1"/>
  <c r="A19846" i="79" s="1"/>
  <c r="A19847" i="79" s="1"/>
  <c r="A19848" i="79" s="1"/>
  <c r="A19849" i="79" s="1"/>
  <c r="A19850" i="79" s="1"/>
  <c r="A19851" i="79" s="1"/>
  <c r="A19852" i="79" s="1"/>
  <c r="A19853" i="79" s="1"/>
  <c r="A19854" i="79" s="1"/>
  <c r="A19855" i="79" s="1"/>
  <c r="A19856" i="79" s="1"/>
  <c r="A19857" i="79" s="1"/>
  <c r="A19858" i="79" s="1"/>
  <c r="A19859" i="79" s="1"/>
  <c r="A19860" i="79" s="1"/>
  <c r="A19861" i="79" s="1"/>
  <c r="A19862" i="79" s="1"/>
  <c r="A19863" i="79" s="1"/>
  <c r="A19864" i="79" s="1"/>
  <c r="A19865" i="79" s="1"/>
  <c r="A19866" i="79" s="1"/>
  <c r="A19867" i="79" s="1"/>
  <c r="A19868" i="79" s="1"/>
  <c r="A19869" i="79" s="1"/>
  <c r="A19870" i="79" s="1"/>
  <c r="A19871" i="79" s="1"/>
  <c r="A19872" i="79" s="1"/>
  <c r="A19873" i="79" s="1"/>
  <c r="A19874" i="79" s="1"/>
  <c r="A19875" i="79" s="1"/>
  <c r="A19876" i="79" s="1"/>
  <c r="A19877" i="79" s="1"/>
  <c r="A19878" i="79" s="1"/>
  <c r="A19879" i="79" s="1"/>
  <c r="A19880" i="79" s="1"/>
  <c r="A19881" i="79" s="1"/>
  <c r="A19882" i="79" s="1"/>
  <c r="A19883" i="79" s="1"/>
  <c r="A19884" i="79" s="1"/>
  <c r="A19885" i="79" s="1"/>
  <c r="A19886" i="79" s="1"/>
  <c r="A19887" i="79" s="1"/>
  <c r="A19888" i="79" s="1"/>
  <c r="A19889" i="79" s="1"/>
  <c r="A19890" i="79" s="1"/>
  <c r="A19891" i="79" s="1"/>
  <c r="A19892" i="79" s="1"/>
  <c r="A19893" i="79" s="1"/>
  <c r="A19894" i="79" s="1"/>
  <c r="A19895" i="79" s="1"/>
  <c r="A19896" i="79" s="1"/>
  <c r="A19897" i="79" s="1"/>
  <c r="A19898" i="79" s="1"/>
  <c r="A19899" i="79" s="1"/>
  <c r="A19900" i="79" s="1"/>
  <c r="A19901" i="79" s="1"/>
  <c r="A19902" i="79" s="1"/>
  <c r="A19903" i="79" s="1"/>
  <c r="A19904" i="79" s="1"/>
  <c r="A19905" i="79" s="1"/>
  <c r="A19906" i="79" s="1"/>
  <c r="A19907" i="79" s="1"/>
  <c r="A19908" i="79" s="1"/>
  <c r="A19909" i="79" s="1"/>
  <c r="A19910" i="79" s="1"/>
  <c r="A19911" i="79" s="1"/>
  <c r="A19912" i="79" s="1"/>
  <c r="A19913" i="79" s="1"/>
  <c r="A19914" i="79" s="1"/>
  <c r="A19915" i="79" s="1"/>
  <c r="A19916" i="79" s="1"/>
  <c r="A19917" i="79" s="1"/>
  <c r="A19918" i="79" s="1"/>
  <c r="A19919" i="79" s="1"/>
  <c r="A19920" i="79" s="1"/>
  <c r="A19921" i="79" s="1"/>
  <c r="A19922" i="79" s="1"/>
  <c r="A19923" i="79" s="1"/>
  <c r="A19924" i="79" s="1"/>
  <c r="A19925" i="79" s="1"/>
  <c r="A19926" i="79" s="1"/>
  <c r="A19927" i="79" s="1"/>
  <c r="A19928" i="79" s="1"/>
  <c r="A19929" i="79" s="1"/>
  <c r="A19930" i="79" s="1"/>
  <c r="A19931" i="79" s="1"/>
  <c r="A19932" i="79" s="1"/>
  <c r="A19933" i="79" s="1"/>
  <c r="A19934" i="79" s="1"/>
  <c r="A19935" i="79" s="1"/>
  <c r="A19936" i="79" s="1"/>
  <c r="A19937" i="79" s="1"/>
  <c r="A19938" i="79" s="1"/>
  <c r="A19939" i="79" s="1"/>
  <c r="A19940" i="79" s="1"/>
  <c r="A19941" i="79" s="1"/>
  <c r="A19942" i="79" s="1"/>
  <c r="A19943" i="79" s="1"/>
  <c r="A19944" i="79" s="1"/>
  <c r="A19945" i="79" s="1"/>
  <c r="A19946" i="79" s="1"/>
  <c r="A19947" i="79" s="1"/>
  <c r="A19948" i="79" s="1"/>
  <c r="A19949" i="79" s="1"/>
  <c r="A19950" i="79" s="1"/>
  <c r="A19951" i="79" s="1"/>
  <c r="A19952" i="79" s="1"/>
  <c r="A19953" i="79" s="1"/>
  <c r="A19954" i="79" s="1"/>
  <c r="A19955" i="79" s="1"/>
  <c r="A19956" i="79" s="1"/>
  <c r="A19957" i="79" s="1"/>
  <c r="A19958" i="79" s="1"/>
  <c r="A19959" i="79" s="1"/>
  <c r="A19960" i="79" s="1"/>
  <c r="A19961" i="79" s="1"/>
  <c r="A19962" i="79" s="1"/>
  <c r="A19963" i="79" s="1"/>
  <c r="A19964" i="79" s="1"/>
  <c r="A19965" i="79" s="1"/>
  <c r="A19966" i="79" s="1"/>
  <c r="A19967" i="79" s="1"/>
  <c r="A19968" i="79" s="1"/>
  <c r="A19969" i="79" s="1"/>
  <c r="A19970" i="79" s="1"/>
  <c r="A19971" i="79" s="1"/>
  <c r="A19972" i="79" s="1"/>
  <c r="A19973" i="79" s="1"/>
  <c r="A19974" i="79" s="1"/>
  <c r="A19975" i="79" s="1"/>
  <c r="A19976" i="79" s="1"/>
  <c r="A19977" i="79" s="1"/>
  <c r="A19978" i="79" s="1"/>
  <c r="A19979" i="79" s="1"/>
  <c r="A19980" i="79" s="1"/>
  <c r="A19981" i="79" s="1"/>
  <c r="A19982" i="79" s="1"/>
  <c r="A19983" i="79" s="1"/>
  <c r="A19984" i="79" s="1"/>
  <c r="A19985" i="79" s="1"/>
  <c r="A19986" i="79" s="1"/>
  <c r="A19987" i="79" s="1"/>
  <c r="A19988" i="79" s="1"/>
  <c r="A19989" i="79" s="1"/>
  <c r="A19990" i="79" s="1"/>
  <c r="A19991" i="79" s="1"/>
  <c r="A19992" i="79" s="1"/>
  <c r="A19993" i="79" s="1"/>
  <c r="A19994" i="79" s="1"/>
  <c r="A19995" i="79" s="1"/>
  <c r="A19996" i="79" s="1"/>
  <c r="A19997" i="79" s="1"/>
  <c r="A19998" i="79" s="1"/>
  <c r="A19999" i="79" s="1"/>
  <c r="A20000" i="79" s="1"/>
  <c r="A20001" i="79" s="1"/>
  <c r="A20002" i="79" s="1"/>
  <c r="A20003" i="79" s="1"/>
  <c r="A20004" i="79" s="1"/>
  <c r="A20005" i="79" s="1"/>
  <c r="A20006" i="79" s="1"/>
  <c r="A20007" i="79" s="1"/>
  <c r="A20008" i="79" s="1"/>
  <c r="A20009" i="79" s="1"/>
  <c r="A20010" i="79" s="1"/>
  <c r="A20011" i="79" s="1"/>
  <c r="A20012" i="79" s="1"/>
  <c r="A20013" i="79" s="1"/>
  <c r="A20014" i="79" s="1"/>
  <c r="A20015" i="79" s="1"/>
  <c r="A20016" i="79" s="1"/>
  <c r="A20017" i="79" s="1"/>
  <c r="A20018" i="79" s="1"/>
  <c r="A20019" i="79" s="1"/>
  <c r="A20020" i="79" s="1"/>
  <c r="A20021" i="79" s="1"/>
  <c r="A20022" i="79" s="1"/>
  <c r="A20023" i="79" s="1"/>
  <c r="A20024" i="79" s="1"/>
  <c r="A20025" i="79" s="1"/>
  <c r="A20026" i="79" s="1"/>
  <c r="A20027" i="79" s="1"/>
  <c r="A20028" i="79" s="1"/>
  <c r="A20029" i="79" s="1"/>
  <c r="A20030" i="79" s="1"/>
  <c r="A20031" i="79" s="1"/>
  <c r="A20032" i="79" s="1"/>
  <c r="A20033" i="79" s="1"/>
  <c r="A20034" i="79" s="1"/>
  <c r="A20035" i="79" s="1"/>
  <c r="A20036" i="79" s="1"/>
  <c r="A20037" i="79" s="1"/>
  <c r="A20038" i="79" s="1"/>
  <c r="A20039" i="79" s="1"/>
  <c r="A20040" i="79" s="1"/>
  <c r="A20041" i="79" s="1"/>
  <c r="A20042" i="79" s="1"/>
  <c r="A20043" i="79" s="1"/>
  <c r="A20044" i="79" s="1"/>
  <c r="A20045" i="79" s="1"/>
  <c r="A20046" i="79" s="1"/>
  <c r="A20047" i="79" s="1"/>
  <c r="A20048" i="79" s="1"/>
  <c r="A20049" i="79" s="1"/>
  <c r="A20050" i="79" s="1"/>
  <c r="A20051" i="79" s="1"/>
  <c r="A20052" i="79" s="1"/>
  <c r="A20053" i="79" s="1"/>
  <c r="A20054" i="79" s="1"/>
  <c r="A20055" i="79" s="1"/>
  <c r="A20056" i="79" s="1"/>
  <c r="A20057" i="79" s="1"/>
  <c r="A20058" i="79" s="1"/>
  <c r="A20059" i="79" s="1"/>
  <c r="A20060" i="79" s="1"/>
  <c r="A20061" i="79" s="1"/>
  <c r="A20062" i="79" s="1"/>
  <c r="A20063" i="79" s="1"/>
  <c r="A20064" i="79" s="1"/>
  <c r="A20065" i="79" s="1"/>
  <c r="A20066" i="79" s="1"/>
  <c r="A20067" i="79" s="1"/>
  <c r="A20068" i="79" s="1"/>
  <c r="A20069" i="79" s="1"/>
  <c r="A20070" i="79" s="1"/>
  <c r="A20071" i="79" s="1"/>
  <c r="A20072" i="79" s="1"/>
  <c r="A20073" i="79" s="1"/>
  <c r="A20074" i="79" s="1"/>
  <c r="A20075" i="79" s="1"/>
  <c r="A20076" i="79" s="1"/>
  <c r="A20077" i="79" s="1"/>
  <c r="A20078" i="79" s="1"/>
  <c r="A20079" i="79" s="1"/>
  <c r="A20080" i="79" s="1"/>
  <c r="A20081" i="79" s="1"/>
  <c r="A20082" i="79" s="1"/>
  <c r="A20083" i="79" s="1"/>
  <c r="A20084" i="79" s="1"/>
  <c r="A20085" i="79" s="1"/>
  <c r="A20086" i="79" s="1"/>
  <c r="A20087" i="79" s="1"/>
  <c r="A20088" i="79" s="1"/>
  <c r="A20089" i="79" s="1"/>
  <c r="A20090" i="79" s="1"/>
  <c r="A20091" i="79" s="1"/>
  <c r="A20092" i="79" s="1"/>
  <c r="A20093" i="79" s="1"/>
  <c r="A20094" i="79" s="1"/>
  <c r="A20095" i="79" s="1"/>
  <c r="A20096" i="79" s="1"/>
  <c r="A20097" i="79" s="1"/>
  <c r="A20098" i="79" s="1"/>
  <c r="A20099" i="79" s="1"/>
  <c r="A20100" i="79" s="1"/>
  <c r="A20101" i="79" s="1"/>
  <c r="A20102" i="79" s="1"/>
  <c r="A20103" i="79" s="1"/>
  <c r="A20104" i="79" s="1"/>
  <c r="A20105" i="79" s="1"/>
  <c r="A20106" i="79" s="1"/>
  <c r="A20107" i="79" s="1"/>
  <c r="A20108" i="79" s="1"/>
  <c r="A20109" i="79" s="1"/>
  <c r="A20110" i="79" s="1"/>
  <c r="A20111" i="79" s="1"/>
  <c r="A20112" i="79" s="1"/>
  <c r="A20113" i="79" s="1"/>
  <c r="A20114" i="79" s="1"/>
  <c r="A20115" i="79" s="1"/>
  <c r="A20116" i="79" s="1"/>
  <c r="A20117" i="79" s="1"/>
  <c r="A20118" i="79" s="1"/>
  <c r="A20119" i="79" s="1"/>
  <c r="A20120" i="79" s="1"/>
  <c r="A20121" i="79" s="1"/>
  <c r="A20122" i="79" s="1"/>
  <c r="A20123" i="79" s="1"/>
  <c r="A20124" i="79" s="1"/>
  <c r="A20125" i="79" s="1"/>
  <c r="A20126" i="79" s="1"/>
  <c r="A20127" i="79" s="1"/>
  <c r="A20128" i="79" s="1"/>
  <c r="A20129" i="79" s="1"/>
  <c r="A20130" i="79" s="1"/>
  <c r="A20131" i="79" s="1"/>
  <c r="A20132" i="79" s="1"/>
  <c r="A20133" i="79" s="1"/>
  <c r="A20134" i="79" s="1"/>
  <c r="A20135" i="79" s="1"/>
  <c r="A20136" i="79" s="1"/>
  <c r="A20137" i="79" s="1"/>
  <c r="A20138" i="79" s="1"/>
  <c r="A20139" i="79" s="1"/>
  <c r="A20140" i="79" s="1"/>
  <c r="A20141" i="79" s="1"/>
  <c r="A20142" i="79" s="1"/>
  <c r="A20143" i="79" s="1"/>
  <c r="A20144" i="79" s="1"/>
  <c r="A20145" i="79" s="1"/>
  <c r="A20146" i="79" s="1"/>
  <c r="A20147" i="79" s="1"/>
  <c r="A20148" i="79" s="1"/>
  <c r="A20149" i="79" s="1"/>
  <c r="A20150" i="79" s="1"/>
  <c r="A20151" i="79" s="1"/>
  <c r="A20152" i="79" s="1"/>
  <c r="A20153" i="79" s="1"/>
  <c r="A20154" i="79" s="1"/>
  <c r="A20155" i="79" s="1"/>
  <c r="A20156" i="79" s="1"/>
  <c r="A20157" i="79" s="1"/>
  <c r="A20158" i="79" s="1"/>
  <c r="A20159" i="79" s="1"/>
  <c r="A20160" i="79" s="1"/>
  <c r="A20161" i="79" s="1"/>
  <c r="A20162" i="79" s="1"/>
  <c r="A20163" i="79" s="1"/>
  <c r="A20164" i="79" s="1"/>
  <c r="A20165" i="79" s="1"/>
  <c r="A20166" i="79" s="1"/>
  <c r="A20167" i="79" s="1"/>
  <c r="A20168" i="79" s="1"/>
  <c r="A20169" i="79" s="1"/>
  <c r="A20170" i="79" s="1"/>
  <c r="A20171" i="79" s="1"/>
  <c r="A20172" i="79" s="1"/>
  <c r="A20173" i="79" s="1"/>
  <c r="A20174" i="79" s="1"/>
  <c r="A20175" i="79" s="1"/>
  <c r="A20176" i="79" s="1"/>
  <c r="A20177" i="79" s="1"/>
  <c r="A20178" i="79" s="1"/>
  <c r="A20179" i="79" s="1"/>
  <c r="A20180" i="79" s="1"/>
  <c r="A20181" i="79" s="1"/>
  <c r="A20182" i="79" s="1"/>
  <c r="A20183" i="79" s="1"/>
  <c r="A20184" i="79" s="1"/>
  <c r="A20185" i="79" s="1"/>
  <c r="A20186" i="79" s="1"/>
  <c r="A20187" i="79" s="1"/>
  <c r="A20188" i="79" s="1"/>
  <c r="A20189" i="79" s="1"/>
  <c r="A20190" i="79" s="1"/>
  <c r="A20191" i="79" s="1"/>
  <c r="A20192" i="79" s="1"/>
  <c r="A20193" i="79" s="1"/>
  <c r="A20194" i="79" s="1"/>
  <c r="A20195" i="79" s="1"/>
  <c r="A20196" i="79" s="1"/>
  <c r="A20197" i="79" s="1"/>
  <c r="A20198" i="79" s="1"/>
  <c r="A20199" i="79" s="1"/>
  <c r="A20200" i="79" s="1"/>
  <c r="A20201" i="79" s="1"/>
  <c r="A20202" i="79" s="1"/>
  <c r="A20203" i="79" s="1"/>
  <c r="A20204" i="79" s="1"/>
  <c r="A20205" i="79" s="1"/>
  <c r="A20206" i="79" s="1"/>
  <c r="A20207" i="79" s="1"/>
  <c r="A20208" i="79" s="1"/>
  <c r="A20209" i="79" s="1"/>
  <c r="A20210" i="79" s="1"/>
  <c r="A20211" i="79" s="1"/>
  <c r="A20212" i="79" s="1"/>
  <c r="A20213" i="79" s="1"/>
  <c r="A20214" i="79" s="1"/>
  <c r="A20215" i="79" s="1"/>
  <c r="A20216" i="79" s="1"/>
  <c r="A20217" i="79" s="1"/>
  <c r="A20218" i="79" s="1"/>
  <c r="A20219" i="79" s="1"/>
  <c r="A20220" i="79" s="1"/>
  <c r="A20221" i="79" s="1"/>
  <c r="A20222" i="79" s="1"/>
  <c r="A20223" i="79" s="1"/>
  <c r="A20224" i="79" s="1"/>
  <c r="A20225" i="79" s="1"/>
  <c r="A20226" i="79" s="1"/>
  <c r="A20227" i="79" s="1"/>
  <c r="A20228" i="79" s="1"/>
  <c r="A20229" i="79" s="1"/>
  <c r="A20230" i="79" s="1"/>
  <c r="A20231" i="79" s="1"/>
  <c r="A20232" i="79" s="1"/>
  <c r="A20233" i="79" s="1"/>
  <c r="A20234" i="79" s="1"/>
  <c r="A20235" i="79" s="1"/>
  <c r="A20236" i="79" s="1"/>
  <c r="A20237" i="79" s="1"/>
  <c r="A20238" i="79" s="1"/>
  <c r="A20239" i="79" s="1"/>
  <c r="A20240" i="79" s="1"/>
  <c r="A20241" i="79" s="1"/>
  <c r="A20242" i="79" s="1"/>
  <c r="A20243" i="79" s="1"/>
  <c r="A20244" i="79" s="1"/>
  <c r="A20245" i="79" s="1"/>
  <c r="A20246" i="79" s="1"/>
  <c r="A20247" i="79" s="1"/>
  <c r="A20248" i="79" s="1"/>
  <c r="A20249" i="79" s="1"/>
  <c r="A20250" i="79" s="1"/>
  <c r="A20251" i="79" s="1"/>
  <c r="A20252" i="79" s="1"/>
  <c r="A20253" i="79" s="1"/>
  <c r="A20254" i="79" s="1"/>
  <c r="A20255" i="79" s="1"/>
  <c r="A20256" i="79" s="1"/>
  <c r="A20257" i="79" s="1"/>
  <c r="A20258" i="79" s="1"/>
  <c r="A20259" i="79" s="1"/>
  <c r="A20260" i="79" s="1"/>
  <c r="A20261" i="79" s="1"/>
  <c r="A20262" i="79" s="1"/>
  <c r="A20263" i="79" s="1"/>
  <c r="A20264" i="79" s="1"/>
  <c r="A20265" i="79" s="1"/>
  <c r="A20266" i="79" s="1"/>
  <c r="A20267" i="79" s="1"/>
  <c r="A20268" i="79" s="1"/>
  <c r="A20269" i="79" s="1"/>
  <c r="A20270" i="79" s="1"/>
  <c r="A20271" i="79" s="1"/>
  <c r="A20272" i="79" s="1"/>
  <c r="A20273" i="79" s="1"/>
  <c r="A20274" i="79" s="1"/>
  <c r="A20275" i="79" s="1"/>
  <c r="A20276" i="79" s="1"/>
  <c r="A20277" i="79" s="1"/>
  <c r="A20278" i="79" s="1"/>
  <c r="A20279" i="79" s="1"/>
  <c r="A20280" i="79" s="1"/>
  <c r="A20281" i="79" s="1"/>
  <c r="A20282" i="79" s="1"/>
  <c r="A20283" i="79" s="1"/>
  <c r="A20284" i="79" s="1"/>
  <c r="A20285" i="79" s="1"/>
  <c r="A20286" i="79" s="1"/>
  <c r="A20287" i="79" s="1"/>
  <c r="A20288" i="79" s="1"/>
  <c r="A20289" i="79" s="1"/>
  <c r="A20290" i="79" s="1"/>
  <c r="A20291" i="79" s="1"/>
  <c r="A20292" i="79" s="1"/>
  <c r="A20293" i="79" s="1"/>
  <c r="A20294" i="79" s="1"/>
  <c r="A20295" i="79" s="1"/>
  <c r="A20296" i="79" s="1"/>
  <c r="A20297" i="79" s="1"/>
  <c r="A20298" i="79" s="1"/>
  <c r="A20299" i="79" s="1"/>
  <c r="A20300" i="79" s="1"/>
  <c r="A20301" i="79" s="1"/>
  <c r="A20302" i="79" s="1"/>
  <c r="A20303" i="79" s="1"/>
  <c r="A20304" i="79" s="1"/>
  <c r="A20305" i="79" s="1"/>
  <c r="A20306" i="79" s="1"/>
  <c r="A20307" i="79" s="1"/>
  <c r="A20308" i="79" s="1"/>
  <c r="A20309" i="79" s="1"/>
  <c r="A20310" i="79" s="1"/>
  <c r="A20311" i="79" s="1"/>
  <c r="A20312" i="79" s="1"/>
  <c r="A20313" i="79" s="1"/>
  <c r="A20314" i="79" s="1"/>
  <c r="A20315" i="79" s="1"/>
  <c r="A20316" i="79" s="1"/>
  <c r="A20317" i="79" s="1"/>
  <c r="A20318" i="79" s="1"/>
  <c r="A20319" i="79" s="1"/>
  <c r="A20320" i="79" s="1"/>
  <c r="A20321" i="79" s="1"/>
  <c r="A20322" i="79" s="1"/>
  <c r="A20323" i="79" s="1"/>
  <c r="A20324" i="79" s="1"/>
  <c r="A20325" i="79" s="1"/>
  <c r="A20326" i="79" s="1"/>
  <c r="A20327" i="79" s="1"/>
  <c r="A20328" i="79" s="1"/>
  <c r="A20329" i="79" s="1"/>
  <c r="A20330" i="79" s="1"/>
  <c r="A20331" i="79" s="1"/>
  <c r="A20332" i="79" s="1"/>
  <c r="A20333" i="79" s="1"/>
  <c r="A20334" i="79" s="1"/>
  <c r="A20335" i="79" s="1"/>
  <c r="A20336" i="79" s="1"/>
  <c r="A20337" i="79" s="1"/>
  <c r="A20338" i="79" s="1"/>
  <c r="A20339" i="79" s="1"/>
  <c r="A20340" i="79" s="1"/>
  <c r="A20341" i="79" s="1"/>
  <c r="A20342" i="79" s="1"/>
  <c r="A20343" i="79" s="1"/>
  <c r="A20344" i="79" s="1"/>
  <c r="A20345" i="79" s="1"/>
  <c r="A20346" i="79" s="1"/>
  <c r="A20347" i="79" s="1"/>
  <c r="A20348" i="79" s="1"/>
  <c r="A20349" i="79" s="1"/>
  <c r="A20350" i="79" s="1"/>
  <c r="A20351" i="79" s="1"/>
  <c r="A20352" i="79" s="1"/>
  <c r="A20353" i="79" s="1"/>
  <c r="A20354" i="79" s="1"/>
  <c r="A20355" i="79" s="1"/>
  <c r="A20356" i="79" s="1"/>
  <c r="A20357" i="79" s="1"/>
  <c r="A20358" i="79" s="1"/>
  <c r="A20359" i="79" s="1"/>
  <c r="A20360" i="79" s="1"/>
  <c r="A20361" i="79" s="1"/>
  <c r="A20362" i="79" s="1"/>
  <c r="A20363" i="79" s="1"/>
  <c r="A20364" i="79" s="1"/>
  <c r="A20365" i="79" s="1"/>
  <c r="A20366" i="79" s="1"/>
  <c r="A20367" i="79" s="1"/>
  <c r="A20368" i="79" s="1"/>
  <c r="A20369" i="79" s="1"/>
  <c r="A20370" i="79" s="1"/>
  <c r="A20371" i="79" s="1"/>
  <c r="A20372" i="79" s="1"/>
  <c r="A20373" i="79" s="1"/>
  <c r="A20374" i="79" s="1"/>
  <c r="A20375" i="79" s="1"/>
  <c r="A20376" i="79" s="1"/>
  <c r="A20377" i="79" s="1"/>
  <c r="A20378" i="79" s="1"/>
  <c r="A20379" i="79" s="1"/>
  <c r="A20380" i="79" s="1"/>
  <c r="A20381" i="79" s="1"/>
  <c r="A20382" i="79" s="1"/>
  <c r="A20383" i="79" s="1"/>
  <c r="A20384" i="79" s="1"/>
  <c r="A20385" i="79" s="1"/>
  <c r="A20386" i="79" s="1"/>
  <c r="A20387" i="79" s="1"/>
  <c r="A20388" i="79" s="1"/>
  <c r="A20389" i="79" s="1"/>
  <c r="A20390" i="79" s="1"/>
  <c r="A20391" i="79" s="1"/>
  <c r="A20392" i="79" s="1"/>
  <c r="A20393" i="79" s="1"/>
  <c r="A20394" i="79" s="1"/>
  <c r="A20395" i="79" s="1"/>
  <c r="A20396" i="79" s="1"/>
  <c r="A20397" i="79" s="1"/>
  <c r="A20398" i="79" s="1"/>
  <c r="A20399" i="79" s="1"/>
  <c r="A20400" i="79" s="1"/>
  <c r="A20401" i="79" s="1"/>
  <c r="A20402" i="79" s="1"/>
  <c r="A20403" i="79" s="1"/>
  <c r="A20404" i="79" s="1"/>
  <c r="A20405" i="79" s="1"/>
  <c r="A20406" i="79" s="1"/>
  <c r="A20407" i="79" s="1"/>
  <c r="A20408" i="79" s="1"/>
  <c r="A20409" i="79" s="1"/>
  <c r="A20410" i="79" s="1"/>
  <c r="A20411" i="79" s="1"/>
  <c r="A20412" i="79" s="1"/>
  <c r="A20413" i="79" s="1"/>
  <c r="A20414" i="79" s="1"/>
  <c r="A20415" i="79" s="1"/>
  <c r="A20416" i="79" s="1"/>
  <c r="A20417" i="79" s="1"/>
  <c r="A20418" i="79" s="1"/>
  <c r="A20419" i="79" s="1"/>
  <c r="A20420" i="79" s="1"/>
  <c r="A20421" i="79" s="1"/>
  <c r="A20422" i="79" s="1"/>
  <c r="A20423" i="79" s="1"/>
  <c r="A20424" i="79" s="1"/>
  <c r="A20425" i="79" s="1"/>
  <c r="A20426" i="79" s="1"/>
  <c r="A20427" i="79" s="1"/>
  <c r="A20428" i="79" s="1"/>
  <c r="A20429" i="79" s="1"/>
  <c r="A20430" i="79" s="1"/>
  <c r="A20431" i="79" s="1"/>
  <c r="A20432" i="79" s="1"/>
  <c r="A20433" i="79" s="1"/>
  <c r="A20434" i="79" s="1"/>
  <c r="A20435" i="79" s="1"/>
  <c r="A20436" i="79" s="1"/>
  <c r="A20437" i="79" s="1"/>
  <c r="A20438" i="79" s="1"/>
  <c r="A20439" i="79" s="1"/>
  <c r="A20440" i="79" s="1"/>
  <c r="A20441" i="79" s="1"/>
  <c r="A20442" i="79" s="1"/>
  <c r="A20443" i="79" s="1"/>
  <c r="A20444" i="79" s="1"/>
  <c r="A20445" i="79" s="1"/>
  <c r="A20446" i="79" s="1"/>
  <c r="A20447" i="79" s="1"/>
  <c r="A20448" i="79" s="1"/>
  <c r="A20449" i="79" s="1"/>
  <c r="A20450" i="79" s="1"/>
  <c r="A20451" i="79" s="1"/>
  <c r="A20452" i="79" s="1"/>
  <c r="A20453" i="79" s="1"/>
  <c r="A20454" i="79" s="1"/>
  <c r="A20455" i="79" s="1"/>
  <c r="A20456" i="79" s="1"/>
  <c r="A20457" i="79" s="1"/>
  <c r="A20458" i="79" s="1"/>
  <c r="A20459" i="79" s="1"/>
  <c r="A20460" i="79" s="1"/>
  <c r="A20461" i="79" s="1"/>
  <c r="A20462" i="79" s="1"/>
  <c r="A20463" i="79" s="1"/>
  <c r="A20464" i="79" s="1"/>
  <c r="A20465" i="79" s="1"/>
  <c r="A20466" i="79" s="1"/>
  <c r="A20467" i="79" s="1"/>
  <c r="A20468" i="79" s="1"/>
  <c r="A20469" i="79" s="1"/>
  <c r="A20470" i="79" s="1"/>
  <c r="A20471" i="79" s="1"/>
  <c r="A20472" i="79" s="1"/>
  <c r="A20473" i="79" s="1"/>
  <c r="A20474" i="79" s="1"/>
  <c r="A20475" i="79" s="1"/>
  <c r="A20476" i="79" s="1"/>
  <c r="A20477" i="79" s="1"/>
  <c r="A20478" i="79" s="1"/>
  <c r="A20479" i="79" s="1"/>
  <c r="A20480" i="79" s="1"/>
  <c r="A20481" i="79" s="1"/>
  <c r="A20482" i="79" s="1"/>
  <c r="A20483" i="79" s="1"/>
  <c r="A20484" i="79" s="1"/>
  <c r="A20485" i="79" s="1"/>
  <c r="A20486" i="79" s="1"/>
  <c r="A20487" i="79" s="1"/>
  <c r="A20488" i="79" s="1"/>
  <c r="A20489" i="79" s="1"/>
  <c r="A20490" i="79" s="1"/>
  <c r="A20491" i="79" s="1"/>
  <c r="A20492" i="79" s="1"/>
  <c r="A20493" i="79" s="1"/>
  <c r="A20494" i="79" s="1"/>
  <c r="A20495" i="79" s="1"/>
  <c r="A20496" i="79" s="1"/>
  <c r="A20497" i="79" s="1"/>
  <c r="A20498" i="79" s="1"/>
  <c r="A20499" i="79" s="1"/>
  <c r="A20500" i="79" s="1"/>
  <c r="A20501" i="79" s="1"/>
  <c r="A20502" i="79" s="1"/>
  <c r="A20503" i="79" s="1"/>
  <c r="A20504" i="79" s="1"/>
  <c r="A20505" i="79" s="1"/>
  <c r="A20506" i="79" s="1"/>
  <c r="A20507" i="79" s="1"/>
  <c r="A20508" i="79" s="1"/>
  <c r="A20509" i="79" s="1"/>
  <c r="A20510" i="79" s="1"/>
  <c r="A20511" i="79" s="1"/>
  <c r="A20512" i="79" s="1"/>
  <c r="A20513" i="79" s="1"/>
  <c r="A20514" i="79" s="1"/>
  <c r="A20515" i="79" s="1"/>
  <c r="A20516" i="79" s="1"/>
  <c r="A20517" i="79" s="1"/>
  <c r="A20518" i="79" s="1"/>
  <c r="A20519" i="79" s="1"/>
  <c r="A20520" i="79" s="1"/>
  <c r="A20521" i="79" s="1"/>
  <c r="A20522" i="79" s="1"/>
  <c r="A20523" i="79" s="1"/>
  <c r="A20524" i="79" s="1"/>
  <c r="A20525" i="79" s="1"/>
  <c r="A20526" i="79" s="1"/>
  <c r="A20527" i="79" s="1"/>
  <c r="A20528" i="79" s="1"/>
  <c r="A20529" i="79" s="1"/>
  <c r="A20530" i="79" s="1"/>
  <c r="A20531" i="79" s="1"/>
  <c r="A20532" i="79" s="1"/>
  <c r="A20533" i="79" s="1"/>
  <c r="A20534" i="79" s="1"/>
  <c r="A20535" i="79" s="1"/>
  <c r="A20536" i="79" s="1"/>
  <c r="A20537" i="79" s="1"/>
  <c r="A20538" i="79" s="1"/>
  <c r="A20539" i="79" s="1"/>
  <c r="A20540" i="79" s="1"/>
  <c r="A20541" i="79" s="1"/>
  <c r="A20542" i="79" s="1"/>
  <c r="A20543" i="79" s="1"/>
  <c r="A20544" i="79" s="1"/>
  <c r="A20545" i="79" s="1"/>
  <c r="A20546" i="79" s="1"/>
  <c r="A20547" i="79" s="1"/>
  <c r="A20548" i="79" s="1"/>
  <c r="A20549" i="79" s="1"/>
  <c r="A20550" i="79" s="1"/>
  <c r="A20551" i="79" s="1"/>
  <c r="A20552" i="79" s="1"/>
  <c r="A20553" i="79" s="1"/>
  <c r="A20554" i="79" s="1"/>
  <c r="A20555" i="79" s="1"/>
  <c r="A20556" i="79" s="1"/>
  <c r="A20557" i="79" s="1"/>
  <c r="A20558" i="79" s="1"/>
  <c r="A20559" i="79" s="1"/>
  <c r="A20560" i="79" s="1"/>
  <c r="A20561" i="79" s="1"/>
  <c r="A20562" i="79" s="1"/>
  <c r="A20563" i="79" s="1"/>
  <c r="A20564" i="79" s="1"/>
  <c r="A20565" i="79" s="1"/>
  <c r="A20566" i="79" s="1"/>
  <c r="A20567" i="79" s="1"/>
  <c r="A20568" i="79" s="1"/>
  <c r="A20569" i="79" s="1"/>
  <c r="A20570" i="79" s="1"/>
  <c r="A20571" i="79" s="1"/>
  <c r="A20572" i="79" s="1"/>
  <c r="A20573" i="79" s="1"/>
  <c r="A20574" i="79" s="1"/>
  <c r="A20575" i="79" s="1"/>
  <c r="A20576" i="79" s="1"/>
  <c r="A20577" i="79" s="1"/>
  <c r="A20578" i="79" s="1"/>
  <c r="A20579" i="79" s="1"/>
  <c r="A20580" i="79" s="1"/>
  <c r="A20581" i="79" s="1"/>
  <c r="A20582" i="79" s="1"/>
  <c r="A20583" i="79" s="1"/>
  <c r="A20584" i="79" s="1"/>
  <c r="A20585" i="79" s="1"/>
  <c r="A20586" i="79" s="1"/>
  <c r="A20587" i="79" s="1"/>
  <c r="A20588" i="79" s="1"/>
  <c r="A20589" i="79" s="1"/>
  <c r="A20590" i="79" s="1"/>
  <c r="A20591" i="79" s="1"/>
  <c r="A20592" i="79" s="1"/>
  <c r="A20593" i="79" s="1"/>
  <c r="A20594" i="79" s="1"/>
  <c r="A20595" i="79" s="1"/>
  <c r="A20596" i="79" s="1"/>
  <c r="A20597" i="79" s="1"/>
  <c r="A20598" i="79" s="1"/>
  <c r="A20599" i="79" s="1"/>
  <c r="A20600" i="79" s="1"/>
  <c r="A20601" i="79" s="1"/>
  <c r="A20602" i="79" s="1"/>
  <c r="A20603" i="79" s="1"/>
  <c r="A20604" i="79" s="1"/>
  <c r="A20605" i="79" s="1"/>
  <c r="A20606" i="79" s="1"/>
  <c r="A20607" i="79" s="1"/>
  <c r="A20608" i="79" s="1"/>
  <c r="A20609" i="79" s="1"/>
  <c r="A20610" i="79" s="1"/>
  <c r="A20611" i="79" s="1"/>
  <c r="A20612" i="79" s="1"/>
  <c r="A20613" i="79" s="1"/>
  <c r="A20614" i="79" s="1"/>
  <c r="A20615" i="79" s="1"/>
  <c r="A20616" i="79" s="1"/>
  <c r="A20617" i="79" s="1"/>
  <c r="A20618" i="79" s="1"/>
  <c r="A20619" i="79" s="1"/>
  <c r="A20620" i="79" s="1"/>
  <c r="A20621" i="79" s="1"/>
  <c r="A20622" i="79" s="1"/>
  <c r="A20623" i="79" s="1"/>
  <c r="A20624" i="79" s="1"/>
  <c r="A20625" i="79" s="1"/>
  <c r="A20626" i="79" s="1"/>
  <c r="A20627" i="79" s="1"/>
  <c r="A20628" i="79" s="1"/>
  <c r="A20629" i="79" s="1"/>
  <c r="A20630" i="79" s="1"/>
  <c r="A20631" i="79" s="1"/>
  <c r="A20632" i="79" s="1"/>
  <c r="A20633" i="79" s="1"/>
  <c r="A20634" i="79" s="1"/>
  <c r="A20635" i="79" s="1"/>
  <c r="A20636" i="79" s="1"/>
  <c r="A20637" i="79" s="1"/>
  <c r="A20638" i="79" s="1"/>
  <c r="A20639" i="79" s="1"/>
  <c r="A20640" i="79" s="1"/>
  <c r="A20641" i="79" s="1"/>
  <c r="A20642" i="79" s="1"/>
  <c r="A20643" i="79" s="1"/>
  <c r="A20644" i="79" s="1"/>
  <c r="A20645" i="79" s="1"/>
  <c r="A20646" i="79" s="1"/>
  <c r="A20647" i="79" s="1"/>
  <c r="A20648" i="79" s="1"/>
  <c r="A20649" i="79" s="1"/>
  <c r="A20650" i="79" s="1"/>
  <c r="A20651" i="79" s="1"/>
  <c r="A20652" i="79" s="1"/>
  <c r="A20653" i="79" s="1"/>
  <c r="A20654" i="79" s="1"/>
  <c r="A20655" i="79" s="1"/>
  <c r="A20656" i="79" s="1"/>
  <c r="A20657" i="79" s="1"/>
  <c r="A20658" i="79" s="1"/>
  <c r="A20659" i="79" s="1"/>
  <c r="A20660" i="79" s="1"/>
  <c r="A20661" i="79" s="1"/>
  <c r="A20662" i="79" s="1"/>
  <c r="A20663" i="79" s="1"/>
  <c r="A20664" i="79" s="1"/>
  <c r="A20665" i="79" s="1"/>
  <c r="A20666" i="79" s="1"/>
  <c r="A20667" i="79" s="1"/>
  <c r="A20668" i="79" s="1"/>
  <c r="A20669" i="79" s="1"/>
  <c r="A20670" i="79" s="1"/>
  <c r="A20671" i="79" s="1"/>
  <c r="A20672" i="79" s="1"/>
  <c r="A20673" i="79" s="1"/>
  <c r="A20674" i="79" s="1"/>
  <c r="A20675" i="79" s="1"/>
  <c r="A20676" i="79" s="1"/>
  <c r="A20677" i="79" s="1"/>
  <c r="A20678" i="79" s="1"/>
  <c r="A20679" i="79" s="1"/>
  <c r="A20680" i="79" s="1"/>
  <c r="A20681" i="79" s="1"/>
  <c r="A20682" i="79" s="1"/>
  <c r="A20683" i="79" s="1"/>
  <c r="A20684" i="79" s="1"/>
  <c r="A20685" i="79" s="1"/>
  <c r="A20686" i="79" s="1"/>
  <c r="A20687" i="79" s="1"/>
  <c r="A20688" i="79" s="1"/>
  <c r="A20689" i="79" s="1"/>
  <c r="A20690" i="79" s="1"/>
  <c r="A20691" i="79" s="1"/>
  <c r="A20692" i="79" s="1"/>
  <c r="A20693" i="79" s="1"/>
  <c r="A20694" i="79" s="1"/>
  <c r="A20695" i="79" s="1"/>
  <c r="A20696" i="79" s="1"/>
  <c r="A20697" i="79" s="1"/>
  <c r="A20698" i="79" s="1"/>
  <c r="A20699" i="79" s="1"/>
  <c r="A20700" i="79" s="1"/>
  <c r="A20701" i="79" s="1"/>
  <c r="A20702" i="79" s="1"/>
  <c r="A20703" i="79" s="1"/>
  <c r="A20704" i="79" s="1"/>
  <c r="A20705" i="79" s="1"/>
  <c r="A20706" i="79" s="1"/>
  <c r="A20707" i="79" s="1"/>
  <c r="A20708" i="79" s="1"/>
  <c r="A20709" i="79" s="1"/>
  <c r="A20710" i="79" s="1"/>
  <c r="A20711" i="79" s="1"/>
  <c r="A20712" i="79" s="1"/>
  <c r="A20713" i="79" s="1"/>
  <c r="A20714" i="79" s="1"/>
  <c r="A20715" i="79" s="1"/>
  <c r="A20716" i="79" s="1"/>
  <c r="A20717" i="79" s="1"/>
  <c r="A20718" i="79" s="1"/>
  <c r="A20719" i="79" s="1"/>
  <c r="A20720" i="79" s="1"/>
  <c r="A20721" i="79" s="1"/>
  <c r="A20722" i="79" s="1"/>
  <c r="A20723" i="79" s="1"/>
  <c r="A20724" i="79" s="1"/>
  <c r="A20725" i="79" s="1"/>
  <c r="A20726" i="79" s="1"/>
  <c r="A20727" i="79" s="1"/>
  <c r="A20728" i="79" s="1"/>
  <c r="A20729" i="79" s="1"/>
  <c r="A20730" i="79" s="1"/>
  <c r="A20731" i="79" s="1"/>
  <c r="A20732" i="79" s="1"/>
  <c r="A20733" i="79" s="1"/>
  <c r="A20734" i="79" s="1"/>
  <c r="A20735" i="79" s="1"/>
  <c r="A20736" i="79" s="1"/>
  <c r="A20737" i="79" s="1"/>
  <c r="A20738" i="79" s="1"/>
  <c r="A20739" i="79" s="1"/>
  <c r="A20740" i="79" s="1"/>
  <c r="A20741" i="79" s="1"/>
  <c r="A20742" i="79" s="1"/>
  <c r="A20743" i="79" s="1"/>
  <c r="A20744" i="79" s="1"/>
  <c r="A20745" i="79" s="1"/>
  <c r="A20746" i="79" s="1"/>
  <c r="A20747" i="79" s="1"/>
  <c r="A20748" i="79" s="1"/>
  <c r="A20749" i="79" s="1"/>
  <c r="A20750" i="79" s="1"/>
  <c r="A20751" i="79" s="1"/>
  <c r="A20752" i="79" s="1"/>
  <c r="A20753" i="79" s="1"/>
  <c r="A20754" i="79" s="1"/>
  <c r="A20755" i="79" s="1"/>
  <c r="A20756" i="79" s="1"/>
  <c r="A20757" i="79" s="1"/>
  <c r="A20758" i="79" s="1"/>
  <c r="A20759" i="79" s="1"/>
  <c r="A20760" i="79" s="1"/>
  <c r="A20761" i="79" s="1"/>
  <c r="A20762" i="79" s="1"/>
  <c r="A20763" i="79" s="1"/>
  <c r="A20764" i="79" s="1"/>
  <c r="A20765" i="79" s="1"/>
  <c r="A20766" i="79" s="1"/>
  <c r="A20767" i="79" s="1"/>
  <c r="A20768" i="79" s="1"/>
  <c r="A20769" i="79" s="1"/>
  <c r="A20770" i="79" s="1"/>
  <c r="A20771" i="79" s="1"/>
  <c r="A20772" i="79" s="1"/>
  <c r="A20773" i="79" s="1"/>
  <c r="A20774" i="79" s="1"/>
  <c r="A20775" i="79" s="1"/>
  <c r="A20776" i="79" s="1"/>
  <c r="A20777" i="79" s="1"/>
  <c r="A20778" i="79" s="1"/>
  <c r="A20779" i="79" s="1"/>
  <c r="A20780" i="79" s="1"/>
  <c r="A20781" i="79" s="1"/>
  <c r="A20782" i="79" s="1"/>
  <c r="A20783" i="79" s="1"/>
  <c r="A20784" i="79" s="1"/>
  <c r="A20785" i="79" s="1"/>
  <c r="A20786" i="79" s="1"/>
  <c r="A20787" i="79" s="1"/>
  <c r="A20788" i="79" s="1"/>
  <c r="A20789" i="79" s="1"/>
  <c r="A20790" i="79" s="1"/>
  <c r="A20791" i="79" s="1"/>
  <c r="A20792" i="79" s="1"/>
  <c r="A20793" i="79" s="1"/>
  <c r="A20794" i="79" s="1"/>
  <c r="A20795" i="79" s="1"/>
  <c r="A20796" i="79" s="1"/>
  <c r="A20797" i="79" s="1"/>
  <c r="A20798" i="79" s="1"/>
  <c r="A20799" i="79" s="1"/>
  <c r="A20800" i="79" s="1"/>
  <c r="A20801" i="79" s="1"/>
  <c r="A20802" i="79" s="1"/>
  <c r="A20803" i="79" s="1"/>
  <c r="A20804" i="79" s="1"/>
  <c r="A20805" i="79" s="1"/>
  <c r="A20806" i="79" s="1"/>
  <c r="A20807" i="79" s="1"/>
  <c r="A20808" i="79" s="1"/>
  <c r="A20809" i="79" s="1"/>
  <c r="A20810" i="79" s="1"/>
  <c r="A20811" i="79" s="1"/>
  <c r="A20812" i="79" s="1"/>
  <c r="A20813" i="79" s="1"/>
  <c r="A20814" i="79" s="1"/>
  <c r="A20815" i="79" s="1"/>
  <c r="A20816" i="79" s="1"/>
  <c r="A20817" i="79" s="1"/>
  <c r="A20818" i="79" s="1"/>
  <c r="A20819" i="79" s="1"/>
  <c r="A20820" i="79" s="1"/>
  <c r="A20821" i="79" s="1"/>
  <c r="A20822" i="79" s="1"/>
  <c r="A20823" i="79" s="1"/>
  <c r="A20824" i="79" s="1"/>
  <c r="A20825" i="79" s="1"/>
  <c r="A20826" i="79" s="1"/>
  <c r="A20827" i="79" s="1"/>
  <c r="A20828" i="79" s="1"/>
  <c r="A20829" i="79" s="1"/>
  <c r="A20830" i="79" s="1"/>
  <c r="A20831" i="79" s="1"/>
  <c r="A20832" i="79" s="1"/>
  <c r="A20833" i="79" s="1"/>
  <c r="A20834" i="79" s="1"/>
  <c r="A20835" i="79" s="1"/>
  <c r="A20836" i="79" s="1"/>
  <c r="A20837" i="79" s="1"/>
  <c r="A20838" i="79" s="1"/>
  <c r="A20839" i="79" s="1"/>
  <c r="A20840" i="79" s="1"/>
  <c r="A20841" i="79" s="1"/>
  <c r="A20842" i="79" s="1"/>
  <c r="A20843" i="79" s="1"/>
  <c r="A20844" i="79" s="1"/>
  <c r="A20845" i="79" s="1"/>
  <c r="A20846" i="79" s="1"/>
  <c r="A20847" i="79" s="1"/>
  <c r="A20848" i="79" s="1"/>
  <c r="A20849" i="79" s="1"/>
  <c r="A20850" i="79" s="1"/>
  <c r="A20851" i="79" s="1"/>
  <c r="A20852" i="79" s="1"/>
  <c r="A20853" i="79" s="1"/>
  <c r="A20854" i="79" s="1"/>
  <c r="A20855" i="79" s="1"/>
  <c r="A20856" i="79" s="1"/>
  <c r="A20857" i="79" s="1"/>
  <c r="A20858" i="79" s="1"/>
  <c r="A20859" i="79" s="1"/>
  <c r="A20860" i="79" s="1"/>
  <c r="A20861" i="79" s="1"/>
  <c r="A20862" i="79" s="1"/>
  <c r="A20863" i="79" s="1"/>
  <c r="A20864" i="79" s="1"/>
  <c r="A20865" i="79" s="1"/>
  <c r="A20866" i="79" s="1"/>
  <c r="A20867" i="79" s="1"/>
  <c r="A20868" i="79" s="1"/>
  <c r="A20869" i="79" s="1"/>
  <c r="A20870" i="79" s="1"/>
  <c r="A20871" i="79" s="1"/>
  <c r="A20872" i="79" s="1"/>
  <c r="A20873" i="79" s="1"/>
  <c r="A20874" i="79" s="1"/>
  <c r="A20875" i="79" s="1"/>
  <c r="A20876" i="79" s="1"/>
  <c r="A20877" i="79" s="1"/>
  <c r="A20878" i="79" s="1"/>
  <c r="A20879" i="79" s="1"/>
  <c r="A20880" i="79" s="1"/>
  <c r="A20881" i="79" s="1"/>
  <c r="A20882" i="79" s="1"/>
  <c r="A20883" i="79" s="1"/>
  <c r="A20884" i="79" s="1"/>
  <c r="A20885" i="79" s="1"/>
  <c r="A20886" i="79" s="1"/>
  <c r="A20887" i="79" s="1"/>
  <c r="A20888" i="79" s="1"/>
  <c r="A20889" i="79" s="1"/>
  <c r="A20890" i="79" s="1"/>
  <c r="A20891" i="79" s="1"/>
  <c r="A20892" i="79" s="1"/>
  <c r="A20893" i="79" s="1"/>
  <c r="A20894" i="79" s="1"/>
  <c r="A20895" i="79" s="1"/>
  <c r="A20896" i="79" s="1"/>
  <c r="A20897" i="79" s="1"/>
  <c r="A20898" i="79" s="1"/>
  <c r="A20899" i="79" s="1"/>
  <c r="A20900" i="79" s="1"/>
  <c r="A20901" i="79" s="1"/>
  <c r="A20902" i="79" s="1"/>
  <c r="A20903" i="79" s="1"/>
  <c r="A20904" i="79" s="1"/>
  <c r="A20905" i="79" s="1"/>
  <c r="A20906" i="79" s="1"/>
  <c r="A20907" i="79" s="1"/>
  <c r="A20908" i="79" s="1"/>
  <c r="A20909" i="79" s="1"/>
  <c r="A20910" i="79" s="1"/>
  <c r="A20911" i="79" s="1"/>
  <c r="A20912" i="79" s="1"/>
  <c r="A20913" i="79" s="1"/>
  <c r="A20914" i="79" s="1"/>
  <c r="A20915" i="79" s="1"/>
  <c r="A20916" i="79" s="1"/>
  <c r="A20917" i="79" s="1"/>
  <c r="A20918" i="79" s="1"/>
  <c r="A20919" i="79" s="1"/>
  <c r="A20920" i="79" s="1"/>
  <c r="A20921" i="79" s="1"/>
  <c r="A20922" i="79" s="1"/>
  <c r="A20923" i="79" s="1"/>
  <c r="A20924" i="79" s="1"/>
  <c r="A20925" i="79" s="1"/>
  <c r="A20926" i="79" s="1"/>
  <c r="A20927" i="79" s="1"/>
  <c r="A20928" i="79" s="1"/>
  <c r="A20929" i="79" s="1"/>
  <c r="A20930" i="79" s="1"/>
  <c r="A20931" i="79" s="1"/>
  <c r="A20932" i="79" s="1"/>
  <c r="A20933" i="79" s="1"/>
  <c r="A20934" i="79" s="1"/>
  <c r="A20935" i="79" s="1"/>
  <c r="A20936" i="79" s="1"/>
  <c r="A20937" i="79" s="1"/>
  <c r="A20938" i="79" s="1"/>
  <c r="A20939" i="79" s="1"/>
  <c r="A20940" i="79" s="1"/>
  <c r="A20941" i="79" s="1"/>
  <c r="A20942" i="79" s="1"/>
  <c r="A20943" i="79" s="1"/>
  <c r="A20944" i="79" s="1"/>
  <c r="A20945" i="79" s="1"/>
  <c r="A20946" i="79" s="1"/>
  <c r="A20947" i="79" s="1"/>
  <c r="A20948" i="79" s="1"/>
  <c r="A20949" i="79" s="1"/>
  <c r="A20950" i="79" s="1"/>
  <c r="A20951" i="79" s="1"/>
  <c r="A20952" i="79" s="1"/>
  <c r="A20953" i="79" s="1"/>
  <c r="A20954" i="79" s="1"/>
  <c r="A20955" i="79" s="1"/>
  <c r="A20956" i="79" s="1"/>
  <c r="A20957" i="79" s="1"/>
  <c r="A20958" i="79" s="1"/>
  <c r="A20959" i="79" s="1"/>
  <c r="A20960" i="79" s="1"/>
  <c r="A20961" i="79" s="1"/>
  <c r="A20962" i="79" s="1"/>
  <c r="A20963" i="79" s="1"/>
  <c r="A20964" i="79" s="1"/>
  <c r="A20965" i="79" s="1"/>
  <c r="A20966" i="79" s="1"/>
  <c r="A20967" i="79" s="1"/>
  <c r="A20968" i="79" s="1"/>
  <c r="A20969" i="79" s="1"/>
  <c r="A20970" i="79" s="1"/>
  <c r="A20971" i="79" s="1"/>
  <c r="A20972" i="79" s="1"/>
  <c r="A20973" i="79" s="1"/>
  <c r="A20974" i="79" s="1"/>
  <c r="A20975" i="79" s="1"/>
  <c r="A20976" i="79" s="1"/>
  <c r="A20977" i="79" s="1"/>
  <c r="A20978" i="79" s="1"/>
  <c r="A20979" i="79" s="1"/>
  <c r="A20980" i="79" s="1"/>
  <c r="A20981" i="79" s="1"/>
  <c r="A20982" i="79" s="1"/>
  <c r="A20983" i="79" s="1"/>
  <c r="A20984" i="79" s="1"/>
  <c r="A20985" i="79" s="1"/>
  <c r="A20986" i="79" s="1"/>
  <c r="A20987" i="79" s="1"/>
  <c r="A20988" i="79" s="1"/>
  <c r="A20989" i="79" s="1"/>
  <c r="A20990" i="79" s="1"/>
  <c r="A20991" i="79" s="1"/>
  <c r="A20992" i="79" s="1"/>
  <c r="A20993" i="79" s="1"/>
  <c r="A20994" i="79" s="1"/>
  <c r="A20995" i="79" s="1"/>
  <c r="A20996" i="79" s="1"/>
  <c r="A20997" i="79" s="1"/>
  <c r="A20998" i="79" s="1"/>
  <c r="A20999" i="79" s="1"/>
  <c r="A21000" i="79" s="1"/>
  <c r="A21001" i="79" s="1"/>
  <c r="A21002" i="79" s="1"/>
  <c r="A21003" i="79" s="1"/>
  <c r="A21004" i="79" s="1"/>
  <c r="A21005" i="79" s="1"/>
  <c r="A21006" i="79" s="1"/>
  <c r="A21007" i="79" s="1"/>
  <c r="A21008" i="79" s="1"/>
  <c r="A21009" i="79" s="1"/>
  <c r="A21010" i="79" s="1"/>
  <c r="A21011" i="79" s="1"/>
  <c r="A21012" i="79" s="1"/>
  <c r="A21013" i="79" s="1"/>
  <c r="A21014" i="79" s="1"/>
  <c r="A21015" i="79" s="1"/>
  <c r="A21016" i="79" s="1"/>
  <c r="A21017" i="79" s="1"/>
  <c r="A21018" i="79" s="1"/>
  <c r="A21019" i="79" s="1"/>
  <c r="A21020" i="79" s="1"/>
  <c r="A21021" i="79" s="1"/>
  <c r="A21022" i="79" s="1"/>
  <c r="A21023" i="79" s="1"/>
  <c r="A21024" i="79" s="1"/>
  <c r="A21025" i="79" s="1"/>
  <c r="A21026" i="79" s="1"/>
  <c r="A21027" i="79" s="1"/>
  <c r="A21028" i="79" s="1"/>
  <c r="A21029" i="79" s="1"/>
  <c r="A21030" i="79" s="1"/>
  <c r="A21031" i="79" s="1"/>
  <c r="A21032" i="79" s="1"/>
  <c r="A21033" i="79" s="1"/>
  <c r="A21034" i="79" s="1"/>
  <c r="A21035" i="79" s="1"/>
  <c r="A21036" i="79" s="1"/>
  <c r="A21037" i="79" s="1"/>
  <c r="A21038" i="79" s="1"/>
  <c r="A21039" i="79" s="1"/>
  <c r="A21040" i="79" s="1"/>
  <c r="A21041" i="79" s="1"/>
  <c r="A21042" i="79" s="1"/>
  <c r="A21043" i="79" s="1"/>
  <c r="A21044" i="79" s="1"/>
  <c r="A21045" i="79" s="1"/>
  <c r="A21046" i="79" s="1"/>
  <c r="A21047" i="79" s="1"/>
  <c r="A21048" i="79" s="1"/>
  <c r="A21049" i="79" s="1"/>
  <c r="A21050" i="79" s="1"/>
  <c r="A21051" i="79" s="1"/>
  <c r="A21052" i="79" s="1"/>
  <c r="A21053" i="79" s="1"/>
  <c r="A21054" i="79" s="1"/>
  <c r="A21055" i="79" s="1"/>
  <c r="A21056" i="79" s="1"/>
  <c r="A21057" i="79" s="1"/>
  <c r="A21058" i="79" s="1"/>
  <c r="A21059" i="79" s="1"/>
  <c r="A21060" i="79" s="1"/>
  <c r="A21061" i="79" s="1"/>
  <c r="A21062" i="79" s="1"/>
  <c r="A21063" i="79" s="1"/>
  <c r="A21064" i="79" s="1"/>
  <c r="A21065" i="79" s="1"/>
  <c r="A21066" i="79" s="1"/>
  <c r="A21067" i="79" s="1"/>
  <c r="A21068" i="79" s="1"/>
  <c r="A21069" i="79" s="1"/>
  <c r="A21070" i="79" s="1"/>
  <c r="A21071" i="79" s="1"/>
  <c r="A21072" i="79" s="1"/>
  <c r="A21073" i="79" s="1"/>
  <c r="A21074" i="79" s="1"/>
  <c r="A21075" i="79" s="1"/>
  <c r="A21076" i="79" s="1"/>
  <c r="A21077" i="79" s="1"/>
  <c r="A21078" i="79" s="1"/>
  <c r="A21079" i="79" s="1"/>
  <c r="A21080" i="79" s="1"/>
  <c r="A21081" i="79" s="1"/>
  <c r="A21082" i="79" s="1"/>
  <c r="A21083" i="79" s="1"/>
  <c r="A21084" i="79" s="1"/>
  <c r="A21085" i="79" s="1"/>
  <c r="A21086" i="79" s="1"/>
  <c r="A21087" i="79" s="1"/>
  <c r="A21088" i="79" s="1"/>
  <c r="A21089" i="79" s="1"/>
  <c r="A21090" i="79" s="1"/>
  <c r="A21091" i="79" s="1"/>
  <c r="A21092" i="79" s="1"/>
  <c r="A21093" i="79" s="1"/>
  <c r="A21094" i="79" s="1"/>
  <c r="A21095" i="79" s="1"/>
  <c r="A21096" i="79" s="1"/>
  <c r="A21097" i="79" s="1"/>
  <c r="A21098" i="79" s="1"/>
  <c r="A21099" i="79" s="1"/>
  <c r="A21100" i="79" s="1"/>
  <c r="A21101" i="79" s="1"/>
  <c r="A21102" i="79" s="1"/>
  <c r="A21103" i="79" s="1"/>
  <c r="A21104" i="79" s="1"/>
  <c r="A21105" i="79" s="1"/>
  <c r="A21106" i="79" s="1"/>
  <c r="A21107" i="79" s="1"/>
  <c r="A21108" i="79" s="1"/>
  <c r="A21109" i="79" s="1"/>
  <c r="A21110" i="79" s="1"/>
  <c r="A21111" i="79" s="1"/>
  <c r="A21112" i="79" s="1"/>
  <c r="A21113" i="79" s="1"/>
  <c r="A21114" i="79" s="1"/>
  <c r="A21115" i="79" s="1"/>
  <c r="A21116" i="79" s="1"/>
  <c r="A21117" i="79" s="1"/>
  <c r="A21118" i="79" s="1"/>
  <c r="A21119" i="79" s="1"/>
  <c r="A21120" i="79" s="1"/>
  <c r="A21121" i="79" s="1"/>
  <c r="A21122" i="79" s="1"/>
  <c r="A21123" i="79" s="1"/>
  <c r="A21124" i="79" s="1"/>
  <c r="A21125" i="79" s="1"/>
  <c r="A21126" i="79" s="1"/>
  <c r="A21127" i="79" s="1"/>
  <c r="A21128" i="79" s="1"/>
  <c r="A21129" i="79" s="1"/>
  <c r="A21130" i="79" s="1"/>
  <c r="A21131" i="79" s="1"/>
  <c r="A21132" i="79" s="1"/>
  <c r="A21133" i="79" s="1"/>
  <c r="A21134" i="79" s="1"/>
  <c r="A21135" i="79" s="1"/>
  <c r="A21136" i="79" s="1"/>
  <c r="A21137" i="79" s="1"/>
  <c r="A21138" i="79" s="1"/>
  <c r="A21139" i="79" s="1"/>
  <c r="A21140" i="79" s="1"/>
  <c r="A21141" i="79" s="1"/>
  <c r="A21142" i="79" s="1"/>
  <c r="A21143" i="79" s="1"/>
  <c r="A21144" i="79" s="1"/>
  <c r="A21145" i="79" s="1"/>
  <c r="A21146" i="79" s="1"/>
  <c r="A21147" i="79" s="1"/>
  <c r="A21148" i="79" s="1"/>
  <c r="A21149" i="79" s="1"/>
  <c r="A21150" i="79" s="1"/>
  <c r="A21151" i="79" s="1"/>
  <c r="A21152" i="79" s="1"/>
  <c r="A21153" i="79" s="1"/>
  <c r="A21154" i="79" s="1"/>
  <c r="A21155" i="79" s="1"/>
  <c r="A21156" i="79" s="1"/>
  <c r="A21157" i="79" s="1"/>
  <c r="A21158" i="79" s="1"/>
  <c r="A21159" i="79" s="1"/>
  <c r="A21160" i="79" s="1"/>
  <c r="A21161" i="79" s="1"/>
  <c r="A21162" i="79" s="1"/>
  <c r="A21163" i="79" s="1"/>
  <c r="A21164" i="79" s="1"/>
  <c r="A21165" i="79" s="1"/>
  <c r="A21166" i="79" s="1"/>
  <c r="A21167" i="79" s="1"/>
  <c r="A21168" i="79" s="1"/>
  <c r="A21169" i="79" s="1"/>
  <c r="A21170" i="79" s="1"/>
  <c r="A21171" i="79" s="1"/>
  <c r="A21172" i="79" s="1"/>
  <c r="A21173" i="79" s="1"/>
  <c r="A21174" i="79" s="1"/>
  <c r="A21175" i="79" s="1"/>
  <c r="A21176" i="79" s="1"/>
  <c r="A21177" i="79" s="1"/>
  <c r="A21178" i="79" s="1"/>
  <c r="A21179" i="79" s="1"/>
  <c r="A21180" i="79" s="1"/>
  <c r="A21181" i="79" s="1"/>
  <c r="A21182" i="79" s="1"/>
  <c r="A21183" i="79" s="1"/>
  <c r="A21184" i="79" s="1"/>
  <c r="A21185" i="79" s="1"/>
  <c r="A21186" i="79" s="1"/>
  <c r="A21187" i="79" s="1"/>
  <c r="A21188" i="79" s="1"/>
  <c r="A21189" i="79" s="1"/>
  <c r="A21190" i="79" s="1"/>
  <c r="A21191" i="79" s="1"/>
  <c r="A21192" i="79" s="1"/>
  <c r="A21193" i="79" s="1"/>
  <c r="A21194" i="79" s="1"/>
  <c r="A21195" i="79" s="1"/>
  <c r="A21196" i="79" s="1"/>
  <c r="A21197" i="79" s="1"/>
  <c r="A21198" i="79" s="1"/>
  <c r="A21199" i="79" s="1"/>
  <c r="A21200" i="79" s="1"/>
  <c r="A21201" i="79" s="1"/>
  <c r="A21202" i="79" s="1"/>
  <c r="A21203" i="79" s="1"/>
  <c r="A21204" i="79" s="1"/>
  <c r="A21205" i="79" s="1"/>
  <c r="A21206" i="79" s="1"/>
  <c r="A21207" i="79" s="1"/>
  <c r="A21208" i="79" s="1"/>
  <c r="A21209" i="79" s="1"/>
  <c r="A21210" i="79" s="1"/>
  <c r="A21211" i="79" s="1"/>
  <c r="A21212" i="79" s="1"/>
  <c r="A21213" i="79" s="1"/>
  <c r="A21214" i="79" s="1"/>
  <c r="A21215" i="79" s="1"/>
  <c r="A21216" i="79" s="1"/>
  <c r="A21217" i="79" s="1"/>
  <c r="A21218" i="79" s="1"/>
  <c r="A21219" i="79" s="1"/>
  <c r="A21220" i="79" s="1"/>
  <c r="A21221" i="79" s="1"/>
  <c r="A21222" i="79" s="1"/>
  <c r="A21223" i="79" s="1"/>
  <c r="A21224" i="79" s="1"/>
  <c r="A21225" i="79" s="1"/>
  <c r="A21226" i="79" s="1"/>
  <c r="A21227" i="79" s="1"/>
  <c r="A21228" i="79" s="1"/>
  <c r="A21229" i="79" s="1"/>
  <c r="A21230" i="79" s="1"/>
  <c r="A21231" i="79" s="1"/>
  <c r="A21232" i="79" s="1"/>
  <c r="I6218" i="79"/>
  <c r="A6217" i="80" s="1"/>
  <c r="I6213" i="79"/>
  <c r="A6212" i="80" s="1"/>
  <c r="I6208" i="79"/>
  <c r="A6207" i="80" s="1"/>
  <c r="I6203" i="79"/>
  <c r="A6202" i="80" s="1"/>
  <c r="I6198" i="79"/>
  <c r="A6197" i="80" s="1"/>
  <c r="I6193" i="79"/>
  <c r="A6192" i="80" s="1"/>
  <c r="I6188" i="79"/>
  <c r="A6187" i="80" s="1"/>
  <c r="I6183" i="79"/>
  <c r="A6182" i="80" s="1"/>
  <c r="I6178" i="79"/>
  <c r="A6177" i="80" s="1"/>
  <c r="I6173" i="79"/>
  <c r="A6172" i="80" s="1"/>
  <c r="I6168" i="79"/>
  <c r="A6167" i="80" s="1"/>
  <c r="I6163" i="79"/>
  <c r="A6162" i="80" s="1"/>
  <c r="I6158" i="79"/>
  <c r="A6157" i="80" s="1"/>
  <c r="I6153" i="79"/>
  <c r="A6152" i="80" s="1"/>
  <c r="I6148" i="79"/>
  <c r="A6147" i="80" s="1"/>
  <c r="I6143" i="79"/>
  <c r="A6142" i="80" s="1"/>
  <c r="I6138" i="79"/>
  <c r="A6137" i="80" s="1"/>
  <c r="I6133" i="79"/>
  <c r="A6132" i="80" s="1"/>
  <c r="I6128" i="79"/>
  <c r="A6127" i="80" s="1"/>
  <c r="I6123" i="79"/>
  <c r="A6122" i="80" s="1"/>
  <c r="I6118" i="79"/>
  <c r="A6117" i="80" s="1"/>
  <c r="I6113" i="79"/>
  <c r="A6112" i="80" s="1"/>
  <c r="I6108" i="79"/>
  <c r="A6107" i="80" s="1"/>
  <c r="I6103" i="79"/>
  <c r="A6102" i="80" s="1"/>
  <c r="I6098" i="79"/>
  <c r="A6097" i="80" s="1"/>
  <c r="I6093" i="79"/>
  <c r="A6092" i="80" s="1"/>
  <c r="I6088" i="79"/>
  <c r="A6087" i="80" s="1"/>
  <c r="I6083" i="79"/>
  <c r="A6082" i="80" s="1"/>
  <c r="I6078" i="79"/>
  <c r="A6077" i="80" s="1"/>
  <c r="I6073" i="79"/>
  <c r="A6072" i="80" s="1"/>
  <c r="I6068" i="79"/>
  <c r="A6067" i="80" s="1"/>
  <c r="I6063" i="79"/>
  <c r="A6062" i="80" s="1"/>
  <c r="I6058" i="79"/>
  <c r="A6057" i="80" s="1"/>
  <c r="I6053" i="79"/>
  <c r="A6052" i="80" s="1"/>
  <c r="I6048" i="79"/>
  <c r="A6047" i="80" s="1"/>
  <c r="I6043" i="79"/>
  <c r="A6042" i="80" s="1"/>
  <c r="I6038" i="79"/>
  <c r="A6037" i="80" s="1"/>
  <c r="I6033" i="79"/>
  <c r="A6032" i="80" s="1"/>
  <c r="I6028" i="79"/>
  <c r="A6027" i="80" s="1"/>
  <c r="I6023" i="79"/>
  <c r="A6022" i="80" s="1"/>
  <c r="I6018" i="79"/>
  <c r="A6017" i="80" s="1"/>
  <c r="I6013" i="79"/>
  <c r="A6012" i="80" s="1"/>
  <c r="I6008" i="79"/>
  <c r="A6007" i="80" s="1"/>
  <c r="I6003" i="79"/>
  <c r="A6002" i="80" s="1"/>
  <c r="I5998" i="79"/>
  <c r="A5997" i="80" s="1"/>
  <c r="I5993" i="79"/>
  <c r="A5992" i="80" s="1"/>
  <c r="I5988" i="79"/>
  <c r="A5987" i="80" s="1"/>
  <c r="I5983" i="79"/>
  <c r="A5982" i="80" s="1"/>
  <c r="I5978" i="79"/>
  <c r="A5977" i="80" s="1"/>
  <c r="I5973" i="79"/>
  <c r="A5972" i="80" s="1"/>
  <c r="I5968" i="79"/>
  <c r="A5967" i="80" s="1"/>
  <c r="I5963" i="79"/>
  <c r="A5962" i="80" s="1"/>
  <c r="I5958" i="79"/>
  <c r="A5957" i="80" s="1"/>
  <c r="I5953" i="79"/>
  <c r="A5952" i="80" s="1"/>
  <c r="I5948" i="79"/>
  <c r="A5947" i="80" s="1"/>
  <c r="I5893" i="79"/>
  <c r="A5892" i="80" s="1"/>
  <c r="I5943" i="79"/>
  <c r="A5942" i="80"/>
  <c r="I5938" i="79"/>
  <c r="A5937" i="80"/>
  <c r="I5933" i="79"/>
  <c r="A5932" i="80"/>
  <c r="I5928" i="79"/>
  <c r="A5927" i="80"/>
  <c r="I5923" i="79"/>
  <c r="A5922" i="80"/>
  <c r="I5918" i="79"/>
  <c r="A5917" i="80"/>
  <c r="I5913" i="79"/>
  <c r="A5912" i="80"/>
  <c r="I5908" i="79"/>
  <c r="A5907" i="80"/>
  <c r="I5903" i="79"/>
  <c r="A5902" i="80"/>
  <c r="I5898" i="79"/>
  <c r="A5897" i="80"/>
  <c r="I8073" i="79"/>
  <c r="A8072" i="80"/>
  <c r="I8068" i="79"/>
  <c r="A8067" i="80"/>
  <c r="I8063" i="79"/>
  <c r="A8062" i="80"/>
  <c r="I8058" i="79"/>
  <c r="A8057" i="80"/>
  <c r="I8053" i="79"/>
  <c r="A8052" i="80"/>
  <c r="I8048" i="79"/>
  <c r="A8047" i="80"/>
  <c r="I8043" i="79"/>
  <c r="A8042" i="80"/>
  <c r="I8023" i="79"/>
  <c r="A8022" i="80"/>
  <c r="I8018" i="79"/>
  <c r="A8017" i="80"/>
  <c r="I8013" i="79"/>
  <c r="A8012" i="80"/>
  <c r="I8008" i="79"/>
  <c r="A8007" i="80"/>
  <c r="I8003" i="79"/>
  <c r="A8002" i="80"/>
  <c r="I7998" i="79"/>
  <c r="A7997" i="80"/>
  <c r="I7993" i="79"/>
  <c r="A7992" i="80"/>
  <c r="I7973" i="79"/>
  <c r="A7972" i="80"/>
  <c r="I7968" i="79"/>
  <c r="A7967" i="80"/>
  <c r="I7963" i="79"/>
  <c r="A7962" i="80"/>
  <c r="I7958" i="79"/>
  <c r="A7957" i="80"/>
  <c r="I7953" i="79"/>
  <c r="A7952" i="80"/>
  <c r="I7948" i="79"/>
  <c r="A7947" i="80"/>
  <c r="I7943" i="79"/>
  <c r="A7942" i="80"/>
  <c r="I7923" i="79"/>
  <c r="A7922" i="80" s="1"/>
  <c r="I7918" i="79"/>
  <c r="A7917" i="80" s="1"/>
  <c r="I7913" i="79"/>
  <c r="A7912" i="80" s="1"/>
  <c r="I7908" i="79"/>
  <c r="A7907" i="80" s="1"/>
  <c r="I7903" i="79"/>
  <c r="A7902" i="80" s="1"/>
  <c r="I7898" i="79"/>
  <c r="A7897" i="80" s="1"/>
  <c r="I7893" i="79"/>
  <c r="A7892" i="80" s="1"/>
  <c r="I7873" i="79"/>
  <c r="A7872" i="80" s="1"/>
  <c r="I7868" i="79"/>
  <c r="A7867" i="80" s="1"/>
  <c r="I7863" i="79"/>
  <c r="A7862" i="80" s="1"/>
  <c r="I7858" i="79"/>
  <c r="A7857" i="80" s="1"/>
  <c r="I7853" i="79"/>
  <c r="A7852" i="80"/>
  <c r="I7848" i="79"/>
  <c r="A7847" i="80"/>
  <c r="I7843" i="79"/>
  <c r="A7842" i="80" s="1"/>
  <c r="I7793" i="79"/>
  <c r="A7792" i="80" s="1"/>
  <c r="I7828" i="79"/>
  <c r="A7827" i="80" s="1"/>
  <c r="I7823" i="79"/>
  <c r="A7822" i="80" s="1"/>
  <c r="I7818" i="79"/>
  <c r="A7817" i="80" s="1"/>
  <c r="I7813" i="79"/>
  <c r="A7812" i="80" s="1"/>
  <c r="I7808" i="79"/>
  <c r="A7807" i="80" s="1"/>
  <c r="I7803" i="79"/>
  <c r="A7802" i="80" s="1"/>
  <c r="I7798" i="79"/>
  <c r="A7797" i="80"/>
  <c r="I18414" i="79"/>
  <c r="A18413" i="80"/>
  <c r="I18409" i="79"/>
  <c r="A18408" i="80"/>
  <c r="I18404" i="79"/>
  <c r="A18403" i="80"/>
  <c r="I18399" i="79"/>
  <c r="A18398" i="80"/>
  <c r="I18394" i="79"/>
  <c r="A18393" i="80"/>
  <c r="I18389" i="79"/>
  <c r="A18388" i="80"/>
  <c r="I18384" i="79"/>
  <c r="A18383" i="80"/>
  <c r="I18379" i="79"/>
  <c r="A18378" i="80"/>
  <c r="I18374" i="79"/>
  <c r="A18373" i="80"/>
  <c r="I18369" i="79"/>
  <c r="A18368" i="80"/>
  <c r="I18364" i="79"/>
  <c r="A18363" i="80"/>
  <c r="I18359" i="79"/>
  <c r="A18358" i="80"/>
  <c r="I18354" i="79"/>
  <c r="A18353" i="80"/>
  <c r="I18349" i="79"/>
  <c r="A18348" i="80"/>
  <c r="I18344" i="79"/>
  <c r="A18343" i="80"/>
  <c r="I18339" i="79"/>
  <c r="A18338" i="80"/>
  <c r="I18334" i="79"/>
  <c r="A18333" i="80"/>
  <c r="I18329" i="79"/>
  <c r="A18328" i="80"/>
  <c r="I18324" i="79"/>
  <c r="A18323" i="80"/>
  <c r="I18319" i="79"/>
  <c r="A18318" i="80"/>
  <c r="I18314" i="79"/>
  <c r="A18313" i="80"/>
  <c r="I18309" i="79"/>
  <c r="A18308" i="80"/>
  <c r="I18304" i="79"/>
  <c r="A18303" i="80"/>
  <c r="I18299" i="79"/>
  <c r="A18298" i="80"/>
  <c r="I18294" i="79"/>
  <c r="A18293" i="80"/>
  <c r="I18289" i="79"/>
  <c r="A18288" i="80"/>
  <c r="I18284" i="79"/>
  <c r="A18283" i="80"/>
  <c r="I18279" i="79"/>
  <c r="A18278" i="80"/>
  <c r="I18274" i="79"/>
  <c r="A18273" i="80"/>
  <c r="I18269" i="79"/>
  <c r="A18268" i="80"/>
  <c r="I18264" i="79"/>
  <c r="A18263" i="80"/>
  <c r="I18259" i="79"/>
  <c r="A18258" i="80"/>
  <c r="I18254" i="79"/>
  <c r="A18253" i="80"/>
  <c r="I18249" i="79"/>
  <c r="A18248" i="80"/>
  <c r="I18244" i="79"/>
  <c r="A18243" i="80"/>
  <c r="I18239" i="79"/>
  <c r="A18238" i="80"/>
  <c r="I18234" i="79"/>
  <c r="A18233" i="80"/>
  <c r="I18229" i="79"/>
  <c r="A18228" i="80"/>
  <c r="I18224" i="79"/>
  <c r="A18223" i="80"/>
  <c r="I18219" i="79"/>
  <c r="A18218" i="80"/>
  <c r="I18214" i="79"/>
  <c r="A18213" i="80"/>
  <c r="I18209" i="79"/>
  <c r="A18208" i="80"/>
  <c r="I18204" i="79"/>
  <c r="A18203" i="80"/>
  <c r="I18199" i="79"/>
  <c r="A18198" i="80"/>
  <c r="I18194" i="79"/>
  <c r="A18193" i="80"/>
  <c r="I18189" i="79"/>
  <c r="A18188" i="80"/>
  <c r="I18184" i="79"/>
  <c r="A18183" i="80"/>
  <c r="I18179" i="79"/>
  <c r="A18178" i="80"/>
  <c r="I18174" i="79"/>
  <c r="A18173" i="80"/>
  <c r="I18169" i="79"/>
  <c r="A18168" i="80"/>
  <c r="I18164" i="79"/>
  <c r="A18163" i="80"/>
  <c r="I18159" i="79"/>
  <c r="A18158" i="80"/>
  <c r="I18154" i="79"/>
  <c r="A18153" i="80"/>
  <c r="I18149" i="79"/>
  <c r="A18148" i="80"/>
  <c r="I18144" i="79"/>
  <c r="A18143" i="80"/>
  <c r="I18139" i="79"/>
  <c r="A18138" i="80"/>
  <c r="I18134" i="79"/>
  <c r="A18133" i="80"/>
  <c r="I18129" i="79"/>
  <c r="A18128" i="80"/>
  <c r="I18124" i="79"/>
  <c r="A18123" i="80"/>
  <c r="I18119" i="79"/>
  <c r="A18118" i="80"/>
  <c r="I18114" i="79"/>
  <c r="A18113" i="80"/>
  <c r="I18109" i="79"/>
  <c r="A18108" i="80"/>
  <c r="I18104" i="79"/>
  <c r="A18103" i="80"/>
  <c r="I18099" i="79"/>
  <c r="A18098" i="80"/>
  <c r="I18094" i="79"/>
  <c r="A18093" i="80"/>
  <c r="I18089" i="79"/>
  <c r="A18088" i="80"/>
  <c r="I18084" i="79"/>
  <c r="A18083" i="80"/>
  <c r="I18079" i="79"/>
  <c r="A18078" i="80"/>
  <c r="I18074" i="79"/>
  <c r="A18073" i="80"/>
  <c r="I18069" i="79"/>
  <c r="A18068" i="80"/>
  <c r="I18064" i="79"/>
  <c r="A18063" i="80"/>
  <c r="I18059" i="79"/>
  <c r="A18058" i="80"/>
  <c r="I18054" i="79"/>
  <c r="A18053" i="80"/>
  <c r="I18049" i="79"/>
  <c r="A18048" i="80"/>
  <c r="I18044" i="79"/>
  <c r="A18043" i="80"/>
  <c r="I18039" i="79"/>
  <c r="A18038" i="80"/>
  <c r="I18034" i="79"/>
  <c r="A18033" i="80"/>
  <c r="I18029" i="79"/>
  <c r="A18028" i="80"/>
  <c r="I18024" i="79"/>
  <c r="A18023" i="80"/>
  <c r="I18019" i="79"/>
  <c r="A18018" i="80"/>
  <c r="I18014" i="79"/>
  <c r="A18013" i="80"/>
  <c r="I18009" i="79"/>
  <c r="A18008" i="80"/>
  <c r="I18004" i="79"/>
  <c r="A18003" i="80"/>
  <c r="I17999" i="79"/>
  <c r="A17998" i="80"/>
  <c r="I17994" i="79"/>
  <c r="A17993" i="80"/>
  <c r="I17989" i="79"/>
  <c r="A17988" i="80"/>
  <c r="I17984" i="79"/>
  <c r="A17983" i="80"/>
  <c r="I17979" i="79"/>
  <c r="A17978" i="80"/>
  <c r="I17974" i="79"/>
  <c r="A17973" i="80"/>
  <c r="I17969" i="79"/>
  <c r="A17968" i="80"/>
  <c r="I17964" i="79"/>
  <c r="A17963" i="80"/>
  <c r="I17959" i="79"/>
  <c r="A17958" i="80"/>
  <c r="I17954" i="79"/>
  <c r="A17953" i="80"/>
  <c r="I17949" i="79"/>
  <c r="A17948" i="80"/>
  <c r="I17944" i="79"/>
  <c r="A17943" i="80"/>
  <c r="I17939" i="79"/>
  <c r="A17938" i="80"/>
  <c r="I17934" i="79"/>
  <c r="A17933" i="80"/>
  <c r="I17929" i="79"/>
  <c r="A17928" i="80"/>
  <c r="I17924" i="79"/>
  <c r="A17923" i="80"/>
  <c r="I17919" i="79"/>
  <c r="A17918" i="80"/>
  <c r="I17914" i="79"/>
  <c r="A17913" i="80"/>
  <c r="I17909" i="79"/>
  <c r="A17908" i="80"/>
  <c r="I17904" i="79"/>
  <c r="A17903" i="80"/>
  <c r="I17899" i="79"/>
  <c r="A17898" i="80"/>
  <c r="I18703" i="79"/>
  <c r="A18702" i="80"/>
  <c r="I18698" i="79"/>
  <c r="A18697" i="80"/>
  <c r="I18693" i="79"/>
  <c r="A18692" i="80"/>
  <c r="I18688" i="79"/>
  <c r="A18687" i="80"/>
  <c r="I18683" i="79"/>
  <c r="A18682" i="80"/>
  <c r="I18678" i="79"/>
  <c r="A18677" i="80"/>
  <c r="I18673" i="79"/>
  <c r="A18672" i="80"/>
  <c r="I18668" i="79"/>
  <c r="A18667" i="80"/>
  <c r="I18663" i="79"/>
  <c r="A18662" i="80"/>
  <c r="I18658" i="79"/>
  <c r="A18657" i="80"/>
  <c r="I18653" i="79"/>
  <c r="A18652" i="80"/>
  <c r="I18648" i="79"/>
  <c r="A18647" i="80"/>
  <c r="I18643" i="79"/>
  <c r="A18642" i="80"/>
  <c r="I18638" i="79"/>
  <c r="A18637" i="80"/>
  <c r="I18633" i="79"/>
  <c r="A18632" i="80"/>
  <c r="I18628" i="79"/>
  <c r="A18627" i="80"/>
  <c r="I18623" i="79"/>
  <c r="A18622" i="80"/>
  <c r="I18618" i="79"/>
  <c r="A18617" i="80"/>
  <c r="I18613" i="79"/>
  <c r="A18612" i="80"/>
  <c r="I18608" i="79"/>
  <c r="A18607" i="80"/>
  <c r="I18603" i="79"/>
  <c r="A18602" i="80"/>
  <c r="I18598" i="79"/>
  <c r="A18597" i="80"/>
  <c r="I18593" i="79"/>
  <c r="A18592" i="80"/>
  <c r="I18588" i="79"/>
  <c r="A18587" i="80"/>
  <c r="I18583" i="79"/>
  <c r="A18582" i="80"/>
  <c r="I18578" i="79"/>
  <c r="A18577" i="80"/>
  <c r="I18573" i="79"/>
  <c r="A18572" i="80"/>
  <c r="I18568" i="79"/>
  <c r="A18567" i="80"/>
  <c r="I18563" i="79"/>
  <c r="A18562" i="80"/>
  <c r="I18558" i="79"/>
  <c r="A18557" i="80"/>
  <c r="I18553" i="79"/>
  <c r="A18552" i="80"/>
  <c r="I18548" i="79"/>
  <c r="A18547" i="80"/>
  <c r="I18543" i="79"/>
  <c r="A18542" i="80"/>
  <c r="I18538" i="79"/>
  <c r="A18537" i="80"/>
  <c r="I18533" i="79"/>
  <c r="A18532" i="80"/>
  <c r="I18528" i="79"/>
  <c r="A18527" i="80"/>
  <c r="I18523" i="79"/>
  <c r="A18522" i="80"/>
  <c r="I18518" i="79"/>
  <c r="A18517" i="80"/>
  <c r="I18513" i="79"/>
  <c r="A18512" i="80"/>
  <c r="I18508" i="79"/>
  <c r="A18507" i="80"/>
  <c r="I18503" i="79"/>
  <c r="A18502" i="80"/>
  <c r="I18498" i="79"/>
  <c r="A18497" i="80"/>
  <c r="I18493" i="79"/>
  <c r="A18492" i="80"/>
  <c r="I18488" i="79"/>
  <c r="A18487" i="80"/>
  <c r="I18483" i="79"/>
  <c r="A18482" i="80"/>
  <c r="I18478" i="79"/>
  <c r="A18477" i="80"/>
  <c r="I18473" i="79"/>
  <c r="A18472" i="80"/>
  <c r="I18468" i="79"/>
  <c r="A18467" i="80"/>
  <c r="I7341" i="79"/>
  <c r="A7340" i="80"/>
  <c r="I7331" i="79"/>
  <c r="A7330" i="80"/>
  <c r="I7326" i="79"/>
  <c r="A7325" i="80"/>
  <c r="I7321" i="79"/>
  <c r="A7320" i="80"/>
  <c r="I7316" i="79"/>
  <c r="A7315" i="80"/>
  <c r="I7301" i="79"/>
  <c r="A7300" i="80"/>
  <c r="I7291" i="79"/>
  <c r="A7290" i="80"/>
  <c r="I7286" i="79"/>
  <c r="A7285" i="80"/>
  <c r="I7281" i="79"/>
  <c r="A7280" i="80"/>
  <c r="I7276" i="79"/>
  <c r="A7275" i="80"/>
  <c r="I7261" i="79"/>
  <c r="A7260" i="80"/>
  <c r="I7251" i="79"/>
  <c r="A7250" i="80"/>
  <c r="I7246" i="79"/>
  <c r="A7245" i="80"/>
  <c r="I7241" i="79"/>
  <c r="A7240" i="80"/>
  <c r="I7236" i="79"/>
  <c r="A7235" i="80"/>
  <c r="I7221" i="79"/>
  <c r="A7220" i="80"/>
  <c r="I7211" i="79"/>
  <c r="A7210" i="80"/>
  <c r="I7206" i="79"/>
  <c r="A7205" i="80"/>
  <c r="I7201" i="79"/>
  <c r="A7200" i="80"/>
  <c r="I7196" i="79"/>
  <c r="A7195" i="80"/>
  <c r="I7181" i="79"/>
  <c r="A7180" i="80"/>
  <c r="I7171" i="79"/>
  <c r="A7170" i="80"/>
  <c r="I7166" i="79"/>
  <c r="A7165" i="80"/>
  <c r="I7161" i="79"/>
  <c r="A7160" i="80"/>
  <c r="I7156" i="79"/>
  <c r="A7155" i="80"/>
  <c r="E199" i="71"/>
  <c r="I17299" i="79"/>
  <c r="A17298" i="80" s="1"/>
  <c r="I1422" i="79"/>
  <c r="A1421" i="80" s="1"/>
  <c r="I1381" i="79"/>
  <c r="A1380" i="80" s="1"/>
  <c r="I1376" i="79"/>
  <c r="A1375" i="80" s="1"/>
  <c r="I1371" i="79"/>
  <c r="A1370" i="80" s="1"/>
  <c r="I7402" i="79"/>
  <c r="A7401" i="80" s="1"/>
  <c r="I7411" i="79"/>
  <c r="A7410" i="80" s="1"/>
  <c r="I7456" i="79"/>
  <c r="A7455" i="80" s="1"/>
  <c r="I7451" i="79"/>
  <c r="A7450" i="80" s="1"/>
  <c r="I7446" i="79"/>
  <c r="A7445" i="80" s="1"/>
  <c r="I7441" i="79"/>
  <c r="A7440" i="80" s="1"/>
  <c r="I7436" i="79"/>
  <c r="A7435" i="80" s="1"/>
  <c r="I7431" i="79"/>
  <c r="A7430" i="80" s="1"/>
  <c r="I7426" i="79"/>
  <c r="A7425" i="80" s="1"/>
  <c r="I7421" i="79"/>
  <c r="A7420" i="80" s="1"/>
  <c r="I7416" i="79"/>
  <c r="A7415" i="80" s="1"/>
  <c r="I7116" i="79"/>
  <c r="A7115" i="80" s="1"/>
  <c r="I7141" i="79"/>
  <c r="A7140" i="80" s="1"/>
  <c r="I7131" i="79"/>
  <c r="A7130" i="80" s="1"/>
  <c r="I7126" i="79"/>
  <c r="A7125" i="80" s="1"/>
  <c r="I7121" i="79"/>
  <c r="A7120" i="80" s="1"/>
  <c r="F199" i="71"/>
  <c r="I17305" i="79" s="1"/>
  <c r="A17304" i="80" s="1"/>
  <c r="D199" i="71"/>
  <c r="I17293" i="79" s="1"/>
  <c r="A17292" i="80" s="1"/>
  <c r="I3390" i="79"/>
  <c r="A3389" i="80" s="1"/>
  <c r="I3385" i="79"/>
  <c r="A3384" i="80" s="1"/>
  <c r="I3380" i="79"/>
  <c r="A3379" i="80" s="1"/>
  <c r="I3375" i="79"/>
  <c r="A3374" i="80" s="1"/>
  <c r="I3370" i="79"/>
  <c r="A3369" i="80" s="1"/>
  <c r="I3365" i="79"/>
  <c r="A3364" i="80" s="1"/>
  <c r="I3360" i="79"/>
  <c r="A3359" i="80" s="1"/>
  <c r="I3355" i="79"/>
  <c r="A3354" i="80" s="1"/>
  <c r="I3350" i="79"/>
  <c r="A3349" i="80" s="1"/>
  <c r="I3345" i="79"/>
  <c r="A3344" i="80" s="1"/>
  <c r="I3340" i="79"/>
  <c r="A3339" i="80" s="1"/>
  <c r="I3335" i="79"/>
  <c r="A3334" i="80" s="1"/>
  <c r="I3330" i="79"/>
  <c r="A3329" i="80" s="1"/>
  <c r="I3325" i="79"/>
  <c r="A3324" i="80" s="1"/>
  <c r="I3320" i="79"/>
  <c r="A3319" i="80" s="1"/>
  <c r="I3315" i="79"/>
  <c r="A3314" i="80" s="1"/>
  <c r="I3310" i="79"/>
  <c r="A3309" i="80" s="1"/>
  <c r="I3305" i="79"/>
  <c r="A3304" i="80" s="1"/>
  <c r="I3300" i="79"/>
  <c r="A3299" i="80" s="1"/>
  <c r="I3295" i="79"/>
  <c r="A3294" i="80" s="1"/>
  <c r="I3290" i="79"/>
  <c r="A3289" i="80" s="1"/>
  <c r="I3285" i="79"/>
  <c r="A3284" i="80" s="1"/>
  <c r="I3280" i="79"/>
  <c r="A3279" i="80" s="1"/>
  <c r="I3275" i="79"/>
  <c r="A3274" i="80" s="1"/>
  <c r="I3270" i="79"/>
  <c r="A3269" i="80" s="1"/>
  <c r="I3265" i="79"/>
  <c r="A3264" i="80" s="1"/>
  <c r="I3260" i="79"/>
  <c r="A3259" i="80" s="1"/>
  <c r="I3255" i="79"/>
  <c r="A3254" i="80" s="1"/>
  <c r="I3250" i="79"/>
  <c r="A3249" i="80" s="1"/>
  <c r="I3245" i="79"/>
  <c r="A3244" i="80" s="1"/>
  <c r="I3240" i="79"/>
  <c r="A3239" i="80" s="1"/>
  <c r="I3235" i="79"/>
  <c r="A3234" i="80" s="1"/>
  <c r="I3230" i="79"/>
  <c r="A3229" i="80" s="1"/>
  <c r="I3225" i="79"/>
  <c r="A3224" i="80" s="1"/>
  <c r="I3220" i="79"/>
  <c r="A3219" i="80" s="1"/>
  <c r="I3210" i="79"/>
  <c r="A3209" i="80" s="1"/>
  <c r="I3215" i="79"/>
  <c r="A3214" i="80" s="1"/>
  <c r="I3205" i="79"/>
  <c r="A3204" i="80" s="1"/>
  <c r="I3200" i="79"/>
  <c r="A3199" i="80" s="1"/>
  <c r="I3195" i="79"/>
  <c r="A3194" i="80" s="1"/>
  <c r="I3190" i="79"/>
  <c r="A3189" i="80" s="1"/>
  <c r="I3185" i="79"/>
  <c r="A3184" i="80" s="1"/>
  <c r="I3180" i="79"/>
  <c r="A3179" i="80" s="1"/>
  <c r="I3175" i="79"/>
  <c r="A3174" i="80" s="1"/>
  <c r="I3170" i="79"/>
  <c r="A3169" i="80" s="1"/>
  <c r="I3165" i="79"/>
  <c r="A3164" i="80" s="1"/>
  <c r="I3155" i="79"/>
  <c r="A3154" i="80" s="1"/>
  <c r="I3150" i="79"/>
  <c r="A3149" i="80" s="1"/>
  <c r="I3140" i="79"/>
  <c r="A3139" i="80" s="1"/>
  <c r="I3135" i="79"/>
  <c r="A3134" i="80" s="1"/>
  <c r="I3125" i="79"/>
  <c r="A3124" i="80" s="1"/>
  <c r="I3120" i="79"/>
  <c r="A3119" i="80" s="1"/>
  <c r="I3115" i="79"/>
  <c r="A3114" i="80" s="1"/>
  <c r="I3110" i="79"/>
  <c r="A3109" i="80" s="1"/>
  <c r="I3105" i="79"/>
  <c r="A3104" i="80" s="1"/>
  <c r="I3100" i="79"/>
  <c r="A3099" i="80" s="1"/>
  <c r="I3095" i="79"/>
  <c r="A3094" i="80" s="1"/>
  <c r="I3090" i="79"/>
  <c r="A3089" i="80" s="1"/>
  <c r="I3085" i="79"/>
  <c r="A3084" i="80" s="1"/>
  <c r="I3080" i="79"/>
  <c r="A3079" i="80" s="1"/>
  <c r="I3075" i="79"/>
  <c r="A3074" i="80" s="1"/>
  <c r="I3070" i="79"/>
  <c r="A3069" i="80" s="1"/>
  <c r="I3065" i="79"/>
  <c r="A3064" i="80" s="1"/>
  <c r="I3060" i="79"/>
  <c r="A3059" i="80" s="1"/>
  <c r="I3055" i="79"/>
  <c r="A3054" i="80" s="1"/>
  <c r="I3050" i="79"/>
  <c r="A3049" i="80" s="1"/>
  <c r="I3045" i="79"/>
  <c r="A3044" i="80" s="1"/>
  <c r="I3040" i="79"/>
  <c r="A3039" i="80" s="1"/>
  <c r="I3035" i="79"/>
  <c r="A3034" i="80" s="1"/>
  <c r="I17378" i="79"/>
  <c r="A17377" i="80" s="1"/>
  <c r="A1" i="80"/>
  <c r="E8" i="79"/>
  <c r="A7" i="80" s="1"/>
  <c r="E15" i="62"/>
  <c r="H10" i="71"/>
  <c r="I17349" i="79" s="1"/>
  <c r="A17348" i="80" s="1"/>
  <c r="C15" i="62"/>
  <c r="H9" i="71" s="1"/>
  <c r="I17343" i="79" s="1"/>
  <c r="A17342" i="80" s="1"/>
  <c r="C15" i="75"/>
  <c r="C16" i="26"/>
  <c r="B16" i="26"/>
  <c r="I7358" i="79"/>
  <c r="A7357" i="80" s="1"/>
  <c r="H617" i="63"/>
  <c r="G617" i="63"/>
  <c r="F617" i="63"/>
  <c r="E617" i="63"/>
  <c r="D617" i="63"/>
  <c r="C617" i="63"/>
  <c r="H616" i="63"/>
  <c r="G616" i="63"/>
  <c r="F616" i="63"/>
  <c r="E616" i="63"/>
  <c r="D616" i="63"/>
  <c r="C616" i="63"/>
  <c r="H615" i="63"/>
  <c r="G615" i="63"/>
  <c r="F615" i="63"/>
  <c r="E615" i="63"/>
  <c r="D615" i="63"/>
  <c r="C615" i="63"/>
  <c r="H614" i="63"/>
  <c r="G614" i="63"/>
  <c r="F614" i="63"/>
  <c r="E614" i="63"/>
  <c r="D614" i="63"/>
  <c r="C614" i="63"/>
  <c r="H613" i="63"/>
  <c r="G613" i="63"/>
  <c r="F613" i="63"/>
  <c r="E613" i="63"/>
  <c r="D613" i="63"/>
  <c r="C613" i="63"/>
  <c r="H612" i="63"/>
  <c r="G612" i="63"/>
  <c r="F612" i="63"/>
  <c r="E612" i="63"/>
  <c r="D612" i="63"/>
  <c r="C612" i="63"/>
  <c r="H611" i="63"/>
  <c r="G611" i="63"/>
  <c r="F611" i="63"/>
  <c r="E611" i="63"/>
  <c r="D611" i="63"/>
  <c r="C611" i="63"/>
  <c r="H610" i="63"/>
  <c r="G610" i="63"/>
  <c r="F610" i="63"/>
  <c r="E610" i="63"/>
  <c r="D610" i="63"/>
  <c r="C610" i="63"/>
  <c r="H609" i="63"/>
  <c r="G609" i="63"/>
  <c r="F609" i="63"/>
  <c r="E609" i="63"/>
  <c r="D609" i="63"/>
  <c r="C609" i="63"/>
  <c r="H608" i="63"/>
  <c r="G608" i="63"/>
  <c r="F608" i="63"/>
  <c r="E608" i="63"/>
  <c r="D608" i="63"/>
  <c r="C608" i="63"/>
  <c r="H607" i="63"/>
  <c r="G607" i="63"/>
  <c r="F607" i="63"/>
  <c r="E607" i="63"/>
  <c r="D607" i="63"/>
  <c r="C607" i="63"/>
  <c r="H606" i="63"/>
  <c r="G606" i="63"/>
  <c r="F606" i="63"/>
  <c r="E606" i="63"/>
  <c r="D606" i="63"/>
  <c r="C606" i="63"/>
  <c r="H605" i="63"/>
  <c r="G605" i="63"/>
  <c r="F605" i="63"/>
  <c r="E605" i="63"/>
  <c r="D605" i="63"/>
  <c r="C605" i="63"/>
  <c r="H604" i="63"/>
  <c r="G604" i="63"/>
  <c r="F604" i="63"/>
  <c r="E604" i="63"/>
  <c r="D604" i="63"/>
  <c r="C604" i="63"/>
  <c r="H603" i="63"/>
  <c r="G603" i="63"/>
  <c r="F603" i="63"/>
  <c r="E603" i="63"/>
  <c r="D603" i="63"/>
  <c r="C603" i="63"/>
  <c r="H602" i="63"/>
  <c r="G602" i="63"/>
  <c r="F602" i="63"/>
  <c r="E602" i="63"/>
  <c r="D602" i="63"/>
  <c r="C602" i="63"/>
  <c r="H601" i="63"/>
  <c r="G601" i="63"/>
  <c r="F601" i="63"/>
  <c r="E601" i="63"/>
  <c r="D601" i="63"/>
  <c r="C601" i="63"/>
  <c r="H600" i="63"/>
  <c r="G600" i="63"/>
  <c r="F600" i="63"/>
  <c r="E600" i="63"/>
  <c r="D600" i="63"/>
  <c r="C600" i="63"/>
  <c r="H599" i="63"/>
  <c r="G599" i="63"/>
  <c r="F599" i="63"/>
  <c r="E599" i="63"/>
  <c r="D599" i="63"/>
  <c r="C599" i="63"/>
  <c r="H598" i="63"/>
  <c r="G598" i="63"/>
  <c r="F598" i="63"/>
  <c r="E598" i="63"/>
  <c r="D598" i="63"/>
  <c r="C598" i="63"/>
  <c r="H597" i="63"/>
  <c r="G597" i="63"/>
  <c r="F597" i="63"/>
  <c r="E597" i="63"/>
  <c r="D597" i="63"/>
  <c r="C597" i="63"/>
  <c r="H596" i="63"/>
  <c r="G596" i="63"/>
  <c r="F596" i="63"/>
  <c r="E596" i="63"/>
  <c r="D596" i="63"/>
  <c r="C596" i="63"/>
  <c r="H595" i="63"/>
  <c r="G595" i="63"/>
  <c r="F595" i="63"/>
  <c r="E595" i="63"/>
  <c r="D595" i="63"/>
  <c r="C595" i="63"/>
  <c r="H594" i="63"/>
  <c r="G594" i="63"/>
  <c r="F594" i="63"/>
  <c r="E594" i="63"/>
  <c r="D594" i="63"/>
  <c r="C594" i="63"/>
  <c r="H593" i="63"/>
  <c r="G593" i="63"/>
  <c r="F593" i="63"/>
  <c r="E593" i="63"/>
  <c r="D593" i="63"/>
  <c r="C593" i="63"/>
  <c r="H592" i="63"/>
  <c r="G592" i="63"/>
  <c r="F592" i="63"/>
  <c r="E592" i="63"/>
  <c r="D592" i="63"/>
  <c r="C592" i="63"/>
  <c r="H591" i="63"/>
  <c r="G591" i="63"/>
  <c r="F591" i="63"/>
  <c r="E591" i="63"/>
  <c r="D591" i="63"/>
  <c r="C591" i="63"/>
  <c r="H590" i="63"/>
  <c r="G590" i="63"/>
  <c r="F590" i="63"/>
  <c r="E590" i="63"/>
  <c r="D590" i="63"/>
  <c r="C590" i="63"/>
  <c r="H589" i="63"/>
  <c r="G589" i="63"/>
  <c r="F589" i="63"/>
  <c r="E589" i="63"/>
  <c r="D589" i="63"/>
  <c r="C589" i="63"/>
  <c r="H588" i="63"/>
  <c r="G588" i="63"/>
  <c r="F588" i="63"/>
  <c r="E588" i="63"/>
  <c r="D588" i="63"/>
  <c r="C588" i="63"/>
  <c r="H587" i="63"/>
  <c r="G587" i="63"/>
  <c r="F587" i="63"/>
  <c r="E587" i="63"/>
  <c r="D587" i="63"/>
  <c r="C587" i="63"/>
  <c r="H586" i="63"/>
  <c r="G586" i="63"/>
  <c r="F586" i="63"/>
  <c r="E586" i="63"/>
  <c r="D586" i="63"/>
  <c r="C586" i="63"/>
  <c r="H585" i="63"/>
  <c r="G585" i="63"/>
  <c r="F585" i="63"/>
  <c r="E585" i="63"/>
  <c r="D585" i="63"/>
  <c r="C585" i="63"/>
  <c r="H584" i="63"/>
  <c r="G584" i="63"/>
  <c r="F584" i="63"/>
  <c r="E584" i="63"/>
  <c r="D584" i="63"/>
  <c r="C584" i="63"/>
  <c r="H583" i="63"/>
  <c r="G583" i="63"/>
  <c r="F583" i="63"/>
  <c r="E583" i="63"/>
  <c r="D583" i="63"/>
  <c r="C583" i="63"/>
  <c r="H582" i="63"/>
  <c r="G582" i="63"/>
  <c r="F582" i="63"/>
  <c r="E582" i="63"/>
  <c r="D582" i="63"/>
  <c r="C582" i="63"/>
  <c r="H581" i="63"/>
  <c r="G581" i="63"/>
  <c r="F581" i="63"/>
  <c r="E581" i="63"/>
  <c r="D581" i="63"/>
  <c r="C581" i="63"/>
  <c r="H580" i="63"/>
  <c r="G580" i="63"/>
  <c r="F580" i="63"/>
  <c r="E580" i="63"/>
  <c r="D580" i="63"/>
  <c r="C580" i="63"/>
  <c r="H579" i="63"/>
  <c r="G579" i="63"/>
  <c r="F579" i="63"/>
  <c r="E579" i="63"/>
  <c r="D579" i="63"/>
  <c r="C579" i="63"/>
  <c r="H578" i="63"/>
  <c r="G578" i="63"/>
  <c r="F578" i="63"/>
  <c r="E578" i="63"/>
  <c r="D578" i="63"/>
  <c r="C578" i="63"/>
  <c r="H577" i="63"/>
  <c r="G577" i="63"/>
  <c r="F577" i="63"/>
  <c r="E577" i="63"/>
  <c r="D577" i="63"/>
  <c r="C577" i="63"/>
  <c r="H576" i="63"/>
  <c r="G576" i="63"/>
  <c r="F576" i="63"/>
  <c r="E576" i="63"/>
  <c r="D576" i="63"/>
  <c r="C576" i="63"/>
  <c r="H575" i="63"/>
  <c r="G575" i="63"/>
  <c r="F575" i="63"/>
  <c r="E575" i="63"/>
  <c r="D575" i="63"/>
  <c r="C575" i="63"/>
  <c r="H574" i="63"/>
  <c r="G574" i="63"/>
  <c r="F574" i="63"/>
  <c r="E574" i="63"/>
  <c r="D574" i="63"/>
  <c r="C574" i="63"/>
  <c r="H573" i="63"/>
  <c r="G573" i="63"/>
  <c r="F573" i="63"/>
  <c r="E573" i="63"/>
  <c r="D573" i="63"/>
  <c r="C573" i="63"/>
  <c r="H572" i="63"/>
  <c r="G572" i="63"/>
  <c r="F572" i="63"/>
  <c r="E572" i="63"/>
  <c r="D572" i="63"/>
  <c r="C572" i="63"/>
  <c r="H571" i="63"/>
  <c r="G571" i="63"/>
  <c r="F571" i="63"/>
  <c r="E571" i="63"/>
  <c r="D571" i="63"/>
  <c r="C571" i="63"/>
  <c r="H570" i="63"/>
  <c r="G570" i="63"/>
  <c r="F570" i="63"/>
  <c r="E570" i="63"/>
  <c r="D570" i="63"/>
  <c r="C570" i="63"/>
  <c r="H569" i="63"/>
  <c r="G569" i="63"/>
  <c r="F569" i="63"/>
  <c r="E569" i="63"/>
  <c r="D569" i="63"/>
  <c r="C569" i="63"/>
  <c r="H568" i="63"/>
  <c r="G568" i="63"/>
  <c r="F568" i="63"/>
  <c r="E568" i="63"/>
  <c r="D568" i="63"/>
  <c r="C568" i="63"/>
  <c r="H567" i="63"/>
  <c r="G567" i="63"/>
  <c r="F567" i="63"/>
  <c r="E567" i="63"/>
  <c r="D567" i="63"/>
  <c r="C567" i="63"/>
  <c r="H566" i="63"/>
  <c r="G566" i="63"/>
  <c r="F566" i="63"/>
  <c r="E566" i="63"/>
  <c r="D566" i="63"/>
  <c r="C566" i="63"/>
  <c r="H565" i="63"/>
  <c r="G565" i="63"/>
  <c r="F565" i="63"/>
  <c r="E565" i="63"/>
  <c r="D565" i="63"/>
  <c r="C565" i="63"/>
  <c r="H564" i="63"/>
  <c r="G564" i="63"/>
  <c r="F564" i="63"/>
  <c r="E564" i="63"/>
  <c r="D564" i="63"/>
  <c r="C564" i="63"/>
  <c r="H563" i="63"/>
  <c r="G563" i="63"/>
  <c r="F563" i="63"/>
  <c r="E563" i="63"/>
  <c r="D563" i="63"/>
  <c r="C563" i="63"/>
  <c r="H562" i="63"/>
  <c r="G562" i="63"/>
  <c r="F562" i="63"/>
  <c r="E562" i="63"/>
  <c r="D562" i="63"/>
  <c r="C562" i="63"/>
  <c r="H561" i="63"/>
  <c r="G561" i="63"/>
  <c r="F561" i="63"/>
  <c r="E561" i="63"/>
  <c r="D561" i="63"/>
  <c r="C561" i="63"/>
  <c r="H560" i="63"/>
  <c r="G560" i="63"/>
  <c r="F560" i="63"/>
  <c r="E560" i="63"/>
  <c r="D560" i="63"/>
  <c r="C560" i="63"/>
  <c r="H559" i="63"/>
  <c r="G559" i="63"/>
  <c r="F559" i="63"/>
  <c r="E559" i="63"/>
  <c r="D559" i="63"/>
  <c r="C559" i="63"/>
  <c r="H558" i="63"/>
  <c r="G558" i="63"/>
  <c r="F558" i="63"/>
  <c r="E558" i="63"/>
  <c r="D558" i="63"/>
  <c r="C558" i="63"/>
  <c r="H557" i="63"/>
  <c r="G557" i="63"/>
  <c r="F557" i="63"/>
  <c r="E557" i="63"/>
  <c r="D557" i="63"/>
  <c r="C557" i="63"/>
  <c r="H556" i="63"/>
  <c r="G556" i="63"/>
  <c r="F556" i="63"/>
  <c r="E556" i="63"/>
  <c r="D556" i="63"/>
  <c r="C556" i="63"/>
  <c r="H555" i="63"/>
  <c r="G555" i="63"/>
  <c r="F555" i="63"/>
  <c r="E555" i="63"/>
  <c r="D555" i="63"/>
  <c r="C555" i="63"/>
  <c r="H554" i="63"/>
  <c r="G554" i="63"/>
  <c r="F554" i="63"/>
  <c r="E554" i="63"/>
  <c r="D554" i="63"/>
  <c r="C554" i="63"/>
  <c r="H553" i="63"/>
  <c r="G553" i="63"/>
  <c r="F553" i="63"/>
  <c r="E553" i="63"/>
  <c r="D553" i="63"/>
  <c r="C553" i="63"/>
  <c r="H552" i="63"/>
  <c r="G552" i="63"/>
  <c r="F552" i="63"/>
  <c r="E552" i="63"/>
  <c r="D552" i="63"/>
  <c r="C552" i="63"/>
  <c r="H551" i="63"/>
  <c r="G551" i="63"/>
  <c r="F551" i="63"/>
  <c r="E551" i="63"/>
  <c r="D551" i="63"/>
  <c r="C551" i="63"/>
  <c r="H550" i="63"/>
  <c r="G550" i="63"/>
  <c r="F550" i="63"/>
  <c r="E550" i="63"/>
  <c r="D550" i="63"/>
  <c r="C550" i="63"/>
  <c r="H549" i="63"/>
  <c r="G549" i="63"/>
  <c r="F549" i="63"/>
  <c r="E549" i="63"/>
  <c r="D549" i="63"/>
  <c r="C549" i="63"/>
  <c r="H548" i="63"/>
  <c r="G548" i="63"/>
  <c r="F548" i="63"/>
  <c r="E548" i="63"/>
  <c r="D548" i="63"/>
  <c r="C548" i="63"/>
  <c r="H547" i="63"/>
  <c r="G547" i="63"/>
  <c r="F547" i="63"/>
  <c r="E547" i="63"/>
  <c r="D547" i="63"/>
  <c r="C547" i="63"/>
  <c r="H546" i="63"/>
  <c r="G546" i="63"/>
  <c r="F546" i="63"/>
  <c r="E546" i="63"/>
  <c r="D546" i="63"/>
  <c r="C546" i="63"/>
  <c r="H545" i="63"/>
  <c r="G545" i="63"/>
  <c r="F545" i="63"/>
  <c r="E545" i="63"/>
  <c r="D545" i="63"/>
  <c r="C545" i="63"/>
  <c r="H544" i="63"/>
  <c r="G544" i="63"/>
  <c r="F544" i="63"/>
  <c r="E544" i="63"/>
  <c r="D544" i="63"/>
  <c r="C544" i="63"/>
  <c r="H543" i="63"/>
  <c r="G543" i="63"/>
  <c r="F543" i="63"/>
  <c r="E543" i="63"/>
  <c r="D543" i="63"/>
  <c r="C543" i="63"/>
  <c r="H542" i="63"/>
  <c r="G542" i="63"/>
  <c r="F542" i="63"/>
  <c r="E542" i="63"/>
  <c r="D542" i="63"/>
  <c r="C542" i="63"/>
  <c r="H541" i="63"/>
  <c r="G541" i="63"/>
  <c r="F541" i="63"/>
  <c r="E541" i="63"/>
  <c r="D541" i="63"/>
  <c r="C541" i="63"/>
  <c r="H540" i="63"/>
  <c r="G540" i="63"/>
  <c r="F540" i="63"/>
  <c r="E540" i="63"/>
  <c r="D540" i="63"/>
  <c r="C540" i="63"/>
  <c r="H539" i="63"/>
  <c r="G539" i="63"/>
  <c r="F539" i="63"/>
  <c r="E539" i="63"/>
  <c r="D539" i="63"/>
  <c r="C539" i="63"/>
  <c r="H538" i="63"/>
  <c r="G538" i="63"/>
  <c r="F538" i="63"/>
  <c r="E538" i="63"/>
  <c r="D538" i="63"/>
  <c r="C538" i="63"/>
  <c r="H537" i="63"/>
  <c r="G537" i="63"/>
  <c r="F537" i="63"/>
  <c r="E537" i="63"/>
  <c r="D537" i="63"/>
  <c r="C537" i="63"/>
  <c r="H536" i="63"/>
  <c r="G536" i="63"/>
  <c r="F536" i="63"/>
  <c r="E536" i="63"/>
  <c r="D536" i="63"/>
  <c r="C536" i="63"/>
  <c r="H535" i="63"/>
  <c r="G535" i="63"/>
  <c r="F535" i="63"/>
  <c r="E535" i="63"/>
  <c r="D535" i="63"/>
  <c r="C535" i="63"/>
  <c r="H534" i="63"/>
  <c r="G534" i="63"/>
  <c r="F534" i="63"/>
  <c r="E534" i="63"/>
  <c r="D534" i="63"/>
  <c r="C534" i="63"/>
  <c r="H533" i="63"/>
  <c r="G533" i="63"/>
  <c r="F533" i="63"/>
  <c r="E533" i="63"/>
  <c r="D533" i="63"/>
  <c r="C533" i="63"/>
  <c r="H532" i="63"/>
  <c r="G532" i="63"/>
  <c r="F532" i="63"/>
  <c r="E532" i="63"/>
  <c r="D532" i="63"/>
  <c r="C532" i="63"/>
  <c r="H531" i="63"/>
  <c r="G531" i="63"/>
  <c r="F531" i="63"/>
  <c r="E531" i="63"/>
  <c r="D531" i="63"/>
  <c r="C531" i="63"/>
  <c r="H530" i="63"/>
  <c r="G530" i="63"/>
  <c r="F530" i="63"/>
  <c r="E530" i="63"/>
  <c r="D530" i="63"/>
  <c r="C530" i="63"/>
  <c r="H529" i="63"/>
  <c r="G529" i="63"/>
  <c r="F529" i="63"/>
  <c r="E529" i="63"/>
  <c r="D529" i="63"/>
  <c r="C529" i="63"/>
  <c r="H528" i="63"/>
  <c r="G528" i="63"/>
  <c r="F528" i="63"/>
  <c r="E528" i="63"/>
  <c r="D528" i="63"/>
  <c r="C528" i="63"/>
  <c r="H527" i="63"/>
  <c r="G527" i="63"/>
  <c r="F527" i="63"/>
  <c r="E527" i="63"/>
  <c r="D527" i="63"/>
  <c r="C527" i="63"/>
  <c r="H526" i="63"/>
  <c r="G526" i="63"/>
  <c r="F526" i="63"/>
  <c r="E526" i="63"/>
  <c r="D526" i="63"/>
  <c r="C526" i="63"/>
  <c r="H525" i="63"/>
  <c r="G525" i="63"/>
  <c r="F525" i="63"/>
  <c r="E525" i="63"/>
  <c r="D525" i="63"/>
  <c r="C525" i="63"/>
  <c r="H524" i="63"/>
  <c r="G524" i="63"/>
  <c r="F524" i="63"/>
  <c r="E524" i="63"/>
  <c r="D524" i="63"/>
  <c r="C524" i="63"/>
  <c r="H523" i="63"/>
  <c r="G523" i="63"/>
  <c r="F523" i="63"/>
  <c r="E523" i="63"/>
  <c r="D523" i="63"/>
  <c r="C523" i="63"/>
  <c r="H522" i="63"/>
  <c r="G522" i="63"/>
  <c r="F522" i="63"/>
  <c r="E522" i="63"/>
  <c r="D522" i="63"/>
  <c r="C522" i="63"/>
  <c r="H521" i="63"/>
  <c r="G521" i="63"/>
  <c r="F521" i="63"/>
  <c r="E521" i="63"/>
  <c r="D521" i="63"/>
  <c r="C521" i="63"/>
  <c r="H520" i="63"/>
  <c r="G520" i="63"/>
  <c r="F520" i="63"/>
  <c r="E520" i="63"/>
  <c r="D520" i="63"/>
  <c r="C520" i="63"/>
  <c r="H519" i="63"/>
  <c r="G519" i="63"/>
  <c r="F519" i="63"/>
  <c r="E519" i="63"/>
  <c r="D519" i="63"/>
  <c r="C519" i="63"/>
  <c r="H518" i="63"/>
  <c r="G518" i="63"/>
  <c r="F518" i="63"/>
  <c r="E518" i="63"/>
  <c r="D518" i="63"/>
  <c r="C518" i="63"/>
  <c r="H517" i="63"/>
  <c r="G517" i="63"/>
  <c r="F517" i="63"/>
  <c r="E517" i="63"/>
  <c r="D517" i="63"/>
  <c r="C517" i="63"/>
  <c r="H516" i="63"/>
  <c r="G516" i="63"/>
  <c r="F516" i="63"/>
  <c r="E516" i="63"/>
  <c r="D516" i="63"/>
  <c r="C516" i="63"/>
  <c r="H515" i="63"/>
  <c r="G515" i="63"/>
  <c r="F515" i="63"/>
  <c r="E515" i="63"/>
  <c r="D515" i="63"/>
  <c r="C515" i="63"/>
  <c r="H514" i="63"/>
  <c r="G514" i="63"/>
  <c r="F514" i="63"/>
  <c r="E514" i="63"/>
  <c r="D514" i="63"/>
  <c r="C514" i="63"/>
  <c r="H513" i="63"/>
  <c r="G513" i="63"/>
  <c r="F513" i="63"/>
  <c r="E513" i="63"/>
  <c r="D513" i="63"/>
  <c r="C513" i="63"/>
  <c r="H512" i="63"/>
  <c r="G512" i="63"/>
  <c r="F512" i="63"/>
  <c r="E512" i="63"/>
  <c r="D512" i="63"/>
  <c r="C512" i="63"/>
  <c r="H511" i="63"/>
  <c r="G511" i="63"/>
  <c r="F511" i="63"/>
  <c r="E511" i="63"/>
  <c r="D511" i="63"/>
  <c r="C511" i="63"/>
  <c r="H510" i="63"/>
  <c r="G510" i="63"/>
  <c r="F510" i="63"/>
  <c r="E510" i="63"/>
  <c r="D510" i="63"/>
  <c r="C510" i="63"/>
  <c r="H509" i="63"/>
  <c r="G509" i="63"/>
  <c r="F509" i="63"/>
  <c r="E509" i="63"/>
  <c r="D509" i="63"/>
  <c r="C509" i="63"/>
  <c r="H508" i="63"/>
  <c r="G508" i="63"/>
  <c r="F508" i="63"/>
  <c r="E508" i="63"/>
  <c r="D508" i="63"/>
  <c r="C508" i="63"/>
  <c r="H507" i="63"/>
  <c r="G507" i="63"/>
  <c r="F507" i="63"/>
  <c r="E507" i="63"/>
  <c r="D507" i="63"/>
  <c r="C507" i="63"/>
  <c r="H506" i="63"/>
  <c r="G506" i="63"/>
  <c r="F506" i="63"/>
  <c r="E506" i="63"/>
  <c r="D506" i="63"/>
  <c r="C506" i="63"/>
  <c r="H505" i="63"/>
  <c r="G505" i="63"/>
  <c r="F505" i="63"/>
  <c r="E505" i="63"/>
  <c r="D505" i="63"/>
  <c r="C505" i="63"/>
  <c r="H504" i="63"/>
  <c r="G504" i="63"/>
  <c r="F504" i="63"/>
  <c r="E504" i="63"/>
  <c r="D504" i="63"/>
  <c r="C504" i="63"/>
  <c r="H503" i="63"/>
  <c r="G503" i="63"/>
  <c r="F503" i="63"/>
  <c r="E503" i="63"/>
  <c r="D503" i="63"/>
  <c r="C503" i="63"/>
  <c r="H502" i="63"/>
  <c r="G502" i="63"/>
  <c r="F502" i="63"/>
  <c r="E502" i="63"/>
  <c r="D502" i="63"/>
  <c r="C502" i="63"/>
  <c r="H501" i="63"/>
  <c r="G501" i="63"/>
  <c r="F501" i="63"/>
  <c r="E501" i="63"/>
  <c r="D501" i="63"/>
  <c r="C501" i="63"/>
  <c r="H500" i="63"/>
  <c r="G500" i="63"/>
  <c r="F500" i="63"/>
  <c r="E500" i="63"/>
  <c r="D500" i="63"/>
  <c r="C500" i="63"/>
  <c r="H499" i="63"/>
  <c r="G499" i="63"/>
  <c r="F499" i="63"/>
  <c r="E499" i="63"/>
  <c r="D499" i="63"/>
  <c r="C499" i="63"/>
  <c r="H498" i="63"/>
  <c r="G498" i="63"/>
  <c r="F498" i="63"/>
  <c r="E498" i="63"/>
  <c r="D498" i="63"/>
  <c r="C498" i="63"/>
  <c r="H497" i="63"/>
  <c r="G497" i="63"/>
  <c r="F497" i="63"/>
  <c r="E497" i="63"/>
  <c r="D497" i="63"/>
  <c r="C497" i="63"/>
  <c r="H496" i="63"/>
  <c r="G496" i="63"/>
  <c r="F496" i="63"/>
  <c r="E496" i="63"/>
  <c r="D496" i="63"/>
  <c r="C496" i="63"/>
  <c r="H495" i="63"/>
  <c r="G495" i="63"/>
  <c r="F495" i="63"/>
  <c r="E495" i="63"/>
  <c r="D495" i="63"/>
  <c r="C495" i="63"/>
  <c r="H494" i="63"/>
  <c r="G494" i="63"/>
  <c r="F494" i="63"/>
  <c r="E494" i="63"/>
  <c r="D494" i="63"/>
  <c r="C494" i="63"/>
  <c r="H493" i="63"/>
  <c r="G493" i="63"/>
  <c r="F493" i="63"/>
  <c r="E493" i="63"/>
  <c r="D493" i="63"/>
  <c r="C493" i="63"/>
  <c r="H492" i="63"/>
  <c r="G492" i="63"/>
  <c r="F492" i="63"/>
  <c r="E492" i="63"/>
  <c r="D492" i="63"/>
  <c r="C492" i="63"/>
  <c r="H491" i="63"/>
  <c r="G491" i="63"/>
  <c r="F491" i="63"/>
  <c r="E491" i="63"/>
  <c r="D491" i="63"/>
  <c r="C491" i="63"/>
  <c r="H490" i="63"/>
  <c r="G490" i="63"/>
  <c r="F490" i="63"/>
  <c r="E490" i="63"/>
  <c r="D490" i="63"/>
  <c r="C490" i="63"/>
  <c r="H489" i="63"/>
  <c r="G489" i="63"/>
  <c r="F489" i="63"/>
  <c r="E489" i="63"/>
  <c r="D489" i="63"/>
  <c r="C489" i="63"/>
  <c r="H488" i="63"/>
  <c r="G488" i="63"/>
  <c r="F488" i="63"/>
  <c r="E488" i="63"/>
  <c r="D488" i="63"/>
  <c r="C488" i="63"/>
  <c r="H487" i="63"/>
  <c r="G487" i="63"/>
  <c r="F487" i="63"/>
  <c r="E487" i="63"/>
  <c r="D487" i="63"/>
  <c r="C487" i="63"/>
  <c r="H486" i="63"/>
  <c r="G486" i="63"/>
  <c r="F486" i="63"/>
  <c r="E486" i="63"/>
  <c r="D486" i="63"/>
  <c r="C486" i="63"/>
  <c r="H485" i="63"/>
  <c r="G485" i="63"/>
  <c r="F485" i="63"/>
  <c r="E485" i="63"/>
  <c r="D485" i="63"/>
  <c r="C485" i="63"/>
  <c r="H484" i="63"/>
  <c r="G484" i="63"/>
  <c r="F484" i="63"/>
  <c r="E484" i="63"/>
  <c r="D484" i="63"/>
  <c r="C484" i="63"/>
  <c r="H483" i="63"/>
  <c r="G483" i="63"/>
  <c r="F483" i="63"/>
  <c r="E483" i="63"/>
  <c r="D483" i="63"/>
  <c r="C483" i="63"/>
  <c r="H482" i="63"/>
  <c r="G482" i="63"/>
  <c r="F482" i="63"/>
  <c r="E482" i="63"/>
  <c r="D482" i="63"/>
  <c r="C482" i="63"/>
  <c r="H481" i="63"/>
  <c r="G481" i="63"/>
  <c r="F481" i="63"/>
  <c r="E481" i="63"/>
  <c r="D481" i="63"/>
  <c r="C481" i="63"/>
  <c r="H480" i="63"/>
  <c r="G480" i="63"/>
  <c r="F480" i="63"/>
  <c r="E480" i="63"/>
  <c r="D480" i="63"/>
  <c r="C480" i="63"/>
  <c r="H479" i="63"/>
  <c r="G479" i="63"/>
  <c r="F479" i="63"/>
  <c r="E479" i="63"/>
  <c r="D479" i="63"/>
  <c r="C479" i="63"/>
  <c r="H478" i="63"/>
  <c r="G478" i="63"/>
  <c r="F478" i="63"/>
  <c r="E478" i="63"/>
  <c r="D478" i="63"/>
  <c r="C478" i="63"/>
  <c r="H477" i="63"/>
  <c r="G477" i="63"/>
  <c r="F477" i="63"/>
  <c r="E477" i="63"/>
  <c r="D477" i="63"/>
  <c r="C477" i="63"/>
  <c r="H476" i="63"/>
  <c r="G476" i="63"/>
  <c r="F476" i="63"/>
  <c r="E476" i="63"/>
  <c r="D476" i="63"/>
  <c r="C476" i="63"/>
  <c r="H475" i="63"/>
  <c r="G475" i="63"/>
  <c r="F475" i="63"/>
  <c r="E475" i="63"/>
  <c r="D475" i="63"/>
  <c r="C475" i="63"/>
  <c r="H474" i="63"/>
  <c r="G474" i="63"/>
  <c r="F474" i="63"/>
  <c r="E474" i="63"/>
  <c r="D474" i="63"/>
  <c r="C474" i="63"/>
  <c r="H473" i="63"/>
  <c r="G473" i="63"/>
  <c r="F473" i="63"/>
  <c r="E473" i="63"/>
  <c r="D473" i="63"/>
  <c r="C473" i="63"/>
  <c r="H472" i="63"/>
  <c r="G472" i="63"/>
  <c r="F472" i="63"/>
  <c r="E472" i="63"/>
  <c r="D472" i="63"/>
  <c r="C472" i="63"/>
  <c r="H471" i="63"/>
  <c r="G471" i="63"/>
  <c r="F471" i="63"/>
  <c r="E471" i="63"/>
  <c r="D471" i="63"/>
  <c r="C471" i="63"/>
  <c r="H470" i="63"/>
  <c r="G470" i="63"/>
  <c r="F470" i="63"/>
  <c r="E470" i="63"/>
  <c r="D470" i="63"/>
  <c r="C470" i="63"/>
  <c r="H469" i="63"/>
  <c r="G469" i="63"/>
  <c r="F469" i="63"/>
  <c r="E469" i="63"/>
  <c r="D469" i="63"/>
  <c r="C469" i="63"/>
  <c r="H468" i="63"/>
  <c r="G468" i="63"/>
  <c r="F468" i="63"/>
  <c r="E468" i="63"/>
  <c r="D468" i="63"/>
  <c r="C468" i="63"/>
  <c r="H467" i="63"/>
  <c r="G467" i="63"/>
  <c r="F467" i="63"/>
  <c r="E467" i="63"/>
  <c r="D467" i="63"/>
  <c r="C467" i="63"/>
  <c r="H466" i="63"/>
  <c r="G466" i="63"/>
  <c r="F466" i="63"/>
  <c r="E466" i="63"/>
  <c r="D466" i="63"/>
  <c r="C466" i="63"/>
  <c r="H465" i="63"/>
  <c r="G465" i="63"/>
  <c r="F465" i="63"/>
  <c r="E465" i="63"/>
  <c r="D465" i="63"/>
  <c r="C465" i="63"/>
  <c r="H464" i="63"/>
  <c r="G464" i="63"/>
  <c r="F464" i="63"/>
  <c r="E464" i="63"/>
  <c r="D464" i="63"/>
  <c r="C464" i="63"/>
  <c r="H463" i="63"/>
  <c r="G463" i="63"/>
  <c r="F463" i="63"/>
  <c r="E463" i="63"/>
  <c r="D463" i="63"/>
  <c r="C463" i="63"/>
  <c r="H462" i="63"/>
  <c r="G462" i="63"/>
  <c r="F462" i="63"/>
  <c r="E462" i="63"/>
  <c r="D462" i="63"/>
  <c r="C462" i="63"/>
  <c r="H461" i="63"/>
  <c r="G461" i="63"/>
  <c r="F461" i="63"/>
  <c r="E461" i="63"/>
  <c r="D461" i="63"/>
  <c r="C461" i="63"/>
  <c r="H460" i="63"/>
  <c r="G460" i="63"/>
  <c r="F460" i="63"/>
  <c r="E460" i="63"/>
  <c r="D460" i="63"/>
  <c r="C460" i="63"/>
  <c r="H459" i="63"/>
  <c r="G459" i="63"/>
  <c r="F459" i="63"/>
  <c r="E459" i="63"/>
  <c r="D459" i="63"/>
  <c r="C459" i="63"/>
  <c r="H458" i="63"/>
  <c r="G458" i="63"/>
  <c r="F458" i="63"/>
  <c r="E458" i="63"/>
  <c r="D458" i="63"/>
  <c r="C458" i="63"/>
  <c r="H457" i="63"/>
  <c r="G457" i="63"/>
  <c r="F457" i="63"/>
  <c r="E457" i="63"/>
  <c r="D457" i="63"/>
  <c r="C457" i="63"/>
  <c r="H456" i="63"/>
  <c r="G456" i="63"/>
  <c r="F456" i="63"/>
  <c r="E456" i="63"/>
  <c r="D456" i="63"/>
  <c r="C456" i="63"/>
  <c r="H455" i="63"/>
  <c r="G455" i="63"/>
  <c r="F455" i="63"/>
  <c r="E455" i="63"/>
  <c r="D455" i="63"/>
  <c r="C455" i="63"/>
  <c r="H454" i="63"/>
  <c r="G454" i="63"/>
  <c r="F454" i="63"/>
  <c r="E454" i="63"/>
  <c r="D454" i="63"/>
  <c r="C454" i="63"/>
  <c r="H453" i="63"/>
  <c r="G453" i="63"/>
  <c r="F453" i="63"/>
  <c r="E453" i="63"/>
  <c r="D453" i="63"/>
  <c r="C453" i="63"/>
  <c r="H452" i="63"/>
  <c r="G452" i="63"/>
  <c r="F452" i="63"/>
  <c r="E452" i="63"/>
  <c r="D452" i="63"/>
  <c r="C452" i="63"/>
  <c r="H451" i="63"/>
  <c r="G451" i="63"/>
  <c r="F451" i="63"/>
  <c r="E451" i="63"/>
  <c r="D451" i="63"/>
  <c r="C451" i="63"/>
  <c r="H450" i="63"/>
  <c r="G450" i="63"/>
  <c r="F450" i="63"/>
  <c r="E450" i="63"/>
  <c r="D450" i="63"/>
  <c r="C450" i="63"/>
  <c r="H449" i="63"/>
  <c r="G449" i="63"/>
  <c r="F449" i="63"/>
  <c r="E449" i="63"/>
  <c r="D449" i="63"/>
  <c r="C449" i="63"/>
  <c r="H448" i="63"/>
  <c r="G448" i="63"/>
  <c r="F448" i="63"/>
  <c r="E448" i="63"/>
  <c r="D448" i="63"/>
  <c r="C448" i="63"/>
  <c r="H447" i="63"/>
  <c r="G447" i="63"/>
  <c r="F447" i="63"/>
  <c r="E447" i="63"/>
  <c r="D447" i="63"/>
  <c r="C447" i="63"/>
  <c r="H446" i="63"/>
  <c r="G446" i="63"/>
  <c r="F446" i="63"/>
  <c r="E446" i="63"/>
  <c r="D446" i="63"/>
  <c r="C446" i="63"/>
  <c r="H445" i="63"/>
  <c r="G445" i="63"/>
  <c r="F445" i="63"/>
  <c r="E445" i="63"/>
  <c r="D445" i="63"/>
  <c r="C445" i="63"/>
  <c r="H444" i="63"/>
  <c r="G444" i="63"/>
  <c r="F444" i="63"/>
  <c r="E444" i="63"/>
  <c r="D444" i="63"/>
  <c r="C444" i="63"/>
  <c r="H443" i="63"/>
  <c r="G443" i="63"/>
  <c r="F443" i="63"/>
  <c r="E443" i="63"/>
  <c r="D443" i="63"/>
  <c r="C443" i="63"/>
  <c r="H442" i="63"/>
  <c r="G442" i="63"/>
  <c r="F442" i="63"/>
  <c r="E442" i="63"/>
  <c r="D442" i="63"/>
  <c r="C442" i="63"/>
  <c r="H441" i="63"/>
  <c r="G441" i="63"/>
  <c r="F441" i="63"/>
  <c r="E441" i="63"/>
  <c r="D441" i="63"/>
  <c r="C441" i="63"/>
  <c r="H440" i="63"/>
  <c r="G440" i="63"/>
  <c r="F440" i="63"/>
  <c r="E440" i="63"/>
  <c r="D440" i="63"/>
  <c r="C440" i="63"/>
  <c r="H439" i="63"/>
  <c r="G439" i="63"/>
  <c r="F439" i="63"/>
  <c r="E439" i="63"/>
  <c r="D439" i="63"/>
  <c r="C439" i="63"/>
  <c r="H438" i="63"/>
  <c r="G438" i="63"/>
  <c r="F438" i="63"/>
  <c r="E438" i="63"/>
  <c r="D438" i="63"/>
  <c r="C438" i="63"/>
  <c r="H437" i="63"/>
  <c r="G437" i="63"/>
  <c r="F437" i="63"/>
  <c r="E437" i="63"/>
  <c r="D437" i="63"/>
  <c r="C437" i="63"/>
  <c r="H436" i="63"/>
  <c r="G436" i="63"/>
  <c r="F436" i="63"/>
  <c r="E436" i="63"/>
  <c r="D436" i="63"/>
  <c r="C436" i="63"/>
  <c r="H435" i="63"/>
  <c r="G435" i="63"/>
  <c r="F435" i="63"/>
  <c r="E435" i="63"/>
  <c r="D435" i="63"/>
  <c r="C435" i="63"/>
  <c r="H434" i="63"/>
  <c r="G434" i="63"/>
  <c r="F434" i="63"/>
  <c r="E434" i="63"/>
  <c r="D434" i="63"/>
  <c r="C434" i="63"/>
  <c r="H433" i="63"/>
  <c r="G433" i="63"/>
  <c r="F433" i="63"/>
  <c r="E433" i="63"/>
  <c r="D433" i="63"/>
  <c r="C433" i="63"/>
  <c r="H432" i="63"/>
  <c r="G432" i="63"/>
  <c r="F432" i="63"/>
  <c r="E432" i="63"/>
  <c r="D432" i="63"/>
  <c r="C432" i="63"/>
  <c r="H431" i="63"/>
  <c r="G431" i="63"/>
  <c r="F431" i="63"/>
  <c r="E431" i="63"/>
  <c r="D431" i="63"/>
  <c r="C431" i="63"/>
  <c r="H430" i="63"/>
  <c r="G430" i="63"/>
  <c r="F430" i="63"/>
  <c r="E430" i="63"/>
  <c r="D430" i="63"/>
  <c r="C430" i="63"/>
  <c r="H429" i="63"/>
  <c r="G429" i="63"/>
  <c r="F429" i="63"/>
  <c r="E429" i="63"/>
  <c r="D429" i="63"/>
  <c r="C429" i="63"/>
  <c r="H428" i="63"/>
  <c r="G428" i="63"/>
  <c r="F428" i="63"/>
  <c r="E428" i="63"/>
  <c r="D428" i="63"/>
  <c r="C428" i="63"/>
  <c r="H427" i="63"/>
  <c r="G427" i="63"/>
  <c r="F427" i="63"/>
  <c r="E427" i="63"/>
  <c r="D427" i="63"/>
  <c r="C427" i="63"/>
  <c r="H426" i="63"/>
  <c r="G426" i="63"/>
  <c r="F426" i="63"/>
  <c r="E426" i="63"/>
  <c r="D426" i="63"/>
  <c r="C426" i="63"/>
  <c r="H425" i="63"/>
  <c r="G425" i="63"/>
  <c r="F425" i="63"/>
  <c r="E425" i="63"/>
  <c r="D425" i="63"/>
  <c r="C425" i="63"/>
  <c r="H424" i="63"/>
  <c r="G424" i="63"/>
  <c r="F424" i="63"/>
  <c r="E424" i="63"/>
  <c r="D424" i="63"/>
  <c r="C424" i="63"/>
  <c r="H423" i="63"/>
  <c r="G423" i="63"/>
  <c r="F423" i="63"/>
  <c r="E423" i="63"/>
  <c r="D423" i="63"/>
  <c r="C423" i="63"/>
  <c r="H422" i="63"/>
  <c r="G422" i="63"/>
  <c r="F422" i="63"/>
  <c r="E422" i="63"/>
  <c r="D422" i="63"/>
  <c r="C422" i="63"/>
  <c r="H421" i="63"/>
  <c r="G421" i="63"/>
  <c r="F421" i="63"/>
  <c r="E421" i="63"/>
  <c r="D421" i="63"/>
  <c r="C421" i="63"/>
  <c r="H420" i="63"/>
  <c r="G420" i="63"/>
  <c r="F420" i="63"/>
  <c r="E420" i="63"/>
  <c r="D420" i="63"/>
  <c r="C420" i="63"/>
  <c r="H419" i="63"/>
  <c r="G419" i="63"/>
  <c r="F419" i="63"/>
  <c r="E419" i="63"/>
  <c r="D419" i="63"/>
  <c r="C419" i="63"/>
  <c r="H418" i="63"/>
  <c r="G418" i="63"/>
  <c r="F418" i="63"/>
  <c r="E418" i="63"/>
  <c r="D418" i="63"/>
  <c r="C418" i="63"/>
  <c r="H417" i="63"/>
  <c r="G417" i="63"/>
  <c r="F417" i="63"/>
  <c r="E417" i="63"/>
  <c r="D417" i="63"/>
  <c r="C417" i="63"/>
  <c r="H416" i="63"/>
  <c r="G416" i="63"/>
  <c r="F416" i="63"/>
  <c r="E416" i="63"/>
  <c r="D416" i="63"/>
  <c r="C416" i="63"/>
  <c r="H415" i="63"/>
  <c r="G415" i="63"/>
  <c r="F415" i="63"/>
  <c r="E415" i="63"/>
  <c r="D415" i="63"/>
  <c r="C415" i="63"/>
  <c r="H414" i="63"/>
  <c r="G414" i="63"/>
  <c r="F414" i="63"/>
  <c r="E414" i="63"/>
  <c r="D414" i="63"/>
  <c r="C414" i="63"/>
  <c r="H413" i="63"/>
  <c r="G413" i="63"/>
  <c r="F413" i="63"/>
  <c r="E413" i="63"/>
  <c r="D413" i="63"/>
  <c r="C413" i="63"/>
  <c r="H412" i="63"/>
  <c r="G412" i="63"/>
  <c r="F412" i="63"/>
  <c r="E412" i="63"/>
  <c r="D412" i="63"/>
  <c r="C412" i="63"/>
  <c r="H411" i="63"/>
  <c r="G411" i="63"/>
  <c r="F411" i="63"/>
  <c r="E411" i="63"/>
  <c r="D411" i="63"/>
  <c r="C411" i="63"/>
  <c r="H410" i="63"/>
  <c r="G410" i="63"/>
  <c r="F410" i="63"/>
  <c r="E410" i="63"/>
  <c r="D410" i="63"/>
  <c r="C410" i="63"/>
  <c r="H409" i="63"/>
  <c r="G409" i="63"/>
  <c r="F409" i="63"/>
  <c r="E409" i="63"/>
  <c r="D409" i="63"/>
  <c r="C409" i="63"/>
  <c r="H408" i="63"/>
  <c r="G408" i="63"/>
  <c r="F408" i="63"/>
  <c r="E408" i="63"/>
  <c r="D408" i="63"/>
  <c r="C408" i="63"/>
  <c r="H407" i="63"/>
  <c r="G407" i="63"/>
  <c r="F407" i="63"/>
  <c r="E407" i="63"/>
  <c r="D407" i="63"/>
  <c r="C407" i="63"/>
  <c r="H406" i="63"/>
  <c r="G406" i="63"/>
  <c r="F406" i="63"/>
  <c r="E406" i="63"/>
  <c r="D406" i="63"/>
  <c r="C406" i="63"/>
  <c r="H405" i="63"/>
  <c r="G405" i="63"/>
  <c r="F405" i="63"/>
  <c r="E405" i="63"/>
  <c r="D405" i="63"/>
  <c r="C405" i="63"/>
  <c r="H404" i="63"/>
  <c r="G404" i="63"/>
  <c r="F404" i="63"/>
  <c r="E404" i="63"/>
  <c r="D404" i="63"/>
  <c r="C404" i="63"/>
  <c r="H403" i="63"/>
  <c r="G403" i="63"/>
  <c r="F403" i="63"/>
  <c r="E403" i="63"/>
  <c r="D403" i="63"/>
  <c r="C403" i="63"/>
  <c r="H402" i="63"/>
  <c r="G402" i="63"/>
  <c r="F402" i="63"/>
  <c r="E402" i="63"/>
  <c r="D402" i="63"/>
  <c r="C402" i="63"/>
  <c r="H401" i="63"/>
  <c r="G401" i="63"/>
  <c r="F401" i="63"/>
  <c r="E401" i="63"/>
  <c r="D401" i="63"/>
  <c r="C401" i="63"/>
  <c r="H400" i="63"/>
  <c r="G400" i="63"/>
  <c r="F400" i="63"/>
  <c r="E400" i="63"/>
  <c r="D400" i="63"/>
  <c r="C400" i="63"/>
  <c r="H399" i="63"/>
  <c r="G399" i="63"/>
  <c r="F399" i="63"/>
  <c r="E399" i="63"/>
  <c r="D399" i="63"/>
  <c r="C399" i="63"/>
  <c r="H398" i="63"/>
  <c r="G398" i="63"/>
  <c r="F398" i="63"/>
  <c r="E398" i="63"/>
  <c r="D398" i="63"/>
  <c r="C398" i="63"/>
  <c r="H397" i="63"/>
  <c r="G397" i="63"/>
  <c r="F397" i="63"/>
  <c r="E397" i="63"/>
  <c r="D397" i="63"/>
  <c r="C397" i="63"/>
  <c r="H396" i="63"/>
  <c r="G396" i="63"/>
  <c r="F396" i="63"/>
  <c r="E396" i="63"/>
  <c r="D396" i="63"/>
  <c r="C396" i="63"/>
  <c r="H395" i="63"/>
  <c r="G395" i="63"/>
  <c r="F395" i="63"/>
  <c r="E395" i="63"/>
  <c r="D395" i="63"/>
  <c r="C395" i="63"/>
  <c r="H394" i="63"/>
  <c r="G394" i="63"/>
  <c r="F394" i="63"/>
  <c r="E394" i="63"/>
  <c r="D394" i="63"/>
  <c r="C394" i="63"/>
  <c r="H393" i="63"/>
  <c r="G393" i="63"/>
  <c r="F393" i="63"/>
  <c r="E393" i="63"/>
  <c r="D393" i="63"/>
  <c r="C393" i="63"/>
  <c r="H392" i="63"/>
  <c r="G392" i="63"/>
  <c r="F392" i="63"/>
  <c r="E392" i="63"/>
  <c r="D392" i="63"/>
  <c r="C392" i="63"/>
  <c r="H391" i="63"/>
  <c r="G391" i="63"/>
  <c r="F391" i="63"/>
  <c r="E391" i="63"/>
  <c r="D391" i="63"/>
  <c r="C391" i="63"/>
  <c r="H390" i="63"/>
  <c r="G390" i="63"/>
  <c r="F390" i="63"/>
  <c r="E390" i="63"/>
  <c r="D390" i="63"/>
  <c r="C390" i="63"/>
  <c r="H389" i="63"/>
  <c r="G389" i="63"/>
  <c r="F389" i="63"/>
  <c r="E389" i="63"/>
  <c r="D389" i="63"/>
  <c r="C389" i="63"/>
  <c r="H388" i="63"/>
  <c r="G388" i="63"/>
  <c r="F388" i="63"/>
  <c r="E388" i="63"/>
  <c r="D388" i="63"/>
  <c r="C388" i="63"/>
  <c r="H387" i="63"/>
  <c r="G387" i="63"/>
  <c r="F387" i="63"/>
  <c r="E387" i="63"/>
  <c r="D387" i="63"/>
  <c r="C387" i="63"/>
  <c r="H386" i="63"/>
  <c r="G386" i="63"/>
  <c r="F386" i="63"/>
  <c r="E386" i="63"/>
  <c r="D386" i="63"/>
  <c r="C386" i="63"/>
  <c r="H385" i="63"/>
  <c r="G385" i="63"/>
  <c r="F385" i="63"/>
  <c r="E385" i="63"/>
  <c r="D385" i="63"/>
  <c r="C385" i="63"/>
  <c r="H384" i="63"/>
  <c r="G384" i="63"/>
  <c r="F384" i="63"/>
  <c r="E384" i="63"/>
  <c r="D384" i="63"/>
  <c r="C384" i="63"/>
  <c r="H383" i="63"/>
  <c r="G383" i="63"/>
  <c r="F383" i="63"/>
  <c r="E383" i="63"/>
  <c r="D383" i="63"/>
  <c r="C383" i="63"/>
  <c r="H382" i="63"/>
  <c r="G382" i="63"/>
  <c r="F382" i="63"/>
  <c r="E382" i="63"/>
  <c r="D382" i="63"/>
  <c r="C382" i="63"/>
  <c r="H381" i="63"/>
  <c r="G381" i="63"/>
  <c r="F381" i="63"/>
  <c r="E381" i="63"/>
  <c r="D381" i="63"/>
  <c r="C381" i="63"/>
  <c r="H380" i="63"/>
  <c r="G380" i="63"/>
  <c r="F380" i="63"/>
  <c r="E380" i="63"/>
  <c r="D380" i="63"/>
  <c r="C380" i="63"/>
  <c r="H379" i="63"/>
  <c r="G379" i="63"/>
  <c r="F379" i="63"/>
  <c r="E379" i="63"/>
  <c r="D379" i="63"/>
  <c r="C379" i="63"/>
  <c r="H378" i="63"/>
  <c r="G378" i="63"/>
  <c r="F378" i="63"/>
  <c r="E378" i="63"/>
  <c r="D378" i="63"/>
  <c r="C378" i="63"/>
  <c r="H377" i="63"/>
  <c r="G377" i="63"/>
  <c r="F377" i="63"/>
  <c r="E377" i="63"/>
  <c r="D377" i="63"/>
  <c r="C377" i="63"/>
  <c r="H376" i="63"/>
  <c r="G376" i="63"/>
  <c r="F376" i="63"/>
  <c r="E376" i="63"/>
  <c r="D376" i="63"/>
  <c r="C376" i="63"/>
  <c r="H375" i="63"/>
  <c r="G375" i="63"/>
  <c r="F375" i="63"/>
  <c r="E375" i="63"/>
  <c r="D375" i="63"/>
  <c r="C375" i="63"/>
  <c r="H374" i="63"/>
  <c r="G374" i="63"/>
  <c r="F374" i="63"/>
  <c r="E374" i="63"/>
  <c r="D374" i="63"/>
  <c r="C374" i="63"/>
  <c r="H373" i="63"/>
  <c r="G373" i="63"/>
  <c r="F373" i="63"/>
  <c r="E373" i="63"/>
  <c r="D373" i="63"/>
  <c r="C373" i="63"/>
  <c r="H372" i="63"/>
  <c r="G372" i="63"/>
  <c r="F372" i="63"/>
  <c r="E372" i="63"/>
  <c r="D372" i="63"/>
  <c r="C372" i="63"/>
  <c r="H371" i="63"/>
  <c r="G371" i="63"/>
  <c r="F371" i="63"/>
  <c r="E371" i="63"/>
  <c r="D371" i="63"/>
  <c r="C371" i="63"/>
  <c r="H370" i="63"/>
  <c r="G370" i="63"/>
  <c r="F370" i="63"/>
  <c r="E370" i="63"/>
  <c r="D370" i="63"/>
  <c r="C370" i="63"/>
  <c r="H369" i="63"/>
  <c r="G369" i="63"/>
  <c r="F369" i="63"/>
  <c r="E369" i="63"/>
  <c r="D369" i="63"/>
  <c r="C369" i="63"/>
  <c r="H368" i="63"/>
  <c r="G368" i="63"/>
  <c r="F368" i="63"/>
  <c r="E368" i="63"/>
  <c r="D368" i="63"/>
  <c r="C368" i="63"/>
  <c r="H367" i="63"/>
  <c r="G367" i="63"/>
  <c r="F367" i="63"/>
  <c r="E367" i="63"/>
  <c r="D367" i="63"/>
  <c r="C367" i="63"/>
  <c r="H366" i="63"/>
  <c r="G366" i="63"/>
  <c r="F366" i="63"/>
  <c r="E366" i="63"/>
  <c r="D366" i="63"/>
  <c r="C366" i="63"/>
  <c r="H365" i="63"/>
  <c r="G365" i="63"/>
  <c r="F365" i="63"/>
  <c r="E365" i="63"/>
  <c r="D365" i="63"/>
  <c r="C365" i="63"/>
  <c r="H364" i="63"/>
  <c r="G364" i="63"/>
  <c r="F364" i="63"/>
  <c r="E364" i="63"/>
  <c r="D364" i="63"/>
  <c r="C364" i="63"/>
  <c r="H363" i="63"/>
  <c r="G363" i="63"/>
  <c r="F363" i="63"/>
  <c r="E363" i="63"/>
  <c r="D363" i="63"/>
  <c r="C363" i="63"/>
  <c r="H362" i="63"/>
  <c r="G362" i="63"/>
  <c r="F362" i="63"/>
  <c r="E362" i="63"/>
  <c r="D362" i="63"/>
  <c r="C362" i="63"/>
  <c r="H361" i="63"/>
  <c r="G361" i="63"/>
  <c r="F361" i="63"/>
  <c r="E361" i="63"/>
  <c r="D361" i="63"/>
  <c r="C361" i="63"/>
  <c r="H360" i="63"/>
  <c r="G360" i="63"/>
  <c r="F360" i="63"/>
  <c r="E360" i="63"/>
  <c r="D360" i="63"/>
  <c r="C360" i="63"/>
  <c r="H359" i="63"/>
  <c r="G359" i="63"/>
  <c r="F359" i="63"/>
  <c r="E359" i="63"/>
  <c r="D359" i="63"/>
  <c r="C359" i="63"/>
  <c r="H358" i="63"/>
  <c r="G358" i="63"/>
  <c r="F358" i="63"/>
  <c r="E358" i="63"/>
  <c r="D358" i="63"/>
  <c r="C358" i="63"/>
  <c r="H357" i="63"/>
  <c r="G357" i="63"/>
  <c r="F357" i="63"/>
  <c r="E357" i="63"/>
  <c r="D357" i="63"/>
  <c r="C357" i="63"/>
  <c r="H356" i="63"/>
  <c r="G356" i="63"/>
  <c r="F356" i="63"/>
  <c r="E356" i="63"/>
  <c r="D356" i="63"/>
  <c r="C356" i="63"/>
  <c r="H355" i="63"/>
  <c r="G355" i="63"/>
  <c r="F355" i="63"/>
  <c r="E355" i="63"/>
  <c r="D355" i="63"/>
  <c r="C355" i="63"/>
  <c r="H354" i="63"/>
  <c r="G354" i="63"/>
  <c r="F354" i="63"/>
  <c r="E354" i="63"/>
  <c r="D354" i="63"/>
  <c r="C354" i="63"/>
  <c r="H353" i="63"/>
  <c r="G353" i="63"/>
  <c r="F353" i="63"/>
  <c r="E353" i="63"/>
  <c r="D353" i="63"/>
  <c r="C353" i="63"/>
  <c r="H352" i="63"/>
  <c r="G352" i="63"/>
  <c r="F352" i="63"/>
  <c r="E352" i="63"/>
  <c r="D352" i="63"/>
  <c r="C352" i="63"/>
  <c r="H351" i="63"/>
  <c r="G351" i="63"/>
  <c r="F351" i="63"/>
  <c r="E351" i="63"/>
  <c r="D351" i="63"/>
  <c r="C351" i="63"/>
  <c r="H350" i="63"/>
  <c r="G350" i="63"/>
  <c r="F350" i="63"/>
  <c r="E350" i="63"/>
  <c r="D350" i="63"/>
  <c r="C350" i="63"/>
  <c r="H349" i="63"/>
  <c r="G349" i="63"/>
  <c r="F349" i="63"/>
  <c r="E349" i="63"/>
  <c r="D349" i="63"/>
  <c r="C349" i="63"/>
  <c r="H348" i="63"/>
  <c r="G348" i="63"/>
  <c r="F348" i="63"/>
  <c r="E348" i="63"/>
  <c r="D348" i="63"/>
  <c r="C348" i="63"/>
  <c r="H347" i="63"/>
  <c r="G347" i="63"/>
  <c r="F347" i="63"/>
  <c r="E347" i="63"/>
  <c r="D347" i="63"/>
  <c r="C347" i="63"/>
  <c r="H346" i="63"/>
  <c r="G346" i="63"/>
  <c r="F346" i="63"/>
  <c r="E346" i="63"/>
  <c r="D346" i="63"/>
  <c r="C346" i="63"/>
  <c r="H345" i="63"/>
  <c r="G345" i="63"/>
  <c r="F345" i="63"/>
  <c r="E345" i="63"/>
  <c r="D345" i="63"/>
  <c r="C345" i="63"/>
  <c r="H344" i="63"/>
  <c r="G344" i="63"/>
  <c r="F344" i="63"/>
  <c r="E344" i="63"/>
  <c r="D344" i="63"/>
  <c r="C344" i="63"/>
  <c r="H343" i="63"/>
  <c r="G343" i="63"/>
  <c r="F343" i="63"/>
  <c r="E343" i="63"/>
  <c r="D343" i="63"/>
  <c r="C343" i="63"/>
  <c r="H342" i="63"/>
  <c r="G342" i="63"/>
  <c r="F342" i="63"/>
  <c r="E342" i="63"/>
  <c r="D342" i="63"/>
  <c r="C342" i="63"/>
  <c r="H341" i="63"/>
  <c r="G341" i="63"/>
  <c r="F341" i="63"/>
  <c r="E341" i="63"/>
  <c r="D341" i="63"/>
  <c r="C341" i="63"/>
  <c r="H340" i="63"/>
  <c r="G340" i="63"/>
  <c r="F340" i="63"/>
  <c r="E340" i="63"/>
  <c r="D340" i="63"/>
  <c r="C340" i="63"/>
  <c r="H339" i="63"/>
  <c r="G339" i="63"/>
  <c r="F339" i="63"/>
  <c r="E339" i="63"/>
  <c r="D339" i="63"/>
  <c r="C339" i="63"/>
  <c r="H338" i="63"/>
  <c r="G338" i="63"/>
  <c r="F338" i="63"/>
  <c r="E338" i="63"/>
  <c r="D338" i="63"/>
  <c r="C338" i="63"/>
  <c r="H337" i="63"/>
  <c r="G337" i="63"/>
  <c r="F337" i="63"/>
  <c r="E337" i="63"/>
  <c r="D337" i="63"/>
  <c r="C337" i="63"/>
  <c r="H336" i="63"/>
  <c r="G336" i="63"/>
  <c r="F336" i="63"/>
  <c r="E336" i="63"/>
  <c r="D336" i="63"/>
  <c r="C336" i="63"/>
  <c r="H335" i="63"/>
  <c r="G335" i="63"/>
  <c r="F335" i="63"/>
  <c r="E335" i="63"/>
  <c r="D335" i="63"/>
  <c r="C335" i="63"/>
  <c r="H334" i="63"/>
  <c r="G334" i="63"/>
  <c r="F334" i="63"/>
  <c r="E334" i="63"/>
  <c r="D334" i="63"/>
  <c r="C334" i="63"/>
  <c r="H333" i="63"/>
  <c r="G333" i="63"/>
  <c r="F333" i="63"/>
  <c r="E333" i="63"/>
  <c r="D333" i="63"/>
  <c r="C333" i="63"/>
  <c r="H332" i="63"/>
  <c r="G332" i="63"/>
  <c r="F332" i="63"/>
  <c r="E332" i="63"/>
  <c r="D332" i="63"/>
  <c r="C332" i="63"/>
  <c r="H331" i="63"/>
  <c r="G331" i="63"/>
  <c r="F331" i="63"/>
  <c r="E331" i="63"/>
  <c r="D331" i="63"/>
  <c r="C331" i="63"/>
  <c r="H330" i="63"/>
  <c r="G330" i="63"/>
  <c r="F330" i="63"/>
  <c r="E330" i="63"/>
  <c r="D330" i="63"/>
  <c r="C330" i="63"/>
  <c r="H329" i="63"/>
  <c r="G329" i="63"/>
  <c r="F329" i="63"/>
  <c r="E329" i="63"/>
  <c r="D329" i="63"/>
  <c r="C329" i="63"/>
  <c r="H328" i="63"/>
  <c r="G328" i="63"/>
  <c r="F328" i="63"/>
  <c r="E328" i="63"/>
  <c r="D328" i="63"/>
  <c r="C328" i="63"/>
  <c r="H327" i="63"/>
  <c r="G327" i="63"/>
  <c r="F327" i="63"/>
  <c r="E327" i="63"/>
  <c r="D327" i="63"/>
  <c r="C327" i="63"/>
  <c r="H326" i="63"/>
  <c r="G326" i="63"/>
  <c r="F326" i="63"/>
  <c r="E326" i="63"/>
  <c r="D326" i="63"/>
  <c r="C326" i="63"/>
  <c r="H325" i="63"/>
  <c r="G325" i="63"/>
  <c r="F325" i="63"/>
  <c r="E325" i="63"/>
  <c r="D325" i="63"/>
  <c r="C325" i="63"/>
  <c r="H324" i="63"/>
  <c r="G324" i="63"/>
  <c r="F324" i="63"/>
  <c r="E324" i="63"/>
  <c r="D324" i="63"/>
  <c r="C324" i="63"/>
  <c r="H323" i="63"/>
  <c r="G323" i="63"/>
  <c r="F323" i="63"/>
  <c r="E323" i="63"/>
  <c r="D323" i="63"/>
  <c r="C323" i="63"/>
  <c r="H322" i="63"/>
  <c r="G322" i="63"/>
  <c r="F322" i="63"/>
  <c r="E322" i="63"/>
  <c r="D322" i="63"/>
  <c r="C322" i="63"/>
  <c r="H321" i="63"/>
  <c r="G321" i="63"/>
  <c r="F321" i="63"/>
  <c r="E321" i="63"/>
  <c r="D321" i="63"/>
  <c r="C321" i="63"/>
  <c r="H320" i="63"/>
  <c r="G320" i="63"/>
  <c r="F320" i="63"/>
  <c r="E320" i="63"/>
  <c r="D320" i="63"/>
  <c r="C320" i="63"/>
  <c r="H319" i="63"/>
  <c r="G319" i="63"/>
  <c r="F319" i="63"/>
  <c r="E319" i="63"/>
  <c r="D319" i="63"/>
  <c r="C319" i="63"/>
  <c r="H318" i="63"/>
  <c r="G318" i="63"/>
  <c r="F318" i="63"/>
  <c r="E318" i="63"/>
  <c r="D318" i="63"/>
  <c r="C318" i="63"/>
  <c r="H317" i="63"/>
  <c r="G317" i="63"/>
  <c r="F317" i="63"/>
  <c r="E317" i="63"/>
  <c r="D317" i="63"/>
  <c r="C317" i="63"/>
  <c r="H316" i="63"/>
  <c r="G316" i="63"/>
  <c r="F316" i="63"/>
  <c r="E316" i="63"/>
  <c r="D316" i="63"/>
  <c r="C316" i="63"/>
  <c r="H315" i="63"/>
  <c r="G315" i="63"/>
  <c r="F315" i="63"/>
  <c r="E315" i="63"/>
  <c r="D315" i="63"/>
  <c r="C315" i="63"/>
  <c r="H314" i="63"/>
  <c r="G314" i="63"/>
  <c r="F314" i="63"/>
  <c r="E314" i="63"/>
  <c r="D314" i="63"/>
  <c r="C314" i="63"/>
  <c r="H313" i="63"/>
  <c r="G313" i="63"/>
  <c r="F313" i="63"/>
  <c r="E313" i="63"/>
  <c r="D313" i="63"/>
  <c r="C313" i="63"/>
  <c r="H312" i="63"/>
  <c r="G312" i="63"/>
  <c r="F312" i="63"/>
  <c r="E312" i="63"/>
  <c r="D312" i="63"/>
  <c r="C312" i="63"/>
  <c r="H311" i="63"/>
  <c r="G311" i="63"/>
  <c r="F311" i="63"/>
  <c r="E311" i="63"/>
  <c r="D311" i="63"/>
  <c r="C311" i="63"/>
  <c r="H310" i="63"/>
  <c r="G310" i="63"/>
  <c r="F310" i="63"/>
  <c r="E310" i="63"/>
  <c r="D310" i="63"/>
  <c r="C310" i="63"/>
  <c r="H309" i="63"/>
  <c r="G309" i="63"/>
  <c r="F309" i="63"/>
  <c r="E309" i="63"/>
  <c r="D309" i="63"/>
  <c r="C309" i="63"/>
  <c r="H308" i="63"/>
  <c r="G308" i="63"/>
  <c r="F308" i="63"/>
  <c r="E308" i="63"/>
  <c r="D308" i="63"/>
  <c r="C308" i="63"/>
  <c r="H307" i="63"/>
  <c r="G307" i="63"/>
  <c r="F307" i="63"/>
  <c r="E307" i="63"/>
  <c r="D307" i="63"/>
  <c r="C307" i="63"/>
  <c r="H306" i="63"/>
  <c r="G306" i="63"/>
  <c r="F306" i="63"/>
  <c r="E306" i="63"/>
  <c r="D306" i="63"/>
  <c r="C306" i="63"/>
  <c r="H305" i="63"/>
  <c r="G305" i="63"/>
  <c r="F305" i="63"/>
  <c r="E305" i="63"/>
  <c r="D305" i="63"/>
  <c r="C305" i="63"/>
  <c r="H304" i="63"/>
  <c r="G304" i="63"/>
  <c r="F304" i="63"/>
  <c r="E304" i="63"/>
  <c r="D304" i="63"/>
  <c r="C304" i="63"/>
  <c r="H303" i="63"/>
  <c r="G303" i="63"/>
  <c r="F303" i="63"/>
  <c r="E303" i="63"/>
  <c r="D303" i="63"/>
  <c r="C303" i="63"/>
  <c r="H302" i="63"/>
  <c r="G302" i="63"/>
  <c r="F302" i="63"/>
  <c r="E302" i="63"/>
  <c r="D302" i="63"/>
  <c r="C302" i="63"/>
  <c r="H301" i="63"/>
  <c r="G301" i="63"/>
  <c r="F301" i="63"/>
  <c r="E301" i="63"/>
  <c r="D301" i="63"/>
  <c r="C301" i="63"/>
  <c r="H300" i="63"/>
  <c r="G300" i="63"/>
  <c r="F300" i="63"/>
  <c r="E300" i="63"/>
  <c r="D300" i="63"/>
  <c r="C300" i="63"/>
  <c r="H299" i="63"/>
  <c r="G299" i="63"/>
  <c r="F299" i="63"/>
  <c r="E299" i="63"/>
  <c r="D299" i="63"/>
  <c r="C299" i="63"/>
  <c r="H298" i="63"/>
  <c r="G298" i="63"/>
  <c r="F298" i="63"/>
  <c r="E298" i="63"/>
  <c r="D298" i="63"/>
  <c r="C298" i="63"/>
  <c r="H297" i="63"/>
  <c r="G297" i="63"/>
  <c r="F297" i="63"/>
  <c r="E297" i="63"/>
  <c r="D297" i="63"/>
  <c r="C297" i="63"/>
  <c r="H296" i="63"/>
  <c r="G296" i="63"/>
  <c r="F296" i="63"/>
  <c r="E296" i="63"/>
  <c r="D296" i="63"/>
  <c r="C296" i="63"/>
  <c r="H295" i="63"/>
  <c r="G295" i="63"/>
  <c r="F295" i="63"/>
  <c r="E295" i="63"/>
  <c r="D295" i="63"/>
  <c r="C295" i="63"/>
  <c r="H294" i="63"/>
  <c r="G294" i="63"/>
  <c r="F294" i="63"/>
  <c r="E294" i="63"/>
  <c r="D294" i="63"/>
  <c r="C294" i="63"/>
  <c r="H293" i="63"/>
  <c r="G293" i="63"/>
  <c r="F293" i="63"/>
  <c r="E293" i="63"/>
  <c r="D293" i="63"/>
  <c r="C293" i="63"/>
  <c r="H292" i="63"/>
  <c r="G292" i="63"/>
  <c r="F292" i="63"/>
  <c r="E292" i="63"/>
  <c r="D292" i="63"/>
  <c r="C292" i="63"/>
  <c r="H291" i="63"/>
  <c r="G291" i="63"/>
  <c r="F291" i="63"/>
  <c r="E291" i="63"/>
  <c r="D291" i="63"/>
  <c r="C291" i="63"/>
  <c r="H290" i="63"/>
  <c r="G290" i="63"/>
  <c r="F290" i="63"/>
  <c r="E290" i="63"/>
  <c r="D290" i="63"/>
  <c r="C290" i="63"/>
  <c r="H289" i="63"/>
  <c r="G289" i="63"/>
  <c r="F289" i="63"/>
  <c r="E289" i="63"/>
  <c r="D289" i="63"/>
  <c r="C289" i="63"/>
  <c r="H288" i="63"/>
  <c r="G288" i="63"/>
  <c r="F288" i="63"/>
  <c r="E288" i="63"/>
  <c r="D288" i="63"/>
  <c r="C288" i="63"/>
  <c r="H287" i="63"/>
  <c r="G287" i="63"/>
  <c r="F287" i="63"/>
  <c r="E287" i="63"/>
  <c r="D287" i="63"/>
  <c r="C287" i="63"/>
  <c r="H286" i="63"/>
  <c r="G286" i="63"/>
  <c r="F286" i="63"/>
  <c r="E286" i="63"/>
  <c r="D286" i="63"/>
  <c r="C286" i="63"/>
  <c r="H285" i="63"/>
  <c r="G285" i="63"/>
  <c r="F285" i="63"/>
  <c r="E285" i="63"/>
  <c r="D285" i="63"/>
  <c r="C285" i="63"/>
  <c r="H284" i="63"/>
  <c r="G284" i="63"/>
  <c r="F284" i="63"/>
  <c r="E284" i="63"/>
  <c r="D284" i="63"/>
  <c r="C284" i="63"/>
  <c r="H283" i="63"/>
  <c r="G283" i="63"/>
  <c r="F283" i="63"/>
  <c r="E283" i="63"/>
  <c r="D283" i="63"/>
  <c r="C283" i="63"/>
  <c r="H282" i="63"/>
  <c r="G282" i="63"/>
  <c r="F282" i="63"/>
  <c r="E282" i="63"/>
  <c r="D282" i="63"/>
  <c r="C282" i="63"/>
  <c r="H281" i="63"/>
  <c r="G281" i="63"/>
  <c r="F281" i="63"/>
  <c r="E281" i="63"/>
  <c r="D281" i="63"/>
  <c r="C281" i="63"/>
  <c r="H280" i="63"/>
  <c r="G280" i="63"/>
  <c r="F280" i="63"/>
  <c r="E280" i="63"/>
  <c r="D280" i="63"/>
  <c r="C280" i="63"/>
  <c r="H279" i="63"/>
  <c r="G279" i="63"/>
  <c r="F279" i="63"/>
  <c r="E279" i="63"/>
  <c r="D279" i="63"/>
  <c r="C279" i="63"/>
  <c r="H278" i="63"/>
  <c r="G278" i="63"/>
  <c r="F278" i="63"/>
  <c r="E278" i="63"/>
  <c r="D278" i="63"/>
  <c r="C278" i="63"/>
  <c r="H277" i="63"/>
  <c r="G277" i="63"/>
  <c r="F277" i="63"/>
  <c r="E277" i="63"/>
  <c r="D277" i="63"/>
  <c r="C277" i="63"/>
  <c r="H276" i="63"/>
  <c r="G276" i="63"/>
  <c r="F276" i="63"/>
  <c r="E276" i="63"/>
  <c r="D276" i="63"/>
  <c r="C276" i="63"/>
  <c r="H275" i="63"/>
  <c r="G275" i="63"/>
  <c r="F275" i="63"/>
  <c r="E275" i="63"/>
  <c r="D275" i="63"/>
  <c r="C275" i="63"/>
  <c r="H274" i="63"/>
  <c r="G274" i="63"/>
  <c r="F274" i="63"/>
  <c r="E274" i="63"/>
  <c r="D274" i="63"/>
  <c r="C274" i="63"/>
  <c r="H273" i="63"/>
  <c r="G273" i="63"/>
  <c r="F273" i="63"/>
  <c r="E273" i="63"/>
  <c r="D273" i="63"/>
  <c r="C273" i="63"/>
  <c r="H272" i="63"/>
  <c r="G272" i="63"/>
  <c r="F272" i="63"/>
  <c r="E272" i="63"/>
  <c r="D272" i="63"/>
  <c r="C272" i="63"/>
  <c r="H271" i="63"/>
  <c r="G271" i="63"/>
  <c r="F271" i="63"/>
  <c r="E271" i="63"/>
  <c r="D271" i="63"/>
  <c r="C271" i="63"/>
  <c r="H270" i="63"/>
  <c r="G270" i="63"/>
  <c r="F270" i="63"/>
  <c r="E270" i="63"/>
  <c r="D270" i="63"/>
  <c r="C270" i="63"/>
  <c r="H269" i="63"/>
  <c r="G269" i="63"/>
  <c r="F269" i="63"/>
  <c r="E269" i="63"/>
  <c r="D269" i="63"/>
  <c r="C269" i="63"/>
  <c r="H268" i="63"/>
  <c r="G268" i="63"/>
  <c r="F268" i="63"/>
  <c r="E268" i="63"/>
  <c r="D268" i="63"/>
  <c r="C268" i="63"/>
  <c r="H267" i="63"/>
  <c r="G267" i="63"/>
  <c r="F267" i="63"/>
  <c r="E267" i="63"/>
  <c r="D267" i="63"/>
  <c r="C267" i="63"/>
  <c r="H266" i="63"/>
  <c r="G266" i="63"/>
  <c r="F266" i="63"/>
  <c r="E266" i="63"/>
  <c r="D266" i="63"/>
  <c r="C266" i="63"/>
  <c r="H265" i="63"/>
  <c r="G265" i="63"/>
  <c r="F265" i="63"/>
  <c r="E265" i="63"/>
  <c r="D265" i="63"/>
  <c r="C265" i="63"/>
  <c r="H264" i="63"/>
  <c r="G264" i="63"/>
  <c r="F264" i="63"/>
  <c r="E264" i="63"/>
  <c r="D264" i="63"/>
  <c r="C264" i="63"/>
  <c r="H263" i="63"/>
  <c r="G263" i="63"/>
  <c r="F263" i="63"/>
  <c r="E263" i="63"/>
  <c r="D263" i="63"/>
  <c r="C263" i="63"/>
  <c r="H262" i="63"/>
  <c r="G262" i="63"/>
  <c r="F262" i="63"/>
  <c r="E262" i="63"/>
  <c r="D262" i="63"/>
  <c r="C262" i="63"/>
  <c r="H261" i="63"/>
  <c r="G261" i="63"/>
  <c r="F261" i="63"/>
  <c r="E261" i="63"/>
  <c r="D261" i="63"/>
  <c r="C261" i="63"/>
  <c r="H260" i="63"/>
  <c r="G260" i="63"/>
  <c r="F260" i="63"/>
  <c r="E260" i="63"/>
  <c r="D260" i="63"/>
  <c r="C260" i="63"/>
  <c r="H259" i="63"/>
  <c r="G259" i="63"/>
  <c r="F259" i="63"/>
  <c r="E259" i="63"/>
  <c r="D259" i="63"/>
  <c r="C259" i="63"/>
  <c r="H258" i="63"/>
  <c r="G258" i="63"/>
  <c r="F258" i="63"/>
  <c r="E258" i="63"/>
  <c r="D258" i="63"/>
  <c r="C258" i="63"/>
  <c r="H257" i="63"/>
  <c r="G257" i="63"/>
  <c r="F257" i="63"/>
  <c r="E257" i="63"/>
  <c r="D257" i="63"/>
  <c r="C257" i="63"/>
  <c r="H256" i="63"/>
  <c r="G256" i="63"/>
  <c r="F256" i="63"/>
  <c r="E256" i="63"/>
  <c r="D256" i="63"/>
  <c r="C256" i="63"/>
  <c r="H255" i="63"/>
  <c r="G255" i="63"/>
  <c r="F255" i="63"/>
  <c r="E255" i="63"/>
  <c r="D255" i="63"/>
  <c r="C255" i="63"/>
  <c r="H254" i="63"/>
  <c r="G254" i="63"/>
  <c r="F254" i="63"/>
  <c r="E254" i="63"/>
  <c r="D254" i="63"/>
  <c r="C254" i="63"/>
  <c r="H253" i="63"/>
  <c r="G253" i="63"/>
  <c r="F253" i="63"/>
  <c r="E253" i="63"/>
  <c r="D253" i="63"/>
  <c r="C253" i="63"/>
  <c r="H252" i="63"/>
  <c r="G252" i="63"/>
  <c r="F252" i="63"/>
  <c r="E252" i="63"/>
  <c r="D252" i="63"/>
  <c r="C252" i="63"/>
  <c r="H251" i="63"/>
  <c r="G251" i="63"/>
  <c r="F251" i="63"/>
  <c r="E251" i="63"/>
  <c r="D251" i="63"/>
  <c r="C251" i="63"/>
  <c r="H250" i="63"/>
  <c r="G250" i="63"/>
  <c r="F250" i="63"/>
  <c r="E250" i="63"/>
  <c r="D250" i="63"/>
  <c r="C250" i="63"/>
  <c r="H249" i="63"/>
  <c r="G249" i="63"/>
  <c r="F249" i="63"/>
  <c r="E249" i="63"/>
  <c r="D249" i="63"/>
  <c r="C249" i="63"/>
  <c r="H248" i="63"/>
  <c r="G248" i="63"/>
  <c r="F248" i="63"/>
  <c r="E248" i="63"/>
  <c r="D248" i="63"/>
  <c r="C248" i="63"/>
  <c r="H247" i="63"/>
  <c r="G247" i="63"/>
  <c r="F247" i="63"/>
  <c r="E247" i="63"/>
  <c r="D247" i="63"/>
  <c r="C247" i="63"/>
  <c r="H246" i="63"/>
  <c r="G246" i="63"/>
  <c r="F246" i="63"/>
  <c r="E246" i="63"/>
  <c r="D246" i="63"/>
  <c r="C246" i="63"/>
  <c r="H245" i="63"/>
  <c r="G245" i="63"/>
  <c r="F245" i="63"/>
  <c r="E245" i="63"/>
  <c r="D245" i="63"/>
  <c r="C245" i="63"/>
  <c r="H244" i="63"/>
  <c r="G244" i="63"/>
  <c r="F244" i="63"/>
  <c r="E244" i="63"/>
  <c r="D244" i="63"/>
  <c r="C244" i="63"/>
  <c r="H243" i="63"/>
  <c r="G243" i="63"/>
  <c r="F243" i="63"/>
  <c r="E243" i="63"/>
  <c r="D243" i="63"/>
  <c r="C243" i="63"/>
  <c r="H242" i="63"/>
  <c r="G242" i="63"/>
  <c r="F242" i="63"/>
  <c r="E242" i="63"/>
  <c r="D242" i="63"/>
  <c r="C242" i="63"/>
  <c r="H241" i="63"/>
  <c r="G241" i="63"/>
  <c r="F241" i="63"/>
  <c r="E241" i="63"/>
  <c r="D241" i="63"/>
  <c r="C241" i="63"/>
  <c r="H240" i="63"/>
  <c r="G240" i="63"/>
  <c r="F240" i="63"/>
  <c r="E240" i="63"/>
  <c r="D240" i="63"/>
  <c r="C240" i="63"/>
  <c r="H239" i="63"/>
  <c r="G239" i="63"/>
  <c r="F239" i="63"/>
  <c r="E239" i="63"/>
  <c r="D239" i="63"/>
  <c r="C239" i="63"/>
  <c r="H238" i="63"/>
  <c r="G238" i="63"/>
  <c r="F238" i="63"/>
  <c r="E238" i="63"/>
  <c r="D238" i="63"/>
  <c r="C238" i="63"/>
  <c r="H237" i="63"/>
  <c r="G237" i="63"/>
  <c r="F237" i="63"/>
  <c r="E237" i="63"/>
  <c r="D237" i="63"/>
  <c r="C237" i="63"/>
  <c r="H236" i="63"/>
  <c r="G236" i="63"/>
  <c r="F236" i="63"/>
  <c r="E236" i="63"/>
  <c r="D236" i="63"/>
  <c r="C236" i="63"/>
  <c r="H235" i="63"/>
  <c r="G235" i="63"/>
  <c r="F235" i="63"/>
  <c r="E235" i="63"/>
  <c r="D235" i="63"/>
  <c r="C235" i="63"/>
  <c r="H234" i="63"/>
  <c r="G234" i="63"/>
  <c r="F234" i="63"/>
  <c r="E234" i="63"/>
  <c r="D234" i="63"/>
  <c r="C234" i="63"/>
  <c r="H233" i="63"/>
  <c r="G233" i="63"/>
  <c r="F233" i="63"/>
  <c r="E233" i="63"/>
  <c r="D233" i="63"/>
  <c r="C233" i="63"/>
  <c r="H232" i="63"/>
  <c r="G232" i="63"/>
  <c r="F232" i="63"/>
  <c r="E232" i="63"/>
  <c r="D232" i="63"/>
  <c r="C232" i="63"/>
  <c r="H231" i="63"/>
  <c r="G231" i="63"/>
  <c r="F231" i="63"/>
  <c r="E231" i="63"/>
  <c r="D231" i="63"/>
  <c r="C231" i="63"/>
  <c r="H230" i="63"/>
  <c r="G230" i="63"/>
  <c r="F230" i="63"/>
  <c r="E230" i="63"/>
  <c r="D230" i="63"/>
  <c r="C230" i="63"/>
  <c r="H229" i="63"/>
  <c r="G229" i="63"/>
  <c r="F229" i="63"/>
  <c r="E229" i="63"/>
  <c r="D229" i="63"/>
  <c r="C229" i="63"/>
  <c r="H228" i="63"/>
  <c r="G228" i="63"/>
  <c r="F228" i="63"/>
  <c r="E228" i="63"/>
  <c r="D228" i="63"/>
  <c r="C228" i="63"/>
  <c r="H227" i="63"/>
  <c r="G227" i="63"/>
  <c r="F227" i="63"/>
  <c r="E227" i="63"/>
  <c r="D227" i="63"/>
  <c r="C227" i="63"/>
  <c r="H226" i="63"/>
  <c r="G226" i="63"/>
  <c r="F226" i="63"/>
  <c r="E226" i="63"/>
  <c r="D226" i="63"/>
  <c r="C226" i="63"/>
  <c r="H225" i="63"/>
  <c r="G225" i="63"/>
  <c r="F225" i="63"/>
  <c r="E225" i="63"/>
  <c r="D225" i="63"/>
  <c r="C225" i="63"/>
  <c r="H224" i="63"/>
  <c r="G224" i="63"/>
  <c r="F224" i="63"/>
  <c r="E224" i="63"/>
  <c r="D224" i="63"/>
  <c r="C224" i="63"/>
  <c r="H223" i="63"/>
  <c r="G223" i="63"/>
  <c r="F223" i="63"/>
  <c r="E223" i="63"/>
  <c r="D223" i="63"/>
  <c r="C223" i="63"/>
  <c r="H222" i="63"/>
  <c r="G222" i="63"/>
  <c r="F222" i="63"/>
  <c r="E222" i="63"/>
  <c r="D222" i="63"/>
  <c r="C222" i="63"/>
  <c r="H221" i="63"/>
  <c r="G221" i="63"/>
  <c r="F221" i="63"/>
  <c r="E221" i="63"/>
  <c r="D221" i="63"/>
  <c r="C221" i="63"/>
  <c r="H220" i="63"/>
  <c r="G220" i="63"/>
  <c r="F220" i="63"/>
  <c r="E220" i="63"/>
  <c r="D220" i="63"/>
  <c r="C220" i="63"/>
  <c r="H219" i="63"/>
  <c r="G219" i="63"/>
  <c r="F219" i="63"/>
  <c r="E219" i="63"/>
  <c r="D219" i="63"/>
  <c r="C219" i="63"/>
  <c r="H218" i="63"/>
  <c r="G218" i="63"/>
  <c r="F218" i="63"/>
  <c r="E218" i="63"/>
  <c r="D218" i="63"/>
  <c r="C218" i="63"/>
  <c r="H217" i="63"/>
  <c r="G217" i="63"/>
  <c r="F217" i="63"/>
  <c r="E217" i="63"/>
  <c r="D217" i="63"/>
  <c r="C217" i="63"/>
  <c r="H216" i="63"/>
  <c r="G216" i="63"/>
  <c r="F216" i="63"/>
  <c r="E216" i="63"/>
  <c r="D216" i="63"/>
  <c r="C216" i="63"/>
  <c r="H215" i="63"/>
  <c r="G215" i="63"/>
  <c r="F215" i="63"/>
  <c r="E215" i="63"/>
  <c r="D215" i="63"/>
  <c r="C215" i="63"/>
  <c r="H214" i="63"/>
  <c r="G214" i="63"/>
  <c r="F214" i="63"/>
  <c r="E214" i="63"/>
  <c r="D214" i="63"/>
  <c r="C214" i="63"/>
  <c r="H213" i="63"/>
  <c r="G213" i="63"/>
  <c r="F213" i="63"/>
  <c r="E213" i="63"/>
  <c r="D213" i="63"/>
  <c r="C213" i="63"/>
  <c r="H212" i="63"/>
  <c r="G212" i="63"/>
  <c r="F212" i="63"/>
  <c r="E212" i="63"/>
  <c r="D212" i="63"/>
  <c r="C212" i="63"/>
  <c r="H211" i="63"/>
  <c r="G211" i="63"/>
  <c r="F211" i="63"/>
  <c r="E211" i="63"/>
  <c r="D211" i="63"/>
  <c r="C211" i="63"/>
  <c r="H210" i="63"/>
  <c r="G210" i="63"/>
  <c r="F210" i="63"/>
  <c r="E210" i="63"/>
  <c r="D210" i="63"/>
  <c r="C210" i="63"/>
  <c r="H209" i="63"/>
  <c r="G209" i="63"/>
  <c r="F209" i="63"/>
  <c r="E209" i="63"/>
  <c r="D209" i="63"/>
  <c r="C209" i="63"/>
  <c r="H208" i="63"/>
  <c r="G208" i="63"/>
  <c r="F208" i="63"/>
  <c r="E208" i="63"/>
  <c r="D208" i="63"/>
  <c r="C208" i="63"/>
  <c r="H207" i="63"/>
  <c r="G207" i="63"/>
  <c r="F207" i="63"/>
  <c r="E207" i="63"/>
  <c r="D207" i="63"/>
  <c r="C207" i="63"/>
  <c r="H206" i="63"/>
  <c r="G206" i="63"/>
  <c r="F206" i="63"/>
  <c r="E206" i="63"/>
  <c r="D206" i="63"/>
  <c r="C206" i="63"/>
  <c r="H205" i="63"/>
  <c r="G205" i="63"/>
  <c r="F205" i="63"/>
  <c r="E205" i="63"/>
  <c r="D205" i="63"/>
  <c r="C205" i="63"/>
  <c r="H204" i="63"/>
  <c r="G204" i="63"/>
  <c r="F204" i="63"/>
  <c r="E204" i="63"/>
  <c r="D204" i="63"/>
  <c r="C204" i="63"/>
  <c r="H203" i="63"/>
  <c r="G203" i="63"/>
  <c r="F203" i="63"/>
  <c r="E203" i="63"/>
  <c r="D203" i="63"/>
  <c r="C203" i="63"/>
  <c r="H202" i="63"/>
  <c r="G202" i="63"/>
  <c r="F202" i="63"/>
  <c r="E202" i="63"/>
  <c r="D202" i="63"/>
  <c r="C202" i="63"/>
  <c r="H201" i="63"/>
  <c r="G201" i="63"/>
  <c r="F201" i="63"/>
  <c r="E201" i="63"/>
  <c r="D201" i="63"/>
  <c r="C201" i="63"/>
  <c r="H200" i="63"/>
  <c r="G200" i="63"/>
  <c r="F200" i="63"/>
  <c r="E200" i="63"/>
  <c r="D200" i="63"/>
  <c r="C200" i="63"/>
  <c r="H199" i="63"/>
  <c r="G199" i="63"/>
  <c r="F199" i="63"/>
  <c r="E199" i="63"/>
  <c r="D199" i="63"/>
  <c r="C199" i="63"/>
  <c r="H198" i="63"/>
  <c r="G198" i="63"/>
  <c r="F198" i="63"/>
  <c r="E198" i="63"/>
  <c r="D198" i="63"/>
  <c r="C198" i="63"/>
  <c r="H197" i="63"/>
  <c r="G197" i="63"/>
  <c r="F197" i="63"/>
  <c r="E197" i="63"/>
  <c r="D197" i="63"/>
  <c r="C197" i="63"/>
  <c r="H196" i="63"/>
  <c r="G196" i="63"/>
  <c r="F196" i="63"/>
  <c r="E196" i="63"/>
  <c r="D196" i="63"/>
  <c r="C196" i="63"/>
  <c r="H195" i="63"/>
  <c r="G195" i="63"/>
  <c r="F195" i="63"/>
  <c r="E195" i="63"/>
  <c r="D195" i="63"/>
  <c r="C195" i="63"/>
  <c r="H194" i="63"/>
  <c r="G194" i="63"/>
  <c r="F194" i="63"/>
  <c r="E194" i="63"/>
  <c r="D194" i="63"/>
  <c r="C194" i="63"/>
  <c r="H193" i="63"/>
  <c r="G193" i="63"/>
  <c r="F193" i="63"/>
  <c r="E193" i="63"/>
  <c r="D193" i="63"/>
  <c r="C193" i="63"/>
  <c r="H192" i="63"/>
  <c r="G192" i="63"/>
  <c r="F192" i="63"/>
  <c r="E192" i="63"/>
  <c r="D192" i="63"/>
  <c r="C192" i="63"/>
  <c r="H191" i="63"/>
  <c r="G191" i="63"/>
  <c r="F191" i="63"/>
  <c r="E191" i="63"/>
  <c r="D191" i="63"/>
  <c r="C191" i="63"/>
  <c r="H190" i="63"/>
  <c r="G190" i="63"/>
  <c r="F190" i="63"/>
  <c r="E190" i="63"/>
  <c r="D190" i="63"/>
  <c r="C190" i="63"/>
  <c r="H189" i="63"/>
  <c r="G189" i="63"/>
  <c r="F189" i="63"/>
  <c r="E189" i="63"/>
  <c r="D189" i="63"/>
  <c r="C189" i="63"/>
  <c r="H188" i="63"/>
  <c r="G188" i="63"/>
  <c r="F188" i="63"/>
  <c r="E188" i="63"/>
  <c r="D188" i="63"/>
  <c r="C188" i="63"/>
  <c r="H187" i="63"/>
  <c r="G187" i="63"/>
  <c r="F187" i="63"/>
  <c r="E187" i="63"/>
  <c r="D187" i="63"/>
  <c r="C187" i="63"/>
  <c r="H186" i="63"/>
  <c r="G186" i="63"/>
  <c r="F186" i="63"/>
  <c r="E186" i="63"/>
  <c r="D186" i="63"/>
  <c r="C186" i="63"/>
  <c r="H185" i="63"/>
  <c r="G185" i="63"/>
  <c r="F185" i="63"/>
  <c r="E185" i="63"/>
  <c r="D185" i="63"/>
  <c r="C185" i="63"/>
  <c r="H184" i="63"/>
  <c r="G184" i="63"/>
  <c r="F184" i="63"/>
  <c r="E184" i="63"/>
  <c r="D184" i="63"/>
  <c r="C184" i="63"/>
  <c r="H183" i="63"/>
  <c r="G183" i="63"/>
  <c r="F183" i="63"/>
  <c r="E183" i="63"/>
  <c r="D183" i="63"/>
  <c r="C183" i="63"/>
  <c r="H182" i="63"/>
  <c r="G182" i="63"/>
  <c r="F182" i="63"/>
  <c r="E182" i="63"/>
  <c r="D182" i="63"/>
  <c r="C182" i="63"/>
  <c r="H181" i="63"/>
  <c r="G181" i="63"/>
  <c r="F181" i="63"/>
  <c r="E181" i="63"/>
  <c r="D181" i="63"/>
  <c r="C181" i="63"/>
  <c r="H180" i="63"/>
  <c r="G180" i="63"/>
  <c r="F180" i="63"/>
  <c r="E180" i="63"/>
  <c r="D180" i="63"/>
  <c r="C180" i="63"/>
  <c r="H179" i="63"/>
  <c r="G179" i="63"/>
  <c r="F179" i="63"/>
  <c r="E179" i="63"/>
  <c r="D179" i="63"/>
  <c r="C179" i="63"/>
  <c r="H178" i="63"/>
  <c r="G178" i="63"/>
  <c r="F178" i="63"/>
  <c r="E178" i="63"/>
  <c r="D178" i="63"/>
  <c r="C178" i="63"/>
  <c r="H177" i="63"/>
  <c r="G177" i="63"/>
  <c r="F177" i="63"/>
  <c r="E177" i="63"/>
  <c r="D177" i="63"/>
  <c r="C177" i="63"/>
  <c r="H176" i="63"/>
  <c r="G176" i="63"/>
  <c r="F176" i="63"/>
  <c r="E176" i="63"/>
  <c r="D176" i="63"/>
  <c r="C176" i="63"/>
  <c r="H175" i="63"/>
  <c r="G175" i="63"/>
  <c r="F175" i="63"/>
  <c r="E175" i="63"/>
  <c r="D175" i="63"/>
  <c r="C175" i="63"/>
  <c r="H174" i="63"/>
  <c r="G174" i="63"/>
  <c r="F174" i="63"/>
  <c r="E174" i="63"/>
  <c r="D174" i="63"/>
  <c r="C174" i="63"/>
  <c r="H173" i="63"/>
  <c r="G173" i="63"/>
  <c r="F173" i="63"/>
  <c r="E173" i="63"/>
  <c r="D173" i="63"/>
  <c r="C173" i="63"/>
  <c r="H172" i="63"/>
  <c r="G172" i="63"/>
  <c r="F172" i="63"/>
  <c r="E172" i="63"/>
  <c r="D172" i="63"/>
  <c r="C172" i="63"/>
  <c r="H171" i="63"/>
  <c r="G171" i="63"/>
  <c r="F171" i="63"/>
  <c r="E171" i="63"/>
  <c r="D171" i="63"/>
  <c r="C171" i="63"/>
  <c r="H170" i="63"/>
  <c r="G170" i="63"/>
  <c r="F170" i="63"/>
  <c r="E170" i="63"/>
  <c r="D170" i="63"/>
  <c r="C170" i="63"/>
  <c r="H169" i="63"/>
  <c r="G169" i="63"/>
  <c r="F169" i="63"/>
  <c r="E169" i="63"/>
  <c r="D169" i="63"/>
  <c r="C169" i="63"/>
  <c r="H168" i="63"/>
  <c r="G168" i="63"/>
  <c r="F168" i="63"/>
  <c r="E168" i="63"/>
  <c r="D168" i="63"/>
  <c r="C168" i="63"/>
  <c r="H167" i="63"/>
  <c r="G167" i="63"/>
  <c r="F167" i="63"/>
  <c r="E167" i="63"/>
  <c r="D167" i="63"/>
  <c r="C167" i="63"/>
  <c r="H166" i="63"/>
  <c r="G166" i="63"/>
  <c r="F166" i="63"/>
  <c r="E166" i="63"/>
  <c r="D166" i="63"/>
  <c r="C166" i="63"/>
  <c r="H165" i="63"/>
  <c r="G165" i="63"/>
  <c r="F165" i="63"/>
  <c r="E165" i="63"/>
  <c r="D165" i="63"/>
  <c r="C165" i="63"/>
  <c r="H164" i="63"/>
  <c r="G164" i="63"/>
  <c r="F164" i="63"/>
  <c r="E164" i="63"/>
  <c r="D164" i="63"/>
  <c r="C164" i="63"/>
  <c r="H163" i="63"/>
  <c r="G163" i="63"/>
  <c r="F163" i="63"/>
  <c r="E163" i="63"/>
  <c r="D163" i="63"/>
  <c r="C163" i="63"/>
  <c r="H162" i="63"/>
  <c r="G162" i="63"/>
  <c r="F162" i="63"/>
  <c r="E162" i="63"/>
  <c r="D162" i="63"/>
  <c r="C162" i="63"/>
  <c r="H161" i="63"/>
  <c r="G161" i="63"/>
  <c r="F161" i="63"/>
  <c r="E161" i="63"/>
  <c r="D161" i="63"/>
  <c r="C161" i="63"/>
  <c r="H160" i="63"/>
  <c r="G160" i="63"/>
  <c r="F160" i="63"/>
  <c r="E160" i="63"/>
  <c r="D160" i="63"/>
  <c r="C160" i="63"/>
  <c r="H159" i="63"/>
  <c r="G159" i="63"/>
  <c r="F159" i="63"/>
  <c r="E159" i="63"/>
  <c r="D159" i="63"/>
  <c r="C159" i="63"/>
  <c r="H158" i="63"/>
  <c r="G158" i="63"/>
  <c r="F158" i="63"/>
  <c r="E158" i="63"/>
  <c r="D158" i="63"/>
  <c r="C158" i="63"/>
  <c r="H157" i="63"/>
  <c r="G157" i="63"/>
  <c r="F157" i="63"/>
  <c r="E157" i="63"/>
  <c r="D157" i="63"/>
  <c r="C157" i="63"/>
  <c r="H156" i="63"/>
  <c r="G156" i="63"/>
  <c r="F156" i="63"/>
  <c r="E156" i="63"/>
  <c r="D156" i="63"/>
  <c r="C156" i="63"/>
  <c r="H155" i="63"/>
  <c r="G155" i="63"/>
  <c r="F155" i="63"/>
  <c r="E155" i="63"/>
  <c r="D155" i="63"/>
  <c r="C155" i="63"/>
  <c r="H154" i="63"/>
  <c r="G154" i="63"/>
  <c r="F154" i="63"/>
  <c r="E154" i="63"/>
  <c r="D154" i="63"/>
  <c r="C154" i="63"/>
  <c r="H153" i="63"/>
  <c r="G153" i="63"/>
  <c r="F153" i="63"/>
  <c r="E153" i="63"/>
  <c r="D153" i="63"/>
  <c r="C153" i="63"/>
  <c r="H152" i="63"/>
  <c r="G152" i="63"/>
  <c r="F152" i="63"/>
  <c r="E152" i="63"/>
  <c r="D152" i="63"/>
  <c r="C152" i="63"/>
  <c r="H151" i="63"/>
  <c r="G151" i="63"/>
  <c r="F151" i="63"/>
  <c r="E151" i="63"/>
  <c r="D151" i="63"/>
  <c r="C151" i="63"/>
  <c r="H150" i="63"/>
  <c r="G150" i="63"/>
  <c r="F150" i="63"/>
  <c r="E150" i="63"/>
  <c r="D150" i="63"/>
  <c r="C150" i="63"/>
  <c r="H149" i="63"/>
  <c r="G149" i="63"/>
  <c r="F149" i="63"/>
  <c r="E149" i="63"/>
  <c r="D149" i="63"/>
  <c r="C149" i="63"/>
  <c r="H148" i="63"/>
  <c r="G148" i="63"/>
  <c r="F148" i="63"/>
  <c r="E148" i="63"/>
  <c r="D148" i="63"/>
  <c r="C148" i="63"/>
  <c r="H147" i="63"/>
  <c r="G147" i="63"/>
  <c r="F147" i="63"/>
  <c r="E147" i="63"/>
  <c r="D147" i="63"/>
  <c r="C147" i="63"/>
  <c r="H146" i="63"/>
  <c r="G146" i="63"/>
  <c r="F146" i="63"/>
  <c r="E146" i="63"/>
  <c r="D146" i="63"/>
  <c r="C146" i="63"/>
  <c r="H145" i="63"/>
  <c r="G145" i="63"/>
  <c r="F145" i="63"/>
  <c r="E145" i="63"/>
  <c r="D145" i="63"/>
  <c r="C145" i="63"/>
  <c r="H144" i="63"/>
  <c r="G144" i="63"/>
  <c r="F144" i="63"/>
  <c r="E144" i="63"/>
  <c r="D144" i="63"/>
  <c r="C144" i="63"/>
  <c r="H143" i="63"/>
  <c r="G143" i="63"/>
  <c r="F143" i="63"/>
  <c r="E143" i="63"/>
  <c r="D143" i="63"/>
  <c r="C143" i="63"/>
  <c r="H142" i="63"/>
  <c r="G142" i="63"/>
  <c r="F142" i="63"/>
  <c r="E142" i="63"/>
  <c r="D142" i="63"/>
  <c r="C142" i="63"/>
  <c r="H141" i="63"/>
  <c r="G141" i="63"/>
  <c r="F141" i="63"/>
  <c r="E141" i="63"/>
  <c r="D141" i="63"/>
  <c r="C141" i="63"/>
  <c r="H140" i="63"/>
  <c r="G140" i="63"/>
  <c r="F140" i="63"/>
  <c r="E140" i="63"/>
  <c r="D140" i="63"/>
  <c r="C140" i="63"/>
  <c r="H139" i="63"/>
  <c r="G139" i="63"/>
  <c r="F139" i="63"/>
  <c r="E139" i="63"/>
  <c r="D139" i="63"/>
  <c r="C139" i="63"/>
  <c r="H138" i="63"/>
  <c r="G138" i="63"/>
  <c r="F138" i="63"/>
  <c r="E138" i="63"/>
  <c r="D138" i="63"/>
  <c r="C138" i="63"/>
  <c r="H137" i="63"/>
  <c r="G137" i="63"/>
  <c r="F137" i="63"/>
  <c r="E137" i="63"/>
  <c r="D137" i="63"/>
  <c r="C137" i="63"/>
  <c r="H136" i="63"/>
  <c r="G136" i="63"/>
  <c r="F136" i="63"/>
  <c r="E136" i="63"/>
  <c r="D136" i="63"/>
  <c r="C136" i="63"/>
  <c r="H135" i="63"/>
  <c r="G135" i="63"/>
  <c r="F135" i="63"/>
  <c r="E135" i="63"/>
  <c r="D135" i="63"/>
  <c r="C135" i="63"/>
  <c r="H134" i="63"/>
  <c r="G134" i="63"/>
  <c r="F134" i="63"/>
  <c r="E134" i="63"/>
  <c r="D134" i="63"/>
  <c r="C134" i="63"/>
  <c r="H133" i="63"/>
  <c r="G133" i="63"/>
  <c r="F133" i="63"/>
  <c r="E133" i="63"/>
  <c r="D133" i="63"/>
  <c r="C133" i="63"/>
  <c r="H132" i="63"/>
  <c r="G132" i="63"/>
  <c r="F132" i="63"/>
  <c r="E132" i="63"/>
  <c r="D132" i="63"/>
  <c r="C132" i="63"/>
  <c r="H131" i="63"/>
  <c r="G131" i="63"/>
  <c r="F131" i="63"/>
  <c r="E131" i="63"/>
  <c r="D131" i="63"/>
  <c r="C131" i="63"/>
  <c r="H130" i="63"/>
  <c r="G130" i="63"/>
  <c r="F130" i="63"/>
  <c r="E130" i="63"/>
  <c r="D130" i="63"/>
  <c r="C130" i="63"/>
  <c r="H129" i="63"/>
  <c r="G129" i="63"/>
  <c r="F129" i="63"/>
  <c r="E129" i="63"/>
  <c r="D129" i="63"/>
  <c r="C129" i="63"/>
  <c r="H128" i="63"/>
  <c r="G128" i="63"/>
  <c r="F128" i="63"/>
  <c r="E128" i="63"/>
  <c r="D128" i="63"/>
  <c r="C128" i="63"/>
  <c r="H127" i="63"/>
  <c r="G127" i="63"/>
  <c r="F127" i="63"/>
  <c r="E127" i="63"/>
  <c r="D127" i="63"/>
  <c r="C127" i="63"/>
  <c r="H126" i="63"/>
  <c r="G126" i="63"/>
  <c r="F126" i="63"/>
  <c r="E126" i="63"/>
  <c r="D126" i="63"/>
  <c r="C126" i="63"/>
  <c r="H125" i="63"/>
  <c r="G125" i="63"/>
  <c r="F125" i="63"/>
  <c r="E125" i="63"/>
  <c r="D125" i="63"/>
  <c r="C125" i="63"/>
  <c r="H124" i="63"/>
  <c r="G124" i="63"/>
  <c r="F124" i="63"/>
  <c r="E124" i="63"/>
  <c r="D124" i="63"/>
  <c r="C124" i="63"/>
  <c r="H123" i="63"/>
  <c r="G123" i="63"/>
  <c r="F123" i="63"/>
  <c r="E123" i="63"/>
  <c r="D123" i="63"/>
  <c r="C123" i="63"/>
  <c r="H122" i="63"/>
  <c r="G122" i="63"/>
  <c r="F122" i="63"/>
  <c r="E122" i="63"/>
  <c r="D122" i="63"/>
  <c r="C122" i="63"/>
  <c r="H121" i="63"/>
  <c r="G121" i="63"/>
  <c r="F121" i="63"/>
  <c r="E121" i="63"/>
  <c r="D121" i="63"/>
  <c r="C121" i="63"/>
  <c r="H120" i="63"/>
  <c r="G120" i="63"/>
  <c r="F120" i="63"/>
  <c r="E120" i="63"/>
  <c r="D120" i="63"/>
  <c r="C120" i="63"/>
  <c r="H119" i="63"/>
  <c r="G119" i="63"/>
  <c r="F119" i="63"/>
  <c r="E119" i="63"/>
  <c r="D119" i="63"/>
  <c r="C119" i="63"/>
  <c r="H118" i="63"/>
  <c r="G118" i="63"/>
  <c r="F118" i="63"/>
  <c r="E118" i="63"/>
  <c r="D118" i="63"/>
  <c r="C118" i="63"/>
  <c r="H117" i="63"/>
  <c r="G117" i="63"/>
  <c r="F117" i="63"/>
  <c r="E117" i="63"/>
  <c r="D117" i="63"/>
  <c r="C117" i="63"/>
  <c r="H116" i="63"/>
  <c r="G116" i="63"/>
  <c r="F116" i="63"/>
  <c r="E116" i="63"/>
  <c r="D116" i="63"/>
  <c r="C116" i="63"/>
  <c r="H115" i="63"/>
  <c r="G115" i="63"/>
  <c r="F115" i="63"/>
  <c r="E115" i="63"/>
  <c r="D115" i="63"/>
  <c r="C115" i="63"/>
  <c r="H114" i="63"/>
  <c r="G114" i="63"/>
  <c r="F114" i="63"/>
  <c r="E114" i="63"/>
  <c r="D114" i="63"/>
  <c r="C114" i="63"/>
  <c r="H113" i="63"/>
  <c r="G113" i="63"/>
  <c r="F113" i="63"/>
  <c r="E113" i="63"/>
  <c r="D113" i="63"/>
  <c r="C113" i="63"/>
  <c r="H112" i="63"/>
  <c r="G112" i="63"/>
  <c r="F112" i="63"/>
  <c r="E112" i="63"/>
  <c r="D112" i="63"/>
  <c r="C112" i="63"/>
  <c r="H111" i="63"/>
  <c r="G111" i="63"/>
  <c r="F111" i="63"/>
  <c r="E111" i="63"/>
  <c r="D111" i="63"/>
  <c r="C111" i="63"/>
  <c r="H110" i="63"/>
  <c r="G110" i="63"/>
  <c r="F110" i="63"/>
  <c r="E110" i="63"/>
  <c r="D110" i="63"/>
  <c r="C110" i="63"/>
  <c r="H109" i="63"/>
  <c r="G109" i="63"/>
  <c r="F109" i="63"/>
  <c r="E109" i="63"/>
  <c r="D109" i="63"/>
  <c r="C109" i="63"/>
  <c r="H108" i="63"/>
  <c r="G108" i="63"/>
  <c r="F108" i="63"/>
  <c r="E108" i="63"/>
  <c r="D108" i="63"/>
  <c r="C108" i="63"/>
  <c r="H107" i="63"/>
  <c r="G107" i="63"/>
  <c r="F107" i="63"/>
  <c r="E107" i="63"/>
  <c r="D107" i="63"/>
  <c r="C107" i="63"/>
  <c r="H106" i="63"/>
  <c r="G106" i="63"/>
  <c r="F106" i="63"/>
  <c r="E106" i="63"/>
  <c r="D106" i="63"/>
  <c r="C106" i="63"/>
  <c r="H105" i="63"/>
  <c r="G105" i="63"/>
  <c r="F105" i="63"/>
  <c r="E105" i="63"/>
  <c r="D105" i="63"/>
  <c r="C105" i="63"/>
  <c r="H104" i="63"/>
  <c r="G104" i="63"/>
  <c r="F104" i="63"/>
  <c r="E104" i="63"/>
  <c r="D104" i="63"/>
  <c r="C104" i="63"/>
  <c r="H103" i="63"/>
  <c r="G103" i="63"/>
  <c r="F103" i="63"/>
  <c r="E103" i="63"/>
  <c r="D103" i="63"/>
  <c r="C103" i="63"/>
  <c r="H102" i="63"/>
  <c r="G102" i="63"/>
  <c r="F102" i="63"/>
  <c r="E102" i="63"/>
  <c r="D102" i="63"/>
  <c r="C102" i="63"/>
  <c r="H101" i="63"/>
  <c r="G101" i="63"/>
  <c r="F101" i="63"/>
  <c r="E101" i="63"/>
  <c r="D101" i="63"/>
  <c r="C101" i="63"/>
  <c r="H100" i="63"/>
  <c r="G100" i="63"/>
  <c r="F100" i="63"/>
  <c r="E100" i="63"/>
  <c r="D100" i="63"/>
  <c r="C100" i="63"/>
  <c r="H99" i="63"/>
  <c r="G99" i="63"/>
  <c r="F99" i="63"/>
  <c r="E99" i="63"/>
  <c r="D99" i="63"/>
  <c r="C99" i="63"/>
  <c r="H98" i="63"/>
  <c r="G98" i="63"/>
  <c r="F98" i="63"/>
  <c r="E98" i="63"/>
  <c r="D98" i="63"/>
  <c r="C98" i="63"/>
  <c r="H97" i="63"/>
  <c r="G97" i="63"/>
  <c r="F97" i="63"/>
  <c r="E97" i="63"/>
  <c r="D97" i="63"/>
  <c r="C97" i="63"/>
  <c r="H96" i="63"/>
  <c r="G96" i="63"/>
  <c r="F96" i="63"/>
  <c r="E96" i="63"/>
  <c r="D96" i="63"/>
  <c r="C96" i="63"/>
  <c r="H95" i="63"/>
  <c r="G95" i="63"/>
  <c r="F95" i="63"/>
  <c r="E95" i="63"/>
  <c r="D95" i="63"/>
  <c r="C95" i="63"/>
  <c r="H94" i="63"/>
  <c r="G94" i="63"/>
  <c r="F94" i="63"/>
  <c r="E94" i="63"/>
  <c r="D94" i="63"/>
  <c r="C94" i="63"/>
  <c r="H93" i="63"/>
  <c r="G93" i="63"/>
  <c r="F93" i="63"/>
  <c r="E93" i="63"/>
  <c r="D93" i="63"/>
  <c r="C93" i="63"/>
  <c r="H92" i="63"/>
  <c r="G92" i="63"/>
  <c r="F92" i="63"/>
  <c r="E92" i="63"/>
  <c r="D92" i="63"/>
  <c r="C92" i="63"/>
  <c r="H91" i="63"/>
  <c r="G91" i="63"/>
  <c r="F91" i="63"/>
  <c r="E91" i="63"/>
  <c r="D91" i="63"/>
  <c r="C91" i="63"/>
  <c r="H90" i="63"/>
  <c r="G90" i="63"/>
  <c r="F90" i="63"/>
  <c r="E90" i="63"/>
  <c r="D90" i="63"/>
  <c r="C90" i="63"/>
  <c r="H89" i="63"/>
  <c r="G89" i="63"/>
  <c r="F89" i="63"/>
  <c r="E89" i="63"/>
  <c r="D89" i="63"/>
  <c r="C89" i="63"/>
  <c r="H88" i="63"/>
  <c r="G88" i="63"/>
  <c r="F88" i="63"/>
  <c r="E88" i="63"/>
  <c r="D88" i="63"/>
  <c r="C88" i="63"/>
  <c r="H87" i="63"/>
  <c r="G87" i="63"/>
  <c r="F87" i="63"/>
  <c r="E87" i="63"/>
  <c r="D87" i="63"/>
  <c r="C87" i="63"/>
  <c r="H86" i="63"/>
  <c r="G86" i="63"/>
  <c r="F86" i="63"/>
  <c r="E86" i="63"/>
  <c r="D86" i="63"/>
  <c r="C86" i="63"/>
  <c r="H85" i="63"/>
  <c r="G85" i="63"/>
  <c r="F85" i="63"/>
  <c r="E85" i="63"/>
  <c r="D85" i="63"/>
  <c r="C85" i="63"/>
  <c r="H84" i="63"/>
  <c r="G84" i="63"/>
  <c r="F84" i="63"/>
  <c r="E84" i="63"/>
  <c r="D84" i="63"/>
  <c r="C84" i="63"/>
  <c r="H83" i="63"/>
  <c r="G83" i="63"/>
  <c r="F83" i="63"/>
  <c r="E83" i="63"/>
  <c r="D83" i="63"/>
  <c r="C83" i="63"/>
  <c r="H82" i="63"/>
  <c r="G82" i="63"/>
  <c r="F82" i="63"/>
  <c r="E82" i="63"/>
  <c r="D82" i="63"/>
  <c r="C82" i="63"/>
  <c r="H81" i="63"/>
  <c r="G81" i="63"/>
  <c r="F81" i="63"/>
  <c r="E81" i="63"/>
  <c r="D81" i="63"/>
  <c r="C81" i="63"/>
  <c r="H80" i="63"/>
  <c r="G80" i="63"/>
  <c r="F80" i="63"/>
  <c r="E80" i="63"/>
  <c r="D80" i="63"/>
  <c r="C80" i="63"/>
  <c r="H79" i="63"/>
  <c r="G79" i="63"/>
  <c r="F79" i="63"/>
  <c r="E79" i="63"/>
  <c r="D79" i="63"/>
  <c r="C79" i="63"/>
  <c r="H78" i="63"/>
  <c r="G78" i="63"/>
  <c r="F78" i="63"/>
  <c r="E78" i="63"/>
  <c r="D78" i="63"/>
  <c r="C78" i="63"/>
  <c r="H77" i="63"/>
  <c r="G77" i="63"/>
  <c r="F77" i="63"/>
  <c r="E77" i="63"/>
  <c r="D77" i="63"/>
  <c r="C77" i="63"/>
  <c r="H76" i="63"/>
  <c r="G76" i="63"/>
  <c r="F76" i="63"/>
  <c r="E76" i="63"/>
  <c r="D76" i="63"/>
  <c r="C76" i="63"/>
  <c r="H75" i="63"/>
  <c r="G75" i="63"/>
  <c r="F75" i="63"/>
  <c r="E75" i="63"/>
  <c r="D75" i="63"/>
  <c r="C75" i="63"/>
  <c r="H74" i="63"/>
  <c r="G74" i="63"/>
  <c r="F74" i="63"/>
  <c r="E74" i="63"/>
  <c r="D74" i="63"/>
  <c r="C74" i="63"/>
  <c r="H73" i="63"/>
  <c r="G73" i="63"/>
  <c r="F73" i="63"/>
  <c r="E73" i="63"/>
  <c r="D73" i="63"/>
  <c r="C73" i="63"/>
  <c r="H72" i="63"/>
  <c r="G72" i="63"/>
  <c r="F72" i="63"/>
  <c r="E72" i="63"/>
  <c r="D72" i="63"/>
  <c r="C72" i="63"/>
  <c r="H71" i="63"/>
  <c r="G71" i="63"/>
  <c r="F71" i="63"/>
  <c r="E71" i="63"/>
  <c r="D71" i="63"/>
  <c r="C71" i="63"/>
  <c r="H70" i="63"/>
  <c r="G70" i="63"/>
  <c r="F70" i="63"/>
  <c r="E70" i="63"/>
  <c r="D70" i="63"/>
  <c r="C70" i="63"/>
  <c r="H69" i="63"/>
  <c r="G69" i="63"/>
  <c r="F69" i="63"/>
  <c r="E69" i="63"/>
  <c r="D69" i="63"/>
  <c r="C69" i="63"/>
  <c r="H68" i="63"/>
  <c r="G68" i="63"/>
  <c r="F68" i="63"/>
  <c r="E68" i="63"/>
  <c r="D68" i="63"/>
  <c r="C68" i="63"/>
  <c r="H67" i="63"/>
  <c r="G67" i="63"/>
  <c r="F67" i="63"/>
  <c r="E67" i="63"/>
  <c r="D67" i="63"/>
  <c r="C67" i="63"/>
  <c r="H66" i="63"/>
  <c r="G66" i="63"/>
  <c r="F66" i="63"/>
  <c r="E66" i="63"/>
  <c r="D66" i="63"/>
  <c r="C66" i="63"/>
  <c r="H65" i="63"/>
  <c r="G65" i="63"/>
  <c r="F65" i="63"/>
  <c r="E65" i="63"/>
  <c r="D65" i="63"/>
  <c r="C65" i="63"/>
  <c r="H64" i="63"/>
  <c r="G64" i="63"/>
  <c r="F64" i="63"/>
  <c r="E64" i="63"/>
  <c r="D64" i="63"/>
  <c r="C64" i="63"/>
  <c r="H63" i="63"/>
  <c r="G63" i="63"/>
  <c r="F63" i="63"/>
  <c r="E63" i="63"/>
  <c r="D63" i="63"/>
  <c r="C63" i="63"/>
  <c r="H62" i="63"/>
  <c r="G62" i="63"/>
  <c r="F62" i="63"/>
  <c r="E62" i="63"/>
  <c r="D62" i="63"/>
  <c r="C62" i="63"/>
  <c r="H61" i="63"/>
  <c r="G61" i="63"/>
  <c r="F61" i="63"/>
  <c r="E61" i="63"/>
  <c r="D61" i="63"/>
  <c r="C61" i="63"/>
  <c r="H60" i="63"/>
  <c r="G60" i="63"/>
  <c r="F60" i="63"/>
  <c r="E60" i="63"/>
  <c r="D60" i="63"/>
  <c r="C60" i="63"/>
  <c r="H59" i="63"/>
  <c r="G59" i="63"/>
  <c r="F59" i="63"/>
  <c r="E59" i="63"/>
  <c r="D59" i="63"/>
  <c r="C59" i="63"/>
  <c r="H58" i="63"/>
  <c r="G58" i="63"/>
  <c r="F58" i="63"/>
  <c r="E58" i="63"/>
  <c r="D58" i="63"/>
  <c r="C58" i="63"/>
  <c r="H57" i="63"/>
  <c r="G57" i="63"/>
  <c r="F57" i="63"/>
  <c r="E57" i="63"/>
  <c r="D57" i="63"/>
  <c r="C57" i="63"/>
  <c r="H56" i="63"/>
  <c r="G56" i="63"/>
  <c r="F56" i="63"/>
  <c r="E56" i="63"/>
  <c r="D56" i="63"/>
  <c r="C56" i="63"/>
  <c r="H55" i="63"/>
  <c r="G55" i="63"/>
  <c r="F55" i="63"/>
  <c r="E55" i="63"/>
  <c r="D55" i="63"/>
  <c r="C55" i="63"/>
  <c r="H54" i="63"/>
  <c r="G54" i="63"/>
  <c r="F54" i="63"/>
  <c r="E54" i="63"/>
  <c r="D54" i="63"/>
  <c r="C54" i="63"/>
  <c r="H53" i="63"/>
  <c r="G53" i="63"/>
  <c r="F53" i="63"/>
  <c r="E53" i="63"/>
  <c r="D53" i="63"/>
  <c r="C53" i="63"/>
  <c r="H52" i="63"/>
  <c r="G52" i="63"/>
  <c r="F52" i="63"/>
  <c r="E52" i="63"/>
  <c r="D52" i="63"/>
  <c r="C52" i="63"/>
  <c r="H51" i="63"/>
  <c r="G51" i="63"/>
  <c r="F51" i="63"/>
  <c r="E51" i="63"/>
  <c r="D51" i="63"/>
  <c r="C51" i="63"/>
  <c r="H50" i="63"/>
  <c r="G50" i="63"/>
  <c r="F50" i="63"/>
  <c r="E50" i="63"/>
  <c r="D50" i="63"/>
  <c r="C50" i="63"/>
  <c r="H49" i="63"/>
  <c r="G49" i="63"/>
  <c r="F49" i="63"/>
  <c r="E49" i="63"/>
  <c r="D49" i="63"/>
  <c r="C49" i="63"/>
  <c r="H48" i="63"/>
  <c r="G48" i="63"/>
  <c r="F48" i="63"/>
  <c r="E48" i="63"/>
  <c r="D48" i="63"/>
  <c r="C48" i="63"/>
  <c r="H47" i="63"/>
  <c r="G47" i="63"/>
  <c r="F47" i="63"/>
  <c r="E47" i="63"/>
  <c r="D47" i="63"/>
  <c r="C47" i="63"/>
  <c r="H46" i="63"/>
  <c r="G46" i="63"/>
  <c r="F46" i="63"/>
  <c r="E46" i="63"/>
  <c r="D46" i="63"/>
  <c r="C46" i="63"/>
  <c r="H45" i="63"/>
  <c r="G45" i="63"/>
  <c r="F45" i="63"/>
  <c r="E45" i="63"/>
  <c r="D45" i="63"/>
  <c r="C45" i="63"/>
  <c r="H44" i="63"/>
  <c r="G44" i="63"/>
  <c r="F44" i="63"/>
  <c r="E44" i="63"/>
  <c r="D44" i="63"/>
  <c r="C44" i="63"/>
  <c r="H43" i="63"/>
  <c r="G43" i="63"/>
  <c r="F43" i="63"/>
  <c r="E43" i="63"/>
  <c r="D43" i="63"/>
  <c r="C43" i="63"/>
  <c r="H42" i="63"/>
  <c r="G42" i="63"/>
  <c r="F42" i="63"/>
  <c r="E42" i="63"/>
  <c r="D42" i="63"/>
  <c r="C42" i="63"/>
  <c r="H41" i="63"/>
  <c r="G41" i="63"/>
  <c r="F41" i="63"/>
  <c r="E41" i="63"/>
  <c r="D41" i="63"/>
  <c r="C41" i="63"/>
  <c r="H40" i="63"/>
  <c r="G40" i="63"/>
  <c r="F40" i="63"/>
  <c r="E40" i="63"/>
  <c r="D40" i="63"/>
  <c r="C40" i="63"/>
  <c r="H39" i="63"/>
  <c r="G39" i="63"/>
  <c r="F39" i="63"/>
  <c r="E39" i="63"/>
  <c r="D39" i="63"/>
  <c r="C39" i="63"/>
  <c r="H38" i="63"/>
  <c r="G38" i="63"/>
  <c r="F38" i="63"/>
  <c r="E38" i="63"/>
  <c r="D38" i="63"/>
  <c r="C38" i="63"/>
  <c r="H37" i="63"/>
  <c r="G37" i="63"/>
  <c r="F37" i="63"/>
  <c r="E37" i="63"/>
  <c r="D37" i="63"/>
  <c r="C37" i="63"/>
  <c r="H36" i="63"/>
  <c r="G36" i="63"/>
  <c r="F36" i="63"/>
  <c r="E36" i="63"/>
  <c r="D36" i="63"/>
  <c r="C36" i="63"/>
  <c r="H35" i="63"/>
  <c r="G35" i="63"/>
  <c r="F35" i="63"/>
  <c r="E35" i="63"/>
  <c r="D35" i="63"/>
  <c r="C35" i="63"/>
  <c r="H34" i="63"/>
  <c r="G34" i="63"/>
  <c r="F34" i="63"/>
  <c r="E34" i="63"/>
  <c r="D34" i="63"/>
  <c r="C34" i="63"/>
  <c r="H33" i="63"/>
  <c r="G33" i="63"/>
  <c r="F33" i="63"/>
  <c r="E33" i="63"/>
  <c r="D33" i="63"/>
  <c r="C33" i="63"/>
  <c r="H32" i="63"/>
  <c r="G32" i="63"/>
  <c r="F32" i="63"/>
  <c r="E32" i="63"/>
  <c r="D32" i="63"/>
  <c r="C32" i="63"/>
  <c r="H31" i="63"/>
  <c r="G31" i="63"/>
  <c r="F31" i="63"/>
  <c r="E31" i="63"/>
  <c r="D31" i="63"/>
  <c r="C31" i="63"/>
  <c r="H30" i="63"/>
  <c r="G30" i="63"/>
  <c r="F30" i="63"/>
  <c r="E30" i="63"/>
  <c r="D30" i="63"/>
  <c r="C30" i="63"/>
  <c r="H29" i="63"/>
  <c r="G29" i="63"/>
  <c r="F29" i="63"/>
  <c r="E29" i="63"/>
  <c r="D29" i="63"/>
  <c r="C29" i="63"/>
  <c r="H28" i="63"/>
  <c r="G28" i="63"/>
  <c r="F28" i="63"/>
  <c r="E28" i="63"/>
  <c r="D28" i="63"/>
  <c r="C28" i="63"/>
  <c r="H27" i="63"/>
  <c r="G27" i="63"/>
  <c r="F27" i="63"/>
  <c r="E27" i="63"/>
  <c r="D27" i="63"/>
  <c r="C27" i="63"/>
  <c r="H26" i="63"/>
  <c r="G26" i="63"/>
  <c r="F26" i="63"/>
  <c r="E26" i="63"/>
  <c r="D26" i="63"/>
  <c r="C26" i="63"/>
  <c r="H25" i="63"/>
  <c r="G25" i="63"/>
  <c r="F25" i="63"/>
  <c r="E25" i="63"/>
  <c r="D25" i="63"/>
  <c r="C25" i="63"/>
  <c r="H24" i="63"/>
  <c r="G24" i="63"/>
  <c r="F24" i="63"/>
  <c r="E24" i="63"/>
  <c r="D24" i="63"/>
  <c r="C24" i="63"/>
  <c r="H23" i="63"/>
  <c r="G23" i="63"/>
  <c r="F23" i="63"/>
  <c r="E23" i="63"/>
  <c r="D23" i="63"/>
  <c r="C23" i="63"/>
  <c r="H22" i="63"/>
  <c r="G22" i="63"/>
  <c r="F22" i="63"/>
  <c r="E22" i="63"/>
  <c r="D22" i="63"/>
  <c r="C22" i="63"/>
  <c r="H21" i="63"/>
  <c r="G21" i="63"/>
  <c r="F21" i="63"/>
  <c r="E21" i="63"/>
  <c r="D21" i="63"/>
  <c r="C21" i="63"/>
  <c r="H20" i="63"/>
  <c r="G20" i="63"/>
  <c r="F20" i="63"/>
  <c r="E20" i="63"/>
  <c r="D20" i="63"/>
  <c r="C20" i="63"/>
  <c r="H19" i="63"/>
  <c r="G19" i="63"/>
  <c r="F19" i="63"/>
  <c r="E19" i="63"/>
  <c r="D19" i="63"/>
  <c r="C19" i="63"/>
  <c r="H18" i="63"/>
  <c r="G18" i="63"/>
  <c r="F18" i="63"/>
  <c r="E18" i="63"/>
  <c r="D18" i="63"/>
  <c r="C18" i="63"/>
  <c r="H17" i="63"/>
  <c r="G17" i="63"/>
  <c r="F17" i="63"/>
  <c r="E17" i="63"/>
  <c r="D17" i="63"/>
  <c r="C17" i="63"/>
  <c r="H16" i="63"/>
  <c r="G16" i="63"/>
  <c r="F16" i="63"/>
  <c r="E16" i="63"/>
  <c r="D16" i="63"/>
  <c r="C16" i="63"/>
  <c r="H15" i="63"/>
  <c r="G15" i="63"/>
  <c r="F15" i="63"/>
  <c r="E15" i="63"/>
  <c r="D15" i="63"/>
  <c r="C15" i="63"/>
  <c r="H14" i="63"/>
  <c r="G14" i="63"/>
  <c r="F14" i="63"/>
  <c r="E14" i="63"/>
  <c r="D14" i="63"/>
  <c r="C14" i="63"/>
  <c r="H13" i="63"/>
  <c r="G13" i="63"/>
  <c r="F13" i="63"/>
  <c r="E13" i="63"/>
  <c r="D13" i="63"/>
  <c r="C13" i="63"/>
  <c r="H12" i="63"/>
  <c r="G12" i="63"/>
  <c r="F12" i="63"/>
  <c r="E12" i="63"/>
  <c r="D12" i="63"/>
  <c r="C12" i="63"/>
  <c r="H11" i="63"/>
  <c r="G11" i="63"/>
  <c r="F11" i="63"/>
  <c r="E11" i="63"/>
  <c r="D11" i="63"/>
  <c r="C11" i="63"/>
  <c r="H10" i="63"/>
  <c r="G10" i="63"/>
  <c r="F10" i="63"/>
  <c r="E10" i="63"/>
  <c r="D10" i="63"/>
  <c r="C10" i="63"/>
  <c r="H9" i="63"/>
  <c r="G9" i="63"/>
  <c r="F9" i="63"/>
  <c r="E9" i="63"/>
  <c r="D9" i="63"/>
  <c r="C9" i="63"/>
  <c r="H8" i="63"/>
  <c r="G8" i="63"/>
  <c r="F8" i="63"/>
  <c r="E8" i="63"/>
  <c r="D8" i="63"/>
  <c r="C8" i="63"/>
  <c r="H7" i="63"/>
  <c r="G7" i="63"/>
  <c r="F7" i="63"/>
  <c r="E7" i="63"/>
  <c r="D7" i="63"/>
  <c r="C7" i="63"/>
  <c r="H6" i="63"/>
  <c r="G6" i="63"/>
  <c r="F6" i="63"/>
  <c r="E6" i="63"/>
  <c r="D6" i="63"/>
  <c r="C6" i="63"/>
  <c r="H5" i="63"/>
  <c r="G5" i="63"/>
  <c r="F5" i="63"/>
  <c r="E5" i="63"/>
  <c r="D5" i="63"/>
  <c r="C5" i="63"/>
  <c r="H4" i="63"/>
  <c r="G4" i="63"/>
  <c r="F4" i="63"/>
  <c r="E4" i="63"/>
  <c r="D4" i="63"/>
  <c r="C4" i="63"/>
  <c r="H3" i="63"/>
  <c r="G3" i="63"/>
  <c r="F3" i="63"/>
  <c r="E3" i="63"/>
  <c r="D3" i="63"/>
  <c r="C3" i="63"/>
  <c r="H2" i="63"/>
  <c r="G2" i="63"/>
  <c r="F2" i="63"/>
  <c r="E2" i="63"/>
  <c r="D2" i="63"/>
  <c r="C2" i="63"/>
  <c r="H615" i="1"/>
  <c r="G615" i="1"/>
  <c r="F615" i="1"/>
  <c r="E615" i="1"/>
  <c r="H614" i="1"/>
  <c r="G614" i="1"/>
  <c r="F614" i="1"/>
  <c r="E614" i="1"/>
  <c r="H613" i="1"/>
  <c r="G613" i="1"/>
  <c r="F613" i="1"/>
  <c r="E613" i="1"/>
  <c r="H612" i="1"/>
  <c r="G612" i="1"/>
  <c r="F612" i="1"/>
  <c r="E612" i="1"/>
  <c r="H611" i="1"/>
  <c r="G611" i="1"/>
  <c r="F611" i="1"/>
  <c r="E611" i="1"/>
  <c r="H610" i="1"/>
  <c r="G610" i="1"/>
  <c r="F610" i="1"/>
  <c r="E610" i="1"/>
  <c r="H609" i="1"/>
  <c r="G609" i="1"/>
  <c r="F609" i="1"/>
  <c r="E609" i="1"/>
  <c r="H608" i="1"/>
  <c r="G608" i="1"/>
  <c r="F608" i="1"/>
  <c r="E608" i="1"/>
  <c r="H607" i="1"/>
  <c r="G607" i="1"/>
  <c r="F607" i="1"/>
  <c r="E607" i="1"/>
  <c r="H606" i="1"/>
  <c r="G606" i="1"/>
  <c r="F606" i="1"/>
  <c r="E606" i="1"/>
  <c r="H605" i="1"/>
  <c r="G605" i="1"/>
  <c r="F605" i="1"/>
  <c r="E605" i="1"/>
  <c r="H604" i="1"/>
  <c r="G604" i="1"/>
  <c r="F604" i="1"/>
  <c r="E604" i="1"/>
  <c r="H603" i="1"/>
  <c r="G603" i="1"/>
  <c r="F603" i="1"/>
  <c r="E603" i="1"/>
  <c r="H602" i="1"/>
  <c r="G602" i="1"/>
  <c r="F602" i="1"/>
  <c r="E602" i="1"/>
  <c r="H601" i="1"/>
  <c r="G601" i="1"/>
  <c r="F601" i="1"/>
  <c r="E601" i="1"/>
  <c r="H600" i="1"/>
  <c r="G600" i="1"/>
  <c r="F600" i="1"/>
  <c r="E600" i="1"/>
  <c r="H599" i="1"/>
  <c r="G599" i="1"/>
  <c r="F599" i="1"/>
  <c r="E599" i="1"/>
  <c r="H598" i="1"/>
  <c r="G598" i="1"/>
  <c r="F598" i="1"/>
  <c r="E598" i="1"/>
  <c r="H597" i="1"/>
  <c r="G597" i="1"/>
  <c r="F597" i="1"/>
  <c r="E597" i="1"/>
  <c r="H596" i="1"/>
  <c r="G596" i="1"/>
  <c r="F596" i="1"/>
  <c r="E596" i="1"/>
  <c r="H595" i="1"/>
  <c r="G595" i="1"/>
  <c r="F595" i="1"/>
  <c r="E595" i="1"/>
  <c r="H594" i="1"/>
  <c r="G594" i="1"/>
  <c r="F594" i="1"/>
  <c r="E594" i="1"/>
  <c r="H593" i="1"/>
  <c r="G593" i="1"/>
  <c r="F593" i="1"/>
  <c r="E593" i="1"/>
  <c r="H592" i="1"/>
  <c r="G592" i="1"/>
  <c r="F592" i="1"/>
  <c r="E592" i="1"/>
  <c r="H591" i="1"/>
  <c r="G591" i="1"/>
  <c r="F591" i="1"/>
  <c r="E591" i="1"/>
  <c r="H590" i="1"/>
  <c r="G590" i="1"/>
  <c r="F590" i="1"/>
  <c r="E590" i="1"/>
  <c r="H589" i="1"/>
  <c r="G589" i="1"/>
  <c r="F589" i="1"/>
  <c r="E589" i="1"/>
  <c r="H588" i="1"/>
  <c r="G588" i="1"/>
  <c r="F588" i="1"/>
  <c r="E588" i="1"/>
  <c r="H587" i="1"/>
  <c r="G587" i="1"/>
  <c r="F587" i="1"/>
  <c r="E587" i="1"/>
  <c r="H586" i="1"/>
  <c r="G586" i="1"/>
  <c r="F586" i="1"/>
  <c r="E586" i="1"/>
  <c r="H585" i="1"/>
  <c r="G585" i="1"/>
  <c r="F585" i="1"/>
  <c r="E585" i="1"/>
  <c r="H584" i="1"/>
  <c r="G584" i="1"/>
  <c r="F584" i="1"/>
  <c r="E584" i="1"/>
  <c r="H583" i="1"/>
  <c r="G583" i="1"/>
  <c r="F583" i="1"/>
  <c r="E583" i="1"/>
  <c r="H582" i="1"/>
  <c r="G582" i="1"/>
  <c r="F582" i="1"/>
  <c r="E582" i="1"/>
  <c r="H581" i="1"/>
  <c r="G581" i="1"/>
  <c r="F581" i="1"/>
  <c r="E581" i="1"/>
  <c r="H580" i="1"/>
  <c r="G580" i="1"/>
  <c r="F580" i="1"/>
  <c r="E580" i="1"/>
  <c r="H579" i="1"/>
  <c r="G579" i="1"/>
  <c r="F579" i="1"/>
  <c r="E579" i="1"/>
  <c r="H578" i="1"/>
  <c r="G578" i="1"/>
  <c r="F578" i="1"/>
  <c r="E578" i="1"/>
  <c r="H577" i="1"/>
  <c r="G577" i="1"/>
  <c r="F577" i="1"/>
  <c r="E577" i="1"/>
  <c r="H576" i="1"/>
  <c r="G576" i="1"/>
  <c r="F576" i="1"/>
  <c r="E576" i="1"/>
  <c r="H575" i="1"/>
  <c r="G575" i="1"/>
  <c r="F575" i="1"/>
  <c r="E575" i="1"/>
  <c r="H574" i="1"/>
  <c r="G574" i="1"/>
  <c r="F574" i="1"/>
  <c r="E574" i="1"/>
  <c r="H573" i="1"/>
  <c r="G573" i="1"/>
  <c r="F573" i="1"/>
  <c r="E573" i="1"/>
  <c r="H572" i="1"/>
  <c r="G572" i="1"/>
  <c r="F572" i="1"/>
  <c r="E572" i="1"/>
  <c r="H571" i="1"/>
  <c r="G571" i="1"/>
  <c r="F571" i="1"/>
  <c r="E571" i="1"/>
  <c r="H570" i="1"/>
  <c r="G570" i="1"/>
  <c r="F570" i="1"/>
  <c r="E570" i="1"/>
  <c r="H569" i="1"/>
  <c r="G569" i="1"/>
  <c r="F569" i="1"/>
  <c r="E569" i="1"/>
  <c r="H568" i="1"/>
  <c r="G568" i="1"/>
  <c r="F568" i="1"/>
  <c r="E568" i="1"/>
  <c r="H567" i="1"/>
  <c r="G567" i="1"/>
  <c r="F567" i="1"/>
  <c r="E567" i="1"/>
  <c r="H566" i="1"/>
  <c r="G566" i="1"/>
  <c r="F566" i="1"/>
  <c r="E566" i="1"/>
  <c r="H565" i="1"/>
  <c r="G565" i="1"/>
  <c r="F565" i="1"/>
  <c r="E565" i="1"/>
  <c r="H564" i="1"/>
  <c r="G564" i="1"/>
  <c r="F564" i="1"/>
  <c r="E564" i="1"/>
  <c r="H563" i="1"/>
  <c r="G563" i="1"/>
  <c r="F563" i="1"/>
  <c r="E563" i="1"/>
  <c r="H562" i="1"/>
  <c r="G562" i="1"/>
  <c r="F562" i="1"/>
  <c r="E562" i="1"/>
  <c r="H561" i="1"/>
  <c r="G561" i="1"/>
  <c r="F561" i="1"/>
  <c r="E561" i="1"/>
  <c r="H560" i="1"/>
  <c r="G560" i="1"/>
  <c r="F560" i="1"/>
  <c r="E560" i="1"/>
  <c r="H559" i="1"/>
  <c r="G559" i="1"/>
  <c r="F559" i="1"/>
  <c r="E559" i="1"/>
  <c r="H558" i="1"/>
  <c r="G558" i="1"/>
  <c r="F558" i="1"/>
  <c r="E558" i="1"/>
  <c r="H557" i="1"/>
  <c r="G557" i="1"/>
  <c r="F557" i="1"/>
  <c r="E557" i="1"/>
  <c r="H556" i="1"/>
  <c r="G556" i="1"/>
  <c r="F556" i="1"/>
  <c r="E556" i="1"/>
  <c r="H555" i="1"/>
  <c r="G555" i="1"/>
  <c r="F555" i="1"/>
  <c r="E555" i="1"/>
  <c r="H554" i="1"/>
  <c r="G554" i="1"/>
  <c r="F554" i="1"/>
  <c r="E554" i="1"/>
  <c r="H553" i="1"/>
  <c r="G553" i="1"/>
  <c r="F553" i="1"/>
  <c r="E553" i="1"/>
  <c r="H552" i="1"/>
  <c r="G552" i="1"/>
  <c r="F552" i="1"/>
  <c r="E552" i="1"/>
  <c r="H551" i="1"/>
  <c r="G551" i="1"/>
  <c r="F551" i="1"/>
  <c r="E551" i="1"/>
  <c r="H550" i="1"/>
  <c r="G550" i="1"/>
  <c r="F550" i="1"/>
  <c r="E550" i="1"/>
  <c r="H549" i="1"/>
  <c r="G549" i="1"/>
  <c r="F549" i="1"/>
  <c r="E549" i="1"/>
  <c r="H548" i="1"/>
  <c r="G548" i="1"/>
  <c r="F548" i="1"/>
  <c r="E548" i="1"/>
  <c r="H547" i="1"/>
  <c r="G547" i="1"/>
  <c r="F547" i="1"/>
  <c r="E547" i="1"/>
  <c r="H546" i="1"/>
  <c r="G546" i="1"/>
  <c r="F546" i="1"/>
  <c r="E546" i="1"/>
  <c r="H545" i="1"/>
  <c r="G545" i="1"/>
  <c r="F545" i="1"/>
  <c r="E545" i="1"/>
  <c r="H544" i="1"/>
  <c r="G544" i="1"/>
  <c r="F544" i="1"/>
  <c r="E544" i="1"/>
  <c r="H543" i="1"/>
  <c r="G543" i="1"/>
  <c r="F543" i="1"/>
  <c r="E543" i="1"/>
  <c r="H542" i="1"/>
  <c r="G542" i="1"/>
  <c r="F542" i="1"/>
  <c r="E542" i="1"/>
  <c r="H541" i="1"/>
  <c r="G541" i="1"/>
  <c r="F541" i="1"/>
  <c r="E541" i="1"/>
  <c r="H540" i="1"/>
  <c r="G540" i="1"/>
  <c r="F540" i="1"/>
  <c r="E540" i="1"/>
  <c r="H539" i="1"/>
  <c r="G539" i="1"/>
  <c r="F539" i="1"/>
  <c r="E539" i="1"/>
  <c r="H538" i="1"/>
  <c r="G538" i="1"/>
  <c r="F538" i="1"/>
  <c r="E538" i="1"/>
  <c r="H537" i="1"/>
  <c r="G537" i="1"/>
  <c r="F537" i="1"/>
  <c r="E537" i="1"/>
  <c r="H536" i="1"/>
  <c r="G536" i="1"/>
  <c r="F536" i="1"/>
  <c r="E536" i="1"/>
  <c r="H535" i="1"/>
  <c r="G535" i="1"/>
  <c r="F535" i="1"/>
  <c r="E535" i="1"/>
  <c r="H534" i="1"/>
  <c r="G534" i="1"/>
  <c r="F534" i="1"/>
  <c r="E534" i="1"/>
  <c r="H533" i="1"/>
  <c r="G533" i="1"/>
  <c r="F533" i="1"/>
  <c r="E533" i="1"/>
  <c r="H532" i="1"/>
  <c r="G532" i="1"/>
  <c r="F532" i="1"/>
  <c r="E532" i="1"/>
  <c r="H531" i="1"/>
  <c r="G531" i="1"/>
  <c r="F531" i="1"/>
  <c r="E531" i="1"/>
  <c r="H530" i="1"/>
  <c r="G530" i="1"/>
  <c r="F530" i="1"/>
  <c r="E530" i="1"/>
  <c r="H529" i="1"/>
  <c r="G529" i="1"/>
  <c r="F529" i="1"/>
  <c r="E529" i="1"/>
  <c r="H528" i="1"/>
  <c r="G528" i="1"/>
  <c r="F528" i="1"/>
  <c r="E528" i="1"/>
  <c r="H527" i="1"/>
  <c r="G527" i="1"/>
  <c r="F527" i="1"/>
  <c r="E527" i="1"/>
  <c r="H526" i="1"/>
  <c r="G526" i="1"/>
  <c r="F526" i="1"/>
  <c r="E526" i="1"/>
  <c r="H525" i="1"/>
  <c r="G525" i="1"/>
  <c r="F525" i="1"/>
  <c r="E525" i="1"/>
  <c r="H524" i="1"/>
  <c r="G524" i="1"/>
  <c r="F524" i="1"/>
  <c r="E524" i="1"/>
  <c r="H523" i="1"/>
  <c r="G523" i="1"/>
  <c r="F523" i="1"/>
  <c r="E523" i="1"/>
  <c r="H522" i="1"/>
  <c r="G522" i="1"/>
  <c r="F522" i="1"/>
  <c r="E522" i="1"/>
  <c r="H521" i="1"/>
  <c r="G521" i="1"/>
  <c r="F521" i="1"/>
  <c r="E521" i="1"/>
  <c r="H520" i="1"/>
  <c r="G520" i="1"/>
  <c r="F520" i="1"/>
  <c r="E520" i="1"/>
  <c r="H519" i="1"/>
  <c r="G519" i="1"/>
  <c r="F519" i="1"/>
  <c r="E519" i="1"/>
  <c r="H518" i="1"/>
  <c r="G518" i="1"/>
  <c r="F518" i="1"/>
  <c r="E518" i="1"/>
  <c r="H517" i="1"/>
  <c r="G517" i="1"/>
  <c r="F517" i="1"/>
  <c r="E517" i="1"/>
  <c r="H516" i="1"/>
  <c r="G516" i="1"/>
  <c r="F516" i="1"/>
  <c r="E516" i="1"/>
  <c r="H515" i="1"/>
  <c r="G515" i="1"/>
  <c r="F515" i="1"/>
  <c r="E515" i="1"/>
  <c r="H514" i="1"/>
  <c r="G514" i="1"/>
  <c r="F514" i="1"/>
  <c r="E514" i="1"/>
  <c r="H513" i="1"/>
  <c r="G513" i="1"/>
  <c r="F513" i="1"/>
  <c r="E513" i="1"/>
  <c r="H512" i="1"/>
  <c r="G512" i="1"/>
  <c r="F512" i="1"/>
  <c r="E512" i="1"/>
  <c r="H511" i="1"/>
  <c r="G511" i="1"/>
  <c r="F511" i="1"/>
  <c r="E511" i="1"/>
  <c r="H510" i="1"/>
  <c r="G510" i="1"/>
  <c r="F510" i="1"/>
  <c r="E510" i="1"/>
  <c r="H509" i="1"/>
  <c r="G509" i="1"/>
  <c r="F509" i="1"/>
  <c r="E509" i="1"/>
  <c r="H508" i="1"/>
  <c r="G508" i="1"/>
  <c r="F508" i="1"/>
  <c r="E508" i="1"/>
  <c r="H507" i="1"/>
  <c r="G507" i="1"/>
  <c r="F507" i="1"/>
  <c r="E507" i="1"/>
  <c r="H506" i="1"/>
  <c r="G506" i="1"/>
  <c r="F506" i="1"/>
  <c r="E506" i="1"/>
  <c r="H505" i="1"/>
  <c r="G505" i="1"/>
  <c r="F505" i="1"/>
  <c r="E505" i="1"/>
  <c r="H504" i="1"/>
  <c r="G504" i="1"/>
  <c r="F504" i="1"/>
  <c r="E504" i="1"/>
  <c r="H503" i="1"/>
  <c r="G503" i="1"/>
  <c r="F503" i="1"/>
  <c r="E503" i="1"/>
  <c r="H502" i="1"/>
  <c r="G502" i="1"/>
  <c r="F502" i="1"/>
  <c r="E502" i="1"/>
  <c r="H501" i="1"/>
  <c r="G501" i="1"/>
  <c r="F501" i="1"/>
  <c r="E501" i="1"/>
  <c r="H500" i="1"/>
  <c r="G500" i="1"/>
  <c r="F500" i="1"/>
  <c r="E500" i="1"/>
  <c r="H499" i="1"/>
  <c r="G499" i="1"/>
  <c r="F499" i="1"/>
  <c r="E499" i="1"/>
  <c r="H498" i="1"/>
  <c r="G498" i="1"/>
  <c r="F498" i="1"/>
  <c r="E498" i="1"/>
  <c r="H497" i="1"/>
  <c r="G497" i="1"/>
  <c r="F497" i="1"/>
  <c r="E497" i="1"/>
  <c r="H496" i="1"/>
  <c r="G496" i="1"/>
  <c r="F496" i="1"/>
  <c r="E496" i="1"/>
  <c r="H495" i="1"/>
  <c r="G495" i="1"/>
  <c r="F495" i="1"/>
  <c r="E495" i="1"/>
  <c r="H494" i="1"/>
  <c r="G494" i="1"/>
  <c r="F494" i="1"/>
  <c r="E494" i="1"/>
  <c r="H493" i="1"/>
  <c r="G493" i="1"/>
  <c r="F493" i="1"/>
  <c r="E493" i="1"/>
  <c r="H492" i="1"/>
  <c r="G492" i="1"/>
  <c r="F492" i="1"/>
  <c r="E492" i="1"/>
  <c r="H491" i="1"/>
  <c r="G491" i="1"/>
  <c r="F491" i="1"/>
  <c r="E491" i="1"/>
  <c r="H490" i="1"/>
  <c r="G490" i="1"/>
  <c r="F490" i="1"/>
  <c r="E490" i="1"/>
  <c r="H489" i="1"/>
  <c r="G489" i="1"/>
  <c r="F489" i="1"/>
  <c r="E489" i="1"/>
  <c r="H488" i="1"/>
  <c r="G488" i="1"/>
  <c r="F488" i="1"/>
  <c r="E488" i="1"/>
  <c r="H487" i="1"/>
  <c r="G487" i="1"/>
  <c r="F487" i="1"/>
  <c r="E487" i="1"/>
  <c r="H486" i="1"/>
  <c r="G486" i="1"/>
  <c r="F486" i="1"/>
  <c r="E486" i="1"/>
  <c r="H485" i="1"/>
  <c r="G485" i="1"/>
  <c r="F485" i="1"/>
  <c r="E485" i="1"/>
  <c r="H484" i="1"/>
  <c r="G484" i="1"/>
  <c r="F484" i="1"/>
  <c r="E484" i="1"/>
  <c r="H483" i="1"/>
  <c r="G483" i="1"/>
  <c r="F483" i="1"/>
  <c r="E483" i="1"/>
  <c r="H482" i="1"/>
  <c r="G482" i="1"/>
  <c r="F482" i="1"/>
  <c r="E482" i="1"/>
  <c r="H481" i="1"/>
  <c r="G481" i="1"/>
  <c r="F481" i="1"/>
  <c r="E481" i="1"/>
  <c r="H480" i="1"/>
  <c r="G480" i="1"/>
  <c r="F480" i="1"/>
  <c r="E480" i="1"/>
  <c r="H479" i="1"/>
  <c r="G479" i="1"/>
  <c r="F479" i="1"/>
  <c r="E479" i="1"/>
  <c r="H478" i="1"/>
  <c r="G478" i="1"/>
  <c r="F478" i="1"/>
  <c r="E478" i="1"/>
  <c r="H477" i="1"/>
  <c r="G477" i="1"/>
  <c r="F477" i="1"/>
  <c r="E477" i="1"/>
  <c r="H476" i="1"/>
  <c r="G476" i="1"/>
  <c r="F476" i="1"/>
  <c r="E476" i="1"/>
  <c r="H475" i="1"/>
  <c r="G475" i="1"/>
  <c r="F475" i="1"/>
  <c r="E475" i="1"/>
  <c r="H474" i="1"/>
  <c r="G474" i="1"/>
  <c r="F474" i="1"/>
  <c r="E474" i="1"/>
  <c r="H473" i="1"/>
  <c r="G473" i="1"/>
  <c r="F473" i="1"/>
  <c r="E473" i="1"/>
  <c r="H472" i="1"/>
  <c r="G472" i="1"/>
  <c r="F472" i="1"/>
  <c r="E472" i="1"/>
  <c r="H471" i="1"/>
  <c r="G471" i="1"/>
  <c r="F471" i="1"/>
  <c r="E471" i="1"/>
  <c r="H470" i="1"/>
  <c r="G470" i="1"/>
  <c r="F470" i="1"/>
  <c r="E470" i="1"/>
  <c r="H469" i="1"/>
  <c r="G469" i="1"/>
  <c r="F469" i="1"/>
  <c r="E469" i="1"/>
  <c r="H468" i="1"/>
  <c r="G468" i="1"/>
  <c r="F468" i="1"/>
  <c r="E468" i="1"/>
  <c r="H467" i="1"/>
  <c r="G467" i="1"/>
  <c r="F467" i="1"/>
  <c r="E467" i="1"/>
  <c r="H466" i="1"/>
  <c r="G466" i="1"/>
  <c r="F466" i="1"/>
  <c r="E466" i="1"/>
  <c r="H465" i="1"/>
  <c r="G465" i="1"/>
  <c r="F465" i="1"/>
  <c r="E465" i="1"/>
  <c r="H464" i="1"/>
  <c r="G464" i="1"/>
  <c r="F464" i="1"/>
  <c r="E464" i="1"/>
  <c r="H463" i="1"/>
  <c r="G463" i="1"/>
  <c r="F463" i="1"/>
  <c r="E463" i="1"/>
  <c r="H462" i="1"/>
  <c r="G462" i="1"/>
  <c r="F462" i="1"/>
  <c r="E462" i="1"/>
  <c r="H461" i="1"/>
  <c r="G461" i="1"/>
  <c r="F461" i="1"/>
  <c r="E461" i="1"/>
  <c r="H460" i="1"/>
  <c r="G460" i="1"/>
  <c r="F460" i="1"/>
  <c r="E460" i="1"/>
  <c r="H459" i="1"/>
  <c r="G459" i="1"/>
  <c r="F459" i="1"/>
  <c r="E459" i="1"/>
  <c r="H458" i="1"/>
  <c r="G458" i="1"/>
  <c r="F458" i="1"/>
  <c r="E458" i="1"/>
  <c r="H457" i="1"/>
  <c r="G457" i="1"/>
  <c r="F457" i="1"/>
  <c r="E457" i="1"/>
  <c r="H456" i="1"/>
  <c r="G456" i="1"/>
  <c r="F456" i="1"/>
  <c r="E456" i="1"/>
  <c r="H455" i="1"/>
  <c r="G455" i="1"/>
  <c r="F455" i="1"/>
  <c r="E455" i="1"/>
  <c r="H454" i="1"/>
  <c r="G454" i="1"/>
  <c r="F454" i="1"/>
  <c r="E454" i="1"/>
  <c r="H453" i="1"/>
  <c r="G453" i="1"/>
  <c r="F453" i="1"/>
  <c r="E453" i="1"/>
  <c r="H452" i="1"/>
  <c r="G452" i="1"/>
  <c r="F452" i="1"/>
  <c r="E452" i="1"/>
  <c r="H451" i="1"/>
  <c r="G451" i="1"/>
  <c r="F451" i="1"/>
  <c r="E451" i="1"/>
  <c r="H450" i="1"/>
  <c r="G450" i="1"/>
  <c r="F450" i="1"/>
  <c r="E450" i="1"/>
  <c r="H449" i="1"/>
  <c r="G449" i="1"/>
  <c r="F449" i="1"/>
  <c r="E449" i="1"/>
  <c r="H448" i="1"/>
  <c r="G448" i="1"/>
  <c r="F448" i="1"/>
  <c r="E448" i="1"/>
  <c r="H447" i="1"/>
  <c r="G447" i="1"/>
  <c r="F447" i="1"/>
  <c r="E447" i="1"/>
  <c r="H446" i="1"/>
  <c r="G446" i="1"/>
  <c r="F446" i="1"/>
  <c r="E446" i="1"/>
  <c r="H445" i="1"/>
  <c r="G445" i="1"/>
  <c r="F445" i="1"/>
  <c r="E445" i="1"/>
  <c r="H444" i="1"/>
  <c r="G444" i="1"/>
  <c r="F444" i="1"/>
  <c r="E444" i="1"/>
  <c r="H443" i="1"/>
  <c r="G443" i="1"/>
  <c r="F443" i="1"/>
  <c r="E443" i="1"/>
  <c r="H442" i="1"/>
  <c r="G442" i="1"/>
  <c r="F442" i="1"/>
  <c r="E442" i="1"/>
  <c r="H441" i="1"/>
  <c r="G441" i="1"/>
  <c r="F441" i="1"/>
  <c r="E441" i="1"/>
  <c r="H440" i="1"/>
  <c r="G440" i="1"/>
  <c r="F440" i="1"/>
  <c r="E440" i="1"/>
  <c r="H439" i="1"/>
  <c r="G439" i="1"/>
  <c r="F439" i="1"/>
  <c r="E439" i="1"/>
  <c r="H438" i="1"/>
  <c r="G438" i="1"/>
  <c r="F438" i="1"/>
  <c r="E438" i="1"/>
  <c r="H437" i="1"/>
  <c r="G437" i="1"/>
  <c r="F437" i="1"/>
  <c r="E437" i="1"/>
  <c r="H436" i="1"/>
  <c r="G436" i="1"/>
  <c r="F436" i="1"/>
  <c r="E436" i="1"/>
  <c r="H435" i="1"/>
  <c r="G435" i="1"/>
  <c r="F435" i="1"/>
  <c r="E435" i="1"/>
  <c r="H434" i="1"/>
  <c r="G434" i="1"/>
  <c r="F434" i="1"/>
  <c r="E434" i="1"/>
  <c r="H433" i="1"/>
  <c r="G433" i="1"/>
  <c r="F433" i="1"/>
  <c r="E433" i="1"/>
  <c r="H432" i="1"/>
  <c r="G432" i="1"/>
  <c r="F432" i="1"/>
  <c r="E432" i="1"/>
  <c r="H431" i="1"/>
  <c r="G431" i="1"/>
  <c r="F431" i="1"/>
  <c r="E431" i="1"/>
  <c r="H430" i="1"/>
  <c r="G430" i="1"/>
  <c r="F430" i="1"/>
  <c r="E430" i="1"/>
  <c r="H429" i="1"/>
  <c r="G429" i="1"/>
  <c r="F429" i="1"/>
  <c r="E429" i="1"/>
  <c r="H428" i="1"/>
  <c r="G428" i="1"/>
  <c r="F428" i="1"/>
  <c r="E428" i="1"/>
  <c r="H427" i="1"/>
  <c r="G427" i="1"/>
  <c r="F427" i="1"/>
  <c r="E427" i="1"/>
  <c r="H426" i="1"/>
  <c r="G426" i="1"/>
  <c r="F426" i="1"/>
  <c r="E426" i="1"/>
  <c r="H425" i="1"/>
  <c r="G425" i="1"/>
  <c r="F425" i="1"/>
  <c r="E425" i="1"/>
  <c r="H424" i="1"/>
  <c r="G424" i="1"/>
  <c r="F424" i="1"/>
  <c r="E424" i="1"/>
  <c r="H423" i="1"/>
  <c r="G423" i="1"/>
  <c r="F423" i="1"/>
  <c r="E423" i="1"/>
  <c r="H422" i="1"/>
  <c r="G422" i="1"/>
  <c r="F422" i="1"/>
  <c r="E422" i="1"/>
  <c r="H421" i="1"/>
  <c r="G421" i="1"/>
  <c r="F421" i="1"/>
  <c r="E421" i="1"/>
  <c r="H420" i="1"/>
  <c r="G420" i="1"/>
  <c r="F420" i="1"/>
  <c r="E420" i="1"/>
  <c r="H419" i="1"/>
  <c r="G419" i="1"/>
  <c r="F419" i="1"/>
  <c r="E419" i="1"/>
  <c r="H418" i="1"/>
  <c r="G418" i="1"/>
  <c r="F418" i="1"/>
  <c r="E418" i="1"/>
  <c r="H417" i="1"/>
  <c r="G417" i="1"/>
  <c r="F417" i="1"/>
  <c r="E417" i="1"/>
  <c r="H416" i="1"/>
  <c r="G416" i="1"/>
  <c r="F416" i="1"/>
  <c r="E416" i="1"/>
  <c r="H415" i="1"/>
  <c r="G415" i="1"/>
  <c r="F415" i="1"/>
  <c r="E415" i="1"/>
  <c r="H414" i="1"/>
  <c r="G414" i="1"/>
  <c r="F414" i="1"/>
  <c r="E414" i="1"/>
  <c r="H413" i="1"/>
  <c r="G413" i="1"/>
  <c r="F413" i="1"/>
  <c r="E413" i="1"/>
  <c r="H412" i="1"/>
  <c r="G412" i="1"/>
  <c r="F412" i="1"/>
  <c r="E412" i="1"/>
  <c r="H411" i="1"/>
  <c r="G411" i="1"/>
  <c r="F411" i="1"/>
  <c r="E411" i="1"/>
  <c r="H410" i="1"/>
  <c r="G410" i="1"/>
  <c r="F410" i="1"/>
  <c r="E410" i="1"/>
  <c r="H409" i="1"/>
  <c r="G409" i="1"/>
  <c r="F409" i="1"/>
  <c r="E409" i="1"/>
  <c r="H408" i="1"/>
  <c r="G408" i="1"/>
  <c r="F408" i="1"/>
  <c r="E408" i="1"/>
  <c r="H407" i="1"/>
  <c r="G407" i="1"/>
  <c r="F407" i="1"/>
  <c r="E407" i="1"/>
  <c r="H406" i="1"/>
  <c r="G406" i="1"/>
  <c r="F406" i="1"/>
  <c r="E406" i="1"/>
  <c r="H405" i="1"/>
  <c r="G405" i="1"/>
  <c r="F405" i="1"/>
  <c r="E405" i="1"/>
  <c r="H404" i="1"/>
  <c r="G404" i="1"/>
  <c r="F404" i="1"/>
  <c r="E404" i="1"/>
  <c r="H403" i="1"/>
  <c r="G403" i="1"/>
  <c r="F403" i="1"/>
  <c r="E403" i="1"/>
  <c r="H402" i="1"/>
  <c r="G402" i="1"/>
  <c r="F402" i="1"/>
  <c r="E402" i="1"/>
  <c r="H401" i="1"/>
  <c r="G401" i="1"/>
  <c r="F401" i="1"/>
  <c r="E401" i="1"/>
  <c r="H400" i="1"/>
  <c r="G400" i="1"/>
  <c r="F400" i="1"/>
  <c r="E400" i="1"/>
  <c r="H399" i="1"/>
  <c r="G399" i="1"/>
  <c r="F399" i="1"/>
  <c r="E399" i="1"/>
  <c r="H398" i="1"/>
  <c r="G398" i="1"/>
  <c r="F398" i="1"/>
  <c r="E398" i="1"/>
  <c r="H397" i="1"/>
  <c r="G397" i="1"/>
  <c r="F397" i="1"/>
  <c r="E397" i="1"/>
  <c r="H396" i="1"/>
  <c r="G396" i="1"/>
  <c r="F396" i="1"/>
  <c r="E396" i="1"/>
  <c r="H395" i="1"/>
  <c r="G395" i="1"/>
  <c r="F395" i="1"/>
  <c r="E395" i="1"/>
  <c r="H394" i="1"/>
  <c r="G394" i="1"/>
  <c r="F394" i="1"/>
  <c r="E394" i="1"/>
  <c r="H393" i="1"/>
  <c r="G393" i="1"/>
  <c r="F393" i="1"/>
  <c r="E393" i="1"/>
  <c r="H392" i="1"/>
  <c r="G392" i="1"/>
  <c r="F392" i="1"/>
  <c r="E392" i="1"/>
  <c r="H391" i="1"/>
  <c r="G391" i="1"/>
  <c r="F391" i="1"/>
  <c r="E391" i="1"/>
  <c r="H390" i="1"/>
  <c r="G390" i="1"/>
  <c r="F390" i="1"/>
  <c r="E390" i="1"/>
  <c r="H389" i="1"/>
  <c r="G389" i="1"/>
  <c r="F389" i="1"/>
  <c r="E389" i="1"/>
  <c r="H388" i="1"/>
  <c r="G388" i="1"/>
  <c r="F388" i="1"/>
  <c r="E388" i="1"/>
  <c r="H387" i="1"/>
  <c r="G387" i="1"/>
  <c r="F387" i="1"/>
  <c r="E387" i="1"/>
  <c r="H386" i="1"/>
  <c r="G386" i="1"/>
  <c r="F386" i="1"/>
  <c r="E386" i="1"/>
  <c r="H385" i="1"/>
  <c r="G385" i="1"/>
  <c r="F385" i="1"/>
  <c r="E385" i="1"/>
  <c r="H384" i="1"/>
  <c r="G384" i="1"/>
  <c r="F384" i="1"/>
  <c r="E384" i="1"/>
  <c r="H383" i="1"/>
  <c r="G383" i="1"/>
  <c r="F383" i="1"/>
  <c r="E383" i="1"/>
  <c r="H382" i="1"/>
  <c r="G382" i="1"/>
  <c r="F382" i="1"/>
  <c r="E382" i="1"/>
  <c r="H381" i="1"/>
  <c r="G381" i="1"/>
  <c r="F381" i="1"/>
  <c r="E381" i="1"/>
  <c r="H380" i="1"/>
  <c r="G380" i="1"/>
  <c r="F380" i="1"/>
  <c r="E380" i="1"/>
  <c r="H379" i="1"/>
  <c r="G379" i="1"/>
  <c r="F379" i="1"/>
  <c r="E379" i="1"/>
  <c r="H378" i="1"/>
  <c r="G378" i="1"/>
  <c r="F378" i="1"/>
  <c r="E378" i="1"/>
  <c r="H377" i="1"/>
  <c r="G377" i="1"/>
  <c r="F377" i="1"/>
  <c r="E377" i="1"/>
  <c r="H376" i="1"/>
  <c r="G376" i="1"/>
  <c r="F376" i="1"/>
  <c r="E376" i="1"/>
  <c r="H375" i="1"/>
  <c r="G375" i="1"/>
  <c r="F375" i="1"/>
  <c r="E375" i="1"/>
  <c r="H374" i="1"/>
  <c r="G374" i="1"/>
  <c r="F374" i="1"/>
  <c r="E374" i="1"/>
  <c r="H373" i="1"/>
  <c r="G373" i="1"/>
  <c r="F373" i="1"/>
  <c r="E373" i="1"/>
  <c r="H372" i="1"/>
  <c r="G372" i="1"/>
  <c r="F372" i="1"/>
  <c r="E372" i="1"/>
  <c r="H371" i="1"/>
  <c r="G371" i="1"/>
  <c r="F371" i="1"/>
  <c r="E371" i="1"/>
  <c r="H370" i="1"/>
  <c r="G370" i="1"/>
  <c r="F370" i="1"/>
  <c r="E370" i="1"/>
  <c r="H369" i="1"/>
  <c r="G369" i="1"/>
  <c r="F369" i="1"/>
  <c r="E369" i="1"/>
  <c r="H368" i="1"/>
  <c r="G368" i="1"/>
  <c r="F368" i="1"/>
  <c r="E368" i="1"/>
  <c r="H367" i="1"/>
  <c r="G367" i="1"/>
  <c r="F367" i="1"/>
  <c r="E367" i="1"/>
  <c r="H366" i="1"/>
  <c r="G366" i="1"/>
  <c r="F366" i="1"/>
  <c r="E366" i="1"/>
  <c r="H365" i="1"/>
  <c r="G365" i="1"/>
  <c r="F365" i="1"/>
  <c r="E365" i="1"/>
  <c r="H364" i="1"/>
  <c r="G364" i="1"/>
  <c r="F364" i="1"/>
  <c r="E364" i="1"/>
  <c r="H363" i="1"/>
  <c r="G363" i="1"/>
  <c r="F363" i="1"/>
  <c r="E363" i="1"/>
  <c r="H362" i="1"/>
  <c r="G362" i="1"/>
  <c r="F362" i="1"/>
  <c r="E362" i="1"/>
  <c r="H361" i="1"/>
  <c r="G361" i="1"/>
  <c r="F361" i="1"/>
  <c r="E361" i="1"/>
  <c r="H360" i="1"/>
  <c r="G360" i="1"/>
  <c r="F360" i="1"/>
  <c r="E360" i="1"/>
  <c r="H359" i="1"/>
  <c r="G359" i="1"/>
  <c r="F359" i="1"/>
  <c r="E359" i="1"/>
  <c r="H358" i="1"/>
  <c r="G358" i="1"/>
  <c r="F358" i="1"/>
  <c r="E358" i="1"/>
  <c r="H357" i="1"/>
  <c r="G357" i="1"/>
  <c r="F357" i="1"/>
  <c r="E357" i="1"/>
  <c r="H356" i="1"/>
  <c r="G356" i="1"/>
  <c r="F356" i="1"/>
  <c r="E356" i="1"/>
  <c r="H355" i="1"/>
  <c r="G355" i="1"/>
  <c r="F355" i="1"/>
  <c r="E355" i="1"/>
  <c r="H354" i="1"/>
  <c r="G354" i="1"/>
  <c r="F354" i="1"/>
  <c r="E354" i="1"/>
  <c r="H353" i="1"/>
  <c r="G353" i="1"/>
  <c r="F353" i="1"/>
  <c r="E353" i="1"/>
  <c r="H352" i="1"/>
  <c r="G352" i="1"/>
  <c r="F352" i="1"/>
  <c r="E352" i="1"/>
  <c r="H351" i="1"/>
  <c r="G351" i="1"/>
  <c r="F351" i="1"/>
  <c r="E351" i="1"/>
  <c r="H350" i="1"/>
  <c r="G350" i="1"/>
  <c r="F350" i="1"/>
  <c r="E350" i="1"/>
  <c r="H349" i="1"/>
  <c r="G349" i="1"/>
  <c r="F349" i="1"/>
  <c r="E349" i="1"/>
  <c r="H348" i="1"/>
  <c r="G348" i="1"/>
  <c r="F348" i="1"/>
  <c r="E348" i="1"/>
  <c r="H347" i="1"/>
  <c r="G347" i="1"/>
  <c r="F347" i="1"/>
  <c r="E347" i="1"/>
  <c r="H346" i="1"/>
  <c r="G346" i="1"/>
  <c r="F346" i="1"/>
  <c r="E346" i="1"/>
  <c r="H345" i="1"/>
  <c r="G345" i="1"/>
  <c r="F345" i="1"/>
  <c r="E345" i="1"/>
  <c r="H344" i="1"/>
  <c r="G344" i="1"/>
  <c r="F344" i="1"/>
  <c r="E344" i="1"/>
  <c r="H343" i="1"/>
  <c r="G343" i="1"/>
  <c r="F343" i="1"/>
  <c r="E343" i="1"/>
  <c r="H342" i="1"/>
  <c r="G342" i="1"/>
  <c r="F342" i="1"/>
  <c r="E342" i="1"/>
  <c r="H341" i="1"/>
  <c r="G341" i="1"/>
  <c r="F341" i="1"/>
  <c r="E341" i="1"/>
  <c r="H340" i="1"/>
  <c r="G340" i="1"/>
  <c r="F340" i="1"/>
  <c r="E340" i="1"/>
  <c r="H339" i="1"/>
  <c r="G339" i="1"/>
  <c r="F339" i="1"/>
  <c r="E339" i="1"/>
  <c r="H338" i="1"/>
  <c r="G338" i="1"/>
  <c r="F338" i="1"/>
  <c r="E338" i="1"/>
  <c r="H337" i="1"/>
  <c r="G337" i="1"/>
  <c r="F337" i="1"/>
  <c r="E337" i="1"/>
  <c r="H336" i="1"/>
  <c r="G336" i="1"/>
  <c r="F336" i="1"/>
  <c r="E336" i="1"/>
  <c r="H335" i="1"/>
  <c r="G335" i="1"/>
  <c r="F335" i="1"/>
  <c r="E335" i="1"/>
  <c r="H334" i="1"/>
  <c r="G334" i="1"/>
  <c r="F334" i="1"/>
  <c r="E334" i="1"/>
  <c r="H333" i="1"/>
  <c r="G333" i="1"/>
  <c r="F333" i="1"/>
  <c r="E333" i="1"/>
  <c r="H332" i="1"/>
  <c r="G332" i="1"/>
  <c r="F332" i="1"/>
  <c r="E332" i="1"/>
  <c r="H331" i="1"/>
  <c r="G331" i="1"/>
  <c r="F331" i="1"/>
  <c r="E331" i="1"/>
  <c r="H330" i="1"/>
  <c r="G330" i="1"/>
  <c r="F330" i="1"/>
  <c r="E330" i="1"/>
  <c r="H329" i="1"/>
  <c r="G329" i="1"/>
  <c r="F329" i="1"/>
  <c r="E329" i="1"/>
  <c r="H328" i="1"/>
  <c r="G328" i="1"/>
  <c r="F328" i="1"/>
  <c r="E328" i="1"/>
  <c r="H327" i="1"/>
  <c r="G327" i="1"/>
  <c r="F327" i="1"/>
  <c r="E327" i="1"/>
  <c r="H326" i="1"/>
  <c r="G326" i="1"/>
  <c r="F326" i="1"/>
  <c r="E326" i="1"/>
  <c r="H325" i="1"/>
  <c r="G325" i="1"/>
  <c r="F325" i="1"/>
  <c r="E325" i="1"/>
  <c r="H324" i="1"/>
  <c r="G324" i="1"/>
  <c r="F324" i="1"/>
  <c r="E324" i="1"/>
  <c r="H323" i="1"/>
  <c r="G323" i="1"/>
  <c r="F323" i="1"/>
  <c r="E323" i="1"/>
  <c r="H322" i="1"/>
  <c r="G322" i="1"/>
  <c r="F322" i="1"/>
  <c r="E322" i="1"/>
  <c r="H321" i="1"/>
  <c r="G321" i="1"/>
  <c r="F321" i="1"/>
  <c r="E321" i="1"/>
  <c r="H320" i="1"/>
  <c r="G320" i="1"/>
  <c r="F320" i="1"/>
  <c r="E320" i="1"/>
  <c r="H319" i="1"/>
  <c r="G319" i="1"/>
  <c r="F319" i="1"/>
  <c r="E319" i="1"/>
  <c r="H318" i="1"/>
  <c r="G318" i="1"/>
  <c r="F318" i="1"/>
  <c r="E318" i="1"/>
  <c r="H317" i="1"/>
  <c r="G317" i="1"/>
  <c r="F317" i="1"/>
  <c r="E317" i="1"/>
  <c r="H316" i="1"/>
  <c r="G316" i="1"/>
  <c r="F316" i="1"/>
  <c r="E316" i="1"/>
  <c r="H315" i="1"/>
  <c r="G315" i="1"/>
  <c r="F315" i="1"/>
  <c r="E315" i="1"/>
  <c r="H314" i="1"/>
  <c r="G314" i="1"/>
  <c r="F314" i="1"/>
  <c r="E314" i="1"/>
  <c r="H313" i="1"/>
  <c r="G313" i="1"/>
  <c r="F313" i="1"/>
  <c r="E313" i="1"/>
  <c r="H312" i="1"/>
  <c r="G312" i="1"/>
  <c r="F312" i="1"/>
  <c r="E312" i="1"/>
  <c r="H311" i="1"/>
  <c r="G311" i="1"/>
  <c r="F311" i="1"/>
  <c r="E311" i="1"/>
  <c r="H310" i="1"/>
  <c r="G310" i="1"/>
  <c r="F310" i="1"/>
  <c r="E310" i="1"/>
  <c r="H309" i="1"/>
  <c r="G309" i="1"/>
  <c r="F309" i="1"/>
  <c r="E309" i="1"/>
  <c r="H308" i="1"/>
  <c r="G308" i="1"/>
  <c r="F308" i="1"/>
  <c r="E308" i="1"/>
  <c r="H307" i="1"/>
  <c r="G307" i="1"/>
  <c r="F307" i="1"/>
  <c r="E307" i="1"/>
  <c r="H306" i="1"/>
  <c r="G306" i="1"/>
  <c r="F306" i="1"/>
  <c r="E306" i="1"/>
  <c r="H305" i="1"/>
  <c r="G305" i="1"/>
  <c r="F305" i="1"/>
  <c r="E305" i="1"/>
  <c r="H304" i="1"/>
  <c r="G304" i="1"/>
  <c r="F304" i="1"/>
  <c r="E304" i="1"/>
  <c r="H303" i="1"/>
  <c r="G303" i="1"/>
  <c r="F303" i="1"/>
  <c r="E303" i="1"/>
  <c r="H302" i="1"/>
  <c r="G302" i="1"/>
  <c r="F302" i="1"/>
  <c r="E302" i="1"/>
  <c r="H301" i="1"/>
  <c r="G301" i="1"/>
  <c r="F301" i="1"/>
  <c r="E301" i="1"/>
  <c r="H300" i="1"/>
  <c r="G300" i="1"/>
  <c r="F300" i="1"/>
  <c r="E300" i="1"/>
  <c r="H299" i="1"/>
  <c r="G299" i="1"/>
  <c r="F299" i="1"/>
  <c r="E299" i="1"/>
  <c r="H298" i="1"/>
  <c r="G298" i="1"/>
  <c r="F298" i="1"/>
  <c r="E298" i="1"/>
  <c r="H297" i="1"/>
  <c r="G297" i="1"/>
  <c r="F297" i="1"/>
  <c r="E297" i="1"/>
  <c r="H296" i="1"/>
  <c r="G296" i="1"/>
  <c r="F296" i="1"/>
  <c r="E296" i="1"/>
  <c r="H295" i="1"/>
  <c r="G295" i="1"/>
  <c r="F295" i="1"/>
  <c r="E295" i="1"/>
  <c r="H294" i="1"/>
  <c r="G294" i="1"/>
  <c r="F294" i="1"/>
  <c r="E294" i="1"/>
  <c r="H293" i="1"/>
  <c r="G293" i="1"/>
  <c r="F293" i="1"/>
  <c r="E293" i="1"/>
  <c r="H292" i="1"/>
  <c r="G292" i="1"/>
  <c r="F292" i="1"/>
  <c r="E292" i="1"/>
  <c r="H291" i="1"/>
  <c r="G291" i="1"/>
  <c r="F291" i="1"/>
  <c r="E291" i="1"/>
  <c r="H290" i="1"/>
  <c r="G290" i="1"/>
  <c r="F290" i="1"/>
  <c r="E290" i="1"/>
  <c r="H289" i="1"/>
  <c r="G289" i="1"/>
  <c r="F289" i="1"/>
  <c r="E289" i="1"/>
  <c r="H288" i="1"/>
  <c r="G288" i="1"/>
  <c r="F288" i="1"/>
  <c r="E288" i="1"/>
  <c r="H287" i="1"/>
  <c r="G287" i="1"/>
  <c r="F287" i="1"/>
  <c r="E287" i="1"/>
  <c r="H286" i="1"/>
  <c r="G286" i="1"/>
  <c r="F286" i="1"/>
  <c r="E286" i="1"/>
  <c r="H285" i="1"/>
  <c r="G285" i="1"/>
  <c r="F285" i="1"/>
  <c r="E285" i="1"/>
  <c r="H284" i="1"/>
  <c r="G284" i="1"/>
  <c r="F284" i="1"/>
  <c r="E284" i="1"/>
  <c r="H283" i="1"/>
  <c r="G283" i="1"/>
  <c r="F283" i="1"/>
  <c r="E283" i="1"/>
  <c r="H282" i="1"/>
  <c r="G282" i="1"/>
  <c r="F282" i="1"/>
  <c r="E282" i="1"/>
  <c r="H281" i="1"/>
  <c r="G281" i="1"/>
  <c r="F281" i="1"/>
  <c r="E281" i="1"/>
  <c r="H280" i="1"/>
  <c r="G280" i="1"/>
  <c r="F280" i="1"/>
  <c r="E280" i="1"/>
  <c r="H279" i="1"/>
  <c r="G279" i="1"/>
  <c r="F279" i="1"/>
  <c r="E279" i="1"/>
  <c r="H278" i="1"/>
  <c r="G278" i="1"/>
  <c r="F278" i="1"/>
  <c r="E278" i="1"/>
  <c r="H277" i="1"/>
  <c r="G277" i="1"/>
  <c r="F277" i="1"/>
  <c r="E277" i="1"/>
  <c r="H276" i="1"/>
  <c r="G276" i="1"/>
  <c r="F276" i="1"/>
  <c r="E276" i="1"/>
  <c r="H275" i="1"/>
  <c r="G275" i="1"/>
  <c r="F275" i="1"/>
  <c r="E275" i="1"/>
  <c r="H274" i="1"/>
  <c r="G274" i="1"/>
  <c r="F274" i="1"/>
  <c r="E274" i="1"/>
  <c r="H273" i="1"/>
  <c r="G273" i="1"/>
  <c r="F273" i="1"/>
  <c r="E273" i="1"/>
  <c r="H272" i="1"/>
  <c r="G272" i="1"/>
  <c r="F272" i="1"/>
  <c r="E272" i="1"/>
  <c r="H271" i="1"/>
  <c r="G271" i="1"/>
  <c r="F271" i="1"/>
  <c r="E271" i="1"/>
  <c r="H270" i="1"/>
  <c r="G270" i="1"/>
  <c r="F270" i="1"/>
  <c r="E270" i="1"/>
  <c r="H269" i="1"/>
  <c r="G269" i="1"/>
  <c r="F269" i="1"/>
  <c r="E269" i="1"/>
  <c r="H268" i="1"/>
  <c r="G268" i="1"/>
  <c r="F268" i="1"/>
  <c r="E268" i="1"/>
  <c r="H267" i="1"/>
  <c r="G267" i="1"/>
  <c r="F267" i="1"/>
  <c r="E267" i="1"/>
  <c r="H266" i="1"/>
  <c r="G266" i="1"/>
  <c r="F266" i="1"/>
  <c r="E266" i="1"/>
  <c r="H265" i="1"/>
  <c r="G265" i="1"/>
  <c r="F265" i="1"/>
  <c r="E265" i="1"/>
  <c r="H264" i="1"/>
  <c r="G264" i="1"/>
  <c r="F264" i="1"/>
  <c r="E264" i="1"/>
  <c r="H263" i="1"/>
  <c r="G263" i="1"/>
  <c r="F263" i="1"/>
  <c r="E263" i="1"/>
  <c r="H262" i="1"/>
  <c r="G262" i="1"/>
  <c r="F262" i="1"/>
  <c r="E262" i="1"/>
  <c r="H261" i="1"/>
  <c r="G261" i="1"/>
  <c r="F261" i="1"/>
  <c r="E261" i="1"/>
  <c r="H260" i="1"/>
  <c r="G260" i="1"/>
  <c r="F260" i="1"/>
  <c r="E260" i="1"/>
  <c r="H259" i="1"/>
  <c r="G259" i="1"/>
  <c r="F259" i="1"/>
  <c r="E259" i="1"/>
  <c r="H258" i="1"/>
  <c r="G258" i="1"/>
  <c r="F258" i="1"/>
  <c r="E258" i="1"/>
  <c r="H257" i="1"/>
  <c r="G257" i="1"/>
  <c r="F257" i="1"/>
  <c r="E257" i="1"/>
  <c r="H256" i="1"/>
  <c r="G256" i="1"/>
  <c r="F256" i="1"/>
  <c r="E256" i="1"/>
  <c r="H255" i="1"/>
  <c r="G255" i="1"/>
  <c r="F255" i="1"/>
  <c r="E255" i="1"/>
  <c r="H254" i="1"/>
  <c r="G254" i="1"/>
  <c r="F254" i="1"/>
  <c r="E254" i="1"/>
  <c r="H253" i="1"/>
  <c r="G253" i="1"/>
  <c r="F253" i="1"/>
  <c r="E253" i="1"/>
  <c r="H252" i="1"/>
  <c r="G252" i="1"/>
  <c r="F252" i="1"/>
  <c r="E252" i="1"/>
  <c r="H251" i="1"/>
  <c r="G251" i="1"/>
  <c r="F251" i="1"/>
  <c r="E251" i="1"/>
  <c r="H250" i="1"/>
  <c r="G250" i="1"/>
  <c r="F250" i="1"/>
  <c r="E250" i="1"/>
  <c r="H249" i="1"/>
  <c r="G249" i="1"/>
  <c r="F249" i="1"/>
  <c r="E249" i="1"/>
  <c r="H248" i="1"/>
  <c r="G248" i="1"/>
  <c r="F248" i="1"/>
  <c r="E248" i="1"/>
  <c r="H247" i="1"/>
  <c r="G247" i="1"/>
  <c r="F247" i="1"/>
  <c r="E247" i="1"/>
  <c r="H246" i="1"/>
  <c r="G246" i="1"/>
  <c r="F246" i="1"/>
  <c r="E246" i="1"/>
  <c r="H245" i="1"/>
  <c r="G245" i="1"/>
  <c r="F245" i="1"/>
  <c r="E245" i="1"/>
  <c r="H244" i="1"/>
  <c r="G244" i="1"/>
  <c r="F244" i="1"/>
  <c r="E244" i="1"/>
  <c r="H243" i="1"/>
  <c r="G243" i="1"/>
  <c r="F243" i="1"/>
  <c r="E243" i="1"/>
  <c r="H242" i="1"/>
  <c r="G242" i="1"/>
  <c r="F242" i="1"/>
  <c r="E242" i="1"/>
  <c r="H241" i="1"/>
  <c r="G241" i="1"/>
  <c r="F241" i="1"/>
  <c r="E241" i="1"/>
  <c r="H240" i="1"/>
  <c r="G240" i="1"/>
  <c r="F240" i="1"/>
  <c r="E240" i="1"/>
  <c r="H239" i="1"/>
  <c r="G239" i="1"/>
  <c r="F239" i="1"/>
  <c r="E239" i="1"/>
  <c r="H238" i="1"/>
  <c r="G238" i="1"/>
  <c r="F238" i="1"/>
  <c r="E238" i="1"/>
  <c r="H237" i="1"/>
  <c r="G237" i="1"/>
  <c r="F237" i="1"/>
  <c r="E237" i="1"/>
  <c r="H236" i="1"/>
  <c r="G236" i="1"/>
  <c r="F236" i="1"/>
  <c r="E236" i="1"/>
  <c r="H235" i="1"/>
  <c r="G235" i="1"/>
  <c r="F235" i="1"/>
  <c r="E235" i="1"/>
  <c r="H234" i="1"/>
  <c r="G234" i="1"/>
  <c r="F234" i="1"/>
  <c r="E234" i="1"/>
  <c r="H233" i="1"/>
  <c r="G233" i="1"/>
  <c r="F233" i="1"/>
  <c r="E233" i="1"/>
  <c r="H232" i="1"/>
  <c r="G232" i="1"/>
  <c r="F232" i="1"/>
  <c r="E232" i="1"/>
  <c r="H231" i="1"/>
  <c r="G231" i="1"/>
  <c r="F231" i="1"/>
  <c r="E231" i="1"/>
  <c r="H230" i="1"/>
  <c r="G230" i="1"/>
  <c r="F230" i="1"/>
  <c r="E230" i="1"/>
  <c r="H229" i="1"/>
  <c r="G229" i="1"/>
  <c r="F229" i="1"/>
  <c r="E229" i="1"/>
  <c r="H228" i="1"/>
  <c r="G228" i="1"/>
  <c r="F228" i="1"/>
  <c r="E228" i="1"/>
  <c r="H227" i="1"/>
  <c r="G227" i="1"/>
  <c r="F227" i="1"/>
  <c r="E227" i="1"/>
  <c r="H226" i="1"/>
  <c r="G226" i="1"/>
  <c r="F226" i="1"/>
  <c r="E226" i="1"/>
  <c r="H225" i="1"/>
  <c r="G225" i="1"/>
  <c r="F225" i="1"/>
  <c r="E225" i="1"/>
  <c r="H224" i="1"/>
  <c r="G224" i="1"/>
  <c r="F224" i="1"/>
  <c r="E224" i="1"/>
  <c r="H223" i="1"/>
  <c r="G223" i="1"/>
  <c r="F223" i="1"/>
  <c r="E223" i="1"/>
  <c r="H222" i="1"/>
  <c r="G222" i="1"/>
  <c r="F222" i="1"/>
  <c r="E222" i="1"/>
  <c r="H221" i="1"/>
  <c r="G221" i="1"/>
  <c r="F221" i="1"/>
  <c r="E221" i="1"/>
  <c r="H220" i="1"/>
  <c r="G220" i="1"/>
  <c r="F220" i="1"/>
  <c r="E220" i="1"/>
  <c r="H219" i="1"/>
  <c r="G219" i="1"/>
  <c r="F219" i="1"/>
  <c r="E219" i="1"/>
  <c r="H218" i="1"/>
  <c r="G218" i="1"/>
  <c r="F218" i="1"/>
  <c r="E218" i="1"/>
  <c r="H217" i="1"/>
  <c r="G217" i="1"/>
  <c r="F217" i="1"/>
  <c r="E217" i="1"/>
  <c r="H216" i="1"/>
  <c r="G216" i="1"/>
  <c r="F216" i="1"/>
  <c r="E216" i="1"/>
  <c r="H215" i="1"/>
  <c r="G215" i="1"/>
  <c r="F215" i="1"/>
  <c r="E215" i="1"/>
  <c r="H214" i="1"/>
  <c r="G214" i="1"/>
  <c r="F214" i="1"/>
  <c r="E214" i="1"/>
  <c r="H213" i="1"/>
  <c r="G213" i="1"/>
  <c r="F213" i="1"/>
  <c r="E213" i="1"/>
  <c r="H212" i="1"/>
  <c r="G212" i="1"/>
  <c r="F212" i="1"/>
  <c r="E212" i="1"/>
  <c r="H211" i="1"/>
  <c r="G211" i="1"/>
  <c r="F211" i="1"/>
  <c r="E211" i="1"/>
  <c r="H210" i="1"/>
  <c r="G210" i="1"/>
  <c r="F210" i="1"/>
  <c r="E210" i="1"/>
  <c r="H209" i="1"/>
  <c r="G209" i="1"/>
  <c r="F209" i="1"/>
  <c r="E209" i="1"/>
  <c r="H208" i="1"/>
  <c r="G208" i="1"/>
  <c r="F208" i="1"/>
  <c r="E208" i="1"/>
  <c r="H207" i="1"/>
  <c r="G207" i="1"/>
  <c r="F207" i="1"/>
  <c r="E207" i="1"/>
  <c r="H206" i="1"/>
  <c r="G206" i="1"/>
  <c r="F206" i="1"/>
  <c r="E206" i="1"/>
  <c r="H205" i="1"/>
  <c r="G205" i="1"/>
  <c r="F205" i="1"/>
  <c r="E205" i="1"/>
  <c r="H204" i="1"/>
  <c r="G204" i="1"/>
  <c r="F204" i="1"/>
  <c r="E204" i="1"/>
  <c r="H203" i="1"/>
  <c r="G203" i="1"/>
  <c r="F203" i="1"/>
  <c r="E203" i="1"/>
  <c r="H202" i="1"/>
  <c r="G202" i="1"/>
  <c r="F202" i="1"/>
  <c r="E202" i="1"/>
  <c r="H201" i="1"/>
  <c r="G201" i="1"/>
  <c r="F201" i="1"/>
  <c r="E201" i="1"/>
  <c r="H200" i="1"/>
  <c r="G200" i="1"/>
  <c r="F200" i="1"/>
  <c r="E200" i="1"/>
  <c r="H199" i="1"/>
  <c r="G199" i="1"/>
  <c r="F199" i="1"/>
  <c r="E199" i="1"/>
  <c r="H198" i="1"/>
  <c r="G198" i="1"/>
  <c r="F198" i="1"/>
  <c r="E198" i="1"/>
  <c r="H197" i="1"/>
  <c r="G197" i="1"/>
  <c r="F197" i="1"/>
  <c r="E197" i="1"/>
  <c r="H196" i="1"/>
  <c r="G196" i="1"/>
  <c r="F196" i="1"/>
  <c r="E196" i="1"/>
  <c r="H195" i="1"/>
  <c r="G195" i="1"/>
  <c r="F195" i="1"/>
  <c r="E195" i="1"/>
  <c r="H194" i="1"/>
  <c r="G194" i="1"/>
  <c r="F194" i="1"/>
  <c r="E194" i="1"/>
  <c r="H193" i="1"/>
  <c r="G193" i="1"/>
  <c r="F193" i="1"/>
  <c r="E193" i="1"/>
  <c r="H192" i="1"/>
  <c r="G192" i="1"/>
  <c r="F192" i="1"/>
  <c r="E192" i="1"/>
  <c r="H191" i="1"/>
  <c r="G191" i="1"/>
  <c r="F191" i="1"/>
  <c r="E191" i="1"/>
  <c r="H190" i="1"/>
  <c r="G190" i="1"/>
  <c r="F190" i="1"/>
  <c r="E190" i="1"/>
  <c r="H189" i="1"/>
  <c r="G189" i="1"/>
  <c r="F189" i="1"/>
  <c r="E189" i="1"/>
  <c r="H188" i="1"/>
  <c r="G188" i="1"/>
  <c r="F188" i="1"/>
  <c r="E188" i="1"/>
  <c r="H187" i="1"/>
  <c r="G187" i="1"/>
  <c r="F187" i="1"/>
  <c r="E187" i="1"/>
  <c r="H186" i="1"/>
  <c r="G186" i="1"/>
  <c r="F186" i="1"/>
  <c r="E186" i="1"/>
  <c r="H185" i="1"/>
  <c r="G185" i="1"/>
  <c r="F185" i="1"/>
  <c r="E185" i="1"/>
  <c r="H184" i="1"/>
  <c r="G184" i="1"/>
  <c r="F184" i="1"/>
  <c r="E184" i="1"/>
  <c r="H183" i="1"/>
  <c r="G183" i="1"/>
  <c r="F183" i="1"/>
  <c r="E183" i="1"/>
  <c r="H182" i="1"/>
  <c r="G182" i="1"/>
  <c r="F182" i="1"/>
  <c r="E182" i="1"/>
  <c r="H181" i="1"/>
  <c r="G181" i="1"/>
  <c r="F181" i="1"/>
  <c r="E181" i="1"/>
  <c r="H180" i="1"/>
  <c r="G180" i="1"/>
  <c r="F180" i="1"/>
  <c r="E180" i="1"/>
  <c r="H179" i="1"/>
  <c r="G179" i="1"/>
  <c r="F179" i="1"/>
  <c r="E179" i="1"/>
  <c r="H178" i="1"/>
  <c r="G178" i="1"/>
  <c r="F178" i="1"/>
  <c r="E178" i="1"/>
  <c r="H177" i="1"/>
  <c r="G177" i="1"/>
  <c r="F177" i="1"/>
  <c r="E177" i="1"/>
  <c r="H176" i="1"/>
  <c r="G176" i="1"/>
  <c r="F176" i="1"/>
  <c r="E176" i="1"/>
  <c r="H175" i="1"/>
  <c r="G175" i="1"/>
  <c r="F175" i="1"/>
  <c r="E175" i="1"/>
  <c r="H174" i="1"/>
  <c r="G174" i="1"/>
  <c r="F174" i="1"/>
  <c r="E174" i="1"/>
  <c r="H173" i="1"/>
  <c r="G173" i="1"/>
  <c r="F173" i="1"/>
  <c r="E173" i="1"/>
  <c r="H172" i="1"/>
  <c r="G172" i="1"/>
  <c r="F172" i="1"/>
  <c r="E172" i="1"/>
  <c r="H171" i="1"/>
  <c r="G171" i="1"/>
  <c r="F171" i="1"/>
  <c r="E171" i="1"/>
  <c r="H170" i="1"/>
  <c r="G170" i="1"/>
  <c r="F170" i="1"/>
  <c r="E170" i="1"/>
  <c r="H169" i="1"/>
  <c r="G169" i="1"/>
  <c r="F169" i="1"/>
  <c r="E169" i="1"/>
  <c r="H168" i="1"/>
  <c r="G168" i="1"/>
  <c r="F168" i="1"/>
  <c r="E168" i="1"/>
  <c r="H167" i="1"/>
  <c r="G167" i="1"/>
  <c r="F167" i="1"/>
  <c r="E167" i="1"/>
  <c r="H166" i="1"/>
  <c r="G166" i="1"/>
  <c r="F166" i="1"/>
  <c r="E166" i="1"/>
  <c r="H165" i="1"/>
  <c r="G165" i="1"/>
  <c r="F165" i="1"/>
  <c r="E165" i="1"/>
  <c r="H164" i="1"/>
  <c r="G164" i="1"/>
  <c r="F164" i="1"/>
  <c r="E164" i="1"/>
  <c r="H163" i="1"/>
  <c r="G163" i="1"/>
  <c r="F163" i="1"/>
  <c r="E163" i="1"/>
  <c r="H162" i="1"/>
  <c r="G162" i="1"/>
  <c r="F162" i="1"/>
  <c r="E162" i="1"/>
  <c r="H161" i="1"/>
  <c r="G161" i="1"/>
  <c r="F161" i="1"/>
  <c r="E161" i="1"/>
  <c r="H160" i="1"/>
  <c r="G160" i="1"/>
  <c r="F160" i="1"/>
  <c r="E160" i="1"/>
  <c r="H159" i="1"/>
  <c r="G159" i="1"/>
  <c r="F159" i="1"/>
  <c r="E159" i="1"/>
  <c r="H158" i="1"/>
  <c r="G158" i="1"/>
  <c r="F158" i="1"/>
  <c r="E158" i="1"/>
  <c r="H157" i="1"/>
  <c r="G157" i="1"/>
  <c r="F157" i="1"/>
  <c r="E157" i="1"/>
  <c r="H156" i="1"/>
  <c r="G156" i="1"/>
  <c r="F156" i="1"/>
  <c r="E156" i="1"/>
  <c r="H155" i="1"/>
  <c r="G155" i="1"/>
  <c r="F155" i="1"/>
  <c r="E155" i="1"/>
  <c r="H154" i="1"/>
  <c r="G154" i="1"/>
  <c r="F154" i="1"/>
  <c r="E154" i="1"/>
  <c r="H153" i="1"/>
  <c r="G153" i="1"/>
  <c r="F153" i="1"/>
  <c r="E153" i="1"/>
  <c r="H152" i="1"/>
  <c r="G152" i="1"/>
  <c r="F152" i="1"/>
  <c r="E152" i="1"/>
  <c r="H151" i="1"/>
  <c r="G151" i="1"/>
  <c r="F151" i="1"/>
  <c r="E151" i="1"/>
  <c r="H150" i="1"/>
  <c r="G150" i="1"/>
  <c r="F150" i="1"/>
  <c r="E150" i="1"/>
  <c r="H149" i="1"/>
  <c r="G149" i="1"/>
  <c r="F149" i="1"/>
  <c r="E149" i="1"/>
  <c r="H148" i="1"/>
  <c r="G148" i="1"/>
  <c r="F148" i="1"/>
  <c r="E148" i="1"/>
  <c r="H147" i="1"/>
  <c r="G147" i="1"/>
  <c r="F147" i="1"/>
  <c r="E147" i="1"/>
  <c r="H146" i="1"/>
  <c r="G146" i="1"/>
  <c r="F146" i="1"/>
  <c r="E146" i="1"/>
  <c r="H145" i="1"/>
  <c r="G145" i="1"/>
  <c r="F145" i="1"/>
  <c r="E145" i="1"/>
  <c r="H144" i="1"/>
  <c r="G144" i="1"/>
  <c r="F144" i="1"/>
  <c r="E144" i="1"/>
  <c r="H143" i="1"/>
  <c r="G143" i="1"/>
  <c r="F143" i="1"/>
  <c r="E143" i="1"/>
  <c r="H142" i="1"/>
  <c r="G142" i="1"/>
  <c r="F142" i="1"/>
  <c r="E142" i="1"/>
  <c r="H141" i="1"/>
  <c r="G141" i="1"/>
  <c r="F141" i="1"/>
  <c r="E141" i="1"/>
  <c r="H140" i="1"/>
  <c r="G140" i="1"/>
  <c r="F140" i="1"/>
  <c r="E140" i="1"/>
  <c r="H139" i="1"/>
  <c r="G139" i="1"/>
  <c r="F139" i="1"/>
  <c r="E139" i="1"/>
  <c r="H138" i="1"/>
  <c r="G138" i="1"/>
  <c r="F138" i="1"/>
  <c r="E138" i="1"/>
  <c r="H137" i="1"/>
  <c r="G137" i="1"/>
  <c r="F137" i="1"/>
  <c r="E137" i="1"/>
  <c r="H136" i="1"/>
  <c r="G136" i="1"/>
  <c r="F136" i="1"/>
  <c r="E136" i="1"/>
  <c r="H135" i="1"/>
  <c r="G135" i="1"/>
  <c r="F135" i="1"/>
  <c r="E135" i="1"/>
  <c r="H134" i="1"/>
  <c r="G134" i="1"/>
  <c r="F134" i="1"/>
  <c r="E134" i="1"/>
  <c r="H133" i="1"/>
  <c r="G133" i="1"/>
  <c r="F133" i="1"/>
  <c r="E133" i="1"/>
  <c r="H132" i="1"/>
  <c r="G132" i="1"/>
  <c r="F132" i="1"/>
  <c r="E132" i="1"/>
  <c r="H131" i="1"/>
  <c r="G131" i="1"/>
  <c r="F131" i="1"/>
  <c r="E131" i="1"/>
  <c r="H130" i="1"/>
  <c r="G130" i="1"/>
  <c r="F130" i="1"/>
  <c r="E130" i="1"/>
  <c r="H129" i="1"/>
  <c r="G129" i="1"/>
  <c r="F129" i="1"/>
  <c r="E129" i="1"/>
  <c r="H128" i="1"/>
  <c r="G128" i="1"/>
  <c r="F128" i="1"/>
  <c r="E128" i="1"/>
  <c r="H127" i="1"/>
  <c r="G127" i="1"/>
  <c r="F127" i="1"/>
  <c r="E127" i="1"/>
  <c r="H126" i="1"/>
  <c r="G126" i="1"/>
  <c r="F126" i="1"/>
  <c r="E126" i="1"/>
  <c r="H125" i="1"/>
  <c r="G125" i="1"/>
  <c r="F125" i="1"/>
  <c r="E125" i="1"/>
  <c r="H124" i="1"/>
  <c r="G124" i="1"/>
  <c r="F124" i="1"/>
  <c r="E124" i="1"/>
  <c r="H123" i="1"/>
  <c r="G123" i="1"/>
  <c r="F123" i="1"/>
  <c r="E123" i="1"/>
  <c r="H122" i="1"/>
  <c r="G122" i="1"/>
  <c r="F122" i="1"/>
  <c r="E122" i="1"/>
  <c r="H121" i="1"/>
  <c r="G121" i="1"/>
  <c r="F121" i="1"/>
  <c r="E121" i="1"/>
  <c r="H120" i="1"/>
  <c r="G120" i="1"/>
  <c r="F120" i="1"/>
  <c r="E120" i="1"/>
  <c r="H119" i="1"/>
  <c r="G119" i="1"/>
  <c r="F119" i="1"/>
  <c r="E119" i="1"/>
  <c r="H118" i="1"/>
  <c r="G118" i="1"/>
  <c r="F118" i="1"/>
  <c r="E118" i="1"/>
  <c r="H117" i="1"/>
  <c r="G117" i="1"/>
  <c r="F117" i="1"/>
  <c r="E117" i="1"/>
  <c r="H116" i="1"/>
  <c r="G116" i="1"/>
  <c r="F116" i="1"/>
  <c r="E116" i="1"/>
  <c r="H115" i="1"/>
  <c r="G115" i="1"/>
  <c r="F115" i="1"/>
  <c r="E115" i="1"/>
  <c r="H114" i="1"/>
  <c r="G114" i="1"/>
  <c r="F114" i="1"/>
  <c r="E114" i="1"/>
  <c r="H113" i="1"/>
  <c r="G113" i="1"/>
  <c r="F113" i="1"/>
  <c r="E113" i="1"/>
  <c r="H112" i="1"/>
  <c r="G112" i="1"/>
  <c r="F112" i="1"/>
  <c r="E112" i="1"/>
  <c r="H111" i="1"/>
  <c r="G111" i="1"/>
  <c r="F111" i="1"/>
  <c r="E111" i="1"/>
  <c r="H110" i="1"/>
  <c r="G110" i="1"/>
  <c r="F110" i="1"/>
  <c r="E110" i="1"/>
  <c r="H109" i="1"/>
  <c r="G109" i="1"/>
  <c r="F109" i="1"/>
  <c r="E109" i="1"/>
  <c r="H108" i="1"/>
  <c r="G108" i="1"/>
  <c r="F108" i="1"/>
  <c r="E108" i="1"/>
  <c r="H107" i="1"/>
  <c r="G107" i="1"/>
  <c r="F107" i="1"/>
  <c r="E107" i="1"/>
  <c r="H106" i="1"/>
  <c r="G106" i="1"/>
  <c r="F106" i="1"/>
  <c r="E106" i="1"/>
  <c r="H105" i="1"/>
  <c r="G105" i="1"/>
  <c r="F105" i="1"/>
  <c r="E105" i="1"/>
  <c r="H104" i="1"/>
  <c r="G104" i="1"/>
  <c r="F104" i="1"/>
  <c r="E104" i="1"/>
  <c r="H103" i="1"/>
  <c r="G103" i="1"/>
  <c r="F103" i="1"/>
  <c r="E103" i="1"/>
  <c r="H102" i="1"/>
  <c r="G102" i="1"/>
  <c r="F102" i="1"/>
  <c r="E102" i="1"/>
  <c r="H101" i="1"/>
  <c r="G101" i="1"/>
  <c r="F101" i="1"/>
  <c r="E101" i="1"/>
  <c r="H100" i="1"/>
  <c r="G100" i="1"/>
  <c r="F100" i="1"/>
  <c r="E100" i="1"/>
  <c r="H99" i="1"/>
  <c r="G99" i="1"/>
  <c r="F99" i="1"/>
  <c r="E99" i="1"/>
  <c r="H98" i="1"/>
  <c r="G98" i="1"/>
  <c r="F98" i="1"/>
  <c r="E98" i="1"/>
  <c r="H97" i="1"/>
  <c r="G97" i="1"/>
  <c r="F97" i="1"/>
  <c r="E97" i="1"/>
  <c r="H96" i="1"/>
  <c r="G96" i="1"/>
  <c r="F96" i="1"/>
  <c r="E96" i="1"/>
  <c r="H95" i="1"/>
  <c r="G95" i="1"/>
  <c r="F95" i="1"/>
  <c r="E95" i="1"/>
  <c r="H94" i="1"/>
  <c r="G94" i="1"/>
  <c r="F94" i="1"/>
  <c r="E94" i="1"/>
  <c r="H93" i="1"/>
  <c r="G93" i="1"/>
  <c r="F93" i="1"/>
  <c r="E93" i="1"/>
  <c r="H92" i="1"/>
  <c r="G92" i="1"/>
  <c r="F92" i="1"/>
  <c r="E92" i="1"/>
  <c r="H91" i="1"/>
  <c r="G91" i="1"/>
  <c r="F91" i="1"/>
  <c r="E91" i="1"/>
  <c r="H90" i="1"/>
  <c r="G90" i="1"/>
  <c r="F90" i="1"/>
  <c r="E90" i="1"/>
  <c r="H89" i="1"/>
  <c r="G89" i="1"/>
  <c r="F89" i="1"/>
  <c r="E89" i="1"/>
  <c r="H88" i="1"/>
  <c r="G88" i="1"/>
  <c r="F88" i="1"/>
  <c r="E88" i="1"/>
  <c r="H87" i="1"/>
  <c r="G87" i="1"/>
  <c r="F87" i="1"/>
  <c r="E87" i="1"/>
  <c r="H86" i="1"/>
  <c r="G86" i="1"/>
  <c r="F86" i="1"/>
  <c r="E86" i="1"/>
  <c r="H85" i="1"/>
  <c r="G85" i="1"/>
  <c r="F85" i="1"/>
  <c r="E85" i="1"/>
  <c r="H84" i="1"/>
  <c r="G84" i="1"/>
  <c r="F84" i="1"/>
  <c r="E84" i="1"/>
  <c r="H83" i="1"/>
  <c r="G83" i="1"/>
  <c r="F83" i="1"/>
  <c r="E83" i="1"/>
  <c r="H82" i="1"/>
  <c r="G82" i="1"/>
  <c r="F82" i="1"/>
  <c r="E82" i="1"/>
  <c r="H81" i="1"/>
  <c r="G81" i="1"/>
  <c r="F81" i="1"/>
  <c r="E81" i="1"/>
  <c r="H80" i="1"/>
  <c r="G80" i="1"/>
  <c r="F80" i="1"/>
  <c r="E80" i="1"/>
  <c r="H79" i="1"/>
  <c r="G79" i="1"/>
  <c r="F79" i="1"/>
  <c r="E79" i="1"/>
  <c r="H78" i="1"/>
  <c r="G78" i="1"/>
  <c r="F78" i="1"/>
  <c r="E78" i="1"/>
  <c r="H77" i="1"/>
  <c r="G77" i="1"/>
  <c r="F77" i="1"/>
  <c r="E77" i="1"/>
  <c r="H76" i="1"/>
  <c r="G76" i="1"/>
  <c r="F76" i="1"/>
  <c r="E76" i="1"/>
  <c r="H75" i="1"/>
  <c r="G75" i="1"/>
  <c r="F75" i="1"/>
  <c r="E75" i="1"/>
  <c r="H74" i="1"/>
  <c r="G74" i="1"/>
  <c r="F74" i="1"/>
  <c r="E74" i="1"/>
  <c r="H73" i="1"/>
  <c r="G73" i="1"/>
  <c r="F73" i="1"/>
  <c r="E73" i="1"/>
  <c r="H72" i="1"/>
  <c r="G72" i="1"/>
  <c r="F72" i="1"/>
  <c r="E72" i="1"/>
  <c r="H71" i="1"/>
  <c r="G71" i="1"/>
  <c r="F71" i="1"/>
  <c r="E71" i="1"/>
  <c r="H70" i="1"/>
  <c r="G70" i="1"/>
  <c r="F70" i="1"/>
  <c r="E70" i="1"/>
  <c r="H69" i="1"/>
  <c r="G69" i="1"/>
  <c r="F69" i="1"/>
  <c r="E69" i="1"/>
  <c r="H68" i="1"/>
  <c r="G68" i="1"/>
  <c r="F68" i="1"/>
  <c r="E68" i="1"/>
  <c r="H67" i="1"/>
  <c r="G67" i="1"/>
  <c r="F67" i="1"/>
  <c r="E67" i="1"/>
  <c r="H66" i="1"/>
  <c r="G66" i="1"/>
  <c r="F66" i="1"/>
  <c r="E66" i="1"/>
  <c r="H65" i="1"/>
  <c r="G65" i="1"/>
  <c r="F65" i="1"/>
  <c r="E65" i="1"/>
  <c r="H64" i="1"/>
  <c r="G64" i="1"/>
  <c r="F64" i="1"/>
  <c r="E64" i="1"/>
  <c r="H63" i="1"/>
  <c r="G63" i="1"/>
  <c r="F63" i="1"/>
  <c r="E63" i="1"/>
  <c r="H62" i="1"/>
  <c r="G62" i="1"/>
  <c r="F62" i="1"/>
  <c r="E62" i="1"/>
  <c r="H61" i="1"/>
  <c r="G61" i="1"/>
  <c r="F61" i="1"/>
  <c r="E61" i="1"/>
  <c r="H60" i="1"/>
  <c r="G60" i="1"/>
  <c r="F60" i="1"/>
  <c r="E60" i="1"/>
  <c r="H59" i="1"/>
  <c r="G59" i="1"/>
  <c r="F59" i="1"/>
  <c r="E59" i="1"/>
  <c r="H58" i="1"/>
  <c r="G58" i="1"/>
  <c r="F58" i="1"/>
  <c r="E58" i="1"/>
  <c r="H57" i="1"/>
  <c r="G57" i="1"/>
  <c r="F57" i="1"/>
  <c r="E57" i="1"/>
  <c r="H56" i="1"/>
  <c r="G56" i="1"/>
  <c r="F56" i="1"/>
  <c r="E56" i="1"/>
  <c r="H55" i="1"/>
  <c r="G55" i="1"/>
  <c r="F55" i="1"/>
  <c r="E55" i="1"/>
  <c r="H54" i="1"/>
  <c r="G54" i="1"/>
  <c r="F54" i="1"/>
  <c r="E54" i="1"/>
  <c r="H53" i="1"/>
  <c r="G53" i="1"/>
  <c r="F53" i="1"/>
  <c r="E53" i="1"/>
  <c r="H52" i="1"/>
  <c r="G52" i="1"/>
  <c r="F52" i="1"/>
  <c r="E52" i="1"/>
  <c r="H51" i="1"/>
  <c r="G51" i="1"/>
  <c r="F51" i="1"/>
  <c r="E51" i="1"/>
  <c r="H50" i="1"/>
  <c r="G50" i="1"/>
  <c r="F50" i="1"/>
  <c r="E50" i="1"/>
  <c r="H49" i="1"/>
  <c r="G49" i="1"/>
  <c r="F49" i="1"/>
  <c r="E49" i="1"/>
  <c r="H48" i="1"/>
  <c r="G48" i="1"/>
  <c r="F48" i="1"/>
  <c r="E48" i="1"/>
  <c r="H47" i="1"/>
  <c r="G47" i="1"/>
  <c r="F47" i="1"/>
  <c r="E47" i="1"/>
  <c r="H46" i="1"/>
  <c r="G46" i="1"/>
  <c r="F46" i="1"/>
  <c r="E46" i="1"/>
  <c r="H45" i="1"/>
  <c r="G45" i="1"/>
  <c r="F45" i="1"/>
  <c r="E45" i="1"/>
  <c r="H44" i="1"/>
  <c r="G44" i="1"/>
  <c r="F44" i="1"/>
  <c r="E44" i="1"/>
  <c r="H43" i="1"/>
  <c r="G43" i="1"/>
  <c r="F43" i="1"/>
  <c r="E43" i="1"/>
  <c r="H42" i="1"/>
  <c r="G42" i="1"/>
  <c r="F42" i="1"/>
  <c r="E42" i="1"/>
  <c r="H41" i="1"/>
  <c r="G41" i="1"/>
  <c r="F41" i="1"/>
  <c r="E41" i="1"/>
  <c r="H40" i="1"/>
  <c r="G40" i="1"/>
  <c r="F40" i="1"/>
  <c r="E40" i="1"/>
  <c r="H39" i="1"/>
  <c r="G39" i="1"/>
  <c r="F39" i="1"/>
  <c r="E39" i="1"/>
  <c r="H38" i="1"/>
  <c r="G38" i="1"/>
  <c r="F38" i="1"/>
  <c r="E38" i="1"/>
  <c r="H37" i="1"/>
  <c r="G37" i="1"/>
  <c r="F37" i="1"/>
  <c r="E37" i="1"/>
  <c r="H36" i="1"/>
  <c r="G36" i="1"/>
  <c r="F36" i="1"/>
  <c r="E36" i="1"/>
  <c r="H35" i="1"/>
  <c r="G35" i="1"/>
  <c r="F35" i="1"/>
  <c r="E35" i="1"/>
  <c r="H34" i="1"/>
  <c r="G34" i="1"/>
  <c r="F34" i="1"/>
  <c r="E34" i="1"/>
  <c r="H33" i="1"/>
  <c r="G33" i="1"/>
  <c r="F33" i="1"/>
  <c r="E33" i="1"/>
  <c r="H32" i="1"/>
  <c r="G32" i="1"/>
  <c r="F32" i="1"/>
  <c r="E32" i="1"/>
  <c r="H31" i="1"/>
  <c r="G31" i="1"/>
  <c r="F31" i="1"/>
  <c r="E31" i="1"/>
  <c r="H30" i="1"/>
  <c r="G30" i="1"/>
  <c r="F30" i="1"/>
  <c r="E30" i="1"/>
  <c r="H29" i="1"/>
  <c r="G29" i="1"/>
  <c r="F29" i="1"/>
  <c r="E29" i="1"/>
  <c r="H28" i="1"/>
  <c r="G28" i="1"/>
  <c r="F28" i="1"/>
  <c r="E28" i="1"/>
  <c r="H27" i="1"/>
  <c r="G27" i="1"/>
  <c r="F27" i="1"/>
  <c r="E27" i="1"/>
  <c r="H26" i="1"/>
  <c r="G26" i="1"/>
  <c r="F26" i="1"/>
  <c r="E26" i="1"/>
  <c r="H25" i="1"/>
  <c r="G25" i="1"/>
  <c r="F25" i="1"/>
  <c r="E25" i="1"/>
  <c r="H24" i="1"/>
  <c r="G24" i="1"/>
  <c r="F24" i="1"/>
  <c r="E24" i="1"/>
  <c r="H23" i="1"/>
  <c r="G23" i="1"/>
  <c r="F23" i="1"/>
  <c r="E23" i="1"/>
  <c r="H22" i="1"/>
  <c r="G22" i="1"/>
  <c r="F22" i="1"/>
  <c r="E22" i="1"/>
  <c r="H21" i="1"/>
  <c r="G21" i="1"/>
  <c r="F21" i="1"/>
  <c r="E21" i="1"/>
  <c r="H20" i="1"/>
  <c r="G20" i="1"/>
  <c r="F20" i="1"/>
  <c r="E20" i="1"/>
  <c r="H19" i="1"/>
  <c r="G19" i="1"/>
  <c r="E19" i="1"/>
  <c r="H18" i="1"/>
  <c r="G18" i="1"/>
  <c r="F18" i="1"/>
  <c r="E18" i="1"/>
  <c r="H17" i="1"/>
  <c r="G17" i="1"/>
  <c r="F17" i="1"/>
  <c r="E17" i="1"/>
  <c r="H16" i="1"/>
  <c r="G16" i="1"/>
  <c r="F16" i="1"/>
  <c r="E16" i="1"/>
  <c r="H15" i="1"/>
  <c r="G15" i="1"/>
  <c r="F15" i="1"/>
  <c r="E15" i="1"/>
  <c r="H14" i="1"/>
  <c r="G14" i="1"/>
  <c r="F14" i="1"/>
  <c r="E14" i="1"/>
  <c r="H13" i="1"/>
  <c r="G13" i="1"/>
  <c r="F13" i="1"/>
  <c r="E13" i="1"/>
  <c r="H12" i="1"/>
  <c r="G12" i="1"/>
  <c r="F12" i="1"/>
  <c r="E12" i="1"/>
  <c r="H11" i="1"/>
  <c r="G11" i="1"/>
  <c r="F11" i="1"/>
  <c r="E11" i="1"/>
  <c r="H10" i="1"/>
  <c r="G10" i="1"/>
  <c r="F10" i="1"/>
  <c r="E10" i="1"/>
  <c r="H9" i="1"/>
  <c r="G9" i="1"/>
  <c r="F9" i="1"/>
  <c r="E9" i="1"/>
  <c r="H8" i="1"/>
  <c r="G8" i="1"/>
  <c r="F8" i="1"/>
  <c r="E8" i="1"/>
  <c r="H7" i="1"/>
  <c r="G7" i="1"/>
  <c r="F7" i="1"/>
  <c r="E7" i="1"/>
  <c r="H6" i="1"/>
  <c r="G6" i="1"/>
  <c r="F6" i="1"/>
  <c r="E6" i="1"/>
  <c r="H5" i="1"/>
  <c r="G5" i="1"/>
  <c r="F5" i="1"/>
  <c r="E5" i="1"/>
  <c r="H4" i="1"/>
  <c r="G4" i="1"/>
  <c r="F4" i="1"/>
  <c r="E4" i="1"/>
  <c r="H3" i="1"/>
  <c r="G3" i="1"/>
  <c r="F3" i="1"/>
  <c r="E3" i="1"/>
  <c r="H2" i="1"/>
  <c r="G2" i="1"/>
  <c r="F2" i="1"/>
  <c r="E2"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D2"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E14" i="47"/>
  <c r="E20" i="24"/>
  <c r="D20" i="24"/>
  <c r="I19893" i="79"/>
  <c r="A19892" i="80" s="1"/>
  <c r="I19773" i="79"/>
  <c r="A19772" i="80" s="1"/>
  <c r="I19749" i="79"/>
  <c r="A19748" i="80" s="1"/>
  <c r="I19713" i="79"/>
  <c r="A19712" i="80" s="1"/>
  <c r="I19593" i="79"/>
  <c r="A19592" i="80" s="1"/>
  <c r="I19581" i="79"/>
  <c r="A19580" i="80" s="1"/>
  <c r="I19569" i="79"/>
  <c r="A19568" i="80" s="1"/>
  <c r="I19533" i="79"/>
  <c r="A19532" i="80" s="1"/>
  <c r="I19515" i="79"/>
  <c r="A19514" i="80" s="1"/>
  <c r="I19503" i="79"/>
  <c r="A19502" i="80" s="1"/>
  <c r="I19497" i="79"/>
  <c r="A19496" i="80" s="1"/>
  <c r="I19461" i="79"/>
  <c r="A19460" i="80" s="1"/>
  <c r="I19455" i="79"/>
  <c r="A19454" i="80" s="1"/>
  <c r="I19449" i="79"/>
  <c r="A19448" i="80" s="1"/>
  <c r="I19413" i="79"/>
  <c r="A19412" i="80" s="1"/>
  <c r="I19401" i="79"/>
  <c r="A19400" i="80" s="1"/>
  <c r="I19389" i="79"/>
  <c r="A19388" i="80" s="1"/>
  <c r="I19353" i="79"/>
  <c r="A19352" i="80" s="1"/>
  <c r="I19335" i="79"/>
  <c r="A19334" i="80" s="1"/>
  <c r="I19323" i="79"/>
  <c r="A19322" i="80" s="1"/>
  <c r="I19317" i="79"/>
  <c r="A19316" i="80" s="1"/>
  <c r="I19281" i="79"/>
  <c r="A19280" i="80" s="1"/>
  <c r="I19275" i="79"/>
  <c r="A19274" i="80" s="1"/>
  <c r="I19269" i="79"/>
  <c r="A19268" i="80" s="1"/>
  <c r="I19233" i="79"/>
  <c r="A19232" i="80" s="1"/>
  <c r="I19209" i="79"/>
  <c r="A19208" i="80" s="1"/>
  <c r="I19173" i="79"/>
  <c r="A19172" i="80" s="1"/>
  <c r="I19053" i="79"/>
  <c r="A19052" i="80" s="1"/>
  <c r="I19041" i="79"/>
  <c r="A19040" i="80" s="1"/>
  <c r="I19029" i="79"/>
  <c r="A19028" i="80" s="1"/>
  <c r="I18987" i="79"/>
  <c r="A18986" i="80" s="1"/>
  <c r="I18975" i="79"/>
  <c r="A18974" i="80" s="1"/>
  <c r="I18963" i="79"/>
  <c r="A18962" i="80" s="1"/>
  <c r="I18957" i="79"/>
  <c r="A18956" i="80" s="1"/>
  <c r="I18921" i="79"/>
  <c r="A18920" i="80" s="1"/>
  <c r="I18915" i="79"/>
  <c r="A18914" i="80" s="1"/>
  <c r="I18909" i="79"/>
  <c r="A18908" i="80" s="1"/>
  <c r="I18873" i="79"/>
  <c r="A18872" i="80" s="1"/>
  <c r="I18861" i="79"/>
  <c r="A18860" i="80" s="1"/>
  <c r="I18849" i="79"/>
  <c r="A18848" i="80" s="1"/>
  <c r="I18807" i="79"/>
  <c r="A18806" i="80" s="1"/>
  <c r="I18795" i="79"/>
  <c r="A18794" i="80" s="1"/>
  <c r="I18783" i="79"/>
  <c r="A18782" i="80" s="1"/>
  <c r="I18777" i="79"/>
  <c r="A18776" i="80" s="1"/>
  <c r="I18741" i="79"/>
  <c r="A18740" i="80" s="1"/>
  <c r="I18735" i="79"/>
  <c r="A18734" i="80" s="1"/>
  <c r="I18729" i="79"/>
  <c r="A18728" i="80" s="1"/>
  <c r="I17882" i="79"/>
  <c r="A17881" i="80" s="1"/>
  <c r="I17876" i="79"/>
  <c r="A17875" i="80" s="1"/>
  <c r="I17870" i="79"/>
  <c r="A17869" i="80" s="1"/>
  <c r="I17864" i="79"/>
  <c r="A17863" i="80" s="1"/>
  <c r="I17858" i="79"/>
  <c r="A17857" i="80" s="1"/>
  <c r="I17852" i="79"/>
  <c r="A17851" i="80" s="1"/>
  <c r="I17846" i="79"/>
  <c r="A17845" i="80" s="1"/>
  <c r="I17840" i="79"/>
  <c r="A17839" i="80" s="1"/>
  <c r="I17834" i="79"/>
  <c r="A17833" i="80" s="1"/>
  <c r="I17828" i="79"/>
  <c r="A17827" i="80" s="1"/>
  <c r="I17822" i="79"/>
  <c r="A17821" i="80" s="1"/>
  <c r="I17810" i="79"/>
  <c r="A17809" i="80" s="1"/>
  <c r="I17804" i="79"/>
  <c r="A17803" i="80" s="1"/>
  <c r="I17798" i="79"/>
  <c r="A17797" i="80" s="1"/>
  <c r="I17792" i="79"/>
  <c r="A17791" i="80" s="1"/>
  <c r="I17786" i="79"/>
  <c r="A17785" i="80" s="1"/>
  <c r="I17780" i="79"/>
  <c r="A17779" i="80" s="1"/>
  <c r="I17774" i="79"/>
  <c r="A17773" i="80" s="1"/>
  <c r="I17768" i="79"/>
  <c r="A17767" i="80" s="1"/>
  <c r="I17762" i="79"/>
  <c r="A17761" i="80" s="1"/>
  <c r="I17756" i="79"/>
  <c r="A17755" i="80" s="1"/>
  <c r="I17744" i="79"/>
  <c r="A17743" i="80" s="1"/>
  <c r="I17738" i="79"/>
  <c r="A17737" i="80" s="1"/>
  <c r="I17732" i="79"/>
  <c r="A17731" i="80" s="1"/>
  <c r="I17726" i="79"/>
  <c r="A17725" i="80" s="1"/>
  <c r="I17720" i="79"/>
  <c r="A17719" i="80" s="1"/>
  <c r="I17714" i="79"/>
  <c r="A17713" i="80" s="1"/>
  <c r="I17708" i="79"/>
  <c r="A17707" i="80" s="1"/>
  <c r="I17702" i="79"/>
  <c r="A17701" i="80" s="1"/>
  <c r="I17696" i="79"/>
  <c r="A17695" i="80" s="1"/>
  <c r="I17690" i="79"/>
  <c r="A17689" i="80" s="1"/>
  <c r="I17678" i="79"/>
  <c r="A17677" i="80" s="1"/>
  <c r="I17672" i="79"/>
  <c r="A17671" i="80" s="1"/>
  <c r="I17666" i="79"/>
  <c r="A17665" i="80" s="1"/>
  <c r="I17660" i="79"/>
  <c r="A17659" i="80" s="1"/>
  <c r="I17654" i="79"/>
  <c r="A17653" i="80" s="1"/>
  <c r="I17648" i="79"/>
  <c r="A17647" i="80" s="1"/>
  <c r="I17642" i="79"/>
  <c r="A17641" i="80" s="1"/>
  <c r="I17636" i="79"/>
  <c r="A17635" i="80" s="1"/>
  <c r="I17630" i="79"/>
  <c r="A17629" i="80" s="1"/>
  <c r="I17624" i="79"/>
  <c r="A17623" i="80" s="1"/>
  <c r="I17618" i="79"/>
  <c r="A17617" i="80" s="1"/>
  <c r="I17606" i="79"/>
  <c r="A17605" i="80" s="1"/>
  <c r="I17600" i="79"/>
  <c r="A17599" i="80" s="1"/>
  <c r="I17594" i="79"/>
  <c r="A17593" i="80" s="1"/>
  <c r="I17588" i="79"/>
  <c r="A17587" i="80" s="1"/>
  <c r="I17582" i="79"/>
  <c r="A17581" i="80" s="1"/>
  <c r="I17576" i="79"/>
  <c r="A17575" i="80" s="1"/>
  <c r="I17570" i="79"/>
  <c r="A17569" i="80" s="1"/>
  <c r="I17564" i="79"/>
  <c r="A17563" i="80" s="1"/>
  <c r="I17558" i="79"/>
  <c r="A17557" i="80" s="1"/>
  <c r="I17552" i="79"/>
  <c r="A17551" i="80" s="1"/>
  <c r="I17540" i="79"/>
  <c r="A17539" i="80" s="1"/>
  <c r="I17534" i="79"/>
  <c r="A17533" i="80" s="1"/>
  <c r="I17528" i="79"/>
  <c r="A17527" i="80" s="1"/>
  <c r="I17522" i="79"/>
  <c r="A17521" i="80" s="1"/>
  <c r="I17516" i="79"/>
  <c r="A17515" i="80" s="1"/>
  <c r="I17510" i="79"/>
  <c r="A17509" i="80" s="1"/>
  <c r="I17504" i="79"/>
  <c r="A17503" i="80" s="1"/>
  <c r="I17498" i="79"/>
  <c r="A17497" i="80" s="1"/>
  <c r="I17492" i="79"/>
  <c r="A17491" i="80" s="1"/>
  <c r="I17480" i="79"/>
  <c r="A17479" i="80" s="1"/>
  <c r="I17474" i="79"/>
  <c r="A17473" i="80" s="1"/>
  <c r="I17468" i="79"/>
  <c r="A17467" i="80" s="1"/>
  <c r="I17462" i="79"/>
  <c r="A17461" i="80" s="1"/>
  <c r="I17456" i="79"/>
  <c r="A17455" i="80" s="1"/>
  <c r="I17450" i="79"/>
  <c r="A17449" i="80" s="1"/>
  <c r="I17444" i="79"/>
  <c r="A17443" i="80" s="1"/>
  <c r="I17438" i="79"/>
  <c r="A17437" i="80" s="1"/>
  <c r="I17432" i="79"/>
  <c r="A17431" i="80" s="1"/>
  <c r="I17426" i="79"/>
  <c r="A17425" i="80" s="1"/>
  <c r="I17414" i="79"/>
  <c r="A17413" i="80" s="1"/>
  <c r="I17408" i="79"/>
  <c r="A17407" i="80" s="1"/>
  <c r="I17402" i="79"/>
  <c r="A17401" i="80" s="1"/>
  <c r="I17396" i="79"/>
  <c r="A17395" i="80" s="1"/>
  <c r="I17390" i="79"/>
  <c r="A17389" i="80" s="1"/>
  <c r="I17384" i="79"/>
  <c r="A17383" i="80" s="1"/>
  <c r="I17372" i="79"/>
  <c r="A17371" i="80" s="1"/>
  <c r="I17366" i="79"/>
  <c r="A17365" i="80" s="1"/>
  <c r="I17360" i="79"/>
  <c r="A17359" i="80" s="1"/>
  <c r="I8168" i="79"/>
  <c r="A8167" i="80" s="1"/>
  <c r="I8162" i="79"/>
  <c r="A8161" i="80" s="1"/>
  <c r="I8156" i="79"/>
  <c r="A8155" i="80" s="1"/>
  <c r="I8150" i="79"/>
  <c r="A8149" i="80" s="1"/>
  <c r="I8144" i="79"/>
  <c r="A8143" i="80" s="1"/>
  <c r="I8132" i="79"/>
  <c r="A8131" i="80" s="1"/>
  <c r="I8126" i="79"/>
  <c r="A8125" i="80" s="1"/>
  <c r="I8114" i="79"/>
  <c r="A8113" i="80" s="1"/>
  <c r="I7649" i="79"/>
  <c r="A7648" i="80" s="1"/>
  <c r="I7643" i="79"/>
  <c r="A7642" i="80" s="1"/>
  <c r="I7637" i="79"/>
  <c r="A7636" i="80" s="1"/>
  <c r="I7619" i="79"/>
  <c r="A7618" i="80" s="1"/>
  <c r="I7613" i="79"/>
  <c r="A7612" i="80" s="1"/>
  <c r="I7039" i="79"/>
  <c r="A7038" i="80" s="1"/>
  <c r="I7033" i="79"/>
  <c r="A7032" i="80" s="1"/>
  <c r="I6949" i="79"/>
  <c r="A6948" i="80" s="1"/>
  <c r="I6925" i="79"/>
  <c r="A6924" i="80" s="1"/>
  <c r="I6895" i="79"/>
  <c r="A6894" i="80" s="1"/>
  <c r="I6871" i="79"/>
  <c r="A6870" i="80" s="1"/>
  <c r="I6787" i="79"/>
  <c r="A6786" i="80" s="1"/>
  <c r="I6763" i="79"/>
  <c r="A6762" i="80" s="1"/>
  <c r="I6733" i="79"/>
  <c r="A6732" i="80" s="1"/>
  <c r="I8246" i="79"/>
  <c r="A8245" i="80" s="1"/>
  <c r="I8276" i="79"/>
  <c r="A8275" i="80" s="1"/>
  <c r="I8251" i="79"/>
  <c r="A8250" i="80" s="1"/>
  <c r="I8266" i="79"/>
  <c r="A8265" i="80" s="1"/>
  <c r="I8286" i="79"/>
  <c r="A8285" i="80" s="1"/>
  <c r="I8261" i="79"/>
  <c r="A8260" i="80" s="1"/>
  <c r="I8256" i="79"/>
  <c r="A8255" i="80" s="1"/>
  <c r="I8281" i="79"/>
  <c r="A8280" i="80" s="1"/>
  <c r="I8241" i="79"/>
  <c r="A8240" i="80" s="1"/>
  <c r="I8321" i="79"/>
  <c r="A8320" i="80" s="1"/>
  <c r="I8291" i="79"/>
  <c r="A8290" i="80" s="1"/>
  <c r="I8311" i="79"/>
  <c r="A8310" i="80" s="1"/>
  <c r="I8331" i="79"/>
  <c r="A8330" i="80" s="1"/>
  <c r="I8306" i="79"/>
  <c r="A8305" i="80" s="1"/>
  <c r="I8271" i="79"/>
  <c r="A8270" i="80" s="1"/>
  <c r="I8301" i="79"/>
  <c r="A8300" i="80" s="1"/>
  <c r="I8326" i="79"/>
  <c r="A8325" i="80" s="1"/>
  <c r="I8361" i="79"/>
  <c r="A8360" i="80" s="1"/>
  <c r="I8336" i="79"/>
  <c r="A8335" i="80" s="1"/>
  <c r="I8296" i="79"/>
  <c r="A8295" i="80" s="1"/>
  <c r="I8376" i="79"/>
  <c r="A8375" i="80" s="1"/>
  <c r="I8371" i="79"/>
  <c r="A8370" i="80" s="1"/>
  <c r="I8316" i="79"/>
  <c r="A8315" i="80" s="1"/>
  <c r="I8356" i="79"/>
  <c r="A8355" i="80" s="1"/>
  <c r="I8341" i="79"/>
  <c r="A8340" i="80" s="1"/>
  <c r="I8351" i="79"/>
  <c r="A8350" i="80" s="1"/>
  <c r="I8401" i="79"/>
  <c r="A8400" i="80" s="1"/>
  <c r="I8381" i="79"/>
  <c r="A8380" i="80" s="1"/>
  <c r="I8346" i="79"/>
  <c r="A8345" i="80" s="1"/>
  <c r="I8386" i="79"/>
  <c r="A8385" i="80" s="1"/>
  <c r="I8366" i="79"/>
  <c r="A8365" i="80" s="1"/>
  <c r="I8391" i="79"/>
  <c r="A8390" i="80" s="1"/>
  <c r="I8421" i="79"/>
  <c r="A8420" i="80" s="1"/>
  <c r="I8426" i="79"/>
  <c r="A8425" i="80" s="1"/>
  <c r="I8411" i="79"/>
  <c r="A8410" i="80" s="1"/>
  <c r="I8431" i="79"/>
  <c r="A8430" i="80" s="1"/>
  <c r="I8406" i="79"/>
  <c r="A8405" i="80" s="1"/>
  <c r="I8451" i="79"/>
  <c r="A8450" i="80" s="1"/>
  <c r="I8481" i="79"/>
  <c r="A8480" i="80" s="1"/>
  <c r="I8476" i="79"/>
  <c r="A8475" i="80" s="1"/>
  <c r="I8456" i="79"/>
  <c r="A8455" i="80" s="1"/>
  <c r="I8461" i="79"/>
  <c r="A8460" i="80" s="1"/>
  <c r="I8471" i="79"/>
  <c r="A8470" i="80" s="1"/>
  <c r="I8441" i="79"/>
  <c r="A8440" i="80" s="1"/>
  <c r="I8396" i="79"/>
  <c r="A8395" i="80" s="1"/>
  <c r="I8501" i="79"/>
  <c r="A8500" i="80" s="1"/>
  <c r="I8416" i="79"/>
  <c r="A8415" i="80" s="1"/>
  <c r="I8436" i="79"/>
  <c r="A8435" i="80" s="1"/>
  <c r="I8466" i="79"/>
  <c r="A8465" i="80" s="1"/>
  <c r="I8446" i="79"/>
  <c r="A8445" i="80" s="1"/>
  <c r="I8486" i="79"/>
  <c r="A8485" i="80" s="1"/>
  <c r="I8551" i="79"/>
  <c r="A8550" i="80" s="1"/>
  <c r="I8521" i="79"/>
  <c r="A8520" i="80" s="1"/>
  <c r="I8491" i="79"/>
  <c r="A8490" i="80" s="1"/>
  <c r="I8511" i="79"/>
  <c r="A8510" i="80" s="1"/>
  <c r="I8506" i="79"/>
  <c r="A8505" i="80" s="1"/>
  <c r="I8531" i="79"/>
  <c r="A8530" i="80" s="1"/>
  <c r="I8526" i="79"/>
  <c r="A8525" i="80" s="1"/>
  <c r="I8571" i="79"/>
  <c r="A8570" i="80" s="1"/>
  <c r="I8561" i="79"/>
  <c r="A8560" i="80" s="1"/>
  <c r="I8576" i="79"/>
  <c r="A8575" i="80" s="1"/>
  <c r="I8581" i="79"/>
  <c r="A8580" i="80" s="1"/>
  <c r="I8556" i="79"/>
  <c r="A8555" i="80" s="1"/>
  <c r="I8541" i="79"/>
  <c r="A8540" i="80" s="1"/>
  <c r="I8601" i="79"/>
  <c r="A8600" i="80" s="1"/>
  <c r="I8516" i="79"/>
  <c r="A8515" i="80" s="1"/>
  <c r="I8536" i="79"/>
  <c r="A8535" i="80" s="1"/>
  <c r="I8496" i="79"/>
  <c r="A8495" i="80" s="1"/>
  <c r="I8651" i="79"/>
  <c r="A8650" i="80" s="1"/>
  <c r="I8546" i="79"/>
  <c r="A8545" i="80" s="1"/>
  <c r="I8591" i="79"/>
  <c r="A8590" i="80" s="1"/>
  <c r="I8631" i="79"/>
  <c r="A8630" i="80" s="1"/>
  <c r="I8611" i="79"/>
  <c r="A8610" i="80" s="1"/>
  <c r="I8606" i="79"/>
  <c r="A8605" i="80" s="1"/>
  <c r="I8626" i="79"/>
  <c r="A8625" i="80" s="1"/>
  <c r="I8621" i="79"/>
  <c r="A8620" i="80" s="1"/>
  <c r="I8586" i="79"/>
  <c r="A8585" i="80" s="1"/>
  <c r="I8566" i="79"/>
  <c r="A8565" i="80" s="1"/>
  <c r="I8656" i="79"/>
  <c r="A8655" i="80" s="1"/>
  <c r="I8701" i="79"/>
  <c r="A8700" i="80" s="1"/>
  <c r="I8671" i="79"/>
  <c r="A8670" i="80" s="1"/>
  <c r="I8661" i="79"/>
  <c r="A8660" i="80" s="1"/>
  <c r="I8641" i="79"/>
  <c r="A8640" i="80" s="1"/>
  <c r="I8676" i="79"/>
  <c r="A8675" i="80" s="1"/>
  <c r="I8681" i="79"/>
  <c r="A8680" i="80" s="1"/>
  <c r="I8616" i="79"/>
  <c r="A8615" i="80" s="1"/>
  <c r="I8636" i="79"/>
  <c r="A8635" i="80" s="1"/>
  <c r="I8596" i="79"/>
  <c r="A8595" i="80" s="1"/>
  <c r="I8691" i="79"/>
  <c r="A8690" i="80" s="1"/>
  <c r="I8731" i="79"/>
  <c r="A8730" i="80" s="1"/>
  <c r="I8706" i="79"/>
  <c r="A8705" i="80" s="1"/>
  <c r="I8666" i="79"/>
  <c r="A8665" i="80" s="1"/>
  <c r="I8711" i="79"/>
  <c r="A8710" i="80" s="1"/>
  <c r="I8751" i="79"/>
  <c r="A8750" i="80" s="1"/>
  <c r="I8646" i="79"/>
  <c r="A8645" i="80" s="1"/>
  <c r="I8686" i="79"/>
  <c r="A8685" i="80" s="1"/>
  <c r="I8721" i="79"/>
  <c r="A8720" i="80" s="1"/>
  <c r="I8726" i="79"/>
  <c r="A8725" i="80" s="1"/>
  <c r="I8771" i="79"/>
  <c r="A8770" i="80" s="1"/>
  <c r="I8716" i="79"/>
  <c r="A8715" i="80" s="1"/>
  <c r="I8781" i="79"/>
  <c r="A8780" i="80" s="1"/>
  <c r="I8776" i="79"/>
  <c r="A8775" i="80" s="1"/>
  <c r="I8741" i="79"/>
  <c r="A8740" i="80" s="1"/>
  <c r="I8756" i="79"/>
  <c r="A8755" i="80" s="1"/>
  <c r="I8761" i="79"/>
  <c r="A8760" i="80" s="1"/>
  <c r="I8801" i="79"/>
  <c r="A8800" i="80" s="1"/>
  <c r="I8736" i="79"/>
  <c r="A8735" i="80" s="1"/>
  <c r="I8696" i="79"/>
  <c r="A8695" i="80" s="1"/>
  <c r="I8766" i="79"/>
  <c r="A8765" i="80" s="1"/>
  <c r="I8851" i="79"/>
  <c r="A8850" i="80" s="1"/>
  <c r="I8791" i="79"/>
  <c r="A8790" i="80" s="1"/>
  <c r="I8786" i="79"/>
  <c r="A8785" i="80" s="1"/>
  <c r="I8821" i="79"/>
  <c r="A8820" i="80" s="1"/>
  <c r="I8806" i="79"/>
  <c r="A8805" i="80" s="1"/>
  <c r="I8746" i="79"/>
  <c r="A8745" i="80" s="1"/>
  <c r="I8831" i="79"/>
  <c r="A8830" i="80" s="1"/>
  <c r="I8811" i="79"/>
  <c r="A8810" i="80" s="1"/>
  <c r="I8826" i="79"/>
  <c r="A8825" i="80" s="1"/>
  <c r="I8836" i="79"/>
  <c r="A8835" i="80" s="1"/>
  <c r="I8901" i="79"/>
  <c r="A8900" i="80" s="1"/>
  <c r="I8816" i="79"/>
  <c r="A8815" i="80" s="1"/>
  <c r="I8881" i="79"/>
  <c r="A8880" i="80" s="1"/>
  <c r="I8861" i="79"/>
  <c r="A8860" i="80" s="1"/>
  <c r="I8871" i="79"/>
  <c r="A8870" i="80" s="1"/>
  <c r="I8841" i="79"/>
  <c r="A8840" i="80" s="1"/>
  <c r="I8796" i="79"/>
  <c r="A8795" i="80" s="1"/>
  <c r="I8856" i="79"/>
  <c r="A8855" i="80" s="1"/>
  <c r="I8876" i="79"/>
  <c r="A8875" i="80" s="1"/>
  <c r="I8951" i="79"/>
  <c r="A8950" i="80" s="1"/>
  <c r="I8846" i="79"/>
  <c r="A8845" i="80" s="1"/>
  <c r="I8931" i="79"/>
  <c r="A8930" i="80" s="1"/>
  <c r="I8866" i="79"/>
  <c r="A8865" i="80" s="1"/>
  <c r="I8886" i="79"/>
  <c r="A8885" i="80" s="1"/>
  <c r="I8926" i="79"/>
  <c r="A8925" i="80" s="1"/>
  <c r="I8891" i="79"/>
  <c r="A8890" i="80" s="1"/>
  <c r="I8921" i="79"/>
  <c r="A8920" i="80" s="1"/>
  <c r="I8906" i="79"/>
  <c r="A8905" i="80" s="1"/>
  <c r="I8911" i="79"/>
  <c r="A8910" i="80" s="1"/>
  <c r="I8956" i="79"/>
  <c r="A8955" i="80" s="1"/>
  <c r="I8941" i="79"/>
  <c r="A8940" i="80" s="1"/>
  <c r="I8916" i="79"/>
  <c r="A8915" i="80" s="1"/>
  <c r="I8896" i="79"/>
  <c r="A8895" i="80" s="1"/>
  <c r="I9001" i="79"/>
  <c r="A9000" i="80" s="1"/>
  <c r="I8971" i="79"/>
  <c r="A8970" i="80" s="1"/>
  <c r="I8976" i="79"/>
  <c r="A8975" i="80" s="1"/>
  <c r="I8936" i="79"/>
  <c r="A8935" i="80" s="1"/>
  <c r="I8981" i="79"/>
  <c r="A8980" i="80" s="1"/>
  <c r="I8961" i="79"/>
  <c r="A8960" i="80" s="1"/>
  <c r="I9051" i="79"/>
  <c r="A9050" i="80" s="1"/>
  <c r="I8986" i="79"/>
  <c r="A8985" i="80" s="1"/>
  <c r="I8966" i="79"/>
  <c r="A8965" i="80" s="1"/>
  <c r="I9006" i="79"/>
  <c r="A9005" i="80" s="1"/>
  <c r="I9011" i="79"/>
  <c r="A9010" i="80" s="1"/>
  <c r="I9021" i="79"/>
  <c r="A9020" i="80" s="1"/>
  <c r="I9031" i="79"/>
  <c r="A9030" i="80" s="1"/>
  <c r="I9026" i="79"/>
  <c r="A9025" i="80" s="1"/>
  <c r="I8946" i="79"/>
  <c r="A8945" i="80" s="1"/>
  <c r="I8991" i="79"/>
  <c r="A8990" i="80" s="1"/>
  <c r="I9081" i="79"/>
  <c r="A9080" i="80" s="1"/>
  <c r="I9101" i="79"/>
  <c r="A9100" i="80" s="1"/>
  <c r="I9041" i="79"/>
  <c r="A9040" i="80" s="1"/>
  <c r="I9076" i="79"/>
  <c r="A9075" i="80" s="1"/>
  <c r="I9071" i="79"/>
  <c r="A9070" i="80" s="1"/>
  <c r="I9061" i="79"/>
  <c r="A9060" i="80" s="1"/>
  <c r="I9056" i="79"/>
  <c r="A9055" i="80" s="1"/>
  <c r="I9016" i="79"/>
  <c r="A9015" i="80" s="1"/>
  <c r="I8996" i="79"/>
  <c r="A8995" i="80" s="1"/>
  <c r="I9036" i="79"/>
  <c r="A9035" i="80" s="1"/>
  <c r="I9111" i="79"/>
  <c r="A9110" i="80" s="1"/>
  <c r="I9121" i="79"/>
  <c r="A9120" i="80" s="1"/>
  <c r="I9091" i="79"/>
  <c r="A9090" i="80" s="1"/>
  <c r="I9151" i="79"/>
  <c r="A9150" i="80" s="1"/>
  <c r="I9046" i="79"/>
  <c r="A9045" i="80" s="1"/>
  <c r="I9106" i="79"/>
  <c r="A9105" i="80" s="1"/>
  <c r="I9126" i="79"/>
  <c r="A9125" i="80" s="1"/>
  <c r="I9086" i="79"/>
  <c r="A9085" i="80" s="1"/>
  <c r="I9131" i="79"/>
  <c r="A9130" i="80" s="1"/>
  <c r="I9066" i="79"/>
  <c r="A9065" i="80" s="1"/>
  <c r="I9136" i="79"/>
  <c r="A9135" i="80" s="1"/>
  <c r="I9156" i="79"/>
  <c r="A9155" i="80" s="1"/>
  <c r="I9141" i="79"/>
  <c r="A9140" i="80" s="1"/>
  <c r="I9116" i="79"/>
  <c r="A9115" i="80" s="1"/>
  <c r="I9181" i="79"/>
  <c r="A9180" i="80" s="1"/>
  <c r="I9176" i="79"/>
  <c r="A9175" i="80" s="1"/>
  <c r="I9096" i="79"/>
  <c r="A9095" i="80" s="1"/>
  <c r="I9171" i="79"/>
  <c r="A9170" i="80" s="1"/>
  <c r="I9201" i="79"/>
  <c r="A9200" i="80" s="1"/>
  <c r="I9161" i="79"/>
  <c r="A9160" i="80" s="1"/>
  <c r="I9166" i="79"/>
  <c r="A9165" i="80" s="1"/>
  <c r="I9251" i="79"/>
  <c r="A9250" i="80" s="1"/>
  <c r="I9146" i="79"/>
  <c r="A9145" i="80" s="1"/>
  <c r="I9231" i="79"/>
  <c r="A9230" i="80" s="1"/>
  <c r="I9206" i="79"/>
  <c r="A9205" i="80" s="1"/>
  <c r="I9186" i="79"/>
  <c r="A9185" i="80" s="1"/>
  <c r="I9211" i="79"/>
  <c r="A9210" i="80" s="1"/>
  <c r="I9221" i="79"/>
  <c r="A9220" i="80" s="1"/>
  <c r="I9226" i="79"/>
  <c r="A9225" i="80" s="1"/>
  <c r="I9191" i="79"/>
  <c r="A9190" i="80" s="1"/>
  <c r="I9276" i="79"/>
  <c r="A9275" i="80" s="1"/>
  <c r="I9256" i="79"/>
  <c r="A9255" i="80" s="1"/>
  <c r="I9301" i="79"/>
  <c r="A9300" i="80" s="1"/>
  <c r="I9216" i="79"/>
  <c r="A9215" i="80" s="1"/>
  <c r="I9241" i="79"/>
  <c r="A9240" i="80" s="1"/>
  <c r="I9271" i="79"/>
  <c r="A9270" i="80" s="1"/>
  <c r="I9236" i="79"/>
  <c r="A9235" i="80" s="1"/>
  <c r="I9196" i="79"/>
  <c r="A9195" i="80" s="1"/>
  <c r="I9261" i="79"/>
  <c r="A9260" i="80" s="1"/>
  <c r="I9281" i="79"/>
  <c r="A9280" i="80" s="1"/>
  <c r="I9326" i="79"/>
  <c r="A9325" i="80" s="1"/>
  <c r="I9311" i="79"/>
  <c r="A9310" i="80" s="1"/>
  <c r="I9286" i="79"/>
  <c r="A9285" i="80" s="1"/>
  <c r="I9291" i="79"/>
  <c r="A9290" i="80" s="1"/>
  <c r="I9266" i="79"/>
  <c r="A9265" i="80" s="1"/>
  <c r="I9306" i="79"/>
  <c r="A9305" i="80" s="1"/>
  <c r="I9331" i="79"/>
  <c r="A9330" i="80" s="1"/>
  <c r="I9246" i="79"/>
  <c r="A9245" i="80" s="1"/>
  <c r="I9321" i="79"/>
  <c r="A9320" i="80" s="1"/>
  <c r="I9351" i="79"/>
  <c r="A9350" i="80" s="1"/>
  <c r="I9296" i="79"/>
  <c r="A9295" i="80" s="1"/>
  <c r="I9371" i="79"/>
  <c r="A9370" i="80" s="1"/>
  <c r="I9381" i="79"/>
  <c r="A9380" i="80" s="1"/>
  <c r="I9316" i="79"/>
  <c r="A9315" i="80" s="1"/>
  <c r="I9336" i="79"/>
  <c r="A9335" i="80" s="1"/>
  <c r="I9356" i="79"/>
  <c r="A9355" i="80" s="1"/>
  <c r="I9341" i="79"/>
  <c r="A9340" i="80" s="1"/>
  <c r="I9361" i="79"/>
  <c r="A9360" i="80" s="1"/>
  <c r="I9376" i="79"/>
  <c r="A9375" i="80" s="1"/>
  <c r="I9401" i="79"/>
  <c r="A9400" i="80" s="1"/>
  <c r="I9346" i="79"/>
  <c r="A9345" i="80" s="1"/>
  <c r="I9366" i="79"/>
  <c r="A9365" i="80" s="1"/>
  <c r="I9451" i="79"/>
  <c r="A9450" i="80" s="1"/>
  <c r="I9426" i="79"/>
  <c r="A9425" i="80" s="1"/>
  <c r="I9391" i="79"/>
  <c r="A9390" i="80" s="1"/>
  <c r="I9421" i="79"/>
  <c r="A9420" i="80" s="1"/>
  <c r="I9411" i="79"/>
  <c r="A9410" i="80" s="1"/>
  <c r="I9406" i="79"/>
  <c r="A9405" i="80" s="1"/>
  <c r="I9386" i="79"/>
  <c r="A9385" i="80" s="1"/>
  <c r="I9431" i="79"/>
  <c r="A9430" i="80" s="1"/>
  <c r="I9461" i="79"/>
  <c r="A9460" i="80" s="1"/>
  <c r="I9441" i="79"/>
  <c r="A9440" i="80" s="1"/>
  <c r="I9501" i="79"/>
  <c r="A9500" i="80" s="1"/>
  <c r="I9481" i="79"/>
  <c r="A9480" i="80" s="1"/>
  <c r="I9456" i="79"/>
  <c r="A9455" i="80" s="1"/>
  <c r="I9471" i="79"/>
  <c r="A9470" i="80" s="1"/>
  <c r="I9476" i="79"/>
  <c r="A9475" i="80" s="1"/>
  <c r="I9436" i="79"/>
  <c r="A9435" i="80" s="1"/>
  <c r="I9416" i="79"/>
  <c r="A9415" i="80" s="1"/>
  <c r="I9396" i="79"/>
  <c r="A9395" i="80" s="1"/>
  <c r="I9466" i="79"/>
  <c r="A9465" i="80" s="1"/>
  <c r="I9551" i="79"/>
  <c r="A9550" i="80" s="1"/>
  <c r="I9526" i="79"/>
  <c r="A9525" i="80" s="1"/>
  <c r="I9511" i="79"/>
  <c r="A9510" i="80" s="1"/>
  <c r="I9531" i="79"/>
  <c r="A9530" i="80" s="1"/>
  <c r="I9486" i="79"/>
  <c r="A9485" i="80" s="1"/>
  <c r="I9521" i="79"/>
  <c r="A9520" i="80" s="1"/>
  <c r="I9491" i="79"/>
  <c r="A9490" i="80" s="1"/>
  <c r="I9506" i="79"/>
  <c r="A9505" i="80" s="1"/>
  <c r="I9446" i="79"/>
  <c r="A9445" i="80" s="1"/>
  <c r="I9581" i="79"/>
  <c r="A9580" i="80" s="1"/>
  <c r="I9561" i="79"/>
  <c r="A9560" i="80" s="1"/>
  <c r="I9541" i="79"/>
  <c r="A9540" i="80" s="1"/>
  <c r="I9601" i="79"/>
  <c r="A9600" i="80" s="1"/>
  <c r="I9516" i="79"/>
  <c r="A9515" i="80" s="1"/>
  <c r="I9496" i="79"/>
  <c r="A9495" i="80" s="1"/>
  <c r="I9576" i="79"/>
  <c r="A9575" i="80" s="1"/>
  <c r="I9571" i="79"/>
  <c r="A9570" i="80" s="1"/>
  <c r="I9536" i="79"/>
  <c r="A9535" i="80" s="1"/>
  <c r="I9556" i="79"/>
  <c r="A9555" i="80" s="1"/>
  <c r="I9606" i="79"/>
  <c r="A9605" i="80" s="1"/>
  <c r="I9586" i="79"/>
  <c r="A9585" i="80" s="1"/>
  <c r="I9546" i="79"/>
  <c r="A9545" i="80" s="1"/>
  <c r="I9651" i="79"/>
  <c r="A9650" i="80" s="1"/>
  <c r="I9611" i="79"/>
  <c r="A9610" i="80" s="1"/>
  <c r="I9626" i="79"/>
  <c r="A9625" i="80" s="1"/>
  <c r="I9566" i="79"/>
  <c r="A9565" i="80" s="1"/>
  <c r="I9591" i="79"/>
  <c r="A9590" i="80" s="1"/>
  <c r="I9631" i="79"/>
  <c r="A9630" i="80" s="1"/>
  <c r="I9621" i="79"/>
  <c r="A9620" i="80" s="1"/>
  <c r="I9616" i="79"/>
  <c r="A9615" i="80" s="1"/>
  <c r="I9661" i="79"/>
  <c r="A9660" i="80" s="1"/>
  <c r="I9656" i="79"/>
  <c r="A9655" i="80" s="1"/>
  <c r="I9671" i="79"/>
  <c r="A9670" i="80" s="1"/>
  <c r="I9641" i="79"/>
  <c r="A9640" i="80" s="1"/>
  <c r="I9701" i="79"/>
  <c r="A9700" i="80" s="1"/>
  <c r="I9636" i="79"/>
  <c r="A9635" i="80" s="1"/>
  <c r="I9681" i="79"/>
  <c r="A9680" i="80" s="1"/>
  <c r="I9676" i="79"/>
  <c r="A9675" i="80" s="1"/>
  <c r="I9596" i="79"/>
  <c r="A9595" i="80" s="1"/>
  <c r="I9731" i="79"/>
  <c r="A9730" i="80" s="1"/>
  <c r="I9721" i="79"/>
  <c r="A9720" i="80" s="1"/>
  <c r="I9706" i="79"/>
  <c r="A9705" i="80" s="1"/>
  <c r="I9646" i="79"/>
  <c r="A9645" i="80" s="1"/>
  <c r="I9726" i="79"/>
  <c r="A9725" i="80" s="1"/>
  <c r="I9686" i="79"/>
  <c r="A9685" i="80" s="1"/>
  <c r="I9691" i="79"/>
  <c r="A9690" i="80" s="1"/>
  <c r="I9711" i="79"/>
  <c r="A9710" i="80" s="1"/>
  <c r="I9751" i="79"/>
  <c r="A9750" i="80" s="1"/>
  <c r="I9666" i="79"/>
  <c r="A9665" i="80" s="1"/>
  <c r="I9716" i="79"/>
  <c r="A9715" i="80" s="1"/>
  <c r="I9736" i="79"/>
  <c r="A9735" i="80" s="1"/>
  <c r="I9696" i="79"/>
  <c r="A9695" i="80" s="1"/>
  <c r="I9756" i="79"/>
  <c r="A9755" i="80" s="1"/>
  <c r="I9741" i="79"/>
  <c r="A9740" i="80" s="1"/>
  <c r="I9776" i="79"/>
  <c r="A9775" i="80" s="1"/>
  <c r="I9771" i="79"/>
  <c r="A9770" i="80" s="1"/>
  <c r="I9761" i="79"/>
  <c r="A9760" i="80" s="1"/>
  <c r="I9781" i="79"/>
  <c r="A9780" i="80" s="1"/>
  <c r="I9801" i="79"/>
  <c r="A9800" i="80" s="1"/>
  <c r="I9746" i="79"/>
  <c r="A9745" i="80" s="1"/>
  <c r="I9786" i="79"/>
  <c r="A9785" i="80" s="1"/>
  <c r="I9766" i="79"/>
  <c r="A9765" i="80" s="1"/>
  <c r="I9791" i="79"/>
  <c r="A9790" i="80" s="1"/>
  <c r="I9851" i="79"/>
  <c r="A9850" i="80" s="1"/>
  <c r="I9821" i="79"/>
  <c r="A9820" i="80" s="1"/>
  <c r="I9831" i="79"/>
  <c r="A9830" i="80" s="1"/>
  <c r="I9826" i="79"/>
  <c r="A9825" i="80" s="1"/>
  <c r="I9806" i="79"/>
  <c r="A9805" i="80" s="1"/>
  <c r="I9811" i="79"/>
  <c r="A9810" i="80" s="1"/>
  <c r="I9901" i="79"/>
  <c r="A9900" i="80" s="1"/>
  <c r="I9841" i="79"/>
  <c r="A9840" i="80" s="1"/>
  <c r="I9876" i="79"/>
  <c r="A9875" i="80" s="1"/>
  <c r="I9881" i="79"/>
  <c r="A9880" i="80" s="1"/>
  <c r="I9871" i="79"/>
  <c r="A9870" i="80" s="1"/>
  <c r="I9816" i="79"/>
  <c r="A9815" i="80" s="1"/>
  <c r="I9796" i="79"/>
  <c r="A9795" i="80" s="1"/>
  <c r="I9861" i="79"/>
  <c r="A9860" i="80" s="1"/>
  <c r="I9856" i="79"/>
  <c r="A9855" i="80" s="1"/>
  <c r="I9836" i="79"/>
  <c r="A9835" i="80" s="1"/>
  <c r="I9911" i="79"/>
  <c r="A9910" i="80" s="1"/>
  <c r="I9951" i="79"/>
  <c r="A9950" i="80" s="1"/>
  <c r="I9921" i="79"/>
  <c r="A9920" i="80" s="1"/>
  <c r="I9891" i="79"/>
  <c r="A9890" i="80" s="1"/>
  <c r="I9906" i="79"/>
  <c r="A9905" i="80" s="1"/>
  <c r="I9926" i="79"/>
  <c r="A9925" i="80" s="1"/>
  <c r="I9886" i="79"/>
  <c r="A9885" i="80" s="1"/>
  <c r="I9866" i="79"/>
  <c r="A9865" i="80" s="1"/>
  <c r="I9931" i="79"/>
  <c r="A9930" i="80" s="1"/>
  <c r="I9846" i="79"/>
  <c r="A9845" i="80" s="1"/>
  <c r="I9956" i="79"/>
  <c r="A9955" i="80" s="1"/>
  <c r="I9981" i="79"/>
  <c r="A9980" i="80" s="1"/>
  <c r="I9971" i="79"/>
  <c r="A9970" i="80" s="1"/>
  <c r="I9961" i="79"/>
  <c r="A9960" i="80" s="1"/>
  <c r="I9916" i="79"/>
  <c r="A9915" i="80" s="1"/>
  <c r="I9896" i="79"/>
  <c r="A9895" i="80" s="1"/>
  <c r="I9936" i="79"/>
  <c r="A9935" i="80" s="1"/>
  <c r="I9941" i="79"/>
  <c r="A9940" i="80" s="1"/>
  <c r="I10001" i="79"/>
  <c r="A10000" i="80" s="1"/>
  <c r="I9976" i="79"/>
  <c r="A9975" i="80" s="1"/>
  <c r="I10051" i="79"/>
  <c r="A10050" i="80" s="1"/>
  <c r="I9991" i="79"/>
  <c r="A9990" i="80" s="1"/>
  <c r="I9986" i="79"/>
  <c r="A9985" i="80" s="1"/>
  <c r="I9946" i="79"/>
  <c r="A9945" i="80" s="1"/>
  <c r="I9966" i="79"/>
  <c r="A9965" i="80" s="1"/>
  <c r="I10031" i="79"/>
  <c r="A10030" i="80" s="1"/>
  <c r="I10026" i="79"/>
  <c r="A10025" i="80" s="1"/>
  <c r="I10011" i="79"/>
  <c r="A10010" i="80" s="1"/>
  <c r="I10006" i="79"/>
  <c r="A10005" i="80" s="1"/>
  <c r="I10021" i="79"/>
  <c r="A10020" i="80" s="1"/>
  <c r="I10081" i="79"/>
  <c r="A10080" i="80" s="1"/>
  <c r="I10061" i="79"/>
  <c r="A10060" i="80" s="1"/>
  <c r="I10076" i="79"/>
  <c r="A10075" i="80" s="1"/>
  <c r="I10071" i="79"/>
  <c r="A10070" i="80" s="1"/>
  <c r="I10016" i="79"/>
  <c r="A10015" i="80" s="1"/>
  <c r="I10036" i="79"/>
  <c r="A10035" i="80" s="1"/>
  <c r="I10101" i="79"/>
  <c r="A10100" i="80" s="1"/>
  <c r="I9996" i="79"/>
  <c r="A9995" i="80" s="1"/>
  <c r="I10041" i="79"/>
  <c r="A10040" i="80" s="1"/>
  <c r="I10056" i="79"/>
  <c r="A10055" i="80" s="1"/>
  <c r="I10066" i="79"/>
  <c r="A10065" i="80" s="1"/>
  <c r="I10121" i="79"/>
  <c r="A10120" i="80" s="1"/>
  <c r="I10131" i="79"/>
  <c r="A10130" i="80" s="1"/>
  <c r="I10151" i="79"/>
  <c r="A10150" i="80" s="1"/>
  <c r="I10086" i="79"/>
  <c r="A10085" i="80" s="1"/>
  <c r="I10126" i="79"/>
  <c r="A10125" i="80" s="1"/>
  <c r="I10111" i="79"/>
  <c r="A10110" i="80" s="1"/>
  <c r="I10091" i="79"/>
  <c r="A10090" i="80" s="1"/>
  <c r="I10046" i="79"/>
  <c r="A10045" i="80" s="1"/>
  <c r="I10106" i="79"/>
  <c r="A10105" i="80" s="1"/>
  <c r="I10156" i="79"/>
  <c r="A10155" i="80" s="1"/>
  <c r="I10201" i="79"/>
  <c r="A10200" i="80" s="1"/>
  <c r="I10161" i="79"/>
  <c r="A10160" i="80" s="1"/>
  <c r="I10176" i="79"/>
  <c r="A10175" i="80" s="1"/>
  <c r="I10136" i="79"/>
  <c r="A10135" i="80" s="1"/>
  <c r="I10181" i="79"/>
  <c r="A10180" i="80" s="1"/>
  <c r="I10116" i="79"/>
  <c r="A10115" i="80" s="1"/>
  <c r="I10171" i="79"/>
  <c r="A10170" i="80" s="1"/>
  <c r="I10096" i="79"/>
  <c r="A10095" i="80" s="1"/>
  <c r="I10141" i="79"/>
  <c r="A10140" i="80" s="1"/>
  <c r="I10191" i="79"/>
  <c r="A10190" i="80" s="1"/>
  <c r="I10221" i="79"/>
  <c r="A10220" i="80" s="1"/>
  <c r="I10206" i="79"/>
  <c r="A10205" i="80" s="1"/>
  <c r="I10146" i="79"/>
  <c r="A10145" i="80" s="1"/>
  <c r="I10166" i="79"/>
  <c r="A10165" i="80" s="1"/>
  <c r="I10231" i="79"/>
  <c r="A10230" i="80" s="1"/>
  <c r="I10226" i="79"/>
  <c r="A10225" i="80" s="1"/>
  <c r="I10251" i="79"/>
  <c r="A10250" i="80" s="1"/>
  <c r="I10186" i="79"/>
  <c r="A10185" i="80" s="1"/>
  <c r="I10211" i="79"/>
  <c r="A10210" i="80" s="1"/>
  <c r="I10256" i="79"/>
  <c r="A10255" i="80" s="1"/>
  <c r="I10241" i="79"/>
  <c r="A10240" i="80" s="1"/>
  <c r="I10301" i="79"/>
  <c r="A10300" i="80" s="1"/>
  <c r="I10276" i="79"/>
  <c r="A10275" i="80" s="1"/>
  <c r="I10216" i="79"/>
  <c r="A10215" i="80" s="1"/>
  <c r="I10271" i="79"/>
  <c r="A10270" i="80" s="1"/>
  <c r="I10236" i="79"/>
  <c r="A10235" i="80" s="1"/>
  <c r="I10261" i="79"/>
  <c r="A10260" i="80" s="1"/>
  <c r="I10281" i="79"/>
  <c r="A10280" i="80" s="1"/>
  <c r="I10196" i="79"/>
  <c r="A10195" i="80" s="1"/>
  <c r="I10331" i="79"/>
  <c r="A10330" i="80" s="1"/>
  <c r="I10311" i="79"/>
  <c r="A10310" i="80" s="1"/>
  <c r="I10266" i="79"/>
  <c r="A10265" i="80" s="1"/>
  <c r="I10291" i="79"/>
  <c r="A10290" i="80" s="1"/>
  <c r="I10321" i="79"/>
  <c r="A10320" i="80" s="1"/>
  <c r="I10326" i="79"/>
  <c r="A10325" i="80" s="1"/>
  <c r="I10306" i="79"/>
  <c r="A10305" i="80" s="1"/>
  <c r="I10246" i="79"/>
  <c r="A10245" i="80" s="1"/>
  <c r="I10351" i="79"/>
  <c r="A10350" i="80" s="1"/>
  <c r="I10286" i="79"/>
  <c r="A10285" i="80" s="1"/>
  <c r="I10296" i="79"/>
  <c r="A10295" i="80" s="1"/>
  <c r="I10376" i="79"/>
  <c r="A10375" i="80" s="1"/>
  <c r="I10381" i="79"/>
  <c r="A10380" i="80" s="1"/>
  <c r="I10336" i="79"/>
  <c r="A10335" i="80" s="1"/>
  <c r="I10356" i="79"/>
  <c r="A10355" i="80" s="1"/>
  <c r="I10371" i="79"/>
  <c r="A10370" i="80" s="1"/>
  <c r="I10316" i="79"/>
  <c r="A10315" i="80" s="1"/>
  <c r="I10341" i="79"/>
  <c r="A10340" i="80" s="1"/>
  <c r="I10401" i="79"/>
  <c r="A10400" i="80" s="1"/>
  <c r="I10361" i="79"/>
  <c r="A10360" i="80" s="1"/>
  <c r="I10366" i="79"/>
  <c r="A10365" i="80" s="1"/>
  <c r="I10451" i="79"/>
  <c r="A10450" i="80" s="1"/>
  <c r="I10386" i="79"/>
  <c r="A10385" i="80" s="1"/>
  <c r="I10431" i="79"/>
  <c r="A10430" i="80" s="1"/>
  <c r="I10426" i="79"/>
  <c r="A10425" i="80" s="1"/>
  <c r="I10346" i="79"/>
  <c r="A10345" i="80" s="1"/>
  <c r="I10391" i="79"/>
  <c r="A10390" i="80" s="1"/>
  <c r="I10406" i="79"/>
  <c r="A10405" i="80" s="1"/>
  <c r="I10421" i="79"/>
  <c r="A10420" i="80" s="1"/>
  <c r="I10411" i="79"/>
  <c r="A10410" i="80" s="1"/>
  <c r="I10456" i="79"/>
  <c r="A10455" i="80" s="1"/>
  <c r="I10441" i="79"/>
  <c r="A10440" i="80" s="1"/>
  <c r="I10476" i="79"/>
  <c r="A10475" i="80" s="1"/>
  <c r="I10436" i="79"/>
  <c r="A10435" i="80" s="1"/>
  <c r="I10501" i="79"/>
  <c r="A10500" i="80" s="1"/>
  <c r="I10416" i="79"/>
  <c r="A10415" i="80" s="1"/>
  <c r="I10471" i="79"/>
  <c r="A10470" i="80" s="1"/>
  <c r="I10396" i="79"/>
  <c r="A10395" i="80" s="1"/>
  <c r="I10481" i="79"/>
  <c r="A10480" i="80" s="1"/>
  <c r="I10461" i="79"/>
  <c r="A10460" i="80" s="1"/>
  <c r="I10466" i="79"/>
  <c r="A10465" i="80" s="1"/>
  <c r="I10521" i="79"/>
  <c r="A10520" i="80" s="1"/>
  <c r="I10551" i="79"/>
  <c r="A10550" i="80" s="1"/>
  <c r="I10526" i="79"/>
  <c r="A10525" i="80" s="1"/>
  <c r="I10506" i="79"/>
  <c r="A10505" i="80" s="1"/>
  <c r="I10446" i="79"/>
  <c r="A10445" i="80" s="1"/>
  <c r="I10531" i="79"/>
  <c r="A10530" i="80" s="1"/>
  <c r="I10486" i="79"/>
  <c r="A10485" i="80" s="1"/>
  <c r="I10491" i="79"/>
  <c r="A10490" i="80" s="1"/>
  <c r="I10511" i="79"/>
  <c r="A10510" i="80" s="1"/>
  <c r="I10536" i="79"/>
  <c r="A10535" i="80" s="1"/>
  <c r="I10576" i="79"/>
  <c r="A10575" i="80" s="1"/>
  <c r="I10571" i="79"/>
  <c r="A10570" i="80" s="1"/>
  <c r="I10561" i="79"/>
  <c r="A10560" i="80" s="1"/>
  <c r="I10541" i="79"/>
  <c r="A10540" i="80" s="1"/>
  <c r="I10556" i="79"/>
  <c r="A10555" i="80" s="1"/>
  <c r="I10601" i="79"/>
  <c r="A10600" i="80" s="1"/>
  <c r="I10581" i="79"/>
  <c r="A10580" i="80" s="1"/>
  <c r="I10496" i="79"/>
  <c r="A10495" i="80" s="1"/>
  <c r="I10516" i="79"/>
  <c r="A10515" i="80" s="1"/>
  <c r="I10621" i="79"/>
  <c r="A10620" i="80" s="1"/>
  <c r="I10566" i="79"/>
  <c r="A10565" i="80" s="1"/>
  <c r="I10631" i="79"/>
  <c r="A10630" i="80" s="1"/>
  <c r="I10651" i="79"/>
  <c r="A10650" i="80" s="1"/>
  <c r="I10611" i="79"/>
  <c r="A10610" i="80" s="1"/>
  <c r="I10586" i="79"/>
  <c r="A10585" i="80" s="1"/>
  <c r="I10546" i="79"/>
  <c r="A10545" i="80" s="1"/>
  <c r="I10591" i="79"/>
  <c r="A10590" i="80" s="1"/>
  <c r="I10626" i="79"/>
  <c r="A10625" i="80" s="1"/>
  <c r="I10606" i="79"/>
  <c r="A10605" i="80" s="1"/>
  <c r="I10661" i="79"/>
  <c r="A10660" i="80" s="1"/>
  <c r="I10701" i="79"/>
  <c r="A10700" i="80" s="1"/>
  <c r="I10596" i="79"/>
  <c r="A10595" i="80" s="1"/>
  <c r="I10641" i="79"/>
  <c r="A10640" i="80" s="1"/>
  <c r="I10681" i="79"/>
  <c r="A10680" i="80" s="1"/>
  <c r="I10616" i="79"/>
  <c r="A10615" i="80" s="1"/>
  <c r="I10671" i="79"/>
  <c r="A10670" i="80" s="1"/>
  <c r="I10676" i="79"/>
  <c r="A10675" i="80" s="1"/>
  <c r="I10636" i="79"/>
  <c r="A10635" i="80" s="1"/>
  <c r="I10656" i="79"/>
  <c r="A10655" i="80" s="1"/>
  <c r="I10726" i="79"/>
  <c r="A10725" i="80" s="1"/>
  <c r="I10666" i="79"/>
  <c r="A10665" i="80" s="1"/>
  <c r="I10751" i="79"/>
  <c r="A10750" i="80" s="1"/>
  <c r="I10721" i="79"/>
  <c r="A10720" i="80" s="1"/>
  <c r="I10646" i="79"/>
  <c r="A10645" i="80" s="1"/>
  <c r="I10706" i="79"/>
  <c r="A10705" i="80" s="1"/>
  <c r="I10711" i="79"/>
  <c r="A10710" i="80" s="1"/>
  <c r="I10731" i="79"/>
  <c r="A10730" i="80" s="1"/>
  <c r="I10686" i="79"/>
  <c r="A10685" i="80" s="1"/>
  <c r="I10691" i="79"/>
  <c r="A10690" i="80" s="1"/>
  <c r="I10741" i="79"/>
  <c r="A10740" i="80" s="1"/>
  <c r="I10736" i="79"/>
  <c r="A10735" i="80" s="1"/>
  <c r="I10696" i="79"/>
  <c r="A10695" i="80" s="1"/>
  <c r="I10716" i="79"/>
  <c r="A10715" i="80" s="1"/>
  <c r="I10756" i="79"/>
  <c r="A10755" i="80" s="1"/>
  <c r="I10761" i="79"/>
  <c r="A10760" i="80" s="1"/>
  <c r="I10771" i="79"/>
  <c r="A10770" i="80" s="1"/>
  <c r="I10781" i="79"/>
  <c r="A10780" i="80" s="1"/>
  <c r="I10776" i="79"/>
  <c r="A10775" i="80" s="1"/>
  <c r="I10801" i="79"/>
  <c r="A10800" i="80" s="1"/>
  <c r="I10821" i="79"/>
  <c r="A10820" i="80" s="1"/>
  <c r="I10826" i="79"/>
  <c r="A10825" i="80" s="1"/>
  <c r="I10811" i="79"/>
  <c r="A10810" i="80" s="1"/>
  <c r="I10766" i="79"/>
  <c r="A10765" i="80" s="1"/>
  <c r="I10791" i="79"/>
  <c r="A10790" i="80" s="1"/>
  <c r="I10831" i="79"/>
  <c r="A10830" i="80" s="1"/>
  <c r="I10746" i="79"/>
  <c r="A10745" i="80" s="1"/>
  <c r="I10786" i="79"/>
  <c r="A10785" i="80" s="1"/>
  <c r="I10806" i="79"/>
  <c r="A10805" i="80" s="1"/>
  <c r="I10851" i="79"/>
  <c r="A10850" i="80" s="1"/>
  <c r="I10871" i="79"/>
  <c r="A10870" i="80" s="1"/>
  <c r="I10881" i="79"/>
  <c r="A10880" i="80" s="1"/>
  <c r="I10841" i="79"/>
  <c r="A10840" i="80" s="1"/>
  <c r="I10816" i="79"/>
  <c r="A10815" i="80" s="1"/>
  <c r="I10901" i="79"/>
  <c r="A10900" i="80" s="1"/>
  <c r="I10856" i="79"/>
  <c r="A10855" i="80" s="1"/>
  <c r="I10836" i="79"/>
  <c r="A10835" i="80" s="1"/>
  <c r="I10796" i="79"/>
  <c r="A10795" i="80" s="1"/>
  <c r="I10876" i="79"/>
  <c r="A10875" i="80" s="1"/>
  <c r="I10861" i="79"/>
  <c r="A10860" i="80" s="1"/>
  <c r="I10906" i="79"/>
  <c r="A10905" i="80" s="1"/>
  <c r="I10846" i="79"/>
  <c r="A10845" i="80" s="1"/>
  <c r="I10886" i="79"/>
  <c r="A10885" i="80" s="1"/>
  <c r="I10926" i="79"/>
  <c r="A10925" i="80" s="1"/>
  <c r="I10866" i="79"/>
  <c r="A10865" i="80" s="1"/>
  <c r="I10891" i="79"/>
  <c r="A10890" i="80" s="1"/>
  <c r="I10921" i="79"/>
  <c r="A10920" i="80" s="1"/>
  <c r="I10911" i="79"/>
  <c r="A10910" i="80" s="1"/>
  <c r="I10931" i="79"/>
  <c r="A10930" i="80" s="1"/>
  <c r="I10951" i="79"/>
  <c r="A10950" i="80" s="1"/>
  <c r="I10981" i="79"/>
  <c r="A10980" i="80" s="1"/>
  <c r="I10971" i="79"/>
  <c r="A10970" i="80" s="1"/>
  <c r="I10936" i="79"/>
  <c r="A10935" i="80" s="1"/>
  <c r="I10896" i="79"/>
  <c r="A10895" i="80" s="1"/>
  <c r="I11001" i="79"/>
  <c r="A11000" i="80" s="1"/>
  <c r="I10961" i="79"/>
  <c r="A10960" i="80" s="1"/>
  <c r="I10956" i="79"/>
  <c r="A10955" i="80" s="1"/>
  <c r="I10916" i="79"/>
  <c r="A10915" i="80" s="1"/>
  <c r="I10941" i="79"/>
  <c r="A10940" i="80" s="1"/>
  <c r="I10976" i="79"/>
  <c r="A10975" i="80" s="1"/>
  <c r="I11011" i="79"/>
  <c r="A11010" i="80" s="1"/>
  <c r="I11021" i="79"/>
  <c r="A11020" i="80" s="1"/>
  <c r="I11006" i="79"/>
  <c r="A11005" i="80" s="1"/>
  <c r="I10986" i="79"/>
  <c r="A10985" i="80" s="1"/>
  <c r="I11031" i="79"/>
  <c r="A11030" i="80" s="1"/>
  <c r="I10991" i="79"/>
  <c r="A10990" i="80" s="1"/>
  <c r="I11026" i="79"/>
  <c r="A11025" i="80" s="1"/>
  <c r="I11051" i="79"/>
  <c r="A11050" i="80" s="1"/>
  <c r="I10946" i="79"/>
  <c r="A10945" i="80" s="1"/>
  <c r="I10966" i="79"/>
  <c r="A10965" i="80" s="1"/>
  <c r="I11016" i="79"/>
  <c r="A11015" i="80" s="1"/>
  <c r="I11076" i="79"/>
  <c r="A11075" i="80" s="1"/>
  <c r="I11081" i="79"/>
  <c r="A11080" i="80" s="1"/>
  <c r="I11056" i="79"/>
  <c r="A11055" i="80" s="1"/>
  <c r="I11071" i="79"/>
  <c r="A11070" i="80" s="1"/>
  <c r="I10996" i="79"/>
  <c r="A10995" i="80" s="1"/>
  <c r="I11101" i="79"/>
  <c r="A11100" i="80" s="1"/>
  <c r="I11061" i="79"/>
  <c r="A11060" i="80" s="1"/>
  <c r="I11041" i="79"/>
  <c r="A11040" i="80" s="1"/>
  <c r="I11036" i="79"/>
  <c r="A11035" i="80" s="1"/>
  <c r="I11111" i="79"/>
  <c r="A11110" i="80" s="1"/>
  <c r="I11066" i="79"/>
  <c r="A11065" i="80" s="1"/>
  <c r="I11126" i="79"/>
  <c r="A11125" i="80" s="1"/>
  <c r="I11151" i="79"/>
  <c r="A11150" i="80" s="1"/>
  <c r="I11091" i="79"/>
  <c r="A11090" i="80" s="1"/>
  <c r="I11121" i="79"/>
  <c r="A11120" i="80" s="1"/>
  <c r="I11046" i="79"/>
  <c r="A11045" i="80" s="1"/>
  <c r="I11106" i="79"/>
  <c r="A11105" i="80" s="1"/>
  <c r="I11086" i="79"/>
  <c r="A11085" i="80" s="1"/>
  <c r="I11131" i="79"/>
  <c r="A11130" i="80" s="1"/>
  <c r="I11116" i="79"/>
  <c r="A11115" i="80" s="1"/>
  <c r="I11156" i="79"/>
  <c r="A11155" i="80" s="1"/>
  <c r="I11136" i="79"/>
  <c r="A11135" i="80" s="1"/>
  <c r="I11176" i="79"/>
  <c r="A11175" i="80" s="1"/>
  <c r="I11161" i="79"/>
  <c r="A11160" i="80" s="1"/>
  <c r="I11181" i="79"/>
  <c r="A11180" i="80" s="1"/>
  <c r="I11201" i="79"/>
  <c r="A11200" i="80" s="1"/>
  <c r="I11096" i="79"/>
  <c r="A11095" i="80" s="1"/>
  <c r="I11171" i="79"/>
  <c r="A11170" i="80" s="1"/>
  <c r="I11141" i="79"/>
  <c r="A11140" i="80" s="1"/>
  <c r="I11231" i="79"/>
  <c r="A11230" i="80" s="1"/>
  <c r="I11186" i="79"/>
  <c r="A11185" i="80" s="1"/>
  <c r="I11226" i="79"/>
  <c r="A11225" i="80" s="1"/>
  <c r="I11191" i="79"/>
  <c r="A11190" i="80" s="1"/>
  <c r="I11146" i="79"/>
  <c r="A11145" i="80" s="1"/>
  <c r="I11206" i="79"/>
  <c r="A11205" i="80" s="1"/>
  <c r="I11166" i="79"/>
  <c r="A11165" i="80" s="1"/>
  <c r="I11251" i="79"/>
  <c r="A11250" i="80" s="1"/>
  <c r="I11221" i="79"/>
  <c r="A11220" i="80" s="1"/>
  <c r="I11211" i="79"/>
  <c r="A11210" i="80" s="1"/>
  <c r="I11271" i="79"/>
  <c r="A11270" i="80" s="1"/>
  <c r="I11216" i="79"/>
  <c r="A11215" i="80" s="1"/>
  <c r="I11241" i="79"/>
  <c r="A11240" i="80" s="1"/>
  <c r="I11276" i="79"/>
  <c r="A11275" i="80" s="1"/>
  <c r="I11281" i="79"/>
  <c r="A11280" i="80" s="1"/>
  <c r="I11301" i="79"/>
  <c r="A11300" i="80" s="1"/>
  <c r="I11256" i="79"/>
  <c r="A11255" i="80" s="1"/>
  <c r="I11196" i="79"/>
  <c r="A11195" i="80" s="1"/>
  <c r="I11236" i="79"/>
  <c r="A11235" i="80" s="1"/>
  <c r="I11261" i="79"/>
  <c r="A11260" i="80" s="1"/>
  <c r="I11306" i="79"/>
  <c r="A11305" i="80" s="1"/>
  <c r="I11351" i="79"/>
  <c r="A11350" i="80" s="1"/>
  <c r="I11326" i="79"/>
  <c r="A11325" i="80" s="1"/>
  <c r="I11321" i="79"/>
  <c r="A11320" i="80" s="1"/>
  <c r="I11311" i="79"/>
  <c r="A11310" i="80" s="1"/>
  <c r="I11291" i="79"/>
  <c r="A11290" i="80" s="1"/>
  <c r="I11266" i="79"/>
  <c r="A11265" i="80" s="1"/>
  <c r="I11286" i="79"/>
  <c r="A11285" i="80" s="1"/>
  <c r="I11246" i="79"/>
  <c r="A11245" i="80" s="1"/>
  <c r="I11331" i="79"/>
  <c r="A11330" i="80" s="1"/>
  <c r="I11341" i="79"/>
  <c r="A11340" i="80" s="1"/>
  <c r="I11296" i="79"/>
  <c r="A11295" i="80" s="1"/>
  <c r="I11381" i="79"/>
  <c r="A11380" i="80" s="1"/>
  <c r="I11401" i="79"/>
  <c r="A11400" i="80" s="1"/>
  <c r="I11336" i="79"/>
  <c r="A11335" i="80" s="1"/>
  <c r="I11361" i="79"/>
  <c r="A11360" i="80" s="1"/>
  <c r="I11356" i="79"/>
  <c r="A11355" i="80" s="1"/>
  <c r="I11316" i="79"/>
  <c r="A11315" i="80" s="1"/>
  <c r="I11371" i="79"/>
  <c r="A11370" i="80" s="1"/>
  <c r="I11376" i="79"/>
  <c r="A11375" i="80" s="1"/>
  <c r="I11386" i="79"/>
  <c r="A11385" i="80" s="1"/>
  <c r="I11451" i="79"/>
  <c r="A11450" i="80" s="1"/>
  <c r="I11426" i="79"/>
  <c r="A11425" i="80" s="1"/>
  <c r="I11411" i="79"/>
  <c r="A11410" i="80" s="1"/>
  <c r="I11431" i="79"/>
  <c r="A11430" i="80" s="1"/>
  <c r="I11391" i="79"/>
  <c r="A11390" i="80" s="1"/>
  <c r="I11421" i="79"/>
  <c r="A11420" i="80" s="1"/>
  <c r="I11346" i="79"/>
  <c r="A11345" i="80" s="1"/>
  <c r="I11406" i="79"/>
  <c r="A11405" i="80" s="1"/>
  <c r="I11366" i="79"/>
  <c r="A11365" i="80" s="1"/>
  <c r="I11471" i="79"/>
  <c r="A11470" i="80" s="1"/>
  <c r="I11481" i="79"/>
  <c r="A11480" i="80" s="1"/>
  <c r="I11501" i="79"/>
  <c r="A11500" i="80" s="1"/>
  <c r="I11461" i="79"/>
  <c r="A11460" i="80" s="1"/>
  <c r="I11476" i="79"/>
  <c r="A11475" i="80" s="1"/>
  <c r="I11456" i="79"/>
  <c r="A11455" i="80" s="1"/>
  <c r="I11441" i="79"/>
  <c r="A11440" i="80" s="1"/>
  <c r="I11416" i="79"/>
  <c r="A11415" i="80" s="1"/>
  <c r="I11396" i="79"/>
  <c r="A11395" i="80" s="1"/>
  <c r="I11436" i="79"/>
  <c r="A11435" i="80" s="1"/>
  <c r="I11531" i="79"/>
  <c r="A11530" i="80" s="1"/>
  <c r="I11466" i="79"/>
  <c r="A11465" i="80" s="1"/>
  <c r="I11506" i="79"/>
  <c r="A11505" i="80" s="1"/>
  <c r="I11551" i="79"/>
  <c r="A11550" i="80" s="1"/>
  <c r="I11526" i="79"/>
  <c r="A11525" i="80" s="1"/>
  <c r="I11486" i="79"/>
  <c r="A11485" i="80" s="1"/>
  <c r="I11446" i="79"/>
  <c r="A11445" i="80" s="1"/>
  <c r="I11511" i="79"/>
  <c r="A11510" i="80" s="1"/>
  <c r="I11521" i="79"/>
  <c r="A11520" i="80" s="1"/>
  <c r="I11491" i="79"/>
  <c r="A11490" i="80" s="1"/>
  <c r="I11496" i="79"/>
  <c r="A11495" i="80" s="1"/>
  <c r="I11576" i="79"/>
  <c r="A11575" i="80" s="1"/>
  <c r="I11541" i="79"/>
  <c r="A11540" i="80" s="1"/>
  <c r="I11561" i="79"/>
  <c r="A11560" i="80" s="1"/>
  <c r="I11581" i="79"/>
  <c r="A11580" i="80" s="1"/>
  <c r="I11571" i="79"/>
  <c r="A11570" i="80" s="1"/>
  <c r="I11516" i="79"/>
  <c r="A11515" i="80" s="1"/>
  <c r="I11536" i="79"/>
  <c r="A11535" i="80" s="1"/>
  <c r="I11601" i="79"/>
  <c r="A11600" i="80" s="1"/>
  <c r="I11556" i="79"/>
  <c r="A11555" i="80" s="1"/>
  <c r="I11631" i="79"/>
  <c r="A11630" i="80" s="1"/>
  <c r="I11651" i="79"/>
  <c r="A11650" i="80" s="1"/>
  <c r="I11586" i="79"/>
  <c r="A11585" i="80" s="1"/>
  <c r="I11611" i="79"/>
  <c r="A11610" i="80" s="1"/>
  <c r="I11591" i="79"/>
  <c r="A11590" i="80" s="1"/>
  <c r="I11606" i="79"/>
  <c r="A11605" i="80" s="1"/>
  <c r="I11566" i="79"/>
  <c r="A11565" i="80" s="1"/>
  <c r="I11621" i="79"/>
  <c r="A11620" i="80" s="1"/>
  <c r="I11626" i="79"/>
  <c r="A11625" i="80" s="1"/>
  <c r="I11546" i="79"/>
  <c r="A11545" i="80" s="1"/>
  <c r="I11676" i="79"/>
  <c r="A11675" i="80" s="1"/>
  <c r="I11671" i="79"/>
  <c r="A11670" i="80" s="1"/>
  <c r="I11636" i="79"/>
  <c r="A11635" i="80" s="1"/>
  <c r="I11701" i="79"/>
  <c r="A11700" i="80" s="1"/>
  <c r="I11596" i="79"/>
  <c r="A11595" i="80" s="1"/>
  <c r="I11616" i="79"/>
  <c r="A11615" i="80" s="1"/>
  <c r="I11656" i="79"/>
  <c r="A11655" i="80" s="1"/>
  <c r="I11641" i="79"/>
  <c r="A11640" i="80" s="1"/>
  <c r="I11661" i="79"/>
  <c r="A11660" i="80" s="1"/>
  <c r="I11681" i="79"/>
  <c r="A11680" i="80" s="1"/>
  <c r="I11731" i="79"/>
  <c r="A11730" i="80" s="1"/>
  <c r="I11691" i="79"/>
  <c r="A11690" i="80" s="1"/>
  <c r="I11666" i="79"/>
  <c r="A11665" i="80" s="1"/>
  <c r="I11751" i="79"/>
  <c r="A11750" i="80" s="1"/>
  <c r="I11721" i="79"/>
  <c r="A11720" i="80" s="1"/>
  <c r="I11711" i="79"/>
  <c r="A11710" i="80" s="1"/>
  <c r="I11706" i="79"/>
  <c r="A11705" i="80" s="1"/>
  <c r="I11646" i="79"/>
  <c r="A11645" i="80" s="1"/>
  <c r="I11726" i="79"/>
  <c r="A11725" i="80" s="1"/>
  <c r="I11686" i="79"/>
  <c r="A11685" i="80" s="1"/>
  <c r="I11736" i="79"/>
  <c r="A11735" i="80" s="1"/>
  <c r="I11756" i="79"/>
  <c r="A11755" i="80" s="1"/>
  <c r="I11771" i="79"/>
  <c r="A11770" i="80" s="1"/>
  <c r="I11716" i="79"/>
  <c r="A11715" i="80" s="1"/>
  <c r="I11776" i="79"/>
  <c r="A11775" i="80" s="1"/>
  <c r="I11696" i="79"/>
  <c r="A11695" i="80" s="1"/>
  <c r="I11761" i="79"/>
  <c r="A11760" i="80" s="1"/>
  <c r="I11801" i="79"/>
  <c r="A11800" i="80" s="1"/>
  <c r="I11781" i="79"/>
  <c r="A11780" i="80" s="1"/>
  <c r="I11741" i="79"/>
  <c r="A11740" i="80" s="1"/>
  <c r="I11851" i="79"/>
  <c r="A11850" i="80" s="1"/>
  <c r="I11821" i="79"/>
  <c r="A11820" i="80" s="1"/>
  <c r="I11831" i="79"/>
  <c r="A11830" i="80" s="1"/>
  <c r="I11746" i="79"/>
  <c r="A11745" i="80" s="1"/>
  <c r="I11766" i="79"/>
  <c r="A11765" i="80" s="1"/>
  <c r="I11786" i="79"/>
  <c r="A11785" i="80" s="1"/>
  <c r="I11811" i="79"/>
  <c r="A11810" i="80" s="1"/>
  <c r="I11826" i="79"/>
  <c r="A11825" i="80" s="1"/>
  <c r="I11806" i="79"/>
  <c r="A11805" i="80" s="1"/>
  <c r="I11791" i="79"/>
  <c r="A11790" i="80" s="1"/>
  <c r="I11876" i="79"/>
  <c r="A11875" i="80" s="1"/>
  <c r="I11871" i="79"/>
  <c r="A11870" i="80" s="1"/>
  <c r="I11861" i="79"/>
  <c r="A11860" i="80" s="1"/>
  <c r="I11836" i="79"/>
  <c r="A11835" i="80" s="1"/>
  <c r="I11816" i="79"/>
  <c r="A11815" i="80" s="1"/>
  <c r="I11796" i="79"/>
  <c r="A11795" i="80" s="1"/>
  <c r="I11881" i="79"/>
  <c r="A11880" i="80" s="1"/>
  <c r="I11841" i="79"/>
  <c r="A11840" i="80" s="1"/>
  <c r="I11856" i="79"/>
  <c r="A11855" i="80" s="1"/>
  <c r="I11901" i="79"/>
  <c r="A11900" i="80" s="1"/>
  <c r="I11886" i="79"/>
  <c r="A11885" i="80" s="1"/>
  <c r="I11926" i="79"/>
  <c r="A11925" i="80" s="1"/>
  <c r="I11951" i="79"/>
  <c r="A11950" i="80" s="1"/>
  <c r="I11931" i="79"/>
  <c r="A11930" i="80" s="1"/>
  <c r="I11846" i="79"/>
  <c r="A11845" i="80" s="1"/>
  <c r="I11911" i="79"/>
  <c r="A11910" i="80" s="1"/>
  <c r="I11921" i="79"/>
  <c r="A11920" i="80" s="1"/>
  <c r="I11906" i="79"/>
  <c r="A11905" i="80" s="1"/>
  <c r="I11891" i="79"/>
  <c r="A11890" i="80" s="1"/>
  <c r="I11866" i="79"/>
  <c r="A11865" i="80" s="1"/>
  <c r="I11956" i="79"/>
  <c r="A11955" i="80" s="1"/>
  <c r="I11971" i="79"/>
  <c r="A11970" i="80" s="1"/>
  <c r="I11981" i="79"/>
  <c r="A11980" i="80" s="1"/>
  <c r="I11941" i="79"/>
  <c r="A11940" i="80" s="1"/>
  <c r="I11936" i="79"/>
  <c r="A11935" i="80" s="1"/>
  <c r="I11961" i="79"/>
  <c r="A11960" i="80" s="1"/>
  <c r="I11916" i="79"/>
  <c r="A11915" i="80" s="1"/>
  <c r="I12001" i="79"/>
  <c r="A12000" i="80" s="1"/>
  <c r="I11976" i="79"/>
  <c r="A11975" i="80" s="1"/>
  <c r="I11896" i="79"/>
  <c r="A11895" i="80" s="1"/>
  <c r="I11986" i="79"/>
  <c r="A11985" i="80" s="1"/>
  <c r="I12011" i="79"/>
  <c r="A12010" i="80" s="1"/>
  <c r="I11946" i="79"/>
  <c r="A11945" i="80" s="1"/>
  <c r="I12031" i="79"/>
  <c r="A12030" i="80" s="1"/>
  <c r="I11991" i="79"/>
  <c r="A11990" i="80" s="1"/>
  <c r="I12026" i="79"/>
  <c r="A12025" i="80" s="1"/>
  <c r="I12021" i="79"/>
  <c r="A12020" i="80" s="1"/>
  <c r="I12006" i="79"/>
  <c r="A12005" i="80" s="1"/>
  <c r="I11966" i="79"/>
  <c r="A11965" i="80" s="1"/>
  <c r="I12051" i="79"/>
  <c r="A12050" i="80" s="1"/>
  <c r="I12041" i="79"/>
  <c r="A12040" i="80" s="1"/>
  <c r="I12081" i="79"/>
  <c r="A12080" i="80" s="1"/>
  <c r="I11996" i="79"/>
  <c r="A11995" i="80" s="1"/>
  <c r="I12101" i="79"/>
  <c r="A12100" i="80" s="1"/>
  <c r="I12056" i="79"/>
  <c r="A12055" i="80" s="1"/>
  <c r="I12071" i="79"/>
  <c r="A12070" i="80" s="1"/>
  <c r="I12036" i="79"/>
  <c r="A12035" i="80" s="1"/>
  <c r="I12016" i="79"/>
  <c r="A12015" i="80" s="1"/>
  <c r="I12076" i="79"/>
  <c r="A12075" i="80" s="1"/>
  <c r="I12061" i="79"/>
  <c r="A12060" i="80" s="1"/>
  <c r="I12106" i="79"/>
  <c r="A12105" i="80" s="1"/>
  <c r="I12151" i="79"/>
  <c r="A12150" i="80" s="1"/>
  <c r="I12131" i="79"/>
  <c r="A12130" i="80" s="1"/>
  <c r="I12046" i="79"/>
  <c r="A12045" i="80" s="1"/>
  <c r="I12091" i="79"/>
  <c r="A12090" i="80" s="1"/>
  <c r="I12086" i="79"/>
  <c r="A12085" i="80" s="1"/>
  <c r="I12066" i="79"/>
  <c r="A12065" i="80" s="1"/>
  <c r="I12121" i="79"/>
  <c r="A12120" i="80" s="1"/>
  <c r="I12111" i="79"/>
  <c r="A12110" i="80" s="1"/>
  <c r="I12126" i="79"/>
  <c r="A12125" i="80" s="1"/>
  <c r="I12161" i="79"/>
  <c r="A12160" i="80" s="1"/>
  <c r="I12116" i="79"/>
  <c r="A12115" i="80" s="1"/>
  <c r="I12096" i="79"/>
  <c r="A12095" i="80" s="1"/>
  <c r="I12181" i="79"/>
  <c r="A12180" i="80" s="1"/>
  <c r="I12136" i="79"/>
  <c r="A12135" i="80" s="1"/>
  <c r="I12171" i="79"/>
  <c r="A12170" i="80" s="1"/>
  <c r="I12201" i="79"/>
  <c r="A12200" i="80" s="1"/>
  <c r="I12156" i="79"/>
  <c r="A12155" i="80" s="1"/>
  <c r="I12141" i="79"/>
  <c r="A12140" i="80" s="1"/>
  <c r="I12176" i="79"/>
  <c r="A12175" i="80" s="1"/>
  <c r="I12146" i="79"/>
  <c r="A12145" i="80" s="1"/>
  <c r="I12186" i="79"/>
  <c r="A12185" i="80" s="1"/>
  <c r="I12231" i="79"/>
  <c r="A12230" i="80" s="1"/>
  <c r="I12166" i="79"/>
  <c r="A12165" i="80" s="1"/>
  <c r="I12251" i="79"/>
  <c r="A12250" i="80" s="1"/>
  <c r="I12206" i="79"/>
  <c r="A12205" i="80" s="1"/>
  <c r="I12226" i="79"/>
  <c r="A12225" i="80" s="1"/>
  <c r="I12191" i="79"/>
  <c r="A12190" i="80" s="1"/>
  <c r="I12211" i="79"/>
  <c r="A12210" i="80" s="1"/>
  <c r="I12221" i="79"/>
  <c r="A12220" i="80" s="1"/>
  <c r="I12261" i="79"/>
  <c r="A12260" i="80" s="1"/>
  <c r="I12276" i="79"/>
  <c r="A12275" i="80" s="1"/>
  <c r="I12301" i="79"/>
  <c r="A12300" i="80" s="1"/>
  <c r="I12236" i="79"/>
  <c r="A12235" i="80" s="1"/>
  <c r="I12196" i="79"/>
  <c r="A12195" i="80" s="1"/>
  <c r="I12281" i="79"/>
  <c r="A12280" i="80" s="1"/>
  <c r="I12256" i="79"/>
  <c r="A12255" i="80" s="1"/>
  <c r="I12241" i="79"/>
  <c r="A12240" i="80" s="1"/>
  <c r="I12216" i="79"/>
  <c r="A12215" i="80" s="1"/>
  <c r="I12271" i="79"/>
  <c r="A12270" i="80" s="1"/>
  <c r="I12306" i="79"/>
  <c r="A12305" i="80" s="1"/>
  <c r="I12321" i="79"/>
  <c r="A12320" i="80" s="1"/>
  <c r="I12266" i="79"/>
  <c r="A12265" i="80" s="1"/>
  <c r="I12291" i="79"/>
  <c r="A12290" i="80" s="1"/>
  <c r="I12331" i="79"/>
  <c r="A12330" i="80" s="1"/>
  <c r="I12246" i="79"/>
  <c r="A12245" i="80" s="1"/>
  <c r="I12286" i="79"/>
  <c r="A12285" i="80" s="1"/>
  <c r="I12351" i="79"/>
  <c r="A12350" i="80" s="1"/>
  <c r="I12326" i="79"/>
  <c r="A12325" i="80" s="1"/>
  <c r="I12311" i="79"/>
  <c r="A12310" i="80" s="1"/>
  <c r="I12341" i="79"/>
  <c r="A12340" i="80" s="1"/>
  <c r="I12296" i="79"/>
  <c r="A12295" i="80" s="1"/>
  <c r="I12361" i="79"/>
  <c r="A12360" i="80" s="1"/>
  <c r="I12336" i="79"/>
  <c r="A12335" i="80" s="1"/>
  <c r="I12316" i="79"/>
  <c r="A12315" i="80" s="1"/>
  <c r="I12356" i="79"/>
  <c r="A12355" i="80" s="1"/>
  <c r="I12401" i="79"/>
  <c r="A12400" i="80" s="1"/>
  <c r="I12371" i="79"/>
  <c r="A12370" i="80" s="1"/>
  <c r="I12376" i="79"/>
  <c r="A12375" i="80" s="1"/>
  <c r="I12381" i="79"/>
  <c r="A12380" i="80" s="1"/>
  <c r="I12426" i="79"/>
  <c r="A12425" i="80" s="1"/>
  <c r="I12386" i="79"/>
  <c r="A12385" i="80" s="1"/>
  <c r="I12391" i="79"/>
  <c r="A12390" i="80" s="1"/>
  <c r="I12411" i="79"/>
  <c r="A12410" i="80" s="1"/>
  <c r="I12431" i="79"/>
  <c r="A12430" i="80" s="1"/>
  <c r="I12406" i="79"/>
  <c r="A12405" i="80" s="1"/>
  <c r="I12421" i="79"/>
  <c r="A12420" i="80" s="1"/>
  <c r="I12366" i="79"/>
  <c r="A12365" i="80" s="1"/>
  <c r="I12346" i="79"/>
  <c r="A12345" i="80" s="1"/>
  <c r="I12451" i="79"/>
  <c r="A12450" i="80" s="1"/>
  <c r="I12461" i="79"/>
  <c r="A12460" i="80" s="1"/>
  <c r="I12416" i="79"/>
  <c r="A12415" i="80" s="1"/>
  <c r="I12471" i="79"/>
  <c r="A12470" i="80" s="1"/>
  <c r="I12476" i="79"/>
  <c r="A12475" i="80" s="1"/>
  <c r="I12441" i="79"/>
  <c r="A12440" i="80" s="1"/>
  <c r="I12501" i="79"/>
  <c r="A12500" i="80" s="1"/>
  <c r="I12436" i="79"/>
  <c r="A12435" i="80" s="1"/>
  <c r="I12456" i="79"/>
  <c r="A12455" i="80" s="1"/>
  <c r="I12481" i="79"/>
  <c r="A12480" i="80" s="1"/>
  <c r="I12396" i="79"/>
  <c r="A12395" i="80" s="1"/>
  <c r="I12486" i="79"/>
  <c r="A12485" i="80" s="1"/>
  <c r="I12491" i="79"/>
  <c r="A12490" i="80" s="1"/>
  <c r="I12526" i="79"/>
  <c r="A12525" i="80" s="1"/>
  <c r="I12511" i="79"/>
  <c r="A12510" i="80" s="1"/>
  <c r="I12446" i="79"/>
  <c r="A12445" i="80" s="1"/>
  <c r="I12531" i="79"/>
  <c r="A12530" i="80" s="1"/>
  <c r="I12506" i="79"/>
  <c r="A12505" i="80" s="1"/>
  <c r="I12551" i="79"/>
  <c r="A12550" i="80" s="1"/>
  <c r="I12521" i="79"/>
  <c r="A12520" i="80" s="1"/>
  <c r="I12466" i="79"/>
  <c r="A12465" i="80" s="1"/>
  <c r="I12581" i="79"/>
  <c r="A12580" i="80" s="1"/>
  <c r="I12556" i="79"/>
  <c r="A12555" i="80" s="1"/>
  <c r="I12571" i="79"/>
  <c r="A12570" i="80" s="1"/>
  <c r="I12561" i="79"/>
  <c r="A12560" i="80" s="1"/>
  <c r="I12576" i="79"/>
  <c r="A12575" i="80" s="1"/>
  <c r="I12516" i="79"/>
  <c r="A12515" i="80" s="1"/>
  <c r="I12601" i="79"/>
  <c r="A12600" i="80" s="1"/>
  <c r="I12496" i="79"/>
  <c r="A12495" i="80" s="1"/>
  <c r="I12541" i="79"/>
  <c r="A12540" i="80" s="1"/>
  <c r="I12536" i="79"/>
  <c r="A12535" i="80" s="1"/>
  <c r="I12591" i="79"/>
  <c r="A12590" i="80" s="1"/>
  <c r="I12651" i="79"/>
  <c r="A12650" i="80" s="1"/>
  <c r="I12621" i="79"/>
  <c r="A12620" i="80" s="1"/>
  <c r="I12606" i="79"/>
  <c r="A12605" i="80" s="1"/>
  <c r="I12631" i="79"/>
  <c r="A12630" i="80" s="1"/>
  <c r="I12546" i="79"/>
  <c r="A12545" i="80" s="1"/>
  <c r="I12611" i="79"/>
  <c r="A12610" i="80" s="1"/>
  <c r="I12566" i="79"/>
  <c r="A12565" i="80" s="1"/>
  <c r="I12626" i="79"/>
  <c r="A12625" i="80" s="1"/>
  <c r="I12586" i="79"/>
  <c r="A12585" i="80" s="1"/>
  <c r="I12671" i="79"/>
  <c r="A12670" i="80" s="1"/>
  <c r="I12641" i="79"/>
  <c r="A12640" i="80" s="1"/>
  <c r="I12661" i="79"/>
  <c r="A12660" i="80" s="1"/>
  <c r="I12616" i="79"/>
  <c r="A12615" i="80" s="1"/>
  <c r="I12636" i="79"/>
  <c r="A12635" i="80" s="1"/>
  <c r="I12676" i="79"/>
  <c r="A12675" i="80" s="1"/>
  <c r="I12596" i="79"/>
  <c r="A12595" i="80" s="1"/>
  <c r="I12701" i="79"/>
  <c r="A12700" i="80" s="1"/>
  <c r="I12681" i="79"/>
  <c r="A12680" i="80" s="1"/>
  <c r="I12656" i="79"/>
  <c r="A12655" i="80" s="1"/>
  <c r="I12751" i="79"/>
  <c r="A12750" i="80" s="1"/>
  <c r="I12731" i="79"/>
  <c r="A12730" i="80" s="1"/>
  <c r="I12711" i="79"/>
  <c r="A12710" i="80" s="1"/>
  <c r="I12646" i="79"/>
  <c r="A12645" i="80" s="1"/>
  <c r="I12666" i="79"/>
  <c r="A12665" i="80" s="1"/>
  <c r="I12721" i="79"/>
  <c r="A12720" i="80" s="1"/>
  <c r="I12686" i="79"/>
  <c r="A12685" i="80" s="1"/>
  <c r="I12691" i="79"/>
  <c r="A12690" i="80" s="1"/>
  <c r="I12726" i="79"/>
  <c r="A12725" i="80" s="1"/>
  <c r="I12706" i="79"/>
  <c r="A12705" i="80" s="1"/>
  <c r="I12801" i="79"/>
  <c r="A12800" i="80" s="1"/>
  <c r="I12776" i="79"/>
  <c r="A12775" i="80" s="1"/>
  <c r="I12741" i="79"/>
  <c r="A12740" i="80" s="1"/>
  <c r="I12756" i="79"/>
  <c r="A12755" i="80" s="1"/>
  <c r="I12771" i="79"/>
  <c r="A12770" i="80" s="1"/>
  <c r="I12716" i="79"/>
  <c r="A12715" i="80" s="1"/>
  <c r="I12696" i="79"/>
  <c r="A12695" i="80" s="1"/>
  <c r="I12761" i="79"/>
  <c r="A12760" i="80" s="1"/>
  <c r="I12781" i="79"/>
  <c r="A12780" i="80" s="1"/>
  <c r="I12736" i="79"/>
  <c r="A12735" i="80" s="1"/>
  <c r="I12831" i="79"/>
  <c r="A12830" i="80" s="1"/>
  <c r="I12811" i="79"/>
  <c r="A12810" i="80" s="1"/>
  <c r="I12791" i="79"/>
  <c r="A12790" i="80" s="1"/>
  <c r="I12826" i="79"/>
  <c r="A12825" i="80" s="1"/>
  <c r="I12806" i="79"/>
  <c r="A12805" i="80" s="1"/>
  <c r="I12766" i="79"/>
  <c r="A12765" i="80" s="1"/>
  <c r="I12851" i="79"/>
  <c r="A12850" i="80" s="1"/>
  <c r="I12786" i="79"/>
  <c r="A12785" i="80" s="1"/>
  <c r="I12746" i="79"/>
  <c r="A12745" i="80" s="1"/>
  <c r="I12821" i="79"/>
  <c r="A12820" i="80" s="1"/>
  <c r="I12841" i="79"/>
  <c r="A12840" i="80" s="1"/>
  <c r="I12871" i="79"/>
  <c r="A12870" i="80" s="1"/>
  <c r="I12901" i="79"/>
  <c r="A12900" i="80" s="1"/>
  <c r="I12881" i="79"/>
  <c r="A12880" i="80" s="1"/>
  <c r="I12816" i="79"/>
  <c r="A12815" i="80" s="1"/>
  <c r="I12856" i="79"/>
  <c r="A12855" i="80" s="1"/>
  <c r="I12861" i="79"/>
  <c r="A12860" i="80" s="1"/>
  <c r="I12876" i="79"/>
  <c r="A12875" i="80" s="1"/>
  <c r="I12796" i="79"/>
  <c r="A12795" i="80" s="1"/>
  <c r="I12836" i="79"/>
  <c r="A12835" i="80" s="1"/>
  <c r="I12911" i="79"/>
  <c r="A12910" i="80" s="1"/>
  <c r="I12931" i="79"/>
  <c r="A12930" i="80" s="1"/>
  <c r="I12951" i="79"/>
  <c r="A12950" i="80" s="1"/>
  <c r="I12846" i="79"/>
  <c r="A12845" i="80" s="1"/>
  <c r="I12926" i="79"/>
  <c r="A12925" i="80" s="1"/>
  <c r="I12886" i="79"/>
  <c r="A12885" i="80" s="1"/>
  <c r="I12906" i="79"/>
  <c r="A12905" i="80" s="1"/>
  <c r="I12866" i="79"/>
  <c r="A12865" i="80" s="1"/>
  <c r="I12921" i="79"/>
  <c r="A12920" i="80" s="1"/>
  <c r="I12891" i="79"/>
  <c r="A12890" i="80" s="1"/>
  <c r="I12981" i="79"/>
  <c r="A12980" i="80" s="1"/>
  <c r="I12961" i="79"/>
  <c r="A12960" i="80" s="1"/>
  <c r="I12976" i="79"/>
  <c r="A12975" i="80" s="1"/>
  <c r="I12956" i="79"/>
  <c r="A12955" i="80" s="1"/>
  <c r="I12971" i="79"/>
  <c r="A12970" i="80" s="1"/>
  <c r="I12896" i="79"/>
  <c r="A12895" i="80" s="1"/>
  <c r="I13001" i="79"/>
  <c r="A13000" i="80" s="1"/>
  <c r="I12936" i="79"/>
  <c r="A12935" i="80" s="1"/>
  <c r="I12916" i="79"/>
  <c r="A12915" i="80" s="1"/>
  <c r="I12941" i="79"/>
  <c r="A12940" i="80" s="1"/>
  <c r="I12991" i="79"/>
  <c r="A12990" i="80" s="1"/>
  <c r="I12946" i="79"/>
  <c r="A12945" i="80" s="1"/>
  <c r="I13006" i="79"/>
  <c r="A13005" i="80" s="1"/>
  <c r="I13031" i="79"/>
  <c r="A13030" i="80" s="1"/>
  <c r="I13026" i="79"/>
  <c r="A13025" i="80" s="1"/>
  <c r="I13051" i="79"/>
  <c r="A13050" i="80" s="1"/>
  <c r="I13011" i="79"/>
  <c r="A13010" i="80" s="1"/>
  <c r="I12966" i="79"/>
  <c r="A12965" i="80" s="1"/>
  <c r="I12986" i="79"/>
  <c r="A12985" i="80" s="1"/>
  <c r="I13021" i="79"/>
  <c r="A13020" i="80" s="1"/>
  <c r="I13061" i="79"/>
  <c r="A13060" i="80" s="1"/>
  <c r="I13076" i="79"/>
  <c r="A13075" i="80" s="1"/>
  <c r="I13081" i="79"/>
  <c r="A13080" i="80" s="1"/>
  <c r="I13056" i="79"/>
  <c r="A13055" i="80" s="1"/>
  <c r="I13101" i="79"/>
  <c r="A13100" i="80" s="1"/>
  <c r="I13071" i="79"/>
  <c r="A13070" i="80" s="1"/>
  <c r="I13016" i="79"/>
  <c r="A13015" i="80" s="1"/>
  <c r="I12996" i="79"/>
  <c r="A12995" i="80" s="1"/>
  <c r="I13041" i="79"/>
  <c r="A13040" i="80" s="1"/>
  <c r="I13036" i="79"/>
  <c r="A13035" i="80" s="1"/>
  <c r="I13151" i="79"/>
  <c r="A13150" i="80" s="1"/>
  <c r="I13111" i="79"/>
  <c r="A13110" i="80" s="1"/>
  <c r="I13106" i="79"/>
  <c r="A13105" i="80" s="1"/>
  <c r="I13086" i="79"/>
  <c r="A13085" i="80" s="1"/>
  <c r="I13046" i="79"/>
  <c r="A13045" i="80" s="1"/>
  <c r="I13066" i="79"/>
  <c r="A13065" i="80" s="1"/>
  <c r="I13131" i="79"/>
  <c r="A13130" i="80" s="1"/>
  <c r="I13126" i="79"/>
  <c r="A13125" i="80" s="1"/>
  <c r="I13091" i="79"/>
  <c r="A13090" i="80" s="1"/>
  <c r="I13121" i="79"/>
  <c r="A13120" i="80" s="1"/>
  <c r="I13136" i="79"/>
  <c r="A13135" i="80" s="1"/>
  <c r="I13116" i="79"/>
  <c r="A13115" i="80" s="1"/>
  <c r="I13096" i="79"/>
  <c r="A13095" i="80" s="1"/>
  <c r="I13161" i="79"/>
  <c r="A13160" i="80" s="1"/>
  <c r="I13181" i="79"/>
  <c r="A13180" i="80" s="1"/>
  <c r="I13141" i="79"/>
  <c r="A13140" i="80" s="1"/>
  <c r="I13201" i="79"/>
  <c r="A13200" i="80" s="1"/>
  <c r="I13171" i="79"/>
  <c r="A13170" i="80" s="1"/>
  <c r="I13156" i="79"/>
  <c r="A13155" i="80" s="1"/>
  <c r="I13176" i="79"/>
  <c r="A13175" i="80" s="1"/>
  <c r="I13191" i="79"/>
  <c r="A13190" i="80" s="1"/>
  <c r="I13211" i="79"/>
  <c r="A13210" i="80" s="1"/>
  <c r="I13146" i="79"/>
  <c r="A13145" i="80" s="1"/>
  <c r="I13166" i="79"/>
  <c r="A13165" i="80" s="1"/>
  <c r="I13186" i="79"/>
  <c r="A13185" i="80" s="1"/>
  <c r="I13221" i="79"/>
  <c r="A13220" i="80" s="1"/>
  <c r="I13226" i="79"/>
  <c r="A13225" i="80" s="1"/>
  <c r="I13231" i="79"/>
  <c r="A13230" i="80" s="1"/>
  <c r="I13206" i="79"/>
  <c r="A13205" i="80" s="1"/>
  <c r="I13251" i="79"/>
  <c r="A13250" i="80" s="1"/>
  <c r="I13241" i="79"/>
  <c r="A13240" i="80" s="1"/>
  <c r="I13256" i="79"/>
  <c r="A13255" i="80" s="1"/>
  <c r="I13261" i="79"/>
  <c r="A13260" i="80" s="1"/>
  <c r="I13271" i="79"/>
  <c r="A13270" i="80" s="1"/>
  <c r="I13301" i="79"/>
  <c r="A13300" i="80" s="1"/>
  <c r="I13196" i="79"/>
  <c r="A13195" i="80" s="1"/>
  <c r="I13281" i="79"/>
  <c r="A13280" i="80" s="1"/>
  <c r="I13276" i="79"/>
  <c r="A13275" i="80" s="1"/>
  <c r="I13236" i="79"/>
  <c r="A13235" i="80" s="1"/>
  <c r="I13216" i="79"/>
  <c r="A13215" i="80" s="1"/>
  <c r="I13246" i="79"/>
  <c r="A13245" i="80" s="1"/>
  <c r="I13286" i="79"/>
  <c r="A13285" i="80" s="1"/>
  <c r="I13326" i="79"/>
  <c r="A13325" i="80" s="1"/>
  <c r="I13311" i="79"/>
  <c r="A13310" i="80" s="1"/>
  <c r="I13331" i="79"/>
  <c r="A13330" i="80" s="1"/>
  <c r="I13321" i="79"/>
  <c r="A13320" i="80" s="1"/>
  <c r="I13291" i="79"/>
  <c r="A13290" i="80" s="1"/>
  <c r="I13266" i="79"/>
  <c r="A13265" i="80" s="1"/>
  <c r="I13306" i="79"/>
  <c r="A13305" i="80" s="1"/>
  <c r="I13351" i="79"/>
  <c r="A13350" i="80" s="1"/>
  <c r="I13336" i="79"/>
  <c r="A13335" i="80" s="1"/>
  <c r="I13296" i="79"/>
  <c r="A13295" i="80" s="1"/>
  <c r="I13361" i="79"/>
  <c r="A13360" i="80" s="1"/>
  <c r="I13316" i="79"/>
  <c r="A13315" i="80" s="1"/>
  <c r="I13341" i="79"/>
  <c r="A13340" i="80" s="1"/>
  <c r="I13356" i="79"/>
  <c r="A13355" i="80" s="1"/>
  <c r="I13371" i="79"/>
  <c r="A13370" i="80" s="1"/>
  <c r="I13381" i="79"/>
  <c r="A13380" i="80" s="1"/>
  <c r="I13376" i="79"/>
  <c r="A13375" i="80" s="1"/>
  <c r="I13401" i="79"/>
  <c r="A13400" i="80" s="1"/>
  <c r="I13411" i="79"/>
  <c r="A13410" i="80" s="1"/>
  <c r="I13391" i="79"/>
  <c r="A13390" i="80" s="1"/>
  <c r="I13406" i="79"/>
  <c r="A13405" i="80" s="1"/>
  <c r="I13421" i="79"/>
  <c r="A13420" i="80" s="1"/>
  <c r="I13451" i="79"/>
  <c r="A13450" i="80" s="1"/>
  <c r="I13366" i="79"/>
  <c r="A13365" i="80" s="1"/>
  <c r="I13386" i="79"/>
  <c r="A13385" i="80" s="1"/>
  <c r="I13346" i="79"/>
  <c r="A13345" i="80" s="1"/>
  <c r="I13431" i="79"/>
  <c r="A13430" i="80" s="1"/>
  <c r="I13426" i="79"/>
  <c r="A13425" i="80" s="1"/>
  <c r="I13441" i="79"/>
  <c r="A13440" i="80" s="1"/>
  <c r="C13491" i="79"/>
  <c r="C13466" i="79"/>
  <c r="I13416" i="79"/>
  <c r="A13415" i="80" s="1"/>
  <c r="I13461" i="79"/>
  <c r="A13460" i="80" s="1"/>
  <c r="C13511" i="79"/>
  <c r="C13506" i="79"/>
  <c r="I13456" i="79"/>
  <c r="A13455" i="80" s="1"/>
  <c r="I13501" i="79"/>
  <c r="A13500" i="80" s="1"/>
  <c r="C13551" i="79"/>
  <c r="I13436" i="79"/>
  <c r="A13435" i="80" s="1"/>
  <c r="C13486" i="79"/>
  <c r="I13396" i="79"/>
  <c r="A13395" i="80" s="1"/>
  <c r="C13446" i="79"/>
  <c r="I13481" i="79"/>
  <c r="A13480" i="80" s="1"/>
  <c r="C13531" i="79"/>
  <c r="C13521" i="79"/>
  <c r="I13471" i="79"/>
  <c r="A13470" i="80" s="1"/>
  <c r="C13526" i="79"/>
  <c r="I13476" i="79"/>
  <c r="A13475" i="80" s="1"/>
  <c r="I7364" i="79"/>
  <c r="A7363" i="80" s="1"/>
  <c r="I6347" i="79"/>
  <c r="A6346" i="80" s="1"/>
  <c r="I6342" i="79"/>
  <c r="A6341" i="80" s="1"/>
  <c r="I6337" i="79"/>
  <c r="A6336" i="80" s="1"/>
  <c r="I6332" i="79"/>
  <c r="A6331" i="80" s="1"/>
  <c r="I5846" i="79"/>
  <c r="A5845" i="80" s="1"/>
  <c r="I5810" i="79"/>
  <c r="A5809" i="80" s="1"/>
  <c r="I5786" i="79"/>
  <c r="A5785" i="80" s="1"/>
  <c r="I5762" i="79"/>
  <c r="A5761" i="80" s="1"/>
  <c r="I5732" i="79"/>
  <c r="A5731" i="80" s="1"/>
  <c r="I5684" i="79"/>
  <c r="A5683" i="80" s="1"/>
  <c r="I5654" i="79"/>
  <c r="A5653" i="80" s="1"/>
  <c r="I5618" i="79"/>
  <c r="A5617" i="80" s="1"/>
  <c r="I5594" i="79"/>
  <c r="A5593" i="80" s="1"/>
  <c r="I5564" i="79"/>
  <c r="A5563" i="80" s="1"/>
  <c r="I5528" i="79"/>
  <c r="A5527" i="80" s="1"/>
  <c r="I5498" i="79"/>
  <c r="A5497" i="80" s="1"/>
  <c r="I5456" i="79"/>
  <c r="A5455" i="80" s="1"/>
  <c r="I5444" i="79"/>
  <c r="A5443" i="80" s="1"/>
  <c r="I5390" i="79"/>
  <c r="A5389" i="80" s="1"/>
  <c r="I5366" i="79"/>
  <c r="A5365" i="80" s="1"/>
  <c r="I5324" i="79"/>
  <c r="A5323" i="80" s="1"/>
  <c r="I5294" i="79"/>
  <c r="A5293" i="80" s="1"/>
  <c r="I5234" i="79"/>
  <c r="A5233" i="80" s="1"/>
  <c r="I5186" i="79"/>
  <c r="A5185" i="80" s="1"/>
  <c r="I5162" i="79"/>
  <c r="A5161" i="80" s="1"/>
  <c r="I5144" i="79"/>
  <c r="A5143" i="80" s="1"/>
  <c r="I5102" i="79"/>
  <c r="A5101" i="80" s="1"/>
  <c r="I5030" i="79"/>
  <c r="A5029" i="80" s="1"/>
  <c r="I4982" i="79"/>
  <c r="A4981" i="80" s="1"/>
  <c r="I4958" i="79"/>
  <c r="A4957" i="80" s="1"/>
  <c r="I4939" i="79"/>
  <c r="A4938" i="80" s="1"/>
  <c r="I4867" i="79"/>
  <c r="A4866" i="80" s="1"/>
  <c r="I4783" i="79"/>
  <c r="A4782" i="80" s="1"/>
  <c r="I4470" i="79"/>
  <c r="A4469" i="80" s="1"/>
  <c r="I4416" i="79"/>
  <c r="A4415" i="80" s="1"/>
  <c r="I4398" i="79"/>
  <c r="A4397" i="80" s="1"/>
  <c r="I4386" i="79"/>
  <c r="A4385" i="80" s="1"/>
  <c r="I4380" i="79"/>
  <c r="A4379" i="80" s="1"/>
  <c r="I4374" i="79"/>
  <c r="A4373" i="80" s="1"/>
  <c r="I4368" i="79"/>
  <c r="A4367" i="80" s="1"/>
  <c r="I4362" i="79"/>
  <c r="A4361" i="80" s="1"/>
  <c r="I4350" i="79"/>
  <c r="A4349" i="80" s="1"/>
  <c r="I4344" i="79"/>
  <c r="A4343" i="80" s="1"/>
  <c r="I4338" i="79"/>
  <c r="A4337" i="80" s="1"/>
  <c r="I4332" i="79"/>
  <c r="A4331" i="80"/>
  <c r="I4326" i="79"/>
  <c r="A4325" i="80"/>
  <c r="I4320" i="79"/>
  <c r="A4319" i="80"/>
  <c r="I4314" i="79"/>
  <c r="A4313" i="80"/>
  <c r="I4308" i="79"/>
  <c r="A4307" i="80"/>
  <c r="I4254" i="79"/>
  <c r="A4253" i="80"/>
  <c r="I4242" i="79"/>
  <c r="A4241" i="80"/>
  <c r="I4236" i="79"/>
  <c r="A4235" i="80"/>
  <c r="I4230" i="79"/>
  <c r="A4229" i="80"/>
  <c r="I4224" i="79"/>
  <c r="A4223" i="80"/>
  <c r="I4218" i="79"/>
  <c r="A4217" i="80"/>
  <c r="I4212" i="79"/>
  <c r="A4211" i="80"/>
  <c r="I4206" i="79"/>
  <c r="A4205" i="80"/>
  <c r="I4200" i="79"/>
  <c r="A4199" i="80"/>
  <c r="I4188" i="79"/>
  <c r="A4187" i="80"/>
  <c r="I4182" i="79"/>
  <c r="A4181" i="80"/>
  <c r="I4176" i="79"/>
  <c r="A4175" i="80"/>
  <c r="I4170" i="79"/>
  <c r="A4169" i="80"/>
  <c r="I4164" i="79"/>
  <c r="A4163" i="80"/>
  <c r="I4158" i="79"/>
  <c r="A4157" i="80"/>
  <c r="I4152" i="79"/>
  <c r="A4151" i="80"/>
  <c r="I4146" i="79"/>
  <c r="A4145" i="80"/>
  <c r="I4092" i="79"/>
  <c r="A4091" i="80"/>
  <c r="I4002" i="79"/>
  <c r="A4001" i="80"/>
  <c r="I3996" i="79"/>
  <c r="A3995" i="80"/>
  <c r="I3990" i="79"/>
  <c r="A3989" i="80"/>
  <c r="I3984" i="79"/>
  <c r="A3983" i="80"/>
  <c r="I3972" i="79"/>
  <c r="A3971" i="80"/>
  <c r="I3966" i="79"/>
  <c r="A3965" i="80"/>
  <c r="I3960" i="79"/>
  <c r="A3959" i="80"/>
  <c r="I3954" i="79"/>
  <c r="A3953" i="80"/>
  <c r="I3912" i="79"/>
  <c r="A3911" i="80"/>
  <c r="I3906" i="79"/>
  <c r="A3905" i="80"/>
  <c r="I3900" i="79"/>
  <c r="A3899" i="80"/>
  <c r="I3894" i="79"/>
  <c r="A3893" i="80"/>
  <c r="I3882" i="79"/>
  <c r="A3881" i="80"/>
  <c r="I3876" i="79"/>
  <c r="A3875" i="80"/>
  <c r="I3870" i="79"/>
  <c r="A3869" i="80"/>
  <c r="I3864" i="79"/>
  <c r="A3863" i="80"/>
  <c r="I3792" i="79"/>
  <c r="A3791" i="80"/>
  <c r="I3787" i="79"/>
  <c r="A3786" i="80"/>
  <c r="I3777" i="79"/>
  <c r="A3776" i="80"/>
  <c r="I3772" i="79"/>
  <c r="A3771" i="80"/>
  <c r="I3767" i="79"/>
  <c r="A3766" i="80"/>
  <c r="I3762" i="79"/>
  <c r="A3761" i="80"/>
  <c r="I3728" i="79"/>
  <c r="A3727" i="80"/>
  <c r="I3722" i="79"/>
  <c r="A3721" i="80"/>
  <c r="I3716" i="79"/>
  <c r="A3715" i="80"/>
  <c r="I3704" i="79"/>
  <c r="A3703" i="80"/>
  <c r="I3698" i="79"/>
  <c r="A3697" i="80"/>
  <c r="I3692" i="79"/>
  <c r="A3691" i="80"/>
  <c r="I3656" i="79"/>
  <c r="A3655" i="80"/>
  <c r="I3650" i="79"/>
  <c r="A3649" i="80"/>
  <c r="I3644" i="79"/>
  <c r="A3643" i="80"/>
  <c r="I3632" i="79"/>
  <c r="A3631" i="80"/>
  <c r="I3626" i="79"/>
  <c r="A3625" i="80"/>
  <c r="I3620" i="79"/>
  <c r="A3619" i="80"/>
  <c r="I3559" i="79"/>
  <c r="A3558" i="80"/>
  <c r="I3553" i="79"/>
  <c r="A3552" i="80"/>
  <c r="I3547" i="79"/>
  <c r="A3546" i="80"/>
  <c r="I3541" i="79"/>
  <c r="A3540" i="80"/>
  <c r="I3535" i="79"/>
  <c r="A3534" i="80"/>
  <c r="I3529" i="79"/>
  <c r="A3528" i="80"/>
  <c r="I3523" i="79"/>
  <c r="A3522" i="80"/>
  <c r="I3517" i="79"/>
  <c r="A3516" i="80"/>
  <c r="I3511" i="79"/>
  <c r="A3510" i="80"/>
  <c r="I3505" i="79"/>
  <c r="A3504" i="80"/>
  <c r="I3499" i="79"/>
  <c r="A3498" i="80"/>
  <c r="I3487" i="79"/>
  <c r="A3486" i="80"/>
  <c r="I3475" i="79"/>
  <c r="A3474" i="80"/>
  <c r="I3469" i="79"/>
  <c r="A3468" i="80"/>
  <c r="I3463" i="79"/>
  <c r="A3462" i="80"/>
  <c r="I3457" i="79"/>
  <c r="A3456" i="80"/>
  <c r="I3451" i="79"/>
  <c r="A3450" i="80"/>
  <c r="I3445" i="79"/>
  <c r="A3444" i="80"/>
  <c r="I3439" i="79"/>
  <c r="A3438" i="80"/>
  <c r="I3433" i="79"/>
  <c r="A3432" i="80"/>
  <c r="I3421" i="79"/>
  <c r="A3420" i="80"/>
  <c r="I3415" i="79"/>
  <c r="A3414" i="80"/>
  <c r="I3025" i="79"/>
  <c r="A3024" i="80"/>
  <c r="I3019" i="79"/>
  <c r="A3018" i="80"/>
  <c r="I1908" i="79"/>
  <c r="A1907" i="80"/>
  <c r="I1432" i="79"/>
  <c r="A1431" i="80" s="1"/>
  <c r="I1427" i="79"/>
  <c r="A1426" i="80" s="1"/>
  <c r="I1012" i="79"/>
  <c r="A1011" i="80" s="1"/>
  <c r="I580" i="79"/>
  <c r="A579" i="80" s="1"/>
  <c r="I574" i="79"/>
  <c r="A573" i="80" s="1"/>
  <c r="I568" i="79"/>
  <c r="A567" i="80" s="1"/>
  <c r="A616" i="63"/>
  <c r="A615" i="63"/>
  <c r="I615" i="63" s="1"/>
  <c r="A614" i="63"/>
  <c r="I614" i="63" s="1"/>
  <c r="A613" i="63"/>
  <c r="I613" i="63"/>
  <c r="A612" i="63"/>
  <c r="I612" i="63" s="1"/>
  <c r="A611" i="63"/>
  <c r="I611" i="63" s="1"/>
  <c r="A610" i="63"/>
  <c r="A609" i="63"/>
  <c r="I609" i="63" s="1"/>
  <c r="A608" i="63"/>
  <c r="I608" i="63" s="1"/>
  <c r="A607" i="63"/>
  <c r="I607" i="63" s="1"/>
  <c r="A606" i="63"/>
  <c r="I606" i="63" s="1"/>
  <c r="A605" i="63"/>
  <c r="I605" i="63" s="1"/>
  <c r="A604" i="63"/>
  <c r="I604" i="63" s="1"/>
  <c r="A603" i="63"/>
  <c r="I603" i="63" s="1"/>
  <c r="A602" i="63"/>
  <c r="A601" i="63"/>
  <c r="I601" i="63" s="1"/>
  <c r="A600" i="63"/>
  <c r="I600" i="63" s="1"/>
  <c r="A599" i="63"/>
  <c r="I599" i="63" s="1"/>
  <c r="A598" i="63"/>
  <c r="I598" i="63" s="1"/>
  <c r="A597" i="63"/>
  <c r="I597" i="63"/>
  <c r="A596" i="63"/>
  <c r="I596" i="63"/>
  <c r="A595" i="63"/>
  <c r="I595" i="63" s="1"/>
  <c r="A594" i="63"/>
  <c r="A593" i="63"/>
  <c r="I593" i="63" s="1"/>
  <c r="A592" i="63"/>
  <c r="I592" i="63" s="1"/>
  <c r="A591" i="63"/>
  <c r="I591" i="63" s="1"/>
  <c r="A590" i="63"/>
  <c r="I590" i="63" s="1"/>
  <c r="A589" i="63"/>
  <c r="I589" i="63"/>
  <c r="A588" i="63"/>
  <c r="I588" i="63" s="1"/>
  <c r="A587" i="63"/>
  <c r="I587" i="63" s="1"/>
  <c r="A586" i="63"/>
  <c r="A585" i="63"/>
  <c r="I585" i="63" s="1"/>
  <c r="A584" i="63"/>
  <c r="I584" i="63" s="1"/>
  <c r="A583" i="63"/>
  <c r="I583" i="63" s="1"/>
  <c r="A582" i="63"/>
  <c r="I582" i="63" s="1"/>
  <c r="A581" i="63"/>
  <c r="I581" i="63"/>
  <c r="A580" i="63"/>
  <c r="I580" i="63"/>
  <c r="A579" i="63"/>
  <c r="I579" i="63"/>
  <c r="A578" i="63"/>
  <c r="A577" i="63"/>
  <c r="I577" i="63" s="1"/>
  <c r="A576" i="63"/>
  <c r="I576" i="63" s="1"/>
  <c r="A575" i="63"/>
  <c r="I575" i="63" s="1"/>
  <c r="A574" i="63"/>
  <c r="I574" i="63" s="1"/>
  <c r="A573" i="63"/>
  <c r="I573" i="63" s="1"/>
  <c r="A572" i="63"/>
  <c r="I572" i="63"/>
  <c r="A571" i="63"/>
  <c r="I571" i="63" s="1"/>
  <c r="A570" i="63"/>
  <c r="I570" i="63" s="1"/>
  <c r="A569" i="63"/>
  <c r="I569" i="63" s="1"/>
  <c r="A568" i="63"/>
  <c r="I568" i="63" s="1"/>
  <c r="A567" i="63"/>
  <c r="I567" i="63" s="1"/>
  <c r="A566" i="63"/>
  <c r="I566" i="63" s="1"/>
  <c r="A565" i="63"/>
  <c r="I565" i="63"/>
  <c r="A564" i="63"/>
  <c r="I564" i="63"/>
  <c r="A563" i="63"/>
  <c r="I563" i="63"/>
  <c r="A562" i="63"/>
  <c r="I562" i="63" s="1"/>
  <c r="A561" i="63"/>
  <c r="I561" i="63" s="1"/>
  <c r="A560" i="63"/>
  <c r="I560" i="63" s="1"/>
  <c r="A559" i="63"/>
  <c r="I559" i="63" s="1"/>
  <c r="A558" i="63"/>
  <c r="I558" i="63" s="1"/>
  <c r="A557" i="63"/>
  <c r="I557" i="63" s="1"/>
  <c r="A556" i="63"/>
  <c r="I556" i="63" s="1"/>
  <c r="A555" i="63"/>
  <c r="I555" i="63" s="1"/>
  <c r="A554" i="63"/>
  <c r="I554" i="63" s="1"/>
  <c r="A553" i="63"/>
  <c r="I553" i="63"/>
  <c r="A552" i="63"/>
  <c r="I552" i="63" s="1"/>
  <c r="A551" i="63"/>
  <c r="I551" i="63" s="1"/>
  <c r="A550" i="63"/>
  <c r="I550" i="63" s="1"/>
  <c r="A549" i="63"/>
  <c r="I549" i="63" s="1"/>
  <c r="A548" i="63"/>
  <c r="A547" i="63"/>
  <c r="I547" i="63" s="1"/>
  <c r="A546" i="63"/>
  <c r="I546" i="63" s="1"/>
  <c r="A545" i="63"/>
  <c r="I545" i="63"/>
  <c r="A544" i="63"/>
  <c r="I544" i="63" s="1"/>
  <c r="A543" i="63"/>
  <c r="I543" i="63" s="1"/>
  <c r="A542" i="63"/>
  <c r="I542" i="63" s="1"/>
  <c r="A541" i="63"/>
  <c r="I541" i="63" s="1"/>
  <c r="A540" i="63"/>
  <c r="I540" i="63" s="1"/>
  <c r="A539" i="63"/>
  <c r="I539" i="63" s="1"/>
  <c r="A538" i="63"/>
  <c r="A537" i="63"/>
  <c r="I537" i="63"/>
  <c r="A536" i="63"/>
  <c r="I536" i="63"/>
  <c r="A535" i="63"/>
  <c r="I535" i="63"/>
  <c r="A534" i="63"/>
  <c r="A533" i="63"/>
  <c r="I533" i="63" s="1"/>
  <c r="A532" i="63"/>
  <c r="I532" i="63" s="1"/>
  <c r="A531" i="63"/>
  <c r="I531" i="63" s="1"/>
  <c r="A530" i="63"/>
  <c r="A529" i="63"/>
  <c r="I529" i="63" s="1"/>
  <c r="A528" i="63"/>
  <c r="I528" i="63" s="1"/>
  <c r="A527" i="63"/>
  <c r="I527" i="63"/>
  <c r="A526" i="63"/>
  <c r="I526" i="63" s="1"/>
  <c r="A525" i="63"/>
  <c r="I525" i="63" s="1"/>
  <c r="A524" i="63"/>
  <c r="I524" i="63" s="1"/>
  <c r="A523" i="63"/>
  <c r="I523" i="63" s="1"/>
  <c r="A522" i="63"/>
  <c r="I522" i="63" s="1"/>
  <c r="A521" i="63"/>
  <c r="I521" i="63"/>
  <c r="A520" i="63"/>
  <c r="I520" i="63"/>
  <c r="A519" i="63"/>
  <c r="I519" i="63"/>
  <c r="A518" i="63"/>
  <c r="I518" i="63" s="1"/>
  <c r="A517" i="63"/>
  <c r="I517" i="63" s="1"/>
  <c r="A516" i="63"/>
  <c r="I516" i="63" s="1"/>
  <c r="A515" i="63"/>
  <c r="I515" i="63" s="1"/>
  <c r="A514" i="63"/>
  <c r="A513" i="63"/>
  <c r="I513" i="63" s="1"/>
  <c r="A512" i="63"/>
  <c r="I512" i="63" s="1"/>
  <c r="A511" i="63"/>
  <c r="I511" i="63" s="1"/>
  <c r="A510" i="63"/>
  <c r="A509" i="63"/>
  <c r="I509" i="63" s="1"/>
  <c r="A508" i="63"/>
  <c r="I508" i="63" s="1"/>
  <c r="A507" i="63"/>
  <c r="I507" i="63" s="1"/>
  <c r="A506" i="63"/>
  <c r="I506" i="63" s="1"/>
  <c r="A505" i="63"/>
  <c r="I505" i="63" s="1"/>
  <c r="A504" i="63"/>
  <c r="I504" i="63"/>
  <c r="A503" i="63"/>
  <c r="I503" i="63"/>
  <c r="A502" i="63"/>
  <c r="A501" i="63"/>
  <c r="I501" i="63" s="1"/>
  <c r="A500" i="63"/>
  <c r="I500" i="63" s="1"/>
  <c r="A499" i="63"/>
  <c r="I499" i="63" s="1"/>
  <c r="A498" i="63"/>
  <c r="I498" i="63" s="1"/>
  <c r="A497" i="63"/>
  <c r="I497" i="63" s="1"/>
  <c r="A496" i="63"/>
  <c r="I496" i="63" s="1"/>
  <c r="A495" i="63"/>
  <c r="I495" i="63" s="1"/>
  <c r="A494" i="63"/>
  <c r="I494" i="63" s="1"/>
  <c r="A493" i="63"/>
  <c r="I493" i="63" s="1"/>
  <c r="A492" i="63"/>
  <c r="I492" i="63" s="1"/>
  <c r="A491" i="63"/>
  <c r="I491" i="63"/>
  <c r="A490" i="63"/>
  <c r="I490" i="63" s="1"/>
  <c r="A489" i="63"/>
  <c r="A488" i="63"/>
  <c r="I488" i="63" s="1"/>
  <c r="A487" i="63"/>
  <c r="I487" i="63"/>
  <c r="A486" i="63"/>
  <c r="A485" i="63"/>
  <c r="I485" i="63" s="1"/>
  <c r="A484" i="63"/>
  <c r="I484" i="63" s="1"/>
  <c r="A483" i="63"/>
  <c r="I483" i="63" s="1"/>
  <c r="A482" i="63"/>
  <c r="I482" i="63" s="1"/>
  <c r="A481" i="63"/>
  <c r="I481" i="63" s="1"/>
  <c r="A480" i="63"/>
  <c r="I480" i="63" s="1"/>
  <c r="A479" i="63"/>
  <c r="I479" i="63" s="1"/>
  <c r="A478" i="63"/>
  <c r="A477" i="63"/>
  <c r="I477" i="63" s="1"/>
  <c r="A476" i="63"/>
  <c r="I476" i="63" s="1"/>
  <c r="A475" i="63"/>
  <c r="I475" i="63" s="1"/>
  <c r="A474" i="63"/>
  <c r="I474" i="63" s="1"/>
  <c r="A473" i="63"/>
  <c r="I473" i="63"/>
  <c r="A472" i="63"/>
  <c r="I472" i="63"/>
  <c r="A471" i="63"/>
  <c r="I471" i="63" s="1"/>
  <c r="A470" i="63"/>
  <c r="A469" i="63"/>
  <c r="I469" i="63" s="1"/>
  <c r="A468" i="63"/>
  <c r="I468" i="63" s="1"/>
  <c r="A467" i="63"/>
  <c r="I467" i="63" s="1"/>
  <c r="A466" i="63"/>
  <c r="I466" i="63" s="1"/>
  <c r="A465" i="63"/>
  <c r="I465" i="63"/>
  <c r="A464" i="63"/>
  <c r="I464" i="63" s="1"/>
  <c r="A463" i="63"/>
  <c r="I463" i="63" s="1"/>
  <c r="A462" i="63"/>
  <c r="A461" i="63"/>
  <c r="I461" i="63" s="1"/>
  <c r="A460" i="63"/>
  <c r="A459" i="63"/>
  <c r="I459" i="63"/>
  <c r="A458" i="63"/>
  <c r="A457" i="63"/>
  <c r="I457" i="63" s="1"/>
  <c r="A456" i="63"/>
  <c r="I456" i="63" s="1"/>
  <c r="A455" i="63"/>
  <c r="I455" i="63" s="1"/>
  <c r="A454" i="63"/>
  <c r="I454" i="63" s="1"/>
  <c r="A453" i="63"/>
  <c r="I453" i="63" s="1"/>
  <c r="A452" i="63"/>
  <c r="I452" i="63" s="1"/>
  <c r="A451" i="63"/>
  <c r="I451" i="63" s="1"/>
  <c r="A450" i="63"/>
  <c r="A449" i="63"/>
  <c r="I449" i="63" s="1"/>
  <c r="A448" i="63"/>
  <c r="I448" i="63" s="1"/>
  <c r="A447" i="63"/>
  <c r="I447" i="63"/>
  <c r="A446" i="63"/>
  <c r="A445" i="63"/>
  <c r="I445" i="63" s="1"/>
  <c r="A444" i="63"/>
  <c r="I444" i="63" s="1"/>
  <c r="A443" i="63"/>
  <c r="I443" i="63" s="1"/>
  <c r="A442" i="63"/>
  <c r="A441" i="63"/>
  <c r="I441" i="63" s="1"/>
  <c r="A440" i="63"/>
  <c r="I440" i="63" s="1"/>
  <c r="A439" i="63"/>
  <c r="I439" i="63" s="1"/>
  <c r="A438" i="63"/>
  <c r="I438" i="63" s="1"/>
  <c r="A437" i="63"/>
  <c r="I437" i="63"/>
  <c r="A436" i="63"/>
  <c r="I436" i="63"/>
  <c r="A435" i="63"/>
  <c r="I435" i="63" s="1"/>
  <c r="A434" i="63"/>
  <c r="I434" i="63" s="1"/>
  <c r="A433" i="63"/>
  <c r="A432" i="63"/>
  <c r="I432" i="63" s="1"/>
  <c r="A431" i="63"/>
  <c r="I431" i="63" s="1"/>
  <c r="A430" i="63"/>
  <c r="I430" i="63" s="1"/>
  <c r="A429" i="63"/>
  <c r="I429" i="63"/>
  <c r="A428" i="63"/>
  <c r="I428" i="63"/>
  <c r="A427" i="63"/>
  <c r="I427" i="63" s="1"/>
  <c r="A426" i="63"/>
  <c r="I426" i="63" s="1"/>
  <c r="A425" i="63"/>
  <c r="I425" i="63" s="1"/>
  <c r="A424" i="63"/>
  <c r="I424" i="63" s="1"/>
  <c r="A423" i="63"/>
  <c r="I423" i="63" s="1"/>
  <c r="A422" i="63"/>
  <c r="I422" i="63" s="1"/>
  <c r="A421" i="63"/>
  <c r="I421" i="63"/>
  <c r="A420" i="63"/>
  <c r="I420" i="63"/>
  <c r="A419" i="63"/>
  <c r="I419" i="63" s="1"/>
  <c r="A418" i="63"/>
  <c r="I418" i="63" s="1"/>
  <c r="A417" i="63"/>
  <c r="A416" i="63"/>
  <c r="I416" i="63" s="1"/>
  <c r="A415" i="63"/>
  <c r="I415" i="63" s="1"/>
  <c r="A414" i="63"/>
  <c r="I414" i="63" s="1"/>
  <c r="A413" i="63"/>
  <c r="I413" i="63"/>
  <c r="A412" i="63"/>
  <c r="I412" i="63"/>
  <c r="A411" i="63"/>
  <c r="A410" i="63"/>
  <c r="I410" i="63" s="1"/>
  <c r="A409" i="63"/>
  <c r="A408" i="63"/>
  <c r="I408" i="63" s="1"/>
  <c r="A407" i="63"/>
  <c r="I407" i="63" s="1"/>
  <c r="A406" i="63"/>
  <c r="I406" i="63" s="1"/>
  <c r="A405" i="63"/>
  <c r="I405" i="63" s="1"/>
  <c r="A404" i="63"/>
  <c r="A403" i="63"/>
  <c r="I403" i="63" s="1"/>
  <c r="A402" i="63"/>
  <c r="A401" i="63"/>
  <c r="I401" i="63" s="1"/>
  <c r="A400" i="63"/>
  <c r="I400" i="63"/>
  <c r="A399" i="63"/>
  <c r="I399" i="63" s="1"/>
  <c r="A398" i="63"/>
  <c r="A397" i="63"/>
  <c r="A396" i="63"/>
  <c r="I396" i="63" s="1"/>
  <c r="A395" i="63"/>
  <c r="I395" i="63" s="1"/>
  <c r="A394" i="63"/>
  <c r="A393" i="63"/>
  <c r="A392" i="63"/>
  <c r="I392" i="63"/>
  <c r="A391" i="63"/>
  <c r="I391" i="63" s="1"/>
  <c r="A390" i="63"/>
  <c r="I390" i="63" s="1"/>
  <c r="A389" i="63"/>
  <c r="I389" i="63" s="1"/>
  <c r="A388" i="63"/>
  <c r="I388" i="63" s="1"/>
  <c r="A387" i="63"/>
  <c r="I387" i="63" s="1"/>
  <c r="A386" i="63"/>
  <c r="I386" i="63" s="1"/>
  <c r="A385" i="63"/>
  <c r="I385" i="63"/>
  <c r="A384" i="63"/>
  <c r="I384" i="63"/>
  <c r="A383" i="63"/>
  <c r="I383" i="63"/>
  <c r="A382" i="63"/>
  <c r="I382" i="63" s="1"/>
  <c r="A381" i="63"/>
  <c r="I381" i="63" s="1"/>
  <c r="A380" i="63"/>
  <c r="I380" i="63" s="1"/>
  <c r="A379" i="63"/>
  <c r="I379" i="63" s="1"/>
  <c r="A378" i="63"/>
  <c r="I378" i="63" s="1"/>
  <c r="A377" i="63"/>
  <c r="I377" i="63" s="1"/>
  <c r="A376" i="63"/>
  <c r="I376" i="63" s="1"/>
  <c r="A375" i="63"/>
  <c r="I375" i="63"/>
  <c r="A374" i="63"/>
  <c r="I374" i="63" s="1"/>
  <c r="A373" i="63"/>
  <c r="I373" i="63" s="1"/>
  <c r="A372" i="63"/>
  <c r="I372" i="63" s="1"/>
  <c r="A371" i="63"/>
  <c r="I371" i="63" s="1"/>
  <c r="A370" i="63"/>
  <c r="I370" i="63" s="1"/>
  <c r="A369" i="63"/>
  <c r="I369" i="63"/>
  <c r="A368" i="63"/>
  <c r="I368" i="63"/>
  <c r="A367" i="63"/>
  <c r="I367" i="63"/>
  <c r="A366" i="63"/>
  <c r="I366" i="63" s="1"/>
  <c r="A365" i="63"/>
  <c r="I365" i="63" s="1"/>
  <c r="A364" i="63"/>
  <c r="I364" i="63" s="1"/>
  <c r="A363" i="63"/>
  <c r="I363" i="63" s="1"/>
  <c r="A362" i="63"/>
  <c r="I362" i="63" s="1"/>
  <c r="A361" i="63"/>
  <c r="I361" i="63" s="1"/>
  <c r="A360" i="63"/>
  <c r="I360" i="63" s="1"/>
  <c r="A359" i="63"/>
  <c r="I359" i="63" s="1"/>
  <c r="A358" i="63"/>
  <c r="I358" i="63" s="1"/>
  <c r="A357" i="63"/>
  <c r="I357" i="63" s="1"/>
  <c r="A356" i="63"/>
  <c r="I356" i="63" s="1"/>
  <c r="A355" i="63"/>
  <c r="I355" i="63"/>
  <c r="A354" i="63"/>
  <c r="I354" i="63" s="1"/>
  <c r="A353" i="63"/>
  <c r="I353" i="63" s="1"/>
  <c r="A352" i="63"/>
  <c r="I352" i="63" s="1"/>
  <c r="A351" i="63"/>
  <c r="I351" i="63" s="1"/>
  <c r="A350" i="63"/>
  <c r="I350" i="63" s="1"/>
  <c r="A349" i="63"/>
  <c r="I349" i="63" s="1"/>
  <c r="A348" i="63"/>
  <c r="I348" i="63"/>
  <c r="A347" i="63"/>
  <c r="I347" i="63" s="1"/>
  <c r="A346" i="63"/>
  <c r="I346" i="63" s="1"/>
  <c r="A345" i="63"/>
  <c r="I345" i="63" s="1"/>
  <c r="A344" i="63"/>
  <c r="I344" i="63" s="1"/>
  <c r="A343" i="63"/>
  <c r="I343" i="63" s="1"/>
  <c r="A342" i="63"/>
  <c r="A341" i="63"/>
  <c r="I341" i="63"/>
  <c r="A340" i="63"/>
  <c r="I340" i="63"/>
  <c r="A339" i="63"/>
  <c r="I339" i="63"/>
  <c r="A338" i="63"/>
  <c r="A337" i="63"/>
  <c r="I337" i="63" s="1"/>
  <c r="A336" i="63"/>
  <c r="I336" i="63" s="1"/>
  <c r="A335" i="63"/>
  <c r="I335" i="63" s="1"/>
  <c r="A334" i="63"/>
  <c r="A333" i="63"/>
  <c r="I333" i="63" s="1"/>
  <c r="A332" i="63"/>
  <c r="I332" i="63" s="1"/>
  <c r="A331" i="63"/>
  <c r="I331" i="63"/>
  <c r="A330" i="63"/>
  <c r="I330" i="63" s="1"/>
  <c r="A329" i="63"/>
  <c r="I329" i="63" s="1"/>
  <c r="A328" i="63"/>
  <c r="I328" i="63" s="1"/>
  <c r="A327" i="63"/>
  <c r="I327" i="63" s="1"/>
  <c r="A326" i="63"/>
  <c r="A325" i="63"/>
  <c r="I325" i="63"/>
  <c r="A324" i="63"/>
  <c r="A323" i="63"/>
  <c r="I323" i="63" s="1"/>
  <c r="A322" i="63"/>
  <c r="A321" i="63"/>
  <c r="I321" i="63"/>
  <c r="A320" i="63"/>
  <c r="I320" i="63" s="1"/>
  <c r="A319" i="63"/>
  <c r="I319" i="63" s="1"/>
  <c r="A318" i="63"/>
  <c r="I318" i="63" s="1"/>
  <c r="A317" i="63"/>
  <c r="I317" i="63" s="1"/>
  <c r="A316" i="63"/>
  <c r="A315" i="63"/>
  <c r="I315" i="63"/>
  <c r="A314" i="63"/>
  <c r="A313" i="63"/>
  <c r="I313" i="63" s="1"/>
  <c r="A312" i="63"/>
  <c r="I312" i="63" s="1"/>
  <c r="A311" i="63"/>
  <c r="I311" i="63" s="1"/>
  <c r="A310" i="63"/>
  <c r="I310" i="63" s="1"/>
  <c r="A309" i="63"/>
  <c r="I309" i="63" s="1"/>
  <c r="A308" i="63"/>
  <c r="I308" i="63" s="1"/>
  <c r="A307" i="63"/>
  <c r="I307" i="63"/>
  <c r="A306" i="63"/>
  <c r="A305" i="63"/>
  <c r="I305" i="63" s="1"/>
  <c r="A304" i="63"/>
  <c r="I304" i="63" s="1"/>
  <c r="A303" i="63"/>
  <c r="I303" i="63" s="1"/>
  <c r="A302" i="63"/>
  <c r="I302" i="63" s="1"/>
  <c r="A301" i="63"/>
  <c r="I301" i="63" s="1"/>
  <c r="A300" i="63"/>
  <c r="I300" i="63" s="1"/>
  <c r="A299" i="63"/>
  <c r="I299" i="63" s="1"/>
  <c r="A298" i="63"/>
  <c r="A297" i="63"/>
  <c r="I297" i="63" s="1"/>
  <c r="A296" i="63"/>
  <c r="I296" i="63" s="1"/>
  <c r="A295" i="63"/>
  <c r="I295" i="63"/>
  <c r="A294" i="63"/>
  <c r="I294" i="63" s="1"/>
  <c r="A293" i="63"/>
  <c r="I293" i="63" s="1"/>
  <c r="A292" i="63"/>
  <c r="I292" i="63" s="1"/>
  <c r="A291" i="63"/>
  <c r="I291" i="63" s="1"/>
  <c r="A290" i="63"/>
  <c r="I290" i="63" s="1"/>
  <c r="A289" i="63"/>
  <c r="I289" i="63" s="1"/>
  <c r="A288" i="63"/>
  <c r="A287" i="63"/>
  <c r="I287" i="63"/>
  <c r="A286" i="63"/>
  <c r="A285" i="63"/>
  <c r="I285" i="63" s="1"/>
  <c r="A284" i="63"/>
  <c r="I284" i="63" s="1"/>
  <c r="A283" i="63"/>
  <c r="I283" i="63" s="1"/>
  <c r="A282" i="63"/>
  <c r="A281" i="63"/>
  <c r="I281" i="63" s="1"/>
  <c r="A280" i="63"/>
  <c r="I280" i="63" s="1"/>
  <c r="A279" i="63"/>
  <c r="I279" i="63" s="1"/>
  <c r="A278" i="63"/>
  <c r="A277" i="63"/>
  <c r="I277" i="63" s="1"/>
  <c r="A276" i="63"/>
  <c r="I276" i="63" s="1"/>
  <c r="A275" i="63"/>
  <c r="I275" i="63" s="1"/>
  <c r="A274" i="63"/>
  <c r="I274" i="63" s="1"/>
  <c r="A273" i="63"/>
  <c r="I273" i="63" s="1"/>
  <c r="A272" i="63"/>
  <c r="I272" i="63" s="1"/>
  <c r="A271" i="63"/>
  <c r="I271" i="63" s="1"/>
  <c r="A270" i="63"/>
  <c r="I270" i="63" s="1"/>
  <c r="A269" i="63"/>
  <c r="I269" i="63" s="1"/>
  <c r="A268" i="63"/>
  <c r="I268" i="63" s="1"/>
  <c r="A267" i="63"/>
  <c r="I267" i="63" s="1"/>
  <c r="A266" i="63"/>
  <c r="I266" i="63" s="1"/>
  <c r="A265" i="63"/>
  <c r="I265" i="63" s="1"/>
  <c r="A264" i="63"/>
  <c r="I264" i="63" s="1"/>
  <c r="A263" i="63"/>
  <c r="I263" i="63" s="1"/>
  <c r="A262" i="63"/>
  <c r="I262" i="63" s="1"/>
  <c r="A261" i="63"/>
  <c r="I261" i="63" s="1"/>
  <c r="A260" i="63"/>
  <c r="I260" i="63" s="1"/>
  <c r="A259" i="63"/>
  <c r="I259" i="63" s="1"/>
  <c r="A258" i="63"/>
  <c r="I258" i="63" s="1"/>
  <c r="A257" i="63"/>
  <c r="I257" i="63" s="1"/>
  <c r="A256" i="63"/>
  <c r="I256" i="63" s="1"/>
  <c r="A255" i="63"/>
  <c r="I255" i="63" s="1"/>
  <c r="A254" i="63"/>
  <c r="I254" i="63" s="1"/>
  <c r="A253" i="63"/>
  <c r="I253" i="63" s="1"/>
  <c r="A252" i="63"/>
  <c r="I252" i="63" s="1"/>
  <c r="A251" i="63"/>
  <c r="I251" i="63" s="1"/>
  <c r="A250" i="63"/>
  <c r="I250" i="63" s="1"/>
  <c r="A249" i="63"/>
  <c r="I249" i="63" s="1"/>
  <c r="A248" i="63"/>
  <c r="I248" i="63" s="1"/>
  <c r="A247" i="63"/>
  <c r="I247" i="63" s="1"/>
  <c r="A246" i="63"/>
  <c r="I246" i="63" s="1"/>
  <c r="A245" i="63"/>
  <c r="I245" i="63" s="1"/>
  <c r="A244" i="63"/>
  <c r="I244" i="63" s="1"/>
  <c r="A243" i="63"/>
  <c r="I243" i="63" s="1"/>
  <c r="A242" i="63"/>
  <c r="I242" i="63" s="1"/>
  <c r="A241" i="63"/>
  <c r="I241" i="63" s="1"/>
  <c r="A240" i="63"/>
  <c r="I240" i="63" s="1"/>
  <c r="A239" i="63"/>
  <c r="I239" i="63" s="1"/>
  <c r="A238" i="63"/>
  <c r="I238" i="63" s="1"/>
  <c r="A237" i="63"/>
  <c r="I237" i="63" s="1"/>
  <c r="A236" i="63"/>
  <c r="I236" i="63" s="1"/>
  <c r="A235" i="63"/>
  <c r="I235" i="63" s="1"/>
  <c r="A234" i="63"/>
  <c r="I234" i="63" s="1"/>
  <c r="A233" i="63"/>
  <c r="I233" i="63" s="1"/>
  <c r="A232" i="63"/>
  <c r="I232" i="63" s="1"/>
  <c r="A231" i="63"/>
  <c r="I231" i="63" s="1"/>
  <c r="A230" i="63"/>
  <c r="I230" i="63" s="1"/>
  <c r="A229" i="63"/>
  <c r="I229" i="63" s="1"/>
  <c r="A228" i="63"/>
  <c r="I228" i="63" s="1"/>
  <c r="A227" i="63"/>
  <c r="I227" i="63" s="1"/>
  <c r="A226" i="63"/>
  <c r="I226" i="63" s="1"/>
  <c r="A225" i="63"/>
  <c r="I225" i="63" s="1"/>
  <c r="A224" i="63"/>
  <c r="I224" i="63" s="1"/>
  <c r="A223" i="63"/>
  <c r="I223" i="63" s="1"/>
  <c r="A222" i="63"/>
  <c r="I222" i="63" s="1"/>
  <c r="A221" i="63"/>
  <c r="I221" i="63" s="1"/>
  <c r="A220" i="63"/>
  <c r="I220" i="63" s="1"/>
  <c r="A219" i="63"/>
  <c r="I219" i="63" s="1"/>
  <c r="A218" i="63"/>
  <c r="I218" i="63" s="1"/>
  <c r="A217" i="63"/>
  <c r="I217" i="63" s="1"/>
  <c r="A216" i="63"/>
  <c r="I216" i="63" s="1"/>
  <c r="A215" i="63"/>
  <c r="I215" i="63" s="1"/>
  <c r="A214" i="63"/>
  <c r="I214" i="63" s="1"/>
  <c r="A213" i="63"/>
  <c r="I213" i="63" s="1"/>
  <c r="A212" i="63"/>
  <c r="I212" i="63" s="1"/>
  <c r="A211" i="63"/>
  <c r="I211" i="63" s="1"/>
  <c r="A210" i="63"/>
  <c r="I210" i="63" s="1"/>
  <c r="A209" i="63"/>
  <c r="I209" i="63" s="1"/>
  <c r="A208" i="63"/>
  <c r="I208" i="63" s="1"/>
  <c r="A207" i="63"/>
  <c r="I207" i="63" s="1"/>
  <c r="A206" i="63"/>
  <c r="I206" i="63" s="1"/>
  <c r="A205" i="63"/>
  <c r="I205" i="63" s="1"/>
  <c r="A204" i="63"/>
  <c r="I204" i="63" s="1"/>
  <c r="A203" i="63"/>
  <c r="I203" i="63" s="1"/>
  <c r="A202" i="63"/>
  <c r="I202" i="63" s="1"/>
  <c r="A201" i="63"/>
  <c r="I201" i="63" s="1"/>
  <c r="A200" i="63"/>
  <c r="I200" i="63" s="1"/>
  <c r="A199" i="63"/>
  <c r="I199" i="63" s="1"/>
  <c r="A198" i="63"/>
  <c r="I198" i="63" s="1"/>
  <c r="A197" i="63"/>
  <c r="I197" i="63" s="1"/>
  <c r="A196" i="63"/>
  <c r="I196" i="63" s="1"/>
  <c r="A195" i="63"/>
  <c r="I195" i="63" s="1"/>
  <c r="A194" i="63"/>
  <c r="I194" i="63" s="1"/>
  <c r="A193" i="63"/>
  <c r="I193" i="63" s="1"/>
  <c r="A192" i="63"/>
  <c r="I192" i="63" s="1"/>
  <c r="A191" i="63"/>
  <c r="I191" i="63" s="1"/>
  <c r="A190" i="63"/>
  <c r="I190" i="63" s="1"/>
  <c r="A189" i="63"/>
  <c r="I189" i="63" s="1"/>
  <c r="A188" i="63"/>
  <c r="I188" i="63" s="1"/>
  <c r="A187" i="63"/>
  <c r="I187" i="63" s="1"/>
  <c r="A186" i="63"/>
  <c r="I186" i="63" s="1"/>
  <c r="A185" i="63"/>
  <c r="I185" i="63" s="1"/>
  <c r="A184" i="63"/>
  <c r="I184" i="63" s="1"/>
  <c r="A183" i="63"/>
  <c r="I183" i="63" s="1"/>
  <c r="A182" i="63"/>
  <c r="I182" i="63" s="1"/>
  <c r="A181" i="63"/>
  <c r="I181" i="63" s="1"/>
  <c r="A180" i="63"/>
  <c r="I180" i="63" s="1"/>
  <c r="A179" i="63"/>
  <c r="I179" i="63" s="1"/>
  <c r="A178" i="63"/>
  <c r="I178" i="63" s="1"/>
  <c r="A177" i="63"/>
  <c r="I177" i="63" s="1"/>
  <c r="A176" i="63"/>
  <c r="I176" i="63" s="1"/>
  <c r="A175" i="63"/>
  <c r="I175" i="63" s="1"/>
  <c r="A174" i="63"/>
  <c r="I174" i="63" s="1"/>
  <c r="A173" i="63"/>
  <c r="I173" i="63" s="1"/>
  <c r="A172" i="63"/>
  <c r="I172" i="63" s="1"/>
  <c r="A171" i="63"/>
  <c r="I171" i="63" s="1"/>
  <c r="A170" i="63"/>
  <c r="I170" i="63" s="1"/>
  <c r="A169" i="63"/>
  <c r="I169" i="63" s="1"/>
  <c r="A168" i="63"/>
  <c r="I168" i="63" s="1"/>
  <c r="A167" i="63"/>
  <c r="I167" i="63" s="1"/>
  <c r="A166" i="63"/>
  <c r="I166" i="63" s="1"/>
  <c r="A165" i="63"/>
  <c r="I165" i="63" s="1"/>
  <c r="A164" i="63"/>
  <c r="I164" i="63" s="1"/>
  <c r="A163" i="63"/>
  <c r="I163" i="63" s="1"/>
  <c r="A162" i="63"/>
  <c r="I162" i="63" s="1"/>
  <c r="A161" i="63"/>
  <c r="I161" i="63" s="1"/>
  <c r="A160" i="63"/>
  <c r="I160" i="63" s="1"/>
  <c r="A159" i="63"/>
  <c r="I159" i="63" s="1"/>
  <c r="A158" i="63"/>
  <c r="I158" i="63" s="1"/>
  <c r="A157" i="63"/>
  <c r="I157" i="63" s="1"/>
  <c r="A156" i="63"/>
  <c r="I156" i="63" s="1"/>
  <c r="A155" i="63"/>
  <c r="I155" i="63" s="1"/>
  <c r="A154" i="63"/>
  <c r="I154" i="63" s="1"/>
  <c r="A153" i="63"/>
  <c r="I153" i="63" s="1"/>
  <c r="A152" i="63"/>
  <c r="I152" i="63" s="1"/>
  <c r="A151" i="63"/>
  <c r="I151" i="63" s="1"/>
  <c r="A150" i="63"/>
  <c r="I150" i="63" s="1"/>
  <c r="A149" i="63"/>
  <c r="I149" i="63" s="1"/>
  <c r="A148" i="63"/>
  <c r="I148" i="63" s="1"/>
  <c r="A147" i="63"/>
  <c r="I147" i="63" s="1"/>
  <c r="A146" i="63"/>
  <c r="I146" i="63" s="1"/>
  <c r="A145" i="63"/>
  <c r="I145" i="63" s="1"/>
  <c r="A144" i="63"/>
  <c r="I144" i="63" s="1"/>
  <c r="A143" i="63"/>
  <c r="I143" i="63" s="1"/>
  <c r="A142" i="63"/>
  <c r="I142" i="63" s="1"/>
  <c r="A141" i="63"/>
  <c r="I141" i="63" s="1"/>
  <c r="A140" i="63"/>
  <c r="I140" i="63" s="1"/>
  <c r="A139" i="63"/>
  <c r="I139" i="63" s="1"/>
  <c r="A138" i="63"/>
  <c r="I138" i="63" s="1"/>
  <c r="A137" i="63"/>
  <c r="I137" i="63" s="1"/>
  <c r="A136" i="63"/>
  <c r="I136" i="63" s="1"/>
  <c r="A135" i="63"/>
  <c r="I135" i="63" s="1"/>
  <c r="A134" i="63"/>
  <c r="I134" i="63" s="1"/>
  <c r="A133" i="63"/>
  <c r="I133" i="63" s="1"/>
  <c r="A132" i="63"/>
  <c r="I132" i="63" s="1"/>
  <c r="A131" i="63"/>
  <c r="I131" i="63" s="1"/>
  <c r="A130" i="63"/>
  <c r="I130" i="63" s="1"/>
  <c r="A129" i="63"/>
  <c r="I129" i="63" s="1"/>
  <c r="A128" i="63"/>
  <c r="I128" i="63" s="1"/>
  <c r="A127" i="63"/>
  <c r="I127" i="63" s="1"/>
  <c r="A126" i="63"/>
  <c r="I126" i="63" s="1"/>
  <c r="A125" i="63"/>
  <c r="I125" i="63" s="1"/>
  <c r="A124" i="63"/>
  <c r="I124" i="63" s="1"/>
  <c r="A123" i="63"/>
  <c r="I123" i="63" s="1"/>
  <c r="A122" i="63"/>
  <c r="I122" i="63" s="1"/>
  <c r="A121" i="63"/>
  <c r="I121" i="63" s="1"/>
  <c r="A120" i="63"/>
  <c r="I120" i="63" s="1"/>
  <c r="A119" i="63"/>
  <c r="I119" i="63" s="1"/>
  <c r="A118" i="63"/>
  <c r="I118" i="63" s="1"/>
  <c r="A117" i="63"/>
  <c r="I117" i="63" s="1"/>
  <c r="A116" i="63"/>
  <c r="I116" i="63" s="1"/>
  <c r="A115" i="63"/>
  <c r="I115" i="63" s="1"/>
  <c r="A114" i="63"/>
  <c r="I114" i="63" s="1"/>
  <c r="A113" i="63"/>
  <c r="I113" i="63" s="1"/>
  <c r="A112" i="63"/>
  <c r="I112" i="63" s="1"/>
  <c r="A111" i="63"/>
  <c r="I111" i="63" s="1"/>
  <c r="A110" i="63"/>
  <c r="I110" i="63" s="1"/>
  <c r="A109" i="63"/>
  <c r="I109" i="63" s="1"/>
  <c r="A108" i="63"/>
  <c r="I108" i="63" s="1"/>
  <c r="A107" i="63"/>
  <c r="I107" i="63" s="1"/>
  <c r="A106" i="63"/>
  <c r="I106" i="63" s="1"/>
  <c r="A105" i="63"/>
  <c r="I105" i="63" s="1"/>
  <c r="A104" i="63"/>
  <c r="I104" i="63" s="1"/>
  <c r="A103" i="63"/>
  <c r="I103" i="63" s="1"/>
  <c r="A102" i="63"/>
  <c r="I102" i="63" s="1"/>
  <c r="A101" i="63"/>
  <c r="I101" i="63" s="1"/>
  <c r="A100" i="63"/>
  <c r="I100" i="63" s="1"/>
  <c r="A99" i="63"/>
  <c r="I99" i="63" s="1"/>
  <c r="A98" i="63"/>
  <c r="I98" i="63" s="1"/>
  <c r="A97" i="63"/>
  <c r="I97" i="63" s="1"/>
  <c r="A96" i="63"/>
  <c r="I96" i="63" s="1"/>
  <c r="A95" i="63"/>
  <c r="I95" i="63" s="1"/>
  <c r="A94" i="63"/>
  <c r="I94" i="63" s="1"/>
  <c r="A93" i="63"/>
  <c r="I93" i="63" s="1"/>
  <c r="A92" i="63"/>
  <c r="I92" i="63" s="1"/>
  <c r="A91" i="63"/>
  <c r="I91" i="63" s="1"/>
  <c r="A90" i="63"/>
  <c r="I90" i="63" s="1"/>
  <c r="A89" i="63"/>
  <c r="I89" i="63" s="1"/>
  <c r="A88" i="63"/>
  <c r="I88" i="63" s="1"/>
  <c r="A87" i="63"/>
  <c r="I87" i="63" s="1"/>
  <c r="A86" i="63"/>
  <c r="I86" i="63" s="1"/>
  <c r="A85" i="63"/>
  <c r="I85" i="63" s="1"/>
  <c r="A84" i="63"/>
  <c r="I84" i="63" s="1"/>
  <c r="A83" i="63"/>
  <c r="I83" i="63" s="1"/>
  <c r="A82" i="63"/>
  <c r="I82" i="63" s="1"/>
  <c r="A81" i="63"/>
  <c r="I81" i="63" s="1"/>
  <c r="A80" i="63"/>
  <c r="I80" i="63" s="1"/>
  <c r="A79" i="63"/>
  <c r="I79" i="63" s="1"/>
  <c r="A78" i="63"/>
  <c r="I78" i="63" s="1"/>
  <c r="A77" i="63"/>
  <c r="I77" i="63" s="1"/>
  <c r="A76" i="63"/>
  <c r="I76" i="63" s="1"/>
  <c r="A75" i="63"/>
  <c r="I75" i="63" s="1"/>
  <c r="A74" i="63"/>
  <c r="I74" i="63" s="1"/>
  <c r="A73" i="63"/>
  <c r="I73" i="63" s="1"/>
  <c r="A72" i="63"/>
  <c r="I72" i="63" s="1"/>
  <c r="A71" i="63"/>
  <c r="I71" i="63" s="1"/>
  <c r="A70" i="63"/>
  <c r="I70" i="63" s="1"/>
  <c r="A69" i="63"/>
  <c r="I69" i="63" s="1"/>
  <c r="A68" i="63"/>
  <c r="I68" i="63" s="1"/>
  <c r="A67" i="63"/>
  <c r="I67" i="63" s="1"/>
  <c r="A66" i="63"/>
  <c r="I66" i="63" s="1"/>
  <c r="A65" i="63"/>
  <c r="I65" i="63" s="1"/>
  <c r="A64" i="63"/>
  <c r="I64" i="63" s="1"/>
  <c r="A63" i="63"/>
  <c r="I63" i="63" s="1"/>
  <c r="A62" i="63"/>
  <c r="I62" i="63" s="1"/>
  <c r="A61" i="63"/>
  <c r="I61" i="63" s="1"/>
  <c r="A60" i="63"/>
  <c r="I60" i="63" s="1"/>
  <c r="A59" i="63"/>
  <c r="I59" i="63" s="1"/>
  <c r="A58" i="63"/>
  <c r="I58" i="63" s="1"/>
  <c r="A57" i="63"/>
  <c r="I57" i="63" s="1"/>
  <c r="A56" i="63"/>
  <c r="I56" i="63" s="1"/>
  <c r="A55" i="63"/>
  <c r="I55" i="63" s="1"/>
  <c r="A54" i="63"/>
  <c r="I54" i="63" s="1"/>
  <c r="A53" i="63"/>
  <c r="I53" i="63" s="1"/>
  <c r="A52" i="63"/>
  <c r="I52" i="63" s="1"/>
  <c r="A51" i="63"/>
  <c r="I51" i="63" s="1"/>
  <c r="A50" i="63"/>
  <c r="I50" i="63" s="1"/>
  <c r="A49" i="63"/>
  <c r="I49" i="63" s="1"/>
  <c r="A48" i="63"/>
  <c r="I48" i="63" s="1"/>
  <c r="A47" i="63"/>
  <c r="I47" i="63" s="1"/>
  <c r="A46" i="63"/>
  <c r="I46" i="63" s="1"/>
  <c r="A45" i="63"/>
  <c r="I45" i="63" s="1"/>
  <c r="A44" i="63"/>
  <c r="I44" i="63" s="1"/>
  <c r="A43" i="63"/>
  <c r="I43" i="63" s="1"/>
  <c r="A42" i="63"/>
  <c r="I42" i="63" s="1"/>
  <c r="A41" i="63"/>
  <c r="I41" i="63" s="1"/>
  <c r="A40" i="63"/>
  <c r="I40" i="63" s="1"/>
  <c r="A39" i="63"/>
  <c r="I39" i="63" s="1"/>
  <c r="A38" i="63"/>
  <c r="I38" i="63" s="1"/>
  <c r="A37" i="63"/>
  <c r="I37" i="63" s="1"/>
  <c r="A36" i="63"/>
  <c r="I36" i="63" s="1"/>
  <c r="A35" i="63"/>
  <c r="I35" i="63" s="1"/>
  <c r="A34" i="63"/>
  <c r="I34" i="63" s="1"/>
  <c r="A33" i="63"/>
  <c r="I33" i="63" s="1"/>
  <c r="A32" i="63"/>
  <c r="I32" i="63" s="1"/>
  <c r="A31" i="63"/>
  <c r="I31" i="63" s="1"/>
  <c r="A30" i="63"/>
  <c r="I30" i="63" s="1"/>
  <c r="A29" i="63"/>
  <c r="I29" i="63" s="1"/>
  <c r="A28" i="63"/>
  <c r="I28" i="63" s="1"/>
  <c r="A27" i="63"/>
  <c r="I27" i="63" s="1"/>
  <c r="A26" i="63"/>
  <c r="I26" i="63" s="1"/>
  <c r="A25" i="63"/>
  <c r="I25" i="63" s="1"/>
  <c r="A24" i="63"/>
  <c r="I24" i="63" s="1"/>
  <c r="A23" i="63"/>
  <c r="I23" i="63" s="1"/>
  <c r="A22" i="63"/>
  <c r="I22" i="63" s="1"/>
  <c r="A21" i="63"/>
  <c r="I21" i="63" s="1"/>
  <c r="A20" i="63"/>
  <c r="I20" i="63" s="1"/>
  <c r="A19" i="63"/>
  <c r="I19" i="63" s="1"/>
  <c r="A18" i="63"/>
  <c r="I18" i="63" s="1"/>
  <c r="A17" i="63"/>
  <c r="I17" i="63" s="1"/>
  <c r="A16" i="63"/>
  <c r="I16" i="63" s="1"/>
  <c r="A15" i="63"/>
  <c r="I15" i="63" s="1"/>
  <c r="A14" i="63"/>
  <c r="I14" i="63" s="1"/>
  <c r="A13" i="63"/>
  <c r="I13" i="63" s="1"/>
  <c r="A12" i="63"/>
  <c r="I12" i="63" s="1"/>
  <c r="A11" i="63"/>
  <c r="I11" i="63" s="1"/>
  <c r="A10" i="63"/>
  <c r="I10" i="63" s="1"/>
  <c r="A9" i="63"/>
  <c r="I9" i="63" s="1"/>
  <c r="A8" i="63"/>
  <c r="I8" i="63" s="1"/>
  <c r="A7" i="63"/>
  <c r="A6" i="63"/>
  <c r="I6" i="63" s="1"/>
  <c r="A5" i="63"/>
  <c r="I5" i="63" s="1"/>
  <c r="A4" i="63"/>
  <c r="I4" i="63" s="1"/>
  <c r="A3" i="63"/>
  <c r="I3" i="63" s="1"/>
  <c r="A2" i="63"/>
  <c r="B616" i="63"/>
  <c r="B615" i="63"/>
  <c r="B614" i="63"/>
  <c r="B613" i="63"/>
  <c r="B612" i="63"/>
  <c r="B611" i="63"/>
  <c r="B610" i="63"/>
  <c r="B609" i="63"/>
  <c r="B608" i="63"/>
  <c r="B607" i="63"/>
  <c r="B606" i="63"/>
  <c r="B605" i="63"/>
  <c r="B604" i="63"/>
  <c r="B603" i="63"/>
  <c r="B602" i="63"/>
  <c r="B601" i="63"/>
  <c r="B600" i="63"/>
  <c r="B599" i="63"/>
  <c r="B598" i="63"/>
  <c r="B597" i="63"/>
  <c r="B596" i="63"/>
  <c r="B595" i="63"/>
  <c r="B594" i="63"/>
  <c r="B593" i="63"/>
  <c r="B592" i="63"/>
  <c r="B591" i="63"/>
  <c r="B590" i="63"/>
  <c r="B589" i="63"/>
  <c r="B588" i="63"/>
  <c r="B587" i="63"/>
  <c r="B586" i="63"/>
  <c r="B585" i="63"/>
  <c r="B584" i="63"/>
  <c r="B583" i="63"/>
  <c r="B582" i="63"/>
  <c r="B581" i="63"/>
  <c r="B580" i="63"/>
  <c r="B579" i="63"/>
  <c r="B578" i="63"/>
  <c r="B577" i="63"/>
  <c r="B576" i="63"/>
  <c r="B575" i="63"/>
  <c r="B574" i="63"/>
  <c r="B573" i="63"/>
  <c r="B572" i="63"/>
  <c r="B571" i="63"/>
  <c r="B570" i="63"/>
  <c r="B569" i="63"/>
  <c r="B568" i="63"/>
  <c r="B567" i="63"/>
  <c r="B566" i="63"/>
  <c r="B565" i="63"/>
  <c r="B564" i="63"/>
  <c r="B563" i="63"/>
  <c r="B562" i="63"/>
  <c r="B561" i="63"/>
  <c r="B560" i="63"/>
  <c r="B559" i="63"/>
  <c r="B558" i="63"/>
  <c r="B557" i="63"/>
  <c r="B556" i="63"/>
  <c r="B555" i="63"/>
  <c r="B554" i="63"/>
  <c r="B553" i="63"/>
  <c r="B552" i="63"/>
  <c r="B551" i="63"/>
  <c r="B550" i="63"/>
  <c r="B549" i="63"/>
  <c r="B548" i="63"/>
  <c r="B547" i="63"/>
  <c r="B546" i="63"/>
  <c r="B545" i="63"/>
  <c r="B544" i="63"/>
  <c r="B543" i="63"/>
  <c r="B542" i="63"/>
  <c r="B541" i="63"/>
  <c r="B540" i="63"/>
  <c r="B539" i="63"/>
  <c r="B538" i="63"/>
  <c r="B537" i="63"/>
  <c r="B536" i="63"/>
  <c r="B535" i="63"/>
  <c r="B534" i="63"/>
  <c r="B533" i="63"/>
  <c r="B532" i="63"/>
  <c r="B531" i="63"/>
  <c r="B530" i="63"/>
  <c r="B529" i="63"/>
  <c r="B528" i="63"/>
  <c r="B527" i="63"/>
  <c r="B526" i="63"/>
  <c r="B525" i="63"/>
  <c r="B524" i="63"/>
  <c r="B523" i="63"/>
  <c r="B522" i="63"/>
  <c r="B521" i="63"/>
  <c r="B520" i="63"/>
  <c r="B519" i="63"/>
  <c r="B518" i="63"/>
  <c r="B517" i="63"/>
  <c r="B516" i="63"/>
  <c r="B515" i="63"/>
  <c r="B514" i="63"/>
  <c r="B513" i="63"/>
  <c r="B512" i="63"/>
  <c r="B511" i="63"/>
  <c r="B510" i="63"/>
  <c r="B509" i="63"/>
  <c r="B508" i="63"/>
  <c r="B507" i="63"/>
  <c r="B506" i="63"/>
  <c r="B505" i="63"/>
  <c r="B504" i="63"/>
  <c r="B503" i="63"/>
  <c r="B502" i="63"/>
  <c r="B501" i="63"/>
  <c r="B500" i="63"/>
  <c r="B499" i="63"/>
  <c r="B498" i="63"/>
  <c r="B497" i="63"/>
  <c r="B496" i="63"/>
  <c r="B495" i="63"/>
  <c r="B494" i="63"/>
  <c r="B493" i="63"/>
  <c r="B492" i="63"/>
  <c r="B491" i="63"/>
  <c r="B490" i="63"/>
  <c r="B489" i="63"/>
  <c r="B488" i="63"/>
  <c r="B487" i="63"/>
  <c r="B486" i="63"/>
  <c r="B485" i="63"/>
  <c r="B484" i="63"/>
  <c r="B483" i="63"/>
  <c r="B482" i="63"/>
  <c r="B481" i="63"/>
  <c r="B480" i="63"/>
  <c r="B479" i="63"/>
  <c r="B478" i="63"/>
  <c r="B477" i="63"/>
  <c r="B476" i="63"/>
  <c r="B475" i="63"/>
  <c r="B474" i="63"/>
  <c r="B473" i="63"/>
  <c r="B472" i="63"/>
  <c r="B471" i="63"/>
  <c r="B470" i="63"/>
  <c r="B469" i="63"/>
  <c r="B468" i="63"/>
  <c r="B467" i="63"/>
  <c r="B466" i="63"/>
  <c r="B465" i="63"/>
  <c r="B464" i="63"/>
  <c r="B463" i="63"/>
  <c r="B462" i="63"/>
  <c r="B461" i="63"/>
  <c r="B460" i="63"/>
  <c r="B459" i="63"/>
  <c r="B458" i="63"/>
  <c r="B457" i="63"/>
  <c r="B456" i="63"/>
  <c r="B455" i="63"/>
  <c r="B454" i="63"/>
  <c r="B453" i="63"/>
  <c r="B452" i="63"/>
  <c r="B451" i="63"/>
  <c r="B450" i="63"/>
  <c r="B449" i="63"/>
  <c r="B448" i="63"/>
  <c r="B447" i="63"/>
  <c r="B446" i="63"/>
  <c r="B445" i="63"/>
  <c r="B444" i="63"/>
  <c r="B443" i="63"/>
  <c r="B442" i="63"/>
  <c r="B441" i="63"/>
  <c r="B440" i="63"/>
  <c r="B439" i="63"/>
  <c r="B438" i="63"/>
  <c r="B437" i="63"/>
  <c r="B436" i="63"/>
  <c r="B435" i="63"/>
  <c r="B434" i="63"/>
  <c r="B433" i="63"/>
  <c r="B432" i="63"/>
  <c r="B431" i="63"/>
  <c r="B430" i="63"/>
  <c r="B429" i="63"/>
  <c r="B428" i="63"/>
  <c r="B427" i="63"/>
  <c r="B426" i="63"/>
  <c r="B425" i="63"/>
  <c r="B424" i="63"/>
  <c r="B423" i="63"/>
  <c r="B422" i="63"/>
  <c r="B421" i="63"/>
  <c r="B420" i="63"/>
  <c r="B419" i="63"/>
  <c r="B418" i="63"/>
  <c r="B417" i="63"/>
  <c r="B416" i="63"/>
  <c r="B415" i="63"/>
  <c r="B414" i="63"/>
  <c r="B413" i="63"/>
  <c r="B412" i="63"/>
  <c r="B411" i="63"/>
  <c r="B410" i="63"/>
  <c r="B409" i="63"/>
  <c r="B408" i="63"/>
  <c r="B407" i="63"/>
  <c r="B406" i="63"/>
  <c r="B405" i="63"/>
  <c r="B404" i="63"/>
  <c r="B403" i="63"/>
  <c r="B402" i="63"/>
  <c r="B401" i="63"/>
  <c r="B400" i="63"/>
  <c r="B399" i="63"/>
  <c r="B398" i="63"/>
  <c r="B397" i="63"/>
  <c r="B396" i="63"/>
  <c r="B395" i="63"/>
  <c r="B394" i="63"/>
  <c r="B393" i="63"/>
  <c r="B392" i="63"/>
  <c r="B391" i="63"/>
  <c r="B390" i="63"/>
  <c r="B389" i="63"/>
  <c r="B388" i="63"/>
  <c r="B387" i="63"/>
  <c r="B386" i="63"/>
  <c r="B385" i="63"/>
  <c r="B384" i="63"/>
  <c r="B383" i="63"/>
  <c r="B382" i="63"/>
  <c r="B381" i="63"/>
  <c r="B380" i="63"/>
  <c r="B379" i="63"/>
  <c r="B378" i="63"/>
  <c r="B377" i="63"/>
  <c r="B376" i="63"/>
  <c r="B375" i="63"/>
  <c r="B374" i="63"/>
  <c r="B373" i="63"/>
  <c r="B372" i="63"/>
  <c r="B371" i="63"/>
  <c r="B370" i="63"/>
  <c r="B369" i="63"/>
  <c r="B368" i="63"/>
  <c r="B367" i="63"/>
  <c r="B366" i="63"/>
  <c r="B365" i="63"/>
  <c r="B364" i="63"/>
  <c r="B363" i="63"/>
  <c r="B362" i="63"/>
  <c r="B361" i="63"/>
  <c r="B360" i="63"/>
  <c r="B359" i="63"/>
  <c r="B358" i="63"/>
  <c r="B357" i="63"/>
  <c r="B356" i="63"/>
  <c r="B355" i="63"/>
  <c r="B354" i="63"/>
  <c r="B353" i="63"/>
  <c r="B352" i="63"/>
  <c r="B351" i="63"/>
  <c r="B350" i="63"/>
  <c r="B349" i="63"/>
  <c r="B348" i="63"/>
  <c r="B347" i="63"/>
  <c r="B346" i="63"/>
  <c r="B345" i="63"/>
  <c r="B344" i="63"/>
  <c r="B343" i="63"/>
  <c r="B342" i="63"/>
  <c r="B341" i="63"/>
  <c r="B340" i="63"/>
  <c r="B339" i="63"/>
  <c r="B338" i="63"/>
  <c r="B337" i="63"/>
  <c r="B336" i="63"/>
  <c r="B335" i="63"/>
  <c r="B334" i="63"/>
  <c r="B333" i="63"/>
  <c r="B332" i="63"/>
  <c r="B331" i="63"/>
  <c r="B330" i="63"/>
  <c r="B329" i="63"/>
  <c r="B328" i="63"/>
  <c r="B327" i="63"/>
  <c r="B326" i="63"/>
  <c r="B325" i="63"/>
  <c r="B324" i="63"/>
  <c r="B323" i="63"/>
  <c r="B322" i="63"/>
  <c r="B321" i="63"/>
  <c r="B320" i="63"/>
  <c r="B319" i="63"/>
  <c r="B318" i="63"/>
  <c r="B317" i="63"/>
  <c r="B316" i="63"/>
  <c r="B315" i="63"/>
  <c r="B314" i="63"/>
  <c r="B313" i="63"/>
  <c r="B312" i="63"/>
  <c r="B311" i="63"/>
  <c r="B310" i="63"/>
  <c r="B309" i="63"/>
  <c r="B308" i="63"/>
  <c r="B307" i="63"/>
  <c r="B306" i="63"/>
  <c r="B305" i="63"/>
  <c r="B304" i="63"/>
  <c r="B303" i="63"/>
  <c r="B302" i="63"/>
  <c r="B301" i="63"/>
  <c r="B300" i="63"/>
  <c r="B299" i="63"/>
  <c r="B298" i="63"/>
  <c r="B297" i="63"/>
  <c r="B296" i="63"/>
  <c r="B295" i="63"/>
  <c r="B294" i="63"/>
  <c r="B293" i="63"/>
  <c r="B292" i="63"/>
  <c r="B291" i="63"/>
  <c r="B290" i="63"/>
  <c r="B289" i="63"/>
  <c r="B288" i="63"/>
  <c r="B287" i="63"/>
  <c r="B286" i="63"/>
  <c r="B285" i="63"/>
  <c r="B284" i="63"/>
  <c r="B283" i="63"/>
  <c r="B282" i="63"/>
  <c r="B281" i="63"/>
  <c r="B280" i="63"/>
  <c r="B279" i="63"/>
  <c r="B278" i="63"/>
  <c r="B277" i="63"/>
  <c r="B276" i="63"/>
  <c r="B275" i="63"/>
  <c r="B274" i="63"/>
  <c r="B273" i="63"/>
  <c r="B272" i="63"/>
  <c r="B271" i="63"/>
  <c r="B270" i="63"/>
  <c r="B269" i="63"/>
  <c r="B268" i="63"/>
  <c r="B267" i="63"/>
  <c r="B266" i="63"/>
  <c r="B265" i="63"/>
  <c r="B264" i="63"/>
  <c r="B263" i="63"/>
  <c r="B262" i="63"/>
  <c r="B261" i="63"/>
  <c r="B260" i="63"/>
  <c r="B259" i="63"/>
  <c r="B258" i="63"/>
  <c r="B257" i="63"/>
  <c r="B256" i="63"/>
  <c r="B255" i="63"/>
  <c r="B254" i="63"/>
  <c r="B253" i="63"/>
  <c r="B252" i="63"/>
  <c r="B251" i="63"/>
  <c r="B250" i="63"/>
  <c r="B249" i="63"/>
  <c r="B248" i="63"/>
  <c r="B247" i="63"/>
  <c r="B246" i="63"/>
  <c r="B245" i="63"/>
  <c r="B244" i="63"/>
  <c r="B243" i="63"/>
  <c r="B242" i="63"/>
  <c r="B241" i="63"/>
  <c r="B240" i="63"/>
  <c r="B239" i="63"/>
  <c r="B238" i="63"/>
  <c r="B237" i="63"/>
  <c r="B236" i="63"/>
  <c r="B235" i="63"/>
  <c r="B234" i="63"/>
  <c r="B233" i="63"/>
  <c r="B232" i="63"/>
  <c r="B231" i="63"/>
  <c r="B230" i="63"/>
  <c r="B229" i="63"/>
  <c r="B228" i="63"/>
  <c r="B227" i="63"/>
  <c r="B226" i="63"/>
  <c r="B225" i="63"/>
  <c r="B224" i="63"/>
  <c r="B223" i="63"/>
  <c r="B222" i="63"/>
  <c r="B221" i="63"/>
  <c r="B220" i="63"/>
  <c r="B219" i="63"/>
  <c r="B218" i="63"/>
  <c r="B217" i="63"/>
  <c r="B216" i="63"/>
  <c r="B215" i="63"/>
  <c r="B214" i="63"/>
  <c r="B213" i="63"/>
  <c r="B212" i="63"/>
  <c r="B211" i="63"/>
  <c r="B210" i="63"/>
  <c r="B209" i="63"/>
  <c r="B208" i="63"/>
  <c r="B207" i="63"/>
  <c r="B206" i="63"/>
  <c r="B205" i="63"/>
  <c r="B204" i="63"/>
  <c r="B203" i="63"/>
  <c r="B202" i="63"/>
  <c r="B201" i="63"/>
  <c r="B200" i="63"/>
  <c r="B199" i="63"/>
  <c r="B198" i="63"/>
  <c r="B197" i="63"/>
  <c r="B196" i="63"/>
  <c r="B195" i="63"/>
  <c r="B194" i="63"/>
  <c r="B193" i="63"/>
  <c r="B192" i="63"/>
  <c r="B191" i="63"/>
  <c r="B190" i="63"/>
  <c r="B189" i="63"/>
  <c r="B188" i="63"/>
  <c r="B187" i="63"/>
  <c r="B186" i="63"/>
  <c r="B185" i="63"/>
  <c r="B184" i="63"/>
  <c r="B183" i="63"/>
  <c r="B182" i="63"/>
  <c r="B181" i="63"/>
  <c r="B180" i="63"/>
  <c r="B179" i="63"/>
  <c r="B178" i="63"/>
  <c r="B177" i="63"/>
  <c r="B176" i="63"/>
  <c r="B175" i="63"/>
  <c r="B174" i="63"/>
  <c r="B173" i="63"/>
  <c r="B172" i="63"/>
  <c r="B171" i="63"/>
  <c r="B170" i="63"/>
  <c r="B169" i="63"/>
  <c r="B168" i="63"/>
  <c r="B167" i="63"/>
  <c r="B166" i="63"/>
  <c r="B165" i="63"/>
  <c r="B164" i="63"/>
  <c r="B163" i="63"/>
  <c r="B162" i="63"/>
  <c r="B161" i="63"/>
  <c r="B160" i="63"/>
  <c r="B159" i="63"/>
  <c r="B158" i="63"/>
  <c r="B157" i="63"/>
  <c r="B156" i="63"/>
  <c r="B155" i="63"/>
  <c r="B154" i="63"/>
  <c r="B153" i="63"/>
  <c r="B152" i="63"/>
  <c r="B151" i="63"/>
  <c r="B150" i="63"/>
  <c r="B149" i="63"/>
  <c r="B148" i="63"/>
  <c r="B147" i="63"/>
  <c r="B146" i="63"/>
  <c r="B145" i="63"/>
  <c r="B144" i="63"/>
  <c r="B143" i="63"/>
  <c r="B142" i="63"/>
  <c r="B141" i="63"/>
  <c r="B140" i="63"/>
  <c r="B139" i="63"/>
  <c r="B138" i="63"/>
  <c r="B137" i="63"/>
  <c r="B136" i="63"/>
  <c r="B135" i="63"/>
  <c r="B134" i="63"/>
  <c r="B133" i="63"/>
  <c r="B132" i="63"/>
  <c r="B131" i="63"/>
  <c r="B130" i="63"/>
  <c r="B129" i="63"/>
  <c r="B128" i="63"/>
  <c r="B127" i="63"/>
  <c r="B126" i="63"/>
  <c r="B125" i="63"/>
  <c r="B124" i="63"/>
  <c r="B123" i="63"/>
  <c r="B122" i="63"/>
  <c r="B121" i="63"/>
  <c r="B120" i="63"/>
  <c r="B119" i="63"/>
  <c r="B118" i="63"/>
  <c r="B117" i="63"/>
  <c r="B116" i="63"/>
  <c r="B115" i="63"/>
  <c r="B114" i="63"/>
  <c r="B113" i="63"/>
  <c r="B112" i="63"/>
  <c r="B111" i="63"/>
  <c r="B110" i="63"/>
  <c r="B109" i="63"/>
  <c r="B108" i="63"/>
  <c r="B107" i="63"/>
  <c r="B106" i="63"/>
  <c r="B105" i="63"/>
  <c r="B104" i="63"/>
  <c r="B103" i="63"/>
  <c r="B102" i="63"/>
  <c r="B101" i="63"/>
  <c r="B100" i="63"/>
  <c r="B99" i="63"/>
  <c r="B98" i="63"/>
  <c r="B97" i="63"/>
  <c r="B96" i="63"/>
  <c r="B95" i="63"/>
  <c r="B94" i="63"/>
  <c r="B93" i="63"/>
  <c r="B92" i="63"/>
  <c r="B91" i="63"/>
  <c r="B90" i="63"/>
  <c r="B89" i="63"/>
  <c r="B88" i="63"/>
  <c r="B87" i="63"/>
  <c r="B86" i="63"/>
  <c r="B85" i="63"/>
  <c r="B84" i="63"/>
  <c r="B83" i="63"/>
  <c r="B82" i="63"/>
  <c r="B81" i="63"/>
  <c r="B80" i="63"/>
  <c r="B79" i="63"/>
  <c r="B78" i="63"/>
  <c r="B77" i="63"/>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B4" i="63"/>
  <c r="B3" i="63"/>
  <c r="D40" i="49"/>
  <c r="C40" i="49"/>
  <c r="B40" i="49"/>
  <c r="F17" i="33"/>
  <c r="I7933" i="79"/>
  <c r="A7932" i="80" s="1"/>
  <c r="I7928" i="79"/>
  <c r="A7927" i="80" s="1"/>
  <c r="E15" i="26"/>
  <c r="H15" i="26"/>
  <c r="I7351" i="79" s="1"/>
  <c r="A7350" i="80" s="1"/>
  <c r="E14" i="26"/>
  <c r="E13" i="26"/>
  <c r="E12" i="26"/>
  <c r="E11" i="26"/>
  <c r="I7176" i="79" s="1"/>
  <c r="A7175" i="80" s="1"/>
  <c r="E10" i="26"/>
  <c r="D22" i="42"/>
  <c r="I20485" i="79" s="1"/>
  <c r="A20484" i="80" s="1"/>
  <c r="D16" i="26"/>
  <c r="I7370" i="79"/>
  <c r="A7369" i="80" s="1"/>
  <c r="F18" i="37"/>
  <c r="D23" i="39" s="1"/>
  <c r="D19" i="54"/>
  <c r="I17486" i="79"/>
  <c r="A17485" i="80" s="1"/>
  <c r="H23" i="59"/>
  <c r="D23" i="59"/>
  <c r="E12" i="30"/>
  <c r="D22" i="40"/>
  <c r="E15" i="27"/>
  <c r="I7625" i="79" s="1"/>
  <c r="A7624" i="80" s="1"/>
  <c r="H17" i="33"/>
  <c r="I616" i="63"/>
  <c r="I610" i="63"/>
  <c r="I602" i="63"/>
  <c r="I594" i="63"/>
  <c r="I586" i="63"/>
  <c r="I578" i="63"/>
  <c r="I548" i="63"/>
  <c r="I538" i="63"/>
  <c r="I534" i="63"/>
  <c r="I510" i="63"/>
  <c r="I502" i="63"/>
  <c r="I486" i="63"/>
  <c r="I478" i="63"/>
  <c r="I470" i="63"/>
  <c r="I462" i="63"/>
  <c r="I450" i="63"/>
  <c r="I446" i="63"/>
  <c r="I442" i="63"/>
  <c r="I433" i="63"/>
  <c r="I417" i="63"/>
  <c r="I411" i="63"/>
  <c r="I409" i="63"/>
  <c r="I402" i="63"/>
  <c r="I398" i="63"/>
  <c r="I397" i="63"/>
  <c r="I394" i="63"/>
  <c r="I393" i="63"/>
  <c r="I342" i="63"/>
  <c r="I338" i="63"/>
  <c r="I334" i="63"/>
  <c r="I326" i="63"/>
  <c r="I324" i="63"/>
  <c r="I322" i="63"/>
  <c r="I314" i="63"/>
  <c r="I306" i="63"/>
  <c r="I288" i="63"/>
  <c r="I286" i="63"/>
  <c r="I282" i="63"/>
  <c r="A3" i="1"/>
  <c r="I3" i="1" s="1"/>
  <c r="A4" i="1"/>
  <c r="I4" i="1" s="1"/>
  <c r="A5" i="1"/>
  <c r="A6" i="1"/>
  <c r="A7" i="1"/>
  <c r="I7" i="1" s="1"/>
  <c r="A8" i="1"/>
  <c r="I8" i="1" s="1"/>
  <c r="A9" i="1"/>
  <c r="I9" i="1" s="1"/>
  <c r="A10" i="1"/>
  <c r="A11" i="1"/>
  <c r="I11" i="1" s="1"/>
  <c r="A12" i="1"/>
  <c r="I12" i="1" s="1"/>
  <c r="A13" i="1"/>
  <c r="I13" i="1" s="1"/>
  <c r="A14" i="1"/>
  <c r="I14" i="1" s="1"/>
  <c r="A15" i="1"/>
  <c r="I15" i="1" s="1"/>
  <c r="A16" i="1"/>
  <c r="I16" i="1" s="1"/>
  <c r="A17" i="1"/>
  <c r="I17" i="1" s="1"/>
  <c r="A18" i="1"/>
  <c r="A19" i="1"/>
  <c r="I19" i="1" s="1"/>
  <c r="A20" i="1"/>
  <c r="I20" i="1" s="1"/>
  <c r="A21" i="1"/>
  <c r="I21" i="1" s="1"/>
  <c r="A22" i="1"/>
  <c r="I22" i="1" s="1"/>
  <c r="A23" i="1"/>
  <c r="I23" i="1" s="1"/>
  <c r="A24" i="1"/>
  <c r="I24" i="1" s="1"/>
  <c r="A25" i="1"/>
  <c r="I25" i="1" s="1"/>
  <c r="A26" i="1"/>
  <c r="A27" i="1"/>
  <c r="I27" i="1" s="1"/>
  <c r="A28" i="1"/>
  <c r="I28" i="1" s="1"/>
  <c r="A29" i="1"/>
  <c r="I29" i="1" s="1"/>
  <c r="A30" i="1"/>
  <c r="I30" i="1" s="1"/>
  <c r="A31" i="1"/>
  <c r="I31" i="1" s="1"/>
  <c r="A32" i="1"/>
  <c r="I32" i="1" s="1"/>
  <c r="A33" i="1"/>
  <c r="I33" i="1" s="1"/>
  <c r="A34" i="1"/>
  <c r="A35" i="1"/>
  <c r="I35" i="1" s="1"/>
  <c r="A36" i="1"/>
  <c r="I36" i="1" s="1"/>
  <c r="A37" i="1"/>
  <c r="I37" i="1" s="1"/>
  <c r="A38" i="1"/>
  <c r="A39" i="1"/>
  <c r="I39" i="1" s="1"/>
  <c r="A40" i="1"/>
  <c r="I40" i="1" s="1"/>
  <c r="A41" i="1"/>
  <c r="I41" i="1" s="1"/>
  <c r="A42" i="1"/>
  <c r="I42" i="1" s="1"/>
  <c r="A43" i="1"/>
  <c r="I43" i="1" s="1"/>
  <c r="A44" i="1"/>
  <c r="I44" i="1" s="1"/>
  <c r="A45" i="1"/>
  <c r="I45" i="1" s="1"/>
  <c r="A46" i="1"/>
  <c r="I46" i="1" s="1"/>
  <c r="A47" i="1"/>
  <c r="I47" i="1" s="1"/>
  <c r="A48" i="1"/>
  <c r="I48" i="1" s="1"/>
  <c r="A49" i="1"/>
  <c r="I49" i="1" s="1"/>
  <c r="A50" i="1"/>
  <c r="A51" i="1"/>
  <c r="I51" i="1" s="1"/>
  <c r="A52" i="1"/>
  <c r="I52" i="1" s="1"/>
  <c r="A53" i="1"/>
  <c r="I53" i="1" s="1"/>
  <c r="A54" i="1"/>
  <c r="A55" i="1"/>
  <c r="I55" i="1" s="1"/>
  <c r="A56" i="1"/>
  <c r="I56" i="1" s="1"/>
  <c r="A57" i="1"/>
  <c r="I57" i="1" s="1"/>
  <c r="A58" i="1"/>
  <c r="A59" i="1"/>
  <c r="I59" i="1" s="1"/>
  <c r="A60" i="1"/>
  <c r="I60" i="1" s="1"/>
  <c r="A61" i="1"/>
  <c r="I61" i="1" s="1"/>
  <c r="A62" i="1"/>
  <c r="I62" i="1" s="1"/>
  <c r="A63" i="1"/>
  <c r="I63" i="1" s="1"/>
  <c r="A64" i="1"/>
  <c r="I64" i="1" s="1"/>
  <c r="A65" i="1"/>
  <c r="I65" i="1" s="1"/>
  <c r="A66" i="1"/>
  <c r="I66" i="1" s="1"/>
  <c r="A67" i="1"/>
  <c r="I67" i="1" s="1"/>
  <c r="A68" i="1"/>
  <c r="I68" i="1" s="1"/>
  <c r="A69" i="1"/>
  <c r="I69" i="1" s="1"/>
  <c r="A70" i="1"/>
  <c r="A71" i="1"/>
  <c r="I71" i="1" s="1"/>
  <c r="A72" i="1"/>
  <c r="I72" i="1" s="1"/>
  <c r="A73" i="1"/>
  <c r="I73" i="1" s="1"/>
  <c r="A74" i="1"/>
  <c r="I74" i="1" s="1"/>
  <c r="A75" i="1"/>
  <c r="I75" i="1" s="1"/>
  <c r="A76" i="1"/>
  <c r="I76" i="1" s="1"/>
  <c r="A77" i="1"/>
  <c r="I77" i="1" s="1"/>
  <c r="A78" i="1"/>
  <c r="I78" i="1" s="1"/>
  <c r="A79" i="1"/>
  <c r="I79" i="1" s="1"/>
  <c r="A80" i="1"/>
  <c r="I80" i="1" s="1"/>
  <c r="A81" i="1"/>
  <c r="I81" i="1" s="1"/>
  <c r="A82" i="1"/>
  <c r="I82" i="1" s="1"/>
  <c r="A83" i="1"/>
  <c r="I83" i="1" s="1"/>
  <c r="A84" i="1"/>
  <c r="I84" i="1" s="1"/>
  <c r="A85" i="1"/>
  <c r="I85" i="1" s="1"/>
  <c r="A86" i="1"/>
  <c r="I86" i="1" s="1"/>
  <c r="A87" i="1"/>
  <c r="I87" i="1" s="1"/>
  <c r="A88" i="1"/>
  <c r="I88" i="1" s="1"/>
  <c r="A89" i="1"/>
  <c r="I89" i="1" s="1"/>
  <c r="A90" i="1"/>
  <c r="I90" i="1" s="1"/>
  <c r="A91" i="1"/>
  <c r="I91" i="1" s="1"/>
  <c r="A92" i="1"/>
  <c r="I92" i="1" s="1"/>
  <c r="A93" i="1"/>
  <c r="I93" i="1" s="1"/>
  <c r="A94" i="1"/>
  <c r="I94" i="1" s="1"/>
  <c r="A95" i="1"/>
  <c r="I95" i="1" s="1"/>
  <c r="A96" i="1"/>
  <c r="I96" i="1" s="1"/>
  <c r="A97" i="1"/>
  <c r="I97" i="1" s="1"/>
  <c r="A98" i="1"/>
  <c r="I98" i="1" s="1"/>
  <c r="A99" i="1"/>
  <c r="I99" i="1" s="1"/>
  <c r="A100" i="1"/>
  <c r="I100" i="1" s="1"/>
  <c r="A101" i="1"/>
  <c r="I101" i="1" s="1"/>
  <c r="A102" i="1"/>
  <c r="I102" i="1" s="1"/>
  <c r="A103" i="1"/>
  <c r="I103" i="1" s="1"/>
  <c r="A104" i="1"/>
  <c r="I104" i="1" s="1"/>
  <c r="A105" i="1"/>
  <c r="I105" i="1" s="1"/>
  <c r="A106" i="1"/>
  <c r="I106" i="1" s="1"/>
  <c r="A107" i="1"/>
  <c r="I107" i="1" s="1"/>
  <c r="A108" i="1"/>
  <c r="I108" i="1" s="1"/>
  <c r="A109" i="1"/>
  <c r="I109" i="1" s="1"/>
  <c r="A110" i="1"/>
  <c r="I110" i="1" s="1"/>
  <c r="A111" i="1"/>
  <c r="I111" i="1" s="1"/>
  <c r="A112" i="1"/>
  <c r="I112" i="1" s="1"/>
  <c r="A113" i="1"/>
  <c r="I113" i="1" s="1"/>
  <c r="A114" i="1"/>
  <c r="I114" i="1" s="1"/>
  <c r="A115" i="1"/>
  <c r="I115" i="1" s="1"/>
  <c r="A116" i="1"/>
  <c r="I116" i="1" s="1"/>
  <c r="A117" i="1"/>
  <c r="I117" i="1" s="1"/>
  <c r="A118" i="1"/>
  <c r="I118" i="1" s="1"/>
  <c r="A119" i="1"/>
  <c r="I119" i="1" s="1"/>
  <c r="A120" i="1"/>
  <c r="I120" i="1" s="1"/>
  <c r="A121" i="1"/>
  <c r="I121" i="1" s="1"/>
  <c r="A122" i="1"/>
  <c r="I122" i="1" s="1"/>
  <c r="A123" i="1"/>
  <c r="I123" i="1" s="1"/>
  <c r="A124" i="1"/>
  <c r="I124" i="1" s="1"/>
  <c r="A125" i="1"/>
  <c r="I125" i="1" s="1"/>
  <c r="A126" i="1"/>
  <c r="I126" i="1" s="1"/>
  <c r="A127" i="1"/>
  <c r="I127" i="1" s="1"/>
  <c r="A128" i="1"/>
  <c r="I128" i="1" s="1"/>
  <c r="A129" i="1"/>
  <c r="I129" i="1" s="1"/>
  <c r="A130" i="1"/>
  <c r="I130" i="1" s="1"/>
  <c r="A131" i="1"/>
  <c r="I131" i="1" s="1"/>
  <c r="A132" i="1"/>
  <c r="I132" i="1" s="1"/>
  <c r="A133" i="1"/>
  <c r="I133" i="1" s="1"/>
  <c r="A134" i="1"/>
  <c r="I134" i="1" s="1"/>
  <c r="A135" i="1"/>
  <c r="I135" i="1" s="1"/>
  <c r="A136" i="1"/>
  <c r="I136" i="1" s="1"/>
  <c r="A137" i="1"/>
  <c r="I137" i="1" s="1"/>
  <c r="A138" i="1"/>
  <c r="I138" i="1" s="1"/>
  <c r="A139" i="1"/>
  <c r="I139" i="1" s="1"/>
  <c r="A140" i="1"/>
  <c r="I140" i="1" s="1"/>
  <c r="A141" i="1"/>
  <c r="I141" i="1" s="1"/>
  <c r="A142" i="1"/>
  <c r="I142" i="1" s="1"/>
  <c r="A143" i="1"/>
  <c r="I143" i="1" s="1"/>
  <c r="A144" i="1"/>
  <c r="I144" i="1" s="1"/>
  <c r="A145" i="1"/>
  <c r="I145" i="1" s="1"/>
  <c r="A146" i="1"/>
  <c r="I146" i="1" s="1"/>
  <c r="A147" i="1"/>
  <c r="I147" i="1" s="1"/>
  <c r="A148" i="1"/>
  <c r="I148" i="1" s="1"/>
  <c r="A149" i="1"/>
  <c r="I149" i="1" s="1"/>
  <c r="A150" i="1"/>
  <c r="I150" i="1" s="1"/>
  <c r="A151" i="1"/>
  <c r="I151" i="1" s="1"/>
  <c r="A152" i="1"/>
  <c r="I152" i="1" s="1"/>
  <c r="A153" i="1"/>
  <c r="I153" i="1" s="1"/>
  <c r="A154" i="1"/>
  <c r="I154" i="1" s="1"/>
  <c r="A155" i="1"/>
  <c r="I155" i="1" s="1"/>
  <c r="A156" i="1"/>
  <c r="I156" i="1" s="1"/>
  <c r="A157" i="1"/>
  <c r="I157" i="1" s="1"/>
  <c r="A158" i="1"/>
  <c r="I158" i="1" s="1"/>
  <c r="A159" i="1"/>
  <c r="I159" i="1" s="1"/>
  <c r="A160" i="1"/>
  <c r="I160" i="1" s="1"/>
  <c r="A161" i="1"/>
  <c r="I161" i="1" s="1"/>
  <c r="A162" i="1"/>
  <c r="I162" i="1" s="1"/>
  <c r="A163" i="1"/>
  <c r="I163" i="1" s="1"/>
  <c r="A164" i="1"/>
  <c r="I164" i="1" s="1"/>
  <c r="A165" i="1"/>
  <c r="I165" i="1" s="1"/>
  <c r="A166" i="1"/>
  <c r="I166" i="1" s="1"/>
  <c r="A167" i="1"/>
  <c r="I167" i="1" s="1"/>
  <c r="A168" i="1"/>
  <c r="I168" i="1" s="1"/>
  <c r="A169" i="1"/>
  <c r="I169" i="1" s="1"/>
  <c r="A170" i="1"/>
  <c r="I170" i="1" s="1"/>
  <c r="A171" i="1"/>
  <c r="I171" i="1" s="1"/>
  <c r="A172" i="1"/>
  <c r="I172" i="1" s="1"/>
  <c r="A173" i="1"/>
  <c r="I173" i="1" s="1"/>
  <c r="A174" i="1"/>
  <c r="I174" i="1" s="1"/>
  <c r="A175" i="1"/>
  <c r="I175" i="1" s="1"/>
  <c r="A176" i="1"/>
  <c r="I176" i="1" s="1"/>
  <c r="A177" i="1"/>
  <c r="I177" i="1" s="1"/>
  <c r="A178" i="1"/>
  <c r="I178" i="1" s="1"/>
  <c r="A179" i="1"/>
  <c r="I179" i="1" s="1"/>
  <c r="A180" i="1"/>
  <c r="I180" i="1" s="1"/>
  <c r="A181" i="1"/>
  <c r="I181" i="1" s="1"/>
  <c r="A182" i="1"/>
  <c r="I182" i="1" s="1"/>
  <c r="A183" i="1"/>
  <c r="I183" i="1" s="1"/>
  <c r="A184" i="1"/>
  <c r="I184" i="1" s="1"/>
  <c r="A185" i="1"/>
  <c r="I185" i="1" s="1"/>
  <c r="A186" i="1"/>
  <c r="I186" i="1" s="1"/>
  <c r="A187" i="1"/>
  <c r="I187" i="1" s="1"/>
  <c r="A188" i="1"/>
  <c r="I188" i="1" s="1"/>
  <c r="A189" i="1"/>
  <c r="I189" i="1" s="1"/>
  <c r="A190" i="1"/>
  <c r="I190" i="1" s="1"/>
  <c r="A191" i="1"/>
  <c r="I191" i="1" s="1"/>
  <c r="A192" i="1"/>
  <c r="I192" i="1" s="1"/>
  <c r="A193" i="1"/>
  <c r="I193" i="1" s="1"/>
  <c r="A194" i="1"/>
  <c r="I194" i="1" s="1"/>
  <c r="A195" i="1"/>
  <c r="I195" i="1" s="1"/>
  <c r="A196" i="1"/>
  <c r="I196" i="1" s="1"/>
  <c r="A197" i="1"/>
  <c r="I197" i="1" s="1"/>
  <c r="A198" i="1"/>
  <c r="I198" i="1" s="1"/>
  <c r="A199" i="1"/>
  <c r="I199" i="1" s="1"/>
  <c r="A200" i="1"/>
  <c r="I200" i="1" s="1"/>
  <c r="A201" i="1"/>
  <c r="I201" i="1" s="1"/>
  <c r="A202" i="1"/>
  <c r="I202" i="1" s="1"/>
  <c r="A203" i="1"/>
  <c r="I203" i="1" s="1"/>
  <c r="A204" i="1"/>
  <c r="I204" i="1" s="1"/>
  <c r="A205" i="1"/>
  <c r="I205" i="1" s="1"/>
  <c r="A206" i="1"/>
  <c r="I206" i="1" s="1"/>
  <c r="A207" i="1"/>
  <c r="I207" i="1" s="1"/>
  <c r="A208" i="1"/>
  <c r="I208" i="1" s="1"/>
  <c r="A209" i="1"/>
  <c r="I209" i="1" s="1"/>
  <c r="A210" i="1"/>
  <c r="I210" i="1" s="1"/>
  <c r="A211" i="1"/>
  <c r="I211" i="1" s="1"/>
  <c r="A212" i="1"/>
  <c r="I212" i="1" s="1"/>
  <c r="A213" i="1"/>
  <c r="I213" i="1" s="1"/>
  <c r="A214" i="1"/>
  <c r="I214" i="1" s="1"/>
  <c r="A215" i="1"/>
  <c r="I215" i="1" s="1"/>
  <c r="A216" i="1"/>
  <c r="I216" i="1" s="1"/>
  <c r="A217" i="1"/>
  <c r="I217" i="1" s="1"/>
  <c r="A218" i="1"/>
  <c r="I218" i="1" s="1"/>
  <c r="A219" i="1"/>
  <c r="I219" i="1" s="1"/>
  <c r="A220" i="1"/>
  <c r="I220" i="1" s="1"/>
  <c r="A221" i="1"/>
  <c r="I221" i="1" s="1"/>
  <c r="A222" i="1"/>
  <c r="I222" i="1" s="1"/>
  <c r="A223" i="1"/>
  <c r="I223" i="1" s="1"/>
  <c r="A224" i="1"/>
  <c r="I224" i="1" s="1"/>
  <c r="A225" i="1"/>
  <c r="I225" i="1" s="1"/>
  <c r="A226" i="1"/>
  <c r="I226" i="1" s="1"/>
  <c r="A227" i="1"/>
  <c r="I227" i="1" s="1"/>
  <c r="A228" i="1"/>
  <c r="I228" i="1" s="1"/>
  <c r="A229" i="1"/>
  <c r="I229" i="1" s="1"/>
  <c r="A230" i="1"/>
  <c r="I230" i="1" s="1"/>
  <c r="A231" i="1"/>
  <c r="I231" i="1" s="1"/>
  <c r="A232" i="1"/>
  <c r="I232" i="1" s="1"/>
  <c r="A233" i="1"/>
  <c r="I233" i="1" s="1"/>
  <c r="A234" i="1"/>
  <c r="I234" i="1" s="1"/>
  <c r="A235" i="1"/>
  <c r="I235" i="1" s="1"/>
  <c r="A236" i="1"/>
  <c r="I236" i="1" s="1"/>
  <c r="A237" i="1"/>
  <c r="I237" i="1" s="1"/>
  <c r="A238" i="1"/>
  <c r="I238" i="1" s="1"/>
  <c r="A239" i="1"/>
  <c r="I239" i="1" s="1"/>
  <c r="A240" i="1"/>
  <c r="I240" i="1" s="1"/>
  <c r="A241" i="1"/>
  <c r="I241" i="1" s="1"/>
  <c r="A242" i="1"/>
  <c r="I242" i="1" s="1"/>
  <c r="A243" i="1"/>
  <c r="I243" i="1" s="1"/>
  <c r="A244" i="1"/>
  <c r="I244" i="1" s="1"/>
  <c r="A245" i="1"/>
  <c r="I245" i="1" s="1"/>
  <c r="A246" i="1"/>
  <c r="I246" i="1" s="1"/>
  <c r="A247" i="1"/>
  <c r="I247" i="1" s="1"/>
  <c r="A248" i="1"/>
  <c r="I248" i="1" s="1"/>
  <c r="A249" i="1"/>
  <c r="I249" i="1" s="1"/>
  <c r="A250" i="1"/>
  <c r="I250" i="1" s="1"/>
  <c r="A251" i="1"/>
  <c r="I251" i="1" s="1"/>
  <c r="A252" i="1"/>
  <c r="I252" i="1" s="1"/>
  <c r="A253" i="1"/>
  <c r="I253" i="1" s="1"/>
  <c r="A254" i="1"/>
  <c r="I254" i="1" s="1"/>
  <c r="A255" i="1"/>
  <c r="I255" i="1" s="1"/>
  <c r="A256" i="1"/>
  <c r="I256" i="1" s="1"/>
  <c r="A257" i="1"/>
  <c r="I257" i="1" s="1"/>
  <c r="A258" i="1"/>
  <c r="I258" i="1" s="1"/>
  <c r="A259" i="1"/>
  <c r="I259" i="1" s="1"/>
  <c r="A260" i="1"/>
  <c r="I260" i="1" s="1"/>
  <c r="A261" i="1"/>
  <c r="I261" i="1" s="1"/>
  <c r="A262" i="1"/>
  <c r="I262" i="1" s="1"/>
  <c r="A263" i="1"/>
  <c r="I263" i="1" s="1"/>
  <c r="A264" i="1"/>
  <c r="I264" i="1" s="1"/>
  <c r="A265" i="1"/>
  <c r="I265" i="1" s="1"/>
  <c r="A266" i="1"/>
  <c r="I266" i="1" s="1"/>
  <c r="A267" i="1"/>
  <c r="I267" i="1" s="1"/>
  <c r="A268" i="1"/>
  <c r="I268" i="1" s="1"/>
  <c r="A269" i="1"/>
  <c r="I269" i="1" s="1"/>
  <c r="A270" i="1"/>
  <c r="I270" i="1" s="1"/>
  <c r="A271" i="1"/>
  <c r="I271" i="1" s="1"/>
  <c r="A272" i="1"/>
  <c r="I272" i="1" s="1"/>
  <c r="A273" i="1"/>
  <c r="I273" i="1" s="1"/>
  <c r="A274" i="1"/>
  <c r="I274" i="1" s="1"/>
  <c r="A275" i="1"/>
  <c r="I275" i="1" s="1"/>
  <c r="A276" i="1"/>
  <c r="I276" i="1" s="1"/>
  <c r="A277" i="1"/>
  <c r="I277" i="1" s="1"/>
  <c r="A278" i="1"/>
  <c r="I278" i="1" s="1"/>
  <c r="A279" i="1"/>
  <c r="I279" i="1" s="1"/>
  <c r="A280" i="1"/>
  <c r="I280" i="1" s="1"/>
  <c r="A281" i="1"/>
  <c r="I281" i="1" s="1"/>
  <c r="A282" i="1"/>
  <c r="I282" i="1" s="1"/>
  <c r="A283" i="1"/>
  <c r="I283" i="1" s="1"/>
  <c r="A284" i="1"/>
  <c r="I284" i="1" s="1"/>
  <c r="A285" i="1"/>
  <c r="I285" i="1" s="1"/>
  <c r="A286" i="1"/>
  <c r="I286" i="1" s="1"/>
  <c r="A287" i="1"/>
  <c r="I287" i="1" s="1"/>
  <c r="A288" i="1"/>
  <c r="I288" i="1" s="1"/>
  <c r="A289" i="1"/>
  <c r="I289" i="1" s="1"/>
  <c r="A290" i="1"/>
  <c r="I290" i="1" s="1"/>
  <c r="A291" i="1"/>
  <c r="I291" i="1" s="1"/>
  <c r="A292" i="1"/>
  <c r="I292" i="1" s="1"/>
  <c r="A293" i="1"/>
  <c r="I293" i="1" s="1"/>
  <c r="A294" i="1"/>
  <c r="I294" i="1" s="1"/>
  <c r="A295" i="1"/>
  <c r="I295" i="1" s="1"/>
  <c r="A296" i="1"/>
  <c r="I296" i="1" s="1"/>
  <c r="A297" i="1"/>
  <c r="I297" i="1" s="1"/>
  <c r="A298" i="1"/>
  <c r="I298" i="1" s="1"/>
  <c r="A299" i="1"/>
  <c r="I299" i="1" s="1"/>
  <c r="A300" i="1"/>
  <c r="I300" i="1" s="1"/>
  <c r="A301" i="1"/>
  <c r="I301" i="1" s="1"/>
  <c r="A302" i="1"/>
  <c r="I302" i="1" s="1"/>
  <c r="A303" i="1"/>
  <c r="I303" i="1" s="1"/>
  <c r="A304" i="1"/>
  <c r="I304" i="1" s="1"/>
  <c r="A305" i="1"/>
  <c r="I305" i="1" s="1"/>
  <c r="A306" i="1"/>
  <c r="I306" i="1" s="1"/>
  <c r="A307" i="1"/>
  <c r="I307" i="1" s="1"/>
  <c r="A308" i="1"/>
  <c r="I308" i="1" s="1"/>
  <c r="A309" i="1"/>
  <c r="I309" i="1" s="1"/>
  <c r="A310" i="1"/>
  <c r="I310" i="1" s="1"/>
  <c r="A311" i="1"/>
  <c r="I311" i="1" s="1"/>
  <c r="A312" i="1"/>
  <c r="I312" i="1" s="1"/>
  <c r="A313" i="1"/>
  <c r="I313" i="1" s="1"/>
  <c r="A314" i="1"/>
  <c r="I314" i="1" s="1"/>
  <c r="A315" i="1"/>
  <c r="I315" i="1" s="1"/>
  <c r="A316" i="1"/>
  <c r="I316" i="1" s="1"/>
  <c r="A317" i="1"/>
  <c r="I317" i="1" s="1"/>
  <c r="A318" i="1"/>
  <c r="I318" i="1" s="1"/>
  <c r="A319" i="1"/>
  <c r="I319" i="1" s="1"/>
  <c r="A320" i="1"/>
  <c r="I320" i="1" s="1"/>
  <c r="A321" i="1"/>
  <c r="I321" i="1" s="1"/>
  <c r="A322" i="1"/>
  <c r="I322" i="1" s="1"/>
  <c r="A323" i="1"/>
  <c r="I323" i="1" s="1"/>
  <c r="A324" i="1"/>
  <c r="I324" i="1" s="1"/>
  <c r="A325" i="1"/>
  <c r="I325" i="1" s="1"/>
  <c r="A326" i="1"/>
  <c r="I326" i="1" s="1"/>
  <c r="A327" i="1"/>
  <c r="I327" i="1" s="1"/>
  <c r="A328" i="1"/>
  <c r="I328" i="1" s="1"/>
  <c r="A329" i="1"/>
  <c r="I329" i="1" s="1"/>
  <c r="A330" i="1"/>
  <c r="I330" i="1" s="1"/>
  <c r="A331" i="1"/>
  <c r="I331" i="1" s="1"/>
  <c r="A332" i="1"/>
  <c r="I332" i="1" s="1"/>
  <c r="A333" i="1"/>
  <c r="I333" i="1" s="1"/>
  <c r="A334" i="1"/>
  <c r="I334" i="1" s="1"/>
  <c r="A335" i="1"/>
  <c r="I335" i="1" s="1"/>
  <c r="A336" i="1"/>
  <c r="I336" i="1" s="1"/>
  <c r="A337" i="1"/>
  <c r="I337" i="1" s="1"/>
  <c r="A338" i="1"/>
  <c r="I338" i="1" s="1"/>
  <c r="A339" i="1"/>
  <c r="I339" i="1" s="1"/>
  <c r="A340" i="1"/>
  <c r="I340" i="1" s="1"/>
  <c r="A341" i="1"/>
  <c r="I341" i="1" s="1"/>
  <c r="A342" i="1"/>
  <c r="I342" i="1" s="1"/>
  <c r="A343" i="1"/>
  <c r="I343" i="1" s="1"/>
  <c r="A344" i="1"/>
  <c r="I344" i="1" s="1"/>
  <c r="A345" i="1"/>
  <c r="I345" i="1" s="1"/>
  <c r="A346" i="1"/>
  <c r="I346" i="1" s="1"/>
  <c r="A347" i="1"/>
  <c r="I347" i="1" s="1"/>
  <c r="A348" i="1"/>
  <c r="I348" i="1" s="1"/>
  <c r="A349" i="1"/>
  <c r="I349" i="1" s="1"/>
  <c r="A350" i="1"/>
  <c r="I350" i="1" s="1"/>
  <c r="A351" i="1"/>
  <c r="I351" i="1" s="1"/>
  <c r="A352" i="1"/>
  <c r="I352" i="1" s="1"/>
  <c r="A353" i="1"/>
  <c r="I353" i="1" s="1"/>
  <c r="A354" i="1"/>
  <c r="I354" i="1" s="1"/>
  <c r="A355" i="1"/>
  <c r="I355" i="1" s="1"/>
  <c r="A356" i="1"/>
  <c r="I356" i="1" s="1"/>
  <c r="A357" i="1"/>
  <c r="I357" i="1" s="1"/>
  <c r="A358" i="1"/>
  <c r="I358" i="1" s="1"/>
  <c r="A359" i="1"/>
  <c r="I359" i="1" s="1"/>
  <c r="A360" i="1"/>
  <c r="I360" i="1" s="1"/>
  <c r="A361" i="1"/>
  <c r="I361" i="1" s="1"/>
  <c r="A362" i="1"/>
  <c r="I362" i="1" s="1"/>
  <c r="A363" i="1"/>
  <c r="I363" i="1" s="1"/>
  <c r="A364" i="1"/>
  <c r="I364" i="1" s="1"/>
  <c r="A365" i="1"/>
  <c r="I365" i="1" s="1"/>
  <c r="A366" i="1"/>
  <c r="I366" i="1" s="1"/>
  <c r="A367" i="1"/>
  <c r="I367" i="1" s="1"/>
  <c r="A368" i="1"/>
  <c r="I368" i="1" s="1"/>
  <c r="A369" i="1"/>
  <c r="A370" i="1"/>
  <c r="I370" i="1" s="1"/>
  <c r="A371" i="1"/>
  <c r="I371" i="1" s="1"/>
  <c r="A372" i="1"/>
  <c r="I372" i="1" s="1"/>
  <c r="A373" i="1"/>
  <c r="I373" i="1" s="1"/>
  <c r="A374" i="1"/>
  <c r="I374" i="1" s="1"/>
  <c r="A375" i="1"/>
  <c r="I375" i="1" s="1"/>
  <c r="A376" i="1"/>
  <c r="I376" i="1" s="1"/>
  <c r="A377" i="1"/>
  <c r="I377" i="1" s="1"/>
  <c r="A378" i="1"/>
  <c r="I378" i="1" s="1"/>
  <c r="A379" i="1"/>
  <c r="I379" i="1" s="1"/>
  <c r="A380" i="1"/>
  <c r="I380" i="1" s="1"/>
  <c r="A381" i="1"/>
  <c r="I381" i="1" s="1"/>
  <c r="A382" i="1"/>
  <c r="I382" i="1" s="1"/>
  <c r="A383" i="1"/>
  <c r="I383" i="1" s="1"/>
  <c r="A384" i="1"/>
  <c r="I384" i="1" s="1"/>
  <c r="A385" i="1"/>
  <c r="I385" i="1" s="1"/>
  <c r="A386" i="1"/>
  <c r="I386" i="1" s="1"/>
  <c r="A387" i="1"/>
  <c r="I387" i="1" s="1"/>
  <c r="A388" i="1"/>
  <c r="I388" i="1" s="1"/>
  <c r="A389" i="1"/>
  <c r="I389" i="1"/>
  <c r="A390" i="1"/>
  <c r="I390" i="1" s="1"/>
  <c r="A391" i="1"/>
  <c r="I391" i="1" s="1"/>
  <c r="A392" i="1"/>
  <c r="I392" i="1" s="1"/>
  <c r="A393" i="1"/>
  <c r="I393" i="1" s="1"/>
  <c r="A394" i="1"/>
  <c r="I394" i="1" s="1"/>
  <c r="A395" i="1"/>
  <c r="I395" i="1" s="1"/>
  <c r="A396" i="1"/>
  <c r="I396" i="1" s="1"/>
  <c r="A397" i="1"/>
  <c r="I397" i="1" s="1"/>
  <c r="A398" i="1"/>
  <c r="A399" i="1"/>
  <c r="I399" i="1" s="1"/>
  <c r="A400" i="1"/>
  <c r="I400" i="1" s="1"/>
  <c r="A401" i="1"/>
  <c r="I401" i="1" s="1"/>
  <c r="A402" i="1"/>
  <c r="I402" i="1" s="1"/>
  <c r="A403" i="1"/>
  <c r="I403" i="1" s="1"/>
  <c r="A404" i="1"/>
  <c r="I404" i="1" s="1"/>
  <c r="A405" i="1"/>
  <c r="I405" i="1" s="1"/>
  <c r="A406" i="1"/>
  <c r="I406" i="1" s="1"/>
  <c r="A407" i="1"/>
  <c r="I407" i="1" s="1"/>
  <c r="A408" i="1"/>
  <c r="I408" i="1" s="1"/>
  <c r="A409" i="1"/>
  <c r="I409" i="1" s="1"/>
  <c r="A410" i="1"/>
  <c r="I410" i="1" s="1"/>
  <c r="A411" i="1"/>
  <c r="I411" i="1" s="1"/>
  <c r="A412" i="1"/>
  <c r="I412" i="1" s="1"/>
  <c r="A413" i="1"/>
  <c r="I413" i="1" s="1"/>
  <c r="A414" i="1"/>
  <c r="I414" i="1" s="1"/>
  <c r="A415" i="1"/>
  <c r="I415" i="1" s="1"/>
  <c r="A416" i="1"/>
  <c r="I416" i="1" s="1"/>
  <c r="A417" i="1"/>
  <c r="I417" i="1" s="1"/>
  <c r="A418" i="1"/>
  <c r="I418" i="1" s="1"/>
  <c r="A419" i="1"/>
  <c r="I419" i="1" s="1"/>
  <c r="A420" i="1"/>
  <c r="I420" i="1" s="1"/>
  <c r="A421" i="1"/>
  <c r="I421" i="1" s="1"/>
  <c r="A422" i="1"/>
  <c r="I422" i="1" s="1"/>
  <c r="A423" i="1"/>
  <c r="I423" i="1" s="1"/>
  <c r="A424" i="1"/>
  <c r="I424" i="1" s="1"/>
  <c r="A425" i="1"/>
  <c r="I425" i="1" s="1"/>
  <c r="A426" i="1"/>
  <c r="I426" i="1" s="1"/>
  <c r="A427" i="1"/>
  <c r="I427" i="1" s="1"/>
  <c r="A428" i="1"/>
  <c r="I428" i="1" s="1"/>
  <c r="A429" i="1"/>
  <c r="I429" i="1" s="1"/>
  <c r="A430" i="1"/>
  <c r="I430" i="1" s="1"/>
  <c r="A431" i="1"/>
  <c r="I431" i="1" s="1"/>
  <c r="A432" i="1"/>
  <c r="I432" i="1" s="1"/>
  <c r="A433" i="1"/>
  <c r="I433" i="1" s="1"/>
  <c r="A434" i="1"/>
  <c r="I434" i="1" s="1"/>
  <c r="A435" i="1"/>
  <c r="I435" i="1" s="1"/>
  <c r="A436" i="1"/>
  <c r="I436" i="1" s="1"/>
  <c r="A437" i="1"/>
  <c r="I437" i="1" s="1"/>
  <c r="A438" i="1"/>
  <c r="I438" i="1" s="1"/>
  <c r="A439" i="1"/>
  <c r="I439" i="1" s="1"/>
  <c r="A440" i="1"/>
  <c r="I440" i="1" s="1"/>
  <c r="A441" i="1"/>
  <c r="I441" i="1" s="1"/>
  <c r="A442" i="1"/>
  <c r="I442" i="1" s="1"/>
  <c r="A443" i="1"/>
  <c r="I443" i="1" s="1"/>
  <c r="A444" i="1"/>
  <c r="I444" i="1" s="1"/>
  <c r="A445" i="1"/>
  <c r="I445" i="1" s="1"/>
  <c r="A446" i="1"/>
  <c r="I446" i="1" s="1"/>
  <c r="A447" i="1"/>
  <c r="I447" i="1" s="1"/>
  <c r="A448" i="1"/>
  <c r="I448" i="1" s="1"/>
  <c r="A449" i="1"/>
  <c r="I449" i="1" s="1"/>
  <c r="A450" i="1"/>
  <c r="I450" i="1" s="1"/>
  <c r="A451" i="1"/>
  <c r="I451" i="1" s="1"/>
  <c r="A452" i="1"/>
  <c r="I452" i="1" s="1"/>
  <c r="A453" i="1"/>
  <c r="I453" i="1" s="1"/>
  <c r="A454" i="1"/>
  <c r="I454" i="1" s="1"/>
  <c r="A455" i="1"/>
  <c r="I455" i="1" s="1"/>
  <c r="A456" i="1"/>
  <c r="I456" i="1" s="1"/>
  <c r="A457" i="1"/>
  <c r="I457" i="1" s="1"/>
  <c r="A458" i="1"/>
  <c r="I458" i="1" s="1"/>
  <c r="A459" i="1"/>
  <c r="I459" i="1" s="1"/>
  <c r="A460" i="1"/>
  <c r="I460" i="1" s="1"/>
  <c r="A461" i="1"/>
  <c r="I461" i="1" s="1"/>
  <c r="A462" i="1"/>
  <c r="I462" i="1" s="1"/>
  <c r="A463" i="1"/>
  <c r="I463" i="1" s="1"/>
  <c r="A464" i="1"/>
  <c r="I464" i="1" s="1"/>
  <c r="A465" i="1"/>
  <c r="I465" i="1" s="1"/>
  <c r="A466" i="1"/>
  <c r="I466" i="1" s="1"/>
  <c r="A467" i="1"/>
  <c r="I467" i="1" s="1"/>
  <c r="A468" i="1"/>
  <c r="I468" i="1" s="1"/>
  <c r="A469" i="1"/>
  <c r="I469" i="1" s="1"/>
  <c r="A470" i="1"/>
  <c r="I470" i="1" s="1"/>
  <c r="A471" i="1"/>
  <c r="I471" i="1" s="1"/>
  <c r="A472" i="1"/>
  <c r="I472" i="1" s="1"/>
  <c r="A473" i="1"/>
  <c r="I473" i="1" s="1"/>
  <c r="A474" i="1"/>
  <c r="I474" i="1" s="1"/>
  <c r="A475" i="1"/>
  <c r="I475" i="1" s="1"/>
  <c r="A476" i="1"/>
  <c r="I476" i="1" s="1"/>
  <c r="A477" i="1"/>
  <c r="I477" i="1" s="1"/>
  <c r="A478" i="1"/>
  <c r="I478" i="1" s="1"/>
  <c r="A479" i="1"/>
  <c r="I479" i="1" s="1"/>
  <c r="A480" i="1"/>
  <c r="I480" i="1" s="1"/>
  <c r="A481" i="1"/>
  <c r="I481" i="1" s="1"/>
  <c r="A482" i="1"/>
  <c r="I482" i="1" s="1"/>
  <c r="A483" i="1"/>
  <c r="I483" i="1" s="1"/>
  <c r="A484" i="1"/>
  <c r="I484" i="1" s="1"/>
  <c r="A485" i="1"/>
  <c r="I485" i="1" s="1"/>
  <c r="A486" i="1"/>
  <c r="I486" i="1" s="1"/>
  <c r="A487" i="1"/>
  <c r="I487" i="1" s="1"/>
  <c r="A488" i="1"/>
  <c r="I488" i="1" s="1"/>
  <c r="A489" i="1"/>
  <c r="I489" i="1" s="1"/>
  <c r="A490" i="1"/>
  <c r="I490" i="1" s="1"/>
  <c r="A491" i="1"/>
  <c r="I491" i="1" s="1"/>
  <c r="A492" i="1"/>
  <c r="I492" i="1" s="1"/>
  <c r="A493" i="1"/>
  <c r="I493" i="1" s="1"/>
  <c r="A494" i="1"/>
  <c r="I494" i="1" s="1"/>
  <c r="A495" i="1"/>
  <c r="I495" i="1" s="1"/>
  <c r="A496" i="1"/>
  <c r="I496" i="1" s="1"/>
  <c r="A497" i="1"/>
  <c r="I497" i="1" s="1"/>
  <c r="A498" i="1"/>
  <c r="I498" i="1" s="1"/>
  <c r="A499" i="1"/>
  <c r="I499" i="1" s="1"/>
  <c r="A500" i="1"/>
  <c r="I500" i="1" s="1"/>
  <c r="A501" i="1"/>
  <c r="I501" i="1" s="1"/>
  <c r="A502" i="1"/>
  <c r="I502" i="1" s="1"/>
  <c r="A503" i="1"/>
  <c r="I503" i="1" s="1"/>
  <c r="A504" i="1"/>
  <c r="I504" i="1" s="1"/>
  <c r="A505" i="1"/>
  <c r="I505" i="1" s="1"/>
  <c r="A506" i="1"/>
  <c r="I506" i="1" s="1"/>
  <c r="A507" i="1"/>
  <c r="I507" i="1" s="1"/>
  <c r="A508" i="1"/>
  <c r="I508" i="1" s="1"/>
  <c r="A509" i="1"/>
  <c r="I509" i="1" s="1"/>
  <c r="A510" i="1"/>
  <c r="I510" i="1" s="1"/>
  <c r="A511" i="1"/>
  <c r="I511" i="1" s="1"/>
  <c r="A512" i="1"/>
  <c r="I512" i="1" s="1"/>
  <c r="A513" i="1"/>
  <c r="I513" i="1" s="1"/>
  <c r="A514" i="1"/>
  <c r="I514" i="1" s="1"/>
  <c r="A515" i="1"/>
  <c r="I515" i="1" s="1"/>
  <c r="A516" i="1"/>
  <c r="I516" i="1" s="1"/>
  <c r="A517" i="1"/>
  <c r="I517" i="1" s="1"/>
  <c r="A518" i="1"/>
  <c r="I518" i="1" s="1"/>
  <c r="A519" i="1"/>
  <c r="I519" i="1" s="1"/>
  <c r="A520" i="1"/>
  <c r="I520" i="1" s="1"/>
  <c r="A521" i="1"/>
  <c r="I521" i="1" s="1"/>
  <c r="A522" i="1"/>
  <c r="I522" i="1" s="1"/>
  <c r="A523" i="1"/>
  <c r="I523" i="1" s="1"/>
  <c r="A524" i="1"/>
  <c r="I524" i="1" s="1"/>
  <c r="A525" i="1"/>
  <c r="I525" i="1" s="1"/>
  <c r="A526" i="1"/>
  <c r="I526" i="1" s="1"/>
  <c r="A527" i="1"/>
  <c r="I527" i="1" s="1"/>
  <c r="A528" i="1"/>
  <c r="I528" i="1" s="1"/>
  <c r="A529" i="1"/>
  <c r="I529" i="1" s="1"/>
  <c r="A530" i="1"/>
  <c r="I530" i="1" s="1"/>
  <c r="A531" i="1"/>
  <c r="I531" i="1" s="1"/>
  <c r="A532" i="1"/>
  <c r="I532" i="1" s="1"/>
  <c r="A533" i="1"/>
  <c r="I533" i="1" s="1"/>
  <c r="A534" i="1"/>
  <c r="I534" i="1" s="1"/>
  <c r="A535" i="1"/>
  <c r="I535" i="1" s="1"/>
  <c r="A536" i="1"/>
  <c r="I536" i="1" s="1"/>
  <c r="A537" i="1"/>
  <c r="I537" i="1" s="1"/>
  <c r="A538" i="1"/>
  <c r="I538" i="1" s="1"/>
  <c r="A539" i="1"/>
  <c r="I539" i="1" s="1"/>
  <c r="A540" i="1"/>
  <c r="I540" i="1" s="1"/>
  <c r="A541" i="1"/>
  <c r="A542" i="1"/>
  <c r="I542" i="1" s="1"/>
  <c r="A543" i="1"/>
  <c r="I543" i="1" s="1"/>
  <c r="A544" i="1"/>
  <c r="I544" i="1" s="1"/>
  <c r="A545" i="1"/>
  <c r="I545" i="1" s="1"/>
  <c r="A546" i="1"/>
  <c r="I546" i="1" s="1"/>
  <c r="A547" i="1"/>
  <c r="I547" i="1" s="1"/>
  <c r="A548" i="1"/>
  <c r="I548" i="1" s="1"/>
  <c r="A549" i="1"/>
  <c r="I549" i="1" s="1"/>
  <c r="A550" i="1"/>
  <c r="I550" i="1" s="1"/>
  <c r="A551" i="1"/>
  <c r="I551" i="1" s="1"/>
  <c r="A552" i="1"/>
  <c r="I552" i="1" s="1"/>
  <c r="A553" i="1"/>
  <c r="I553" i="1" s="1"/>
  <c r="A554" i="1"/>
  <c r="I554" i="1"/>
  <c r="A555" i="1"/>
  <c r="I555" i="1" s="1"/>
  <c r="A556" i="1"/>
  <c r="I556" i="1" s="1"/>
  <c r="A557" i="1"/>
  <c r="I557" i="1" s="1"/>
  <c r="A558" i="1"/>
  <c r="I558" i="1" s="1"/>
  <c r="A559" i="1"/>
  <c r="I559" i="1" s="1"/>
  <c r="A560" i="1"/>
  <c r="I560" i="1"/>
  <c r="A561" i="1"/>
  <c r="I561" i="1" s="1"/>
  <c r="A562" i="1"/>
  <c r="I562" i="1" s="1"/>
  <c r="A563" i="1"/>
  <c r="I563" i="1" s="1"/>
  <c r="A564" i="1"/>
  <c r="I564" i="1" s="1"/>
  <c r="A565" i="1"/>
  <c r="I565" i="1" s="1"/>
  <c r="A566" i="1"/>
  <c r="I566" i="1" s="1"/>
  <c r="A567" i="1"/>
  <c r="I567" i="1" s="1"/>
  <c r="A568" i="1"/>
  <c r="I568" i="1" s="1"/>
  <c r="A569" i="1"/>
  <c r="I569" i="1" s="1"/>
  <c r="A570" i="1"/>
  <c r="I570" i="1" s="1"/>
  <c r="A571" i="1"/>
  <c r="I571" i="1" s="1"/>
  <c r="A572" i="1"/>
  <c r="I572" i="1"/>
  <c r="A573" i="1"/>
  <c r="I573" i="1" s="1"/>
  <c r="A574" i="1"/>
  <c r="I574" i="1" s="1"/>
  <c r="A575" i="1"/>
  <c r="I575" i="1" s="1"/>
  <c r="A576" i="1"/>
  <c r="I576" i="1"/>
  <c r="A577" i="1"/>
  <c r="I577" i="1" s="1"/>
  <c r="A578" i="1"/>
  <c r="I578" i="1" s="1"/>
  <c r="A579" i="1"/>
  <c r="I579" i="1" s="1"/>
  <c r="A580" i="1"/>
  <c r="I580" i="1" s="1"/>
  <c r="A581" i="1"/>
  <c r="I581" i="1" s="1"/>
  <c r="A582" i="1"/>
  <c r="I582" i="1" s="1"/>
  <c r="A583" i="1"/>
  <c r="I583" i="1" s="1"/>
  <c r="A584" i="1"/>
  <c r="I584" i="1" s="1"/>
  <c r="A585" i="1"/>
  <c r="I585" i="1" s="1"/>
  <c r="A586" i="1"/>
  <c r="I586" i="1" s="1"/>
  <c r="A587" i="1"/>
  <c r="I587" i="1" s="1"/>
  <c r="A588" i="1"/>
  <c r="I588" i="1" s="1"/>
  <c r="A589" i="1"/>
  <c r="I589" i="1" s="1"/>
  <c r="A590" i="1"/>
  <c r="I590" i="1" s="1"/>
  <c r="A591" i="1"/>
  <c r="I591" i="1" s="1"/>
  <c r="A592" i="1"/>
  <c r="I592" i="1"/>
  <c r="A593" i="1"/>
  <c r="I593" i="1" s="1"/>
  <c r="A594" i="1"/>
  <c r="I594" i="1" s="1"/>
  <c r="A595" i="1"/>
  <c r="I595" i="1" s="1"/>
  <c r="A596" i="1"/>
  <c r="I596" i="1" s="1"/>
  <c r="A597" i="1"/>
  <c r="I597" i="1" s="1"/>
  <c r="A598" i="1"/>
  <c r="I598" i="1" s="1"/>
  <c r="A599" i="1"/>
  <c r="I599" i="1" s="1"/>
  <c r="A600" i="1"/>
  <c r="I600" i="1"/>
  <c r="A601" i="1"/>
  <c r="I601" i="1" s="1"/>
  <c r="A602" i="1"/>
  <c r="I602" i="1" s="1"/>
  <c r="A603" i="1"/>
  <c r="I603" i="1" s="1"/>
  <c r="A604" i="1"/>
  <c r="I604" i="1"/>
  <c r="A605" i="1"/>
  <c r="I605" i="1" s="1"/>
  <c r="A606" i="1"/>
  <c r="I606" i="1" s="1"/>
  <c r="A607" i="1"/>
  <c r="I607" i="1" s="1"/>
  <c r="A608" i="1"/>
  <c r="I608" i="1"/>
  <c r="A609" i="1"/>
  <c r="I609" i="1" s="1"/>
  <c r="A610" i="1"/>
  <c r="I610" i="1" s="1"/>
  <c r="A611" i="1"/>
  <c r="I611" i="1" s="1"/>
  <c r="A612" i="1"/>
  <c r="I612" i="1" s="1"/>
  <c r="A613" i="1"/>
  <c r="I613" i="1" s="1"/>
  <c r="A614" i="1"/>
  <c r="I614" i="1" s="1"/>
  <c r="A2" i="1"/>
  <c r="E36" i="62"/>
  <c r="F34" i="42"/>
  <c r="I20809" i="79" s="1"/>
  <c r="A20808" i="80" s="1"/>
  <c r="G22" i="42"/>
  <c r="I20629" i="79"/>
  <c r="A20628" i="80" s="1"/>
  <c r="G3" i="7"/>
  <c r="K4" i="33" s="1"/>
  <c r="I6227" i="79" s="1"/>
  <c r="A6226" i="80" s="1"/>
  <c r="E4" i="4"/>
  <c r="E51" i="4" s="1"/>
  <c r="I530" i="63"/>
  <c r="I514" i="63"/>
  <c r="I489" i="63"/>
  <c r="I460" i="63"/>
  <c r="I458" i="63"/>
  <c r="I404" i="63"/>
  <c r="I316" i="63"/>
  <c r="I298" i="63"/>
  <c r="I278" i="63"/>
  <c r="H15" i="37"/>
  <c r="B44" i="34"/>
  <c r="D39" i="32"/>
  <c r="C39" i="32"/>
  <c r="H11" i="51"/>
  <c r="F11" i="51"/>
  <c r="E11" i="51"/>
  <c r="C11" i="51"/>
  <c r="I6" i="51"/>
  <c r="H6" i="51"/>
  <c r="G6" i="51"/>
  <c r="F6" i="51"/>
  <c r="E6" i="51"/>
  <c r="D6" i="51"/>
  <c r="G3" i="51"/>
  <c r="I8" i="30"/>
  <c r="H8" i="30"/>
  <c r="G8" i="30"/>
  <c r="F8" i="30"/>
  <c r="C12" i="30"/>
  <c r="E8" i="30"/>
  <c r="H12" i="30"/>
  <c r="F12" i="30"/>
  <c r="C8" i="30"/>
  <c r="G5" i="30"/>
  <c r="E5" i="52"/>
  <c r="C8" i="32" s="1"/>
  <c r="I4" i="33" s="1"/>
  <c r="D6" i="49" s="1"/>
  <c r="H5" i="37" s="1"/>
  <c r="C6" i="38" s="1"/>
  <c r="C24" i="32"/>
  <c r="C26" i="32" s="1"/>
  <c r="D24" i="32"/>
  <c r="D26" i="32" s="1"/>
  <c r="B614" i="1"/>
  <c r="B613" i="1"/>
  <c r="B612" i="1"/>
  <c r="B611" i="1"/>
  <c r="B610" i="1"/>
  <c r="B609" i="1"/>
  <c r="B608" i="1"/>
  <c r="B607" i="1"/>
  <c r="B606" i="1"/>
  <c r="B605" i="1"/>
  <c r="B604" i="1"/>
  <c r="B603" i="1"/>
  <c r="B602" i="1"/>
  <c r="B601" i="1"/>
  <c r="B600"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2" i="1"/>
  <c r="I398"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2" i="63"/>
  <c r="E18" i="37"/>
  <c r="C23" i="39" s="1"/>
  <c r="C21" i="40"/>
  <c r="E19" i="54"/>
  <c r="I17546" i="79" s="1"/>
  <c r="A17545" i="80" s="1"/>
  <c r="F19" i="54"/>
  <c r="I17612" i="79"/>
  <c r="A17611" i="80" s="1"/>
  <c r="G19" i="54"/>
  <c r="I17684" i="79" s="1"/>
  <c r="A17683" i="80" s="1"/>
  <c r="H19" i="54"/>
  <c r="I17750" i="79"/>
  <c r="A17749" i="80" s="1"/>
  <c r="I19" i="54"/>
  <c r="I17816" i="79" s="1"/>
  <c r="A17815" i="80" s="1"/>
  <c r="C19" i="54"/>
  <c r="I17420" i="79"/>
  <c r="A17419" i="80" s="1"/>
  <c r="F16" i="26"/>
  <c r="I7382" i="79" s="1"/>
  <c r="A7381" i="80" s="1"/>
  <c r="G7" i="26"/>
  <c r="J15" i="27"/>
  <c r="I7655" i="79" s="1"/>
  <c r="A7654" i="80" s="1"/>
  <c r="F15" i="27"/>
  <c r="I7631" i="79"/>
  <c r="A7630" i="80" s="1"/>
  <c r="H5" i="27"/>
  <c r="H17" i="37"/>
  <c r="H16" i="37"/>
  <c r="I8028" i="79" s="1"/>
  <c r="A8027" i="80" s="1"/>
  <c r="L23" i="59"/>
  <c r="K23" i="59"/>
  <c r="I18451" i="79"/>
  <c r="A18450" i="80"/>
  <c r="J23" i="59"/>
  <c r="I23" i="59"/>
  <c r="I18433" i="79" s="1"/>
  <c r="A18432" i="80" s="1"/>
  <c r="I18439" i="79"/>
  <c r="A18438" i="80"/>
  <c r="G18" i="60"/>
  <c r="I18716" i="79" s="1"/>
  <c r="A18715" i="80" s="1"/>
  <c r="F18" i="60"/>
  <c r="I18710" i="79" s="1"/>
  <c r="A18709" i="80" s="1"/>
  <c r="D20" i="61"/>
  <c r="I19155" i="79"/>
  <c r="A19154" i="80" s="1"/>
  <c r="D18" i="61"/>
  <c r="I19143" i="79" s="1"/>
  <c r="A19142" i="80" s="1"/>
  <c r="D17" i="61"/>
  <c r="I19137" i="79"/>
  <c r="A19136" i="80" s="1"/>
  <c r="D13" i="61"/>
  <c r="D10" i="61"/>
  <c r="I19101" i="79"/>
  <c r="A19100" i="80" s="1"/>
  <c r="D9" i="61"/>
  <c r="I19095" i="79" s="1"/>
  <c r="A19094" i="80" s="1"/>
  <c r="G8" i="61"/>
  <c r="G9" i="61"/>
  <c r="I19635" i="79" s="1"/>
  <c r="A19634" i="80" s="1"/>
  <c r="G10" i="61"/>
  <c r="I19683" i="79"/>
  <c r="A19682" i="80" s="1"/>
  <c r="G17" i="61"/>
  <c r="I19671" i="79" s="1"/>
  <c r="A19670" i="80" s="1"/>
  <c r="G18" i="61"/>
  <c r="I19677" i="79"/>
  <c r="A19676" i="80" s="1"/>
  <c r="G20" i="61"/>
  <c r="I19695" i="79" s="1"/>
  <c r="A19694" i="80" s="1"/>
  <c r="G31" i="61"/>
  <c r="I19761" i="79"/>
  <c r="A19760" i="80" s="1"/>
  <c r="D8" i="61"/>
  <c r="I19089" i="79" s="1"/>
  <c r="A19088" i="80" s="1"/>
  <c r="D31" i="61"/>
  <c r="H39" i="61"/>
  <c r="H33" i="61"/>
  <c r="I19953" i="79"/>
  <c r="A19952" i="80" s="1"/>
  <c r="H29" i="61"/>
  <c r="I19929" i="79" s="1"/>
  <c r="A19928" i="80" s="1"/>
  <c r="I4356" i="79"/>
  <c r="A4355" i="80" s="1"/>
  <c r="I4248" i="79"/>
  <c r="A4247" i="80" s="1"/>
  <c r="I4194" i="79"/>
  <c r="A4193" i="80" s="1"/>
  <c r="G14" i="24"/>
  <c r="I3978" i="79" s="1"/>
  <c r="A3977" i="80" s="1"/>
  <c r="H9" i="24"/>
  <c r="I3734" i="79"/>
  <c r="A3733" i="80" s="1"/>
  <c r="G9" i="24"/>
  <c r="I3710" i="79" s="1"/>
  <c r="A3709" i="80" s="1"/>
  <c r="E9" i="24"/>
  <c r="I3662" i="79"/>
  <c r="A3661" i="80" s="1"/>
  <c r="D9" i="24"/>
  <c r="I3638" i="79" s="1"/>
  <c r="A3637" i="80" s="1"/>
  <c r="J17" i="33"/>
  <c r="G3" i="48"/>
  <c r="C117" i="3"/>
  <c r="C104" i="3"/>
  <c r="C98" i="3"/>
  <c r="C94" i="3"/>
  <c r="C87" i="3"/>
  <c r="C80" i="3"/>
  <c r="C67" i="3"/>
  <c r="D51" i="4"/>
  <c r="G23" i="42"/>
  <c r="I20635" i="79" s="1"/>
  <c r="A20634" i="80" s="1"/>
  <c r="I369" i="1"/>
  <c r="I541" i="1"/>
  <c r="F4" i="4"/>
  <c r="F51" i="4" s="1"/>
  <c r="H9" i="61"/>
  <c r="I19815" i="79" s="1"/>
  <c r="A19814" i="80" s="1"/>
  <c r="H31" i="61"/>
  <c r="I19941" i="79"/>
  <c r="A19940" i="80" s="1"/>
  <c r="I19221" i="79"/>
  <c r="A19220" i="80" s="1"/>
  <c r="H8" i="61"/>
  <c r="I19809" i="79" s="1"/>
  <c r="A19808" i="80" s="1"/>
  <c r="I19629" i="79"/>
  <c r="A19628" i="80"/>
  <c r="D24" i="40"/>
  <c r="I20110" i="79"/>
  <c r="A20109" i="80" s="1"/>
  <c r="I20098" i="79"/>
  <c r="A20097" i="80" s="1"/>
  <c r="I18427" i="79"/>
  <c r="A18426" i="80" s="1"/>
  <c r="I18421" i="79"/>
  <c r="A18420" i="80" s="1"/>
  <c r="G12" i="26"/>
  <c r="I7226" i="79" s="1"/>
  <c r="A7225" i="80" s="1"/>
  <c r="I7216" i="79"/>
  <c r="A7215" i="80"/>
  <c r="G14" i="26"/>
  <c r="I7306" i="79"/>
  <c r="A7305" i="80" s="1"/>
  <c r="I7296" i="79"/>
  <c r="A7295" i="80" s="1"/>
  <c r="I18445" i="79"/>
  <c r="A18444" i="80" s="1"/>
  <c r="G11" i="26"/>
  <c r="I7186" i="79" s="1"/>
  <c r="A7185" i="80" s="1"/>
  <c r="H13" i="26"/>
  <c r="I7271" i="79"/>
  <c r="A7270" i="80" s="1"/>
  <c r="I7256" i="79"/>
  <c r="A7255" i="80" s="1"/>
  <c r="G15" i="26"/>
  <c r="I7346" i="79" s="1"/>
  <c r="A7345" i="80" s="1"/>
  <c r="I7336" i="79"/>
  <c r="A7335" i="80"/>
  <c r="H11" i="26"/>
  <c r="I7191" i="79"/>
  <c r="A7190" i="80" s="1"/>
  <c r="I4855" i="79"/>
  <c r="A4854" i="80" s="1"/>
  <c r="C23" i="40"/>
  <c r="I20068" i="79"/>
  <c r="A20067" i="80" s="1"/>
  <c r="C13496" i="79"/>
  <c r="I13496" i="79" s="1"/>
  <c r="A13495" i="80" s="1"/>
  <c r="I13446" i="79"/>
  <c r="A13445" i="80" s="1"/>
  <c r="C13601" i="79"/>
  <c r="C13651" i="79" s="1"/>
  <c r="I13551" i="79"/>
  <c r="A13550" i="80" s="1"/>
  <c r="I13511" i="79"/>
  <c r="A13510" i="80" s="1"/>
  <c r="C13561" i="79"/>
  <c r="C13541" i="79"/>
  <c r="I13491" i="79"/>
  <c r="A13490" i="80" s="1"/>
  <c r="I13526" i="79"/>
  <c r="A13525" i="80" s="1"/>
  <c r="C13576" i="79"/>
  <c r="I13576" i="79" s="1"/>
  <c r="A13575" i="80" s="1"/>
  <c r="C13516" i="79"/>
  <c r="C13566" i="79" s="1"/>
  <c r="I13466" i="79"/>
  <c r="A13465" i="80" s="1"/>
  <c r="I13521" i="79"/>
  <c r="A13520" i="80" s="1"/>
  <c r="C13571" i="79"/>
  <c r="C13621" i="79" s="1"/>
  <c r="I13506" i="79"/>
  <c r="A13505" i="80" s="1"/>
  <c r="C13556" i="79"/>
  <c r="C13581" i="79"/>
  <c r="I13531" i="79"/>
  <c r="A13530" i="80" s="1"/>
  <c r="C13536" i="79"/>
  <c r="I13486" i="79"/>
  <c r="A13485" i="80" s="1"/>
  <c r="I17" i="37"/>
  <c r="J17" i="37" s="1"/>
  <c r="I8088" i="79" s="1"/>
  <c r="A8087" i="80" s="1"/>
  <c r="I8078" i="79"/>
  <c r="A8077" i="80"/>
  <c r="I7878" i="79"/>
  <c r="A7877" i="80" s="1"/>
  <c r="I16" i="37"/>
  <c r="I8033" i="79" s="1"/>
  <c r="A8032" i="80" s="1"/>
  <c r="I15" i="37"/>
  <c r="I7978" i="79"/>
  <c r="A7977" i="80" s="1"/>
  <c r="D6" i="38"/>
  <c r="H8" i="71" s="1"/>
  <c r="D4" i="39"/>
  <c r="J199" i="71"/>
  <c r="I17323" i="79" s="1"/>
  <c r="A17322" i="80" s="1"/>
  <c r="H12" i="26"/>
  <c r="I7231" i="79"/>
  <c r="A7230" i="80" s="1"/>
  <c r="G10" i="26"/>
  <c r="I7146" i="79" s="1"/>
  <c r="A7145" i="80" s="1"/>
  <c r="I7136" i="79"/>
  <c r="A7135" i="80"/>
  <c r="E3" i="44"/>
  <c r="C26" i="44" s="1"/>
  <c r="J5" i="37"/>
  <c r="H3" i="61"/>
  <c r="C7" i="73" s="1"/>
  <c r="E6" i="49"/>
  <c r="H14" i="26"/>
  <c r="I7311" i="79" s="1"/>
  <c r="A7310" i="80" s="1"/>
  <c r="E16" i="26"/>
  <c r="I7376" i="79" s="1"/>
  <c r="A7375" i="80" s="1"/>
  <c r="G13" i="26"/>
  <c r="I7266" i="79" s="1"/>
  <c r="A7265" i="80" s="1"/>
  <c r="H10" i="26"/>
  <c r="I7151" i="79" s="1"/>
  <c r="A7150" i="80" s="1"/>
  <c r="H10" i="61"/>
  <c r="I19863" i="79"/>
  <c r="A19862" i="80" s="1"/>
  <c r="H20" i="61"/>
  <c r="I19875" i="79" s="1"/>
  <c r="A19874" i="80" s="1"/>
  <c r="G3" i="3"/>
  <c r="G65" i="3" s="1"/>
  <c r="D7" i="40"/>
  <c r="I5" i="24"/>
  <c r="I19479" i="79"/>
  <c r="A19478" i="80"/>
  <c r="I4008" i="79"/>
  <c r="A4007" i="80"/>
  <c r="I20971" i="79"/>
  <c r="A20970" i="80"/>
  <c r="I20671" i="79"/>
  <c r="A20670" i="80" s="1"/>
  <c r="B5" i="34"/>
  <c r="I3918" i="79"/>
  <c r="A3917" i="80"/>
  <c r="I7710" i="79"/>
  <c r="A7709" i="80" s="1"/>
  <c r="I7746" i="79"/>
  <c r="A7745" i="80" s="1"/>
  <c r="I18939" i="79"/>
  <c r="A18938" i="80"/>
  <c r="I7716" i="79"/>
  <c r="A7715" i="80" s="1"/>
  <c r="I4284" i="79"/>
  <c r="A4283" i="80" s="1"/>
  <c r="I20851" i="79"/>
  <c r="A20850" i="80" s="1"/>
  <c r="C24" i="40"/>
  <c r="I20086" i="79" s="1"/>
  <c r="A20085" i="80" s="1"/>
  <c r="I20080" i="79"/>
  <c r="A20079" i="80"/>
  <c r="I13581" i="79"/>
  <c r="A13580" i="80" s="1"/>
  <c r="C13631" i="79"/>
  <c r="I13516" i="79"/>
  <c r="A13515" i="80" s="1"/>
  <c r="I13601" i="79"/>
  <c r="A13600" i="80" s="1"/>
  <c r="C13586" i="79"/>
  <c r="I13586" i="79" s="1"/>
  <c r="A13585" i="80" s="1"/>
  <c r="I13536" i="79"/>
  <c r="A13535" i="80" s="1"/>
  <c r="I13541" i="79"/>
  <c r="A13540" i="80" s="1"/>
  <c r="C13591" i="79"/>
  <c r="C13546" i="79"/>
  <c r="C13596" i="79" s="1"/>
  <c r="I13561" i="79"/>
  <c r="A13560" i="80" s="1"/>
  <c r="C13611" i="79"/>
  <c r="I13556" i="79"/>
  <c r="A13555" i="80" s="1"/>
  <c r="C13606" i="79"/>
  <c r="C13656" i="79" s="1"/>
  <c r="I13571" i="79"/>
  <c r="A13570" i="80" s="1"/>
  <c r="C13626" i="79"/>
  <c r="I13626" i="79" s="1"/>
  <c r="A13625" i="80" s="1"/>
  <c r="I8083" i="79"/>
  <c r="A8082" i="80" s="1"/>
  <c r="I17331" i="79"/>
  <c r="A17330" i="80" s="1"/>
  <c r="I17317" i="79"/>
  <c r="A17316" i="80" s="1"/>
  <c r="J15" i="37"/>
  <c r="I7988" i="79" s="1"/>
  <c r="A7987" i="80" s="1"/>
  <c r="I7983" i="79"/>
  <c r="A7982" i="80"/>
  <c r="I7883" i="79"/>
  <c r="A7882" i="80" s="1"/>
  <c r="J16" i="37"/>
  <c r="I8038" i="79" s="1"/>
  <c r="A8037" i="80" s="1"/>
  <c r="I19299" i="79"/>
  <c r="A19298" i="80"/>
  <c r="I18759" i="79"/>
  <c r="A18758" i="80"/>
  <c r="D14" i="49"/>
  <c r="I7734" i="79" s="1"/>
  <c r="A7733" i="80" s="1"/>
  <c r="I7740" i="79"/>
  <c r="A7739" i="80" s="1"/>
  <c r="H20" i="24"/>
  <c r="I4392" i="79"/>
  <c r="A4391" i="80" s="1"/>
  <c r="I4410" i="79"/>
  <c r="A4409" i="80" s="1"/>
  <c r="I4404" i="79"/>
  <c r="A4403" i="80" s="1"/>
  <c r="H16" i="26"/>
  <c r="I7394" i="79" s="1"/>
  <c r="A7393" i="80" s="1"/>
  <c r="E30" i="24"/>
  <c r="C14" i="49"/>
  <c r="I7704" i="79" s="1"/>
  <c r="A7703" i="80" s="1"/>
  <c r="H30" i="24"/>
  <c r="I13546" i="79"/>
  <c r="A13545" i="80" s="1"/>
  <c r="C13636" i="79"/>
  <c r="C13686" i="79" s="1"/>
  <c r="C13676" i="79"/>
  <c r="C13726" i="79" s="1"/>
  <c r="I13606" i="79"/>
  <c r="A13605" i="80" s="1"/>
  <c r="I13611" i="79"/>
  <c r="A13610" i="80" s="1"/>
  <c r="C13661" i="79"/>
  <c r="I13591" i="79"/>
  <c r="A13590" i="80" s="1"/>
  <c r="C13641" i="79"/>
  <c r="I13631" i="79"/>
  <c r="A13630" i="80" s="1"/>
  <c r="C13681" i="79"/>
  <c r="I19119" i="79"/>
  <c r="A19118" i="80" s="1"/>
  <c r="I19653" i="79"/>
  <c r="A19652" i="80" s="1"/>
  <c r="D30" i="24"/>
  <c r="I3888" i="79"/>
  <c r="A3887" i="80"/>
  <c r="I1283" i="79"/>
  <c r="A1282" i="80" s="1"/>
  <c r="I1247" i="79"/>
  <c r="A1246" i="80" s="1"/>
  <c r="I13661" i="79"/>
  <c r="A13660" i="80" s="1"/>
  <c r="C13711" i="79"/>
  <c r="C13761" i="79" s="1"/>
  <c r="I13636" i="79"/>
  <c r="A13635" i="80" s="1"/>
  <c r="C13731" i="79"/>
  <c r="C13781" i="79" s="1"/>
  <c r="I13681" i="79"/>
  <c r="A13680" i="80" s="1"/>
  <c r="C13691" i="79"/>
  <c r="C13741" i="79" s="1"/>
  <c r="I13641" i="79"/>
  <c r="A13640" i="80" s="1"/>
  <c r="I13676" i="79"/>
  <c r="A13675" i="80" s="1"/>
  <c r="I19833" i="79"/>
  <c r="A19832" i="80"/>
  <c r="C26" i="34"/>
  <c r="I13691" i="79"/>
  <c r="A13690" i="80" s="1"/>
  <c r="I13731" i="79"/>
  <c r="A13730" i="80" s="1"/>
  <c r="I13711" i="79"/>
  <c r="A13710" i="80" s="1"/>
  <c r="B12" i="35"/>
  <c r="I3160" i="79"/>
  <c r="A3159" i="80" s="1"/>
  <c r="B11" i="35"/>
  <c r="I3145" i="79"/>
  <c r="A3144" i="80" s="1"/>
  <c r="I8108" i="79"/>
  <c r="A8107" i="80" s="1"/>
  <c r="I8120" i="79"/>
  <c r="A8119" i="80" s="1"/>
  <c r="B18" i="38"/>
  <c r="I8138" i="79" s="1"/>
  <c r="A8137" i="80" s="1"/>
  <c r="I8174" i="79"/>
  <c r="A8173" i="80" s="1"/>
  <c r="D18" i="38"/>
  <c r="D19" i="38" s="1"/>
  <c r="I3493" i="79"/>
  <c r="A3492" i="80" s="1"/>
  <c r="I8180" i="79"/>
  <c r="A8179" i="80" s="1"/>
  <c r="I2" i="63" l="1"/>
  <c r="D37" i="8"/>
  <c r="I5306" i="79" s="1"/>
  <c r="A5305" i="80" s="1"/>
  <c r="C27" i="24"/>
  <c r="I4122" i="79" s="1"/>
  <c r="A4121" i="80" s="1"/>
  <c r="C16" i="24"/>
  <c r="C10" i="24"/>
  <c r="C55" i="8"/>
  <c r="I5450" i="79" s="1"/>
  <c r="A5449" i="80" s="1"/>
  <c r="I21219" i="79"/>
  <c r="A21218" i="80" s="1"/>
  <c r="C13736" i="79"/>
  <c r="I13686" i="79"/>
  <c r="A13685" i="80" s="1"/>
  <c r="C4" i="39"/>
  <c r="C7" i="40" s="1"/>
  <c r="J7" i="59"/>
  <c r="C13791" i="79"/>
  <c r="I13741" i="79"/>
  <c r="A13740" i="80" s="1"/>
  <c r="I13781" i="79"/>
  <c r="A13780" i="80" s="1"/>
  <c r="C13831" i="79"/>
  <c r="I13761" i="79"/>
  <c r="A13760" i="80" s="1"/>
  <c r="C13811" i="79"/>
  <c r="C13776" i="79"/>
  <c r="I13726" i="79"/>
  <c r="A13725" i="80" s="1"/>
  <c r="I13656" i="79"/>
  <c r="A13655" i="80" s="1"/>
  <c r="C13706" i="79"/>
  <c r="C13646" i="79"/>
  <c r="I13596" i="79"/>
  <c r="A13595" i="80" s="1"/>
  <c r="C13616" i="79"/>
  <c r="I13566" i="79"/>
  <c r="A13565" i="80" s="1"/>
  <c r="C13701" i="79"/>
  <c r="I13651" i="79"/>
  <c r="A13650" i="80" s="1"/>
  <c r="C13671" i="79"/>
  <c r="I13621" i="79"/>
  <c r="A13620" i="80" s="1"/>
  <c r="G16" i="26"/>
  <c r="I7388" i="79" s="1"/>
  <c r="A7387" i="80" s="1"/>
  <c r="H17" i="61"/>
  <c r="I19851" i="79" s="1"/>
  <c r="A19850" i="80" s="1"/>
  <c r="H18" i="61"/>
  <c r="I19857" i="79" s="1"/>
  <c r="A19856" i="80" s="1"/>
  <c r="G30" i="24"/>
  <c r="C8852" i="79"/>
  <c r="I8802" i="79"/>
  <c r="A8801" i="80" s="1"/>
  <c r="I8612" i="79"/>
  <c r="A8611" i="80" s="1"/>
  <c r="C8662" i="79"/>
  <c r="I8697" i="79"/>
  <c r="A8696" i="80" s="1"/>
  <c r="C8747" i="79"/>
  <c r="I8367" i="79"/>
  <c r="A8366" i="80" s="1"/>
  <c r="C8417" i="79"/>
  <c r="C8672" i="79"/>
  <c r="C8542" i="79"/>
  <c r="C8477" i="79"/>
  <c r="C8487" i="79"/>
  <c r="C8382" i="79"/>
  <c r="C8357" i="79"/>
  <c r="I8317" i="79"/>
  <c r="A8316" i="80" s="1"/>
  <c r="H18" i="37"/>
  <c r="E4" i="37" s="1"/>
  <c r="I8097" i="79" s="1"/>
  <c r="A8096" i="80" s="1"/>
  <c r="B5" i="72"/>
  <c r="D6" i="74"/>
  <c r="I3" i="51"/>
  <c r="E4" i="47"/>
  <c r="D5" i="58"/>
  <c r="F5" i="52"/>
  <c r="E23" i="44"/>
  <c r="G4" i="42"/>
  <c r="I5" i="30"/>
  <c r="J5" i="27"/>
  <c r="H7" i="26"/>
  <c r="I6" i="60"/>
  <c r="D8" i="32"/>
  <c r="B7" i="35"/>
  <c r="L7" i="59"/>
  <c r="I18459" i="79" s="1"/>
  <c r="A18458" i="80" s="1"/>
  <c r="D3" i="8"/>
  <c r="I5884" i="79" s="1"/>
  <c r="A5883" i="80" s="1"/>
  <c r="D8" i="41"/>
  <c r="I3" i="48"/>
  <c r="I7107" i="79" s="1"/>
  <c r="A7106" i="80" s="1"/>
  <c r="I17337" i="79"/>
  <c r="A17336" i="80" s="1"/>
  <c r="J6" i="54"/>
  <c r="I17890" i="79" s="1"/>
  <c r="A17889" i="80" s="1"/>
  <c r="B10" i="24"/>
  <c r="I3572" i="79" s="1"/>
  <c r="A3571" i="80" s="1"/>
  <c r="E24" i="61"/>
  <c r="I19359" i="79" s="1"/>
  <c r="A19358" i="80" s="1"/>
  <c r="G89" i="3"/>
  <c r="I1418" i="79" s="1"/>
  <c r="A1417" i="80" s="1"/>
  <c r="G37" i="4"/>
  <c r="I2466" i="79" s="1"/>
  <c r="A2465" i="80" s="1"/>
  <c r="G67" i="4"/>
  <c r="I2856" i="79" s="1"/>
  <c r="A2855" i="80" s="1"/>
  <c r="B16" i="49"/>
  <c r="B31" i="47"/>
  <c r="I6516" i="79" s="1"/>
  <c r="A6515" i="80" s="1"/>
  <c r="G47" i="3"/>
  <c r="I964" i="79" s="1"/>
  <c r="A963" i="80" s="1"/>
  <c r="G20" i="3"/>
  <c r="I394" i="79" s="1"/>
  <c r="A393" i="80" s="1"/>
  <c r="E15" i="61"/>
  <c r="I19305" i="79" s="1"/>
  <c r="A19304" i="80" s="1"/>
  <c r="G15" i="3"/>
  <c r="I220" i="79" s="1"/>
  <c r="A219" i="80" s="1"/>
  <c r="G57" i="3"/>
  <c r="I1138" i="79" s="1"/>
  <c r="A1137" i="80" s="1"/>
  <c r="B24" i="24"/>
  <c r="I4062" i="79" s="1"/>
  <c r="A4061" i="80" s="1"/>
  <c r="I7833" i="79"/>
  <c r="A7832" i="80" s="1"/>
  <c r="I18" i="37"/>
  <c r="J12" i="37"/>
  <c r="D13" i="4"/>
  <c r="I2" i="1"/>
  <c r="C12" i="24"/>
  <c r="I3608" i="79" s="1"/>
  <c r="A3607" i="80" s="1"/>
  <c r="C37" i="42"/>
  <c r="I20731" i="79" s="1"/>
  <c r="A20730" i="80" s="1"/>
  <c r="B8" i="51"/>
  <c r="C8" i="51" s="1"/>
  <c r="E69" i="3"/>
  <c r="I1241" i="79" s="1"/>
  <c r="A1240" i="80" s="1"/>
  <c r="D37" i="3"/>
  <c r="I688" i="79" s="1"/>
  <c r="A687" i="80" s="1"/>
  <c r="G24" i="3"/>
  <c r="I418" i="79" s="1"/>
  <c r="A417" i="80" s="1"/>
  <c r="B29" i="47"/>
  <c r="I6504" i="79" s="1"/>
  <c r="A6503" i="80" s="1"/>
  <c r="G13" i="4"/>
  <c r="I2130" i="79" s="1"/>
  <c r="A2129" i="80" s="1"/>
  <c r="D29" i="47"/>
  <c r="I6600" i="79" s="1"/>
  <c r="A6599" i="80" s="1"/>
  <c r="D17" i="58"/>
  <c r="E66" i="4"/>
  <c r="I2682" i="79" s="1"/>
  <c r="A2681" i="80" s="1"/>
  <c r="C25" i="24"/>
  <c r="I4128" i="79" s="1"/>
  <c r="A4127" i="80" s="1"/>
  <c r="F13" i="48"/>
  <c r="I6901" i="79" s="1"/>
  <c r="A6900" i="80" s="1"/>
  <c r="D13" i="48"/>
  <c r="I6793" i="79" s="1"/>
  <c r="A6792" i="80" s="1"/>
  <c r="D43" i="3"/>
  <c r="I844" i="79" s="1"/>
  <c r="A843" i="80" s="1"/>
  <c r="C28" i="3"/>
  <c r="E18" i="27" s="1"/>
  <c r="E21" i="27" s="1"/>
  <c r="C69" i="8"/>
  <c r="I5504" i="79" s="1"/>
  <c r="A5503" i="80" s="1"/>
  <c r="D22" i="3"/>
  <c r="I310" i="79" s="1"/>
  <c r="A309" i="80" s="1"/>
  <c r="C16" i="3"/>
  <c r="I136" i="79" s="1"/>
  <c r="A135" i="80" s="1"/>
  <c r="D28" i="3"/>
  <c r="I472" i="79" s="1"/>
  <c r="A471" i="80" s="1"/>
  <c r="E38" i="7"/>
  <c r="I4801" i="79" s="1"/>
  <c r="A4800" i="80" s="1"/>
  <c r="D47" i="3"/>
  <c r="I868" i="79" s="1"/>
  <c r="A867" i="80" s="1"/>
  <c r="C70" i="8"/>
  <c r="I5510" i="79" s="1"/>
  <c r="A5509" i="80" s="1"/>
  <c r="C18" i="24"/>
  <c r="I3852" i="79" s="1"/>
  <c r="A3851" i="80" s="1"/>
  <c r="C39" i="3"/>
  <c r="I664" i="79" s="1"/>
  <c r="A663" i="80" s="1"/>
  <c r="E108" i="3"/>
  <c r="I1547" i="79" s="1"/>
  <c r="A1546" i="80" s="1"/>
  <c r="B25" i="61"/>
  <c r="I18819" i="79" s="1"/>
  <c r="A18818" i="80" s="1"/>
  <c r="D46" i="3"/>
  <c r="I862" i="79" s="1"/>
  <c r="A861" i="80" s="1"/>
  <c r="E57" i="4"/>
  <c r="I2610" i="79" s="1"/>
  <c r="A2609" i="80" s="1"/>
  <c r="E99" i="3"/>
  <c r="I1481" i="79" s="1"/>
  <c r="A1480" i="80" s="1"/>
  <c r="B20" i="30"/>
  <c r="D20" i="30" s="1"/>
  <c r="E72" i="3"/>
  <c r="I1259" i="79" s="1"/>
  <c r="A1258" i="80" s="1"/>
  <c r="E88" i="3"/>
  <c r="I1394" i="79" s="1"/>
  <c r="A1393" i="80" s="1"/>
  <c r="D12" i="47"/>
  <c r="I6298" i="79" s="1"/>
  <c r="A6297" i="80" s="1"/>
  <c r="E81" i="3"/>
  <c r="I1343" i="79" s="1"/>
  <c r="A1342" i="80" s="1"/>
  <c r="C43" i="8"/>
  <c r="I5132" i="79" s="1"/>
  <c r="A5131" i="80" s="1"/>
  <c r="D16" i="3"/>
  <c r="I166" i="79" s="1"/>
  <c r="A165" i="80" s="1"/>
  <c r="I5" i="1"/>
  <c r="D30" i="42"/>
  <c r="I20533" i="79" s="1"/>
  <c r="A20532" i="80" s="1"/>
  <c r="F26" i="24"/>
  <c r="I4296" i="79" s="1"/>
  <c r="A4295" i="80" s="1"/>
  <c r="E58" i="4"/>
  <c r="I2616" i="79" s="1"/>
  <c r="A2615" i="80" s="1"/>
  <c r="I7" i="63"/>
  <c r="G43" i="7"/>
  <c r="I4915" i="79" s="1"/>
  <c r="A4914" i="80" s="1"/>
  <c r="F16" i="61"/>
  <c r="I19491" i="79" s="1"/>
  <c r="A19490" i="80" s="1"/>
  <c r="F27" i="61"/>
  <c r="I19557" i="79" s="1"/>
  <c r="A19556" i="80" s="1"/>
  <c r="B20" i="47"/>
  <c r="I6372" i="79" s="1"/>
  <c r="A6371" i="80" s="1"/>
  <c r="G109" i="3"/>
  <c r="I1607" i="79" s="1"/>
  <c r="A1606" i="80" s="1"/>
  <c r="G110" i="3"/>
  <c r="I1613" i="79" s="1"/>
  <c r="A1612" i="80" s="1"/>
  <c r="G38" i="4"/>
  <c r="I2472" i="79" s="1"/>
  <c r="A2471" i="80" s="1"/>
  <c r="B28" i="47"/>
  <c r="I6498" i="79" s="1"/>
  <c r="A6497" i="80" s="1"/>
  <c r="G10" i="3"/>
  <c r="I100" i="79" s="1"/>
  <c r="A99" i="80" s="1"/>
  <c r="G29" i="3"/>
  <c r="I538" i="79" s="1"/>
  <c r="A537" i="80" s="1"/>
  <c r="E35" i="61"/>
  <c r="G21" i="3"/>
  <c r="I400" i="79" s="1"/>
  <c r="A399" i="80" s="1"/>
  <c r="D77" i="8"/>
  <c r="I5702" i="79" s="1"/>
  <c r="A5701" i="80" s="1"/>
  <c r="G40" i="7"/>
  <c r="I4897" i="79" s="1"/>
  <c r="A4896" i="80" s="1"/>
  <c r="G22" i="3"/>
  <c r="I406" i="79" s="1"/>
  <c r="A405" i="80" s="1"/>
  <c r="D57" i="8"/>
  <c r="I5474" i="79" s="1"/>
  <c r="A5473" i="80" s="1"/>
  <c r="G112" i="3"/>
  <c r="I1625" i="79" s="1"/>
  <c r="A1624" i="80" s="1"/>
  <c r="B15" i="24"/>
  <c r="D69" i="8"/>
  <c r="G60" i="4"/>
  <c r="I2820" i="79" s="1"/>
  <c r="A2819" i="80" s="1"/>
  <c r="G9" i="3"/>
  <c r="G108" i="3"/>
  <c r="I1601" i="79" s="1"/>
  <c r="A1600" i="80" s="1"/>
  <c r="D101" i="8"/>
  <c r="G26" i="3"/>
  <c r="B16" i="24"/>
  <c r="I3810" i="79" s="1"/>
  <c r="A3809" i="80" s="1"/>
  <c r="G43" i="42"/>
  <c r="F30" i="61"/>
  <c r="F12" i="61"/>
  <c r="I19473" i="79" s="1"/>
  <c r="A19472" i="80" s="1"/>
  <c r="F44" i="42"/>
  <c r="I20965" i="79" s="1"/>
  <c r="A20964" i="80" s="1"/>
  <c r="G30" i="42"/>
  <c r="G113" i="3"/>
  <c r="I1637" i="79" s="1"/>
  <c r="A1636" i="80" s="1"/>
  <c r="G114" i="3"/>
  <c r="I1649" i="79" s="1"/>
  <c r="A1648" i="80" s="1"/>
  <c r="B29" i="48"/>
  <c r="I6709" i="79" s="1"/>
  <c r="A6708" i="80" s="1"/>
  <c r="E34" i="61"/>
  <c r="G58" i="4"/>
  <c r="I2784" i="79" s="1"/>
  <c r="A2783" i="80" s="1"/>
  <c r="D58" i="8"/>
  <c r="I5480" i="79" s="1"/>
  <c r="A5479" i="80" s="1"/>
  <c r="G18" i="3"/>
  <c r="D84" i="8"/>
  <c r="D55" i="8"/>
  <c r="D78" i="8"/>
  <c r="I5708" i="79" s="1"/>
  <c r="A5707" i="80" s="1"/>
  <c r="G15" i="4"/>
  <c r="G36" i="3"/>
  <c r="G27" i="3"/>
  <c r="I526" i="79" s="1"/>
  <c r="A525" i="80" s="1"/>
  <c r="G55" i="3"/>
  <c r="B20" i="48"/>
  <c r="G16" i="4"/>
  <c r="F34" i="61"/>
  <c r="F26" i="61"/>
  <c r="I19551" i="79" s="1"/>
  <c r="A19550" i="80" s="1"/>
  <c r="D19" i="8"/>
  <c r="D15" i="8"/>
  <c r="I5210" i="79" s="1"/>
  <c r="A5209" i="80" s="1"/>
  <c r="G13" i="3"/>
  <c r="B26" i="47"/>
  <c r="I6486" i="79" s="1"/>
  <c r="A6485" i="80" s="1"/>
  <c r="B18" i="47"/>
  <c r="B12" i="47"/>
  <c r="I6244" i="79" s="1"/>
  <c r="A6243" i="80" s="1"/>
  <c r="G99" i="3"/>
  <c r="G16" i="3"/>
  <c r="I226" i="79" s="1"/>
  <c r="A225" i="80" s="1"/>
  <c r="B23" i="24"/>
  <c r="I4056" i="79" s="1"/>
  <c r="A4055" i="80" s="1"/>
  <c r="D70" i="8"/>
  <c r="I5666" i="79" s="1"/>
  <c r="A5665" i="80" s="1"/>
  <c r="D26" i="8"/>
  <c r="I5258" i="79" s="1"/>
  <c r="A5257" i="80" s="1"/>
  <c r="B8" i="48"/>
  <c r="G88" i="3"/>
  <c r="G40" i="4"/>
  <c r="I2484" i="79" s="1"/>
  <c r="A2483" i="80" s="1"/>
  <c r="B27" i="24"/>
  <c r="I4068" i="79" s="1"/>
  <c r="A4067" i="80" s="1"/>
  <c r="G12" i="4"/>
  <c r="G56" i="3"/>
  <c r="I1132" i="79" s="1"/>
  <c r="A1131" i="80" s="1"/>
  <c r="G33" i="4"/>
  <c r="I2436" i="79" s="1"/>
  <c r="A2435" i="80" s="1"/>
  <c r="G118" i="3"/>
  <c r="G25" i="4"/>
  <c r="G19" i="7" s="1"/>
  <c r="B25" i="24"/>
  <c r="I4074" i="79" s="1"/>
  <c r="A4073" i="80" s="1"/>
  <c r="D75" i="8"/>
  <c r="G105" i="3"/>
  <c r="G77" i="3"/>
  <c r="E21" i="61"/>
  <c r="G42" i="3"/>
  <c r="G44" i="7"/>
  <c r="I4921" i="79" s="1"/>
  <c r="A4920" i="80" s="1"/>
  <c r="F36" i="61"/>
  <c r="I19611" i="79" s="1"/>
  <c r="A19610" i="80" s="1"/>
  <c r="D18" i="8"/>
  <c r="G71" i="4"/>
  <c r="G30" i="7" s="1"/>
  <c r="G53" i="3"/>
  <c r="G120" i="3"/>
  <c r="I1697" i="79" s="1"/>
  <c r="A1696" i="80" s="1"/>
  <c r="G57" i="4"/>
  <c r="G40" i="3"/>
  <c r="I778" i="79" s="1"/>
  <c r="A777" i="80" s="1"/>
  <c r="G18" i="4"/>
  <c r="G82" i="3"/>
  <c r="I1367" i="79" s="1"/>
  <c r="A1366" i="80" s="1"/>
  <c r="H14" i="7"/>
  <c r="E27" i="61"/>
  <c r="G43" i="3"/>
  <c r="I940" i="79" s="1"/>
  <c r="A939" i="80" s="1"/>
  <c r="G49" i="3"/>
  <c r="I1000" i="79" s="1"/>
  <c r="A999" i="80" s="1"/>
  <c r="G51" i="3"/>
  <c r="G31" i="3"/>
  <c r="D76" i="8"/>
  <c r="I5696" i="79" s="1"/>
  <c r="A5695" i="80" s="1"/>
  <c r="G32" i="3"/>
  <c r="I610" i="79" s="1"/>
  <c r="A609" i="80" s="1"/>
  <c r="G42" i="7"/>
  <c r="I4909" i="79" s="1"/>
  <c r="A4908" i="80" s="1"/>
  <c r="F24" i="61"/>
  <c r="F35" i="61"/>
  <c r="I19605" i="79" s="1"/>
  <c r="A19604" i="80" s="1"/>
  <c r="D13" i="8"/>
  <c r="I5198" i="79" s="1"/>
  <c r="A5197" i="80" s="1"/>
  <c r="G48" i="3"/>
  <c r="I970" i="79" s="1"/>
  <c r="A969" i="80" s="1"/>
  <c r="G65" i="4"/>
  <c r="I2844" i="79" s="1"/>
  <c r="A2843" i="80" s="1"/>
  <c r="B25" i="47"/>
  <c r="G64" i="4"/>
  <c r="G14" i="4"/>
  <c r="D90" i="8"/>
  <c r="G61" i="4"/>
  <c r="I2826" i="79" s="1"/>
  <c r="A2825" i="80" s="1"/>
  <c r="G66" i="4"/>
  <c r="I2850" i="79" s="1"/>
  <c r="A2849" i="80" s="1"/>
  <c r="G26" i="4"/>
  <c r="B27" i="47"/>
  <c r="I6492" i="79" s="1"/>
  <c r="A6491" i="80" s="1"/>
  <c r="B26" i="24"/>
  <c r="I4080" i="79" s="1"/>
  <c r="A4079" i="80" s="1"/>
  <c r="G74" i="3"/>
  <c r="I1307" i="79" s="1"/>
  <c r="A1306" i="80" s="1"/>
  <c r="D8" i="8"/>
  <c r="G73" i="3"/>
  <c r="I1301" i="79" s="1"/>
  <c r="A1300" i="80" s="1"/>
  <c r="D85" i="8"/>
  <c r="I5744" i="79" s="1"/>
  <c r="A5743" i="80" s="1"/>
  <c r="G38" i="3"/>
  <c r="I766" i="79" s="1"/>
  <c r="A765" i="80" s="1"/>
  <c r="E16" i="61"/>
  <c r="G81" i="3"/>
  <c r="D103" i="8"/>
  <c r="I5864" i="79" s="1"/>
  <c r="A5863" i="80" s="1"/>
  <c r="E11" i="61"/>
  <c r="G45" i="3"/>
  <c r="I952" i="79" s="1"/>
  <c r="A951" i="80" s="1"/>
  <c r="H43" i="42"/>
  <c r="E25" i="61"/>
  <c r="G45" i="7"/>
  <c r="B17" i="49"/>
  <c r="G107" i="3"/>
  <c r="I1595" i="79" s="1"/>
  <c r="A1594" i="80" s="1"/>
  <c r="G23" i="3"/>
  <c r="I412" i="79" s="1"/>
  <c r="A411" i="80" s="1"/>
  <c r="F25" i="61"/>
  <c r="I19545" i="79" s="1"/>
  <c r="A19544" i="80" s="1"/>
  <c r="F11" i="61"/>
  <c r="G14" i="3"/>
  <c r="I214" i="79" s="1"/>
  <c r="A213" i="80" s="1"/>
  <c r="G22" i="4"/>
  <c r="G14" i="7" s="1"/>
  <c r="D24" i="8"/>
  <c r="I5246" i="79" s="1"/>
  <c r="A5245" i="80" s="1"/>
  <c r="D79" i="8"/>
  <c r="I5714" i="79" s="1"/>
  <c r="A5713" i="80" s="1"/>
  <c r="G28" i="3"/>
  <c r="I532" i="79" s="1"/>
  <c r="A531" i="80" s="1"/>
  <c r="G95" i="3"/>
  <c r="D42" i="8"/>
  <c r="B13" i="48"/>
  <c r="I6685" i="79" s="1"/>
  <c r="A6684" i="80" s="1"/>
  <c r="G38" i="7"/>
  <c r="I4885" i="79" s="1"/>
  <c r="A4884" i="80" s="1"/>
  <c r="B18" i="24"/>
  <c r="I3822" i="79" s="1"/>
  <c r="A3821" i="80" s="1"/>
  <c r="G59" i="4"/>
  <c r="I2790" i="79" s="1"/>
  <c r="A2789" i="80" s="1"/>
  <c r="D56" i="8"/>
  <c r="I5468" i="79" s="1"/>
  <c r="A5467" i="80" s="1"/>
  <c r="G39" i="3"/>
  <c r="I772" i="79" s="1"/>
  <c r="A771" i="80" s="1"/>
  <c r="B12" i="24"/>
  <c r="I3584" i="79" s="1"/>
  <c r="A3583" i="80" s="1"/>
  <c r="G76" i="3"/>
  <c r="I1319" i="79" s="1"/>
  <c r="A1318" i="80" s="1"/>
  <c r="G24" i="4"/>
  <c r="G18" i="7" s="1"/>
  <c r="D25" i="8"/>
  <c r="I5252" i="79" s="1"/>
  <c r="A5251" i="80" s="1"/>
  <c r="G96" i="3"/>
  <c r="I1469" i="79" s="1"/>
  <c r="A1468" i="80" s="1"/>
  <c r="B13" i="47"/>
  <c r="I6250" i="79" s="1"/>
  <c r="A6249" i="80" s="1"/>
  <c r="G75" i="3"/>
  <c r="I1313" i="79" s="1"/>
  <c r="A1312" i="80" s="1"/>
  <c r="D28" i="8"/>
  <c r="I5354" i="79" s="1"/>
  <c r="A5353" i="80" s="1"/>
  <c r="G39" i="7"/>
  <c r="I4891" i="79" s="1"/>
  <c r="A4890" i="80" s="1"/>
  <c r="G39" i="4"/>
  <c r="I2478" i="79" s="1"/>
  <c r="A2477" i="80" s="1"/>
  <c r="B12" i="49"/>
  <c r="G41" i="7"/>
  <c r="I4903" i="79" s="1"/>
  <c r="A4902" i="80" s="1"/>
  <c r="F21" i="61"/>
  <c r="I19521" i="79" s="1"/>
  <c r="A19520" i="80" s="1"/>
  <c r="D49" i="8"/>
  <c r="G37" i="3"/>
  <c r="I760" i="79" s="1"/>
  <c r="A759" i="80" s="1"/>
  <c r="G17" i="4"/>
  <c r="E30" i="61"/>
  <c r="G106" i="3"/>
  <c r="I1589" i="79" s="1"/>
  <c r="A1588" i="80" s="1"/>
  <c r="G23" i="4"/>
  <c r="G15" i="7" s="1"/>
  <c r="E36" i="61"/>
  <c r="D27" i="8"/>
  <c r="I5264" i="79" s="1"/>
  <c r="A5263" i="80" s="1"/>
  <c r="D23" i="8"/>
  <c r="E12" i="61"/>
  <c r="D12" i="8"/>
  <c r="G111" i="3"/>
  <c r="I1619" i="79" s="1"/>
  <c r="A1618" i="80" s="1"/>
  <c r="D29" i="8"/>
  <c r="I5360" i="79" s="1"/>
  <c r="A5359" i="80" s="1"/>
  <c r="G100" i="3"/>
  <c r="I1505" i="79" s="1"/>
  <c r="A1504" i="80" s="1"/>
  <c r="B22" i="24"/>
  <c r="I4050" i="79" s="1"/>
  <c r="A4049" i="80" s="1"/>
  <c r="B21" i="24"/>
  <c r="B10" i="48"/>
  <c r="I6679" i="79" s="1"/>
  <c r="A6678" i="80" s="1"/>
  <c r="E26" i="61"/>
  <c r="G27" i="4"/>
  <c r="G25" i="7" s="1"/>
  <c r="B11" i="24"/>
  <c r="I3578" i="79" s="1"/>
  <c r="A3577" i="80" s="1"/>
  <c r="F40" i="42"/>
  <c r="B25" i="48"/>
  <c r="I6703" i="79" s="1"/>
  <c r="A6702" i="80" s="1"/>
  <c r="G21" i="4"/>
  <c r="G7" i="7" s="1"/>
  <c r="G32" i="4"/>
  <c r="I2430" i="79" s="1"/>
  <c r="A2429" i="80" s="1"/>
  <c r="F19" i="61"/>
  <c r="I19509" i="79" s="1"/>
  <c r="A19508" i="80" s="1"/>
  <c r="G69" i="3"/>
  <c r="D17" i="8"/>
  <c r="I5222" i="79" s="1"/>
  <c r="A5221" i="80" s="1"/>
  <c r="B21" i="47"/>
  <c r="I6378" i="79" s="1"/>
  <c r="A6377" i="80" s="1"/>
  <c r="D96" i="8"/>
  <c r="D14" i="8"/>
  <c r="I5204" i="79" s="1"/>
  <c r="A5203" i="80" s="1"/>
  <c r="G46" i="3"/>
  <c r="I958" i="79" s="1"/>
  <c r="A957" i="80" s="1"/>
  <c r="E19" i="61"/>
  <c r="B19" i="47"/>
  <c r="I6366" i="79" s="1"/>
  <c r="A6365" i="80" s="1"/>
  <c r="G19" i="3"/>
  <c r="I388" i="79" s="1"/>
  <c r="A387" i="80" s="1"/>
  <c r="D16" i="8"/>
  <c r="I5216" i="79" s="1"/>
  <c r="A5215" i="80" s="1"/>
  <c r="B11" i="47"/>
  <c r="D102" i="8"/>
  <c r="I5858" i="79" s="1"/>
  <c r="A5857" i="80" s="1"/>
  <c r="D30" i="8"/>
  <c r="I5270" i="79" s="1"/>
  <c r="A5269" i="80" s="1"/>
  <c r="G44" i="3"/>
  <c r="I946" i="79" s="1"/>
  <c r="A945" i="80" s="1"/>
  <c r="G119" i="3"/>
  <c r="I1691" i="79" s="1"/>
  <c r="A1690" i="80" s="1"/>
  <c r="D31" i="8"/>
  <c r="I5276" i="79" s="1"/>
  <c r="A5275" i="80" s="1"/>
  <c r="G34" i="4"/>
  <c r="I2442" i="79" s="1"/>
  <c r="A2441" i="80" s="1"/>
  <c r="G31" i="4"/>
  <c r="D43" i="8"/>
  <c r="I5336" i="79" s="1"/>
  <c r="A5335" i="80" s="1"/>
  <c r="F15" i="61"/>
  <c r="I19485" i="79" s="1"/>
  <c r="A19484" i="80" s="1"/>
  <c r="G11" i="3"/>
  <c r="I106" i="79" s="1"/>
  <c r="A105" i="80" s="1"/>
  <c r="B30" i="47"/>
  <c r="I6510" i="79" s="1"/>
  <c r="A6509" i="80" s="1"/>
  <c r="G72" i="3"/>
  <c r="I1295" i="79" s="1"/>
  <c r="A1294" i="80" s="1"/>
  <c r="D86" i="8"/>
  <c r="I5750" i="79" s="1"/>
  <c r="A5749" i="80" s="1"/>
  <c r="B17" i="24"/>
  <c r="I3816" i="79" s="1"/>
  <c r="A3815" i="80" s="1"/>
  <c r="G31" i="42"/>
  <c r="G71" i="3"/>
  <c r="I1289" i="79" s="1"/>
  <c r="A1288" i="80" s="1"/>
  <c r="F16" i="24"/>
  <c r="I3930" i="79" s="1"/>
  <c r="A3929" i="80" s="1"/>
  <c r="D31" i="47"/>
  <c r="I6612" i="79" s="1"/>
  <c r="A6611" i="80" s="1"/>
  <c r="C16" i="8"/>
  <c r="I5012" i="79" s="1"/>
  <c r="A5011" i="80" s="1"/>
  <c r="E27" i="4"/>
  <c r="B27" i="61"/>
  <c r="D11" i="58"/>
  <c r="B21" i="61"/>
  <c r="B13" i="30"/>
  <c r="C13" i="47"/>
  <c r="C18" i="3"/>
  <c r="B18" i="51"/>
  <c r="D18" i="51" s="1"/>
  <c r="C43" i="3"/>
  <c r="C8" i="48"/>
  <c r="D14" i="4"/>
  <c r="C15" i="24"/>
  <c r="E34" i="4"/>
  <c r="D14" i="58"/>
  <c r="E113" i="3"/>
  <c r="I1631" i="79" s="1"/>
  <c r="A1630" i="80" s="1"/>
  <c r="C51" i="3"/>
  <c r="C22" i="3"/>
  <c r="C15" i="8"/>
  <c r="I5006" i="79" s="1"/>
  <c r="A5005" i="80" s="1"/>
  <c r="F20" i="48"/>
  <c r="C18" i="47"/>
  <c r="C19" i="47"/>
  <c r="E60" i="4"/>
  <c r="C21" i="3"/>
  <c r="E118" i="3"/>
  <c r="I13" i="30"/>
  <c r="I12" i="30" s="1"/>
  <c r="C86" i="8"/>
  <c r="I5582" i="79" s="1"/>
  <c r="A5581" i="80" s="1"/>
  <c r="B16" i="51"/>
  <c r="D16" i="51" s="1"/>
  <c r="G16" i="51" s="1"/>
  <c r="G11" i="51" s="1"/>
  <c r="B18" i="30"/>
  <c r="D18" i="30" s="1"/>
  <c r="B17" i="30"/>
  <c r="D17" i="30" s="1"/>
  <c r="G17" i="30" s="1"/>
  <c r="E67" i="4"/>
  <c r="C56" i="8"/>
  <c r="E43" i="7"/>
  <c r="I4831" i="79" s="1"/>
  <c r="A4830" i="80" s="1"/>
  <c r="G13" i="48"/>
  <c r="I6955" i="79" s="1"/>
  <c r="A6954" i="80" s="1"/>
  <c r="E12" i="4"/>
  <c r="C42" i="8"/>
  <c r="D45" i="3"/>
  <c r="I856" i="79" s="1"/>
  <c r="A855" i="80" s="1"/>
  <c r="B34" i="61"/>
  <c r="D11" i="3"/>
  <c r="I58" i="79" s="1"/>
  <c r="A57" i="80" s="1"/>
  <c r="E107" i="3"/>
  <c r="I1541" i="79" s="1"/>
  <c r="A1540" i="80" s="1"/>
  <c r="C29" i="47"/>
  <c r="C84" i="8"/>
  <c r="C27" i="3"/>
  <c r="C12" i="47"/>
  <c r="D24" i="42"/>
  <c r="D18" i="58"/>
  <c r="D29" i="3"/>
  <c r="I478" i="79" s="1"/>
  <c r="A477" i="80" s="1"/>
  <c r="C44" i="3"/>
  <c r="E120" i="3"/>
  <c r="I1679" i="79" s="1"/>
  <c r="A1678" i="80" s="1"/>
  <c r="C85" i="8"/>
  <c r="I5576" i="79" s="1"/>
  <c r="A5575" i="80" s="1"/>
  <c r="C31" i="8"/>
  <c r="I5084" i="79" s="1"/>
  <c r="A5083" i="80" s="1"/>
  <c r="C13" i="48"/>
  <c r="B16" i="30"/>
  <c r="D16" i="30" s="1"/>
  <c r="G16" i="30" s="1"/>
  <c r="C19" i="8"/>
  <c r="C15" i="61"/>
  <c r="I18945" i="79" s="1"/>
  <c r="A18944" i="80" s="1"/>
  <c r="D27" i="3"/>
  <c r="I466" i="79" s="1"/>
  <c r="A465" i="80" s="1"/>
  <c r="B16" i="61"/>
  <c r="E40" i="7"/>
  <c r="I4813" i="79" s="1"/>
  <c r="A4812" i="80" s="1"/>
  <c r="I70" i="1"/>
  <c r="E76" i="3"/>
  <c r="I1217" i="79" s="1"/>
  <c r="A1216" i="80" s="1"/>
  <c r="G25" i="48"/>
  <c r="I6973" i="79" s="1"/>
  <c r="A6972" i="80" s="1"/>
  <c r="E16" i="4"/>
  <c r="C24" i="8"/>
  <c r="E119" i="3"/>
  <c r="I1673" i="79" s="1"/>
  <c r="A1672" i="80" s="1"/>
  <c r="C17" i="8"/>
  <c r="I5018" i="79" s="1"/>
  <c r="A5017" i="80" s="1"/>
  <c r="C37" i="3"/>
  <c r="C40" i="42"/>
  <c r="I20749" i="79" s="1"/>
  <c r="A20748" i="80" s="1"/>
  <c r="F17" i="24"/>
  <c r="I3936" i="79" s="1"/>
  <c r="A3935" i="80" s="1"/>
  <c r="E13" i="4"/>
  <c r="I1902" i="79" s="1"/>
  <c r="A1901" i="80" s="1"/>
  <c r="C17" i="24"/>
  <c r="C12" i="8"/>
  <c r="D21" i="3"/>
  <c r="I304" i="79" s="1"/>
  <c r="A303" i="80" s="1"/>
  <c r="C56" i="3"/>
  <c r="F23" i="24"/>
  <c r="I4272" i="79" s="1"/>
  <c r="A4271" i="80" s="1"/>
  <c r="D57" i="3"/>
  <c r="I1090" i="79" s="1"/>
  <c r="A1089" i="80" s="1"/>
  <c r="E15" i="4"/>
  <c r="C27" i="47"/>
  <c r="F15" i="24"/>
  <c r="D25" i="48"/>
  <c r="I6811" i="79" s="1"/>
  <c r="A6810" i="80" s="1"/>
  <c r="C9" i="3"/>
  <c r="B19" i="51"/>
  <c r="D19" i="51" s="1"/>
  <c r="C31" i="47"/>
  <c r="D12" i="49"/>
  <c r="E8" i="48"/>
  <c r="I6835" i="79" s="1"/>
  <c r="A6834" i="80" s="1"/>
  <c r="C15" i="3"/>
  <c r="E23" i="4"/>
  <c r="E82" i="3"/>
  <c r="E10" i="48"/>
  <c r="I6841" i="79" s="1"/>
  <c r="A6840" i="80" s="1"/>
  <c r="F25" i="24"/>
  <c r="D56" i="3"/>
  <c r="I1084" i="79" s="1"/>
  <c r="A1083" i="80" s="1"/>
  <c r="D26" i="42"/>
  <c r="I20509" i="79" s="1"/>
  <c r="A20508" i="80" s="1"/>
  <c r="E37" i="4"/>
  <c r="B15" i="51"/>
  <c r="D15" i="51" s="1"/>
  <c r="E15" i="47"/>
  <c r="C34" i="61"/>
  <c r="D31" i="42"/>
  <c r="I20539" i="79" s="1"/>
  <c r="A20538" i="80" s="1"/>
  <c r="C23" i="8"/>
  <c r="D9" i="58"/>
  <c r="E109" i="3"/>
  <c r="I1553" i="79" s="1"/>
  <c r="A1552" i="80" s="1"/>
  <c r="B14" i="30"/>
  <c r="D14" i="30" s="1"/>
  <c r="D13" i="3"/>
  <c r="D16" i="58"/>
  <c r="F24" i="24"/>
  <c r="I4278" i="79" s="1"/>
  <c r="A4277" i="80" s="1"/>
  <c r="B35" i="61"/>
  <c r="E25" i="48"/>
  <c r="I6865" i="79" s="1"/>
  <c r="A6864" i="80" s="1"/>
  <c r="C25" i="47"/>
  <c r="B9" i="30"/>
  <c r="C48" i="3"/>
  <c r="C36" i="61"/>
  <c r="I19071" i="79" s="1"/>
  <c r="A19070" i="80" s="1"/>
  <c r="D19" i="58"/>
  <c r="D15" i="58"/>
  <c r="B13" i="51"/>
  <c r="D13" i="51" s="1"/>
  <c r="E18" i="4"/>
  <c r="C38" i="3"/>
  <c r="C26" i="8"/>
  <c r="I5054" i="79" s="1"/>
  <c r="A5053" i="80" s="1"/>
  <c r="C21" i="47"/>
  <c r="D49" i="3"/>
  <c r="I988" i="79" s="1"/>
  <c r="A987" i="80" s="1"/>
  <c r="C30" i="47"/>
  <c r="B14" i="51"/>
  <c r="C31" i="3"/>
  <c r="E100" i="3"/>
  <c r="I1487" i="79" s="1"/>
  <c r="A1486" i="80" s="1"/>
  <c r="D26" i="3"/>
  <c r="C37" i="8"/>
  <c r="D36" i="8" s="1"/>
  <c r="D29" i="48"/>
  <c r="C24" i="24"/>
  <c r="C96" i="8"/>
  <c r="D8" i="48"/>
  <c r="C42" i="3"/>
  <c r="E26" i="4"/>
  <c r="B10" i="30"/>
  <c r="D10" i="30" s="1"/>
  <c r="B15" i="30"/>
  <c r="D15" i="30" s="1"/>
  <c r="D27" i="47"/>
  <c r="I6588" i="79" s="1"/>
  <c r="A6587" i="80" s="1"/>
  <c r="C13" i="3"/>
  <c r="E21" i="4"/>
  <c r="D11" i="47"/>
  <c r="C13" i="24"/>
  <c r="D24" i="3"/>
  <c r="I322" i="79" s="1"/>
  <c r="A321" i="80" s="1"/>
  <c r="H13" i="48"/>
  <c r="I7009" i="79" s="1"/>
  <c r="A7008" i="80" s="1"/>
  <c r="H8" i="48"/>
  <c r="E71" i="3"/>
  <c r="C20" i="47"/>
  <c r="C26" i="24"/>
  <c r="C36" i="3"/>
  <c r="C10" i="3"/>
  <c r="E25" i="4"/>
  <c r="D40" i="3"/>
  <c r="C79" i="8"/>
  <c r="I5648" i="79" s="1"/>
  <c r="A5647" i="80" s="1"/>
  <c r="C30" i="8"/>
  <c r="I5078" i="79" s="1"/>
  <c r="A5077" i="80" s="1"/>
  <c r="C46" i="3"/>
  <c r="C28" i="8"/>
  <c r="I5066" i="79" s="1"/>
  <c r="A5065" i="80" s="1"/>
  <c r="D48" i="3"/>
  <c r="I874" i="79" s="1"/>
  <c r="A873" i="80" s="1"/>
  <c r="C77" i="8"/>
  <c r="I5546" i="79" s="1"/>
  <c r="A5545" i="80" s="1"/>
  <c r="D20" i="48"/>
  <c r="D38" i="3"/>
  <c r="I694" i="79" s="1"/>
  <c r="A693" i="80" s="1"/>
  <c r="C49" i="8"/>
  <c r="E111" i="3"/>
  <c r="I1565" i="79" s="1"/>
  <c r="A1564" i="80" s="1"/>
  <c r="D27" i="42"/>
  <c r="I20515" i="79" s="1"/>
  <c r="A20514" i="80" s="1"/>
  <c r="I14" i="51"/>
  <c r="I11" i="51" s="1"/>
  <c r="D18" i="47"/>
  <c r="D20" i="47"/>
  <c r="I6432" i="79" s="1"/>
  <c r="A6431" i="80" s="1"/>
  <c r="F22" i="24"/>
  <c r="I4266" i="79" s="1"/>
  <c r="A4265" i="80" s="1"/>
  <c r="B26" i="61"/>
  <c r="B36" i="61"/>
  <c r="D10" i="3"/>
  <c r="I52" i="79" s="1"/>
  <c r="A51" i="80" s="1"/>
  <c r="D19" i="47"/>
  <c r="I6426" i="79" s="1"/>
  <c r="A6425" i="80" s="1"/>
  <c r="F11" i="24"/>
  <c r="I3674" i="79" s="1"/>
  <c r="A3673" i="80" s="1"/>
  <c r="D36" i="3"/>
  <c r="C14" i="8"/>
  <c r="I5000" i="79" s="1"/>
  <c r="A4999" i="80" s="1"/>
  <c r="C24" i="61"/>
  <c r="D23" i="3"/>
  <c r="I316" i="79" s="1"/>
  <c r="A315" i="80" s="1"/>
  <c r="F25" i="48"/>
  <c r="I6919" i="79" s="1"/>
  <c r="A6918" i="80" s="1"/>
  <c r="C12" i="49"/>
  <c r="C25" i="8"/>
  <c r="I5048" i="79" s="1"/>
  <c r="A5047" i="80" s="1"/>
  <c r="C26" i="3"/>
  <c r="D28" i="47"/>
  <c r="I6594" i="79" s="1"/>
  <c r="A6593" i="80" s="1"/>
  <c r="C53" i="3"/>
  <c r="E65" i="4"/>
  <c r="C14" i="3"/>
  <c r="C75" i="8"/>
  <c r="E75" i="3"/>
  <c r="I1211" i="79" s="1"/>
  <c r="A1210" i="80" s="1"/>
  <c r="C58" i="8"/>
  <c r="I5426" i="79" s="1"/>
  <c r="A5425" i="80" s="1"/>
  <c r="D26" i="47"/>
  <c r="I6582" i="79" s="1"/>
  <c r="A6581" i="80" s="1"/>
  <c r="B17" i="51"/>
  <c r="D17" i="51" s="1"/>
  <c r="E74" i="3"/>
  <c r="I1205" i="79" s="1"/>
  <c r="A1204" i="80" s="1"/>
  <c r="D13" i="58"/>
  <c r="C40" i="3"/>
  <c r="B9" i="51"/>
  <c r="E95" i="3"/>
  <c r="C101" i="8"/>
  <c r="E73" i="3"/>
  <c r="I1265" i="79" s="1"/>
  <c r="A1264" i="80" s="1"/>
  <c r="C49" i="3"/>
  <c r="D10" i="58"/>
  <c r="F21" i="24"/>
  <c r="E64" i="4"/>
  <c r="E89" i="3"/>
  <c r="I1400" i="79" s="1"/>
  <c r="A1399" i="80" s="1"/>
  <c r="C20" i="48"/>
  <c r="E24" i="4"/>
  <c r="D9" i="3"/>
  <c r="D55" i="3"/>
  <c r="C27" i="8"/>
  <c r="I5060" i="79" s="1"/>
  <c r="A5059" i="80" s="1"/>
  <c r="C78" i="8"/>
  <c r="I5642" i="79" s="1"/>
  <c r="A5641" i="80" s="1"/>
  <c r="E40" i="4"/>
  <c r="C26" i="47"/>
  <c r="C57" i="3"/>
  <c r="C13" i="8"/>
  <c r="I4994" i="79" s="1"/>
  <c r="A4993" i="80" s="1"/>
  <c r="C25" i="61"/>
  <c r="C16" i="61"/>
  <c r="I18951" i="79" s="1"/>
  <c r="A18950" i="80" s="1"/>
  <c r="C11" i="61"/>
  <c r="E41" i="7"/>
  <c r="I4819" i="79" s="1"/>
  <c r="A4818" i="80" s="1"/>
  <c r="G8" i="48"/>
  <c r="F8" i="48"/>
  <c r="I58" i="1"/>
  <c r="I54" i="1"/>
  <c r="I50" i="1"/>
  <c r="I38" i="1"/>
  <c r="I34" i="1"/>
  <c r="I26" i="1"/>
  <c r="I18" i="1"/>
  <c r="I10" i="1"/>
  <c r="I6" i="1"/>
  <c r="D42" i="3"/>
  <c r="E71" i="4"/>
  <c r="C8" i="8"/>
  <c r="E77" i="3"/>
  <c r="E45" i="7"/>
  <c r="I4843" i="79" s="1"/>
  <c r="A4842" i="80" s="1"/>
  <c r="C38" i="42"/>
  <c r="I20737" i="79" s="1"/>
  <c r="A20736" i="80" s="1"/>
  <c r="E96" i="3"/>
  <c r="I1451" i="79" s="1"/>
  <c r="A1450" i="80" s="1"/>
  <c r="C19" i="3"/>
  <c r="E22" i="4"/>
  <c r="E114" i="3"/>
  <c r="I1643" i="79" s="1"/>
  <c r="A1642" i="80" s="1"/>
  <c r="C20" i="3"/>
  <c r="F12" i="24"/>
  <c r="C21" i="24"/>
  <c r="C11" i="47"/>
  <c r="C32" i="3"/>
  <c r="D20" i="3"/>
  <c r="I298" i="79" s="1"/>
  <c r="A297" i="80" s="1"/>
  <c r="D19" i="3"/>
  <c r="I292" i="79" s="1"/>
  <c r="A291" i="80" s="1"/>
  <c r="D15" i="3"/>
  <c r="I160" i="79" s="1"/>
  <c r="A159" i="80" s="1"/>
  <c r="C55" i="3"/>
  <c r="E39" i="4"/>
  <c r="C90" i="8"/>
  <c r="C41" i="42"/>
  <c r="I20755" i="79" s="1"/>
  <c r="A20754" i="80" s="1"/>
  <c r="E31" i="4"/>
  <c r="E112" i="3"/>
  <c r="I1571" i="79" s="1"/>
  <c r="A1570" i="80" s="1"/>
  <c r="E13" i="48"/>
  <c r="I6847" i="79" s="1"/>
  <c r="A6846" i="80" s="1"/>
  <c r="D30" i="47"/>
  <c r="I6606" i="79" s="1"/>
  <c r="A6605" i="80" s="1"/>
  <c r="C18" i="8"/>
  <c r="C30" i="61"/>
  <c r="C12" i="61"/>
  <c r="I18933" i="79" s="1"/>
  <c r="A18932" i="80" s="1"/>
  <c r="C19" i="61"/>
  <c r="I18969" i="79" s="1"/>
  <c r="A18968" i="80" s="1"/>
  <c r="E42" i="7"/>
  <c r="I4825" i="79" s="1"/>
  <c r="A4824" i="80" s="1"/>
  <c r="H20" i="48"/>
  <c r="I7021" i="79" s="1"/>
  <c r="A7020" i="80" s="1"/>
  <c r="G20" i="48"/>
  <c r="E105" i="3"/>
  <c r="E20" i="48"/>
  <c r="E106" i="3"/>
  <c r="I1535" i="79" s="1"/>
  <c r="A1534" i="80" s="1"/>
  <c r="D44" i="3"/>
  <c r="I850" i="79" s="1"/>
  <c r="A849" i="80" s="1"/>
  <c r="C29" i="3"/>
  <c r="B24" i="61"/>
  <c r="E110" i="3"/>
  <c r="I1559" i="79" s="1"/>
  <c r="A1558" i="80" s="1"/>
  <c r="B15" i="61"/>
  <c r="D29" i="42"/>
  <c r="E32" i="4"/>
  <c r="C57" i="8"/>
  <c r="I5420" i="79" s="1"/>
  <c r="A5419" i="80" s="1"/>
  <c r="C39" i="42"/>
  <c r="I20743" i="79" s="1"/>
  <c r="A20742" i="80" s="1"/>
  <c r="B19" i="61"/>
  <c r="C28" i="47"/>
  <c r="C11" i="24"/>
  <c r="C29" i="8"/>
  <c r="I5072" i="79" s="1"/>
  <c r="A5071" i="80" s="1"/>
  <c r="C102" i="8"/>
  <c r="C23" i="24"/>
  <c r="D25" i="42"/>
  <c r="I20503" i="79" s="1"/>
  <c r="A20502" i="80" s="1"/>
  <c r="C25" i="48"/>
  <c r="D21" i="47"/>
  <c r="I6438" i="79" s="1"/>
  <c r="A6437" i="80" s="1"/>
  <c r="D18" i="3"/>
  <c r="F18" i="24"/>
  <c r="D12" i="58"/>
  <c r="C76" i="8"/>
  <c r="I5540" i="79" s="1"/>
  <c r="A5539" i="80" s="1"/>
  <c r="F13" i="24"/>
  <c r="I3782" i="79" s="1"/>
  <c r="A3781" i="80" s="1"/>
  <c r="C21" i="61"/>
  <c r="I18981" i="79" s="1"/>
  <c r="A18980" i="80" s="1"/>
  <c r="C26" i="61"/>
  <c r="I19005" i="79" s="1"/>
  <c r="A19004" i="80" s="1"/>
  <c r="C23" i="3"/>
  <c r="G29" i="48"/>
  <c r="I6979" i="79" s="1"/>
  <c r="A6978" i="80" s="1"/>
  <c r="H25" i="48"/>
  <c r="I7027" i="79" s="1"/>
  <c r="A7026" i="80" s="1"/>
  <c r="E61" i="4"/>
  <c r="B12" i="61"/>
  <c r="C11" i="3"/>
  <c r="I34" i="79" s="1"/>
  <c r="A33" i="80" s="1"/>
  <c r="E33" i="4"/>
  <c r="D25" i="47"/>
  <c r="E59" i="4"/>
  <c r="B30" i="61"/>
  <c r="D39" i="3"/>
  <c r="E39" i="7"/>
  <c r="I4807" i="79" s="1"/>
  <c r="A4806" i="80" s="1"/>
  <c r="D13" i="47"/>
  <c r="I6304" i="79" s="1"/>
  <c r="A6303" i="80" s="1"/>
  <c r="C47" i="3"/>
  <c r="E17" i="4"/>
  <c r="F10" i="24"/>
  <c r="D14" i="3"/>
  <c r="I154" i="79" s="1"/>
  <c r="A153" i="80" s="1"/>
  <c r="C45" i="3"/>
  <c r="B11" i="61"/>
  <c r="E38" i="4"/>
  <c r="C103" i="8"/>
  <c r="I5828" i="79" s="1"/>
  <c r="A5827" i="80" s="1"/>
  <c r="B19" i="30"/>
  <c r="D19" i="30" s="1"/>
  <c r="C22" i="24"/>
  <c r="C27" i="61"/>
  <c r="I19023" i="79" s="1"/>
  <c r="A19022" i="80" s="1"/>
  <c r="C35" i="61"/>
  <c r="I19065" i="79" s="1"/>
  <c r="A19064" i="80" s="1"/>
  <c r="C24" i="3"/>
  <c r="E44" i="7"/>
  <c r="I4837" i="79" s="1"/>
  <c r="A4836" i="80" s="1"/>
  <c r="H10" i="48"/>
  <c r="I7003" i="79" s="1"/>
  <c r="A7002" i="80" s="1"/>
  <c r="L3" i="63" l="1"/>
  <c r="L4" i="63"/>
  <c r="K4" i="63"/>
  <c r="H12" i="4"/>
  <c r="G6" i="7"/>
  <c r="K9" i="63"/>
  <c r="K3" i="63"/>
  <c r="K5" i="63"/>
  <c r="K6" i="63"/>
  <c r="L5" i="63"/>
  <c r="G24" i="61"/>
  <c r="I19719" i="79" s="1"/>
  <c r="A19718" i="80" s="1"/>
  <c r="L8" i="63"/>
  <c r="L7" i="63"/>
  <c r="K2" i="63"/>
  <c r="K7" i="63"/>
  <c r="C36" i="8"/>
  <c r="D38" i="8" s="1"/>
  <c r="I5312" i="79" s="1"/>
  <c r="A5311" i="80" s="1"/>
  <c r="C27" i="39"/>
  <c r="I5300" i="79"/>
  <c r="A5299" i="80" s="1"/>
  <c r="I8357" i="79"/>
  <c r="A8356" i="80" s="1"/>
  <c r="C8407" i="79"/>
  <c r="C8537" i="79"/>
  <c r="I8487" i="79"/>
  <c r="A8486" i="80" s="1"/>
  <c r="I8542" i="79"/>
  <c r="A8541" i="80" s="1"/>
  <c r="C8592" i="79"/>
  <c r="I8417" i="79"/>
  <c r="A8416" i="80" s="1"/>
  <c r="C8467" i="79"/>
  <c r="I8747" i="79"/>
  <c r="A8746" i="80" s="1"/>
  <c r="C8797" i="79"/>
  <c r="I8662" i="79"/>
  <c r="A8661" i="80" s="1"/>
  <c r="C8712" i="79"/>
  <c r="C13756" i="79"/>
  <c r="I13706" i="79"/>
  <c r="A13705" i="80" s="1"/>
  <c r="C13861" i="79"/>
  <c r="I13811" i="79"/>
  <c r="A13810" i="80" s="1"/>
  <c r="I13831" i="79"/>
  <c r="A13830" i="80" s="1"/>
  <c r="C13881" i="79"/>
  <c r="G6" i="60"/>
  <c r="F3" i="61"/>
  <c r="I8382" i="79"/>
  <c r="A8381" i="80" s="1"/>
  <c r="C8432" i="79"/>
  <c r="I8477" i="79"/>
  <c r="A8476" i="80" s="1"/>
  <c r="C8527" i="79"/>
  <c r="C8722" i="79"/>
  <c r="I8672" i="79"/>
  <c r="A8671" i="80" s="1"/>
  <c r="C8902" i="79"/>
  <c r="I8852" i="79"/>
  <c r="A8851" i="80" s="1"/>
  <c r="I13671" i="79"/>
  <c r="A13670" i="80" s="1"/>
  <c r="C13721" i="79"/>
  <c r="I13701" i="79"/>
  <c r="A13700" i="80" s="1"/>
  <c r="C13751" i="79"/>
  <c r="C13666" i="79"/>
  <c r="I13616" i="79"/>
  <c r="A13615" i="80" s="1"/>
  <c r="C13696" i="79"/>
  <c r="I13646" i="79"/>
  <c r="A13645" i="80" s="1"/>
  <c r="I13776" i="79"/>
  <c r="A13775" i="80" s="1"/>
  <c r="C13826" i="79"/>
  <c r="I13791" i="79"/>
  <c r="A13790" i="80" s="1"/>
  <c r="C13841" i="79"/>
  <c r="C13786" i="79"/>
  <c r="I13736" i="79"/>
  <c r="A13735" i="80" s="1"/>
  <c r="K2" i="1"/>
  <c r="L2" i="1"/>
  <c r="F13" i="4"/>
  <c r="D80" i="8"/>
  <c r="I5720" i="79" s="1"/>
  <c r="A5719" i="80" s="1"/>
  <c r="G15" i="61"/>
  <c r="I19659" i="79" s="1"/>
  <c r="A19658" i="80" s="1"/>
  <c r="E68" i="3"/>
  <c r="I1235" i="79" s="1"/>
  <c r="A1234" i="80" s="1"/>
  <c r="I27" i="24"/>
  <c r="J18" i="37"/>
  <c r="I7838" i="79"/>
  <c r="A7837" i="80" s="1"/>
  <c r="E46" i="3"/>
  <c r="I922" i="79" s="1"/>
  <c r="A921" i="80" s="1"/>
  <c r="K8" i="63"/>
  <c r="L9" i="63"/>
  <c r="G12" i="30"/>
  <c r="D66" i="4"/>
  <c r="E62" i="4"/>
  <c r="I2664" i="79" s="1"/>
  <c r="A2663" i="80" s="1"/>
  <c r="G8" i="3"/>
  <c r="G10" i="7"/>
  <c r="I4657" i="79" s="1"/>
  <c r="A4656" i="80" s="1"/>
  <c r="E28" i="61"/>
  <c r="I19383" i="79" s="1"/>
  <c r="A19382" i="80" s="1"/>
  <c r="E16" i="3"/>
  <c r="I196" i="79" s="1"/>
  <c r="A195" i="80" s="1"/>
  <c r="D57" i="4"/>
  <c r="D58" i="4"/>
  <c r="C71" i="8"/>
  <c r="I5516" i="79" s="1"/>
  <c r="A5515" i="80" s="1"/>
  <c r="I442" i="79"/>
  <c r="A441" i="80" s="1"/>
  <c r="E28" i="3"/>
  <c r="L6" i="63"/>
  <c r="I2424" i="79"/>
  <c r="A2423" i="80" s="1"/>
  <c r="G35" i="4"/>
  <c r="G30" i="4"/>
  <c r="I2454" i="79" s="1"/>
  <c r="A2453" i="80" s="1"/>
  <c r="I5192" i="79"/>
  <c r="A5191" i="80" s="1"/>
  <c r="D20" i="8"/>
  <c r="I5228" i="79" s="1"/>
  <c r="A5227" i="80" s="1"/>
  <c r="I19329" i="79"/>
  <c r="A19328" i="80" s="1"/>
  <c r="G19" i="61"/>
  <c r="I19689" i="79" s="1"/>
  <c r="A19688" i="80" s="1"/>
  <c r="I4044" i="79"/>
  <c r="A4043" i="80" s="1"/>
  <c r="B20" i="24"/>
  <c r="I4086" i="79" s="1"/>
  <c r="A4085" i="80" s="1"/>
  <c r="I2178" i="79"/>
  <c r="A2177" i="80" s="1"/>
  <c r="I19365" i="79"/>
  <c r="A19364" i="80" s="1"/>
  <c r="G25" i="61"/>
  <c r="I19725" i="79" s="1"/>
  <c r="A19724" i="80" s="1"/>
  <c r="I1583" i="79"/>
  <c r="A1582" i="80" s="1"/>
  <c r="G104" i="3"/>
  <c r="I1499" i="79"/>
  <c r="A1498" i="80" s="1"/>
  <c r="G98" i="3"/>
  <c r="I1493" i="79" s="1"/>
  <c r="A1492" i="80" s="1"/>
  <c r="I19599" i="79"/>
  <c r="A19598" i="80" s="1"/>
  <c r="F37" i="61"/>
  <c r="I19617" i="79" s="1"/>
  <c r="A19616" i="80" s="1"/>
  <c r="I5462" i="79"/>
  <c r="A5461" i="80" s="1"/>
  <c r="D59" i="8"/>
  <c r="I5486" i="79" s="1"/>
  <c r="A5485" i="80" s="1"/>
  <c r="I5852" i="79"/>
  <c r="A5851" i="80" s="1"/>
  <c r="D104" i="8"/>
  <c r="I5870" i="79" s="1"/>
  <c r="A5869" i="80" s="1"/>
  <c r="I5768" i="79"/>
  <c r="A5767" i="80" s="1"/>
  <c r="D91" i="8"/>
  <c r="I5774" i="79" s="1"/>
  <c r="A5773" i="80" s="1"/>
  <c r="I19539" i="79"/>
  <c r="A19538" i="80" s="1"/>
  <c r="F28" i="61"/>
  <c r="I19563" i="79" s="1"/>
  <c r="A19562" i="80" s="1"/>
  <c r="I19377" i="79"/>
  <c r="A19376" i="80" s="1"/>
  <c r="G27" i="61"/>
  <c r="I19737" i="79" s="1"/>
  <c r="A19736" i="80" s="1"/>
  <c r="C16" i="39"/>
  <c r="I4759" i="79"/>
  <c r="A4758" i="80" s="1"/>
  <c r="I2904" i="79"/>
  <c r="A2903" i="80" s="1"/>
  <c r="I5690" i="79"/>
  <c r="A5689" i="80" s="1"/>
  <c r="G17" i="7"/>
  <c r="I4699" i="79" s="1"/>
  <c r="A4698" i="80" s="1"/>
  <c r="I2076" i="79"/>
  <c r="A2075" i="80" s="1"/>
  <c r="I5738" i="79"/>
  <c r="A5737" i="80" s="1"/>
  <c r="D87" i="8"/>
  <c r="I5756" i="79" s="1"/>
  <c r="A5755" i="80" s="1"/>
  <c r="I20677" i="79"/>
  <c r="A20676" i="80" s="1"/>
  <c r="G28" i="42"/>
  <c r="I20665" i="79" s="1"/>
  <c r="A20664" i="80" s="1"/>
  <c r="G36" i="4"/>
  <c r="I2496" i="79" s="1"/>
  <c r="A2495" i="80" s="1"/>
  <c r="I7668" i="79"/>
  <c r="A7667" i="80" s="1"/>
  <c r="I19467" i="79"/>
  <c r="A19466" i="80" s="1"/>
  <c r="F22" i="61"/>
  <c r="I5174" i="79"/>
  <c r="A5173" i="80" s="1"/>
  <c r="D7" i="8"/>
  <c r="G11" i="7"/>
  <c r="I2136" i="79"/>
  <c r="A2135" i="80" s="1"/>
  <c r="I1412" i="79"/>
  <c r="A1411" i="80" s="1"/>
  <c r="G87" i="3"/>
  <c r="I1406" i="79" s="1"/>
  <c r="A1405" i="80" s="1"/>
  <c r="I6360" i="79"/>
  <c r="A6359" i="80" s="1"/>
  <c r="B16" i="47"/>
  <c r="I6354" i="79" s="1"/>
  <c r="A6353" i="80" s="1"/>
  <c r="I6697" i="79"/>
  <c r="A6696" i="80" s="1"/>
  <c r="B32" i="48"/>
  <c r="I382" i="79"/>
  <c r="A381" i="80" s="1"/>
  <c r="G17" i="3"/>
  <c r="I424" i="79" s="1"/>
  <c r="A423" i="80" s="1"/>
  <c r="I94" i="79"/>
  <c r="A93" i="80" s="1"/>
  <c r="G41" i="4"/>
  <c r="I2490" i="79" s="1"/>
  <c r="A2489" i="80" s="1"/>
  <c r="I4687" i="79"/>
  <c r="A4686" i="80" s="1"/>
  <c r="I2184" i="79"/>
  <c r="A2183" i="80" s="1"/>
  <c r="I4705" i="79"/>
  <c r="A4704" i="80" s="1"/>
  <c r="I2172" i="79"/>
  <c r="A2171" i="80" s="1"/>
  <c r="I5798" i="79"/>
  <c r="A5797" i="80" s="1"/>
  <c r="D95" i="8"/>
  <c r="F42" i="42"/>
  <c r="I20845" i="79"/>
  <c r="A20844" i="80" s="1"/>
  <c r="I5330" i="79"/>
  <c r="A5329" i="80" s="1"/>
  <c r="D44" i="8"/>
  <c r="I5342" i="79" s="1"/>
  <c r="A5341" i="80" s="1"/>
  <c r="I19287" i="79"/>
  <c r="A19286" i="80" s="1"/>
  <c r="E22" i="61"/>
  <c r="G11" i="61"/>
  <c r="I2838" i="79"/>
  <c r="A2837" i="80" s="1"/>
  <c r="G63" i="4"/>
  <c r="I2802" i="79" s="1"/>
  <c r="A2801" i="80" s="1"/>
  <c r="G68" i="4"/>
  <c r="I2814" i="79" s="1"/>
  <c r="A2813" i="80" s="1"/>
  <c r="I4711" i="79"/>
  <c r="A4710" i="80" s="1"/>
  <c r="I2148" i="79"/>
  <c r="A2147" i="80" s="1"/>
  <c r="I6673" i="79"/>
  <c r="A6672" i="80" s="1"/>
  <c r="B17" i="48"/>
  <c r="I6691" i="79" s="1"/>
  <c r="A6690" i="80" s="1"/>
  <c r="I1126" i="79"/>
  <c r="A1125" i="80" s="1"/>
  <c r="G54" i="3"/>
  <c r="I7680" i="79"/>
  <c r="A7679" i="80" s="1"/>
  <c r="E16" i="49"/>
  <c r="B14" i="49"/>
  <c r="B22" i="49" s="1"/>
  <c r="I7692" i="79" s="1"/>
  <c r="A7691" i="80" s="1"/>
  <c r="G36" i="61"/>
  <c r="I19791" i="79" s="1"/>
  <c r="A19790" i="80" s="1"/>
  <c r="I19431" i="79"/>
  <c r="A19430" i="80" s="1"/>
  <c r="I6256" i="79"/>
  <c r="A6255" i="80" s="1"/>
  <c r="B9" i="47"/>
  <c r="I19395" i="79"/>
  <c r="A19394" i="80" s="1"/>
  <c r="G30" i="61"/>
  <c r="E32" i="61"/>
  <c r="I19407" i="79" s="1"/>
  <c r="A19406" i="80" s="1"/>
  <c r="I1463" i="79"/>
  <c r="A1462" i="80" s="1"/>
  <c r="G94" i="3"/>
  <c r="I1457" i="79" s="1"/>
  <c r="A1456" i="80" s="1"/>
  <c r="I6480" i="79"/>
  <c r="A6479" i="80" s="1"/>
  <c r="B23" i="47"/>
  <c r="I6474" i="79" s="1"/>
  <c r="A6473" i="80" s="1"/>
  <c r="G24" i="7"/>
  <c r="I4723" i="79" s="1"/>
  <c r="A4722" i="80" s="1"/>
  <c r="I2088" i="79"/>
  <c r="A2087" i="80" s="1"/>
  <c r="I1685" i="79"/>
  <c r="A1684" i="80" s="1"/>
  <c r="G117" i="3"/>
  <c r="G121" i="3" s="1"/>
  <c r="I208" i="79"/>
  <c r="A207" i="80" s="1"/>
  <c r="G12" i="3"/>
  <c r="I232" i="79" s="1"/>
  <c r="A231" i="80" s="1"/>
  <c r="I19575" i="79"/>
  <c r="A19574" i="80" s="1"/>
  <c r="F32" i="61"/>
  <c r="I19587" i="79" s="1"/>
  <c r="A19586" i="80" s="1"/>
  <c r="I5660" i="79"/>
  <c r="A5659" i="80" s="1"/>
  <c r="D71" i="8"/>
  <c r="I5672" i="79" s="1"/>
  <c r="A5671" i="80" s="1"/>
  <c r="B9" i="24"/>
  <c r="I2082" i="79"/>
  <c r="A2081" i="80" s="1"/>
  <c r="G22" i="7"/>
  <c r="I4777" i="79" s="1"/>
  <c r="A4776" i="80" s="1"/>
  <c r="I1361" i="79"/>
  <c r="A1360" i="80" s="1"/>
  <c r="G80" i="3"/>
  <c r="I1355" i="79" s="1"/>
  <c r="A1354" i="80" s="1"/>
  <c r="I604" i="79"/>
  <c r="A603" i="80" s="1"/>
  <c r="G30" i="3"/>
  <c r="I616" i="79" s="1"/>
  <c r="A615" i="80" s="1"/>
  <c r="G41" i="3"/>
  <c r="I976" i="79" s="1"/>
  <c r="A975" i="80" s="1"/>
  <c r="I934" i="79"/>
  <c r="A933" i="80" s="1"/>
  <c r="I754" i="79"/>
  <c r="A753" i="80" s="1"/>
  <c r="G35" i="3"/>
  <c r="I19419" i="79"/>
  <c r="A19418" i="80" s="1"/>
  <c r="E37" i="61"/>
  <c r="I19437" i="79" s="1"/>
  <c r="A19436" i="80" s="1"/>
  <c r="G34" i="61"/>
  <c r="I20947" i="79"/>
  <c r="A20946" i="80" s="1"/>
  <c r="I3804" i="79"/>
  <c r="A3803" i="80" s="1"/>
  <c r="B14" i="24"/>
  <c r="I3828" i="79" s="1"/>
  <c r="A3827" i="80" s="1"/>
  <c r="I19425" i="79"/>
  <c r="A19424" i="80" s="1"/>
  <c r="G35" i="61"/>
  <c r="I19785" i="79" s="1"/>
  <c r="A19784" i="80" s="1"/>
  <c r="G28" i="4"/>
  <c r="I4639" i="79"/>
  <c r="A4638" i="80" s="1"/>
  <c r="G20" i="4"/>
  <c r="I2100" i="79"/>
  <c r="A2099" i="80" s="1"/>
  <c r="I20683" i="79"/>
  <c r="A20682" i="80" s="1"/>
  <c r="I2160" i="79"/>
  <c r="A2159" i="80" s="1"/>
  <c r="I4729" i="79"/>
  <c r="A4728" i="80" s="1"/>
  <c r="G68" i="3"/>
  <c r="I1277" i="79"/>
  <c r="A1276" i="80" s="1"/>
  <c r="I19371" i="79"/>
  <c r="A19370" i="80" s="1"/>
  <c r="G26" i="61"/>
  <c r="I19731" i="79" s="1"/>
  <c r="A19730" i="80" s="1"/>
  <c r="I19293" i="79"/>
  <c r="A19292" i="80" s="1"/>
  <c r="G12" i="61"/>
  <c r="I19647" i="79" s="1"/>
  <c r="A19646" i="80" s="1"/>
  <c r="I7686" i="79"/>
  <c r="A7685" i="80" s="1"/>
  <c r="E17" i="49"/>
  <c r="I19311" i="79"/>
  <c r="A19310" i="80" s="1"/>
  <c r="G16" i="61"/>
  <c r="I19665" i="79" s="1"/>
  <c r="A19664" i="80" s="1"/>
  <c r="G23" i="7"/>
  <c r="I4717" i="79" s="1"/>
  <c r="A4716" i="80" s="1"/>
  <c r="I2166" i="79"/>
  <c r="A2165" i="80" s="1"/>
  <c r="G50" i="3"/>
  <c r="I1024" i="79"/>
  <c r="A1023" i="80" s="1"/>
  <c r="G62" i="4"/>
  <c r="G56" i="4"/>
  <c r="I2796" i="79" s="1"/>
  <c r="A2795" i="80" s="1"/>
  <c r="I2778" i="79"/>
  <c r="A2777" i="80" s="1"/>
  <c r="I19341" i="79"/>
  <c r="A19340" i="80" s="1"/>
  <c r="G21" i="61"/>
  <c r="I19701" i="79" s="1"/>
  <c r="A19700" i="80" s="1"/>
  <c r="G12" i="7"/>
  <c r="I4669" i="79" s="1"/>
  <c r="A4668" i="80" s="1"/>
  <c r="I2142" i="79"/>
  <c r="A2141" i="80" s="1"/>
  <c r="L2" i="63"/>
  <c r="I5240" i="79"/>
  <c r="A5239" i="80" s="1"/>
  <c r="D32" i="8"/>
  <c r="I5282" i="79" s="1"/>
  <c r="A5281" i="80" s="1"/>
  <c r="I5396" i="79"/>
  <c r="A5395" i="80" s="1"/>
  <c r="D50" i="8"/>
  <c r="I5402" i="79" s="1"/>
  <c r="A5401" i="80" s="1"/>
  <c r="I4927" i="79"/>
  <c r="A4926" i="80" s="1"/>
  <c r="I2124" i="79"/>
  <c r="A2123" i="80" s="1"/>
  <c r="G11" i="4"/>
  <c r="I2118" i="79" s="1"/>
  <c r="A2117" i="80" s="1"/>
  <c r="C14" i="39"/>
  <c r="G19" i="4"/>
  <c r="I520" i="79"/>
  <c r="A519" i="80" s="1"/>
  <c r="G25" i="3"/>
  <c r="I544" i="79" s="1"/>
  <c r="A543" i="80" s="1"/>
  <c r="D22" i="4"/>
  <c r="I1950" i="79"/>
  <c r="A1949" i="80" s="1"/>
  <c r="I838" i="79"/>
  <c r="A837" i="80" s="1"/>
  <c r="D41" i="3"/>
  <c r="I880" i="79" s="1"/>
  <c r="A879" i="80" s="1"/>
  <c r="I1944" i="79"/>
  <c r="A1943" i="80" s="1"/>
  <c r="D24" i="4"/>
  <c r="I5816" i="79"/>
  <c r="A5815" i="80" s="1"/>
  <c r="C104" i="8"/>
  <c r="I6402" i="79"/>
  <c r="A6401" i="80" s="1"/>
  <c r="E20" i="47"/>
  <c r="C12" i="3"/>
  <c r="I142" i="79" s="1"/>
  <c r="A141" i="80" s="1"/>
  <c r="E13" i="3"/>
  <c r="I118" i="79"/>
  <c r="A117" i="80" s="1"/>
  <c r="E11" i="3"/>
  <c r="I82" i="79" s="1"/>
  <c r="A81" i="80" s="1"/>
  <c r="I4116" i="79"/>
  <c r="A4115" i="80" s="1"/>
  <c r="I24" i="24"/>
  <c r="I6558" i="79"/>
  <c r="A6557" i="80" s="1"/>
  <c r="E30" i="47"/>
  <c r="D23" i="4"/>
  <c r="I1956" i="79"/>
  <c r="A1955" i="80" s="1"/>
  <c r="I3924" i="79"/>
  <c r="A3923" i="80" s="1"/>
  <c r="F14" i="24"/>
  <c r="I3948" i="79" s="1"/>
  <c r="A3947" i="80" s="1"/>
  <c r="I3846" i="79"/>
  <c r="A3845" i="80" s="1"/>
  <c r="I17" i="24"/>
  <c r="G19" i="33"/>
  <c r="G21" i="33" s="1"/>
  <c r="I5042" i="79"/>
  <c r="A5041" i="80" s="1"/>
  <c r="I6552" i="79"/>
  <c r="A6551" i="80" s="1"/>
  <c r="E29" i="47"/>
  <c r="I262" i="79"/>
  <c r="A261" i="80" s="1"/>
  <c r="E22" i="3"/>
  <c r="I358" i="79" s="1"/>
  <c r="A357" i="80" s="1"/>
  <c r="I796" i="79"/>
  <c r="A795" i="80" s="1"/>
  <c r="E43" i="3"/>
  <c r="I904" i="79" s="1"/>
  <c r="A903" i="80" s="1"/>
  <c r="D27" i="4"/>
  <c r="I1932" i="79"/>
  <c r="A1931" i="80" s="1"/>
  <c r="E98" i="3"/>
  <c r="I1475" i="79" s="1"/>
  <c r="A1474" i="80" s="1"/>
  <c r="I18747" i="79"/>
  <c r="A18746" i="80" s="1"/>
  <c r="B22" i="61"/>
  <c r="D11" i="61"/>
  <c r="I700" i="79"/>
  <c r="A699" i="80" s="1"/>
  <c r="E39" i="3"/>
  <c r="I736" i="79" s="1"/>
  <c r="A735" i="80" s="1"/>
  <c r="I3942" i="79"/>
  <c r="A3941" i="80" s="1"/>
  <c r="I18" i="24"/>
  <c r="I3602" i="79"/>
  <c r="A3601" i="80" s="1"/>
  <c r="I11" i="24"/>
  <c r="E19" i="3"/>
  <c r="I340" i="79" s="1"/>
  <c r="A339" i="80" s="1"/>
  <c r="I244" i="79"/>
  <c r="A243" i="80" s="1"/>
  <c r="K3" i="1"/>
  <c r="L6" i="1"/>
  <c r="K9" i="1"/>
  <c r="K4" i="1"/>
  <c r="L7" i="1"/>
  <c r="L4" i="1"/>
  <c r="K5" i="1"/>
  <c r="K8" i="1"/>
  <c r="L3" i="1"/>
  <c r="L5" i="1"/>
  <c r="L8" i="1"/>
  <c r="K7" i="1"/>
  <c r="L9" i="1"/>
  <c r="K6" i="1"/>
  <c r="I1066" i="79"/>
  <c r="A1065" i="80" s="1"/>
  <c r="E57" i="3"/>
  <c r="I1114" i="79" s="1"/>
  <c r="A1113" i="80" s="1"/>
  <c r="I6751" i="79"/>
  <c r="A6750" i="80" s="1"/>
  <c r="I20" i="48"/>
  <c r="C32" i="48"/>
  <c r="I1445" i="79"/>
  <c r="A1444" i="80" s="1"/>
  <c r="E94" i="3"/>
  <c r="I1439" i="79" s="1"/>
  <c r="A1438" i="80" s="1"/>
  <c r="I7698" i="79"/>
  <c r="A7697" i="80" s="1"/>
  <c r="E12" i="49"/>
  <c r="C22" i="49"/>
  <c r="I7722" i="79" s="1"/>
  <c r="A7721" i="80" s="1"/>
  <c r="I1253" i="79"/>
  <c r="A1252" i="80" s="1"/>
  <c r="I6817" i="79"/>
  <c r="A6816" i="80" s="1"/>
  <c r="I29" i="48"/>
  <c r="I148" i="79"/>
  <c r="A147" i="80" s="1"/>
  <c r="D12" i="3"/>
  <c r="I172" i="79" s="1"/>
  <c r="A171" i="80" s="1"/>
  <c r="I130" i="79"/>
  <c r="A129" i="80" s="1"/>
  <c r="E15" i="3"/>
  <c r="I190" i="79" s="1"/>
  <c r="A189" i="80" s="1"/>
  <c r="I6540" i="79"/>
  <c r="A6539" i="80" s="1"/>
  <c r="E27" i="47"/>
  <c r="I1848" i="79"/>
  <c r="A1847" i="80" s="1"/>
  <c r="D16" i="4"/>
  <c r="I802" i="79"/>
  <c r="A801" i="80" s="1"/>
  <c r="E44" i="3"/>
  <c r="I910" i="79" s="1"/>
  <c r="A909" i="80" s="1"/>
  <c r="I1667" i="79"/>
  <c r="A1666" i="80" s="1"/>
  <c r="E117" i="3"/>
  <c r="E121" i="3" s="1"/>
  <c r="E51" i="3"/>
  <c r="I1006" i="79"/>
  <c r="A1005" i="80" s="1"/>
  <c r="C50" i="3"/>
  <c r="I808" i="79"/>
  <c r="A807" i="80" s="1"/>
  <c r="E45" i="3"/>
  <c r="I916" i="79" s="1"/>
  <c r="A915" i="80" s="1"/>
  <c r="I18855" i="79"/>
  <c r="A18854" i="80" s="1"/>
  <c r="D30" i="61"/>
  <c r="B32" i="61"/>
  <c r="I18867" i="79" s="1"/>
  <c r="A18866" i="80" s="1"/>
  <c r="I286" i="79"/>
  <c r="A285" i="80" s="1"/>
  <c r="D17" i="3"/>
  <c r="I328" i="79" s="1"/>
  <c r="A327" i="80" s="1"/>
  <c r="I6546" i="79"/>
  <c r="A6545" i="80" s="1"/>
  <c r="E28" i="47"/>
  <c r="I18813" i="79"/>
  <c r="A18812" i="80" s="1"/>
  <c r="D24" i="61"/>
  <c r="B28" i="61"/>
  <c r="I18837" i="79" s="1"/>
  <c r="A18836" i="80" s="1"/>
  <c r="I2268" i="79"/>
  <c r="A2267" i="80" s="1"/>
  <c r="E35" i="4"/>
  <c r="D31" i="4"/>
  <c r="E30" i="4"/>
  <c r="I2340" i="79" s="1"/>
  <c r="A2339" i="80" s="1"/>
  <c r="E32" i="3"/>
  <c r="I592" i="79" s="1"/>
  <c r="A591" i="80" s="1"/>
  <c r="I556" i="79"/>
  <c r="A555" i="80" s="1"/>
  <c r="I6889" i="79"/>
  <c r="A6888" i="80" s="1"/>
  <c r="F17" i="48"/>
  <c r="I6907" i="79" s="1"/>
  <c r="A6906" i="80" s="1"/>
  <c r="I6534" i="79"/>
  <c r="A6533" i="80" s="1"/>
  <c r="E26" i="47"/>
  <c r="C9" i="51"/>
  <c r="C6" i="51" s="1"/>
  <c r="B6" i="51"/>
  <c r="I5534" i="79"/>
  <c r="A5533" i="80" s="1"/>
  <c r="C80" i="8"/>
  <c r="I5552" i="79" s="1"/>
  <c r="A5551" i="80" s="1"/>
  <c r="I18885" i="79"/>
  <c r="A18884" i="80" s="1"/>
  <c r="D36" i="61"/>
  <c r="I5372" i="79"/>
  <c r="A5371" i="80" s="1"/>
  <c r="C50" i="8"/>
  <c r="I5378" i="79" s="1"/>
  <c r="A5377" i="80" s="1"/>
  <c r="I6997" i="79"/>
  <c r="A6996" i="80" s="1"/>
  <c r="H17" i="48"/>
  <c r="I5114" i="79"/>
  <c r="A5113" i="80" s="1"/>
  <c r="I6408" i="79"/>
  <c r="A6407" i="80" s="1"/>
  <c r="E21" i="47"/>
  <c r="I826" i="79"/>
  <c r="A825" i="80" s="1"/>
  <c r="E48" i="3"/>
  <c r="I892" i="79" s="1"/>
  <c r="A891" i="80" s="1"/>
  <c r="I2304" i="79"/>
  <c r="A2303" i="80" s="1"/>
  <c r="E36" i="4"/>
  <c r="I2334" i="79" s="1"/>
  <c r="A2333" i="80" s="1"/>
  <c r="D37" i="4"/>
  <c r="E41" i="4"/>
  <c r="I2328" i="79" s="1"/>
  <c r="A2327" i="80" s="1"/>
  <c r="D15" i="4"/>
  <c r="I1914" i="79"/>
  <c r="A1913" i="80" s="1"/>
  <c r="I1782" i="79"/>
  <c r="A1781" i="80" s="1"/>
  <c r="I5414" i="79"/>
  <c r="A5413" i="80" s="1"/>
  <c r="C59" i="8"/>
  <c r="I5432" i="79" s="1"/>
  <c r="A5431" i="80" s="1"/>
  <c r="E21" i="3"/>
  <c r="I352" i="79" s="1"/>
  <c r="A351" i="80" s="1"/>
  <c r="I256" i="79"/>
  <c r="A255" i="80" s="1"/>
  <c r="C17" i="3"/>
  <c r="I280" i="79" s="1"/>
  <c r="A279" i="80" s="1"/>
  <c r="I238" i="79"/>
  <c r="A237" i="80" s="1"/>
  <c r="E18" i="3"/>
  <c r="E87" i="3"/>
  <c r="I1388" i="79" s="1"/>
  <c r="A1387" i="80" s="1"/>
  <c r="I2310" i="79"/>
  <c r="A2309" i="80" s="1"/>
  <c r="D38" i="4"/>
  <c r="I6967" i="79"/>
  <c r="A6966" i="80" s="1"/>
  <c r="G32" i="48"/>
  <c r="D59" i="4"/>
  <c r="I2622" i="79"/>
  <c r="A2621" i="80" s="1"/>
  <c r="E56" i="4"/>
  <c r="I2628" i="79" s="1"/>
  <c r="A2627" i="80" s="1"/>
  <c r="I268" i="79"/>
  <c r="A267" i="80" s="1"/>
  <c r="E23" i="3"/>
  <c r="I364" i="79" s="1"/>
  <c r="A363" i="80" s="1"/>
  <c r="I18789" i="79"/>
  <c r="A18788" i="80" s="1"/>
  <c r="D19" i="61"/>
  <c r="I448" i="79"/>
  <c r="A447" i="80" s="1"/>
  <c r="E29" i="3"/>
  <c r="I508" i="79" s="1"/>
  <c r="A507" i="80" s="1"/>
  <c r="I6280" i="79"/>
  <c r="A6279" i="80" s="1"/>
  <c r="E11" i="47"/>
  <c r="C9" i="47"/>
  <c r="I6943" i="79"/>
  <c r="A6942" i="80" s="1"/>
  <c r="G17" i="48"/>
  <c r="I6961" i="79" s="1"/>
  <c r="A6960" i="80" s="1"/>
  <c r="D40" i="4"/>
  <c r="I2322" i="79"/>
  <c r="A2321" i="80" s="1"/>
  <c r="E63" i="4"/>
  <c r="I2634" i="79" s="1"/>
  <c r="A2633" i="80" s="1"/>
  <c r="D64" i="4"/>
  <c r="I2670" i="79"/>
  <c r="A2669" i="80" s="1"/>
  <c r="I670" i="79"/>
  <c r="A669" i="80" s="1"/>
  <c r="E40" i="3"/>
  <c r="I742" i="79" s="1"/>
  <c r="A741" i="80" s="1"/>
  <c r="I124" i="79"/>
  <c r="A123" i="80" s="1"/>
  <c r="E14" i="3"/>
  <c r="I184" i="79" s="1"/>
  <c r="A183" i="80" s="1"/>
  <c r="I18825" i="79"/>
  <c r="A18824" i="80" s="1"/>
  <c r="D26" i="61"/>
  <c r="I706" i="79"/>
  <c r="A705" i="80" s="1"/>
  <c r="I814" i="79"/>
  <c r="A813" i="80" s="1"/>
  <c r="I460" i="79"/>
  <c r="A459" i="80" s="1"/>
  <c r="D25" i="3"/>
  <c r="I484" i="79" s="1"/>
  <c r="A483" i="80" s="1"/>
  <c r="D9" i="30"/>
  <c r="D8" i="30" s="1"/>
  <c r="B8" i="30"/>
  <c r="I7728" i="79"/>
  <c r="A7727" i="80" s="1"/>
  <c r="D22" i="49"/>
  <c r="I7752" i="79" s="1"/>
  <c r="A7751" i="80" s="1"/>
  <c r="I18879" i="79"/>
  <c r="A18878" i="80" s="1"/>
  <c r="D34" i="61"/>
  <c r="B37" i="61"/>
  <c r="I18891" i="79" s="1"/>
  <c r="A18890" i="80" s="1"/>
  <c r="D67" i="4"/>
  <c r="I2688" i="79"/>
  <c r="A2687" i="80" s="1"/>
  <c r="D60" i="4"/>
  <c r="I2652" i="79"/>
  <c r="A2651" i="80" s="1"/>
  <c r="I6274" i="79"/>
  <c r="A6273" i="80" s="1"/>
  <c r="E13" i="47"/>
  <c r="I18765" i="79"/>
  <c r="A18764" i="80" s="1"/>
  <c r="D15" i="61"/>
  <c r="I6576" i="79"/>
  <c r="A6575" i="80" s="1"/>
  <c r="D23" i="47"/>
  <c r="I6570" i="79" s="1"/>
  <c r="A6569" i="80" s="1"/>
  <c r="I5600" i="79"/>
  <c r="A5599" i="80" s="1"/>
  <c r="C91" i="8"/>
  <c r="C20" i="24"/>
  <c r="I4098" i="79"/>
  <c r="A4097" i="80" s="1"/>
  <c r="I21" i="24"/>
  <c r="F20" i="24"/>
  <c r="I4302" i="79" s="1"/>
  <c r="A4301" i="80" s="1"/>
  <c r="I4260" i="79"/>
  <c r="A4259" i="80" s="1"/>
  <c r="D65" i="4"/>
  <c r="I2676" i="79"/>
  <c r="A2675" i="80" s="1"/>
  <c r="I18993" i="79"/>
  <c r="A18992" i="80" s="1"/>
  <c r="C28" i="61"/>
  <c r="I19017" i="79" s="1"/>
  <c r="A19016" i="80" s="1"/>
  <c r="I6805" i="79"/>
  <c r="A6804" i="80" s="1"/>
  <c r="D32" i="48"/>
  <c r="D25" i="4"/>
  <c r="I1920" i="79"/>
  <c r="A1919" i="80" s="1"/>
  <c r="I1938" i="79"/>
  <c r="A1937" i="80" s="1"/>
  <c r="D26" i="4"/>
  <c r="I658" i="79"/>
  <c r="A657" i="80" s="1"/>
  <c r="E38" i="3"/>
  <c r="I730" i="79" s="1"/>
  <c r="A729" i="80" s="1"/>
  <c r="I6528" i="79"/>
  <c r="A6527" i="80" s="1"/>
  <c r="C23" i="47"/>
  <c r="I6522" i="79" s="1"/>
  <c r="A6521" i="80" s="1"/>
  <c r="E25" i="47"/>
  <c r="D30" i="58"/>
  <c r="I6564" i="79"/>
  <c r="A6563" i="80" s="1"/>
  <c r="E31" i="47"/>
  <c r="I652" i="79"/>
  <c r="A651" i="80" s="1"/>
  <c r="E37" i="3"/>
  <c r="I724" i="79" s="1"/>
  <c r="A723" i="80" s="1"/>
  <c r="I6739" i="79"/>
  <c r="A6738" i="80" s="1"/>
  <c r="I13" i="48"/>
  <c r="I20497" i="79"/>
  <c r="A20496" i="80" s="1"/>
  <c r="D23" i="42"/>
  <c r="I20491" i="79" s="1"/>
  <c r="A20490" i="80" s="1"/>
  <c r="I6396" i="79"/>
  <c r="A6395" i="80" s="1"/>
  <c r="E19" i="47"/>
  <c r="D34" i="4"/>
  <c r="I2286" i="79"/>
  <c r="A2285" i="80" s="1"/>
  <c r="D13" i="30"/>
  <c r="D12" i="30" s="1"/>
  <c r="B12" i="30"/>
  <c r="E17" i="48"/>
  <c r="I6853" i="79" s="1"/>
  <c r="A6852" i="80" s="1"/>
  <c r="I6757" i="79"/>
  <c r="A6756" i="80" s="1"/>
  <c r="I25" i="48"/>
  <c r="I4104" i="79"/>
  <c r="A4103" i="80" s="1"/>
  <c r="I22" i="24"/>
  <c r="D17" i="4"/>
  <c r="I1854" i="79"/>
  <c r="A1853" i="80" s="1"/>
  <c r="D33" i="4"/>
  <c r="I2280" i="79"/>
  <c r="A2279" i="80" s="1"/>
  <c r="I19035" i="79"/>
  <c r="A19034" i="80" s="1"/>
  <c r="C32" i="61"/>
  <c r="I19047" i="79" s="1"/>
  <c r="A19046" i="80" s="1"/>
  <c r="D39" i="4"/>
  <c r="I2316" i="79"/>
  <c r="A2315" i="80" s="1"/>
  <c r="I3680" i="79"/>
  <c r="A3679" i="80" s="1"/>
  <c r="I12" i="24"/>
  <c r="I18927" i="79"/>
  <c r="A18926" i="80" s="1"/>
  <c r="C22" i="61"/>
  <c r="I28" i="79"/>
  <c r="A27" i="80" s="1"/>
  <c r="E10" i="3"/>
  <c r="I76" i="79" s="1"/>
  <c r="A75" i="80" s="1"/>
  <c r="I13" i="24"/>
  <c r="I3797" i="79" s="1"/>
  <c r="A3796" i="80" s="1"/>
  <c r="I790" i="79"/>
  <c r="A789" i="80" s="1"/>
  <c r="E42" i="3"/>
  <c r="C41" i="3"/>
  <c r="I832" i="79" s="1"/>
  <c r="A831" i="80" s="1"/>
  <c r="I3840" i="79"/>
  <c r="A3839" i="80" s="1"/>
  <c r="I16" i="24"/>
  <c r="D18" i="4"/>
  <c r="I1860" i="79"/>
  <c r="A1859" i="80" s="1"/>
  <c r="I5036" i="79"/>
  <c r="A5035" i="80" s="1"/>
  <c r="G23" i="60"/>
  <c r="G25" i="60" s="1"/>
  <c r="C32" i="8"/>
  <c r="I5090" i="79" s="1"/>
  <c r="A5089" i="80" s="1"/>
  <c r="I4290" i="79"/>
  <c r="A4289" i="80" s="1"/>
  <c r="I25" i="24"/>
  <c r="I1060" i="79"/>
  <c r="A1059" i="80" s="1"/>
  <c r="E56" i="3"/>
  <c r="I1108" i="79" s="1"/>
  <c r="A1107" i="80" s="1"/>
  <c r="I3596" i="79"/>
  <c r="A3595" i="80" s="1"/>
  <c r="C9" i="24"/>
  <c r="I10" i="24"/>
  <c r="I6268" i="79"/>
  <c r="A6267" i="80" s="1"/>
  <c r="E12" i="47"/>
  <c r="I5150" i="79"/>
  <c r="A5149" i="80" s="1"/>
  <c r="C44" i="8"/>
  <c r="C16" i="47"/>
  <c r="I6384" i="79" s="1"/>
  <c r="A6383" i="80" s="1"/>
  <c r="I6390" i="79"/>
  <c r="A6389" i="80" s="1"/>
  <c r="E18" i="47"/>
  <c r="I3834" i="79"/>
  <c r="A3833" i="80" s="1"/>
  <c r="C14" i="24"/>
  <c r="I15" i="24"/>
  <c r="I18801" i="79"/>
  <c r="A18800" i="80" s="1"/>
  <c r="D21" i="61"/>
  <c r="I274" i="79"/>
  <c r="A273" i="80" s="1"/>
  <c r="E24" i="3"/>
  <c r="I370" i="79" s="1"/>
  <c r="A369" i="80" s="1"/>
  <c r="I3668" i="79"/>
  <c r="A3667" i="80" s="1"/>
  <c r="F9" i="24"/>
  <c r="I820" i="79"/>
  <c r="A819" i="80" s="1"/>
  <c r="E47" i="3"/>
  <c r="I886" i="79" s="1"/>
  <c r="A885" i="80" s="1"/>
  <c r="I4110" i="79"/>
  <c r="A4109" i="80" s="1"/>
  <c r="I23" i="24"/>
  <c r="I2274" i="79"/>
  <c r="A2273" i="80" s="1"/>
  <c r="D32" i="4"/>
  <c r="I6859" i="79"/>
  <c r="A6858" i="80" s="1"/>
  <c r="E32" i="48"/>
  <c r="I6877" i="79" s="1"/>
  <c r="A6876" i="80" s="1"/>
  <c r="I1054" i="79"/>
  <c r="A1053" i="80" s="1"/>
  <c r="E55" i="3"/>
  <c r="C54" i="3"/>
  <c r="I250" i="79"/>
  <c r="A249" i="80" s="1"/>
  <c r="E20" i="3"/>
  <c r="I346" i="79" s="1"/>
  <c r="A345" i="80" s="1"/>
  <c r="C7" i="8"/>
  <c r="I4970" i="79"/>
  <c r="A4969" i="80" s="1"/>
  <c r="I1078" i="79"/>
  <c r="A1077" i="80" s="1"/>
  <c r="D54" i="3"/>
  <c r="I982" i="79"/>
  <c r="A981" i="80" s="1"/>
  <c r="E49" i="3"/>
  <c r="I994" i="79" s="1"/>
  <c r="A993" i="80" s="1"/>
  <c r="I682" i="79"/>
  <c r="A681" i="80" s="1"/>
  <c r="D35" i="3"/>
  <c r="I6420" i="79"/>
  <c r="A6419" i="80" s="1"/>
  <c r="D16" i="47"/>
  <c r="I6414" i="79" s="1"/>
  <c r="A6413" i="80" s="1"/>
  <c r="I646" i="79"/>
  <c r="A645" i="80" s="1"/>
  <c r="C35" i="3"/>
  <c r="E36" i="3"/>
  <c r="I6292" i="79"/>
  <c r="A6291" i="80" s="1"/>
  <c r="D9" i="47"/>
  <c r="I6781" i="79"/>
  <c r="A6780" i="80" s="1"/>
  <c r="D17" i="48"/>
  <c r="I6799" i="79" s="1"/>
  <c r="A6798" i="80" s="1"/>
  <c r="I550" i="79"/>
  <c r="A549" i="80" s="1"/>
  <c r="C30" i="3"/>
  <c r="I562" i="79" s="1"/>
  <c r="A561" i="80" s="1"/>
  <c r="E31" i="3"/>
  <c r="I18903" i="79"/>
  <c r="A18902" i="80" s="1"/>
  <c r="D35" i="61"/>
  <c r="I10" i="48"/>
  <c r="I22" i="79"/>
  <c r="A21" i="80" s="1"/>
  <c r="C8" i="3"/>
  <c r="E9" i="3"/>
  <c r="I436" i="79"/>
  <c r="A435" i="80" s="1"/>
  <c r="E27" i="3"/>
  <c r="I496" i="79" s="1"/>
  <c r="A495" i="80" s="1"/>
  <c r="I1896" i="79"/>
  <c r="A1895" i="80" s="1"/>
  <c r="E19" i="4"/>
  <c r="D12" i="4"/>
  <c r="E11" i="4"/>
  <c r="I1890" i="79" s="1"/>
  <c r="A1889" i="80" s="1"/>
  <c r="I6913" i="79"/>
  <c r="A6912" i="80" s="1"/>
  <c r="F32" i="48"/>
  <c r="I1788" i="79"/>
  <c r="A1787" i="80" s="1"/>
  <c r="F14" i="4"/>
  <c r="I2658" i="79"/>
  <c r="A2657" i="80" s="1"/>
  <c r="D61" i="4"/>
  <c r="I18753" i="79"/>
  <c r="A18752" i="80" s="1"/>
  <c r="D12" i="61"/>
  <c r="I5822" i="79"/>
  <c r="A5821" i="80" s="1"/>
  <c r="J19" i="27"/>
  <c r="J21" i="27" s="1"/>
  <c r="I20527" i="79"/>
  <c r="A20526" i="80" s="1"/>
  <c r="D28" i="42"/>
  <c r="I20521" i="79" s="1"/>
  <c r="A20520" i="80" s="1"/>
  <c r="I1529" i="79"/>
  <c r="A1528" i="80" s="1"/>
  <c r="E104" i="3"/>
  <c r="D71" i="4"/>
  <c r="I2892" i="79"/>
  <c r="A2891" i="80" s="1"/>
  <c r="I18999" i="79"/>
  <c r="A18998" i="80" s="1"/>
  <c r="D25" i="61"/>
  <c r="I46" i="79"/>
  <c r="A45" i="80" s="1"/>
  <c r="D8" i="3"/>
  <c r="I430" i="79"/>
  <c r="A429" i="80" s="1"/>
  <c r="E26" i="3"/>
  <c r="C25" i="3"/>
  <c r="I454" i="79" s="1"/>
  <c r="A453" i="80" s="1"/>
  <c r="I4134" i="79"/>
  <c r="A4133" i="80" s="1"/>
  <c r="I26" i="24"/>
  <c r="E28" i="4"/>
  <c r="D21" i="4"/>
  <c r="I1872" i="79"/>
  <c r="A1871" i="80" s="1"/>
  <c r="E20" i="4"/>
  <c r="I1878" i="79" s="1"/>
  <c r="A1877" i="80" s="1"/>
  <c r="C95" i="8"/>
  <c r="I5630" i="79"/>
  <c r="A5629" i="80" s="1"/>
  <c r="B11" i="51"/>
  <c r="D14" i="51"/>
  <c r="D11" i="51" s="1"/>
  <c r="I19059" i="79"/>
  <c r="A19058" i="80" s="1"/>
  <c r="C37" i="61"/>
  <c r="I19077" i="79" s="1"/>
  <c r="A19076" i="80" s="1"/>
  <c r="I1349" i="79"/>
  <c r="A1348" i="80" s="1"/>
  <c r="E80" i="3"/>
  <c r="I1337" i="79" s="1"/>
  <c r="A1336" i="80" s="1"/>
  <c r="I4988" i="79"/>
  <c r="A4987" i="80" s="1"/>
  <c r="C20" i="8"/>
  <c r="I5024" i="79" s="1"/>
  <c r="A5023" i="80" s="1"/>
  <c r="E68" i="4"/>
  <c r="I2646" i="79" s="1"/>
  <c r="A2645" i="80" s="1"/>
  <c r="I18771" i="79"/>
  <c r="A18770" i="80" s="1"/>
  <c r="D16" i="61"/>
  <c r="I5570" i="79"/>
  <c r="A5569" i="80" s="1"/>
  <c r="C87" i="8"/>
  <c r="I5588" i="79" s="1"/>
  <c r="A5587" i="80" s="1"/>
  <c r="C17" i="48"/>
  <c r="I6745" i="79" s="1"/>
  <c r="A6744" i="80" s="1"/>
  <c r="I6727" i="79"/>
  <c r="A6726" i="80" s="1"/>
  <c r="I8" i="48"/>
  <c r="I18843" i="79"/>
  <c r="A18842" i="80" s="1"/>
  <c r="D27" i="61"/>
  <c r="M9" i="63" l="1"/>
  <c r="M4" i="63"/>
  <c r="M3" i="63"/>
  <c r="M6" i="63"/>
  <c r="M7" i="63"/>
  <c r="N7" i="63" s="1"/>
  <c r="O6" i="63"/>
  <c r="M8" i="63"/>
  <c r="M5" i="63"/>
  <c r="M2" i="63"/>
  <c r="E75" i="4"/>
  <c r="I4446" i="79"/>
  <c r="A4445" i="80" s="1"/>
  <c r="J27" i="24"/>
  <c r="D39" i="8"/>
  <c r="I5318" i="79" s="1"/>
  <c r="A5317" i="80" s="1"/>
  <c r="C13836" i="79"/>
  <c r="I13786" i="79"/>
  <c r="A13785" i="80" s="1"/>
  <c r="C13746" i="79"/>
  <c r="I13696" i="79"/>
  <c r="A13695" i="80" s="1"/>
  <c r="C13716" i="79"/>
  <c r="I13666" i="79"/>
  <c r="A13665" i="80" s="1"/>
  <c r="C8952" i="79"/>
  <c r="I8902" i="79"/>
  <c r="A8901" i="80" s="1"/>
  <c r="I8722" i="79"/>
  <c r="A8721" i="80" s="1"/>
  <c r="C8772" i="79"/>
  <c r="I13861" i="79"/>
  <c r="A13860" i="80" s="1"/>
  <c r="C13911" i="79"/>
  <c r="I13756" i="79"/>
  <c r="A13755" i="80" s="1"/>
  <c r="C13806" i="79"/>
  <c r="I8537" i="79"/>
  <c r="A8536" i="80" s="1"/>
  <c r="C8587" i="79"/>
  <c r="C13891" i="79"/>
  <c r="I13841" i="79"/>
  <c r="A13840" i="80" s="1"/>
  <c r="I13826" i="79"/>
  <c r="A13825" i="80" s="1"/>
  <c r="C13876" i="79"/>
  <c r="I13751" i="79"/>
  <c r="A13750" i="80" s="1"/>
  <c r="C13801" i="79"/>
  <c r="C13771" i="79"/>
  <c r="I13721" i="79"/>
  <c r="A13720" i="80" s="1"/>
  <c r="I8527" i="79"/>
  <c r="A8526" i="80" s="1"/>
  <c r="C8577" i="79"/>
  <c r="I8432" i="79"/>
  <c r="A8431" i="80" s="1"/>
  <c r="C8482" i="79"/>
  <c r="I13881" i="79"/>
  <c r="A13880" i="80" s="1"/>
  <c r="C13931" i="79"/>
  <c r="C8762" i="79"/>
  <c r="I8712" i="79"/>
  <c r="A8711" i="80" s="1"/>
  <c r="I8797" i="79"/>
  <c r="A8796" i="80" s="1"/>
  <c r="C8847" i="79"/>
  <c r="I8467" i="79"/>
  <c r="A8466" i="80" s="1"/>
  <c r="C8517" i="79"/>
  <c r="I8592" i="79"/>
  <c r="A8591" i="80" s="1"/>
  <c r="C8642" i="79"/>
  <c r="I8407" i="79"/>
  <c r="A8406" i="80" s="1"/>
  <c r="C8457" i="79"/>
  <c r="I2106" i="79"/>
  <c r="A2105" i="80" s="1"/>
  <c r="K10" i="63"/>
  <c r="D81" i="8"/>
  <c r="I5726" i="79" s="1"/>
  <c r="A5725" i="80" s="1"/>
  <c r="H23" i="37"/>
  <c r="H25" i="37" s="1"/>
  <c r="I23" i="37"/>
  <c r="I25" i="37" s="1"/>
  <c r="E33" i="48"/>
  <c r="I6883" i="79" s="1"/>
  <c r="A6882" i="80" s="1"/>
  <c r="M6" i="1"/>
  <c r="O9" i="63"/>
  <c r="P9" i="63"/>
  <c r="I2592" i="79"/>
  <c r="A2591" i="80" s="1"/>
  <c r="F66" i="4"/>
  <c r="I2766" i="79" s="1"/>
  <c r="A2765" i="80" s="1"/>
  <c r="M9" i="1"/>
  <c r="D19" i="4"/>
  <c r="F18" i="27"/>
  <c r="F21" i="27" s="1"/>
  <c r="I502" i="79"/>
  <c r="A501" i="80" s="1"/>
  <c r="F58" i="4"/>
  <c r="I2700" i="79" s="1"/>
  <c r="A2699" i="80" s="1"/>
  <c r="I2532" i="79"/>
  <c r="A2531" i="80" s="1"/>
  <c r="F57" i="4"/>
  <c r="I2526" i="79"/>
  <c r="A2525" i="80" s="1"/>
  <c r="C72" i="8"/>
  <c r="I5522" i="79" s="1"/>
  <c r="A5521" i="80" s="1"/>
  <c r="M4" i="1"/>
  <c r="C33" i="8"/>
  <c r="I5096" i="79" s="1"/>
  <c r="A5095" i="80" s="1"/>
  <c r="D72" i="8"/>
  <c r="I5678" i="79" s="1"/>
  <c r="A5677" i="80" s="1"/>
  <c r="I5792" i="79"/>
  <c r="A5791" i="80" s="1"/>
  <c r="D97" i="8"/>
  <c r="I5804" i="79" s="1"/>
  <c r="A5803" i="80" s="1"/>
  <c r="G33" i="3"/>
  <c r="I112" i="79"/>
  <c r="A111" i="80" s="1"/>
  <c r="G28" i="61"/>
  <c r="I19743" i="79" s="1"/>
  <c r="A19742" i="80" s="1"/>
  <c r="I19347" i="79"/>
  <c r="A19346" i="80" s="1"/>
  <c r="E38" i="61"/>
  <c r="I19443" i="79" s="1"/>
  <c r="A19442" i="80" s="1"/>
  <c r="D60" i="8"/>
  <c r="I5492" i="79" s="1"/>
  <c r="A5491" i="80" s="1"/>
  <c r="G52" i="3"/>
  <c r="G42" i="61"/>
  <c r="I784" i="79"/>
  <c r="A783" i="80" s="1"/>
  <c r="G22" i="61"/>
  <c r="I19641" i="79"/>
  <c r="A19640" i="80" s="1"/>
  <c r="G29" i="4"/>
  <c r="G75" i="4"/>
  <c r="I2094" i="79"/>
  <c r="A2093" i="80" s="1"/>
  <c r="D51" i="8"/>
  <c r="I5408" i="79" s="1"/>
  <c r="A5407" i="80" s="1"/>
  <c r="I3590" i="79"/>
  <c r="A3589" i="80" s="1"/>
  <c r="B30" i="24"/>
  <c r="E35" i="44"/>
  <c r="I1709" i="79"/>
  <c r="A1708" i="80" s="1"/>
  <c r="D92" i="8"/>
  <c r="I5780" i="79" s="1"/>
  <c r="A5779" i="80" s="1"/>
  <c r="I4663" i="79"/>
  <c r="A4662" i="80" s="1"/>
  <c r="G9" i="7"/>
  <c r="I4651" i="79" s="1"/>
  <c r="A4650" i="80" s="1"/>
  <c r="G13" i="7"/>
  <c r="I4675" i="79" s="1"/>
  <c r="A4674" i="80" s="1"/>
  <c r="I4681" i="79"/>
  <c r="A4680" i="80" s="1"/>
  <c r="I4633" i="79"/>
  <c r="A4632" i="80" s="1"/>
  <c r="G8" i="7"/>
  <c r="I1271" i="79"/>
  <c r="A1270" i="80" s="1"/>
  <c r="D9" i="8"/>
  <c r="I5180" i="79" s="1"/>
  <c r="A5179" i="80" s="1"/>
  <c r="I5168" i="79"/>
  <c r="A5167" i="80" s="1"/>
  <c r="I19755" i="79"/>
  <c r="A19754" i="80" s="1"/>
  <c r="G32" i="61"/>
  <c r="I19767" i="79" s="1"/>
  <c r="A19766" i="80" s="1"/>
  <c r="E14" i="49"/>
  <c r="E22" i="49" s="1"/>
  <c r="I7782" i="79" s="1"/>
  <c r="A7781" i="80" s="1"/>
  <c r="I7674" i="79"/>
  <c r="A7673" i="80" s="1"/>
  <c r="D45" i="8"/>
  <c r="I5348" i="79" s="1"/>
  <c r="A5347" i="80" s="1"/>
  <c r="B33" i="48"/>
  <c r="I6715" i="79" s="1"/>
  <c r="A6714" i="80" s="1"/>
  <c r="I6721" i="79"/>
  <c r="A6720" i="80" s="1"/>
  <c r="D33" i="8"/>
  <c r="I5288" i="79" s="1"/>
  <c r="A5287" i="80" s="1"/>
  <c r="I7776" i="79"/>
  <c r="A7775" i="80" s="1"/>
  <c r="F17" i="49"/>
  <c r="I19779" i="79"/>
  <c r="A19778" i="80" s="1"/>
  <c r="G37" i="61"/>
  <c r="I19797" i="79" s="1"/>
  <c r="A19796" i="80" s="1"/>
  <c r="B33" i="47"/>
  <c r="F201" i="71"/>
  <c r="F203" i="71" s="1"/>
  <c r="I6238" i="79"/>
  <c r="A6237" i="80" s="1"/>
  <c r="F16" i="49"/>
  <c r="I7770" i="79"/>
  <c r="A7769" i="80" s="1"/>
  <c r="D105" i="8"/>
  <c r="I5876" i="79" s="1"/>
  <c r="A5875" i="80" s="1"/>
  <c r="G69" i="4"/>
  <c r="G29" i="7" s="1"/>
  <c r="I2832" i="79"/>
  <c r="A2831" i="80" s="1"/>
  <c r="G76" i="4"/>
  <c r="I2976" i="79" s="1"/>
  <c r="A2975" i="80" s="1"/>
  <c r="I2154" i="79"/>
  <c r="A2153" i="80" s="1"/>
  <c r="I19527" i="79"/>
  <c r="A19526" i="80" s="1"/>
  <c r="F38" i="61"/>
  <c r="I19623" i="79" s="1"/>
  <c r="A19622" i="80" s="1"/>
  <c r="G42" i="4"/>
  <c r="G27" i="7" s="1"/>
  <c r="I2448" i="79"/>
  <c r="A2447" i="80" s="1"/>
  <c r="P6" i="63"/>
  <c r="L10" i="63"/>
  <c r="G58" i="3"/>
  <c r="I1144" i="79"/>
  <c r="A1143" i="80" s="1"/>
  <c r="I20917" i="79"/>
  <c r="A20916" i="80" s="1"/>
  <c r="F45" i="42"/>
  <c r="G115" i="3"/>
  <c r="I1577" i="79"/>
  <c r="A1576" i="80" s="1"/>
  <c r="I19197" i="79"/>
  <c r="A19196" i="80" s="1"/>
  <c r="H27" i="61"/>
  <c r="I19917" i="79" s="1"/>
  <c r="A19916" i="80" s="1"/>
  <c r="F34" i="4"/>
  <c r="I2364" i="79" s="1"/>
  <c r="A2363" i="80" s="1"/>
  <c r="I2208" i="79"/>
  <c r="A2207" i="80" s="1"/>
  <c r="C92" i="8"/>
  <c r="I5612" i="79" s="1"/>
  <c r="A5611" i="80" s="1"/>
  <c r="I5606" i="79"/>
  <c r="A5605" i="80" s="1"/>
  <c r="G33" i="48"/>
  <c r="I6991" i="79" s="1"/>
  <c r="A6990" i="80" s="1"/>
  <c r="I6985" i="79"/>
  <c r="A6984" i="80" s="1"/>
  <c r="I1794" i="79"/>
  <c r="A1793" i="80" s="1"/>
  <c r="F15" i="4"/>
  <c r="H36" i="61"/>
  <c r="I19971" i="79" s="1"/>
  <c r="A19970" i="80" s="1"/>
  <c r="I19251" i="79"/>
  <c r="A19250" i="80" s="1"/>
  <c r="C35" i="44"/>
  <c r="I1703" i="79"/>
  <c r="A1702" i="80" s="1"/>
  <c r="M2" i="1"/>
  <c r="O6" i="1"/>
  <c r="K10" i="1"/>
  <c r="I4026" i="79"/>
  <c r="A4025" i="80" s="1"/>
  <c r="J17" i="24"/>
  <c r="J24" i="24"/>
  <c r="I4440" i="79"/>
  <c r="A4439" i="80" s="1"/>
  <c r="C105" i="8"/>
  <c r="I5840" i="79" s="1"/>
  <c r="A5839" i="80" s="1"/>
  <c r="I5834" i="79"/>
  <c r="A5833" i="80" s="1"/>
  <c r="I19131" i="79"/>
  <c r="A19130" i="80" s="1"/>
  <c r="H16" i="61"/>
  <c r="I19845" i="79" s="1"/>
  <c r="A19844" i="80" s="1"/>
  <c r="I1776" i="79"/>
  <c r="A1775" i="80" s="1"/>
  <c r="F12" i="4"/>
  <c r="E6" i="7" s="1"/>
  <c r="D11" i="4"/>
  <c r="I1770" i="79" s="1"/>
  <c r="A1769" i="80" s="1"/>
  <c r="I7057" i="79"/>
  <c r="A7056" i="80" s="1"/>
  <c r="J10" i="48"/>
  <c r="I6286" i="79"/>
  <c r="A6285" i="80" s="1"/>
  <c r="D33" i="47"/>
  <c r="D21" i="26" s="1"/>
  <c r="D25" i="26" s="1"/>
  <c r="J23" i="24"/>
  <c r="I4434" i="79"/>
  <c r="A4433" i="80" s="1"/>
  <c r="I2238" i="79"/>
  <c r="A2237" i="80" s="1"/>
  <c r="F39" i="4"/>
  <c r="I2394" i="79" s="1"/>
  <c r="A2393" i="80" s="1"/>
  <c r="F19" i="47"/>
  <c r="I6456" i="79"/>
  <c r="A6455" i="80" s="1"/>
  <c r="F31" i="47"/>
  <c r="I6660" i="79"/>
  <c r="A6659" i="80" s="1"/>
  <c r="F26" i="4"/>
  <c r="I1824" i="79"/>
  <c r="A1823" i="80" s="1"/>
  <c r="F60" i="4"/>
  <c r="I2736" i="79" s="1"/>
  <c r="A2735" i="80" s="1"/>
  <c r="I2562" i="79"/>
  <c r="A2561" i="80" s="1"/>
  <c r="F40" i="4"/>
  <c r="I2400" i="79" s="1"/>
  <c r="A2399" i="80" s="1"/>
  <c r="I2244" i="79"/>
  <c r="A2243" i="80" s="1"/>
  <c r="I19149" i="79"/>
  <c r="A19148" i="80" s="1"/>
  <c r="H19" i="61"/>
  <c r="I19869" i="79" s="1"/>
  <c r="A19868" i="80" s="1"/>
  <c r="D27" i="39"/>
  <c r="C38" i="8"/>
  <c r="I5120" i="79" s="1"/>
  <c r="A5119" i="80" s="1"/>
  <c r="I5108" i="79"/>
  <c r="A5107" i="80" s="1"/>
  <c r="D32" i="61"/>
  <c r="I19215" i="79"/>
  <c r="A19214" i="80" s="1"/>
  <c r="H30" i="61"/>
  <c r="I19935" i="79" s="1"/>
  <c r="A19934" i="80" s="1"/>
  <c r="I7758" i="79"/>
  <c r="A7757" i="80" s="1"/>
  <c r="F12" i="49"/>
  <c r="P6" i="1"/>
  <c r="L10" i="1"/>
  <c r="M3" i="1"/>
  <c r="C9" i="8"/>
  <c r="I4976" i="79" s="1"/>
  <c r="A4975" i="80" s="1"/>
  <c r="I4964" i="79"/>
  <c r="A4963" i="80" s="1"/>
  <c r="I19113" i="79"/>
  <c r="A19112" i="80" s="1"/>
  <c r="H12" i="61"/>
  <c r="I19827" i="79" s="1"/>
  <c r="A19826" i="80" s="1"/>
  <c r="C42" i="61"/>
  <c r="D52" i="3"/>
  <c r="I1036" i="79" s="1"/>
  <c r="A1035" i="80" s="1"/>
  <c r="I712" i="79"/>
  <c r="A711" i="80" s="1"/>
  <c r="I6450" i="79"/>
  <c r="A6449" i="80" s="1"/>
  <c r="F18" i="47"/>
  <c r="E16" i="47"/>
  <c r="I6444" i="79" s="1"/>
  <c r="A6443" i="80" s="1"/>
  <c r="C30" i="24"/>
  <c r="I3614" i="79"/>
  <c r="A3613" i="80" s="1"/>
  <c r="J22" i="24"/>
  <c r="I4428" i="79"/>
  <c r="A4427" i="80" s="1"/>
  <c r="I7051" i="79"/>
  <c r="A7050" i="80" s="1"/>
  <c r="I17" i="48"/>
  <c r="I7069" i="79" s="1"/>
  <c r="A7068" i="80" s="1"/>
  <c r="J8" i="48"/>
  <c r="I5624" i="79"/>
  <c r="A5623" i="80" s="1"/>
  <c r="C97" i="8"/>
  <c r="I5636" i="79" s="1"/>
  <c r="A5635" i="80" s="1"/>
  <c r="I490" i="79"/>
  <c r="A489" i="80" s="1"/>
  <c r="E25" i="3"/>
  <c r="I514" i="79" s="1"/>
  <c r="A513" i="80" s="1"/>
  <c r="E115" i="3"/>
  <c r="I1523" i="79"/>
  <c r="A1522" i="80" s="1"/>
  <c r="I1866" i="79"/>
  <c r="A1865" i="80" s="1"/>
  <c r="E29" i="4"/>
  <c r="I19245" i="79"/>
  <c r="A19244" i="80" s="1"/>
  <c r="H35" i="61"/>
  <c r="I19965" i="79" s="1"/>
  <c r="A19964" i="80" s="1"/>
  <c r="C58" i="3"/>
  <c r="I1150" i="79" s="1"/>
  <c r="A1149" i="80" s="1"/>
  <c r="I1072" i="79"/>
  <c r="A1071" i="80" s="1"/>
  <c r="I2586" i="79"/>
  <c r="A2585" i="80" s="1"/>
  <c r="F65" i="4"/>
  <c r="I2760" i="79" s="1"/>
  <c r="A2759" i="80" s="1"/>
  <c r="I2226" i="79"/>
  <c r="A2225" i="80" s="1"/>
  <c r="F37" i="4"/>
  <c r="D41" i="4"/>
  <c r="I2250" i="79" s="1"/>
  <c r="A2249" i="80" s="1"/>
  <c r="D36" i="4"/>
  <c r="I2256" i="79" s="1"/>
  <c r="A2255" i="80" s="1"/>
  <c r="I19179" i="79"/>
  <c r="A19178" i="80" s="1"/>
  <c r="D28" i="61"/>
  <c r="H24" i="61"/>
  <c r="I19899" i="79" s="1"/>
  <c r="A19898" i="80" s="1"/>
  <c r="M8" i="1"/>
  <c r="I19107" i="79"/>
  <c r="A19106" i="80" s="1"/>
  <c r="H11" i="61"/>
  <c r="I19821" i="79" s="1"/>
  <c r="A19820" i="80" s="1"/>
  <c r="D22" i="61"/>
  <c r="F24" i="4"/>
  <c r="E18" i="7" s="1"/>
  <c r="I1830" i="79"/>
  <c r="A1829" i="80" s="1"/>
  <c r="I1926" i="79"/>
  <c r="A1925" i="80" s="1"/>
  <c r="E76" i="4"/>
  <c r="I2964" i="79" s="1"/>
  <c r="A2963" i="80" s="1"/>
  <c r="I19185" i="79"/>
  <c r="A19184" i="80" s="1"/>
  <c r="H25" i="61"/>
  <c r="I19905" i="79" s="1"/>
  <c r="A19904" i="80" s="1"/>
  <c r="F33" i="48"/>
  <c r="I6937" i="79" s="1"/>
  <c r="A6936" i="80" s="1"/>
  <c r="I6931" i="79"/>
  <c r="A6930" i="80" s="1"/>
  <c r="C35" i="42"/>
  <c r="I3858" i="79"/>
  <c r="A3857" i="80" s="1"/>
  <c r="I2568" i="79"/>
  <c r="A2567" i="80" s="1"/>
  <c r="F61" i="4"/>
  <c r="I2742" i="79" s="1"/>
  <c r="A2741" i="80" s="1"/>
  <c r="J25" i="48"/>
  <c r="I7081" i="79"/>
  <c r="A7080" i="80" s="1"/>
  <c r="C45" i="8"/>
  <c r="I5156" i="79" s="1"/>
  <c r="A5155" i="80" s="1"/>
  <c r="I5138" i="79"/>
  <c r="A5137" i="80" s="1"/>
  <c r="I1740" i="79"/>
  <c r="A1739" i="80" s="1"/>
  <c r="F18" i="4"/>
  <c r="F67" i="4"/>
  <c r="I2772" i="79" s="1"/>
  <c r="A2771" i="80" s="1"/>
  <c r="I2598" i="79"/>
  <c r="A2597" i="80" s="1"/>
  <c r="C60" i="8"/>
  <c r="I5438" i="79" s="1"/>
  <c r="A5437" i="80" s="1"/>
  <c r="H33" i="48"/>
  <c r="I7045" i="79" s="1"/>
  <c r="A7044" i="80" s="1"/>
  <c r="I7015" i="79"/>
  <c r="A7014" i="80" s="1"/>
  <c r="C81" i="8"/>
  <c r="I5558" i="79" s="1"/>
  <c r="A5557" i="80" s="1"/>
  <c r="M5" i="1"/>
  <c r="I18831" i="79"/>
  <c r="A18830" i="80" s="1"/>
  <c r="B38" i="61"/>
  <c r="I70" i="79"/>
  <c r="A69" i="80" s="1"/>
  <c r="E8" i="3"/>
  <c r="J26" i="24"/>
  <c r="I4458" i="79"/>
  <c r="A4457" i="80" s="1"/>
  <c r="I40" i="79"/>
  <c r="A39" i="80" s="1"/>
  <c r="C33" i="3"/>
  <c r="I2232" i="79"/>
  <c r="A2231" i="80" s="1"/>
  <c r="F38" i="4"/>
  <c r="I2388" i="79" s="1"/>
  <c r="A2387" i="80" s="1"/>
  <c r="I718" i="79"/>
  <c r="A717" i="80" s="1"/>
  <c r="E35" i="3"/>
  <c r="I1102" i="79"/>
  <c r="A1101" i="80" s="1"/>
  <c r="E54" i="3"/>
  <c r="I19161" i="79"/>
  <c r="A19160" i="80" s="1"/>
  <c r="H21" i="61"/>
  <c r="I19881" i="79" s="1"/>
  <c r="A19880" i="80" s="1"/>
  <c r="D33" i="3"/>
  <c r="I64" i="79"/>
  <c r="A63" i="80" s="1"/>
  <c r="E11" i="7"/>
  <c r="I4513" i="79" s="1"/>
  <c r="A4512" i="80" s="1"/>
  <c r="I2022" i="79"/>
  <c r="A2021" i="80" s="1"/>
  <c r="I586" i="79"/>
  <c r="A585" i="80" s="1"/>
  <c r="E30" i="3"/>
  <c r="I598" i="79" s="1"/>
  <c r="A597" i="80" s="1"/>
  <c r="C52" i="3"/>
  <c r="I1030" i="79" s="1"/>
  <c r="A1029" i="80" s="1"/>
  <c r="I676" i="79"/>
  <c r="A675" i="80" s="1"/>
  <c r="B42" i="61"/>
  <c r="D58" i="3"/>
  <c r="I1156" i="79" s="1"/>
  <c r="A1155" i="80" s="1"/>
  <c r="I1096" i="79"/>
  <c r="A1095" i="80" s="1"/>
  <c r="J25" i="24"/>
  <c r="I4452" i="79"/>
  <c r="A4451" i="80" s="1"/>
  <c r="J16" i="24"/>
  <c r="I4020" i="79"/>
  <c r="A4019" i="80" s="1"/>
  <c r="I19011" i="79"/>
  <c r="A19010" i="80" s="1"/>
  <c r="C38" i="61"/>
  <c r="F25" i="47"/>
  <c r="I6624" i="79"/>
  <c r="A6623" i="80" s="1"/>
  <c r="E23" i="47"/>
  <c r="I6618" i="79" s="1"/>
  <c r="A6617" i="80" s="1"/>
  <c r="F25" i="4"/>
  <c r="E19" i="7" s="1"/>
  <c r="I1806" i="79"/>
  <c r="A1805" i="80" s="1"/>
  <c r="H15" i="61"/>
  <c r="I19839" i="79" s="1"/>
  <c r="A19838" i="80" s="1"/>
  <c r="I19125" i="79"/>
  <c r="A19124" i="80" s="1"/>
  <c r="I201" i="71"/>
  <c r="I203" i="71" s="1"/>
  <c r="C33" i="47"/>
  <c r="I6262" i="79"/>
  <c r="A6261" i="80" s="1"/>
  <c r="F28" i="47"/>
  <c r="I6642" i="79"/>
  <c r="A6641" i="80" s="1"/>
  <c r="F16" i="4"/>
  <c r="I1800" i="79"/>
  <c r="A1799" i="80" s="1"/>
  <c r="J29" i="48"/>
  <c r="I7087" i="79"/>
  <c r="A7086" i="80" s="1"/>
  <c r="M7" i="1"/>
  <c r="N7" i="1" s="1"/>
  <c r="O9" i="1"/>
  <c r="J11" i="24"/>
  <c r="I3746" i="79"/>
  <c r="A3745" i="80" s="1"/>
  <c r="F29" i="47"/>
  <c r="I6648" i="79"/>
  <c r="A6647" i="80" s="1"/>
  <c r="I178" i="79"/>
  <c r="A177" i="80" s="1"/>
  <c r="E12" i="3"/>
  <c r="I202" i="79" s="1"/>
  <c r="A201" i="80" s="1"/>
  <c r="I2886" i="79"/>
  <c r="A2885" i="80" s="1"/>
  <c r="F71" i="4"/>
  <c r="B19" i="34" s="1"/>
  <c r="E69" i="4"/>
  <c r="I2640" i="79" s="1"/>
  <c r="A2639" i="80" s="1"/>
  <c r="D28" i="4"/>
  <c r="I1752" i="79"/>
  <c r="A1751" i="80" s="1"/>
  <c r="F21" i="4"/>
  <c r="E7" i="7" s="1"/>
  <c r="D20" i="4"/>
  <c r="I1758" i="79" s="1"/>
  <c r="A1757" i="80" s="1"/>
  <c r="I3686" i="79"/>
  <c r="A3685" i="80" s="1"/>
  <c r="F30" i="24"/>
  <c r="C19" i="26" s="1"/>
  <c r="C25" i="26" s="1"/>
  <c r="I14" i="24"/>
  <c r="I4038" i="79" s="1"/>
  <c r="A4037" i="80" s="1"/>
  <c r="I4014" i="79"/>
  <c r="A4013" i="80" s="1"/>
  <c r="J15" i="24"/>
  <c r="I6322" i="79"/>
  <c r="A6321" i="80" s="1"/>
  <c r="F12" i="47"/>
  <c r="I2202" i="79"/>
  <c r="A2201" i="80" s="1"/>
  <c r="F33" i="4"/>
  <c r="I2358" i="79" s="1"/>
  <c r="A2357" i="80" s="1"/>
  <c r="J13" i="48"/>
  <c r="I7063" i="79"/>
  <c r="A7062" i="80" s="1"/>
  <c r="I6823" i="79"/>
  <c r="A6822" i="80" s="1"/>
  <c r="D33" i="48"/>
  <c r="I6829" i="79" s="1"/>
  <c r="A6828" i="80" s="1"/>
  <c r="I4422" i="79"/>
  <c r="A4421" i="80" s="1"/>
  <c r="I20" i="24"/>
  <c r="I4464" i="79" s="1"/>
  <c r="A4463" i="80" s="1"/>
  <c r="J21" i="24"/>
  <c r="I19239" i="79"/>
  <c r="A19238" i="80" s="1"/>
  <c r="D37" i="61"/>
  <c r="H34" i="61"/>
  <c r="I19959" i="79" s="1"/>
  <c r="A19958" i="80" s="1"/>
  <c r="I6316" i="79"/>
  <c r="A6315" i="80" s="1"/>
  <c r="F11" i="47"/>
  <c r="E9" i="47"/>
  <c r="I334" i="79"/>
  <c r="A333" i="80" s="1"/>
  <c r="E17" i="3"/>
  <c r="I376" i="79" s="1"/>
  <c r="A375" i="80" s="1"/>
  <c r="E10" i="7"/>
  <c r="I2016" i="79"/>
  <c r="A2015" i="80" s="1"/>
  <c r="C51" i="8"/>
  <c r="I5384" i="79" s="1"/>
  <c r="A5383" i="80" s="1"/>
  <c r="I6775" i="79"/>
  <c r="A6774" i="80" s="1"/>
  <c r="C33" i="48"/>
  <c r="I6769" i="79" s="1"/>
  <c r="A6768" i="80" s="1"/>
  <c r="P9" i="1"/>
  <c r="F23" i="4"/>
  <c r="E15" i="7" s="1"/>
  <c r="I1842" i="79"/>
  <c r="A1841" i="80" s="1"/>
  <c r="I3752" i="79"/>
  <c r="A3751" i="80" s="1"/>
  <c r="J12" i="24"/>
  <c r="F13" i="47"/>
  <c r="I6328" i="79"/>
  <c r="A6327" i="80" s="1"/>
  <c r="I2580" i="79"/>
  <c r="A2579" i="80" s="1"/>
  <c r="F64" i="4"/>
  <c r="D63" i="4"/>
  <c r="I2544" i="79" s="1"/>
  <c r="A2543" i="80" s="1"/>
  <c r="D68" i="4"/>
  <c r="I2556" i="79" s="1"/>
  <c r="A2555" i="80" s="1"/>
  <c r="F31" i="4"/>
  <c r="D35" i="4"/>
  <c r="D30" i="4"/>
  <c r="I2262" i="79" s="1"/>
  <c r="A2261" i="80" s="1"/>
  <c r="I2190" i="79"/>
  <c r="A2189" i="80" s="1"/>
  <c r="I6636" i="79"/>
  <c r="A6635" i="80" s="1"/>
  <c r="F27" i="47"/>
  <c r="E124" i="3"/>
  <c r="I7075" i="79"/>
  <c r="A7074" i="80" s="1"/>
  <c r="I32" i="48"/>
  <c r="J20" i="48"/>
  <c r="J18" i="24"/>
  <c r="I4032" i="79"/>
  <c r="A4031" i="80" s="1"/>
  <c r="F30" i="47"/>
  <c r="I6654" i="79"/>
  <c r="A6653" i="80" s="1"/>
  <c r="I6462" i="79"/>
  <c r="A6461" i="80" s="1"/>
  <c r="F20" i="47"/>
  <c r="F32" i="4"/>
  <c r="I2352" i="79" s="1"/>
  <c r="A2351" i="80" s="1"/>
  <c r="I2196" i="79"/>
  <c r="A2195" i="80" s="1"/>
  <c r="J10" i="24"/>
  <c r="I9" i="24"/>
  <c r="I3740" i="79"/>
  <c r="A3739" i="80" s="1"/>
  <c r="I898" i="79"/>
  <c r="A897" i="80" s="1"/>
  <c r="E41" i="3"/>
  <c r="I928" i="79" s="1"/>
  <c r="A927" i="80" s="1"/>
  <c r="I1734" i="79"/>
  <c r="A1733" i="80" s="1"/>
  <c r="F17" i="4"/>
  <c r="C36" i="42"/>
  <c r="I20725" i="79" s="1"/>
  <c r="A20724" i="80" s="1"/>
  <c r="I4140" i="79"/>
  <c r="A4139" i="80" s="1"/>
  <c r="I19191" i="79"/>
  <c r="A19190" i="80" s="1"/>
  <c r="H26" i="61"/>
  <c r="I19911" i="79" s="1"/>
  <c r="A19910" i="80" s="1"/>
  <c r="I2538" i="79"/>
  <c r="A2537" i="80" s="1"/>
  <c r="F59" i="4"/>
  <c r="D62" i="4"/>
  <c r="D56" i="4"/>
  <c r="I2604" i="79" s="1"/>
  <c r="A2603" i="80" s="1"/>
  <c r="F21" i="47"/>
  <c r="I6468" i="79"/>
  <c r="A6467" i="80" s="1"/>
  <c r="I6630" i="79"/>
  <c r="A6629" i="80" s="1"/>
  <c r="F26" i="47"/>
  <c r="E42" i="4"/>
  <c r="I2298" i="79" s="1"/>
  <c r="A2297" i="80" s="1"/>
  <c r="I2292" i="79"/>
  <c r="A2291" i="80" s="1"/>
  <c r="E50" i="3"/>
  <c r="I1018" i="79"/>
  <c r="A1017" i="80" s="1"/>
  <c r="I1818" i="79"/>
  <c r="A1817" i="80" s="1"/>
  <c r="F27" i="4"/>
  <c r="F22" i="4"/>
  <c r="E14" i="7" s="1"/>
  <c r="I1836" i="79"/>
  <c r="A1835" i="80" s="1"/>
  <c r="N8" i="63" l="1"/>
  <c r="E77" i="4"/>
  <c r="I2988" i="79" s="1"/>
  <c r="A2987" i="80" s="1"/>
  <c r="I3130" i="79"/>
  <c r="A3129" i="80" s="1"/>
  <c r="B18" i="34"/>
  <c r="Q6" i="63"/>
  <c r="M10" i="63"/>
  <c r="D35" i="44"/>
  <c r="N2" i="63"/>
  <c r="N3" i="63" s="1"/>
  <c r="N4" i="63" s="1"/>
  <c r="N5" i="63" s="1"/>
  <c r="N6" i="63" s="1"/>
  <c r="I2940" i="79"/>
  <c r="A2939" i="80" s="1"/>
  <c r="C8507" i="79"/>
  <c r="I8457" i="79"/>
  <c r="A8456" i="80" s="1"/>
  <c r="I8642" i="79"/>
  <c r="A8641" i="80" s="1"/>
  <c r="C8692" i="79"/>
  <c r="I8517" i="79"/>
  <c r="A8516" i="80" s="1"/>
  <c r="C8567" i="79"/>
  <c r="C8897" i="79"/>
  <c r="I8847" i="79"/>
  <c r="A8846" i="80" s="1"/>
  <c r="C13981" i="79"/>
  <c r="I13931" i="79"/>
  <c r="A13930" i="80" s="1"/>
  <c r="I8482" i="79"/>
  <c r="A8481" i="80" s="1"/>
  <c r="C8532" i="79"/>
  <c r="C8627" i="79"/>
  <c r="I8577" i="79"/>
  <c r="A8576" i="80" s="1"/>
  <c r="I13801" i="79"/>
  <c r="A13800" i="80" s="1"/>
  <c r="C13851" i="79"/>
  <c r="C13926" i="79"/>
  <c r="I13876" i="79"/>
  <c r="A13875" i="80" s="1"/>
  <c r="I8587" i="79"/>
  <c r="A8586" i="80" s="1"/>
  <c r="C8637" i="79"/>
  <c r="C13856" i="79"/>
  <c r="I13806" i="79"/>
  <c r="A13805" i="80" s="1"/>
  <c r="I13911" i="79"/>
  <c r="A13910" i="80" s="1"/>
  <c r="C13961" i="79"/>
  <c r="I8772" i="79"/>
  <c r="A8771" i="80" s="1"/>
  <c r="C8822" i="79"/>
  <c r="C8812" i="79"/>
  <c r="I8762" i="79"/>
  <c r="A8761" i="80" s="1"/>
  <c r="I13771" i="79"/>
  <c r="A13770" i="80" s="1"/>
  <c r="C13821" i="79"/>
  <c r="I13891" i="79"/>
  <c r="A13890" i="80" s="1"/>
  <c r="C13941" i="79"/>
  <c r="C9002" i="79"/>
  <c r="I8952" i="79"/>
  <c r="A8951" i="80" s="1"/>
  <c r="I13716" i="79"/>
  <c r="A13715" i="80" s="1"/>
  <c r="C13766" i="79"/>
  <c r="C13796" i="79"/>
  <c r="I13746" i="79"/>
  <c r="A13745" i="80" s="1"/>
  <c r="C13886" i="79"/>
  <c r="I13836" i="79"/>
  <c r="A13835" i="80" s="1"/>
  <c r="N2" i="1"/>
  <c r="N3" i="1" s="1"/>
  <c r="N4" i="1" s="1"/>
  <c r="N5" i="1" s="1"/>
  <c r="N6" i="1" s="1"/>
  <c r="M10" i="1"/>
  <c r="Q9" i="63"/>
  <c r="N8" i="1"/>
  <c r="F23" i="26"/>
  <c r="F25" i="26" s="1"/>
  <c r="I2694" i="79"/>
  <c r="A2693" i="80" s="1"/>
  <c r="J32" i="48"/>
  <c r="F23" i="47"/>
  <c r="J20" i="24"/>
  <c r="G16" i="7"/>
  <c r="I4645" i="79"/>
  <c r="A4644" i="80" s="1"/>
  <c r="I19707" i="79"/>
  <c r="A19706" i="80" s="1"/>
  <c r="G38" i="61"/>
  <c r="I4753" i="79"/>
  <c r="A4752" i="80" s="1"/>
  <c r="I2808" i="79"/>
  <c r="A2807" i="80" s="1"/>
  <c r="F14" i="49"/>
  <c r="I7764" i="79"/>
  <c r="A7763" i="80" s="1"/>
  <c r="I1661" i="79"/>
  <c r="A1660" i="80" s="1"/>
  <c r="D12" i="42"/>
  <c r="I20299" i="79" s="1"/>
  <c r="A20298" i="80" s="1"/>
  <c r="E31" i="44"/>
  <c r="G60" i="3"/>
  <c r="I640" i="79"/>
  <c r="A639" i="80" s="1"/>
  <c r="D9" i="42"/>
  <c r="I20281" i="79" s="1"/>
  <c r="A20280" i="80" s="1"/>
  <c r="E9" i="44"/>
  <c r="I20989" i="79"/>
  <c r="A20988" i="80" s="1"/>
  <c r="I2460" i="79"/>
  <c r="A2459" i="80" s="1"/>
  <c r="I4741" i="79"/>
  <c r="A4740" i="80" s="1"/>
  <c r="D11" i="42"/>
  <c r="I1048" i="79"/>
  <c r="A1047" i="80" s="1"/>
  <c r="E13" i="44"/>
  <c r="I2952" i="79"/>
  <c r="A2951" i="80" s="1"/>
  <c r="G77" i="4"/>
  <c r="C22" i="39" s="1"/>
  <c r="J9" i="24"/>
  <c r="E15" i="44"/>
  <c r="E17" i="44" s="1"/>
  <c r="I1168" i="79"/>
  <c r="A1167" i="80" s="1"/>
  <c r="G43" i="4"/>
  <c r="I2112" i="79"/>
  <c r="A2111" i="80" s="1"/>
  <c r="I2706" i="79"/>
  <c r="A2705" i="80" s="1"/>
  <c r="F62" i="4"/>
  <c r="F56" i="4"/>
  <c r="I2712" i="79" s="1"/>
  <c r="A2711" i="80" s="1"/>
  <c r="I4537" i="79"/>
  <c r="A4536" i="80" s="1"/>
  <c r="I2070" i="79"/>
  <c r="A2069" i="80" s="1"/>
  <c r="I1986" i="79"/>
  <c r="A1985" i="80" s="1"/>
  <c r="I4489" i="79"/>
  <c r="A4488" i="80" s="1"/>
  <c r="F28" i="4"/>
  <c r="F20" i="4"/>
  <c r="H22" i="61"/>
  <c r="I19887" i="79" s="1"/>
  <c r="A19886" i="80" s="1"/>
  <c r="I19167" i="79"/>
  <c r="A19166" i="80" s="1"/>
  <c r="D38" i="61"/>
  <c r="Q6" i="1"/>
  <c r="E17" i="7"/>
  <c r="I4549" i="79" s="1"/>
  <c r="A4548" i="80" s="1"/>
  <c r="I1962" i="79"/>
  <c r="A1961" i="80" s="1"/>
  <c r="E58" i="3"/>
  <c r="I1120" i="79"/>
  <c r="A1119" i="80" s="1"/>
  <c r="I2382" i="79"/>
  <c r="A2381" i="80" s="1"/>
  <c r="F41" i="4"/>
  <c r="I2406" i="79" s="1"/>
  <c r="A2405" i="80" s="1"/>
  <c r="F36" i="4"/>
  <c r="I2412" i="79" s="1"/>
  <c r="A2411" i="80" s="1"/>
  <c r="E43" i="4"/>
  <c r="I1884" i="79"/>
  <c r="A1883" i="80" s="1"/>
  <c r="J17" i="48"/>
  <c r="F16" i="47"/>
  <c r="J14" i="24"/>
  <c r="I1812" i="79"/>
  <c r="A1811" i="80" s="1"/>
  <c r="D76" i="4"/>
  <c r="I2958" i="79" s="1"/>
  <c r="A2957" i="80" s="1"/>
  <c r="I2034" i="79"/>
  <c r="A2033" i="80" s="1"/>
  <c r="I4561" i="79"/>
  <c r="A4560" i="80" s="1"/>
  <c r="I19227" i="79"/>
  <c r="A19226" i="80" s="1"/>
  <c r="H32" i="61"/>
  <c r="I19947" i="79" s="1"/>
  <c r="A19946" i="80" s="1"/>
  <c r="F68" i="4"/>
  <c r="I2730" i="79" s="1"/>
  <c r="A2729" i="80" s="1"/>
  <c r="E23" i="26"/>
  <c r="E25" i="26" s="1"/>
  <c r="I2754" i="79"/>
  <c r="A2753" i="80" s="1"/>
  <c r="F63" i="4"/>
  <c r="I2718" i="79" s="1"/>
  <c r="A2717" i="80" s="1"/>
  <c r="I6310" i="79"/>
  <c r="A6309" i="80" s="1"/>
  <c r="J201" i="71"/>
  <c r="J203" i="71" s="1"/>
  <c r="E33" i="47"/>
  <c r="I2064" i="79"/>
  <c r="A2063" i="80" s="1"/>
  <c r="D201" i="71"/>
  <c r="D203" i="71" s="1"/>
  <c r="I30" i="24"/>
  <c r="I3758" i="79"/>
  <c r="A3757" i="80" s="1"/>
  <c r="D42" i="61"/>
  <c r="E52" i="3"/>
  <c r="I748" i="79"/>
  <c r="A747" i="80" s="1"/>
  <c r="I88" i="79"/>
  <c r="A87" i="80" s="1"/>
  <c r="E33" i="3"/>
  <c r="C39" i="8"/>
  <c r="I5126" i="79" s="1"/>
  <c r="A5125" i="80" s="1"/>
  <c r="F35" i="44"/>
  <c r="F9" i="47"/>
  <c r="I2898" i="79"/>
  <c r="A2897" i="80" s="1"/>
  <c r="D16" i="39"/>
  <c r="E30" i="7"/>
  <c r="I4609" i="79" s="1"/>
  <c r="A4608" i="80" s="1"/>
  <c r="Q9" i="1"/>
  <c r="I1655" i="79"/>
  <c r="A1654" i="80" s="1"/>
  <c r="C12" i="42"/>
  <c r="C31" i="44"/>
  <c r="I1746" i="79"/>
  <c r="A1745" i="80" s="1"/>
  <c r="D29" i="4"/>
  <c r="D75" i="4"/>
  <c r="I2214" i="79"/>
  <c r="A2213" i="80" s="1"/>
  <c r="D42" i="4"/>
  <c r="I2220" i="79" s="1"/>
  <c r="A2219" i="80" s="1"/>
  <c r="I19203" i="79"/>
  <c r="A19202" i="80" s="1"/>
  <c r="H28" i="61"/>
  <c r="I19923" i="79" s="1"/>
  <c r="A19922" i="80" s="1"/>
  <c r="D14" i="39"/>
  <c r="F11" i="4"/>
  <c r="I2004" i="79" s="1"/>
  <c r="A2003" i="80" s="1"/>
  <c r="F19" i="4"/>
  <c r="I2010" i="79"/>
  <c r="A2009" i="80" s="1"/>
  <c r="I18897" i="79"/>
  <c r="A18896" i="80" s="1"/>
  <c r="B44" i="61"/>
  <c r="E22" i="7"/>
  <c r="I4627" i="79" s="1"/>
  <c r="A4626" i="80" s="1"/>
  <c r="I1968" i="79"/>
  <c r="A1967" i="80" s="1"/>
  <c r="I7093" i="79"/>
  <c r="A7092" i="80" s="1"/>
  <c r="I33" i="48"/>
  <c r="I7099" i="79" s="1"/>
  <c r="A7098" i="80" s="1"/>
  <c r="I2346" i="79"/>
  <c r="A2345" i="80" s="1"/>
  <c r="F35" i="4"/>
  <c r="F30" i="4"/>
  <c r="I2418" i="79" s="1"/>
  <c r="A2417" i="80" s="1"/>
  <c r="I4507" i="79"/>
  <c r="A4506" i="80" s="1"/>
  <c r="C44" i="61"/>
  <c r="I19083" i="79"/>
  <c r="A19082" i="80" s="1"/>
  <c r="I628" i="79"/>
  <c r="A627" i="80" s="1"/>
  <c r="D60" i="3"/>
  <c r="I1180" i="79" s="1"/>
  <c r="A1179" i="80" s="1"/>
  <c r="I1974" i="79"/>
  <c r="A1973" i="80" s="1"/>
  <c r="E24" i="7"/>
  <c r="I4573" i="79" s="1"/>
  <c r="A4572" i="80" s="1"/>
  <c r="E23" i="7"/>
  <c r="I4567" i="79" s="1"/>
  <c r="A4566" i="80" s="1"/>
  <c r="I2052" i="79"/>
  <c r="A2051" i="80" s="1"/>
  <c r="I2028" i="79"/>
  <c r="A2027" i="80" s="1"/>
  <c r="E12" i="7"/>
  <c r="I4519" i="79" s="1"/>
  <c r="A4518" i="80" s="1"/>
  <c r="E25" i="7"/>
  <c r="I4579" i="79" s="1"/>
  <c r="A4578" i="80" s="1"/>
  <c r="I2046" i="79"/>
  <c r="A2045" i="80" s="1"/>
  <c r="H37" i="61"/>
  <c r="I19977" i="79" s="1"/>
  <c r="A19976" i="80" s="1"/>
  <c r="I19257" i="79"/>
  <c r="A19256" i="80" s="1"/>
  <c r="I2574" i="79"/>
  <c r="A2573" i="80" s="1"/>
  <c r="D69" i="4"/>
  <c r="I2550" i="79" s="1"/>
  <c r="A2549" i="80" s="1"/>
  <c r="I622" i="79"/>
  <c r="A621" i="80" s="1"/>
  <c r="C60" i="3"/>
  <c r="I1174" i="79" s="1"/>
  <c r="A1173" i="80" s="1"/>
  <c r="I20719" i="79"/>
  <c r="A20718" i="80" s="1"/>
  <c r="C34" i="42"/>
  <c r="I2058" i="79"/>
  <c r="A2057" i="80" s="1"/>
  <c r="I4555" i="79"/>
  <c r="A4554" i="80" s="1"/>
  <c r="D31" i="44" l="1"/>
  <c r="I13766" i="79"/>
  <c r="A13765" i="80" s="1"/>
  <c r="C13816" i="79"/>
  <c r="I13941" i="79"/>
  <c r="A13940" i="80" s="1"/>
  <c r="C13991" i="79"/>
  <c r="C13871" i="79"/>
  <c r="I13821" i="79"/>
  <c r="A13820" i="80" s="1"/>
  <c r="I8822" i="79"/>
  <c r="A8821" i="80" s="1"/>
  <c r="C8872" i="79"/>
  <c r="I13961" i="79"/>
  <c r="A13960" i="80" s="1"/>
  <c r="C14011" i="79"/>
  <c r="I8637" i="79"/>
  <c r="A8636" i="80" s="1"/>
  <c r="C8687" i="79"/>
  <c r="C13901" i="79"/>
  <c r="I13851" i="79"/>
  <c r="A13850" i="80" s="1"/>
  <c r="I8532" i="79"/>
  <c r="A8531" i="80" s="1"/>
  <c r="C8582" i="79"/>
  <c r="C8617" i="79"/>
  <c r="I8567" i="79"/>
  <c r="A8566" i="80" s="1"/>
  <c r="C8742" i="79"/>
  <c r="I8692" i="79"/>
  <c r="A8691" i="80" s="1"/>
  <c r="I13886" i="79"/>
  <c r="A13885" i="80" s="1"/>
  <c r="C13936" i="79"/>
  <c r="C13846" i="79"/>
  <c r="I13796" i="79"/>
  <c r="A13795" i="80" s="1"/>
  <c r="I9002" i="79"/>
  <c r="A9001" i="80" s="1"/>
  <c r="C9052" i="79"/>
  <c r="C8862" i="79"/>
  <c r="I8812" i="79"/>
  <c r="A8811" i="80" s="1"/>
  <c r="C13906" i="79"/>
  <c r="I13856" i="79"/>
  <c r="A13855" i="80" s="1"/>
  <c r="C13976" i="79"/>
  <c r="I13926" i="79"/>
  <c r="A13925" i="80" s="1"/>
  <c r="I8627" i="79"/>
  <c r="A8626" i="80" s="1"/>
  <c r="C8677" i="79"/>
  <c r="C14031" i="79"/>
  <c r="I13981" i="79"/>
  <c r="A13980" i="80" s="1"/>
  <c r="C8947" i="79"/>
  <c r="I8897" i="79"/>
  <c r="A8896" i="80" s="1"/>
  <c r="I8507" i="79"/>
  <c r="A8506" i="80" s="1"/>
  <c r="C8557" i="79"/>
  <c r="I1992" i="79"/>
  <c r="A1991" i="80" s="1"/>
  <c r="J30" i="24"/>
  <c r="J33" i="48"/>
  <c r="E19" i="44"/>
  <c r="E33" i="44"/>
  <c r="I2520" i="79"/>
  <c r="A2519" i="80" s="1"/>
  <c r="G55" i="4"/>
  <c r="G70" i="4" s="1"/>
  <c r="D13" i="42"/>
  <c r="I20305" i="79" s="1"/>
  <c r="A20304" i="80" s="1"/>
  <c r="I20293" i="79"/>
  <c r="A20292" i="80" s="1"/>
  <c r="I1192" i="79"/>
  <c r="A1191" i="80" s="1"/>
  <c r="G44" i="61"/>
  <c r="I19803" i="79"/>
  <c r="A19802" i="80" s="1"/>
  <c r="G20" i="7"/>
  <c r="I4693" i="79"/>
  <c r="A4692" i="80" s="1"/>
  <c r="I3000" i="79"/>
  <c r="A2999" i="80" s="1"/>
  <c r="I4531" i="79"/>
  <c r="A4530" i="80" s="1"/>
  <c r="E13" i="7"/>
  <c r="I4525" i="79" s="1"/>
  <c r="A4524" i="80" s="1"/>
  <c r="I4483" i="79"/>
  <c r="A4482" i="80" s="1"/>
  <c r="E8" i="7"/>
  <c r="D43" i="4"/>
  <c r="I1764" i="79"/>
  <c r="A1763" i="80" s="1"/>
  <c r="C15" i="44"/>
  <c r="D15" i="44" s="1"/>
  <c r="I1162" i="79"/>
  <c r="A1161" i="80" s="1"/>
  <c r="F76" i="4"/>
  <c r="I2970" i="79" s="1"/>
  <c r="A2969" i="80" s="1"/>
  <c r="I2040" i="79"/>
  <c r="A2039" i="80" s="1"/>
  <c r="F31" i="44"/>
  <c r="E60" i="3"/>
  <c r="I1186" i="79" s="1"/>
  <c r="A1185" i="80" s="1"/>
  <c r="C9" i="42"/>
  <c r="I634" i="79"/>
  <c r="A633" i="80" s="1"/>
  <c r="C9" i="44"/>
  <c r="D9" i="44" s="1"/>
  <c r="E9" i="7"/>
  <c r="I4501" i="79" s="1"/>
  <c r="A4500" i="80" s="1"/>
  <c r="I20257" i="79"/>
  <c r="A20256" i="80" s="1"/>
  <c r="F12" i="42"/>
  <c r="I20353" i="79" s="1"/>
  <c r="A20352" i="80" s="1"/>
  <c r="G12" i="42"/>
  <c r="I20383" i="79" s="1"/>
  <c r="A20382" i="80" s="1"/>
  <c r="E55" i="4"/>
  <c r="E70" i="4" s="1"/>
  <c r="I2508" i="79"/>
  <c r="A2507" i="80" s="1"/>
  <c r="F42" i="4"/>
  <c r="E27" i="7" s="1"/>
  <c r="I2370" i="79"/>
  <c r="A2369" i="80" s="1"/>
  <c r="I19263" i="79"/>
  <c r="A19262" i="80" s="1"/>
  <c r="H38" i="61"/>
  <c r="I19983" i="79" s="1"/>
  <c r="A19982" i="80" s="1"/>
  <c r="D44" i="61"/>
  <c r="I1042" i="79"/>
  <c r="A1041" i="80" s="1"/>
  <c r="C11" i="42"/>
  <c r="C13" i="44"/>
  <c r="D13" i="44" s="1"/>
  <c r="C42" i="42"/>
  <c r="I20905" i="79" s="1"/>
  <c r="A20904" i="80" s="1"/>
  <c r="I20713" i="79"/>
  <c r="A20712" i="80" s="1"/>
  <c r="I2934" i="79"/>
  <c r="A2933" i="80" s="1"/>
  <c r="D77" i="4"/>
  <c r="I2982" i="79" s="1"/>
  <c r="A2981" i="80" s="1"/>
  <c r="F69" i="4"/>
  <c r="E29" i="7" s="1"/>
  <c r="I2748" i="79"/>
  <c r="A2747" i="80" s="1"/>
  <c r="F29" i="4"/>
  <c r="I1980" i="79"/>
  <c r="A1979" i="80" s="1"/>
  <c r="F75" i="4"/>
  <c r="I8557" i="79" l="1"/>
  <c r="A8556" i="80" s="1"/>
  <c r="C8607" i="79"/>
  <c r="I8677" i="79"/>
  <c r="A8676" i="80" s="1"/>
  <c r="C8727" i="79"/>
  <c r="C9102" i="79"/>
  <c r="I9052" i="79"/>
  <c r="A9051" i="80" s="1"/>
  <c r="C13986" i="79"/>
  <c r="I13936" i="79"/>
  <c r="A13935" i="80" s="1"/>
  <c r="C8632" i="79"/>
  <c r="I8582" i="79"/>
  <c r="A8581" i="80" s="1"/>
  <c r="I8687" i="79"/>
  <c r="A8686" i="80" s="1"/>
  <c r="C8737" i="79"/>
  <c r="I14011" i="79"/>
  <c r="A14010" i="80" s="1"/>
  <c r="C14061" i="79"/>
  <c r="C8922" i="79"/>
  <c r="I8872" i="79"/>
  <c r="A8871" i="80" s="1"/>
  <c r="I13991" i="79"/>
  <c r="A13990" i="80" s="1"/>
  <c r="C14041" i="79"/>
  <c r="C13866" i="79"/>
  <c r="I13816" i="79"/>
  <c r="A13815" i="80" s="1"/>
  <c r="I8947" i="79"/>
  <c r="A8946" i="80" s="1"/>
  <c r="C8997" i="79"/>
  <c r="C14081" i="79"/>
  <c r="I14031" i="79"/>
  <c r="A14030" i="80" s="1"/>
  <c r="C14026" i="79"/>
  <c r="I13976" i="79"/>
  <c r="A13975" i="80" s="1"/>
  <c r="I13906" i="79"/>
  <c r="A13905" i="80" s="1"/>
  <c r="C13956" i="79"/>
  <c r="C8912" i="79"/>
  <c r="I8862" i="79"/>
  <c r="A8861" i="80" s="1"/>
  <c r="C13896" i="79"/>
  <c r="I13846" i="79"/>
  <c r="A13845" i="80" s="1"/>
  <c r="I8742" i="79"/>
  <c r="A8741" i="80" s="1"/>
  <c r="C8792" i="79"/>
  <c r="I8617" i="79"/>
  <c r="A8616" i="80" s="1"/>
  <c r="C8667" i="79"/>
  <c r="C13951" i="79"/>
  <c r="I13901" i="79"/>
  <c r="A13900" i="80" s="1"/>
  <c r="I13871" i="79"/>
  <c r="A13870" i="80" s="1"/>
  <c r="C13921" i="79"/>
  <c r="H9" i="7"/>
  <c r="H8" i="7"/>
  <c r="I4771" i="79"/>
  <c r="A4770" i="80" s="1"/>
  <c r="G26" i="7"/>
  <c r="C15" i="39"/>
  <c r="C18" i="39" s="1"/>
  <c r="G72" i="4"/>
  <c r="I2880" i="79"/>
  <c r="A2879" i="80" s="1"/>
  <c r="I2376" i="79"/>
  <c r="A2375" i="80" s="1"/>
  <c r="I4591" i="79"/>
  <c r="A4590" i="80" s="1"/>
  <c r="F15" i="44"/>
  <c r="C17" i="44"/>
  <c r="D17" i="44" s="1"/>
  <c r="C33" i="44"/>
  <c r="D33" i="44" s="1"/>
  <c r="F13" i="44"/>
  <c r="G9" i="42"/>
  <c r="I20365" i="79" s="1"/>
  <c r="A20364" i="80" s="1"/>
  <c r="I20239" i="79"/>
  <c r="A20238" i="80" s="1"/>
  <c r="F9" i="42"/>
  <c r="I20323" i="79" s="1"/>
  <c r="A20322" i="80" s="1"/>
  <c r="I1998" i="79"/>
  <c r="A1997" i="80" s="1"/>
  <c r="F43" i="4"/>
  <c r="I20251" i="79"/>
  <c r="A20250" i="80" s="1"/>
  <c r="G11" i="42"/>
  <c r="I20377" i="79" s="1"/>
  <c r="A20376" i="80" s="1"/>
  <c r="F11" i="42"/>
  <c r="I20335" i="79" s="1"/>
  <c r="A20334" i="80" s="1"/>
  <c r="C13" i="42"/>
  <c r="I2868" i="79"/>
  <c r="A2867" i="80" s="1"/>
  <c r="E72" i="4"/>
  <c r="I2916" i="79" s="1"/>
  <c r="A2915" i="80" s="1"/>
  <c r="I2502" i="79"/>
  <c r="A2501" i="80" s="1"/>
  <c r="D55" i="4"/>
  <c r="D70" i="4" s="1"/>
  <c r="I4495" i="79"/>
  <c r="A4494" i="80" s="1"/>
  <c r="E16" i="7"/>
  <c r="I2946" i="79"/>
  <c r="A2945" i="80" s="1"/>
  <c r="F77" i="4"/>
  <c r="I4603" i="79"/>
  <c r="A4602" i="80" s="1"/>
  <c r="I2724" i="79"/>
  <c r="A2723" i="80" s="1"/>
  <c r="F9" i="44"/>
  <c r="C19" i="44"/>
  <c r="D19" i="44" s="1"/>
  <c r="D22" i="39" l="1"/>
  <c r="C13971" i="79"/>
  <c r="I13921" i="79"/>
  <c r="A13920" i="80" s="1"/>
  <c r="I8667" i="79"/>
  <c r="A8666" i="80" s="1"/>
  <c r="C8717" i="79"/>
  <c r="C8842" i="79"/>
  <c r="I8792" i="79"/>
  <c r="A8791" i="80" s="1"/>
  <c r="C14006" i="79"/>
  <c r="I13956" i="79"/>
  <c r="A13955" i="80" s="1"/>
  <c r="I8997" i="79"/>
  <c r="A8996" i="80" s="1"/>
  <c r="C9047" i="79"/>
  <c r="I14041" i="79"/>
  <c r="A14040" i="80" s="1"/>
  <c r="C14091" i="79"/>
  <c r="I14061" i="79"/>
  <c r="A14060" i="80" s="1"/>
  <c r="C14111" i="79"/>
  <c r="C8787" i="79"/>
  <c r="I8737" i="79"/>
  <c r="A8736" i="80" s="1"/>
  <c r="C8777" i="79"/>
  <c r="I8727" i="79"/>
  <c r="A8726" i="80" s="1"/>
  <c r="I8607" i="79"/>
  <c r="A8606" i="80" s="1"/>
  <c r="C8657" i="79"/>
  <c r="C14001" i="79"/>
  <c r="I13951" i="79"/>
  <c r="A13950" i="80" s="1"/>
  <c r="I13896" i="79"/>
  <c r="A13895" i="80" s="1"/>
  <c r="C13946" i="79"/>
  <c r="I8912" i="79"/>
  <c r="A8911" i="80" s="1"/>
  <c r="C8962" i="79"/>
  <c r="C14076" i="79"/>
  <c r="I14026" i="79"/>
  <c r="A14025" i="80" s="1"/>
  <c r="C14131" i="79"/>
  <c r="I14081" i="79"/>
  <c r="A14080" i="80" s="1"/>
  <c r="I13866" i="79"/>
  <c r="A13865" i="80" s="1"/>
  <c r="C13916" i="79"/>
  <c r="I8922" i="79"/>
  <c r="A8921" i="80" s="1"/>
  <c r="C8972" i="79"/>
  <c r="I8632" i="79"/>
  <c r="A8631" i="80" s="1"/>
  <c r="C8682" i="79"/>
  <c r="C14036" i="79"/>
  <c r="I13986" i="79"/>
  <c r="A13985" i="80" s="1"/>
  <c r="I9102" i="79"/>
  <c r="A9101" i="80" s="1"/>
  <c r="C9152" i="79"/>
  <c r="I4735" i="79"/>
  <c r="A4734" i="80" s="1"/>
  <c r="G28" i="7"/>
  <c r="G78" i="3"/>
  <c r="I2928" i="79"/>
  <c r="A2927" i="80" s="1"/>
  <c r="F13" i="42"/>
  <c r="I20263" i="79"/>
  <c r="A20262" i="80" s="1"/>
  <c r="G13" i="42"/>
  <c r="F19" i="44"/>
  <c r="E20" i="7"/>
  <c r="I4543" i="79"/>
  <c r="A4542" i="80" s="1"/>
  <c r="F33" i="44"/>
  <c r="D72" i="4"/>
  <c r="I2910" i="79" s="1"/>
  <c r="A2909" i="80" s="1"/>
  <c r="I2862" i="79"/>
  <c r="A2861" i="80" s="1"/>
  <c r="I2514" i="79"/>
  <c r="A2513" i="80" s="1"/>
  <c r="F55" i="4"/>
  <c r="F70" i="4" s="1"/>
  <c r="F72" i="4" s="1"/>
  <c r="E78" i="3" s="1"/>
  <c r="B10" i="35"/>
  <c r="B14" i="35" s="1"/>
  <c r="F17" i="44"/>
  <c r="I2994" i="79"/>
  <c r="A2993" i="80" s="1"/>
  <c r="I9152" i="79" l="1"/>
  <c r="A9151" i="80" s="1"/>
  <c r="C9202" i="79"/>
  <c r="C8732" i="79"/>
  <c r="I8682" i="79"/>
  <c r="A8681" i="80" s="1"/>
  <c r="I8972" i="79"/>
  <c r="A8971" i="80" s="1"/>
  <c r="C9022" i="79"/>
  <c r="I13916" i="79"/>
  <c r="A13915" i="80" s="1"/>
  <c r="C13966" i="79"/>
  <c r="I8962" i="79"/>
  <c r="A8961" i="80" s="1"/>
  <c r="C9012" i="79"/>
  <c r="C13996" i="79"/>
  <c r="I13946" i="79"/>
  <c r="A13945" i="80" s="1"/>
  <c r="I8657" i="79"/>
  <c r="A8656" i="80" s="1"/>
  <c r="C8707" i="79"/>
  <c r="I14111" i="79"/>
  <c r="A14110" i="80" s="1"/>
  <c r="C14161" i="79"/>
  <c r="I14091" i="79"/>
  <c r="A14090" i="80" s="1"/>
  <c r="C14141" i="79"/>
  <c r="I9047" i="79"/>
  <c r="A9046" i="80" s="1"/>
  <c r="C9097" i="79"/>
  <c r="I8717" i="79"/>
  <c r="A8716" i="80" s="1"/>
  <c r="C8767" i="79"/>
  <c r="C14086" i="79"/>
  <c r="I14036" i="79"/>
  <c r="A14035" i="80" s="1"/>
  <c r="C14181" i="79"/>
  <c r="I14131" i="79"/>
  <c r="A14130" i="80" s="1"/>
  <c r="C14126" i="79"/>
  <c r="I14076" i="79"/>
  <c r="A14075" i="80" s="1"/>
  <c r="C14051" i="79"/>
  <c r="I14001" i="79"/>
  <c r="A14000" i="80" s="1"/>
  <c r="C8827" i="79"/>
  <c r="I8777" i="79"/>
  <c r="A8776" i="80" s="1"/>
  <c r="I8787" i="79"/>
  <c r="A8786" i="80" s="1"/>
  <c r="C8837" i="79"/>
  <c r="I14006" i="79"/>
  <c r="A14005" i="80" s="1"/>
  <c r="C14056" i="79"/>
  <c r="I8842" i="79"/>
  <c r="A8841" i="80" s="1"/>
  <c r="C8892" i="79"/>
  <c r="C14021" i="79"/>
  <c r="I13971" i="79"/>
  <c r="A13970" i="80" s="1"/>
  <c r="B15" i="35"/>
  <c r="B16" i="35" s="1"/>
  <c r="G32" i="7"/>
  <c r="I4747" i="79"/>
  <c r="A4746" i="80" s="1"/>
  <c r="I1325" i="79"/>
  <c r="A1324" i="80" s="1"/>
  <c r="G79" i="3"/>
  <c r="I4621" i="79"/>
  <c r="A4620" i="80" s="1"/>
  <c r="E26" i="7"/>
  <c r="D15" i="39"/>
  <c r="D18" i="39" s="1"/>
  <c r="I2874" i="79"/>
  <c r="A2873" i="80" s="1"/>
  <c r="I20389" i="79"/>
  <c r="A20388" i="80" s="1"/>
  <c r="D43" i="42"/>
  <c r="I20935" i="79" s="1"/>
  <c r="A20934" i="80" s="1"/>
  <c r="I20341" i="79"/>
  <c r="A20340" i="80" s="1"/>
  <c r="C43" i="42"/>
  <c r="I20929" i="79" s="1"/>
  <c r="A20928" i="80" s="1"/>
  <c r="C8942" i="79" l="1"/>
  <c r="I8892" i="79"/>
  <c r="A8891" i="80" s="1"/>
  <c r="I14056" i="79"/>
  <c r="A14055" i="80" s="1"/>
  <c r="C14106" i="79"/>
  <c r="C8887" i="79"/>
  <c r="I8837" i="79"/>
  <c r="A8836" i="80" s="1"/>
  <c r="I8767" i="79"/>
  <c r="A8766" i="80" s="1"/>
  <c r="C8817" i="79"/>
  <c r="I9097" i="79"/>
  <c r="A9096" i="80" s="1"/>
  <c r="C9147" i="79"/>
  <c r="C14191" i="79"/>
  <c r="I14141" i="79"/>
  <c r="A14140" i="80" s="1"/>
  <c r="C14211" i="79"/>
  <c r="I14161" i="79"/>
  <c r="A14160" i="80" s="1"/>
  <c r="C8757" i="79"/>
  <c r="I8707" i="79"/>
  <c r="A8706" i="80" s="1"/>
  <c r="I9012" i="79"/>
  <c r="A9011" i="80" s="1"/>
  <c r="C9062" i="79"/>
  <c r="C14016" i="79"/>
  <c r="I13966" i="79"/>
  <c r="A13965" i="80" s="1"/>
  <c r="I9022" i="79"/>
  <c r="A9021" i="80" s="1"/>
  <c r="C9072" i="79"/>
  <c r="I9202" i="79"/>
  <c r="A9201" i="80" s="1"/>
  <c r="C9252" i="79"/>
  <c r="C14071" i="79"/>
  <c r="I14021" i="79"/>
  <c r="A14020" i="80" s="1"/>
  <c r="C8877" i="79"/>
  <c r="I8827" i="79"/>
  <c r="A8826" i="80" s="1"/>
  <c r="C14101" i="79"/>
  <c r="I14051" i="79"/>
  <c r="A14050" i="80" s="1"/>
  <c r="I14126" i="79"/>
  <c r="A14125" i="80" s="1"/>
  <c r="C14176" i="79"/>
  <c r="C14231" i="79"/>
  <c r="I14181" i="79"/>
  <c r="A14180" i="80" s="1"/>
  <c r="I14086" i="79"/>
  <c r="A14085" i="80" s="1"/>
  <c r="C14136" i="79"/>
  <c r="C14046" i="79"/>
  <c r="I13996" i="79"/>
  <c r="A13995" i="80" s="1"/>
  <c r="C8782" i="79"/>
  <c r="I8732" i="79"/>
  <c r="A8731" i="80" s="1"/>
  <c r="G36" i="7"/>
  <c r="G37" i="7"/>
  <c r="I4879" i="79" s="1"/>
  <c r="A4878" i="80" s="1"/>
  <c r="I4765" i="79"/>
  <c r="A4764" i="80" s="1"/>
  <c r="G102" i="3"/>
  <c r="I1331" i="79"/>
  <c r="A1330" i="80" s="1"/>
  <c r="C9" i="39"/>
  <c r="E28" i="7"/>
  <c r="I4585" i="79"/>
  <c r="A4584" i="80" s="1"/>
  <c r="I2922" i="79"/>
  <c r="A2921" i="80" s="1"/>
  <c r="C9" i="34"/>
  <c r="B8" i="34"/>
  <c r="I14136" i="79" l="1"/>
  <c r="A14135" i="80" s="1"/>
  <c r="C14186" i="79"/>
  <c r="C14226" i="79"/>
  <c r="I14176" i="79"/>
  <c r="A14175" i="80" s="1"/>
  <c r="I9252" i="79"/>
  <c r="A9251" i="80" s="1"/>
  <c r="C9302" i="79"/>
  <c r="I9072" i="79"/>
  <c r="A9071" i="80" s="1"/>
  <c r="C9122" i="79"/>
  <c r="C9112" i="79"/>
  <c r="I9062" i="79"/>
  <c r="A9061" i="80" s="1"/>
  <c r="C9197" i="79"/>
  <c r="I9147" i="79"/>
  <c r="A9146" i="80" s="1"/>
  <c r="C8867" i="79"/>
  <c r="I8817" i="79"/>
  <c r="A8816" i="80" s="1"/>
  <c r="C14156" i="79"/>
  <c r="I14106" i="79"/>
  <c r="A14105" i="80" s="1"/>
  <c r="C8832" i="79"/>
  <c r="I8782" i="79"/>
  <c r="A8781" i="80" s="1"/>
  <c r="C14096" i="79"/>
  <c r="I14046" i="79"/>
  <c r="A14045" i="80" s="1"/>
  <c r="I14231" i="79"/>
  <c r="A14230" i="80" s="1"/>
  <c r="C14281" i="79"/>
  <c r="C14151" i="79"/>
  <c r="I14101" i="79"/>
  <c r="A14100" i="80" s="1"/>
  <c r="I8877" i="79"/>
  <c r="A8876" i="80" s="1"/>
  <c r="C8927" i="79"/>
  <c r="I14071" i="79"/>
  <c r="A14070" i="80" s="1"/>
  <c r="C14121" i="79"/>
  <c r="I14016" i="79"/>
  <c r="A14015" i="80" s="1"/>
  <c r="C14066" i="79"/>
  <c r="I8757" i="79"/>
  <c r="A8756" i="80" s="1"/>
  <c r="C8807" i="79"/>
  <c r="C14261" i="79"/>
  <c r="I14211" i="79"/>
  <c r="A14210" i="80" s="1"/>
  <c r="I14191" i="79"/>
  <c r="A14190" i="80" s="1"/>
  <c r="C14241" i="79"/>
  <c r="I8887" i="79"/>
  <c r="A8886" i="80" s="1"/>
  <c r="C8937" i="79"/>
  <c r="C8992" i="79"/>
  <c r="I8942" i="79"/>
  <c r="A8941" i="80" s="1"/>
  <c r="I4873" i="79"/>
  <c r="A4872" i="80" s="1"/>
  <c r="G46" i="7"/>
  <c r="I1517" i="79"/>
  <c r="A1516" i="80" s="1"/>
  <c r="E29" i="44"/>
  <c r="D8" i="42"/>
  <c r="G123" i="3"/>
  <c r="C40" i="34"/>
  <c r="I3403" i="79" s="1"/>
  <c r="A3402" i="80" s="1"/>
  <c r="I3031" i="79"/>
  <c r="A3030" i="80" s="1"/>
  <c r="E32" i="7"/>
  <c r="I4597" i="79"/>
  <c r="A4596" i="80" s="1"/>
  <c r="I1223" i="79"/>
  <c r="A1222" i="80" s="1"/>
  <c r="E79" i="3"/>
  <c r="B40" i="34"/>
  <c r="I3013" i="79"/>
  <c r="A3012" i="80" s="1"/>
  <c r="I8937" i="79" l="1"/>
  <c r="A8936" i="80" s="1"/>
  <c r="C8987" i="79"/>
  <c r="C14291" i="79"/>
  <c r="I14241" i="79"/>
  <c r="A14240" i="80" s="1"/>
  <c r="I8807" i="79"/>
  <c r="A8806" i="80" s="1"/>
  <c r="C8857" i="79"/>
  <c r="I14066" i="79"/>
  <c r="A14065" i="80" s="1"/>
  <c r="C14116" i="79"/>
  <c r="I14121" i="79"/>
  <c r="A14120" i="80" s="1"/>
  <c r="C14171" i="79"/>
  <c r="I8927" i="79"/>
  <c r="A8926" i="80" s="1"/>
  <c r="C8977" i="79"/>
  <c r="C14331" i="79"/>
  <c r="I14281" i="79"/>
  <c r="A14280" i="80" s="1"/>
  <c r="I9122" i="79"/>
  <c r="A9121" i="80" s="1"/>
  <c r="C9172" i="79"/>
  <c r="I9302" i="79"/>
  <c r="A9301" i="80" s="1"/>
  <c r="C9352" i="79"/>
  <c r="C14236" i="79"/>
  <c r="I14186" i="79"/>
  <c r="A14185" i="80" s="1"/>
  <c r="I8992" i="79"/>
  <c r="A8991" i="80" s="1"/>
  <c r="C9042" i="79"/>
  <c r="I14261" i="79"/>
  <c r="A14260" i="80" s="1"/>
  <c r="C14311" i="79"/>
  <c r="I14151" i="79"/>
  <c r="A14150" i="80" s="1"/>
  <c r="C14201" i="79"/>
  <c r="I14096" i="79"/>
  <c r="A14095" i="80" s="1"/>
  <c r="C14146" i="79"/>
  <c r="I8832" i="79"/>
  <c r="A8831" i="80" s="1"/>
  <c r="C8882" i="79"/>
  <c r="C14206" i="79"/>
  <c r="I14156" i="79"/>
  <c r="A14155" i="80" s="1"/>
  <c r="C8917" i="79"/>
  <c r="I8867" i="79"/>
  <c r="A8866" i="80" s="1"/>
  <c r="I9197" i="79"/>
  <c r="A9196" i="80" s="1"/>
  <c r="C9247" i="79"/>
  <c r="I9112" i="79"/>
  <c r="A9111" i="80" s="1"/>
  <c r="C9162" i="79"/>
  <c r="I14226" i="79"/>
  <c r="A14225" i="80" s="1"/>
  <c r="C14276" i="79"/>
  <c r="I20275" i="79"/>
  <c r="A20274" i="80" s="1"/>
  <c r="D10" i="42"/>
  <c r="I1721" i="79"/>
  <c r="A1720" i="80" s="1"/>
  <c r="G61" i="3"/>
  <c r="E11" i="44"/>
  <c r="E37" i="44"/>
  <c r="G21" i="42"/>
  <c r="I4933" i="79"/>
  <c r="A4932" i="80" s="1"/>
  <c r="G48" i="7"/>
  <c r="I4945" i="79" s="1"/>
  <c r="A4944" i="80" s="1"/>
  <c r="E37" i="7"/>
  <c r="I4795" i="79" s="1"/>
  <c r="A4794" i="80" s="1"/>
  <c r="I4615" i="79"/>
  <c r="A4614" i="80" s="1"/>
  <c r="E36" i="7"/>
  <c r="B42" i="34"/>
  <c r="C43" i="34"/>
  <c r="I3427" i="79" s="1"/>
  <c r="A3426" i="80" s="1"/>
  <c r="I3397" i="79"/>
  <c r="A3396" i="80" s="1"/>
  <c r="I1229" i="79"/>
  <c r="A1228" i="80" s="1"/>
  <c r="D9" i="39"/>
  <c r="E102" i="3"/>
  <c r="C14326" i="79" l="1"/>
  <c r="I14276" i="79"/>
  <c r="A14275" i="80" s="1"/>
  <c r="C9212" i="79"/>
  <c r="I9162" i="79"/>
  <c r="A9161" i="80" s="1"/>
  <c r="I9247" i="79"/>
  <c r="A9246" i="80" s="1"/>
  <c r="C9297" i="79"/>
  <c r="C8932" i="79"/>
  <c r="I8882" i="79"/>
  <c r="A8881" i="80" s="1"/>
  <c r="I14146" i="79"/>
  <c r="A14145" i="80" s="1"/>
  <c r="C14196" i="79"/>
  <c r="C14251" i="79"/>
  <c r="I14201" i="79"/>
  <c r="A14200" i="80" s="1"/>
  <c r="I14311" i="79"/>
  <c r="A14310" i="80" s="1"/>
  <c r="C14361" i="79"/>
  <c r="I9042" i="79"/>
  <c r="A9041" i="80" s="1"/>
  <c r="C9092" i="79"/>
  <c r="I9352" i="79"/>
  <c r="A9351" i="80" s="1"/>
  <c r="C9402" i="79"/>
  <c r="I9172" i="79"/>
  <c r="A9171" i="80" s="1"/>
  <c r="C9222" i="79"/>
  <c r="C9027" i="79"/>
  <c r="I8977" i="79"/>
  <c r="A8976" i="80" s="1"/>
  <c r="I14171" i="79"/>
  <c r="A14170" i="80" s="1"/>
  <c r="C14221" i="79"/>
  <c r="C14166" i="79"/>
  <c r="I14116" i="79"/>
  <c r="A14115" i="80" s="1"/>
  <c r="I8857" i="79"/>
  <c r="A8856" i="80" s="1"/>
  <c r="C8907" i="79"/>
  <c r="I8987" i="79"/>
  <c r="A8986" i="80" s="1"/>
  <c r="C9037" i="79"/>
  <c r="I8917" i="79"/>
  <c r="A8916" i="80" s="1"/>
  <c r="C8967" i="79"/>
  <c r="I14206" i="79"/>
  <c r="A14205" i="80" s="1"/>
  <c r="C14256" i="79"/>
  <c r="I14236" i="79"/>
  <c r="A14235" i="80" s="1"/>
  <c r="C14286" i="79"/>
  <c r="C14381" i="79"/>
  <c r="I14331" i="79"/>
  <c r="A14330" i="80" s="1"/>
  <c r="I14291" i="79"/>
  <c r="A14290" i="80" s="1"/>
  <c r="C14341" i="79"/>
  <c r="I20623" i="79"/>
  <c r="A20622" i="80" s="1"/>
  <c r="G20" i="42"/>
  <c r="I20287" i="79"/>
  <c r="A20286" i="80" s="1"/>
  <c r="D14" i="42"/>
  <c r="I20311" i="79" s="1"/>
  <c r="A20310" i="80" s="1"/>
  <c r="B50" i="34"/>
  <c r="I3481" i="79" s="1"/>
  <c r="A3480" i="80" s="1"/>
  <c r="I3409" i="79"/>
  <c r="A3408" i="80" s="1"/>
  <c r="I4789" i="79"/>
  <c r="A4788" i="80" s="1"/>
  <c r="E46" i="7"/>
  <c r="E48" i="7" s="1"/>
  <c r="E123" i="3"/>
  <c r="I1511" i="79"/>
  <c r="A1510" i="80" s="1"/>
  <c r="C29" i="44"/>
  <c r="D29" i="44" s="1"/>
  <c r="C8" i="42"/>
  <c r="I14381" i="79" l="1"/>
  <c r="A14380" i="80" s="1"/>
  <c r="C14431" i="79"/>
  <c r="C14391" i="79"/>
  <c r="I14341" i="79"/>
  <c r="A14340" i="80" s="1"/>
  <c r="C14336" i="79"/>
  <c r="I14286" i="79"/>
  <c r="A14285" i="80" s="1"/>
  <c r="C14306" i="79"/>
  <c r="I14256" i="79"/>
  <c r="A14255" i="80" s="1"/>
  <c r="C9017" i="79"/>
  <c r="I8967" i="79"/>
  <c r="A8966" i="80" s="1"/>
  <c r="I9037" i="79"/>
  <c r="A9036" i="80" s="1"/>
  <c r="C9087" i="79"/>
  <c r="I8907" i="79"/>
  <c r="A8906" i="80" s="1"/>
  <c r="C8957" i="79"/>
  <c r="I14221" i="79"/>
  <c r="A14220" i="80" s="1"/>
  <c r="C14271" i="79"/>
  <c r="I9222" i="79"/>
  <c r="A9221" i="80" s="1"/>
  <c r="C9272" i="79"/>
  <c r="I9402" i="79"/>
  <c r="A9401" i="80" s="1"/>
  <c r="C9452" i="79"/>
  <c r="I9092" i="79"/>
  <c r="A9091" i="80" s="1"/>
  <c r="C9142" i="79"/>
  <c r="C14411" i="79"/>
  <c r="I14361" i="79"/>
  <c r="A14360" i="80" s="1"/>
  <c r="C14246" i="79"/>
  <c r="I14196" i="79"/>
  <c r="A14195" i="80" s="1"/>
  <c r="I9297" i="79"/>
  <c r="A9296" i="80" s="1"/>
  <c r="C9347" i="79"/>
  <c r="C14216" i="79"/>
  <c r="I14166" i="79"/>
  <c r="A14165" i="80" s="1"/>
  <c r="I9027" i="79"/>
  <c r="A9026" i="80" s="1"/>
  <c r="C9077" i="79"/>
  <c r="I14251" i="79"/>
  <c r="A14250" i="80" s="1"/>
  <c r="C14301" i="79"/>
  <c r="C8982" i="79"/>
  <c r="I8932" i="79"/>
  <c r="A8931" i="80" s="1"/>
  <c r="I9212" i="79"/>
  <c r="A9211" i="80" s="1"/>
  <c r="C9262" i="79"/>
  <c r="I14326" i="79"/>
  <c r="A14325" i="80" s="1"/>
  <c r="C14376" i="79"/>
  <c r="I20617" i="79"/>
  <c r="A20616" i="80" s="1"/>
  <c r="G32" i="42"/>
  <c r="G8" i="42"/>
  <c r="I20359" i="79" s="1"/>
  <c r="A20358" i="80" s="1"/>
  <c r="I20233" i="79"/>
  <c r="A20232" i="80" s="1"/>
  <c r="F8" i="42"/>
  <c r="C10" i="42"/>
  <c r="F29" i="44"/>
  <c r="C11" i="44"/>
  <c r="D11" i="44" s="1"/>
  <c r="C37" i="44"/>
  <c r="D37" i="44" s="1"/>
  <c r="I1715" i="79"/>
  <c r="A1714" i="80" s="1"/>
  <c r="E61" i="3"/>
  <c r="I4861" i="79"/>
  <c r="A4860" i="80" s="1"/>
  <c r="D21" i="42"/>
  <c r="I4849" i="79"/>
  <c r="A4848" i="80" s="1"/>
  <c r="I14376" i="79" l="1"/>
  <c r="A14375" i="80" s="1"/>
  <c r="C14426" i="79"/>
  <c r="I9262" i="79"/>
  <c r="A9261" i="80" s="1"/>
  <c r="C9312" i="79"/>
  <c r="I14301" i="79"/>
  <c r="A14300" i="80" s="1"/>
  <c r="C14351" i="79"/>
  <c r="C9127" i="79"/>
  <c r="I9077" i="79"/>
  <c r="A9076" i="80" s="1"/>
  <c r="I9347" i="79"/>
  <c r="A9346" i="80" s="1"/>
  <c r="C9397" i="79"/>
  <c r="I9142" i="79"/>
  <c r="A9141" i="80" s="1"/>
  <c r="C9192" i="79"/>
  <c r="C9502" i="79"/>
  <c r="I9452" i="79"/>
  <c r="A9451" i="80" s="1"/>
  <c r="I9272" i="79"/>
  <c r="A9271" i="80" s="1"/>
  <c r="C9322" i="79"/>
  <c r="I14271" i="79"/>
  <c r="A14270" i="80" s="1"/>
  <c r="C14321" i="79"/>
  <c r="I8957" i="79"/>
  <c r="A8956" i="80" s="1"/>
  <c r="C9007" i="79"/>
  <c r="C9137" i="79"/>
  <c r="I9087" i="79"/>
  <c r="A9086" i="80" s="1"/>
  <c r="C14481" i="79"/>
  <c r="I14431" i="79"/>
  <c r="A14430" i="80" s="1"/>
  <c r="I8982" i="79"/>
  <c r="A8981" i="80" s="1"/>
  <c r="C9032" i="79"/>
  <c r="C14266" i="79"/>
  <c r="I14216" i="79"/>
  <c r="A14215" i="80" s="1"/>
  <c r="C14296" i="79"/>
  <c r="I14246" i="79"/>
  <c r="A14245" i="80" s="1"/>
  <c r="C14461" i="79"/>
  <c r="I14411" i="79"/>
  <c r="A14410" i="80" s="1"/>
  <c r="I9017" i="79"/>
  <c r="A9016" i="80" s="1"/>
  <c r="C9067" i="79"/>
  <c r="I14306" i="79"/>
  <c r="A14305" i="80" s="1"/>
  <c r="C14356" i="79"/>
  <c r="I14336" i="79"/>
  <c r="A14335" i="80" s="1"/>
  <c r="C14386" i="79"/>
  <c r="C14441" i="79"/>
  <c r="I14391" i="79"/>
  <c r="A14390" i="80" s="1"/>
  <c r="I20707" i="79"/>
  <c r="A20706" i="80" s="1"/>
  <c r="G45" i="42"/>
  <c r="F11" i="44"/>
  <c r="F37" i="44"/>
  <c r="D20" i="42"/>
  <c r="I20479" i="79"/>
  <c r="A20478" i="80" s="1"/>
  <c r="C14" i="42"/>
  <c r="I20245" i="79"/>
  <c r="A20244" i="80" s="1"/>
  <c r="I20317" i="79"/>
  <c r="A20316" i="80" s="1"/>
  <c r="F10" i="42"/>
  <c r="I20329" i="79" s="1"/>
  <c r="A20328" i="80" s="1"/>
  <c r="G10" i="42"/>
  <c r="I20371" i="79" s="1"/>
  <c r="A20370" i="80" s="1"/>
  <c r="I14386" i="79" l="1"/>
  <c r="A14385" i="80" s="1"/>
  <c r="C14436" i="79"/>
  <c r="I14356" i="79"/>
  <c r="A14355" i="80" s="1"/>
  <c r="C14406" i="79"/>
  <c r="I9067" i="79"/>
  <c r="A9066" i="80" s="1"/>
  <c r="C9117" i="79"/>
  <c r="I9032" i="79"/>
  <c r="A9031" i="80" s="1"/>
  <c r="C9082" i="79"/>
  <c r="I9007" i="79"/>
  <c r="A9006" i="80" s="1"/>
  <c r="C9057" i="79"/>
  <c r="I14321" i="79"/>
  <c r="A14320" i="80" s="1"/>
  <c r="C14371" i="79"/>
  <c r="I9322" i="79"/>
  <c r="A9321" i="80" s="1"/>
  <c r="C9372" i="79"/>
  <c r="I9192" i="79"/>
  <c r="A9191" i="80" s="1"/>
  <c r="C9242" i="79"/>
  <c r="I9397" i="79"/>
  <c r="A9396" i="80" s="1"/>
  <c r="C9447" i="79"/>
  <c r="C14401" i="79"/>
  <c r="I14351" i="79"/>
  <c r="A14350" i="80" s="1"/>
  <c r="I9312" i="79"/>
  <c r="A9311" i="80" s="1"/>
  <c r="C9362" i="79"/>
  <c r="C14476" i="79"/>
  <c r="I14426" i="79"/>
  <c r="A14425" i="80" s="1"/>
  <c r="I14441" i="79"/>
  <c r="A14440" i="80" s="1"/>
  <c r="C14491" i="79"/>
  <c r="I14461" i="79"/>
  <c r="A14460" i="80" s="1"/>
  <c r="C14511" i="79"/>
  <c r="C14346" i="79"/>
  <c r="I14296" i="79"/>
  <c r="A14295" i="80" s="1"/>
  <c r="I14266" i="79"/>
  <c r="A14265" i="80" s="1"/>
  <c r="C14316" i="79"/>
  <c r="I14481" i="79"/>
  <c r="A14480" i="80" s="1"/>
  <c r="C14531" i="79"/>
  <c r="I9137" i="79"/>
  <c r="A9136" i="80" s="1"/>
  <c r="C9187" i="79"/>
  <c r="I9502" i="79"/>
  <c r="A9501" i="80" s="1"/>
  <c r="C9552" i="79"/>
  <c r="I9127" i="79"/>
  <c r="A9126" i="80" s="1"/>
  <c r="C9177" i="79"/>
  <c r="I20995" i="79"/>
  <c r="A20994" i="80" s="1"/>
  <c r="F47" i="42"/>
  <c r="F14" i="42"/>
  <c r="G14" i="42"/>
  <c r="I20269" i="79"/>
  <c r="A20268" i="80" s="1"/>
  <c r="I20473" i="79"/>
  <c r="A20472" i="80" s="1"/>
  <c r="D32" i="42"/>
  <c r="C14451" i="79" l="1"/>
  <c r="I14401" i="79"/>
  <c r="A14400" i="80" s="1"/>
  <c r="I9177" i="79"/>
  <c r="A9176" i="80" s="1"/>
  <c r="C9227" i="79"/>
  <c r="I9552" i="79"/>
  <c r="A9551" i="80" s="1"/>
  <c r="C9602" i="79"/>
  <c r="I9187" i="79"/>
  <c r="A9186" i="80" s="1"/>
  <c r="C9237" i="79"/>
  <c r="I14531" i="79"/>
  <c r="A14530" i="80" s="1"/>
  <c r="C14581" i="79"/>
  <c r="C14366" i="79"/>
  <c r="I14316" i="79"/>
  <c r="A14315" i="80" s="1"/>
  <c r="I14511" i="79"/>
  <c r="A14510" i="80" s="1"/>
  <c r="C14561" i="79"/>
  <c r="C14541" i="79"/>
  <c r="I14491" i="79"/>
  <c r="A14490" i="80" s="1"/>
  <c r="I9362" i="79"/>
  <c r="A9361" i="80" s="1"/>
  <c r="C9412" i="79"/>
  <c r="C9497" i="79"/>
  <c r="I9447" i="79"/>
  <c r="A9446" i="80" s="1"/>
  <c r="I9242" i="79"/>
  <c r="A9241" i="80" s="1"/>
  <c r="C9292" i="79"/>
  <c r="C9422" i="79"/>
  <c r="I9372" i="79"/>
  <c r="A9371" i="80" s="1"/>
  <c r="I14371" i="79"/>
  <c r="A14370" i="80" s="1"/>
  <c r="C14421" i="79"/>
  <c r="I9057" i="79"/>
  <c r="A9056" i="80" s="1"/>
  <c r="C9107" i="79"/>
  <c r="C9132" i="79"/>
  <c r="I9082" i="79"/>
  <c r="A9081" i="80" s="1"/>
  <c r="I9117" i="79"/>
  <c r="A9116" i="80" s="1"/>
  <c r="C9167" i="79"/>
  <c r="C14456" i="79"/>
  <c r="I14406" i="79"/>
  <c r="A14405" i="80" s="1"/>
  <c r="I14436" i="79"/>
  <c r="A14435" i="80" s="1"/>
  <c r="C14486" i="79"/>
  <c r="I14346" i="79"/>
  <c r="A14345" i="80" s="1"/>
  <c r="C14396" i="79"/>
  <c r="I14476" i="79"/>
  <c r="A14475" i="80" s="1"/>
  <c r="C14526" i="79"/>
  <c r="I20695" i="79"/>
  <c r="A20694" i="80" s="1"/>
  <c r="I20395" i="79"/>
  <c r="A20394" i="80" s="1"/>
  <c r="D44" i="42"/>
  <c r="I20959" i="79" s="1"/>
  <c r="A20958" i="80" s="1"/>
  <c r="I20347" i="79"/>
  <c r="A20346" i="80" s="1"/>
  <c r="C44" i="42"/>
  <c r="I14526" i="79" l="1"/>
  <c r="A14525" i="80" s="1"/>
  <c r="C14576" i="79"/>
  <c r="I14396" i="79"/>
  <c r="A14395" i="80" s="1"/>
  <c r="C14446" i="79"/>
  <c r="C14536" i="79"/>
  <c r="I14486" i="79"/>
  <c r="A14485" i="80" s="1"/>
  <c r="I9167" i="79"/>
  <c r="A9166" i="80" s="1"/>
  <c r="C9217" i="79"/>
  <c r="I9107" i="79"/>
  <c r="A9106" i="80" s="1"/>
  <c r="C9157" i="79"/>
  <c r="I14421" i="79"/>
  <c r="A14420" i="80" s="1"/>
  <c r="C14471" i="79"/>
  <c r="I9292" i="79"/>
  <c r="A9291" i="80" s="1"/>
  <c r="C9342" i="79"/>
  <c r="I9412" i="79"/>
  <c r="A9411" i="80" s="1"/>
  <c r="C9462" i="79"/>
  <c r="I14561" i="79"/>
  <c r="A14560" i="80" s="1"/>
  <c r="C14611" i="79"/>
  <c r="C14631" i="79"/>
  <c r="I14581" i="79"/>
  <c r="A14580" i="80" s="1"/>
  <c r="I9237" i="79"/>
  <c r="A9236" i="80" s="1"/>
  <c r="C9287" i="79"/>
  <c r="I9602" i="79"/>
  <c r="A9601" i="80" s="1"/>
  <c r="C9652" i="79"/>
  <c r="I9227" i="79"/>
  <c r="A9226" i="80" s="1"/>
  <c r="C9277" i="79"/>
  <c r="I14456" i="79"/>
  <c r="A14455" i="80" s="1"/>
  <c r="C14506" i="79"/>
  <c r="C9182" i="79"/>
  <c r="I9132" i="79"/>
  <c r="A9131" i="80" s="1"/>
  <c r="I9422" i="79"/>
  <c r="A9421" i="80" s="1"/>
  <c r="C9472" i="79"/>
  <c r="C9547" i="79"/>
  <c r="I9497" i="79"/>
  <c r="A9496" i="80" s="1"/>
  <c r="C14591" i="79"/>
  <c r="I14541" i="79"/>
  <c r="A14540" i="80" s="1"/>
  <c r="I14366" i="79"/>
  <c r="A14365" i="80" s="1"/>
  <c r="C14416" i="79"/>
  <c r="I14451" i="79"/>
  <c r="A14450" i="80" s="1"/>
  <c r="C14501" i="79"/>
  <c r="C45" i="42"/>
  <c r="I20953" i="79"/>
  <c r="A20952" i="80" s="1"/>
  <c r="D45" i="42"/>
  <c r="I20983" i="79" s="1"/>
  <c r="A20982" i="80" s="1"/>
  <c r="I14501" i="79" l="1"/>
  <c r="A14500" i="80" s="1"/>
  <c r="C14551" i="79"/>
  <c r="I14416" i="79"/>
  <c r="A14415" i="80" s="1"/>
  <c r="C14466" i="79"/>
  <c r="I9472" i="79"/>
  <c r="A9471" i="80" s="1"/>
  <c r="C9522" i="79"/>
  <c r="C14556" i="79"/>
  <c r="I14506" i="79"/>
  <c r="A14505" i="80" s="1"/>
  <c r="I9277" i="79"/>
  <c r="A9276" i="80" s="1"/>
  <c r="C9327" i="79"/>
  <c r="I9652" i="79"/>
  <c r="A9651" i="80" s="1"/>
  <c r="C9702" i="79"/>
  <c r="I9287" i="79"/>
  <c r="A9286" i="80" s="1"/>
  <c r="C9337" i="79"/>
  <c r="I14611" i="79"/>
  <c r="A14610" i="80" s="1"/>
  <c r="C14661" i="79"/>
  <c r="I9462" i="79"/>
  <c r="A9461" i="80" s="1"/>
  <c r="C9512" i="79"/>
  <c r="C9392" i="79"/>
  <c r="I9342" i="79"/>
  <c r="A9341" i="80" s="1"/>
  <c r="C14521" i="79"/>
  <c r="I14471" i="79"/>
  <c r="A14470" i="80" s="1"/>
  <c r="I9157" i="79"/>
  <c r="A9156" i="80" s="1"/>
  <c r="C9207" i="79"/>
  <c r="I9217" i="79"/>
  <c r="A9216" i="80" s="1"/>
  <c r="C9267" i="79"/>
  <c r="I14446" i="79"/>
  <c r="A14445" i="80" s="1"/>
  <c r="C14496" i="79"/>
  <c r="C14626" i="79"/>
  <c r="I14576" i="79"/>
  <c r="A14575" i="80" s="1"/>
  <c r="I14591" i="79"/>
  <c r="A14590" i="80" s="1"/>
  <c r="C14641" i="79"/>
  <c r="I9547" i="79"/>
  <c r="A9546" i="80" s="1"/>
  <c r="C9597" i="79"/>
  <c r="I9182" i="79"/>
  <c r="A9181" i="80" s="1"/>
  <c r="C9232" i="79"/>
  <c r="C14681" i="79"/>
  <c r="I14631" i="79"/>
  <c r="A14630" i="80" s="1"/>
  <c r="I14536" i="79"/>
  <c r="A14535" i="80" s="1"/>
  <c r="C14586" i="79"/>
  <c r="I20977" i="79"/>
  <c r="A20976" i="80" s="1"/>
  <c r="C47" i="42"/>
  <c r="C49" i="42" s="1"/>
  <c r="I14586" i="79" l="1"/>
  <c r="A14585" i="80" s="1"/>
  <c r="C14636" i="79"/>
  <c r="I9232" i="79"/>
  <c r="A9231" i="80" s="1"/>
  <c r="C9282" i="79"/>
  <c r="I9597" i="79"/>
  <c r="A9596" i="80" s="1"/>
  <c r="C9647" i="79"/>
  <c r="C14691" i="79"/>
  <c r="I14641" i="79"/>
  <c r="A14640" i="80" s="1"/>
  <c r="C14546" i="79"/>
  <c r="I14496" i="79"/>
  <c r="A14495" i="80" s="1"/>
  <c r="I9267" i="79"/>
  <c r="A9266" i="80" s="1"/>
  <c r="C9317" i="79"/>
  <c r="I9207" i="79"/>
  <c r="A9206" i="80" s="1"/>
  <c r="C9257" i="79"/>
  <c r="C9562" i="79"/>
  <c r="I9512" i="79"/>
  <c r="A9511" i="80" s="1"/>
  <c r="C14711" i="79"/>
  <c r="I14661" i="79"/>
  <c r="A14660" i="80" s="1"/>
  <c r="I9337" i="79"/>
  <c r="A9336" i="80" s="1"/>
  <c r="C9387" i="79"/>
  <c r="I9702" i="79"/>
  <c r="A9701" i="80" s="1"/>
  <c r="C9752" i="79"/>
  <c r="I9327" i="79"/>
  <c r="A9326" i="80" s="1"/>
  <c r="C9377" i="79"/>
  <c r="I9522" i="79"/>
  <c r="A9521" i="80" s="1"/>
  <c r="C9572" i="79"/>
  <c r="I14466" i="79"/>
  <c r="A14465" i="80" s="1"/>
  <c r="C14516" i="79"/>
  <c r="C14601" i="79"/>
  <c r="I14551" i="79"/>
  <c r="A14550" i="80" s="1"/>
  <c r="I14681" i="79"/>
  <c r="A14680" i="80" s="1"/>
  <c r="C14731" i="79"/>
  <c r="I14626" i="79"/>
  <c r="A14625" i="80" s="1"/>
  <c r="C14676" i="79"/>
  <c r="I14521" i="79"/>
  <c r="A14520" i="80" s="1"/>
  <c r="C14571" i="79"/>
  <c r="I9392" i="79"/>
  <c r="A9391" i="80" s="1"/>
  <c r="C9442" i="79"/>
  <c r="C14606" i="79"/>
  <c r="I14556" i="79"/>
  <c r="A14555" i="80" s="1"/>
  <c r="I9442" i="79" l="1"/>
  <c r="A9441" i="80" s="1"/>
  <c r="C9492" i="79"/>
  <c r="C14621" i="79"/>
  <c r="I14571" i="79"/>
  <c r="A14570" i="80" s="1"/>
  <c r="I14676" i="79"/>
  <c r="A14675" i="80" s="1"/>
  <c r="C14726" i="79"/>
  <c r="C14781" i="79"/>
  <c r="I14731" i="79"/>
  <c r="A14730" i="80" s="1"/>
  <c r="C14566" i="79"/>
  <c r="I14516" i="79"/>
  <c r="A14515" i="80" s="1"/>
  <c r="I9572" i="79"/>
  <c r="A9571" i="80" s="1"/>
  <c r="C9622" i="79"/>
  <c r="I9377" i="79"/>
  <c r="A9376" i="80" s="1"/>
  <c r="C9427" i="79"/>
  <c r="I9752" i="79"/>
  <c r="A9751" i="80" s="1"/>
  <c r="C9802" i="79"/>
  <c r="I9387" i="79"/>
  <c r="A9386" i="80" s="1"/>
  <c r="C9437" i="79"/>
  <c r="I9257" i="79"/>
  <c r="A9256" i="80" s="1"/>
  <c r="C9307" i="79"/>
  <c r="I9317" i="79"/>
  <c r="A9316" i="80" s="1"/>
  <c r="C9367" i="79"/>
  <c r="I9647" i="79"/>
  <c r="A9646" i="80" s="1"/>
  <c r="C9697" i="79"/>
  <c r="I9282" i="79"/>
  <c r="A9281" i="80" s="1"/>
  <c r="C9332" i="79"/>
  <c r="I14636" i="79"/>
  <c r="A14635" i="80" s="1"/>
  <c r="C14686" i="79"/>
  <c r="I14606" i="79"/>
  <c r="A14605" i="80" s="1"/>
  <c r="C14656" i="79"/>
  <c r="I14601" i="79"/>
  <c r="A14600" i="80" s="1"/>
  <c r="C14651" i="79"/>
  <c r="I14711" i="79"/>
  <c r="A14710" i="80" s="1"/>
  <c r="C14761" i="79"/>
  <c r="I9562" i="79"/>
  <c r="A9561" i="80" s="1"/>
  <c r="C9612" i="79"/>
  <c r="C14596" i="79"/>
  <c r="I14546" i="79"/>
  <c r="A14545" i="80" s="1"/>
  <c r="C14741" i="79"/>
  <c r="I14691" i="79"/>
  <c r="A14690" i="80" s="1"/>
  <c r="I9612" i="79" l="1"/>
  <c r="A9611" i="80" s="1"/>
  <c r="C9662" i="79"/>
  <c r="C14811" i="79"/>
  <c r="I14761" i="79"/>
  <c r="A14760" i="80" s="1"/>
  <c r="C14701" i="79"/>
  <c r="I14651" i="79"/>
  <c r="A14650" i="80" s="1"/>
  <c r="C14706" i="79"/>
  <c r="I14656" i="79"/>
  <c r="A14655" i="80" s="1"/>
  <c r="C14736" i="79"/>
  <c r="I14686" i="79"/>
  <c r="A14685" i="80" s="1"/>
  <c r="I9332" i="79"/>
  <c r="A9331" i="80" s="1"/>
  <c r="C9382" i="79"/>
  <c r="I9697" i="79"/>
  <c r="A9696" i="80" s="1"/>
  <c r="C9747" i="79"/>
  <c r="I9367" i="79"/>
  <c r="A9366" i="80" s="1"/>
  <c r="C9417" i="79"/>
  <c r="I9307" i="79"/>
  <c r="A9306" i="80" s="1"/>
  <c r="C9357" i="79"/>
  <c r="I9437" i="79"/>
  <c r="A9436" i="80" s="1"/>
  <c r="C9487" i="79"/>
  <c r="I9802" i="79"/>
  <c r="A9801" i="80" s="1"/>
  <c r="C9852" i="79"/>
  <c r="I9427" i="79"/>
  <c r="A9426" i="80" s="1"/>
  <c r="C9477" i="79"/>
  <c r="I9622" i="79"/>
  <c r="A9621" i="80" s="1"/>
  <c r="C9672" i="79"/>
  <c r="I14726" i="79"/>
  <c r="A14725" i="80" s="1"/>
  <c r="C14776" i="79"/>
  <c r="I9492" i="79"/>
  <c r="A9491" i="80" s="1"/>
  <c r="C9542" i="79"/>
  <c r="C14791" i="79"/>
  <c r="I14741" i="79"/>
  <c r="A14740" i="80" s="1"/>
  <c r="I14596" i="79"/>
  <c r="A14595" i="80" s="1"/>
  <c r="C14646" i="79"/>
  <c r="I14566" i="79"/>
  <c r="A14565" i="80" s="1"/>
  <c r="C14616" i="79"/>
  <c r="C14831" i="79"/>
  <c r="I14781" i="79"/>
  <c r="A14780" i="80" s="1"/>
  <c r="I14621" i="79"/>
  <c r="A14620" i="80" s="1"/>
  <c r="C14671" i="79"/>
  <c r="C14721" i="79" l="1"/>
  <c r="I14671" i="79"/>
  <c r="A14670" i="80" s="1"/>
  <c r="I14616" i="79"/>
  <c r="A14615" i="80" s="1"/>
  <c r="C14666" i="79"/>
  <c r="I14646" i="79"/>
  <c r="A14645" i="80" s="1"/>
  <c r="C14696" i="79"/>
  <c r="I9542" i="79"/>
  <c r="A9541" i="80" s="1"/>
  <c r="C9592" i="79"/>
  <c r="C14826" i="79"/>
  <c r="I14776" i="79"/>
  <c r="A14775" i="80" s="1"/>
  <c r="I9672" i="79"/>
  <c r="A9671" i="80" s="1"/>
  <c r="C9722" i="79"/>
  <c r="C9527" i="79"/>
  <c r="I9477" i="79"/>
  <c r="A9476" i="80" s="1"/>
  <c r="I9852" i="79"/>
  <c r="A9851" i="80" s="1"/>
  <c r="C9902" i="79"/>
  <c r="I9487" i="79"/>
  <c r="A9486" i="80" s="1"/>
  <c r="C9537" i="79"/>
  <c r="C9407" i="79"/>
  <c r="I9357" i="79"/>
  <c r="A9356" i="80" s="1"/>
  <c r="I9417" i="79"/>
  <c r="A9416" i="80" s="1"/>
  <c r="C9467" i="79"/>
  <c r="I9747" i="79"/>
  <c r="A9746" i="80" s="1"/>
  <c r="C9797" i="79"/>
  <c r="I9382" i="79"/>
  <c r="A9381" i="80" s="1"/>
  <c r="C9432" i="79"/>
  <c r="I9662" i="79"/>
  <c r="A9661" i="80" s="1"/>
  <c r="C9712" i="79"/>
  <c r="C14881" i="79"/>
  <c r="I14831" i="79"/>
  <c r="A14830" i="80" s="1"/>
  <c r="C14841" i="79"/>
  <c r="I14791" i="79"/>
  <c r="A14790" i="80" s="1"/>
  <c r="C14786" i="79"/>
  <c r="I14736" i="79"/>
  <c r="A14735" i="80" s="1"/>
  <c r="C14756" i="79"/>
  <c r="I14706" i="79"/>
  <c r="A14705" i="80" s="1"/>
  <c r="C14751" i="79"/>
  <c r="I14701" i="79"/>
  <c r="A14700" i="80" s="1"/>
  <c r="I14811" i="79"/>
  <c r="A14810" i="80" s="1"/>
  <c r="C14861" i="79"/>
  <c r="I14861" i="79" l="1"/>
  <c r="A14860" i="80" s="1"/>
  <c r="C14911" i="79"/>
  <c r="I9712" i="79"/>
  <c r="A9711" i="80" s="1"/>
  <c r="C9762" i="79"/>
  <c r="I9432" i="79"/>
  <c r="A9431" i="80" s="1"/>
  <c r="C9482" i="79"/>
  <c r="I9797" i="79"/>
  <c r="A9796" i="80" s="1"/>
  <c r="C9847" i="79"/>
  <c r="C9517" i="79"/>
  <c r="I9467" i="79"/>
  <c r="A9466" i="80" s="1"/>
  <c r="I9537" i="79"/>
  <c r="A9536" i="80" s="1"/>
  <c r="C9587" i="79"/>
  <c r="I9902" i="79"/>
  <c r="A9901" i="80" s="1"/>
  <c r="C9952" i="79"/>
  <c r="I9722" i="79"/>
  <c r="A9721" i="80" s="1"/>
  <c r="C9772" i="79"/>
  <c r="I9592" i="79"/>
  <c r="A9591" i="80" s="1"/>
  <c r="C9642" i="79"/>
  <c r="C14746" i="79"/>
  <c r="I14696" i="79"/>
  <c r="A14695" i="80" s="1"/>
  <c r="C14716" i="79"/>
  <c r="I14666" i="79"/>
  <c r="A14665" i="80" s="1"/>
  <c r="I14751" i="79"/>
  <c r="A14750" i="80" s="1"/>
  <c r="C14801" i="79"/>
  <c r="C14806" i="79"/>
  <c r="I14756" i="79"/>
  <c r="A14755" i="80" s="1"/>
  <c r="I14786" i="79"/>
  <c r="A14785" i="80" s="1"/>
  <c r="C14836" i="79"/>
  <c r="I14841" i="79"/>
  <c r="A14840" i="80" s="1"/>
  <c r="C14891" i="79"/>
  <c r="C14931" i="79"/>
  <c r="I14881" i="79"/>
  <c r="A14880" i="80" s="1"/>
  <c r="I9407" i="79"/>
  <c r="A9406" i="80" s="1"/>
  <c r="C9457" i="79"/>
  <c r="I9527" i="79"/>
  <c r="A9526" i="80" s="1"/>
  <c r="C9577" i="79"/>
  <c r="I14826" i="79"/>
  <c r="A14825" i="80" s="1"/>
  <c r="C14876" i="79"/>
  <c r="I14721" i="79"/>
  <c r="A14720" i="80" s="1"/>
  <c r="C14771" i="79"/>
  <c r="C14981" i="79" l="1"/>
  <c r="I14931" i="79"/>
  <c r="A14930" i="80" s="1"/>
  <c r="C14821" i="79"/>
  <c r="I14771" i="79"/>
  <c r="A14770" i="80" s="1"/>
  <c r="I14876" i="79"/>
  <c r="A14875" i="80" s="1"/>
  <c r="C14926" i="79"/>
  <c r="I9577" i="79"/>
  <c r="A9576" i="80" s="1"/>
  <c r="C9627" i="79"/>
  <c r="C9507" i="79"/>
  <c r="I9457" i="79"/>
  <c r="A9456" i="80" s="1"/>
  <c r="C14941" i="79"/>
  <c r="I14891" i="79"/>
  <c r="A14890" i="80" s="1"/>
  <c r="C14886" i="79"/>
  <c r="I14836" i="79"/>
  <c r="A14835" i="80" s="1"/>
  <c r="C14851" i="79"/>
  <c r="I14801" i="79"/>
  <c r="A14800" i="80" s="1"/>
  <c r="I9642" i="79"/>
  <c r="A9641" i="80" s="1"/>
  <c r="C9692" i="79"/>
  <c r="I9772" i="79"/>
  <c r="A9771" i="80" s="1"/>
  <c r="C9822" i="79"/>
  <c r="I9952" i="79"/>
  <c r="A9951" i="80" s="1"/>
  <c r="C10002" i="79"/>
  <c r="I9587" i="79"/>
  <c r="A9586" i="80" s="1"/>
  <c r="C9637" i="79"/>
  <c r="I9847" i="79"/>
  <c r="A9846" i="80" s="1"/>
  <c r="C9897" i="79"/>
  <c r="C9532" i="79"/>
  <c r="I9482" i="79"/>
  <c r="A9481" i="80" s="1"/>
  <c r="I9762" i="79"/>
  <c r="A9761" i="80" s="1"/>
  <c r="C9812" i="79"/>
  <c r="C14961" i="79"/>
  <c r="I14911" i="79"/>
  <c r="A14910" i="80" s="1"/>
  <c r="I14806" i="79"/>
  <c r="A14805" i="80" s="1"/>
  <c r="C14856" i="79"/>
  <c r="C14766" i="79"/>
  <c r="I14716" i="79"/>
  <c r="A14715" i="80" s="1"/>
  <c r="C14796" i="79"/>
  <c r="I14746" i="79"/>
  <c r="A14745" i="80" s="1"/>
  <c r="I9517" i="79"/>
  <c r="A9516" i="80" s="1"/>
  <c r="C9567" i="79"/>
  <c r="C9617" i="79" l="1"/>
  <c r="I9567" i="79"/>
  <c r="A9566" i="80" s="1"/>
  <c r="I14856" i="79"/>
  <c r="A14855" i="80" s="1"/>
  <c r="C14906" i="79"/>
  <c r="I9812" i="79"/>
  <c r="A9811" i="80" s="1"/>
  <c r="C9862" i="79"/>
  <c r="I9897" i="79"/>
  <c r="A9896" i="80" s="1"/>
  <c r="C9947" i="79"/>
  <c r="I9637" i="79"/>
  <c r="A9636" i="80" s="1"/>
  <c r="C9687" i="79"/>
  <c r="C10052" i="79"/>
  <c r="I10002" i="79"/>
  <c r="A10001" i="80" s="1"/>
  <c r="I9822" i="79"/>
  <c r="A9821" i="80" s="1"/>
  <c r="C9872" i="79"/>
  <c r="I9692" i="79"/>
  <c r="A9691" i="80" s="1"/>
  <c r="C9742" i="79"/>
  <c r="I9627" i="79"/>
  <c r="A9626" i="80" s="1"/>
  <c r="C9677" i="79"/>
  <c r="C14976" i="79"/>
  <c r="I14926" i="79"/>
  <c r="A14925" i="80" s="1"/>
  <c r="C14846" i="79"/>
  <c r="I14796" i="79"/>
  <c r="A14795" i="80" s="1"/>
  <c r="C14816" i="79"/>
  <c r="I14766" i="79"/>
  <c r="A14765" i="80" s="1"/>
  <c r="C15011" i="79"/>
  <c r="I14961" i="79"/>
  <c r="A14960" i="80" s="1"/>
  <c r="I9532" i="79"/>
  <c r="A9531" i="80" s="1"/>
  <c r="C9582" i="79"/>
  <c r="C14901" i="79"/>
  <c r="I14851" i="79"/>
  <c r="A14850" i="80" s="1"/>
  <c r="I14886" i="79"/>
  <c r="A14885" i="80" s="1"/>
  <c r="C14936" i="79"/>
  <c r="I14941" i="79"/>
  <c r="A14940" i="80" s="1"/>
  <c r="C14991" i="79"/>
  <c r="C9557" i="79"/>
  <c r="I9507" i="79"/>
  <c r="A9506" i="80" s="1"/>
  <c r="C14871" i="79"/>
  <c r="I14821" i="79"/>
  <c r="A14820" i="80" s="1"/>
  <c r="C15031" i="79"/>
  <c r="I14981" i="79"/>
  <c r="A14980" i="80" s="1"/>
  <c r="I14991" i="79" l="1"/>
  <c r="A14990" i="80" s="1"/>
  <c r="C15041" i="79"/>
  <c r="I14936" i="79"/>
  <c r="A14935" i="80" s="1"/>
  <c r="C14986" i="79"/>
  <c r="I9582" i="79"/>
  <c r="A9581" i="80" s="1"/>
  <c r="C9632" i="79"/>
  <c r="I9677" i="79"/>
  <c r="A9676" i="80" s="1"/>
  <c r="C9727" i="79"/>
  <c r="I9742" i="79"/>
  <c r="A9741" i="80" s="1"/>
  <c r="C9792" i="79"/>
  <c r="C9922" i="79"/>
  <c r="I9872" i="79"/>
  <c r="A9871" i="80" s="1"/>
  <c r="I9687" i="79"/>
  <c r="A9686" i="80" s="1"/>
  <c r="C9737" i="79"/>
  <c r="I9947" i="79"/>
  <c r="A9946" i="80" s="1"/>
  <c r="C9997" i="79"/>
  <c r="I9862" i="79"/>
  <c r="A9861" i="80" s="1"/>
  <c r="C9912" i="79"/>
  <c r="I14906" i="79"/>
  <c r="A14905" i="80" s="1"/>
  <c r="C14956" i="79"/>
  <c r="C15081" i="79"/>
  <c r="I15031" i="79"/>
  <c r="A15030" i="80" s="1"/>
  <c r="C14921" i="79"/>
  <c r="I14871" i="79"/>
  <c r="A14870" i="80" s="1"/>
  <c r="I9557" i="79"/>
  <c r="A9556" i="80" s="1"/>
  <c r="C9607" i="79"/>
  <c r="I14901" i="79"/>
  <c r="A14900" i="80" s="1"/>
  <c r="C14951" i="79"/>
  <c r="C15061" i="79"/>
  <c r="I15011" i="79"/>
  <c r="A15010" i="80" s="1"/>
  <c r="I14816" i="79"/>
  <c r="A14815" i="80" s="1"/>
  <c r="C14866" i="79"/>
  <c r="C14896" i="79"/>
  <c r="I14846" i="79"/>
  <c r="A14845" i="80" s="1"/>
  <c r="I14976" i="79"/>
  <c r="A14975" i="80" s="1"/>
  <c r="C15026" i="79"/>
  <c r="I10052" i="79"/>
  <c r="A10051" i="80" s="1"/>
  <c r="C10102" i="79"/>
  <c r="I9617" i="79"/>
  <c r="A9616" i="80" s="1"/>
  <c r="C9667" i="79"/>
  <c r="I14866" i="79" l="1"/>
  <c r="A14865" i="80" s="1"/>
  <c r="C14916" i="79"/>
  <c r="C9787" i="79"/>
  <c r="I9737" i="79"/>
  <c r="A9736" i="80" s="1"/>
  <c r="I9667" i="79"/>
  <c r="A9666" i="80" s="1"/>
  <c r="C9717" i="79"/>
  <c r="I10102" i="79"/>
  <c r="A10101" i="80" s="1"/>
  <c r="C10152" i="79"/>
  <c r="I15026" i="79"/>
  <c r="A15025" i="80" s="1"/>
  <c r="C15076" i="79"/>
  <c r="I14951" i="79"/>
  <c r="A14950" i="80" s="1"/>
  <c r="C15001" i="79"/>
  <c r="I9607" i="79"/>
  <c r="A9606" i="80" s="1"/>
  <c r="C9657" i="79"/>
  <c r="C15006" i="79"/>
  <c r="I14956" i="79"/>
  <c r="A14955" i="80" s="1"/>
  <c r="C9962" i="79"/>
  <c r="I9912" i="79"/>
  <c r="A9911" i="80" s="1"/>
  <c r="I9997" i="79"/>
  <c r="A9996" i="80" s="1"/>
  <c r="C10047" i="79"/>
  <c r="I9792" i="79"/>
  <c r="A9791" i="80" s="1"/>
  <c r="C9842" i="79"/>
  <c r="I9727" i="79"/>
  <c r="A9726" i="80" s="1"/>
  <c r="C9777" i="79"/>
  <c r="I9632" i="79"/>
  <c r="A9631" i="80" s="1"/>
  <c r="C9682" i="79"/>
  <c r="I14986" i="79"/>
  <c r="A14985" i="80" s="1"/>
  <c r="C15036" i="79"/>
  <c r="I15041" i="79"/>
  <c r="A15040" i="80" s="1"/>
  <c r="C15091" i="79"/>
  <c r="I14896" i="79"/>
  <c r="A14895" i="80" s="1"/>
  <c r="C14946" i="79"/>
  <c r="C15111" i="79"/>
  <c r="I15061" i="79"/>
  <c r="A15060" i="80" s="1"/>
  <c r="I14921" i="79"/>
  <c r="A14920" i="80" s="1"/>
  <c r="C14971" i="79"/>
  <c r="C15131" i="79"/>
  <c r="I15081" i="79"/>
  <c r="A15080" i="80" s="1"/>
  <c r="I9922" i="79"/>
  <c r="A9921" i="80" s="1"/>
  <c r="C9972" i="79"/>
  <c r="C15181" i="79" l="1"/>
  <c r="I15131" i="79"/>
  <c r="A15130" i="80" s="1"/>
  <c r="I9972" i="79"/>
  <c r="A9971" i="80" s="1"/>
  <c r="C10022" i="79"/>
  <c r="C15021" i="79"/>
  <c r="I14971" i="79"/>
  <c r="A14970" i="80" s="1"/>
  <c r="C14996" i="79"/>
  <c r="I14946" i="79"/>
  <c r="A14945" i="80" s="1"/>
  <c r="C15141" i="79"/>
  <c r="I15091" i="79"/>
  <c r="A15090" i="80" s="1"/>
  <c r="I15036" i="79"/>
  <c r="A15035" i="80" s="1"/>
  <c r="C15086" i="79"/>
  <c r="I9682" i="79"/>
  <c r="A9681" i="80" s="1"/>
  <c r="C9732" i="79"/>
  <c r="I9777" i="79"/>
  <c r="A9776" i="80" s="1"/>
  <c r="C9827" i="79"/>
  <c r="I9842" i="79"/>
  <c r="A9841" i="80" s="1"/>
  <c r="C9892" i="79"/>
  <c r="I10047" i="79"/>
  <c r="A10046" i="80" s="1"/>
  <c r="C10097" i="79"/>
  <c r="I9657" i="79"/>
  <c r="A9656" i="80" s="1"/>
  <c r="C9707" i="79"/>
  <c r="C15051" i="79"/>
  <c r="I15001" i="79"/>
  <c r="A15000" i="80" s="1"/>
  <c r="C15126" i="79"/>
  <c r="I15076" i="79"/>
  <c r="A15075" i="80" s="1"/>
  <c r="C10202" i="79"/>
  <c r="I10152" i="79"/>
  <c r="A10151" i="80" s="1"/>
  <c r="I9717" i="79"/>
  <c r="A9716" i="80" s="1"/>
  <c r="C9767" i="79"/>
  <c r="I14916" i="79"/>
  <c r="A14915" i="80" s="1"/>
  <c r="C14966" i="79"/>
  <c r="C15161" i="79"/>
  <c r="I15111" i="79"/>
  <c r="A15110" i="80" s="1"/>
  <c r="I9962" i="79"/>
  <c r="A9961" i="80" s="1"/>
  <c r="C10012" i="79"/>
  <c r="I15006" i="79"/>
  <c r="A15005" i="80" s="1"/>
  <c r="C15056" i="79"/>
  <c r="I9787" i="79"/>
  <c r="A9786" i="80" s="1"/>
  <c r="C9837" i="79"/>
  <c r="I9837" i="79" l="1"/>
  <c r="A9836" i="80" s="1"/>
  <c r="C9887" i="79"/>
  <c r="C15106" i="79"/>
  <c r="I15056" i="79"/>
  <c r="A15055" i="80" s="1"/>
  <c r="C10062" i="79"/>
  <c r="I10012" i="79"/>
  <c r="A10011" i="80" s="1"/>
  <c r="C15016" i="79"/>
  <c r="I14966" i="79"/>
  <c r="A14965" i="80" s="1"/>
  <c r="C9817" i="79"/>
  <c r="I9767" i="79"/>
  <c r="A9766" i="80" s="1"/>
  <c r="I9707" i="79"/>
  <c r="A9706" i="80" s="1"/>
  <c r="C9757" i="79"/>
  <c r="I10097" i="79"/>
  <c r="A10096" i="80" s="1"/>
  <c r="C10147" i="79"/>
  <c r="I9892" i="79"/>
  <c r="A9891" i="80" s="1"/>
  <c r="C9942" i="79"/>
  <c r="I9827" i="79"/>
  <c r="A9826" i="80" s="1"/>
  <c r="C9877" i="79"/>
  <c r="I9732" i="79"/>
  <c r="A9731" i="80" s="1"/>
  <c r="C9782" i="79"/>
  <c r="C15136" i="79"/>
  <c r="I15086" i="79"/>
  <c r="A15085" i="80" s="1"/>
  <c r="I10022" i="79"/>
  <c r="A10021" i="80" s="1"/>
  <c r="C10072" i="79"/>
  <c r="I15161" i="79"/>
  <c r="A15160" i="80" s="1"/>
  <c r="C15211" i="79"/>
  <c r="I10202" i="79"/>
  <c r="A10201" i="80" s="1"/>
  <c r="C10252" i="79"/>
  <c r="C15176" i="79"/>
  <c r="I15126" i="79"/>
  <c r="A15125" i="80" s="1"/>
  <c r="I15051" i="79"/>
  <c r="A15050" i="80" s="1"/>
  <c r="C15101" i="79"/>
  <c r="I15141" i="79"/>
  <c r="A15140" i="80" s="1"/>
  <c r="C15191" i="79"/>
  <c r="C15046" i="79"/>
  <c r="I14996" i="79"/>
  <c r="A14995" i="80" s="1"/>
  <c r="C15071" i="79"/>
  <c r="I15021" i="79"/>
  <c r="A15020" i="80" s="1"/>
  <c r="C15231" i="79"/>
  <c r="I15181" i="79"/>
  <c r="A15180" i="80" s="1"/>
  <c r="I15191" i="79" l="1"/>
  <c r="A15190" i="80" s="1"/>
  <c r="C15241" i="79"/>
  <c r="I15101" i="79"/>
  <c r="A15100" i="80" s="1"/>
  <c r="C15151" i="79"/>
  <c r="I10252" i="79"/>
  <c r="A10251" i="80" s="1"/>
  <c r="C10302" i="79"/>
  <c r="I15211" i="79"/>
  <c r="A15210" i="80" s="1"/>
  <c r="C15261" i="79"/>
  <c r="C10122" i="79"/>
  <c r="I10072" i="79"/>
  <c r="A10071" i="80" s="1"/>
  <c r="I9782" i="79"/>
  <c r="A9781" i="80" s="1"/>
  <c r="C9832" i="79"/>
  <c r="I9877" i="79"/>
  <c r="A9876" i="80" s="1"/>
  <c r="C9927" i="79"/>
  <c r="C9992" i="79"/>
  <c r="I9942" i="79"/>
  <c r="A9941" i="80" s="1"/>
  <c r="I10147" i="79"/>
  <c r="A10146" i="80" s="1"/>
  <c r="C10197" i="79"/>
  <c r="I9757" i="79"/>
  <c r="A9756" i="80" s="1"/>
  <c r="C9807" i="79"/>
  <c r="I9887" i="79"/>
  <c r="A9886" i="80" s="1"/>
  <c r="C9937" i="79"/>
  <c r="C15281" i="79"/>
  <c r="I15231" i="79"/>
  <c r="A15230" i="80" s="1"/>
  <c r="I15071" i="79"/>
  <c r="A15070" i="80" s="1"/>
  <c r="C15121" i="79"/>
  <c r="C15096" i="79"/>
  <c r="I15046" i="79"/>
  <c r="A15045" i="80" s="1"/>
  <c r="I15176" i="79"/>
  <c r="A15175" i="80" s="1"/>
  <c r="C15226" i="79"/>
  <c r="C15186" i="79"/>
  <c r="I15136" i="79"/>
  <c r="A15135" i="80" s="1"/>
  <c r="I9817" i="79"/>
  <c r="A9816" i="80" s="1"/>
  <c r="C9867" i="79"/>
  <c r="I15016" i="79"/>
  <c r="A15015" i="80" s="1"/>
  <c r="C15066" i="79"/>
  <c r="I10062" i="79"/>
  <c r="A10061" i="80" s="1"/>
  <c r="C10112" i="79"/>
  <c r="C15156" i="79"/>
  <c r="I15106" i="79"/>
  <c r="A15105" i="80" s="1"/>
  <c r="I10112" i="79" l="1"/>
  <c r="A10111" i="80" s="1"/>
  <c r="C10162" i="79"/>
  <c r="I15066" i="79"/>
  <c r="A15065" i="80" s="1"/>
  <c r="C15116" i="79"/>
  <c r="I9867" i="79"/>
  <c r="A9866" i="80" s="1"/>
  <c r="C9917" i="79"/>
  <c r="I15226" i="79"/>
  <c r="A15225" i="80" s="1"/>
  <c r="C15276" i="79"/>
  <c r="C15171" i="79"/>
  <c r="I15121" i="79"/>
  <c r="A15120" i="80" s="1"/>
  <c r="I9937" i="79"/>
  <c r="A9936" i="80" s="1"/>
  <c r="C9987" i="79"/>
  <c r="I9807" i="79"/>
  <c r="A9806" i="80" s="1"/>
  <c r="C9857" i="79"/>
  <c r="I10197" i="79"/>
  <c r="A10196" i="80" s="1"/>
  <c r="C10247" i="79"/>
  <c r="I9927" i="79"/>
  <c r="A9926" i="80" s="1"/>
  <c r="C9977" i="79"/>
  <c r="I9832" i="79"/>
  <c r="A9831" i="80" s="1"/>
  <c r="C9882" i="79"/>
  <c r="C15311" i="79"/>
  <c r="I15261" i="79"/>
  <c r="A15260" i="80" s="1"/>
  <c r="I10302" i="79"/>
  <c r="A10301" i="80" s="1"/>
  <c r="C10352" i="79"/>
  <c r="C15201" i="79"/>
  <c r="I15151" i="79"/>
  <c r="A15150" i="80" s="1"/>
  <c r="C15291" i="79"/>
  <c r="I15241" i="79"/>
  <c r="A15240" i="80" s="1"/>
  <c r="I15156" i="79"/>
  <c r="A15155" i="80" s="1"/>
  <c r="C15206" i="79"/>
  <c r="C15236" i="79"/>
  <c r="I15186" i="79"/>
  <c r="A15185" i="80" s="1"/>
  <c r="I15096" i="79"/>
  <c r="A15095" i="80" s="1"/>
  <c r="C15146" i="79"/>
  <c r="C15331" i="79"/>
  <c r="I15281" i="79"/>
  <c r="A15280" i="80" s="1"/>
  <c r="I9992" i="79"/>
  <c r="A9991" i="80" s="1"/>
  <c r="C10042" i="79"/>
  <c r="I10122" i="79"/>
  <c r="A10121" i="80" s="1"/>
  <c r="C10172" i="79"/>
  <c r="C10222" i="79" l="1"/>
  <c r="I10172" i="79"/>
  <c r="A10171" i="80" s="1"/>
  <c r="I10042" i="79"/>
  <c r="A10041" i="80" s="1"/>
  <c r="C10092" i="79"/>
  <c r="C15196" i="79"/>
  <c r="I15146" i="79"/>
  <c r="A15145" i="80" s="1"/>
  <c r="I15206" i="79"/>
  <c r="A15205" i="80" s="1"/>
  <c r="C15256" i="79"/>
  <c r="I10352" i="79"/>
  <c r="A10351" i="80" s="1"/>
  <c r="C10402" i="79"/>
  <c r="I9882" i="79"/>
  <c r="A9881" i="80" s="1"/>
  <c r="C9932" i="79"/>
  <c r="I9977" i="79"/>
  <c r="A9976" i="80" s="1"/>
  <c r="C10027" i="79"/>
  <c r="I10247" i="79"/>
  <c r="A10246" i="80" s="1"/>
  <c r="C10297" i="79"/>
  <c r="I9857" i="79"/>
  <c r="A9856" i="80" s="1"/>
  <c r="C9907" i="79"/>
  <c r="C10037" i="79"/>
  <c r="I9987" i="79"/>
  <c r="A9986" i="80" s="1"/>
  <c r="C15326" i="79"/>
  <c r="I15276" i="79"/>
  <c r="A15275" i="80" s="1"/>
  <c r="I9917" i="79"/>
  <c r="A9916" i="80" s="1"/>
  <c r="C9967" i="79"/>
  <c r="I15116" i="79"/>
  <c r="A15115" i="80" s="1"/>
  <c r="C15166" i="79"/>
  <c r="I10162" i="79"/>
  <c r="A10161" i="80" s="1"/>
  <c r="C10212" i="79"/>
  <c r="I15331" i="79"/>
  <c r="A15330" i="80" s="1"/>
  <c r="C15381" i="79"/>
  <c r="C15286" i="79"/>
  <c r="I15236" i="79"/>
  <c r="A15235" i="80" s="1"/>
  <c r="I15291" i="79"/>
  <c r="A15290" i="80" s="1"/>
  <c r="C15341" i="79"/>
  <c r="C15251" i="79"/>
  <c r="I15201" i="79"/>
  <c r="A15200" i="80" s="1"/>
  <c r="C15361" i="79"/>
  <c r="I15311" i="79"/>
  <c r="A15310" i="80" s="1"/>
  <c r="C15221" i="79"/>
  <c r="I15171" i="79"/>
  <c r="A15170" i="80" s="1"/>
  <c r="I15341" i="79" l="1"/>
  <c r="A15340" i="80" s="1"/>
  <c r="C15391" i="79"/>
  <c r="I15381" i="79"/>
  <c r="A15380" i="80" s="1"/>
  <c r="C15431" i="79"/>
  <c r="C10262" i="79"/>
  <c r="I10212" i="79"/>
  <c r="A10211" i="80" s="1"/>
  <c r="C15216" i="79"/>
  <c r="I15166" i="79"/>
  <c r="A15165" i="80" s="1"/>
  <c r="I9967" i="79"/>
  <c r="A9966" i="80" s="1"/>
  <c r="C10017" i="79"/>
  <c r="I9907" i="79"/>
  <c r="A9906" i="80" s="1"/>
  <c r="C9957" i="79"/>
  <c r="I10297" i="79"/>
  <c r="A10296" i="80" s="1"/>
  <c r="C10347" i="79"/>
  <c r="C10077" i="79"/>
  <c r="I10027" i="79"/>
  <c r="A10026" i="80" s="1"/>
  <c r="C9982" i="79"/>
  <c r="I9932" i="79"/>
  <c r="A9931" i="80" s="1"/>
  <c r="I10402" i="79"/>
  <c r="A10401" i="80" s="1"/>
  <c r="C10452" i="79"/>
  <c r="C15306" i="79"/>
  <c r="I15256" i="79"/>
  <c r="A15255" i="80" s="1"/>
  <c r="I10092" i="79"/>
  <c r="A10091" i="80" s="1"/>
  <c r="C10142" i="79"/>
  <c r="C15271" i="79"/>
  <c r="I15221" i="79"/>
  <c r="A15220" i="80" s="1"/>
  <c r="I15361" i="79"/>
  <c r="A15360" i="80" s="1"/>
  <c r="C15411" i="79"/>
  <c r="C15301" i="79"/>
  <c r="I15251" i="79"/>
  <c r="A15250" i="80" s="1"/>
  <c r="C15336" i="79"/>
  <c r="I15286" i="79"/>
  <c r="A15285" i="80" s="1"/>
  <c r="C15376" i="79"/>
  <c r="I15326" i="79"/>
  <c r="A15325" i="80" s="1"/>
  <c r="C10087" i="79"/>
  <c r="I10037" i="79"/>
  <c r="A10036" i="80" s="1"/>
  <c r="C15246" i="79"/>
  <c r="I15196" i="79"/>
  <c r="A15195" i="80" s="1"/>
  <c r="I10222" i="79"/>
  <c r="A10221" i="80" s="1"/>
  <c r="C10272" i="79"/>
  <c r="I15411" i="79" l="1"/>
  <c r="A15410" i="80" s="1"/>
  <c r="C15461" i="79"/>
  <c r="I10142" i="79"/>
  <c r="A10141" i="80" s="1"/>
  <c r="C10192" i="79"/>
  <c r="I10452" i="79"/>
  <c r="A10451" i="80" s="1"/>
  <c r="C10502" i="79"/>
  <c r="I10347" i="79"/>
  <c r="A10346" i="80" s="1"/>
  <c r="C10397" i="79"/>
  <c r="I9957" i="79"/>
  <c r="A9956" i="80" s="1"/>
  <c r="C10007" i="79"/>
  <c r="I10017" i="79"/>
  <c r="A10016" i="80" s="1"/>
  <c r="C10067" i="79"/>
  <c r="I15431" i="79"/>
  <c r="A15430" i="80" s="1"/>
  <c r="C15481" i="79"/>
  <c r="I15391" i="79"/>
  <c r="A15390" i="80" s="1"/>
  <c r="C15441" i="79"/>
  <c r="I10272" i="79"/>
  <c r="A10271" i="80" s="1"/>
  <c r="C10322" i="79"/>
  <c r="C15296" i="79"/>
  <c r="I15246" i="79"/>
  <c r="A15245" i="80" s="1"/>
  <c r="I10087" i="79"/>
  <c r="A10086" i="80" s="1"/>
  <c r="C10137" i="79"/>
  <c r="I15376" i="79"/>
  <c r="A15375" i="80" s="1"/>
  <c r="C15426" i="79"/>
  <c r="I15336" i="79"/>
  <c r="A15335" i="80" s="1"/>
  <c r="C15386" i="79"/>
  <c r="C15351" i="79"/>
  <c r="I15301" i="79"/>
  <c r="A15300" i="80" s="1"/>
  <c r="C15321" i="79"/>
  <c r="I15271" i="79"/>
  <c r="A15270" i="80" s="1"/>
  <c r="C15356" i="79"/>
  <c r="I15306" i="79"/>
  <c r="A15305" i="80" s="1"/>
  <c r="C10032" i="79"/>
  <c r="I9982" i="79"/>
  <c r="A9981" i="80" s="1"/>
  <c r="I10077" i="79"/>
  <c r="A10076" i="80" s="1"/>
  <c r="C10127" i="79"/>
  <c r="C15266" i="79"/>
  <c r="I15216" i="79"/>
  <c r="A15215" i="80" s="1"/>
  <c r="C10312" i="79"/>
  <c r="I10262" i="79"/>
  <c r="A10261" i="80" s="1"/>
  <c r="C10362" i="79" l="1"/>
  <c r="I10312" i="79"/>
  <c r="A10311" i="80" s="1"/>
  <c r="I15266" i="79"/>
  <c r="A15265" i="80" s="1"/>
  <c r="C15316" i="79"/>
  <c r="I10032" i="79"/>
  <c r="A10031" i="80" s="1"/>
  <c r="C10082" i="79"/>
  <c r="I15356" i="79"/>
  <c r="A15355" i="80" s="1"/>
  <c r="C15406" i="79"/>
  <c r="C15371" i="79"/>
  <c r="I15321" i="79"/>
  <c r="A15320" i="80" s="1"/>
  <c r="I15351" i="79"/>
  <c r="A15350" i="80" s="1"/>
  <c r="C15401" i="79"/>
  <c r="I10127" i="79"/>
  <c r="A10126" i="80" s="1"/>
  <c r="C10177" i="79"/>
  <c r="I15386" i="79"/>
  <c r="A15385" i="80" s="1"/>
  <c r="C15436" i="79"/>
  <c r="I15426" i="79"/>
  <c r="A15425" i="80" s="1"/>
  <c r="C15476" i="79"/>
  <c r="I10137" i="79"/>
  <c r="A10136" i="80" s="1"/>
  <c r="C10187" i="79"/>
  <c r="I10322" i="79"/>
  <c r="A10321" i="80" s="1"/>
  <c r="C10372" i="79"/>
  <c r="C15491" i="79"/>
  <c r="I15441" i="79"/>
  <c r="A15440" i="80" s="1"/>
  <c r="I15481" i="79"/>
  <c r="A15480" i="80" s="1"/>
  <c r="C15531" i="79"/>
  <c r="I10067" i="79"/>
  <c r="A10066" i="80" s="1"/>
  <c r="C10117" i="79"/>
  <c r="C10057" i="79"/>
  <c r="I10007" i="79"/>
  <c r="A10006" i="80" s="1"/>
  <c r="I10397" i="79"/>
  <c r="A10396" i="80" s="1"/>
  <c r="C10447" i="79"/>
  <c r="I10502" i="79"/>
  <c r="A10501" i="80" s="1"/>
  <c r="C10552" i="79"/>
  <c r="C10242" i="79"/>
  <c r="I10192" i="79"/>
  <c r="A10191" i="80" s="1"/>
  <c r="C15511" i="79"/>
  <c r="I15461" i="79"/>
  <c r="A15460" i="80" s="1"/>
  <c r="I15296" i="79"/>
  <c r="A15295" i="80" s="1"/>
  <c r="C15346" i="79"/>
  <c r="C10107" i="79" l="1"/>
  <c r="I10057" i="79"/>
  <c r="A10056" i="80" s="1"/>
  <c r="I15346" i="79"/>
  <c r="A15345" i="80" s="1"/>
  <c r="C15396" i="79"/>
  <c r="I10552" i="79"/>
  <c r="A10551" i="80" s="1"/>
  <c r="C10602" i="79"/>
  <c r="I10447" i="79"/>
  <c r="A10446" i="80" s="1"/>
  <c r="C10497" i="79"/>
  <c r="I10117" i="79"/>
  <c r="A10116" i="80" s="1"/>
  <c r="C10167" i="79"/>
  <c r="C15581" i="79"/>
  <c r="I15531" i="79"/>
  <c r="A15530" i="80" s="1"/>
  <c r="I10372" i="79"/>
  <c r="A10371" i="80" s="1"/>
  <c r="C10422" i="79"/>
  <c r="I10187" i="79"/>
  <c r="A10186" i="80" s="1"/>
  <c r="C10237" i="79"/>
  <c r="I15476" i="79"/>
  <c r="A15475" i="80" s="1"/>
  <c r="C15526" i="79"/>
  <c r="I15436" i="79"/>
  <c r="A15435" i="80" s="1"/>
  <c r="C15486" i="79"/>
  <c r="I10177" i="79"/>
  <c r="A10176" i="80" s="1"/>
  <c r="C10227" i="79"/>
  <c r="I15401" i="79"/>
  <c r="A15400" i="80" s="1"/>
  <c r="C15451" i="79"/>
  <c r="C15456" i="79"/>
  <c r="I15406" i="79"/>
  <c r="A15405" i="80" s="1"/>
  <c r="I10082" i="79"/>
  <c r="A10081" i="80" s="1"/>
  <c r="C10132" i="79"/>
  <c r="I15316" i="79"/>
  <c r="A15315" i="80" s="1"/>
  <c r="C15366" i="79"/>
  <c r="C15561" i="79"/>
  <c r="I15511" i="79"/>
  <c r="A15510" i="80" s="1"/>
  <c r="I10242" i="79"/>
  <c r="A10241" i="80" s="1"/>
  <c r="C10292" i="79"/>
  <c r="C15541" i="79"/>
  <c r="I15491" i="79"/>
  <c r="A15490" i="80" s="1"/>
  <c r="I15371" i="79"/>
  <c r="A15370" i="80" s="1"/>
  <c r="C15421" i="79"/>
  <c r="I10362" i="79"/>
  <c r="A10361" i="80" s="1"/>
  <c r="C10412" i="79"/>
  <c r="I15456" i="79" l="1"/>
  <c r="A15455" i="80" s="1"/>
  <c r="C15506" i="79"/>
  <c r="I10412" i="79"/>
  <c r="A10411" i="80" s="1"/>
  <c r="C10462" i="79"/>
  <c r="I15421" i="79"/>
  <c r="A15420" i="80" s="1"/>
  <c r="C15471" i="79"/>
  <c r="I10292" i="79"/>
  <c r="A10291" i="80" s="1"/>
  <c r="C10342" i="79"/>
  <c r="I15366" i="79"/>
  <c r="A15365" i="80" s="1"/>
  <c r="C15416" i="79"/>
  <c r="I10132" i="79"/>
  <c r="A10131" i="80" s="1"/>
  <c r="C10182" i="79"/>
  <c r="C15501" i="79"/>
  <c r="I15451" i="79"/>
  <c r="A15450" i="80" s="1"/>
  <c r="I10227" i="79"/>
  <c r="A10226" i="80" s="1"/>
  <c r="C10277" i="79"/>
  <c r="C15536" i="79"/>
  <c r="I15486" i="79"/>
  <c r="A15485" i="80" s="1"/>
  <c r="I15526" i="79"/>
  <c r="A15525" i="80" s="1"/>
  <c r="C15576" i="79"/>
  <c r="I10237" i="79"/>
  <c r="A10236" i="80" s="1"/>
  <c r="C10287" i="79"/>
  <c r="I10422" i="79"/>
  <c r="A10421" i="80" s="1"/>
  <c r="C10472" i="79"/>
  <c r="I10167" i="79"/>
  <c r="A10166" i="80" s="1"/>
  <c r="C10217" i="79"/>
  <c r="I10497" i="79"/>
  <c r="A10496" i="80" s="1"/>
  <c r="C10547" i="79"/>
  <c r="I10602" i="79"/>
  <c r="A10601" i="80" s="1"/>
  <c r="C10652" i="79"/>
  <c r="I15396" i="79"/>
  <c r="A15395" i="80" s="1"/>
  <c r="C15446" i="79"/>
  <c r="I15541" i="79"/>
  <c r="A15540" i="80" s="1"/>
  <c r="C15591" i="79"/>
  <c r="I15561" i="79"/>
  <c r="A15560" i="80" s="1"/>
  <c r="C15611" i="79"/>
  <c r="C15631" i="79"/>
  <c r="I15581" i="79"/>
  <c r="A15580" i="80" s="1"/>
  <c r="I10107" i="79"/>
  <c r="A10106" i="80" s="1"/>
  <c r="C10157" i="79"/>
  <c r="I15536" i="79" l="1"/>
  <c r="A15535" i="80" s="1"/>
  <c r="C15586" i="79"/>
  <c r="I10157" i="79"/>
  <c r="A10156" i="80" s="1"/>
  <c r="C10207" i="79"/>
  <c r="I15611" i="79"/>
  <c r="A15610" i="80" s="1"/>
  <c r="C15661" i="79"/>
  <c r="I15591" i="79"/>
  <c r="A15590" i="80" s="1"/>
  <c r="C15641" i="79"/>
  <c r="I15446" i="79"/>
  <c r="A15445" i="80" s="1"/>
  <c r="C15496" i="79"/>
  <c r="I10652" i="79"/>
  <c r="A10651" i="80" s="1"/>
  <c r="C10702" i="79"/>
  <c r="I10547" i="79"/>
  <c r="A10546" i="80" s="1"/>
  <c r="C10597" i="79"/>
  <c r="I10217" i="79"/>
  <c r="A10216" i="80" s="1"/>
  <c r="C10267" i="79"/>
  <c r="I10472" i="79"/>
  <c r="A10471" i="80" s="1"/>
  <c r="C10522" i="79"/>
  <c r="I10287" i="79"/>
  <c r="A10286" i="80" s="1"/>
  <c r="C10337" i="79"/>
  <c r="I15576" i="79"/>
  <c r="A15575" i="80" s="1"/>
  <c r="C15626" i="79"/>
  <c r="I10277" i="79"/>
  <c r="A10276" i="80" s="1"/>
  <c r="C10327" i="79"/>
  <c r="I10182" i="79"/>
  <c r="A10181" i="80" s="1"/>
  <c r="C10232" i="79"/>
  <c r="I15416" i="79"/>
  <c r="A15415" i="80" s="1"/>
  <c r="C15466" i="79"/>
  <c r="I10342" i="79"/>
  <c r="A10341" i="80" s="1"/>
  <c r="C10392" i="79"/>
  <c r="C15521" i="79"/>
  <c r="I15471" i="79"/>
  <c r="A15470" i="80" s="1"/>
  <c r="I10462" i="79"/>
  <c r="A10461" i="80" s="1"/>
  <c r="C10512" i="79"/>
  <c r="C15556" i="79"/>
  <c r="I15506" i="79"/>
  <c r="A15505" i="80" s="1"/>
  <c r="C15681" i="79"/>
  <c r="I15631" i="79"/>
  <c r="A15630" i="80" s="1"/>
  <c r="I15501" i="79"/>
  <c r="A15500" i="80" s="1"/>
  <c r="C15551" i="79"/>
  <c r="C15571" i="79" l="1"/>
  <c r="I15521" i="79"/>
  <c r="A15520" i="80" s="1"/>
  <c r="C15601" i="79"/>
  <c r="I15551" i="79"/>
  <c r="A15550" i="80" s="1"/>
  <c r="I10512" i="79"/>
  <c r="A10511" i="80" s="1"/>
  <c r="C10562" i="79"/>
  <c r="I10392" i="79"/>
  <c r="A10391" i="80" s="1"/>
  <c r="C10442" i="79"/>
  <c r="I15466" i="79"/>
  <c r="A15465" i="80" s="1"/>
  <c r="C15516" i="79"/>
  <c r="C10282" i="79"/>
  <c r="I10232" i="79"/>
  <c r="A10231" i="80" s="1"/>
  <c r="C10377" i="79"/>
  <c r="I10327" i="79"/>
  <c r="A10326" i="80" s="1"/>
  <c r="I15626" i="79"/>
  <c r="A15625" i="80" s="1"/>
  <c r="C15676" i="79"/>
  <c r="I10337" i="79"/>
  <c r="A10336" i="80" s="1"/>
  <c r="C10387" i="79"/>
  <c r="I10522" i="79"/>
  <c r="A10521" i="80" s="1"/>
  <c r="C10572" i="79"/>
  <c r="I10267" i="79"/>
  <c r="A10266" i="80" s="1"/>
  <c r="C10317" i="79"/>
  <c r="I10597" i="79"/>
  <c r="A10596" i="80" s="1"/>
  <c r="C10647" i="79"/>
  <c r="C10752" i="79"/>
  <c r="I10702" i="79"/>
  <c r="A10701" i="80" s="1"/>
  <c r="I15496" i="79"/>
  <c r="A15495" i="80" s="1"/>
  <c r="C15546" i="79"/>
  <c r="I15641" i="79"/>
  <c r="A15640" i="80" s="1"/>
  <c r="C15691" i="79"/>
  <c r="C15711" i="79"/>
  <c r="I15661" i="79"/>
  <c r="A15660" i="80" s="1"/>
  <c r="I10207" i="79"/>
  <c r="A10206" i="80" s="1"/>
  <c r="C10257" i="79"/>
  <c r="I15586" i="79"/>
  <c r="A15585" i="80" s="1"/>
  <c r="C15636" i="79"/>
  <c r="I15681" i="79"/>
  <c r="A15680" i="80" s="1"/>
  <c r="C15731" i="79"/>
  <c r="I15556" i="79"/>
  <c r="A15555" i="80" s="1"/>
  <c r="C15606" i="79"/>
  <c r="I15606" i="79" l="1"/>
  <c r="A15605" i="80" s="1"/>
  <c r="C15656" i="79"/>
  <c r="C15781" i="79"/>
  <c r="I15731" i="79"/>
  <c r="A15730" i="80" s="1"/>
  <c r="C15686" i="79"/>
  <c r="I15636" i="79"/>
  <c r="A15635" i="80" s="1"/>
  <c r="I10257" i="79"/>
  <c r="A10256" i="80" s="1"/>
  <c r="C10307" i="79"/>
  <c r="I15691" i="79"/>
  <c r="A15690" i="80" s="1"/>
  <c r="C15741" i="79"/>
  <c r="I15546" i="79"/>
  <c r="A15545" i="80" s="1"/>
  <c r="C15596" i="79"/>
  <c r="I10647" i="79"/>
  <c r="A10646" i="80" s="1"/>
  <c r="C10697" i="79"/>
  <c r="I10317" i="79"/>
  <c r="A10316" i="80" s="1"/>
  <c r="C10367" i="79"/>
  <c r="I10572" i="79"/>
  <c r="A10571" i="80" s="1"/>
  <c r="C10622" i="79"/>
  <c r="I10387" i="79"/>
  <c r="A10386" i="80" s="1"/>
  <c r="C10437" i="79"/>
  <c r="C15726" i="79"/>
  <c r="I15676" i="79"/>
  <c r="A15675" i="80" s="1"/>
  <c r="C15566" i="79"/>
  <c r="I15516" i="79"/>
  <c r="A15515" i="80" s="1"/>
  <c r="I10442" i="79"/>
  <c r="A10441" i="80" s="1"/>
  <c r="C10492" i="79"/>
  <c r="I10562" i="79"/>
  <c r="A10561" i="80" s="1"/>
  <c r="C10612" i="79"/>
  <c r="I15711" i="79"/>
  <c r="A15710" i="80" s="1"/>
  <c r="C15761" i="79"/>
  <c r="I10752" i="79"/>
  <c r="A10751" i="80" s="1"/>
  <c r="C10802" i="79"/>
  <c r="I10377" i="79"/>
  <c r="A10376" i="80" s="1"/>
  <c r="C10427" i="79"/>
  <c r="I10282" i="79"/>
  <c r="A10281" i="80" s="1"/>
  <c r="C10332" i="79"/>
  <c r="I15601" i="79"/>
  <c r="A15600" i="80" s="1"/>
  <c r="C15651" i="79"/>
  <c r="I15571" i="79"/>
  <c r="A15570" i="80" s="1"/>
  <c r="C15621" i="79"/>
  <c r="I15566" i="79" l="1"/>
  <c r="A15565" i="80" s="1"/>
  <c r="C15616" i="79"/>
  <c r="C15776" i="79"/>
  <c r="I15726" i="79"/>
  <c r="A15725" i="80" s="1"/>
  <c r="I15621" i="79"/>
  <c r="A15620" i="80" s="1"/>
  <c r="C15671" i="79"/>
  <c r="I15651" i="79"/>
  <c r="A15650" i="80" s="1"/>
  <c r="C15701" i="79"/>
  <c r="I10332" i="79"/>
  <c r="A10331" i="80" s="1"/>
  <c r="C10382" i="79"/>
  <c r="I10427" i="79"/>
  <c r="A10426" i="80" s="1"/>
  <c r="C10477" i="79"/>
  <c r="C10852" i="79"/>
  <c r="I10802" i="79"/>
  <c r="A10801" i="80" s="1"/>
  <c r="C15811" i="79"/>
  <c r="I15761" i="79"/>
  <c r="A15760" i="80" s="1"/>
  <c r="I10612" i="79"/>
  <c r="A10611" i="80" s="1"/>
  <c r="C10662" i="79"/>
  <c r="C10542" i="79"/>
  <c r="I10492" i="79"/>
  <c r="A10491" i="80" s="1"/>
  <c r="I10437" i="79"/>
  <c r="A10436" i="80" s="1"/>
  <c r="C10487" i="79"/>
  <c r="I10622" i="79"/>
  <c r="A10621" i="80" s="1"/>
  <c r="C10672" i="79"/>
  <c r="I10367" i="79"/>
  <c r="A10366" i="80" s="1"/>
  <c r="C10417" i="79"/>
  <c r="I10697" i="79"/>
  <c r="A10696" i="80" s="1"/>
  <c r="C10747" i="79"/>
  <c r="I15596" i="79"/>
  <c r="A15595" i="80" s="1"/>
  <c r="C15646" i="79"/>
  <c r="I15741" i="79"/>
  <c r="A15740" i="80" s="1"/>
  <c r="C15791" i="79"/>
  <c r="I10307" i="79"/>
  <c r="A10306" i="80" s="1"/>
  <c r="C10357" i="79"/>
  <c r="I15656" i="79"/>
  <c r="A15655" i="80" s="1"/>
  <c r="C15706" i="79"/>
  <c r="C15736" i="79"/>
  <c r="I15686" i="79"/>
  <c r="A15685" i="80" s="1"/>
  <c r="I15781" i="79"/>
  <c r="A15780" i="80" s="1"/>
  <c r="C15831" i="79"/>
  <c r="C15786" i="79" l="1"/>
  <c r="I15736" i="79"/>
  <c r="A15735" i="80" s="1"/>
  <c r="C15881" i="79"/>
  <c r="I15831" i="79"/>
  <c r="A15830" i="80" s="1"/>
  <c r="C15756" i="79"/>
  <c r="I15706" i="79"/>
  <c r="A15705" i="80" s="1"/>
  <c r="I10357" i="79"/>
  <c r="A10356" i="80" s="1"/>
  <c r="C10407" i="79"/>
  <c r="I15791" i="79"/>
  <c r="A15790" i="80" s="1"/>
  <c r="C15841" i="79"/>
  <c r="C15696" i="79"/>
  <c r="I15646" i="79"/>
  <c r="A15645" i="80" s="1"/>
  <c r="I10747" i="79"/>
  <c r="A10746" i="80" s="1"/>
  <c r="C10797" i="79"/>
  <c r="I10417" i="79"/>
  <c r="A10416" i="80" s="1"/>
  <c r="C10467" i="79"/>
  <c r="I10672" i="79"/>
  <c r="A10671" i="80" s="1"/>
  <c r="C10722" i="79"/>
  <c r="I10487" i="79"/>
  <c r="A10486" i="80" s="1"/>
  <c r="C10537" i="79"/>
  <c r="I10662" i="79"/>
  <c r="A10661" i="80" s="1"/>
  <c r="C10712" i="79"/>
  <c r="I10477" i="79"/>
  <c r="A10476" i="80" s="1"/>
  <c r="C10527" i="79"/>
  <c r="I10382" i="79"/>
  <c r="A10381" i="80" s="1"/>
  <c r="C10432" i="79"/>
  <c r="C15751" i="79"/>
  <c r="I15701" i="79"/>
  <c r="A15700" i="80" s="1"/>
  <c r="C15721" i="79"/>
  <c r="I15671" i="79"/>
  <c r="A15670" i="80" s="1"/>
  <c r="C15666" i="79"/>
  <c r="I15616" i="79"/>
  <c r="A15615" i="80" s="1"/>
  <c r="I10542" i="79"/>
  <c r="A10541" i="80" s="1"/>
  <c r="C10592" i="79"/>
  <c r="I15811" i="79"/>
  <c r="A15810" i="80" s="1"/>
  <c r="C15861" i="79"/>
  <c r="I10852" i="79"/>
  <c r="A10851" i="80" s="1"/>
  <c r="C10902" i="79"/>
  <c r="I15776" i="79"/>
  <c r="A15775" i="80" s="1"/>
  <c r="C15826" i="79"/>
  <c r="I10902" i="79" l="1"/>
  <c r="A10901" i="80" s="1"/>
  <c r="C10952" i="79"/>
  <c r="C15911" i="79"/>
  <c r="I15861" i="79"/>
  <c r="A15860" i="80" s="1"/>
  <c r="C10642" i="79"/>
  <c r="I10592" i="79"/>
  <c r="A10591" i="80" s="1"/>
  <c r="I10432" i="79"/>
  <c r="A10431" i="80" s="1"/>
  <c r="C10482" i="79"/>
  <c r="I10527" i="79"/>
  <c r="A10526" i="80" s="1"/>
  <c r="C10577" i="79"/>
  <c r="I10712" i="79"/>
  <c r="A10711" i="80" s="1"/>
  <c r="C10762" i="79"/>
  <c r="I10537" i="79"/>
  <c r="A10536" i="80" s="1"/>
  <c r="C10587" i="79"/>
  <c r="I10722" i="79"/>
  <c r="A10721" i="80" s="1"/>
  <c r="C10772" i="79"/>
  <c r="I10467" i="79"/>
  <c r="A10466" i="80" s="1"/>
  <c r="C10517" i="79"/>
  <c r="I10797" i="79"/>
  <c r="A10796" i="80" s="1"/>
  <c r="C10847" i="79"/>
  <c r="I15841" i="79"/>
  <c r="A15840" i="80" s="1"/>
  <c r="C15891" i="79"/>
  <c r="I10407" i="79"/>
  <c r="A10406" i="80" s="1"/>
  <c r="C10457" i="79"/>
  <c r="C15876" i="79"/>
  <c r="I15826" i="79"/>
  <c r="A15825" i="80" s="1"/>
  <c r="C15716" i="79"/>
  <c r="I15666" i="79"/>
  <c r="A15665" i="80" s="1"/>
  <c r="C15771" i="79"/>
  <c r="I15721" i="79"/>
  <c r="A15720" i="80" s="1"/>
  <c r="C15801" i="79"/>
  <c r="I15751" i="79"/>
  <c r="A15750" i="80" s="1"/>
  <c r="C15746" i="79"/>
  <c r="I15696" i="79"/>
  <c r="A15695" i="80" s="1"/>
  <c r="C15806" i="79"/>
  <c r="I15756" i="79"/>
  <c r="A15755" i="80" s="1"/>
  <c r="C15931" i="79"/>
  <c r="I15881" i="79"/>
  <c r="A15880" i="80" s="1"/>
  <c r="C15836" i="79"/>
  <c r="I15786" i="79"/>
  <c r="A15785" i="80" s="1"/>
  <c r="I10457" i="79" l="1"/>
  <c r="A10456" i="80" s="1"/>
  <c r="C10507" i="79"/>
  <c r="I15891" i="79"/>
  <c r="A15890" i="80" s="1"/>
  <c r="C15941" i="79"/>
  <c r="I10847" i="79"/>
  <c r="A10846" i="80" s="1"/>
  <c r="C10897" i="79"/>
  <c r="C10567" i="79"/>
  <c r="I10517" i="79"/>
  <c r="A10516" i="80" s="1"/>
  <c r="I10772" i="79"/>
  <c r="A10771" i="80" s="1"/>
  <c r="C10822" i="79"/>
  <c r="I10587" i="79"/>
  <c r="A10586" i="80" s="1"/>
  <c r="C10637" i="79"/>
  <c r="I10762" i="79"/>
  <c r="A10761" i="80" s="1"/>
  <c r="C10812" i="79"/>
  <c r="C10627" i="79"/>
  <c r="I10577" i="79"/>
  <c r="A10576" i="80" s="1"/>
  <c r="C10532" i="79"/>
  <c r="I10482" i="79"/>
  <c r="A10481" i="80" s="1"/>
  <c r="I10952" i="79"/>
  <c r="A10951" i="80" s="1"/>
  <c r="C11002" i="79"/>
  <c r="I15836" i="79"/>
  <c r="A15835" i="80" s="1"/>
  <c r="C15886" i="79"/>
  <c r="I15931" i="79"/>
  <c r="A15930" i="80" s="1"/>
  <c r="C15981" i="79"/>
  <c r="I15806" i="79"/>
  <c r="A15805" i="80" s="1"/>
  <c r="C15856" i="79"/>
  <c r="I15746" i="79"/>
  <c r="A15745" i="80" s="1"/>
  <c r="C15796" i="79"/>
  <c r="I15801" i="79"/>
  <c r="A15800" i="80" s="1"/>
  <c r="C15851" i="79"/>
  <c r="I15771" i="79"/>
  <c r="A15770" i="80" s="1"/>
  <c r="C15821" i="79"/>
  <c r="C15766" i="79"/>
  <c r="I15716" i="79"/>
  <c r="A15715" i="80" s="1"/>
  <c r="C15926" i="79"/>
  <c r="I15876" i="79"/>
  <c r="A15875" i="80" s="1"/>
  <c r="I10642" i="79"/>
  <c r="A10641" i="80" s="1"/>
  <c r="C10692" i="79"/>
  <c r="C15961" i="79"/>
  <c r="I15911" i="79"/>
  <c r="A15910" i="80" s="1"/>
  <c r="C15976" i="79" l="1"/>
  <c r="I15926" i="79"/>
  <c r="A15925" i="80" s="1"/>
  <c r="C15816" i="79"/>
  <c r="I15766" i="79"/>
  <c r="A15765" i="80" s="1"/>
  <c r="I10692" i="79"/>
  <c r="A10691" i="80" s="1"/>
  <c r="C10742" i="79"/>
  <c r="I15821" i="79"/>
  <c r="A15820" i="80" s="1"/>
  <c r="C15871" i="79"/>
  <c r="C15901" i="79"/>
  <c r="I15851" i="79"/>
  <c r="A15850" i="80" s="1"/>
  <c r="C15846" i="79"/>
  <c r="I15796" i="79"/>
  <c r="A15795" i="80" s="1"/>
  <c r="C15906" i="79"/>
  <c r="I15856" i="79"/>
  <c r="A15855" i="80" s="1"/>
  <c r="I15981" i="79"/>
  <c r="A15980" i="80" s="1"/>
  <c r="C16031" i="79"/>
  <c r="I15886" i="79"/>
  <c r="A15885" i="80" s="1"/>
  <c r="C15936" i="79"/>
  <c r="C11052" i="79"/>
  <c r="I11002" i="79"/>
  <c r="A11001" i="80" s="1"/>
  <c r="I10812" i="79"/>
  <c r="A10811" i="80" s="1"/>
  <c r="C10862" i="79"/>
  <c r="I10637" i="79"/>
  <c r="A10636" i="80" s="1"/>
  <c r="C10687" i="79"/>
  <c r="C10872" i="79"/>
  <c r="I10822" i="79"/>
  <c r="A10821" i="80" s="1"/>
  <c r="I10897" i="79"/>
  <c r="A10896" i="80" s="1"/>
  <c r="C10947" i="79"/>
  <c r="I15941" i="79"/>
  <c r="A15940" i="80" s="1"/>
  <c r="C15991" i="79"/>
  <c r="I10507" i="79"/>
  <c r="A10506" i="80" s="1"/>
  <c r="C10557" i="79"/>
  <c r="C16011" i="79"/>
  <c r="I15961" i="79"/>
  <c r="A15960" i="80" s="1"/>
  <c r="I10532" i="79"/>
  <c r="A10531" i="80" s="1"/>
  <c r="C10582" i="79"/>
  <c r="C10677" i="79"/>
  <c r="I10627" i="79"/>
  <c r="A10626" i="80" s="1"/>
  <c r="I10567" i="79"/>
  <c r="A10566" i="80" s="1"/>
  <c r="C10617" i="79"/>
  <c r="I10617" i="79" l="1"/>
  <c r="A10616" i="80" s="1"/>
  <c r="C10667" i="79"/>
  <c r="I10582" i="79"/>
  <c r="A10581" i="80" s="1"/>
  <c r="C10632" i="79"/>
  <c r="I10557" i="79"/>
  <c r="A10556" i="80" s="1"/>
  <c r="C10607" i="79"/>
  <c r="C16041" i="79"/>
  <c r="I15991" i="79"/>
  <c r="A15990" i="80" s="1"/>
  <c r="C10997" i="79"/>
  <c r="I10947" i="79"/>
  <c r="A10946" i="80" s="1"/>
  <c r="C10737" i="79"/>
  <c r="I10687" i="79"/>
  <c r="A10686" i="80" s="1"/>
  <c r="I10862" i="79"/>
  <c r="A10861" i="80" s="1"/>
  <c r="C10912" i="79"/>
  <c r="C15986" i="79"/>
  <c r="I15936" i="79"/>
  <c r="A15935" i="80" s="1"/>
  <c r="I16031" i="79"/>
  <c r="A16030" i="80" s="1"/>
  <c r="C16081" i="79"/>
  <c r="I15871" i="79"/>
  <c r="A15870" i="80" s="1"/>
  <c r="C15921" i="79"/>
  <c r="C10792" i="79"/>
  <c r="I10742" i="79"/>
  <c r="A10741" i="80" s="1"/>
  <c r="I10677" i="79"/>
  <c r="A10676" i="80" s="1"/>
  <c r="C10727" i="79"/>
  <c r="C16061" i="79"/>
  <c r="I16011" i="79"/>
  <c r="A16010" i="80" s="1"/>
  <c r="C10922" i="79"/>
  <c r="I10872" i="79"/>
  <c r="A10871" i="80" s="1"/>
  <c r="I11052" i="79"/>
  <c r="A11051" i="80" s="1"/>
  <c r="C11102" i="79"/>
  <c r="I15906" i="79"/>
  <c r="A15905" i="80" s="1"/>
  <c r="C15956" i="79"/>
  <c r="I15846" i="79"/>
  <c r="A15845" i="80" s="1"/>
  <c r="C15896" i="79"/>
  <c r="C15951" i="79"/>
  <c r="I15901" i="79"/>
  <c r="A15900" i="80" s="1"/>
  <c r="I15816" i="79"/>
  <c r="A15815" i="80" s="1"/>
  <c r="C15866" i="79"/>
  <c r="I15976" i="79"/>
  <c r="A15975" i="80" s="1"/>
  <c r="C16026" i="79"/>
  <c r="I15951" i="79" l="1"/>
  <c r="A15950" i="80" s="1"/>
  <c r="C16001" i="79"/>
  <c r="C16076" i="79"/>
  <c r="I16026" i="79"/>
  <c r="A16025" i="80" s="1"/>
  <c r="I15866" i="79"/>
  <c r="A15865" i="80" s="1"/>
  <c r="C15916" i="79"/>
  <c r="C15946" i="79"/>
  <c r="I15896" i="79"/>
  <c r="A15895" i="80" s="1"/>
  <c r="C16006" i="79"/>
  <c r="I15956" i="79"/>
  <c r="A15955" i="80" s="1"/>
  <c r="I11102" i="79"/>
  <c r="A11101" i="80" s="1"/>
  <c r="C11152" i="79"/>
  <c r="I10727" i="79"/>
  <c r="A10726" i="80" s="1"/>
  <c r="C10777" i="79"/>
  <c r="C15971" i="79"/>
  <c r="I15921" i="79"/>
  <c r="A15920" i="80" s="1"/>
  <c r="C16131" i="79"/>
  <c r="I16081" i="79"/>
  <c r="A16080" i="80" s="1"/>
  <c r="C10962" i="79"/>
  <c r="I10912" i="79"/>
  <c r="A10911" i="80" s="1"/>
  <c r="I10607" i="79"/>
  <c r="A10606" i="80" s="1"/>
  <c r="C10657" i="79"/>
  <c r="I10632" i="79"/>
  <c r="A10631" i="80" s="1"/>
  <c r="C10682" i="79"/>
  <c r="I10667" i="79"/>
  <c r="A10666" i="80" s="1"/>
  <c r="C10717" i="79"/>
  <c r="C10972" i="79"/>
  <c r="I10922" i="79"/>
  <c r="A10921" i="80" s="1"/>
  <c r="C16111" i="79"/>
  <c r="I16061" i="79"/>
  <c r="A16060" i="80" s="1"/>
  <c r="C10842" i="79"/>
  <c r="I10792" i="79"/>
  <c r="A10791" i="80" s="1"/>
  <c r="C16036" i="79"/>
  <c r="I15986" i="79"/>
  <c r="A15985" i="80" s="1"/>
  <c r="I10737" i="79"/>
  <c r="A10736" i="80" s="1"/>
  <c r="C10787" i="79"/>
  <c r="I10997" i="79"/>
  <c r="A10996" i="80" s="1"/>
  <c r="C11047" i="79"/>
  <c r="I16041" i="79"/>
  <c r="A16040" i="80" s="1"/>
  <c r="C16091" i="79"/>
  <c r="I16091" i="79" l="1"/>
  <c r="A16090" i="80" s="1"/>
  <c r="C16141" i="79"/>
  <c r="I11047" i="79"/>
  <c r="A11046" i="80" s="1"/>
  <c r="C11097" i="79"/>
  <c r="I10787" i="79"/>
  <c r="A10786" i="80" s="1"/>
  <c r="C10837" i="79"/>
  <c r="C10767" i="79"/>
  <c r="I10717" i="79"/>
  <c r="A10716" i="80" s="1"/>
  <c r="I10682" i="79"/>
  <c r="A10681" i="80" s="1"/>
  <c r="C10732" i="79"/>
  <c r="I10657" i="79"/>
  <c r="A10656" i="80" s="1"/>
  <c r="C10707" i="79"/>
  <c r="I10777" i="79"/>
  <c r="A10776" i="80" s="1"/>
  <c r="C10827" i="79"/>
  <c r="I11152" i="79"/>
  <c r="A11151" i="80" s="1"/>
  <c r="C11202" i="79"/>
  <c r="C15966" i="79"/>
  <c r="I15916" i="79"/>
  <c r="A15915" i="80" s="1"/>
  <c r="I16001" i="79"/>
  <c r="A16000" i="80" s="1"/>
  <c r="C16051" i="79"/>
  <c r="I16036" i="79"/>
  <c r="A16035" i="80" s="1"/>
  <c r="C16086" i="79"/>
  <c r="C10892" i="79"/>
  <c r="I10842" i="79"/>
  <c r="A10841" i="80" s="1"/>
  <c r="I16111" i="79"/>
  <c r="A16110" i="80" s="1"/>
  <c r="C16161" i="79"/>
  <c r="I10972" i="79"/>
  <c r="A10971" i="80" s="1"/>
  <c r="C11022" i="79"/>
  <c r="I10962" i="79"/>
  <c r="A10961" i="80" s="1"/>
  <c r="C11012" i="79"/>
  <c r="C16181" i="79"/>
  <c r="I16131" i="79"/>
  <c r="A16130" i="80" s="1"/>
  <c r="C16021" i="79"/>
  <c r="I15971" i="79"/>
  <c r="A15970" i="80" s="1"/>
  <c r="I16006" i="79"/>
  <c r="A16005" i="80" s="1"/>
  <c r="C16056" i="79"/>
  <c r="C15996" i="79"/>
  <c r="I15946" i="79"/>
  <c r="A15945" i="80" s="1"/>
  <c r="I16076" i="79"/>
  <c r="A16075" i="80" s="1"/>
  <c r="C16126" i="79"/>
  <c r="I15996" i="79" l="1"/>
  <c r="A15995" i="80" s="1"/>
  <c r="C16046" i="79"/>
  <c r="C16176" i="79"/>
  <c r="I16126" i="79"/>
  <c r="A16125" i="80" s="1"/>
  <c r="C16106" i="79"/>
  <c r="I16056" i="79"/>
  <c r="A16055" i="80" s="1"/>
  <c r="C11062" i="79"/>
  <c r="I11012" i="79"/>
  <c r="A11011" i="80" s="1"/>
  <c r="I11022" i="79"/>
  <c r="A11021" i="80" s="1"/>
  <c r="C11072" i="79"/>
  <c r="C16211" i="79"/>
  <c r="I16161" i="79"/>
  <c r="A16160" i="80" s="1"/>
  <c r="C16136" i="79"/>
  <c r="I16086" i="79"/>
  <c r="A16085" i="80" s="1"/>
  <c r="I16051" i="79"/>
  <c r="A16050" i="80" s="1"/>
  <c r="C16101" i="79"/>
  <c r="C11252" i="79"/>
  <c r="I11202" i="79"/>
  <c r="A11201" i="80" s="1"/>
  <c r="C10877" i="79"/>
  <c r="I10827" i="79"/>
  <c r="A10826" i="80" s="1"/>
  <c r="I10707" i="79"/>
  <c r="A10706" i="80" s="1"/>
  <c r="C10757" i="79"/>
  <c r="C10782" i="79"/>
  <c r="I10732" i="79"/>
  <c r="A10731" i="80" s="1"/>
  <c r="I10837" i="79"/>
  <c r="A10836" i="80" s="1"/>
  <c r="C10887" i="79"/>
  <c r="I11097" i="79"/>
  <c r="A11096" i="80" s="1"/>
  <c r="C11147" i="79"/>
  <c r="I16141" i="79"/>
  <c r="A16140" i="80" s="1"/>
  <c r="C16191" i="79"/>
  <c r="C16071" i="79"/>
  <c r="I16021" i="79"/>
  <c r="A16020" i="80" s="1"/>
  <c r="C16231" i="79"/>
  <c r="I16181" i="79"/>
  <c r="A16180" i="80" s="1"/>
  <c r="I10892" i="79"/>
  <c r="A10891" i="80" s="1"/>
  <c r="C10942" i="79"/>
  <c r="I15966" i="79"/>
  <c r="A15965" i="80" s="1"/>
  <c r="C16016" i="79"/>
  <c r="I10767" i="79"/>
  <c r="A10766" i="80" s="1"/>
  <c r="C10817" i="79"/>
  <c r="I16191" i="79" l="1"/>
  <c r="A16190" i="80" s="1"/>
  <c r="C16241" i="79"/>
  <c r="I11147" i="79"/>
  <c r="A11146" i="80" s="1"/>
  <c r="C11197" i="79"/>
  <c r="I10887" i="79"/>
  <c r="A10886" i="80" s="1"/>
  <c r="C10937" i="79"/>
  <c r="I10757" i="79"/>
  <c r="A10756" i="80" s="1"/>
  <c r="C10807" i="79"/>
  <c r="C16151" i="79"/>
  <c r="I16101" i="79"/>
  <c r="A16100" i="80" s="1"/>
  <c r="I11072" i="79"/>
  <c r="A11071" i="80" s="1"/>
  <c r="C11122" i="79"/>
  <c r="I16046" i="79"/>
  <c r="A16045" i="80" s="1"/>
  <c r="C16096" i="79"/>
  <c r="C10867" i="79"/>
  <c r="I10817" i="79"/>
  <c r="A10816" i="80" s="1"/>
  <c r="I16016" i="79"/>
  <c r="A16015" i="80" s="1"/>
  <c r="C16066" i="79"/>
  <c r="I10942" i="79"/>
  <c r="A10941" i="80" s="1"/>
  <c r="C10992" i="79"/>
  <c r="C16281" i="79"/>
  <c r="I16231" i="79"/>
  <c r="A16230" i="80" s="1"/>
  <c r="I16071" i="79"/>
  <c r="A16070" i="80" s="1"/>
  <c r="C16121" i="79"/>
  <c r="C10832" i="79"/>
  <c r="I10782" i="79"/>
  <c r="A10781" i="80" s="1"/>
  <c r="I10877" i="79"/>
  <c r="A10876" i="80" s="1"/>
  <c r="C10927" i="79"/>
  <c r="I11252" i="79"/>
  <c r="A11251" i="80" s="1"/>
  <c r="C11302" i="79"/>
  <c r="I16136" i="79"/>
  <c r="A16135" i="80" s="1"/>
  <c r="C16186" i="79"/>
  <c r="I16211" i="79"/>
  <c r="A16210" i="80" s="1"/>
  <c r="C16261" i="79"/>
  <c r="I11062" i="79"/>
  <c r="A11061" i="80" s="1"/>
  <c r="C11112" i="79"/>
  <c r="C16156" i="79"/>
  <c r="I16106" i="79"/>
  <c r="A16105" i="80" s="1"/>
  <c r="C16226" i="79"/>
  <c r="I16176" i="79"/>
  <c r="A16175" i="80" s="1"/>
  <c r="I11112" i="79" l="1"/>
  <c r="A11111" i="80" s="1"/>
  <c r="C11162" i="79"/>
  <c r="C16311" i="79"/>
  <c r="I16261" i="79"/>
  <c r="A16260" i="80" s="1"/>
  <c r="I16186" i="79"/>
  <c r="A16185" i="80" s="1"/>
  <c r="C16236" i="79"/>
  <c r="I11302" i="79"/>
  <c r="A11301" i="80" s="1"/>
  <c r="C11352" i="79"/>
  <c r="C10977" i="79"/>
  <c r="I10927" i="79"/>
  <c r="A10926" i="80" s="1"/>
  <c r="I16121" i="79"/>
  <c r="A16120" i="80" s="1"/>
  <c r="C16171" i="79"/>
  <c r="I10992" i="79"/>
  <c r="A10991" i="80" s="1"/>
  <c r="C11042" i="79"/>
  <c r="C16116" i="79"/>
  <c r="I16066" i="79"/>
  <c r="A16065" i="80" s="1"/>
  <c r="C16146" i="79"/>
  <c r="I16096" i="79"/>
  <c r="A16095" i="80" s="1"/>
  <c r="I11122" i="79"/>
  <c r="A11121" i="80" s="1"/>
  <c r="C11172" i="79"/>
  <c r="I10807" i="79"/>
  <c r="A10806" i="80" s="1"/>
  <c r="C10857" i="79"/>
  <c r="C10987" i="79"/>
  <c r="I10937" i="79"/>
  <c r="A10936" i="80" s="1"/>
  <c r="I11197" i="79"/>
  <c r="A11196" i="80" s="1"/>
  <c r="C11247" i="79"/>
  <c r="C16291" i="79"/>
  <c r="I16241" i="79"/>
  <c r="A16240" i="80" s="1"/>
  <c r="I16226" i="79"/>
  <c r="A16225" i="80" s="1"/>
  <c r="C16276" i="79"/>
  <c r="C16206" i="79"/>
  <c r="I16156" i="79"/>
  <c r="A16155" i="80" s="1"/>
  <c r="C10882" i="79"/>
  <c r="I10832" i="79"/>
  <c r="A10831" i="80" s="1"/>
  <c r="I16281" i="79"/>
  <c r="A16280" i="80" s="1"/>
  <c r="C16331" i="79"/>
  <c r="I10867" i="79"/>
  <c r="A10866" i="80" s="1"/>
  <c r="C10917" i="79"/>
  <c r="C16201" i="79"/>
  <c r="I16151" i="79"/>
  <c r="A16150" i="80" s="1"/>
  <c r="C10967" i="79" l="1"/>
  <c r="I10917" i="79"/>
  <c r="A10916" i="80" s="1"/>
  <c r="I16331" i="79"/>
  <c r="A16330" i="80" s="1"/>
  <c r="C16381" i="79"/>
  <c r="C16326" i="79"/>
  <c r="I16276" i="79"/>
  <c r="A16275" i="80" s="1"/>
  <c r="I11247" i="79"/>
  <c r="A11246" i="80" s="1"/>
  <c r="C11297" i="79"/>
  <c r="I10857" i="79"/>
  <c r="A10856" i="80" s="1"/>
  <c r="C10907" i="79"/>
  <c r="I11172" i="79"/>
  <c r="A11171" i="80" s="1"/>
  <c r="C11222" i="79"/>
  <c r="I11042" i="79"/>
  <c r="A11041" i="80" s="1"/>
  <c r="C11092" i="79"/>
  <c r="C16221" i="79"/>
  <c r="I16171" i="79"/>
  <c r="A16170" i="80" s="1"/>
  <c r="I11352" i="79"/>
  <c r="A11351" i="80" s="1"/>
  <c r="C11402" i="79"/>
  <c r="I16236" i="79"/>
  <c r="A16235" i="80" s="1"/>
  <c r="C16286" i="79"/>
  <c r="I11162" i="79"/>
  <c r="A11161" i="80" s="1"/>
  <c r="C11212" i="79"/>
  <c r="I16201" i="79"/>
  <c r="A16200" i="80" s="1"/>
  <c r="C16251" i="79"/>
  <c r="C10932" i="79"/>
  <c r="I10882" i="79"/>
  <c r="A10881" i="80" s="1"/>
  <c r="I16206" i="79"/>
  <c r="A16205" i="80" s="1"/>
  <c r="C16256" i="79"/>
  <c r="C16341" i="79"/>
  <c r="I16291" i="79"/>
  <c r="A16290" i="80" s="1"/>
  <c r="I10987" i="79"/>
  <c r="A10986" i="80" s="1"/>
  <c r="C11037" i="79"/>
  <c r="I16146" i="79"/>
  <c r="A16145" i="80" s="1"/>
  <c r="C16196" i="79"/>
  <c r="C16166" i="79"/>
  <c r="I16116" i="79"/>
  <c r="A16115" i="80" s="1"/>
  <c r="C11027" i="79"/>
  <c r="I10977" i="79"/>
  <c r="A10976" i="80" s="1"/>
  <c r="C16361" i="79"/>
  <c r="I16311" i="79"/>
  <c r="A16310" i="80" s="1"/>
  <c r="C16411" i="79" l="1"/>
  <c r="I16361" i="79"/>
  <c r="A16360" i="80" s="1"/>
  <c r="I11027" i="79"/>
  <c r="A11026" i="80" s="1"/>
  <c r="C11077" i="79"/>
  <c r="C16216" i="79"/>
  <c r="I16166" i="79"/>
  <c r="A16165" i="80" s="1"/>
  <c r="C16246" i="79"/>
  <c r="I16196" i="79"/>
  <c r="A16195" i="80" s="1"/>
  <c r="I11037" i="79"/>
  <c r="A11036" i="80" s="1"/>
  <c r="C11087" i="79"/>
  <c r="I16256" i="79"/>
  <c r="A16255" i="80" s="1"/>
  <c r="C16306" i="79"/>
  <c r="C16301" i="79"/>
  <c r="I16251" i="79"/>
  <c r="A16250" i="80" s="1"/>
  <c r="I11212" i="79"/>
  <c r="A11211" i="80" s="1"/>
  <c r="C11262" i="79"/>
  <c r="I16286" i="79"/>
  <c r="A16285" i="80" s="1"/>
  <c r="C16336" i="79"/>
  <c r="I11402" i="79"/>
  <c r="A11401" i="80" s="1"/>
  <c r="C11452" i="79"/>
  <c r="I11092" i="79"/>
  <c r="A11091" i="80" s="1"/>
  <c r="C11142" i="79"/>
  <c r="I11222" i="79"/>
  <c r="A11221" i="80" s="1"/>
  <c r="C11272" i="79"/>
  <c r="C10957" i="79"/>
  <c r="I10907" i="79"/>
  <c r="A10906" i="80" s="1"/>
  <c r="I11297" i="79"/>
  <c r="A11296" i="80" s="1"/>
  <c r="C11347" i="79"/>
  <c r="I16381" i="79"/>
  <c r="A16380" i="80" s="1"/>
  <c r="C16431" i="79"/>
  <c r="C16391" i="79"/>
  <c r="I16341" i="79"/>
  <c r="A16340" i="80" s="1"/>
  <c r="I10932" i="79"/>
  <c r="A10931" i="80" s="1"/>
  <c r="C10982" i="79"/>
  <c r="C16271" i="79"/>
  <c r="I16221" i="79"/>
  <c r="A16220" i="80" s="1"/>
  <c r="C16376" i="79"/>
  <c r="I16326" i="79"/>
  <c r="A16325" i="80" s="1"/>
  <c r="I10967" i="79"/>
  <c r="A10966" i="80" s="1"/>
  <c r="C11017" i="79"/>
  <c r="C11067" i="79" l="1"/>
  <c r="I11017" i="79"/>
  <c r="A11016" i="80" s="1"/>
  <c r="I10982" i="79"/>
  <c r="A10981" i="80" s="1"/>
  <c r="C11032" i="79"/>
  <c r="C16481" i="79"/>
  <c r="I16431" i="79"/>
  <c r="A16430" i="80" s="1"/>
  <c r="I11347" i="79"/>
  <c r="A11346" i="80" s="1"/>
  <c r="C11397" i="79"/>
  <c r="I11272" i="79"/>
  <c r="A11271" i="80" s="1"/>
  <c r="C11322" i="79"/>
  <c r="I11142" i="79"/>
  <c r="A11141" i="80" s="1"/>
  <c r="C11192" i="79"/>
  <c r="I11452" i="79"/>
  <c r="A11451" i="80" s="1"/>
  <c r="C11502" i="79"/>
  <c r="I16336" i="79"/>
  <c r="A16335" i="80" s="1"/>
  <c r="C16386" i="79"/>
  <c r="I11262" i="79"/>
  <c r="A11261" i="80" s="1"/>
  <c r="C11312" i="79"/>
  <c r="C16356" i="79"/>
  <c r="I16306" i="79"/>
  <c r="A16305" i="80" s="1"/>
  <c r="I11087" i="79"/>
  <c r="A11086" i="80" s="1"/>
  <c r="C11137" i="79"/>
  <c r="C11127" i="79"/>
  <c r="I11077" i="79"/>
  <c r="A11076" i="80" s="1"/>
  <c r="I16376" i="79"/>
  <c r="A16375" i="80" s="1"/>
  <c r="C16426" i="79"/>
  <c r="I16271" i="79"/>
  <c r="A16270" i="80" s="1"/>
  <c r="C16321" i="79"/>
  <c r="I16391" i="79"/>
  <c r="A16390" i="80" s="1"/>
  <c r="C16441" i="79"/>
  <c r="C11007" i="79"/>
  <c r="I10957" i="79"/>
  <c r="A10956" i="80" s="1"/>
  <c r="I16301" i="79"/>
  <c r="A16300" i="80" s="1"/>
  <c r="C16351" i="79"/>
  <c r="I16246" i="79"/>
  <c r="A16245" i="80" s="1"/>
  <c r="C16296" i="79"/>
  <c r="C16266" i="79"/>
  <c r="I16216" i="79"/>
  <c r="A16215" i="80" s="1"/>
  <c r="I16411" i="79"/>
  <c r="A16410" i="80" s="1"/>
  <c r="C16461" i="79"/>
  <c r="C16316" i="79" l="1"/>
  <c r="I16266" i="79"/>
  <c r="A16265" i="80" s="1"/>
  <c r="I11007" i="79"/>
  <c r="A11006" i="80" s="1"/>
  <c r="C11057" i="79"/>
  <c r="C16511" i="79"/>
  <c r="I16461" i="79"/>
  <c r="A16460" i="80" s="1"/>
  <c r="C16346" i="79"/>
  <c r="I16296" i="79"/>
  <c r="A16295" i="80" s="1"/>
  <c r="I16351" i="79"/>
  <c r="A16350" i="80" s="1"/>
  <c r="C16401" i="79"/>
  <c r="C16491" i="79"/>
  <c r="I16441" i="79"/>
  <c r="A16440" i="80" s="1"/>
  <c r="I16321" i="79"/>
  <c r="A16320" i="80" s="1"/>
  <c r="C16371" i="79"/>
  <c r="C16476" i="79"/>
  <c r="I16426" i="79"/>
  <c r="A16425" i="80" s="1"/>
  <c r="I11137" i="79"/>
  <c r="A11136" i="80" s="1"/>
  <c r="C11187" i="79"/>
  <c r="I11312" i="79"/>
  <c r="A11311" i="80" s="1"/>
  <c r="C11362" i="79"/>
  <c r="I16386" i="79"/>
  <c r="A16385" i="80" s="1"/>
  <c r="C16436" i="79"/>
  <c r="C11552" i="79"/>
  <c r="I11502" i="79"/>
  <c r="A11501" i="80" s="1"/>
  <c r="C11242" i="79"/>
  <c r="I11192" i="79"/>
  <c r="A11191" i="80" s="1"/>
  <c r="I11322" i="79"/>
  <c r="A11321" i="80" s="1"/>
  <c r="C11372" i="79"/>
  <c r="I11397" i="79"/>
  <c r="A11396" i="80" s="1"/>
  <c r="C11447" i="79"/>
  <c r="I11032" i="79"/>
  <c r="A11031" i="80" s="1"/>
  <c r="C11082" i="79"/>
  <c r="I11127" i="79"/>
  <c r="A11126" i="80" s="1"/>
  <c r="C11177" i="79"/>
  <c r="C16406" i="79"/>
  <c r="I16356" i="79"/>
  <c r="A16355" i="80" s="1"/>
  <c r="C16531" i="79"/>
  <c r="I16481" i="79"/>
  <c r="A16480" i="80" s="1"/>
  <c r="C11117" i="79"/>
  <c r="I11067" i="79"/>
  <c r="A11066" i="80" s="1"/>
  <c r="I11177" i="79" l="1"/>
  <c r="A11176" i="80" s="1"/>
  <c r="C11227" i="79"/>
  <c r="I11082" i="79"/>
  <c r="A11081" i="80" s="1"/>
  <c r="C11132" i="79"/>
  <c r="I11447" i="79"/>
  <c r="A11446" i="80" s="1"/>
  <c r="C11497" i="79"/>
  <c r="I11372" i="79"/>
  <c r="A11371" i="80" s="1"/>
  <c r="C11422" i="79"/>
  <c r="C16486" i="79"/>
  <c r="I16436" i="79"/>
  <c r="A16435" i="80" s="1"/>
  <c r="I11362" i="79"/>
  <c r="A11361" i="80" s="1"/>
  <c r="C11412" i="79"/>
  <c r="I11187" i="79"/>
  <c r="A11186" i="80" s="1"/>
  <c r="C11237" i="79"/>
  <c r="C16421" i="79"/>
  <c r="I16371" i="79"/>
  <c r="A16370" i="80" s="1"/>
  <c r="I16401" i="79"/>
  <c r="A16400" i="80" s="1"/>
  <c r="C16451" i="79"/>
  <c r="I11057" i="79"/>
  <c r="A11056" i="80" s="1"/>
  <c r="C11107" i="79"/>
  <c r="I11117" i="79"/>
  <c r="A11116" i="80" s="1"/>
  <c r="C11167" i="79"/>
  <c r="I16531" i="79"/>
  <c r="A16530" i="80" s="1"/>
  <c r="C16581" i="79"/>
  <c r="C16456" i="79"/>
  <c r="I16406" i="79"/>
  <c r="A16405" i="80" s="1"/>
  <c r="I11242" i="79"/>
  <c r="A11241" i="80" s="1"/>
  <c r="C11292" i="79"/>
  <c r="I11552" i="79"/>
  <c r="A11551" i="80" s="1"/>
  <c r="C11602" i="79"/>
  <c r="C16526" i="79"/>
  <c r="I16476" i="79"/>
  <c r="A16475" i="80" s="1"/>
  <c r="C16541" i="79"/>
  <c r="I16491" i="79"/>
  <c r="A16490" i="80" s="1"/>
  <c r="I16346" i="79"/>
  <c r="A16345" i="80" s="1"/>
  <c r="C16396" i="79"/>
  <c r="C16561" i="79"/>
  <c r="I16511" i="79"/>
  <c r="A16510" i="80" s="1"/>
  <c r="I16316" i="79"/>
  <c r="A16315" i="80" s="1"/>
  <c r="C16366" i="79"/>
  <c r="I16366" i="79" l="1"/>
  <c r="A16365" i="80" s="1"/>
  <c r="C16416" i="79"/>
  <c r="C16446" i="79"/>
  <c r="I16396" i="79"/>
  <c r="A16395" i="80" s="1"/>
  <c r="I11602" i="79"/>
  <c r="A11601" i="80" s="1"/>
  <c r="C11652" i="79"/>
  <c r="I11292" i="79"/>
  <c r="A11291" i="80" s="1"/>
  <c r="C11342" i="79"/>
  <c r="I16581" i="79"/>
  <c r="A16580" i="80" s="1"/>
  <c r="C16631" i="79"/>
  <c r="C11217" i="79"/>
  <c r="I11167" i="79"/>
  <c r="A11166" i="80" s="1"/>
  <c r="I11107" i="79"/>
  <c r="A11106" i="80" s="1"/>
  <c r="C11157" i="79"/>
  <c r="C16501" i="79"/>
  <c r="I16451" i="79"/>
  <c r="A16450" i="80" s="1"/>
  <c r="I11237" i="79"/>
  <c r="A11236" i="80" s="1"/>
  <c r="C11287" i="79"/>
  <c r="I11412" i="79"/>
  <c r="A11411" i="80" s="1"/>
  <c r="C11462" i="79"/>
  <c r="I11422" i="79"/>
  <c r="A11421" i="80" s="1"/>
  <c r="C11472" i="79"/>
  <c r="C11547" i="79"/>
  <c r="I11497" i="79"/>
  <c r="A11496" i="80" s="1"/>
  <c r="I11132" i="79"/>
  <c r="A11131" i="80" s="1"/>
  <c r="C11182" i="79"/>
  <c r="I11227" i="79"/>
  <c r="A11226" i="80" s="1"/>
  <c r="C11277" i="79"/>
  <c r="I16561" i="79"/>
  <c r="A16560" i="80" s="1"/>
  <c r="C16611" i="79"/>
  <c r="I16541" i="79"/>
  <c r="A16540" i="80" s="1"/>
  <c r="C16591" i="79"/>
  <c r="I16526" i="79"/>
  <c r="A16525" i="80" s="1"/>
  <c r="C16576" i="79"/>
  <c r="C16506" i="79"/>
  <c r="I16456" i="79"/>
  <c r="A16455" i="80" s="1"/>
  <c r="C16471" i="79"/>
  <c r="I16421" i="79"/>
  <c r="A16420" i="80" s="1"/>
  <c r="I16486" i="79"/>
  <c r="A16485" i="80" s="1"/>
  <c r="C16536" i="79"/>
  <c r="C16521" i="79" l="1"/>
  <c r="I16471" i="79"/>
  <c r="A16470" i="80" s="1"/>
  <c r="I16506" i="79"/>
  <c r="A16505" i="80" s="1"/>
  <c r="C16556" i="79"/>
  <c r="C16586" i="79"/>
  <c r="I16536" i="79"/>
  <c r="A16535" i="80" s="1"/>
  <c r="I16576" i="79"/>
  <c r="A16575" i="80" s="1"/>
  <c r="C16626" i="79"/>
  <c r="I16591" i="79"/>
  <c r="A16590" i="80" s="1"/>
  <c r="C16641" i="79"/>
  <c r="C16661" i="79"/>
  <c r="I16611" i="79"/>
  <c r="A16610" i="80" s="1"/>
  <c r="I11277" i="79"/>
  <c r="A11276" i="80" s="1"/>
  <c r="C11327" i="79"/>
  <c r="C11232" i="79"/>
  <c r="I11182" i="79"/>
  <c r="A11181" i="80" s="1"/>
  <c r="C11522" i="79"/>
  <c r="I11472" i="79"/>
  <c r="A11471" i="80" s="1"/>
  <c r="I11462" i="79"/>
  <c r="A11461" i="80" s="1"/>
  <c r="C11512" i="79"/>
  <c r="I11287" i="79"/>
  <c r="A11286" i="80" s="1"/>
  <c r="C11337" i="79"/>
  <c r="I11157" i="79"/>
  <c r="A11156" i="80" s="1"/>
  <c r="C11207" i="79"/>
  <c r="I16631" i="79"/>
  <c r="A16630" i="80" s="1"/>
  <c r="C16681" i="79"/>
  <c r="I11342" i="79"/>
  <c r="A11341" i="80" s="1"/>
  <c r="C11392" i="79"/>
  <c r="I11652" i="79"/>
  <c r="A11651" i="80" s="1"/>
  <c r="C11702" i="79"/>
  <c r="C16466" i="79"/>
  <c r="I16416" i="79"/>
  <c r="A16415" i="80" s="1"/>
  <c r="I11547" i="79"/>
  <c r="A11546" i="80" s="1"/>
  <c r="C11597" i="79"/>
  <c r="I16501" i="79"/>
  <c r="A16500" i="80" s="1"/>
  <c r="C16551" i="79"/>
  <c r="C11267" i="79"/>
  <c r="I11217" i="79"/>
  <c r="A11216" i="80" s="1"/>
  <c r="C16496" i="79"/>
  <c r="I16446" i="79"/>
  <c r="A16445" i="80" s="1"/>
  <c r="C16546" i="79" l="1"/>
  <c r="I16496" i="79"/>
  <c r="A16495" i="80" s="1"/>
  <c r="I11267" i="79"/>
  <c r="A11266" i="80" s="1"/>
  <c r="C11317" i="79"/>
  <c r="C16601" i="79"/>
  <c r="I16551" i="79"/>
  <c r="A16550" i="80" s="1"/>
  <c r="I11597" i="79"/>
  <c r="A11596" i="80" s="1"/>
  <c r="C11647" i="79"/>
  <c r="I11702" i="79"/>
  <c r="A11701" i="80" s="1"/>
  <c r="C11752" i="79"/>
  <c r="I11392" i="79"/>
  <c r="A11391" i="80" s="1"/>
  <c r="C11442" i="79"/>
  <c r="C16731" i="79"/>
  <c r="I16681" i="79"/>
  <c r="A16680" i="80" s="1"/>
  <c r="I11207" i="79"/>
  <c r="A11206" i="80" s="1"/>
  <c r="C11257" i="79"/>
  <c r="I11337" i="79"/>
  <c r="A11336" i="80" s="1"/>
  <c r="C11387" i="79"/>
  <c r="I11512" i="79"/>
  <c r="A11511" i="80" s="1"/>
  <c r="C11562" i="79"/>
  <c r="I11327" i="79"/>
  <c r="A11326" i="80" s="1"/>
  <c r="C11377" i="79"/>
  <c r="I16641" i="79"/>
  <c r="A16640" i="80" s="1"/>
  <c r="C16691" i="79"/>
  <c r="C16676" i="79"/>
  <c r="I16626" i="79"/>
  <c r="A16625" i="80" s="1"/>
  <c r="I16556" i="79"/>
  <c r="A16555" i="80" s="1"/>
  <c r="C16606" i="79"/>
  <c r="I16466" i="79"/>
  <c r="A16465" i="80" s="1"/>
  <c r="C16516" i="79"/>
  <c r="C11572" i="79"/>
  <c r="I11522" i="79"/>
  <c r="A11521" i="80" s="1"/>
  <c r="C11282" i="79"/>
  <c r="I11232" i="79"/>
  <c r="A11231" i="80" s="1"/>
  <c r="I16661" i="79"/>
  <c r="A16660" i="80" s="1"/>
  <c r="C16711" i="79"/>
  <c r="C16636" i="79"/>
  <c r="I16586" i="79"/>
  <c r="A16585" i="80" s="1"/>
  <c r="C16571" i="79"/>
  <c r="I16521" i="79"/>
  <c r="A16520" i="80" s="1"/>
  <c r="C16761" i="79" l="1"/>
  <c r="I16711" i="79"/>
  <c r="A16710" i="80" s="1"/>
  <c r="I16516" i="79"/>
  <c r="A16515" i="80" s="1"/>
  <c r="C16566" i="79"/>
  <c r="C16656" i="79"/>
  <c r="I16606" i="79"/>
  <c r="A16605" i="80" s="1"/>
  <c r="C16741" i="79"/>
  <c r="I16691" i="79"/>
  <c r="A16690" i="80" s="1"/>
  <c r="I11377" i="79"/>
  <c r="A11376" i="80" s="1"/>
  <c r="C11427" i="79"/>
  <c r="I11562" i="79"/>
  <c r="A11561" i="80" s="1"/>
  <c r="C11612" i="79"/>
  <c r="I11387" i="79"/>
  <c r="A11386" i="80" s="1"/>
  <c r="C11437" i="79"/>
  <c r="I11257" i="79"/>
  <c r="A11256" i="80" s="1"/>
  <c r="C11307" i="79"/>
  <c r="C11492" i="79"/>
  <c r="I11442" i="79"/>
  <c r="A11441" i="80" s="1"/>
  <c r="I11752" i="79"/>
  <c r="A11751" i="80" s="1"/>
  <c r="C11802" i="79"/>
  <c r="I11647" i="79"/>
  <c r="A11646" i="80" s="1"/>
  <c r="C11697" i="79"/>
  <c r="I11317" i="79"/>
  <c r="A11316" i="80" s="1"/>
  <c r="C11367" i="79"/>
  <c r="C16621" i="79"/>
  <c r="I16571" i="79"/>
  <c r="A16570" i="80" s="1"/>
  <c r="C16686" i="79"/>
  <c r="I16636" i="79"/>
  <c r="A16635" i="80" s="1"/>
  <c r="I11282" i="79"/>
  <c r="A11281" i="80" s="1"/>
  <c r="C11332" i="79"/>
  <c r="I11572" i="79"/>
  <c r="A11571" i="80" s="1"/>
  <c r="C11622" i="79"/>
  <c r="C16726" i="79"/>
  <c r="I16676" i="79"/>
  <c r="A16675" i="80" s="1"/>
  <c r="C16781" i="79"/>
  <c r="I16731" i="79"/>
  <c r="A16730" i="80" s="1"/>
  <c r="I16601" i="79"/>
  <c r="A16600" i="80" s="1"/>
  <c r="C16651" i="79"/>
  <c r="C16596" i="79"/>
  <c r="I16546" i="79"/>
  <c r="A16545" i="80" s="1"/>
  <c r="I11367" i="79" l="1"/>
  <c r="A11366" i="80" s="1"/>
  <c r="C11417" i="79"/>
  <c r="I11697" i="79"/>
  <c r="A11696" i="80" s="1"/>
  <c r="C11747" i="79"/>
  <c r="I11802" i="79"/>
  <c r="A11801" i="80" s="1"/>
  <c r="C11852" i="79"/>
  <c r="I11307" i="79"/>
  <c r="A11306" i="80" s="1"/>
  <c r="C11357" i="79"/>
  <c r="I11437" i="79"/>
  <c r="A11436" i="80" s="1"/>
  <c r="C11487" i="79"/>
  <c r="I11612" i="79"/>
  <c r="A11611" i="80" s="1"/>
  <c r="C11662" i="79"/>
  <c r="I11427" i="79"/>
  <c r="A11426" i="80" s="1"/>
  <c r="C11477" i="79"/>
  <c r="I16566" i="79"/>
  <c r="A16565" i="80" s="1"/>
  <c r="C16616" i="79"/>
  <c r="I16651" i="79"/>
  <c r="A16650" i="80" s="1"/>
  <c r="C16701" i="79"/>
  <c r="I11622" i="79"/>
  <c r="A11621" i="80" s="1"/>
  <c r="C11672" i="79"/>
  <c r="I11332" i="79"/>
  <c r="A11331" i="80" s="1"/>
  <c r="C11382" i="79"/>
  <c r="C16646" i="79"/>
  <c r="I16596" i="79"/>
  <c r="A16595" i="80" s="1"/>
  <c r="I16781" i="79"/>
  <c r="A16780" i="80" s="1"/>
  <c r="C16831" i="79"/>
  <c r="C16776" i="79"/>
  <c r="I16726" i="79"/>
  <c r="A16725" i="80" s="1"/>
  <c r="C16736" i="79"/>
  <c r="I16686" i="79"/>
  <c r="A16685" i="80" s="1"/>
  <c r="C16671" i="79"/>
  <c r="I16621" i="79"/>
  <c r="A16620" i="80" s="1"/>
  <c r="I11492" i="79"/>
  <c r="A11491" i="80" s="1"/>
  <c r="C11542" i="79"/>
  <c r="C16791" i="79"/>
  <c r="I16741" i="79"/>
  <c r="A16740" i="80" s="1"/>
  <c r="C16706" i="79"/>
  <c r="I16656" i="79"/>
  <c r="A16655" i="80" s="1"/>
  <c r="I16761" i="79"/>
  <c r="A16760" i="80" s="1"/>
  <c r="C16811" i="79"/>
  <c r="I11542" i="79" l="1"/>
  <c r="A11541" i="80" s="1"/>
  <c r="C11592" i="79"/>
  <c r="C16881" i="79"/>
  <c r="I16831" i="79"/>
  <c r="A16830" i="80" s="1"/>
  <c r="I11382" i="79"/>
  <c r="A11381" i="80" s="1"/>
  <c r="C11432" i="79"/>
  <c r="I11672" i="79"/>
  <c r="A11671" i="80" s="1"/>
  <c r="C11722" i="79"/>
  <c r="I16701" i="79"/>
  <c r="A16700" i="80" s="1"/>
  <c r="C16751" i="79"/>
  <c r="C16666" i="79"/>
  <c r="I16616" i="79"/>
  <c r="A16615" i="80" s="1"/>
  <c r="I11477" i="79"/>
  <c r="A11476" i="80" s="1"/>
  <c r="C11527" i="79"/>
  <c r="I11662" i="79"/>
  <c r="A11661" i="80" s="1"/>
  <c r="C11712" i="79"/>
  <c r="I11487" i="79"/>
  <c r="A11486" i="80" s="1"/>
  <c r="C11537" i="79"/>
  <c r="I11357" i="79"/>
  <c r="A11356" i="80" s="1"/>
  <c r="C11407" i="79"/>
  <c r="I11852" i="79"/>
  <c r="A11851" i="80" s="1"/>
  <c r="C11902" i="79"/>
  <c r="I11747" i="79"/>
  <c r="A11746" i="80" s="1"/>
  <c r="C11797" i="79"/>
  <c r="I11417" i="79"/>
  <c r="A11416" i="80" s="1"/>
  <c r="C11467" i="79"/>
  <c r="I16811" i="79"/>
  <c r="A16810" i="80" s="1"/>
  <c r="C16861" i="79"/>
  <c r="I16706" i="79"/>
  <c r="A16705" i="80" s="1"/>
  <c r="C16756" i="79"/>
  <c r="C16841" i="79"/>
  <c r="I16791" i="79"/>
  <c r="A16790" i="80" s="1"/>
  <c r="C16721" i="79"/>
  <c r="I16671" i="79"/>
  <c r="A16670" i="80" s="1"/>
  <c r="C16786" i="79"/>
  <c r="I16736" i="79"/>
  <c r="A16735" i="80" s="1"/>
  <c r="C16826" i="79"/>
  <c r="I16776" i="79"/>
  <c r="A16775" i="80" s="1"/>
  <c r="C16696" i="79"/>
  <c r="I16646" i="79"/>
  <c r="A16645" i="80" s="1"/>
  <c r="C16806" i="79" l="1"/>
  <c r="I16756" i="79"/>
  <c r="A16755" i="80" s="1"/>
  <c r="C16911" i="79"/>
  <c r="I16861" i="79"/>
  <c r="A16860" i="80" s="1"/>
  <c r="I11467" i="79"/>
  <c r="A11466" i="80" s="1"/>
  <c r="C11517" i="79"/>
  <c r="I11797" i="79"/>
  <c r="A11796" i="80" s="1"/>
  <c r="C11847" i="79"/>
  <c r="I11902" i="79"/>
  <c r="A11901" i="80" s="1"/>
  <c r="C11952" i="79"/>
  <c r="I11407" i="79"/>
  <c r="A11406" i="80" s="1"/>
  <c r="C11457" i="79"/>
  <c r="I11537" i="79"/>
  <c r="A11536" i="80" s="1"/>
  <c r="C11587" i="79"/>
  <c r="I11712" i="79"/>
  <c r="A11711" i="80" s="1"/>
  <c r="C11762" i="79"/>
  <c r="I11527" i="79"/>
  <c r="A11526" i="80" s="1"/>
  <c r="C11577" i="79"/>
  <c r="I16751" i="79"/>
  <c r="A16750" i="80" s="1"/>
  <c r="C16801" i="79"/>
  <c r="I11722" i="79"/>
  <c r="A11721" i="80" s="1"/>
  <c r="C11772" i="79"/>
  <c r="I11432" i="79"/>
  <c r="A11431" i="80" s="1"/>
  <c r="C11482" i="79"/>
  <c r="I11592" i="79"/>
  <c r="A11591" i="80" s="1"/>
  <c r="C11642" i="79"/>
  <c r="I16696" i="79"/>
  <c r="A16695" i="80" s="1"/>
  <c r="C16746" i="79"/>
  <c r="I16826" i="79"/>
  <c r="A16825" i="80" s="1"/>
  <c r="C16876" i="79"/>
  <c r="C16836" i="79"/>
  <c r="I16786" i="79"/>
  <c r="A16785" i="80" s="1"/>
  <c r="I16721" i="79"/>
  <c r="A16720" i="80" s="1"/>
  <c r="C16771" i="79"/>
  <c r="I16841" i="79"/>
  <c r="A16840" i="80" s="1"/>
  <c r="C16891" i="79"/>
  <c r="I16666" i="79"/>
  <c r="A16665" i="80" s="1"/>
  <c r="C16716" i="79"/>
  <c r="I16881" i="79"/>
  <c r="A16880" i="80" s="1"/>
  <c r="C16931" i="79"/>
  <c r="C16981" i="79" l="1"/>
  <c r="I16931" i="79"/>
  <c r="A16930" i="80" s="1"/>
  <c r="C16766" i="79"/>
  <c r="I16716" i="79"/>
  <c r="A16715" i="80" s="1"/>
  <c r="I16891" i="79"/>
  <c r="A16890" i="80" s="1"/>
  <c r="C16941" i="79"/>
  <c r="I16771" i="79"/>
  <c r="A16770" i="80" s="1"/>
  <c r="C16821" i="79"/>
  <c r="I16876" i="79"/>
  <c r="A16875" i="80" s="1"/>
  <c r="C16926" i="79"/>
  <c r="I16746" i="79"/>
  <c r="A16745" i="80" s="1"/>
  <c r="C16796" i="79"/>
  <c r="I11642" i="79"/>
  <c r="A11641" i="80" s="1"/>
  <c r="C11692" i="79"/>
  <c r="C11532" i="79"/>
  <c r="I11482" i="79"/>
  <c r="A11481" i="80" s="1"/>
  <c r="I11772" i="79"/>
  <c r="A11771" i="80" s="1"/>
  <c r="C11822" i="79"/>
  <c r="I16801" i="79"/>
  <c r="A16800" i="80" s="1"/>
  <c r="C16851" i="79"/>
  <c r="I11577" i="79"/>
  <c r="A11576" i="80" s="1"/>
  <c r="C11627" i="79"/>
  <c r="I11762" i="79"/>
  <c r="A11761" i="80" s="1"/>
  <c r="C11812" i="79"/>
  <c r="I11587" i="79"/>
  <c r="A11586" i="80" s="1"/>
  <c r="C11637" i="79"/>
  <c r="C11507" i="79"/>
  <c r="I11457" i="79"/>
  <c r="A11456" i="80" s="1"/>
  <c r="I11952" i="79"/>
  <c r="A11951" i="80" s="1"/>
  <c r="C12002" i="79"/>
  <c r="I11847" i="79"/>
  <c r="A11846" i="80" s="1"/>
  <c r="C11897" i="79"/>
  <c r="I11517" i="79"/>
  <c r="A11516" i="80" s="1"/>
  <c r="C11567" i="79"/>
  <c r="I16836" i="79"/>
  <c r="A16835" i="80" s="1"/>
  <c r="C16886" i="79"/>
  <c r="I16911" i="79"/>
  <c r="A16910" i="80" s="1"/>
  <c r="C16961" i="79"/>
  <c r="I16806" i="79"/>
  <c r="A16805" i="80" s="1"/>
  <c r="C16856" i="79"/>
  <c r="I11507" i="79" l="1"/>
  <c r="A11506" i="80" s="1"/>
  <c r="C11557" i="79"/>
  <c r="I16856" i="79"/>
  <c r="A16855" i="80" s="1"/>
  <c r="C16906" i="79"/>
  <c r="C17011" i="79"/>
  <c r="I16961" i="79"/>
  <c r="A16960" i="80" s="1"/>
  <c r="C16936" i="79"/>
  <c r="I16886" i="79"/>
  <c r="A16885" i="80" s="1"/>
  <c r="I11567" i="79"/>
  <c r="A11566" i="80" s="1"/>
  <c r="C11617" i="79"/>
  <c r="C11947" i="79"/>
  <c r="I11897" i="79"/>
  <c r="A11896" i="80" s="1"/>
  <c r="C12052" i="79"/>
  <c r="I12002" i="79"/>
  <c r="A12001" i="80" s="1"/>
  <c r="I11637" i="79"/>
  <c r="A11636" i="80" s="1"/>
  <c r="C11687" i="79"/>
  <c r="I11812" i="79"/>
  <c r="A11811" i="80" s="1"/>
  <c r="C11862" i="79"/>
  <c r="I11627" i="79"/>
  <c r="A11626" i="80" s="1"/>
  <c r="C11677" i="79"/>
  <c r="I16851" i="79"/>
  <c r="A16850" i="80" s="1"/>
  <c r="C16901" i="79"/>
  <c r="C11872" i="79"/>
  <c r="I11822" i="79"/>
  <c r="A11821" i="80" s="1"/>
  <c r="C11742" i="79"/>
  <c r="I11692" i="79"/>
  <c r="A11691" i="80" s="1"/>
  <c r="I16796" i="79"/>
  <c r="A16795" i="80" s="1"/>
  <c r="C16846" i="79"/>
  <c r="C16976" i="79"/>
  <c r="I16926" i="79"/>
  <c r="A16925" i="80" s="1"/>
  <c r="C16871" i="79"/>
  <c r="I16821" i="79"/>
  <c r="A16820" i="80" s="1"/>
  <c r="C16991" i="79"/>
  <c r="I16941" i="79"/>
  <c r="A16940" i="80" s="1"/>
  <c r="I11532" i="79"/>
  <c r="A11531" i="80" s="1"/>
  <c r="C11582" i="79"/>
  <c r="C16816" i="79"/>
  <c r="I16766" i="79"/>
  <c r="A16765" i="80" s="1"/>
  <c r="I16981" i="79"/>
  <c r="A16980" i="80" s="1"/>
  <c r="C17031" i="79"/>
  <c r="I11582" i="79" l="1"/>
  <c r="A11581" i="80" s="1"/>
  <c r="C11632" i="79"/>
  <c r="C16896" i="79"/>
  <c r="I16846" i="79"/>
  <c r="A16845" i="80" s="1"/>
  <c r="I16901" i="79"/>
  <c r="A16900" i="80" s="1"/>
  <c r="C16951" i="79"/>
  <c r="I11677" i="79"/>
  <c r="A11676" i="80" s="1"/>
  <c r="C11727" i="79"/>
  <c r="C11912" i="79"/>
  <c r="I11862" i="79"/>
  <c r="A11861" i="80" s="1"/>
  <c r="C11737" i="79"/>
  <c r="I11687" i="79"/>
  <c r="A11686" i="80" s="1"/>
  <c r="I11617" i="79"/>
  <c r="A11616" i="80" s="1"/>
  <c r="C11667" i="79"/>
  <c r="C16956" i="79"/>
  <c r="I16906" i="79"/>
  <c r="A16905" i="80" s="1"/>
  <c r="I11557" i="79"/>
  <c r="A11556" i="80" s="1"/>
  <c r="C11607" i="79"/>
  <c r="C17081" i="79"/>
  <c r="I17031" i="79"/>
  <c r="A17030" i="80" s="1"/>
  <c r="C16866" i="79"/>
  <c r="I16816" i="79"/>
  <c r="A16815" i="80" s="1"/>
  <c r="C17041" i="79"/>
  <c r="I16991" i="79"/>
  <c r="A16990" i="80" s="1"/>
  <c r="I16871" i="79"/>
  <c r="A16870" i="80" s="1"/>
  <c r="C16921" i="79"/>
  <c r="C17026" i="79"/>
  <c r="I16976" i="79"/>
  <c r="A16975" i="80" s="1"/>
  <c r="I11742" i="79"/>
  <c r="A11741" i="80" s="1"/>
  <c r="C11792" i="79"/>
  <c r="C11922" i="79"/>
  <c r="I11872" i="79"/>
  <c r="A11871" i="80" s="1"/>
  <c r="C12102" i="79"/>
  <c r="I12052" i="79"/>
  <c r="A12051" i="80" s="1"/>
  <c r="C11997" i="79"/>
  <c r="I11947" i="79"/>
  <c r="A11946" i="80" s="1"/>
  <c r="I16936" i="79"/>
  <c r="A16935" i="80" s="1"/>
  <c r="C16986" i="79"/>
  <c r="I17011" i="79"/>
  <c r="A17010" i="80" s="1"/>
  <c r="C17061" i="79"/>
  <c r="I16921" i="79" l="1"/>
  <c r="A16920" i="80" s="1"/>
  <c r="C16971" i="79"/>
  <c r="I11607" i="79"/>
  <c r="A11606" i="80" s="1"/>
  <c r="C11657" i="79"/>
  <c r="I11667" i="79"/>
  <c r="A11666" i="80" s="1"/>
  <c r="C11717" i="79"/>
  <c r="C11777" i="79"/>
  <c r="I11727" i="79"/>
  <c r="A11726" i="80" s="1"/>
  <c r="I16951" i="79"/>
  <c r="A16950" i="80" s="1"/>
  <c r="C17001" i="79"/>
  <c r="I11632" i="79"/>
  <c r="A11631" i="80" s="1"/>
  <c r="C11682" i="79"/>
  <c r="C17111" i="79"/>
  <c r="I17061" i="79"/>
  <c r="A17060" i="80" s="1"/>
  <c r="I16986" i="79"/>
  <c r="A16985" i="80" s="1"/>
  <c r="C17036" i="79"/>
  <c r="C11842" i="79"/>
  <c r="I11792" i="79"/>
  <c r="A11791" i="80" s="1"/>
  <c r="C12047" i="79"/>
  <c r="I11997" i="79"/>
  <c r="A11996" i="80" s="1"/>
  <c r="C12152" i="79"/>
  <c r="I12102" i="79"/>
  <c r="A12101" i="80" s="1"/>
  <c r="I11922" i="79"/>
  <c r="A11921" i="80" s="1"/>
  <c r="C11972" i="79"/>
  <c r="I17026" i="79"/>
  <c r="A17025" i="80" s="1"/>
  <c r="C17076" i="79"/>
  <c r="I17041" i="79"/>
  <c r="A17040" i="80" s="1"/>
  <c r="C17091" i="79"/>
  <c r="I16866" i="79"/>
  <c r="A16865" i="80" s="1"/>
  <c r="C16916" i="79"/>
  <c r="C17131" i="79"/>
  <c r="I17081" i="79"/>
  <c r="A17080" i="80" s="1"/>
  <c r="C17006" i="79"/>
  <c r="I16956" i="79"/>
  <c r="A16955" i="80" s="1"/>
  <c r="I11737" i="79"/>
  <c r="A11736" i="80" s="1"/>
  <c r="C11787" i="79"/>
  <c r="C11962" i="79"/>
  <c r="I11912" i="79"/>
  <c r="A11911" i="80" s="1"/>
  <c r="C16946" i="79"/>
  <c r="I16896" i="79"/>
  <c r="A16895" i="80" s="1"/>
  <c r="C16996" i="79" l="1"/>
  <c r="I16946" i="79"/>
  <c r="A16945" i="80" s="1"/>
  <c r="C12012" i="79"/>
  <c r="I11962" i="79"/>
  <c r="A11961" i="80" s="1"/>
  <c r="C17056" i="79"/>
  <c r="I17006" i="79"/>
  <c r="A17005" i="80" s="1"/>
  <c r="C17181" i="79"/>
  <c r="I17131" i="79"/>
  <c r="A17130" i="80" s="1"/>
  <c r="I11787" i="79"/>
  <c r="A11786" i="80" s="1"/>
  <c r="C11837" i="79"/>
  <c r="I16916" i="79"/>
  <c r="A16915" i="80" s="1"/>
  <c r="C16966" i="79"/>
  <c r="I17091" i="79"/>
  <c r="A17090" i="80" s="1"/>
  <c r="C17141" i="79"/>
  <c r="C17126" i="79"/>
  <c r="I17076" i="79"/>
  <c r="A17075" i="80" s="1"/>
  <c r="C12022" i="79"/>
  <c r="I11972" i="79"/>
  <c r="A11971" i="80" s="1"/>
  <c r="I17036" i="79"/>
  <c r="A17035" i="80" s="1"/>
  <c r="C17086" i="79"/>
  <c r="I11682" i="79"/>
  <c r="A11681" i="80" s="1"/>
  <c r="C11732" i="79"/>
  <c r="I17001" i="79"/>
  <c r="A17000" i="80" s="1"/>
  <c r="C17051" i="79"/>
  <c r="I11717" i="79"/>
  <c r="A11716" i="80" s="1"/>
  <c r="C11767" i="79"/>
  <c r="I11657" i="79"/>
  <c r="A11656" i="80" s="1"/>
  <c r="C11707" i="79"/>
  <c r="C17021" i="79"/>
  <c r="I16971" i="79"/>
  <c r="A16970" i="80" s="1"/>
  <c r="C12202" i="79"/>
  <c r="I12152" i="79"/>
  <c r="A12151" i="80" s="1"/>
  <c r="C12097" i="79"/>
  <c r="I12047" i="79"/>
  <c r="A12046" i="80" s="1"/>
  <c r="I11842" i="79"/>
  <c r="A11841" i="80" s="1"/>
  <c r="C11892" i="79"/>
  <c r="I17111" i="79"/>
  <c r="A17110" i="80" s="1"/>
  <c r="C17161" i="79"/>
  <c r="C11827" i="79"/>
  <c r="I11777" i="79"/>
  <c r="A11776" i="80" s="1"/>
  <c r="I17161" i="79" l="1"/>
  <c r="A17160" i="80" s="1"/>
  <c r="C17211" i="79"/>
  <c r="I11892" i="79"/>
  <c r="A11891" i="80" s="1"/>
  <c r="C11942" i="79"/>
  <c r="I11707" i="79"/>
  <c r="A11706" i="80" s="1"/>
  <c r="C11757" i="79"/>
  <c r="I11767" i="79"/>
  <c r="A11766" i="80" s="1"/>
  <c r="C11817" i="79"/>
  <c r="I17051" i="79"/>
  <c r="A17050" i="80" s="1"/>
  <c r="C17101" i="79"/>
  <c r="I11732" i="79"/>
  <c r="A11731" i="80" s="1"/>
  <c r="C11782" i="79"/>
  <c r="I17086" i="79"/>
  <c r="A17085" i="80" s="1"/>
  <c r="C17136" i="79"/>
  <c r="C17191" i="79"/>
  <c r="I17141" i="79"/>
  <c r="A17140" i="80" s="1"/>
  <c r="I16966" i="79"/>
  <c r="A16965" i="80" s="1"/>
  <c r="C17016" i="79"/>
  <c r="I11837" i="79"/>
  <c r="A11836" i="80" s="1"/>
  <c r="C11887" i="79"/>
  <c r="I11827" i="79"/>
  <c r="A11826" i="80" s="1"/>
  <c r="C11877" i="79"/>
  <c r="I12097" i="79"/>
  <c r="A12096" i="80" s="1"/>
  <c r="C12147" i="79"/>
  <c r="I12202" i="79"/>
  <c r="A12201" i="80" s="1"/>
  <c r="C12252" i="79"/>
  <c r="I17021" i="79"/>
  <c r="A17020" i="80" s="1"/>
  <c r="C17071" i="79"/>
  <c r="I12022" i="79"/>
  <c r="A12021" i="80" s="1"/>
  <c r="C12072" i="79"/>
  <c r="I17126" i="79"/>
  <c r="A17125" i="80" s="1"/>
  <c r="C17176" i="79"/>
  <c r="C17231" i="79"/>
  <c r="I17181" i="79"/>
  <c r="A17180" i="80" s="1"/>
  <c r="I17056" i="79"/>
  <c r="A17055" i="80" s="1"/>
  <c r="C17106" i="79"/>
  <c r="I12012" i="79"/>
  <c r="A12011" i="80" s="1"/>
  <c r="C12062" i="79"/>
  <c r="C17046" i="79"/>
  <c r="I16996" i="79"/>
  <c r="A16995" i="80" s="1"/>
  <c r="I17191" i="79" l="1"/>
  <c r="A17190" i="80" s="1"/>
  <c r="C17241" i="79"/>
  <c r="I17241" i="79" s="1"/>
  <c r="A17240" i="80" s="1"/>
  <c r="I12062" i="79"/>
  <c r="A12061" i="80" s="1"/>
  <c r="C12112" i="79"/>
  <c r="I17106" i="79"/>
  <c r="A17105" i="80" s="1"/>
  <c r="C17156" i="79"/>
  <c r="C17226" i="79"/>
  <c r="I17176" i="79"/>
  <c r="A17175" i="80" s="1"/>
  <c r="I12072" i="79"/>
  <c r="A12071" i="80" s="1"/>
  <c r="C12122" i="79"/>
  <c r="C17121" i="79"/>
  <c r="I17071" i="79"/>
  <c r="A17070" i="80" s="1"/>
  <c r="I12252" i="79"/>
  <c r="A12251" i="80" s="1"/>
  <c r="C12302" i="79"/>
  <c r="C12197" i="79"/>
  <c r="I12147" i="79"/>
  <c r="A12146" i="80" s="1"/>
  <c r="I11877" i="79"/>
  <c r="A11876" i="80" s="1"/>
  <c r="C11927" i="79"/>
  <c r="I11887" i="79"/>
  <c r="A11886" i="80" s="1"/>
  <c r="C11937" i="79"/>
  <c r="I17016" i="79"/>
  <c r="A17015" i="80" s="1"/>
  <c r="C17066" i="79"/>
  <c r="I17136" i="79"/>
  <c r="A17135" i="80" s="1"/>
  <c r="C17186" i="79"/>
  <c r="I11782" i="79"/>
  <c r="A11781" i="80" s="1"/>
  <c r="C11832" i="79"/>
  <c r="C17151" i="79"/>
  <c r="I17101" i="79"/>
  <c r="A17100" i="80" s="1"/>
  <c r="C11867" i="79"/>
  <c r="I11817" i="79"/>
  <c r="A11816" i="80" s="1"/>
  <c r="I11757" i="79"/>
  <c r="A11756" i="80" s="1"/>
  <c r="C11807" i="79"/>
  <c r="I11942" i="79"/>
  <c r="A11941" i="80" s="1"/>
  <c r="C11992" i="79"/>
  <c r="I17211" i="79"/>
  <c r="A17210" i="80" s="1"/>
  <c r="C17261" i="79"/>
  <c r="I17261" i="79" s="1"/>
  <c r="A17260" i="80" s="1"/>
  <c r="C17096" i="79"/>
  <c r="I17046" i="79"/>
  <c r="A17045" i="80" s="1"/>
  <c r="C17281" i="79"/>
  <c r="I17281" i="79" s="1"/>
  <c r="A17280" i="80" s="1"/>
  <c r="I17231" i="79"/>
  <c r="A17230" i="80" s="1"/>
  <c r="I11992" i="79" l="1"/>
  <c r="A11991" i="80" s="1"/>
  <c r="C12042" i="79"/>
  <c r="C11857" i="79"/>
  <c r="I11807" i="79"/>
  <c r="A11806" i="80" s="1"/>
  <c r="I11832" i="79"/>
  <c r="A11831" i="80" s="1"/>
  <c r="C11882" i="79"/>
  <c r="I17186" i="79"/>
  <c r="A17185" i="80" s="1"/>
  <c r="C17236" i="79"/>
  <c r="I17066" i="79"/>
  <c r="A17065" i="80" s="1"/>
  <c r="C17116" i="79"/>
  <c r="I11937" i="79"/>
  <c r="A11936" i="80" s="1"/>
  <c r="C11987" i="79"/>
  <c r="I11927" i="79"/>
  <c r="A11926" i="80" s="1"/>
  <c r="C11977" i="79"/>
  <c r="I12302" i="79"/>
  <c r="A12301" i="80" s="1"/>
  <c r="C12352" i="79"/>
  <c r="I12122" i="79"/>
  <c r="A12121" i="80" s="1"/>
  <c r="C12172" i="79"/>
  <c r="C17206" i="79"/>
  <c r="I17156" i="79"/>
  <c r="A17155" i="80" s="1"/>
  <c r="C12162" i="79"/>
  <c r="I12112" i="79"/>
  <c r="A12111" i="80" s="1"/>
  <c r="I17096" i="79"/>
  <c r="A17095" i="80" s="1"/>
  <c r="C17146" i="79"/>
  <c r="C11917" i="79"/>
  <c r="I11867" i="79"/>
  <c r="A11866" i="80" s="1"/>
  <c r="I17151" i="79"/>
  <c r="A17150" i="80" s="1"/>
  <c r="C17201" i="79"/>
  <c r="I12197" i="79"/>
  <c r="A12196" i="80" s="1"/>
  <c r="C12247" i="79"/>
  <c r="I17121" i="79"/>
  <c r="A17120" i="80" s="1"/>
  <c r="C17171" i="79"/>
  <c r="C17276" i="79"/>
  <c r="I17276" i="79" s="1"/>
  <c r="A17275" i="80" s="1"/>
  <c r="I17226" i="79"/>
  <c r="A17225" i="80" s="1"/>
  <c r="I11917" i="79" l="1"/>
  <c r="A11916" i="80" s="1"/>
  <c r="C11967" i="79"/>
  <c r="I17171" i="79"/>
  <c r="A17170" i="80" s="1"/>
  <c r="C17221" i="79"/>
  <c r="I12247" i="79"/>
  <c r="A12246" i="80" s="1"/>
  <c r="C12297" i="79"/>
  <c r="I17201" i="79"/>
  <c r="A17200" i="80" s="1"/>
  <c r="C17251" i="79"/>
  <c r="I17251" i="79" s="1"/>
  <c r="A17250" i="80" s="1"/>
  <c r="I17146" i="79"/>
  <c r="A17145" i="80" s="1"/>
  <c r="C17196" i="79"/>
  <c r="I12172" i="79"/>
  <c r="A12171" i="80" s="1"/>
  <c r="C12222" i="79"/>
  <c r="I12352" i="79"/>
  <c r="A12351" i="80" s="1"/>
  <c r="C12402" i="79"/>
  <c r="C12027" i="79"/>
  <c r="I11977" i="79"/>
  <c r="A11976" i="80" s="1"/>
  <c r="I11987" i="79"/>
  <c r="A11986" i="80" s="1"/>
  <c r="C12037" i="79"/>
  <c r="I17116" i="79"/>
  <c r="A17115" i="80" s="1"/>
  <c r="C17166" i="79"/>
  <c r="C17286" i="79"/>
  <c r="I17286" i="79" s="1"/>
  <c r="A17285" i="80" s="1"/>
  <c r="I17236" i="79"/>
  <c r="A17235" i="80" s="1"/>
  <c r="C11932" i="79"/>
  <c r="I11882" i="79"/>
  <c r="A11881" i="80" s="1"/>
  <c r="I12042" i="79"/>
  <c r="A12041" i="80" s="1"/>
  <c r="C12092" i="79"/>
  <c r="I12162" i="79"/>
  <c r="A12161" i="80" s="1"/>
  <c r="C12212" i="79"/>
  <c r="C17256" i="79"/>
  <c r="I17256" i="79" s="1"/>
  <c r="A17255" i="80" s="1"/>
  <c r="I17206" i="79"/>
  <c r="A17205" i="80" s="1"/>
  <c r="I11857" i="79"/>
  <c r="A11856" i="80" s="1"/>
  <c r="C11907" i="79"/>
  <c r="C11982" i="79" l="1"/>
  <c r="I11932" i="79"/>
  <c r="A11931" i="80" s="1"/>
  <c r="I11907" i="79"/>
  <c r="A11906" i="80" s="1"/>
  <c r="C11957" i="79"/>
  <c r="I12212" i="79"/>
  <c r="A12211" i="80" s="1"/>
  <c r="C12262" i="79"/>
  <c r="C12142" i="79"/>
  <c r="I12092" i="79"/>
  <c r="A12091" i="80" s="1"/>
  <c r="I17166" i="79"/>
  <c r="A17165" i="80" s="1"/>
  <c r="C17216" i="79"/>
  <c r="I12037" i="79"/>
  <c r="A12036" i="80" s="1"/>
  <c r="C12087" i="79"/>
  <c r="C12452" i="79"/>
  <c r="I12402" i="79"/>
  <c r="A12401" i="80" s="1"/>
  <c r="I12222" i="79"/>
  <c r="A12221" i="80" s="1"/>
  <c r="C12272" i="79"/>
  <c r="I17196" i="79"/>
  <c r="A17195" i="80" s="1"/>
  <c r="C17246" i="79"/>
  <c r="I17246" i="79" s="1"/>
  <c r="A17245" i="80" s="1"/>
  <c r="I12297" i="79"/>
  <c r="A12296" i="80" s="1"/>
  <c r="C12347" i="79"/>
  <c r="I17221" i="79"/>
  <c r="A17220" i="80" s="1"/>
  <c r="C17271" i="79"/>
  <c r="I17271" i="79" s="1"/>
  <c r="A17270" i="80" s="1"/>
  <c r="C12017" i="79"/>
  <c r="I11967" i="79"/>
  <c r="A11966" i="80" s="1"/>
  <c r="I12027" i="79"/>
  <c r="A12026" i="80" s="1"/>
  <c r="C12077" i="79"/>
  <c r="C12127" i="79" l="1"/>
  <c r="I12077" i="79"/>
  <c r="A12076" i="80" s="1"/>
  <c r="I12347" i="79"/>
  <c r="A12346" i="80" s="1"/>
  <c r="C12397" i="79"/>
  <c r="I12272" i="79"/>
  <c r="A12271" i="80" s="1"/>
  <c r="C12322" i="79"/>
  <c r="I12087" i="79"/>
  <c r="A12086" i="80" s="1"/>
  <c r="C12137" i="79"/>
  <c r="I17216" i="79"/>
  <c r="A17215" i="80" s="1"/>
  <c r="C17266" i="79"/>
  <c r="I17266" i="79" s="1"/>
  <c r="A17265" i="80" s="1"/>
  <c r="I12262" i="79"/>
  <c r="A12261" i="80" s="1"/>
  <c r="C12312" i="79"/>
  <c r="C12007" i="79"/>
  <c r="I11957" i="79"/>
  <c r="A11956" i="80" s="1"/>
  <c r="I12017" i="79"/>
  <c r="A12016" i="80" s="1"/>
  <c r="C12067" i="79"/>
  <c r="I12452" i="79"/>
  <c r="A12451" i="80" s="1"/>
  <c r="C12502" i="79"/>
  <c r="I12142" i="79"/>
  <c r="A12141" i="80" s="1"/>
  <c r="C12192" i="79"/>
  <c r="I11982" i="79"/>
  <c r="A11981" i="80" s="1"/>
  <c r="C12032" i="79"/>
  <c r="I12032" i="79" l="1"/>
  <c r="A12031" i="80" s="1"/>
  <c r="C12082" i="79"/>
  <c r="I12192" i="79"/>
  <c r="A12191" i="80" s="1"/>
  <c r="C12242" i="79"/>
  <c r="I12502" i="79"/>
  <c r="A12501" i="80" s="1"/>
  <c r="C12552" i="79"/>
  <c r="C12117" i="79"/>
  <c r="I12067" i="79"/>
  <c r="A12066" i="80" s="1"/>
  <c r="I12312" i="79"/>
  <c r="A12311" i="80" s="1"/>
  <c r="C12362" i="79"/>
  <c r="C12187" i="79"/>
  <c r="I12137" i="79"/>
  <c r="A12136" i="80" s="1"/>
  <c r="I12322" i="79"/>
  <c r="A12321" i="80" s="1"/>
  <c r="C12372" i="79"/>
  <c r="I12397" i="79"/>
  <c r="A12396" i="80" s="1"/>
  <c r="C12447" i="79"/>
  <c r="C12057" i="79"/>
  <c r="I12007" i="79"/>
  <c r="A12006" i="80" s="1"/>
  <c r="C12177" i="79"/>
  <c r="I12127" i="79"/>
  <c r="A12126" i="80" s="1"/>
  <c r="C12497" i="79" l="1"/>
  <c r="I12447" i="79"/>
  <c r="A12446" i="80" s="1"/>
  <c r="I12372" i="79"/>
  <c r="A12371" i="80" s="1"/>
  <c r="C12422" i="79"/>
  <c r="I12362" i="79"/>
  <c r="A12361" i="80" s="1"/>
  <c r="C12412" i="79"/>
  <c r="I12552" i="79"/>
  <c r="A12551" i="80" s="1"/>
  <c r="C12602" i="79"/>
  <c r="I12242" i="79"/>
  <c r="A12241" i="80" s="1"/>
  <c r="C12292" i="79"/>
  <c r="C12132" i="79"/>
  <c r="I12082" i="79"/>
  <c r="A12081" i="80" s="1"/>
  <c r="I12177" i="79"/>
  <c r="A12176" i="80" s="1"/>
  <c r="C12227" i="79"/>
  <c r="I12057" i="79"/>
  <c r="A12056" i="80" s="1"/>
  <c r="C12107" i="79"/>
  <c r="I12187" i="79"/>
  <c r="A12186" i="80" s="1"/>
  <c r="C12237" i="79"/>
  <c r="I12117" i="79"/>
  <c r="A12116" i="80" s="1"/>
  <c r="C12167" i="79"/>
  <c r="I12167" i="79" l="1"/>
  <c r="A12166" i="80" s="1"/>
  <c r="C12217" i="79"/>
  <c r="I12237" i="79"/>
  <c r="A12236" i="80" s="1"/>
  <c r="C12287" i="79"/>
  <c r="I12107" i="79"/>
  <c r="A12106" i="80" s="1"/>
  <c r="C12157" i="79"/>
  <c r="I12227" i="79"/>
  <c r="A12226" i="80" s="1"/>
  <c r="C12277" i="79"/>
  <c r="I12292" i="79"/>
  <c r="A12291" i="80" s="1"/>
  <c r="C12342" i="79"/>
  <c r="I12602" i="79"/>
  <c r="A12601" i="80" s="1"/>
  <c r="C12652" i="79"/>
  <c r="I12412" i="79"/>
  <c r="A12411" i="80" s="1"/>
  <c r="C12462" i="79"/>
  <c r="I12422" i="79"/>
  <c r="A12421" i="80" s="1"/>
  <c r="C12472" i="79"/>
  <c r="I12132" i="79"/>
  <c r="A12131" i="80" s="1"/>
  <c r="C12182" i="79"/>
  <c r="I12497" i="79"/>
  <c r="A12496" i="80" s="1"/>
  <c r="C12547" i="79"/>
  <c r="I12547" i="79" l="1"/>
  <c r="A12546" i="80" s="1"/>
  <c r="C12597" i="79"/>
  <c r="I12182" i="79"/>
  <c r="A12181" i="80" s="1"/>
  <c r="C12232" i="79"/>
  <c r="C12522" i="79"/>
  <c r="I12472" i="79"/>
  <c r="A12471" i="80" s="1"/>
  <c r="I12462" i="79"/>
  <c r="A12461" i="80" s="1"/>
  <c r="C12512" i="79"/>
  <c r="I12652" i="79"/>
  <c r="A12651" i="80" s="1"/>
  <c r="C12702" i="79"/>
  <c r="I12342" i="79"/>
  <c r="A12341" i="80" s="1"/>
  <c r="C12392" i="79"/>
  <c r="I12277" i="79"/>
  <c r="A12276" i="80" s="1"/>
  <c r="C12327" i="79"/>
  <c r="I12157" i="79"/>
  <c r="A12156" i="80" s="1"/>
  <c r="C12207" i="79"/>
  <c r="I12287" i="79"/>
  <c r="A12286" i="80" s="1"/>
  <c r="C12337" i="79"/>
  <c r="I12217" i="79"/>
  <c r="A12216" i="80" s="1"/>
  <c r="C12267" i="79"/>
  <c r="C12317" i="79" l="1"/>
  <c r="I12267" i="79"/>
  <c r="A12266" i="80" s="1"/>
  <c r="I12337" i="79"/>
  <c r="A12336" i="80" s="1"/>
  <c r="C12387" i="79"/>
  <c r="I12207" i="79"/>
  <c r="A12206" i="80" s="1"/>
  <c r="C12257" i="79"/>
  <c r="I12327" i="79"/>
  <c r="A12326" i="80" s="1"/>
  <c r="C12377" i="79"/>
  <c r="I12392" i="79"/>
  <c r="A12391" i="80" s="1"/>
  <c r="C12442" i="79"/>
  <c r="I12702" i="79"/>
  <c r="A12701" i="80" s="1"/>
  <c r="C12752" i="79"/>
  <c r="C12562" i="79"/>
  <c r="I12512" i="79"/>
  <c r="A12511" i="80" s="1"/>
  <c r="I12232" i="79"/>
  <c r="A12231" i="80" s="1"/>
  <c r="C12282" i="79"/>
  <c r="I12597" i="79"/>
  <c r="A12596" i="80" s="1"/>
  <c r="C12647" i="79"/>
  <c r="C12572" i="79"/>
  <c r="I12522" i="79"/>
  <c r="A12521" i="80" s="1"/>
  <c r="C12697" i="79" l="1"/>
  <c r="I12647" i="79"/>
  <c r="A12646" i="80" s="1"/>
  <c r="I12282" i="79"/>
  <c r="A12281" i="80" s="1"/>
  <c r="C12332" i="79"/>
  <c r="I12752" i="79"/>
  <c r="A12751" i="80" s="1"/>
  <c r="C12802" i="79"/>
  <c r="C12492" i="79"/>
  <c r="I12442" i="79"/>
  <c r="A12441" i="80" s="1"/>
  <c r="I12377" i="79"/>
  <c r="A12376" i="80" s="1"/>
  <c r="C12427" i="79"/>
  <c r="I12257" i="79"/>
  <c r="A12256" i="80" s="1"/>
  <c r="C12307" i="79"/>
  <c r="I12387" i="79"/>
  <c r="A12386" i="80" s="1"/>
  <c r="C12437" i="79"/>
  <c r="I12572" i="79"/>
  <c r="A12571" i="80" s="1"/>
  <c r="C12622" i="79"/>
  <c r="C12612" i="79"/>
  <c r="I12562" i="79"/>
  <c r="A12561" i="80" s="1"/>
  <c r="I12317" i="79"/>
  <c r="A12316" i="80" s="1"/>
  <c r="C12367" i="79"/>
  <c r="I12367" i="79" l="1"/>
  <c r="A12366" i="80" s="1"/>
  <c r="C12417" i="79"/>
  <c r="I12622" i="79"/>
  <c r="A12621" i="80" s="1"/>
  <c r="C12672" i="79"/>
  <c r="I12437" i="79"/>
  <c r="A12436" i="80" s="1"/>
  <c r="C12487" i="79"/>
  <c r="I12307" i="79"/>
  <c r="A12306" i="80" s="1"/>
  <c r="C12357" i="79"/>
  <c r="C12477" i="79"/>
  <c r="I12427" i="79"/>
  <c r="A12426" i="80" s="1"/>
  <c r="I12802" i="79"/>
  <c r="A12801" i="80" s="1"/>
  <c r="C12852" i="79"/>
  <c r="I12332" i="79"/>
  <c r="A12331" i="80" s="1"/>
  <c r="C12382" i="79"/>
  <c r="C12662" i="79"/>
  <c r="I12612" i="79"/>
  <c r="A12611" i="80" s="1"/>
  <c r="I12492" i="79"/>
  <c r="A12491" i="80" s="1"/>
  <c r="C12542" i="79"/>
  <c r="I12697" i="79"/>
  <c r="A12696" i="80" s="1"/>
  <c r="C12747" i="79"/>
  <c r="I12662" i="79" l="1"/>
  <c r="A12661" i="80" s="1"/>
  <c r="C12712" i="79"/>
  <c r="I12477" i="79"/>
  <c r="A12476" i="80" s="1"/>
  <c r="C12527" i="79"/>
  <c r="I12747" i="79"/>
  <c r="A12746" i="80" s="1"/>
  <c r="C12797" i="79"/>
  <c r="C12592" i="79"/>
  <c r="I12542" i="79"/>
  <c r="A12541" i="80" s="1"/>
  <c r="I12382" i="79"/>
  <c r="A12381" i="80" s="1"/>
  <c r="C12432" i="79"/>
  <c r="I12852" i="79"/>
  <c r="A12851" i="80" s="1"/>
  <c r="C12902" i="79"/>
  <c r="I12357" i="79"/>
  <c r="A12356" i="80" s="1"/>
  <c r="C12407" i="79"/>
  <c r="I12487" i="79"/>
  <c r="A12486" i="80" s="1"/>
  <c r="C12537" i="79"/>
  <c r="C12722" i="79"/>
  <c r="I12672" i="79"/>
  <c r="A12671" i="80" s="1"/>
  <c r="I12417" i="79"/>
  <c r="A12416" i="80" s="1"/>
  <c r="C12467" i="79"/>
  <c r="I12722" i="79" l="1"/>
  <c r="A12721" i="80" s="1"/>
  <c r="C12772" i="79"/>
  <c r="C12517" i="79"/>
  <c r="I12467" i="79"/>
  <c r="A12466" i="80" s="1"/>
  <c r="I12537" i="79"/>
  <c r="A12536" i="80" s="1"/>
  <c r="C12587" i="79"/>
  <c r="I12407" i="79"/>
  <c r="A12406" i="80" s="1"/>
  <c r="C12457" i="79"/>
  <c r="I12902" i="79"/>
  <c r="A12901" i="80" s="1"/>
  <c r="C12952" i="79"/>
  <c r="I12432" i="79"/>
  <c r="A12431" i="80" s="1"/>
  <c r="C12482" i="79"/>
  <c r="I12797" i="79"/>
  <c r="A12796" i="80" s="1"/>
  <c r="C12847" i="79"/>
  <c r="C12577" i="79"/>
  <c r="I12527" i="79"/>
  <c r="A12526" i="80" s="1"/>
  <c r="I12712" i="79"/>
  <c r="A12711" i="80" s="1"/>
  <c r="C12762" i="79"/>
  <c r="I12592" i="79"/>
  <c r="A12591" i="80" s="1"/>
  <c r="C12642" i="79"/>
  <c r="I12577" i="79" l="1"/>
  <c r="A12576" i="80" s="1"/>
  <c r="C12627" i="79"/>
  <c r="I12642" i="79"/>
  <c r="A12641" i="80" s="1"/>
  <c r="C12692" i="79"/>
  <c r="I12762" i="79"/>
  <c r="A12761" i="80" s="1"/>
  <c r="C12812" i="79"/>
  <c r="I12847" i="79"/>
  <c r="A12846" i="80" s="1"/>
  <c r="C12897" i="79"/>
  <c r="C12532" i="79"/>
  <c r="I12482" i="79"/>
  <c r="A12481" i="80" s="1"/>
  <c r="I12952" i="79"/>
  <c r="A12951" i="80" s="1"/>
  <c r="C13002" i="79"/>
  <c r="C12507" i="79"/>
  <c r="I12457" i="79"/>
  <c r="A12456" i="80" s="1"/>
  <c r="I12587" i="79"/>
  <c r="A12586" i="80" s="1"/>
  <c r="C12637" i="79"/>
  <c r="I12772" i="79"/>
  <c r="A12771" i="80" s="1"/>
  <c r="C12822" i="79"/>
  <c r="C12567" i="79"/>
  <c r="I12517" i="79"/>
  <c r="A12516" i="80" s="1"/>
  <c r="I12567" i="79" l="1"/>
  <c r="A12566" i="80" s="1"/>
  <c r="C12617" i="79"/>
  <c r="I12822" i="79"/>
  <c r="A12821" i="80" s="1"/>
  <c r="C12872" i="79"/>
  <c r="I12637" i="79"/>
  <c r="A12636" i="80" s="1"/>
  <c r="C12687" i="79"/>
  <c r="I13002" i="79"/>
  <c r="A13001" i="80" s="1"/>
  <c r="C13052" i="79"/>
  <c r="I12897" i="79"/>
  <c r="A12896" i="80" s="1"/>
  <c r="C12947" i="79"/>
  <c r="I12812" i="79"/>
  <c r="A12811" i="80" s="1"/>
  <c r="C12862" i="79"/>
  <c r="I12692" i="79"/>
  <c r="A12691" i="80" s="1"/>
  <c r="C12742" i="79"/>
  <c r="I12627" i="79"/>
  <c r="A12626" i="80" s="1"/>
  <c r="C12677" i="79"/>
  <c r="C12557" i="79"/>
  <c r="I12507" i="79"/>
  <c r="A12506" i="80" s="1"/>
  <c r="I12532" i="79"/>
  <c r="A12531" i="80" s="1"/>
  <c r="C12582" i="79"/>
  <c r="C12607" i="79" l="1"/>
  <c r="I12557" i="79"/>
  <c r="A12556" i="80" s="1"/>
  <c r="C12632" i="79"/>
  <c r="I12582" i="79"/>
  <c r="A12581" i="80" s="1"/>
  <c r="I12677" i="79"/>
  <c r="A12676" i="80" s="1"/>
  <c r="C12727" i="79"/>
  <c r="I12742" i="79"/>
  <c r="A12741" i="80" s="1"/>
  <c r="C12792" i="79"/>
  <c r="I12862" i="79"/>
  <c r="A12861" i="80" s="1"/>
  <c r="C12912" i="79"/>
  <c r="I12947" i="79"/>
  <c r="A12946" i="80" s="1"/>
  <c r="C12997" i="79"/>
  <c r="I13052" i="79"/>
  <c r="A13051" i="80" s="1"/>
  <c r="C13102" i="79"/>
  <c r="I12687" i="79"/>
  <c r="A12686" i="80" s="1"/>
  <c r="C12737" i="79"/>
  <c r="I12872" i="79"/>
  <c r="A12871" i="80" s="1"/>
  <c r="C12922" i="79"/>
  <c r="I12617" i="79"/>
  <c r="A12616" i="80" s="1"/>
  <c r="C12667" i="79"/>
  <c r="I12667" i="79" l="1"/>
  <c r="A12666" i="80" s="1"/>
  <c r="C12717" i="79"/>
  <c r="I12922" i="79"/>
  <c r="A12921" i="80" s="1"/>
  <c r="C12972" i="79"/>
  <c r="I12737" i="79"/>
  <c r="A12736" i="80" s="1"/>
  <c r="C12787" i="79"/>
  <c r="I13102" i="79"/>
  <c r="A13101" i="80" s="1"/>
  <c r="C13152" i="79"/>
  <c r="I12997" i="79"/>
  <c r="A12996" i="80" s="1"/>
  <c r="C13047" i="79"/>
  <c r="C12962" i="79"/>
  <c r="I12912" i="79"/>
  <c r="A12911" i="80" s="1"/>
  <c r="I12792" i="79"/>
  <c r="A12791" i="80" s="1"/>
  <c r="C12842" i="79"/>
  <c r="I12727" i="79"/>
  <c r="A12726" i="80" s="1"/>
  <c r="C12777" i="79"/>
  <c r="C12682" i="79"/>
  <c r="I12632" i="79"/>
  <c r="A12631" i="80" s="1"/>
  <c r="I12607" i="79"/>
  <c r="A12606" i="80" s="1"/>
  <c r="C12657" i="79"/>
  <c r="I12657" i="79" l="1"/>
  <c r="A12656" i="80" s="1"/>
  <c r="C12707" i="79"/>
  <c r="C12827" i="79"/>
  <c r="I12777" i="79"/>
  <c r="A12776" i="80" s="1"/>
  <c r="I12842" i="79"/>
  <c r="A12841" i="80" s="1"/>
  <c r="C12892" i="79"/>
  <c r="I13047" i="79"/>
  <c r="A13046" i="80" s="1"/>
  <c r="C13097" i="79"/>
  <c r="C13202" i="79"/>
  <c r="I13152" i="79"/>
  <c r="A13151" i="80" s="1"/>
  <c r="I12787" i="79"/>
  <c r="A12786" i="80" s="1"/>
  <c r="C12837" i="79"/>
  <c r="I12972" i="79"/>
  <c r="A12971" i="80" s="1"/>
  <c r="C13022" i="79"/>
  <c r="I12717" i="79"/>
  <c r="A12716" i="80" s="1"/>
  <c r="C12767" i="79"/>
  <c r="I12682" i="79"/>
  <c r="A12681" i="80" s="1"/>
  <c r="C12732" i="79"/>
  <c r="I12962" i="79"/>
  <c r="A12961" i="80" s="1"/>
  <c r="C13012" i="79"/>
  <c r="I13012" i="79" l="1"/>
  <c r="A13011" i="80" s="1"/>
  <c r="C13062" i="79"/>
  <c r="I12732" i="79"/>
  <c r="A12731" i="80" s="1"/>
  <c r="C12782" i="79"/>
  <c r="I12767" i="79"/>
  <c r="A12766" i="80" s="1"/>
  <c r="C12817" i="79"/>
  <c r="I13022" i="79"/>
  <c r="A13021" i="80" s="1"/>
  <c r="C13072" i="79"/>
  <c r="I12837" i="79"/>
  <c r="A12836" i="80" s="1"/>
  <c r="C12887" i="79"/>
  <c r="C13147" i="79"/>
  <c r="I13097" i="79"/>
  <c r="A13096" i="80" s="1"/>
  <c r="I12892" i="79"/>
  <c r="A12891" i="80" s="1"/>
  <c r="C12942" i="79"/>
  <c r="I12707" i="79"/>
  <c r="A12706" i="80" s="1"/>
  <c r="C12757" i="79"/>
  <c r="C13252" i="79"/>
  <c r="I13202" i="79"/>
  <c r="A13201" i="80" s="1"/>
  <c r="I12827" i="79"/>
  <c r="A12826" i="80" s="1"/>
  <c r="C12877" i="79"/>
  <c r="I13252" i="79" l="1"/>
  <c r="A13251" i="80" s="1"/>
  <c r="C13302" i="79"/>
  <c r="I12877" i="79"/>
  <c r="A12876" i="80" s="1"/>
  <c r="C12927" i="79"/>
  <c r="I12757" i="79"/>
  <c r="A12756" i="80" s="1"/>
  <c r="C12807" i="79"/>
  <c r="I12942" i="79"/>
  <c r="A12941" i="80" s="1"/>
  <c r="C12992" i="79"/>
  <c r="C12937" i="79"/>
  <c r="I12887" i="79"/>
  <c r="A12886" i="80" s="1"/>
  <c r="C13122" i="79"/>
  <c r="I13072" i="79"/>
  <c r="A13071" i="80" s="1"/>
  <c r="C12867" i="79"/>
  <c r="I12817" i="79"/>
  <c r="A12816" i="80" s="1"/>
  <c r="I12782" i="79"/>
  <c r="A12781" i="80" s="1"/>
  <c r="C12832" i="79"/>
  <c r="C13112" i="79"/>
  <c r="I13062" i="79"/>
  <c r="A13061" i="80" s="1"/>
  <c r="I13147" i="79"/>
  <c r="A13146" i="80" s="1"/>
  <c r="C13197" i="79"/>
  <c r="I13112" i="79" l="1"/>
  <c r="A13111" i="80" s="1"/>
  <c r="C13162" i="79"/>
  <c r="C13247" i="79"/>
  <c r="I13197" i="79"/>
  <c r="A13196" i="80" s="1"/>
  <c r="C12882" i="79"/>
  <c r="I12832" i="79"/>
  <c r="A12831" i="80" s="1"/>
  <c r="I12992" i="79"/>
  <c r="A12991" i="80" s="1"/>
  <c r="C13042" i="79"/>
  <c r="I12807" i="79"/>
  <c r="A12806" i="80" s="1"/>
  <c r="C12857" i="79"/>
  <c r="I12927" i="79"/>
  <c r="A12926" i="80" s="1"/>
  <c r="C12977" i="79"/>
  <c r="C13352" i="79"/>
  <c r="I13302" i="79"/>
  <c r="A13301" i="80" s="1"/>
  <c r="I12867" i="79"/>
  <c r="A12866" i="80" s="1"/>
  <c r="C12917" i="79"/>
  <c r="C13172" i="79"/>
  <c r="I13122" i="79"/>
  <c r="A13121" i="80" s="1"/>
  <c r="I12937" i="79"/>
  <c r="A12936" i="80" s="1"/>
  <c r="C12987" i="79"/>
  <c r="I13172" i="79" l="1"/>
  <c r="A13171" i="80" s="1"/>
  <c r="C13222" i="79"/>
  <c r="I12987" i="79"/>
  <c r="A12986" i="80" s="1"/>
  <c r="C13037" i="79"/>
  <c r="I12917" i="79"/>
  <c r="A12916" i="80" s="1"/>
  <c r="C12967" i="79"/>
  <c r="I12977" i="79"/>
  <c r="A12976" i="80" s="1"/>
  <c r="C13027" i="79"/>
  <c r="I12857" i="79"/>
  <c r="A12856" i="80" s="1"/>
  <c r="C12907" i="79"/>
  <c r="I13042" i="79"/>
  <c r="A13041" i="80" s="1"/>
  <c r="C13092" i="79"/>
  <c r="C13212" i="79"/>
  <c r="I13162" i="79"/>
  <c r="A13161" i="80" s="1"/>
  <c r="C13402" i="79"/>
  <c r="I13352" i="79"/>
  <c r="A13351" i="80" s="1"/>
  <c r="I12882" i="79"/>
  <c r="A12881" i="80" s="1"/>
  <c r="C12932" i="79"/>
  <c r="C13297" i="79"/>
  <c r="I13247" i="79"/>
  <c r="A13246" i="80" s="1"/>
  <c r="C13347" i="79" l="1"/>
  <c r="I13297" i="79"/>
  <c r="A13296" i="80" s="1"/>
  <c r="I12932" i="79"/>
  <c r="A12931" i="80" s="1"/>
  <c r="C12982" i="79"/>
  <c r="I13092" i="79"/>
  <c r="A13091" i="80" s="1"/>
  <c r="C13142" i="79"/>
  <c r="C12957" i="79"/>
  <c r="I12907" i="79"/>
  <c r="A12906" i="80" s="1"/>
  <c r="I13027" i="79"/>
  <c r="A13026" i="80" s="1"/>
  <c r="C13077" i="79"/>
  <c r="I12967" i="79"/>
  <c r="A12966" i="80" s="1"/>
  <c r="C13017" i="79"/>
  <c r="I13037" i="79"/>
  <c r="A13036" i="80" s="1"/>
  <c r="C13087" i="79"/>
  <c r="C13272" i="79"/>
  <c r="I13222" i="79"/>
  <c r="A13221" i="80" s="1"/>
  <c r="I13402" i="79"/>
  <c r="A13401" i="80" s="1"/>
  <c r="C13452" i="79"/>
  <c r="I13212" i="79"/>
  <c r="A13211" i="80" s="1"/>
  <c r="C13262" i="79"/>
  <c r="I13272" i="79" l="1"/>
  <c r="A13271" i="80" s="1"/>
  <c r="C13322" i="79"/>
  <c r="I13262" i="79"/>
  <c r="A13261" i="80" s="1"/>
  <c r="C13312" i="79"/>
  <c r="I13452" i="79"/>
  <c r="A13451" i="80" s="1"/>
  <c r="C13502" i="79"/>
  <c r="C13137" i="79"/>
  <c r="I13087" i="79"/>
  <c r="A13086" i="80" s="1"/>
  <c r="I13017" i="79"/>
  <c r="A13016" i="80" s="1"/>
  <c r="C13067" i="79"/>
  <c r="C13127" i="79"/>
  <c r="I13077" i="79"/>
  <c r="A13076" i="80" s="1"/>
  <c r="I13142" i="79"/>
  <c r="A13141" i="80" s="1"/>
  <c r="C13192" i="79"/>
  <c r="I12982" i="79"/>
  <c r="A12981" i="80" s="1"/>
  <c r="C13032" i="79"/>
  <c r="I12957" i="79"/>
  <c r="A12956" i="80" s="1"/>
  <c r="C13007" i="79"/>
  <c r="I13347" i="79"/>
  <c r="A13346" i="80" s="1"/>
  <c r="C13397" i="79"/>
  <c r="C13177" i="79" l="1"/>
  <c r="I13127" i="79"/>
  <c r="A13126" i="80" s="1"/>
  <c r="I13137" i="79"/>
  <c r="A13136" i="80" s="1"/>
  <c r="C13187" i="79"/>
  <c r="C13447" i="79"/>
  <c r="I13397" i="79"/>
  <c r="A13396" i="80" s="1"/>
  <c r="I13007" i="79"/>
  <c r="A13006" i="80" s="1"/>
  <c r="C13057" i="79"/>
  <c r="I13032" i="79"/>
  <c r="A13031" i="80" s="1"/>
  <c r="C13082" i="79"/>
  <c r="I13192" i="79"/>
  <c r="A13191" i="80" s="1"/>
  <c r="C13242" i="79"/>
  <c r="I13067" i="79"/>
  <c r="A13066" i="80" s="1"/>
  <c r="C13117" i="79"/>
  <c r="C13552" i="79"/>
  <c r="I13502" i="79"/>
  <c r="A13501" i="80" s="1"/>
  <c r="I13312" i="79"/>
  <c r="A13311" i="80" s="1"/>
  <c r="C13362" i="79"/>
  <c r="I13322" i="79"/>
  <c r="A13321" i="80" s="1"/>
  <c r="C13372" i="79"/>
  <c r="I13372" i="79" l="1"/>
  <c r="A13371" i="80" s="1"/>
  <c r="C13422" i="79"/>
  <c r="C13412" i="79"/>
  <c r="I13362" i="79"/>
  <c r="A13361" i="80" s="1"/>
  <c r="I13117" i="79"/>
  <c r="A13116" i="80" s="1"/>
  <c r="C13167" i="79"/>
  <c r="I13242" i="79"/>
  <c r="A13241" i="80" s="1"/>
  <c r="C13292" i="79"/>
  <c r="I13082" i="79"/>
  <c r="A13081" i="80" s="1"/>
  <c r="C13132" i="79"/>
  <c r="C13107" i="79"/>
  <c r="I13057" i="79"/>
  <c r="A13056" i="80" s="1"/>
  <c r="I13187" i="79"/>
  <c r="A13186" i="80" s="1"/>
  <c r="C13237" i="79"/>
  <c r="I13552" i="79"/>
  <c r="A13551" i="80" s="1"/>
  <c r="C13602" i="79"/>
  <c r="I13447" i="79"/>
  <c r="A13446" i="80" s="1"/>
  <c r="C13497" i="79"/>
  <c r="C13227" i="79"/>
  <c r="I13177" i="79"/>
  <c r="A13176" i="80" s="1"/>
  <c r="I13107" i="79" l="1"/>
  <c r="A13106" i="80" s="1"/>
  <c r="C13157" i="79"/>
  <c r="I13497" i="79"/>
  <c r="A13496" i="80" s="1"/>
  <c r="C13547" i="79"/>
  <c r="I13602" i="79"/>
  <c r="A13601" i="80" s="1"/>
  <c r="C13652" i="79"/>
  <c r="C13287" i="79"/>
  <c r="I13237" i="79"/>
  <c r="A13236" i="80" s="1"/>
  <c r="C13182" i="79"/>
  <c r="I13132" i="79"/>
  <c r="A13131" i="80" s="1"/>
  <c r="I13292" i="79"/>
  <c r="A13291" i="80" s="1"/>
  <c r="C13342" i="79"/>
  <c r="C13217" i="79"/>
  <c r="I13167" i="79"/>
  <c r="A13166" i="80" s="1"/>
  <c r="I13422" i="79"/>
  <c r="A13421" i="80" s="1"/>
  <c r="C13472" i="79"/>
  <c r="C13277" i="79"/>
  <c r="I13227" i="79"/>
  <c r="A13226" i="80" s="1"/>
  <c r="I13412" i="79"/>
  <c r="A13411" i="80" s="1"/>
  <c r="C13462" i="79"/>
  <c r="C13327" i="79" l="1"/>
  <c r="I13277" i="79"/>
  <c r="A13276" i="80" s="1"/>
  <c r="I13462" i="79"/>
  <c r="A13461" i="80" s="1"/>
  <c r="C13512" i="79"/>
  <c r="I13472" i="79"/>
  <c r="A13471" i="80" s="1"/>
  <c r="C13522" i="79"/>
  <c r="I13342" i="79"/>
  <c r="A13341" i="80" s="1"/>
  <c r="C13392" i="79"/>
  <c r="I13652" i="79"/>
  <c r="A13651" i="80" s="1"/>
  <c r="C13702" i="79"/>
  <c r="I13547" i="79"/>
  <c r="A13546" i="80" s="1"/>
  <c r="C13597" i="79"/>
  <c r="I13157" i="79"/>
  <c r="A13156" i="80" s="1"/>
  <c r="C13207" i="79"/>
  <c r="I13217" i="79"/>
  <c r="A13216" i="80" s="1"/>
  <c r="C13267" i="79"/>
  <c r="I13182" i="79"/>
  <c r="A13181" i="80" s="1"/>
  <c r="C13232" i="79"/>
  <c r="I13287" i="79"/>
  <c r="A13286" i="80" s="1"/>
  <c r="C13337" i="79"/>
  <c r="C13387" i="79" l="1"/>
  <c r="I13337" i="79"/>
  <c r="A13336" i="80" s="1"/>
  <c r="I13232" i="79"/>
  <c r="A13231" i="80" s="1"/>
  <c r="C13282" i="79"/>
  <c r="I13267" i="79"/>
  <c r="A13266" i="80" s="1"/>
  <c r="C13317" i="79"/>
  <c r="I13207" i="79"/>
  <c r="A13206" i="80" s="1"/>
  <c r="C13257" i="79"/>
  <c r="I13597" i="79"/>
  <c r="A13596" i="80" s="1"/>
  <c r="C13647" i="79"/>
  <c r="I13702" i="79"/>
  <c r="A13701" i="80" s="1"/>
  <c r="C13752" i="79"/>
  <c r="I13392" i="79"/>
  <c r="A13391" i="80" s="1"/>
  <c r="C13442" i="79"/>
  <c r="I13522" i="79"/>
  <c r="A13521" i="80" s="1"/>
  <c r="C13572" i="79"/>
  <c r="I13512" i="79"/>
  <c r="A13511" i="80" s="1"/>
  <c r="C13562" i="79"/>
  <c r="C13377" i="79"/>
  <c r="I13327" i="79"/>
  <c r="A13326" i="80" s="1"/>
  <c r="I13377" i="79" l="1"/>
  <c r="A13376" i="80" s="1"/>
  <c r="C13427" i="79"/>
  <c r="I13562" i="79"/>
  <c r="A13561" i="80" s="1"/>
  <c r="C13612" i="79"/>
  <c r="I13572" i="79"/>
  <c r="A13571" i="80" s="1"/>
  <c r="C13622" i="79"/>
  <c r="I13442" i="79"/>
  <c r="A13441" i="80" s="1"/>
  <c r="C13492" i="79"/>
  <c r="I13752" i="79"/>
  <c r="A13751" i="80" s="1"/>
  <c r="C13802" i="79"/>
  <c r="I13647" i="79"/>
  <c r="A13646" i="80" s="1"/>
  <c r="C13697" i="79"/>
  <c r="C13307" i="79"/>
  <c r="I13257" i="79"/>
  <c r="A13256" i="80" s="1"/>
  <c r="C13367" i="79"/>
  <c r="I13317" i="79"/>
  <c r="A13316" i="80" s="1"/>
  <c r="I13282" i="79"/>
  <c r="A13281" i="80" s="1"/>
  <c r="C13332" i="79"/>
  <c r="C13437" i="79"/>
  <c r="I13387" i="79"/>
  <c r="A13386" i="80" s="1"/>
  <c r="I13437" i="79" l="1"/>
  <c r="A13436" i="80" s="1"/>
  <c r="C13487" i="79"/>
  <c r="I13332" i="79"/>
  <c r="A13331" i="80" s="1"/>
  <c r="C13382" i="79"/>
  <c r="I13697" i="79"/>
  <c r="A13696" i="80" s="1"/>
  <c r="C13747" i="79"/>
  <c r="I13802" i="79"/>
  <c r="A13801" i="80" s="1"/>
  <c r="C13852" i="79"/>
  <c r="I13492" i="79"/>
  <c r="A13491" i="80" s="1"/>
  <c r="C13542" i="79"/>
  <c r="I13622" i="79"/>
  <c r="A13621" i="80" s="1"/>
  <c r="C13672" i="79"/>
  <c r="I13612" i="79"/>
  <c r="A13611" i="80" s="1"/>
  <c r="C13662" i="79"/>
  <c r="I13427" i="79"/>
  <c r="A13426" i="80" s="1"/>
  <c r="C13477" i="79"/>
  <c r="I13367" i="79"/>
  <c r="A13366" i="80" s="1"/>
  <c r="C13417" i="79"/>
  <c r="C13357" i="79"/>
  <c r="I13307" i="79"/>
  <c r="A13306" i="80" s="1"/>
  <c r="C13407" i="79" l="1"/>
  <c r="I13357" i="79"/>
  <c r="A13356" i="80" s="1"/>
  <c r="I13417" i="79"/>
  <c r="A13416" i="80" s="1"/>
  <c r="C13467" i="79"/>
  <c r="I13477" i="79"/>
  <c r="A13476" i="80" s="1"/>
  <c r="C13527" i="79"/>
  <c r="I13662" i="79"/>
  <c r="A13661" i="80" s="1"/>
  <c r="C13712" i="79"/>
  <c r="I13672" i="79"/>
  <c r="A13671" i="80" s="1"/>
  <c r="C13722" i="79"/>
  <c r="C13592" i="79"/>
  <c r="I13542" i="79"/>
  <c r="A13541" i="80" s="1"/>
  <c r="I13852" i="79"/>
  <c r="A13851" i="80" s="1"/>
  <c r="C13902" i="79"/>
  <c r="I13747" i="79"/>
  <c r="A13746" i="80" s="1"/>
  <c r="C13797" i="79"/>
  <c r="C13432" i="79"/>
  <c r="I13382" i="79"/>
  <c r="A13381" i="80" s="1"/>
  <c r="I13487" i="79"/>
  <c r="A13486" i="80" s="1"/>
  <c r="C13537" i="79"/>
  <c r="C13482" i="79" l="1"/>
  <c r="I13432" i="79"/>
  <c r="A13431" i="80" s="1"/>
  <c r="I13537" i="79"/>
  <c r="A13536" i="80" s="1"/>
  <c r="C13587" i="79"/>
  <c r="I13797" i="79"/>
  <c r="A13796" i="80" s="1"/>
  <c r="C13847" i="79"/>
  <c r="I13902" i="79"/>
  <c r="A13901" i="80" s="1"/>
  <c r="C13952" i="79"/>
  <c r="I13722" i="79"/>
  <c r="A13721" i="80" s="1"/>
  <c r="C13772" i="79"/>
  <c r="C13762" i="79"/>
  <c r="I13712" i="79"/>
  <c r="A13711" i="80" s="1"/>
  <c r="I13527" i="79"/>
  <c r="A13526" i="80" s="1"/>
  <c r="C13577" i="79"/>
  <c r="I13467" i="79"/>
  <c r="A13466" i="80" s="1"/>
  <c r="C13517" i="79"/>
  <c r="I13592" i="79"/>
  <c r="A13591" i="80" s="1"/>
  <c r="C13642" i="79"/>
  <c r="I13407" i="79"/>
  <c r="A13406" i="80" s="1"/>
  <c r="C13457" i="79"/>
  <c r="I13457" i="79" l="1"/>
  <c r="A13456" i="80" s="1"/>
  <c r="C13507" i="79"/>
  <c r="I13642" i="79"/>
  <c r="A13641" i="80" s="1"/>
  <c r="C13692" i="79"/>
  <c r="I13517" i="79"/>
  <c r="A13516" i="80" s="1"/>
  <c r="C13567" i="79"/>
  <c r="I13577" i="79"/>
  <c r="A13576" i="80" s="1"/>
  <c r="C13627" i="79"/>
  <c r="I13772" i="79"/>
  <c r="A13771" i="80" s="1"/>
  <c r="C13822" i="79"/>
  <c r="C14002" i="79"/>
  <c r="I13952" i="79"/>
  <c r="A13951" i="80" s="1"/>
  <c r="I13847" i="79"/>
  <c r="A13846" i="80" s="1"/>
  <c r="C13897" i="79"/>
  <c r="I13587" i="79"/>
  <c r="A13586" i="80" s="1"/>
  <c r="C13637" i="79"/>
  <c r="I13762" i="79"/>
  <c r="A13761" i="80" s="1"/>
  <c r="C13812" i="79"/>
  <c r="I13482" i="79"/>
  <c r="A13481" i="80" s="1"/>
  <c r="C13532" i="79"/>
  <c r="I14002" i="79" l="1"/>
  <c r="A14001" i="80" s="1"/>
  <c r="C14052" i="79"/>
  <c r="I13532" i="79"/>
  <c r="A13531" i="80" s="1"/>
  <c r="C13582" i="79"/>
  <c r="I13812" i="79"/>
  <c r="A13811" i="80" s="1"/>
  <c r="C13862" i="79"/>
  <c r="I13637" i="79"/>
  <c r="A13636" i="80" s="1"/>
  <c r="C13687" i="79"/>
  <c r="C13947" i="79"/>
  <c r="I13897" i="79"/>
  <c r="A13896" i="80" s="1"/>
  <c r="I13822" i="79"/>
  <c r="A13821" i="80" s="1"/>
  <c r="C13872" i="79"/>
  <c r="I13627" i="79"/>
  <c r="A13626" i="80" s="1"/>
  <c r="C13677" i="79"/>
  <c r="I13567" i="79"/>
  <c r="A13566" i="80" s="1"/>
  <c r="C13617" i="79"/>
  <c r="C13742" i="79"/>
  <c r="I13692" i="79"/>
  <c r="A13691" i="80" s="1"/>
  <c r="I13507" i="79"/>
  <c r="A13506" i="80" s="1"/>
  <c r="C13557" i="79"/>
  <c r="I13742" i="79" l="1"/>
  <c r="A13741" i="80" s="1"/>
  <c r="C13792" i="79"/>
  <c r="I13557" i="79"/>
  <c r="A13556" i="80" s="1"/>
  <c r="C13607" i="79"/>
  <c r="I13617" i="79"/>
  <c r="A13616" i="80" s="1"/>
  <c r="C13667" i="79"/>
  <c r="I13677" i="79"/>
  <c r="A13676" i="80" s="1"/>
  <c r="C13727" i="79"/>
  <c r="I13872" i="79"/>
  <c r="A13871" i="80" s="1"/>
  <c r="C13922" i="79"/>
  <c r="I13687" i="79"/>
  <c r="A13686" i="80" s="1"/>
  <c r="C13737" i="79"/>
  <c r="I13862" i="79"/>
  <c r="A13861" i="80" s="1"/>
  <c r="C13912" i="79"/>
  <c r="I13582" i="79"/>
  <c r="A13581" i="80" s="1"/>
  <c r="C13632" i="79"/>
  <c r="I14052" i="79"/>
  <c r="A14051" i="80" s="1"/>
  <c r="C14102" i="79"/>
  <c r="I13947" i="79"/>
  <c r="A13946" i="80" s="1"/>
  <c r="C13997" i="79"/>
  <c r="I13997" i="79" l="1"/>
  <c r="A13996" i="80" s="1"/>
  <c r="C14047" i="79"/>
  <c r="I14102" i="79"/>
  <c r="A14101" i="80" s="1"/>
  <c r="C14152" i="79"/>
  <c r="I13632" i="79"/>
  <c r="A13631" i="80" s="1"/>
  <c r="C13682" i="79"/>
  <c r="I13912" i="79"/>
  <c r="A13911" i="80" s="1"/>
  <c r="C13962" i="79"/>
  <c r="I13737" i="79"/>
  <c r="A13736" i="80" s="1"/>
  <c r="C13787" i="79"/>
  <c r="I13922" i="79"/>
  <c r="A13921" i="80" s="1"/>
  <c r="C13972" i="79"/>
  <c r="I13727" i="79"/>
  <c r="A13726" i="80" s="1"/>
  <c r="C13777" i="79"/>
  <c r="I13667" i="79"/>
  <c r="A13666" i="80" s="1"/>
  <c r="C13717" i="79"/>
  <c r="I13607" i="79"/>
  <c r="A13606" i="80" s="1"/>
  <c r="C13657" i="79"/>
  <c r="I13792" i="79"/>
  <c r="A13791" i="80" s="1"/>
  <c r="C13842" i="79"/>
  <c r="I13842" i="79" l="1"/>
  <c r="A13841" i="80" s="1"/>
  <c r="C13892" i="79"/>
  <c r="I13657" i="79"/>
  <c r="A13656" i="80" s="1"/>
  <c r="C13707" i="79"/>
  <c r="I13717" i="79"/>
  <c r="A13716" i="80" s="1"/>
  <c r="C13767" i="79"/>
  <c r="C13827" i="79"/>
  <c r="I13777" i="79"/>
  <c r="A13776" i="80" s="1"/>
  <c r="I13972" i="79"/>
  <c r="A13971" i="80" s="1"/>
  <c r="C14022" i="79"/>
  <c r="I13787" i="79"/>
  <c r="A13786" i="80" s="1"/>
  <c r="C13837" i="79"/>
  <c r="I13962" i="79"/>
  <c r="A13961" i="80" s="1"/>
  <c r="C14012" i="79"/>
  <c r="I13682" i="79"/>
  <c r="A13681" i="80" s="1"/>
  <c r="C13732" i="79"/>
  <c r="I14152" i="79"/>
  <c r="A14151" i="80" s="1"/>
  <c r="C14202" i="79"/>
  <c r="I14047" i="79"/>
  <c r="A14046" i="80" s="1"/>
  <c r="C14097" i="79"/>
  <c r="I13827" i="79" l="1"/>
  <c r="A13826" i="80" s="1"/>
  <c r="C13877" i="79"/>
  <c r="I14097" i="79"/>
  <c r="A14096" i="80" s="1"/>
  <c r="C14147" i="79"/>
  <c r="I14202" i="79"/>
  <c r="A14201" i="80" s="1"/>
  <c r="C14252" i="79"/>
  <c r="I13732" i="79"/>
  <c r="A13731" i="80" s="1"/>
  <c r="C13782" i="79"/>
  <c r="I14012" i="79"/>
  <c r="A14011" i="80" s="1"/>
  <c r="C14062" i="79"/>
  <c r="I13837" i="79"/>
  <c r="A13836" i="80" s="1"/>
  <c r="C13887" i="79"/>
  <c r="I14022" i="79"/>
  <c r="A14021" i="80" s="1"/>
  <c r="C14072" i="79"/>
  <c r="I13767" i="79"/>
  <c r="A13766" i="80" s="1"/>
  <c r="C13817" i="79"/>
  <c r="I13707" i="79"/>
  <c r="A13706" i="80" s="1"/>
  <c r="C13757" i="79"/>
  <c r="I13892" i="79"/>
  <c r="A13891" i="80" s="1"/>
  <c r="C13942" i="79"/>
  <c r="I13942" i="79" l="1"/>
  <c r="A13941" i="80" s="1"/>
  <c r="C13992" i="79"/>
  <c r="I13757" i="79"/>
  <c r="A13756" i="80" s="1"/>
  <c r="C13807" i="79"/>
  <c r="I13817" i="79"/>
  <c r="A13816" i="80" s="1"/>
  <c r="C13867" i="79"/>
  <c r="I14072" i="79"/>
  <c r="A14071" i="80" s="1"/>
  <c r="C14122" i="79"/>
  <c r="I13887" i="79"/>
  <c r="A13886" i="80" s="1"/>
  <c r="C13937" i="79"/>
  <c r="I14062" i="79"/>
  <c r="A14061" i="80" s="1"/>
  <c r="C14112" i="79"/>
  <c r="C13832" i="79"/>
  <c r="I13782" i="79"/>
  <c r="A13781" i="80" s="1"/>
  <c r="I14252" i="79"/>
  <c r="A14251" i="80" s="1"/>
  <c r="C14302" i="79"/>
  <c r="I14147" i="79"/>
  <c r="A14146" i="80" s="1"/>
  <c r="C14197" i="79"/>
  <c r="I13877" i="79"/>
  <c r="A13876" i="80" s="1"/>
  <c r="C13927" i="79"/>
  <c r="I13927" i="79" l="1"/>
  <c r="A13926" i="80" s="1"/>
  <c r="C13977" i="79"/>
  <c r="C14247" i="79"/>
  <c r="I14197" i="79"/>
  <c r="A14196" i="80" s="1"/>
  <c r="I14302" i="79"/>
  <c r="A14301" i="80" s="1"/>
  <c r="C14352" i="79"/>
  <c r="C14162" i="79"/>
  <c r="I14112" i="79"/>
  <c r="A14111" i="80" s="1"/>
  <c r="C13987" i="79"/>
  <c r="I13937" i="79"/>
  <c r="A13936" i="80" s="1"/>
  <c r="I14122" i="79"/>
  <c r="A14121" i="80" s="1"/>
  <c r="C14172" i="79"/>
  <c r="I13867" i="79"/>
  <c r="A13866" i="80" s="1"/>
  <c r="C13917" i="79"/>
  <c r="I13807" i="79"/>
  <c r="A13806" i="80" s="1"/>
  <c r="C13857" i="79"/>
  <c r="C14042" i="79"/>
  <c r="I13992" i="79"/>
  <c r="A13991" i="80" s="1"/>
  <c r="I13832" i="79"/>
  <c r="A13831" i="80" s="1"/>
  <c r="C13882" i="79"/>
  <c r="I14042" i="79" l="1"/>
  <c r="A14041" i="80" s="1"/>
  <c r="C14092" i="79"/>
  <c r="I13882" i="79"/>
  <c r="A13881" i="80" s="1"/>
  <c r="C13932" i="79"/>
  <c r="I13857" i="79"/>
  <c r="A13856" i="80" s="1"/>
  <c r="C13907" i="79"/>
  <c r="C13967" i="79"/>
  <c r="I13917" i="79"/>
  <c r="A13916" i="80" s="1"/>
  <c r="I14172" i="79"/>
  <c r="A14171" i="80" s="1"/>
  <c r="C14222" i="79"/>
  <c r="I14352" i="79"/>
  <c r="A14351" i="80" s="1"/>
  <c r="C14402" i="79"/>
  <c r="I13977" i="79"/>
  <c r="A13976" i="80" s="1"/>
  <c r="C14027" i="79"/>
  <c r="I13987" i="79"/>
  <c r="A13986" i="80" s="1"/>
  <c r="C14037" i="79"/>
  <c r="I14162" i="79"/>
  <c r="A14161" i="80" s="1"/>
  <c r="C14212" i="79"/>
  <c r="I14247" i="79"/>
  <c r="A14246" i="80" s="1"/>
  <c r="C14297" i="79"/>
  <c r="I13967" i="79" l="1"/>
  <c r="A13966" i="80" s="1"/>
  <c r="C14017" i="79"/>
  <c r="I14297" i="79"/>
  <c r="A14296" i="80" s="1"/>
  <c r="C14347" i="79"/>
  <c r="I14212" i="79"/>
  <c r="A14211" i="80" s="1"/>
  <c r="C14262" i="79"/>
  <c r="I14037" i="79"/>
  <c r="A14036" i="80" s="1"/>
  <c r="C14087" i="79"/>
  <c r="I14027" i="79"/>
  <c r="A14026" i="80" s="1"/>
  <c r="C14077" i="79"/>
  <c r="I14402" i="79"/>
  <c r="A14401" i="80" s="1"/>
  <c r="C14452" i="79"/>
  <c r="I14222" i="79"/>
  <c r="A14221" i="80" s="1"/>
  <c r="C14272" i="79"/>
  <c r="I13907" i="79"/>
  <c r="A13906" i="80" s="1"/>
  <c r="C13957" i="79"/>
  <c r="I13932" i="79"/>
  <c r="A13931" i="80" s="1"/>
  <c r="C13982" i="79"/>
  <c r="C14142" i="79"/>
  <c r="I14092" i="79"/>
  <c r="A14091" i="80" s="1"/>
  <c r="I13982" i="79" l="1"/>
  <c r="A13981" i="80" s="1"/>
  <c r="C14032" i="79"/>
  <c r="C14007" i="79"/>
  <c r="I13957" i="79"/>
  <c r="A13956" i="80" s="1"/>
  <c r="I14272" i="79"/>
  <c r="A14271" i="80" s="1"/>
  <c r="C14322" i="79"/>
  <c r="I14452" i="79"/>
  <c r="A14451" i="80" s="1"/>
  <c r="C14502" i="79"/>
  <c r="I14077" i="79"/>
  <c r="A14076" i="80" s="1"/>
  <c r="C14127" i="79"/>
  <c r="I14087" i="79"/>
  <c r="A14086" i="80" s="1"/>
  <c r="C14137" i="79"/>
  <c r="I14262" i="79"/>
  <c r="A14261" i="80" s="1"/>
  <c r="C14312" i="79"/>
  <c r="I14347" i="79"/>
  <c r="A14346" i="80" s="1"/>
  <c r="C14397" i="79"/>
  <c r="I14017" i="79"/>
  <c r="A14016" i="80" s="1"/>
  <c r="C14067" i="79"/>
  <c r="I14142" i="79"/>
  <c r="A14141" i="80" s="1"/>
  <c r="C14192" i="79"/>
  <c r="I14192" i="79" l="1"/>
  <c r="A14191" i="80" s="1"/>
  <c r="C14242" i="79"/>
  <c r="I14067" i="79"/>
  <c r="A14066" i="80" s="1"/>
  <c r="C14117" i="79"/>
  <c r="I14397" i="79"/>
  <c r="A14396" i="80" s="1"/>
  <c r="C14447" i="79"/>
  <c r="I14312" i="79"/>
  <c r="A14311" i="80" s="1"/>
  <c r="C14362" i="79"/>
  <c r="I14137" i="79"/>
  <c r="A14136" i="80" s="1"/>
  <c r="C14187" i="79"/>
  <c r="I14127" i="79"/>
  <c r="A14126" i="80" s="1"/>
  <c r="C14177" i="79"/>
  <c r="C14552" i="79"/>
  <c r="I14502" i="79"/>
  <c r="A14501" i="80" s="1"/>
  <c r="I14322" i="79"/>
  <c r="A14321" i="80" s="1"/>
  <c r="C14372" i="79"/>
  <c r="C14082" i="79"/>
  <c r="I14032" i="79"/>
  <c r="A14031" i="80" s="1"/>
  <c r="I14007" i="79"/>
  <c r="A14006" i="80" s="1"/>
  <c r="C14057" i="79"/>
  <c r="I14552" i="79" l="1"/>
  <c r="A14551" i="80" s="1"/>
  <c r="C14602" i="79"/>
  <c r="I14057" i="79"/>
  <c r="A14056" i="80" s="1"/>
  <c r="C14107" i="79"/>
  <c r="I14372" i="79"/>
  <c r="A14371" i="80" s="1"/>
  <c r="C14422" i="79"/>
  <c r="I14177" i="79"/>
  <c r="A14176" i="80" s="1"/>
  <c r="C14227" i="79"/>
  <c r="I14187" i="79"/>
  <c r="A14186" i="80" s="1"/>
  <c r="C14237" i="79"/>
  <c r="I14362" i="79"/>
  <c r="A14361" i="80" s="1"/>
  <c r="C14412" i="79"/>
  <c r="I14447" i="79"/>
  <c r="A14446" i="80" s="1"/>
  <c r="C14497" i="79"/>
  <c r="I14117" i="79"/>
  <c r="A14116" i="80" s="1"/>
  <c r="C14167" i="79"/>
  <c r="I14242" i="79"/>
  <c r="A14241" i="80" s="1"/>
  <c r="C14292" i="79"/>
  <c r="I14082" i="79"/>
  <c r="A14081" i="80" s="1"/>
  <c r="C14132" i="79"/>
  <c r="I14132" i="79" l="1"/>
  <c r="A14131" i="80" s="1"/>
  <c r="C14182" i="79"/>
  <c r="I14292" i="79"/>
  <c r="A14291" i="80" s="1"/>
  <c r="C14342" i="79"/>
  <c r="I14167" i="79"/>
  <c r="A14166" i="80" s="1"/>
  <c r="C14217" i="79"/>
  <c r="I14497" i="79"/>
  <c r="A14496" i="80" s="1"/>
  <c r="C14547" i="79"/>
  <c r="I14412" i="79"/>
  <c r="A14411" i="80" s="1"/>
  <c r="C14462" i="79"/>
  <c r="I14237" i="79"/>
  <c r="A14236" i="80" s="1"/>
  <c r="C14287" i="79"/>
  <c r="I14227" i="79"/>
  <c r="A14226" i="80" s="1"/>
  <c r="C14277" i="79"/>
  <c r="I14422" i="79"/>
  <c r="A14421" i="80" s="1"/>
  <c r="C14472" i="79"/>
  <c r="I14107" i="79"/>
  <c r="A14106" i="80" s="1"/>
  <c r="C14157" i="79"/>
  <c r="I14602" i="79"/>
  <c r="A14601" i="80" s="1"/>
  <c r="C14652" i="79"/>
  <c r="I14652" i="79" l="1"/>
  <c r="A14651" i="80" s="1"/>
  <c r="C14702" i="79"/>
  <c r="I14157" i="79"/>
  <c r="A14156" i="80" s="1"/>
  <c r="C14207" i="79"/>
  <c r="C14522" i="79"/>
  <c r="I14472" i="79"/>
  <c r="A14471" i="80" s="1"/>
  <c r="I14277" i="79"/>
  <c r="A14276" i="80" s="1"/>
  <c r="C14327" i="79"/>
  <c r="I14287" i="79"/>
  <c r="A14286" i="80" s="1"/>
  <c r="C14337" i="79"/>
  <c r="I14462" i="79"/>
  <c r="A14461" i="80" s="1"/>
  <c r="C14512" i="79"/>
  <c r="I14547" i="79"/>
  <c r="A14546" i="80" s="1"/>
  <c r="C14597" i="79"/>
  <c r="C14267" i="79"/>
  <c r="I14217" i="79"/>
  <c r="A14216" i="80" s="1"/>
  <c r="I14342" i="79"/>
  <c r="A14341" i="80" s="1"/>
  <c r="C14392" i="79"/>
  <c r="I14182" i="79"/>
  <c r="A14181" i="80" s="1"/>
  <c r="C14232" i="79"/>
  <c r="I14267" i="79" l="1"/>
  <c r="A14266" i="80" s="1"/>
  <c r="C14317" i="79"/>
  <c r="I14232" i="79"/>
  <c r="A14231" i="80" s="1"/>
  <c r="C14282" i="79"/>
  <c r="I14392" i="79"/>
  <c r="A14391" i="80" s="1"/>
  <c r="C14442" i="79"/>
  <c r="I14597" i="79"/>
  <c r="A14596" i="80" s="1"/>
  <c r="C14647" i="79"/>
  <c r="I14512" i="79"/>
  <c r="A14511" i="80" s="1"/>
  <c r="C14562" i="79"/>
  <c r="I14337" i="79"/>
  <c r="A14336" i="80" s="1"/>
  <c r="C14387" i="79"/>
  <c r="I14327" i="79"/>
  <c r="A14326" i="80" s="1"/>
  <c r="C14377" i="79"/>
  <c r="I14207" i="79"/>
  <c r="A14206" i="80" s="1"/>
  <c r="C14257" i="79"/>
  <c r="I14702" i="79"/>
  <c r="A14701" i="80" s="1"/>
  <c r="C14752" i="79"/>
  <c r="I14522" i="79"/>
  <c r="A14521" i="80" s="1"/>
  <c r="C14572" i="79"/>
  <c r="I14572" i="79" l="1"/>
  <c r="A14571" i="80" s="1"/>
  <c r="C14622" i="79"/>
  <c r="C14802" i="79"/>
  <c r="I14752" i="79"/>
  <c r="A14751" i="80" s="1"/>
  <c r="I14257" i="79"/>
  <c r="A14256" i="80" s="1"/>
  <c r="C14307" i="79"/>
  <c r="I14377" i="79"/>
  <c r="A14376" i="80" s="1"/>
  <c r="C14427" i="79"/>
  <c r="I14387" i="79"/>
  <c r="A14386" i="80" s="1"/>
  <c r="C14437" i="79"/>
  <c r="I14562" i="79"/>
  <c r="A14561" i="80" s="1"/>
  <c r="C14612" i="79"/>
  <c r="I14647" i="79"/>
  <c r="A14646" i="80" s="1"/>
  <c r="C14697" i="79"/>
  <c r="I14442" i="79"/>
  <c r="A14441" i="80" s="1"/>
  <c r="C14492" i="79"/>
  <c r="I14282" i="79"/>
  <c r="A14281" i="80" s="1"/>
  <c r="C14332" i="79"/>
  <c r="I14317" i="79"/>
  <c r="A14316" i="80" s="1"/>
  <c r="C14367" i="79"/>
  <c r="I14367" i="79" l="1"/>
  <c r="A14366" i="80" s="1"/>
  <c r="C14417" i="79"/>
  <c r="I14332" i="79"/>
  <c r="A14331" i="80" s="1"/>
  <c r="C14382" i="79"/>
  <c r="I14492" i="79"/>
  <c r="A14491" i="80" s="1"/>
  <c r="C14542" i="79"/>
  <c r="C14747" i="79"/>
  <c r="I14697" i="79"/>
  <c r="A14696" i="80" s="1"/>
  <c r="I14612" i="79"/>
  <c r="A14611" i="80" s="1"/>
  <c r="C14662" i="79"/>
  <c r="I14437" i="79"/>
  <c r="A14436" i="80" s="1"/>
  <c r="C14487" i="79"/>
  <c r="I14427" i="79"/>
  <c r="A14426" i="80" s="1"/>
  <c r="C14477" i="79"/>
  <c r="I14307" i="79"/>
  <c r="A14306" i="80" s="1"/>
  <c r="C14357" i="79"/>
  <c r="I14622" i="79"/>
  <c r="A14621" i="80" s="1"/>
  <c r="C14672" i="79"/>
  <c r="C14852" i="79"/>
  <c r="I14802" i="79"/>
  <c r="A14801" i="80" s="1"/>
  <c r="I14852" i="79" l="1"/>
  <c r="A14851" i="80" s="1"/>
  <c r="C14902" i="79"/>
  <c r="C14722" i="79"/>
  <c r="I14672" i="79"/>
  <c r="A14671" i="80" s="1"/>
  <c r="I14357" i="79"/>
  <c r="A14356" i="80" s="1"/>
  <c r="C14407" i="79"/>
  <c r="I14477" i="79"/>
  <c r="A14476" i="80" s="1"/>
  <c r="C14527" i="79"/>
  <c r="C14537" i="79"/>
  <c r="I14487" i="79"/>
  <c r="A14486" i="80" s="1"/>
  <c r="I14662" i="79"/>
  <c r="A14661" i="80" s="1"/>
  <c r="C14712" i="79"/>
  <c r="I14542" i="79"/>
  <c r="A14541" i="80" s="1"/>
  <c r="C14592" i="79"/>
  <c r="I14382" i="79"/>
  <c r="A14381" i="80" s="1"/>
  <c r="C14432" i="79"/>
  <c r="I14417" i="79"/>
  <c r="A14416" i="80" s="1"/>
  <c r="C14467" i="79"/>
  <c r="C14797" i="79"/>
  <c r="I14747" i="79"/>
  <c r="A14746" i="80" s="1"/>
  <c r="C14847" i="79" l="1"/>
  <c r="I14797" i="79"/>
  <c r="A14796" i="80" s="1"/>
  <c r="I14467" i="79"/>
  <c r="A14466" i="80" s="1"/>
  <c r="C14517" i="79"/>
  <c r="I14432" i="79"/>
  <c r="A14431" i="80" s="1"/>
  <c r="C14482" i="79"/>
  <c r="I14592" i="79"/>
  <c r="A14591" i="80" s="1"/>
  <c r="C14642" i="79"/>
  <c r="C14762" i="79"/>
  <c r="I14712" i="79"/>
  <c r="A14711" i="80" s="1"/>
  <c r="I14527" i="79"/>
  <c r="A14526" i="80" s="1"/>
  <c r="C14577" i="79"/>
  <c r="I14407" i="79"/>
  <c r="A14406" i="80" s="1"/>
  <c r="C14457" i="79"/>
  <c r="I14902" i="79"/>
  <c r="A14901" i="80" s="1"/>
  <c r="C14952" i="79"/>
  <c r="I14537" i="79"/>
  <c r="A14536" i="80" s="1"/>
  <c r="C14587" i="79"/>
  <c r="I14722" i="79"/>
  <c r="A14721" i="80" s="1"/>
  <c r="C14772" i="79"/>
  <c r="I14772" i="79" l="1"/>
  <c r="A14771" i="80" s="1"/>
  <c r="C14822" i="79"/>
  <c r="I14587" i="79"/>
  <c r="A14586" i="80" s="1"/>
  <c r="C14637" i="79"/>
  <c r="I14952" i="79"/>
  <c r="A14951" i="80" s="1"/>
  <c r="C15002" i="79"/>
  <c r="I14457" i="79"/>
  <c r="A14456" i="80" s="1"/>
  <c r="C14507" i="79"/>
  <c r="I14577" i="79"/>
  <c r="A14576" i="80" s="1"/>
  <c r="C14627" i="79"/>
  <c r="C14692" i="79"/>
  <c r="I14642" i="79"/>
  <c r="A14641" i="80" s="1"/>
  <c r="I14482" i="79"/>
  <c r="A14481" i="80" s="1"/>
  <c r="C14532" i="79"/>
  <c r="I14517" i="79"/>
  <c r="A14516" i="80" s="1"/>
  <c r="C14567" i="79"/>
  <c r="I14762" i="79"/>
  <c r="A14761" i="80" s="1"/>
  <c r="C14812" i="79"/>
  <c r="I14847" i="79"/>
  <c r="A14846" i="80" s="1"/>
  <c r="C14897" i="79"/>
  <c r="I14692" i="79" l="1"/>
  <c r="A14691" i="80" s="1"/>
  <c r="C14742" i="79"/>
  <c r="I14897" i="79"/>
  <c r="A14896" i="80" s="1"/>
  <c r="C14947" i="79"/>
  <c r="C14862" i="79"/>
  <c r="I14812" i="79"/>
  <c r="A14811" i="80" s="1"/>
  <c r="C14617" i="79"/>
  <c r="I14567" i="79"/>
  <c r="A14566" i="80" s="1"/>
  <c r="C14582" i="79"/>
  <c r="I14532" i="79"/>
  <c r="A14531" i="80" s="1"/>
  <c r="I14627" i="79"/>
  <c r="A14626" i="80" s="1"/>
  <c r="C14677" i="79"/>
  <c r="I14507" i="79"/>
  <c r="A14506" i="80" s="1"/>
  <c r="C14557" i="79"/>
  <c r="C15052" i="79"/>
  <c r="I15002" i="79"/>
  <c r="A15001" i="80" s="1"/>
  <c r="I14637" i="79"/>
  <c r="A14636" i="80" s="1"/>
  <c r="C14687" i="79"/>
  <c r="I14822" i="79"/>
  <c r="A14821" i="80" s="1"/>
  <c r="C14872" i="79"/>
  <c r="C14922" i="79" l="1"/>
  <c r="I14872" i="79"/>
  <c r="A14871" i="80" s="1"/>
  <c r="I14687" i="79"/>
  <c r="A14686" i="80" s="1"/>
  <c r="C14737" i="79"/>
  <c r="I14557" i="79"/>
  <c r="A14556" i="80" s="1"/>
  <c r="C14607" i="79"/>
  <c r="I14677" i="79"/>
  <c r="A14676" i="80" s="1"/>
  <c r="C14727" i="79"/>
  <c r="I14947" i="79"/>
  <c r="A14946" i="80" s="1"/>
  <c r="C14997" i="79"/>
  <c r="I14742" i="79"/>
  <c r="A14741" i="80" s="1"/>
  <c r="C14792" i="79"/>
  <c r="I15052" i="79"/>
  <c r="A15051" i="80" s="1"/>
  <c r="C15102" i="79"/>
  <c r="C14632" i="79"/>
  <c r="I14582" i="79"/>
  <c r="A14581" i="80" s="1"/>
  <c r="I14617" i="79"/>
  <c r="A14616" i="80" s="1"/>
  <c r="C14667" i="79"/>
  <c r="I14862" i="79"/>
  <c r="A14861" i="80" s="1"/>
  <c r="C14912" i="79"/>
  <c r="I14632" i="79" l="1"/>
  <c r="A14631" i="80" s="1"/>
  <c r="C14682" i="79"/>
  <c r="I14912" i="79"/>
  <c r="A14911" i="80" s="1"/>
  <c r="C14962" i="79"/>
  <c r="I14667" i="79"/>
  <c r="A14666" i="80" s="1"/>
  <c r="C14717" i="79"/>
  <c r="I15102" i="79"/>
  <c r="A15101" i="80" s="1"/>
  <c r="C15152" i="79"/>
  <c r="I14792" i="79"/>
  <c r="A14791" i="80" s="1"/>
  <c r="C14842" i="79"/>
  <c r="C15047" i="79"/>
  <c r="I14997" i="79"/>
  <c r="A14996" i="80" s="1"/>
  <c r="I14727" i="79"/>
  <c r="A14726" i="80" s="1"/>
  <c r="C14777" i="79"/>
  <c r="I14607" i="79"/>
  <c r="A14606" i="80" s="1"/>
  <c r="C14657" i="79"/>
  <c r="C14787" i="79"/>
  <c r="I14737" i="79"/>
  <c r="A14736" i="80" s="1"/>
  <c r="C14972" i="79"/>
  <c r="I14922" i="79"/>
  <c r="A14921" i="80" s="1"/>
  <c r="C14707" i="79" l="1"/>
  <c r="I14657" i="79"/>
  <c r="A14656" i="80" s="1"/>
  <c r="C14827" i="79"/>
  <c r="I14777" i="79"/>
  <c r="A14776" i="80" s="1"/>
  <c r="I14842" i="79"/>
  <c r="A14841" i="80" s="1"/>
  <c r="C14892" i="79"/>
  <c r="I15152" i="79"/>
  <c r="A15151" i="80" s="1"/>
  <c r="C15202" i="79"/>
  <c r="I14717" i="79"/>
  <c r="A14716" i="80" s="1"/>
  <c r="C14767" i="79"/>
  <c r="I14962" i="79"/>
  <c r="A14961" i="80" s="1"/>
  <c r="C15012" i="79"/>
  <c r="C14732" i="79"/>
  <c r="I14682" i="79"/>
  <c r="A14681" i="80" s="1"/>
  <c r="I14972" i="79"/>
  <c r="A14971" i="80" s="1"/>
  <c r="C15022" i="79"/>
  <c r="C14837" i="79"/>
  <c r="I14787" i="79"/>
  <c r="A14786" i="80" s="1"/>
  <c r="C15097" i="79"/>
  <c r="I15047" i="79"/>
  <c r="A15046" i="80" s="1"/>
  <c r="I15097" i="79" l="1"/>
  <c r="A15096" i="80" s="1"/>
  <c r="C15147" i="79"/>
  <c r="C14887" i="79"/>
  <c r="I14837" i="79"/>
  <c r="A14836" i="80" s="1"/>
  <c r="I15022" i="79"/>
  <c r="A15021" i="80" s="1"/>
  <c r="C15072" i="79"/>
  <c r="I15012" i="79"/>
  <c r="A15011" i="80" s="1"/>
  <c r="C15062" i="79"/>
  <c r="C14817" i="79"/>
  <c r="I14767" i="79"/>
  <c r="A14766" i="80" s="1"/>
  <c r="C15252" i="79"/>
  <c r="I15202" i="79"/>
  <c r="A15201" i="80" s="1"/>
  <c r="C14942" i="79"/>
  <c r="I14892" i="79"/>
  <c r="A14891" i="80" s="1"/>
  <c r="C14782" i="79"/>
  <c r="I14732" i="79"/>
  <c r="A14731" i="80" s="1"/>
  <c r="I14827" i="79"/>
  <c r="A14826" i="80" s="1"/>
  <c r="C14877" i="79"/>
  <c r="I14707" i="79"/>
  <c r="A14706" i="80" s="1"/>
  <c r="C14757" i="79"/>
  <c r="I15062" i="79" l="1"/>
  <c r="A15061" i="80" s="1"/>
  <c r="C15112" i="79"/>
  <c r="I15072" i="79"/>
  <c r="A15071" i="80" s="1"/>
  <c r="C15122" i="79"/>
  <c r="I15147" i="79"/>
  <c r="A15146" i="80" s="1"/>
  <c r="C15197" i="79"/>
  <c r="I14757" i="79"/>
  <c r="A14756" i="80" s="1"/>
  <c r="C14807" i="79"/>
  <c r="C14927" i="79"/>
  <c r="I14877" i="79"/>
  <c r="A14876" i="80" s="1"/>
  <c r="C14832" i="79"/>
  <c r="I14782" i="79"/>
  <c r="A14781" i="80" s="1"/>
  <c r="C14992" i="79"/>
  <c r="I14942" i="79"/>
  <c r="A14941" i="80" s="1"/>
  <c r="C15302" i="79"/>
  <c r="I15252" i="79"/>
  <c r="A15251" i="80" s="1"/>
  <c r="I14817" i="79"/>
  <c r="A14816" i="80" s="1"/>
  <c r="C14867" i="79"/>
  <c r="I14887" i="79"/>
  <c r="A14886" i="80" s="1"/>
  <c r="C14937" i="79"/>
  <c r="C14987" i="79" l="1"/>
  <c r="I14937" i="79"/>
  <c r="A14936" i="80" s="1"/>
  <c r="I14867" i="79"/>
  <c r="A14866" i="80" s="1"/>
  <c r="C14917" i="79"/>
  <c r="C14857" i="79"/>
  <c r="I14807" i="79"/>
  <c r="A14806" i="80" s="1"/>
  <c r="C15247" i="79"/>
  <c r="I15197" i="79"/>
  <c r="A15196" i="80" s="1"/>
  <c r="C15172" i="79"/>
  <c r="I15122" i="79"/>
  <c r="A15121" i="80" s="1"/>
  <c r="C15162" i="79"/>
  <c r="I15112" i="79"/>
  <c r="A15111" i="80" s="1"/>
  <c r="I15302" i="79"/>
  <c r="A15301" i="80" s="1"/>
  <c r="C15352" i="79"/>
  <c r="I14992" i="79"/>
  <c r="A14991" i="80" s="1"/>
  <c r="C15042" i="79"/>
  <c r="C14882" i="79"/>
  <c r="I14832" i="79"/>
  <c r="A14831" i="80" s="1"/>
  <c r="I14927" i="79"/>
  <c r="A14926" i="80" s="1"/>
  <c r="C14977" i="79"/>
  <c r="C15027" i="79" l="1"/>
  <c r="I14977" i="79"/>
  <c r="A14976" i="80" s="1"/>
  <c r="C14967" i="79"/>
  <c r="I14917" i="79"/>
  <c r="A14916" i="80" s="1"/>
  <c r="I15042" i="79"/>
  <c r="A15041" i="80" s="1"/>
  <c r="C15092" i="79"/>
  <c r="I15352" i="79"/>
  <c r="A15351" i="80" s="1"/>
  <c r="C15402" i="79"/>
  <c r="I14882" i="79"/>
  <c r="A14881" i="80" s="1"/>
  <c r="C14932" i="79"/>
  <c r="I15162" i="79"/>
  <c r="A15161" i="80" s="1"/>
  <c r="C15212" i="79"/>
  <c r="I15172" i="79"/>
  <c r="A15171" i="80" s="1"/>
  <c r="C15222" i="79"/>
  <c r="C15297" i="79"/>
  <c r="I15247" i="79"/>
  <c r="A15246" i="80" s="1"/>
  <c r="C14907" i="79"/>
  <c r="I14857" i="79"/>
  <c r="A14856" i="80" s="1"/>
  <c r="C15037" i="79"/>
  <c r="I14987" i="79"/>
  <c r="A14986" i="80" s="1"/>
  <c r="I15222" i="79" l="1"/>
  <c r="A15221" i="80" s="1"/>
  <c r="C15272" i="79"/>
  <c r="I15212" i="79"/>
  <c r="A15211" i="80" s="1"/>
  <c r="C15262" i="79"/>
  <c r="C14982" i="79"/>
  <c r="I14932" i="79"/>
  <c r="A14931" i="80" s="1"/>
  <c r="I15402" i="79"/>
  <c r="A15401" i="80" s="1"/>
  <c r="C15452" i="79"/>
  <c r="I15092" i="79"/>
  <c r="A15091" i="80" s="1"/>
  <c r="C15142" i="79"/>
  <c r="C15087" i="79"/>
  <c r="I15037" i="79"/>
  <c r="A15036" i="80" s="1"/>
  <c r="C14957" i="79"/>
  <c r="I14907" i="79"/>
  <c r="A14906" i="80" s="1"/>
  <c r="I15297" i="79"/>
  <c r="A15296" i="80" s="1"/>
  <c r="C15347" i="79"/>
  <c r="I14967" i="79"/>
  <c r="A14966" i="80" s="1"/>
  <c r="C15017" i="79"/>
  <c r="C15077" i="79"/>
  <c r="I15027" i="79"/>
  <c r="A15026" i="80" s="1"/>
  <c r="C15067" i="79" l="1"/>
  <c r="I15017" i="79"/>
  <c r="A15016" i="80" s="1"/>
  <c r="I15347" i="79"/>
  <c r="A15346" i="80" s="1"/>
  <c r="C15397" i="79"/>
  <c r="I15142" i="79"/>
  <c r="A15141" i="80" s="1"/>
  <c r="C15192" i="79"/>
  <c r="I15452" i="79"/>
  <c r="A15451" i="80" s="1"/>
  <c r="C15502" i="79"/>
  <c r="C15312" i="79"/>
  <c r="I15262" i="79"/>
  <c r="A15261" i="80" s="1"/>
  <c r="I15272" i="79"/>
  <c r="A15271" i="80" s="1"/>
  <c r="C15322" i="79"/>
  <c r="C15127" i="79"/>
  <c r="I15077" i="79"/>
  <c r="A15076" i="80" s="1"/>
  <c r="I14957" i="79"/>
  <c r="A14956" i="80" s="1"/>
  <c r="C15007" i="79"/>
  <c r="I15087" i="79"/>
  <c r="A15086" i="80" s="1"/>
  <c r="C15137" i="79"/>
  <c r="C15032" i="79"/>
  <c r="I14982" i="79"/>
  <c r="A14981" i="80" s="1"/>
  <c r="I15137" i="79" l="1"/>
  <c r="A15136" i="80" s="1"/>
  <c r="C15187" i="79"/>
  <c r="C15057" i="79"/>
  <c r="I15007" i="79"/>
  <c r="A15006" i="80" s="1"/>
  <c r="C15372" i="79"/>
  <c r="I15322" i="79"/>
  <c r="A15321" i="80" s="1"/>
  <c r="I15502" i="79"/>
  <c r="A15501" i="80" s="1"/>
  <c r="C15552" i="79"/>
  <c r="I15192" i="79"/>
  <c r="A15191" i="80" s="1"/>
  <c r="C15242" i="79"/>
  <c r="I15397" i="79"/>
  <c r="A15396" i="80" s="1"/>
  <c r="C15447" i="79"/>
  <c r="I15032" i="79"/>
  <c r="A15031" i="80" s="1"/>
  <c r="C15082" i="79"/>
  <c r="C15177" i="79"/>
  <c r="I15127" i="79"/>
  <c r="A15126" i="80" s="1"/>
  <c r="I15312" i="79"/>
  <c r="A15311" i="80" s="1"/>
  <c r="C15362" i="79"/>
  <c r="I15067" i="79"/>
  <c r="A15066" i="80" s="1"/>
  <c r="C15117" i="79"/>
  <c r="I15117" i="79" l="1"/>
  <c r="A15116" i="80" s="1"/>
  <c r="C15167" i="79"/>
  <c r="C15412" i="79"/>
  <c r="I15362" i="79"/>
  <c r="A15361" i="80" s="1"/>
  <c r="C15132" i="79"/>
  <c r="I15082" i="79"/>
  <c r="A15081" i="80" s="1"/>
  <c r="I15447" i="79"/>
  <c r="A15446" i="80" s="1"/>
  <c r="C15497" i="79"/>
  <c r="C15292" i="79"/>
  <c r="I15242" i="79"/>
  <c r="A15241" i="80" s="1"/>
  <c r="I15552" i="79"/>
  <c r="A15551" i="80" s="1"/>
  <c r="C15602" i="79"/>
  <c r="I15187" i="79"/>
  <c r="A15186" i="80" s="1"/>
  <c r="C15237" i="79"/>
  <c r="C15227" i="79"/>
  <c r="I15177" i="79"/>
  <c r="A15176" i="80" s="1"/>
  <c r="I15372" i="79"/>
  <c r="A15371" i="80" s="1"/>
  <c r="C15422" i="79"/>
  <c r="I15057" i="79"/>
  <c r="A15056" i="80" s="1"/>
  <c r="C15107" i="79"/>
  <c r="I15107" i="79" l="1"/>
  <c r="A15106" i="80" s="1"/>
  <c r="C15157" i="79"/>
  <c r="I15422" i="79"/>
  <c r="A15421" i="80" s="1"/>
  <c r="C15472" i="79"/>
  <c r="I15237" i="79"/>
  <c r="A15236" i="80" s="1"/>
  <c r="C15287" i="79"/>
  <c r="I15602" i="79"/>
  <c r="A15601" i="80" s="1"/>
  <c r="C15652" i="79"/>
  <c r="I15497" i="79"/>
  <c r="A15496" i="80" s="1"/>
  <c r="C15547" i="79"/>
  <c r="I15167" i="79"/>
  <c r="A15166" i="80" s="1"/>
  <c r="C15217" i="79"/>
  <c r="I15227" i="79"/>
  <c r="A15226" i="80" s="1"/>
  <c r="C15277" i="79"/>
  <c r="I15292" i="79"/>
  <c r="A15291" i="80" s="1"/>
  <c r="C15342" i="79"/>
  <c r="I15132" i="79"/>
  <c r="A15131" i="80" s="1"/>
  <c r="C15182" i="79"/>
  <c r="I15412" i="79"/>
  <c r="A15411" i="80" s="1"/>
  <c r="C15462" i="79"/>
  <c r="I15462" i="79" l="1"/>
  <c r="A15461" i="80" s="1"/>
  <c r="C15512" i="79"/>
  <c r="I15182" i="79"/>
  <c r="A15181" i="80" s="1"/>
  <c r="C15232" i="79"/>
  <c r="I15342" i="79"/>
  <c r="A15341" i="80" s="1"/>
  <c r="C15392" i="79"/>
  <c r="I15277" i="79"/>
  <c r="A15276" i="80" s="1"/>
  <c r="C15327" i="79"/>
  <c r="I15217" i="79"/>
  <c r="A15216" i="80" s="1"/>
  <c r="C15267" i="79"/>
  <c r="I15547" i="79"/>
  <c r="A15546" i="80" s="1"/>
  <c r="C15597" i="79"/>
  <c r="I15652" i="79"/>
  <c r="A15651" i="80" s="1"/>
  <c r="C15702" i="79"/>
  <c r="C15337" i="79"/>
  <c r="I15287" i="79"/>
  <c r="A15286" i="80" s="1"/>
  <c r="I15472" i="79"/>
  <c r="A15471" i="80" s="1"/>
  <c r="C15522" i="79"/>
  <c r="I15157" i="79"/>
  <c r="A15156" i="80" s="1"/>
  <c r="C15207" i="79"/>
  <c r="I15207" i="79" l="1"/>
  <c r="A15206" i="80" s="1"/>
  <c r="C15257" i="79"/>
  <c r="I15522" i="79"/>
  <c r="A15521" i="80" s="1"/>
  <c r="C15572" i="79"/>
  <c r="I15702" i="79"/>
  <c r="A15701" i="80" s="1"/>
  <c r="C15752" i="79"/>
  <c r="I15597" i="79"/>
  <c r="A15596" i="80" s="1"/>
  <c r="C15647" i="79"/>
  <c r="C15317" i="79"/>
  <c r="I15267" i="79"/>
  <c r="A15266" i="80" s="1"/>
  <c r="C15377" i="79"/>
  <c r="I15327" i="79"/>
  <c r="A15326" i="80" s="1"/>
  <c r="I15392" i="79"/>
  <c r="A15391" i="80" s="1"/>
  <c r="C15442" i="79"/>
  <c r="I15232" i="79"/>
  <c r="A15231" i="80" s="1"/>
  <c r="C15282" i="79"/>
  <c r="I15512" i="79"/>
  <c r="A15511" i="80" s="1"/>
  <c r="C15562" i="79"/>
  <c r="C15387" i="79"/>
  <c r="I15337" i="79"/>
  <c r="A15336" i="80" s="1"/>
  <c r="I15562" i="79" l="1"/>
  <c r="A15561" i="80" s="1"/>
  <c r="C15612" i="79"/>
  <c r="I15282" i="79"/>
  <c r="A15281" i="80" s="1"/>
  <c r="C15332" i="79"/>
  <c r="I15442" i="79"/>
  <c r="A15441" i="80" s="1"/>
  <c r="C15492" i="79"/>
  <c r="I15647" i="79"/>
  <c r="A15646" i="80" s="1"/>
  <c r="C15697" i="79"/>
  <c r="I15752" i="79"/>
  <c r="A15751" i="80" s="1"/>
  <c r="C15802" i="79"/>
  <c r="I15572" i="79"/>
  <c r="A15571" i="80" s="1"/>
  <c r="C15622" i="79"/>
  <c r="I15257" i="79"/>
  <c r="A15256" i="80" s="1"/>
  <c r="C15307" i="79"/>
  <c r="C15437" i="79"/>
  <c r="I15387" i="79"/>
  <c r="A15386" i="80" s="1"/>
  <c r="I15377" i="79"/>
  <c r="A15376" i="80" s="1"/>
  <c r="C15427" i="79"/>
  <c r="I15317" i="79"/>
  <c r="A15316" i="80" s="1"/>
  <c r="C15367" i="79"/>
  <c r="I15367" i="79" l="1"/>
  <c r="A15366" i="80" s="1"/>
  <c r="C15417" i="79"/>
  <c r="C15477" i="79"/>
  <c r="I15427" i="79"/>
  <c r="A15426" i="80" s="1"/>
  <c r="C15357" i="79"/>
  <c r="I15307" i="79"/>
  <c r="A15306" i="80" s="1"/>
  <c r="I15622" i="79"/>
  <c r="A15621" i="80" s="1"/>
  <c r="C15672" i="79"/>
  <c r="I15802" i="79"/>
  <c r="A15801" i="80" s="1"/>
  <c r="C15852" i="79"/>
  <c r="I15697" i="79"/>
  <c r="A15696" i="80" s="1"/>
  <c r="C15747" i="79"/>
  <c r="I15492" i="79"/>
  <c r="A15491" i="80" s="1"/>
  <c r="C15542" i="79"/>
  <c r="I15332" i="79"/>
  <c r="A15331" i="80" s="1"/>
  <c r="C15382" i="79"/>
  <c r="I15612" i="79"/>
  <c r="A15611" i="80" s="1"/>
  <c r="C15662" i="79"/>
  <c r="C15487" i="79"/>
  <c r="I15437" i="79"/>
  <c r="A15436" i="80" s="1"/>
  <c r="I15662" i="79" l="1"/>
  <c r="A15661" i="80" s="1"/>
  <c r="C15712" i="79"/>
  <c r="C15432" i="79"/>
  <c r="I15382" i="79"/>
  <c r="A15381" i="80" s="1"/>
  <c r="I15542" i="79"/>
  <c r="A15541" i="80" s="1"/>
  <c r="C15592" i="79"/>
  <c r="I15747" i="79"/>
  <c r="A15746" i="80" s="1"/>
  <c r="C15797" i="79"/>
  <c r="I15852" i="79"/>
  <c r="A15851" i="80" s="1"/>
  <c r="C15902" i="79"/>
  <c r="I15672" i="79"/>
  <c r="A15671" i="80" s="1"/>
  <c r="C15722" i="79"/>
  <c r="I15417" i="79"/>
  <c r="A15416" i="80" s="1"/>
  <c r="C15467" i="79"/>
  <c r="C15537" i="79"/>
  <c r="I15487" i="79"/>
  <c r="A15486" i="80" s="1"/>
  <c r="C15407" i="79"/>
  <c r="I15357" i="79"/>
  <c r="A15356" i="80" s="1"/>
  <c r="I15477" i="79"/>
  <c r="A15476" i="80" s="1"/>
  <c r="C15527" i="79"/>
  <c r="I15527" i="79" l="1"/>
  <c r="A15526" i="80" s="1"/>
  <c r="C15577" i="79"/>
  <c r="I15467" i="79"/>
  <c r="A15466" i="80" s="1"/>
  <c r="C15517" i="79"/>
  <c r="I15722" i="79"/>
  <c r="A15721" i="80" s="1"/>
  <c r="C15772" i="79"/>
  <c r="I15902" i="79"/>
  <c r="A15901" i="80" s="1"/>
  <c r="C15952" i="79"/>
  <c r="I15797" i="79"/>
  <c r="A15796" i="80" s="1"/>
  <c r="C15847" i="79"/>
  <c r="I15592" i="79"/>
  <c r="A15591" i="80" s="1"/>
  <c r="C15642" i="79"/>
  <c r="I15712" i="79"/>
  <c r="A15711" i="80" s="1"/>
  <c r="C15762" i="79"/>
  <c r="I15407" i="79"/>
  <c r="A15406" i="80" s="1"/>
  <c r="C15457" i="79"/>
  <c r="I15537" i="79"/>
  <c r="A15536" i="80" s="1"/>
  <c r="C15587" i="79"/>
  <c r="C15482" i="79"/>
  <c r="I15432" i="79"/>
  <c r="A15431" i="80" s="1"/>
  <c r="I15587" i="79" l="1"/>
  <c r="A15586" i="80" s="1"/>
  <c r="C15637" i="79"/>
  <c r="C15507" i="79"/>
  <c r="I15457" i="79"/>
  <c r="A15456" i="80" s="1"/>
  <c r="I15762" i="79"/>
  <c r="A15761" i="80" s="1"/>
  <c r="C15812" i="79"/>
  <c r="I15642" i="79"/>
  <c r="A15641" i="80" s="1"/>
  <c r="C15692" i="79"/>
  <c r="I15847" i="79"/>
  <c r="A15846" i="80" s="1"/>
  <c r="C15897" i="79"/>
  <c r="I15952" i="79"/>
  <c r="A15951" i="80" s="1"/>
  <c r="C16002" i="79"/>
  <c r="I15772" i="79"/>
  <c r="A15771" i="80" s="1"/>
  <c r="C15822" i="79"/>
  <c r="I15517" i="79"/>
  <c r="A15516" i="80" s="1"/>
  <c r="C15567" i="79"/>
  <c r="I15577" i="79"/>
  <c r="A15576" i="80" s="1"/>
  <c r="C15627" i="79"/>
  <c r="I15482" i="79"/>
  <c r="A15481" i="80" s="1"/>
  <c r="C15532" i="79"/>
  <c r="I15532" i="79" l="1"/>
  <c r="A15531" i="80" s="1"/>
  <c r="C15582" i="79"/>
  <c r="I15627" i="79"/>
  <c r="A15626" i="80" s="1"/>
  <c r="C15677" i="79"/>
  <c r="I15567" i="79"/>
  <c r="A15566" i="80" s="1"/>
  <c r="C15617" i="79"/>
  <c r="I15822" i="79"/>
  <c r="A15821" i="80" s="1"/>
  <c r="C15872" i="79"/>
  <c r="I16002" i="79"/>
  <c r="A16001" i="80" s="1"/>
  <c r="C16052" i="79"/>
  <c r="I15897" i="79"/>
  <c r="A15896" i="80" s="1"/>
  <c r="C15947" i="79"/>
  <c r="I15692" i="79"/>
  <c r="A15691" i="80" s="1"/>
  <c r="C15742" i="79"/>
  <c r="I15812" i="79"/>
  <c r="A15811" i="80" s="1"/>
  <c r="C15862" i="79"/>
  <c r="I15637" i="79"/>
  <c r="A15636" i="80" s="1"/>
  <c r="C15687" i="79"/>
  <c r="C15557" i="79"/>
  <c r="I15507" i="79"/>
  <c r="A15506" i="80" s="1"/>
  <c r="I15687" i="79" l="1"/>
  <c r="A15686" i="80" s="1"/>
  <c r="C15737" i="79"/>
  <c r="I15862" i="79"/>
  <c r="A15861" i="80" s="1"/>
  <c r="C15912" i="79"/>
  <c r="C15792" i="79"/>
  <c r="I15742" i="79"/>
  <c r="A15741" i="80" s="1"/>
  <c r="I15947" i="79"/>
  <c r="A15946" i="80" s="1"/>
  <c r="C15997" i="79"/>
  <c r="I16052" i="79"/>
  <c r="A16051" i="80" s="1"/>
  <c r="C16102" i="79"/>
  <c r="I15872" i="79"/>
  <c r="A15871" i="80" s="1"/>
  <c r="C15922" i="79"/>
  <c r="I15617" i="79"/>
  <c r="A15616" i="80" s="1"/>
  <c r="C15667" i="79"/>
  <c r="I15677" i="79"/>
  <c r="A15676" i="80" s="1"/>
  <c r="C15727" i="79"/>
  <c r="I15582" i="79"/>
  <c r="A15581" i="80" s="1"/>
  <c r="C15632" i="79"/>
  <c r="I15557" i="79"/>
  <c r="A15556" i="80" s="1"/>
  <c r="C15607" i="79"/>
  <c r="I15607" i="79" l="1"/>
  <c r="A15606" i="80" s="1"/>
  <c r="C15657" i="79"/>
  <c r="I15632" i="79"/>
  <c r="A15631" i="80" s="1"/>
  <c r="C15682" i="79"/>
  <c r="I15727" i="79"/>
  <c r="A15726" i="80" s="1"/>
  <c r="C15777" i="79"/>
  <c r="C15717" i="79"/>
  <c r="I15667" i="79"/>
  <c r="A15666" i="80" s="1"/>
  <c r="I15922" i="79"/>
  <c r="A15921" i="80" s="1"/>
  <c r="C15972" i="79"/>
  <c r="I16102" i="79"/>
  <c r="A16101" i="80" s="1"/>
  <c r="C16152" i="79"/>
  <c r="I15997" i="79"/>
  <c r="A15996" i="80" s="1"/>
  <c r="C16047" i="79"/>
  <c r="I15912" i="79"/>
  <c r="A15911" i="80" s="1"/>
  <c r="C15962" i="79"/>
  <c r="I15737" i="79"/>
  <c r="A15736" i="80" s="1"/>
  <c r="C15787" i="79"/>
  <c r="I15792" i="79"/>
  <c r="A15791" i="80" s="1"/>
  <c r="C15842" i="79"/>
  <c r="I15842" i="79" l="1"/>
  <c r="A15841" i="80" s="1"/>
  <c r="C15892" i="79"/>
  <c r="I15787" i="79"/>
  <c r="A15786" i="80" s="1"/>
  <c r="C15837" i="79"/>
  <c r="I15962" i="79"/>
  <c r="A15961" i="80" s="1"/>
  <c r="C16012" i="79"/>
  <c r="I16047" i="79"/>
  <c r="A16046" i="80" s="1"/>
  <c r="C16097" i="79"/>
  <c r="I16152" i="79"/>
  <c r="A16151" i="80" s="1"/>
  <c r="C16202" i="79"/>
  <c r="I15972" i="79"/>
  <c r="A15971" i="80" s="1"/>
  <c r="C16022" i="79"/>
  <c r="I15777" i="79"/>
  <c r="A15776" i="80" s="1"/>
  <c r="C15827" i="79"/>
  <c r="C15732" i="79"/>
  <c r="I15682" i="79"/>
  <c r="A15681" i="80" s="1"/>
  <c r="I15657" i="79"/>
  <c r="A15656" i="80" s="1"/>
  <c r="C15707" i="79"/>
  <c r="I15717" i="79"/>
  <c r="A15716" i="80" s="1"/>
  <c r="C15767" i="79"/>
  <c r="I15767" i="79" l="1"/>
  <c r="A15766" i="80" s="1"/>
  <c r="C15817" i="79"/>
  <c r="I15707" i="79"/>
  <c r="A15706" i="80" s="1"/>
  <c r="C15757" i="79"/>
  <c r="I15827" i="79"/>
  <c r="A15826" i="80" s="1"/>
  <c r="C15877" i="79"/>
  <c r="C16072" i="79"/>
  <c r="I16022" i="79"/>
  <c r="A16021" i="80" s="1"/>
  <c r="I16202" i="79"/>
  <c r="A16201" i="80" s="1"/>
  <c r="C16252" i="79"/>
  <c r="I16097" i="79"/>
  <c r="A16096" i="80" s="1"/>
  <c r="C16147" i="79"/>
  <c r="I16012" i="79"/>
  <c r="A16011" i="80" s="1"/>
  <c r="C16062" i="79"/>
  <c r="I15837" i="79"/>
  <c r="A15836" i="80" s="1"/>
  <c r="C15887" i="79"/>
  <c r="I15892" i="79"/>
  <c r="A15891" i="80" s="1"/>
  <c r="C15942" i="79"/>
  <c r="I15732" i="79"/>
  <c r="A15731" i="80" s="1"/>
  <c r="C15782" i="79"/>
  <c r="I15782" i="79" l="1"/>
  <c r="A15781" i="80" s="1"/>
  <c r="C15832" i="79"/>
  <c r="I15942" i="79"/>
  <c r="A15941" i="80" s="1"/>
  <c r="C15992" i="79"/>
  <c r="I15887" i="79"/>
  <c r="A15886" i="80" s="1"/>
  <c r="C15937" i="79"/>
  <c r="I16062" i="79"/>
  <c r="A16061" i="80" s="1"/>
  <c r="C16112" i="79"/>
  <c r="I16147" i="79"/>
  <c r="A16146" i="80" s="1"/>
  <c r="C16197" i="79"/>
  <c r="I16252" i="79"/>
  <c r="A16251" i="80" s="1"/>
  <c r="C16302" i="79"/>
  <c r="C15927" i="79"/>
  <c r="I15877" i="79"/>
  <c r="A15876" i="80" s="1"/>
  <c r="I15757" i="79"/>
  <c r="A15756" i="80" s="1"/>
  <c r="C15807" i="79"/>
  <c r="I15817" i="79"/>
  <c r="A15816" i="80" s="1"/>
  <c r="C15867" i="79"/>
  <c r="I16072" i="79"/>
  <c r="A16071" i="80" s="1"/>
  <c r="C16122" i="79"/>
  <c r="I16122" i="79" l="1"/>
  <c r="A16121" i="80" s="1"/>
  <c r="C16172" i="79"/>
  <c r="I15867" i="79"/>
  <c r="A15866" i="80" s="1"/>
  <c r="C15917" i="79"/>
  <c r="C15857" i="79"/>
  <c r="I15807" i="79"/>
  <c r="A15806" i="80" s="1"/>
  <c r="I16302" i="79"/>
  <c r="A16301" i="80" s="1"/>
  <c r="C16352" i="79"/>
  <c r="I16197" i="79"/>
  <c r="A16196" i="80" s="1"/>
  <c r="C16247" i="79"/>
  <c r="I16112" i="79"/>
  <c r="A16111" i="80" s="1"/>
  <c r="C16162" i="79"/>
  <c r="I15937" i="79"/>
  <c r="A15936" i="80" s="1"/>
  <c r="C15987" i="79"/>
  <c r="I15992" i="79"/>
  <c r="A15991" i="80" s="1"/>
  <c r="C16042" i="79"/>
  <c r="I15832" i="79"/>
  <c r="A15831" i="80" s="1"/>
  <c r="C15882" i="79"/>
  <c r="I15927" i="79"/>
  <c r="A15926" i="80" s="1"/>
  <c r="C15977" i="79"/>
  <c r="I15977" i="79" l="1"/>
  <c r="A15976" i="80" s="1"/>
  <c r="C16027" i="79"/>
  <c r="I15882" i="79"/>
  <c r="A15881" i="80" s="1"/>
  <c r="C15932" i="79"/>
  <c r="I16042" i="79"/>
  <c r="A16041" i="80" s="1"/>
  <c r="C16092" i="79"/>
  <c r="I15987" i="79"/>
  <c r="A15986" i="80" s="1"/>
  <c r="C16037" i="79"/>
  <c r="C16212" i="79"/>
  <c r="I16162" i="79"/>
  <c r="A16161" i="80" s="1"/>
  <c r="I16247" i="79"/>
  <c r="A16246" i="80" s="1"/>
  <c r="C16297" i="79"/>
  <c r="I16352" i="79"/>
  <c r="A16351" i="80" s="1"/>
  <c r="C16402" i="79"/>
  <c r="I15917" i="79"/>
  <c r="A15916" i="80" s="1"/>
  <c r="C15967" i="79"/>
  <c r="I16172" i="79"/>
  <c r="A16171" i="80" s="1"/>
  <c r="C16222" i="79"/>
  <c r="I15857" i="79"/>
  <c r="A15856" i="80" s="1"/>
  <c r="C15907" i="79"/>
  <c r="I15907" i="79" l="1"/>
  <c r="A15906" i="80" s="1"/>
  <c r="C15957" i="79"/>
  <c r="I16222" i="79"/>
  <c r="A16221" i="80" s="1"/>
  <c r="C16272" i="79"/>
  <c r="I15967" i="79"/>
  <c r="A15966" i="80" s="1"/>
  <c r="C16017" i="79"/>
  <c r="I16402" i="79"/>
  <c r="A16401" i="80" s="1"/>
  <c r="C16452" i="79"/>
  <c r="C16347" i="79"/>
  <c r="I16297" i="79"/>
  <c r="A16296" i="80" s="1"/>
  <c r="I16037" i="79"/>
  <c r="A16036" i="80" s="1"/>
  <c r="C16087" i="79"/>
  <c r="I16092" i="79"/>
  <c r="A16091" i="80" s="1"/>
  <c r="C16142" i="79"/>
  <c r="I15932" i="79"/>
  <c r="A15931" i="80" s="1"/>
  <c r="C15982" i="79"/>
  <c r="I16027" i="79"/>
  <c r="A16026" i="80" s="1"/>
  <c r="C16077" i="79"/>
  <c r="I16212" i="79"/>
  <c r="A16211" i="80" s="1"/>
  <c r="C16262" i="79"/>
  <c r="I16262" i="79" l="1"/>
  <c r="A16261" i="80" s="1"/>
  <c r="C16312" i="79"/>
  <c r="I16077" i="79"/>
  <c r="A16076" i="80" s="1"/>
  <c r="C16127" i="79"/>
  <c r="I15982" i="79"/>
  <c r="A15981" i="80" s="1"/>
  <c r="C16032" i="79"/>
  <c r="I16142" i="79"/>
  <c r="A16141" i="80" s="1"/>
  <c r="C16192" i="79"/>
  <c r="I16087" i="79"/>
  <c r="A16086" i="80" s="1"/>
  <c r="C16137" i="79"/>
  <c r="I16452" i="79"/>
  <c r="A16451" i="80" s="1"/>
  <c r="C16502" i="79"/>
  <c r="I16017" i="79"/>
  <c r="A16016" i="80" s="1"/>
  <c r="C16067" i="79"/>
  <c r="I16272" i="79"/>
  <c r="A16271" i="80" s="1"/>
  <c r="C16322" i="79"/>
  <c r="I15957" i="79"/>
  <c r="A15956" i="80" s="1"/>
  <c r="C16007" i="79"/>
  <c r="C16397" i="79"/>
  <c r="I16347" i="79"/>
  <c r="A16346" i="80" s="1"/>
  <c r="I16007" i="79" l="1"/>
  <c r="A16006" i="80" s="1"/>
  <c r="C16057" i="79"/>
  <c r="C16372" i="79"/>
  <c r="I16322" i="79"/>
  <c r="A16321" i="80" s="1"/>
  <c r="I16067" i="79"/>
  <c r="A16066" i="80" s="1"/>
  <c r="C16117" i="79"/>
  <c r="I16502" i="79"/>
  <c r="A16501" i="80" s="1"/>
  <c r="C16552" i="79"/>
  <c r="I16137" i="79"/>
  <c r="A16136" i="80" s="1"/>
  <c r="C16187" i="79"/>
  <c r="I16192" i="79"/>
  <c r="A16191" i="80" s="1"/>
  <c r="C16242" i="79"/>
  <c r="I16032" i="79"/>
  <c r="A16031" i="80" s="1"/>
  <c r="C16082" i="79"/>
  <c r="I16127" i="79"/>
  <c r="A16126" i="80" s="1"/>
  <c r="C16177" i="79"/>
  <c r="I16312" i="79"/>
  <c r="A16311" i="80" s="1"/>
  <c r="C16362" i="79"/>
  <c r="I16397" i="79"/>
  <c r="A16396" i="80" s="1"/>
  <c r="C16447" i="79"/>
  <c r="I16447" i="79" l="1"/>
  <c r="A16446" i="80" s="1"/>
  <c r="C16497" i="79"/>
  <c r="C16412" i="79"/>
  <c r="I16362" i="79"/>
  <c r="A16361" i="80" s="1"/>
  <c r="I16177" i="79"/>
  <c r="A16176" i="80" s="1"/>
  <c r="C16227" i="79"/>
  <c r="I16082" i="79"/>
  <c r="A16081" i="80" s="1"/>
  <c r="C16132" i="79"/>
  <c r="C16292" i="79"/>
  <c r="I16242" i="79"/>
  <c r="A16241" i="80" s="1"/>
  <c r="I16187" i="79"/>
  <c r="A16186" i="80" s="1"/>
  <c r="C16237" i="79"/>
  <c r="C16602" i="79"/>
  <c r="I16552" i="79"/>
  <c r="A16551" i="80" s="1"/>
  <c r="I16117" i="79"/>
  <c r="A16116" i="80" s="1"/>
  <c r="C16167" i="79"/>
  <c r="I16057" i="79"/>
  <c r="A16056" i="80" s="1"/>
  <c r="C16107" i="79"/>
  <c r="I16372" i="79"/>
  <c r="A16371" i="80" s="1"/>
  <c r="C16422" i="79"/>
  <c r="I16422" i="79" l="1"/>
  <c r="A16421" i="80" s="1"/>
  <c r="C16472" i="79"/>
  <c r="I16107" i="79"/>
  <c r="A16106" i="80" s="1"/>
  <c r="C16157" i="79"/>
  <c r="I16167" i="79"/>
  <c r="A16166" i="80" s="1"/>
  <c r="C16217" i="79"/>
  <c r="I16237" i="79"/>
  <c r="A16236" i="80" s="1"/>
  <c r="C16287" i="79"/>
  <c r="I16132" i="79"/>
  <c r="A16131" i="80" s="1"/>
  <c r="C16182" i="79"/>
  <c r="I16227" i="79"/>
  <c r="A16226" i="80" s="1"/>
  <c r="C16277" i="79"/>
  <c r="C16547" i="79"/>
  <c r="I16497" i="79"/>
  <c r="A16496" i="80" s="1"/>
  <c r="I16602" i="79"/>
  <c r="A16601" i="80" s="1"/>
  <c r="C16652" i="79"/>
  <c r="I16292" i="79"/>
  <c r="A16291" i="80" s="1"/>
  <c r="C16342" i="79"/>
  <c r="C16462" i="79"/>
  <c r="I16412" i="79"/>
  <c r="A16411" i="80" s="1"/>
  <c r="I16342" i="79" l="1"/>
  <c r="A16341" i="80" s="1"/>
  <c r="C16392" i="79"/>
  <c r="I16652" i="79"/>
  <c r="A16651" i="80" s="1"/>
  <c r="C16702" i="79"/>
  <c r="I16277" i="79"/>
  <c r="A16276" i="80" s="1"/>
  <c r="C16327" i="79"/>
  <c r="I16182" i="79"/>
  <c r="A16181" i="80" s="1"/>
  <c r="C16232" i="79"/>
  <c r="C16337" i="79"/>
  <c r="I16287" i="79"/>
  <c r="A16286" i="80" s="1"/>
  <c r="I16217" i="79"/>
  <c r="A16216" i="80" s="1"/>
  <c r="C16267" i="79"/>
  <c r="I16157" i="79"/>
  <c r="A16156" i="80" s="1"/>
  <c r="C16207" i="79"/>
  <c r="I16472" i="79"/>
  <c r="A16471" i="80" s="1"/>
  <c r="C16522" i="79"/>
  <c r="I16462" i="79"/>
  <c r="A16461" i="80" s="1"/>
  <c r="C16512" i="79"/>
  <c r="I16547" i="79"/>
  <c r="A16546" i="80" s="1"/>
  <c r="C16597" i="79"/>
  <c r="I16597" i="79" l="1"/>
  <c r="A16596" i="80" s="1"/>
  <c r="C16647" i="79"/>
  <c r="I16512" i="79"/>
  <c r="A16511" i="80" s="1"/>
  <c r="C16562" i="79"/>
  <c r="I16522" i="79"/>
  <c r="A16521" i="80" s="1"/>
  <c r="C16572" i="79"/>
  <c r="C16257" i="79"/>
  <c r="I16207" i="79"/>
  <c r="A16206" i="80" s="1"/>
  <c r="C16317" i="79"/>
  <c r="I16267" i="79"/>
  <c r="A16266" i="80" s="1"/>
  <c r="I16232" i="79"/>
  <c r="A16231" i="80" s="1"/>
  <c r="C16282" i="79"/>
  <c r="I16327" i="79"/>
  <c r="A16326" i="80" s="1"/>
  <c r="C16377" i="79"/>
  <c r="C16752" i="79"/>
  <c r="I16702" i="79"/>
  <c r="A16701" i="80" s="1"/>
  <c r="I16392" i="79"/>
  <c r="A16391" i="80" s="1"/>
  <c r="C16442" i="79"/>
  <c r="C16387" i="79"/>
  <c r="I16337" i="79"/>
  <c r="A16336" i="80" s="1"/>
  <c r="I16442" i="79" l="1"/>
  <c r="A16441" i="80" s="1"/>
  <c r="C16492" i="79"/>
  <c r="I16377" i="79"/>
  <c r="A16376" i="80" s="1"/>
  <c r="C16427" i="79"/>
  <c r="I16282" i="79"/>
  <c r="A16281" i="80" s="1"/>
  <c r="C16332" i="79"/>
  <c r="C16622" i="79"/>
  <c r="I16572" i="79"/>
  <c r="A16571" i="80" s="1"/>
  <c r="I16562" i="79"/>
  <c r="A16561" i="80" s="1"/>
  <c r="C16612" i="79"/>
  <c r="I16647" i="79"/>
  <c r="A16646" i="80" s="1"/>
  <c r="C16697" i="79"/>
  <c r="C16437" i="79"/>
  <c r="I16387" i="79"/>
  <c r="A16386" i="80" s="1"/>
  <c r="I16752" i="79"/>
  <c r="A16751" i="80" s="1"/>
  <c r="C16802" i="79"/>
  <c r="I16317" i="79"/>
  <c r="A16316" i="80" s="1"/>
  <c r="C16367" i="79"/>
  <c r="I16257" i="79"/>
  <c r="A16256" i="80" s="1"/>
  <c r="C16307" i="79"/>
  <c r="I16307" i="79" l="1"/>
  <c r="A16306" i="80" s="1"/>
  <c r="C16357" i="79"/>
  <c r="I16367" i="79"/>
  <c r="A16366" i="80" s="1"/>
  <c r="C16417" i="79"/>
  <c r="I16802" i="79"/>
  <c r="A16801" i="80" s="1"/>
  <c r="C16852" i="79"/>
  <c r="I16697" i="79"/>
  <c r="A16696" i="80" s="1"/>
  <c r="C16747" i="79"/>
  <c r="I16612" i="79"/>
  <c r="A16611" i="80" s="1"/>
  <c r="C16662" i="79"/>
  <c r="C16382" i="79"/>
  <c r="I16332" i="79"/>
  <c r="A16331" i="80" s="1"/>
  <c r="I16427" i="79"/>
  <c r="A16426" i="80" s="1"/>
  <c r="C16477" i="79"/>
  <c r="I16492" i="79"/>
  <c r="A16491" i="80" s="1"/>
  <c r="C16542" i="79"/>
  <c r="I16437" i="79"/>
  <c r="A16436" i="80" s="1"/>
  <c r="C16487" i="79"/>
  <c r="I16622" i="79"/>
  <c r="A16621" i="80" s="1"/>
  <c r="C16672" i="79"/>
  <c r="I16672" i="79" l="1"/>
  <c r="A16671" i="80" s="1"/>
  <c r="C16722" i="79"/>
  <c r="I16487" i="79"/>
  <c r="A16486" i="80" s="1"/>
  <c r="C16537" i="79"/>
  <c r="I16542" i="79"/>
  <c r="A16541" i="80" s="1"/>
  <c r="C16592" i="79"/>
  <c r="I16477" i="79"/>
  <c r="A16476" i="80" s="1"/>
  <c r="C16527" i="79"/>
  <c r="I16662" i="79"/>
  <c r="A16661" i="80" s="1"/>
  <c r="C16712" i="79"/>
  <c r="I16747" i="79"/>
  <c r="A16746" i="80" s="1"/>
  <c r="C16797" i="79"/>
  <c r="I16852" i="79"/>
  <c r="A16851" i="80" s="1"/>
  <c r="C16902" i="79"/>
  <c r="I16417" i="79"/>
  <c r="A16416" i="80" s="1"/>
  <c r="C16467" i="79"/>
  <c r="C16407" i="79"/>
  <c r="I16357" i="79"/>
  <c r="A16356" i="80" s="1"/>
  <c r="C16432" i="79"/>
  <c r="I16382" i="79"/>
  <c r="A16381" i="80" s="1"/>
  <c r="I16467" i="79" l="1"/>
  <c r="A16466" i="80" s="1"/>
  <c r="C16517" i="79"/>
  <c r="I16902" i="79"/>
  <c r="A16901" i="80" s="1"/>
  <c r="C16952" i="79"/>
  <c r="I16797" i="79"/>
  <c r="A16796" i="80" s="1"/>
  <c r="C16847" i="79"/>
  <c r="I16712" i="79"/>
  <c r="A16711" i="80" s="1"/>
  <c r="C16762" i="79"/>
  <c r="I16527" i="79"/>
  <c r="A16526" i="80" s="1"/>
  <c r="C16577" i="79"/>
  <c r="I16592" i="79"/>
  <c r="A16591" i="80" s="1"/>
  <c r="C16642" i="79"/>
  <c r="I16537" i="79"/>
  <c r="A16536" i="80" s="1"/>
  <c r="C16587" i="79"/>
  <c r="I16722" i="79"/>
  <c r="A16721" i="80" s="1"/>
  <c r="C16772" i="79"/>
  <c r="I16432" i="79"/>
  <c r="A16431" i="80" s="1"/>
  <c r="C16482" i="79"/>
  <c r="I16407" i="79"/>
  <c r="A16406" i="80" s="1"/>
  <c r="C16457" i="79"/>
  <c r="I16457" i="79" l="1"/>
  <c r="A16456" i="80" s="1"/>
  <c r="C16507" i="79"/>
  <c r="I16482" i="79"/>
  <c r="A16481" i="80" s="1"/>
  <c r="C16532" i="79"/>
  <c r="I16772" i="79"/>
  <c r="A16771" i="80" s="1"/>
  <c r="C16822" i="79"/>
  <c r="I16587" i="79"/>
  <c r="A16586" i="80" s="1"/>
  <c r="C16637" i="79"/>
  <c r="I16642" i="79"/>
  <c r="A16641" i="80" s="1"/>
  <c r="C16692" i="79"/>
  <c r="I16577" i="79"/>
  <c r="A16576" i="80" s="1"/>
  <c r="C16627" i="79"/>
  <c r="I16762" i="79"/>
  <c r="A16761" i="80" s="1"/>
  <c r="C16812" i="79"/>
  <c r="C16897" i="79"/>
  <c r="I16847" i="79"/>
  <c r="A16846" i="80" s="1"/>
  <c r="I16952" i="79"/>
  <c r="A16951" i="80" s="1"/>
  <c r="C17002" i="79"/>
  <c r="I16517" i="79"/>
  <c r="A16516" i="80" s="1"/>
  <c r="C16567" i="79"/>
  <c r="C16617" i="79" l="1"/>
  <c r="I16567" i="79"/>
  <c r="A16566" i="80" s="1"/>
  <c r="C17052" i="79"/>
  <c r="I17002" i="79"/>
  <c r="A17001" i="80" s="1"/>
  <c r="I16812" i="79"/>
  <c r="A16811" i="80" s="1"/>
  <c r="C16862" i="79"/>
  <c r="C16677" i="79"/>
  <c r="I16627" i="79"/>
  <c r="A16626" i="80" s="1"/>
  <c r="I16692" i="79"/>
  <c r="A16691" i="80" s="1"/>
  <c r="C16742" i="79"/>
  <c r="C16687" i="79"/>
  <c r="I16637" i="79"/>
  <c r="A16636" i="80" s="1"/>
  <c r="I16822" i="79"/>
  <c r="A16821" i="80" s="1"/>
  <c r="C16872" i="79"/>
  <c r="I16532" i="79"/>
  <c r="A16531" i="80" s="1"/>
  <c r="C16582" i="79"/>
  <c r="C16557" i="79"/>
  <c r="I16507" i="79"/>
  <c r="A16506" i="80" s="1"/>
  <c r="I16897" i="79"/>
  <c r="A16896" i="80" s="1"/>
  <c r="C16947" i="79"/>
  <c r="I16947" i="79" l="1"/>
  <c r="A16946" i="80" s="1"/>
  <c r="C16997" i="79"/>
  <c r="I16582" i="79"/>
  <c r="A16581" i="80" s="1"/>
  <c r="C16632" i="79"/>
  <c r="I16872" i="79"/>
  <c r="A16871" i="80" s="1"/>
  <c r="C16922" i="79"/>
  <c r="I16742" i="79"/>
  <c r="A16741" i="80" s="1"/>
  <c r="C16792" i="79"/>
  <c r="I16862" i="79"/>
  <c r="A16861" i="80" s="1"/>
  <c r="C16912" i="79"/>
  <c r="I16557" i="79"/>
  <c r="A16556" i="80" s="1"/>
  <c r="C16607" i="79"/>
  <c r="I16687" i="79"/>
  <c r="A16686" i="80" s="1"/>
  <c r="C16737" i="79"/>
  <c r="C16727" i="79"/>
  <c r="I16677" i="79"/>
  <c r="A16676" i="80" s="1"/>
  <c r="I17052" i="79"/>
  <c r="A17051" i="80" s="1"/>
  <c r="C17102" i="79"/>
  <c r="I16617" i="79"/>
  <c r="A16616" i="80" s="1"/>
  <c r="C16667" i="79"/>
  <c r="I16667" i="79" l="1"/>
  <c r="A16666" i="80" s="1"/>
  <c r="C16717" i="79"/>
  <c r="I17102" i="79"/>
  <c r="A17101" i="80" s="1"/>
  <c r="C17152" i="79"/>
  <c r="C16787" i="79"/>
  <c r="I16737" i="79"/>
  <c r="A16736" i="80" s="1"/>
  <c r="I16607" i="79"/>
  <c r="A16606" i="80" s="1"/>
  <c r="C16657" i="79"/>
  <c r="C16962" i="79"/>
  <c r="I16912" i="79"/>
  <c r="A16911" i="80" s="1"/>
  <c r="I16792" i="79"/>
  <c r="A16791" i="80" s="1"/>
  <c r="C16842" i="79"/>
  <c r="I16922" i="79"/>
  <c r="A16921" i="80" s="1"/>
  <c r="C16972" i="79"/>
  <c r="C16682" i="79"/>
  <c r="I16632" i="79"/>
  <c r="A16631" i="80" s="1"/>
  <c r="I16997" i="79"/>
  <c r="A16996" i="80" s="1"/>
  <c r="C17047" i="79"/>
  <c r="I16727" i="79"/>
  <c r="A16726" i="80" s="1"/>
  <c r="C16777" i="79"/>
  <c r="I16777" i="79" l="1"/>
  <c r="A16776" i="80" s="1"/>
  <c r="C16827" i="79"/>
  <c r="I17047" i="79"/>
  <c r="A17046" i="80" s="1"/>
  <c r="C17097" i="79"/>
  <c r="I16972" i="79"/>
  <c r="A16971" i="80" s="1"/>
  <c r="C17022" i="79"/>
  <c r="I16842" i="79"/>
  <c r="A16841" i="80" s="1"/>
  <c r="C16892" i="79"/>
  <c r="C16707" i="79"/>
  <c r="I16657" i="79"/>
  <c r="A16656" i="80" s="1"/>
  <c r="I17152" i="79"/>
  <c r="A17151" i="80" s="1"/>
  <c r="C17202" i="79"/>
  <c r="I16717" i="79"/>
  <c r="A16716" i="80" s="1"/>
  <c r="C16767" i="79"/>
  <c r="I16682" i="79"/>
  <c r="A16681" i="80" s="1"/>
  <c r="C16732" i="79"/>
  <c r="I16962" i="79"/>
  <c r="A16961" i="80" s="1"/>
  <c r="C17012" i="79"/>
  <c r="I16787" i="79"/>
  <c r="A16786" i="80" s="1"/>
  <c r="C16837" i="79"/>
  <c r="I16837" i="79" l="1"/>
  <c r="A16836" i="80" s="1"/>
  <c r="C16887" i="79"/>
  <c r="I17012" i="79"/>
  <c r="A17011" i="80" s="1"/>
  <c r="C17062" i="79"/>
  <c r="I16732" i="79"/>
  <c r="A16731" i="80" s="1"/>
  <c r="C16782" i="79"/>
  <c r="C16817" i="79"/>
  <c r="I16767" i="79"/>
  <c r="A16766" i="80" s="1"/>
  <c r="C17252" i="79"/>
  <c r="I17252" i="79" s="1"/>
  <c r="A17251" i="80" s="1"/>
  <c r="I17202" i="79"/>
  <c r="A17201" i="80" s="1"/>
  <c r="I16892" i="79"/>
  <c r="A16891" i="80" s="1"/>
  <c r="C16942" i="79"/>
  <c r="I17022" i="79"/>
  <c r="A17021" i="80" s="1"/>
  <c r="C17072" i="79"/>
  <c r="I17097" i="79"/>
  <c r="A17096" i="80" s="1"/>
  <c r="C17147" i="79"/>
  <c r="I16827" i="79"/>
  <c r="A16826" i="80" s="1"/>
  <c r="C16877" i="79"/>
  <c r="I16707" i="79"/>
  <c r="A16706" i="80" s="1"/>
  <c r="C16757" i="79"/>
  <c r="I16757" i="79" l="1"/>
  <c r="A16756" i="80" s="1"/>
  <c r="C16807" i="79"/>
  <c r="I16877" i="79"/>
  <c r="A16876" i="80" s="1"/>
  <c r="C16927" i="79"/>
  <c r="I17147" i="79"/>
  <c r="A17146" i="80" s="1"/>
  <c r="C17197" i="79"/>
  <c r="C17122" i="79"/>
  <c r="I17072" i="79"/>
  <c r="A17071" i="80" s="1"/>
  <c r="I16942" i="79"/>
  <c r="A16941" i="80" s="1"/>
  <c r="C16992" i="79"/>
  <c r="I16782" i="79"/>
  <c r="A16781" i="80" s="1"/>
  <c r="C16832" i="79"/>
  <c r="C17112" i="79"/>
  <c r="I17062" i="79"/>
  <c r="A17061" i="80" s="1"/>
  <c r="I16887" i="79"/>
  <c r="A16886" i="80" s="1"/>
  <c r="C16937" i="79"/>
  <c r="I16817" i="79"/>
  <c r="A16816" i="80" s="1"/>
  <c r="C16867" i="79"/>
  <c r="C16917" i="79" l="1"/>
  <c r="I16867" i="79"/>
  <c r="A16866" i="80" s="1"/>
  <c r="I16937" i="79"/>
  <c r="A16936" i="80" s="1"/>
  <c r="C16987" i="79"/>
  <c r="I16832" i="79"/>
  <c r="A16831" i="80" s="1"/>
  <c r="C16882" i="79"/>
  <c r="C17042" i="79"/>
  <c r="I16992" i="79"/>
  <c r="A16991" i="80" s="1"/>
  <c r="I17197" i="79"/>
  <c r="A17196" i="80" s="1"/>
  <c r="C17247" i="79"/>
  <c r="I17247" i="79" s="1"/>
  <c r="A17246" i="80" s="1"/>
  <c r="I16927" i="79"/>
  <c r="A16926" i="80" s="1"/>
  <c r="C16977" i="79"/>
  <c r="I16807" i="79"/>
  <c r="A16806" i="80" s="1"/>
  <c r="C16857" i="79"/>
  <c r="C17162" i="79"/>
  <c r="I17112" i="79"/>
  <c r="A17111" i="80" s="1"/>
  <c r="I17122" i="79"/>
  <c r="A17121" i="80" s="1"/>
  <c r="C17172" i="79"/>
  <c r="I17172" i="79" l="1"/>
  <c r="A17171" i="80" s="1"/>
  <c r="C17222" i="79"/>
  <c r="C16907" i="79"/>
  <c r="I16857" i="79"/>
  <c r="A16856" i="80" s="1"/>
  <c r="I16977" i="79"/>
  <c r="A16976" i="80" s="1"/>
  <c r="C17027" i="79"/>
  <c r="I16882" i="79"/>
  <c r="A16881" i="80" s="1"/>
  <c r="C16932" i="79"/>
  <c r="I16987" i="79"/>
  <c r="A16986" i="80" s="1"/>
  <c r="C17037" i="79"/>
  <c r="I17162" i="79"/>
  <c r="A17161" i="80" s="1"/>
  <c r="C17212" i="79"/>
  <c r="I17042" i="79"/>
  <c r="A17041" i="80" s="1"/>
  <c r="C17092" i="79"/>
  <c r="C16967" i="79"/>
  <c r="I16917" i="79"/>
  <c r="A16916" i="80" s="1"/>
  <c r="I17092" i="79" l="1"/>
  <c r="A17091" i="80" s="1"/>
  <c r="C17142" i="79"/>
  <c r="I17212" i="79"/>
  <c r="A17211" i="80" s="1"/>
  <c r="C17262" i="79"/>
  <c r="I17262" i="79" s="1"/>
  <c r="A17261" i="80" s="1"/>
  <c r="I17037" i="79"/>
  <c r="A17036" i="80" s="1"/>
  <c r="C17087" i="79"/>
  <c r="I16932" i="79"/>
  <c r="A16931" i="80" s="1"/>
  <c r="C16982" i="79"/>
  <c r="C17077" i="79"/>
  <c r="I17027" i="79"/>
  <c r="A17026" i="80" s="1"/>
  <c r="I17222" i="79"/>
  <c r="A17221" i="80" s="1"/>
  <c r="C17272" i="79"/>
  <c r="I17272" i="79" s="1"/>
  <c r="A17271" i="80" s="1"/>
  <c r="I16967" i="79"/>
  <c r="A16966" i="80" s="1"/>
  <c r="C17017" i="79"/>
  <c r="I16907" i="79"/>
  <c r="A16906" i="80" s="1"/>
  <c r="C16957" i="79"/>
  <c r="I16957" i="79" l="1"/>
  <c r="A16956" i="80" s="1"/>
  <c r="C17007" i="79"/>
  <c r="I17017" i="79"/>
  <c r="A17016" i="80" s="1"/>
  <c r="C17067" i="79"/>
  <c r="I16982" i="79"/>
  <c r="A16981" i="80" s="1"/>
  <c r="C17032" i="79"/>
  <c r="C17137" i="79"/>
  <c r="I17087" i="79"/>
  <c r="A17086" i="80" s="1"/>
  <c r="I17142" i="79"/>
  <c r="A17141" i="80" s="1"/>
  <c r="C17192" i="79"/>
  <c r="C17127" i="79"/>
  <c r="I17077" i="79"/>
  <c r="A17076" i="80" s="1"/>
  <c r="I17192" i="79" l="1"/>
  <c r="A17191" i="80" s="1"/>
  <c r="C17242" i="79"/>
  <c r="I17242" i="79" s="1"/>
  <c r="A17241" i="80" s="1"/>
  <c r="I17032" i="79"/>
  <c r="A17031" i="80" s="1"/>
  <c r="C17082" i="79"/>
  <c r="C17117" i="79"/>
  <c r="I17067" i="79"/>
  <c r="A17066" i="80" s="1"/>
  <c r="C17057" i="79"/>
  <c r="I17007" i="79"/>
  <c r="A17006" i="80" s="1"/>
  <c r="I17127" i="79"/>
  <c r="A17126" i="80" s="1"/>
  <c r="C17177" i="79"/>
  <c r="I17137" i="79"/>
  <c r="A17136" i="80" s="1"/>
  <c r="C17187" i="79"/>
  <c r="I17187" i="79" l="1"/>
  <c r="A17186" i="80" s="1"/>
  <c r="C17237" i="79"/>
  <c r="I17177" i="79"/>
  <c r="A17176" i="80" s="1"/>
  <c r="C17227" i="79"/>
  <c r="C17132" i="79"/>
  <c r="I17082" i="79"/>
  <c r="A17081" i="80" s="1"/>
  <c r="C17107" i="79"/>
  <c r="I17057" i="79"/>
  <c r="A17056" i="80" s="1"/>
  <c r="I17117" i="79"/>
  <c r="A17116" i="80" s="1"/>
  <c r="C17167" i="79"/>
  <c r="I17167" i="79" l="1"/>
  <c r="A17166" i="80" s="1"/>
  <c r="C17217" i="79"/>
  <c r="I17227" i="79"/>
  <c r="A17226" i="80" s="1"/>
  <c r="C17277" i="79"/>
  <c r="I17277" i="79" s="1"/>
  <c r="A17276" i="80" s="1"/>
  <c r="I17237" i="79"/>
  <c r="A17236" i="80" s="1"/>
  <c r="C17287" i="79"/>
  <c r="I17287" i="79" s="1"/>
  <c r="A17286" i="80" s="1"/>
  <c r="I17107" i="79"/>
  <c r="A17106" i="80" s="1"/>
  <c r="C17157" i="79"/>
  <c r="C17182" i="79"/>
  <c r="I17132" i="79"/>
  <c r="A17131" i="80" s="1"/>
  <c r="I17157" i="79" l="1"/>
  <c r="A17156" i="80" s="1"/>
  <c r="C17207" i="79"/>
  <c r="I17217" i="79"/>
  <c r="A17216" i="80" s="1"/>
  <c r="C17267" i="79"/>
  <c r="I17267" i="79" s="1"/>
  <c r="A17266" i="80" s="1"/>
  <c r="C17232" i="79"/>
  <c r="I17182" i="79"/>
  <c r="A17181" i="80" s="1"/>
  <c r="C17257" i="79" l="1"/>
  <c r="I17257" i="79" s="1"/>
  <c r="A17256" i="80" s="1"/>
  <c r="I17207" i="79"/>
  <c r="A17206" i="80" s="1"/>
  <c r="I17232" i="79"/>
  <c r="A17231" i="80" s="1"/>
  <c r="C17282" i="79"/>
  <c r="I17282" i="79" s="1"/>
  <c r="A17281" i="80" s="1"/>
  <c r="F23" i="75" l="1"/>
</calcChain>
</file>

<file path=xl/sharedStrings.xml><?xml version="1.0" encoding="utf-8"?>
<sst xmlns="http://schemas.openxmlformats.org/spreadsheetml/2006/main" count="38476" uniqueCount="3196">
  <si>
    <t>TRESORERIE</t>
  </si>
  <si>
    <t>TOTAL GENERAL ACTIF</t>
  </si>
  <si>
    <t>CAPITAUX PERMAMENTS</t>
  </si>
  <si>
    <t>PASSIF CIRCULANT</t>
  </si>
  <si>
    <t>BESOINS EN FONDS DE  ROULEMENT</t>
  </si>
  <si>
    <t>TOTAL GENERAL PASSIF</t>
  </si>
  <si>
    <t xml:space="preserve"> 1/2</t>
  </si>
  <si>
    <t>Ecart</t>
  </si>
  <si>
    <t>FRAIS DE CONSTRUCTION</t>
  </si>
  <si>
    <t>FRAIS PREALABLES AU DEMARRAGE</t>
  </si>
  <si>
    <t>FRAIS D'AUGMENTATION DE CAPITAL</t>
  </si>
  <si>
    <t>FRAIS SUR OPERATIONS DE FUSIONS, SCISSIONS ET TRANSFORMATIONS</t>
  </si>
  <si>
    <t>FRAIS DE PROSPECTION</t>
  </si>
  <si>
    <t>FRAIS DE PUBLICITE</t>
  </si>
  <si>
    <t>AUTRES FRAIS PRELIMINAIRES</t>
  </si>
  <si>
    <t>FRAIS D'ACQUISITION DES IMMOBILISATIONS</t>
  </si>
  <si>
    <t>FRAIS D'EMISSION DES EMPRUNTS</t>
  </si>
  <si>
    <t>PRIME DE REMBOURSEMENT DES OBLIGATIONS</t>
  </si>
  <si>
    <t>Exercice clos le :</t>
  </si>
  <si>
    <t>Exercice clos le</t>
  </si>
  <si>
    <t xml:space="preserve">Exercice clos le </t>
  </si>
  <si>
    <t>Solde Débiteur</t>
  </si>
  <si>
    <t>Solde Créditeur</t>
  </si>
  <si>
    <t>Débit Cumulé</t>
  </si>
  <si>
    <t>Crédit Cumulé</t>
  </si>
  <si>
    <t>ONDUMAR</t>
  </si>
  <si>
    <t xml:space="preserve">* Primes de remboursement obligations </t>
  </si>
  <si>
    <t>* Installat. techniques,matériel et outillage</t>
  </si>
  <si>
    <t xml:space="preserve">* Autres immobilisations corporelles </t>
  </si>
  <si>
    <t>* Autres immobilisations corporelles</t>
  </si>
  <si>
    <t>2. Provisions régle-</t>
  </si>
  <si>
    <t>mentées</t>
  </si>
  <si>
    <t>3. Provisions dura-</t>
  </si>
  <si>
    <t xml:space="preserve">B 6 - TABLEAU DES CREANCES </t>
  </si>
  <si>
    <t>CREANCES</t>
  </si>
  <si>
    <t>ANALYSE PAR ECHEANCE</t>
  </si>
  <si>
    <t>AUTRES ANALYSES</t>
  </si>
  <si>
    <t>Plus d'un an</t>
  </si>
  <si>
    <t>Moins d'un an</t>
  </si>
  <si>
    <t>Echus et non recouvrés</t>
  </si>
  <si>
    <t>Montant en devise</t>
  </si>
  <si>
    <t>Montants l'Etat et organismes publics</t>
  </si>
  <si>
    <t>Montants sur les entreprises liées</t>
  </si>
  <si>
    <t>Montants représentés par des effets</t>
  </si>
  <si>
    <t>DE L'ACTIF IMMOBILISE</t>
  </si>
  <si>
    <t>Prêt immobilisés</t>
  </si>
  <si>
    <t>Autres créances financières</t>
  </si>
  <si>
    <t>DE L'ACTIF CIRCULANT</t>
  </si>
  <si>
    <t>Fournisseurs débiteurs, avances et acomptes</t>
  </si>
  <si>
    <t>Clients et comptes rattachés</t>
  </si>
  <si>
    <t>Personnel</t>
  </si>
  <si>
    <t xml:space="preserve">Etat </t>
  </si>
  <si>
    <t>Comptes d'associés</t>
  </si>
  <si>
    <t>Autres débiteurs</t>
  </si>
  <si>
    <t>Comptes de régularisations - Actif</t>
  </si>
  <si>
    <t>DETTES</t>
  </si>
  <si>
    <t xml:space="preserve">B 7 - TABLEAU DES DETTES </t>
  </si>
  <si>
    <t>Emprunts obligataires</t>
  </si>
  <si>
    <t>Autres dettes de financement</t>
  </si>
  <si>
    <t>DU PASSIF CIRCULANT</t>
  </si>
  <si>
    <t>Fournisseurs et comptes rattachés</t>
  </si>
  <si>
    <t>Clients créditeurs , avances et acomptes</t>
  </si>
  <si>
    <t>Organismes sociaux</t>
  </si>
  <si>
    <t>Etat</t>
  </si>
  <si>
    <t>Autres créanciers</t>
  </si>
  <si>
    <t>Comptes de régularisation - Passif</t>
  </si>
  <si>
    <t>ETAT B8</t>
  </si>
  <si>
    <t>TABLEAU DES SURETES REELLES DONNEES OU RECUES</t>
  </si>
  <si>
    <t>TIERS CREDITEURS OU TIERS</t>
  </si>
  <si>
    <t>Montant couvert</t>
  </si>
  <si>
    <t>Nature (1)</t>
  </si>
  <si>
    <t>Date et lieu</t>
  </si>
  <si>
    <t>Objet</t>
  </si>
  <si>
    <t>Valeur comptable</t>
  </si>
  <si>
    <t>* Cautions</t>
  </si>
  <si>
    <t>Mars</t>
  </si>
  <si>
    <t>DEBITEURS</t>
  </si>
  <si>
    <t>par</t>
  </si>
  <si>
    <t>d'inscription</t>
  </si>
  <si>
    <t>(2) (3)</t>
  </si>
  <si>
    <t>nette de la sûreté donnée à la</t>
  </si>
  <si>
    <t>la sûreté</t>
  </si>
  <si>
    <t>date de clôt.</t>
  </si>
  <si>
    <t>Sûretés données</t>
  </si>
  <si>
    <t>Sûretés reçues</t>
  </si>
  <si>
    <t>(1) - Gage :1 Hypothèque : 2 Nantissement : 3 - Warrant : 4 - Autres : 5 - (à préciser)</t>
  </si>
  <si>
    <t>(2) préciser si la sûreté est donnée au profit d'entreprises ou de personnes tierces ( sûretés données)</t>
  </si>
  <si>
    <t>( entreprises liées, associés, membres du personnel)</t>
  </si>
  <si>
    <t>redevances restantes</t>
  </si>
  <si>
    <t>(3) préciser si la sûreté reçue par l'entreprise provient de personnes tierces autres que le débiteur (sûretés reçues)</t>
  </si>
  <si>
    <t>ETAT B9</t>
  </si>
  <si>
    <t>ENGAGEMENTS FINANCIERS RECUS OU DONNES</t>
  </si>
  <si>
    <t>HORS OPERATIONS DE CREDIT-BAIL</t>
  </si>
  <si>
    <t>ENGAGEMENTS DONNES</t>
  </si>
  <si>
    <t>* Avals et cautions</t>
  </si>
  <si>
    <t>* engagements en matière de pensions de</t>
  </si>
  <si>
    <t>retraites et obligations similaires</t>
  </si>
  <si>
    <t>* autres engagements donnés</t>
  </si>
  <si>
    <t>TOTAL (1)</t>
  </si>
  <si>
    <t>(1) Dont engagements à l'égard d'entreprises</t>
  </si>
  <si>
    <t>liées.................................</t>
  </si>
  <si>
    <t>ENGAGEMENTS RECUS</t>
  </si>
  <si>
    <t>précédents</t>
  </si>
  <si>
    <t>* Bénéfice net</t>
  </si>
  <si>
    <t>* Perte nette</t>
  </si>
  <si>
    <t>* Exercice n-3</t>
  </si>
  <si>
    <t>* Exercice n-2</t>
  </si>
  <si>
    <t>* Exercice n-1</t>
  </si>
  <si>
    <t>ETAT B13</t>
  </si>
  <si>
    <t>DETERMINATION DU RESULTAT COURANT APRES IMPOTS</t>
  </si>
  <si>
    <t>I. DETERMINATION DU RESULTAT</t>
  </si>
  <si>
    <t>* Résultat courant d'après C.P.C. (+/-)</t>
  </si>
  <si>
    <t>* Réintégrations fiscales sur opérations courantes (+)</t>
  </si>
  <si>
    <t>* Déductions fiscales sur opérations courantes (-)</t>
  </si>
  <si>
    <t>* Résultat courant théoriquement imposable courant (=)</t>
  </si>
  <si>
    <t>* Impôt théorique sur résultat (-)</t>
  </si>
  <si>
    <t>* Résultat courant après impôts (=)</t>
  </si>
  <si>
    <t>II. INDICATION DU REGIME FISCAL ET DES AVANTAGES OCTROYES PAR LES CODES</t>
  </si>
  <si>
    <t>DES INVESTISSEMENTS OU PAR DES DISPOSITIONS LEGALES SPECIFIQUES</t>
  </si>
  <si>
    <t>Déclarations</t>
  </si>
  <si>
    <t>C. T.V.A. due ou crédit de</t>
  </si>
  <si>
    <t>Dans les autres cas il y a lieu de ne mentionner que les 10 principaux associés par ordre d'importance décroissante.</t>
  </si>
  <si>
    <t>ETAT C2</t>
  </si>
  <si>
    <t xml:space="preserve"> - Réserve légale</t>
  </si>
  <si>
    <t xml:space="preserve"> - Report à nouveau</t>
  </si>
  <si>
    <t xml:space="preserve"> - Autres réserves</t>
  </si>
  <si>
    <t xml:space="preserve"> - Résultats nets en instance d'affectation</t>
  </si>
  <si>
    <t xml:space="preserve"> - Tantièmes </t>
  </si>
  <si>
    <t xml:space="preserve"> - Résultat net de l'exercice</t>
  </si>
  <si>
    <t xml:space="preserve"> - Dividendes</t>
  </si>
  <si>
    <t xml:space="preserve"> - Prélèvements sur les réserves</t>
  </si>
  <si>
    <t xml:space="preserve"> - Autres affectations</t>
  </si>
  <si>
    <t>ETAT C3</t>
  </si>
  <si>
    <t>RESULTATS ET AUTRES ELEMENTS CARACTERISTIQUES</t>
  </si>
  <si>
    <t>DE L'ENTREPRISE AU COURS DES TROIS DERNIERS EXERCICES</t>
  </si>
  <si>
    <t>N A TU R E   D E S    I N D I C A T I O N S</t>
  </si>
  <si>
    <t xml:space="preserve">Exercice </t>
  </si>
  <si>
    <t>n  -  2</t>
  </si>
  <si>
    <t>n  -  1</t>
  </si>
  <si>
    <t xml:space="preserve">n  </t>
  </si>
  <si>
    <t xml:space="preserve"> SITUATION NETTE DE L'ENTREPRISE </t>
  </si>
  <si>
    <t xml:space="preserve">    Capitaux propres plus capitaux propres assimilés moins immobilisation en</t>
  </si>
  <si>
    <t xml:space="preserve">    non valeurs</t>
  </si>
  <si>
    <t xml:space="preserve"> * OPERATIONS ET RESULTAT DE L'EXERCICE</t>
  </si>
  <si>
    <t xml:space="preserve">   1. Chiffre d'affaires hors taxes</t>
  </si>
  <si>
    <t xml:space="preserve">   2. Résultat avant impôts</t>
  </si>
  <si>
    <t>ETAT B1</t>
  </si>
  <si>
    <t>DETAIL DES NON-VALEURS</t>
  </si>
  <si>
    <t>COMPTE</t>
  </si>
  <si>
    <t>INTITULE</t>
  </si>
  <si>
    <t>PRINCIPAL</t>
  </si>
  <si>
    <t>AUTRES CHARGES A REPARTIR</t>
  </si>
  <si>
    <t xml:space="preserve">   3. Impôts sur les résultats</t>
  </si>
  <si>
    <t xml:space="preserve">   4. Bénéfices distribués</t>
  </si>
  <si>
    <t xml:space="preserve">   5. Résultats non distribués (mis en réserves ou en instances d'affectation)</t>
  </si>
  <si>
    <t xml:space="preserve"> * RESULTAT PAR TITRE (Pour les sociétés par actions et SARL)</t>
  </si>
  <si>
    <t xml:space="preserve">   . Résultat net par action ou par sociale</t>
  </si>
  <si>
    <t xml:space="preserve">   . Bénéfices distribués par action ou part sociale</t>
  </si>
  <si>
    <t xml:space="preserve"> * PERSONNEL</t>
  </si>
  <si>
    <t xml:space="preserve">   . Montant des salaires bruts de l'exercice</t>
  </si>
  <si>
    <t xml:space="preserve">   . Effectif moyen des salariés employés pendant l'exercice</t>
  </si>
  <si>
    <t>ETAT C4</t>
  </si>
  <si>
    <t>TABLEAU DES OPERATIONS EN DEVISES COMPTABILISEES</t>
  </si>
  <si>
    <t>PENDANT L'EXERCICE</t>
  </si>
  <si>
    <t>Entrée</t>
  </si>
  <si>
    <t>Sortie</t>
  </si>
  <si>
    <t>Contre-valeur</t>
  </si>
  <si>
    <t>en DH</t>
  </si>
  <si>
    <t xml:space="preserve">  *  Financement permanent</t>
  </si>
  <si>
    <t xml:space="preserve">  *  Immobilisations brutes</t>
  </si>
  <si>
    <t xml:space="preserve">  *  Rentrées sur immobilisations</t>
  </si>
  <si>
    <t xml:space="preserve">  *  Remboursement des dettes de financement</t>
  </si>
  <si>
    <t xml:space="preserve">  * Produits</t>
  </si>
  <si>
    <t xml:space="preserve">  * Charges</t>
  </si>
  <si>
    <t xml:space="preserve">          TOTAL DES ENTREES</t>
  </si>
  <si>
    <t xml:space="preserve">          TOTAL DES SORTIES</t>
  </si>
  <si>
    <t xml:space="preserve">          BALANCE DEVISES</t>
  </si>
  <si>
    <t xml:space="preserve">          TOTAL</t>
  </si>
  <si>
    <t>C5 DATATION ET EVENEMENTS POSTERIEURS</t>
  </si>
  <si>
    <t xml:space="preserve">  Date de clôture (1)</t>
  </si>
  <si>
    <t xml:space="preserve">  Date d'établissement des états de synthèse (2)</t>
  </si>
  <si>
    <t xml:space="preserve">  (1) Justification en cas de changement de la date de clôture de l'exercice</t>
  </si>
  <si>
    <t xml:space="preserve">  (2) Justification en cas de dépassement du délai réglementaire </t>
  </si>
  <si>
    <t xml:space="preserve">EVENEMENTS NES POSTERIEUREMENT A LA DATE DE CLOTURE </t>
  </si>
  <si>
    <t xml:space="preserve">NON RATTACHABLES A CET EXERCICE ET CONNUS AVANT LA DATE  </t>
  </si>
  <si>
    <t>DE COMMUNICATION EXTERNE DES ETATS DE SYNTHESE</t>
  </si>
  <si>
    <t>Dates</t>
  </si>
  <si>
    <t>événements</t>
  </si>
  <si>
    <t xml:space="preserve">  * Favorables</t>
  </si>
  <si>
    <t xml:space="preserve">  * Défavorables</t>
  </si>
  <si>
    <t xml:space="preserve">                                            TABLEAU DE FINANCEMENT DE L'EXERCICE</t>
  </si>
  <si>
    <t>I SYNTHESE DES MASSES DU BILAN</t>
  </si>
  <si>
    <t xml:space="preserve">           Variations a-b</t>
  </si>
  <si>
    <t>MASSES</t>
  </si>
  <si>
    <t>Emplois</t>
  </si>
  <si>
    <t>Ressources</t>
  </si>
  <si>
    <t>c</t>
  </si>
  <si>
    <t>d</t>
  </si>
  <si>
    <t xml:space="preserve">  Financement Permanent</t>
  </si>
  <si>
    <t xml:space="preserve">  Moins actif immobilisé</t>
  </si>
  <si>
    <t xml:space="preserve">  = Fonds de Roulement Fonctionnel (1-2)  (A)</t>
  </si>
  <si>
    <t xml:space="preserve">  Actif circulant</t>
  </si>
  <si>
    <t xml:space="preserve">  Moins passif circulant</t>
  </si>
  <si>
    <t xml:space="preserve">  = Besoin de Financement global (4-5)      (B)</t>
  </si>
  <si>
    <t xml:space="preserve">  TRESORERIE NETTE (Actif-Passif)        = A-B</t>
  </si>
  <si>
    <t>II EMPLOIS ET RESSOURCES</t>
  </si>
  <si>
    <t>EMPLOIS</t>
  </si>
  <si>
    <t>RESSOURCES</t>
  </si>
  <si>
    <t>EMPLOI</t>
  </si>
  <si>
    <t>*  AUTOFINANCEMENT                             (A)</t>
  </si>
  <si>
    <t xml:space="preserve">          + Capacité d'autofinancement</t>
  </si>
  <si>
    <t xml:space="preserve">          - Distributions de bénéfices</t>
  </si>
  <si>
    <t xml:space="preserve">          + Cessions d'immobilisations incorporelles</t>
  </si>
  <si>
    <t xml:space="preserve">          + Cessions d'immobilisations corporelles</t>
  </si>
  <si>
    <t xml:space="preserve">          + Cessions d'immobilisations financières</t>
  </si>
  <si>
    <t xml:space="preserve">          + récupérations sur créances immobilisées</t>
  </si>
  <si>
    <t xml:space="preserve">          + Augmentation du capital , apports</t>
  </si>
  <si>
    <t xml:space="preserve">          + Subventions d'investissement</t>
  </si>
  <si>
    <t>II EMPLOIS STABLES DE L'EXERCICE (FLUX)</t>
  </si>
  <si>
    <t xml:space="preserve">          + Acquisitions d'immobilisations incorpor.</t>
  </si>
  <si>
    <t xml:space="preserve">          + Acquisitions d'immobilisation corporelles</t>
  </si>
  <si>
    <t xml:space="preserve">          + Acquisitions d'immobilisation financières</t>
  </si>
  <si>
    <t xml:space="preserve">          + Augmentation des créances immob.</t>
  </si>
  <si>
    <t>* EMPLOIS EN NON VALEURS               (H)</t>
  </si>
  <si>
    <t>IV VARIATION DE LA TRESORERIE</t>
  </si>
  <si>
    <t>TOTAL GENERAL</t>
  </si>
  <si>
    <t>Débit Période</t>
  </si>
  <si>
    <t>Crédit Période</t>
  </si>
  <si>
    <t>Solde</t>
  </si>
  <si>
    <t>Numero</t>
  </si>
  <si>
    <t>Libellé</t>
  </si>
  <si>
    <t>*  Marchandises</t>
  </si>
  <si>
    <t>*  Matières et fournitures, consommables</t>
  </si>
  <si>
    <t>*  Produits en cours</t>
  </si>
  <si>
    <t>*  produits intermédiaires et produits résiduels</t>
  </si>
  <si>
    <t>*  Produits finis</t>
  </si>
  <si>
    <t>*  Terrains</t>
  </si>
  <si>
    <t>*  Constructions</t>
  </si>
  <si>
    <t>*   Installations techniques, matériel et outillage</t>
  </si>
  <si>
    <t>*  Matériel transport</t>
  </si>
  <si>
    <t>*  Mobilier, matériel de bureau et aménagements divers</t>
  </si>
  <si>
    <t>*  Autres immobilisations corporelles</t>
  </si>
  <si>
    <t>Tableau n° 1</t>
  </si>
  <si>
    <t>BILAN (ACTIF)</t>
  </si>
  <si>
    <t xml:space="preserve">(modèle normal)     </t>
  </si>
  <si>
    <t xml:space="preserve">          Exercice clos le :</t>
  </si>
  <si>
    <t>ACTIF</t>
  </si>
  <si>
    <t xml:space="preserve">             </t>
  </si>
  <si>
    <t>Exercice</t>
  </si>
  <si>
    <t>Exercice Précédent</t>
  </si>
  <si>
    <t xml:space="preserve"> </t>
  </si>
  <si>
    <t>Amortissement</t>
  </si>
  <si>
    <t>Brut</t>
  </si>
  <si>
    <t>et</t>
  </si>
  <si>
    <t>Net</t>
  </si>
  <si>
    <t>provisions</t>
  </si>
  <si>
    <t xml:space="preserve">IMMOBILISATIONS EN NON VALEURS  (A)     </t>
  </si>
  <si>
    <t>*  Frais préliminaires</t>
  </si>
  <si>
    <t>*  Charges à repartir sur plusieurs  exercices</t>
  </si>
  <si>
    <t>s</t>
  </si>
  <si>
    <t>*  Primes de remboursement des obligations</t>
  </si>
  <si>
    <t>e</t>
  </si>
  <si>
    <t xml:space="preserve">IMMOBILISATIONS INCORPORELLES  (B)     </t>
  </si>
  <si>
    <t>é</t>
  </si>
  <si>
    <t>*  Immobilisation en recherche et développement</t>
  </si>
  <si>
    <t>*  Brevets, marques, droits et valeurs similaires</t>
  </si>
  <si>
    <t>i</t>
  </si>
  <si>
    <t>*  Fonds commercial</t>
  </si>
  <si>
    <t>l</t>
  </si>
  <si>
    <t>*  Autres immobilisations incorporelles</t>
  </si>
  <si>
    <t xml:space="preserve">IMMOBILISATIONS CORPORELLES (C)     </t>
  </si>
  <si>
    <t>b</t>
  </si>
  <si>
    <t>o</t>
  </si>
  <si>
    <t>m</t>
  </si>
  <si>
    <t>I</t>
  </si>
  <si>
    <t>*  Immobilisations corporelles en cours</t>
  </si>
  <si>
    <t>r</t>
  </si>
  <si>
    <t xml:space="preserve">IMMOBILISATIONS FINANCIERES  (D)     </t>
  </si>
  <si>
    <t>u</t>
  </si>
  <si>
    <t>*  Prêts immobilisés</t>
  </si>
  <si>
    <t>*  Autres créances financières</t>
  </si>
  <si>
    <t>*  Titres de participation</t>
  </si>
  <si>
    <t>a</t>
  </si>
  <si>
    <t>*  Autres titres immobilisés</t>
  </si>
  <si>
    <t>V</t>
  </si>
  <si>
    <t xml:space="preserve">ECARTS DE CONVERSION -ACTIF  (E)    </t>
  </si>
  <si>
    <t>*  Diminution des créances immobilisées</t>
  </si>
  <si>
    <t>*  Augmentation des dettes financières</t>
  </si>
  <si>
    <t>TOTAL I (A+B+C+D+E)</t>
  </si>
  <si>
    <t xml:space="preserve">STOCKS (F)     </t>
  </si>
  <si>
    <t xml:space="preserve">CREANCES DE L'ACTIF CIRCULANT  (G)     </t>
  </si>
  <si>
    <t>*  Fournis. débiteurs, avances et acomptes</t>
  </si>
  <si>
    <t>*   Clients et comptes rattachés</t>
  </si>
  <si>
    <t>*  Personnel</t>
  </si>
  <si>
    <t>*  Etat</t>
  </si>
  <si>
    <t>*  Comptes d'associés</t>
  </si>
  <si>
    <t>A …………………  Le …/…/……..</t>
  </si>
  <si>
    <t>*  Autres débiteurs</t>
  </si>
  <si>
    <t>*  Comptes de régularisation-Actif</t>
  </si>
  <si>
    <t xml:space="preserve">TITRES VALEURS DE PLACEMENT  ( H)     </t>
  </si>
  <si>
    <t xml:space="preserve">ECARTS DE CONVERSION-ACTIF  ( I )     </t>
  </si>
  <si>
    <t xml:space="preserve">.   (Eléments circulants)     </t>
  </si>
  <si>
    <t>* Nantissement de marchandises</t>
  </si>
  <si>
    <t xml:space="preserve">TOTAL II  ( F+G+H+I )     </t>
  </si>
  <si>
    <t>TRESORERIE-ACTIF</t>
  </si>
  <si>
    <t>*  Chéques et valeurs à encaisser</t>
  </si>
  <si>
    <t>*  Banques, TG et CCP</t>
  </si>
  <si>
    <t>*  Caisse, Régie d'avances et accréditifs</t>
  </si>
  <si>
    <t>TOTAL III</t>
  </si>
  <si>
    <t>TOTAL GENERAL I+II+III</t>
  </si>
  <si>
    <t>BILAN (PASSIF)</t>
  </si>
  <si>
    <t>PASSIF</t>
  </si>
  <si>
    <t>CAPITAUX PROPRES</t>
  </si>
  <si>
    <t>*  Capital social ou personnel (1)</t>
  </si>
  <si>
    <t>* Moins : actionnaires, caital souscrit non applé</t>
  </si>
  <si>
    <t>* Primes d'émission, de fusion, d'apport</t>
  </si>
  <si>
    <t>* Ecart de réévaluation</t>
  </si>
  <si>
    <t>* Réserve légale</t>
  </si>
  <si>
    <t>* Autres Réserves</t>
  </si>
  <si>
    <t>* Report à nouveau (2)</t>
  </si>
  <si>
    <t>* Résultats nets en instance d'affectation (2)</t>
  </si>
  <si>
    <t>* Résultat net de l'exercice (2)</t>
  </si>
  <si>
    <t>Total des capitaux propres   (A)</t>
  </si>
  <si>
    <t>CAPITAUX PROPRES ASSIMILES</t>
  </si>
  <si>
    <t>(B)</t>
  </si>
  <si>
    <t>* Subvensions d'investissement</t>
  </si>
  <si>
    <t>* Provisions réglementées</t>
  </si>
  <si>
    <t>DETTES DE FINANCEMENT</t>
  </si>
  <si>
    <t>(C)</t>
  </si>
  <si>
    <t>* Emprunts obligataires</t>
  </si>
  <si>
    <t>* Autres dettes de financement</t>
  </si>
  <si>
    <t>PROVISIONS DURABLES POUR RISQUE ET CHARGES</t>
  </si>
  <si>
    <t>(D)</t>
  </si>
  <si>
    <t>* Provisions pour risques</t>
  </si>
  <si>
    <t>* Provisions pour charges</t>
  </si>
  <si>
    <t>ECRATS DE CONVERSION - PASSIF</t>
  </si>
  <si>
    <t>(E)</t>
  </si>
  <si>
    <t>* Augmentation des créances immobilisées</t>
  </si>
  <si>
    <t>* Diminution des dettes de financement</t>
  </si>
  <si>
    <t>Total I ( A + B + C + D + E )</t>
  </si>
  <si>
    <t>DETTES DU PASSIF CIRCULANT</t>
  </si>
  <si>
    <t>(F)</t>
  </si>
  <si>
    <t>* Fournisseurs et comptes rattachés</t>
  </si>
  <si>
    <t>* Clients créditeurs, avances et acomptes</t>
  </si>
  <si>
    <t>* Personnel</t>
  </si>
  <si>
    <t>* Organismes sociaux</t>
  </si>
  <si>
    <t>* Etat</t>
  </si>
  <si>
    <t>* Comptes d'associés</t>
  </si>
  <si>
    <t>* Autres créanciers</t>
  </si>
  <si>
    <t>* Comptes de régularisation passif</t>
  </si>
  <si>
    <t>AUTRES PROVISIONS POUR RISQUES ET CHARGES</t>
  </si>
  <si>
    <t>(G)</t>
  </si>
  <si>
    <t>ECARTS DE CONVERSION - PASSIF (Eléments circulants)</t>
  </si>
  <si>
    <t>(H)</t>
  </si>
  <si>
    <t>Total II (F + G + H )</t>
  </si>
  <si>
    <t>TRESORERIE - PASSIF</t>
  </si>
  <si>
    <t>(I)</t>
  </si>
  <si>
    <t>* Crédit d'escompte</t>
  </si>
  <si>
    <t>* Crédit de trésorerie</t>
  </si>
  <si>
    <t>* Banques (soldes créditeurs)</t>
  </si>
  <si>
    <t>Total III</t>
  </si>
  <si>
    <t>TOTAL GENERAL I + II + III</t>
  </si>
  <si>
    <t>(1) Capital personnel débiteur                                     (2) bénéficiaire (+); déficitaire (-)</t>
  </si>
  <si>
    <t>Tableau n° 2</t>
  </si>
  <si>
    <t>COMPTE DE PRODUITS ET CHARGES (hors taxes)</t>
  </si>
  <si>
    <t>(modèle normal)</t>
  </si>
  <si>
    <t>OPERATIONS</t>
  </si>
  <si>
    <t xml:space="preserve">Propres à    l'exercice </t>
  </si>
  <si>
    <t>concernant les</t>
  </si>
  <si>
    <t>TOTAUX DE</t>
  </si>
  <si>
    <t>NATURE</t>
  </si>
  <si>
    <t>exercices précédent</t>
  </si>
  <si>
    <t>L'EXERCICE</t>
  </si>
  <si>
    <t>3=2+1</t>
  </si>
  <si>
    <t>E</t>
  </si>
  <si>
    <t xml:space="preserve"> PRODUITS D'EXPLOITATION</t>
  </si>
  <si>
    <t>X</t>
  </si>
  <si>
    <t>*  Ventes de marchandises (en l'état)</t>
  </si>
  <si>
    <t>P</t>
  </si>
  <si>
    <t>*  Ventes de biens et services produits chiffre d'affaires</t>
  </si>
  <si>
    <t>O</t>
  </si>
  <si>
    <t>*  Variation des stocks de produits (1)</t>
  </si>
  <si>
    <t>*  Immobilisations produites par l'entreprise pour elle-même</t>
  </si>
  <si>
    <t>A</t>
  </si>
  <si>
    <t>*  Subventions d'exploitation</t>
  </si>
  <si>
    <t>T</t>
  </si>
  <si>
    <t>*  Autres produits d'exploitation</t>
  </si>
  <si>
    <t>*  Reprises d'exploitation; Transsferts de charges</t>
  </si>
  <si>
    <t xml:space="preserve">                                   Total I  </t>
  </si>
  <si>
    <t>N</t>
  </si>
  <si>
    <t>II</t>
  </si>
  <si>
    <t xml:space="preserve"> CHARGES D'EXPLOITATION</t>
  </si>
  <si>
    <t>*  Achats revendus(2) de marchandises</t>
  </si>
  <si>
    <t>*  Achats consommés(2) de matières et fournitures</t>
  </si>
  <si>
    <t>*  Autres charges externes</t>
  </si>
  <si>
    <t>*  Impôts et taxes</t>
  </si>
  <si>
    <t>*  Charges de personnel</t>
  </si>
  <si>
    <t>*  Autres charges d'exploitation</t>
  </si>
  <si>
    <t>*  Dotations d'exploitation</t>
  </si>
  <si>
    <t xml:space="preserve">                                  Total II  </t>
  </si>
  <si>
    <t>III</t>
  </si>
  <si>
    <t>RESULTAT D'EXPLOITATION (I-II)</t>
  </si>
  <si>
    <t>IV</t>
  </si>
  <si>
    <t>PRODUITS FINANCIERS</t>
  </si>
  <si>
    <t>F</t>
  </si>
  <si>
    <t>*  Produits des titres de partic. et autres titres immobilisés</t>
  </si>
  <si>
    <t>*  Gains de change</t>
  </si>
  <si>
    <t>*  Interêts et autres produits financiers</t>
  </si>
  <si>
    <t>*  Reprises financier;  transferts de charges</t>
  </si>
  <si>
    <t>C</t>
  </si>
  <si>
    <t xml:space="preserve">                                     Total IV  </t>
  </si>
  <si>
    <t xml:space="preserve"> CHARGES FINANCIERES</t>
  </si>
  <si>
    <t>*  Charges d'interêts</t>
  </si>
  <si>
    <t>R</t>
  </si>
  <si>
    <t>*  Pertes de change</t>
  </si>
  <si>
    <t>*  Autres charges financières</t>
  </si>
  <si>
    <t>*  Dotations finacières</t>
  </si>
  <si>
    <t xml:space="preserve">                                     Total V  </t>
  </si>
  <si>
    <t>VI</t>
  </si>
  <si>
    <t xml:space="preserve">RESULTAT FINANCIER (IV-V)  </t>
  </si>
  <si>
    <t>VII</t>
  </si>
  <si>
    <t xml:space="preserve">RESULTAT COURANT (III+VI)  </t>
  </si>
  <si>
    <t>1) Variation de stocks :stock final - stock initial ; augmentation (+) ; diminution (-)</t>
  </si>
  <si>
    <t>PRECEDENT</t>
  </si>
  <si>
    <t>2) Achats revendu ou consommés : achats -variation de stocks</t>
  </si>
  <si>
    <t>COMPTE DE PRODUITS ET CHARGES (hors taxes) (suite)</t>
  </si>
  <si>
    <t>Propres à l'exercice</t>
  </si>
  <si>
    <t>exercices précédents</t>
  </si>
  <si>
    <t>TOTAUX DE L'EXERCICE</t>
  </si>
  <si>
    <t>.3=2+1</t>
  </si>
  <si>
    <t xml:space="preserve">VII </t>
  </si>
  <si>
    <t>RESULTAT COURANT (reports)</t>
  </si>
  <si>
    <t>VIII</t>
  </si>
  <si>
    <t xml:space="preserve"> PRODUITS NON COURANTS</t>
  </si>
  <si>
    <t>*  Produits des cessions d'immobilisations</t>
  </si>
  <si>
    <t>*  Subventions d'équilibre</t>
  </si>
  <si>
    <t>*  Reprises sur subventions d'investissement</t>
  </si>
  <si>
    <t>*  Autres produits non courants</t>
  </si>
  <si>
    <t>*  Reprises non courantes  ; transferts de charges</t>
  </si>
  <si>
    <t xml:space="preserve">                                   Total VIII  </t>
  </si>
  <si>
    <t>IX</t>
  </si>
  <si>
    <t xml:space="preserve"> CHARGES NON COURANTES</t>
  </si>
  <si>
    <t>*  Valeurs nettes d'amortissements des immobilisations cédées</t>
  </si>
  <si>
    <t>*  Subventions accordées</t>
  </si>
  <si>
    <t>*  Autres charges non courantes</t>
  </si>
  <si>
    <t>*  Dotations non courantes aux amortissements et aux provisions</t>
  </si>
  <si>
    <t xml:space="preserve">                                     Total IX  </t>
  </si>
  <si>
    <t>RESULTAT NON COURANT (VIII-IX)</t>
  </si>
  <si>
    <t>XI</t>
  </si>
  <si>
    <t>RESULTAT AVANT IMPÔTS (VII+X)</t>
  </si>
  <si>
    <t>Modèle 100/IS/N</t>
  </si>
  <si>
    <t xml:space="preserve">PIECES ANNEXES A LA </t>
  </si>
  <si>
    <t>DECLARATION FISCALE</t>
  </si>
  <si>
    <t xml:space="preserve">IMPOT SUR LES SOCIETES </t>
  </si>
  <si>
    <t>(Modèle Comptable Normal)</t>
  </si>
  <si>
    <r>
      <t xml:space="preserve"> Raison sociale</t>
    </r>
    <r>
      <rPr>
        <sz val="10"/>
        <rFont val="Times New Roman"/>
        <family val="1"/>
      </rPr>
      <t xml:space="preserve"> : </t>
    </r>
    <r>
      <rPr>
        <sz val="12"/>
        <rFont val="Arial"/>
        <family val="2"/>
      </rPr>
      <t xml:space="preserve"> </t>
    </r>
  </si>
  <si>
    <t xml:space="preserve"> Article I.F.</t>
  </si>
  <si>
    <r>
      <t xml:space="preserve"> Adresse</t>
    </r>
    <r>
      <rPr>
        <sz val="10"/>
        <rFont val="Times New Roman"/>
        <family val="1"/>
      </rPr>
      <t xml:space="preserve"> :    </t>
    </r>
    <r>
      <rPr>
        <sz val="12"/>
        <rFont val="Arial"/>
        <family val="2"/>
      </rPr>
      <t xml:space="preserve"> </t>
    </r>
  </si>
  <si>
    <t xml:space="preserve">                       </t>
  </si>
  <si>
    <t xml:space="preserve"> R.C. n°  </t>
  </si>
  <si>
    <t>Signature</t>
  </si>
  <si>
    <t>CADRE RESERVE A L'ADMINISTRATION</t>
  </si>
  <si>
    <t xml:space="preserve"> Numéro d'Enregistrement de la Déclaration : .............................................</t>
  </si>
  <si>
    <t xml:space="preserve"> Date : ...................................................</t>
  </si>
  <si>
    <t xml:space="preserve">Signature </t>
  </si>
  <si>
    <r>
      <t xml:space="preserve"> N.B.</t>
    </r>
    <r>
      <rPr>
        <sz val="9"/>
        <rFont val="Arial"/>
        <family val="2"/>
      </rPr>
      <t xml:space="preserve"> : Les tableaux de  1 à 14 sont conformes aux états prévus par la loi n° 9-88 relative aux obligations </t>
    </r>
  </si>
  <si>
    <t xml:space="preserve">         comptables des commerçants promulguée par le Dahir n° 1,92,138 du 3 Joumada II 1413 (15,12,1992)</t>
  </si>
  <si>
    <t>DECLARATION AU TITRE DE L'ANNEE</t>
  </si>
  <si>
    <t>Du</t>
  </si>
  <si>
    <t>Au</t>
  </si>
  <si>
    <t>XII</t>
  </si>
  <si>
    <t>IMPÔTS SUR LES BENEFICES</t>
  </si>
  <si>
    <t>XIII</t>
  </si>
  <si>
    <t>RESULTAT NET (XI-XII)</t>
  </si>
  <si>
    <t>XIV</t>
  </si>
  <si>
    <t>TOTAL DES PRODUITS (I+IV+VIII)</t>
  </si>
  <si>
    <t>XV</t>
  </si>
  <si>
    <t>TOTAL DES CHARGES (II+V+IX+XIII)</t>
  </si>
  <si>
    <t>XVI</t>
  </si>
  <si>
    <t>TRESORERIE NETTE</t>
  </si>
  <si>
    <t>RESULTAT NET (total des produits-total des charges)</t>
  </si>
  <si>
    <t>PASSAGE DU RESULTAT NET COMPTABLE AU RESULTAT NET FISCAL</t>
  </si>
  <si>
    <t>INTITULES</t>
  </si>
  <si>
    <t>MONTANT</t>
  </si>
  <si>
    <t>I. RESULTAT NET COMPTABLE</t>
  </si>
  <si>
    <t>II. REINTEGRATIONS FISCALES</t>
  </si>
  <si>
    <t>1. Courantes</t>
  </si>
  <si>
    <t xml:space="preserve"> -</t>
  </si>
  <si>
    <t>2. Non courantes</t>
  </si>
  <si>
    <t>II. DEDUCTIONS FISCALES</t>
  </si>
  <si>
    <t>Total</t>
  </si>
  <si>
    <t>IV. RESULTAT BRUT FISCAL</t>
  </si>
  <si>
    <t>Montants</t>
  </si>
  <si>
    <t>Bénéfice brut si T1&gt; T2 (A)</t>
  </si>
  <si>
    <t>Déficit brut fiscal si T2&gt; T1 (B)</t>
  </si>
  <si>
    <t>V. REPORTS DEFICITAIRES IMPUTES (C) (1)</t>
  </si>
  <si>
    <t>* Exercice n-4</t>
  </si>
  <si>
    <t>VI. RESULTAT NET FISCAL</t>
  </si>
  <si>
    <t>Bénéfice net fiscal (A-C)</t>
  </si>
  <si>
    <t>ou déficit net fiscal (B)</t>
  </si>
  <si>
    <t>VII. CUMUL DES AMORTISSEMENTS FISCALEMENT DIFFERES</t>
  </si>
  <si>
    <t>Autres  charges non courantes</t>
  </si>
  <si>
    <t xml:space="preserve">Au </t>
  </si>
  <si>
    <t>VIII. CUMUL DES DEFICITS FISCAUX RESTANT A REPORTER</t>
  </si>
  <si>
    <t>(1) Dans la limite du montant du bénéfice brut fiscal (A)</t>
  </si>
  <si>
    <t>TABLEAU DES IMMOBILISATIONS AUTRES QUE FINANCIERES</t>
  </si>
  <si>
    <t xml:space="preserve">MONTANT BRUT </t>
  </si>
  <si>
    <t>AUGMENTATION</t>
  </si>
  <si>
    <t>DIMINUTION</t>
  </si>
  <si>
    <t xml:space="preserve">MONTANT </t>
  </si>
  <si>
    <t xml:space="preserve">Production par l'entreprise </t>
  </si>
  <si>
    <t>BRUT</t>
  </si>
  <si>
    <t>DEBUT EXERCICE</t>
  </si>
  <si>
    <t>Acquisition</t>
  </si>
  <si>
    <t>pour elle-même</t>
  </si>
  <si>
    <t>Virement</t>
  </si>
  <si>
    <t>Cession</t>
  </si>
  <si>
    <t>Retrait</t>
  </si>
  <si>
    <t>FIN EXERCICE</t>
  </si>
  <si>
    <t xml:space="preserve">IMMOBILISATION EN NON-VALEURS </t>
  </si>
  <si>
    <t>* IMMOBILISATIONS INCORPORELLES</t>
  </si>
  <si>
    <t xml:space="preserve">* Immobilisation en recherche et développement </t>
  </si>
  <si>
    <t xml:space="preserve">* Brevets, marques, droits et valeurs similaires </t>
  </si>
  <si>
    <t>* Fonds commercial</t>
  </si>
  <si>
    <t>*Autres immobilisations incorporelles</t>
  </si>
  <si>
    <t>IMMOBILISATIONS CORPORELLES</t>
  </si>
  <si>
    <t>* Terrains</t>
  </si>
  <si>
    <t>* Matériel de transport</t>
  </si>
  <si>
    <t>* Mobilier, matériel bureau et aménagements</t>
  </si>
  <si>
    <t>Tableau 5</t>
  </si>
  <si>
    <t>ETAT DES SOLDES DE GESTION (E.S.G)</t>
  </si>
  <si>
    <t>I. Tableau de formation des Résultats (T.F.R )</t>
  </si>
  <si>
    <t>Précédent</t>
  </si>
  <si>
    <t>+</t>
  </si>
  <si>
    <t>Ventes de Marchandises ( en l'état)</t>
  </si>
  <si>
    <t>-</t>
  </si>
  <si>
    <t>Achats revendus de marchandises</t>
  </si>
  <si>
    <t>=</t>
  </si>
  <si>
    <t>MARGE BRUTES VENTES EN L'ETAT</t>
  </si>
  <si>
    <t>Ventes de biens et services produits</t>
  </si>
  <si>
    <t>Variation stocks produits</t>
  </si>
  <si>
    <t>Immobilisations produites par l'entreprise pour elle même</t>
  </si>
  <si>
    <t>Achats consommés de matières et fournitures</t>
  </si>
  <si>
    <t xml:space="preserve">Autres charges externes </t>
  </si>
  <si>
    <t>VALEUR AJOUTEE (I+II-III)</t>
  </si>
  <si>
    <t>Subventions d'exploitation</t>
  </si>
  <si>
    <t>Impôts et taxes</t>
  </si>
  <si>
    <t>Charges de personnel</t>
  </si>
  <si>
    <t>EXCEDENT BRUT D'EXPLOITATION (EBE)</t>
  </si>
  <si>
    <t>OU INSUFFISANCE BRUTE D'EXPLOITATION(IBE)</t>
  </si>
  <si>
    <t>Autres produits d'exploitation</t>
  </si>
  <si>
    <t>Autres charges d'exploitation</t>
  </si>
  <si>
    <t>Reprises d'exploitation, transferts de charges</t>
  </si>
  <si>
    <t>Dotations d'exploitation</t>
  </si>
  <si>
    <t>+/-</t>
  </si>
  <si>
    <t>RESULTAT FINANCIER</t>
  </si>
  <si>
    <t>RESULTAT COURANT</t>
  </si>
  <si>
    <t>Impôts sur les résultats</t>
  </si>
  <si>
    <t>RESULTAT NET DE L'EXERCICE</t>
  </si>
  <si>
    <t>II. CAPACITE D'AUTOFINANCEMENT (C.A.F.) - AUTOFINANCEMENT</t>
  </si>
  <si>
    <t>Résultat net de l'exercice</t>
  </si>
  <si>
    <t>Bénéfice +</t>
  </si>
  <si>
    <t>Perte -</t>
  </si>
  <si>
    <t xml:space="preserve"> +</t>
  </si>
  <si>
    <t>Dotations d'exploitation (1)</t>
  </si>
  <si>
    <t>Dotations financières (1)</t>
  </si>
  <si>
    <t>Dotations non courantes(1)</t>
  </si>
  <si>
    <t>Reprises d'exploitation(2)</t>
  </si>
  <si>
    <t>Reprises financières(2)</t>
  </si>
  <si>
    <t>Reprises non courantes(2)</t>
  </si>
  <si>
    <t>Produits des cessions d'immobilisation</t>
  </si>
  <si>
    <t>Valeurs nettes d'amortiss. des immo. cédées</t>
  </si>
  <si>
    <t>CAPACITE D'AUTOFINANCEMENT (C.A.F.)</t>
  </si>
  <si>
    <t>Distributions de bénéfices</t>
  </si>
  <si>
    <t>AUTOFINANCEMENT</t>
  </si>
  <si>
    <t>(1) à l'exclusion des dotations relatives aux actifs et passifs circulants et à la trésorerie</t>
  </si>
  <si>
    <t>(2) à l'exclusion des reprises relatives aux actifs et passifs circulants et à la trésorerie</t>
  </si>
  <si>
    <t>(3) Ycompris reprises sur subventions d'investissement</t>
  </si>
  <si>
    <t>Tableau n° 6</t>
  </si>
  <si>
    <t>DETAIL DES POSTES DU C.P.C.</t>
  </si>
  <si>
    <t>POSTE</t>
  </si>
  <si>
    <t>CHARGES D'EXPLOITATION</t>
  </si>
  <si>
    <t xml:space="preserve">* Achats de marchandises </t>
  </si>
  <si>
    <t>* Variation des stocks de marchandises (±)</t>
  </si>
  <si>
    <t xml:space="preserve">Total </t>
  </si>
  <si>
    <t>* Achat de matières premières</t>
  </si>
  <si>
    <t>* Variation des stocks de matières, fournitures et emballages (±)</t>
  </si>
  <si>
    <t>* Achats non stockés de matières et de fournitures</t>
  </si>
  <si>
    <t>* Achats de travaux, études et prestations de services</t>
  </si>
  <si>
    <t>* Achats de matières et fournitures des exercices antérieurs</t>
  </si>
  <si>
    <t>* R.R.R. obtenus sur achats consommés de matières et fournitures</t>
  </si>
  <si>
    <t>613/614</t>
  </si>
  <si>
    <t>Autres charges externes</t>
  </si>
  <si>
    <t>* Locations et charges locatives</t>
  </si>
  <si>
    <t>* Redevances de crédit-bail</t>
  </si>
  <si>
    <t>* Entretien et réparations</t>
  </si>
  <si>
    <t>* Primes d'assurances</t>
  </si>
  <si>
    <t>* Rémunérations du personnel extérieur à l'entreprise</t>
  </si>
  <si>
    <t>* Rémunérations d'intermédiaires et honoraires</t>
  </si>
  <si>
    <t>* Redevances pour brevets, marques, droits et valeurs similaires</t>
  </si>
  <si>
    <t>* Transports</t>
  </si>
  <si>
    <t>* Déplacements, missions et réceptions</t>
  </si>
  <si>
    <t>* Reste du poste des autres charges externes</t>
  </si>
  <si>
    <t>* Rémunération du personnel</t>
  </si>
  <si>
    <t>* Charges sociales</t>
  </si>
  <si>
    <t>* Reste du poste des charges de personnel</t>
  </si>
  <si>
    <t>* Jetons de présence</t>
  </si>
  <si>
    <t>* Pertes sur créances irrécouvrabels</t>
  </si>
  <si>
    <t>* Reste du poste des autres charges d'exploitation</t>
  </si>
  <si>
    <t>A.0 . Présentation de la société</t>
  </si>
  <si>
    <t>1.1 Présentation :</t>
  </si>
  <si>
    <t>Etat A 2 :  Etat des dérogations</t>
  </si>
  <si>
    <t>Indication  des</t>
  </si>
  <si>
    <t>Justification des</t>
  </si>
  <si>
    <t>Influence des dérogations  sur</t>
  </si>
  <si>
    <t>Dérogations</t>
  </si>
  <si>
    <t xml:space="preserve">le patrimoine , la situation </t>
  </si>
  <si>
    <t>financière  et  les résultats</t>
  </si>
  <si>
    <t>I. Dérogations aux Principes comptables fondamentaux</t>
  </si>
  <si>
    <t>Etat A 3 : Etat des changements de méthodes</t>
  </si>
  <si>
    <t>NEANT</t>
  </si>
  <si>
    <t>CHARGES FINANCIERS</t>
  </si>
  <si>
    <t>Autres charges financières</t>
  </si>
  <si>
    <t>* Charges nettes sur cessions de titres et valeurs de placement</t>
  </si>
  <si>
    <t>* Reste du poste des autres charges financières</t>
  </si>
  <si>
    <t>CHARGES NON COURANTES</t>
  </si>
  <si>
    <t>* Pénalités sur marchés et dédits</t>
  </si>
  <si>
    <t>* Rappels d'impôts (autres qu'impôts sur les résultats)</t>
  </si>
  <si>
    <t>* Pénalités et amendes fiscales</t>
  </si>
  <si>
    <t>* Créances devenues irrècouvrabels</t>
  </si>
  <si>
    <t>* Reste du poste des autres charges non courantes</t>
  </si>
  <si>
    <t xml:space="preserve">Tableau n° 6 </t>
  </si>
  <si>
    <t>EXERCICE</t>
  </si>
  <si>
    <t>EXERCICE PRECEDENT</t>
  </si>
  <si>
    <t>PRODUITS D'EXPLOITATION</t>
  </si>
  <si>
    <t>* Ventes de marchandises</t>
  </si>
  <si>
    <t>* Ventes de marchandises au Maroc</t>
  </si>
  <si>
    <t>* Ventes de marchandises à l'étranger</t>
  </si>
  <si>
    <t>* Reste du poste des ventes de marchandises</t>
  </si>
  <si>
    <t>* Ventes de biens et services produits</t>
  </si>
  <si>
    <t>Tableau n° 18</t>
  </si>
  <si>
    <t>ETAT DES INTERETS DES EMPRUNTS CONTRACTES AUPRES DES ASSOCIES ET</t>
  </si>
  <si>
    <t>DES TIERS AUTRES QUE LES ORGANISMES DE BANQUE OU DE CREDIT</t>
  </si>
  <si>
    <t>Noms prénoms</t>
  </si>
  <si>
    <t>N° C.I.N</t>
  </si>
  <si>
    <t xml:space="preserve">Montant </t>
  </si>
  <si>
    <t>Date du</t>
  </si>
  <si>
    <t xml:space="preserve">Durée </t>
  </si>
  <si>
    <t xml:space="preserve">Taux </t>
  </si>
  <si>
    <t xml:space="preserve">Charge </t>
  </si>
  <si>
    <t xml:space="preserve">  Remboursement</t>
  </si>
  <si>
    <t xml:space="preserve"> Remboursement</t>
  </si>
  <si>
    <t xml:space="preserve">ou raison </t>
  </si>
  <si>
    <t xml:space="preserve">ou </t>
  </si>
  <si>
    <t>du prêt</t>
  </si>
  <si>
    <t>prêt</t>
  </si>
  <si>
    <t>d'interêts</t>
  </si>
  <si>
    <t xml:space="preserve">financière </t>
  </si>
  <si>
    <t xml:space="preserve">        Exercices </t>
  </si>
  <si>
    <t xml:space="preserve"> Exercice Actuel</t>
  </si>
  <si>
    <t>Article I.S</t>
  </si>
  <si>
    <t>(en mois)</t>
  </si>
  <si>
    <t>globale</t>
  </si>
  <si>
    <t xml:space="preserve">       antérieurs</t>
  </si>
  <si>
    <t>Principal</t>
  </si>
  <si>
    <t xml:space="preserve"> Intérêts</t>
  </si>
  <si>
    <t>A. Associés</t>
  </si>
  <si>
    <t>B. Tiers</t>
  </si>
  <si>
    <t xml:space="preserve">  TABLEAU DES LOCATIONS ET BAUX AUTRES QUE LE CREDIT-BAIL</t>
  </si>
  <si>
    <t xml:space="preserve">       Nature du contrat (1)</t>
  </si>
  <si>
    <t>Nature du</t>
  </si>
  <si>
    <t>Lieu de</t>
  </si>
  <si>
    <t>Noms et prénoms ou Raison sociale et</t>
  </si>
  <si>
    <t>Date de conclusion</t>
  </si>
  <si>
    <t>Montant annuel de</t>
  </si>
  <si>
    <t>Montant du loyer</t>
  </si>
  <si>
    <t>bien loué</t>
  </si>
  <si>
    <t>situation</t>
  </si>
  <si>
    <t>adresse du propriétaire</t>
  </si>
  <si>
    <t xml:space="preserve">de l'acte de </t>
  </si>
  <si>
    <t>location</t>
  </si>
  <si>
    <t>compris dans les</t>
  </si>
  <si>
    <t>Bail-ordinaire</t>
  </si>
  <si>
    <t>(Néme période)</t>
  </si>
  <si>
    <t>charges de l'exercice</t>
  </si>
  <si>
    <r>
      <t xml:space="preserve">                    </t>
    </r>
    <r>
      <rPr>
        <b/>
        <sz val="10"/>
        <rFont val="Arial"/>
        <family val="2"/>
      </rPr>
      <t xml:space="preserve">  TOTAL</t>
    </r>
  </si>
  <si>
    <t>(1) Marquer d'une croix la colonne adéquate</t>
  </si>
  <si>
    <t xml:space="preserve">     Au cas où le nombre de propriétaires dépasserait quinze, veuillez ajouter des annexes d'une contexture identique à celle du présent état.</t>
  </si>
  <si>
    <t xml:space="preserve">                                                                                   ETAT DETAILLE DES STOCKS</t>
  </si>
  <si>
    <t xml:space="preserve">                        STOCK FINAL</t>
  </si>
  <si>
    <t xml:space="preserve">                          STOCK INITIAL</t>
  </si>
  <si>
    <t xml:space="preserve">Variation de </t>
  </si>
  <si>
    <t>STOCKS</t>
  </si>
  <si>
    <t xml:space="preserve">Provision  </t>
  </si>
  <si>
    <t xml:space="preserve">Provision </t>
  </si>
  <si>
    <r>
      <t>Stock en</t>
    </r>
    <r>
      <rPr>
        <sz val="10"/>
        <rFont val="Times New Roman"/>
        <family val="1"/>
      </rPr>
      <t xml:space="preserve"> </t>
    </r>
  </si>
  <si>
    <t>Montant Brut</t>
  </si>
  <si>
    <t>pour</t>
  </si>
  <si>
    <t>Montant Net</t>
  </si>
  <si>
    <t xml:space="preserve">Montant Brut </t>
  </si>
  <si>
    <t>valeur (+ ou - )</t>
  </si>
  <si>
    <t>dépréciation</t>
  </si>
  <si>
    <t xml:space="preserve">dépréciation </t>
  </si>
  <si>
    <t xml:space="preserve">7 = 6 - 3 </t>
  </si>
  <si>
    <t xml:space="preserve">      * Biens immeubles ;</t>
  </si>
  <si>
    <t xml:space="preserve">      * Biens meubles.</t>
  </si>
  <si>
    <t>B.15</t>
  </si>
  <si>
    <t>Passif éventuel</t>
  </si>
  <si>
    <t xml:space="preserve">    - Emballages</t>
  </si>
  <si>
    <t xml:space="preserve">                                                                                   (ligne 10 + 15 + 18 + 22)</t>
  </si>
  <si>
    <t>*Ventes des services au Maroc</t>
  </si>
  <si>
    <t>*Ventes des services à l'étranger</t>
  </si>
  <si>
    <t>*Redevances pour brevets, marques, droits..</t>
  </si>
  <si>
    <t>* Reste du poste des ventes et services produits</t>
  </si>
  <si>
    <t>*Variation des stocks de produits</t>
  </si>
  <si>
    <t>* Variation des stocks des biens produits (+/-)</t>
  </si>
  <si>
    <t>*Variation des stocks des services produits (+/-)</t>
  </si>
  <si>
    <t>*Variation des stocks des produits en cours (+/-)</t>
  </si>
  <si>
    <t>* Autres produits d'exploitation</t>
  </si>
  <si>
    <t>* Jetons de présence reçus</t>
  </si>
  <si>
    <t>*Reste du poste (produits divers)</t>
  </si>
  <si>
    <t>Reprises d'exploitation transferts de charges</t>
  </si>
  <si>
    <t>*Reprises</t>
  </si>
  <si>
    <t>*Transferts de charges</t>
  </si>
  <si>
    <t>* Intérêts et autres produits financiers</t>
  </si>
  <si>
    <t>*Intérêts et produits assimilés</t>
  </si>
  <si>
    <t>*Revenus des créances rattachées à des participations</t>
  </si>
  <si>
    <t>*Produits nets sur cessions de titres et valeurs de placement</t>
  </si>
  <si>
    <t>*Reste du poste intérêts et autres produits financiers</t>
  </si>
  <si>
    <t>TABLEAU DES BIENS EN CREDIT-BAIL</t>
  </si>
  <si>
    <t>Date</t>
  </si>
  <si>
    <t>Durée</t>
  </si>
  <si>
    <t>Valeur</t>
  </si>
  <si>
    <t>Cumul des</t>
  </si>
  <si>
    <t>Montant de</t>
  </si>
  <si>
    <t>Prix d'achat</t>
  </si>
  <si>
    <t>de la 1ère</t>
  </si>
  <si>
    <t>du contrat</t>
  </si>
  <si>
    <t xml:space="preserve">estimée du </t>
  </si>
  <si>
    <t>théorique</t>
  </si>
  <si>
    <t>exercices</t>
  </si>
  <si>
    <t xml:space="preserve">l'exercice </t>
  </si>
  <si>
    <t>à payer</t>
  </si>
  <si>
    <t>résiduel</t>
  </si>
  <si>
    <t>Observations</t>
  </si>
  <si>
    <t>Rubriques</t>
  </si>
  <si>
    <t>échéance</t>
  </si>
  <si>
    <t>en mois</t>
  </si>
  <si>
    <t>bien à la</t>
  </si>
  <si>
    <t>d'amortis-</t>
  </si>
  <si>
    <t xml:space="preserve">des </t>
  </si>
  <si>
    <t>A moins</t>
  </si>
  <si>
    <t>A plus</t>
  </si>
  <si>
    <t>en fin de</t>
  </si>
  <si>
    <t xml:space="preserve">date du </t>
  </si>
  <si>
    <t>sement du</t>
  </si>
  <si>
    <t>des</t>
  </si>
  <si>
    <t>redevances</t>
  </si>
  <si>
    <t>d'un an</t>
  </si>
  <si>
    <t>contrat</t>
  </si>
  <si>
    <t>bien</t>
  </si>
  <si>
    <t>TABLEAU DES AMORTISSEMENTS</t>
  </si>
  <si>
    <t>Cumul début</t>
  </si>
  <si>
    <t xml:space="preserve">Dotation de </t>
  </si>
  <si>
    <t>Amortissements</t>
  </si>
  <si>
    <t>Cumul d'amor-</t>
  </si>
  <si>
    <t>exercice</t>
  </si>
  <si>
    <t>l'exercice</t>
  </si>
  <si>
    <t>sur immobilis-</t>
  </si>
  <si>
    <t>tissement fin</t>
  </si>
  <si>
    <t>sorties</t>
  </si>
  <si>
    <t>4 = 1+2-3</t>
  </si>
  <si>
    <t>IMMOBILISATION EN NON-VALEURS</t>
  </si>
  <si>
    <t>* Frais préliminaires</t>
  </si>
  <si>
    <t xml:space="preserve">          Exercices clos le :</t>
  </si>
  <si>
    <t>Exercice précédent</t>
  </si>
  <si>
    <t>* Charges à répartir sur plusieurs exercices</t>
  </si>
  <si>
    <t>* Primes de remboursement des obligations</t>
  </si>
  <si>
    <t>IMMOBILISATIONS INCORPORELLES</t>
  </si>
  <si>
    <t>* Immobilisation en recherche et développement</t>
  </si>
  <si>
    <t>* Brevets, marques droits et valeurs similaires</t>
  </si>
  <si>
    <t>* Autres immobilisations incorporelles</t>
  </si>
  <si>
    <t>* Constructions</t>
  </si>
  <si>
    <t>* Installations techniques; matériel et outillage</t>
  </si>
  <si>
    <t>* Mobilier, matériel de bureau et aménagements</t>
  </si>
  <si>
    <t>* Immobilisations corporelles en cours</t>
  </si>
  <si>
    <t>TABLEAU DES PROVISIONS</t>
  </si>
  <si>
    <t>Montant début</t>
  </si>
  <si>
    <t>DOTATIONS</t>
  </si>
  <si>
    <t>REPRISES</t>
  </si>
  <si>
    <t>Montant fin</t>
  </si>
  <si>
    <t>D'exploitation</t>
  </si>
  <si>
    <t>financières</t>
  </si>
  <si>
    <t>Non courantes</t>
  </si>
  <si>
    <t>d'exploitation</t>
  </si>
  <si>
    <t>1. Provisions pour</t>
  </si>
  <si>
    <t>dépréciation de</t>
  </si>
  <si>
    <t>l'actif immobilisé</t>
  </si>
  <si>
    <t>bles pour risques</t>
  </si>
  <si>
    <t>et charges</t>
  </si>
  <si>
    <t>SOUS TOTAL (A)</t>
  </si>
  <si>
    <t>4. Provisions pour</t>
  </si>
  <si>
    <t>l'actif circulant</t>
  </si>
  <si>
    <t>(hors trésorerie)</t>
  </si>
  <si>
    <t>5. Autres</t>
  </si>
  <si>
    <t>Provisions pour</t>
  </si>
  <si>
    <t>risques et charge</t>
  </si>
  <si>
    <t>6. Provisions pour</t>
  </si>
  <si>
    <t>dépréciation des</t>
  </si>
  <si>
    <t>comptes de</t>
  </si>
  <si>
    <t>trésorerie</t>
  </si>
  <si>
    <t>SOUS TOTAL (B)</t>
  </si>
  <si>
    <t>TOTAL (A+B)</t>
  </si>
  <si>
    <t>TABLEAU DES PLUS OU MOINS VALUES SUR CESSIONS OU RETRAITS</t>
  </si>
  <si>
    <t>D'IMMOBILISATIONS</t>
  </si>
  <si>
    <t>Date de cession</t>
  </si>
  <si>
    <t>Compte</t>
  </si>
  <si>
    <t>Montant</t>
  </si>
  <si>
    <t>Valeur nette</t>
  </si>
  <si>
    <t>Produit de</t>
  </si>
  <si>
    <t>Plus</t>
  </si>
  <si>
    <t>Moins</t>
  </si>
  <si>
    <t>ou de retrait</t>
  </si>
  <si>
    <t>principal</t>
  </si>
  <si>
    <t>brut</t>
  </si>
  <si>
    <t>cumulés</t>
  </si>
  <si>
    <t>d'amortissements</t>
  </si>
  <si>
    <t>cession</t>
  </si>
  <si>
    <t>values</t>
  </si>
  <si>
    <t>TOTAL</t>
  </si>
  <si>
    <t>TABLEAU DES TITRES DE PARTICIPATION</t>
  </si>
  <si>
    <t>Raison sociale</t>
  </si>
  <si>
    <t>Secteur</t>
  </si>
  <si>
    <t xml:space="preserve">Capital </t>
  </si>
  <si>
    <t>Partici-</t>
  </si>
  <si>
    <t>Prix</t>
  </si>
  <si>
    <t>Extrait des derniers états de</t>
  </si>
  <si>
    <t>Produits</t>
  </si>
  <si>
    <t>de la</t>
  </si>
  <si>
    <t>d'activité</t>
  </si>
  <si>
    <t>social</t>
  </si>
  <si>
    <t>pation</t>
  </si>
  <si>
    <t>d'acquisition</t>
  </si>
  <si>
    <t xml:space="preserve">comptable </t>
  </si>
  <si>
    <t>synthèse de la société émettrice</t>
  </si>
  <si>
    <t>inscrits</t>
  </si>
  <si>
    <t>société émettrice</t>
  </si>
  <si>
    <t>au capital</t>
  </si>
  <si>
    <t>global</t>
  </si>
  <si>
    <t>nette</t>
  </si>
  <si>
    <t>Date de</t>
  </si>
  <si>
    <t>Situation</t>
  </si>
  <si>
    <t>résultat</t>
  </si>
  <si>
    <t>au C.P.C</t>
  </si>
  <si>
    <t>%</t>
  </si>
  <si>
    <t>N-1</t>
  </si>
  <si>
    <t>clôture</t>
  </si>
  <si>
    <t>net</t>
  </si>
  <si>
    <t>de l'exercice</t>
  </si>
  <si>
    <t>DETAIL DE LA TAXE SUR LA VALEUR AJOUTEE</t>
  </si>
  <si>
    <t xml:space="preserve">solde au début </t>
  </si>
  <si>
    <t>Opérations</t>
  </si>
  <si>
    <t>Solde fin d'exercice</t>
  </si>
  <si>
    <t>comptables</t>
  </si>
  <si>
    <t>T.V.A</t>
  </si>
  <si>
    <t>(1+2-3=4)</t>
  </si>
  <si>
    <t>A. T.V.A. Facturée</t>
  </si>
  <si>
    <t>B. T.V.A. Récupérable</t>
  </si>
  <si>
    <t>* sur charges</t>
  </si>
  <si>
    <t>* sur immobilisations</t>
  </si>
  <si>
    <t>T.V.A = (A - B )</t>
  </si>
  <si>
    <t>ETAT DE REPARTITION DU CAPITAL SOCIAL</t>
  </si>
  <si>
    <t xml:space="preserve">Nom, prénom ou </t>
  </si>
  <si>
    <t>NOMBRE DE TITRES</t>
  </si>
  <si>
    <t>Valeur nominale</t>
  </si>
  <si>
    <t>MONTANT DU CAPITAL</t>
  </si>
  <si>
    <t>raison sociale</t>
  </si>
  <si>
    <t>Adresse</t>
  </si>
  <si>
    <t>de chaque</t>
  </si>
  <si>
    <t>Souscrit</t>
  </si>
  <si>
    <t>Appelé</t>
  </si>
  <si>
    <t>libéré</t>
  </si>
  <si>
    <t>des principaux</t>
  </si>
  <si>
    <t>action ou part</t>
  </si>
  <si>
    <t>associés (1)</t>
  </si>
  <si>
    <t>précédent</t>
  </si>
  <si>
    <t>actuel</t>
  </si>
  <si>
    <t>sociale</t>
  </si>
  <si>
    <t>(1) Quand le nombre des associés est inférieur ou égal à 10, l'entreprise doit déclarer tous les participants au capital.</t>
  </si>
  <si>
    <t xml:space="preserve">             TABLEAU D'AFFECTATION DES RESULTATS INTERVENUE AU COURS DE L'EXERCICE</t>
  </si>
  <si>
    <t>A. ORIGINE DES RESULTATS A AFFECTER</t>
  </si>
  <si>
    <t>B. AFFECTATION DES RESULTATS</t>
  </si>
  <si>
    <t>TOTAL   A</t>
  </si>
  <si>
    <t>TOTAL  B</t>
  </si>
  <si>
    <t>TOTAL   A = TOTAL   B</t>
  </si>
  <si>
    <t>*</t>
  </si>
  <si>
    <t xml:space="preserve">    Exercice du :</t>
  </si>
  <si>
    <t>Débit P.</t>
  </si>
  <si>
    <t>Crédit P.</t>
  </si>
  <si>
    <t>Tableau n° 16</t>
  </si>
  <si>
    <t>ETAT DE DOTATIONS AUX AMORTISSEMENTS RELATIFS AUX IMMOBILISATIONS</t>
  </si>
  <si>
    <t xml:space="preserve">                                                 </t>
  </si>
  <si>
    <t>Date d'entrée (1)</t>
  </si>
  <si>
    <t>Taux</t>
  </si>
  <si>
    <t>Durée (4)</t>
  </si>
  <si>
    <t>Observations (5)</t>
  </si>
  <si>
    <t>Totaux</t>
  </si>
  <si>
    <t>Tableau n°17</t>
  </si>
  <si>
    <t xml:space="preserve"> ETAT DES PLUS-VALUES CONSTATEES EN CAS DE  FUSIONS</t>
  </si>
  <si>
    <t xml:space="preserve">Eléments </t>
  </si>
  <si>
    <t>Valeur d'apport</t>
  </si>
  <si>
    <t>Valeur nette comptable</t>
  </si>
  <si>
    <t>Plus-value constatée et différée</t>
  </si>
  <si>
    <t>Fraction de la plus-value rapportée aux l' exercices antérieurs (cumul) (2)</t>
  </si>
  <si>
    <t>Fraction de la plus-value rapportée à  l' exercices actuel</t>
  </si>
  <si>
    <t>Cumul des plus-values rapportées</t>
  </si>
  <si>
    <t>Solde des plus-values non imputées</t>
  </si>
  <si>
    <t>Terrains (1)</t>
  </si>
  <si>
    <t>Constructions</t>
  </si>
  <si>
    <t>Matériel et outillage</t>
  </si>
  <si>
    <t>Matériel de transport</t>
  </si>
  <si>
    <t>Agencements-installations</t>
  </si>
  <si>
    <t>Brevets</t>
  </si>
  <si>
    <t>Autres éléments amortissables</t>
  </si>
  <si>
    <t>Titres de participation</t>
  </si>
  <si>
    <t>Fonds de commerce</t>
  </si>
  <si>
    <t>Autres éléments non amortissables</t>
  </si>
  <si>
    <t>(1)</t>
  </si>
  <si>
    <t>Imposition différée jusqu'à la date de cession</t>
  </si>
  <si>
    <t>(2)</t>
  </si>
  <si>
    <t>Fraction correspondant à l'imputation de la plus-value constatée lors de la fusion majorée le cas échéant du reliquat de la plus-value se rapportant à l'élément cédé au cours de l'exercice.</t>
  </si>
  <si>
    <t>Exercice en cours</t>
  </si>
  <si>
    <t>EN DH</t>
  </si>
  <si>
    <t>L</t>
  </si>
  <si>
    <t>U</t>
  </si>
  <si>
    <t xml:space="preserve">VARIATION </t>
  </si>
  <si>
    <t xml:space="preserve">IMMOBILISATIONS </t>
  </si>
  <si>
    <t xml:space="preserve">FONDS DE ROULEMENT </t>
  </si>
  <si>
    <t>ACTIF CIRCULANT</t>
  </si>
  <si>
    <t>SD N-1</t>
  </si>
  <si>
    <t>SC N-1</t>
  </si>
  <si>
    <t>SD N</t>
  </si>
  <si>
    <t>SC N</t>
  </si>
  <si>
    <t>Tableau n° 3</t>
  </si>
  <si>
    <t>Tableau n° 4</t>
  </si>
  <si>
    <t>Tableau n° 7</t>
  </si>
  <si>
    <t>Tableau n° 8</t>
  </si>
  <si>
    <t>Tableau n° 9</t>
  </si>
  <si>
    <t>Tableau n° 10</t>
  </si>
  <si>
    <t>Tableau n° 11</t>
  </si>
  <si>
    <t>Tableau n° 12</t>
  </si>
  <si>
    <t>Tableau n° 13</t>
  </si>
  <si>
    <t>Tableau n° 14</t>
  </si>
  <si>
    <t>Tableau n° 19</t>
  </si>
  <si>
    <t>Tableau n° 20</t>
  </si>
  <si>
    <t>Etat B11</t>
  </si>
  <si>
    <t>Etat B12</t>
  </si>
  <si>
    <t>Etat B2</t>
  </si>
  <si>
    <t>Etat B10</t>
  </si>
  <si>
    <t>Etat B2 Bis</t>
  </si>
  <si>
    <t>Etat B5</t>
  </si>
  <si>
    <t>Etat B3</t>
  </si>
  <si>
    <t>Etat B4</t>
  </si>
  <si>
    <t>Etat B14</t>
  </si>
  <si>
    <t>Etat C1</t>
  </si>
  <si>
    <t>Etat C2</t>
  </si>
  <si>
    <t>Cadrage crédit bail avec détail CPC</t>
  </si>
  <si>
    <t>Cadrage T4 Immobilisations</t>
  </si>
  <si>
    <t>Cadrage T8 Amortissements</t>
  </si>
  <si>
    <t>Cadrage T2 CPC</t>
  </si>
  <si>
    <t>Cadrage T1 Bilan</t>
  </si>
  <si>
    <t>Cadrage T6 détail CPC</t>
  </si>
  <si>
    <t>T 5 : ESG</t>
  </si>
  <si>
    <t>Identification société</t>
  </si>
  <si>
    <t>Dénomination sociale</t>
  </si>
  <si>
    <t>Siège social</t>
  </si>
  <si>
    <t>Exercice social</t>
  </si>
  <si>
    <t>du</t>
  </si>
  <si>
    <t>au</t>
  </si>
  <si>
    <t>IF</t>
  </si>
  <si>
    <t>TP</t>
  </si>
  <si>
    <t>RC</t>
  </si>
  <si>
    <t>Période</t>
  </si>
  <si>
    <t>TVA Facturée</t>
  </si>
  <si>
    <t>TVA Récupérable / Charges</t>
  </si>
  <si>
    <t>TVA Récupérable / Immobilisations</t>
  </si>
  <si>
    <t>Janvier</t>
  </si>
  <si>
    <t>Février</t>
  </si>
  <si>
    <t>Avril</t>
  </si>
  <si>
    <t>Mai</t>
  </si>
  <si>
    <t>Juin</t>
  </si>
  <si>
    <t>Juillet</t>
  </si>
  <si>
    <t>Août</t>
  </si>
  <si>
    <t>Septembre</t>
  </si>
  <si>
    <t>Octobre</t>
  </si>
  <si>
    <t>Novembre</t>
  </si>
  <si>
    <t>Décembre</t>
  </si>
  <si>
    <t>&lt;Liasse&gt;</t>
  </si>
  <si>
    <t>&lt;modele&gt;</t>
  </si>
  <si>
    <t>&lt;/modele&gt;</t>
  </si>
  <si>
    <t>&lt;resultatFiscal&gt;</t>
  </si>
  <si>
    <t>&lt;/resultatFiscal&gt;</t>
  </si>
  <si>
    <t>&lt;!-- Partie 2 : Liasse Fiscale  --&gt;</t>
  </si>
  <si>
    <t>&lt;!-- Les valeurs de chaque tableau de la liasse  --&gt;</t>
  </si>
  <si>
    <t>&lt;groupeValeursTableau&gt;</t>
  </si>
  <si>
    <t>&lt;ValeursTableau&gt;</t>
  </si>
  <si>
    <t>&lt;groupeValeurs&gt;</t>
  </si>
  <si>
    <t>&lt;ValeurCellule&gt;</t>
  </si>
  <si>
    <t>&lt;cellule&gt;</t>
  </si>
  <si>
    <t>&lt;/cellule&gt;</t>
  </si>
  <si>
    <t>&lt;/ValeurCellule&gt;</t>
  </si>
  <si>
    <t>&lt;/groupeValeurs&gt;</t>
  </si>
  <si>
    <t>&lt;extraFieldvaleurs&gt;</t>
  </si>
  <si>
    <t>&lt;/extraFieldvaleurs&gt;</t>
  </si>
  <si>
    <t>&lt;/ValeursTableau&gt;</t>
  </si>
  <si>
    <t>&lt;ExtraFieldValeur&gt;</t>
  </si>
  <si>
    <t xml:space="preserve"> &lt;extraField&gt;</t>
  </si>
  <si>
    <t xml:space="preserve">&lt;/extraField&gt; </t>
  </si>
  <si>
    <t>&lt;/ExtraFieldValeur&gt;</t>
  </si>
  <si>
    <t>&lt;/groupeValeursTableau&gt;</t>
  </si>
  <si>
    <t>&lt;/Liasse&gt;</t>
  </si>
  <si>
    <t>&lt;codeEdi&gt;238&lt;/codeEdi&gt;</t>
  </si>
  <si>
    <t>&lt;codeEdi&gt;239&lt;/codeEdi&gt;</t>
  </si>
  <si>
    <t>&lt;codeEdi&gt;240&lt;/codeEdi&gt;</t>
  </si>
  <si>
    <t>&lt;id&gt;1&lt;/id&gt;</t>
  </si>
  <si>
    <t>&lt;tableau&gt;&lt;id&gt;2&lt;/id&gt;&lt;/tableau&gt;</t>
  </si>
  <si>
    <t>&lt;codeEdi&gt;497&lt;/codeEdi&gt;</t>
  </si>
  <si>
    <t>&lt;codeEdi&gt;241&lt;/codeEdi&gt;</t>
  </si>
  <si>
    <t>&lt;codeEdi&gt;242&lt;/codeEdi&gt;</t>
  </si>
  <si>
    <t>&lt;codeEdi&gt;243&lt;/codeEdi&gt;</t>
  </si>
  <si>
    <t>&lt;codeEdi&gt;498&lt;/codeEdi&gt;</t>
  </si>
  <si>
    <t>&lt;codeEdi&gt;244&lt;/codeEdi&gt;</t>
  </si>
  <si>
    <t>&lt;codeEdi&gt;245&lt;/codeEdi&gt;</t>
  </si>
  <si>
    <t>&lt;codeEdi&gt;246&lt;/codeEdi&gt;</t>
  </si>
  <si>
    <t>&lt;codeEdi&gt;499&lt;/codeEdi&gt;</t>
  </si>
  <si>
    <t>&lt;codeEdi&gt;247&lt;/codeEdi&gt;</t>
  </si>
  <si>
    <t>&lt;codeEdi&gt;248&lt;/codeEdi&gt;</t>
  </si>
  <si>
    <t>&lt;codeEdi&gt;249&lt;/codeEdi&gt;</t>
  </si>
  <si>
    <t>&lt;codeEdi&gt;500&lt;/codeEdi&gt;</t>
  </si>
  <si>
    <t>&lt;codeEdi&gt;274&lt;/codeEdi&gt;</t>
  </si>
  <si>
    <t>&lt;codeEdi&gt;275&lt;/codeEdi&gt;</t>
  </si>
  <si>
    <t>&lt;codeEdi&gt;276&lt;/codeEdi&gt;</t>
  </si>
  <si>
    <t>&lt;codeEdi&gt;277&lt;/codeEdi&gt;</t>
  </si>
  <si>
    <t>&lt;codeEdi&gt;502&lt;/codeEdi&gt;</t>
  </si>
  <si>
    <t>&lt;codeEdi&gt;278&lt;/codeEdi&gt;</t>
  </si>
  <si>
    <t>&lt;codeEdi&gt;279&lt;/codeEdi&gt;</t>
  </si>
  <si>
    <t>&lt;codeEdi&gt;280&lt;/codeEdi&gt;</t>
  </si>
  <si>
    <t>&lt;codeEdi&gt;281&lt;/codeEdi&gt;</t>
  </si>
  <si>
    <t>&lt;codeEdi&gt;503&lt;/codeEdi&gt;</t>
  </si>
  <si>
    <t>&lt;codeEdi&gt;282&lt;/codeEdi&gt;</t>
  </si>
  <si>
    <t>&lt;codeEdi&gt;283&lt;/codeEdi&gt;</t>
  </si>
  <si>
    <t>&lt;codeEdi&gt;284&lt;/codeEdi&gt;</t>
  </si>
  <si>
    <t>&lt;codeEdi&gt;285&lt;/codeEdi&gt;</t>
  </si>
  <si>
    <t>&lt;codeEdi&gt;504&lt;/codeEdi&gt;</t>
  </si>
  <si>
    <t>&lt;codeEdi&gt;286&lt;/codeEdi&gt;</t>
  </si>
  <si>
    <t>&lt;codeEdi&gt;287&lt;/codeEdi&gt;</t>
  </si>
  <si>
    <t>&lt;codeEdi&gt;288&lt;/codeEdi&gt;</t>
  </si>
  <si>
    <t>&lt;codeEdi&gt;289&lt;/codeEdi&gt;</t>
  </si>
  <si>
    <t>&lt;codeEdi&gt;505&lt;/codeEdi&gt;</t>
  </si>
  <si>
    <t>&lt;codeEdi&gt;207&lt;/codeEdi&gt;</t>
  </si>
  <si>
    <t>&lt;codeEdi&gt;208&lt;/codeEdi&gt;</t>
  </si>
  <si>
    <t>&lt;codeEdi&gt;209&lt;/codeEdi&gt;</t>
  </si>
  <si>
    <t>&lt;codeEdi&gt;210&lt;/codeEdi&gt;</t>
  </si>
  <si>
    <t>&lt;codeEdi&gt;211&lt;/codeEdi&gt;</t>
  </si>
  <si>
    <t>&lt;codeEdi&gt;212&lt;/codeEdi&gt;</t>
  </si>
  <si>
    <t>&lt;codeEdi&gt;213&lt;/codeEdi&gt;</t>
  </si>
  <si>
    <t>&lt;codeEdi&gt;507&lt;/codeEdi&gt;</t>
  </si>
  <si>
    <t>&lt;codeEdi&gt;214&lt;/codeEdi&gt;</t>
  </si>
  <si>
    <t>&lt;codeEdi&gt;215&lt;/codeEdi&gt;</t>
  </si>
  <si>
    <t>&lt;codeEdi&gt;216&lt;/codeEdi&gt;</t>
  </si>
  <si>
    <t>&lt;codeEdi&gt;217&lt;/codeEdi&gt;</t>
  </si>
  <si>
    <t>&lt;codeEdi&gt;218&lt;/codeEdi&gt;</t>
  </si>
  <si>
    <t>&lt;codeEdi&gt;219&lt;/codeEdi&gt;</t>
  </si>
  <si>
    <t>&lt;codeEdi&gt;220&lt;/codeEdi&gt;</t>
  </si>
  <si>
    <t>&lt;codeEdi&gt;508&lt;/codeEdi&gt;</t>
  </si>
  <si>
    <t>&lt;codeEdi&gt;221&lt;/codeEdi&gt;</t>
  </si>
  <si>
    <t>&lt;codeEdi&gt;222&lt;/codeEdi&gt;</t>
  </si>
  <si>
    <t>&lt;codeEdi&gt;223&lt;/codeEdi&gt;</t>
  </si>
  <si>
    <t>&lt;codeEdi&gt;224&lt;/codeEdi&gt;</t>
  </si>
  <si>
    <t>&lt;codeEdi&gt;225&lt;/codeEdi&gt;</t>
  </si>
  <si>
    <t>&lt;codeEdi&gt;226&lt;/codeEdi&gt;</t>
  </si>
  <si>
    <t>&lt;codeEdi&gt;227&lt;/codeEdi&gt;</t>
  </si>
  <si>
    <t>&lt;codeEdi&gt;509&lt;/codeEdi&gt;</t>
  </si>
  <si>
    <t>&lt;codeEdi&gt;228&lt;/codeEdi&gt;</t>
  </si>
  <si>
    <t>&lt;codeEdi&gt;229&lt;/codeEdi&gt;</t>
  </si>
  <si>
    <t>&lt;codeEdi&gt;230&lt;/codeEdi&gt;</t>
  </si>
  <si>
    <t>&lt;codeEdi&gt;231&lt;/codeEdi&gt;</t>
  </si>
  <si>
    <t>&lt;codeEdi&gt;232&lt;/codeEdi&gt;</t>
  </si>
  <si>
    <t>&lt;codeEdi&gt;233&lt;/codeEdi&gt;</t>
  </si>
  <si>
    <t>&lt;codeEdi&gt;234&lt;/codeEdi&gt;</t>
  </si>
  <si>
    <t>&lt;codeEdi&gt;510&lt;/codeEdi&gt;</t>
  </si>
  <si>
    <t>&lt;codeEdi&gt;254&lt;/codeEdi&gt;</t>
  </si>
  <si>
    <t>&lt;codeEdi&gt;255&lt;/codeEdi&gt;</t>
  </si>
  <si>
    <t>&lt;codeEdi&gt;256&lt;/codeEdi&gt;</t>
  </si>
  <si>
    <t>&lt;codeEdi&gt;257&lt;/codeEdi&gt;</t>
  </si>
  <si>
    <t>&lt;codeEdi&gt;512&lt;/codeEdi&gt;</t>
  </si>
  <si>
    <t>&lt;codeEdi&gt;258&lt;/codeEdi&gt;</t>
  </si>
  <si>
    <t>&lt;codeEdi&gt;259&lt;/codeEdi&gt;</t>
  </si>
  <si>
    <t>&lt;codeEdi&gt;260&lt;/codeEdi&gt;</t>
  </si>
  <si>
    <t>&lt;codeEdi&gt;261&lt;/codeEdi&gt;</t>
  </si>
  <si>
    <t>&lt;codeEdi&gt;513&lt;/codeEdi&gt;</t>
  </si>
  <si>
    <t>&lt;codeEdi&gt;262&lt;/codeEdi&gt;</t>
  </si>
  <si>
    <t>&lt;codeEdi&gt;263&lt;/codeEdi&gt;</t>
  </si>
  <si>
    <t>&lt;codeEdi&gt;264&lt;/codeEdi&gt;</t>
  </si>
  <si>
    <t>&lt;codeEdi&gt;265&lt;/codeEdi&gt;</t>
  </si>
  <si>
    <t>&lt;codeEdi&gt;514&lt;/codeEdi&gt;</t>
  </si>
  <si>
    <t>&lt;codeEdi&gt;266&lt;/codeEdi&gt;</t>
  </si>
  <si>
    <t>&lt;codeEdi&gt;267&lt;/codeEdi&gt;</t>
  </si>
  <si>
    <t>&lt;codeEdi&gt;268&lt;/codeEdi&gt;</t>
  </si>
  <si>
    <t>&lt;codeEdi&gt;269&lt;/codeEdi&gt;</t>
  </si>
  <si>
    <t>&lt;codeEdi&gt;515&lt;/codeEdi&gt;</t>
  </si>
  <si>
    <t>&lt;codeEdi&gt;192&lt;/codeEdi&gt;</t>
  </si>
  <si>
    <t>&lt;codeEdi&gt;193&lt;/codeEdi&gt;</t>
  </si>
  <si>
    <t>&lt;codeEdi&gt;517&lt;/codeEdi&gt;</t>
  </si>
  <si>
    <t>&lt;codeEdi&gt;194&lt;/codeEdi&gt;</t>
  </si>
  <si>
    <t>&lt;codeEdi&gt;195&lt;/codeEdi&gt;</t>
  </si>
  <si>
    <t>&lt;codeEdi&gt;518&lt;/codeEdi&gt;</t>
  </si>
  <si>
    <t>&lt;codeEdi&gt;196&lt;/codeEdi&gt;</t>
  </si>
  <si>
    <t>&lt;codeEdi&gt;197&lt;/codeEdi&gt;</t>
  </si>
  <si>
    <t>&lt;codeEdi&gt;519&lt;/codeEdi&gt;</t>
  </si>
  <si>
    <t>&lt;codeEdi&gt;198&lt;/codeEdi&gt;</t>
  </si>
  <si>
    <t>&lt;codeEdi&gt;199&lt;/codeEdi&gt;</t>
  </si>
  <si>
    <t>&lt;codeEdi&gt;520&lt;/codeEdi&gt;</t>
  </si>
  <si>
    <t>&lt;codeEdi&gt;291&lt;/codeEdi&gt;</t>
  </si>
  <si>
    <t>&lt;codeEdi&gt;292&lt;/codeEdi&gt;</t>
  </si>
  <si>
    <t>&lt;codeEdi&gt;293&lt;/codeEdi&gt;</t>
  </si>
  <si>
    <t>&lt;codeEdi&gt;294&lt;/codeEdi&gt;</t>
  </si>
  <si>
    <t>&lt;codeEdi&gt;160&lt;/codeEdi&gt;</t>
  </si>
  <si>
    <t>&lt;codeEdi&gt;161&lt;/codeEdi&gt;</t>
  </si>
  <si>
    <t>&lt;codeEdi&gt;162&lt;/codeEdi&gt;</t>
  </si>
  <si>
    <t>&lt;codeEdi&gt;163&lt;/codeEdi&gt;</t>
  </si>
  <si>
    <t>&lt;codeEdi&gt;164&lt;/codeEdi&gt;</t>
  </si>
  <si>
    <t>&lt;codeEdi&gt;522&lt;/codeEdi&gt;</t>
  </si>
  <si>
    <t>&lt;codeEdi&gt;165&lt;/codeEdi&gt;</t>
  </si>
  <si>
    <t>&lt;codeEdi&gt;166&lt;/codeEdi&gt;</t>
  </si>
  <si>
    <t>&lt;codeEdi&gt;167&lt;/codeEdi&gt;</t>
  </si>
  <si>
    <t>&lt;codeEdi&gt;168&lt;/codeEdi&gt;</t>
  </si>
  <si>
    <t>&lt;codeEdi&gt;169&lt;/codeEdi&gt;</t>
  </si>
  <si>
    <t>&lt;codeEdi&gt;523&lt;/codeEdi&gt;</t>
  </si>
  <si>
    <t>&lt;codeEdi&gt;170&lt;/codeEdi&gt;</t>
  </si>
  <si>
    <t>&lt;codeEdi&gt;171&lt;/codeEdi&gt;</t>
  </si>
  <si>
    <t>&lt;codeEdi&gt;172&lt;/codeEdi&gt;</t>
  </si>
  <si>
    <t>&lt;codeEdi&gt;173&lt;/codeEdi&gt;</t>
  </si>
  <si>
    <t>&lt;codeEdi&gt;174&lt;/codeEdi&gt;</t>
  </si>
  <si>
    <t>&lt;codeEdi&gt;524&lt;/codeEdi&gt;</t>
  </si>
  <si>
    <t>&lt;codeEdi&gt;175&lt;/codeEdi&gt;</t>
  </si>
  <si>
    <t>&lt;codeEdi&gt;176&lt;/codeEdi&gt;</t>
  </si>
  <si>
    <t>&lt;codeEdi&gt;177&lt;/codeEdi&gt;</t>
  </si>
  <si>
    <t>&lt;codeEdi&gt;178&lt;/codeEdi&gt;</t>
  </si>
  <si>
    <t>&lt;codeEdi&gt;179&lt;/codeEdi&gt;</t>
  </si>
  <si>
    <t>&lt;codeEdi&gt;525&lt;/codeEdi&gt;</t>
  </si>
  <si>
    <t>&lt;codeEdi&gt;122&lt;/codeEdi&gt;</t>
  </si>
  <si>
    <t>&lt;codeEdi&gt;123&lt;/codeEdi&gt;</t>
  </si>
  <si>
    <t>&lt;codeEdi&gt;124&lt;/codeEdi&gt;</t>
  </si>
  <si>
    <t>&lt;codeEdi&gt;125&lt;/codeEdi&gt;</t>
  </si>
  <si>
    <t>&lt;codeEdi&gt;126&lt;/codeEdi&gt;</t>
  </si>
  <si>
    <t>&lt;codeEdi&gt;127&lt;/codeEdi&gt;</t>
  </si>
  <si>
    <t>&lt;codeEdi&gt;128&lt;/codeEdi&gt;</t>
  </si>
  <si>
    <t>&lt;codeEdi&gt;527&lt;/codeEdi&gt;</t>
  </si>
  <si>
    <t>&lt;codeEdi&gt;129&lt;/codeEdi&gt;</t>
  </si>
  <si>
    <t>&lt;codeEdi&gt;130&lt;/codeEdi&gt;</t>
  </si>
  <si>
    <t>&lt;codeEdi&gt;131&lt;/codeEdi&gt;</t>
  </si>
  <si>
    <t>&lt;codeEdi&gt;132&lt;/codeEdi&gt;</t>
  </si>
  <si>
    <t>&lt;codeEdi&gt;133&lt;/codeEdi&gt;</t>
  </si>
  <si>
    <t>&lt;codeEdi&gt;134&lt;/codeEdi&gt;</t>
  </si>
  <si>
    <t>&lt;codeEdi&gt;135&lt;/codeEdi&gt;</t>
  </si>
  <si>
    <t>&lt;codeEdi&gt;528&lt;/codeEdi&gt;</t>
  </si>
  <si>
    <t>&lt;codeEdi&gt;141&lt;/codeEdi&gt;</t>
  </si>
  <si>
    <t>&lt;codeEdi&gt;142&lt;/codeEdi&gt;</t>
  </si>
  <si>
    <t>&lt;codeEdi&gt;136&lt;/codeEdi&gt;</t>
  </si>
  <si>
    <t>&lt;codeEdi&gt;137&lt;/codeEdi&gt;</t>
  </si>
  <si>
    <t>&lt;codeEdi&gt;138&lt;/codeEdi&gt;</t>
  </si>
  <si>
    <t>&lt;codeEdi&gt;139&lt;/codeEdi&gt;</t>
  </si>
  <si>
    <t>&lt;codeEdi&gt;140&lt;/codeEdi&gt;</t>
  </si>
  <si>
    <t>&lt;codeEdi&gt;529&lt;/codeEdi&gt;</t>
  </si>
  <si>
    <t>&lt;codeEdi&gt;143&lt;/codeEdi&gt;</t>
  </si>
  <si>
    <t>&lt;codeEdi&gt;144&lt;/codeEdi&gt;</t>
  </si>
  <si>
    <t>&lt;codeEdi&gt;145&lt;/codeEdi&gt;</t>
  </si>
  <si>
    <t>&lt;codeEdi&gt;146&lt;/codeEdi&gt;</t>
  </si>
  <si>
    <t>&lt;codeEdi&gt;147&lt;/codeEdi&gt;</t>
  </si>
  <si>
    <t>&lt;codeEdi&gt;148&lt;/codeEdi&gt;</t>
  </si>
  <si>
    <t>&lt;codeEdi&gt;149&lt;/codeEdi&gt;</t>
  </si>
  <si>
    <t>&lt;codeEdi&gt;530&lt;/codeEdi&gt;</t>
  </si>
  <si>
    <t>&lt;codeEdi&gt;181&lt;/codeEdi&gt;</t>
  </si>
  <si>
    <t>&lt;codeEdi&gt;182&lt;/codeEdi&gt;</t>
  </si>
  <si>
    <t>&lt;codeEdi&gt;183&lt;/codeEdi&gt;</t>
  </si>
  <si>
    <t>&lt;codeEdi&gt;184&lt;/codeEdi&gt;</t>
  </si>
  <si>
    <t>&lt;codeEdi&gt;151&lt;/codeEdi&gt;</t>
  </si>
  <si>
    <t>&lt;codeEdi&gt;152&lt;/codeEdi&gt;</t>
  </si>
  <si>
    <t>&lt;codeEdi&gt;153&lt;/codeEdi&gt;</t>
  </si>
  <si>
    <t>&lt;codeEdi&gt;154&lt;/codeEdi&gt;</t>
  </si>
  <si>
    <t>&lt;codeEdi&gt;296&lt;/codeEdi&gt;</t>
  </si>
  <si>
    <t>&lt;codeEdi&gt;297&lt;/codeEdi&gt;</t>
  </si>
  <si>
    <t>&lt;codeEdi&gt;298&lt;/codeEdi&gt;</t>
  </si>
  <si>
    <t>&lt;codeEdi&gt;299&lt;/codeEdi&gt;</t>
  </si>
  <si>
    <t>&lt;codeEdi&gt;303&lt;/codeEdi&gt;</t>
  </si>
  <si>
    <t>&lt;codeEdi&gt;304&lt;/codeEdi&gt;</t>
  </si>
  <si>
    <t>&lt;codeEdi&gt;305&lt;/codeEdi&gt;</t>
  </si>
  <si>
    <t>&lt;codeEdi&gt;532&lt;/codeEdi&gt;</t>
  </si>
  <si>
    <t>&lt;codeEdi&gt;306&lt;/codeEdi&gt;</t>
  </si>
  <si>
    <t>&lt;codeEdi&gt;307&lt;/codeEdi&gt;</t>
  </si>
  <si>
    <t>&lt;codeEdi&gt;308&lt;/codeEdi&gt;</t>
  </si>
  <si>
    <t>&lt;codeEdi&gt;533&lt;/codeEdi&gt;</t>
  </si>
  <si>
    <t>&lt;codeEdi&gt;309&lt;/codeEdi&gt;</t>
  </si>
  <si>
    <t>&lt;codeEdi&gt;310&lt;/codeEdi&gt;</t>
  </si>
  <si>
    <t>&lt;codeEdi&gt;311&lt;/codeEdi&gt;</t>
  </si>
  <si>
    <t>&lt;codeEdi&gt;534&lt;/codeEdi&gt;</t>
  </si>
  <si>
    <t>&lt;codeEdi&gt;312&lt;/codeEdi&gt;</t>
  </si>
  <si>
    <t>&lt;codeEdi&gt;313&lt;/codeEdi&gt;</t>
  </si>
  <si>
    <t>&lt;codeEdi&gt;314&lt;/codeEdi&gt;</t>
  </si>
  <si>
    <t>&lt;codeEdi&gt;535&lt;/codeEdi&gt;</t>
  </si>
  <si>
    <t>&lt;codeEdi&gt;316&lt;/codeEdi&gt;</t>
  </si>
  <si>
    <t>&lt;codeEdi&gt;317&lt;/codeEdi&gt;</t>
  </si>
  <si>
    <t>&lt;codeEdi&gt;318&lt;/codeEdi&gt;</t>
  </si>
  <si>
    <t>&lt;codeEdi&gt;319&lt;/codeEdi&gt;</t>
  </si>
  <si>
    <t>&lt;codeEdi&gt;186&lt;/codeEdi&gt;</t>
  </si>
  <si>
    <t>&lt;codeEdi&gt;187&lt;/codeEdi&gt;</t>
  </si>
  <si>
    <t>&lt;codeEdi&gt;188&lt;/codeEdi&gt;</t>
  </si>
  <si>
    <t>&lt;codeEdi&gt;189&lt;/codeEdi&gt;</t>
  </si>
  <si>
    <t>&lt;tableau&gt;&lt;id&gt;1&lt;/id&gt;&lt;/tableau&gt;</t>
  </si>
  <si>
    <t>&lt;codeEdi&gt;13406&lt;/codeEdi&gt;</t>
  </si>
  <si>
    <t>&lt;codeEdi&gt;13407&lt;/codeEdi&gt;</t>
  </si>
  <si>
    <t>&lt;codeEdi&gt;13408&lt;/codeEdi&gt;</t>
  </si>
  <si>
    <t>&lt;codeEdi&gt;13409&lt;/codeEdi&gt;</t>
  </si>
  <si>
    <t>&lt;codeEdi&gt;13410&lt;/codeEdi&gt;</t>
  </si>
  <si>
    <t>&lt;codeEdi&gt;13400&lt;/codeEdi&gt;</t>
  </si>
  <si>
    <t>&lt;codeEdi&gt;13401&lt;/codeEdi&gt;</t>
  </si>
  <si>
    <t>&lt;codeEdi&gt;13402&lt;/codeEdi&gt;</t>
  </si>
  <si>
    <t>&lt;codeEdi&gt;13403&lt;/codeEdi&gt;</t>
  </si>
  <si>
    <t>&lt;codeEdi&gt;13404&lt;/codeEdi&gt;</t>
  </si>
  <si>
    <t>&lt;codeEdi&gt;13405&lt;/codeEdi&gt;</t>
  </si>
  <si>
    <t>&lt;codeEdi&gt;13411&lt;/codeEdi&gt;</t>
  </si>
  <si>
    <t>&lt;codeEdi&gt;13412&lt;/codeEdi&gt;</t>
  </si>
  <si>
    <t>&lt;codeEdi&gt;13413&lt;/codeEdi&gt;</t>
  </si>
  <si>
    <t>&lt;codeEdi&gt;13414&lt;/codeEdi&gt;</t>
  </si>
  <si>
    <t>&lt;codeEdi&gt;13415&lt;/codeEdi&gt;</t>
  </si>
  <si>
    <t>&lt;codeEdi&gt;13416&lt;/codeEdi&gt;</t>
  </si>
  <si>
    <t>&lt;codeEdi&gt;13417&lt;/codeEdi&gt;</t>
  </si>
  <si>
    <t>&lt;codeEdi&gt;13418&lt;/codeEdi&gt;</t>
  </si>
  <si>
    <t>&lt;codeEdi&gt;13419&lt;/codeEdi&gt;</t>
  </si>
  <si>
    <t>&lt;codeEdi&gt;13420&lt;/codeEdi&gt;</t>
  </si>
  <si>
    <t>&lt;codeEdi&gt;13421&lt;/codeEdi&gt;</t>
  </si>
  <si>
    <t>&lt;codeEdi&gt;13397&lt;/codeEdi&gt;</t>
  </si>
  <si>
    <t>&lt;codeEdi&gt;13398&lt;/codeEdi&gt;</t>
  </si>
  <si>
    <t>&lt;codeEdi&gt;13399&lt;/codeEdi&gt;</t>
  </si>
  <si>
    <t>&lt;codeEdi&gt;13422&lt;/codeEdi&gt;</t>
  </si>
  <si>
    <t>&lt;codeEdi&gt;13423&lt;/codeEdi&gt;</t>
  </si>
  <si>
    <t>&lt;codeEdi&gt;13424&lt;/codeEdi&gt;</t>
  </si>
  <si>
    <t>&lt;cellule&gt;&lt;codeEdi&gt;13339&lt;/codeEdi&gt;&lt;/cellule&gt;</t>
  </si>
  <si>
    <t>&lt;numeroLigne&gt;1&lt;/numeroLigne&gt;</t>
  </si>
  <si>
    <t>&lt;cellule&gt;&lt;codeEdi&gt;13396&lt;/codeEdi&gt;&lt;/cellule&gt;</t>
  </si>
  <si>
    <t>&lt;cellule&gt;&lt;codeEdi&gt;13425&lt;/codeEdi&gt;&lt;/cellule&gt;</t>
  </si>
  <si>
    <t>&lt;codeEdi&gt;13393&lt;/codeEdi&gt;</t>
  </si>
  <si>
    <t>&lt;codeEdi&gt;13394&lt;/codeEdi&gt;</t>
  </si>
  <si>
    <t>&lt;codeEdi&gt;13395&lt;/codeEdi&gt;</t>
  </si>
  <si>
    <t>&lt;codeEdi&gt;13426&lt;/codeEdi&gt;</t>
  </si>
  <si>
    <t>&lt;codeEdi&gt;13427&lt;/codeEdi&gt;</t>
  </si>
  <si>
    <t>&lt;codeEdi&gt;13428&lt;/codeEdi&gt;</t>
  </si>
  <si>
    <t>&lt;cellule&gt;&lt;codeEdi&gt;13343&lt;/codeEdi&gt;&lt;/cellule&gt;</t>
  </si>
  <si>
    <t>&lt;cellule&gt;&lt;codeEdi&gt;13392&lt;/codeEdi&gt;&lt;/cellule&gt;</t>
  </si>
  <si>
    <t>&lt;cellule&gt;&lt;codeEdi&gt;13429&lt;/codeEdi&gt;&lt;/cellule&gt;</t>
  </si>
  <si>
    <t>&lt;codeEdi&gt;13389&lt;/codeEdi&gt;</t>
  </si>
  <si>
    <t>&lt;codeEdi&gt;13390&lt;/codeEdi&gt;</t>
  </si>
  <si>
    <t>&lt;codeEdi&gt;13391&lt;/codeEdi&gt;</t>
  </si>
  <si>
    <t>&lt;codeEdi&gt;13430&lt;/codeEdi&gt;</t>
  </si>
  <si>
    <t>&lt;codeEdi&gt;13431&lt;/codeEdi&gt;</t>
  </si>
  <si>
    <t>&lt;codeEdi&gt;13432&lt;/codeEdi&gt;</t>
  </si>
  <si>
    <t>&lt;codeEdi&gt;13386&lt;/codeEdi&gt;</t>
  </si>
  <si>
    <t>&lt;codeEdi&gt;13387&lt;/codeEdi&gt;</t>
  </si>
  <si>
    <t>&lt;codeEdi&gt;13388&lt;/codeEdi&gt;</t>
  </si>
  <si>
    <t>&lt;codeEdi&gt;13433&lt;/codeEdi&gt;</t>
  </si>
  <si>
    <t>&lt;codeEdi&gt;13434&lt;/codeEdi&gt;</t>
  </si>
  <si>
    <t>&lt;codeEdi&gt;13435&lt;/codeEdi&gt;</t>
  </si>
  <si>
    <t>&lt;codeEdi&gt;13385&lt;/codeEdi&gt;</t>
  </si>
  <si>
    <t>&lt;codeEdi&gt;13436&lt;/codeEdi&gt;</t>
  </si>
  <si>
    <t>&lt;codeEdi&gt;13376&lt;/codeEdi&gt;</t>
  </si>
  <si>
    <t>&lt;codeEdi&gt;13377&lt;/codeEdi&gt;</t>
  </si>
  <si>
    <t>&lt;codeEdi&gt;13378&lt;/codeEdi&gt;</t>
  </si>
  <si>
    <t>&lt;codeEdi&gt;13379&lt;/codeEdi&gt;</t>
  </si>
  <si>
    <t>&lt;codeEdi&gt;13380&lt;/codeEdi&gt;</t>
  </si>
  <si>
    <t>&lt;codeEdi&gt;13381&lt;/codeEdi&gt;</t>
  </si>
  <si>
    <t>&lt;codeEdi&gt;13382&lt;/codeEdi&gt;</t>
  </si>
  <si>
    <t>&lt;codeEdi&gt;13383&lt;/codeEdi&gt;</t>
  </si>
  <si>
    <t>&lt;codeEdi&gt;13384&lt;/codeEdi&gt;</t>
  </si>
  <si>
    <t>&lt;codeEdi&gt;13437&lt;/codeEdi&gt;</t>
  </si>
  <si>
    <t>&lt;codeEdi&gt;13438&lt;/codeEdi&gt;</t>
  </si>
  <si>
    <t>&lt;codeEdi&gt;13439&lt;/codeEdi&gt;</t>
  </si>
  <si>
    <t>&lt;codeEdi&gt;13440&lt;/codeEdi&gt;</t>
  </si>
  <si>
    <t>&lt;codeEdi&gt;13441&lt;/codeEdi&gt;</t>
  </si>
  <si>
    <t>&lt;codeEdi&gt;13442&lt;/codeEdi&gt;</t>
  </si>
  <si>
    <t>&lt;codeEdi&gt;13443&lt;/codeEdi&gt;</t>
  </si>
  <si>
    <t>&lt;codeEdi&gt;13444&lt;/codeEdi&gt;</t>
  </si>
  <si>
    <t>&lt;codeEdi&gt;13445&lt;/codeEdi&gt;</t>
  </si>
  <si>
    <t>&lt;codeEdi&gt;13375&lt;/codeEdi&gt;</t>
  </si>
  <si>
    <t>&lt;codeEdi&gt;13446&lt;/codeEdi&gt;</t>
  </si>
  <si>
    <t>&lt;codeEdi&gt;13374&lt;/codeEdi&gt;</t>
  </si>
  <si>
    <t>&lt;codeEdi&gt;13447&lt;/codeEdi&gt;</t>
  </si>
  <si>
    <t>&lt;codeEdi&gt;13373&lt;/codeEdi&gt;</t>
  </si>
  <si>
    <t>&lt;codeEdi&gt;13448&lt;/codeEdi&gt;</t>
  </si>
  <si>
    <t>&lt;codeEdi&gt;13370&lt;/codeEdi&gt;</t>
  </si>
  <si>
    <t>&lt;codeEdi&gt;13371&lt;/codeEdi&gt;</t>
  </si>
  <si>
    <t>&lt;codeEdi&gt;13372&lt;/codeEdi&gt;</t>
  </si>
  <si>
    <t>&lt;codeEdi&gt;13449&lt;/codeEdi&gt;</t>
  </si>
  <si>
    <t>&lt;codeEdi&gt;13450&lt;/codeEdi&gt;</t>
  </si>
  <si>
    <t>&lt;codeEdi&gt;13451&lt;/codeEdi&gt;</t>
  </si>
  <si>
    <t>&lt;codeEdi&gt;13369&lt;/codeEdi&gt;</t>
  </si>
  <si>
    <t>&lt;codeEdi&gt;13452&lt;/codeEdi&gt;</t>
  </si>
  <si>
    <t>&lt;codeEdi&gt;13368&lt;/codeEdi&gt;</t>
  </si>
  <si>
    <t>&lt;codeEdi&gt;13453&lt;/codeEdi&gt;</t>
  </si>
  <si>
    <t>&lt;tableau&gt;&lt;id&gt;6&lt;/id&gt;&lt;/tableau&gt;</t>
  </si>
  <si>
    <t>&lt;codeEdi&gt;11206&lt;/codeEdi&gt;</t>
  </si>
  <si>
    <t>&lt;codeEdi&gt;11211&lt;/codeEdi&gt;</t>
  </si>
  <si>
    <t>&lt;codeEdi&gt;11216&lt;/codeEdi&gt;</t>
  </si>
  <si>
    <t>&lt;codeEdi&gt;11221&lt;/codeEdi&gt;</t>
  </si>
  <si>
    <t>&lt;codeEdi&gt;11226&lt;/codeEdi&gt;</t>
  </si>
  <si>
    <t>&lt;codeEdi&gt;11231&lt;/codeEdi&gt;</t>
  </si>
  <si>
    <t>&lt;codeEdi&gt;11176&lt;/codeEdi&gt;</t>
  </si>
  <si>
    <t>&lt;codeEdi&gt;11181&lt;/codeEdi&gt;</t>
  </si>
  <si>
    <t>&lt;codeEdi&gt;11186&lt;/codeEdi&gt;</t>
  </si>
  <si>
    <t>&lt;codeEdi&gt;11191&lt;/codeEdi&gt;</t>
  </si>
  <si>
    <t>&lt;codeEdi&gt;11196&lt;/codeEdi&gt;</t>
  </si>
  <si>
    <t>&lt;codeEdi&gt;11201&lt;/codeEdi&gt;</t>
  </si>
  <si>
    <t>&lt;codeEdi&gt;11266&lt;/codeEdi&gt;</t>
  </si>
  <si>
    <t>&lt;codeEdi&gt;11236&lt;/codeEdi&gt;</t>
  </si>
  <si>
    <t>&lt;codeEdi&gt;11241&lt;/codeEdi&gt;</t>
  </si>
  <si>
    <t>&lt;codeEdi&gt;11246&lt;/codeEdi&gt;</t>
  </si>
  <si>
    <t>&lt;codeEdi&gt;11251&lt;/codeEdi&gt;</t>
  </si>
  <si>
    <t>&lt;codeEdi&gt;11256&lt;/codeEdi&gt;</t>
  </si>
  <si>
    <t>&lt;codeEdi&gt;11261&lt;/codeEdi&gt;</t>
  </si>
  <si>
    <t>&lt;codeEdi&gt;11202&lt;/codeEdi&gt;</t>
  </si>
  <si>
    <t>&lt;codeEdi&gt;11207&lt;/codeEdi&gt;</t>
  </si>
  <si>
    <t>&lt;codeEdi&gt;11212&lt;/codeEdi&gt;</t>
  </si>
  <si>
    <t>&lt;codeEdi&gt;11217&lt;/codeEdi&gt;</t>
  </si>
  <si>
    <t>&lt;codeEdi&gt;11222&lt;/codeEdi&gt;</t>
  </si>
  <si>
    <t>&lt;codeEdi&gt;11227&lt;/codeEdi&gt;</t>
  </si>
  <si>
    <t>&lt;codeEdi&gt;11232&lt;/codeEdi&gt;</t>
  </si>
  <si>
    <t>&lt;codeEdi&gt;11177&lt;/codeEdi&gt;</t>
  </si>
  <si>
    <t>&lt;codeEdi&gt;11182&lt;/codeEdi&gt;</t>
  </si>
  <si>
    <t>&lt;codeEdi&gt;11187&lt;/codeEdi&gt;</t>
  </si>
  <si>
    <t>&lt;codeEdi&gt;11192&lt;/codeEdi&gt;</t>
  </si>
  <si>
    <t>&lt;codeEdi&gt;11197&lt;/codeEdi&gt;</t>
  </si>
  <si>
    <t>&lt;codeEdi&gt;11267&lt;/codeEdi&gt;</t>
  </si>
  <si>
    <t>&lt;codeEdi&gt;11237&lt;/codeEdi&gt;</t>
  </si>
  <si>
    <t>&lt;codeEdi&gt;11242&lt;/codeEdi&gt;</t>
  </si>
  <si>
    <t>&lt;codeEdi&gt;11247&lt;/codeEdi&gt;</t>
  </si>
  <si>
    <t>&lt;codeEdi&gt;11252&lt;/codeEdi&gt;</t>
  </si>
  <si>
    <t>&lt;codeEdi&gt;11257&lt;/codeEdi&gt;</t>
  </si>
  <si>
    <t>&lt;codeEdi&gt;11262&lt;/codeEdi&gt;</t>
  </si>
  <si>
    <t>&lt;codeEdi&gt;11203&lt;/codeEdi&gt;</t>
  </si>
  <si>
    <t>&lt;codeEdi&gt;11208&lt;/codeEdi&gt;</t>
  </si>
  <si>
    <t>&lt;codeEdi&gt;11213&lt;/codeEdi&gt;</t>
  </si>
  <si>
    <t>&lt;codeEdi&gt;11218&lt;/codeEdi&gt;</t>
  </si>
  <si>
    <t>&lt;codeEdi&gt;11223&lt;/codeEdi&gt;</t>
  </si>
  <si>
    <t>&lt;codeEdi&gt;11228&lt;/codeEdi&gt;</t>
  </si>
  <si>
    <t>&lt;codeEdi&gt;11233&lt;/codeEdi&gt;</t>
  </si>
  <si>
    <t>&lt;codeEdi&gt;11178&lt;/codeEdi&gt;</t>
  </si>
  <si>
    <t>&lt;codeEdi&gt;11183&lt;/codeEdi&gt;</t>
  </si>
  <si>
    <t>&lt;codeEdi&gt;11188&lt;/codeEdi&gt;</t>
  </si>
  <si>
    <t>&lt;codeEdi&gt;11193&lt;/codeEdi&gt;</t>
  </si>
  <si>
    <t>&lt;codeEdi&gt;11198&lt;/codeEdi&gt;</t>
  </si>
  <si>
    <t>&lt;codeEdi&gt;11268&lt;/codeEdi&gt;</t>
  </si>
  <si>
    <t>&lt;codeEdi&gt;11238&lt;/codeEdi&gt;</t>
  </si>
  <si>
    <t>&lt;codeEdi&gt;11243&lt;/codeEdi&gt;</t>
  </si>
  <si>
    <t>&lt;codeEdi&gt;11248&lt;/codeEdi&gt;</t>
  </si>
  <si>
    <t>&lt;codeEdi&gt;11253&lt;/codeEdi&gt;</t>
  </si>
  <si>
    <t>&lt;codeEdi&gt;11258&lt;/codeEdi&gt;</t>
  </si>
  <si>
    <t>&lt;codeEdi&gt;11263&lt;/codeEdi&gt;</t>
  </si>
  <si>
    <t>&lt;codeEdi&gt;11204&lt;/codeEdi&gt;</t>
  </si>
  <si>
    <t>&lt;codeEdi&gt;11209&lt;/codeEdi&gt;</t>
  </si>
  <si>
    <t>&lt;codeEdi&gt;11214&lt;/codeEdi&gt;</t>
  </si>
  <si>
    <t>&lt;codeEdi&gt;11219&lt;/codeEdi&gt;</t>
  </si>
  <si>
    <t>&lt;codeEdi&gt;11224&lt;/codeEdi&gt;</t>
  </si>
  <si>
    <t>&lt;codeEdi&gt;11229&lt;/codeEdi&gt;</t>
  </si>
  <si>
    <t>&lt;codeEdi&gt;11234&lt;/codeEdi&gt;</t>
  </si>
  <si>
    <t>&lt;codeEdi&gt;11179&lt;/codeEdi&gt;</t>
  </si>
  <si>
    <t>&lt;codeEdi&gt;11184&lt;/codeEdi&gt;</t>
  </si>
  <si>
    <t>&lt;codeEdi&gt;11189&lt;/codeEdi&gt;</t>
  </si>
  <si>
    <t>&lt;codeEdi&gt;11194&lt;/codeEdi&gt;</t>
  </si>
  <si>
    <t>&lt;codeEdi&gt;11199&lt;/codeEdi&gt;</t>
  </si>
  <si>
    <t>&lt;codeEdi&gt;11269&lt;/codeEdi&gt;</t>
  </si>
  <si>
    <t>&lt;codeEdi&gt;11239&lt;/codeEdi&gt;</t>
  </si>
  <si>
    <t>&lt;codeEdi&gt;11244&lt;/codeEdi&gt;</t>
  </si>
  <si>
    <t>&lt;codeEdi&gt;11249&lt;/codeEdi&gt;</t>
  </si>
  <si>
    <t>&lt;codeEdi&gt;11254&lt;/codeEdi&gt;</t>
  </si>
  <si>
    <t>&lt;codeEdi&gt;11259&lt;/codeEdi&gt;</t>
  </si>
  <si>
    <t>&lt;codeEdi&gt;11264&lt;/codeEdi&gt;</t>
  </si>
  <si>
    <t>&lt;codeEdi&gt;11271&lt;/codeEdi&gt;</t>
  </si>
  <si>
    <t>&lt;codeEdi&gt;11276&lt;/codeEdi&gt;</t>
  </si>
  <si>
    <t>&lt;codeEdi&gt;11281&lt;/codeEdi&gt;</t>
  </si>
  <si>
    <t>&lt;codeEdi&gt;11286&lt;/codeEdi&gt;</t>
  </si>
  <si>
    <t>&lt;codeEdi&gt;11291&lt;/codeEdi&gt;</t>
  </si>
  <si>
    <t>&lt;codeEdi&gt;11331&lt;/codeEdi&gt;</t>
  </si>
  <si>
    <t>&lt;codeEdi&gt;11296&lt;/codeEdi&gt;</t>
  </si>
  <si>
    <t>&lt;codeEdi&gt;11301&lt;/codeEdi&gt;</t>
  </si>
  <si>
    <t>&lt;codeEdi&gt;11306&lt;/codeEdi&gt;</t>
  </si>
  <si>
    <t>&lt;codeEdi&gt;11311&lt;/codeEdi&gt;</t>
  </si>
  <si>
    <t>&lt;codeEdi&gt;11316&lt;/codeEdi&gt;</t>
  </si>
  <si>
    <t>&lt;codeEdi&gt;11321&lt;/codeEdi&gt;</t>
  </si>
  <si>
    <t>&lt;codeEdi&gt;11326&lt;/codeEdi&gt;</t>
  </si>
  <si>
    <t>&lt;codeEdi&gt;11272&lt;/codeEdi&gt;</t>
  </si>
  <si>
    <t>&lt;codeEdi&gt;11277&lt;/codeEdi&gt;</t>
  </si>
  <si>
    <t>&lt;codeEdi&gt;11282&lt;/codeEdi&gt;</t>
  </si>
  <si>
    <t>&lt;codeEdi&gt;11287&lt;/codeEdi&gt;</t>
  </si>
  <si>
    <t>&lt;codeEdi&gt;11292&lt;/codeEdi&gt;</t>
  </si>
  <si>
    <t>&lt;codeEdi&gt;11332&lt;/codeEdi&gt;</t>
  </si>
  <si>
    <t>&lt;codeEdi&gt;11297&lt;/codeEdi&gt;</t>
  </si>
  <si>
    <t>&lt;codeEdi&gt;11302&lt;/codeEdi&gt;</t>
  </si>
  <si>
    <t>&lt;codeEdi&gt;11307&lt;/codeEdi&gt;</t>
  </si>
  <si>
    <t>&lt;codeEdi&gt;11312&lt;/codeEdi&gt;</t>
  </si>
  <si>
    <t>&lt;codeEdi&gt;11317&lt;/codeEdi&gt;</t>
  </si>
  <si>
    <t>&lt;codeEdi&gt;11322&lt;/codeEdi&gt;</t>
  </si>
  <si>
    <t>&lt;codeEdi&gt;11327&lt;/codeEdi&gt;</t>
  </si>
  <si>
    <t>&lt;codeEdi&gt;11273&lt;/codeEdi&gt;</t>
  </si>
  <si>
    <t>&lt;codeEdi&gt;11278&lt;/codeEdi&gt;</t>
  </si>
  <si>
    <t>&lt;codeEdi&gt;11283&lt;/codeEdi&gt;</t>
  </si>
  <si>
    <t>&lt;codeEdi&gt;11288&lt;/codeEdi&gt;</t>
  </si>
  <si>
    <t>&lt;codeEdi&gt;11293&lt;/codeEdi&gt;</t>
  </si>
  <si>
    <t>&lt;codeEdi&gt;11333&lt;/codeEdi&gt;</t>
  </si>
  <si>
    <t>&lt;codeEdi&gt;11298&lt;/codeEdi&gt;</t>
  </si>
  <si>
    <t>&lt;codeEdi&gt;11303&lt;/codeEdi&gt;</t>
  </si>
  <si>
    <t>&lt;codeEdi&gt;11308&lt;/codeEdi&gt;</t>
  </si>
  <si>
    <t>&lt;codeEdi&gt;11313&lt;/codeEdi&gt;</t>
  </si>
  <si>
    <t>&lt;codeEdi&gt;11318&lt;/codeEdi&gt;</t>
  </si>
  <si>
    <t>&lt;codeEdi&gt;11323&lt;/codeEdi&gt;</t>
  </si>
  <si>
    <t>&lt;codeEdi&gt;11328&lt;/codeEdi&gt;</t>
  </si>
  <si>
    <t>&lt;codeEdi&gt;11274&lt;/codeEdi&gt;</t>
  </si>
  <si>
    <t>&lt;codeEdi&gt;11279&lt;/codeEdi&gt;</t>
  </si>
  <si>
    <t>&lt;codeEdi&gt;11284&lt;/codeEdi&gt;</t>
  </si>
  <si>
    <t>&lt;codeEdi&gt;11289&lt;/codeEdi&gt;</t>
  </si>
  <si>
    <t>&lt;codeEdi&gt;11294&lt;/codeEdi&gt;</t>
  </si>
  <si>
    <t>&lt;codeEdi&gt;11329&lt;/codeEdi&gt;</t>
  </si>
  <si>
    <t>&lt;codeEdi&gt;11334&lt;/codeEdi&gt;</t>
  </si>
  <si>
    <t>&lt;codeEdi&gt;11299&lt;/codeEdi&gt;</t>
  </si>
  <si>
    <t>&lt;codeEdi&gt;11304&lt;/codeEdi&gt;</t>
  </si>
  <si>
    <t>&lt;codeEdi&gt;11309&lt;/codeEdi&gt;</t>
  </si>
  <si>
    <t>&lt;codeEdi&gt;11314&lt;/codeEdi&gt;</t>
  </si>
  <si>
    <t>&lt;codeEdi&gt;11319&lt;/codeEdi&gt;</t>
  </si>
  <si>
    <t>&lt;codeEdi&gt;11324&lt;/codeEdi&gt;</t>
  </si>
  <si>
    <t>&lt;codeEdi&gt;11336&lt;/codeEdi&gt;</t>
  </si>
  <si>
    <t>&lt;codeEdi&gt;11337&lt;/codeEdi&gt;</t>
  </si>
  <si>
    <t>&lt;codeEdi&gt;11338&lt;/codeEdi&gt;</t>
  </si>
  <si>
    <t>&lt;codeEdi&gt;11339&lt;/codeEdi&gt;</t>
  </si>
  <si>
    <t>&lt;codeEdi&gt;11341&lt;/codeEdi&gt;</t>
  </si>
  <si>
    <t>&lt;codeEdi&gt;11346&lt;/codeEdi&gt;</t>
  </si>
  <si>
    <t>&lt;codeEdi&gt;11351&lt;/codeEdi&gt;</t>
  </si>
  <si>
    <t>&lt;codeEdi&gt;11396&lt;/codeEdi&gt;</t>
  </si>
  <si>
    <t>&lt;codeEdi&gt;11401&lt;/codeEdi&gt;</t>
  </si>
  <si>
    <t>&lt;codeEdi&gt;11406&lt;/codeEdi&gt;</t>
  </si>
  <si>
    <t>&lt;codeEdi&gt;11356&lt;/codeEdi&gt;</t>
  </si>
  <si>
    <t>&lt;codeEdi&gt;11361&lt;/codeEdi&gt;</t>
  </si>
  <si>
    <t>&lt;codeEdi&gt;11366&lt;/codeEdi&gt;</t>
  </si>
  <si>
    <t>&lt;codeEdi&gt;11371&lt;/codeEdi&gt;</t>
  </si>
  <si>
    <t>&lt;codeEdi&gt;11376&lt;/codeEdi&gt;</t>
  </si>
  <si>
    <t>&lt;codeEdi&gt;11381&lt;/codeEdi&gt;</t>
  </si>
  <si>
    <t>&lt;codeEdi&gt;11386&lt;/codeEdi&gt;</t>
  </si>
  <si>
    <t>&lt;codeEdi&gt;11391&lt;/codeEdi&gt;</t>
  </si>
  <si>
    <t>&lt;codeEdi&gt;11342&lt;/codeEdi&gt;</t>
  </si>
  <si>
    <t>&lt;codeEdi&gt;11347&lt;/codeEdi&gt;</t>
  </si>
  <si>
    <t>&lt;codeEdi&gt;11352&lt;/codeEdi&gt;</t>
  </si>
  <si>
    <t>&lt;codeEdi&gt;11392&lt;/codeEdi&gt;</t>
  </si>
  <si>
    <t>&lt;codeEdi&gt;11397&lt;/codeEdi&gt;</t>
  </si>
  <si>
    <t>&lt;codeEdi&gt;11402&lt;/codeEdi&gt;</t>
  </si>
  <si>
    <t>&lt;codeEdi&gt;11407&lt;/codeEdi&gt;</t>
  </si>
  <si>
    <t>&lt;codeEdi&gt;11357&lt;/codeEdi&gt;</t>
  </si>
  <si>
    <t>&lt;codeEdi&gt;11362&lt;/codeEdi&gt;</t>
  </si>
  <si>
    <t>&lt;codeEdi&gt;11367&lt;/codeEdi&gt;</t>
  </si>
  <si>
    <t>&lt;codeEdi&gt;11372&lt;/codeEdi&gt;</t>
  </si>
  <si>
    <t>&lt;codeEdi&gt;11377&lt;/codeEdi&gt;</t>
  </si>
  <si>
    <t>&lt;codeEdi&gt;11382&lt;/codeEdi&gt;</t>
  </si>
  <si>
    <t>&lt;codeEdi&gt;11387&lt;/codeEdi&gt;</t>
  </si>
  <si>
    <t>&lt;codeEdi&gt;11343&lt;/codeEdi&gt;</t>
  </si>
  <si>
    <t>&lt;codeEdi&gt;11348&lt;/codeEdi&gt;</t>
  </si>
  <si>
    <t>&lt;codeEdi&gt;11353&lt;/codeEdi&gt;</t>
  </si>
  <si>
    <t>&lt;codeEdi&gt;11393&lt;/codeEdi&gt;</t>
  </si>
  <si>
    <t>&lt;codeEdi&gt;11398&lt;/codeEdi&gt;</t>
  </si>
  <si>
    <t>&lt;codeEdi&gt;11403&lt;/codeEdi&gt;</t>
  </si>
  <si>
    <t>&lt;codeEdi&gt;11408&lt;/codeEdi&gt;</t>
  </si>
  <si>
    <t>&lt;codeEdi&gt;11358&lt;/codeEdi&gt;</t>
  </si>
  <si>
    <t>&lt;codeEdi&gt;11363&lt;/codeEdi&gt;</t>
  </si>
  <si>
    <t>&lt;codeEdi&gt;11368&lt;/codeEdi&gt;</t>
  </si>
  <si>
    <t>&lt;codeEdi&gt;11373&lt;/codeEdi&gt;</t>
  </si>
  <si>
    <t>&lt;codeEdi&gt;11378&lt;/codeEdi&gt;</t>
  </si>
  <si>
    <t>&lt;codeEdi&gt;11383&lt;/codeEdi&gt;</t>
  </si>
  <si>
    <t>&lt;codeEdi&gt;11388&lt;/codeEdi&gt;</t>
  </si>
  <si>
    <t>&lt;codeEdi&gt;11344&lt;/codeEdi&gt;</t>
  </si>
  <si>
    <t>&lt;codeEdi&gt;11349&lt;/codeEdi&gt;</t>
  </si>
  <si>
    <t>&lt;codeEdi&gt;11354&lt;/codeEdi&gt;</t>
  </si>
  <si>
    <t>&lt;codeEdi&gt;11394&lt;/codeEdi&gt;</t>
  </si>
  <si>
    <t>&lt;codeEdi&gt;11399&lt;/codeEdi&gt;</t>
  </si>
  <si>
    <t>&lt;codeEdi&gt;11404&lt;/codeEdi&gt;</t>
  </si>
  <si>
    <t>&lt;codeEdi&gt;11409&lt;/codeEdi&gt;</t>
  </si>
  <si>
    <t>&lt;codeEdi&gt;11359&lt;/codeEdi&gt;</t>
  </si>
  <si>
    <t>&lt;codeEdi&gt;11364&lt;/codeEdi&gt;</t>
  </si>
  <si>
    <t>&lt;codeEdi&gt;11369&lt;/codeEdi&gt;</t>
  </si>
  <si>
    <t>&lt;codeEdi&gt;11374&lt;/codeEdi&gt;</t>
  </si>
  <si>
    <t>&lt;codeEdi&gt;11379&lt;/codeEdi&gt;</t>
  </si>
  <si>
    <t>&lt;codeEdi&gt;11384&lt;/codeEdi&gt;</t>
  </si>
  <si>
    <t>&lt;codeEdi&gt;11389&lt;/codeEdi&gt;</t>
  </si>
  <si>
    <t>&lt;codeEdi&gt;11411&lt;/codeEdi&gt;</t>
  </si>
  <si>
    <t>&lt;codeEdi&gt;11412&lt;/codeEdi&gt;</t>
  </si>
  <si>
    <t>&lt;codeEdi&gt;11413&lt;/codeEdi&gt;</t>
  </si>
  <si>
    <t>&lt;codeEdi&gt;11414&lt;/codeEdi&gt;</t>
  </si>
  <si>
    <t>&lt;codeEdi&gt;11416&lt;/codeEdi&gt;</t>
  </si>
  <si>
    <t>&lt;codeEdi&gt;11417&lt;/codeEdi&gt;</t>
  </si>
  <si>
    <t>&lt;codeEdi&gt;11418&lt;/codeEdi&gt;</t>
  </si>
  <si>
    <t>&lt;codeEdi&gt;11419&lt;/codeEdi&gt;</t>
  </si>
  <si>
    <t>&lt;codeEdi&gt;11421&lt;/codeEdi&gt;</t>
  </si>
  <si>
    <t>&lt;codeEdi&gt;11422&lt;/codeEdi&gt;</t>
  </si>
  <si>
    <t>&lt;codeEdi&gt;11423&lt;/codeEdi&gt;</t>
  </si>
  <si>
    <t>&lt;codeEdi&gt;11424&lt;/codeEdi&gt;</t>
  </si>
  <si>
    <t>&lt;codeEdi&gt;11426&lt;/codeEdi&gt;</t>
  </si>
  <si>
    <t>&lt;codeEdi&gt;11427&lt;/codeEdi&gt;</t>
  </si>
  <si>
    <t>&lt;codeEdi&gt;11428&lt;/codeEdi&gt;</t>
  </si>
  <si>
    <t>&lt;codeEdi&gt;11429&lt;/codeEdi&gt;</t>
  </si>
  <si>
    <t>&lt;codeEdi&gt;11431&lt;/codeEdi&gt;</t>
  </si>
  <si>
    <t>&lt;codeEdi&gt;11432&lt;/codeEdi&gt;</t>
  </si>
  <si>
    <t>&lt;codeEdi&gt;11433&lt;/codeEdi&gt;</t>
  </si>
  <si>
    <t>&lt;codeEdi&gt;11434&lt;/codeEdi&gt;</t>
  </si>
  <si>
    <t>&lt;codeEdi&gt;11436&lt;/codeEdi&gt;</t>
  </si>
  <si>
    <t>&lt;codeEdi&gt;11437&lt;/codeEdi&gt;</t>
  </si>
  <si>
    <t>&lt;codeEdi&gt;11438&lt;/codeEdi&gt;</t>
  </si>
  <si>
    <t>&lt;codeEdi&gt;11439&lt;/codeEdi&gt;</t>
  </si>
  <si>
    <t>&lt;tableau&gt;&lt;id&gt;7&lt;/id&gt;&lt;/tableau&gt;</t>
  </si>
  <si>
    <t>&lt;codeEdi&gt;817&lt;/codeEdi&gt;</t>
  </si>
  <si>
    <t>&lt;codeEdi&gt;818&lt;/codeEdi&gt;</t>
  </si>
  <si>
    <t>&lt;codeEdi&gt;819&lt;/codeEdi&gt;</t>
  </si>
  <si>
    <t>&lt;codeEdi&gt;820&lt;/codeEdi&gt;</t>
  </si>
  <si>
    <t>&lt;cellule&gt;&lt;codeEdi&gt;821&lt;/codeEdi&gt;&lt;/cellule&gt;</t>
  </si>
  <si>
    <t>&lt;cellule&gt;&lt;codeEdi&gt;822&lt;/codeEdi&gt;&lt;/cellule&gt;</t>
  </si>
  <si>
    <t>&lt;cellule&gt;&lt;codeEdi&gt;823&lt;/codeEdi&gt;&lt;/cellule&gt;</t>
  </si>
  <si>
    <t>&lt;cellule&gt;&lt;codeEdi&gt;824&lt;/codeEdi&gt;&lt;/cellule&gt;</t>
  </si>
  <si>
    <t>&lt;cellule&gt;&lt;codeEdi&gt;825&lt;/codeEdi&gt;&lt;/cellule&gt;</t>
  </si>
  <si>
    <t>&lt;cellule&gt;&lt;codeEdi&gt;826&lt;/codeEdi&gt;&lt;/cellule&gt;</t>
  </si>
  <si>
    <t>&lt;cellule&gt;&lt;codeEdi&gt;827&lt;/codeEdi&gt;&lt;/cellule&gt;</t>
  </si>
  <si>
    <t>&lt;cellule&gt;&lt;codeEdi&gt;828&lt;/codeEdi&gt;&lt;/cellule&gt;</t>
  </si>
  <si>
    <t>&lt;cellule&gt;&lt;codeEdi&gt;830&lt;/codeEdi&gt;&lt;/cellule&gt;</t>
  </si>
  <si>
    <t>&lt;cellule&gt;&lt;codeEdi&gt;829&lt;/codeEdi&gt;&lt;/cellule&gt;</t>
  </si>
  <si>
    <t>&lt;cellule&gt;&lt;codeEdi&gt;831&lt;/codeEdi&gt;&lt;/cellule&gt;</t>
  </si>
  <si>
    <t>&lt;cellule&gt;&lt;codeEdi&gt;7830&lt;/codeEdi&gt;&lt;/cellule&gt;</t>
  </si>
  <si>
    <t>&lt;codeEdi&gt;833&lt;/codeEdi&gt;</t>
  </si>
  <si>
    <t>&lt;codeEdi&gt;834&lt;/codeEdi&gt;</t>
  </si>
  <si>
    <t>&lt;codeEdi&gt;837&lt;/codeEdi&gt;</t>
  </si>
  <si>
    <t>&lt;codeEdi&gt;838&lt;/codeEdi&gt;</t>
  </si>
  <si>
    <t>&lt;codeEdi&gt;839&lt;/codeEdi&gt;</t>
  </si>
  <si>
    <t>&lt;codeEdi&gt;840&lt;/codeEdi&gt;</t>
  </si>
  <si>
    <t>&lt;codeEdi&gt;845&lt;/codeEdi&gt;</t>
  </si>
  <si>
    <t>&lt;codeEdi&gt;846&lt;/codeEdi&gt;</t>
  </si>
  <si>
    <t>&lt;codeEdi&gt;847&lt;/codeEdi&gt;</t>
  </si>
  <si>
    <t>&lt;codeEdi&gt;848&lt;/codeEdi&gt;</t>
  </si>
  <si>
    <t>&lt;codeEdi&gt;849&lt;/codeEdi&gt;</t>
  </si>
  <si>
    <t>&lt;codeEdi&gt;850&lt;/codeEdi&gt;</t>
  </si>
  <si>
    <t>&lt;codeEdi&gt;851&lt;/codeEdi&gt;</t>
  </si>
  <si>
    <t>&lt;codeEdi&gt;852&lt;/codeEdi&gt;</t>
  </si>
  <si>
    <t>&lt;codeEdi&gt;6872&lt;/codeEdi&gt;</t>
  </si>
  <si>
    <t>&lt;codeEdi&gt;6873&lt;/codeEdi&gt;</t>
  </si>
  <si>
    <t>&lt;codeEdi&gt;6874&lt;/codeEdi&gt;</t>
  </si>
  <si>
    <t>&lt;codeEdi&gt;6875&lt;/codeEdi&gt;</t>
  </si>
  <si>
    <t>&lt;codeEdi&gt;854&lt;/codeEdi&gt;</t>
  </si>
  <si>
    <t>&lt;codeEdi&gt;855&lt;/codeEdi&gt;</t>
  </si>
  <si>
    <t>&lt;codeEdi&gt;860&lt;/codeEdi&gt;</t>
  </si>
  <si>
    <t>&lt;codeEdi&gt;861&lt;/codeEdi&gt;</t>
  </si>
  <si>
    <t>&lt;codeEdi&gt;862&lt;/codeEdi&gt;</t>
  </si>
  <si>
    <t>&lt;codeEdi&gt;863&lt;/codeEdi&gt;</t>
  </si>
  <si>
    <t>&lt;codeEdi&gt;864&lt;/codeEdi&gt;</t>
  </si>
  <si>
    <t>&lt;codeEdi&gt;865&lt;/codeEdi&gt;</t>
  </si>
  <si>
    <t>&lt;codeEdi&gt;866&lt;/codeEdi&gt;</t>
  </si>
  <si>
    <t>&lt;codeEdi&gt;867&lt;/codeEdi&gt;</t>
  </si>
  <si>
    <t>&lt;tableau&gt;&lt;id&gt;11&lt;/id&gt;&lt;/tableau&gt;</t>
  </si>
  <si>
    <t>&lt;codeEdi&gt;966&lt;/codeEdi&gt;</t>
  </si>
  <si>
    <t>&lt;codeEdi&gt;967&lt;/codeEdi&gt;</t>
  </si>
  <si>
    <t>&lt;codeEdi&gt;968&lt;/codeEdi&gt;</t>
  </si>
  <si>
    <t>&lt;codeEdi&gt;10064&lt;/codeEdi&gt;</t>
  </si>
  <si>
    <t>&lt;codeEdi&gt;980&lt;/codeEdi&gt;</t>
  </si>
  <si>
    <t>&lt;codeEdi&gt;981&lt;/codeEdi&gt;</t>
  </si>
  <si>
    <t>&lt;codeEdi&gt;982&lt;/codeEdi&gt;</t>
  </si>
  <si>
    <t>&lt;codeEdi&gt;10065&lt;/codeEdi&gt;</t>
  </si>
  <si>
    <t>&lt;codeEdi&gt;994&lt;/codeEdi&gt;</t>
  </si>
  <si>
    <t>&lt;codeEdi&gt;995&lt;/codeEdi&gt;</t>
  </si>
  <si>
    <t>&lt;codeEdi&gt;996&lt;/codeEdi&gt;</t>
  </si>
  <si>
    <t>&lt;codeEdi&gt;10066&lt;/codeEdi&gt;</t>
  </si>
  <si>
    <t>&lt;codeEdi&gt;1008&lt;/codeEdi&gt;</t>
  </si>
  <si>
    <t>&lt;codeEdi&gt;1009&lt;/codeEdi&gt;</t>
  </si>
  <si>
    <t>&lt;codeEdi&gt;1010&lt;/codeEdi&gt;</t>
  </si>
  <si>
    <t>&lt;codeEdi&gt;10067&lt;/codeEdi&gt;</t>
  </si>
  <si>
    <t>&lt;codeEdi&gt;1022&lt;/codeEdi&gt;</t>
  </si>
  <si>
    <t>&lt;codeEdi&gt;1023&lt;/codeEdi&gt;</t>
  </si>
  <si>
    <t>&lt;codeEdi&gt;1024&lt;/codeEdi&gt;</t>
  </si>
  <si>
    <t>&lt;codeEdi&gt;10068&lt;/codeEdi&gt;</t>
  </si>
  <si>
    <t>&lt;codeEdi&gt;1036&lt;/codeEdi&gt;</t>
  </si>
  <si>
    <t>&lt;codeEdi&gt;1037&lt;/codeEdi&gt;</t>
  </si>
  <si>
    <t>&lt;codeEdi&gt;1038&lt;/codeEdi&gt;</t>
  </si>
  <si>
    <t>&lt;codeEdi&gt;10069&lt;/codeEdi&gt;</t>
  </si>
  <si>
    <t>&lt;codeEdi&gt;1050&lt;/codeEdi&gt;</t>
  </si>
  <si>
    <t>&lt;codeEdi&gt;1051&lt;/codeEdi&gt;</t>
  </si>
  <si>
    <t>&lt;codeEdi&gt;1052&lt;/codeEdi&gt;</t>
  </si>
  <si>
    <t>&lt;codeEdi&gt;10070&lt;/codeEdi&gt;</t>
  </si>
  <si>
    <t>&lt;codeEdi&gt;1064&lt;/codeEdi&gt;</t>
  </si>
  <si>
    <t>&lt;codeEdi&gt;1065&lt;/codeEdi&gt;</t>
  </si>
  <si>
    <t>&lt;codeEdi&gt;1066&lt;/codeEdi&gt;</t>
  </si>
  <si>
    <t>&lt;codeEdi&gt;10071&lt;/codeEdi&gt;</t>
  </si>
  <si>
    <t>&lt;cellule&gt;&lt;codeEdi&gt;13506&lt;/codeEdi&gt;&lt;/cellule&gt;</t>
  </si>
  <si>
    <t>&lt;cellule&gt;&lt;codeEdi&gt;13507&lt;/codeEdi&gt;&lt;/cellule&gt;</t>
  </si>
  <si>
    <t>&lt;cellule&gt;&lt;codeEdi&gt;13508&lt;/codeEdi&gt;&lt;/cellule&gt;</t>
  </si>
  <si>
    <t>&lt;cellule&gt;&lt;codeEdi&gt;13509&lt;/codeEdi&gt;&lt;/cellule&gt;</t>
  </si>
  <si>
    <t>&lt;cellule&gt;&lt;codeEdi&gt;13510&lt;/codeEdi&gt;&lt;/cellule&gt;</t>
  </si>
  <si>
    <t>&lt;cellule&gt;&lt;codeEdi&gt;13511&lt;/codeEdi&gt;&lt;/cellule&gt;</t>
  </si>
  <si>
    <t>&lt;cellule&gt;&lt;codeEdi&gt;13512&lt;/codeEdi&gt;&lt;/cellule&gt;</t>
  </si>
  <si>
    <t>&lt;cellule&gt;&lt;codeEdi&gt;13513&lt;/codeEdi&gt;&lt;/cellule&gt;</t>
  </si>
  <si>
    <t>&lt;codeEdi&gt;969&lt;/codeEdi&gt;</t>
  </si>
  <si>
    <t>&lt;codeEdi&gt;970&lt;/codeEdi&gt;</t>
  </si>
  <si>
    <t>&lt;codeEdi&gt;971&lt;/codeEdi&gt;</t>
  </si>
  <si>
    <t>&lt;codeEdi&gt;972&lt;/codeEdi&gt;</t>
  </si>
  <si>
    <t>&lt;codeEdi&gt;10073&lt;/codeEdi&gt;</t>
  </si>
  <si>
    <t>&lt;codeEdi&gt;983&lt;/codeEdi&gt;</t>
  </si>
  <si>
    <t>&lt;codeEdi&gt;984&lt;/codeEdi&gt;</t>
  </si>
  <si>
    <t>&lt;codeEdi&gt;985&lt;/codeEdi&gt;</t>
  </si>
  <si>
    <t>&lt;codeEdi&gt;986&lt;/codeEdi&gt;</t>
  </si>
  <si>
    <t>&lt;codeEdi&gt;10074&lt;/codeEdi&gt;</t>
  </si>
  <si>
    <t>&lt;codeEdi&gt;997&lt;/codeEdi&gt;</t>
  </si>
  <si>
    <t>&lt;codeEdi&gt;998&lt;/codeEdi&gt;</t>
  </si>
  <si>
    <t>&lt;codeEdi&gt;999&lt;/codeEdi&gt;</t>
  </si>
  <si>
    <t>&lt;codeEdi&gt;1000&lt;/codeEdi&gt;</t>
  </si>
  <si>
    <t>&lt;codeEdi&gt;10075&lt;/codeEdi&gt;</t>
  </si>
  <si>
    <t>&lt;codeEdi&gt;1011&lt;/codeEdi&gt;</t>
  </si>
  <si>
    <t>&lt;codeEdi&gt;1012&lt;/codeEdi&gt;</t>
  </si>
  <si>
    <t>&lt;codeEdi&gt;1013&lt;/codeEdi&gt;</t>
  </si>
  <si>
    <t>&lt;codeEdi&gt;1014&lt;/codeEdi&gt;</t>
  </si>
  <si>
    <t>&lt;codeEdi&gt;10076&lt;/codeEdi&gt;</t>
  </si>
  <si>
    <t>&lt;codeEdi&gt;1025&lt;/codeEdi&gt;</t>
  </si>
  <si>
    <t>&lt;codeEdi&gt;1026&lt;/codeEdi&gt;</t>
  </si>
  <si>
    <t>&lt;codeEdi&gt;1027&lt;/codeEdi&gt;</t>
  </si>
  <si>
    <t>&lt;codeEdi&gt;1028&lt;/codeEdi&gt;</t>
  </si>
  <si>
    <t>&lt;codeEdi&gt;10077&lt;/codeEdi&gt;</t>
  </si>
  <si>
    <t>&lt;codeEdi&gt;1039&lt;/codeEdi&gt;</t>
  </si>
  <si>
    <t>&lt;codeEdi&gt;1040&lt;/codeEdi&gt;</t>
  </si>
  <si>
    <t>&lt;codeEdi&gt;1041&lt;/codeEdi&gt;</t>
  </si>
  <si>
    <t>&lt;codeEdi&gt;1042&lt;/codeEdi&gt;</t>
  </si>
  <si>
    <t>&lt;codeEdi&gt;10078&lt;/codeEdi&gt;</t>
  </si>
  <si>
    <t>&lt;codeEdi&gt;1053&lt;/codeEdi&gt;</t>
  </si>
  <si>
    <t>&lt;codeEdi&gt;1054&lt;/codeEdi&gt;</t>
  </si>
  <si>
    <t>&lt;codeEdi&gt;1055&lt;/codeEdi&gt;</t>
  </si>
  <si>
    <t>&lt;codeEdi&gt;1056&lt;/codeEdi&gt;</t>
  </si>
  <si>
    <t>&lt;codeEdi&gt;10079&lt;/codeEdi&gt;</t>
  </si>
  <si>
    <t>&lt;codeEdi&gt;1067&lt;/codeEdi&gt;</t>
  </si>
  <si>
    <t>&lt;codeEdi&gt;1068&lt;/codeEdi&gt;</t>
  </si>
  <si>
    <t>&lt;codeEdi&gt;1069&lt;/codeEdi&gt;</t>
  </si>
  <si>
    <t>&lt;codeEdi&gt;1070&lt;/codeEdi&gt;</t>
  </si>
  <si>
    <t>&lt;codeEdi&gt;10080&lt;/codeEdi&gt;</t>
  </si>
  <si>
    <t>&lt;codeEdi&gt;973&lt;/codeEdi&gt;</t>
  </si>
  <si>
    <t>&lt;codeEdi&gt;974&lt;/codeEdi&gt;</t>
  </si>
  <si>
    <t>&lt;codeEdi&gt;975&lt;/codeEdi&gt;</t>
  </si>
  <si>
    <t>&lt;codeEdi&gt;976&lt;/codeEdi&gt;</t>
  </si>
  <si>
    <t>&lt;codeEdi&gt;977&lt;/codeEdi&gt;</t>
  </si>
  <si>
    <t>&lt;codeEdi&gt;978&lt;/codeEdi&gt;</t>
  </si>
  <si>
    <t>&lt;codeEdi&gt;979&lt;/codeEdi&gt;</t>
  </si>
  <si>
    <t>&lt;codeEdi&gt;10082&lt;/codeEdi&gt;</t>
  </si>
  <si>
    <t>&lt;codeEdi&gt;12597&lt;/codeEdi&gt;</t>
  </si>
  <si>
    <t>&lt;codeEdi&gt;987&lt;/codeEdi&gt;</t>
  </si>
  <si>
    <t>&lt;codeEdi&gt;988&lt;/codeEdi&gt;</t>
  </si>
  <si>
    <t>&lt;codeEdi&gt;989&lt;/codeEdi&gt;</t>
  </si>
  <si>
    <t>&lt;codeEdi&gt;990&lt;/codeEdi&gt;</t>
  </si>
  <si>
    <t>&lt;codeEdi&gt;991&lt;/codeEdi&gt;</t>
  </si>
  <si>
    <t>&lt;codeEdi&gt;992&lt;/codeEdi&gt;</t>
  </si>
  <si>
    <t>&lt;codeEdi&gt;993&lt;/codeEdi&gt;</t>
  </si>
  <si>
    <t>&lt;codeEdi&gt;10083&lt;/codeEdi&gt;</t>
  </si>
  <si>
    <t>&lt;codeEdi&gt;12598&lt;/codeEdi&gt;</t>
  </si>
  <si>
    <t>&lt;codeEdi&gt;1001&lt;/codeEdi&gt;</t>
  </si>
  <si>
    <t>&lt;codeEdi&gt;1002&lt;/codeEdi&gt;</t>
  </si>
  <si>
    <t>&lt;codeEdi&gt;1003&lt;/codeEdi&gt;</t>
  </si>
  <si>
    <t>&lt;codeEdi&gt;1004&lt;/codeEdi&gt;</t>
  </si>
  <si>
    <t>&lt;codeEdi&gt;1005&lt;/codeEdi&gt;</t>
  </si>
  <si>
    <t>&lt;codeEdi&gt;1006&lt;/codeEdi&gt;</t>
  </si>
  <si>
    <t>&lt;codeEdi&gt;1007&lt;/codeEdi&gt;</t>
  </si>
  <si>
    <t>&lt;codeEdi&gt;10084&lt;/codeEdi&gt;</t>
  </si>
  <si>
    <t>&lt;codeEdi&gt;12599&lt;/codeEdi&gt;</t>
  </si>
  <si>
    <t>&lt;codeEdi&gt;1015&lt;/codeEdi&gt;</t>
  </si>
  <si>
    <t>&lt;codeEdi&gt;1016&lt;/codeEdi&gt;</t>
  </si>
  <si>
    <t>&lt;codeEdi&gt;1017&lt;/codeEdi&gt;</t>
  </si>
  <si>
    <t>&lt;codeEdi&gt;1018&lt;/codeEdi&gt;</t>
  </si>
  <si>
    <t>&lt;codeEdi&gt;1019&lt;/codeEdi&gt;</t>
  </si>
  <si>
    <t>&lt;codeEdi&gt;1020&lt;/codeEdi&gt;</t>
  </si>
  <si>
    <t>&lt;codeEdi&gt;1021&lt;/codeEdi&gt;</t>
  </si>
  <si>
    <t>&lt;codeEdi&gt;10085&lt;/codeEdi&gt;</t>
  </si>
  <si>
    <t>&lt;codeEdi&gt;12600&lt;/codeEdi&gt;</t>
  </si>
  <si>
    <t>&lt;codeEdi&gt;1029&lt;/codeEdi&gt;</t>
  </si>
  <si>
    <t>&lt;codeEdi&gt;1030&lt;/codeEdi&gt;</t>
  </si>
  <si>
    <t>&lt;codeEdi&gt;1031&lt;/codeEdi&gt;</t>
  </si>
  <si>
    <t>&lt;codeEdi&gt;1032&lt;/codeEdi&gt;</t>
  </si>
  <si>
    <t>&lt;codeEdi&gt;1033&lt;/codeEdi&gt;</t>
  </si>
  <si>
    <t>&lt;codeEdi&gt;1034&lt;/codeEdi&gt;</t>
  </si>
  <si>
    <t>&lt;codeEdi&gt;1035&lt;/codeEdi&gt;</t>
  </si>
  <si>
    <t>&lt;codeEdi&gt;10086&lt;/codeEdi&gt;</t>
  </si>
  <si>
    <t>&lt;codeEdi&gt;12601&lt;/codeEdi&gt;</t>
  </si>
  <si>
    <t>&lt;codeEdi&gt;1043&lt;/codeEdi&gt;</t>
  </si>
  <si>
    <t>&lt;codeEdi&gt;1044&lt;/codeEdi&gt;</t>
  </si>
  <si>
    <t>&lt;codeEdi&gt;1045&lt;/codeEdi&gt;</t>
  </si>
  <si>
    <t>&lt;codeEdi&gt;1046&lt;/codeEdi&gt;</t>
  </si>
  <si>
    <t>&lt;codeEdi&gt;1047&lt;/codeEdi&gt;</t>
  </si>
  <si>
    <t>&lt;codeEdi&gt;1048&lt;/codeEdi&gt;</t>
  </si>
  <si>
    <t>&lt;codeEdi&gt;1049&lt;/codeEdi&gt;</t>
  </si>
  <si>
    <t>&lt;codeEdi&gt;10087&lt;/codeEdi&gt;</t>
  </si>
  <si>
    <t>&lt;codeEdi&gt;12602&lt;/codeEdi&gt;</t>
  </si>
  <si>
    <t>&lt;codeEdi&gt;1057&lt;/codeEdi&gt;</t>
  </si>
  <si>
    <t>&lt;codeEdi&gt;1058&lt;/codeEdi&gt;</t>
  </si>
  <si>
    <t>&lt;codeEdi&gt;1059&lt;/codeEdi&gt;</t>
  </si>
  <si>
    <t>&lt;codeEdi&gt;1060&lt;/codeEdi&gt;</t>
  </si>
  <si>
    <t>&lt;codeEdi&gt;1061&lt;/codeEdi&gt;</t>
  </si>
  <si>
    <t>&lt;codeEdi&gt;1062&lt;/codeEdi&gt;</t>
  </si>
  <si>
    <t>&lt;codeEdi&gt;1063&lt;/codeEdi&gt;</t>
  </si>
  <si>
    <t>&lt;codeEdi&gt;10088&lt;/codeEdi&gt;</t>
  </si>
  <si>
    <t>&lt;codeEdi&gt;12603&lt;/codeEdi&gt;</t>
  </si>
  <si>
    <t>&lt;codeEdi&gt;1071&lt;/codeEdi&gt;</t>
  </si>
  <si>
    <t>&lt;codeEdi&gt;1072&lt;/codeEdi&gt;</t>
  </si>
  <si>
    <t>&lt;codeEdi&gt;1073&lt;/codeEdi&gt;</t>
  </si>
  <si>
    <t>&lt;codeEdi&gt;1074&lt;/codeEdi&gt;</t>
  </si>
  <si>
    <t>&lt;codeEdi&gt;1075&lt;/codeEdi&gt;</t>
  </si>
  <si>
    <t>&lt;codeEdi&gt;1076&lt;/codeEdi&gt;</t>
  </si>
  <si>
    <t>&lt;codeEdi&gt;1077&lt;/codeEdi&gt;</t>
  </si>
  <si>
    <t>&lt;codeEdi&gt;10089&lt;/codeEdi&gt;</t>
  </si>
  <si>
    <t>&lt;codeEdi&gt;12604&lt;/codeEdi&gt;</t>
  </si>
  <si>
    <t>&lt;tableau&gt;&lt;id&gt;32&lt;/id&gt;&lt;/tableau&gt;</t>
  </si>
  <si>
    <t>&lt;codeEdi&gt;1308&lt;/codeEdi&gt;</t>
  </si>
  <si>
    <t>&lt;codeEdi&gt;1309&lt;/codeEdi&gt;</t>
  </si>
  <si>
    <t>&lt;codeEdi&gt;1310&lt;/codeEdi&gt;</t>
  </si>
  <si>
    <t>&lt;codeEdi&gt;1311&lt;/codeEdi&gt;</t>
  </si>
  <si>
    <t>&lt;codeEdi&gt;1312&lt;/codeEdi&gt;</t>
  </si>
  <si>
    <t>&lt;codeEdi&gt;1313&lt;/codeEdi&gt;</t>
  </si>
  <si>
    <t>&lt;codeEdi&gt;1314&lt;/codeEdi&gt;</t>
  </si>
  <si>
    <t>&lt;codeEdi&gt;1315&lt;/codeEdi&gt;</t>
  </si>
  <si>
    <t>&lt;codeEdi&gt;1316&lt;/codeEdi&gt;</t>
  </si>
  <si>
    <t>&lt;codeEdi&gt;1317&lt;/codeEdi&gt;</t>
  </si>
  <si>
    <t>&lt;codeEdi&gt;1318&lt;/codeEdi&gt;</t>
  </si>
  <si>
    <t>&lt;codeEdi&gt;1319&lt;/codeEdi&gt;</t>
  </si>
  <si>
    <t>&lt;codeEdi&gt;1320&lt;/codeEdi&gt;</t>
  </si>
  <si>
    <t>&lt;codeEdi&gt;1321&lt;/codeEdi&gt;</t>
  </si>
  <si>
    <t>&lt;codeEdi&gt;1324&lt;/codeEdi&gt;</t>
  </si>
  <si>
    <t>&lt;codeEdi&gt;1325&lt;/codeEdi&gt;</t>
  </si>
  <si>
    <t>&lt;codeEdi&gt;1326&lt;/codeEdi&gt;</t>
  </si>
  <si>
    <t>&lt;codeEdi&gt;1327&lt;/codeEdi&gt;</t>
  </si>
  <si>
    <t>&lt;codeEdi&gt;1328&lt;/codeEdi&gt;</t>
  </si>
  <si>
    <t>&lt;codeEdi&gt;1329&lt;/codeEdi&gt;</t>
  </si>
  <si>
    <t>&lt;codeEdi&gt;1330&lt;/codeEdi&gt;</t>
  </si>
  <si>
    <t>&lt;codeEdi&gt;1331&lt;/codeEdi&gt;</t>
  </si>
  <si>
    <t>&lt;codeEdi&gt;1332&lt;/codeEdi&gt;</t>
  </si>
  <si>
    <t>&lt;codeEdi&gt;4063&lt;/codeEdi&gt;</t>
  </si>
  <si>
    <t>&lt;codeEdi&gt;4066&lt;/codeEdi&gt;</t>
  </si>
  <si>
    <t>&lt;codeEdi&gt;1333&lt;/codeEdi&gt;</t>
  </si>
  <si>
    <t>&lt;codeEdi&gt;1334&lt;/codeEdi&gt;</t>
  </si>
  <si>
    <t>&lt;codeEdi&gt;1335&lt;/codeEdi&gt;</t>
  </si>
  <si>
    <t>&lt;codeEdi&gt;1336&lt;/codeEdi&gt;</t>
  </si>
  <si>
    <t>&lt;codeEdi&gt;1337&lt;/codeEdi&gt;</t>
  </si>
  <si>
    <t>&lt;codeEdi&gt;1338&lt;/codeEdi&gt;</t>
  </si>
  <si>
    <t>&lt;codeEdi&gt;1339&lt;/codeEdi&gt;</t>
  </si>
  <si>
    <t>&lt;codeEdi&gt;1340&lt;/codeEdi&gt;</t>
  </si>
  <si>
    <t>&lt;codeEdi&gt;1341&lt;/codeEdi&gt;</t>
  </si>
  <si>
    <t>&lt;codeEdi&gt;1342&lt;/codeEdi&gt;</t>
  </si>
  <si>
    <t>&lt;codeEdi&gt;1343&lt;/codeEdi&gt;</t>
  </si>
  <si>
    <t>&lt;codeEdi&gt;1344&lt;/codeEdi&gt;</t>
  </si>
  <si>
    <t>&lt;codeEdi&gt;1345&lt;/codeEdi&gt;</t>
  </si>
  <si>
    <t>&lt;codeEdi&gt;1346&lt;/codeEdi&gt;</t>
  </si>
  <si>
    <t>&lt;codeEdi&gt;1349&lt;/codeEdi&gt;</t>
  </si>
  <si>
    <t>&lt;codeEdi&gt;1350&lt;/codeEdi&gt;</t>
  </si>
  <si>
    <t>&lt;codeEdi&gt;1351&lt;/codeEdi&gt;</t>
  </si>
  <si>
    <t>&lt;codeEdi&gt;1352&lt;/codeEdi&gt;</t>
  </si>
  <si>
    <t>&lt;codeEdi&gt;1353&lt;/codeEdi&gt;</t>
  </si>
  <si>
    <t>&lt;codeEdi&gt;1354&lt;/codeEdi&gt;</t>
  </si>
  <si>
    <t>&lt;codeEdi&gt;1355&lt;/codeEdi&gt;</t>
  </si>
  <si>
    <t>&lt;codeEdi&gt;1356&lt;/codeEdi&gt;</t>
  </si>
  <si>
    <t>&lt;codeEdi&gt;1357&lt;/codeEdi&gt;</t>
  </si>
  <si>
    <t>&lt;codeEdi&gt;4064&lt;/codeEdi&gt;</t>
  </si>
  <si>
    <t>&lt;codeEdi&gt;4067&lt;/codeEdi&gt;</t>
  </si>
  <si>
    <t>&lt;codeEdi&gt;1372&lt;/codeEdi&gt;</t>
  </si>
  <si>
    <t>&lt;codeEdi&gt;1373&lt;/codeEdi&gt;</t>
  </si>
  <si>
    <t>&lt;codeEdi&gt;1374&lt;/codeEdi&gt;</t>
  </si>
  <si>
    <t>&lt;codeEdi&gt;1375&lt;/codeEdi&gt;</t>
  </si>
  <si>
    <t>&lt;codeEdi&gt;1376&lt;/codeEdi&gt;</t>
  </si>
  <si>
    <t>&lt;codeEdi&gt;1377&lt;/codeEdi&gt;</t>
  </si>
  <si>
    <t>&lt;codeEdi&gt;1378&lt;/codeEdi&gt;</t>
  </si>
  <si>
    <t>&lt;codeEdi&gt;1379&lt;/codeEdi&gt;</t>
  </si>
  <si>
    <t>&lt;codeEdi&gt;1380&lt;/codeEdi&gt;</t>
  </si>
  <si>
    <t>&lt;codeEdi&gt;1381&lt;/codeEdi&gt;</t>
  </si>
  <si>
    <t>&lt;codeEdi&gt;1382&lt;/codeEdi&gt;</t>
  </si>
  <si>
    <t>&lt;codeEdi&gt;1383&lt;/codeEdi&gt;</t>
  </si>
  <si>
    <t>&lt;codeEdi&gt;1384&lt;/codeEdi&gt;</t>
  </si>
  <si>
    <t>&lt;codeEdi&gt;1385&lt;/codeEdi&gt;</t>
  </si>
  <si>
    <t>&lt;codeEdi&gt;1386&lt;/codeEdi&gt;</t>
  </si>
  <si>
    <t>&lt;codeEdi&gt;1387&lt;/codeEdi&gt;</t>
  </si>
  <si>
    <t>&lt;codeEdi&gt;1388&lt;/codeEdi&gt;</t>
  </si>
  <si>
    <t>&lt;codeEdi&gt;1389&lt;/codeEdi&gt;</t>
  </si>
  <si>
    <t>&lt;codeEdi&gt;1390&lt;/codeEdi&gt;</t>
  </si>
  <si>
    <t>&lt;codeEdi&gt;1391&lt;/codeEdi&gt;</t>
  </si>
  <si>
    <t>&lt;codeEdi&gt;1392&lt;/codeEdi&gt;</t>
  </si>
  <si>
    <t>&lt;codeEdi&gt;1393&lt;/codeEdi&gt;</t>
  </si>
  <si>
    <t>&lt;codeEdi&gt;1394&lt;/codeEdi&gt;</t>
  </si>
  <si>
    <t>&lt;codeEdi&gt;1395&lt;/codeEdi&gt;</t>
  </si>
  <si>
    <t>&lt;codeEdi&gt;1396&lt;/codeEdi&gt;</t>
  </si>
  <si>
    <t>&lt;codeEdi&gt;1397&lt;/codeEdi&gt;</t>
  </si>
  <si>
    <t>&lt;codeEdi&gt;1398&lt;/codeEdi&gt;</t>
  </si>
  <si>
    <t>&lt;codeEdi&gt;1399&lt;/codeEdi&gt;</t>
  </si>
  <si>
    <t>&lt;tableau&gt;&lt;id&gt;34&lt;/id&gt;&lt;/tableau&gt;</t>
  </si>
  <si>
    <t>&lt;codeEdi&gt;1521&lt;/codeEdi&gt;</t>
  </si>
  <si>
    <t>&lt;codeEdi&gt;1522&lt;/codeEdi&gt;</t>
  </si>
  <si>
    <t>&lt;codeEdi&gt;1523&lt;/codeEdi&gt;</t>
  </si>
  <si>
    <t>&lt;codeEdi&gt;1524&lt;/codeEdi&gt;</t>
  </si>
  <si>
    <t>&lt;codeEdi&gt;1525&lt;/codeEdi&gt;</t>
  </si>
  <si>
    <t>&lt;codeEdi&gt;1526&lt;/codeEdi&gt;</t>
  </si>
  <si>
    <t>&lt;codeEdi&gt;1527&lt;/codeEdi&gt;</t>
  </si>
  <si>
    <t>&lt;codeEdi&gt;1528&lt;/codeEdi&gt;</t>
  </si>
  <si>
    <t>&lt;codeEdi&gt;1529&lt;/codeEdi&gt;</t>
  </si>
  <si>
    <t>&lt;codeEdi&gt;1530&lt;/codeEdi&gt;</t>
  </si>
  <si>
    <t>&lt;codeEdi&gt;1531&lt;/codeEdi&gt;</t>
  </si>
  <si>
    <t>&lt;codeEdi&gt;1532&lt;/codeEdi&gt;</t>
  </si>
  <si>
    <t>&lt;codeEdi&gt;1533&lt;/codeEdi&gt;</t>
  </si>
  <si>
    <t>&lt;codeEdi&gt;1534&lt;/codeEdi&gt;</t>
  </si>
  <si>
    <t>&lt;codeEdi&gt;1535&lt;/codeEdi&gt;</t>
  </si>
  <si>
    <t>&lt;codeEdi&gt;1536&lt;/codeEdi&gt;</t>
  </si>
  <si>
    <t>&lt;codeEdi&gt;1537&lt;/codeEdi&gt;</t>
  </si>
  <si>
    <t>&lt;codeEdi&gt;1538&lt;/codeEdi&gt;</t>
  </si>
  <si>
    <t>&lt;codeEdi&gt;1539&lt;/codeEdi&gt;</t>
  </si>
  <si>
    <t>&lt;codeEdi&gt;1540&lt;/codeEdi&gt;</t>
  </si>
  <si>
    <t>&lt;codeEdi&gt;1541&lt;/codeEdi&gt;</t>
  </si>
  <si>
    <t>&lt;codeEdi&gt;1542&lt;/codeEdi&gt;</t>
  </si>
  <si>
    <t>&lt;codeEdi&gt;1543&lt;/codeEdi&gt;</t>
  </si>
  <si>
    <t>&lt;codeEdi&gt;1544&lt;/codeEdi&gt;</t>
  </si>
  <si>
    <t>&lt;codeEdi&gt;1545&lt;/codeEdi&gt;</t>
  </si>
  <si>
    <t>&lt;codeEdi&gt;1546&lt;/codeEdi&gt;</t>
  </si>
  <si>
    <t>&lt;codeEdi&gt;1547&lt;/codeEdi&gt;</t>
  </si>
  <si>
    <t>&lt;codeEdi&gt;1548&lt;/codeEdi&gt;</t>
  </si>
  <si>
    <t>&lt;codeEdi&gt;1549&lt;/codeEdi&gt;</t>
  </si>
  <si>
    <t>&lt;codeEdi&gt;1552&lt;/codeEdi&gt;</t>
  </si>
  <si>
    <t>&lt;codeEdi&gt;1553&lt;/codeEdi&gt;</t>
  </si>
  <si>
    <t>&lt;codeEdi&gt;1550&lt;/codeEdi&gt;</t>
  </si>
  <si>
    <t>&lt;codeEdi&gt;1551&lt;/codeEdi&gt;</t>
  </si>
  <si>
    <t>&lt;codeEdi&gt;1733&lt;/codeEdi&gt;</t>
  </si>
  <si>
    <t>&lt;codeEdi&gt;1562&lt;/codeEdi&gt;</t>
  </si>
  <si>
    <t>&lt;codeEdi&gt;1563&lt;/codeEdi&gt;</t>
  </si>
  <si>
    <t>&lt;codeEdi&gt;1564&lt;/codeEdi&gt;</t>
  </si>
  <si>
    <t>&lt;codeEdi&gt;1565&lt;/codeEdi&gt;</t>
  </si>
  <si>
    <t>&lt;codeEdi&gt;1566&lt;/codeEdi&gt;</t>
  </si>
  <si>
    <t>&lt;codeEdi&gt;1567&lt;/codeEdi&gt;</t>
  </si>
  <si>
    <t>&lt;codeEdi&gt;1568&lt;/codeEdi&gt;</t>
  </si>
  <si>
    <t>&lt;codeEdi&gt;1569&lt;/codeEdi&gt;</t>
  </si>
  <si>
    <t>&lt;codeEdi&gt;1570&lt;/codeEdi&gt;</t>
  </si>
  <si>
    <t>&lt;codeEdi&gt;1571&lt;/codeEdi&gt;</t>
  </si>
  <si>
    <t>&lt;codeEdi&gt;1572&lt;/codeEdi&gt;</t>
  </si>
  <si>
    <t>&lt;codeEdi&gt;1573&lt;/codeEdi&gt;</t>
  </si>
  <si>
    <t>&lt;codeEdi&gt;1574&lt;/codeEdi&gt;</t>
  </si>
  <si>
    <t>&lt;codeEdi&gt;1575&lt;/codeEdi&gt;</t>
  </si>
  <si>
    <t>&lt;codeEdi&gt;1576&lt;/codeEdi&gt;</t>
  </si>
  <si>
    <t>&lt;codeEdi&gt;1577&lt;/codeEdi&gt;</t>
  </si>
  <si>
    <t>&lt;codeEdi&gt;1578&lt;/codeEdi&gt;</t>
  </si>
  <si>
    <t>&lt;codeEdi&gt;1579&lt;/codeEdi&gt;</t>
  </si>
  <si>
    <t>&lt;codeEdi&gt;1582&lt;/codeEdi&gt;</t>
  </si>
  <si>
    <t>&lt;codeEdi&gt;1583&lt;/codeEdi&gt;</t>
  </si>
  <si>
    <t>&lt;codeEdi&gt;1584&lt;/codeEdi&gt;</t>
  </si>
  <si>
    <t>&lt;codeEdi&gt;1585&lt;/codeEdi&gt;</t>
  </si>
  <si>
    <t>&lt;codeEdi&gt;1586&lt;/codeEdi&gt;</t>
  </si>
  <si>
    <t>&lt;codeEdi&gt;1587&lt;/codeEdi&gt;</t>
  </si>
  <si>
    <t>&lt;codeEdi&gt;1588&lt;/codeEdi&gt;</t>
  </si>
  <si>
    <t>&lt;codeEdi&gt;1589&lt;/codeEdi&gt;</t>
  </si>
  <si>
    <t>&lt;codeEdi&gt;1590&lt;/codeEdi&gt;</t>
  </si>
  <si>
    <t>&lt;codeEdi&gt;1591&lt;/codeEdi&gt;</t>
  </si>
  <si>
    <t>&lt;codeEdi&gt;1592&lt;/codeEdi&gt;</t>
  </si>
  <si>
    <t>&lt;codeEdi&gt;1593&lt;/codeEdi&gt;</t>
  </si>
  <si>
    <t>&lt;codeEdi&gt;1594&lt;/codeEdi&gt;</t>
  </si>
  <si>
    <t>&lt;codeEdi&gt;1734&lt;/codeEdi&gt;</t>
  </si>
  <si>
    <t>&lt;codeEdi&gt;10091&lt;/codeEdi&gt;</t>
  </si>
  <si>
    <t>&lt;codeEdi&gt;10420&lt;/codeEdi&gt;</t>
  </si>
  <si>
    <t>&lt;codeEdi&gt;1764&lt;/codeEdi&gt;</t>
  </si>
  <si>
    <t>&lt;codeEdi&gt;1765&lt;/codeEdi&gt;</t>
  </si>
  <si>
    <t>&lt;codeEdi&gt;1766&lt;/codeEdi&gt;</t>
  </si>
  <si>
    <t>&lt;codeEdi&gt;1767&lt;/codeEdi&gt;</t>
  </si>
  <si>
    <t>&lt;codeEdi&gt;1814&lt;/codeEdi&gt;</t>
  </si>
  <si>
    <t>&lt;codeEdi&gt;1815&lt;/codeEdi&gt;</t>
  </si>
  <si>
    <t>&lt;codeEdi&gt;1816&lt;/codeEdi&gt;</t>
  </si>
  <si>
    <t>&lt;codeEdi&gt;1817&lt;/codeEdi&gt;</t>
  </si>
  <si>
    <t>&lt;codeEdi&gt;1794&lt;/codeEdi&gt;</t>
  </si>
  <si>
    <t>&lt;codeEdi&gt;1795&lt;/codeEdi&gt;</t>
  </si>
  <si>
    <t>&lt;codeEdi&gt;1796&lt;/codeEdi&gt;</t>
  </si>
  <si>
    <t>&lt;codeEdi&gt;1797&lt;/codeEdi&gt;</t>
  </si>
  <si>
    <t>&lt;codeEdi&gt;1798&lt;/codeEdi&gt;</t>
  </si>
  <si>
    <t>&lt;codeEdi&gt;1792&lt;/codeEdi&gt;</t>
  </si>
  <si>
    <t>&lt;codeEdi&gt;1793&lt;/codeEdi&gt;</t>
  </si>
  <si>
    <t>&lt;codeEdi&gt;1807&lt;/codeEdi&gt;</t>
  </si>
  <si>
    <t>&lt;codeEdi&gt;1808&lt;/codeEdi&gt;</t>
  </si>
  <si>
    <t>&lt;codeEdi&gt;1809&lt;/codeEdi&gt;</t>
  </si>
  <si>
    <t>&lt;codeEdi&gt;1810&lt;/codeEdi&gt;</t>
  </si>
  <si>
    <t>&lt;codeEdi&gt;1811&lt;/codeEdi&gt;</t>
  </si>
  <si>
    <t>&lt;codeEdi&gt;1812&lt;/codeEdi&gt;</t>
  </si>
  <si>
    <t>&lt;codeEdi&gt;1813&lt;/codeEdi&gt;</t>
  </si>
  <si>
    <t>&lt;codeEdi&gt;1963&lt;/codeEdi&gt;</t>
  </si>
  <si>
    <t>&lt;codeEdi&gt;1964&lt;/codeEdi&gt;</t>
  </si>
  <si>
    <t>&lt;codeEdi&gt;1965&lt;/codeEdi&gt;</t>
  </si>
  <si>
    <t>&lt;codeEdi&gt;1966&lt;/codeEdi&gt;</t>
  </si>
  <si>
    <t>&lt;codeEdi&gt;1967&lt;/codeEdi&gt;</t>
  </si>
  <si>
    <t>&lt;codeEdi&gt;1968&lt;/codeEdi&gt;</t>
  </si>
  <si>
    <t>&lt;codeEdi&gt;1969&lt;/codeEdi&gt;</t>
  </si>
  <si>
    <t>&lt;codeEdi&gt;1970&lt;/codeEdi&gt;</t>
  </si>
  <si>
    <t>&lt;codeEdi&gt;1971&lt;/codeEdi&gt;</t>
  </si>
  <si>
    <t>&lt;codeEdi&gt;1974&lt;/codeEdi&gt;</t>
  </si>
  <si>
    <t>&lt;codeEdi&gt;1975&lt;/codeEdi&gt;</t>
  </si>
  <si>
    <t>&lt;codeEdi&gt;1976&lt;/codeEdi&gt;</t>
  </si>
  <si>
    <t>&lt;codeEdi&gt;1977&lt;/codeEdi&gt;</t>
  </si>
  <si>
    <t>&lt;codeEdi&gt;1978&lt;/codeEdi&gt;</t>
  </si>
  <si>
    <t>&lt;codeEdi&gt;1979&lt;/codeEdi&gt;</t>
  </si>
  <si>
    <t>&lt;codeEdi&gt;1980&lt;/codeEdi&gt;</t>
  </si>
  <si>
    <t>&lt;codeEdi&gt;1981&lt;/codeEdi&gt;</t>
  </si>
  <si>
    <t>&lt;codeEdi&gt;1982&lt;/codeEdi&gt;</t>
  </si>
  <si>
    <t>&lt;codeEdi&gt;1983&lt;/codeEdi&gt;</t>
  </si>
  <si>
    <t>&lt;codeEdi&gt;1984&lt;/codeEdi&gt;</t>
  </si>
  <si>
    <t>&lt;codeEdi&gt;1985&lt;/codeEdi&gt;</t>
  </si>
  <si>
    <t>&lt;codeEdi&gt;1986&lt;/codeEdi&gt;</t>
  </si>
  <si>
    <t>&lt;codeEdi&gt;1987&lt;/codeEdi&gt;</t>
  </si>
  <si>
    <t>&lt;codeEdi&gt;1988&lt;/codeEdi&gt;</t>
  </si>
  <si>
    <t>&lt;codeEdi&gt;1972&lt;/codeEdi&gt;</t>
  </si>
  <si>
    <t>&lt;codeEdi&gt;1973&lt;/codeEdi&gt;</t>
  </si>
  <si>
    <t>&lt;codeEdi&gt;1989&lt;/codeEdi&gt;</t>
  </si>
  <si>
    <t>&lt;codeEdi&gt;1990&lt;/codeEdi&gt;</t>
  </si>
  <si>
    <t>&lt;codeEdi&gt;1991&lt;/codeEdi&gt;</t>
  </si>
  <si>
    <t>&lt;codeEdi&gt;1992&lt;/codeEdi&gt;</t>
  </si>
  <si>
    <t>&lt;codeEdi&gt;1993&lt;/codeEdi&gt;</t>
  </si>
  <si>
    <t>&lt;codeEdi&gt;1994&lt;/codeEdi&gt;</t>
  </si>
  <si>
    <t>&lt;codeEdi&gt;1995&lt;/codeEdi&gt;</t>
  </si>
  <si>
    <t>&lt;codeEdi&gt;1996&lt;/codeEdi&gt;</t>
  </si>
  <si>
    <t>&lt;codeEdi&gt;1997&lt;/codeEdi&gt;</t>
  </si>
  <si>
    <t>&lt;codeEdi&gt;1998&lt;/codeEdi&gt;</t>
  </si>
  <si>
    <t>&lt;codeEdi&gt;1999&lt;/codeEdi&gt;</t>
  </si>
  <si>
    <t>&lt;codeEdi&gt;2000&lt;/codeEdi&gt;</t>
  </si>
  <si>
    <t>&lt;codeEdi&gt;2001&lt;/codeEdi&gt;</t>
  </si>
  <si>
    <t>&lt;codeEdi&gt;2002&lt;/codeEdi&gt;</t>
  </si>
  <si>
    <t>&lt;codeEdi&gt;2003&lt;/codeEdi&gt;</t>
  </si>
  <si>
    <t>&lt;codeEdi&gt;2004&lt;/codeEdi&gt;</t>
  </si>
  <si>
    <t>&lt;codeEdi&gt;2005&lt;/codeEdi&gt;</t>
  </si>
  <si>
    <t>&lt;codeEdi&gt;2006&lt;/codeEdi&gt;</t>
  </si>
  <si>
    <t>&lt;codeEdi&gt;2007&lt;/codeEdi&gt;</t>
  </si>
  <si>
    <t>&lt;codeEdi&gt;2008&lt;/codeEdi&gt;</t>
  </si>
  <si>
    <t>&lt;codeEdi&gt;2009&lt;/codeEdi&gt;</t>
  </si>
  <si>
    <t>&lt;codeEdi&gt;2010&lt;/codeEdi&gt;</t>
  </si>
  <si>
    <t>&lt;codeEdi&gt;2011&lt;/codeEdi&gt;</t>
  </si>
  <si>
    <t>&lt;codeEdi&gt;2012&lt;/codeEdi&gt;</t>
  </si>
  <si>
    <t>&lt;codeEdi&gt;2013&lt;/codeEdi&gt;</t>
  </si>
  <si>
    <t>&lt;codeEdi&gt;2014&lt;/codeEdi&gt;</t>
  </si>
  <si>
    <t>&lt;codeEdi&gt;2022&lt;/codeEdi&gt;</t>
  </si>
  <si>
    <t>&lt;codeEdi&gt;2024&lt;/codeEdi&gt;</t>
  </si>
  <si>
    <t>&lt;codeEdi&gt;2025&lt;/codeEdi&gt;</t>
  </si>
  <si>
    <t>&lt;codeEdi&gt;2026&lt;/codeEdi&gt;</t>
  </si>
  <si>
    <t>&lt;codeEdi&gt;2027&lt;/codeEdi&gt;</t>
  </si>
  <si>
    <t>&lt;codeEdi&gt;2028&lt;/codeEdi&gt;</t>
  </si>
  <si>
    <t>&lt;codeEdi&gt;2029&lt;/codeEdi&gt;</t>
  </si>
  <si>
    <t>&lt;codeEdi&gt;2031&lt;/codeEdi&gt;</t>
  </si>
  <si>
    <t>&lt;codeEdi&gt;2032&lt;/codeEdi&gt;</t>
  </si>
  <si>
    <t>&lt;codeEdi&gt;2033&lt;/codeEdi&gt;</t>
  </si>
  <si>
    <t>&lt;codeEdi&gt;2034&lt;/codeEdi&gt;</t>
  </si>
  <si>
    <t>&lt;codeEdi&gt;2035&lt;/codeEdi&gt;</t>
  </si>
  <si>
    <t>&lt;code&gt;70&lt;/code&gt;</t>
  </si>
  <si>
    <t>&lt;tableau&gt;&lt;id&gt;24&lt;/id&gt;&lt;/tableau&gt;</t>
  </si>
  <si>
    <t>&lt;codeEdi&gt;1231&lt;/codeEdi&gt;</t>
  </si>
  <si>
    <t>&lt;codeEdi&gt;1241&lt;/codeEdi&gt;</t>
  </si>
  <si>
    <t>&lt;codeEdi&gt;1246&lt;/codeEdi&gt;</t>
  </si>
  <si>
    <t>&lt;codeEdi&gt;1236&lt;/codeEdi&gt;</t>
  </si>
  <si>
    <t>&lt;codeEdi&gt;1232&lt;/codeEdi&gt;</t>
  </si>
  <si>
    <t>&lt;codeEdi&gt;1242&lt;/codeEdi&gt;</t>
  </si>
  <si>
    <t>&lt;codeEdi&gt;1247&lt;/codeEdi&gt;</t>
  </si>
  <si>
    <t>&lt;codeEdi&gt;1237&lt;/codeEdi&gt;</t>
  </si>
  <si>
    <t>&lt;codeEdi&gt;1233&lt;/codeEdi&gt;</t>
  </si>
  <si>
    <t>&lt;codeEdi&gt;1238&lt;/codeEdi&gt;</t>
  </si>
  <si>
    <t>&lt;codeEdi&gt;1243&lt;/codeEdi&gt;</t>
  </si>
  <si>
    <t>&lt;codeEdi&gt;1248&lt;/codeEdi&gt;</t>
  </si>
  <si>
    <t>&lt;codeEdi&gt;1234&lt;/codeEdi&gt;</t>
  </si>
  <si>
    <t>&lt;codeEdi&gt;1239&lt;/codeEdi&gt;</t>
  </si>
  <si>
    <t>&lt;codeEdi&gt;1244&lt;/codeEdi&gt;</t>
  </si>
  <si>
    <t>&lt;codeEdi&gt;1249&lt;/codeEdi&gt;</t>
  </si>
  <si>
    <t>&lt;cellule&gt;&lt;codeEdi&gt;12122&lt;/codeEdi&gt;&lt;/cellule&gt;</t>
  </si>
  <si>
    <t>&lt;cellule&gt;&lt;codeEdi&gt;12123&lt;/codeEdi&gt;&lt;/cellule&gt;</t>
  </si>
  <si>
    <t>&lt;cellule&gt;&lt;codeEdi&gt;12124&lt;/codeEdi&gt;&lt;/cellule&gt;</t>
  </si>
  <si>
    <t>&lt;cellule&gt;&lt;codeEdi&gt;12125&lt;/codeEdi&gt;&lt;/cellule&gt;</t>
  </si>
  <si>
    <t>&lt;codeEdi&gt;1624&lt;/codeEdi&gt;</t>
  </si>
  <si>
    <t>&lt;codeEdi&gt;1625&lt;/codeEdi&gt;</t>
  </si>
  <si>
    <t>&lt;codeEdi&gt;1626&lt;/codeEdi&gt;</t>
  </si>
  <si>
    <t>&lt;codeEdi&gt;1627&lt;/codeEdi&gt;</t>
  </si>
  <si>
    <t>&lt;codeEdi&gt;1628&lt;/codeEdi&gt;</t>
  </si>
  <si>
    <t>&lt;codeEdi&gt;1629&lt;/codeEdi&gt;</t>
  </si>
  <si>
    <t>&lt;codeEdi&gt;1630&lt;/codeEdi&gt;</t>
  </si>
  <si>
    <t>&lt;codeEdi&gt;1631&lt;/codeEdi&gt;</t>
  </si>
  <si>
    <t>&lt;codeEdi&gt;1632&lt;/codeEdi&gt;</t>
  </si>
  <si>
    <t>&lt;codeEdi&gt;1633&lt;/codeEdi&gt;</t>
  </si>
  <si>
    <t>&lt;codeEdi&gt;1650&lt;/codeEdi&gt;</t>
  </si>
  <si>
    <t>&lt;codeEdi&gt;1651&lt;/codeEdi&gt;</t>
  </si>
  <si>
    <t>&lt;codeEdi&gt;1652&lt;/codeEdi&gt;</t>
  </si>
  <si>
    <t>&lt;codeEdi&gt;1653&lt;/codeEdi&gt;</t>
  </si>
  <si>
    <t>&lt;codeEdi&gt;1654&lt;/codeEdi&gt;</t>
  </si>
  <si>
    <t>&lt;codeEdi&gt;1679&lt;/codeEdi&gt;</t>
  </si>
  <si>
    <t>&lt;codeEdi&gt;1680&lt;/codeEdi&gt;</t>
  </si>
  <si>
    <t>&lt;codeEdi&gt;1681&lt;/codeEdi&gt;</t>
  </si>
  <si>
    <t>&lt;codeEdi&gt;1682&lt;/codeEdi&gt;</t>
  </si>
  <si>
    <t>&lt;codeEdi&gt;1683&lt;/codeEdi&gt;</t>
  </si>
  <si>
    <t>&lt;codeEdi&gt;1700&lt;/codeEdi&gt;</t>
  </si>
  <si>
    <t>&lt;codeEdi&gt;1701&lt;/codeEdi&gt;</t>
  </si>
  <si>
    <t>&lt;codeEdi&gt;1702&lt;/codeEdi&gt;</t>
  </si>
  <si>
    <t>&lt;codeEdi&gt;1703&lt;/codeEdi&gt;</t>
  </si>
  <si>
    <t>&lt;codeEdi&gt;1704&lt;/codeEdi&gt;</t>
  </si>
  <si>
    <t>&lt;codeEdi&gt;1705&lt;/codeEdi&gt;</t>
  </si>
  <si>
    <t>&lt;codeEdi&gt;1706&lt;/codeEdi&gt;</t>
  </si>
  <si>
    <t>&lt;codeEdi&gt;1707&lt;/codeEdi&gt;</t>
  </si>
  <si>
    <t>&lt;codeEdi&gt;1708&lt;/codeEdi&gt;</t>
  </si>
  <si>
    <t>&lt;codeEdi&gt;1709&lt;/codeEdi&gt;</t>
  </si>
  <si>
    <t>&lt;codeEdi&gt;1710&lt;/codeEdi&gt;</t>
  </si>
  <si>
    <t>&lt;codeEdi&gt;1711&lt;/codeEdi&gt;</t>
  </si>
  <si>
    <t>&lt;codeEdi&gt;1712&lt;/codeEdi&gt;</t>
  </si>
  <si>
    <t>&lt;codeEdi&gt;1713&lt;/codeEdi&gt;</t>
  </si>
  <si>
    <t>&lt;codeEdi&gt;1714&lt;/codeEdi&gt;</t>
  </si>
  <si>
    <t>&lt;codeEdi&gt;1715&lt;/codeEdi&gt;</t>
  </si>
  <si>
    <t>&lt;codeEdi&gt;1716&lt;/codeEdi&gt;</t>
  </si>
  <si>
    <t>&lt;codeEdi&gt;1717&lt;/codeEdi&gt;</t>
  </si>
  <si>
    <t>&lt;codeEdi&gt;1718&lt;/codeEdi&gt;</t>
  </si>
  <si>
    <t>&lt;codeEdi&gt;1719&lt;/codeEdi&gt;</t>
  </si>
  <si>
    <t>&lt;codeEdi&gt;1720&lt;/codeEdi&gt;</t>
  </si>
  <si>
    <t>&lt;codeEdi&gt;1721&lt;/codeEdi&gt;</t>
  </si>
  <si>
    <t>&lt;codeEdi&gt;1722&lt;/codeEdi&gt;</t>
  </si>
  <si>
    <t>&lt;codeEdi&gt;1723&lt;/codeEdi&gt;</t>
  </si>
  <si>
    <t>&lt;codeEdi&gt;1724&lt;/codeEdi&gt;</t>
  </si>
  <si>
    <t>&lt;codeEdi&gt;1725&lt;/codeEdi&gt;</t>
  </si>
  <si>
    <t>&lt;codeEdi&gt;1726&lt;/codeEdi&gt;</t>
  </si>
  <si>
    <t>&lt;codeEdi&gt;1727&lt;/codeEdi&gt;</t>
  </si>
  <si>
    <t>&lt;codeEdi&gt;1728&lt;/codeEdi&gt;</t>
  </si>
  <si>
    <t>&lt;codeEdi&gt;1729&lt;/codeEdi&gt;</t>
  </si>
  <si>
    <t>&lt;codeEdi&gt;1730&lt;/codeEdi&gt;</t>
  </si>
  <si>
    <t>&lt;codeEdi&gt;1731&lt;/codeEdi&gt;</t>
  </si>
  <si>
    <t>&lt;tableau&gt;&lt;id&gt;37&lt;/id&gt;&lt;/tableau&gt;</t>
  </si>
  <si>
    <t>&lt;codeEdi&gt;1748&lt;/codeEdi&gt;</t>
  </si>
  <si>
    <t>&lt;codeEdi&gt;1784&lt;/codeEdi&gt;</t>
  </si>
  <si>
    <t>&lt;codeEdi&gt;1827&lt;/codeEdi&gt;</t>
  </si>
  <si>
    <t>&lt;codeEdi&gt;1844&lt;/codeEdi&gt;</t>
  </si>
  <si>
    <t>&lt;codeEdi&gt;1877&lt;/codeEdi&gt;</t>
  </si>
  <si>
    <t>&lt;codeEdi&gt;1894&lt;/codeEdi&gt;</t>
  </si>
  <si>
    <t>&lt;codeEdi&gt;1903&lt;/codeEdi&gt;</t>
  </si>
  <si>
    <t>&lt;codeEdi&gt;1921&lt;/codeEdi&gt;</t>
  </si>
  <si>
    <t>&lt;codeEdi&gt;1912&lt;/codeEdi&gt;</t>
  </si>
  <si>
    <t>&lt;codeEdi&gt;1749&lt;/codeEdi&gt;</t>
  </si>
  <si>
    <t>&lt;codeEdi&gt;1785&lt;/codeEdi&gt;</t>
  </si>
  <si>
    <t>&lt;codeEdi&gt;1828&lt;/codeEdi&gt;</t>
  </si>
  <si>
    <t>&lt;codeEdi&gt;1845&lt;/codeEdi&gt;</t>
  </si>
  <si>
    <t>&lt;codeEdi&gt;1878&lt;/codeEdi&gt;</t>
  </si>
  <si>
    <t>&lt;codeEdi&gt;1895&lt;/codeEdi&gt;</t>
  </si>
  <si>
    <t>&lt;codeEdi&gt;1904&lt;/codeEdi&gt;</t>
  </si>
  <si>
    <t>&lt;codeEdi&gt;1922&lt;/codeEdi&gt;</t>
  </si>
  <si>
    <t>&lt;codeEdi&gt;1913&lt;/codeEdi&gt;</t>
  </si>
  <si>
    <t>&lt;codeEdi&gt;1750&lt;/codeEdi&gt;</t>
  </si>
  <si>
    <t>&lt;codeEdi&gt;1786&lt;/codeEdi&gt;</t>
  </si>
  <si>
    <t>&lt;codeEdi&gt;1829&lt;/codeEdi&gt;</t>
  </si>
  <si>
    <t>&lt;codeEdi&gt;1846&lt;/codeEdi&gt;</t>
  </si>
  <si>
    <t>&lt;codeEdi&gt;1879&lt;/codeEdi&gt;</t>
  </si>
  <si>
    <t>&lt;codeEdi&gt;1896&lt;/codeEdi&gt;</t>
  </si>
  <si>
    <t>&lt;codeEdi&gt;1905&lt;/codeEdi&gt;</t>
  </si>
  <si>
    <t>&lt;codeEdi&gt;1914&lt;/codeEdi&gt;</t>
  </si>
  <si>
    <t>&lt;codeEdi&gt;1923&lt;/codeEdi&gt;</t>
  </si>
  <si>
    <t>&lt;codeEdi&gt;1751&lt;/codeEdi&gt;</t>
  </si>
  <si>
    <t>&lt;codeEdi&gt;1787&lt;/codeEdi&gt;</t>
  </si>
  <si>
    <t>&lt;codeEdi&gt;1830&lt;/codeEdi&gt;</t>
  </si>
  <si>
    <t>&lt;codeEdi&gt;1847&lt;/codeEdi&gt;</t>
  </si>
  <si>
    <t>&lt;codeEdi&gt;1880&lt;/codeEdi&gt;</t>
  </si>
  <si>
    <t>&lt;codeEdi&gt;1897&lt;/codeEdi&gt;</t>
  </si>
  <si>
    <t>&lt;codeEdi&gt;1906&lt;/codeEdi&gt;</t>
  </si>
  <si>
    <t>&lt;codeEdi&gt;1915&lt;/codeEdi&gt;</t>
  </si>
  <si>
    <t>&lt;codeEdi&gt;1924&lt;/codeEdi&gt;</t>
  </si>
  <si>
    <t>&lt;codeEdi&gt;1752&lt;/codeEdi&gt;</t>
  </si>
  <si>
    <t>&lt;codeEdi&gt;1788&lt;/codeEdi&gt;</t>
  </si>
  <si>
    <t>&lt;codeEdi&gt;1831&lt;/codeEdi&gt;</t>
  </si>
  <si>
    <t>&lt;codeEdi&gt;1848&lt;/codeEdi&gt;</t>
  </si>
  <si>
    <t>&lt;codeEdi&gt;1881&lt;/codeEdi&gt;</t>
  </si>
  <si>
    <t>&lt;codeEdi&gt;1898&lt;/codeEdi&gt;</t>
  </si>
  <si>
    <t>&lt;codeEdi&gt;1907&lt;/codeEdi&gt;</t>
  </si>
  <si>
    <t>&lt;codeEdi&gt;1916&lt;/codeEdi&gt;</t>
  </si>
  <si>
    <t>&lt;codeEdi&gt;1925&lt;/codeEdi&gt;</t>
  </si>
  <si>
    <t>&lt;codeEdi&gt;1753&lt;/codeEdi&gt;</t>
  </si>
  <si>
    <t>&lt;codeEdi&gt;1789&lt;/codeEdi&gt;</t>
  </si>
  <si>
    <t>&lt;codeEdi&gt;1832&lt;/codeEdi&gt;</t>
  </si>
  <si>
    <t>&lt;codeEdi&gt;1849&lt;/codeEdi&gt;</t>
  </si>
  <si>
    <t>&lt;codeEdi&gt;1882&lt;/codeEdi&gt;</t>
  </si>
  <si>
    <t>&lt;codeEdi&gt;1899&lt;/codeEdi&gt;</t>
  </si>
  <si>
    <t>&lt;codeEdi&gt;1908&lt;/codeEdi&gt;</t>
  </si>
  <si>
    <t>&lt;codeEdi&gt;1917&lt;/codeEdi&gt;</t>
  </si>
  <si>
    <t>&lt;codeEdi&gt;1926&lt;/codeEdi&gt;</t>
  </si>
  <si>
    <t>&lt;codeEdi&gt;1754&lt;/codeEdi&gt;</t>
  </si>
  <si>
    <t>&lt;codeEdi&gt;1790&lt;/codeEdi&gt;</t>
  </si>
  <si>
    <t>&lt;codeEdi&gt;1833&lt;/codeEdi&gt;</t>
  </si>
  <si>
    <t>&lt;codeEdi&gt;1850&lt;/codeEdi&gt;</t>
  </si>
  <si>
    <t>&lt;codeEdi&gt;1883&lt;/codeEdi&gt;</t>
  </si>
  <si>
    <t>&lt;codeEdi&gt;1900&lt;/codeEdi&gt;</t>
  </si>
  <si>
    <t>&lt;codeEdi&gt;1909&lt;/codeEdi&gt;</t>
  </si>
  <si>
    <t>&lt;codeEdi&gt;1918&lt;/codeEdi&gt;</t>
  </si>
  <si>
    <t>&lt;codeEdi&gt;1927&lt;/codeEdi&gt;</t>
  </si>
  <si>
    <t>&lt;codeEdi&gt;1755&lt;/codeEdi&gt;</t>
  </si>
  <si>
    <t>&lt;codeEdi&gt;1791&lt;/codeEdi&gt;</t>
  </si>
  <si>
    <t>&lt;codeEdi&gt;1834&lt;/codeEdi&gt;</t>
  </si>
  <si>
    <t>&lt;codeEdi&gt;1851&lt;/codeEdi&gt;</t>
  </si>
  <si>
    <t>&lt;codeEdi&gt;1884&lt;/codeEdi&gt;</t>
  </si>
  <si>
    <t>&lt;codeEdi&gt;1901&lt;/codeEdi&gt;</t>
  </si>
  <si>
    <t>&lt;codeEdi&gt;1910&lt;/codeEdi&gt;</t>
  </si>
  <si>
    <t>&lt;codeEdi&gt;1919&lt;/codeEdi&gt;</t>
  </si>
  <si>
    <t>&lt;codeEdi&gt;1928&lt;/codeEdi&gt;</t>
  </si>
  <si>
    <t>&lt;code&gt;71&lt;/code&gt;</t>
  </si>
  <si>
    <t>&lt;tableau&gt;&lt;id&gt;38&lt;/id&gt;&lt;/tableau&gt;</t>
  </si>
  <si>
    <t>&lt;cellule&gt;&lt;codeEdi&gt;1929&lt;/codeEdi&gt;&lt;/cellule&gt;</t>
  </si>
  <si>
    <t>&lt;cellule&gt;&lt;codeEdi&gt;1930&lt;/codeEdi&gt;&lt;/cellule&gt;</t>
  </si>
  <si>
    <t>&lt;cellule&gt;&lt;codeEdi&gt;1931&lt;/codeEdi&gt;&lt;/cellule&gt;</t>
  </si>
  <si>
    <t>&lt;cellule&gt;&lt;codeEdi&gt;1932&lt;/codeEdi&gt;&lt;/cellule&gt;</t>
  </si>
  <si>
    <t>&lt;cellule&gt;&lt;codeEdi&gt;1933&lt;/codeEdi&gt;&lt;/cellule&gt;</t>
  </si>
  <si>
    <t>&lt;cellule&gt;&lt;codeEdi&gt;1934&lt;/codeEdi&gt;&lt;/cellule&gt;</t>
  </si>
  <si>
    <t>&lt;cellule&gt;&lt;codeEdi&gt;1935&lt;/codeEdi&gt;&lt;/cellule&gt;</t>
  </si>
  <si>
    <t>&lt;cellule&gt;&lt;codeEdi&gt;1936&lt;/codeEdi&gt;&lt;/cellule&gt;</t>
  </si>
  <si>
    <t>&lt;codeEdi&gt;2037&lt;/codeEdi&gt;</t>
  </si>
  <si>
    <t>&lt;codeEdi&gt;2038&lt;/codeEdi&gt;</t>
  </si>
  <si>
    <t>&lt;codeEdi&gt;2039&lt;/codeEdi&gt;</t>
  </si>
  <si>
    <t>&lt;codeEdi&gt;2040&lt;/codeEdi&gt;</t>
  </si>
  <si>
    <t>&lt;codeEdi&gt;2041&lt;/codeEdi&gt;</t>
  </si>
  <si>
    <t>&lt;codeEdi&gt;2042&lt;/codeEdi&gt;</t>
  </si>
  <si>
    <t>&lt;codeEdi&gt;2043&lt;/codeEdi&gt;</t>
  </si>
  <si>
    <t>&lt;code&gt;72&lt;/code&gt;</t>
  </si>
  <si>
    <t>&lt;tableau&gt;&lt;id&gt;39&lt;/id&gt;&lt;/tableau&gt;</t>
  </si>
  <si>
    <t>&lt;cellule&gt;&lt;codeEdi&gt;2044&lt;/codeEdi&gt;&lt;/cellule&gt;</t>
  </si>
  <si>
    <t>&lt;cellule&gt;&lt;codeEdi&gt;2045&lt;/codeEdi&gt;&lt;/cellule&gt;</t>
  </si>
  <si>
    <t>&lt;cellule&gt;&lt;codeEdi&gt;2046&lt;/codeEdi&gt;&lt;/cellule&gt;</t>
  </si>
  <si>
    <t>&lt;cellule&gt;&lt;codeEdi&gt;2047&lt;/codeEdi&gt;&lt;/cellule&gt;</t>
  </si>
  <si>
    <t>&lt;cellule&gt;&lt;codeEdi&gt;2048&lt;/codeEdi&gt;&lt;/cellule&gt;</t>
  </si>
  <si>
    <t>&lt;cellule&gt;&lt;codeEdi&gt;2049&lt;/codeEdi&gt;&lt;/cellule&gt;</t>
  </si>
  <si>
    <t>&lt;cellule&gt;&lt;codeEdi&gt;2050&lt;/codeEdi&gt;&lt;/cellule&gt;</t>
  </si>
  <si>
    <t>&lt;cellule&gt;&lt;codeEdi&gt;2051&lt;/codeEdi&gt;&lt;/cellule&gt;</t>
  </si>
  <si>
    <t>&lt;cellule&gt;&lt;codeEdi&gt;2052&lt;/codeEdi&gt;&lt;/cellule&gt;</t>
  </si>
  <si>
    <t>&lt;cellule&gt;&lt;codeEdi&gt;2053&lt;/codeEdi&gt;&lt;/cellule&gt;</t>
  </si>
  <si>
    <t>&lt;codeEdi&gt;2056&lt;/codeEdi&gt;</t>
  </si>
  <si>
    <t>&lt;codeEdi&gt;2057&lt;/codeEdi&gt;</t>
  </si>
  <si>
    <t>&lt;codeEdi&gt;2058&lt;/codeEdi&gt;</t>
  </si>
  <si>
    <t>&lt;codeEdi&gt;2059&lt;/codeEdi&gt;</t>
  </si>
  <si>
    <t>&lt;codeEdi&gt;2060&lt;/codeEdi&gt;</t>
  </si>
  <si>
    <t>&lt;codeEdi&gt;2061&lt;/codeEdi&gt;</t>
  </si>
  <si>
    <t>&lt;codeEdi&gt;2062&lt;/codeEdi&gt;</t>
  </si>
  <si>
    <t>&lt;codeEdi&gt;2063&lt;/codeEdi&gt;</t>
  </si>
  <si>
    <t>&lt;tableau&gt;&lt;id&gt;40&lt;/id&gt;&lt;/tableau&gt;</t>
  </si>
  <si>
    <t>&lt;codeEdi&gt;2065&lt;/codeEdi&gt;</t>
  </si>
  <si>
    <t>&lt;codeEdi&gt;2070&lt;/codeEdi&gt;</t>
  </si>
  <si>
    <t>&lt;codeEdi&gt;2075&lt;/codeEdi&gt;</t>
  </si>
  <si>
    <t>&lt;codeEdi&gt;2080&lt;/codeEdi&gt;</t>
  </si>
  <si>
    <t>&lt;codeEdi&gt;2085&lt;/codeEdi&gt;</t>
  </si>
  <si>
    <t>&lt;codeEdi&gt;2066&lt;/codeEdi&gt;</t>
  </si>
  <si>
    <t>&lt;codeEdi&gt;2071&lt;/codeEdi&gt;</t>
  </si>
  <si>
    <t>&lt;codeEdi&gt;2076&lt;/codeEdi&gt;</t>
  </si>
  <si>
    <t>&lt;codeEdi&gt;2081&lt;/codeEdi&gt;</t>
  </si>
  <si>
    <t>&lt;codeEdi&gt;2086&lt;/codeEdi&gt;</t>
  </si>
  <si>
    <t>&lt;codeEdi&gt;2067&lt;/codeEdi&gt;</t>
  </si>
  <si>
    <t>&lt;codeEdi&gt;2072&lt;/codeEdi&gt;</t>
  </si>
  <si>
    <t>&lt;codeEdi&gt;2077&lt;/codeEdi&gt;</t>
  </si>
  <si>
    <t>&lt;codeEdi&gt;2082&lt;/codeEdi&gt;</t>
  </si>
  <si>
    <t>&lt;codeEdi&gt;2087&lt;/codeEdi&gt;</t>
  </si>
  <si>
    <t>&lt;codeEdi&gt;2068&lt;/codeEdi&gt;</t>
  </si>
  <si>
    <t>&lt;codeEdi&gt;2073&lt;/codeEdi&gt;</t>
  </si>
  <si>
    <t>&lt;codeEdi&gt;2078&lt;/codeEdi&gt;</t>
  </si>
  <si>
    <t>&lt;codeEdi&gt;2083&lt;/codeEdi&gt;</t>
  </si>
  <si>
    <t>&lt;codeEdi&gt;2088&lt;/codeEdi&gt;</t>
  </si>
  <si>
    <t>&lt;tableau&gt;&lt;id&gt;5&lt;/id&gt;&lt;/tableau&gt;</t>
  </si>
  <si>
    <t>&lt;codeEdi&gt;471&lt;/codeEdi&gt;</t>
  </si>
  <si>
    <t>&lt;codeEdi&gt;473&lt;/codeEdi&gt;</t>
  </si>
  <si>
    <t>&lt;codeEdi&gt;475&lt;/codeEdi&gt;</t>
  </si>
  <si>
    <t>&lt;codeEdi&gt;477&lt;/codeEdi&gt;</t>
  </si>
  <si>
    <t>&lt;codeEdi&gt;479&lt;/codeEdi&gt;</t>
  </si>
  <si>
    <t>&lt;codeEdi&gt;481&lt;/codeEdi&gt;</t>
  </si>
  <si>
    <t>&lt;codeEdi&gt;483&lt;/codeEdi&gt;</t>
  </si>
  <si>
    <t>&lt;codeEdi&gt;485&lt;/codeEdi&gt;</t>
  </si>
  <si>
    <t>&lt;codeEdi&gt;487&lt;/codeEdi&gt;</t>
  </si>
  <si>
    <t>&lt;codeEdi&gt;489&lt;/codeEdi&gt;</t>
  </si>
  <si>
    <t>&lt;codeEdi&gt;491&lt;/codeEdi&gt;</t>
  </si>
  <si>
    <t>&lt;codeEdi&gt;493&lt;/codeEdi&gt;</t>
  </si>
  <si>
    <t>&lt;codeEdi&gt;495&lt;/codeEdi&gt;</t>
  </si>
  <si>
    <t>&lt;tableau&gt;&lt;id&gt;12&lt;/id&gt;&lt;/tableau&gt;</t>
  </si>
  <si>
    <t>&lt;cellule&gt;&lt;codeEdi&gt;10061&lt;/codeEdi&gt;&lt;/cellule&gt;</t>
  </si>
  <si>
    <t>&lt;cellule&gt;&lt;codeEdi&gt;1078&lt;/codeEdi&gt;&lt;/cellule&gt;</t>
  </si>
  <si>
    <t>&lt;cellule&gt;&lt;codeEdi&gt;1079&lt;/codeEdi&gt;&lt;/cellule&gt;</t>
  </si>
  <si>
    <t>&lt;cellule&gt;&lt;codeEdi&gt;1080&lt;/codeEdi&gt;&lt;/cellule&gt;</t>
  </si>
  <si>
    <t>&lt;cellule&gt;&lt;codeEdi&gt;1081&lt;/codeEdi&gt;&lt;/cellule&gt;</t>
  </si>
  <si>
    <t>&lt;cellule&gt;&lt;codeEdi&gt;1082&lt;/codeEdi&gt;&lt;/cellule&gt;</t>
  </si>
  <si>
    <t>&lt;cellule&gt;&lt;codeEdi&gt;1083&lt;/codeEdi&gt;&lt;/cellule&gt;</t>
  </si>
  <si>
    <t>&lt;cellule&gt;&lt;codeEdi&gt;1084&lt;/codeEdi&gt;&lt;/cellule&gt;</t>
  </si>
  <si>
    <t>&lt;cellule&gt;&lt;codeEdi&gt;1085&lt;/codeEdi&gt;&lt;/cellule&gt;</t>
  </si>
  <si>
    <t>&lt;cellule&gt;&lt;codeEdi&gt;1086&lt;/codeEdi&gt;&lt;/cellule&gt;</t>
  </si>
  <si>
    <t>&lt;codeEdi&gt;1088&lt;/codeEdi&gt;</t>
  </si>
  <si>
    <t>&lt;codeEdi&gt;1089&lt;/codeEdi&gt;</t>
  </si>
  <si>
    <t>&lt;codeEdi&gt;1090&lt;/codeEdi&gt;</t>
  </si>
  <si>
    <t>&lt;codeEdi&gt;1091&lt;/codeEdi&gt;</t>
  </si>
  <si>
    <t>&lt;codeEdi&gt;1093&lt;/codeEdi&gt;</t>
  </si>
  <si>
    <t>&lt;codeEdi&gt;1094&lt;/codeEdi&gt;</t>
  </si>
  <si>
    <t>&lt;code&gt;22&lt;/code&gt;</t>
  </si>
  <si>
    <t>&lt;code&gt;50&lt;/code&gt;</t>
  </si>
  <si>
    <t>&lt;code&gt;51&lt;/code&gt;</t>
  </si>
  <si>
    <t>&lt;code&gt;52&lt;/code&gt;</t>
  </si>
  <si>
    <t>&lt;tableau&gt;&lt;id&gt;26&lt;/id&gt;&lt;/tableau&gt;</t>
  </si>
  <si>
    <t>&lt;codeEdi&gt;1110&lt;/codeEdi&gt;</t>
  </si>
  <si>
    <t>&lt;codeEdi&gt;1119&lt;/codeEdi&gt;</t>
  </si>
  <si>
    <t>&lt;codeEdi&gt;1128&lt;/codeEdi&gt;</t>
  </si>
  <si>
    <t>&lt;codeEdi&gt;1137&lt;/codeEdi&gt;</t>
  </si>
  <si>
    <t>&lt;codeEdi&gt;1146&lt;/codeEdi&gt;</t>
  </si>
  <si>
    <t>&lt;codeEdi&gt;1155&lt;/codeEdi&gt;</t>
  </si>
  <si>
    <t>&lt;codeEdi&gt;1164&lt;/codeEdi&gt;</t>
  </si>
  <si>
    <t>&lt;codeEdi&gt;1173&lt;/codeEdi&gt;</t>
  </si>
  <si>
    <t>&lt;codeEdi&gt;1182&lt;/codeEdi&gt;</t>
  </si>
  <si>
    <t>&lt;codeEdi&gt;1191&lt;/codeEdi&gt;</t>
  </si>
  <si>
    <t>&lt;codeEdi&gt;1200&lt;/codeEdi&gt;</t>
  </si>
  <si>
    <t>&lt;codeEdi&gt;1111&lt;/codeEdi&gt;</t>
  </si>
  <si>
    <t>&lt;codeEdi&gt;1120&lt;/codeEdi&gt;</t>
  </si>
  <si>
    <t>&lt;codeEdi&gt;1129&lt;/codeEdi&gt;</t>
  </si>
  <si>
    <t>&lt;codeEdi&gt;1138&lt;/codeEdi&gt;</t>
  </si>
  <si>
    <t>&lt;codeEdi&gt;1147&lt;/codeEdi&gt;</t>
  </si>
  <si>
    <t>&lt;codeEdi&gt;1156&lt;/codeEdi&gt;</t>
  </si>
  <si>
    <t>&lt;codeEdi&gt;1165&lt;/codeEdi&gt;</t>
  </si>
  <si>
    <t>&lt;codeEdi&gt;1174&lt;/codeEdi&gt;</t>
  </si>
  <si>
    <t>&lt;codeEdi&gt;1183&lt;/codeEdi&gt;</t>
  </si>
  <si>
    <t>&lt;codeEdi&gt;1192&lt;/codeEdi&gt;</t>
  </si>
  <si>
    <t>&lt;codeEdi&gt;1201&lt;/codeEdi&gt;</t>
  </si>
  <si>
    <t>&lt;codeEdi&gt;1112&lt;/codeEdi&gt;</t>
  </si>
  <si>
    <t>&lt;codeEdi&gt;1121&lt;/codeEdi&gt;</t>
  </si>
  <si>
    <t>&lt;codeEdi&gt;1130&lt;/codeEdi&gt;</t>
  </si>
  <si>
    <t>&lt;codeEdi&gt;1139&lt;/codeEdi&gt;</t>
  </si>
  <si>
    <t>&lt;codeEdi&gt;1148&lt;/codeEdi&gt;</t>
  </si>
  <si>
    <t>&lt;codeEdi&gt;1157&lt;/codeEdi&gt;</t>
  </si>
  <si>
    <t>&lt;codeEdi&gt;1166&lt;/codeEdi&gt;</t>
  </si>
  <si>
    <t>&lt;codeEdi&gt;1184&lt;/codeEdi&gt;</t>
  </si>
  <si>
    <t>&lt;codeEdi&gt;1193&lt;/codeEdi&gt;</t>
  </si>
  <si>
    <t>&lt;codeEdi&gt;1202&lt;/codeEdi&gt;</t>
  </si>
  <si>
    <t>&lt;codeEdi&gt;1175&lt;/codeEdi&gt;</t>
  </si>
  <si>
    <t>&lt;codeEdi&gt;1113&lt;/codeEdi&gt;</t>
  </si>
  <si>
    <t>&lt;codeEdi&gt;1122&lt;/codeEdi&gt;</t>
  </si>
  <si>
    <t>&lt;codeEdi&gt;1131&lt;/codeEdi&gt;</t>
  </si>
  <si>
    <t>&lt;codeEdi&gt;1140&lt;/codeEdi&gt;</t>
  </si>
  <si>
    <t>&lt;codeEdi&gt;1149&lt;/codeEdi&gt;</t>
  </si>
  <si>
    <t>&lt;codeEdi&gt;1158&lt;/codeEdi&gt;</t>
  </si>
  <si>
    <t>&lt;codeEdi&gt;1167&lt;/codeEdi&gt;</t>
  </si>
  <si>
    <t>&lt;codeEdi&gt;1185&lt;/codeEdi&gt;</t>
  </si>
  <si>
    <t>&lt;codeEdi&gt;1194&lt;/codeEdi&gt;</t>
  </si>
  <si>
    <t>&lt;codeEdi&gt;1203&lt;/codeEdi&gt;</t>
  </si>
  <si>
    <t>&lt;codeEdi&gt;1176&lt;/codeEdi&gt;</t>
  </si>
  <si>
    <t>&lt;codeEdi&gt;1114&lt;/codeEdi&gt;</t>
  </si>
  <si>
    <t>&lt;codeEdi&gt;1123&lt;/codeEdi&gt;</t>
  </si>
  <si>
    <t>&lt;codeEdi&gt;1132&lt;/codeEdi&gt;</t>
  </si>
  <si>
    <t>&lt;codeEdi&gt;1141&lt;/codeEdi&gt;</t>
  </si>
  <si>
    <t>&lt;codeEdi&gt;1150&lt;/codeEdi&gt;</t>
  </si>
  <si>
    <t>&lt;codeEdi&gt;1159&lt;/codeEdi&gt;</t>
  </si>
  <si>
    <t>&lt;codeEdi&gt;1168&lt;/codeEdi&gt;</t>
  </si>
  <si>
    <t>&lt;codeEdi&gt;1177&lt;/codeEdi&gt;</t>
  </si>
  <si>
    <t>&lt;codeEdi&gt;1186&lt;/codeEdi&gt;</t>
  </si>
  <si>
    <t>&lt;codeEdi&gt;1195&lt;/codeEdi&gt;</t>
  </si>
  <si>
    <t>&lt;codeEdi&gt;1204&lt;/codeEdi&gt;</t>
  </si>
  <si>
    <t>&lt;codeEdi&gt;1115&lt;/codeEdi&gt;</t>
  </si>
  <si>
    <t>&lt;codeEdi&gt;1124&lt;/codeEdi&gt;</t>
  </si>
  <si>
    <t>&lt;codeEdi&gt;1133&lt;/codeEdi&gt;</t>
  </si>
  <si>
    <t>&lt;codeEdi&gt;1142&lt;/codeEdi&gt;</t>
  </si>
  <si>
    <t>&lt;codeEdi&gt;1151&lt;/codeEdi&gt;</t>
  </si>
  <si>
    <t>&lt;codeEdi&gt;1160&lt;/codeEdi&gt;</t>
  </si>
  <si>
    <t>&lt;codeEdi&gt;1169&lt;/codeEdi&gt;</t>
  </si>
  <si>
    <t>&lt;codeEdi&gt;1178&lt;/codeEdi&gt;</t>
  </si>
  <si>
    <t>&lt;codeEdi&gt;1187&lt;/codeEdi&gt;</t>
  </si>
  <si>
    <t>&lt;codeEdi&gt;1196&lt;/codeEdi&gt;</t>
  </si>
  <si>
    <t>&lt;codeEdi&gt;1205&lt;/codeEdi&gt;</t>
  </si>
  <si>
    <t>&lt;codeEdi&gt;1116&lt;/codeEdi&gt;</t>
  </si>
  <si>
    <t>&lt;codeEdi&gt;1125&lt;/codeEdi&gt;</t>
  </si>
  <si>
    <t>&lt;codeEdi&gt;1134&lt;/codeEdi&gt;</t>
  </si>
  <si>
    <t>&lt;codeEdi&gt;1143&lt;/codeEdi&gt;</t>
  </si>
  <si>
    <t>&lt;codeEdi&gt;1152&lt;/codeEdi&gt;</t>
  </si>
  <si>
    <t>&lt;codeEdi&gt;1161&lt;/codeEdi&gt;</t>
  </si>
  <si>
    <t>&lt;codeEdi&gt;1170&lt;/codeEdi&gt;</t>
  </si>
  <si>
    <t>&lt;codeEdi&gt;1179&lt;/codeEdi&gt;</t>
  </si>
  <si>
    <t>&lt;codeEdi&gt;1188&lt;/codeEdi&gt;</t>
  </si>
  <si>
    <t>&lt;codeEdi&gt;1197&lt;/codeEdi&gt;</t>
  </si>
  <si>
    <t>&lt;codeEdi&gt;1206&lt;/codeEdi&gt;</t>
  </si>
  <si>
    <t>&lt;codeEdi&gt;1117&lt;/codeEdi&gt;</t>
  </si>
  <si>
    <t>&lt;codeEdi&gt;1126&lt;/codeEdi&gt;</t>
  </si>
  <si>
    <t>&lt;codeEdi&gt;1135&lt;/codeEdi&gt;</t>
  </si>
  <si>
    <t>&lt;codeEdi&gt;1144&lt;/codeEdi&gt;</t>
  </si>
  <si>
    <t>&lt;codeEdi&gt;1153&lt;/codeEdi&gt;</t>
  </si>
  <si>
    <t>&lt;codeEdi&gt;1162&lt;/codeEdi&gt;</t>
  </si>
  <si>
    <t>&lt;codeEdi&gt;1171&lt;/codeEdi&gt;</t>
  </si>
  <si>
    <t>&lt;codeEdi&gt;1180&lt;/codeEdi&gt;</t>
  </si>
  <si>
    <t>&lt;codeEdi&gt;1189&lt;/codeEdi&gt;</t>
  </si>
  <si>
    <t>&lt;codeEdi&gt;1198&lt;/codeEdi&gt;</t>
  </si>
  <si>
    <t>&lt;codeEdi&gt;1207&lt;/codeEdi&gt;</t>
  </si>
  <si>
    <t>&lt;code&gt;54&lt;/code&gt;</t>
  </si>
  <si>
    <t>&lt;tableau&gt;&lt;id&gt;27&lt;/id&gt;&lt;/tableau&gt;</t>
  </si>
  <si>
    <t>&lt;cellule&gt;&lt;codeEdi&gt;1208&lt;/codeEdi&gt;&lt;/cellule&gt;</t>
  </si>
  <si>
    <t>&lt;cellule&gt;&lt;codeEdi&gt;1209&lt;/codeEdi&gt;&lt;/cellule&gt;</t>
  </si>
  <si>
    <t>&lt;cellule&gt;&lt;codeEdi&gt;1210&lt;/codeEdi&gt;&lt;/cellule&gt;</t>
  </si>
  <si>
    <t>&lt;cellule&gt;&lt;codeEdi&gt;1211&lt;/codeEdi&gt;&lt;/cellule&gt;</t>
  </si>
  <si>
    <t>&lt;cellule&gt;&lt;codeEdi&gt;1212&lt;/codeEdi&gt;&lt;/cellule&gt;</t>
  </si>
  <si>
    <t>&lt;cellule&gt;&lt;codeEdi&gt;1213&lt;/codeEdi&gt;&lt;/cellule&gt;</t>
  </si>
  <si>
    <t>&lt;cellule&gt;&lt;codeEdi&gt;1214&lt;/codeEdi&gt;&lt;/cellule&gt;</t>
  </si>
  <si>
    <t>&lt;cellule&gt;&lt;codeEdi&gt;1215&lt;/codeEdi&gt;&lt;/cellule&gt;</t>
  </si>
  <si>
    <t>&lt;cellule&gt;&lt;codeEdi&gt;1216&lt;/codeEdi&gt;&lt;/cellule&gt;</t>
  </si>
  <si>
    <t>&lt;cellule&gt;&lt;codeEdi&gt;1217&lt;/codeEdi&gt;&lt;/cellule&gt;</t>
  </si>
  <si>
    <t>&lt;cellule&gt;&lt;codeEdi&gt;1218&lt;/codeEdi&gt;&lt;/cellule&gt;</t>
  </si>
  <si>
    <t>&lt;cellule&gt;&lt;codeEdi&gt;1219&lt;/codeEdi&gt;&lt;/cellule&gt;</t>
  </si>
  <si>
    <t>&lt;cellule&gt;&lt;codeEdi&gt;1220&lt;/codeEdi&gt;&lt;/cellule&gt;</t>
  </si>
  <si>
    <t>&lt;cellule&gt;&lt;codeEdi&gt;1221&lt;/codeEdi&gt;&lt;/cellule&gt;</t>
  </si>
  <si>
    <t>&lt;cellule&gt;&lt;codeEdi&gt;1222&lt;/codeEdi&gt;&lt;/cellule&gt;</t>
  </si>
  <si>
    <t>&lt;cellule&gt;&lt;codeEdi&gt;1223&lt;/codeEdi&gt;&lt;/cellule&gt;</t>
  </si>
  <si>
    <t>&lt;cellule&gt;&lt;codeEdi&gt;1224&lt;/codeEdi&gt;&lt;/cellule&gt;</t>
  </si>
  <si>
    <t>&lt;cellule&gt;&lt;codeEdi&gt;1225&lt;/codeEdi&gt;&lt;/cellule&gt;</t>
  </si>
  <si>
    <t>&lt;cellule&gt;&lt;codeEdi&gt;1226&lt;/codeEdi&gt;&lt;/cellule&gt;</t>
  </si>
  <si>
    <t>&lt;cellule&gt;&lt;codeEdi&gt;1227&lt;/codeEdi&gt;&lt;/cellule&gt;</t>
  </si>
  <si>
    <t>&lt;cellule&gt;&lt;codeEdi&gt;1228&lt;/codeEdi&gt;&lt;/cellule&gt;</t>
  </si>
  <si>
    <t>&lt;cellule&gt;&lt;codeEdi&gt;1229&lt;/codeEdi&gt;&lt;/cellule&gt;</t>
  </si>
  <si>
    <t>&lt;cellule&gt;&lt;codeEdi&gt;1250&lt;/codeEdi&gt;&lt;/cellule&gt;</t>
  </si>
  <si>
    <t>&lt;cellule&gt;&lt;codeEdi&gt;1251&lt;/codeEdi&gt;&lt;/cellule&gt;</t>
  </si>
  <si>
    <t>&lt;cellule&gt;&lt;codeEdi&gt;1252&lt;/codeEdi&gt;&lt;/cellule&gt;</t>
  </si>
  <si>
    <t>&lt;cellule&gt;&lt;codeEdi&gt;1253&lt;/codeEdi&gt;&lt;/cellule&gt;</t>
  </si>
  <si>
    <t>&lt;codeEdi&gt;1257&lt;/codeEdi&gt;</t>
  </si>
  <si>
    <t>&lt;codeEdi&gt;1261&lt;/codeEdi&gt;</t>
  </si>
  <si>
    <t>&lt;codeEdi&gt;1262&lt;/codeEdi&gt;</t>
  </si>
  <si>
    <t>&lt;codeEdi&gt;1263&lt;/codeEdi&gt;</t>
  </si>
  <si>
    <t>&lt;codeEdi&gt;1264&lt;/codeEdi&gt;</t>
  </si>
  <si>
    <t>&lt;codeEdi&gt;1265&lt;/codeEdi&gt;</t>
  </si>
  <si>
    <t>&lt;code&gt;55&lt;/code&gt;</t>
  </si>
  <si>
    <t>&lt;tableau&gt;&lt;id&gt;28&lt;/id&gt;&lt;/tableau&gt;</t>
  </si>
  <si>
    <t>&lt;cellule&gt;&lt;codeEdi&gt;1267&lt;/codeEdi&gt;&lt;/cellule&gt;</t>
  </si>
  <si>
    <t>&lt;cellule&gt;&lt;codeEdi&gt;1268&lt;/codeEdi&gt;&lt;/cellule&gt;</t>
  </si>
  <si>
    <t>&lt;cellule&gt;&lt;codeEdi&gt;1269&lt;/codeEdi&gt;&lt;/cellule&gt;</t>
  </si>
  <si>
    <t>&lt;cellule&gt;&lt;codeEdi&gt;1270&lt;/codeEdi&gt;&lt;/cellule&gt;</t>
  </si>
  <si>
    <t>&lt;cellule&gt;&lt;codeEdi&gt;1271&lt;/codeEdi&gt;&lt;/cellule&gt;</t>
  </si>
  <si>
    <t>&lt;cellule&gt;&lt;codeEdi&gt;1272&lt;/codeEdi&gt;&lt;/cellule&gt;</t>
  </si>
  <si>
    <t>&lt;cellule&gt;&lt;codeEdi&gt;1273&lt;/codeEdi&gt;&lt;/cellule&gt;</t>
  </si>
  <si>
    <t>&lt;cellule&gt;&lt;codeEdi&gt;1274&lt;/codeEdi&gt;&lt;/cellule&gt;</t>
  </si>
  <si>
    <t>&lt;codeEdi&gt;1279&lt;/codeEdi&gt;</t>
  </si>
  <si>
    <t>&lt;codeEdi&gt;1280&lt;/codeEdi&gt;</t>
  </si>
  <si>
    <t>&lt;tableau&gt;&lt;id&gt;36&lt;/id&gt;&lt;/tableau&gt;</t>
  </si>
  <si>
    <t>&lt;codeEdi&gt;1401&lt;/codeEdi&gt;</t>
  </si>
  <si>
    <t>&lt;codeEdi&gt;1409&lt;/codeEdi&gt;</t>
  </si>
  <si>
    <t>&lt;codeEdi&gt;1417&lt;/codeEdi&gt;</t>
  </si>
  <si>
    <t>&lt;codeEdi&gt;1425&lt;/codeEdi&gt;</t>
  </si>
  <si>
    <t>&lt;codeEdi&gt;1433&lt;/codeEdi&gt;</t>
  </si>
  <si>
    <t>&lt;codeEdi&gt;1449&lt;/codeEdi&gt;</t>
  </si>
  <si>
    <t>&lt;codeEdi&gt;1457&lt;/codeEdi&gt;</t>
  </si>
  <si>
    <t>&lt;codeEdi&gt;1465&lt;/codeEdi&gt;</t>
  </si>
  <si>
    <t>&lt;codeEdi&gt;1473&lt;/codeEdi&gt;</t>
  </si>
  <si>
    <t>&lt;codeEdi&gt;1481&lt;/codeEdi&gt;</t>
  </si>
  <si>
    <t>&lt;codeEdi&gt;1555&lt;/codeEdi&gt;</t>
  </si>
  <si>
    <t>&lt;codeEdi&gt;1596&lt;/codeEdi&gt;</t>
  </si>
  <si>
    <t>&lt;codeEdi&gt;1604&lt;/codeEdi&gt;</t>
  </si>
  <si>
    <t>&lt;codeEdi&gt;1635&lt;/codeEdi&gt;</t>
  </si>
  <si>
    <t>&lt;codeEdi&gt;1643&lt;/codeEdi&gt;</t>
  </si>
  <si>
    <t>&lt;codeEdi&gt;1656&lt;/codeEdi&gt;</t>
  </si>
  <si>
    <t>&lt;codeEdi&gt;1664&lt;/codeEdi&gt;</t>
  </si>
  <si>
    <t>&lt;codeEdi&gt;1612&lt;/codeEdi&gt;</t>
  </si>
  <si>
    <t>&lt;codeEdi&gt;1685&lt;/codeEdi&gt;</t>
  </si>
  <si>
    <t>&lt;codeEdi&gt;1672&lt;/codeEdi&gt;</t>
  </si>
  <si>
    <t>&lt;codeEdi&gt;1736&lt;/codeEdi&gt;</t>
  </si>
  <si>
    <t>&lt;codeEdi&gt;1757&lt;/codeEdi&gt;</t>
  </si>
  <si>
    <t>&lt;codeEdi&gt;1769&lt;/codeEdi&gt;</t>
  </si>
  <si>
    <t>&lt;codeEdi&gt;1800&lt;/codeEdi&gt;</t>
  </si>
  <si>
    <t>&lt;codeEdi&gt;1819&lt;/codeEdi&gt;</t>
  </si>
  <si>
    <t>&lt;codeEdi&gt;1836&lt;/codeEdi&gt;</t>
  </si>
  <si>
    <t>&lt;codeEdi&gt;1861&lt;/codeEdi&gt;</t>
  </si>
  <si>
    <t>&lt;codeEdi&gt;1869&lt;/codeEdi&gt;</t>
  </si>
  <si>
    <t>&lt;codeEdi&gt;1886&lt;/codeEdi&gt;</t>
  </si>
  <si>
    <t>&lt;codeEdi&gt;1853&lt;/codeEdi&gt;</t>
  </si>
  <si>
    <t>&lt;codeEdi&gt;1402&lt;/codeEdi&gt;</t>
  </si>
  <si>
    <t>&lt;codeEdi&gt;1410&lt;/codeEdi&gt;</t>
  </si>
  <si>
    <t>&lt;codeEdi&gt;1418&lt;/codeEdi&gt;</t>
  </si>
  <si>
    <t>&lt;codeEdi&gt;1426&lt;/codeEdi&gt;</t>
  </si>
  <si>
    <t>&lt;codeEdi&gt;1434&lt;/codeEdi&gt;</t>
  </si>
  <si>
    <t>&lt;codeEdi&gt;1450&lt;/codeEdi&gt;</t>
  </si>
  <si>
    <t>&lt;codeEdi&gt;1458&lt;/codeEdi&gt;</t>
  </si>
  <si>
    <t>&lt;codeEdi&gt;1466&lt;/codeEdi&gt;</t>
  </si>
  <si>
    <t>&lt;codeEdi&gt;1474&lt;/codeEdi&gt;</t>
  </si>
  <si>
    <t>&lt;codeEdi&gt;1482&lt;/codeEdi&gt;</t>
  </si>
  <si>
    <t>&lt;codeEdi&gt;1556&lt;/codeEdi&gt;</t>
  </si>
  <si>
    <t>&lt;codeEdi&gt;1597&lt;/codeEdi&gt;</t>
  </si>
  <si>
    <t>&lt;codeEdi&gt;1605&lt;/codeEdi&gt;</t>
  </si>
  <si>
    <t>&lt;codeEdi&gt;1636&lt;/codeEdi&gt;</t>
  </si>
  <si>
    <t>&lt;codeEdi&gt;1644&lt;/codeEdi&gt;</t>
  </si>
  <si>
    <t>&lt;codeEdi&gt;1657&lt;/codeEdi&gt;</t>
  </si>
  <si>
    <t>&lt;codeEdi&gt;1665&lt;/codeEdi&gt;</t>
  </si>
  <si>
    <t>&lt;codeEdi&gt;1613&lt;/codeEdi&gt;</t>
  </si>
  <si>
    <t>&lt;codeEdi&gt;1686&lt;/codeEdi&gt;</t>
  </si>
  <si>
    <t>&lt;codeEdi&gt;1673&lt;/codeEdi&gt;</t>
  </si>
  <si>
    <t>&lt;codeEdi&gt;1737&lt;/codeEdi&gt;</t>
  </si>
  <si>
    <t>&lt;codeEdi&gt;1758&lt;/codeEdi&gt;</t>
  </si>
  <si>
    <t>&lt;codeEdi&gt;1770&lt;/codeEdi&gt;</t>
  </si>
  <si>
    <t>&lt;codeEdi&gt;1801&lt;/codeEdi&gt;</t>
  </si>
  <si>
    <t>&lt;codeEdi&gt;1820&lt;/codeEdi&gt;</t>
  </si>
  <si>
    <t>&lt;codeEdi&gt;1837&lt;/codeEdi&gt;</t>
  </si>
  <si>
    <t>&lt;codeEdi&gt;1854&lt;/codeEdi&gt;</t>
  </si>
  <si>
    <t>&lt;codeEdi&gt;1862&lt;/codeEdi&gt;</t>
  </si>
  <si>
    <t>&lt;codeEdi&gt;1870&lt;/codeEdi&gt;</t>
  </si>
  <si>
    <t>&lt;codeEdi&gt;1887&lt;/codeEdi&gt;</t>
  </si>
  <si>
    <t>&lt;codeEdi&gt;1403&lt;/codeEdi&gt;</t>
  </si>
  <si>
    <t>&lt;codeEdi&gt;1411&lt;/codeEdi&gt;</t>
  </si>
  <si>
    <t>&lt;codeEdi&gt;1419&lt;/codeEdi&gt;</t>
  </si>
  <si>
    <t>&lt;codeEdi&gt;1427&lt;/codeEdi&gt;</t>
  </si>
  <si>
    <t>&lt;codeEdi&gt;1435&lt;/codeEdi&gt;</t>
  </si>
  <si>
    <t>&lt;codeEdi&gt;1451&lt;/codeEdi&gt;</t>
  </si>
  <si>
    <t>&lt;codeEdi&gt;1459&lt;/codeEdi&gt;</t>
  </si>
  <si>
    <t>&lt;codeEdi&gt;1467&lt;/codeEdi&gt;</t>
  </si>
  <si>
    <t>&lt;codeEdi&gt;1475&lt;/codeEdi&gt;</t>
  </si>
  <si>
    <t>&lt;codeEdi&gt;1483&lt;/codeEdi&gt;</t>
  </si>
  <si>
    <t>&lt;codeEdi&gt;1557&lt;/codeEdi&gt;</t>
  </si>
  <si>
    <t>&lt;codeEdi&gt;1598&lt;/codeEdi&gt;</t>
  </si>
  <si>
    <t>&lt;codeEdi&gt;1606&lt;/codeEdi&gt;</t>
  </si>
  <si>
    <t>&lt;codeEdi&gt;1614&lt;/codeEdi&gt;</t>
  </si>
  <si>
    <t>&lt;codeEdi&gt;1637&lt;/codeEdi&gt;</t>
  </si>
  <si>
    <t>&lt;codeEdi&gt;1645&lt;/codeEdi&gt;</t>
  </si>
  <si>
    <t>&lt;codeEdi&gt;1658&lt;/codeEdi&gt;</t>
  </si>
  <si>
    <t>&lt;codeEdi&gt;1666&lt;/codeEdi&gt;</t>
  </si>
  <si>
    <t>&lt;codeEdi&gt;1674&lt;/codeEdi&gt;</t>
  </si>
  <si>
    <t>&lt;codeEdi&gt;1687&lt;/codeEdi&gt;</t>
  </si>
  <si>
    <t>&lt;codeEdi&gt;1738&lt;/codeEdi&gt;</t>
  </si>
  <si>
    <t>&lt;codeEdi&gt;1759&lt;/codeEdi&gt;</t>
  </si>
  <si>
    <t>&lt;codeEdi&gt;1771&lt;/codeEdi&gt;</t>
  </si>
  <si>
    <t>&lt;codeEdi&gt;1802&lt;/codeEdi&gt;</t>
  </si>
  <si>
    <t>&lt;codeEdi&gt;1821&lt;/codeEdi&gt;</t>
  </si>
  <si>
    <t>&lt;codeEdi&gt;1838&lt;/codeEdi&gt;</t>
  </si>
  <si>
    <t>&lt;codeEdi&gt;1855&lt;/codeEdi&gt;</t>
  </si>
  <si>
    <t>&lt;codeEdi&gt;1863&lt;/codeEdi&gt;</t>
  </si>
  <si>
    <t>&lt;codeEdi&gt;1871&lt;/codeEdi&gt;</t>
  </si>
  <si>
    <t>&lt;codeEdi&gt;1888&lt;/codeEdi&gt;</t>
  </si>
  <si>
    <t>&lt;codeEdi&gt;1404&lt;/codeEdi&gt;</t>
  </si>
  <si>
    <t>&lt;codeEdi&gt;1412&lt;/codeEdi&gt;</t>
  </si>
  <si>
    <t>&lt;codeEdi&gt;1420&lt;/codeEdi&gt;</t>
  </si>
  <si>
    <t>&lt;codeEdi&gt;1428&lt;/codeEdi&gt;</t>
  </si>
  <si>
    <t>&lt;codeEdi&gt;1436&lt;/codeEdi&gt;</t>
  </si>
  <si>
    <t>&lt;codeEdi&gt;1452&lt;/codeEdi&gt;</t>
  </si>
  <si>
    <t>&lt;codeEdi&gt;1460&lt;/codeEdi&gt;</t>
  </si>
  <si>
    <t>&lt;codeEdi&gt;1468&lt;/codeEdi&gt;</t>
  </si>
  <si>
    <t>&lt;codeEdi&gt;1476&lt;/codeEdi&gt;</t>
  </si>
  <si>
    <t>&lt;codeEdi&gt;1484&lt;/codeEdi&gt;</t>
  </si>
  <si>
    <t>&lt;codeEdi&gt;1558&lt;/codeEdi&gt;</t>
  </si>
  <si>
    <t>&lt;codeEdi&gt;1599&lt;/codeEdi&gt;</t>
  </si>
  <si>
    <t>&lt;codeEdi&gt;1607&lt;/codeEdi&gt;</t>
  </si>
  <si>
    <t>&lt;codeEdi&gt;1615&lt;/codeEdi&gt;</t>
  </si>
  <si>
    <t>&lt;codeEdi&gt;1638&lt;/codeEdi&gt;</t>
  </si>
  <si>
    <t>&lt;codeEdi&gt;1646&lt;/codeEdi&gt;</t>
  </si>
  <si>
    <t>&lt;codeEdi&gt;1659&lt;/codeEdi&gt;</t>
  </si>
  <si>
    <t>&lt;codeEdi&gt;1667&lt;/codeEdi&gt;</t>
  </si>
  <si>
    <t>&lt;codeEdi&gt;1675&lt;/codeEdi&gt;</t>
  </si>
  <si>
    <t>&lt;codeEdi&gt;1688&lt;/codeEdi&gt;</t>
  </si>
  <si>
    <t>&lt;codeEdi&gt;1739&lt;/codeEdi&gt;</t>
  </si>
  <si>
    <t>&lt;codeEdi&gt;1760&lt;/codeEdi&gt;</t>
  </si>
  <si>
    <t>&lt;codeEdi&gt;1772&lt;/codeEdi&gt;</t>
  </si>
  <si>
    <t>&lt;codeEdi&gt;1803&lt;/codeEdi&gt;</t>
  </si>
  <si>
    <t>&lt;codeEdi&gt;1822&lt;/codeEdi&gt;</t>
  </si>
  <si>
    <t>&lt;codeEdi&gt;1839&lt;/codeEdi&gt;</t>
  </si>
  <si>
    <t>&lt;codeEdi&gt;1856&lt;/codeEdi&gt;</t>
  </si>
  <si>
    <t>&lt;codeEdi&gt;1864&lt;/codeEdi&gt;</t>
  </si>
  <si>
    <t>&lt;codeEdi&gt;1872&lt;/codeEdi&gt;</t>
  </si>
  <si>
    <t>&lt;codeEdi&gt;1889&lt;/codeEdi&gt;</t>
  </si>
  <si>
    <t>&lt;codeEdi&gt;1405&lt;/codeEdi&gt;</t>
  </si>
  <si>
    <t>&lt;codeEdi&gt;1413&lt;/codeEdi&gt;</t>
  </si>
  <si>
    <t>&lt;codeEdi&gt;1421&lt;/codeEdi&gt;</t>
  </si>
  <si>
    <t>&lt;codeEdi&gt;1429&lt;/codeEdi&gt;</t>
  </si>
  <si>
    <t>&lt;codeEdi&gt;1437&lt;/codeEdi&gt;</t>
  </si>
  <si>
    <t>&lt;codeEdi&gt;1453&lt;/codeEdi&gt;</t>
  </si>
  <si>
    <t>&lt;codeEdi&gt;1461&lt;/codeEdi&gt;</t>
  </si>
  <si>
    <t>&lt;codeEdi&gt;1469&lt;/codeEdi&gt;</t>
  </si>
  <si>
    <t>&lt;codeEdi&gt;1477&lt;/codeEdi&gt;</t>
  </si>
  <si>
    <t>&lt;codeEdi&gt;1485&lt;/codeEdi&gt;</t>
  </si>
  <si>
    <t>&lt;codeEdi&gt;1559&lt;/codeEdi&gt;</t>
  </si>
  <si>
    <t>&lt;codeEdi&gt;1600&lt;/codeEdi&gt;</t>
  </si>
  <si>
    <t>&lt;codeEdi&gt;1608&lt;/codeEdi&gt;</t>
  </si>
  <si>
    <t>&lt;codeEdi&gt;1616&lt;/codeEdi&gt;</t>
  </si>
  <si>
    <t>&lt;codeEdi&gt;1639&lt;/codeEdi&gt;</t>
  </si>
  <si>
    <t>&lt;codeEdi&gt;1647&lt;/codeEdi&gt;</t>
  </si>
  <si>
    <t>&lt;codeEdi&gt;1660&lt;/codeEdi&gt;</t>
  </si>
  <si>
    <t>&lt;codeEdi&gt;1668&lt;/codeEdi&gt;</t>
  </si>
  <si>
    <t>&lt;codeEdi&gt;1676&lt;/codeEdi&gt;</t>
  </si>
  <si>
    <t>&lt;codeEdi&gt;1689&lt;/codeEdi&gt;</t>
  </si>
  <si>
    <t>&lt;codeEdi&gt;1740&lt;/codeEdi&gt;</t>
  </si>
  <si>
    <t>&lt;codeEdi&gt;1761&lt;/codeEdi&gt;</t>
  </si>
  <si>
    <t>&lt;codeEdi&gt;1773&lt;/codeEdi&gt;</t>
  </si>
  <si>
    <t>&lt;codeEdi&gt;1804&lt;/codeEdi&gt;</t>
  </si>
  <si>
    <t>&lt;codeEdi&gt;1823&lt;/codeEdi&gt;</t>
  </si>
  <si>
    <t>&lt;codeEdi&gt;1840&lt;/codeEdi&gt;</t>
  </si>
  <si>
    <t>&lt;codeEdi&gt;1857&lt;/codeEdi&gt;</t>
  </si>
  <si>
    <t>&lt;codeEdi&gt;1865&lt;/codeEdi&gt;</t>
  </si>
  <si>
    <t>&lt;codeEdi&gt;1873&lt;/codeEdi&gt;</t>
  </si>
  <si>
    <t>&lt;codeEdi&gt;1890&lt;/codeEdi&gt;</t>
  </si>
  <si>
    <t>&lt;codeEdi&gt;1406&lt;/codeEdi&gt;</t>
  </si>
  <si>
    <t>&lt;codeEdi&gt;1414&lt;/codeEdi&gt;</t>
  </si>
  <si>
    <t>&lt;codeEdi&gt;1430&lt;/codeEdi&gt;</t>
  </si>
  <si>
    <t>&lt;codeEdi&gt;1438&lt;/codeEdi&gt;</t>
  </si>
  <si>
    <t>&lt;codeEdi&gt;1454&lt;/codeEdi&gt;</t>
  </si>
  <si>
    <t>&lt;codeEdi&gt;1462&lt;/codeEdi&gt;</t>
  </si>
  <si>
    <t>&lt;codeEdi&gt;1470&lt;/codeEdi&gt;</t>
  </si>
  <si>
    <t>&lt;codeEdi&gt;1478&lt;/codeEdi&gt;</t>
  </si>
  <si>
    <t>&lt;codeEdi&gt;1486&lt;/codeEdi&gt;</t>
  </si>
  <si>
    <t>&lt;codeEdi&gt;1422&lt;/codeEdi&gt;</t>
  </si>
  <si>
    <t>&lt;codeEdi&gt;1560&lt;/codeEdi&gt;</t>
  </si>
  <si>
    <t>&lt;codeEdi&gt;1601&lt;/codeEdi&gt;</t>
  </si>
  <si>
    <t>&lt;codeEdi&gt;1609&lt;/codeEdi&gt;</t>
  </si>
  <si>
    <t>&lt;codeEdi&gt;1617&lt;/codeEdi&gt;</t>
  </si>
  <si>
    <t>&lt;codeEdi&gt;1640&lt;/codeEdi&gt;</t>
  </si>
  <si>
    <t>&lt;codeEdi&gt;1648&lt;/codeEdi&gt;</t>
  </si>
  <si>
    <t>&lt;codeEdi&gt;1661&lt;/codeEdi&gt;</t>
  </si>
  <si>
    <t>&lt;codeEdi&gt;1669&lt;/codeEdi&gt;</t>
  </si>
  <si>
    <t>&lt;codeEdi&gt;1677&lt;/codeEdi&gt;</t>
  </si>
  <si>
    <t>&lt;codeEdi&gt;1690&lt;/codeEdi&gt;</t>
  </si>
  <si>
    <t>&lt;codeEdi&gt;1741&lt;/codeEdi&gt;</t>
  </si>
  <si>
    <t>&lt;codeEdi&gt;1762&lt;/codeEdi&gt;</t>
  </si>
  <si>
    <t>&lt;codeEdi&gt;1774&lt;/codeEdi&gt;</t>
  </si>
  <si>
    <t>&lt;codeEdi&gt;1805&lt;/codeEdi&gt;</t>
  </si>
  <si>
    <t>&lt;codeEdi&gt;1824&lt;/codeEdi&gt;</t>
  </si>
  <si>
    <t>&lt;codeEdi&gt;1841&lt;/codeEdi&gt;</t>
  </si>
  <si>
    <t>&lt;codeEdi&gt;1858&lt;/codeEdi&gt;</t>
  </si>
  <si>
    <t>&lt;codeEdi&gt;1866&lt;/codeEdi&gt;</t>
  </si>
  <si>
    <t>&lt;codeEdi&gt;1874&lt;/codeEdi&gt;</t>
  </si>
  <si>
    <t>&lt;codeEdi&gt;1891&lt;/codeEdi&gt;</t>
  </si>
  <si>
    <t>&lt;codeEdi&gt;1407&lt;/codeEdi&gt;</t>
  </si>
  <si>
    <t>&lt;codeEdi&gt;1415&lt;/codeEdi&gt;</t>
  </si>
  <si>
    <t>&lt;codeEdi&gt;1431&lt;/codeEdi&gt;</t>
  </si>
  <si>
    <t>&lt;codeEdi&gt;1439&lt;/codeEdi&gt;</t>
  </si>
  <si>
    <t>&lt;codeEdi&gt;1455&lt;/codeEdi&gt;</t>
  </si>
  <si>
    <t>&lt;codeEdi&gt;1463&lt;/codeEdi&gt;</t>
  </si>
  <si>
    <t>&lt;codeEdi&gt;1471&lt;/codeEdi&gt;</t>
  </si>
  <si>
    <t>&lt;codeEdi&gt;1479&lt;/codeEdi&gt;</t>
  </si>
  <si>
    <t>&lt;codeEdi&gt;1487&lt;/codeEdi&gt;</t>
  </si>
  <si>
    <t>&lt;codeEdi&gt;1423&lt;/codeEdi&gt;</t>
  </si>
  <si>
    <t>&lt;codeEdi&gt;1561&lt;/codeEdi&gt;</t>
  </si>
  <si>
    <t>&lt;codeEdi&gt;1602&lt;/codeEdi&gt;</t>
  </si>
  <si>
    <t>&lt;codeEdi&gt;1610&lt;/codeEdi&gt;</t>
  </si>
  <si>
    <t>&lt;codeEdi&gt;1618&lt;/codeEdi&gt;</t>
  </si>
  <si>
    <t>&lt;codeEdi&gt;1641&lt;/codeEdi&gt;</t>
  </si>
  <si>
    <t>&lt;codeEdi&gt;1649&lt;/codeEdi&gt;</t>
  </si>
  <si>
    <t>&lt;codeEdi&gt;1662&lt;/codeEdi&gt;</t>
  </si>
  <si>
    <t>&lt;codeEdi&gt;1670&lt;/codeEdi&gt;</t>
  </si>
  <si>
    <t>&lt;codeEdi&gt;1678&lt;/codeEdi&gt;</t>
  </si>
  <si>
    <t>&lt;codeEdi&gt;1691&lt;/codeEdi&gt;</t>
  </si>
  <si>
    <t>&lt;codeEdi&gt;1742&lt;/codeEdi&gt;</t>
  </si>
  <si>
    <t>&lt;codeEdi&gt;1763&lt;/codeEdi&gt;</t>
  </si>
  <si>
    <t>&lt;codeEdi&gt;1775&lt;/codeEdi&gt;</t>
  </si>
  <si>
    <t>&lt;codeEdi&gt;1806&lt;/codeEdi&gt;</t>
  </si>
  <si>
    <t>&lt;codeEdi&gt;1825&lt;/codeEdi&gt;</t>
  </si>
  <si>
    <t>&lt;codeEdi&gt;1842&lt;/codeEdi&gt;</t>
  </si>
  <si>
    <t>&lt;codeEdi&gt;1859&lt;/codeEdi&gt;</t>
  </si>
  <si>
    <t>&lt;codeEdi&gt;1867&lt;/codeEdi&gt;</t>
  </si>
  <si>
    <t>&lt;codeEdi&gt;1875&lt;/codeEdi&gt;</t>
  </si>
  <si>
    <t>&lt;codeEdi&gt;1892&lt;/codeEdi&gt;</t>
  </si>
  <si>
    <t>* Matériel informatique</t>
  </si>
  <si>
    <t>* Variation des stocks de matières premières</t>
  </si>
  <si>
    <t>* Achats de matières et fournitures consommables et d'emballage</t>
  </si>
  <si>
    <t xml:space="preserve">   1 - Biens et produits destinés à la revente en l'état :</t>
  </si>
  <si>
    <t xml:space="preserve">   2 - Biens et Matières Premières destinés aux activités de production et de transformation :</t>
  </si>
  <si>
    <t xml:space="preserve">   3 - Matières Premières</t>
  </si>
  <si>
    <t xml:space="preserve">   4 - Matières consommables</t>
  </si>
  <si>
    <t xml:space="preserve">   5 - Pièces détachées</t>
  </si>
  <si>
    <t xml:space="preserve">   6 - Carburants, lubrifiants pour véhicules de transport</t>
  </si>
  <si>
    <t xml:space="preserve">     7 * récupérables</t>
  </si>
  <si>
    <t xml:space="preserve">     8 * vendus</t>
  </si>
  <si>
    <t xml:space="preserve">     9 * perdus</t>
  </si>
  <si>
    <t>T01 Actif</t>
  </si>
  <si>
    <t>T01 Passif</t>
  </si>
  <si>
    <t>T02 CPC</t>
  </si>
  <si>
    <t>T03 Résultat fiscal</t>
  </si>
  <si>
    <t>T04 Immobilisations</t>
  </si>
  <si>
    <t>T05 ESG</t>
  </si>
  <si>
    <t>T06 Détail CPC</t>
  </si>
  <si>
    <t>T09 Provisions</t>
  </si>
  <si>
    <t>T10 +/- Values</t>
  </si>
  <si>
    <t>T11 Titres participation</t>
  </si>
  <si>
    <t>T12 TVA</t>
  </si>
  <si>
    <t>T14 Affectation résultat</t>
  </si>
  <si>
    <t>T16 Dotations aux amort</t>
  </si>
  <si>
    <t>T17 Fusion</t>
  </si>
  <si>
    <t>T18 Emprunts</t>
  </si>
  <si>
    <t>T19 Locations</t>
  </si>
  <si>
    <t>T20 Stocks</t>
  </si>
  <si>
    <t>N° Odre</t>
  </si>
  <si>
    <t>Tableau</t>
  </si>
  <si>
    <t>B</t>
  </si>
  <si>
    <t>D</t>
  </si>
  <si>
    <t>G</t>
  </si>
  <si>
    <t>T08 Amortissements</t>
  </si>
  <si>
    <t>PG</t>
  </si>
  <si>
    <t>ZZ</t>
  </si>
  <si>
    <t>&lt;numeroLigne&gt;2&lt;/numeroLigne&gt;</t>
  </si>
  <si>
    <t>&lt;numeroLigne&gt;3&lt;/numeroLigne&gt;</t>
  </si>
  <si>
    <t>&lt;numeroLigne&gt;4&lt;/numeroLigne&gt;</t>
  </si>
  <si>
    <t>&lt;numeroLigne&gt;5&lt;/numeroLigne&gt;</t>
  </si>
  <si>
    <t>&lt;numeroLigne&gt;6&lt;/numeroLigne&gt;</t>
  </si>
  <si>
    <t>T4+T8</t>
  </si>
  <si>
    <t>Impôt sur les sociétés</t>
  </si>
  <si>
    <t>Pénalités</t>
  </si>
  <si>
    <t>Autres charges non courantes</t>
  </si>
  <si>
    <t>Abattement sur dividendes</t>
  </si>
  <si>
    <t>Abattement sur cession de titres</t>
  </si>
  <si>
    <t>Reprise sur autres Provisions</t>
  </si>
  <si>
    <t/>
  </si>
  <si>
    <t>&lt;?xml version="1.0" encoding="utf-8"?&gt;</t>
  </si>
  <si>
    <t>II. Stock en cours Production de biens et services</t>
  </si>
  <si>
    <t>I. Stocks Approvisionnement</t>
  </si>
  <si>
    <t xml:space="preserve">    11- Produits en cours</t>
  </si>
  <si>
    <t xml:space="preserve">    12- Etudes en cours</t>
  </si>
  <si>
    <t xml:space="preserve">   13 - Travaux en cours</t>
  </si>
  <si>
    <t xml:space="preserve">   14 - Services en cours</t>
  </si>
  <si>
    <t>15- Total Stocks des encours</t>
  </si>
  <si>
    <t>10- Total Stocks des approvisionnements</t>
  </si>
  <si>
    <t>III. Stock Produits finis</t>
  </si>
  <si>
    <t xml:space="preserve">   16 - Produits finis</t>
  </si>
  <si>
    <t xml:space="preserve">   17 - Biens finis</t>
  </si>
  <si>
    <t xml:space="preserve">                                                                            18- Total Stocks Produits et Biens Finis</t>
  </si>
  <si>
    <t>IV. Stock Produits résiduels</t>
  </si>
  <si>
    <t xml:space="preserve">   19 - Déchets</t>
  </si>
  <si>
    <t xml:space="preserve">   20 - Rebuts</t>
  </si>
  <si>
    <t xml:space="preserve">  21  - Matières de récupération</t>
  </si>
  <si>
    <t>22 - Total Stocks Produits Résiduels</t>
  </si>
  <si>
    <t>23- TOTAL GENERAL</t>
  </si>
  <si>
    <t>N° IF</t>
  </si>
  <si>
    <t>N° CIN ou CE</t>
  </si>
  <si>
    <t xml:space="preserve">Montant du capital  DH </t>
  </si>
  <si>
    <t>Immobilisation concernée</t>
  </si>
  <si>
    <t>Valeur à amortir (Prix d'acquisition (2))</t>
  </si>
  <si>
    <t>Valeur à amortir (Valeur comptable après réévaluation)</t>
  </si>
  <si>
    <t>Amortissements antérieurs (3)</t>
  </si>
  <si>
    <t>Amortissements normaux ou accélérés de l'exercice</t>
  </si>
  <si>
    <t>Total des amortissements à la fin de l'exercice (col. 4 + col. 7)</t>
  </si>
  <si>
    <t>Montant Global</t>
  </si>
  <si>
    <t>Amortissement de l'exercide du</t>
  </si>
  <si>
    <t>Amortissement de l'exercide au</t>
  </si>
  <si>
    <t>T13 Répartition Capital</t>
  </si>
  <si>
    <t>&lt;tableau&gt;&lt;id&gt;41&lt;/id&gt;&lt;/tableau&gt;</t>
  </si>
  <si>
    <t>&lt;cellule&gt;&lt;codeEdi&gt;2094&lt;/codeEdi&gt;&lt;/cellule&gt;</t>
  </si>
  <si>
    <t>&lt;cellule&gt;&lt;codeEdi&gt;13536&lt;/codeEdi&gt;&lt;/cellule&gt;</t>
  </si>
  <si>
    <t>&lt;cellule&gt;&lt;codeEdi&gt;13537&lt;/codeEdi&gt;&lt;/cellule&gt;</t>
  </si>
  <si>
    <t>&lt;cellule&gt;&lt;codeEdi&gt;2095&lt;/codeEdi&gt;&lt;/cellule&gt;</t>
  </si>
  <si>
    <t>&lt;cellule&gt;&lt;codeEdi&gt;2096&lt;/codeEdi&gt;&lt;/cellule&gt;</t>
  </si>
  <si>
    <t>&lt;cellule&gt;&lt;codeEdi&gt;2097&lt;/codeEdi&gt;&lt;/cellule&gt;</t>
  </si>
  <si>
    <t>&lt;cellule&gt;&lt;codeEdi&gt;2098&lt;/codeEdi&gt;&lt;/cellule&gt;</t>
  </si>
  <si>
    <t>&lt;cellule&gt;&lt;codeEdi&gt;2099&lt;/codeEdi&gt;&lt;/cellule&gt;</t>
  </si>
  <si>
    <t>&lt;cellule&gt;&lt;codeEdi&gt;2100&lt;/codeEdi&gt;&lt;/cellule&gt;</t>
  </si>
  <si>
    <t>&lt;cellule&gt;&lt;codeEdi&gt;2101&lt;/codeEdi&gt;&lt;/cellule&gt;</t>
  </si>
  <si>
    <t>&lt;code&gt;18&lt;/code&gt;</t>
  </si>
  <si>
    <t>T07 Crédit bail</t>
  </si>
  <si>
    <t>&lt;tableau&gt;&lt;id&gt;23&lt;/id&gt;&lt;/tableau&gt;</t>
  </si>
  <si>
    <t>&lt;cellule&gt;&lt;codeEdi&gt;1098&lt;/codeEdi&gt;&lt;/cellule&gt;</t>
  </si>
  <si>
    <t>&lt;cellule&gt;&lt;codeEdi&gt;1099&lt;/codeEdi&gt;&lt;/cellule&gt;</t>
  </si>
  <si>
    <t>&lt;cellule&gt;&lt;codeEdi&gt;1100&lt;/codeEdi&gt;&lt;/cellule&gt;</t>
  </si>
  <si>
    <t>&lt;cellule&gt;&lt;codeEdi&gt;1101&lt;/codeEdi&gt;&lt;/cellule&gt;</t>
  </si>
  <si>
    <t>&lt;cellule&gt;&lt;codeEdi&gt;1102&lt;/codeEdi&gt;&lt;/cellule&gt;</t>
  </si>
  <si>
    <t>&lt;cellule&gt;&lt;codeEdi&gt;1103&lt;/codeEdi&gt;&lt;/cellule&gt;</t>
  </si>
  <si>
    <t>&lt;cellule&gt;&lt;codeEdi&gt;1104&lt;/codeEdi&gt;&lt;/cellule&gt;</t>
  </si>
  <si>
    <t>&lt;cellule&gt;&lt;codeEdi&gt;1105&lt;/codeEdi&gt;&lt;/cellule&gt;</t>
  </si>
  <si>
    <t>&lt;cellule&gt;&lt;codeEdi&gt;1106&lt;/codeEdi&gt;&lt;/cellule&gt;</t>
  </si>
  <si>
    <t>&lt;cellule&gt;&lt;codeEdi&gt;1107&lt;/codeEdi&gt;&lt;/cellule&gt;</t>
  </si>
  <si>
    <t>&lt;cellule&gt;&lt;codeEdi&gt;1108&lt;/codeEdi&gt;&lt;/cellule&gt;</t>
  </si>
  <si>
    <t>&lt;code&gt;53&lt;/code&gt;</t>
  </si>
  <si>
    <t>Etats de synthèse</t>
  </si>
  <si>
    <t xml:space="preserve"> Taxe Professionnelle n°  </t>
  </si>
  <si>
    <t>Solde Débiteur N-1</t>
  </si>
  <si>
    <t>Solde Créditeur N-1</t>
  </si>
  <si>
    <t>Débit Période N</t>
  </si>
  <si>
    <t>Crédit Période N</t>
  </si>
  <si>
    <t>Solde Débit N</t>
  </si>
  <si>
    <t>Solde Crédit N</t>
  </si>
  <si>
    <t>N° Ligne</t>
  </si>
  <si>
    <t>* Capital appelé,</t>
  </si>
  <si>
    <t>* dont versé</t>
  </si>
  <si>
    <t>*Ventes de produits au Maroc</t>
  </si>
  <si>
    <t>*Ventes de produits à l'étranger</t>
  </si>
  <si>
    <t>Nature des produits</t>
  </si>
  <si>
    <t>1- CA Taxable</t>
  </si>
  <si>
    <t>2- CA Exonéré à 100%</t>
  </si>
  <si>
    <t>3- CA Soumis à taux réduit</t>
  </si>
  <si>
    <t>Taux réduit</t>
  </si>
  <si>
    <t>4- Autres produits taxables</t>
  </si>
  <si>
    <t>- Autres produits d'exploitation</t>
  </si>
  <si>
    <t>- Produits financiers</t>
  </si>
  <si>
    <t>- Subventions</t>
  </si>
  <si>
    <t>5- Dénominateur (1 + 2 + 3 + 4)</t>
  </si>
  <si>
    <t>6- Montant de l'impôt sur les sociétés (IS) dû</t>
  </si>
  <si>
    <t>Montant de la cotisation minimale: (Montant lignes 1 + 3 + 4) x taux de la cotisation minimale.</t>
  </si>
  <si>
    <t>Montant de l'IS correspondant au taux réduit :</t>
  </si>
  <si>
    <t>((Bénéfice fiscal x Montant ligne 3) / Montant ligne 5) x taux réduit de l'IS</t>
  </si>
  <si>
    <t>Montant de l'IS correspondant au taux normal :</t>
  </si>
  <si>
    <t>((Bénéfice fiscal x Montant ligne 1 + 4) / Montant ligne 5) x taux normal de l'IS</t>
  </si>
  <si>
    <t>Total de l'IS dû : Montant de l'IS correspondant au taux réduit + Montant de l'IS correspondant au taux normal.</t>
  </si>
  <si>
    <t>ETAT POUR LE CALCUL DE L'IMPOT SUR LES SOCIETES - ENTREPRISES ENCOURAGEES</t>
  </si>
  <si>
    <t>T200</t>
  </si>
  <si>
    <t>&lt;tableau&gt;&lt;id&gt;200&lt;/id&gt;&lt;/tableau&gt;</t>
  </si>
  <si>
    <t>&lt;codeEdi&gt;14068&lt;/codeEdi&gt;</t>
  </si>
  <si>
    <t>&lt;codeEdi&gt;14071&lt;/codeEdi&gt;</t>
  </si>
  <si>
    <t>&lt;codeEdi&gt;14074&lt;/codeEdi&gt;</t>
  </si>
  <si>
    <t>&lt;codeEdi&gt;14077&lt;/codeEdi&gt;</t>
  </si>
  <si>
    <t>&lt;codeEdi&gt;14080&lt;/codeEdi&gt;</t>
  </si>
  <si>
    <t>&lt;codeEdi&gt;14083&lt;/codeEdi&gt;</t>
  </si>
  <si>
    <t>&lt;codeEdi&gt;14069&lt;/codeEdi&gt;</t>
  </si>
  <si>
    <t>&lt;codeEdi&gt;14072&lt;/codeEdi&gt;</t>
  </si>
  <si>
    <t>&lt;codeEdi&gt;14075&lt;/codeEdi&gt;</t>
  </si>
  <si>
    <t>&lt;codeEdi&gt;14078&lt;/codeEdi&gt;</t>
  </si>
  <si>
    <t>&lt;codeEdi&gt;14081&lt;/codeEdi&gt;</t>
  </si>
  <si>
    <t>&lt;codeEdi&gt;14084&lt;/codeEdi&gt;</t>
  </si>
  <si>
    <t>&lt;codeEdi&gt;14086&lt;/codeEdi&gt;</t>
  </si>
  <si>
    <t>&lt;codeEdi&gt;16394&lt;/codeEdi&gt;</t>
  </si>
  <si>
    <t>&lt;codeEdi&gt;16397&lt;/codeEdi&gt;</t>
  </si>
  <si>
    <t>&lt;codeEdi&gt;16400&lt;/codeEdi&gt;</t>
  </si>
  <si>
    <t>&lt;codeEdi&gt;14087&lt;/codeEdi&gt;</t>
  </si>
  <si>
    <t>&lt;codeEdi&gt;16395&lt;/codeEdi&gt;</t>
  </si>
  <si>
    <t>&lt;codeEdi&gt;16398&lt;/codeEdi&gt;</t>
  </si>
  <si>
    <t>&lt;codeEdi&gt;16401&lt;/codeEdi&gt;</t>
  </si>
  <si>
    <t>T201</t>
  </si>
  <si>
    <t>&lt;tableau&gt;&lt;id&gt;201&lt;/id&gt;&lt;/tableau&gt;</t>
  </si>
  <si>
    <t>&lt;cellule&gt;&lt;codeEdi&gt;14088&lt;/codeEdi&gt;&lt;/cellule&gt;</t>
  </si>
  <si>
    <t>&lt;cellule&gt;&lt;codeEdi&gt;14089&lt;/codeEdi&gt;&lt;/cellule&gt;</t>
  </si>
  <si>
    <t>&lt;cellule&gt;&lt;codeEdi&gt;14090&lt;/codeEdi&gt;&lt;/cellule&gt;</t>
  </si>
  <si>
    <t>&lt;cellule&gt;&lt;codeEdi&gt;14091&lt;/codeEdi&gt;&lt;/cellule&gt;</t>
  </si>
  <si>
    <t>&lt;cellule&gt;&lt;codeEdi&gt;14092&lt;/codeEdi&gt;&lt;/cellule&gt;</t>
  </si>
  <si>
    <t>&lt;cellule&gt;&lt;codeEdi&gt;14093&lt;/codeEdi&gt;&lt;/cellule&gt;</t>
  </si>
  <si>
    <t>T202</t>
  </si>
  <si>
    <t>&lt;tableau&gt;&lt;id&gt;202&lt;/id&gt;&lt;/tableau&gt;</t>
  </si>
  <si>
    <t>&lt;codeEdi&gt;14098&lt;/codeEdi&gt;</t>
  </si>
  <si>
    <t>&lt;codeEdi&gt;14101&lt;/codeEdi&gt;</t>
  </si>
  <si>
    <t>&lt;codeEdi&gt;14104&lt;/codeEdi&gt;</t>
  </si>
  <si>
    <t>&lt;codeEdi&gt;14099&lt;/codeEdi&gt;</t>
  </si>
  <si>
    <t>&lt;codeEdi&gt;14102&lt;/codeEdi&gt;</t>
  </si>
  <si>
    <t>&lt;codeEdi&gt;14105&lt;/codeEdi&gt;</t>
  </si>
  <si>
    <t>T203</t>
  </si>
  <si>
    <t>&lt;tableau&gt;&lt;id&gt;203&lt;/id&gt;&lt;/tableau&gt;</t>
  </si>
  <si>
    <t>&lt;codeEdi&gt;14113&lt;/codeEdi&gt;</t>
  </si>
  <si>
    <t>&lt;codeEdi&gt;14114&lt;/codeEdi&gt;</t>
  </si>
  <si>
    <t>&lt;codeEdi&gt;14115&lt;/codeEdi&gt;</t>
  </si>
  <si>
    <t>&lt;codeEdi&gt;14116&lt;/codeEdi&gt;</t>
  </si>
  <si>
    <t>&lt;codeEdi&gt;14117&lt;/codeEdi&gt;</t>
  </si>
  <si>
    <t>&lt;codeEdi&gt;14118&lt;/codeEdi&gt;</t>
  </si>
  <si>
    <t>&lt;codeEdi&gt;14119&lt;/codeEdi&gt;</t>
  </si>
  <si>
    <t>&lt;codeEdi&gt;14120&lt;/codeEdi&gt;</t>
  </si>
  <si>
    <t>&lt;codeEdi&gt;14121&lt;/codeEdi&gt;</t>
  </si>
  <si>
    <t>&lt;codeEdi&gt;14122&lt;/codeEdi&gt;</t>
  </si>
  <si>
    <t>&lt;codeEdi&gt;14123&lt;/codeEdi&gt;</t>
  </si>
  <si>
    <t>&lt;codeEdi&gt;14124&lt;/codeEdi&gt;</t>
  </si>
  <si>
    <t>&lt;codeEdi&gt;14125&lt;/codeEdi&gt;</t>
  </si>
  <si>
    <t>&lt;codeEdi&gt;14126&lt;/codeEdi&gt;</t>
  </si>
  <si>
    <t>&lt;codeEdi&gt;14127&lt;/codeEdi&gt;</t>
  </si>
  <si>
    <t>&lt;codeEdi&gt;14128&lt;/codeEdi&gt;</t>
  </si>
  <si>
    <t>&lt;codeEdi&gt;14129&lt;/codeEdi&gt;</t>
  </si>
  <si>
    <t>&lt;codeEdi&gt;14130&lt;/codeEdi&gt;</t>
  </si>
  <si>
    <t>&lt;codeEdi&gt;14132&lt;/codeEdi&gt;</t>
  </si>
  <si>
    <t>&lt;codeEdi&gt;14133&lt;/codeEdi&gt;</t>
  </si>
  <si>
    <t>&lt;codeEdi&gt;14131&lt;/codeEdi&gt;</t>
  </si>
  <si>
    <t>&lt;codeEdi&gt;14134&lt;/codeEdi&gt;</t>
  </si>
  <si>
    <t>&lt;codeEdi&gt;14135&lt;/codeEdi&gt;</t>
  </si>
  <si>
    <t>&lt;codeEdi&gt;14136&lt;/codeEdi&gt;</t>
  </si>
  <si>
    <t>&lt;codeEdi&gt;14137&lt;/codeEdi&gt;</t>
  </si>
  <si>
    <t>&lt;codeEdi&gt;14138&lt;/codeEdi&gt;</t>
  </si>
  <si>
    <t>&lt;codeEdi&gt;14139&lt;/codeEdi&gt;</t>
  </si>
  <si>
    <t>&lt;codeEdi&gt;14140&lt;/codeEdi&gt;</t>
  </si>
  <si>
    <t>&lt;codeEdi&gt;14172&lt;/codeEdi&gt;</t>
  </si>
  <si>
    <t>&lt;codeEdi&gt;14173&lt;/codeEdi&gt;</t>
  </si>
  <si>
    <t>&lt;codeEdi&gt;14174&lt;/codeEdi&gt;</t>
  </si>
  <si>
    <t>&lt;codeEdi&gt;14175&lt;/codeEdi&gt;</t>
  </si>
  <si>
    <t>&lt;codeEdi&gt;14176&lt;/codeEdi&gt;</t>
  </si>
  <si>
    <t>&lt;codeEdi&gt;14177&lt;/codeEdi&gt;</t>
  </si>
  <si>
    <t>&lt;codeEdi&gt;14178&lt;/codeEdi&gt;</t>
  </si>
  <si>
    <t>&lt;codeEdi&gt;14179&lt;/codeEdi&gt;</t>
  </si>
  <si>
    <t>&lt;codeEdi&gt;14180&lt;/codeEdi&gt;</t>
  </si>
  <si>
    <t>&lt;codeEdi&gt;14181&lt;/codeEdi&gt;</t>
  </si>
  <si>
    <t>&lt;codeEdi&gt;14182&lt;/codeEdi&gt;</t>
  </si>
  <si>
    <t>&lt;codeEdi&gt;14183&lt;/codeEdi&gt;</t>
  </si>
  <si>
    <t>&lt;codeEdi&gt;14184&lt;/codeEdi&gt;</t>
  </si>
  <si>
    <t>&lt;codeEdi&gt;14185&lt;/codeEdi&gt;</t>
  </si>
  <si>
    <t>&lt;codeEdi&gt;14186&lt;/codeEdi&gt;</t>
  </si>
  <si>
    <t>&lt;codeEdi&gt;14187&lt;/codeEdi&gt;</t>
  </si>
  <si>
    <t>&lt;codeEdi&gt;14188&lt;/codeEdi&gt;</t>
  </si>
  <si>
    <t>&lt;codeEdi&gt;14189&lt;/codeEdi&gt;</t>
  </si>
  <si>
    <t>&lt;codeEdi&gt;14190&lt;/codeEdi&gt;</t>
  </si>
  <si>
    <t>&lt;codeEdi&gt;14191&lt;/codeEdi&gt;</t>
  </si>
  <si>
    <t>&lt;codeEdi&gt;14192&lt;/codeEdi&gt;</t>
  </si>
  <si>
    <t>&lt;codeEdi&gt;14193&lt;/codeEdi&gt;</t>
  </si>
  <si>
    <t>&lt;codeEdi&gt;14194&lt;/codeEdi&gt;</t>
  </si>
  <si>
    <t>&lt;codeEdi&gt;14195&lt;/codeEdi&gt;</t>
  </si>
  <si>
    <t>&lt;codeEdi&gt;14196&lt;/codeEdi&gt;</t>
  </si>
  <si>
    <t>&lt;codeEdi&gt;14197&lt;/codeEdi&gt;</t>
  </si>
  <si>
    <t>&lt;codeEdi&gt;14198&lt;/codeEdi&gt;</t>
  </si>
  <si>
    <t>&lt;codeEdi&gt;14199&lt;/codeEdi&gt;</t>
  </si>
  <si>
    <t>&lt;codeEdi&gt;14200&lt;/codeEdi&gt;</t>
  </si>
  <si>
    <t>&lt;codeEdi&gt;14201&lt;/codeEdi&gt;</t>
  </si>
  <si>
    <t>&lt;codeEdi&gt;14202&lt;/codeEdi&gt;</t>
  </si>
  <si>
    <t>&lt;codeEdi&gt;14203&lt;/codeEdi&gt;</t>
  </si>
  <si>
    <t>&lt;codeEdi&gt;14204&lt;/codeEdi&gt;</t>
  </si>
  <si>
    <t>&lt;codeEdi&gt;14206&lt;/codeEdi&gt;</t>
  </si>
  <si>
    <t>&lt;codeEdi&gt;14207&lt;/codeEdi&gt;</t>
  </si>
  <si>
    <t>&lt;codeEdi&gt;14205&lt;/codeEdi&gt;</t>
  </si>
  <si>
    <t>&lt;codeEdi&gt;14208&lt;/codeEdi&gt;</t>
  </si>
  <si>
    <t>&lt;codeEdi&gt;14209&lt;/codeEdi&gt;</t>
  </si>
  <si>
    <t>&lt;codeEdi&gt;14210&lt;/codeEdi&gt;</t>
  </si>
  <si>
    <t>&lt;codeEdi&gt;14211&lt;/codeEdi&gt;</t>
  </si>
  <si>
    <t>&lt;codeEdi&gt;14212&lt;/codeEdi&gt;</t>
  </si>
  <si>
    <t>&lt;codeEdi&gt;14213&lt;/codeEdi&gt;</t>
  </si>
  <si>
    <t>&lt;codeEdi&gt;14214&lt;/codeEdi&gt;</t>
  </si>
  <si>
    <t>&lt;codeEdi&gt;14215&lt;/codeEdi&gt;</t>
  </si>
  <si>
    <t>&lt;codeEdi&gt;14216&lt;/codeEdi&gt;</t>
  </si>
  <si>
    <t>&lt;codeEdi&gt;14217&lt;/codeEdi&gt;</t>
  </si>
  <si>
    <t>&lt;codeEdi&gt;14218&lt;/codeEdi&gt;</t>
  </si>
  <si>
    <t>&lt;codeEdi&gt;14219&lt;/codeEdi&gt;</t>
  </si>
  <si>
    <t>&lt;codeEdi&gt;14221&lt;/codeEdi&gt;</t>
  </si>
  <si>
    <t>&lt;codeEdi&gt;14222&lt;/codeEdi&gt;</t>
  </si>
  <si>
    <t>&lt;codeEdi&gt;14223&lt;/codeEdi&gt;</t>
  </si>
  <si>
    <t>&lt;codeEdi&gt;14224&lt;/codeEdi&gt;</t>
  </si>
  <si>
    <t>&lt;codeEdi&gt;14233&lt;/codeEdi&gt;</t>
  </si>
  <si>
    <t>&lt;codeEdi&gt;14234&lt;/codeEdi&gt;</t>
  </si>
  <si>
    <t>&lt;codeEdi&gt;14235&lt;/codeEdi&gt;</t>
  </si>
  <si>
    <t>&lt;codeEdi&gt;14236&lt;/codeEdi&gt;</t>
  </si>
  <si>
    <t>&lt;codeEdi&gt;14237&lt;/codeEdi&gt;</t>
  </si>
  <si>
    <t>&lt;codeEdi&gt;14238&lt;/codeEdi&gt;</t>
  </si>
  <si>
    <t>&lt;codeEdi&gt;14239&lt;/codeEdi&gt;</t>
  </si>
  <si>
    <t>&lt;codeEdi&gt;14240&lt;/codeEdi&gt;</t>
  </si>
  <si>
    <t>&lt;codeEdi&gt;14241&lt;/codeEdi&gt;</t>
  </si>
  <si>
    <t>&lt;codeEdi&gt;14242&lt;/codeEdi&gt;</t>
  </si>
  <si>
    <t>&lt;codeEdi&gt;14243&lt;/codeEdi&gt;</t>
  </si>
  <si>
    <t>&lt;codeEdi&gt;14244&lt;/codeEdi&gt;</t>
  </si>
  <si>
    <t>&lt;codeEdi&gt;14245&lt;/codeEdi&gt;</t>
  </si>
  <si>
    <t>&lt;codeEdi&gt;14246&lt;/codeEdi&gt;</t>
  </si>
  <si>
    <t>&lt;codeEdi&gt;14247&lt;/codeEdi&gt;</t>
  </si>
  <si>
    <t>&lt;codeEdi&gt;14248&lt;/codeEdi&gt;</t>
  </si>
  <si>
    <t>&lt;codeEdi&gt;14249&lt;/codeEdi&gt;</t>
  </si>
  <si>
    <t>&lt;codeEdi&gt;14250&lt;/codeEdi&gt;</t>
  </si>
  <si>
    <t>&lt;codeEdi&gt;14251&lt;/codeEdi&gt;</t>
  </si>
  <si>
    <t>&lt;codeEdi&gt;14252&lt;/codeEdi&gt;</t>
  </si>
  <si>
    <t>&lt;codeEdi&gt;14253&lt;/codeEdi&gt;</t>
  </si>
  <si>
    <t>&lt;codeEdi&gt;14254&lt;/codeEdi&gt;</t>
  </si>
  <si>
    <t>&lt;codeEdi&gt;14255&lt;/codeEdi&gt;</t>
  </si>
  <si>
    <t>&lt;codeEdi&gt;14256&lt;/codeEdi&gt;</t>
  </si>
  <si>
    <t>&lt;codeEdi&gt;14257&lt;/codeEdi&gt;</t>
  </si>
  <si>
    <t>&lt;codeEdi&gt;14258&lt;/codeEdi&gt;</t>
  </si>
  <si>
    <t>&lt;codeEdi&gt;14259&lt;/codeEdi&gt;</t>
  </si>
  <si>
    <t>&lt;codeEdi&gt;14260&lt;/codeEdi&gt;</t>
  </si>
  <si>
    <t>&lt;codeEdi&gt;14262&lt;/codeEdi&gt;</t>
  </si>
  <si>
    <t>&lt;codeEdi&gt;14263&lt;/codeEdi&gt;</t>
  </si>
  <si>
    <t>&lt;codeEdi&gt;14264&lt;/codeEdi&gt;</t>
  </si>
  <si>
    <t>&lt;codeEdi&gt;14261&lt;/codeEdi&gt;</t>
  </si>
  <si>
    <t>&lt;codeEdi&gt;14266&lt;/codeEdi&gt;</t>
  </si>
  <si>
    <t>&lt;codeEdi&gt;14267&lt;/codeEdi&gt;</t>
  </si>
  <si>
    <t>&lt;codeEdi&gt;14268&lt;/codeEdi&gt;</t>
  </si>
  <si>
    <t>&lt;codeEdi&gt;14269&lt;/codeEdi&gt;</t>
  </si>
  <si>
    <t>&lt;codeEdi&gt;14271&lt;/codeEdi&gt;</t>
  </si>
  <si>
    <t>&lt;codeEdi&gt;14272&lt;/codeEdi&gt;</t>
  </si>
  <si>
    <t>&lt;codeEdi&gt;14273&lt;/codeEdi&gt;</t>
  </si>
  <si>
    <t>&lt;codeEdi&gt;14274&lt;/codeEdi&gt;</t>
  </si>
  <si>
    <t>&lt;codeEdi&gt;14276&lt;/codeEdi&gt;</t>
  </si>
  <si>
    <t>&lt;codeEdi&gt;14277&lt;/codeEdi&gt;</t>
  </si>
  <si>
    <t>&lt;codeEdi&gt;14278&lt;/codeEdi&gt;</t>
  </si>
  <si>
    <t>&lt;codeEdi&gt;14279&lt;/codeEdi&gt;</t>
  </si>
  <si>
    <t>&lt;codeEdi&gt;14281&lt;/codeEdi&gt;</t>
  </si>
  <si>
    <t>&lt;codeEdi&gt;14282&lt;/codeEdi&gt;</t>
  </si>
  <si>
    <t>&lt;codeEdi&gt;14283&lt;/codeEdi&gt;</t>
  </si>
  <si>
    <t>&lt;codeEdi&gt;14284&lt;/codeEdi&gt;</t>
  </si>
  <si>
    <t>T220</t>
  </si>
  <si>
    <t>&lt;tableau&gt;&lt;id&gt;220&lt;/id&gt;&lt;/tableau&gt;</t>
  </si>
  <si>
    <t>&lt;codeEdi&gt;14342&lt;/codeEdi&gt;</t>
  </si>
  <si>
    <t>&lt;codeEdi&gt;14343&lt;/codeEdi&gt;</t>
  </si>
  <si>
    <t>&lt;codeEdi&gt;14344&lt;/codeEdi&gt;</t>
  </si>
  <si>
    <t>&lt;codeEdi&gt;14345&lt;/codeEdi&gt;</t>
  </si>
  <si>
    <t>&lt;codeEdi&gt;14301&lt;/codeEdi&gt;</t>
  </si>
  <si>
    <t>&lt;codeEdi&gt;14303&lt;/codeEdi&gt;</t>
  </si>
  <si>
    <t>&lt;codeEdi&gt;14305&lt;/codeEdi&gt;</t>
  </si>
  <si>
    <t>&lt;codeEdi&gt;14307&lt;/codeEdi&gt;</t>
  </si>
  <si>
    <t>&lt;codeEdi&gt;14309&lt;/codeEdi&gt;</t>
  </si>
  <si>
    <t>&lt;codeEdi&gt;14311&lt;/codeEdi&gt;</t>
  </si>
  <si>
    <t>&lt;codeEdi&gt;14313&lt;/codeEdi&gt;</t>
  </si>
  <si>
    <t>&lt;codeEdi&gt;14315&lt;/codeEdi&gt;</t>
  </si>
  <si>
    <t>&lt;codeEdi&gt;14317&lt;/codeEdi&gt;</t>
  </si>
  <si>
    <t>&lt;codeEdi&gt;14319&lt;/codeEdi&gt;</t>
  </si>
  <si>
    <t>&lt;codeEdi&gt;14321&lt;/codeEdi&gt;</t>
  </si>
  <si>
    <t>&lt;codeEdi&gt;14323&lt;/codeEdi&gt;</t>
  </si>
  <si>
    <t>&lt;codeEdi&gt;14325&lt;/codeEdi&gt;</t>
  </si>
  <si>
    <t>&lt;codeEdi&gt;14327&lt;/codeEdi&gt;</t>
  </si>
  <si>
    <t>&lt;codeEdi&gt;14329&lt;/codeEdi&gt;</t>
  </si>
  <si>
    <t>&lt;codeEdi&gt;14331&lt;/codeEdi&gt;</t>
  </si>
  <si>
    <t>&lt;codeEdi&gt;14333&lt;/codeEdi&gt;</t>
  </si>
  <si>
    <t>&lt;codeEdi&gt;14335&lt;/codeEdi&gt;</t>
  </si>
  <si>
    <t>&lt;codeEdi&gt;14337&lt;/codeEdi&gt;</t>
  </si>
  <si>
    <t>&lt;tableau&gt;&lt;id&gt;240&lt;/id&gt;&lt;/tableau&gt;</t>
  </si>
  <si>
    <t>&lt;codeEdi&gt;14347&lt;/codeEdi&gt;</t>
  </si>
  <si>
    <t>&lt;codeEdi&gt;14349&lt;/codeEdi&gt;</t>
  </si>
  <si>
    <t>&lt;cellule&gt;&lt;codeEdi&gt;14990&lt;/codeEdi&gt;&lt;/cellule&gt;</t>
  </si>
  <si>
    <t>&lt;cellule&gt;&lt;codeEdi&gt;14353&lt;/codeEdi&gt;&lt;/cellule&gt;</t>
  </si>
  <si>
    <t>&lt;codeEdi&gt;17929&lt;/codeEdi&gt;</t>
  </si>
  <si>
    <t>&lt;codeEdi&gt;14992&lt;/codeEdi&gt;</t>
  </si>
  <si>
    <t>&lt;codeEdi&gt;14994&lt;/codeEdi&gt;</t>
  </si>
  <si>
    <t>&lt;codeEdi&gt;14996&lt;/codeEdi&gt;</t>
  </si>
  <si>
    <t>&lt;cellule&gt;&lt;codeEdi&gt;14355&lt;/codeEdi&gt;&lt;/cellule&gt;</t>
  </si>
  <si>
    <t>&lt;cellule&gt;&lt;codeEdi&gt;14356&lt;/codeEdi&gt;&lt;/cellule&gt;</t>
  </si>
  <si>
    <t>&lt;codeEdi&gt;14415&lt;/codeEdi&gt;</t>
  </si>
  <si>
    <t>&lt;codeEdi&gt;14380&lt;/codeEdi&gt;</t>
  </si>
  <si>
    <t>II.Dérogations aux Méthodes d'évaluation</t>
  </si>
  <si>
    <t>III. Dérogations aux Règles d'établissement et de Présentation des états de synthèse</t>
  </si>
  <si>
    <t>III VARIATION DU BESOIN DE FINANCEMENT GLOBAL (B.F.G)</t>
  </si>
  <si>
    <t>* REMBOURSEMENTS DES DETTES 
  DE FINANCEMENT                                (G)</t>
  </si>
  <si>
    <t>* REMBOURSEMENT DES CAPITAUX
  PROPRES                                               (F)</t>
  </si>
  <si>
    <t xml:space="preserve">   ACQUISITIONS ET AUGMENTATIONS
   D'IMMOBILISATIONS                           (E)</t>
  </si>
  <si>
    <t xml:space="preserve"> TOTAL RESSOURCES STABLES
  (A+B+C+D)</t>
  </si>
  <si>
    <r>
      <t xml:space="preserve">   AUGMENTATION DES DETTES
   DE FINANCEMENT                                 (D)
</t>
    </r>
    <r>
      <rPr>
        <sz val="8"/>
        <rFont val="Arial"/>
        <family val="2"/>
      </rPr>
      <t>(nettes de primes de remboursement)</t>
    </r>
  </si>
  <si>
    <t>* AUGMENTATION DES CAPITAUX 
   PROPRES ET ASSIMILES                     (C)</t>
  </si>
  <si>
    <t>* CESSIONS ET REDUCTIONS
  D'IMMOBILISATIONS                             (B)</t>
  </si>
  <si>
    <t>I RESSOURCES STABLES DE L'EXERCICE (FLUX)</t>
  </si>
  <si>
    <t>TOTAL II  - EMPLOIS STABLES
(E+F+G+H)</t>
  </si>
  <si>
    <t>I. Actif immobilisé</t>
  </si>
  <si>
    <t>A- Evaluation à l'entrée</t>
  </si>
  <si>
    <t>Nature</t>
  </si>
  <si>
    <t>Description</t>
  </si>
  <si>
    <t>1- Immobilisations en non valeurs</t>
  </si>
  <si>
    <t>2- Immobilisations incorporelles</t>
  </si>
  <si>
    <t>3- Immobilisations corporelles</t>
  </si>
  <si>
    <t>4- Immobilisations financières</t>
  </si>
  <si>
    <t>A- Correction de valeur</t>
  </si>
  <si>
    <t xml:space="preserve">1- Méthodes d'amortissements </t>
  </si>
  <si>
    <t xml:space="preserve">2- Méthodes d'évaluation des provisions pour dépréciation </t>
  </si>
  <si>
    <t xml:space="preserve">3- Méthodes de détermination des écarts de Conversion - Actif </t>
  </si>
  <si>
    <t>II. Actif circulant (hors trésorerie)</t>
  </si>
  <si>
    <t>1- Stocks</t>
  </si>
  <si>
    <t>2- Créances</t>
  </si>
  <si>
    <t>3- Titres et valeurs de placement</t>
  </si>
  <si>
    <t>B- Correction de valeur</t>
  </si>
  <si>
    <t xml:space="preserve">1- Méthodes d'évaluation des provisions pour dépréciation </t>
  </si>
  <si>
    <t xml:space="preserve">2- Méthodes de détermination des écarts de Conversion - Actif </t>
  </si>
  <si>
    <t>III. Financement permanent</t>
  </si>
  <si>
    <t>1- Méthodes de réévaluation</t>
  </si>
  <si>
    <t xml:space="preserve">2- Méthodes d'évaluation des provisions réglementées </t>
  </si>
  <si>
    <t>3- Dettes de financement permanent</t>
  </si>
  <si>
    <t xml:space="preserve">4- Méthodes d'évaluation des provisions durables pour risques et charges </t>
  </si>
  <si>
    <t xml:space="preserve">5- Méthodes de détermination des écarts de Conversion - Passif </t>
  </si>
  <si>
    <t>IV. Passif circulant (hors trésorerie)</t>
  </si>
  <si>
    <t>1- Dettes du passif circulant</t>
  </si>
  <si>
    <t>2- Méthodes d'évaluation des autres provisions pour risques et charges</t>
  </si>
  <si>
    <t>3- Méthodes de détermination des écarts de Conversion - Passif</t>
  </si>
  <si>
    <t>V. Trésorerie</t>
  </si>
  <si>
    <t>1- Trésorerie - Actif</t>
  </si>
  <si>
    <t>2- Trésorerie - Passif</t>
  </si>
  <si>
    <t>3- Méthodes d'évaluation des provisions pour dépréciation</t>
  </si>
  <si>
    <t>A.1 . Principes d'évaluation</t>
  </si>
  <si>
    <t>T15 Mesures d'encouragement</t>
  </si>
  <si>
    <t>Nature des changements</t>
  </si>
  <si>
    <t>Justification des changements</t>
  </si>
  <si>
    <t>Influence sur le patrimoine , la situation financière et les résultats</t>
  </si>
  <si>
    <t>I. Changements affectant les méthodes d'évaluation</t>
  </si>
  <si>
    <t>II. Changements affectant les règles de présentation</t>
  </si>
  <si>
    <t xml:space="preserve">- </t>
  </si>
  <si>
    <t>11110000</t>
  </si>
  <si>
    <t>11400000</t>
  </si>
  <si>
    <t>11610000</t>
  </si>
  <si>
    <t>11890000</t>
  </si>
  <si>
    <t>23310000</t>
  </si>
  <si>
    <t>23510000</t>
  </si>
  <si>
    <t>23520000</t>
  </si>
  <si>
    <t>23550000</t>
  </si>
  <si>
    <t>24860000</t>
  </si>
  <si>
    <t>28331000</t>
  </si>
  <si>
    <t>28351000</t>
  </si>
  <si>
    <t>28355000</t>
  </si>
  <si>
    <t>34210000</t>
  </si>
  <si>
    <t>34530000</t>
  </si>
  <si>
    <t>34551020</t>
  </si>
  <si>
    <t>34552010</t>
  </si>
  <si>
    <t>34552020</t>
  </si>
  <si>
    <t>44110000</t>
  </si>
  <si>
    <t>44320000</t>
  </si>
  <si>
    <t>44410000</t>
  </si>
  <si>
    <t>44450000</t>
  </si>
  <si>
    <t>44525000</t>
  </si>
  <si>
    <t>44530000</t>
  </si>
  <si>
    <t>44550000</t>
  </si>
  <si>
    <t>44560000</t>
  </si>
  <si>
    <t>44650000</t>
  </si>
  <si>
    <t>51610000</t>
  </si>
  <si>
    <t>61252000</t>
  </si>
  <si>
    <t>61254000</t>
  </si>
  <si>
    <t>61263000</t>
  </si>
  <si>
    <t>61332000</t>
  </si>
  <si>
    <t>61341000</t>
  </si>
  <si>
    <t>61455000</t>
  </si>
  <si>
    <t>61473000</t>
  </si>
  <si>
    <t>61612000</t>
  </si>
  <si>
    <t>61711000</t>
  </si>
  <si>
    <t>61741000</t>
  </si>
  <si>
    <t>61743000</t>
  </si>
  <si>
    <t>61935000</t>
  </si>
  <si>
    <t>63310000</t>
  </si>
  <si>
    <t>71280000</t>
  </si>
  <si>
    <t>73310000</t>
  </si>
  <si>
    <t>75860000</t>
  </si>
  <si>
    <t>34552014</t>
  </si>
  <si>
    <t>34560000</t>
  </si>
  <si>
    <t>44170000</t>
  </si>
  <si>
    <t>47010000</t>
  </si>
  <si>
    <t>51150000</t>
  </si>
  <si>
    <t>61251000</t>
  </si>
  <si>
    <t>61335000</t>
  </si>
  <si>
    <t>61430000</t>
  </si>
  <si>
    <t>61440000</t>
  </si>
  <si>
    <t>61671000</t>
  </si>
  <si>
    <t>67010000</t>
  </si>
  <si>
    <t xml:space="preserve">   (Décision du AGO  du 30/06/2017)</t>
  </si>
  <si>
    <t>21280000</t>
  </si>
  <si>
    <t>22200000</t>
  </si>
  <si>
    <t>23560000</t>
  </si>
  <si>
    <t>23900000</t>
  </si>
  <si>
    <t>23930000</t>
  </si>
  <si>
    <t>28128000</t>
  </si>
  <si>
    <t>28220000</t>
  </si>
  <si>
    <t>28352000</t>
  </si>
  <si>
    <t>28356000</t>
  </si>
  <si>
    <t>34110000</t>
  </si>
  <si>
    <t>34170000</t>
  </si>
  <si>
    <t>34210026</t>
  </si>
  <si>
    <t>34231000</t>
  </si>
  <si>
    <t>34232000</t>
  </si>
  <si>
    <t>34233000</t>
  </si>
  <si>
    <t>34234000</t>
  </si>
  <si>
    <t>34235000</t>
  </si>
  <si>
    <t>34236000</t>
  </si>
  <si>
    <t>34240000</t>
  </si>
  <si>
    <t>34270002</t>
  </si>
  <si>
    <t>34270009</t>
  </si>
  <si>
    <t>34270014</t>
  </si>
  <si>
    <t>34270019</t>
  </si>
  <si>
    <t>34270020</t>
  </si>
  <si>
    <t>34270021</t>
  </si>
  <si>
    <t>34270022</t>
  </si>
  <si>
    <t>34270023</t>
  </si>
  <si>
    <t>34270026</t>
  </si>
  <si>
    <t>34270027</t>
  </si>
  <si>
    <t>34270028</t>
  </si>
  <si>
    <t>34270029</t>
  </si>
  <si>
    <t>34270030</t>
  </si>
  <si>
    <t>34270031</t>
  </si>
  <si>
    <t>34270033</t>
  </si>
  <si>
    <t>34270035</t>
  </si>
  <si>
    <t>34270036</t>
  </si>
  <si>
    <t>34270037</t>
  </si>
  <si>
    <t>34270362</t>
  </si>
  <si>
    <t>34270363</t>
  </si>
  <si>
    <t>34270364</t>
  </si>
  <si>
    <t>34270365</t>
  </si>
  <si>
    <t>34310000</t>
  </si>
  <si>
    <t>34311000</t>
  </si>
  <si>
    <t>34313000</t>
  </si>
  <si>
    <t>34380000</t>
  </si>
  <si>
    <t>34510000</t>
  </si>
  <si>
    <t>34510001</t>
  </si>
  <si>
    <t>34552021</t>
  </si>
  <si>
    <t>34552022</t>
  </si>
  <si>
    <t>34580000</t>
  </si>
  <si>
    <t>34580001</t>
  </si>
  <si>
    <t>34910010</t>
  </si>
  <si>
    <t>34910011</t>
  </si>
  <si>
    <t>34970000</t>
  </si>
  <si>
    <t>37010000</t>
  </si>
  <si>
    <t>37020000</t>
  </si>
  <si>
    <t>39420000</t>
  </si>
  <si>
    <t>44113000</t>
  </si>
  <si>
    <t>44130000</t>
  </si>
  <si>
    <t>44150000</t>
  </si>
  <si>
    <t>44170002</t>
  </si>
  <si>
    <t>44210000</t>
  </si>
  <si>
    <t>44270000</t>
  </si>
  <si>
    <t>44340000</t>
  </si>
  <si>
    <t>44370001</t>
  </si>
  <si>
    <t>44370002</t>
  </si>
  <si>
    <t>44370003</t>
  </si>
  <si>
    <t>44370004</t>
  </si>
  <si>
    <t>44370006</t>
  </si>
  <si>
    <t>44371000</t>
  </si>
  <si>
    <t>44372000</t>
  </si>
  <si>
    <t>44430000</t>
  </si>
  <si>
    <t>44470000</t>
  </si>
  <si>
    <t>44522000</t>
  </si>
  <si>
    <t>44550001</t>
  </si>
  <si>
    <t>44550002</t>
  </si>
  <si>
    <t>44580000</t>
  </si>
  <si>
    <t>44580002</t>
  </si>
  <si>
    <t>44631000</t>
  </si>
  <si>
    <t>44970000</t>
  </si>
  <si>
    <t>45010000</t>
  </si>
  <si>
    <t>45060000</t>
  </si>
  <si>
    <t>45070000</t>
  </si>
  <si>
    <t>45080000</t>
  </si>
  <si>
    <t>47020000</t>
  </si>
  <si>
    <t>51412000</t>
  </si>
  <si>
    <t>51414000</t>
  </si>
  <si>
    <t>51415000</t>
  </si>
  <si>
    <t>51416000</t>
  </si>
  <si>
    <t>51417000</t>
  </si>
  <si>
    <t>51620000</t>
  </si>
  <si>
    <t>61253000</t>
  </si>
  <si>
    <t>61263001</t>
  </si>
  <si>
    <t>61263002</t>
  </si>
  <si>
    <t>61263003</t>
  </si>
  <si>
    <t>61263100</t>
  </si>
  <si>
    <t>61263101</t>
  </si>
  <si>
    <t>61263200</t>
  </si>
  <si>
    <t>61263204</t>
  </si>
  <si>
    <t>61263800</t>
  </si>
  <si>
    <t>61263801</t>
  </si>
  <si>
    <t>61263802</t>
  </si>
  <si>
    <t>61263910</t>
  </si>
  <si>
    <t>61310000</t>
  </si>
  <si>
    <t>61311001</t>
  </si>
  <si>
    <t>61311002</t>
  </si>
  <si>
    <t>61312000</t>
  </si>
  <si>
    <t>61312004</t>
  </si>
  <si>
    <t>61316000</t>
  </si>
  <si>
    <t>61348000</t>
  </si>
  <si>
    <t>61352000</t>
  </si>
  <si>
    <t>61360000</t>
  </si>
  <si>
    <t>61371000</t>
  </si>
  <si>
    <t>61378000</t>
  </si>
  <si>
    <t>61430011</t>
  </si>
  <si>
    <t>61431001</t>
  </si>
  <si>
    <t>61433000</t>
  </si>
  <si>
    <t>61433200</t>
  </si>
  <si>
    <t>61433400</t>
  </si>
  <si>
    <t>61433700</t>
  </si>
  <si>
    <t>61434000</t>
  </si>
  <si>
    <t>61451000</t>
  </si>
  <si>
    <t>61451100</t>
  </si>
  <si>
    <t>61480000</t>
  </si>
  <si>
    <t>61613000</t>
  </si>
  <si>
    <t>61678001</t>
  </si>
  <si>
    <t>61712000</t>
  </si>
  <si>
    <t>61712001</t>
  </si>
  <si>
    <t>61712002</t>
  </si>
  <si>
    <t>61712003</t>
  </si>
  <si>
    <t>61712006</t>
  </si>
  <si>
    <t>61712200</t>
  </si>
  <si>
    <t>61712300</t>
  </si>
  <si>
    <t>61712301</t>
  </si>
  <si>
    <t>61712401</t>
  </si>
  <si>
    <t>61713100</t>
  </si>
  <si>
    <t>61716000</t>
  </si>
  <si>
    <t>61742000</t>
  </si>
  <si>
    <t>61745000</t>
  </si>
  <si>
    <t>61766001</t>
  </si>
  <si>
    <t>61766100</t>
  </si>
  <si>
    <t>61768000</t>
  </si>
  <si>
    <t>61768100</t>
  </si>
  <si>
    <t>61912000</t>
  </si>
  <si>
    <t>61922000</t>
  </si>
  <si>
    <t>61935200</t>
  </si>
  <si>
    <t>61935500</t>
  </si>
  <si>
    <t>61935600</t>
  </si>
  <si>
    <t>61964000</t>
  </si>
  <si>
    <t>63111000</t>
  </si>
  <si>
    <t>63930000</t>
  </si>
  <si>
    <t>65810000</t>
  </si>
  <si>
    <t>65860000</t>
  </si>
  <si>
    <t>65870000</t>
  </si>
  <si>
    <t>65880000</t>
  </si>
  <si>
    <t>65950000</t>
  </si>
  <si>
    <t>71240006</t>
  </si>
  <si>
    <t>71240010</t>
  </si>
  <si>
    <t>71240014</t>
  </si>
  <si>
    <t>71240016</t>
  </si>
  <si>
    <t>71240024</t>
  </si>
  <si>
    <t>71240231</t>
  </si>
  <si>
    <t>71240235</t>
  </si>
  <si>
    <t>71240236</t>
  </si>
  <si>
    <t>71240238</t>
  </si>
  <si>
    <t>71250232</t>
  </si>
  <si>
    <t>71250236</t>
  </si>
  <si>
    <t>71250238</t>
  </si>
  <si>
    <t>71250240</t>
  </si>
  <si>
    <t>71250241</t>
  </si>
  <si>
    <t>71250242</t>
  </si>
  <si>
    <t>71250243</t>
  </si>
  <si>
    <t>71253200</t>
  </si>
  <si>
    <t>71253210</t>
  </si>
  <si>
    <t>71610000</t>
  </si>
  <si>
    <t>71610001</t>
  </si>
  <si>
    <t>73930000</t>
  </si>
  <si>
    <t>75870000</t>
  </si>
  <si>
    <t>75880000</t>
  </si>
  <si>
    <t>Numéro de Compte</t>
  </si>
  <si>
    <t>Libellé du Compte</t>
  </si>
  <si>
    <t>Anouveau Débit de l'année N</t>
  </si>
  <si>
    <t>Anouveau Crédit de l'année N</t>
  </si>
  <si>
    <t>Mouvement Débit de l'année N</t>
  </si>
  <si>
    <t>Mouvement Crédit de l'année N</t>
  </si>
  <si>
    <t>Solde
Débiteur de l'année N</t>
  </si>
  <si>
    <t>Solde
Créditeur de l'année N</t>
  </si>
  <si>
    <t>Au 31/07/2021</t>
  </si>
  <si>
    <t>Au 31/07/2020</t>
  </si>
  <si>
    <t>ESG</t>
  </si>
  <si>
    <t>CONSOMMATIONS DE L'EXERCICE</t>
  </si>
  <si>
    <t xml:space="preserve">PRODUCTION DE L'EXERCICE </t>
  </si>
  <si>
    <t>RESULTAT D'EXPLOITATION</t>
  </si>
  <si>
    <t>RESULTAT NON COURANT</t>
  </si>
  <si>
    <t>ADEP</t>
  </si>
  <si>
    <t>Sidi Bernoussi</t>
  </si>
  <si>
    <t>01/01/2015</t>
  </si>
  <si>
    <t>31/12/2015</t>
  </si>
  <si>
    <t>salaheddine karim</t>
  </si>
  <si>
    <t xml:space="preserve">CASABLANCA </t>
  </si>
  <si>
    <t>BE742397</t>
  </si>
  <si>
    <t>Construction</t>
  </si>
  <si>
    <t>casablanca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</si>
</sst>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 _€_-;\-* #,##0.00\ _€_-;_-* &quot;-&quot;??\ _€_-;_-@_-"/>
    <numFmt numFmtId="165" formatCode="_-* #,##0.00\ _F_-;\-* #,##0.00\ _F_-;_-* &quot;-&quot;??\ _F_-;_-@_-"/>
    <numFmt numFmtId="166" formatCode="d\ mmmm\ yyyy"/>
    <numFmt numFmtId="167" formatCode="mmmm\-yy"/>
    <numFmt numFmtId="168" formatCode="d\-mmm\-yy"/>
    <numFmt numFmtId="169" formatCode="_-* #,##0.00\ [$€-1]_-;\-* #,##0.00\ [$€-1]_-;_-* &quot;-&quot;??\ [$€-1]_-"/>
    <numFmt numFmtId="170" formatCode="_-* #,##0\ _F_-;\-* #,##0\ _F_-;_-* &quot;-&quot;??\ _F_-;_-@_-"/>
    <numFmt numFmtId="171" formatCode="_-* #,##0.00\ _D_h_s_-;\-* #,##0.00\ _D_h_s_-;_-* &quot;-&quot;??\ _D_h_s_-;_-@_-"/>
    <numFmt numFmtId="172" formatCode="dd/mm/yy"/>
    <numFmt numFmtId="173" formatCode="[$-40C]mmm\-yy;@"/>
    <numFmt numFmtId="174" formatCode="#\."/>
    <numFmt numFmtId="175" formatCode="yyyy\-mm\-dd"/>
    <numFmt numFmtId="176" formatCode="_-* #,##0.0000\ _F_-;\-* #,##0.0000\ _F_-;_-* &quot;-&quot;??\ _F_-;_-@_-"/>
    <numFmt numFmtId="177" formatCode="_-* #,##0.00000\ _F_-;\-* #,##0.00000\ _F_-;_-* &quot;-&quot;??\ _F_-;_-@_-"/>
    <numFmt numFmtId="178" formatCode="_-* #,##0.00000000\ _F_-;\-* #,##0.00000000\ _F_-;_-* &quot;-&quot;??\ _F_-;_-@_-"/>
  </numFmts>
  <fonts count="90"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Times New Roman"/>
      <family val="1"/>
    </font>
    <font>
      <i/>
      <sz val="10"/>
      <name val="Times New Roman"/>
      <family val="1"/>
    </font>
    <font>
      <b/>
      <i/>
      <sz val="10"/>
      <name val="Times New Roman"/>
      <family val="1"/>
    </font>
    <font>
      <sz val="10"/>
      <name val="Times New Roman"/>
      <family val="1"/>
    </font>
    <font>
      <b/>
      <i/>
      <sz val="9"/>
      <name val="Times New Roman"/>
      <family val="1"/>
    </font>
    <font>
      <i/>
      <sz val="9"/>
      <name val="Times New Roman"/>
      <family val="1"/>
    </font>
    <font>
      <b/>
      <i/>
      <sz val="12"/>
      <name val="Times New Roman"/>
      <family val="1"/>
    </font>
    <font>
      <b/>
      <i/>
      <sz val="8"/>
      <name val="Times New Roman"/>
      <family val="1"/>
    </font>
    <font>
      <i/>
      <sz val="9"/>
      <name val="Times New Roman"/>
      <family val="1"/>
    </font>
    <font>
      <b/>
      <i/>
      <sz val="10"/>
      <name val="Times New Roman"/>
      <family val="1"/>
    </font>
    <font>
      <i/>
      <sz val="10"/>
      <name val="Times New Roman"/>
      <family val="1"/>
    </font>
    <font>
      <b/>
      <i/>
      <sz val="12"/>
      <name val="Times New Roman"/>
      <family val="1"/>
    </font>
    <font>
      <i/>
      <sz val="12"/>
      <name val="Times New Roman"/>
      <family val="1"/>
    </font>
    <font>
      <b/>
      <i/>
      <sz val="9"/>
      <name val="Times New Roman"/>
      <family val="1"/>
    </font>
    <font>
      <b/>
      <i/>
      <sz val="8"/>
      <name val="Times New Roman"/>
      <family val="1"/>
    </font>
    <font>
      <i/>
      <sz val="8"/>
      <name val="Times New Roman"/>
      <family val="1"/>
    </font>
    <font>
      <sz val="8"/>
      <name val="Times New Roman"/>
      <family val="1"/>
    </font>
    <font>
      <sz val="12"/>
      <name val="Times New Roman"/>
      <family val="1"/>
    </font>
    <font>
      <i/>
      <sz val="9"/>
      <color indexed="9"/>
      <name val="Times New Roman"/>
      <family val="1"/>
    </font>
    <font>
      <b/>
      <sz val="10"/>
      <name val="Times New Roman"/>
      <family val="1"/>
    </font>
    <font>
      <b/>
      <i/>
      <sz val="9"/>
      <color indexed="9"/>
      <name val="Times New Roman"/>
      <family val="1"/>
    </font>
    <font>
      <sz val="10"/>
      <name val="MS Sans Serif"/>
      <family val="2"/>
    </font>
    <font>
      <sz val="8"/>
      <name val="MS Sans Serif"/>
      <family val="2"/>
    </font>
    <font>
      <b/>
      <sz val="12"/>
      <name val="Arial"/>
      <family val="2"/>
    </font>
    <font>
      <sz val="9"/>
      <name val="Arial"/>
      <family val="2"/>
    </font>
    <font>
      <b/>
      <sz val="9"/>
      <name val="Arial"/>
      <family val="2"/>
    </font>
    <font>
      <b/>
      <sz val="10"/>
      <name val="Arial"/>
      <family val="2"/>
    </font>
    <font>
      <sz val="10"/>
      <name val="Arial"/>
      <family val="2"/>
    </font>
    <font>
      <sz val="8"/>
      <name val="Arial"/>
      <family val="2"/>
    </font>
    <font>
      <sz val="7"/>
      <name val="Arial"/>
      <family val="2"/>
    </font>
    <font>
      <b/>
      <sz val="11"/>
      <name val="Arial"/>
      <family val="2"/>
    </font>
    <font>
      <sz val="11"/>
      <name val="Arial"/>
      <family val="2"/>
    </font>
    <font>
      <b/>
      <sz val="9"/>
      <name val="Arial"/>
      <family val="2"/>
    </font>
    <font>
      <sz val="11"/>
      <name val="MS Sans Serif"/>
      <family val="2"/>
    </font>
    <font>
      <b/>
      <sz val="9"/>
      <name val="MS Sans Serif"/>
      <family val="2"/>
    </font>
    <font>
      <b/>
      <u/>
      <sz val="10"/>
      <name val="Arial"/>
      <family val="2"/>
    </font>
    <font>
      <u/>
      <sz val="10"/>
      <name val="Arial"/>
      <family val="2"/>
    </font>
    <font>
      <b/>
      <sz val="8"/>
      <name val="Arial"/>
      <family val="2"/>
    </font>
    <font>
      <b/>
      <sz val="10"/>
      <name val="Arial"/>
      <family val="2"/>
    </font>
    <font>
      <b/>
      <sz val="8"/>
      <name val="Arial"/>
      <family val="2"/>
    </font>
    <font>
      <b/>
      <sz val="12"/>
      <name val="Times New Roman"/>
      <family val="1"/>
    </font>
    <font>
      <sz val="9"/>
      <name val="Arial"/>
      <family val="2"/>
    </font>
    <font>
      <sz val="10"/>
      <name val="Times New Roman"/>
      <family val="1"/>
    </font>
    <font>
      <sz val="10"/>
      <name val="Arial"/>
      <family val="2"/>
    </font>
    <font>
      <b/>
      <sz val="12"/>
      <name val="Arial"/>
      <family val="2"/>
    </font>
    <font>
      <b/>
      <u/>
      <sz val="10"/>
      <name val="Arial"/>
      <family val="2"/>
    </font>
    <font>
      <sz val="8"/>
      <name val="Arial"/>
      <family val="2"/>
    </font>
    <font>
      <i/>
      <sz val="7"/>
      <name val="Times New Roman"/>
      <family val="1"/>
    </font>
    <font>
      <b/>
      <i/>
      <sz val="11"/>
      <name val="Times New Roman"/>
      <family val="1"/>
    </font>
    <font>
      <b/>
      <sz val="12"/>
      <name val="MS Sans Serif"/>
      <family val="2"/>
    </font>
    <font>
      <b/>
      <sz val="10"/>
      <name val="MS Sans Serif"/>
      <family val="2"/>
    </font>
    <font>
      <b/>
      <sz val="10"/>
      <color indexed="10"/>
      <name val="Arial"/>
      <family val="2"/>
    </font>
    <font>
      <b/>
      <sz val="14"/>
      <name val="Arial"/>
      <family val="2"/>
    </font>
    <font>
      <sz val="14"/>
      <name val="Arial"/>
      <family val="2"/>
    </font>
    <font>
      <b/>
      <sz val="14"/>
      <name val="Arial"/>
      <family val="2"/>
    </font>
    <font>
      <sz val="20"/>
      <name val="Arial"/>
      <family val="2"/>
    </font>
    <font>
      <b/>
      <sz val="18"/>
      <name val="Arial Black"/>
      <family val="2"/>
    </font>
    <font>
      <b/>
      <sz val="18"/>
      <name val="Times New Roman"/>
      <family val="1"/>
    </font>
    <font>
      <b/>
      <sz val="24"/>
      <name val="Arial"/>
      <family val="2"/>
    </font>
    <font>
      <b/>
      <sz val="16"/>
      <name val="Arial"/>
      <family val="2"/>
    </font>
    <font>
      <sz val="14"/>
      <name val="Arial"/>
      <family val="2"/>
    </font>
    <font>
      <sz val="12"/>
      <name val="Arial"/>
      <family val="2"/>
    </font>
    <font>
      <b/>
      <sz val="12"/>
      <name val="Arial Black"/>
      <family val="2"/>
    </font>
    <font>
      <b/>
      <sz val="11"/>
      <name val="Times New Roman"/>
      <family val="1"/>
    </font>
    <font>
      <b/>
      <i/>
      <sz val="14"/>
      <name val="Times New Roman"/>
      <family val="1"/>
    </font>
    <font>
      <sz val="1"/>
      <color indexed="18"/>
      <name val="Courier"/>
      <family val="3"/>
    </font>
    <font>
      <sz val="10"/>
      <name val="Times New Roman"/>
      <family val="1"/>
    </font>
    <font>
      <sz val="9"/>
      <name val="Helv"/>
    </font>
    <font>
      <b/>
      <i/>
      <sz val="14"/>
      <color indexed="62"/>
      <name val="Arial"/>
      <family val="2"/>
    </font>
    <font>
      <b/>
      <i/>
      <sz val="10"/>
      <name val="Arial"/>
      <family val="2"/>
    </font>
    <font>
      <b/>
      <i/>
      <sz val="12"/>
      <color indexed="12"/>
      <name val="Arial"/>
      <family val="2"/>
    </font>
    <font>
      <b/>
      <i/>
      <sz val="11"/>
      <color indexed="62"/>
      <name val="Arial"/>
      <family val="2"/>
    </font>
    <font>
      <b/>
      <i/>
      <sz val="12"/>
      <name val="Arial"/>
      <family val="2"/>
    </font>
    <font>
      <b/>
      <i/>
      <sz val="11"/>
      <name val="Arial"/>
      <family val="2"/>
    </font>
    <font>
      <sz val="11"/>
      <name val="Arial"/>
      <family val="2"/>
    </font>
    <font>
      <b/>
      <sz val="11"/>
      <name val="Arial"/>
      <family val="2"/>
    </font>
    <font>
      <i/>
      <sz val="9"/>
      <name val="Arial"/>
      <family val="2"/>
    </font>
    <font>
      <sz val="14"/>
      <name val="Times New Roman"/>
      <family val="1"/>
    </font>
    <font>
      <b/>
      <sz val="14"/>
      <color rgb="FFFFFFFF"/>
      <name val="Calibri"/>
      <family val="2"/>
    </font>
    <font>
      <b/>
      <sz val="12"/>
      <color theme="0"/>
      <name val="Times New Roman"/>
      <family val="1"/>
    </font>
    <font>
      <sz val="11"/>
      <name val="Times New Roman"/>
      <family val="1"/>
    </font>
    <font>
      <sz val="11"/>
      <color theme="0"/>
      <name val="Times New Roman"/>
      <family val="1"/>
    </font>
    <font>
      <b/>
      <i/>
      <sz val="11"/>
      <color theme="0"/>
      <name val="Arial"/>
      <family val="2"/>
    </font>
    <font>
      <sz val="9"/>
      <name val="Times New Roman"/>
      <family val="1"/>
    </font>
  </fonts>
  <fills count="15">
    <fill>
      <patternFill patternType="none"/>
    </fill>
    <fill>
      <patternFill patternType="gray125"/>
    </fill>
    <fill>
      <patternFill patternType="solid">
        <fgColor indexed="9"/>
        <bgColor indexed="64"/>
      </patternFill>
    </fill>
    <fill>
      <patternFill patternType="gray125">
        <bgColor indexed="9"/>
      </patternFill>
    </fill>
    <fill>
      <patternFill patternType="solid">
        <fgColor indexed="47"/>
        <bgColor indexed="64"/>
      </patternFill>
    </fill>
    <fill>
      <patternFill patternType="solid">
        <fgColor indexed="22"/>
        <bgColor indexed="64"/>
      </patternFill>
    </fill>
    <fill>
      <patternFill patternType="mediumGray">
        <bgColor indexed="9"/>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bgColor indexed="64"/>
      </patternFill>
    </fill>
    <fill>
      <patternFill patternType="solid">
        <fgColor theme="4"/>
        <bgColor indexed="64"/>
      </patternFill>
    </fill>
    <fill>
      <patternFill patternType="solid">
        <fgColor theme="3" tint="0.59999389629810485"/>
        <bgColor indexed="64"/>
      </patternFill>
    </fill>
    <fill>
      <patternFill patternType="solid">
        <fgColor rgb="FFFFC000"/>
        <bgColor indexed="64"/>
      </patternFill>
    </fill>
    <fill>
      <patternFill patternType="solid">
        <fgColor theme="9" tint="0.39997558519241921"/>
        <bgColor indexed="64"/>
      </patternFill>
    </fill>
  </fills>
  <borders count="89">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ck">
        <color indexed="64"/>
      </left>
      <right/>
      <top/>
      <bottom/>
      <diagonal/>
    </border>
    <border>
      <left style="medium">
        <color indexed="64"/>
      </left>
      <right style="medium">
        <color indexed="64"/>
      </right>
      <top/>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ck">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ck">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style="thick">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s>
  <cellStyleXfs count="17">
    <xf numFmtId="0" fontId="0" fillId="0" borderId="0"/>
    <xf numFmtId="169" fontId="9" fillId="0" borderId="0" applyFont="0" applyFill="0" applyBorder="0" applyAlignment="0" applyProtection="0"/>
    <xf numFmtId="165" fontId="9" fillId="0" borderId="0" applyFont="0" applyFill="0" applyBorder="0" applyAlignment="0" applyProtection="0"/>
    <xf numFmtId="174" fontId="71" fillId="0" borderId="0">
      <protection locked="0"/>
    </xf>
    <xf numFmtId="174" fontId="71" fillId="0" borderId="0">
      <protection locked="0"/>
    </xf>
    <xf numFmtId="0" fontId="72" fillId="0" borderId="0"/>
    <xf numFmtId="0" fontId="49" fillId="0" borderId="0"/>
    <xf numFmtId="0" fontId="27" fillId="0" borderId="0"/>
    <xf numFmtId="9" fontId="9" fillId="0" borderId="0" applyFont="0" applyFill="0" applyBorder="0" applyAlignment="0" applyProtection="0"/>
    <xf numFmtId="0" fontId="73" fillId="0" borderId="0"/>
    <xf numFmtId="0" fontId="5" fillId="0" borderId="0"/>
    <xf numFmtId="165" fontId="9" fillId="0" borderId="0" applyFont="0" applyFill="0" applyBorder="0" applyAlignment="0" applyProtection="0"/>
    <xf numFmtId="0" fontId="9" fillId="0" borderId="0"/>
    <xf numFmtId="0" fontId="4" fillId="0" borderId="0"/>
    <xf numFmtId="0" fontId="3" fillId="0" borderId="0"/>
    <xf numFmtId="0" fontId="2" fillId="0" borderId="0"/>
    <xf numFmtId="0" fontId="1" fillId="0" borderId="0"/>
  </cellStyleXfs>
  <cellXfs count="1199">
    <xf numFmtId="0" fontId="0" fillId="0" borderId="0" xfId="0"/>
    <xf numFmtId="4" fontId="11" fillId="2" borderId="0" xfId="0" applyNumberFormat="1" applyFont="1" applyFill="1" applyAlignment="1">
      <alignment horizontal="center"/>
    </xf>
    <xf numFmtId="0" fontId="0" fillId="2" borderId="0" xfId="0" applyFill="1"/>
    <xf numFmtId="0" fontId="10" fillId="2" borderId="0" xfId="0" applyFont="1" applyFill="1"/>
    <xf numFmtId="0" fontId="33" fillId="2" borderId="0" xfId="7" applyFont="1" applyFill="1"/>
    <xf numFmtId="0" fontId="19" fillId="2" borderId="0" xfId="0" applyFont="1" applyFill="1" applyAlignment="1">
      <alignment horizontal="left"/>
    </xf>
    <xf numFmtId="0" fontId="8" fillId="2" borderId="0" xfId="0" applyFont="1" applyFill="1"/>
    <xf numFmtId="0" fontId="29" fillId="2" borderId="0" xfId="7" applyFont="1" applyFill="1"/>
    <xf numFmtId="0" fontId="50" fillId="2" borderId="0" xfId="7" applyFont="1" applyFill="1"/>
    <xf numFmtId="0" fontId="32" fillId="2" borderId="0" xfId="7" applyFont="1" applyFill="1"/>
    <xf numFmtId="0" fontId="49" fillId="2" borderId="0" xfId="7" applyFont="1" applyFill="1"/>
    <xf numFmtId="0" fontId="44" fillId="2" borderId="0" xfId="7" applyFont="1" applyFill="1"/>
    <xf numFmtId="0" fontId="49" fillId="2" borderId="0" xfId="0" applyFont="1" applyFill="1"/>
    <xf numFmtId="0" fontId="19" fillId="2" borderId="0" xfId="0" applyFont="1" applyFill="1"/>
    <xf numFmtId="0" fontId="20" fillId="2" borderId="0" xfId="0" applyFont="1" applyFill="1"/>
    <xf numFmtId="0" fontId="7" fillId="2" borderId="0" xfId="0" applyFont="1" applyFill="1"/>
    <xf numFmtId="165" fontId="0" fillId="2" borderId="0" xfId="2" applyFont="1" applyFill="1"/>
    <xf numFmtId="0" fontId="17" fillId="2" borderId="0" xfId="0" applyFont="1" applyFill="1"/>
    <xf numFmtId="4" fontId="46" fillId="2" borderId="0" xfId="0" applyNumberFormat="1" applyFont="1" applyFill="1" applyAlignment="1">
      <alignment horizontal="center"/>
    </xf>
    <xf numFmtId="4" fontId="17" fillId="2" borderId="0" xfId="0" applyNumberFormat="1" applyFont="1" applyFill="1" applyAlignment="1">
      <alignment horizontal="center"/>
    </xf>
    <xf numFmtId="0" fontId="11" fillId="2" borderId="0" xfId="0" applyFont="1" applyFill="1"/>
    <xf numFmtId="0" fontId="17" fillId="2" borderId="1" xfId="0" applyFont="1" applyFill="1" applyBorder="1"/>
    <xf numFmtId="4" fontId="17" fillId="2" borderId="1" xfId="0" applyNumberFormat="1" applyFont="1" applyFill="1" applyBorder="1" applyAlignment="1">
      <alignment horizontal="right"/>
    </xf>
    <xf numFmtId="166" fontId="17" fillId="2" borderId="1" xfId="0" applyNumberFormat="1" applyFont="1" applyFill="1" applyBorder="1" applyAlignment="1">
      <alignment horizontal="left"/>
    </xf>
    <xf numFmtId="0" fontId="11" fillId="2" borderId="0" xfId="0" applyFont="1" applyFill="1" applyAlignment="1">
      <alignment vertical="center"/>
    </xf>
    <xf numFmtId="0" fontId="17" fillId="2" borderId="2" xfId="0" applyFont="1" applyFill="1" applyBorder="1" applyAlignment="1">
      <alignment horizontal="center" vertical="center"/>
    </xf>
    <xf numFmtId="4" fontId="17" fillId="2" borderId="3" xfId="0" applyNumberFormat="1" applyFont="1" applyFill="1" applyBorder="1" applyAlignment="1">
      <alignment horizontal="center" vertical="center"/>
    </xf>
    <xf numFmtId="0" fontId="17" fillId="2" borderId="4" xfId="0" applyFont="1" applyFill="1" applyBorder="1" applyAlignment="1">
      <alignment horizontal="center"/>
    </xf>
    <xf numFmtId="4" fontId="17" fillId="2" borderId="5" xfId="0" applyNumberFormat="1" applyFont="1" applyFill="1" applyBorder="1" applyAlignment="1">
      <alignment horizontal="center" vertical="center" wrapText="1"/>
    </xf>
    <xf numFmtId="4" fontId="17" fillId="2" borderId="6" xfId="0" applyNumberFormat="1" applyFont="1" applyFill="1" applyBorder="1" applyAlignment="1">
      <alignment horizontal="center" vertical="center" wrapText="1"/>
    </xf>
    <xf numFmtId="4" fontId="17" fillId="2" borderId="7" xfId="0" applyNumberFormat="1" applyFont="1" applyFill="1" applyBorder="1" applyAlignment="1">
      <alignment horizontal="center" vertical="center" wrapText="1"/>
    </xf>
    <xf numFmtId="0" fontId="17" fillId="2" borderId="8" xfId="0" applyFont="1" applyFill="1" applyBorder="1" applyAlignment="1">
      <alignment horizontal="center"/>
    </xf>
    <xf numFmtId="0" fontId="17" fillId="2" borderId="0" xfId="0" applyFont="1" applyFill="1" applyAlignment="1">
      <alignment horizontal="center"/>
    </xf>
    <xf numFmtId="4" fontId="17" fillId="2" borderId="9" xfId="0" applyNumberFormat="1" applyFont="1" applyFill="1" applyBorder="1" applyAlignment="1">
      <alignment horizontal="center" vertical="center" wrapText="1"/>
    </xf>
    <xf numFmtId="0" fontId="17" fillId="2" borderId="10" xfId="0" applyFont="1" applyFill="1" applyBorder="1" applyAlignment="1">
      <alignment horizontal="center"/>
    </xf>
    <xf numFmtId="4" fontId="17" fillId="2" borderId="11" xfId="0" applyNumberFormat="1" applyFont="1" applyFill="1" applyBorder="1" applyAlignment="1">
      <alignment horizontal="center" vertical="center" wrapText="1"/>
    </xf>
    <xf numFmtId="4" fontId="17" fillId="2" borderId="12" xfId="0" applyNumberFormat="1" applyFont="1" applyFill="1" applyBorder="1" applyAlignment="1">
      <alignment horizontal="center" vertical="center" wrapText="1"/>
    </xf>
    <xf numFmtId="0" fontId="17" fillId="2" borderId="13" xfId="0" applyFont="1" applyFill="1" applyBorder="1" applyAlignment="1">
      <alignment horizontal="left"/>
    </xf>
    <xf numFmtId="4" fontId="17" fillId="2" borderId="1" xfId="0" applyNumberFormat="1" applyFont="1" applyFill="1" applyBorder="1"/>
    <xf numFmtId="4" fontId="17" fillId="2" borderId="0" xfId="0" applyNumberFormat="1" applyFont="1" applyFill="1"/>
    <xf numFmtId="4" fontId="17" fillId="2" borderId="14" xfId="0" applyNumberFormat="1" applyFont="1" applyFill="1" applyBorder="1"/>
    <xf numFmtId="0" fontId="17" fillId="2" borderId="15" xfId="0" applyFont="1" applyFill="1" applyBorder="1" applyAlignment="1">
      <alignment horizontal="left"/>
    </xf>
    <xf numFmtId="9" fontId="17" fillId="2" borderId="16" xfId="8" applyFont="1" applyFill="1" applyBorder="1" applyAlignment="1">
      <alignment horizontal="center"/>
    </xf>
    <xf numFmtId="9" fontId="17" fillId="2" borderId="1" xfId="8" applyFont="1" applyFill="1" applyBorder="1" applyAlignment="1">
      <alignment horizontal="center"/>
    </xf>
    <xf numFmtId="0" fontId="17" fillId="2" borderId="15" xfId="0" applyFont="1" applyFill="1" applyBorder="1" applyAlignment="1">
      <alignment horizontal="centerContinuous" vertical="center"/>
    </xf>
    <xf numFmtId="4" fontId="17" fillId="2" borderId="17" xfId="0" applyNumberFormat="1" applyFont="1" applyFill="1" applyBorder="1" applyAlignment="1">
      <alignment horizontal="center" vertical="center"/>
    </xf>
    <xf numFmtId="4" fontId="17" fillId="2" borderId="18" xfId="0" applyNumberFormat="1" applyFont="1" applyFill="1" applyBorder="1"/>
    <xf numFmtId="14" fontId="17" fillId="2" borderId="6" xfId="0" applyNumberFormat="1" applyFont="1" applyFill="1" applyBorder="1" applyAlignment="1">
      <alignment horizontal="center" vertical="center" wrapText="1"/>
    </xf>
    <xf numFmtId="3" fontId="17" fillId="2" borderId="11" xfId="0" applyNumberFormat="1" applyFont="1" applyFill="1" applyBorder="1" applyAlignment="1">
      <alignment horizontal="center" vertical="center" wrapText="1"/>
    </xf>
    <xf numFmtId="3" fontId="17" fillId="2" borderId="11" xfId="0" quotePrefix="1" applyNumberFormat="1" applyFont="1" applyFill="1" applyBorder="1" applyAlignment="1">
      <alignment horizontal="center" vertical="center" wrapText="1"/>
    </xf>
    <xf numFmtId="0" fontId="17" fillId="2" borderId="19" xfId="0" applyFont="1" applyFill="1" applyBorder="1"/>
    <xf numFmtId="4" fontId="17" fillId="2" borderId="20" xfId="0" applyNumberFormat="1" applyFont="1" applyFill="1" applyBorder="1" applyAlignment="1">
      <alignment horizontal="center"/>
    </xf>
    <xf numFmtId="0" fontId="19" fillId="2" borderId="0" xfId="0" applyFont="1" applyFill="1" applyAlignment="1">
      <alignment horizontal="center" textRotation="90"/>
    </xf>
    <xf numFmtId="0" fontId="17" fillId="2" borderId="15" xfId="0" applyFont="1" applyFill="1" applyBorder="1"/>
    <xf numFmtId="4" fontId="24" fillId="2" borderId="0" xfId="0" applyNumberFormat="1" applyFont="1" applyFill="1" applyAlignment="1">
      <alignment horizontal="center"/>
    </xf>
    <xf numFmtId="0" fontId="41" fillId="2" borderId="0" xfId="7" applyFont="1" applyFill="1"/>
    <xf numFmtId="0" fontId="41" fillId="2" borderId="0" xfId="7" applyFont="1" applyFill="1" applyAlignment="1">
      <alignment horizontal="centerContinuous"/>
    </xf>
    <xf numFmtId="0" fontId="33" fillId="2" borderId="0" xfId="7" applyFont="1" applyFill="1" applyAlignment="1">
      <alignment horizontal="centerContinuous"/>
    </xf>
    <xf numFmtId="0" fontId="33" fillId="2" borderId="21" xfId="7" applyFont="1" applyFill="1" applyBorder="1"/>
    <xf numFmtId="0" fontId="33" fillId="2" borderId="22" xfId="7" applyFont="1" applyFill="1" applyBorder="1"/>
    <xf numFmtId="0" fontId="33" fillId="2" borderId="23" xfId="7" applyFont="1" applyFill="1" applyBorder="1"/>
    <xf numFmtId="0" fontId="33" fillId="2" borderId="24" xfId="7" applyFont="1" applyFill="1" applyBorder="1"/>
    <xf numFmtId="0" fontId="33" fillId="2" borderId="25" xfId="7" applyFont="1" applyFill="1" applyBorder="1"/>
    <xf numFmtId="0" fontId="33" fillId="2" borderId="26" xfId="7" applyFont="1" applyFill="1" applyBorder="1"/>
    <xf numFmtId="0" fontId="33" fillId="2" borderId="27" xfId="7" applyFont="1" applyFill="1" applyBorder="1"/>
    <xf numFmtId="0" fontId="33" fillId="2" borderId="28" xfId="7" applyFont="1" applyFill="1" applyBorder="1"/>
    <xf numFmtId="0" fontId="32" fillId="2" borderId="0" xfId="7" quotePrefix="1" applyFont="1" applyFill="1" applyAlignment="1">
      <alignment horizontal="left"/>
    </xf>
    <xf numFmtId="0" fontId="32" fillId="2" borderId="0" xfId="7" applyFont="1" applyFill="1" applyAlignment="1">
      <alignment horizontal="left"/>
    </xf>
    <xf numFmtId="0" fontId="27" fillId="2" borderId="0" xfId="7" applyFill="1"/>
    <xf numFmtId="0" fontId="36" fillId="2" borderId="0" xfId="7" applyFont="1" applyFill="1"/>
    <xf numFmtId="0" fontId="57" fillId="2" borderId="0" xfId="7" applyFont="1" applyFill="1" applyAlignment="1">
      <alignment horizontal="center"/>
    </xf>
    <xf numFmtId="0" fontId="43" fillId="2" borderId="0" xfId="7" applyFont="1" applyFill="1"/>
    <xf numFmtId="0" fontId="34" fillId="2" borderId="0" xfId="7" applyFont="1" applyFill="1"/>
    <xf numFmtId="0" fontId="33" fillId="2" borderId="29" xfId="7" applyFont="1" applyFill="1" applyBorder="1"/>
    <xf numFmtId="0" fontId="33" fillId="2" borderId="20" xfId="7" applyFont="1" applyFill="1" applyBorder="1"/>
    <xf numFmtId="0" fontId="33" fillId="2" borderId="30" xfId="7" applyFont="1" applyFill="1" applyBorder="1" applyAlignment="1">
      <alignment horizontal="center"/>
    </xf>
    <xf numFmtId="0" fontId="33" fillId="2" borderId="15" xfId="7" applyFont="1" applyFill="1" applyBorder="1"/>
    <xf numFmtId="0" fontId="33" fillId="2" borderId="31" xfId="7" applyFont="1" applyFill="1" applyBorder="1"/>
    <xf numFmtId="0" fontId="33" fillId="2" borderId="32" xfId="7" applyFont="1" applyFill="1" applyBorder="1"/>
    <xf numFmtId="0" fontId="33" fillId="2" borderId="0" xfId="7" applyFont="1" applyFill="1" applyAlignment="1">
      <alignment horizontal="center"/>
    </xf>
    <xf numFmtId="0" fontId="33" fillId="2" borderId="33" xfId="7" applyFont="1" applyFill="1" applyBorder="1" applyAlignment="1">
      <alignment horizontal="center"/>
    </xf>
    <xf numFmtId="0" fontId="33" fillId="2" borderId="34" xfId="7" applyFont="1" applyFill="1" applyBorder="1"/>
    <xf numFmtId="0" fontId="33" fillId="2" borderId="1" xfId="7" applyFont="1" applyFill="1" applyBorder="1"/>
    <xf numFmtId="0" fontId="33" fillId="2" borderId="35" xfId="7" applyFont="1" applyFill="1" applyBorder="1" applyAlignment="1">
      <alignment horizontal="center"/>
    </xf>
    <xf numFmtId="0" fontId="33" fillId="2" borderId="8" xfId="7" applyFont="1" applyFill="1" applyBorder="1"/>
    <xf numFmtId="0" fontId="34" fillId="2" borderId="22" xfId="7" applyFont="1" applyFill="1" applyBorder="1"/>
    <xf numFmtId="0" fontId="34" fillId="2" borderId="16" xfId="7" applyFont="1" applyFill="1" applyBorder="1"/>
    <xf numFmtId="0" fontId="34" fillId="2" borderId="36" xfId="7" applyFont="1" applyFill="1" applyBorder="1"/>
    <xf numFmtId="0" fontId="33" fillId="2" borderId="37" xfId="7" applyFont="1" applyFill="1" applyBorder="1"/>
    <xf numFmtId="0" fontId="43" fillId="2" borderId="16" xfId="7" applyFont="1" applyFill="1" applyBorder="1"/>
    <xf numFmtId="4" fontId="33" fillId="2" borderId="0" xfId="7" applyNumberFormat="1" applyFont="1" applyFill="1"/>
    <xf numFmtId="0" fontId="34" fillId="2" borderId="15" xfId="7" applyFont="1" applyFill="1" applyBorder="1" applyAlignment="1">
      <alignment horizontal="centerContinuous"/>
    </xf>
    <xf numFmtId="0" fontId="34" fillId="2" borderId="31" xfId="7" applyFont="1" applyFill="1" applyBorder="1" applyAlignment="1">
      <alignment horizontal="centerContinuous"/>
    </xf>
    <xf numFmtId="0" fontId="33" fillId="2" borderId="38" xfId="7" applyFont="1" applyFill="1" applyBorder="1"/>
    <xf numFmtId="0" fontId="34" fillId="2" borderId="30" xfId="7" applyFont="1" applyFill="1" applyBorder="1" applyAlignment="1">
      <alignment horizontal="center"/>
    </xf>
    <xf numFmtId="0" fontId="43" fillId="2" borderId="38" xfId="7" applyFont="1" applyFill="1" applyBorder="1"/>
    <xf numFmtId="0" fontId="34" fillId="2" borderId="35" xfId="7" applyFont="1" applyFill="1" applyBorder="1"/>
    <xf numFmtId="0" fontId="45" fillId="2" borderId="0" xfId="7" applyFont="1" applyFill="1"/>
    <xf numFmtId="4" fontId="45" fillId="2" borderId="33" xfId="7" applyNumberFormat="1" applyFont="1" applyFill="1" applyBorder="1"/>
    <xf numFmtId="4" fontId="34" fillId="2" borderId="33" xfId="7" applyNumberFormat="1" applyFont="1" applyFill="1" applyBorder="1"/>
    <xf numFmtId="4" fontId="34" fillId="2" borderId="0" xfId="7" applyNumberFormat="1" applyFont="1" applyFill="1"/>
    <xf numFmtId="4" fontId="45" fillId="2" borderId="0" xfId="7" applyNumberFormat="1" applyFont="1" applyFill="1"/>
    <xf numFmtId="4" fontId="34" fillId="2" borderId="40" xfId="7" applyNumberFormat="1" applyFont="1" applyFill="1" applyBorder="1"/>
    <xf numFmtId="0" fontId="45" fillId="2" borderId="1" xfId="7" applyFont="1" applyFill="1" applyBorder="1" applyAlignment="1">
      <alignment horizontal="center"/>
    </xf>
    <xf numFmtId="0" fontId="45" fillId="2" borderId="16" xfId="7" applyFont="1" applyFill="1" applyBorder="1"/>
    <xf numFmtId="0" fontId="14" fillId="2" borderId="0" xfId="0" applyFont="1" applyFill="1"/>
    <xf numFmtId="0" fontId="14" fillId="2" borderId="0" xfId="0" applyFont="1" applyFill="1" applyAlignment="1">
      <alignment horizontal="center"/>
    </xf>
    <xf numFmtId="0" fontId="19" fillId="2" borderId="0" xfId="0" applyFont="1" applyFill="1" applyAlignment="1">
      <alignment horizontal="center"/>
    </xf>
    <xf numFmtId="0" fontId="54" fillId="2" borderId="0" xfId="0" applyFont="1" applyFill="1" applyAlignment="1">
      <alignment horizontal="centerContinuous"/>
    </xf>
    <xf numFmtId="0" fontId="19" fillId="2" borderId="0" xfId="0" applyFont="1" applyFill="1" applyAlignment="1">
      <alignment horizontal="centerContinuous"/>
    </xf>
    <xf numFmtId="0" fontId="14" fillId="2" borderId="41" xfId="0" applyFont="1" applyFill="1" applyBorder="1" applyAlignment="1">
      <alignment horizontal="center" vertical="center"/>
    </xf>
    <xf numFmtId="0" fontId="14" fillId="2" borderId="41" xfId="0" applyFont="1" applyFill="1" applyBorder="1" applyAlignment="1">
      <alignment horizontal="centerContinuous" vertical="center" wrapText="1"/>
    </xf>
    <xf numFmtId="0" fontId="14" fillId="2" borderId="41" xfId="0" applyFont="1" applyFill="1" applyBorder="1" applyAlignment="1">
      <alignment horizontal="center" vertical="center" wrapText="1"/>
    </xf>
    <xf numFmtId="0" fontId="14" fillId="2" borderId="0" xfId="0" applyFont="1" applyFill="1" applyAlignment="1">
      <alignment horizontal="center" vertical="center"/>
    </xf>
    <xf numFmtId="0" fontId="14" fillId="2" borderId="6" xfId="0" applyFont="1" applyFill="1" applyBorder="1" applyAlignment="1">
      <alignment horizontal="center"/>
    </xf>
    <xf numFmtId="0" fontId="14" fillId="2" borderId="6" xfId="0" applyFont="1" applyFill="1" applyBorder="1"/>
    <xf numFmtId="0" fontId="14" fillId="2" borderId="6" xfId="0" applyFont="1" applyFill="1" applyBorder="1" applyAlignment="1">
      <alignment horizontal="center" vertical="top"/>
    </xf>
    <xf numFmtId="0" fontId="14" fillId="2" borderId="6" xfId="0" applyFont="1" applyFill="1" applyBorder="1" applyAlignment="1">
      <alignment vertical="top"/>
    </xf>
    <xf numFmtId="0" fontId="14" fillId="2" borderId="41" xfId="0" applyFont="1" applyFill="1" applyBorder="1" applyAlignment="1">
      <alignment horizontal="center" vertical="top"/>
    </xf>
    <xf numFmtId="0" fontId="19" fillId="2" borderId="41" xfId="0" applyFont="1" applyFill="1" applyBorder="1" applyAlignment="1">
      <alignment vertical="top"/>
    </xf>
    <xf numFmtId="0" fontId="53" fillId="2" borderId="0" xfId="0" quotePrefix="1" applyFont="1" applyFill="1" applyAlignment="1">
      <alignment horizontal="center"/>
    </xf>
    <xf numFmtId="0" fontId="53" fillId="2" borderId="0" xfId="0" applyFont="1" applyFill="1"/>
    <xf numFmtId="0" fontId="53" fillId="2" borderId="0" xfId="0" applyFont="1" applyFill="1" applyAlignment="1">
      <alignment horizontal="center"/>
    </xf>
    <xf numFmtId="0" fontId="19" fillId="2" borderId="5" xfId="0" applyFont="1" applyFill="1" applyBorder="1" applyAlignment="1">
      <alignment horizontal="center"/>
    </xf>
    <xf numFmtId="0" fontId="19" fillId="2" borderId="6" xfId="0" applyFont="1" applyFill="1" applyBorder="1" applyAlignment="1">
      <alignment horizontal="center"/>
    </xf>
    <xf numFmtId="0" fontId="19" fillId="2" borderId="3" xfId="0" applyFont="1" applyFill="1" applyBorder="1" applyAlignment="1">
      <alignment horizontal="center"/>
    </xf>
    <xf numFmtId="0" fontId="32" fillId="2" borderId="0" xfId="7" applyFont="1" applyFill="1" applyAlignment="1">
      <alignment horizontal="centerContinuous"/>
    </xf>
    <xf numFmtId="0" fontId="32" fillId="2" borderId="39" xfId="7" applyFont="1" applyFill="1" applyBorder="1" applyAlignment="1">
      <alignment horizontal="center"/>
    </xf>
    <xf numFmtId="0" fontId="32" fillId="2" borderId="16" xfId="7" applyFont="1" applyFill="1" applyBorder="1" applyAlignment="1">
      <alignment horizontal="center"/>
    </xf>
    <xf numFmtId="0" fontId="27" fillId="2" borderId="0" xfId="7" applyFill="1" applyAlignment="1">
      <alignment horizontal="centerContinuous"/>
    </xf>
    <xf numFmtId="0" fontId="33" fillId="2" borderId="0" xfId="7" applyFont="1" applyFill="1" applyAlignment="1">
      <alignment horizontal="right"/>
    </xf>
    <xf numFmtId="0" fontId="32" fillId="2" borderId="5" xfId="7" applyFont="1" applyFill="1" applyBorder="1" applyAlignment="1">
      <alignment horizontal="center"/>
    </xf>
    <xf numFmtId="0" fontId="32" fillId="2" borderId="23" xfId="7" applyFont="1" applyFill="1" applyBorder="1" applyAlignment="1">
      <alignment horizontal="center"/>
    </xf>
    <xf numFmtId="0" fontId="32" fillId="2" borderId="6" xfId="7" applyFont="1" applyFill="1" applyBorder="1" applyAlignment="1">
      <alignment horizontal="center"/>
    </xf>
    <xf numFmtId="0" fontId="32" fillId="2" borderId="25" xfId="7" applyFont="1" applyFill="1" applyBorder="1" applyAlignment="1">
      <alignment horizontal="center"/>
    </xf>
    <xf numFmtId="0" fontId="32" fillId="2" borderId="3" xfId="7" applyFont="1" applyFill="1" applyBorder="1" applyAlignment="1">
      <alignment horizontal="center"/>
    </xf>
    <xf numFmtId="0" fontId="32" fillId="2" borderId="28" xfId="7" applyFont="1" applyFill="1" applyBorder="1" applyAlignment="1">
      <alignment horizontal="center"/>
    </xf>
    <xf numFmtId="0" fontId="33" fillId="2" borderId="6" xfId="7" applyFont="1" applyFill="1" applyBorder="1"/>
    <xf numFmtId="0" fontId="33" fillId="2" borderId="3" xfId="7" applyFont="1" applyFill="1" applyBorder="1"/>
    <xf numFmtId="0" fontId="31" fillId="2" borderId="41" xfId="7" applyFont="1" applyFill="1" applyBorder="1"/>
    <xf numFmtId="0" fontId="42" fillId="2" borderId="0" xfId="7" applyFont="1" applyFill="1" applyAlignment="1">
      <alignment horizontal="right"/>
    </xf>
    <xf numFmtId="0" fontId="31" fillId="2" borderId="21" xfId="7" applyFont="1" applyFill="1" applyBorder="1" applyAlignment="1">
      <alignment horizontal="center"/>
    </xf>
    <xf numFmtId="0" fontId="31" fillId="2" borderId="5" xfId="7" applyFont="1" applyFill="1" applyBorder="1" applyAlignment="1">
      <alignment horizontal="center"/>
    </xf>
    <xf numFmtId="0" fontId="31" fillId="2" borderId="0" xfId="7" applyFont="1" applyFill="1"/>
    <xf numFmtId="0" fontId="41" fillId="2" borderId="26" xfId="7" applyFont="1" applyFill="1" applyBorder="1"/>
    <xf numFmtId="0" fontId="31" fillId="2" borderId="21" xfId="7" applyFont="1" applyFill="1" applyBorder="1"/>
    <xf numFmtId="0" fontId="31" fillId="2" borderId="6" xfId="7" applyFont="1" applyFill="1" applyBorder="1"/>
    <xf numFmtId="0" fontId="33" fillId="2" borderId="6" xfId="7" applyFont="1" applyFill="1" applyBorder="1" applyAlignment="1">
      <alignment horizontal="left" wrapText="1"/>
    </xf>
    <xf numFmtId="0" fontId="33" fillId="2" borderId="6" xfId="7" applyFont="1" applyFill="1" applyBorder="1" applyAlignment="1">
      <alignment horizontal="left"/>
    </xf>
    <xf numFmtId="0" fontId="33" fillId="2" borderId="6" xfId="7" applyFont="1" applyFill="1" applyBorder="1" applyAlignment="1">
      <alignment horizontal="left" vertical="center" wrapText="1"/>
    </xf>
    <xf numFmtId="0" fontId="33" fillId="2" borderId="0" xfId="7" applyFont="1" applyFill="1" applyAlignment="1">
      <alignment horizontal="center" vertical="center" wrapText="1"/>
    </xf>
    <xf numFmtId="0" fontId="31" fillId="2" borderId="6" xfId="7" applyFont="1" applyFill="1" applyBorder="1" applyAlignment="1">
      <alignment horizontal="left"/>
    </xf>
    <xf numFmtId="0" fontId="33" fillId="2" borderId="3" xfId="7" applyFont="1" applyFill="1" applyBorder="1" applyAlignment="1">
      <alignment vertical="top"/>
    </xf>
    <xf numFmtId="0" fontId="32" fillId="2" borderId="5" xfId="7" applyFont="1" applyFill="1" applyBorder="1"/>
    <xf numFmtId="0" fontId="32" fillId="2" borderId="42" xfId="7" applyFont="1" applyFill="1" applyBorder="1" applyAlignment="1">
      <alignment horizontal="center"/>
    </xf>
    <xf numFmtId="0" fontId="32" fillId="2" borderId="23" xfId="7" applyFont="1" applyFill="1" applyBorder="1"/>
    <xf numFmtId="0" fontId="32" fillId="2" borderId="6" xfId="7" applyFont="1" applyFill="1" applyBorder="1"/>
    <xf numFmtId="0" fontId="32" fillId="2" borderId="25" xfId="7" applyFont="1" applyFill="1" applyBorder="1"/>
    <xf numFmtId="4" fontId="33" fillId="2" borderId="25" xfId="7" applyNumberFormat="1" applyFont="1" applyFill="1" applyBorder="1"/>
    <xf numFmtId="4" fontId="32" fillId="2" borderId="25" xfId="7" applyNumberFormat="1" applyFont="1" applyFill="1" applyBorder="1"/>
    <xf numFmtId="0" fontId="27" fillId="2" borderId="6" xfId="7" applyFill="1" applyBorder="1"/>
    <xf numFmtId="165" fontId="32" fillId="2" borderId="43" xfId="2" applyFont="1" applyFill="1" applyBorder="1"/>
    <xf numFmtId="4" fontId="32" fillId="2" borderId="28" xfId="7" applyNumberFormat="1" applyFont="1" applyFill="1" applyBorder="1" applyAlignment="1">
      <alignment horizontal="center"/>
    </xf>
    <xf numFmtId="0" fontId="51" fillId="2" borderId="0" xfId="7" applyFont="1" applyFill="1"/>
    <xf numFmtId="0" fontId="44" fillId="2" borderId="0" xfId="7" applyFont="1" applyFill="1" applyAlignment="1">
      <alignment horizontal="centerContinuous"/>
    </xf>
    <xf numFmtId="0" fontId="49" fillId="2" borderId="0" xfId="7" applyFont="1" applyFill="1" applyAlignment="1">
      <alignment horizontal="centerContinuous"/>
    </xf>
    <xf numFmtId="0" fontId="49" fillId="2" borderId="23" xfId="7" applyFont="1" applyFill="1" applyBorder="1"/>
    <xf numFmtId="0" fontId="49" fillId="2" borderId="5" xfId="7" applyFont="1" applyFill="1" applyBorder="1"/>
    <xf numFmtId="0" fontId="49" fillId="2" borderId="26" xfId="7" applyFont="1" applyFill="1" applyBorder="1"/>
    <xf numFmtId="0" fontId="49" fillId="2" borderId="28" xfId="7" applyFont="1" applyFill="1" applyBorder="1"/>
    <xf numFmtId="0" fontId="44" fillId="2" borderId="28" xfId="7" applyFont="1" applyFill="1" applyBorder="1"/>
    <xf numFmtId="0" fontId="48" fillId="2" borderId="0" xfId="0" applyFont="1" applyFill="1"/>
    <xf numFmtId="0" fontId="33" fillId="2" borderId="0" xfId="7" quotePrefix="1" applyFont="1" applyFill="1" applyAlignment="1">
      <alignment horizontal="left"/>
    </xf>
    <xf numFmtId="165" fontId="32" fillId="2" borderId="42" xfId="2" applyFont="1" applyFill="1" applyBorder="1"/>
    <xf numFmtId="165" fontId="49" fillId="2" borderId="25" xfId="2" applyFont="1" applyFill="1" applyBorder="1"/>
    <xf numFmtId="0" fontId="32" fillId="2" borderId="3" xfId="7" applyFont="1" applyFill="1" applyBorder="1"/>
    <xf numFmtId="4" fontId="48" fillId="2" borderId="0" xfId="0" applyNumberFormat="1" applyFont="1" applyFill="1"/>
    <xf numFmtId="0" fontId="44" fillId="2" borderId="0" xfId="7" applyFont="1" applyFill="1" applyAlignment="1">
      <alignment horizontal="center"/>
    </xf>
    <xf numFmtId="0" fontId="44" fillId="2" borderId="41" xfId="7" applyFont="1" applyFill="1" applyBorder="1"/>
    <xf numFmtId="0" fontId="44" fillId="2" borderId="42" xfId="7" applyFont="1" applyFill="1" applyBorder="1"/>
    <xf numFmtId="0" fontId="44" fillId="2" borderId="6" xfId="7" applyFont="1" applyFill="1" applyBorder="1"/>
    <xf numFmtId="0" fontId="49" fillId="2" borderId="25" xfId="7" applyFont="1" applyFill="1" applyBorder="1"/>
    <xf numFmtId="0" fontId="49" fillId="2" borderId="6" xfId="7" applyFont="1" applyFill="1" applyBorder="1"/>
    <xf numFmtId="0" fontId="49" fillId="2" borderId="3" xfId="7" applyFont="1" applyFill="1" applyBorder="1"/>
    <xf numFmtId="4" fontId="49" fillId="2" borderId="0" xfId="7" applyNumberFormat="1" applyFont="1" applyFill="1"/>
    <xf numFmtId="0" fontId="49" fillId="2" borderId="21" xfId="7" applyFont="1" applyFill="1" applyBorder="1"/>
    <xf numFmtId="0" fontId="30" fillId="2" borderId="0" xfId="7" applyFont="1" applyFill="1"/>
    <xf numFmtId="0" fontId="30" fillId="2" borderId="0" xfId="7" applyFont="1" applyFill="1" applyAlignment="1">
      <alignment horizontal="centerContinuous"/>
    </xf>
    <xf numFmtId="0" fontId="36" fillId="2" borderId="0" xfId="7" applyFont="1" applyFill="1" applyAlignment="1">
      <alignment horizontal="centerContinuous"/>
    </xf>
    <xf numFmtId="0" fontId="37" fillId="2" borderId="0" xfId="7" applyFont="1" applyFill="1" applyAlignment="1">
      <alignment horizontal="centerContinuous"/>
    </xf>
    <xf numFmtId="0" fontId="37" fillId="2" borderId="0" xfId="7" applyFont="1" applyFill="1"/>
    <xf numFmtId="0" fontId="30" fillId="2" borderId="0" xfId="7" applyFont="1" applyFill="1" applyAlignment="1">
      <alignment horizontal="right"/>
    </xf>
    <xf numFmtId="14" fontId="30" fillId="2" borderId="0" xfId="7" quotePrefix="1" applyNumberFormat="1" applyFont="1" applyFill="1" applyAlignment="1">
      <alignment horizontal="left"/>
    </xf>
    <xf numFmtId="0" fontId="31" fillId="2" borderId="41" xfId="7" applyFont="1" applyFill="1" applyBorder="1" applyAlignment="1">
      <alignment horizontal="center"/>
    </xf>
    <xf numFmtId="0" fontId="31" fillId="2" borderId="42" xfId="7" applyFont="1" applyFill="1" applyBorder="1" applyAlignment="1">
      <alignment horizontal="center"/>
    </xf>
    <xf numFmtId="0" fontId="30" fillId="2" borderId="6" xfId="7" applyFont="1" applyFill="1" applyBorder="1"/>
    <xf numFmtId="165" fontId="38" fillId="2" borderId="41" xfId="2" applyFont="1" applyFill="1" applyBorder="1" applyAlignment="1">
      <alignment horizontal="right"/>
    </xf>
    <xf numFmtId="2" fontId="30" fillId="2" borderId="0" xfId="7" applyNumberFormat="1" applyFont="1" applyFill="1"/>
    <xf numFmtId="165" fontId="30" fillId="2" borderId="6" xfId="2" applyFont="1" applyFill="1" applyBorder="1"/>
    <xf numFmtId="165" fontId="27" fillId="2" borderId="6" xfId="2" applyFont="1" applyFill="1" applyBorder="1"/>
    <xf numFmtId="0" fontId="30" fillId="2" borderId="6" xfId="7" applyFont="1" applyFill="1" applyBorder="1" applyAlignment="1">
      <alignment horizontal="left"/>
    </xf>
    <xf numFmtId="0" fontId="30" fillId="2" borderId="6" xfId="7" quotePrefix="1" applyFont="1" applyFill="1" applyBorder="1" applyAlignment="1">
      <alignment horizontal="left"/>
    </xf>
    <xf numFmtId="0" fontId="31" fillId="2" borderId="6" xfId="7" quotePrefix="1" applyFont="1" applyFill="1" applyBorder="1" applyAlignment="1">
      <alignment horizontal="left"/>
    </xf>
    <xf numFmtId="165" fontId="30" fillId="2" borderId="6" xfId="2" applyFont="1" applyFill="1" applyBorder="1" applyAlignment="1">
      <alignment horizontal="center"/>
    </xf>
    <xf numFmtId="165" fontId="30" fillId="2" borderId="25" xfId="2" applyFont="1" applyFill="1" applyBorder="1"/>
    <xf numFmtId="4" fontId="30" fillId="2" borderId="0" xfId="7" applyNumberFormat="1" applyFont="1" applyFill="1"/>
    <xf numFmtId="0" fontId="31" fillId="2" borderId="3" xfId="7" quotePrefix="1" applyFont="1" applyFill="1" applyBorder="1" applyAlignment="1">
      <alignment horizontal="center"/>
    </xf>
    <xf numFmtId="165" fontId="30" fillId="2" borderId="45" xfId="2" applyFont="1" applyFill="1" applyBorder="1"/>
    <xf numFmtId="165" fontId="30" fillId="2" borderId="46" xfId="2" applyFont="1" applyFill="1" applyBorder="1"/>
    <xf numFmtId="165" fontId="30" fillId="2" borderId="47" xfId="2" applyFont="1" applyFill="1" applyBorder="1"/>
    <xf numFmtId="165" fontId="30" fillId="2" borderId="43" xfId="2" applyFont="1" applyFill="1" applyBorder="1"/>
    <xf numFmtId="0" fontId="30" fillId="2" borderId="3" xfId="7" quotePrefix="1" applyFont="1" applyFill="1" applyBorder="1" applyAlignment="1">
      <alignment horizontal="left"/>
    </xf>
    <xf numFmtId="165" fontId="30" fillId="2" borderId="48" xfId="2" applyFont="1" applyFill="1" applyBorder="1"/>
    <xf numFmtId="0" fontId="30" fillId="2" borderId="3" xfId="7" applyFont="1" applyFill="1" applyBorder="1"/>
    <xf numFmtId="0" fontId="39" fillId="2" borderId="0" xfId="7" applyFont="1" applyFill="1"/>
    <xf numFmtId="0" fontId="39" fillId="2" borderId="0" xfId="7" applyFont="1" applyFill="1" applyAlignment="1">
      <alignment horizontal="centerContinuous"/>
    </xf>
    <xf numFmtId="0" fontId="30" fillId="2" borderId="0" xfId="7" quotePrefix="1" applyFont="1" applyFill="1" applyAlignment="1">
      <alignment horizontal="left"/>
    </xf>
    <xf numFmtId="0" fontId="31" fillId="2" borderId="23" xfId="7" applyFont="1" applyFill="1" applyBorder="1" applyAlignment="1">
      <alignment horizontal="center"/>
    </xf>
    <xf numFmtId="0" fontId="31" fillId="2" borderId="6" xfId="7" applyFont="1" applyFill="1" applyBorder="1" applyAlignment="1">
      <alignment horizontal="center"/>
    </xf>
    <xf numFmtId="0" fontId="31" fillId="2" borderId="25" xfId="7" applyFont="1" applyFill="1" applyBorder="1" applyAlignment="1">
      <alignment horizontal="center"/>
    </xf>
    <xf numFmtId="0" fontId="31" fillId="2" borderId="3" xfId="7" applyFont="1" applyFill="1" applyBorder="1" applyAlignment="1">
      <alignment horizontal="center"/>
    </xf>
    <xf numFmtId="0" fontId="6" fillId="2" borderId="0" xfId="0" applyFont="1" applyFill="1"/>
    <xf numFmtId="0" fontId="44" fillId="2" borderId="5" xfId="7" applyFont="1" applyFill="1" applyBorder="1"/>
    <xf numFmtId="0" fontId="44" fillId="2" borderId="23" xfId="7" applyFont="1" applyFill="1" applyBorder="1"/>
    <xf numFmtId="0" fontId="44" fillId="2" borderId="25" xfId="7" applyFont="1" applyFill="1" applyBorder="1"/>
    <xf numFmtId="0" fontId="44" fillId="2" borderId="3" xfId="7" applyFont="1" applyFill="1" applyBorder="1"/>
    <xf numFmtId="0" fontId="44" fillId="2" borderId="5" xfId="7" applyFont="1" applyFill="1" applyBorder="1" applyAlignment="1">
      <alignment horizontal="center"/>
    </xf>
    <xf numFmtId="0" fontId="44" fillId="2" borderId="0" xfId="0" applyFont="1" applyFill="1"/>
    <xf numFmtId="0" fontId="44" fillId="2" borderId="6" xfId="7" quotePrefix="1" applyFont="1" applyFill="1" applyBorder="1" applyAlignment="1">
      <alignment horizontal="center"/>
    </xf>
    <xf numFmtId="0" fontId="44" fillId="2" borderId="6" xfId="7" applyFont="1" applyFill="1" applyBorder="1" applyAlignment="1">
      <alignment horizontal="center"/>
    </xf>
    <xf numFmtId="0" fontId="44" fillId="2" borderId="3" xfId="7" applyFont="1" applyFill="1" applyBorder="1" applyAlignment="1">
      <alignment horizontal="center"/>
    </xf>
    <xf numFmtId="0" fontId="49" fillId="3" borderId="23" xfId="7" applyFont="1" applyFill="1" applyBorder="1"/>
    <xf numFmtId="0" fontId="49" fillId="3" borderId="25" xfId="7" applyFont="1" applyFill="1" applyBorder="1"/>
    <xf numFmtId="0" fontId="49" fillId="3" borderId="28" xfId="7" applyFont="1" applyFill="1" applyBorder="1"/>
    <xf numFmtId="0" fontId="44" fillId="2" borderId="41" xfId="7" applyFont="1" applyFill="1" applyBorder="1" applyAlignment="1">
      <alignment horizontal="center" wrapText="1"/>
    </xf>
    <xf numFmtId="0" fontId="45" fillId="2" borderId="41" xfId="7" applyFont="1" applyFill="1" applyBorder="1"/>
    <xf numFmtId="0" fontId="45" fillId="2" borderId="41" xfId="7" applyFont="1" applyFill="1" applyBorder="1" applyAlignment="1">
      <alignment horizontal="center" wrapText="1"/>
    </xf>
    <xf numFmtId="0" fontId="52" fillId="2" borderId="5" xfId="7" applyFont="1" applyFill="1" applyBorder="1"/>
    <xf numFmtId="0" fontId="52" fillId="2" borderId="6" xfId="7" applyFont="1" applyFill="1" applyBorder="1"/>
    <xf numFmtId="0" fontId="52" fillId="2" borderId="3" xfId="7" applyFont="1" applyFill="1" applyBorder="1"/>
    <xf numFmtId="0" fontId="31" fillId="2" borderId="22" xfId="7" applyFont="1" applyFill="1" applyBorder="1" applyAlignment="1">
      <alignment horizontal="center"/>
    </xf>
    <xf numFmtId="0" fontId="31" fillId="2" borderId="44" xfId="7" applyFont="1" applyFill="1" applyBorder="1" applyAlignment="1">
      <alignment horizontal="center"/>
    </xf>
    <xf numFmtId="0" fontId="31" fillId="2" borderId="36" xfId="7" applyFont="1" applyFill="1" applyBorder="1" applyAlignment="1">
      <alignment horizontal="center"/>
    </xf>
    <xf numFmtId="0" fontId="31" fillId="2" borderId="28" xfId="7" applyFont="1" applyFill="1" applyBorder="1" applyAlignment="1">
      <alignment horizontal="center"/>
    </xf>
    <xf numFmtId="0" fontId="31" fillId="2" borderId="41" xfId="7" quotePrefix="1" applyFont="1" applyFill="1" applyBorder="1" applyAlignment="1">
      <alignment horizontal="center"/>
    </xf>
    <xf numFmtId="0" fontId="33" fillId="2" borderId="6" xfId="7" quotePrefix="1" applyFont="1" applyFill="1" applyBorder="1" applyAlignment="1">
      <alignment horizontal="left"/>
    </xf>
    <xf numFmtId="0" fontId="0" fillId="2" borderId="6" xfId="0" applyFill="1" applyBorder="1"/>
    <xf numFmtId="4" fontId="32" fillId="2" borderId="41" xfId="7" applyNumberFormat="1" applyFont="1" applyFill="1" applyBorder="1" applyAlignment="1">
      <alignment horizontal="left"/>
    </xf>
    <xf numFmtId="0" fontId="6" fillId="2" borderId="0" xfId="0" applyFont="1" applyFill="1" applyAlignment="1">
      <alignment horizontal="right"/>
    </xf>
    <xf numFmtId="0" fontId="32" fillId="2" borderId="3" xfId="7" applyFont="1" applyFill="1" applyBorder="1" applyAlignment="1">
      <alignment horizontal="left"/>
    </xf>
    <xf numFmtId="4" fontId="0" fillId="2" borderId="0" xfId="0" applyNumberFormat="1" applyFill="1"/>
    <xf numFmtId="0" fontId="31" fillId="2" borderId="5" xfId="7" applyFont="1" applyFill="1" applyBorder="1" applyAlignment="1">
      <alignment horizontal="centerContinuous"/>
    </xf>
    <xf numFmtId="0" fontId="31" fillId="2" borderId="0" xfId="7" applyFont="1" applyFill="1" applyAlignment="1">
      <alignment horizontal="center"/>
    </xf>
    <xf numFmtId="0" fontId="31" fillId="2" borderId="6" xfId="7" quotePrefix="1" applyFont="1" applyFill="1" applyBorder="1" applyAlignment="1">
      <alignment horizontal="center"/>
    </xf>
    <xf numFmtId="0" fontId="31" fillId="2" borderId="3" xfId="7" applyFont="1" applyFill="1" applyBorder="1" applyAlignment="1">
      <alignment horizontal="centerContinuous"/>
    </xf>
    <xf numFmtId="0" fontId="40" fillId="2" borderId="6" xfId="7" applyFont="1" applyFill="1" applyBorder="1"/>
    <xf numFmtId="0" fontId="40" fillId="2" borderId="6" xfId="7" applyFont="1" applyFill="1" applyBorder="1" applyAlignment="1">
      <alignment horizontal="center"/>
    </xf>
    <xf numFmtId="0" fontId="44" fillId="2" borderId="6" xfId="7" applyFont="1" applyFill="1" applyBorder="1" applyAlignment="1">
      <alignment horizontal="right"/>
    </xf>
    <xf numFmtId="0" fontId="44" fillId="2" borderId="21" xfId="7" applyFont="1" applyFill="1" applyBorder="1" applyAlignment="1">
      <alignment horizontal="right"/>
    </xf>
    <xf numFmtId="4" fontId="33" fillId="2" borderId="28" xfId="7" applyNumberFormat="1" applyFont="1" applyFill="1" applyBorder="1"/>
    <xf numFmtId="0" fontId="31" fillId="2" borderId="21" xfId="7" quotePrefix="1" applyFont="1" applyFill="1" applyBorder="1" applyAlignment="1">
      <alignment horizontal="center"/>
    </xf>
    <xf numFmtId="0" fontId="31" fillId="2" borderId="24" xfId="7" applyFont="1" applyFill="1" applyBorder="1" applyAlignment="1">
      <alignment horizontal="center"/>
    </xf>
    <xf numFmtId="0" fontId="31" fillId="2" borderId="24" xfId="7" applyFont="1" applyFill="1" applyBorder="1"/>
    <xf numFmtId="0" fontId="31" fillId="2" borderId="26" xfId="7" applyFont="1" applyFill="1" applyBorder="1" applyAlignment="1">
      <alignment horizontal="center"/>
    </xf>
    <xf numFmtId="4" fontId="34" fillId="2" borderId="0" xfId="7" quotePrefix="1" applyNumberFormat="1" applyFont="1" applyFill="1" applyAlignment="1">
      <alignment horizontal="left"/>
    </xf>
    <xf numFmtId="168" fontId="34" fillId="2" borderId="0" xfId="7" applyNumberFormat="1" applyFont="1" applyFill="1"/>
    <xf numFmtId="0" fontId="34" fillId="2" borderId="5" xfId="7" applyFont="1" applyFill="1" applyBorder="1" applyAlignment="1">
      <alignment horizontal="center"/>
    </xf>
    <xf numFmtId="0" fontId="34" fillId="2" borderId="23" xfId="7" quotePrefix="1" applyFont="1" applyFill="1" applyBorder="1" applyAlignment="1">
      <alignment horizontal="center"/>
    </xf>
    <xf numFmtId="0" fontId="34" fillId="2" borderId="36" xfId="7" applyFont="1" applyFill="1" applyBorder="1" applyAlignment="1">
      <alignment horizontal="centerContinuous"/>
    </xf>
    <xf numFmtId="0" fontId="34" fillId="2" borderId="42" xfId="7" applyFont="1" applyFill="1" applyBorder="1" applyAlignment="1">
      <alignment horizontal="centerContinuous"/>
    </xf>
    <xf numFmtId="0" fontId="34" fillId="2" borderId="44" xfId="7" applyFont="1" applyFill="1" applyBorder="1" applyAlignment="1">
      <alignment horizontal="centerContinuous"/>
    </xf>
    <xf numFmtId="0" fontId="34" fillId="2" borderId="6" xfId="7" applyFont="1" applyFill="1" applyBorder="1" applyAlignment="1">
      <alignment horizontal="center"/>
    </xf>
    <xf numFmtId="0" fontId="34" fillId="2" borderId="25" xfId="7" applyFont="1" applyFill="1" applyBorder="1" applyAlignment="1">
      <alignment horizontal="center"/>
    </xf>
    <xf numFmtId="0" fontId="28" fillId="2" borderId="25" xfId="7" applyFont="1" applyFill="1" applyBorder="1"/>
    <xf numFmtId="0" fontId="35" fillId="2" borderId="25" xfId="7" quotePrefix="1" applyFont="1" applyFill="1" applyBorder="1" applyAlignment="1">
      <alignment horizontal="center"/>
    </xf>
    <xf numFmtId="0" fontId="35" fillId="2" borderId="28" xfId="7" quotePrefix="1" applyFont="1" applyFill="1" applyBorder="1" applyAlignment="1">
      <alignment horizontal="center"/>
    </xf>
    <xf numFmtId="0" fontId="34" fillId="2" borderId="28" xfId="7" applyFont="1" applyFill="1" applyBorder="1" applyAlignment="1">
      <alignment horizontal="center"/>
    </xf>
    <xf numFmtId="0" fontId="34" fillId="2" borderId="3" xfId="7" applyFont="1" applyFill="1" applyBorder="1" applyAlignment="1">
      <alignment horizontal="center"/>
    </xf>
    <xf numFmtId="0" fontId="0" fillId="2" borderId="28" xfId="0" applyFill="1" applyBorder="1"/>
    <xf numFmtId="4" fontId="11" fillId="2" borderId="0" xfId="0" applyNumberFormat="1" applyFont="1" applyFill="1"/>
    <xf numFmtId="0" fontId="17" fillId="2" borderId="0" xfId="0" applyFont="1" applyFill="1" applyAlignment="1">
      <alignment horizontal="centerContinuous"/>
    </xf>
    <xf numFmtId="0" fontId="11" fillId="2" borderId="0" xfId="0" applyFont="1" applyFill="1" applyAlignment="1">
      <alignment horizontal="centerContinuous"/>
    </xf>
    <xf numFmtId="4" fontId="11" fillId="2" borderId="0" xfId="0" applyNumberFormat="1" applyFont="1" applyFill="1" applyAlignment="1">
      <alignment horizontal="centerContinuous"/>
    </xf>
    <xf numFmtId="4" fontId="11" fillId="2" borderId="0" xfId="0" applyNumberFormat="1" applyFont="1" applyFill="1" applyAlignment="1">
      <alignment horizontal="right"/>
    </xf>
    <xf numFmtId="14" fontId="11" fillId="2" borderId="0" xfId="0" applyNumberFormat="1" applyFont="1" applyFill="1" applyAlignment="1">
      <alignment horizontal="left"/>
    </xf>
    <xf numFmtId="14" fontId="11" fillId="2" borderId="0" xfId="0" applyNumberFormat="1" applyFont="1" applyFill="1"/>
    <xf numFmtId="0" fontId="10" fillId="2" borderId="41" xfId="0" applyFont="1" applyFill="1" applyBorder="1" applyAlignment="1">
      <alignment horizontal="center"/>
    </xf>
    <xf numFmtId="0" fontId="11" fillId="2" borderId="42" xfId="0" applyFont="1" applyFill="1" applyBorder="1" applyAlignment="1">
      <alignment horizontal="center"/>
    </xf>
    <xf numFmtId="4" fontId="10" fillId="2" borderId="42" xfId="0" applyNumberFormat="1" applyFont="1" applyFill="1" applyBorder="1" applyAlignment="1">
      <alignment horizontal="center"/>
    </xf>
    <xf numFmtId="0" fontId="11" fillId="2" borderId="0" xfId="0" applyFont="1" applyFill="1" applyAlignment="1">
      <alignment horizontal="center"/>
    </xf>
    <xf numFmtId="0" fontId="10" fillId="2" borderId="6" xfId="0" applyFont="1" applyFill="1" applyBorder="1"/>
    <xf numFmtId="0" fontId="10" fillId="2" borderId="25" xfId="0" quotePrefix="1" applyFont="1" applyFill="1" applyBorder="1" applyAlignment="1">
      <alignment horizontal="left"/>
    </xf>
    <xf numFmtId="0" fontId="11" fillId="2" borderId="25" xfId="0" quotePrefix="1" applyFont="1" applyFill="1" applyBorder="1" applyAlignment="1">
      <alignment horizontal="left"/>
    </xf>
    <xf numFmtId="4" fontId="11" fillId="2" borderId="6" xfId="0" applyNumberFormat="1" applyFont="1" applyFill="1" applyBorder="1"/>
    <xf numFmtId="0" fontId="11" fillId="2" borderId="25" xfId="0" applyFont="1" applyFill="1" applyBorder="1" applyAlignment="1">
      <alignment horizontal="left"/>
    </xf>
    <xf numFmtId="0" fontId="10" fillId="2" borderId="25" xfId="0" applyFont="1" applyFill="1" applyBorder="1" applyAlignment="1">
      <alignment horizontal="center"/>
    </xf>
    <xf numFmtId="0" fontId="10" fillId="2" borderId="25" xfId="0" applyFont="1" applyFill="1" applyBorder="1"/>
    <xf numFmtId="0" fontId="11" fillId="2" borderId="25" xfId="0" applyFont="1" applyFill="1" applyBorder="1"/>
    <xf numFmtId="0" fontId="24" fillId="2" borderId="0" xfId="0" applyFont="1" applyFill="1"/>
    <xf numFmtId="0" fontId="10" fillId="2" borderId="3" xfId="0" applyFont="1" applyFill="1" applyBorder="1"/>
    <xf numFmtId="0" fontId="10" fillId="2" borderId="28" xfId="0" applyFont="1" applyFill="1" applyBorder="1" applyAlignment="1">
      <alignment horizontal="center"/>
    </xf>
    <xf numFmtId="4" fontId="10" fillId="2" borderId="0" xfId="0" applyNumberFormat="1" applyFont="1" applyFill="1"/>
    <xf numFmtId="0" fontId="10" fillId="2" borderId="0" xfId="0" quotePrefix="1" applyFont="1" applyFill="1" applyAlignment="1">
      <alignment horizontal="left"/>
    </xf>
    <xf numFmtId="0" fontId="23" fillId="2" borderId="0" xfId="0" applyFont="1" applyFill="1" applyAlignment="1">
      <alignment horizontal="centerContinuous"/>
    </xf>
    <xf numFmtId="0" fontId="18" fillId="2" borderId="0" xfId="0" applyFont="1" applyFill="1"/>
    <xf numFmtId="0" fontId="10" fillId="2" borderId="41" xfId="0" applyFont="1" applyFill="1" applyBorder="1" applyAlignment="1">
      <alignment wrapText="1"/>
    </xf>
    <xf numFmtId="0" fontId="10" fillId="2" borderId="42" xfId="0" applyFont="1" applyFill="1" applyBorder="1" applyAlignment="1">
      <alignment wrapText="1"/>
    </xf>
    <xf numFmtId="0" fontId="10" fillId="2" borderId="0" xfId="0" applyFont="1" applyFill="1" applyAlignment="1">
      <alignment wrapText="1"/>
    </xf>
    <xf numFmtId="4" fontId="11" fillId="2" borderId="3" xfId="0" applyNumberFormat="1" applyFont="1" applyFill="1" applyBorder="1"/>
    <xf numFmtId="0" fontId="11" fillId="2" borderId="22" xfId="0" applyFont="1" applyFill="1" applyBorder="1"/>
    <xf numFmtId="4" fontId="11" fillId="2" borderId="22" xfId="0" applyNumberFormat="1" applyFont="1" applyFill="1" applyBorder="1"/>
    <xf numFmtId="0" fontId="10" fillId="2" borderId="0" xfId="0" quotePrefix="1" applyFont="1" applyFill="1" applyAlignment="1">
      <alignment horizontal="center"/>
    </xf>
    <xf numFmtId="0" fontId="12" fillId="2" borderId="0" xfId="0" applyFont="1" applyFill="1" applyAlignment="1">
      <alignment horizontal="centerContinuous"/>
    </xf>
    <xf numFmtId="0" fontId="10" fillId="2" borderId="0" xfId="0" applyFont="1" applyFill="1" applyAlignment="1">
      <alignment horizontal="centerContinuous"/>
    </xf>
    <xf numFmtId="4" fontId="10" fillId="2" borderId="0" xfId="0" applyNumberFormat="1" applyFont="1" applyFill="1" applyAlignment="1">
      <alignment horizontal="centerContinuous"/>
    </xf>
    <xf numFmtId="0" fontId="19" fillId="2" borderId="0" xfId="0" quotePrefix="1" applyFont="1" applyFill="1" applyAlignment="1">
      <alignment horizontal="left"/>
    </xf>
    <xf numFmtId="0" fontId="19"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19" fillId="2" borderId="3"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vertical="center"/>
    </xf>
    <xf numFmtId="0" fontId="11" fillId="2" borderId="5" xfId="0" applyFont="1" applyFill="1" applyBorder="1" applyAlignment="1">
      <alignment horizontal="center"/>
    </xf>
    <xf numFmtId="0" fontId="11" fillId="2" borderId="5" xfId="0" applyFont="1" applyFill="1" applyBorder="1"/>
    <xf numFmtId="0" fontId="11" fillId="2" borderId="41" xfId="0" applyFont="1" applyFill="1" applyBorder="1" applyAlignment="1">
      <alignment horizontal="center"/>
    </xf>
    <xf numFmtId="0" fontId="11" fillId="2" borderId="41" xfId="0" applyFont="1" applyFill="1" applyBorder="1"/>
    <xf numFmtId="0" fontId="19" fillId="2" borderId="41" xfId="0" applyFont="1" applyFill="1" applyBorder="1" applyAlignment="1">
      <alignment horizontal="center"/>
    </xf>
    <xf numFmtId="0" fontId="10" fillId="2" borderId="41" xfId="0" quotePrefix="1" applyFont="1" applyFill="1" applyBorder="1" applyAlignment="1">
      <alignment horizontal="center"/>
    </xf>
    <xf numFmtId="0" fontId="10" fillId="2" borderId="6" xfId="0" applyFont="1" applyFill="1" applyBorder="1" applyAlignment="1">
      <alignment horizontal="center"/>
    </xf>
    <xf numFmtId="0" fontId="10" fillId="2" borderId="6" xfId="0" quotePrefix="1" applyFont="1" applyFill="1" applyBorder="1" applyAlignment="1">
      <alignment horizontal="center"/>
    </xf>
    <xf numFmtId="0" fontId="10" fillId="2" borderId="49" xfId="0" quotePrefix="1" applyFont="1" applyFill="1" applyBorder="1" applyAlignment="1">
      <alignment horizontal="left"/>
    </xf>
    <xf numFmtId="0" fontId="11" fillId="2" borderId="41" xfId="0" quotePrefix="1" applyFont="1" applyFill="1" applyBorder="1" applyAlignment="1">
      <alignment horizontal="left"/>
    </xf>
    <xf numFmtId="0" fontId="11" fillId="2" borderId="6" xfId="0" applyFont="1" applyFill="1" applyBorder="1" applyAlignment="1">
      <alignment horizontal="center"/>
    </xf>
    <xf numFmtId="0" fontId="11" fillId="2" borderId="6" xfId="0" quotePrefix="1" applyFont="1" applyFill="1" applyBorder="1" applyAlignment="1">
      <alignment horizontal="center"/>
    </xf>
    <xf numFmtId="0" fontId="11" fillId="2" borderId="3" xfId="0" applyFont="1" applyFill="1" applyBorder="1" applyAlignment="1">
      <alignment horizontal="center"/>
    </xf>
    <xf numFmtId="0" fontId="10" fillId="2" borderId="6" xfId="0" quotePrefix="1" applyFont="1" applyFill="1" applyBorder="1" applyAlignment="1">
      <alignment horizontal="left"/>
    </xf>
    <xf numFmtId="0" fontId="10" fillId="2" borderId="3" xfId="0" applyFont="1" applyFill="1" applyBorder="1" applyAlignment="1">
      <alignment horizontal="center"/>
    </xf>
    <xf numFmtId="0" fontId="10" fillId="2" borderId="3" xfId="0" quotePrefix="1" applyFont="1" applyFill="1" applyBorder="1" applyAlignment="1">
      <alignment horizontal="center"/>
    </xf>
    <xf numFmtId="0" fontId="11" fillId="2" borderId="3" xfId="0" applyFont="1" applyFill="1" applyBorder="1"/>
    <xf numFmtId="0" fontId="16" fillId="2" borderId="0" xfId="0" applyFont="1" applyFill="1"/>
    <xf numFmtId="0" fontId="10" fillId="2" borderId="0" xfId="0" applyFont="1" applyFill="1" applyAlignment="1">
      <alignment horizontal="center"/>
    </xf>
    <xf numFmtId="0" fontId="10" fillId="2" borderId="41" xfId="0" applyFont="1" applyFill="1" applyBorder="1"/>
    <xf numFmtId="0" fontId="14" fillId="2" borderId="0" xfId="0" quotePrefix="1" applyFont="1" applyFill="1" applyAlignment="1">
      <alignment horizontal="left"/>
    </xf>
    <xf numFmtId="0" fontId="13" fillId="2" borderId="0" xfId="0" applyFont="1" applyFill="1" applyAlignment="1">
      <alignment horizontal="center"/>
    </xf>
    <xf numFmtId="0" fontId="21" fillId="2" borderId="0" xfId="0" applyFont="1" applyFill="1" applyAlignment="1">
      <alignment horizontal="center"/>
    </xf>
    <xf numFmtId="0" fontId="21" fillId="2" borderId="0" xfId="0" applyFont="1" applyFill="1"/>
    <xf numFmtId="4" fontId="21" fillId="2" borderId="0" xfId="0" applyNumberFormat="1" applyFont="1" applyFill="1"/>
    <xf numFmtId="0" fontId="0" fillId="2" borderId="0" xfId="0" applyFill="1" applyAlignment="1">
      <alignment horizontal="right"/>
    </xf>
    <xf numFmtId="0" fontId="55" fillId="2" borderId="0" xfId="0" applyFont="1" applyFill="1"/>
    <xf numFmtId="0" fontId="56" fillId="2" borderId="0" xfId="0" applyFont="1" applyFill="1"/>
    <xf numFmtId="0" fontId="56" fillId="2" borderId="0" xfId="0" applyFont="1" applyFill="1" applyAlignment="1">
      <alignment horizontal="center"/>
    </xf>
    <xf numFmtId="0" fontId="0" fillId="2" borderId="0" xfId="0" applyFill="1" applyAlignment="1">
      <alignment horizontal="center"/>
    </xf>
    <xf numFmtId="0" fontId="40" fillId="2" borderId="5" xfId="0" applyFont="1" applyFill="1" applyBorder="1" applyAlignment="1">
      <alignment horizontal="center"/>
    </xf>
    <xf numFmtId="0" fontId="40" fillId="2" borderId="23" xfId="0" applyFont="1" applyFill="1" applyBorder="1" applyAlignment="1">
      <alignment horizontal="center"/>
    </xf>
    <xf numFmtId="0" fontId="40" fillId="2" borderId="3" xfId="0" applyFont="1" applyFill="1" applyBorder="1" applyAlignment="1">
      <alignment horizontal="center"/>
    </xf>
    <xf numFmtId="0" fontId="40" fillId="2" borderId="28" xfId="0" applyFont="1" applyFill="1" applyBorder="1" applyAlignment="1">
      <alignment horizontal="center"/>
    </xf>
    <xf numFmtId="0" fontId="0" fillId="2" borderId="25" xfId="0" applyFill="1" applyBorder="1"/>
    <xf numFmtId="0" fontId="0" fillId="2" borderId="6" xfId="0" applyFill="1" applyBorder="1" applyAlignment="1">
      <alignment horizontal="center"/>
    </xf>
    <xf numFmtId="0" fontId="56" fillId="2" borderId="25" xfId="0" applyFont="1" applyFill="1" applyBorder="1" applyAlignment="1">
      <alignment horizontal="right"/>
    </xf>
    <xf numFmtId="165" fontId="0" fillId="2" borderId="25" xfId="2" applyFont="1" applyFill="1" applyBorder="1"/>
    <xf numFmtId="0" fontId="0" fillId="2" borderId="3" xfId="0" applyFill="1" applyBorder="1"/>
    <xf numFmtId="4" fontId="21" fillId="2" borderId="0" xfId="0" applyNumberFormat="1" applyFont="1" applyFill="1" applyAlignment="1">
      <alignment horizontal="justify"/>
    </xf>
    <xf numFmtId="0" fontId="17" fillId="2" borderId="0" xfId="0" quotePrefix="1" applyFont="1" applyFill="1" applyAlignment="1">
      <alignment horizontal="centerContinuous"/>
    </xf>
    <xf numFmtId="0" fontId="21" fillId="2" borderId="0" xfId="0" applyFont="1" applyFill="1" applyAlignment="1">
      <alignment horizontal="centerContinuous"/>
    </xf>
    <xf numFmtId="4" fontId="21" fillId="2" borderId="0" xfId="0" applyNumberFormat="1" applyFont="1" applyFill="1" applyAlignment="1">
      <alignment horizontal="centerContinuous"/>
    </xf>
    <xf numFmtId="4" fontId="20" fillId="2" borderId="0" xfId="0" quotePrefix="1" applyNumberFormat="1" applyFont="1" applyFill="1" applyAlignment="1">
      <alignment horizontal="centerContinuous"/>
    </xf>
    <xf numFmtId="14" fontId="21" fillId="2" borderId="0" xfId="0" applyNumberFormat="1" applyFont="1" applyFill="1" applyAlignment="1">
      <alignment horizontal="centerContinuous"/>
    </xf>
    <xf numFmtId="4" fontId="21" fillId="2" borderId="0" xfId="0" quotePrefix="1" applyNumberFormat="1" applyFont="1" applyFill="1" applyAlignment="1">
      <alignment horizontal="center"/>
    </xf>
    <xf numFmtId="166" fontId="10" fillId="2" borderId="1" xfId="0" applyNumberFormat="1" applyFont="1" applyFill="1" applyBorder="1" applyAlignment="1">
      <alignment horizontal="left"/>
    </xf>
    <xf numFmtId="166" fontId="20" fillId="2" borderId="1" xfId="0" applyNumberFormat="1" applyFont="1" applyFill="1" applyBorder="1" applyAlignment="1">
      <alignment horizontal="right"/>
    </xf>
    <xf numFmtId="0" fontId="21" fillId="2" borderId="50" xfId="0" applyFont="1" applyFill="1" applyBorder="1"/>
    <xf numFmtId="0" fontId="21" fillId="2" borderId="51" xfId="0" applyFont="1" applyFill="1" applyBorder="1"/>
    <xf numFmtId="4" fontId="20" fillId="2" borderId="53" xfId="0" applyNumberFormat="1" applyFont="1" applyFill="1" applyBorder="1" applyAlignment="1">
      <alignment horizontal="centerContinuous" vertical="center" wrapText="1"/>
    </xf>
    <xf numFmtId="0" fontId="21" fillId="2" borderId="52" xfId="0" applyFont="1" applyFill="1" applyBorder="1"/>
    <xf numFmtId="0" fontId="21" fillId="2" borderId="8"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0" fillId="2" borderId="6" xfId="0" applyFont="1" applyFill="1" applyBorder="1" applyAlignment="1">
      <alignment horizontal="center" vertical="center" wrapText="1"/>
    </xf>
    <xf numFmtId="4" fontId="21" fillId="2" borderId="5" xfId="0" quotePrefix="1" applyNumberFormat="1" applyFont="1" applyFill="1" applyBorder="1" applyAlignment="1">
      <alignment horizontal="center" vertical="center" wrapText="1"/>
    </xf>
    <xf numFmtId="0" fontId="21" fillId="2" borderId="9" xfId="0" quotePrefix="1" applyFont="1" applyFill="1" applyBorder="1" applyAlignment="1">
      <alignment horizontal="center" vertical="center" wrapText="1"/>
    </xf>
    <xf numFmtId="0" fontId="21" fillId="2" borderId="0" xfId="0" applyFont="1" applyFill="1" applyAlignment="1">
      <alignment horizontal="center" vertical="center" wrapText="1"/>
    </xf>
    <xf numFmtId="4" fontId="21" fillId="2" borderId="6" xfId="0" quotePrefix="1" applyNumberFormat="1" applyFont="1" applyFill="1" applyBorder="1" applyAlignment="1">
      <alignment horizontal="center" vertical="center" wrapText="1"/>
    </xf>
    <xf numFmtId="0" fontId="21" fillId="2" borderId="9" xfId="0" applyFont="1" applyFill="1" applyBorder="1" applyAlignment="1">
      <alignment horizontal="center" vertical="center" wrapText="1"/>
    </xf>
    <xf numFmtId="165" fontId="21" fillId="2" borderId="25" xfId="2" applyFont="1" applyFill="1" applyBorder="1" applyAlignment="1">
      <alignment horizontal="center" vertical="center" wrapText="1"/>
    </xf>
    <xf numFmtId="0" fontId="22" fillId="2" borderId="6" xfId="0" applyFont="1" applyFill="1" applyBorder="1"/>
    <xf numFmtId="0" fontId="21" fillId="2" borderId="8" xfId="0" applyFont="1" applyFill="1" applyBorder="1"/>
    <xf numFmtId="165" fontId="21" fillId="2" borderId="25" xfId="2" applyFont="1" applyFill="1" applyBorder="1"/>
    <xf numFmtId="1" fontId="20" fillId="2" borderId="3" xfId="0" applyNumberFormat="1" applyFont="1" applyFill="1" applyBorder="1" applyAlignment="1">
      <alignment horizontal="center"/>
    </xf>
    <xf numFmtId="0" fontId="21" fillId="2" borderId="8" xfId="0" applyFont="1" applyFill="1" applyBorder="1" applyAlignment="1">
      <alignment horizontal="center"/>
    </xf>
    <xf numFmtId="165" fontId="20" fillId="2" borderId="25" xfId="2" applyFont="1" applyFill="1" applyBorder="1" applyAlignment="1">
      <alignment horizontal="center"/>
    </xf>
    <xf numFmtId="0" fontId="21" fillId="2" borderId="0" xfId="0" quotePrefix="1" applyFont="1" applyFill="1" applyAlignment="1">
      <alignment horizontal="left"/>
    </xf>
    <xf numFmtId="1" fontId="21" fillId="2" borderId="0" xfId="0" applyNumberFormat="1" applyFont="1" applyFill="1" applyAlignment="1">
      <alignment horizontal="left"/>
    </xf>
    <xf numFmtId="0" fontId="21" fillId="2" borderId="22" xfId="0" applyFont="1" applyFill="1" applyBorder="1"/>
    <xf numFmtId="0" fontId="21" fillId="2" borderId="36" xfId="0" applyFont="1" applyFill="1" applyBorder="1"/>
    <xf numFmtId="0" fontId="20" fillId="2" borderId="15" xfId="0" quotePrefix="1" applyFont="1" applyFill="1" applyBorder="1" applyAlignment="1">
      <alignment horizontal="right"/>
    </xf>
    <xf numFmtId="165" fontId="20" fillId="2" borderId="25" xfId="2" applyFont="1" applyFill="1" applyBorder="1"/>
    <xf numFmtId="0" fontId="21" fillId="2" borderId="25" xfId="0" applyFont="1" applyFill="1" applyBorder="1"/>
    <xf numFmtId="165" fontId="21" fillId="2" borderId="36" xfId="2" applyFont="1" applyFill="1" applyBorder="1"/>
    <xf numFmtId="0" fontId="21" fillId="2" borderId="56" xfId="0" applyFont="1" applyFill="1" applyBorder="1"/>
    <xf numFmtId="0" fontId="20" fillId="2" borderId="25" xfId="0" applyFont="1" applyFill="1" applyBorder="1"/>
    <xf numFmtId="0" fontId="20" fillId="2" borderId="15" xfId="0" applyFont="1" applyFill="1" applyBorder="1"/>
    <xf numFmtId="0" fontId="21" fillId="2" borderId="36" xfId="0" quotePrefix="1" applyFont="1" applyFill="1" applyBorder="1" applyAlignment="1">
      <alignment horizontal="left"/>
    </xf>
    <xf numFmtId="0" fontId="20" fillId="2" borderId="25" xfId="0" applyFont="1" applyFill="1" applyBorder="1" applyAlignment="1">
      <alignment horizontal="center"/>
    </xf>
    <xf numFmtId="0" fontId="21" fillId="2" borderId="10" xfId="0" applyFont="1" applyFill="1" applyBorder="1"/>
    <xf numFmtId="0" fontId="20" fillId="2" borderId="57" xfId="0" applyFont="1" applyFill="1" applyBorder="1"/>
    <xf numFmtId="1" fontId="21" fillId="2" borderId="0" xfId="0" applyNumberFormat="1" applyFont="1" applyFill="1" applyAlignment="1">
      <alignment horizontal="justify"/>
    </xf>
    <xf numFmtId="0" fontId="21" fillId="2" borderId="0" xfId="0" applyFont="1" applyFill="1" applyAlignment="1">
      <alignment horizontal="left"/>
    </xf>
    <xf numFmtId="1" fontId="21" fillId="2" borderId="0" xfId="0" applyNumberFormat="1" applyFont="1" applyFill="1" applyAlignment="1">
      <alignment horizontal="centerContinuous"/>
    </xf>
    <xf numFmtId="0" fontId="20" fillId="2" borderId="0" xfId="0" applyFont="1" applyFill="1" applyAlignment="1">
      <alignment horizontal="centerContinuous"/>
    </xf>
    <xf numFmtId="1" fontId="20" fillId="2" borderId="0" xfId="0" applyNumberFormat="1" applyFont="1" applyFill="1" applyAlignment="1">
      <alignment horizontal="centerContinuous"/>
    </xf>
    <xf numFmtId="4" fontId="21" fillId="2" borderId="0" xfId="0" quotePrefix="1" applyNumberFormat="1" applyFont="1" applyFill="1" applyAlignment="1">
      <alignment horizontal="right"/>
    </xf>
    <xf numFmtId="4" fontId="20" fillId="2" borderId="5"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1" fillId="2" borderId="6" xfId="0" applyFont="1" applyFill="1" applyBorder="1"/>
    <xf numFmtId="0" fontId="20" fillId="2" borderId="5" xfId="0" applyFont="1" applyFill="1" applyBorder="1"/>
    <xf numFmtId="0" fontId="20" fillId="2" borderId="6" xfId="0" applyFont="1" applyFill="1" applyBorder="1"/>
    <xf numFmtId="0" fontId="20" fillId="2" borderId="6" xfId="0" applyFont="1" applyFill="1" applyBorder="1" applyAlignment="1">
      <alignment horizontal="center"/>
    </xf>
    <xf numFmtId="0" fontId="21" fillId="2" borderId="37" xfId="0" applyFont="1" applyFill="1" applyBorder="1"/>
    <xf numFmtId="0" fontId="20" fillId="2" borderId="58" xfId="0" applyFont="1" applyFill="1" applyBorder="1" applyAlignment="1">
      <alignment horizontal="center"/>
    </xf>
    <xf numFmtId="0" fontId="20" fillId="2" borderId="11" xfId="0" applyFont="1" applyFill="1" applyBorder="1"/>
    <xf numFmtId="0" fontId="11" fillId="2" borderId="1" xfId="0" applyFont="1" applyFill="1" applyBorder="1"/>
    <xf numFmtId="4" fontId="11" fillId="2" borderId="1" xfId="0" applyNumberFormat="1" applyFont="1" applyFill="1" applyBorder="1" applyAlignment="1">
      <alignment horizontal="center"/>
    </xf>
    <xf numFmtId="4" fontId="10" fillId="2" borderId="1" xfId="0" applyNumberFormat="1" applyFont="1" applyFill="1" applyBorder="1" applyAlignment="1">
      <alignment horizontal="center"/>
    </xf>
    <xf numFmtId="4" fontId="11" fillId="2" borderId="1" xfId="0" applyNumberFormat="1" applyFont="1" applyFill="1" applyBorder="1" applyAlignment="1">
      <alignment horizontal="right"/>
    </xf>
    <xf numFmtId="0" fontId="10" fillId="2" borderId="3" xfId="0" applyFont="1" applyFill="1" applyBorder="1" applyAlignment="1">
      <alignment horizontal="center" vertical="center"/>
    </xf>
    <xf numFmtId="4" fontId="10" fillId="2" borderId="3" xfId="0" applyNumberFormat="1" applyFont="1" applyFill="1" applyBorder="1" applyAlignment="1">
      <alignment horizontal="center" vertical="center"/>
    </xf>
    <xf numFmtId="4" fontId="11" fillId="2" borderId="3" xfId="0" applyNumberFormat="1" applyFont="1" applyFill="1" applyBorder="1" applyAlignment="1">
      <alignment horizontal="center" vertical="center"/>
    </xf>
    <xf numFmtId="4" fontId="11" fillId="2" borderId="0" xfId="0" applyNumberFormat="1" applyFont="1" applyFill="1" applyAlignment="1">
      <alignment horizontal="center" vertical="center"/>
    </xf>
    <xf numFmtId="4" fontId="19" fillId="2" borderId="3" xfId="0" applyNumberFormat="1" applyFont="1" applyFill="1" applyBorder="1" applyAlignment="1">
      <alignment horizontal="center" vertical="center"/>
    </xf>
    <xf numFmtId="0" fontId="10" fillId="2" borderId="5" xfId="0" applyFont="1" applyFill="1" applyBorder="1" applyAlignment="1">
      <alignment horizontal="center"/>
    </xf>
    <xf numFmtId="4" fontId="10" fillId="2" borderId="5" xfId="0" applyNumberFormat="1" applyFont="1" applyFill="1" applyBorder="1" applyAlignment="1">
      <alignment horizontal="center" vertical="center" wrapText="1"/>
    </xf>
    <xf numFmtId="4" fontId="10" fillId="2" borderId="5" xfId="0" applyNumberFormat="1" applyFont="1" applyFill="1" applyBorder="1" applyAlignment="1">
      <alignment horizontal="center"/>
    </xf>
    <xf numFmtId="0" fontId="11" fillId="2" borderId="6" xfId="0" applyFont="1" applyFill="1" applyBorder="1"/>
    <xf numFmtId="4" fontId="10" fillId="2" borderId="6" xfId="0" applyNumberFormat="1" applyFont="1" applyFill="1" applyBorder="1" applyAlignment="1">
      <alignment horizontal="center" vertical="center" wrapText="1"/>
    </xf>
    <xf numFmtId="4" fontId="10" fillId="2" borderId="6" xfId="0" applyNumberFormat="1" applyFont="1" applyFill="1" applyBorder="1" applyAlignment="1">
      <alignment horizontal="center"/>
    </xf>
    <xf numFmtId="0" fontId="11" fillId="2" borderId="11" xfId="0" applyFont="1" applyFill="1" applyBorder="1"/>
    <xf numFmtId="0" fontId="10" fillId="2" borderId="11" xfId="0" applyFont="1" applyFill="1" applyBorder="1" applyAlignment="1">
      <alignment horizontal="center"/>
    </xf>
    <xf numFmtId="4" fontId="10" fillId="2" borderId="11" xfId="0" applyNumberFormat="1" applyFont="1" applyFill="1" applyBorder="1" applyAlignment="1">
      <alignment horizontal="center" vertical="center" wrapText="1"/>
    </xf>
    <xf numFmtId="4" fontId="10" fillId="2" borderId="11" xfId="0" applyNumberFormat="1" applyFont="1" applyFill="1" applyBorder="1" applyAlignment="1">
      <alignment horizontal="center"/>
    </xf>
    <xf numFmtId="0" fontId="19" fillId="2" borderId="6" xfId="0" applyFont="1" applyFill="1" applyBorder="1"/>
    <xf numFmtId="165" fontId="10" fillId="2" borderId="6" xfId="2" quotePrefix="1" applyFont="1" applyFill="1" applyBorder="1" applyAlignment="1">
      <alignment horizontal="left"/>
    </xf>
    <xf numFmtId="165" fontId="11" fillId="2" borderId="3" xfId="2" applyFont="1" applyFill="1" applyBorder="1"/>
    <xf numFmtId="165" fontId="11" fillId="2" borderId="41" xfId="2" applyFont="1" applyFill="1" applyBorder="1"/>
    <xf numFmtId="0" fontId="19" fillId="2" borderId="6" xfId="0" applyFont="1" applyFill="1" applyBorder="1" applyAlignment="1">
      <alignment horizontal="center" textRotation="90"/>
    </xf>
    <xf numFmtId="165" fontId="11" fillId="2" borderId="59" xfId="2" applyFont="1" applyFill="1" applyBorder="1"/>
    <xf numFmtId="165" fontId="10" fillId="2" borderId="24" xfId="2" quotePrefix="1" applyFont="1" applyFill="1" applyBorder="1" applyAlignment="1">
      <alignment horizontal="left"/>
    </xf>
    <xf numFmtId="165" fontId="11" fillId="2" borderId="3" xfId="2" quotePrefix="1" applyFont="1" applyFill="1" applyBorder="1" applyAlignment="1">
      <alignment horizontal="left"/>
    </xf>
    <xf numFmtId="0" fontId="11" fillId="2" borderId="59" xfId="0" applyFont="1" applyFill="1" applyBorder="1"/>
    <xf numFmtId="165" fontId="10" fillId="2" borderId="3" xfId="2" applyFont="1" applyFill="1" applyBorder="1" applyAlignment="1"/>
    <xf numFmtId="165" fontId="11" fillId="2" borderId="41" xfId="2" applyFont="1" applyFill="1" applyBorder="1" applyAlignment="1"/>
    <xf numFmtId="0" fontId="11" fillId="2" borderId="59" xfId="0" quotePrefix="1" applyFont="1" applyFill="1" applyBorder="1" applyAlignment="1">
      <alignment horizontal="left"/>
    </xf>
    <xf numFmtId="0" fontId="6" fillId="2" borderId="60" xfId="0" applyFont="1" applyFill="1" applyBorder="1"/>
    <xf numFmtId="0" fontId="10" fillId="2" borderId="11" xfId="0" applyFont="1" applyFill="1" applyBorder="1" applyAlignment="1">
      <alignment horizontal="right"/>
    </xf>
    <xf numFmtId="4" fontId="11" fillId="2" borderId="1" xfId="0" applyNumberFormat="1" applyFont="1" applyFill="1" applyBorder="1"/>
    <xf numFmtId="0" fontId="10" fillId="2" borderId="5" xfId="0" quotePrefix="1" applyFont="1" applyFill="1" applyBorder="1" applyAlignment="1">
      <alignment horizontal="left"/>
    </xf>
    <xf numFmtId="0" fontId="10" fillId="2" borderId="24" xfId="0" quotePrefix="1" applyFont="1" applyFill="1" applyBorder="1" applyAlignment="1">
      <alignment horizontal="left"/>
    </xf>
    <xf numFmtId="0" fontId="11" fillId="2" borderId="3" xfId="0" quotePrefix="1" applyFont="1" applyFill="1" applyBorder="1" applyAlignment="1">
      <alignment horizontal="left"/>
    </xf>
    <xf numFmtId="0" fontId="10" fillId="2" borderId="61" xfId="0" quotePrefix="1" applyFont="1" applyFill="1" applyBorder="1" applyAlignment="1">
      <alignment horizontal="left"/>
    </xf>
    <xf numFmtId="0" fontId="10" fillId="2" borderId="21" xfId="0" quotePrefix="1" applyFont="1" applyFill="1" applyBorder="1" applyAlignment="1">
      <alignment horizontal="left"/>
    </xf>
    <xf numFmtId="0" fontId="11" fillId="2" borderId="60" xfId="0" quotePrefix="1" applyFont="1" applyFill="1" applyBorder="1" applyAlignment="1">
      <alignment horizontal="left"/>
    </xf>
    <xf numFmtId="0" fontId="10" fillId="2" borderId="61" xfId="0" applyFont="1" applyFill="1" applyBorder="1" applyAlignment="1">
      <alignment horizontal="right"/>
    </xf>
    <xf numFmtId="4" fontId="19" fillId="2" borderId="59" xfId="0" applyNumberFormat="1" applyFont="1" applyFill="1" applyBorder="1" applyAlignment="1">
      <alignment horizontal="right"/>
    </xf>
    <xf numFmtId="0" fontId="10" fillId="2" borderId="1" xfId="0" applyFont="1" applyFill="1" applyBorder="1" applyAlignment="1">
      <alignment horizontal="right"/>
    </xf>
    <xf numFmtId="4" fontId="19" fillId="2" borderId="1" xfId="0" applyNumberFormat="1" applyFont="1" applyFill="1" applyBorder="1" applyAlignment="1">
      <alignment horizontal="right"/>
    </xf>
    <xf numFmtId="0" fontId="10" fillId="2" borderId="53" xfId="0" applyFont="1" applyFill="1" applyBorder="1"/>
    <xf numFmtId="0" fontId="11" fillId="2" borderId="24" xfId="0" quotePrefix="1" applyFont="1" applyFill="1" applyBorder="1" applyAlignment="1">
      <alignment horizontal="left"/>
    </xf>
    <xf numFmtId="4" fontId="14" fillId="2" borderId="57" xfId="0" applyNumberFormat="1" applyFont="1" applyFill="1" applyBorder="1"/>
    <xf numFmtId="0" fontId="10" fillId="2" borderId="60" xfId="0" applyFont="1" applyFill="1" applyBorder="1" applyAlignment="1">
      <alignment horizontal="right"/>
    </xf>
    <xf numFmtId="0" fontId="10" fillId="2" borderId="44" xfId="0" applyFont="1" applyFill="1" applyBorder="1" applyAlignment="1">
      <alignment horizontal="centerContinuous" vertical="center"/>
    </xf>
    <xf numFmtId="4" fontId="10" fillId="2" borderId="36" xfId="0" applyNumberFormat="1" applyFont="1" applyFill="1" applyBorder="1" applyAlignment="1">
      <alignment horizontal="centerContinuous" vertical="center"/>
    </xf>
    <xf numFmtId="4" fontId="10" fillId="2" borderId="42" xfId="0" applyNumberFormat="1" applyFont="1" applyFill="1" applyBorder="1" applyAlignment="1">
      <alignment horizontal="centerContinuous" vertical="center"/>
    </xf>
    <xf numFmtId="0" fontId="10" fillId="2" borderId="21" xfId="0" applyFont="1" applyFill="1" applyBorder="1" applyAlignment="1">
      <alignment horizontal="left"/>
    </xf>
    <xf numFmtId="0" fontId="10" fillId="2" borderId="22" xfId="0" applyFont="1" applyFill="1" applyBorder="1" applyAlignment="1">
      <alignment horizontal="left"/>
    </xf>
    <xf numFmtId="4" fontId="10" fillId="2" borderId="23" xfId="0" applyNumberFormat="1" applyFont="1" applyFill="1" applyBorder="1"/>
    <xf numFmtId="4" fontId="10" fillId="2" borderId="5" xfId="0" applyNumberFormat="1" applyFont="1" applyFill="1" applyBorder="1"/>
    <xf numFmtId="0" fontId="11" fillId="2" borderId="26" xfId="0" applyFont="1" applyFill="1" applyBorder="1"/>
    <xf numFmtId="0" fontId="11" fillId="2" borderId="27" xfId="0" applyFont="1" applyFill="1" applyBorder="1"/>
    <xf numFmtId="4" fontId="11" fillId="2" borderId="28" xfId="0" applyNumberFormat="1" applyFont="1" applyFill="1" applyBorder="1"/>
    <xf numFmtId="0" fontId="11" fillId="2" borderId="44" xfId="0" applyFont="1" applyFill="1" applyBorder="1"/>
    <xf numFmtId="0" fontId="11" fillId="2" borderId="36" xfId="0" applyFont="1" applyFill="1" applyBorder="1"/>
    <xf numFmtId="4" fontId="11" fillId="2" borderId="42" xfId="0" applyNumberFormat="1" applyFont="1" applyFill="1" applyBorder="1"/>
    <xf numFmtId="0" fontId="11" fillId="2" borderId="15" xfId="0" applyFont="1" applyFill="1" applyBorder="1"/>
    <xf numFmtId="0" fontId="11" fillId="2" borderId="16" xfId="0" applyFont="1" applyFill="1" applyBorder="1"/>
    <xf numFmtId="4" fontId="19" fillId="2" borderId="62" xfId="0" applyNumberFormat="1" applyFont="1" applyFill="1" applyBorder="1" applyAlignment="1">
      <alignment horizontal="right"/>
    </xf>
    <xf numFmtId="4" fontId="10" fillId="2" borderId="23" xfId="0" applyNumberFormat="1" applyFont="1" applyFill="1" applyBorder="1" applyAlignment="1">
      <alignment horizontal="right"/>
    </xf>
    <xf numFmtId="4" fontId="19" fillId="2" borderId="0" xfId="0" applyNumberFormat="1" applyFont="1" applyFill="1"/>
    <xf numFmtId="0" fontId="11" fillId="2" borderId="63" xfId="0" applyFont="1" applyFill="1" applyBorder="1"/>
    <xf numFmtId="0" fontId="11" fillId="2" borderId="64" xfId="0" applyFont="1" applyFill="1" applyBorder="1"/>
    <xf numFmtId="4" fontId="11" fillId="2" borderId="65" xfId="0" applyNumberFormat="1" applyFont="1" applyFill="1" applyBorder="1"/>
    <xf numFmtId="0" fontId="19" fillId="2" borderId="11" xfId="0" applyFont="1" applyFill="1" applyBorder="1" applyAlignment="1">
      <alignment horizontal="center" textRotation="90"/>
    </xf>
    <xf numFmtId="4" fontId="19" fillId="2" borderId="57" xfId="0" applyNumberFormat="1" applyFont="1" applyFill="1" applyBorder="1" applyAlignment="1">
      <alignment horizontal="right"/>
    </xf>
    <xf numFmtId="0" fontId="19" fillId="2" borderId="15" xfId="0" applyFont="1" applyFill="1" applyBorder="1"/>
    <xf numFmtId="4" fontId="10" fillId="2" borderId="62" xfId="0" applyNumberFormat="1" applyFont="1" applyFill="1" applyBorder="1" applyAlignment="1">
      <alignment horizontal="right"/>
    </xf>
    <xf numFmtId="0" fontId="25" fillId="2" borderId="41" xfId="0" applyFont="1" applyFill="1" applyBorder="1" applyAlignment="1">
      <alignment horizontal="center"/>
    </xf>
    <xf numFmtId="0" fontId="25" fillId="2" borderId="0" xfId="0" applyFont="1" applyFill="1" applyAlignment="1">
      <alignment horizontal="center"/>
    </xf>
    <xf numFmtId="4" fontId="15" fillId="2" borderId="41" xfId="0" applyNumberFormat="1" applyFont="1" applyFill="1" applyBorder="1" applyAlignment="1">
      <alignment horizontal="center"/>
    </xf>
    <xf numFmtId="0" fontId="0" fillId="2" borderId="41" xfId="0" applyFill="1" applyBorder="1"/>
    <xf numFmtId="0" fontId="0" fillId="2" borderId="41" xfId="0" quotePrefix="1" applyFill="1" applyBorder="1"/>
    <xf numFmtId="0" fontId="16" fillId="2" borderId="44" xfId="0" applyFont="1" applyFill="1" applyBorder="1"/>
    <xf numFmtId="4" fontId="25" fillId="2" borderId="41" xfId="0" applyNumberFormat="1" applyFont="1" applyFill="1" applyBorder="1"/>
    <xf numFmtId="9" fontId="21" fillId="2" borderId="0" xfId="8" applyFont="1" applyFill="1" applyAlignment="1">
      <alignment horizontal="center"/>
    </xf>
    <xf numFmtId="165" fontId="11" fillId="2" borderId="0" xfId="2" applyFont="1" applyFill="1" applyAlignment="1">
      <alignment horizontal="center"/>
    </xf>
    <xf numFmtId="0" fontId="52" fillId="2" borderId="3" xfId="0" applyFont="1" applyFill="1" applyBorder="1"/>
    <xf numFmtId="0" fontId="32" fillId="2" borderId="0" xfId="0" applyFont="1" applyFill="1"/>
    <xf numFmtId="0" fontId="58" fillId="2" borderId="0" xfId="0" applyFont="1" applyFill="1" applyAlignment="1">
      <alignment horizontal="centerContinuous" wrapText="1"/>
    </xf>
    <xf numFmtId="0" fontId="59" fillId="2" borderId="0" xfId="0" applyFont="1" applyFill="1" applyAlignment="1">
      <alignment horizontal="centerContinuous" wrapText="1"/>
    </xf>
    <xf numFmtId="0" fontId="59" fillId="2" borderId="0" xfId="0" applyFont="1" applyFill="1"/>
    <xf numFmtId="0" fontId="60" fillId="2" borderId="0" xfId="0" applyFont="1" applyFill="1" applyAlignment="1">
      <alignment horizontal="centerContinuous"/>
    </xf>
    <xf numFmtId="0" fontId="60" fillId="2" borderId="0" xfId="0" applyFont="1" applyFill="1"/>
    <xf numFmtId="0" fontId="45" fillId="2" borderId="0" xfId="0" applyFont="1" applyFill="1"/>
    <xf numFmtId="0" fontId="52" fillId="2" borderId="5" xfId="0" applyFont="1" applyFill="1" applyBorder="1" applyAlignment="1">
      <alignment horizontal="center"/>
    </xf>
    <xf numFmtId="0" fontId="52" fillId="2" borderId="21" xfId="0" applyFont="1" applyFill="1" applyBorder="1"/>
    <xf numFmtId="0" fontId="52" fillId="2" borderId="23" xfId="0" applyFont="1" applyFill="1" applyBorder="1"/>
    <xf numFmtId="0" fontId="0" fillId="2" borderId="23" xfId="0" applyFill="1" applyBorder="1"/>
    <xf numFmtId="0" fontId="0" fillId="2" borderId="5" xfId="0" applyFill="1" applyBorder="1" applyAlignment="1">
      <alignment horizontal="center"/>
    </xf>
    <xf numFmtId="0" fontId="52" fillId="2" borderId="6" xfId="0" applyFont="1" applyFill="1" applyBorder="1" applyAlignment="1">
      <alignment horizontal="center"/>
    </xf>
    <xf numFmtId="0" fontId="52" fillId="2" borderId="24" xfId="0" applyFont="1" applyFill="1" applyBorder="1"/>
    <xf numFmtId="0" fontId="52" fillId="2" borderId="25" xfId="0" applyFont="1" applyFill="1" applyBorder="1"/>
    <xf numFmtId="0" fontId="52" fillId="2" borderId="26" xfId="0" applyFont="1" applyFill="1" applyBorder="1"/>
    <xf numFmtId="0" fontId="52" fillId="2" borderId="28" xfId="0" applyFont="1" applyFill="1" applyBorder="1"/>
    <xf numFmtId="0" fontId="52" fillId="2" borderId="3" xfId="0" applyFont="1" applyFill="1" applyBorder="1" applyAlignment="1">
      <alignment horizontal="center"/>
    </xf>
    <xf numFmtId="0" fontId="0" fillId="2" borderId="3" xfId="0" applyFill="1" applyBorder="1" applyAlignment="1">
      <alignment horizontal="center"/>
    </xf>
    <xf numFmtId="0" fontId="52" fillId="2" borderId="5" xfId="0" applyFont="1" applyFill="1" applyBorder="1"/>
    <xf numFmtId="0" fontId="52" fillId="2" borderId="6" xfId="0" applyFont="1" applyFill="1" applyBorder="1"/>
    <xf numFmtId="0" fontId="43" fillId="2" borderId="5" xfId="0" applyFont="1" applyFill="1" applyBorder="1" applyAlignment="1">
      <alignment horizontal="center"/>
    </xf>
    <xf numFmtId="0" fontId="52" fillId="2" borderId="0" xfId="0" applyFont="1" applyFill="1"/>
    <xf numFmtId="0" fontId="52" fillId="2" borderId="41" xfId="0" applyFont="1" applyFill="1" applyBorder="1" applyAlignment="1">
      <alignment horizontal="center"/>
    </xf>
    <xf numFmtId="165" fontId="52" fillId="2" borderId="5" xfId="2" applyFont="1" applyFill="1" applyBorder="1"/>
    <xf numFmtId="0" fontId="58" fillId="2" borderId="0" xfId="0" applyFont="1" applyFill="1" applyAlignment="1">
      <alignment horizontal="left"/>
    </xf>
    <xf numFmtId="0" fontId="58" fillId="2" borderId="0" xfId="0" applyFont="1" applyFill="1"/>
    <xf numFmtId="0" fontId="32" fillId="2" borderId="0" xfId="0" applyFont="1" applyFill="1" applyAlignment="1">
      <alignment horizontal="left"/>
    </xf>
    <xf numFmtId="0" fontId="52" fillId="2" borderId="44" xfId="0" applyFont="1" applyFill="1" applyBorder="1"/>
    <xf numFmtId="0" fontId="52" fillId="2" borderId="42" xfId="0" applyFont="1" applyFill="1" applyBorder="1"/>
    <xf numFmtId="0" fontId="52" fillId="2" borderId="25" xfId="0" applyFont="1" applyFill="1" applyBorder="1" applyAlignment="1">
      <alignment horizontal="center"/>
    </xf>
    <xf numFmtId="0" fontId="52" fillId="2" borderId="28" xfId="0" applyFont="1" applyFill="1" applyBorder="1" applyAlignment="1">
      <alignment horizontal="center"/>
    </xf>
    <xf numFmtId="0" fontId="52" fillId="2" borderId="5" xfId="0" applyFont="1" applyFill="1" applyBorder="1" applyAlignment="1">
      <alignment wrapText="1"/>
    </xf>
    <xf numFmtId="0" fontId="52" fillId="2" borderId="0" xfId="0" applyFont="1" applyFill="1" applyAlignment="1">
      <alignment wrapText="1"/>
    </xf>
    <xf numFmtId="0" fontId="0" fillId="2" borderId="0" xfId="0" applyFill="1" applyAlignment="1">
      <alignment wrapText="1"/>
    </xf>
    <xf numFmtId="0" fontId="52" fillId="2" borderId="36" xfId="0" applyFont="1" applyFill="1" applyBorder="1" applyAlignment="1">
      <alignment vertical="center"/>
    </xf>
    <xf numFmtId="0" fontId="49" fillId="2" borderId="36" xfId="0" applyFont="1" applyFill="1" applyBorder="1" applyAlignment="1">
      <alignment vertical="center"/>
    </xf>
    <xf numFmtId="0" fontId="43" fillId="2" borderId="36" xfId="0" applyFont="1" applyFill="1" applyBorder="1" applyAlignment="1">
      <alignment vertical="center"/>
    </xf>
    <xf numFmtId="165" fontId="52" fillId="2" borderId="41" xfId="2" applyFont="1" applyFill="1" applyBorder="1" applyAlignment="1">
      <alignment vertical="center"/>
    </xf>
    <xf numFmtId="0" fontId="52" fillId="2" borderId="0" xfId="0" applyFont="1" applyFill="1" applyAlignment="1">
      <alignment vertical="center"/>
    </xf>
    <xf numFmtId="0" fontId="59" fillId="2" borderId="0" xfId="0" applyFont="1" applyFill="1" applyAlignment="1">
      <alignment horizontal="center"/>
    </xf>
    <xf numFmtId="0" fontId="0" fillId="2" borderId="5" xfId="0" applyFill="1" applyBorder="1"/>
    <xf numFmtId="0" fontId="43" fillId="2" borderId="44" xfId="0" applyFont="1" applyFill="1" applyBorder="1"/>
    <xf numFmtId="0" fontId="0" fillId="2" borderId="36" xfId="0" applyFill="1" applyBorder="1"/>
    <xf numFmtId="0" fontId="0" fillId="2" borderId="42" xfId="0" applyFill="1" applyBorder="1"/>
    <xf numFmtId="0" fontId="32" fillId="2" borderId="6" xfId="0" applyFont="1" applyFill="1" applyBorder="1" applyAlignment="1">
      <alignment horizontal="center"/>
    </xf>
    <xf numFmtId="0" fontId="0" fillId="2" borderId="25" xfId="0" applyFill="1" applyBorder="1" applyAlignment="1">
      <alignment horizontal="center"/>
    </xf>
    <xf numFmtId="0" fontId="52" fillId="2" borderId="0" xfId="0" applyFont="1" applyFill="1" applyAlignment="1">
      <alignment horizontal="center"/>
    </xf>
    <xf numFmtId="0" fontId="43" fillId="2" borderId="6" xfId="0" applyFont="1" applyFill="1" applyBorder="1"/>
    <xf numFmtId="165" fontId="52" fillId="2" borderId="21" xfId="2" applyFont="1" applyFill="1" applyBorder="1"/>
    <xf numFmtId="171" fontId="52" fillId="2" borderId="5" xfId="0" applyNumberFormat="1" applyFont="1" applyFill="1" applyBorder="1"/>
    <xf numFmtId="165" fontId="52" fillId="2" borderId="6" xfId="2" applyFont="1" applyFill="1" applyBorder="1"/>
    <xf numFmtId="165" fontId="52" fillId="2" borderId="24" xfId="2" applyFont="1" applyFill="1" applyBorder="1"/>
    <xf numFmtId="0" fontId="61" fillId="2" borderId="0" xfId="0" applyFont="1" applyFill="1" applyAlignment="1">
      <alignment vertical="center"/>
    </xf>
    <xf numFmtId="0" fontId="43" fillId="2" borderId="3" xfId="0" applyFont="1" applyFill="1" applyBorder="1" applyAlignment="1">
      <alignment horizontal="right"/>
    </xf>
    <xf numFmtId="165" fontId="52" fillId="2" borderId="26" xfId="2" applyFont="1" applyFill="1" applyBorder="1"/>
    <xf numFmtId="165" fontId="52" fillId="2" borderId="24" xfId="0" applyNumberFormat="1" applyFont="1" applyFill="1" applyBorder="1"/>
    <xf numFmtId="165" fontId="52" fillId="2" borderId="3" xfId="2" applyFont="1" applyFill="1" applyBorder="1"/>
    <xf numFmtId="0" fontId="43" fillId="2" borderId="6" xfId="0" applyFont="1" applyFill="1" applyBorder="1" applyAlignment="1">
      <alignment horizontal="center"/>
    </xf>
    <xf numFmtId="165" fontId="52" fillId="2" borderId="0" xfId="0" applyNumberFormat="1" applyFont="1" applyFill="1"/>
    <xf numFmtId="165" fontId="44" fillId="2" borderId="41" xfId="2" applyFont="1" applyFill="1" applyBorder="1"/>
    <xf numFmtId="165" fontId="49" fillId="2" borderId="5" xfId="2" applyFont="1" applyFill="1" applyBorder="1"/>
    <xf numFmtId="165" fontId="49" fillId="2" borderId="6" xfId="2" applyFont="1" applyFill="1" applyBorder="1"/>
    <xf numFmtId="165" fontId="49" fillId="2" borderId="3" xfId="2" applyFont="1" applyFill="1" applyBorder="1"/>
    <xf numFmtId="10" fontId="21" fillId="2" borderId="0" xfId="8" applyNumberFormat="1" applyFont="1" applyFill="1" applyAlignment="1">
      <alignment horizontal="center"/>
    </xf>
    <xf numFmtId="10" fontId="21" fillId="2" borderId="0" xfId="8" applyNumberFormat="1" applyFont="1" applyFill="1"/>
    <xf numFmtId="165" fontId="0" fillId="2" borderId="0" xfId="0" applyNumberFormat="1" applyFill="1"/>
    <xf numFmtId="165" fontId="30" fillId="2" borderId="0" xfId="7" applyNumberFormat="1" applyFont="1" applyFill="1"/>
    <xf numFmtId="0" fontId="49" fillId="2" borderId="27" xfId="0" applyFont="1" applyFill="1" applyBorder="1" applyAlignment="1">
      <alignment horizontal="right"/>
    </xf>
    <xf numFmtId="165" fontId="31" fillId="2" borderId="0" xfId="2" applyFont="1" applyFill="1" applyBorder="1"/>
    <xf numFmtId="165" fontId="30" fillId="2" borderId="0" xfId="2" applyFont="1" applyFill="1"/>
    <xf numFmtId="165" fontId="30" fillId="2" borderId="3" xfId="2" applyFont="1" applyFill="1" applyBorder="1"/>
    <xf numFmtId="165" fontId="30" fillId="2" borderId="28" xfId="2" applyFont="1" applyFill="1" applyBorder="1"/>
    <xf numFmtId="165" fontId="31" fillId="2" borderId="0" xfId="7" applyNumberFormat="1" applyFont="1" applyFill="1"/>
    <xf numFmtId="0" fontId="34" fillId="2" borderId="0" xfId="7" applyFont="1" applyFill="1" applyAlignment="1">
      <alignment horizontal="center"/>
    </xf>
    <xf numFmtId="0" fontId="0" fillId="2" borderId="6" xfId="0" applyFill="1" applyBorder="1" applyAlignment="1">
      <alignment wrapText="1"/>
    </xf>
    <xf numFmtId="0" fontId="0" fillId="2" borderId="6" xfId="0" applyFill="1" applyBorder="1" applyAlignment="1">
      <alignment horizontal="center" vertical="center"/>
    </xf>
    <xf numFmtId="165" fontId="33" fillId="2" borderId="0" xfId="2" applyFont="1" applyFill="1"/>
    <xf numFmtId="165" fontId="37" fillId="2" borderId="0" xfId="2" applyFont="1" applyFill="1" applyAlignment="1">
      <alignment horizontal="centerContinuous"/>
    </xf>
    <xf numFmtId="165" fontId="31" fillId="2" borderId="21" xfId="2" applyFont="1" applyFill="1" applyBorder="1" applyAlignment="1">
      <alignment horizontal="center"/>
    </xf>
    <xf numFmtId="165" fontId="31" fillId="2" borderId="24" xfId="2" applyFont="1" applyFill="1" applyBorder="1" applyAlignment="1">
      <alignment horizontal="center"/>
    </xf>
    <xf numFmtId="165" fontId="31" fillId="2" borderId="41" xfId="2" applyFont="1" applyFill="1" applyBorder="1" applyAlignment="1">
      <alignment horizontal="right"/>
    </xf>
    <xf numFmtId="165" fontId="0" fillId="2" borderId="6" xfId="2" applyFont="1" applyFill="1" applyBorder="1"/>
    <xf numFmtId="165" fontId="47" fillId="2" borderId="6" xfId="2" applyFont="1" applyFill="1" applyBorder="1"/>
    <xf numFmtId="165" fontId="30" fillId="2" borderId="0" xfId="2" applyFont="1" applyFill="1" applyBorder="1"/>
    <xf numFmtId="165" fontId="47" fillId="2" borderId="0" xfId="2" applyFont="1" applyFill="1" applyBorder="1"/>
    <xf numFmtId="165" fontId="48" fillId="2" borderId="0" xfId="2" applyFont="1" applyFill="1"/>
    <xf numFmtId="165" fontId="30" fillId="2" borderId="27" xfId="2" applyFont="1" applyFill="1" applyBorder="1"/>
    <xf numFmtId="0" fontId="49" fillId="2" borderId="27" xfId="0" applyFont="1" applyFill="1" applyBorder="1" applyAlignment="1">
      <alignment horizontal="left"/>
    </xf>
    <xf numFmtId="165" fontId="49" fillId="2" borderId="28" xfId="2" applyFont="1" applyFill="1" applyBorder="1"/>
    <xf numFmtId="165" fontId="25" fillId="2" borderId="41" xfId="2" applyFont="1" applyFill="1" applyBorder="1" applyAlignment="1">
      <alignment horizontal="center"/>
    </xf>
    <xf numFmtId="165" fontId="0" fillId="2" borderId="41" xfId="2" applyFont="1" applyFill="1" applyBorder="1"/>
    <xf numFmtId="165" fontId="48" fillId="2" borderId="0" xfId="0" applyNumberFormat="1" applyFont="1" applyFill="1"/>
    <xf numFmtId="165" fontId="33" fillId="2" borderId="25" xfId="2" applyFont="1" applyFill="1" applyBorder="1"/>
    <xf numFmtId="165" fontId="33" fillId="2" borderId="6" xfId="2" applyFont="1" applyFill="1" applyBorder="1"/>
    <xf numFmtId="165" fontId="32" fillId="2" borderId="42" xfId="2" applyFont="1" applyFill="1" applyBorder="1" applyAlignment="1">
      <alignment horizontal="right"/>
    </xf>
    <xf numFmtId="165" fontId="6" fillId="2" borderId="0" xfId="2" applyFont="1" applyFill="1"/>
    <xf numFmtId="165" fontId="6" fillId="2" borderId="0" xfId="2" applyFont="1" applyFill="1" applyAlignment="1">
      <alignment horizontal="right"/>
    </xf>
    <xf numFmtId="0" fontId="33" fillId="4" borderId="6" xfId="7" applyFont="1" applyFill="1" applyBorder="1"/>
    <xf numFmtId="0" fontId="33" fillId="4" borderId="0" xfId="7" applyFont="1" applyFill="1"/>
    <xf numFmtId="165" fontId="49" fillId="2" borderId="23" xfId="2" applyFont="1" applyFill="1" applyBorder="1"/>
    <xf numFmtId="165" fontId="33" fillId="2" borderId="25" xfId="2" applyFont="1" applyFill="1" applyBorder="1" applyAlignment="1">
      <alignment horizontal="right"/>
    </xf>
    <xf numFmtId="165" fontId="33" fillId="2" borderId="42" xfId="2" applyFont="1" applyFill="1" applyBorder="1" applyAlignment="1">
      <alignment horizontal="center"/>
    </xf>
    <xf numFmtId="165" fontId="33" fillId="2" borderId="42" xfId="2" applyFont="1" applyFill="1" applyBorder="1" applyAlignment="1">
      <alignment horizontal="right"/>
    </xf>
    <xf numFmtId="0" fontId="32" fillId="2" borderId="0" xfId="0" applyFont="1" applyFill="1" applyAlignment="1">
      <alignment horizontal="centerContinuous"/>
    </xf>
    <xf numFmtId="165" fontId="33" fillId="2" borderId="42" xfId="2" applyFont="1" applyFill="1" applyBorder="1" applyAlignment="1">
      <alignment horizontal="left"/>
    </xf>
    <xf numFmtId="0" fontId="33" fillId="2" borderId="8" xfId="7" applyFont="1" applyFill="1" applyBorder="1" applyAlignment="1">
      <alignment horizontal="center"/>
    </xf>
    <xf numFmtId="0" fontId="15" fillId="2" borderId="0" xfId="0" applyFont="1" applyFill="1"/>
    <xf numFmtId="0" fontId="62" fillId="2" borderId="0" xfId="0" applyFont="1" applyFill="1" applyAlignment="1">
      <alignment horizontal="centerContinuous"/>
    </xf>
    <xf numFmtId="0" fontId="63" fillId="2" borderId="0" xfId="0" applyFont="1" applyFill="1" applyAlignment="1">
      <alignment horizontal="centerContinuous"/>
    </xf>
    <xf numFmtId="0" fontId="64" fillId="2" borderId="0" xfId="0" applyFont="1" applyFill="1" applyAlignment="1">
      <alignment horizontal="centerContinuous"/>
    </xf>
    <xf numFmtId="0" fontId="65" fillId="2" borderId="0" xfId="0" applyFont="1" applyFill="1" applyAlignment="1">
      <alignment horizontal="centerContinuous"/>
    </xf>
    <xf numFmtId="0" fontId="50" fillId="2" borderId="0" xfId="0" applyFont="1" applyFill="1"/>
    <xf numFmtId="0" fontId="68" fillId="2" borderId="0" xfId="0" applyFont="1" applyFill="1"/>
    <xf numFmtId="17" fontId="0" fillId="2" borderId="0" xfId="0" applyNumberFormat="1" applyFill="1"/>
    <xf numFmtId="0" fontId="32" fillId="2" borderId="22" xfId="0" applyFont="1" applyFill="1" applyBorder="1" applyAlignment="1">
      <alignment horizontal="centerContinuous"/>
    </xf>
    <xf numFmtId="0" fontId="31" fillId="2" borderId="0" xfId="0" applyFont="1" applyFill="1"/>
    <xf numFmtId="0" fontId="47" fillId="2" borderId="0" xfId="0" applyFont="1" applyFill="1"/>
    <xf numFmtId="165" fontId="44" fillId="2" borderId="23" xfId="2" applyFont="1" applyFill="1" applyBorder="1"/>
    <xf numFmtId="165" fontId="44" fillId="2" borderId="25" xfId="2" applyFont="1" applyFill="1" applyBorder="1"/>
    <xf numFmtId="165" fontId="32" fillId="2" borderId="41" xfId="2" applyFont="1" applyFill="1" applyBorder="1"/>
    <xf numFmtId="165" fontId="32" fillId="2" borderId="25" xfId="2" applyFont="1" applyFill="1" applyBorder="1"/>
    <xf numFmtId="165" fontId="32" fillId="2" borderId="5" xfId="2" applyFont="1" applyFill="1" applyBorder="1"/>
    <xf numFmtId="165" fontId="32" fillId="2" borderId="3" xfId="2" applyFont="1" applyFill="1" applyBorder="1"/>
    <xf numFmtId="0" fontId="32" fillId="2" borderId="41" xfId="7" applyFont="1" applyFill="1" applyBorder="1"/>
    <xf numFmtId="165" fontId="33" fillId="2" borderId="3" xfId="2" applyFont="1" applyFill="1" applyBorder="1"/>
    <xf numFmtId="165" fontId="33" fillId="2" borderId="28" xfId="2" applyFont="1" applyFill="1" applyBorder="1"/>
    <xf numFmtId="165" fontId="44" fillId="2" borderId="28" xfId="2" applyFont="1" applyFill="1" applyBorder="1"/>
    <xf numFmtId="165" fontId="16" fillId="2" borderId="41" xfId="2" applyFont="1" applyFill="1" applyBorder="1"/>
    <xf numFmtId="165" fontId="52" fillId="2" borderId="28" xfId="2" applyFont="1" applyFill="1" applyBorder="1"/>
    <xf numFmtId="165" fontId="33" fillId="2" borderId="33" xfId="2" applyFont="1" applyFill="1" applyBorder="1" applyAlignment="1">
      <alignment horizontal="right"/>
    </xf>
    <xf numFmtId="165" fontId="33" fillId="2" borderId="0" xfId="2" applyFont="1" applyFill="1" applyAlignment="1">
      <alignment horizontal="right"/>
    </xf>
    <xf numFmtId="165" fontId="33" fillId="2" borderId="66" xfId="2" applyFont="1" applyFill="1" applyBorder="1" applyAlignment="1">
      <alignment horizontal="right"/>
    </xf>
    <xf numFmtId="165" fontId="33" fillId="2" borderId="39" xfId="2" applyFont="1" applyFill="1" applyBorder="1" applyAlignment="1">
      <alignment horizontal="right"/>
    </xf>
    <xf numFmtId="165" fontId="33" fillId="2" borderId="40" xfId="2" applyFont="1" applyFill="1" applyBorder="1" applyAlignment="1">
      <alignment horizontal="right"/>
    </xf>
    <xf numFmtId="165" fontId="45" fillId="2" borderId="33" xfId="2" applyFont="1" applyFill="1" applyBorder="1"/>
    <xf numFmtId="165" fontId="34" fillId="2" borderId="33" xfId="2" applyFont="1" applyFill="1" applyBorder="1"/>
    <xf numFmtId="165" fontId="34" fillId="2" borderId="66" xfId="2" applyFont="1" applyFill="1" applyBorder="1"/>
    <xf numFmtId="165" fontId="34" fillId="2" borderId="40" xfId="2" applyFont="1" applyFill="1" applyBorder="1"/>
    <xf numFmtId="165" fontId="34" fillId="4" borderId="40" xfId="2" applyFont="1" applyFill="1" applyBorder="1"/>
    <xf numFmtId="165" fontId="45" fillId="2" borderId="35" xfId="2" applyFont="1" applyFill="1" applyBorder="1"/>
    <xf numFmtId="165" fontId="45" fillId="2" borderId="39" xfId="2" applyFont="1" applyFill="1" applyBorder="1"/>
    <xf numFmtId="165" fontId="30" fillId="4" borderId="25" xfId="2" applyFont="1" applyFill="1" applyBorder="1"/>
    <xf numFmtId="165" fontId="30" fillId="4" borderId="25" xfId="2" applyFont="1" applyFill="1" applyBorder="1" applyAlignment="1">
      <alignment horizontal="center"/>
    </xf>
    <xf numFmtId="165" fontId="30" fillId="4" borderId="28" xfId="2" applyFont="1" applyFill="1" applyBorder="1"/>
    <xf numFmtId="165" fontId="0" fillId="4" borderId="28" xfId="2" applyFont="1" applyFill="1" applyBorder="1"/>
    <xf numFmtId="165" fontId="34" fillId="2" borderId="0" xfId="2" applyFont="1" applyFill="1"/>
    <xf numFmtId="165" fontId="34" fillId="4" borderId="33" xfId="2" applyFont="1" applyFill="1" applyBorder="1"/>
    <xf numFmtId="165" fontId="49" fillId="4" borderId="5" xfId="2" applyFont="1" applyFill="1" applyBorder="1"/>
    <xf numFmtId="165" fontId="49" fillId="4" borderId="6" xfId="2" applyFont="1" applyFill="1" applyBorder="1"/>
    <xf numFmtId="165" fontId="49" fillId="4" borderId="3" xfId="2" applyFont="1" applyFill="1" applyBorder="1"/>
    <xf numFmtId="0" fontId="49" fillId="4" borderId="25" xfId="7" applyFont="1" applyFill="1" applyBorder="1"/>
    <xf numFmtId="4" fontId="49" fillId="4" borderId="25" xfId="7" applyNumberFormat="1" applyFont="1" applyFill="1" applyBorder="1"/>
    <xf numFmtId="14" fontId="49" fillId="4" borderId="25" xfId="7" applyNumberFormat="1" applyFont="1" applyFill="1" applyBorder="1"/>
    <xf numFmtId="0" fontId="49" fillId="4" borderId="28" xfId="7" applyFont="1" applyFill="1" applyBorder="1"/>
    <xf numFmtId="165" fontId="49" fillId="4" borderId="25" xfId="2" applyFont="1" applyFill="1" applyBorder="1"/>
    <xf numFmtId="165" fontId="49" fillId="4" borderId="23" xfId="2" applyFont="1" applyFill="1" applyBorder="1"/>
    <xf numFmtId="0" fontId="33" fillId="4" borderId="33" xfId="7" applyFont="1" applyFill="1" applyBorder="1"/>
    <xf numFmtId="0" fontId="33" fillId="4" borderId="38" xfId="7" applyFont="1" applyFill="1" applyBorder="1"/>
    <xf numFmtId="0" fontId="27" fillId="4" borderId="0" xfId="7" applyFill="1" applyAlignment="1">
      <alignment horizontal="center"/>
    </xf>
    <xf numFmtId="0" fontId="33" fillId="4" borderId="35" xfId="7" applyFont="1" applyFill="1" applyBorder="1"/>
    <xf numFmtId="0" fontId="33" fillId="4" borderId="1" xfId="7" applyFont="1" applyFill="1" applyBorder="1"/>
    <xf numFmtId="0" fontId="33" fillId="4" borderId="14" xfId="7" applyFont="1" applyFill="1" applyBorder="1"/>
    <xf numFmtId="0" fontId="33" fillId="4" borderId="0" xfId="7" applyFont="1" applyFill="1" applyAlignment="1">
      <alignment horizontal="center"/>
    </xf>
    <xf numFmtId="0" fontId="27" fillId="4" borderId="0" xfId="7" applyFill="1"/>
    <xf numFmtId="0" fontId="33" fillId="4" borderId="25" xfId="7" applyFont="1" applyFill="1" applyBorder="1"/>
    <xf numFmtId="165" fontId="30" fillId="4" borderId="6" xfId="2" applyFont="1" applyFill="1" applyBorder="1"/>
    <xf numFmtId="165" fontId="30" fillId="2" borderId="41" xfId="2" applyFont="1" applyFill="1" applyBorder="1" applyAlignment="1">
      <alignment horizontal="center"/>
    </xf>
    <xf numFmtId="165" fontId="11" fillId="2" borderId="5" xfId="2" applyFont="1" applyFill="1" applyBorder="1"/>
    <xf numFmtId="165" fontId="11" fillId="2" borderId="25" xfId="2" applyFont="1" applyFill="1" applyBorder="1"/>
    <xf numFmtId="165" fontId="11" fillId="2" borderId="6" xfId="2" applyFont="1" applyFill="1" applyBorder="1"/>
    <xf numFmtId="165" fontId="11" fillId="2" borderId="6" xfId="2" applyFont="1" applyFill="1" applyBorder="1" applyAlignment="1"/>
    <xf numFmtId="165" fontId="19" fillId="2" borderId="42" xfId="2" applyFont="1" applyFill="1" applyBorder="1"/>
    <xf numFmtId="165" fontId="11" fillId="2" borderId="28" xfId="2" applyFont="1" applyFill="1" applyBorder="1"/>
    <xf numFmtId="165" fontId="10" fillId="2" borderId="41" xfId="2" applyFont="1" applyFill="1" applyBorder="1"/>
    <xf numFmtId="165" fontId="10" fillId="2" borderId="28" xfId="2" applyFont="1" applyFill="1" applyBorder="1"/>
    <xf numFmtId="165" fontId="10" fillId="2" borderId="25" xfId="2" applyFont="1" applyFill="1" applyBorder="1"/>
    <xf numFmtId="165" fontId="10" fillId="2" borderId="42" xfId="2" applyFont="1" applyFill="1" applyBorder="1"/>
    <xf numFmtId="165" fontId="10" fillId="2" borderId="0" xfId="2" applyFont="1" applyFill="1"/>
    <xf numFmtId="165" fontId="11" fillId="2" borderId="0" xfId="2" applyFont="1" applyFill="1"/>
    <xf numFmtId="165" fontId="18" fillId="2" borderId="0" xfId="2" applyFont="1" applyFill="1" applyAlignment="1">
      <alignment horizontal="centerContinuous"/>
    </xf>
    <xf numFmtId="165" fontId="11" fillId="2" borderId="0" xfId="2" quotePrefix="1" applyFont="1" applyFill="1" applyAlignment="1">
      <alignment horizontal="left"/>
    </xf>
    <xf numFmtId="165" fontId="10" fillId="2" borderId="42" xfId="2" applyFont="1" applyFill="1" applyBorder="1" applyAlignment="1">
      <alignment horizontal="center"/>
    </xf>
    <xf numFmtId="165" fontId="11" fillId="2" borderId="3" xfId="2" applyFont="1" applyFill="1" applyBorder="1" applyAlignment="1"/>
    <xf numFmtId="165" fontId="31" fillId="2" borderId="41" xfId="2" applyFont="1" applyFill="1" applyBorder="1"/>
    <xf numFmtId="165" fontId="33" fillId="4" borderId="25" xfId="2" applyFont="1" applyFill="1" applyBorder="1"/>
    <xf numFmtId="165" fontId="0" fillId="4" borderId="0" xfId="2" applyFont="1" applyFill="1"/>
    <xf numFmtId="165" fontId="33" fillId="4" borderId="6" xfId="2" applyFont="1" applyFill="1" applyBorder="1"/>
    <xf numFmtId="165" fontId="33" fillId="4" borderId="23" xfId="2" applyFont="1" applyFill="1" applyBorder="1"/>
    <xf numFmtId="165" fontId="14" fillId="4" borderId="6" xfId="2" applyFont="1" applyFill="1" applyBorder="1"/>
    <xf numFmtId="0" fontId="52" fillId="4" borderId="6" xfId="0" applyFont="1" applyFill="1" applyBorder="1"/>
    <xf numFmtId="0" fontId="52" fillId="4" borderId="25" xfId="0" applyFont="1" applyFill="1" applyBorder="1"/>
    <xf numFmtId="0" fontId="0" fillId="4" borderId="25" xfId="0" applyFill="1" applyBorder="1"/>
    <xf numFmtId="170" fontId="52" fillId="4" borderId="6" xfId="2" applyNumberFormat="1" applyFont="1" applyFill="1" applyBorder="1"/>
    <xf numFmtId="165" fontId="52" fillId="4" borderId="25" xfId="2" applyFont="1" applyFill="1" applyBorder="1"/>
    <xf numFmtId="165" fontId="52" fillId="4" borderId="25" xfId="0" applyNumberFormat="1" applyFont="1" applyFill="1" applyBorder="1"/>
    <xf numFmtId="165" fontId="0" fillId="4" borderId="25" xfId="2" applyFont="1" applyFill="1" applyBorder="1"/>
    <xf numFmtId="0" fontId="52" fillId="4" borderId="41" xfId="0" applyFont="1" applyFill="1" applyBorder="1" applyAlignment="1">
      <alignment vertical="center" wrapText="1"/>
    </xf>
    <xf numFmtId="0" fontId="52" fillId="4" borderId="42" xfId="0" applyFont="1" applyFill="1" applyBorder="1" applyAlignment="1">
      <alignment vertical="center" wrapText="1"/>
    </xf>
    <xf numFmtId="14" fontId="52" fillId="4" borderId="42" xfId="0" applyNumberFormat="1" applyFont="1" applyFill="1" applyBorder="1" applyAlignment="1">
      <alignment horizontal="center" vertical="center" wrapText="1"/>
    </xf>
    <xf numFmtId="4" fontId="52" fillId="4" borderId="42" xfId="0" applyNumberFormat="1" applyFont="1" applyFill="1" applyBorder="1" applyAlignment="1">
      <alignment horizontal="center" vertical="center" wrapText="1"/>
    </xf>
    <xf numFmtId="0" fontId="52" fillId="4" borderId="42" xfId="0" applyFont="1" applyFill="1" applyBorder="1" applyAlignment="1">
      <alignment horizontal="center" vertical="center" wrapText="1"/>
    </xf>
    <xf numFmtId="0" fontId="49" fillId="4" borderId="21" xfId="7" applyFont="1" applyFill="1" applyBorder="1"/>
    <xf numFmtId="0" fontId="49" fillId="4" borderId="23" xfId="7" applyFont="1" applyFill="1" applyBorder="1"/>
    <xf numFmtId="0" fontId="49" fillId="4" borderId="24" xfId="7" applyFont="1" applyFill="1" applyBorder="1"/>
    <xf numFmtId="0" fontId="49" fillId="4" borderId="26" xfId="7" applyFont="1" applyFill="1" applyBorder="1"/>
    <xf numFmtId="165" fontId="21" fillId="2" borderId="11" xfId="2" applyFont="1" applyFill="1" applyBorder="1" applyAlignment="1"/>
    <xf numFmtId="165" fontId="25" fillId="2" borderId="41" xfId="2" applyFont="1" applyFill="1" applyBorder="1"/>
    <xf numFmtId="0" fontId="31" fillId="2" borderId="41" xfId="7" quotePrefix="1" applyFont="1" applyFill="1" applyBorder="1" applyAlignment="1">
      <alignment horizontal="left"/>
    </xf>
    <xf numFmtId="165" fontId="14" fillId="2" borderId="41" xfId="2" applyFont="1" applyFill="1" applyBorder="1"/>
    <xf numFmtId="165" fontId="52" fillId="2" borderId="23" xfId="2" applyFont="1" applyFill="1" applyBorder="1"/>
    <xf numFmtId="165" fontId="33" fillId="2" borderId="0" xfId="2" applyFont="1" applyFill="1" applyBorder="1"/>
    <xf numFmtId="165" fontId="34" fillId="2" borderId="0" xfId="7" applyNumberFormat="1" applyFont="1" applyFill="1"/>
    <xf numFmtId="165" fontId="33" fillId="2" borderId="0" xfId="7" applyNumberFormat="1" applyFont="1" applyFill="1"/>
    <xf numFmtId="165" fontId="11" fillId="2" borderId="0" xfId="0" applyNumberFormat="1" applyFont="1" applyFill="1"/>
    <xf numFmtId="170" fontId="44" fillId="2" borderId="28" xfId="2" applyNumberFormat="1" applyFont="1" applyFill="1" applyBorder="1"/>
    <xf numFmtId="3" fontId="0" fillId="2" borderId="0" xfId="0" applyNumberFormat="1" applyFill="1"/>
    <xf numFmtId="3" fontId="0" fillId="2" borderId="0" xfId="0" applyNumberFormat="1" applyFill="1" applyAlignment="1">
      <alignment horizontal="right"/>
    </xf>
    <xf numFmtId="165" fontId="33" fillId="4" borderId="48" xfId="2" applyFont="1" applyFill="1" applyBorder="1"/>
    <xf numFmtId="172" fontId="30" fillId="4" borderId="6" xfId="2" applyNumberFormat="1" applyFont="1" applyFill="1" applyBorder="1" applyAlignment="1">
      <alignment horizontal="center"/>
    </xf>
    <xf numFmtId="170" fontId="30" fillId="4" borderId="6" xfId="2" applyNumberFormat="1" applyFont="1" applyFill="1" applyBorder="1"/>
    <xf numFmtId="165" fontId="21" fillId="2" borderId="0" xfId="2" applyFont="1" applyFill="1"/>
    <xf numFmtId="0" fontId="33" fillId="4" borderId="3" xfId="7" applyFont="1" applyFill="1" applyBorder="1" applyAlignment="1">
      <alignment horizontal="center"/>
    </xf>
    <xf numFmtId="165" fontId="33" fillId="4" borderId="25" xfId="2" applyFont="1" applyFill="1" applyBorder="1" applyAlignment="1">
      <alignment horizontal="center"/>
    </xf>
    <xf numFmtId="165" fontId="33" fillId="4" borderId="25" xfId="2" applyFont="1" applyFill="1" applyBorder="1" applyAlignment="1">
      <alignment horizontal="right"/>
    </xf>
    <xf numFmtId="165" fontId="33" fillId="4" borderId="28" xfId="2" applyFont="1" applyFill="1" applyBorder="1" applyAlignment="1">
      <alignment horizontal="center"/>
    </xf>
    <xf numFmtId="14" fontId="49" fillId="4" borderId="25" xfId="7" applyNumberFormat="1" applyFont="1" applyFill="1" applyBorder="1" applyAlignment="1">
      <alignment horizontal="center"/>
    </xf>
    <xf numFmtId="167" fontId="11" fillId="2" borderId="25" xfId="0" applyNumberFormat="1" applyFont="1" applyFill="1" applyBorder="1" applyAlignment="1">
      <alignment horizontal="right"/>
    </xf>
    <xf numFmtId="0" fontId="25" fillId="2" borderId="0" xfId="0" applyFont="1" applyFill="1"/>
    <xf numFmtId="0" fontId="69" fillId="2" borderId="0" xfId="0" applyFont="1" applyFill="1"/>
    <xf numFmtId="170" fontId="33" fillId="4" borderId="25" xfId="2" applyNumberFormat="1" applyFont="1" applyFill="1" applyBorder="1"/>
    <xf numFmtId="0" fontId="29" fillId="4" borderId="0" xfId="7" applyFont="1" applyFill="1"/>
    <xf numFmtId="165" fontId="38" fillId="2" borderId="48" xfId="2" applyFont="1" applyFill="1" applyBorder="1"/>
    <xf numFmtId="165" fontId="38" fillId="2" borderId="28" xfId="2" applyFont="1" applyFill="1" applyBorder="1"/>
    <xf numFmtId="165" fontId="27" fillId="2" borderId="5" xfId="2" applyFont="1" applyFill="1" applyBorder="1"/>
    <xf numFmtId="165" fontId="30" fillId="2" borderId="23" xfId="2" applyFont="1" applyFill="1" applyBorder="1"/>
    <xf numFmtId="165" fontId="30" fillId="2" borderId="25" xfId="2" applyFont="1" applyFill="1" applyBorder="1" applyAlignment="1">
      <alignment horizontal="center"/>
    </xf>
    <xf numFmtId="165" fontId="27" fillId="2" borderId="25" xfId="2" applyFont="1" applyFill="1" applyBorder="1"/>
    <xf numFmtId="165" fontId="30" fillId="2" borderId="28" xfId="2" applyFont="1" applyFill="1" applyBorder="1" applyAlignment="1">
      <alignment horizontal="center"/>
    </xf>
    <xf numFmtId="165" fontId="30" fillId="2" borderId="28" xfId="2" quotePrefix="1" applyFont="1" applyFill="1" applyBorder="1" applyAlignment="1">
      <alignment horizontal="center"/>
    </xf>
    <xf numFmtId="14" fontId="33" fillId="4" borderId="25" xfId="7" applyNumberFormat="1" applyFont="1" applyFill="1" applyBorder="1" applyAlignment="1">
      <alignment horizontal="center"/>
    </xf>
    <xf numFmtId="10" fontId="33" fillId="4" borderId="25" xfId="8" applyNumberFormat="1" applyFont="1" applyFill="1" applyBorder="1" applyAlignment="1">
      <alignment horizontal="center"/>
    </xf>
    <xf numFmtId="3" fontId="33" fillId="4" borderId="25" xfId="7" applyNumberFormat="1" applyFont="1" applyFill="1" applyBorder="1"/>
    <xf numFmtId="169" fontId="29" fillId="2" borderId="0" xfId="1" applyFont="1" applyFill="1"/>
    <xf numFmtId="165" fontId="33" fillId="4" borderId="23" xfId="2" applyFont="1" applyFill="1" applyBorder="1" applyAlignment="1">
      <alignment horizontal="center"/>
    </xf>
    <xf numFmtId="0" fontId="58" fillId="2" borderId="0" xfId="0" applyFont="1" applyFill="1" applyAlignment="1">
      <alignment horizontal="centerContinuous"/>
    </xf>
    <xf numFmtId="0" fontId="59" fillId="2" borderId="0" xfId="0" applyFont="1" applyFill="1" applyAlignment="1">
      <alignment horizontal="centerContinuous"/>
    </xf>
    <xf numFmtId="0" fontId="34" fillId="2" borderId="28" xfId="0" applyFont="1" applyFill="1" applyBorder="1"/>
    <xf numFmtId="0" fontId="70" fillId="2" borderId="0" xfId="0" applyFont="1" applyFill="1" applyAlignment="1">
      <alignment horizontal="right"/>
    </xf>
    <xf numFmtId="0" fontId="70" fillId="2" borderId="0" xfId="0" applyFont="1" applyFill="1" applyAlignment="1">
      <alignment horizontal="center"/>
    </xf>
    <xf numFmtId="165" fontId="33" fillId="4" borderId="3" xfId="2" applyFont="1" applyFill="1" applyBorder="1" applyAlignment="1">
      <alignment horizontal="center"/>
    </xf>
    <xf numFmtId="0" fontId="49" fillId="2" borderId="6" xfId="7" applyFont="1" applyFill="1" applyBorder="1" applyAlignment="1">
      <alignment wrapText="1"/>
    </xf>
    <xf numFmtId="14" fontId="52" fillId="4" borderId="25" xfId="0" quotePrefix="1" applyNumberFormat="1" applyFont="1" applyFill="1" applyBorder="1"/>
    <xf numFmtId="0" fontId="52" fillId="4" borderId="6" xfId="0" applyFont="1" applyFill="1" applyBorder="1" applyAlignment="1">
      <alignment wrapText="1"/>
    </xf>
    <xf numFmtId="10" fontId="52" fillId="4" borderId="25" xfId="8" applyNumberFormat="1" applyFont="1" applyFill="1" applyBorder="1" applyAlignment="1">
      <alignment horizontal="center"/>
    </xf>
    <xf numFmtId="164" fontId="48" fillId="2" borderId="0" xfId="0" applyNumberFormat="1" applyFont="1" applyFill="1"/>
    <xf numFmtId="170" fontId="52" fillId="4" borderId="25" xfId="2" applyNumberFormat="1" applyFont="1" applyFill="1" applyBorder="1"/>
    <xf numFmtId="170" fontId="33" fillId="2" borderId="0" xfId="2" applyNumberFormat="1" applyFont="1" applyFill="1"/>
    <xf numFmtId="10" fontId="10" fillId="2" borderId="0" xfId="8" applyNumberFormat="1" applyFont="1" applyFill="1"/>
    <xf numFmtId="173" fontId="30" fillId="4" borderId="6" xfId="2" quotePrefix="1" applyNumberFormat="1" applyFont="1" applyFill="1" applyBorder="1" applyAlignment="1">
      <alignment horizontal="center"/>
    </xf>
    <xf numFmtId="165" fontId="10" fillId="2" borderId="0" xfId="2" applyFont="1" applyFill="1" applyBorder="1" applyAlignment="1"/>
    <xf numFmtId="165" fontId="11" fillId="2" borderId="0" xfId="2" applyFont="1" applyFill="1" applyBorder="1" applyAlignment="1"/>
    <xf numFmtId="165" fontId="11" fillId="2" borderId="59" xfId="2" applyFont="1" applyFill="1" applyBorder="1" applyAlignment="1"/>
    <xf numFmtId="164" fontId="33" fillId="2" borderId="0" xfId="7" applyNumberFormat="1" applyFont="1" applyFill="1"/>
    <xf numFmtId="164" fontId="30" fillId="2" borderId="0" xfId="7" applyNumberFormat="1" applyFont="1" applyFill="1"/>
    <xf numFmtId="0" fontId="74" fillId="2" borderId="0" xfId="6" applyFont="1" applyFill="1"/>
    <xf numFmtId="0" fontId="49" fillId="2" borderId="0" xfId="6" applyFill="1"/>
    <xf numFmtId="0" fontId="75" fillId="2" borderId="0" xfId="6" applyFont="1" applyFill="1"/>
    <xf numFmtId="14" fontId="44" fillId="2" borderId="0" xfId="6" applyNumberFormat="1" applyFont="1" applyFill="1" applyAlignment="1">
      <alignment horizontal="right"/>
    </xf>
    <xf numFmtId="0" fontId="78" fillId="2" borderId="0" xfId="6" applyFont="1" applyFill="1"/>
    <xf numFmtId="0" fontId="79" fillId="2" borderId="0" xfId="6" applyFont="1" applyFill="1"/>
    <xf numFmtId="0" fontId="80" fillId="2" borderId="0" xfId="6" applyFont="1" applyFill="1"/>
    <xf numFmtId="0" fontId="25" fillId="2" borderId="0" xfId="5" applyFont="1" applyFill="1" applyAlignment="1">
      <alignment horizontal="right"/>
    </xf>
    <xf numFmtId="14" fontId="79" fillId="2" borderId="0" xfId="6" applyNumberFormat="1" applyFont="1" applyFill="1" applyAlignment="1">
      <alignment horizontal="left"/>
    </xf>
    <xf numFmtId="0" fontId="79" fillId="2" borderId="30" xfId="6" applyFont="1" applyFill="1" applyBorder="1" applyAlignment="1">
      <alignment horizontal="center"/>
    </xf>
    <xf numFmtId="0" fontId="79" fillId="2" borderId="33" xfId="6" applyFont="1" applyFill="1" applyBorder="1" applyAlignment="1">
      <alignment horizontal="center"/>
    </xf>
    <xf numFmtId="0" fontId="81" fillId="2" borderId="35" xfId="6" applyFont="1" applyFill="1" applyBorder="1" applyAlignment="1">
      <alignment horizontal="center"/>
    </xf>
    <xf numFmtId="0" fontId="79" fillId="2" borderId="35" xfId="6" applyFont="1" applyFill="1" applyBorder="1" applyAlignment="1">
      <alignment horizontal="center"/>
    </xf>
    <xf numFmtId="164" fontId="34" fillId="2" borderId="0" xfId="7" applyNumberFormat="1" applyFont="1" applyFill="1"/>
    <xf numFmtId="165" fontId="45" fillId="4" borderId="33" xfId="2" applyFont="1" applyFill="1" applyBorder="1"/>
    <xf numFmtId="166" fontId="11" fillId="4" borderId="25" xfId="0" applyNumberFormat="1" applyFont="1" applyFill="1" applyBorder="1" applyAlignment="1">
      <alignment horizontal="right"/>
    </xf>
    <xf numFmtId="1" fontId="0" fillId="2" borderId="41" xfId="0" quotePrefix="1" applyNumberFormat="1" applyFill="1" applyBorder="1"/>
    <xf numFmtId="165" fontId="10" fillId="2" borderId="41" xfId="2" applyFont="1" applyFill="1" applyBorder="1" applyAlignment="1"/>
    <xf numFmtId="165" fontId="14" fillId="2" borderId="41" xfId="2" applyFont="1" applyFill="1" applyBorder="1" applyAlignment="1"/>
    <xf numFmtId="165" fontId="10" fillId="6" borderId="6" xfId="2" applyFont="1" applyFill="1" applyBorder="1" applyAlignment="1"/>
    <xf numFmtId="165" fontId="11" fillId="6" borderId="6" xfId="2" applyFont="1" applyFill="1" applyBorder="1" applyAlignment="1"/>
    <xf numFmtId="165" fontId="11" fillId="6" borderId="11" xfId="2" applyFont="1" applyFill="1" applyBorder="1" applyAlignment="1"/>
    <xf numFmtId="165" fontId="19" fillId="2" borderId="11" xfId="2" applyFont="1" applyFill="1" applyBorder="1" applyAlignment="1"/>
    <xf numFmtId="165" fontId="10" fillId="2" borderId="59" xfId="2" applyFont="1" applyFill="1" applyBorder="1" applyAlignment="1"/>
    <xf numFmtId="165" fontId="10" fillId="2" borderId="16" xfId="2" applyFont="1" applyFill="1" applyBorder="1" applyAlignment="1"/>
    <xf numFmtId="165" fontId="10" fillId="6" borderId="67" xfId="2" applyFont="1" applyFill="1" applyBorder="1" applyAlignment="1"/>
    <xf numFmtId="165" fontId="11" fillId="2" borderId="11" xfId="2" applyFont="1" applyFill="1" applyBorder="1" applyAlignment="1"/>
    <xf numFmtId="165" fontId="11" fillId="6" borderId="1" xfId="2" applyFont="1" applyFill="1" applyBorder="1" applyAlignment="1"/>
    <xf numFmtId="165" fontId="10" fillId="2" borderId="57" xfId="2" applyFont="1" applyFill="1" applyBorder="1" applyAlignment="1"/>
    <xf numFmtId="165" fontId="10" fillId="2" borderId="1" xfId="2" applyFont="1" applyFill="1" applyBorder="1" applyAlignment="1"/>
    <xf numFmtId="165" fontId="11" fillId="2" borderId="68" xfId="2" applyFont="1" applyFill="1" applyBorder="1" applyAlignment="1"/>
    <xf numFmtId="165" fontId="14" fillId="2" borderId="57" xfId="2" applyFont="1" applyFill="1" applyBorder="1" applyAlignment="1"/>
    <xf numFmtId="165" fontId="10" fillId="2" borderId="11" xfId="2" applyFont="1" applyFill="1" applyBorder="1" applyAlignment="1"/>
    <xf numFmtId="165" fontId="11" fillId="2" borderId="1" xfId="2" applyFont="1" applyFill="1" applyBorder="1" applyAlignment="1"/>
    <xf numFmtId="165" fontId="19" fillId="2" borderId="58" xfId="2" applyFont="1" applyFill="1" applyBorder="1" applyAlignment="1"/>
    <xf numFmtId="165" fontId="19" fillId="2" borderId="16" xfId="2" applyFont="1" applyFill="1" applyBorder="1" applyAlignment="1"/>
    <xf numFmtId="165" fontId="19" fillId="2" borderId="5" xfId="2" applyFont="1" applyFill="1" applyBorder="1" applyAlignment="1"/>
    <xf numFmtId="165" fontId="19" fillId="2" borderId="0" xfId="2" applyFont="1" applyFill="1" applyBorder="1" applyAlignment="1"/>
    <xf numFmtId="165" fontId="19" fillId="2" borderId="3" xfId="2" applyFont="1" applyFill="1" applyBorder="1" applyAlignment="1"/>
    <xf numFmtId="165" fontId="19" fillId="2" borderId="1" xfId="2" applyFont="1" applyFill="1" applyBorder="1" applyAlignment="1"/>
    <xf numFmtId="165" fontId="19" fillId="2" borderId="59" xfId="2" applyFont="1" applyFill="1" applyBorder="1" applyAlignment="1"/>
    <xf numFmtId="165" fontId="24" fillId="2" borderId="0" xfId="2" applyFont="1" applyFill="1" applyAlignment="1">
      <alignment horizontal="center"/>
    </xf>
    <xf numFmtId="165" fontId="11" fillId="2" borderId="0" xfId="2" applyFont="1" applyFill="1" applyBorder="1" applyAlignment="1">
      <alignment horizontal="center"/>
    </xf>
    <xf numFmtId="165" fontId="20" fillId="2" borderId="58" xfId="2" applyFont="1" applyFill="1" applyBorder="1" applyAlignment="1"/>
    <xf numFmtId="165" fontId="21" fillId="2" borderId="3" xfId="2" applyFont="1" applyFill="1" applyBorder="1" applyAlignment="1"/>
    <xf numFmtId="165" fontId="21" fillId="2" borderId="55" xfId="2" applyFont="1" applyFill="1" applyBorder="1" applyAlignment="1"/>
    <xf numFmtId="165" fontId="20" fillId="2" borderId="69" xfId="2" applyFont="1" applyFill="1" applyBorder="1" applyAlignment="1"/>
    <xf numFmtId="165" fontId="20" fillId="2" borderId="6" xfId="2" applyFont="1" applyFill="1" applyBorder="1" applyAlignment="1">
      <alignment horizontal="justify"/>
    </xf>
    <xf numFmtId="165" fontId="21" fillId="2" borderId="11" xfId="2" applyFont="1" applyFill="1" applyBorder="1" applyAlignment="1">
      <alignment horizontal="justify"/>
    </xf>
    <xf numFmtId="165" fontId="10" fillId="2" borderId="6" xfId="2" applyFont="1" applyFill="1" applyBorder="1" applyAlignment="1"/>
    <xf numFmtId="165" fontId="10" fillId="2" borderId="0" xfId="2" applyFont="1" applyFill="1" applyAlignment="1"/>
    <xf numFmtId="165" fontId="26" fillId="2" borderId="0" xfId="2" applyFont="1" applyFill="1"/>
    <xf numFmtId="165" fontId="11" fillId="2" borderId="0" xfId="2" applyFont="1" applyFill="1" applyAlignment="1"/>
    <xf numFmtId="4" fontId="11" fillId="2" borderId="6" xfId="0" applyNumberFormat="1" applyFont="1" applyFill="1" applyBorder="1" applyAlignment="1">
      <alignment horizontal="center" vertical="center"/>
    </xf>
    <xf numFmtId="0" fontId="11" fillId="2" borderId="0" xfId="0" quotePrefix="1" applyFont="1" applyFill="1"/>
    <xf numFmtId="165" fontId="17" fillId="2" borderId="58" xfId="2" applyFont="1" applyFill="1" applyBorder="1" applyAlignment="1"/>
    <xf numFmtId="165" fontId="17" fillId="2" borderId="1" xfId="2" applyFont="1" applyFill="1" applyBorder="1" applyAlignment="1"/>
    <xf numFmtId="165" fontId="17" fillId="2" borderId="11" xfId="2" applyFont="1" applyFill="1" applyBorder="1" applyAlignment="1"/>
    <xf numFmtId="165" fontId="17" fillId="2" borderId="31" xfId="2" applyFont="1" applyFill="1" applyBorder="1" applyAlignment="1"/>
    <xf numFmtId="165" fontId="17" fillId="2" borderId="14" xfId="2" applyFont="1" applyFill="1" applyBorder="1" applyAlignment="1"/>
    <xf numFmtId="165" fontId="17" fillId="2" borderId="69" xfId="2" applyFont="1" applyFill="1" applyBorder="1" applyAlignment="1"/>
    <xf numFmtId="165" fontId="21" fillId="2" borderId="41" xfId="2" applyFont="1" applyFill="1" applyBorder="1" applyAlignment="1"/>
    <xf numFmtId="0" fontId="38" fillId="2" borderId="41" xfId="7" applyFont="1" applyFill="1" applyBorder="1"/>
    <xf numFmtId="165" fontId="33" fillId="7" borderId="25" xfId="2" applyFont="1" applyFill="1" applyBorder="1"/>
    <xf numFmtId="165" fontId="33" fillId="7" borderId="23" xfId="2" applyFont="1" applyFill="1" applyBorder="1"/>
    <xf numFmtId="165" fontId="32" fillId="7" borderId="25" xfId="2" applyFont="1" applyFill="1" applyBorder="1"/>
    <xf numFmtId="165" fontId="32" fillId="7" borderId="41" xfId="2" applyFont="1" applyFill="1" applyBorder="1"/>
    <xf numFmtId="165" fontId="32" fillId="7" borderId="6" xfId="2" applyFont="1" applyFill="1" applyBorder="1"/>
    <xf numFmtId="165" fontId="52" fillId="2" borderId="0" xfId="2" applyFont="1" applyFill="1"/>
    <xf numFmtId="0" fontId="75" fillId="2" borderId="0" xfId="7" applyFont="1" applyFill="1" applyAlignment="1">
      <alignment horizontal="right"/>
    </xf>
    <xf numFmtId="0" fontId="72" fillId="2" borderId="0" xfId="0" applyFont="1" applyFill="1"/>
    <xf numFmtId="165" fontId="0" fillId="8" borderId="0" xfId="0" applyNumberFormat="1" applyFill="1"/>
    <xf numFmtId="0" fontId="82" fillId="2" borderId="0" xfId="7" applyFont="1" applyFill="1"/>
    <xf numFmtId="164" fontId="33" fillId="8" borderId="0" xfId="7" applyNumberFormat="1" applyFont="1" applyFill="1"/>
    <xf numFmtId="165" fontId="33" fillId="8" borderId="0" xfId="2" applyFont="1" applyFill="1"/>
    <xf numFmtId="165" fontId="33" fillId="8" borderId="0" xfId="7" applyNumberFormat="1" applyFont="1" applyFill="1"/>
    <xf numFmtId="165" fontId="49" fillId="2" borderId="0" xfId="2" applyFont="1" applyFill="1"/>
    <xf numFmtId="170" fontId="49" fillId="8" borderId="0" xfId="7" applyNumberFormat="1" applyFont="1" applyFill="1"/>
    <xf numFmtId="164" fontId="0" fillId="8" borderId="0" xfId="0" applyNumberFormat="1" applyFill="1"/>
    <xf numFmtId="0" fontId="0" fillId="7" borderId="0" xfId="0" applyFill="1"/>
    <xf numFmtId="0" fontId="84" fillId="0" borderId="0" xfId="0" applyFont="1" applyAlignment="1">
      <alignment horizontal="center"/>
    </xf>
    <xf numFmtId="0" fontId="9" fillId="7" borderId="0" xfId="0" applyFont="1" applyFill="1"/>
    <xf numFmtId="0" fontId="9" fillId="7" borderId="0" xfId="0" applyFont="1" applyFill="1" applyAlignment="1">
      <alignment horizontal="center"/>
    </xf>
    <xf numFmtId="0" fontId="25" fillId="7" borderId="0" xfId="0" applyFont="1" applyFill="1"/>
    <xf numFmtId="0" fontId="70" fillId="7" borderId="3" xfId="0" applyFont="1" applyFill="1" applyBorder="1"/>
    <xf numFmtId="0" fontId="23" fillId="2" borderId="0" xfId="0" applyFont="1" applyFill="1" applyAlignment="1">
      <alignment wrapText="1"/>
    </xf>
    <xf numFmtId="0" fontId="48" fillId="2" borderId="0" xfId="0" applyFont="1" applyFill="1" applyAlignment="1">
      <alignment wrapText="1"/>
    </xf>
    <xf numFmtId="165" fontId="48" fillId="2" borderId="0" xfId="2" applyFont="1" applyFill="1" applyAlignment="1">
      <alignment wrapText="1"/>
    </xf>
    <xf numFmtId="165" fontId="11" fillId="7" borderId="41" xfId="2" applyFont="1" applyFill="1" applyBorder="1" applyAlignment="1"/>
    <xf numFmtId="0" fontId="34" fillId="2" borderId="0" xfId="0" applyFont="1" applyFill="1"/>
    <xf numFmtId="0" fontId="9" fillId="7" borderId="0" xfId="0" applyFont="1" applyFill="1" applyAlignment="1">
      <alignment horizontal="left" indent="2"/>
    </xf>
    <xf numFmtId="0" fontId="9" fillId="7" borderId="0" xfId="0" applyFont="1" applyFill="1" applyAlignment="1">
      <alignment horizontal="left" indent="5"/>
    </xf>
    <xf numFmtId="14" fontId="9" fillId="7" borderId="0" xfId="0" applyNumberFormat="1" applyFont="1" applyFill="1" applyAlignment="1">
      <alignment horizontal="left" indent="5"/>
    </xf>
    <xf numFmtId="0" fontId="0" fillId="7" borderId="0" xfId="0" applyFill="1" applyAlignment="1">
      <alignment horizontal="center"/>
    </xf>
    <xf numFmtId="0" fontId="9" fillId="7" borderId="0" xfId="0" applyFont="1" applyFill="1" applyAlignment="1">
      <alignment horizontal="left" indent="8"/>
    </xf>
    <xf numFmtId="0" fontId="9" fillId="7" borderId="0" xfId="0" applyFont="1" applyFill="1" applyAlignment="1">
      <alignment horizontal="left" indent="10"/>
    </xf>
    <xf numFmtId="0" fontId="9" fillId="7" borderId="0" xfId="0" applyFont="1" applyFill="1" applyAlignment="1">
      <alignment horizontal="left" indent="13"/>
    </xf>
    <xf numFmtId="0" fontId="9" fillId="7" borderId="0" xfId="0" applyFont="1" applyFill="1" applyAlignment="1">
      <alignment horizontal="left" indent="15"/>
    </xf>
    <xf numFmtId="175" fontId="0" fillId="7" borderId="0" xfId="0" applyNumberFormat="1" applyFill="1"/>
    <xf numFmtId="165" fontId="13" fillId="2" borderId="5" xfId="2" applyFont="1" applyFill="1" applyBorder="1" applyAlignment="1">
      <alignment horizontal="justify"/>
    </xf>
    <xf numFmtId="165" fontId="13" fillId="2" borderId="6" xfId="2" applyFont="1" applyFill="1" applyBorder="1" applyAlignment="1">
      <alignment horizontal="justify"/>
    </xf>
    <xf numFmtId="165" fontId="13" fillId="2" borderId="7" xfId="2" applyFont="1" applyFill="1" applyBorder="1" applyAlignment="1">
      <alignment horizontal="justify"/>
    </xf>
    <xf numFmtId="165" fontId="13" fillId="2" borderId="9" xfId="2" applyFont="1" applyFill="1" applyBorder="1" applyAlignment="1">
      <alignment horizontal="justify"/>
    </xf>
    <xf numFmtId="165" fontId="20" fillId="2" borderId="9" xfId="2" applyFont="1" applyFill="1" applyBorder="1" applyAlignment="1">
      <alignment horizontal="justify"/>
    </xf>
    <xf numFmtId="166" fontId="10" fillId="2" borderId="0" xfId="0" applyNumberFormat="1" applyFont="1" applyFill="1" applyAlignment="1">
      <alignment horizontal="left"/>
    </xf>
    <xf numFmtId="4" fontId="20" fillId="2" borderId="72" xfId="0" applyNumberFormat="1" applyFont="1" applyFill="1" applyBorder="1" applyAlignment="1">
      <alignment horizontal="centerContinuous"/>
    </xf>
    <xf numFmtId="0" fontId="20" fillId="2" borderId="8" xfId="0" applyFont="1" applyFill="1" applyBorder="1" applyAlignment="1">
      <alignment horizontal="center" vertical="center" wrapText="1"/>
    </xf>
    <xf numFmtId="0" fontId="20" fillId="2" borderId="9" xfId="0" quotePrefix="1" applyFont="1" applyFill="1" applyBorder="1" applyAlignment="1">
      <alignment horizontal="center" vertical="center" wrapText="1"/>
    </xf>
    <xf numFmtId="0" fontId="21" fillId="2" borderId="73" xfId="0" applyFont="1" applyFill="1" applyBorder="1"/>
    <xf numFmtId="0" fontId="21" fillId="2" borderId="74" xfId="0" applyFont="1" applyFill="1" applyBorder="1"/>
    <xf numFmtId="0" fontId="20" fillId="2" borderId="11" xfId="0" applyFont="1" applyFill="1" applyBorder="1" applyAlignment="1">
      <alignment horizontal="center"/>
    </xf>
    <xf numFmtId="0" fontId="20" fillId="2" borderId="53"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2" fillId="2" borderId="24" xfId="0" applyFont="1" applyFill="1" applyBorder="1"/>
    <xf numFmtId="0" fontId="21" fillId="2" borderId="26" xfId="0" applyFont="1" applyFill="1" applyBorder="1"/>
    <xf numFmtId="0" fontId="21" fillId="2" borderId="20" xfId="0" applyFont="1" applyFill="1" applyBorder="1" applyAlignment="1">
      <alignment horizontal="center"/>
    </xf>
    <xf numFmtId="0" fontId="21" fillId="2" borderId="38" xfId="0" quotePrefix="1" applyFont="1" applyFill="1" applyBorder="1" applyAlignment="1">
      <alignment horizontal="center" vertical="center" wrapText="1"/>
    </xf>
    <xf numFmtId="0" fontId="21" fillId="2" borderId="38" xfId="0" applyFont="1" applyFill="1" applyBorder="1" applyAlignment="1">
      <alignment horizontal="center" vertical="center" wrapText="1"/>
    </xf>
    <xf numFmtId="14" fontId="20" fillId="2" borderId="75" xfId="0" applyNumberFormat="1" applyFont="1" applyFill="1" applyBorder="1" applyAlignment="1">
      <alignment horizontal="center"/>
    </xf>
    <xf numFmtId="165" fontId="13" fillId="2" borderId="76" xfId="2" applyFont="1" applyFill="1" applyBorder="1" applyAlignment="1">
      <alignment horizontal="justify"/>
    </xf>
    <xf numFmtId="165" fontId="21" fillId="2" borderId="75" xfId="2" applyFont="1" applyFill="1" applyBorder="1" applyAlignment="1"/>
    <xf numFmtId="165" fontId="13" fillId="2" borderId="38" xfId="2" applyFont="1" applyFill="1" applyBorder="1" applyAlignment="1">
      <alignment horizontal="justify"/>
    </xf>
    <xf numFmtId="165" fontId="20" fillId="2" borderId="31" xfId="2" applyFont="1" applyFill="1" applyBorder="1" applyAlignment="1"/>
    <xf numFmtId="165" fontId="20" fillId="2" borderId="38" xfId="2" applyFont="1" applyFill="1" applyBorder="1" applyAlignment="1">
      <alignment horizontal="justify"/>
    </xf>
    <xf numFmtId="4" fontId="20" fillId="2" borderId="19" xfId="0" applyNumberFormat="1" applyFont="1" applyFill="1" applyBorder="1" applyAlignment="1">
      <alignment horizontal="centerContinuous" vertical="center" wrapText="1"/>
    </xf>
    <xf numFmtId="0" fontId="21" fillId="2" borderId="54" xfId="0" applyFont="1" applyFill="1" applyBorder="1"/>
    <xf numFmtId="4" fontId="21" fillId="2" borderId="4" xfId="0" quotePrefix="1" applyNumberFormat="1" applyFont="1" applyFill="1" applyBorder="1" applyAlignment="1">
      <alignment horizontal="center" vertical="center" wrapText="1"/>
    </xf>
    <xf numFmtId="4" fontId="21" fillId="2" borderId="8" xfId="0" quotePrefix="1" applyNumberFormat="1" applyFont="1" applyFill="1" applyBorder="1" applyAlignment="1">
      <alignment horizontal="center" vertical="center" wrapText="1"/>
    </xf>
    <xf numFmtId="0" fontId="22" fillId="2" borderId="8" xfId="0" applyFont="1" applyFill="1" applyBorder="1"/>
    <xf numFmtId="1" fontId="20" fillId="2" borderId="77" xfId="0" applyNumberFormat="1" applyFont="1" applyFill="1" applyBorder="1" applyAlignment="1">
      <alignment horizontal="center"/>
    </xf>
    <xf numFmtId="0" fontId="20" fillId="2" borderId="55" xfId="0" quotePrefix="1" applyFont="1" applyFill="1" applyBorder="1" applyAlignment="1">
      <alignment horizontal="center"/>
    </xf>
    <xf numFmtId="165" fontId="13" fillId="2" borderId="4" xfId="2" applyFont="1" applyFill="1" applyBorder="1" applyAlignment="1">
      <alignment horizontal="justify"/>
    </xf>
    <xf numFmtId="165" fontId="21" fillId="2" borderId="77" xfId="2" applyFont="1" applyFill="1" applyBorder="1" applyAlignment="1"/>
    <xf numFmtId="165" fontId="21" fillId="2" borderId="78" xfId="2" applyFont="1" applyFill="1" applyBorder="1" applyAlignment="1"/>
    <xf numFmtId="165" fontId="21" fillId="2" borderId="37" xfId="2" applyFont="1" applyFill="1" applyBorder="1" applyAlignment="1"/>
    <xf numFmtId="165" fontId="13" fillId="2" borderId="8" xfId="2" applyFont="1" applyFill="1" applyBorder="1" applyAlignment="1">
      <alignment horizontal="justify"/>
    </xf>
    <xf numFmtId="165" fontId="20" fillId="2" borderId="37" xfId="2" applyFont="1" applyFill="1" applyBorder="1" applyAlignment="1"/>
    <xf numFmtId="165" fontId="20" fillId="2" borderId="8" xfId="2" applyFont="1" applyFill="1" applyBorder="1" applyAlignment="1">
      <alignment horizontal="justify"/>
    </xf>
    <xf numFmtId="0" fontId="21" fillId="2" borderId="53" xfId="0" applyFont="1" applyFill="1" applyBorder="1"/>
    <xf numFmtId="0" fontId="20" fillId="2" borderId="79" xfId="0" quotePrefix="1" applyFont="1" applyFill="1" applyBorder="1" applyAlignment="1">
      <alignment horizontal="left"/>
    </xf>
    <xf numFmtId="0" fontId="20" fillId="2" borderId="24" xfId="0" applyFont="1" applyFill="1" applyBorder="1"/>
    <xf numFmtId="0" fontId="21" fillId="2" borderId="44" xfId="0" applyFont="1" applyFill="1" applyBorder="1"/>
    <xf numFmtId="0" fontId="21" fillId="2" borderId="21" xfId="0" applyFont="1" applyFill="1" applyBorder="1"/>
    <xf numFmtId="0" fontId="21" fillId="2" borderId="21" xfId="0" quotePrefix="1" applyFont="1" applyFill="1" applyBorder="1" applyAlignment="1">
      <alignment horizontal="left" vertical="top" wrapText="1"/>
    </xf>
    <xf numFmtId="0" fontId="20" fillId="2" borderId="80" xfId="0" quotePrefix="1" applyFont="1" applyFill="1" applyBorder="1" applyAlignment="1">
      <alignment horizontal="right"/>
    </xf>
    <xf numFmtId="0" fontId="20" fillId="2" borderId="79" xfId="0" applyFont="1" applyFill="1" applyBorder="1"/>
    <xf numFmtId="0" fontId="20" fillId="2" borderId="60" xfId="0" applyFont="1" applyFill="1" applyBorder="1"/>
    <xf numFmtId="0" fontId="20" fillId="2" borderId="38" xfId="0" quotePrefix="1" applyFont="1" applyFill="1" applyBorder="1" applyAlignment="1">
      <alignment horizontal="center" vertical="center" wrapText="1"/>
    </xf>
    <xf numFmtId="165" fontId="21" fillId="2" borderId="81" xfId="2" applyFont="1" applyFill="1" applyBorder="1" applyAlignment="1">
      <alignment horizontal="left"/>
    </xf>
    <xf numFmtId="4" fontId="20" fillId="2" borderId="82" xfId="0" applyNumberFormat="1" applyFont="1" applyFill="1" applyBorder="1" applyAlignment="1">
      <alignment horizontal="centerContinuous"/>
    </xf>
    <xf numFmtId="4" fontId="20" fillId="2" borderId="4" xfId="0" quotePrefix="1" applyNumberFormat="1" applyFont="1" applyFill="1" applyBorder="1" applyAlignment="1">
      <alignment horizontal="center" vertical="center" wrapText="1"/>
    </xf>
    <xf numFmtId="0" fontId="20" fillId="2" borderId="55" xfId="0" applyFont="1" applyFill="1" applyBorder="1" applyAlignment="1">
      <alignment horizontal="center"/>
    </xf>
    <xf numFmtId="165" fontId="21" fillId="2" borderId="10" xfId="2" applyFont="1" applyFill="1" applyBorder="1" applyAlignment="1"/>
    <xf numFmtId="165" fontId="21" fillId="2" borderId="10" xfId="2" applyFont="1" applyFill="1" applyBorder="1" applyAlignment="1">
      <alignment horizontal="justify"/>
    </xf>
    <xf numFmtId="0" fontId="20" fillId="2" borderId="61" xfId="0" applyFont="1" applyFill="1" applyBorder="1"/>
    <xf numFmtId="0" fontId="20" fillId="2" borderId="60" xfId="0" applyFont="1" applyFill="1" applyBorder="1" applyAlignment="1">
      <alignment horizontal="left"/>
    </xf>
    <xf numFmtId="165" fontId="21" fillId="2" borderId="37" xfId="2" applyFont="1" applyFill="1" applyBorder="1" applyAlignment="1">
      <alignment horizontal="justify"/>
    </xf>
    <xf numFmtId="14" fontId="0" fillId="7" borderId="0" xfId="0" applyNumberFormat="1" applyFill="1"/>
    <xf numFmtId="14" fontId="9" fillId="7" borderId="0" xfId="0" applyNumberFormat="1" applyFont="1" applyFill="1" applyAlignment="1">
      <alignment horizontal="left" indent="13"/>
    </xf>
    <xf numFmtId="0" fontId="11" fillId="7" borderId="25" xfId="0" applyFont="1" applyFill="1" applyBorder="1" applyAlignment="1">
      <alignment horizontal="left"/>
    </xf>
    <xf numFmtId="165" fontId="11" fillId="7" borderId="6" xfId="2" applyFont="1" applyFill="1" applyBorder="1" applyAlignment="1"/>
    <xf numFmtId="165" fontId="11" fillId="7" borderId="25" xfId="2" applyFont="1" applyFill="1" applyBorder="1"/>
    <xf numFmtId="0" fontId="34" fillId="2" borderId="6" xfId="0" applyFont="1" applyFill="1" applyBorder="1"/>
    <xf numFmtId="0" fontId="34" fillId="2" borderId="6" xfId="0" applyFont="1" applyFill="1" applyBorder="1" applyAlignment="1">
      <alignment vertical="center"/>
    </xf>
    <xf numFmtId="165" fontId="44" fillId="2" borderId="5" xfId="2" applyFont="1" applyFill="1" applyBorder="1"/>
    <xf numFmtId="4" fontId="33" fillId="2" borderId="3" xfId="7" applyNumberFormat="1" applyFont="1" applyFill="1" applyBorder="1"/>
    <xf numFmtId="165" fontId="30" fillId="2" borderId="41" xfId="2" applyFont="1" applyFill="1" applyBorder="1"/>
    <xf numFmtId="49" fontId="70" fillId="2" borderId="0" xfId="0" applyNumberFormat="1" applyFont="1" applyFill="1"/>
    <xf numFmtId="0" fontId="10" fillId="2" borderId="0" xfId="0" applyFont="1" applyFill="1" applyAlignment="1">
      <alignment horizontal="left"/>
    </xf>
    <xf numFmtId="14" fontId="19" fillId="2" borderId="0" xfId="0" applyNumberFormat="1" applyFont="1" applyFill="1" applyAlignment="1">
      <alignment horizontal="left"/>
    </xf>
    <xf numFmtId="0" fontId="34" fillId="2" borderId="28" xfId="0" applyFont="1" applyFill="1" applyBorder="1" applyAlignment="1">
      <alignment horizontal="center"/>
    </xf>
    <xf numFmtId="0" fontId="33" fillId="4" borderId="41" xfId="7" applyFont="1" applyFill="1" applyBorder="1" applyAlignment="1">
      <alignment vertical="center"/>
    </xf>
    <xf numFmtId="0" fontId="33" fillId="4" borderId="42" xfId="7" applyFont="1" applyFill="1" applyBorder="1" applyAlignment="1">
      <alignment vertical="center" wrapText="1"/>
    </xf>
    <xf numFmtId="170" fontId="33" fillId="4" borderId="42" xfId="2" applyNumberFormat="1" applyFont="1" applyFill="1" applyBorder="1" applyAlignment="1">
      <alignment vertical="center"/>
    </xf>
    <xf numFmtId="165" fontId="33" fillId="4" borderId="42" xfId="2" applyFont="1" applyFill="1" applyBorder="1" applyAlignment="1">
      <alignment vertical="center"/>
    </xf>
    <xf numFmtId="14" fontId="33" fillId="2" borderId="0" xfId="0" applyNumberFormat="1" applyFont="1" applyFill="1"/>
    <xf numFmtId="0" fontId="33" fillId="2" borderId="0" xfId="0" applyFont="1" applyFill="1"/>
    <xf numFmtId="0" fontId="34" fillId="2" borderId="3" xfId="0" applyFont="1" applyFill="1" applyBorder="1" applyAlignment="1">
      <alignment horizontal="center"/>
    </xf>
    <xf numFmtId="0" fontId="34" fillId="2" borderId="3" xfId="0" applyFont="1" applyFill="1" applyBorder="1"/>
    <xf numFmtId="0" fontId="34" fillId="2" borderId="25" xfId="0" applyFont="1" applyFill="1" applyBorder="1"/>
    <xf numFmtId="17" fontId="34" fillId="2" borderId="25" xfId="0" quotePrefix="1" applyNumberFormat="1" applyFont="1" applyFill="1" applyBorder="1" applyAlignment="1">
      <alignment horizontal="center"/>
    </xf>
    <xf numFmtId="165" fontId="34" fillId="2" borderId="25" xfId="2" applyFont="1" applyFill="1" applyBorder="1"/>
    <xf numFmtId="4" fontId="34" fillId="2" borderId="25" xfId="0" applyNumberFormat="1" applyFont="1" applyFill="1" applyBorder="1"/>
    <xf numFmtId="0" fontId="34" fillId="2" borderId="25" xfId="0" applyFont="1" applyFill="1" applyBorder="1" applyAlignment="1">
      <alignment horizontal="center"/>
    </xf>
    <xf numFmtId="9" fontId="34" fillId="2" borderId="25" xfId="8" applyFont="1" applyFill="1" applyBorder="1" applyAlignment="1">
      <alignment horizontal="center"/>
    </xf>
    <xf numFmtId="0" fontId="9" fillId="7" borderId="0" xfId="0" applyFont="1" applyFill="1" applyAlignment="1">
      <alignment horizontal="left"/>
    </xf>
    <xf numFmtId="178" fontId="30" fillId="2" borderId="45" xfId="2" applyNumberFormat="1" applyFont="1" applyFill="1" applyBorder="1"/>
    <xf numFmtId="177" fontId="30" fillId="4" borderId="6" xfId="2" applyNumberFormat="1" applyFont="1" applyFill="1" applyBorder="1"/>
    <xf numFmtId="177" fontId="27" fillId="4" borderId="6" xfId="2" applyNumberFormat="1" applyFont="1" applyFill="1" applyBorder="1"/>
    <xf numFmtId="0" fontId="49" fillId="2" borderId="5" xfId="7" applyFont="1" applyFill="1" applyBorder="1" applyAlignment="1">
      <alignment horizontal="center" vertical="center"/>
    </xf>
    <xf numFmtId="0" fontId="49" fillId="2" borderId="23" xfId="7" applyFont="1" applyFill="1" applyBorder="1" applyAlignment="1">
      <alignment horizontal="center" vertical="center"/>
    </xf>
    <xf numFmtId="0" fontId="49" fillId="2" borderId="44" xfId="7" applyFont="1" applyFill="1" applyBorder="1" applyAlignment="1">
      <alignment horizontal="center" vertical="center"/>
    </xf>
    <xf numFmtId="0" fontId="49" fillId="2" borderId="36" xfId="7" applyFont="1" applyFill="1" applyBorder="1" applyAlignment="1">
      <alignment horizontal="center" vertical="center"/>
    </xf>
    <xf numFmtId="0" fontId="49" fillId="2" borderId="42" xfId="7" applyFont="1" applyFill="1" applyBorder="1" applyAlignment="1">
      <alignment horizontal="center" vertical="center"/>
    </xf>
    <xf numFmtId="0" fontId="49" fillId="2" borderId="6" xfId="7" applyFont="1" applyFill="1" applyBorder="1" applyAlignment="1">
      <alignment horizontal="center" vertical="center"/>
    </xf>
    <xf numFmtId="0" fontId="49" fillId="2" borderId="25" xfId="7" applyFont="1" applyFill="1" applyBorder="1" applyAlignment="1">
      <alignment horizontal="center" vertical="center"/>
    </xf>
    <xf numFmtId="0" fontId="49" fillId="2" borderId="3" xfId="7" applyFont="1" applyFill="1" applyBorder="1" applyAlignment="1">
      <alignment horizontal="center" vertical="center"/>
    </xf>
    <xf numFmtId="0" fontId="49" fillId="2" borderId="28" xfId="7" applyFont="1" applyFill="1" applyBorder="1" applyAlignment="1">
      <alignment horizontal="center" vertical="center"/>
    </xf>
    <xf numFmtId="0" fontId="33" fillId="2" borderId="25" xfId="7" applyFont="1" applyFill="1" applyBorder="1" applyAlignment="1">
      <alignment horizontal="center" vertical="center"/>
    </xf>
    <xf numFmtId="0" fontId="33" fillId="4" borderId="42" xfId="7" quotePrefix="1" applyFont="1" applyFill="1" applyBorder="1" applyAlignment="1">
      <alignment vertical="center"/>
    </xf>
    <xf numFmtId="165" fontId="44" fillId="4" borderId="0" xfId="2" applyFont="1" applyFill="1" applyAlignment="1">
      <alignment horizontal="centerContinuous"/>
    </xf>
    <xf numFmtId="0" fontId="34" fillId="2" borderId="5" xfId="0" applyFont="1" applyFill="1" applyBorder="1" applyAlignment="1">
      <alignment horizontal="center" vertical="center" wrapText="1"/>
    </xf>
    <xf numFmtId="0" fontId="34" fillId="2" borderId="0" xfId="0" applyFont="1" applyFill="1" applyAlignment="1">
      <alignment horizontal="center" vertical="center" wrapText="1"/>
    </xf>
    <xf numFmtId="0" fontId="0" fillId="2" borderId="0" xfId="0" applyFill="1" applyAlignment="1">
      <alignment horizontal="center" vertical="center" wrapText="1"/>
    </xf>
    <xf numFmtId="17" fontId="34" fillId="2" borderId="0" xfId="0" quotePrefix="1" applyNumberFormat="1" applyFont="1" applyFill="1" applyAlignment="1">
      <alignment horizontal="center"/>
    </xf>
    <xf numFmtId="165" fontId="34" fillId="2" borderId="0" xfId="2" applyFont="1" applyFill="1" applyBorder="1"/>
    <xf numFmtId="4" fontId="34" fillId="2" borderId="0" xfId="0" applyNumberFormat="1" applyFont="1" applyFill="1"/>
    <xf numFmtId="9" fontId="34" fillId="2" borderId="0" xfId="8" applyFont="1" applyFill="1" applyBorder="1" applyAlignment="1">
      <alignment horizontal="center"/>
    </xf>
    <xf numFmtId="0" fontId="34" fillId="2" borderId="0" xfId="0" applyFont="1" applyFill="1" applyAlignment="1">
      <alignment horizontal="center"/>
    </xf>
    <xf numFmtId="17" fontId="34" fillId="2" borderId="28" xfId="0" quotePrefix="1" applyNumberFormat="1" applyFont="1" applyFill="1" applyBorder="1" applyAlignment="1">
      <alignment horizontal="center"/>
    </xf>
    <xf numFmtId="165" fontId="34" fillId="2" borderId="28" xfId="2" applyFont="1" applyFill="1" applyBorder="1"/>
    <xf numFmtId="4" fontId="34" fillId="2" borderId="28" xfId="0" applyNumberFormat="1" applyFont="1" applyFill="1" applyBorder="1"/>
    <xf numFmtId="9" fontId="34" fillId="2" borderId="28" xfId="8" applyFont="1" applyFill="1" applyBorder="1" applyAlignment="1">
      <alignment horizontal="center"/>
    </xf>
    <xf numFmtId="0" fontId="0" fillId="2" borderId="0" xfId="0" applyFill="1" applyAlignment="1">
      <alignment vertical="center"/>
    </xf>
    <xf numFmtId="0" fontId="9" fillId="2" borderId="0" xfId="0" applyFont="1" applyFill="1" applyAlignment="1">
      <alignment vertical="center"/>
    </xf>
    <xf numFmtId="165" fontId="33" fillId="2" borderId="0" xfId="2" applyFont="1" applyFill="1" applyAlignment="1">
      <alignment vertical="center"/>
    </xf>
    <xf numFmtId="14" fontId="33" fillId="2" borderId="0" xfId="0" applyNumberFormat="1" applyFont="1" applyFill="1" applyAlignment="1">
      <alignment vertical="center"/>
    </xf>
    <xf numFmtId="0" fontId="33" fillId="2" borderId="0" xfId="0" applyFont="1" applyFill="1" applyAlignment="1">
      <alignment vertical="center"/>
    </xf>
    <xf numFmtId="0" fontId="52" fillId="7" borderId="5" xfId="0" applyFont="1" applyFill="1" applyBorder="1"/>
    <xf numFmtId="0" fontId="52" fillId="7" borderId="23" xfId="0" applyFont="1" applyFill="1" applyBorder="1"/>
    <xf numFmtId="0" fontId="0" fillId="7" borderId="23" xfId="0" applyFill="1" applyBorder="1"/>
    <xf numFmtId="0" fontId="52" fillId="7" borderId="6" xfId="0" applyFont="1" applyFill="1" applyBorder="1"/>
    <xf numFmtId="0" fontId="52" fillId="7" borderId="25" xfId="0" applyFont="1" applyFill="1" applyBorder="1"/>
    <xf numFmtId="0" fontId="0" fillId="7" borderId="25" xfId="0" applyFill="1" applyBorder="1"/>
    <xf numFmtId="0" fontId="0" fillId="7" borderId="22" xfId="0" applyFill="1" applyBorder="1"/>
    <xf numFmtId="0" fontId="0" fillId="7" borderId="27" xfId="0" applyFill="1" applyBorder="1"/>
    <xf numFmtId="14" fontId="33" fillId="4" borderId="5" xfId="7" quotePrefix="1" applyNumberFormat="1" applyFont="1" applyFill="1" applyBorder="1" applyAlignment="1">
      <alignment horizontal="center"/>
    </xf>
    <xf numFmtId="0" fontId="33" fillId="4" borderId="23" xfId="7" quotePrefix="1" applyFont="1" applyFill="1" applyBorder="1" applyAlignment="1">
      <alignment horizontal="center"/>
    </xf>
    <xf numFmtId="14" fontId="70" fillId="2" borderId="0" xfId="0" applyNumberFormat="1" applyFont="1" applyFill="1"/>
    <xf numFmtId="14" fontId="70" fillId="7" borderId="3" xfId="0" quotePrefix="1" applyNumberFormat="1" applyFont="1" applyFill="1" applyBorder="1" applyAlignment="1">
      <alignment horizontal="center"/>
    </xf>
    <xf numFmtId="0" fontId="0" fillId="9" borderId="0" xfId="0" applyFill="1"/>
    <xf numFmtId="0" fontId="9" fillId="2" borderId="0" xfId="0" applyFont="1" applyFill="1"/>
    <xf numFmtId="0" fontId="9" fillId="7" borderId="22" xfId="0" applyFont="1" applyFill="1" applyBorder="1" applyAlignment="1">
      <alignment horizontal="left" indent="10"/>
    </xf>
    <xf numFmtId="0" fontId="9" fillId="7" borderId="27" xfId="0" applyFont="1" applyFill="1" applyBorder="1" applyAlignment="1">
      <alignment horizontal="left" indent="15"/>
    </xf>
    <xf numFmtId="0" fontId="0" fillId="7" borderId="28" xfId="0" applyFill="1" applyBorder="1"/>
    <xf numFmtId="0" fontId="9" fillId="7" borderId="22" xfId="0" applyFont="1" applyFill="1" applyBorder="1" applyAlignment="1">
      <alignment horizontal="left" indent="13"/>
    </xf>
    <xf numFmtId="0" fontId="9" fillId="7" borderId="27" xfId="0" applyFont="1" applyFill="1" applyBorder="1" applyAlignment="1">
      <alignment horizontal="left" indent="13"/>
    </xf>
    <xf numFmtId="14" fontId="11" fillId="7" borderId="0" xfId="0" applyNumberFormat="1" applyFont="1" applyFill="1" applyAlignment="1">
      <alignment horizontal="left"/>
    </xf>
    <xf numFmtId="14" fontId="33" fillId="7" borderId="0" xfId="0" applyNumberFormat="1" applyFont="1" applyFill="1" applyAlignment="1">
      <alignment horizontal="center" vertical="center"/>
    </xf>
    <xf numFmtId="49" fontId="32" fillId="7" borderId="0" xfId="0" applyNumberFormat="1" applyFont="1" applyFill="1" applyAlignment="1">
      <alignment horizontal="center" vertical="center"/>
    </xf>
    <xf numFmtId="0" fontId="34" fillId="2" borderId="6" xfId="0" applyFont="1" applyFill="1" applyBorder="1" applyAlignment="1">
      <alignment horizontal="center"/>
    </xf>
    <xf numFmtId="0" fontId="5" fillId="7" borderId="0" xfId="10" applyFill="1" applyAlignment="1">
      <alignment horizontal="center"/>
    </xf>
    <xf numFmtId="0" fontId="9" fillId="7" borderId="22" xfId="10" applyFont="1" applyFill="1" applyBorder="1" applyAlignment="1">
      <alignment horizontal="left" indent="13"/>
    </xf>
    <xf numFmtId="0" fontId="5" fillId="7" borderId="22" xfId="10" applyFill="1" applyBorder="1"/>
    <xf numFmtId="0" fontId="5" fillId="7" borderId="23" xfId="10" applyFill="1" applyBorder="1"/>
    <xf numFmtId="0" fontId="5" fillId="7" borderId="0" xfId="10" applyFill="1"/>
    <xf numFmtId="0" fontId="9" fillId="7" borderId="0" xfId="10" applyFont="1" applyFill="1" applyAlignment="1">
      <alignment horizontal="left" indent="13"/>
    </xf>
    <xf numFmtId="0" fontId="5" fillId="7" borderId="25" xfId="10" applyFill="1" applyBorder="1"/>
    <xf numFmtId="0" fontId="9" fillId="7" borderId="0" xfId="10" applyFont="1" applyFill="1" applyAlignment="1">
      <alignment horizontal="left" indent="10"/>
    </xf>
    <xf numFmtId="0" fontId="9" fillId="7" borderId="0" xfId="10" applyFont="1" applyFill="1" applyAlignment="1">
      <alignment horizontal="left" indent="15"/>
    </xf>
    <xf numFmtId="0" fontId="9" fillId="7" borderId="27" xfId="10" applyFont="1" applyFill="1" applyBorder="1" applyAlignment="1">
      <alignment horizontal="left" indent="13"/>
    </xf>
    <xf numFmtId="0" fontId="5" fillId="7" borderId="27" xfId="10" applyFill="1" applyBorder="1"/>
    <xf numFmtId="0" fontId="5" fillId="7" borderId="28" xfId="10" applyFill="1" applyBorder="1"/>
    <xf numFmtId="165" fontId="11" fillId="8" borderId="3" xfId="2" applyFont="1" applyFill="1" applyBorder="1" applyAlignment="1"/>
    <xf numFmtId="165" fontId="11" fillId="8" borderId="0" xfId="2" applyFont="1" applyFill="1" applyBorder="1" applyAlignment="1"/>
    <xf numFmtId="0" fontId="69" fillId="7" borderId="0" xfId="0" applyFont="1" applyFill="1" applyAlignment="1">
      <alignment horizontal="center"/>
    </xf>
    <xf numFmtId="0" fontId="86" fillId="7" borderId="0" xfId="0" applyFont="1" applyFill="1"/>
    <xf numFmtId="0" fontId="86" fillId="7" borderId="0" xfId="0" quotePrefix="1" applyFont="1" applyFill="1"/>
    <xf numFmtId="165" fontId="86" fillId="7" borderId="0" xfId="2" applyFont="1" applyFill="1"/>
    <xf numFmtId="0" fontId="86" fillId="7" borderId="0" xfId="0" applyFont="1" applyFill="1" applyAlignment="1">
      <alignment horizontal="center"/>
    </xf>
    <xf numFmtId="165" fontId="86" fillId="12" borderId="0" xfId="2" applyFont="1" applyFill="1"/>
    <xf numFmtId="10" fontId="86" fillId="12" borderId="0" xfId="0" applyNumberFormat="1" applyFont="1" applyFill="1" applyAlignment="1">
      <alignment horizontal="center"/>
    </xf>
    <xf numFmtId="0" fontId="86" fillId="12" borderId="0" xfId="0" quotePrefix="1" applyFont="1" applyFill="1"/>
    <xf numFmtId="0" fontId="79" fillId="2" borderId="39" xfId="6" applyFont="1" applyFill="1" applyBorder="1" applyAlignment="1">
      <alignment horizontal="justify" vertical="center" wrapText="1"/>
    </xf>
    <xf numFmtId="0" fontId="80" fillId="2" borderId="39" xfId="6" applyFont="1" applyFill="1" applyBorder="1" applyAlignment="1">
      <alignment horizontal="justify" vertical="center" wrapText="1"/>
    </xf>
    <xf numFmtId="0" fontId="43" fillId="2" borderId="0" xfId="7" applyFont="1" applyFill="1" applyAlignment="1">
      <alignment wrapText="1"/>
    </xf>
    <xf numFmtId="0" fontId="44" fillId="2" borderId="15" xfId="7" applyFont="1" applyFill="1" applyBorder="1"/>
    <xf numFmtId="0" fontId="43" fillId="2" borderId="16" xfId="7" applyFont="1" applyFill="1" applyBorder="1" applyAlignment="1">
      <alignment wrapText="1"/>
    </xf>
    <xf numFmtId="4" fontId="45" fillId="2" borderId="39" xfId="7" applyNumberFormat="1" applyFont="1" applyFill="1" applyBorder="1"/>
    <xf numFmtId="165" fontId="34" fillId="2" borderId="39" xfId="2" applyFont="1" applyFill="1" applyBorder="1"/>
    <xf numFmtId="4" fontId="34" fillId="2" borderId="39" xfId="7" applyNumberFormat="1" applyFont="1" applyFill="1" applyBorder="1"/>
    <xf numFmtId="0" fontId="34" fillId="2" borderId="27" xfId="7" applyFont="1" applyFill="1" applyBorder="1"/>
    <xf numFmtId="165" fontId="34" fillId="2" borderId="83" xfId="2" applyFont="1" applyFill="1" applyBorder="1"/>
    <xf numFmtId="4" fontId="34" fillId="2" borderId="83" xfId="7" applyNumberFormat="1" applyFont="1" applyFill="1" applyBorder="1"/>
    <xf numFmtId="165" fontId="34" fillId="4" borderId="83" xfId="2" applyFont="1" applyFill="1" applyBorder="1"/>
    <xf numFmtId="0" fontId="43" fillId="2" borderId="16" xfId="7" applyFont="1" applyFill="1" applyBorder="1" applyAlignment="1">
      <alignment horizontal="center" wrapText="1"/>
    </xf>
    <xf numFmtId="165" fontId="34" fillId="4" borderId="66" xfId="2" applyFont="1" applyFill="1" applyBorder="1"/>
    <xf numFmtId="0" fontId="45" fillId="2" borderId="36" xfId="7" applyFont="1" applyFill="1" applyBorder="1"/>
    <xf numFmtId="165" fontId="45" fillId="2" borderId="40" xfId="2" applyFont="1" applyFill="1" applyBorder="1"/>
    <xf numFmtId="4" fontId="34" fillId="2" borderId="36" xfId="7" applyNumberFormat="1" applyFont="1" applyFill="1" applyBorder="1"/>
    <xf numFmtId="0" fontId="33" fillId="2" borderId="19" xfId="7" applyFont="1" applyFill="1" applyBorder="1"/>
    <xf numFmtId="0" fontId="33" fillId="2" borderId="84" xfId="7" applyFont="1" applyFill="1" applyBorder="1"/>
    <xf numFmtId="0" fontId="44" fillId="2" borderId="85" xfId="7" applyFont="1" applyFill="1" applyBorder="1"/>
    <xf numFmtId="0" fontId="33" fillId="2" borderId="85" xfId="7" applyFont="1" applyFill="1" applyBorder="1"/>
    <xf numFmtId="0" fontId="44" fillId="2" borderId="84" xfId="7" applyFont="1" applyFill="1" applyBorder="1"/>
    <xf numFmtId="0" fontId="33" fillId="2" borderId="86" xfId="7" applyFont="1" applyFill="1" applyBorder="1"/>
    <xf numFmtId="0" fontId="33" fillId="2" borderId="87" xfId="7" applyFont="1" applyFill="1" applyBorder="1"/>
    <xf numFmtId="0" fontId="44" fillId="2" borderId="13" xfId="7" applyFont="1" applyFill="1" applyBorder="1"/>
    <xf numFmtId="0" fontId="74" fillId="5" borderId="20" xfId="6" applyFont="1" applyFill="1" applyBorder="1" applyAlignment="1">
      <alignment horizontal="center"/>
    </xf>
    <xf numFmtId="0" fontId="76" fillId="2" borderId="88" xfId="6" applyFont="1" applyFill="1" applyBorder="1" applyAlignment="1">
      <alignment horizontal="justify" vertical="center" wrapText="1"/>
    </xf>
    <xf numFmtId="0" fontId="76" fillId="2" borderId="88" xfId="6" applyFont="1" applyFill="1" applyBorder="1" applyAlignment="1">
      <alignment vertical="center" wrapText="1"/>
    </xf>
    <xf numFmtId="0" fontId="74" fillId="2" borderId="0" xfId="6" applyFont="1" applyFill="1" applyAlignment="1">
      <alignment wrapText="1"/>
    </xf>
    <xf numFmtId="0" fontId="75" fillId="2" borderId="0" xfId="6" applyFont="1" applyFill="1" applyAlignment="1">
      <alignment wrapText="1"/>
    </xf>
    <xf numFmtId="14" fontId="44" fillId="2" borderId="0" xfId="6" applyNumberFormat="1" applyFont="1" applyFill="1" applyAlignment="1">
      <alignment horizontal="right" wrapText="1"/>
    </xf>
    <xf numFmtId="0" fontId="74" fillId="5" borderId="39" xfId="6" applyFont="1" applyFill="1" applyBorder="1" applyAlignment="1">
      <alignment horizontal="center" wrapText="1"/>
    </xf>
    <xf numFmtId="0" fontId="49" fillId="2" borderId="0" xfId="6" applyFill="1" applyAlignment="1">
      <alignment wrapText="1"/>
    </xf>
    <xf numFmtId="0" fontId="0" fillId="8" borderId="0" xfId="0" applyFill="1"/>
    <xf numFmtId="0" fontId="9" fillId="8" borderId="0" xfId="0" applyFont="1" applyFill="1" applyAlignment="1">
      <alignment horizontal="left" indent="13"/>
    </xf>
    <xf numFmtId="0" fontId="88" fillId="10" borderId="30" xfId="6" applyFont="1" applyFill="1" applyBorder="1" applyAlignment="1">
      <alignment horizontal="center" vertical="center" wrapText="1"/>
    </xf>
    <xf numFmtId="0" fontId="79" fillId="9" borderId="30" xfId="6" applyFont="1" applyFill="1" applyBorder="1" applyAlignment="1">
      <alignment horizontal="left"/>
    </xf>
    <xf numFmtId="0" fontId="80" fillId="9" borderId="30" xfId="6" applyFont="1" applyFill="1" applyBorder="1"/>
    <xf numFmtId="0" fontId="79" fillId="9" borderId="39" xfId="6" applyFont="1" applyFill="1" applyBorder="1" applyAlignment="1">
      <alignment horizontal="left"/>
    </xf>
    <xf numFmtId="0" fontId="80" fillId="9" borderId="39" xfId="6" applyFont="1" applyFill="1" applyBorder="1"/>
    <xf numFmtId="0" fontId="34" fillId="2" borderId="5" xfId="0" applyFont="1" applyFill="1" applyBorder="1" applyAlignment="1">
      <alignment wrapText="1"/>
    </xf>
    <xf numFmtId="0" fontId="34" fillId="4" borderId="41" xfId="0" applyFont="1" applyFill="1" applyBorder="1" applyAlignment="1">
      <alignment vertical="center" wrapText="1"/>
    </xf>
    <xf numFmtId="0" fontId="34" fillId="4" borderId="42" xfId="0" applyFont="1" applyFill="1" applyBorder="1" applyAlignment="1">
      <alignment vertical="center" wrapText="1"/>
    </xf>
    <xf numFmtId="14" fontId="34" fillId="4" borderId="42" xfId="0" applyNumberFormat="1" applyFont="1" applyFill="1" applyBorder="1" applyAlignment="1">
      <alignment horizontal="center" vertical="center" wrapText="1"/>
    </xf>
    <xf numFmtId="4" fontId="34" fillId="4" borderId="42" xfId="0" applyNumberFormat="1" applyFont="1" applyFill="1" applyBorder="1" applyAlignment="1">
      <alignment horizontal="center" vertical="center" wrapText="1"/>
    </xf>
    <xf numFmtId="0" fontId="34" fillId="4" borderId="42" xfId="0" applyFont="1" applyFill="1" applyBorder="1" applyAlignment="1">
      <alignment horizontal="center" vertical="center" wrapText="1"/>
    </xf>
    <xf numFmtId="165" fontId="9" fillId="7" borderId="0" xfId="11" applyFont="1" applyFill="1"/>
    <xf numFmtId="0" fontId="9" fillId="7" borderId="0" xfId="12" applyFill="1"/>
    <xf numFmtId="165" fontId="0" fillId="7" borderId="0" xfId="11" applyFont="1" applyFill="1"/>
    <xf numFmtId="0" fontId="34" fillId="0" borderId="25" xfId="0" applyFont="1" applyBorder="1" applyAlignment="1">
      <alignment horizontal="center"/>
    </xf>
    <xf numFmtId="0" fontId="34" fillId="0" borderId="23" xfId="0" applyFont="1" applyBorder="1" applyAlignment="1">
      <alignment horizontal="center"/>
    </xf>
    <xf numFmtId="165" fontId="49" fillId="13" borderId="6" xfId="2" applyFont="1" applyFill="1" applyBorder="1"/>
    <xf numFmtId="165" fontId="32" fillId="13" borderId="41" xfId="2" applyFont="1" applyFill="1" applyBorder="1"/>
    <xf numFmtId="165" fontId="32" fillId="13" borderId="42" xfId="2" applyFont="1" applyFill="1" applyBorder="1"/>
    <xf numFmtId="165" fontId="49" fillId="13" borderId="25" xfId="2" applyFont="1" applyFill="1" applyBorder="1"/>
    <xf numFmtId="0" fontId="34" fillId="13" borderId="6" xfId="0" applyFont="1" applyFill="1" applyBorder="1"/>
    <xf numFmtId="14" fontId="34" fillId="13" borderId="6" xfId="0" quotePrefix="1" applyNumberFormat="1" applyFont="1" applyFill="1" applyBorder="1" applyAlignment="1">
      <alignment horizontal="center"/>
    </xf>
    <xf numFmtId="165" fontId="34" fillId="13" borderId="25" xfId="2" applyFont="1" applyFill="1" applyBorder="1"/>
    <xf numFmtId="4" fontId="34" fillId="13" borderId="25" xfId="0" applyNumberFormat="1" applyFont="1" applyFill="1" applyBorder="1"/>
    <xf numFmtId="9" fontId="34" fillId="13" borderId="25" xfId="8" applyFont="1" applyFill="1" applyBorder="1" applyAlignment="1">
      <alignment horizontal="center"/>
    </xf>
    <xf numFmtId="0" fontId="34" fillId="13" borderId="25" xfId="0" applyFont="1" applyFill="1" applyBorder="1" applyAlignment="1">
      <alignment horizontal="center"/>
    </xf>
    <xf numFmtId="165" fontId="34" fillId="13" borderId="6" xfId="2" applyFont="1" applyFill="1" applyBorder="1"/>
    <xf numFmtId="9" fontId="33" fillId="13" borderId="6" xfId="0" applyNumberFormat="1" applyFont="1" applyFill="1" applyBorder="1" applyAlignment="1">
      <alignment horizontal="center"/>
    </xf>
    <xf numFmtId="9" fontId="34" fillId="13" borderId="25" xfId="0" applyNumberFormat="1" applyFont="1" applyFill="1" applyBorder="1" applyAlignment="1">
      <alignment horizontal="center"/>
    </xf>
    <xf numFmtId="17" fontId="34" fillId="13" borderId="25" xfId="0" quotePrefix="1" applyNumberFormat="1" applyFont="1" applyFill="1" applyBorder="1" applyAlignment="1">
      <alignment horizontal="center"/>
    </xf>
    <xf numFmtId="176" fontId="34" fillId="13" borderId="25" xfId="2" applyNumberFormat="1" applyFont="1" applyFill="1" applyBorder="1"/>
    <xf numFmtId="165" fontId="0" fillId="7" borderId="0" xfId="2" applyFont="1" applyFill="1"/>
    <xf numFmtId="165" fontId="86" fillId="8" borderId="0" xfId="2" applyFont="1" applyFill="1"/>
    <xf numFmtId="0" fontId="6" fillId="2" borderId="0" xfId="0" applyFont="1" applyFill="1" applyAlignment="1">
      <alignment horizontal="center"/>
    </xf>
    <xf numFmtId="165" fontId="47" fillId="8" borderId="6" xfId="2" applyFont="1" applyFill="1" applyBorder="1"/>
    <xf numFmtId="165" fontId="33" fillId="8" borderId="25" xfId="2" applyFont="1" applyFill="1" applyBorder="1"/>
    <xf numFmtId="164" fontId="0" fillId="2" borderId="0" xfId="0" applyNumberFormat="1" applyFill="1"/>
    <xf numFmtId="0" fontId="0" fillId="0" borderId="41" xfId="0" applyBorder="1" applyAlignment="1">
      <alignment horizontal="center" vertical="center" wrapText="1"/>
    </xf>
    <xf numFmtId="4" fontId="0" fillId="0" borderId="41" xfId="0" applyNumberFormat="1" applyBorder="1" applyAlignment="1">
      <alignment horizontal="center" vertical="center" wrapText="1"/>
    </xf>
    <xf numFmtId="0" fontId="0" fillId="0" borderId="0" xfId="0" applyAlignment="1">
      <alignment horizontal="center" vertical="center"/>
    </xf>
    <xf numFmtId="0" fontId="0" fillId="0" borderId="41" xfId="0" applyBorder="1" applyAlignment="1">
      <alignment horizontal="center" vertical="center"/>
    </xf>
    <xf numFmtId="4" fontId="0" fillId="0" borderId="41" xfId="0" applyNumberFormat="1" applyBorder="1" applyAlignment="1">
      <alignment horizontal="center" vertical="center"/>
    </xf>
    <xf numFmtId="4" fontId="0" fillId="0" borderId="0" xfId="0" applyNumberFormat="1" applyAlignment="1">
      <alignment horizontal="center" vertical="center"/>
    </xf>
    <xf numFmtId="4" fontId="0" fillId="8" borderId="41" xfId="0" applyNumberFormat="1" applyFill="1" applyBorder="1" applyAlignment="1">
      <alignment horizontal="center" vertical="center"/>
    </xf>
    <xf numFmtId="4" fontId="19" fillId="2" borderId="0" xfId="0" applyNumberFormat="1" applyFont="1" applyFill="1" applyAlignment="1">
      <alignment horizontal="center" vertical="center"/>
    </xf>
    <xf numFmtId="4" fontId="10" fillId="2" borderId="0" xfId="0" applyNumberFormat="1" applyFont="1" applyFill="1" applyAlignment="1">
      <alignment horizontal="center" vertical="center" wrapText="1"/>
    </xf>
    <xf numFmtId="0" fontId="10" fillId="14" borderId="41" xfId="0" quotePrefix="1" applyFont="1" applyFill="1" applyBorder="1" applyAlignment="1">
      <alignment horizontal="left"/>
    </xf>
    <xf numFmtId="0" fontId="10" fillId="14" borderId="3" xfId="0" quotePrefix="1" applyFont="1" applyFill="1" applyBorder="1" applyAlignment="1">
      <alignment horizontal="left"/>
    </xf>
    <xf numFmtId="0" fontId="10" fillId="14" borderId="3" xfId="0" applyFont="1" applyFill="1" applyBorder="1"/>
    <xf numFmtId="0" fontId="10" fillId="14" borderId="6" xfId="0" quotePrefix="1" applyFont="1" applyFill="1" applyBorder="1" applyAlignment="1">
      <alignment horizontal="left"/>
    </xf>
    <xf numFmtId="170" fontId="10" fillId="14" borderId="41" xfId="2" applyNumberFormat="1" applyFont="1" applyFill="1" applyBorder="1" applyAlignment="1"/>
    <xf numFmtId="170" fontId="11" fillId="2" borderId="41" xfId="2" applyNumberFormat="1" applyFont="1" applyFill="1" applyBorder="1" applyAlignment="1"/>
    <xf numFmtId="170" fontId="11" fillId="2" borderId="5" xfId="2" applyNumberFormat="1" applyFont="1" applyFill="1" applyBorder="1" applyAlignment="1"/>
    <xf numFmtId="170" fontId="11" fillId="2" borderId="6" xfId="2" applyNumberFormat="1" applyFont="1" applyFill="1" applyBorder="1" applyAlignment="1"/>
    <xf numFmtId="170" fontId="11" fillId="2" borderId="3" xfId="2" applyNumberFormat="1" applyFont="1" applyFill="1" applyBorder="1" applyAlignment="1"/>
    <xf numFmtId="170" fontId="10" fillId="2" borderId="6" xfId="2" applyNumberFormat="1" applyFont="1" applyFill="1" applyBorder="1" applyAlignment="1"/>
    <xf numFmtId="170" fontId="10" fillId="14" borderId="6" xfId="2" applyNumberFormat="1" applyFont="1" applyFill="1" applyBorder="1" applyAlignment="1"/>
    <xf numFmtId="170" fontId="10" fillId="14" borderId="3" xfId="2" applyNumberFormat="1" applyFont="1" applyFill="1" applyBorder="1" applyAlignment="1"/>
    <xf numFmtId="170" fontId="10" fillId="2" borderId="3" xfId="2" applyNumberFormat="1" applyFont="1" applyFill="1" applyBorder="1" applyAlignment="1"/>
    <xf numFmtId="170" fontId="16" fillId="2" borderId="0" xfId="2" applyNumberFormat="1" applyFont="1" applyFill="1" applyAlignment="1"/>
    <xf numFmtId="9" fontId="10" fillId="2" borderId="0" xfId="8" applyFont="1" applyFill="1"/>
    <xf numFmtId="49" fontId="0" fillId="0" borderId="0" xfId="0" applyNumberFormat="1"/>
    <xf numFmtId="4" fontId="0" fillId="0" borderId="0" xfId="0" applyNumberFormat="1"/>
    <xf numFmtId="0" fontId="3" fillId="0" borderId="0" xfId="14"/>
    <xf numFmtId="49" fontId="3" fillId="0" borderId="0" xfId="14" applyNumberFormat="1"/>
    <xf numFmtId="4" fontId="3" fillId="0" borderId="0" xfId="14" applyNumberFormat="1"/>
    <xf numFmtId="0" fontId="3" fillId="8" borderId="0" xfId="14" applyFill="1"/>
    <xf numFmtId="49" fontId="3" fillId="8" borderId="0" xfId="14" applyNumberFormat="1" applyFill="1"/>
    <xf numFmtId="4" fontId="3" fillId="8" borderId="0" xfId="14" applyNumberFormat="1" applyFill="1"/>
    <xf numFmtId="0" fontId="2" fillId="0" borderId="0" xfId="15"/>
    <xf numFmtId="49" fontId="2" fillId="0" borderId="0" xfId="15" applyNumberFormat="1"/>
    <xf numFmtId="4" fontId="2" fillId="0" borderId="0" xfId="15" applyNumberFormat="1"/>
    <xf numFmtId="0" fontId="2" fillId="8" borderId="0" xfId="15" applyFill="1"/>
    <xf numFmtId="49" fontId="2" fillId="8" borderId="0" xfId="15" applyNumberFormat="1" applyFill="1"/>
    <xf numFmtId="4" fontId="2" fillId="8" borderId="0" xfId="15" applyNumberFormat="1" applyFill="1"/>
    <xf numFmtId="165" fontId="11" fillId="0" borderId="6" xfId="2" applyFont="1" applyFill="1" applyBorder="1" applyAlignment="1"/>
    <xf numFmtId="0" fontId="11" fillId="0" borderId="25" xfId="0" applyFont="1" applyBorder="1"/>
    <xf numFmtId="165" fontId="11" fillId="0" borderId="25" xfId="2" applyFont="1" applyFill="1" applyBorder="1"/>
    <xf numFmtId="165" fontId="11" fillId="0" borderId="28" xfId="2" applyFont="1" applyFill="1" applyBorder="1"/>
    <xf numFmtId="165" fontId="21" fillId="0" borderId="77" xfId="2" applyFont="1" applyFill="1" applyBorder="1" applyAlignment="1"/>
    <xf numFmtId="165" fontId="20" fillId="0" borderId="37" xfId="2" applyFont="1" applyFill="1" applyBorder="1" applyAlignment="1"/>
    <xf numFmtId="4" fontId="0" fillId="2" borderId="0" xfId="2" applyNumberFormat="1" applyFont="1" applyFill="1"/>
    <xf numFmtId="4" fontId="89" fillId="0" borderId="0" xfId="0" applyNumberFormat="1" applyFont="1"/>
    <xf numFmtId="0" fontId="83" fillId="7" borderId="26" xfId="0" applyFont="1" applyFill="1" applyBorder="1" applyAlignment="1">
      <alignment horizontal="center"/>
    </xf>
    <xf numFmtId="0" fontId="83" fillId="7" borderId="27" xfId="0" applyFont="1" applyFill="1" applyBorder="1" applyAlignment="1">
      <alignment horizontal="center"/>
    </xf>
    <xf numFmtId="0" fontId="83" fillId="7" borderId="28" xfId="0" applyFont="1" applyFill="1" applyBorder="1" applyAlignment="1">
      <alignment horizontal="center"/>
    </xf>
    <xf numFmtId="0" fontId="70" fillId="7" borderId="26" xfId="0" applyFont="1" applyFill="1" applyBorder="1" applyAlignment="1">
      <alignment horizontal="center"/>
    </xf>
    <xf numFmtId="0" fontId="70" fillId="7" borderId="27" xfId="0" applyFont="1" applyFill="1" applyBorder="1" applyAlignment="1">
      <alignment horizontal="center"/>
    </xf>
    <xf numFmtId="0" fontId="66" fillId="2" borderId="0" xfId="0" applyFont="1" applyFill="1" applyAlignment="1">
      <alignment horizontal="center"/>
    </xf>
    <xf numFmtId="0" fontId="0" fillId="2" borderId="26" xfId="0" applyFill="1" applyBorder="1" applyAlignment="1">
      <alignment horizontal="center"/>
    </xf>
    <xf numFmtId="0" fontId="0" fillId="2" borderId="27" xfId="0" applyFill="1" applyBorder="1" applyAlignment="1">
      <alignment horizontal="center"/>
    </xf>
    <xf numFmtId="0" fontId="0" fillId="2" borderId="28" xfId="0" applyFill="1" applyBorder="1" applyAlignment="1">
      <alignment horizontal="center"/>
    </xf>
    <xf numFmtId="4" fontId="11" fillId="14" borderId="5" xfId="0" applyNumberFormat="1" applyFont="1" applyFill="1" applyBorder="1" applyAlignment="1">
      <alignment horizontal="center" vertical="center"/>
    </xf>
    <xf numFmtId="4" fontId="11" fillId="14" borderId="3" xfId="0" applyNumberFormat="1" applyFont="1" applyFill="1" applyBorder="1" applyAlignment="1">
      <alignment horizontal="center" vertical="center"/>
    </xf>
    <xf numFmtId="0" fontId="11" fillId="14" borderId="5" xfId="0" applyFont="1" applyFill="1" applyBorder="1" applyAlignment="1">
      <alignment horizontal="center" vertical="center"/>
    </xf>
    <xf numFmtId="0" fontId="11" fillId="14" borderId="3" xfId="0" applyFont="1" applyFill="1" applyBorder="1" applyAlignment="1">
      <alignment horizontal="center" vertical="center"/>
    </xf>
    <xf numFmtId="0" fontId="37" fillId="2" borderId="0" xfId="7" applyFont="1" applyFill="1" applyAlignment="1">
      <alignment horizontal="center"/>
    </xf>
    <xf numFmtId="0" fontId="31" fillId="2" borderId="21" xfId="7" applyFont="1" applyFill="1" applyBorder="1" applyAlignment="1">
      <alignment horizontal="center"/>
    </xf>
    <xf numFmtId="0" fontId="31" fillId="2" borderId="23" xfId="7" applyFont="1" applyFill="1" applyBorder="1" applyAlignment="1">
      <alignment horizontal="center"/>
    </xf>
    <xf numFmtId="0" fontId="31" fillId="2" borderId="26" xfId="7" applyFont="1" applyFill="1" applyBorder="1" applyAlignment="1">
      <alignment horizontal="center"/>
    </xf>
    <xf numFmtId="0" fontId="31" fillId="2" borderId="28" xfId="7" applyFont="1" applyFill="1" applyBorder="1" applyAlignment="1">
      <alignment horizontal="center"/>
    </xf>
    <xf numFmtId="0" fontId="33" fillId="2" borderId="27" xfId="7" applyFont="1" applyFill="1" applyBorder="1" applyAlignment="1">
      <alignment horizontal="center"/>
    </xf>
    <xf numFmtId="0" fontId="49" fillId="2" borderId="44" xfId="7" applyFont="1" applyFill="1" applyBorder="1" applyAlignment="1">
      <alignment horizontal="center" vertical="center"/>
    </xf>
    <xf numFmtId="0" fontId="49" fillId="2" borderId="42" xfId="7" applyFont="1" applyFill="1" applyBorder="1" applyAlignment="1">
      <alignment horizontal="center" vertical="center"/>
    </xf>
    <xf numFmtId="0" fontId="87" fillId="10" borderId="0" xfId="0" applyFont="1" applyFill="1" applyAlignment="1">
      <alignment horizontal="center"/>
    </xf>
    <xf numFmtId="0" fontId="85" fillId="11" borderId="0" xfId="0" applyFont="1" applyFill="1" applyAlignment="1">
      <alignment horizontal="center"/>
    </xf>
    <xf numFmtId="0" fontId="49" fillId="2" borderId="13" xfId="6" applyFill="1" applyBorder="1" applyAlignment="1">
      <alignment horizontal="left" wrapText="1"/>
    </xf>
    <xf numFmtId="0" fontId="49" fillId="2" borderId="14" xfId="6" applyFill="1" applyBorder="1" applyAlignment="1">
      <alignment horizontal="left" wrapText="1"/>
    </xf>
    <xf numFmtId="0" fontId="74" fillId="5" borderId="15" xfId="6" applyFont="1" applyFill="1" applyBorder="1" applyAlignment="1">
      <alignment horizontal="left" wrapText="1"/>
    </xf>
    <xf numFmtId="0" fontId="74" fillId="5" borderId="31" xfId="6" applyFont="1" applyFill="1" applyBorder="1" applyAlignment="1">
      <alignment horizontal="left" wrapText="1"/>
    </xf>
    <xf numFmtId="0" fontId="74" fillId="5" borderId="15" xfId="6" applyFont="1" applyFill="1" applyBorder="1" applyAlignment="1">
      <alignment horizontal="left"/>
    </xf>
    <xf numFmtId="0" fontId="74" fillId="5" borderId="31" xfId="6" applyFont="1" applyFill="1" applyBorder="1" applyAlignment="1">
      <alignment horizontal="left"/>
    </xf>
    <xf numFmtId="0" fontId="74" fillId="5" borderId="15" xfId="6" applyFont="1" applyFill="1" applyBorder="1" applyAlignment="1">
      <alignment horizontal="center"/>
    </xf>
    <xf numFmtId="0" fontId="74" fillId="5" borderId="31" xfId="6" applyFont="1" applyFill="1" applyBorder="1" applyAlignment="1">
      <alignment horizontal="center"/>
    </xf>
    <xf numFmtId="0" fontId="49" fillId="2" borderId="19" xfId="6" applyFill="1" applyBorder="1" applyAlignment="1">
      <alignment horizontal="left" wrapText="1"/>
    </xf>
    <xf numFmtId="0" fontId="49" fillId="2" borderId="20" xfId="6" applyFill="1" applyBorder="1" applyAlignment="1">
      <alignment horizontal="left" wrapText="1"/>
    </xf>
    <xf numFmtId="0" fontId="76" fillId="2" borderId="84" xfId="6" applyFont="1" applyFill="1" applyBorder="1" applyAlignment="1">
      <alignment horizontal="left" wrapText="1"/>
    </xf>
    <xf numFmtId="0" fontId="76" fillId="2" borderId="38" xfId="6" applyFont="1" applyFill="1" applyBorder="1" applyAlignment="1">
      <alignment horizontal="left" wrapText="1"/>
    </xf>
    <xf numFmtId="0" fontId="49" fillId="2" borderId="84" xfId="6" applyFill="1" applyBorder="1" applyAlignment="1">
      <alignment horizontal="left" wrapText="1"/>
    </xf>
    <xf numFmtId="0" fontId="49" fillId="2" borderId="38" xfId="6" applyFill="1" applyBorder="1" applyAlignment="1">
      <alignment horizontal="left" wrapText="1"/>
    </xf>
    <xf numFmtId="0" fontId="77" fillId="2" borderId="84" xfId="6" applyFont="1" applyFill="1" applyBorder="1" applyAlignment="1">
      <alignment horizontal="left" wrapText="1"/>
    </xf>
    <xf numFmtId="0" fontId="77" fillId="2" borderId="38" xfId="6" applyFont="1" applyFill="1" applyBorder="1" applyAlignment="1">
      <alignment horizontal="left" wrapText="1"/>
    </xf>
    <xf numFmtId="0" fontId="88" fillId="10" borderId="15" xfId="6" applyFont="1" applyFill="1" applyBorder="1" applyAlignment="1">
      <alignment horizontal="center" vertical="center" wrapText="1"/>
    </xf>
    <xf numFmtId="0" fontId="88" fillId="10" borderId="16" xfId="6" applyFont="1" applyFill="1" applyBorder="1" applyAlignment="1">
      <alignment horizontal="center" vertical="center" wrapText="1"/>
    </xf>
    <xf numFmtId="0" fontId="88" fillId="10" borderId="31" xfId="6" applyFont="1" applyFill="1" applyBorder="1" applyAlignment="1">
      <alignment horizontal="center" vertical="center" wrapText="1"/>
    </xf>
    <xf numFmtId="0" fontId="0" fillId="2" borderId="0" xfId="0" applyFill="1" applyAlignment="1">
      <alignment horizontal="right"/>
    </xf>
    <xf numFmtId="0" fontId="44" fillId="2" borderId="0" xfId="7" applyFont="1" applyFill="1" applyAlignment="1">
      <alignment horizontal="center"/>
    </xf>
    <xf numFmtId="0" fontId="44" fillId="2" borderId="41" xfId="7" applyFont="1" applyFill="1" applyBorder="1" applyAlignment="1">
      <alignment horizontal="center" vertical="top"/>
    </xf>
    <xf numFmtId="0" fontId="45" fillId="2" borderId="41" xfId="7" applyFont="1" applyFill="1" applyBorder="1" applyAlignment="1">
      <alignment horizontal="center" vertical="top"/>
    </xf>
    <xf numFmtId="0" fontId="49" fillId="2" borderId="41" xfId="7" applyFont="1" applyFill="1" applyBorder="1" applyAlignment="1">
      <alignment vertical="top"/>
    </xf>
    <xf numFmtId="0" fontId="45" fillId="2" borderId="41" xfId="7" applyFont="1" applyFill="1" applyBorder="1" applyAlignment="1">
      <alignment horizontal="center"/>
    </xf>
    <xf numFmtId="0" fontId="44" fillId="2" borderId="41" xfId="7" applyFont="1" applyFill="1" applyBorder="1" applyAlignment="1">
      <alignment horizontal="center"/>
    </xf>
    <xf numFmtId="4" fontId="17" fillId="2" borderId="17" xfId="0" applyNumberFormat="1" applyFont="1" applyFill="1" applyBorder="1" applyAlignment="1">
      <alignment horizontal="center" vertical="center"/>
    </xf>
    <xf numFmtId="4" fontId="17" fillId="2" borderId="70" xfId="0" applyNumberFormat="1" applyFont="1" applyFill="1" applyBorder="1" applyAlignment="1">
      <alignment horizontal="center" vertical="center"/>
    </xf>
    <xf numFmtId="4" fontId="17" fillId="2" borderId="71" xfId="0" applyNumberFormat="1" applyFont="1" applyFill="1" applyBorder="1" applyAlignment="1">
      <alignment horizontal="center" vertical="center"/>
    </xf>
  </cellXfs>
  <cellStyles count="17">
    <cellStyle name="Euro" xfId="1" xr:uid="{00000000-0005-0000-0000-000000000000}"/>
    <cellStyle name="Milliers" xfId="2" builtinId="3"/>
    <cellStyle name="Milliers 6" xfId="11" xr:uid="{00000000-0005-0000-0000-000002000000}"/>
    <cellStyle name="Monetaire" xfId="3" xr:uid="{00000000-0005-0000-0000-000003000000}"/>
    <cellStyle name="Monetaire [0]" xfId="4" xr:uid="{00000000-0005-0000-0000-000004000000}"/>
    <cellStyle name="Normal" xfId="0" builtinId="0"/>
    <cellStyle name="Normal 2" xfId="5" xr:uid="{00000000-0005-0000-0000-000006000000}"/>
    <cellStyle name="Normal 3" xfId="10" xr:uid="{00000000-0005-0000-0000-000007000000}"/>
    <cellStyle name="Normal 4" xfId="14" xr:uid="{00000000-0005-0000-0000-000008000000}"/>
    <cellStyle name="Normal 5" xfId="15" xr:uid="{00000000-0005-0000-0000-000009000000}"/>
    <cellStyle name="Normal 6" xfId="13" xr:uid="{00000000-0005-0000-0000-00000A000000}"/>
    <cellStyle name="Normal 7" xfId="16" xr:uid="{AC9D1BAE-EE47-4FB1-939D-A8E7235D65AC}"/>
    <cellStyle name="Normal 8" xfId="12" xr:uid="{00000000-0005-0000-0000-00000B000000}"/>
    <cellStyle name="Normal_LIASSE COMPTABLE SEN AU 30-09-07" xfId="6" xr:uid="{00000000-0005-0000-0000-00000C000000}"/>
    <cellStyle name="Normal_TABLEAUX" xfId="7" xr:uid="{00000000-0005-0000-0000-00000D000000}"/>
    <cellStyle name="Pourcentage" xfId="8" builtinId="5"/>
    <cellStyle name="texte" xfId="9" xr:uid="{00000000-0005-0000-0000-00000F000000}"/>
  </cellStyles>
  <dxfs count="3">
    <dxf>
      <font>
        <b/>
        <i val="0"/>
        <color indexed="13"/>
      </font>
      <fill>
        <patternFill>
          <bgColor indexed="10"/>
        </patternFill>
      </fill>
    </dxf>
    <dxf>
      <font>
        <b/>
        <i val="0"/>
        <color indexed="13"/>
      </font>
      <fill>
        <patternFill>
          <bgColor indexed="1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T13 C1-r&#233;p cap'!A1"/><Relationship Id="rId18" Type="http://schemas.openxmlformats.org/officeDocument/2006/relationships/hyperlink" Target="#'T18 Emprunts'!A1"/><Relationship Id="rId26" Type="http://schemas.openxmlformats.org/officeDocument/2006/relationships/hyperlink" Target="#TF!Zone_d_impression"/><Relationship Id="rId39" Type="http://schemas.openxmlformats.org/officeDocument/2006/relationships/hyperlink" Target="#Couverture!A1"/><Relationship Id="rId21" Type="http://schemas.openxmlformats.org/officeDocument/2006/relationships/hyperlink" Target="#Identification!A1"/><Relationship Id="rId34" Type="http://schemas.openxmlformats.org/officeDocument/2006/relationships/hyperlink" Target="#'C3-3 exer'!Zone_d_impression"/><Relationship Id="rId7" Type="http://schemas.openxmlformats.org/officeDocument/2006/relationships/hyperlink" Target="#'T7 CNCET B10-CB'!A1"/><Relationship Id="rId12" Type="http://schemas.openxmlformats.org/officeDocument/2006/relationships/hyperlink" Target="#'T12 B14-TVA'!A1"/><Relationship Id="rId17" Type="http://schemas.openxmlformats.org/officeDocument/2006/relationships/hyperlink" Target="#'T17 + V Fusions'!A1"/><Relationship Id="rId25" Type="http://schemas.openxmlformats.org/officeDocument/2006/relationships/hyperlink" Target="#Feuil1!A1"/><Relationship Id="rId33" Type="http://schemas.openxmlformats.org/officeDocument/2006/relationships/hyperlink" Target="#'B15 Passif Eventuel'!A1"/><Relationship Id="rId38" Type="http://schemas.openxmlformats.org/officeDocument/2006/relationships/hyperlink" Target="#'Couverture Etats de synth&#232;se'!A1"/><Relationship Id="rId2" Type="http://schemas.openxmlformats.org/officeDocument/2006/relationships/hyperlink" Target="#'T1 Bilan'!A1"/><Relationship Id="rId16" Type="http://schemas.openxmlformats.org/officeDocument/2006/relationships/hyperlink" Target="#'T16 Amort'!A1"/><Relationship Id="rId20" Type="http://schemas.openxmlformats.org/officeDocument/2006/relationships/hyperlink" Target="#'T20 Stocks'!A1"/><Relationship Id="rId29" Type="http://schemas.openxmlformats.org/officeDocument/2006/relationships/hyperlink" Target="#'B7-dettes'!Zone_d_impression"/><Relationship Id="rId1" Type="http://schemas.openxmlformats.org/officeDocument/2006/relationships/hyperlink" Target="#Feuil1!A66"/><Relationship Id="rId6" Type="http://schemas.openxmlformats.org/officeDocument/2006/relationships/hyperlink" Target="#'T6 TB11'!A1"/><Relationship Id="rId11" Type="http://schemas.openxmlformats.org/officeDocument/2006/relationships/hyperlink" Target="#'T11 B4-Titres part'!A1"/><Relationship Id="rId24" Type="http://schemas.openxmlformats.org/officeDocument/2006/relationships/hyperlink" Target="#'T3 B12-res fis'!A1"/><Relationship Id="rId32" Type="http://schemas.openxmlformats.org/officeDocument/2006/relationships/hyperlink" Target="#'B13-res cour'!A1"/><Relationship Id="rId37" Type="http://schemas.openxmlformats.org/officeDocument/2006/relationships/hyperlink" Target="#'A3'!A1"/><Relationship Id="rId40" Type="http://schemas.openxmlformats.org/officeDocument/2006/relationships/hyperlink" Target="#Xml!A1"/><Relationship Id="rId5" Type="http://schemas.openxmlformats.org/officeDocument/2006/relationships/hyperlink" Target="#'T4 B2-immo'!A1"/><Relationship Id="rId15" Type="http://schemas.openxmlformats.org/officeDocument/2006/relationships/hyperlink" Target="#'T15 Encourag'!A1"/><Relationship Id="rId23" Type="http://schemas.openxmlformats.org/officeDocument/2006/relationships/hyperlink" Target="#'Balance N-1'!A1"/><Relationship Id="rId28" Type="http://schemas.openxmlformats.org/officeDocument/2006/relationships/hyperlink" Target="#'B1-Tab non val'!Zone_d_impression"/><Relationship Id="rId36" Type="http://schemas.openxmlformats.org/officeDocument/2006/relationships/hyperlink" Target="#' A2 '!A1"/><Relationship Id="rId10" Type="http://schemas.openxmlformats.org/officeDocument/2006/relationships/hyperlink" Target="#'T10 B3-+-Value'!A1"/><Relationship Id="rId19" Type="http://schemas.openxmlformats.org/officeDocument/2006/relationships/hyperlink" Target="#'T19 Locations'!A1"/><Relationship Id="rId31" Type="http://schemas.openxmlformats.org/officeDocument/2006/relationships/hyperlink" Target="#'B9-Eng fin'!A1"/><Relationship Id="rId4" Type="http://schemas.openxmlformats.org/officeDocument/2006/relationships/hyperlink" Target="#'T5 ESG'!A1"/><Relationship Id="rId9" Type="http://schemas.openxmlformats.org/officeDocument/2006/relationships/hyperlink" Target="#'T9 B5-PROV'!A1"/><Relationship Id="rId14" Type="http://schemas.openxmlformats.org/officeDocument/2006/relationships/hyperlink" Target="#'T14 C2-affec resu'!A1"/><Relationship Id="rId22" Type="http://schemas.openxmlformats.org/officeDocument/2006/relationships/hyperlink" Target="#'Balance N'!A1"/><Relationship Id="rId27" Type="http://schemas.openxmlformats.org/officeDocument/2006/relationships/hyperlink" Target="#'B6-CREANCES-01'!Zone_d_impression"/><Relationship Id="rId30" Type="http://schemas.openxmlformats.org/officeDocument/2006/relationships/hyperlink" Target="#'B8-SURETES-01'!Zone_d_impression"/><Relationship Id="rId35" Type="http://schemas.openxmlformats.org/officeDocument/2006/relationships/hyperlink" Target="#'ETIC  A0 A1'!A1"/><Relationship Id="rId8" Type="http://schemas.openxmlformats.org/officeDocument/2006/relationships/hyperlink" Target="#'T8 B2 BIS'!A1"/><Relationship Id="rId3" Type="http://schemas.openxmlformats.org/officeDocument/2006/relationships/hyperlink" Target="#'T2 CPC'!A1"/></Relationships>
</file>

<file path=xl/drawings/_rels/drawing10.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1.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2.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3.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4.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5.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6.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7.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8.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19.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2.xml.rels><?xml version="1.0" encoding="UTF-8" standalone="yes"?>
<Relationships xmlns="http://schemas.openxmlformats.org/package/2006/relationships"><Relationship Id="rId1" Type="http://schemas.openxmlformats.org/officeDocument/2006/relationships/hyperlink" Target="#Feuil1!A1"/></Relationships>
</file>

<file path=xl/drawings/_rels/drawing20.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21.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22.xml.rels><?xml version="1.0" encoding="UTF-8" standalone="yes"?>
<Relationships xmlns="http://schemas.openxmlformats.org/package/2006/relationships"><Relationship Id="rId1" Type="http://schemas.openxmlformats.org/officeDocument/2006/relationships/hyperlink" Target="#Feuil1!A1"/></Relationships>
</file>

<file path=xl/drawings/_rels/drawing23.xml.rels><?xml version="1.0" encoding="UTF-8" standalone="yes"?>
<Relationships xmlns="http://schemas.openxmlformats.org/package/2006/relationships"><Relationship Id="rId1" Type="http://schemas.openxmlformats.org/officeDocument/2006/relationships/hyperlink" Target="#Feuil1!A1"/></Relationships>
</file>

<file path=xl/drawings/_rels/drawing24.xml.rels><?xml version="1.0" encoding="UTF-8" standalone="yes"?>
<Relationships xmlns="http://schemas.openxmlformats.org/package/2006/relationships"><Relationship Id="rId1" Type="http://schemas.openxmlformats.org/officeDocument/2006/relationships/hyperlink" Target="#Feuil1!A1"/></Relationships>
</file>

<file path=xl/drawings/_rels/drawing25.xml.rels><?xml version="1.0" encoding="UTF-8" standalone="yes"?>
<Relationships xmlns="http://schemas.openxmlformats.org/package/2006/relationships"><Relationship Id="rId1" Type="http://schemas.openxmlformats.org/officeDocument/2006/relationships/hyperlink" Target="#Feuil1!A1"/></Relationships>
</file>

<file path=xl/drawings/_rels/drawing26.xml.rels><?xml version="1.0" encoding="UTF-8" standalone="yes"?>
<Relationships xmlns="http://schemas.openxmlformats.org/package/2006/relationships"><Relationship Id="rId1" Type="http://schemas.openxmlformats.org/officeDocument/2006/relationships/hyperlink" Target="#Feuil1!A1"/></Relationships>
</file>

<file path=xl/drawings/_rels/drawing27.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28.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29.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3.xml.rels><?xml version="1.0" encoding="UTF-8" standalone="yes"?>
<Relationships xmlns="http://schemas.openxmlformats.org/package/2006/relationships"><Relationship Id="rId1" Type="http://schemas.openxmlformats.org/officeDocument/2006/relationships/hyperlink" Target="#Feuil1!A1"/></Relationships>
</file>

<file path=xl/drawings/_rels/drawing30.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31.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_rels/drawing32.xml.rels><?xml version="1.0" encoding="UTF-8" standalone="yes"?>
<Relationships xmlns="http://schemas.openxmlformats.org/package/2006/relationships"><Relationship Id="rId1" Type="http://schemas.openxmlformats.org/officeDocument/2006/relationships/hyperlink" Target="#Feuil1!A66"/></Relationships>
</file>

<file path=xl/drawings/_rels/drawing33.xml.rels><?xml version="1.0" encoding="UTF-8" standalone="yes"?>
<Relationships xmlns="http://schemas.openxmlformats.org/package/2006/relationships"><Relationship Id="rId1" Type="http://schemas.openxmlformats.org/officeDocument/2006/relationships/hyperlink" Target="#Feuil1!A66"/></Relationships>
</file>

<file path=xl/drawings/_rels/drawing34.xml.rels><?xml version="1.0" encoding="UTF-8" standalone="yes"?>
<Relationships xmlns="http://schemas.openxmlformats.org/package/2006/relationships"><Relationship Id="rId1" Type="http://schemas.openxmlformats.org/officeDocument/2006/relationships/hyperlink" Target="#Feuil1!A66"/></Relationships>
</file>

<file path=xl/drawings/_rels/drawing35.xml.rels><?xml version="1.0" encoding="UTF-8" standalone="yes"?>
<Relationships xmlns="http://schemas.openxmlformats.org/package/2006/relationships"><Relationship Id="rId1" Type="http://schemas.openxmlformats.org/officeDocument/2006/relationships/hyperlink" Target="#Feuil1!A66"/></Relationships>
</file>

<file path=xl/drawings/_rels/drawing36.xml.rels><?xml version="1.0" encoding="UTF-8" standalone="yes"?>
<Relationships xmlns="http://schemas.openxmlformats.org/package/2006/relationships"><Relationship Id="rId1" Type="http://schemas.openxmlformats.org/officeDocument/2006/relationships/hyperlink" Target="#Feuil1!A66"/></Relationships>
</file>

<file path=xl/drawings/_rels/drawing37.xml.rels><?xml version="1.0" encoding="UTF-8" standalone="yes"?>
<Relationships xmlns="http://schemas.openxmlformats.org/package/2006/relationships"><Relationship Id="rId1" Type="http://schemas.openxmlformats.org/officeDocument/2006/relationships/hyperlink" Target="#Feuil1!A66"/></Relationships>
</file>

<file path=xl/drawings/_rels/drawing38.xml.rels><?xml version="1.0" encoding="UTF-8" standalone="yes"?>
<Relationships xmlns="http://schemas.openxmlformats.org/package/2006/relationships"><Relationship Id="rId1" Type="http://schemas.openxmlformats.org/officeDocument/2006/relationships/hyperlink" Target="#Feuil1!A66"/></Relationships>
</file>

<file path=xl/drawings/_rels/drawing39.xml.rels><?xml version="1.0" encoding="UTF-8" standalone="yes"?>
<Relationships xmlns="http://schemas.openxmlformats.org/package/2006/relationships"><Relationship Id="rId1" Type="http://schemas.openxmlformats.org/officeDocument/2006/relationships/hyperlink" Target="#Feuil1!A66"/></Relationships>
</file>

<file path=xl/drawings/_rels/drawing4.xml.rels><?xml version="1.0" encoding="UTF-8" standalone="yes"?>
<Relationships xmlns="http://schemas.openxmlformats.org/package/2006/relationships"><Relationship Id="rId1" Type="http://schemas.openxmlformats.org/officeDocument/2006/relationships/hyperlink" Target="#Feuil1!A1"/></Relationships>
</file>

<file path=xl/drawings/_rels/drawing40.xml.rels><?xml version="1.0" encoding="UTF-8" standalone="yes"?>
<Relationships xmlns="http://schemas.openxmlformats.org/package/2006/relationships"><Relationship Id="rId1" Type="http://schemas.openxmlformats.org/officeDocument/2006/relationships/hyperlink" Target="#Feuil1!A66"/></Relationships>
</file>

<file path=xl/drawings/_rels/drawing5.xml.rels><?xml version="1.0" encoding="UTF-8" standalone="yes"?>
<Relationships xmlns="http://schemas.openxmlformats.org/package/2006/relationships"><Relationship Id="rId1" Type="http://schemas.openxmlformats.org/officeDocument/2006/relationships/hyperlink" Target="#Feuil1!A1"/></Relationships>
</file>

<file path=xl/drawings/_rels/drawing6.xml.rels><?xml version="1.0" encoding="UTF-8" standalone="yes"?>
<Relationships xmlns="http://schemas.openxmlformats.org/package/2006/relationships"><Relationship Id="rId1" Type="http://schemas.openxmlformats.org/officeDocument/2006/relationships/hyperlink" Target="#Feuil1!A1"/></Relationships>
</file>

<file path=xl/drawings/_rels/drawing7.xml.rels><?xml version="1.0" encoding="UTF-8" standalone="yes"?>
<Relationships xmlns="http://schemas.openxmlformats.org/package/2006/relationships"><Relationship Id="rId1" Type="http://schemas.openxmlformats.org/officeDocument/2006/relationships/hyperlink" Target="#Feuil1!A1"/></Relationships>
</file>

<file path=xl/drawings/_rels/drawing8.xml.rels><?xml version="1.0" encoding="UTF-8" standalone="yes"?>
<Relationships xmlns="http://schemas.openxmlformats.org/package/2006/relationships"><Relationship Id="rId2" Type="http://schemas.openxmlformats.org/officeDocument/2006/relationships/hyperlink" Target="#Feuil1!A66"/><Relationship Id="rId1" Type="http://schemas.openxmlformats.org/officeDocument/2006/relationships/hyperlink" Target="#Feuil1!A1"/></Relationships>
</file>

<file path=xl/drawings/_rels/drawing9.xml.rels><?xml version="1.0" encoding="UTF-8" standalone="yes"?>
<Relationships xmlns="http://schemas.openxmlformats.org/package/2006/relationships"><Relationship Id="rId2" Type="http://schemas.openxmlformats.org/officeDocument/2006/relationships/hyperlink" Target="#Feuil1!A1"/><Relationship Id="rId1" Type="http://schemas.openxmlformats.org/officeDocument/2006/relationships/hyperlink" Target="#Feuil1!A66"/></Relationships>
</file>

<file path=xl/drawings/drawing1.xml><?xml version="1.0" encoding="utf-8"?>
<xdr:wsDr xmlns:xdr="http://schemas.openxmlformats.org/drawingml/2006/spreadsheetDrawing" xmlns:a="http://schemas.openxmlformats.org/drawingml/2006/main">
  <xdr:twoCellAnchor>
    <xdr:from>
      <xdr:col>0</xdr:col>
      <xdr:colOff>295170</xdr:colOff>
      <xdr:row>12</xdr:row>
      <xdr:rowOff>62801</xdr:rowOff>
    </xdr:from>
    <xdr:to>
      <xdr:col>2</xdr:col>
      <xdr:colOff>552345</xdr:colOff>
      <xdr:row>15</xdr:row>
      <xdr:rowOff>62801</xdr:rowOff>
    </xdr:to>
    <xdr:sp macro="" textlink="">
      <xdr:nvSpPr>
        <xdr:cNvPr id="33" name="Rectangle à coins arrondis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bwMode="auto">
        <a:xfrm>
          <a:off x="295170" y="2030603"/>
          <a:ext cx="1638823" cy="554753"/>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ETIC</a:t>
          </a:r>
        </a:p>
      </xdr:txBody>
    </xdr:sp>
    <xdr:clientData/>
  </xdr:twoCellAnchor>
  <xdr:twoCellAnchor>
    <xdr:from>
      <xdr:col>3</xdr:col>
      <xdr:colOff>676275</xdr:colOff>
      <xdr:row>6</xdr:row>
      <xdr:rowOff>142875</xdr:rowOff>
    </xdr:from>
    <xdr:to>
      <xdr:col>6</xdr:col>
      <xdr:colOff>247650</xdr:colOff>
      <xdr:row>10</xdr:row>
      <xdr:rowOff>57150</xdr:rowOff>
    </xdr:to>
    <xdr:sp macro="" textlink="">
      <xdr:nvSpPr>
        <xdr:cNvPr id="2" name="Rectangle à coins arrondis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bwMode="auto">
        <a:xfrm>
          <a:off x="2733675" y="6286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 : Bilan</a:t>
          </a:r>
        </a:p>
      </xdr:txBody>
    </xdr:sp>
    <xdr:clientData/>
  </xdr:twoCellAnchor>
  <xdr:twoCellAnchor>
    <xdr:from>
      <xdr:col>6</xdr:col>
      <xdr:colOff>457200</xdr:colOff>
      <xdr:row>6</xdr:row>
      <xdr:rowOff>142875</xdr:rowOff>
    </xdr:from>
    <xdr:to>
      <xdr:col>9</xdr:col>
      <xdr:colOff>28575</xdr:colOff>
      <xdr:row>10</xdr:row>
      <xdr:rowOff>57150</xdr:rowOff>
    </xdr:to>
    <xdr:sp macro="" textlink="">
      <xdr:nvSpPr>
        <xdr:cNvPr id="3" name="Rectangle à coins arrondis 2">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bwMode="auto">
        <a:xfrm>
          <a:off x="4572000" y="6286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2 : CPC</a:t>
          </a:r>
        </a:p>
      </xdr:txBody>
    </xdr:sp>
    <xdr:clientData/>
  </xdr:twoCellAnchor>
  <xdr:twoCellAnchor>
    <xdr:from>
      <xdr:col>3</xdr:col>
      <xdr:colOff>666750</xdr:colOff>
      <xdr:row>11</xdr:row>
      <xdr:rowOff>180975</xdr:rowOff>
    </xdr:from>
    <xdr:to>
      <xdr:col>6</xdr:col>
      <xdr:colOff>238125</xdr:colOff>
      <xdr:row>14</xdr:row>
      <xdr:rowOff>180975</xdr:rowOff>
    </xdr:to>
    <xdr:sp macro="" textlink="">
      <xdr:nvSpPr>
        <xdr:cNvPr id="4" name="Rectangle à coins arrondis 3">
          <a:hlinkClick xmlns:r="http://schemas.openxmlformats.org/officeDocument/2006/relationships" r:id="rId4"/>
          <a:extLst>
            <a:ext uri="{FF2B5EF4-FFF2-40B4-BE49-F238E27FC236}">
              <a16:creationId xmlns:a16="http://schemas.microsoft.com/office/drawing/2014/main" id="{00000000-0008-0000-0000-000004000000}"/>
            </a:ext>
          </a:extLst>
        </xdr:cNvPr>
        <xdr:cNvSpPr/>
      </xdr:nvSpPr>
      <xdr:spPr bwMode="auto">
        <a:xfrm>
          <a:off x="2724150" y="147637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5 : ESG</a:t>
          </a:r>
        </a:p>
      </xdr:txBody>
    </xdr:sp>
    <xdr:clientData/>
  </xdr:twoCellAnchor>
  <xdr:twoCellAnchor>
    <xdr:from>
      <xdr:col>12</xdr:col>
      <xdr:colOff>219075</xdr:colOff>
      <xdr:row>6</xdr:row>
      <xdr:rowOff>142876</xdr:rowOff>
    </xdr:from>
    <xdr:to>
      <xdr:col>14</xdr:col>
      <xdr:colOff>476250</xdr:colOff>
      <xdr:row>10</xdr:row>
      <xdr:rowOff>47626</xdr:rowOff>
    </xdr:to>
    <xdr:sp macro="" textlink="">
      <xdr:nvSpPr>
        <xdr:cNvPr id="5" name="Rectangle à coins arrondis 4">
          <a:hlinkClick xmlns:r="http://schemas.openxmlformats.org/officeDocument/2006/relationships" r:id="rId5"/>
          <a:extLst>
            <a:ext uri="{FF2B5EF4-FFF2-40B4-BE49-F238E27FC236}">
              <a16:creationId xmlns:a16="http://schemas.microsoft.com/office/drawing/2014/main" id="{00000000-0008-0000-0000-000005000000}"/>
            </a:ext>
          </a:extLst>
        </xdr:cNvPr>
        <xdr:cNvSpPr/>
      </xdr:nvSpPr>
      <xdr:spPr bwMode="auto">
        <a:xfrm>
          <a:off x="8448675" y="628651"/>
          <a:ext cx="1628775"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4 : Immobilisations</a:t>
          </a:r>
        </a:p>
      </xdr:txBody>
    </xdr:sp>
    <xdr:clientData/>
  </xdr:twoCellAnchor>
  <xdr:twoCellAnchor>
    <xdr:from>
      <xdr:col>6</xdr:col>
      <xdr:colOff>447675</xdr:colOff>
      <xdr:row>11</xdr:row>
      <xdr:rowOff>171450</xdr:rowOff>
    </xdr:from>
    <xdr:to>
      <xdr:col>9</xdr:col>
      <xdr:colOff>19050</xdr:colOff>
      <xdr:row>14</xdr:row>
      <xdr:rowOff>171450</xdr:rowOff>
    </xdr:to>
    <xdr:sp macro="" textlink="">
      <xdr:nvSpPr>
        <xdr:cNvPr id="6" name="Rectangle à coins arrondis 5">
          <a:hlinkClick xmlns:r="http://schemas.openxmlformats.org/officeDocument/2006/relationships" r:id="rId6"/>
          <a:extLst>
            <a:ext uri="{FF2B5EF4-FFF2-40B4-BE49-F238E27FC236}">
              <a16:creationId xmlns:a16="http://schemas.microsoft.com/office/drawing/2014/main" id="{00000000-0008-0000-0000-000006000000}"/>
            </a:ext>
          </a:extLst>
        </xdr:cNvPr>
        <xdr:cNvSpPr/>
      </xdr:nvSpPr>
      <xdr:spPr bwMode="auto">
        <a:xfrm>
          <a:off x="4562475" y="14668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6 : Détail CPC</a:t>
          </a:r>
        </a:p>
      </xdr:txBody>
    </xdr:sp>
    <xdr:clientData/>
  </xdr:twoCellAnchor>
  <xdr:twoCellAnchor>
    <xdr:from>
      <xdr:col>9</xdr:col>
      <xdr:colOff>285750</xdr:colOff>
      <xdr:row>11</xdr:row>
      <xdr:rowOff>180975</xdr:rowOff>
    </xdr:from>
    <xdr:to>
      <xdr:col>11</xdr:col>
      <xdr:colOff>542925</xdr:colOff>
      <xdr:row>14</xdr:row>
      <xdr:rowOff>180975</xdr:rowOff>
    </xdr:to>
    <xdr:sp macro="" textlink="">
      <xdr:nvSpPr>
        <xdr:cNvPr id="7" name="Rectangle à coins arrondis 6">
          <a:hlinkClick xmlns:r="http://schemas.openxmlformats.org/officeDocument/2006/relationships" r:id="rId7"/>
          <a:extLst>
            <a:ext uri="{FF2B5EF4-FFF2-40B4-BE49-F238E27FC236}">
              <a16:creationId xmlns:a16="http://schemas.microsoft.com/office/drawing/2014/main" id="{00000000-0008-0000-0000-000007000000}"/>
            </a:ext>
          </a:extLst>
        </xdr:cNvPr>
        <xdr:cNvSpPr/>
      </xdr:nvSpPr>
      <xdr:spPr bwMode="auto">
        <a:xfrm>
          <a:off x="6457950" y="147637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7 : Crédit-bail</a:t>
          </a:r>
        </a:p>
      </xdr:txBody>
    </xdr:sp>
    <xdr:clientData/>
  </xdr:twoCellAnchor>
  <xdr:twoCellAnchor>
    <xdr:from>
      <xdr:col>12</xdr:col>
      <xdr:colOff>228600</xdr:colOff>
      <xdr:row>11</xdr:row>
      <xdr:rowOff>190500</xdr:rowOff>
    </xdr:from>
    <xdr:to>
      <xdr:col>14</xdr:col>
      <xdr:colOff>485775</xdr:colOff>
      <xdr:row>14</xdr:row>
      <xdr:rowOff>190500</xdr:rowOff>
    </xdr:to>
    <xdr:sp macro="" textlink="">
      <xdr:nvSpPr>
        <xdr:cNvPr id="8" name="Rectangle à coins arrondis 7">
          <a:hlinkClick xmlns:r="http://schemas.openxmlformats.org/officeDocument/2006/relationships" r:id="rId8"/>
          <a:extLst>
            <a:ext uri="{FF2B5EF4-FFF2-40B4-BE49-F238E27FC236}">
              <a16:creationId xmlns:a16="http://schemas.microsoft.com/office/drawing/2014/main" id="{00000000-0008-0000-0000-000008000000}"/>
            </a:ext>
          </a:extLst>
        </xdr:cNvPr>
        <xdr:cNvSpPr/>
      </xdr:nvSpPr>
      <xdr:spPr bwMode="auto">
        <a:xfrm>
          <a:off x="8458200" y="148590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8 : Amortissements</a:t>
          </a:r>
        </a:p>
      </xdr:txBody>
    </xdr:sp>
    <xdr:clientData/>
  </xdr:twoCellAnchor>
  <xdr:twoCellAnchor>
    <xdr:from>
      <xdr:col>3</xdr:col>
      <xdr:colOff>657225</xdr:colOff>
      <xdr:row>16</xdr:row>
      <xdr:rowOff>57151</xdr:rowOff>
    </xdr:from>
    <xdr:to>
      <xdr:col>6</xdr:col>
      <xdr:colOff>228600</xdr:colOff>
      <xdr:row>19</xdr:row>
      <xdr:rowOff>123826</xdr:rowOff>
    </xdr:to>
    <xdr:sp macro="" textlink="">
      <xdr:nvSpPr>
        <xdr:cNvPr id="9" name="Rectangle à coins arrondis 8">
          <a:hlinkClick xmlns:r="http://schemas.openxmlformats.org/officeDocument/2006/relationships" r:id="rId9"/>
          <a:extLst>
            <a:ext uri="{FF2B5EF4-FFF2-40B4-BE49-F238E27FC236}">
              <a16:creationId xmlns:a16="http://schemas.microsoft.com/office/drawing/2014/main" id="{00000000-0008-0000-0000-000009000000}"/>
            </a:ext>
          </a:extLst>
        </xdr:cNvPr>
        <xdr:cNvSpPr/>
      </xdr:nvSpPr>
      <xdr:spPr bwMode="auto">
        <a:xfrm>
          <a:off x="2714625" y="2314576"/>
          <a:ext cx="1628775"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9 : Provisions</a:t>
          </a:r>
        </a:p>
      </xdr:txBody>
    </xdr:sp>
    <xdr:clientData/>
  </xdr:twoCellAnchor>
  <xdr:twoCellAnchor>
    <xdr:from>
      <xdr:col>6</xdr:col>
      <xdr:colOff>438150</xdr:colOff>
      <xdr:row>16</xdr:row>
      <xdr:rowOff>57150</xdr:rowOff>
    </xdr:from>
    <xdr:to>
      <xdr:col>9</xdr:col>
      <xdr:colOff>9525</xdr:colOff>
      <xdr:row>19</xdr:row>
      <xdr:rowOff>133350</xdr:rowOff>
    </xdr:to>
    <xdr:sp macro="" textlink="">
      <xdr:nvSpPr>
        <xdr:cNvPr id="10" name="Rectangle à coins arrondis 9">
          <a:hlinkClick xmlns:r="http://schemas.openxmlformats.org/officeDocument/2006/relationships" r:id="rId10"/>
          <a:extLst>
            <a:ext uri="{FF2B5EF4-FFF2-40B4-BE49-F238E27FC236}">
              <a16:creationId xmlns:a16="http://schemas.microsoft.com/office/drawing/2014/main" id="{00000000-0008-0000-0000-00000A000000}"/>
            </a:ext>
          </a:extLst>
        </xdr:cNvPr>
        <xdr:cNvSpPr/>
      </xdr:nvSpPr>
      <xdr:spPr bwMode="auto">
        <a:xfrm>
          <a:off x="4552950" y="231457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10 : +/- Values</a:t>
          </a:r>
        </a:p>
      </xdr:txBody>
    </xdr:sp>
    <xdr:clientData/>
  </xdr:twoCellAnchor>
  <xdr:twoCellAnchor>
    <xdr:from>
      <xdr:col>9</xdr:col>
      <xdr:colOff>276225</xdr:colOff>
      <xdr:row>16</xdr:row>
      <xdr:rowOff>76200</xdr:rowOff>
    </xdr:from>
    <xdr:to>
      <xdr:col>11</xdr:col>
      <xdr:colOff>533400</xdr:colOff>
      <xdr:row>19</xdr:row>
      <xdr:rowOff>152400</xdr:rowOff>
    </xdr:to>
    <xdr:sp macro="" textlink="">
      <xdr:nvSpPr>
        <xdr:cNvPr id="11" name="Rectangle à coins arrondis 10">
          <a:hlinkClick xmlns:r="http://schemas.openxmlformats.org/officeDocument/2006/relationships" r:id="rId11"/>
          <a:extLst>
            <a:ext uri="{FF2B5EF4-FFF2-40B4-BE49-F238E27FC236}">
              <a16:creationId xmlns:a16="http://schemas.microsoft.com/office/drawing/2014/main" id="{00000000-0008-0000-0000-00000B000000}"/>
            </a:ext>
          </a:extLst>
        </xdr:cNvPr>
        <xdr:cNvSpPr/>
      </xdr:nvSpPr>
      <xdr:spPr bwMode="auto">
        <a:xfrm>
          <a:off x="6448425" y="233362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11 : Titres de participation</a:t>
          </a:r>
        </a:p>
      </xdr:txBody>
    </xdr:sp>
    <xdr:clientData/>
  </xdr:twoCellAnchor>
  <xdr:twoCellAnchor>
    <xdr:from>
      <xdr:col>12</xdr:col>
      <xdr:colOff>209550</xdr:colOff>
      <xdr:row>16</xdr:row>
      <xdr:rowOff>57150</xdr:rowOff>
    </xdr:from>
    <xdr:to>
      <xdr:col>14</xdr:col>
      <xdr:colOff>466725</xdr:colOff>
      <xdr:row>19</xdr:row>
      <xdr:rowOff>133350</xdr:rowOff>
    </xdr:to>
    <xdr:sp macro="" textlink="">
      <xdr:nvSpPr>
        <xdr:cNvPr id="12" name="Rectangle à coins arrondis 11">
          <a:hlinkClick xmlns:r="http://schemas.openxmlformats.org/officeDocument/2006/relationships" r:id="rId12"/>
          <a:extLst>
            <a:ext uri="{FF2B5EF4-FFF2-40B4-BE49-F238E27FC236}">
              <a16:creationId xmlns:a16="http://schemas.microsoft.com/office/drawing/2014/main" id="{00000000-0008-0000-0000-00000C000000}"/>
            </a:ext>
          </a:extLst>
        </xdr:cNvPr>
        <xdr:cNvSpPr/>
      </xdr:nvSpPr>
      <xdr:spPr bwMode="auto">
        <a:xfrm>
          <a:off x="8439150" y="231457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12 : TVA</a:t>
          </a:r>
        </a:p>
      </xdr:txBody>
    </xdr:sp>
    <xdr:clientData/>
  </xdr:twoCellAnchor>
  <xdr:twoCellAnchor>
    <xdr:from>
      <xdr:col>3</xdr:col>
      <xdr:colOff>647700</xdr:colOff>
      <xdr:row>21</xdr:row>
      <xdr:rowOff>85726</xdr:rowOff>
    </xdr:from>
    <xdr:to>
      <xdr:col>6</xdr:col>
      <xdr:colOff>219075</xdr:colOff>
      <xdr:row>24</xdr:row>
      <xdr:rowOff>152401</xdr:rowOff>
    </xdr:to>
    <xdr:sp macro="" textlink="">
      <xdr:nvSpPr>
        <xdr:cNvPr id="14" name="Rectangle à coins arrondis 13">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bwMode="auto">
        <a:xfrm>
          <a:off x="2705100" y="3152776"/>
          <a:ext cx="1628775"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13 : Répartition de capital</a:t>
          </a:r>
        </a:p>
      </xdr:txBody>
    </xdr:sp>
    <xdr:clientData/>
  </xdr:twoCellAnchor>
  <xdr:twoCellAnchor>
    <xdr:from>
      <xdr:col>6</xdr:col>
      <xdr:colOff>428625</xdr:colOff>
      <xdr:row>21</xdr:row>
      <xdr:rowOff>76200</xdr:rowOff>
    </xdr:from>
    <xdr:to>
      <xdr:col>9</xdr:col>
      <xdr:colOff>0</xdr:colOff>
      <xdr:row>24</xdr:row>
      <xdr:rowOff>152400</xdr:rowOff>
    </xdr:to>
    <xdr:sp macro="" textlink="">
      <xdr:nvSpPr>
        <xdr:cNvPr id="15" name="Rectangle à coins arrondis 14">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bwMode="auto">
        <a:xfrm>
          <a:off x="4543425" y="31432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14 : Affectation de résultat</a:t>
          </a:r>
        </a:p>
      </xdr:txBody>
    </xdr:sp>
    <xdr:clientData/>
  </xdr:twoCellAnchor>
  <xdr:twoCellAnchor>
    <xdr:from>
      <xdr:col>9</xdr:col>
      <xdr:colOff>266700</xdr:colOff>
      <xdr:row>21</xdr:row>
      <xdr:rowOff>76200</xdr:rowOff>
    </xdr:from>
    <xdr:to>
      <xdr:col>11</xdr:col>
      <xdr:colOff>523875</xdr:colOff>
      <xdr:row>24</xdr:row>
      <xdr:rowOff>152400</xdr:rowOff>
    </xdr:to>
    <xdr:sp macro="" textlink="">
      <xdr:nvSpPr>
        <xdr:cNvPr id="16" name="Rectangle à coins arrondis 15">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bwMode="auto">
        <a:xfrm>
          <a:off x="6438900" y="31432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15 : IS Mesures</a:t>
          </a:r>
          <a:r>
            <a:rPr lang="fr-FR" sz="1400" b="1" baseline="0">
              <a:solidFill>
                <a:schemeClr val="bg1"/>
              </a:solidFill>
            </a:rPr>
            <a:t> d'encouragements</a:t>
          </a:r>
          <a:endParaRPr lang="fr-FR" sz="1400" b="1">
            <a:solidFill>
              <a:schemeClr val="bg1"/>
            </a:solidFill>
          </a:endParaRPr>
        </a:p>
      </xdr:txBody>
    </xdr:sp>
    <xdr:clientData/>
  </xdr:twoCellAnchor>
  <xdr:twoCellAnchor>
    <xdr:from>
      <xdr:col>12</xdr:col>
      <xdr:colOff>200025</xdr:colOff>
      <xdr:row>21</xdr:row>
      <xdr:rowOff>95250</xdr:rowOff>
    </xdr:from>
    <xdr:to>
      <xdr:col>14</xdr:col>
      <xdr:colOff>457200</xdr:colOff>
      <xdr:row>25</xdr:row>
      <xdr:rowOff>9525</xdr:rowOff>
    </xdr:to>
    <xdr:sp macro="" textlink="">
      <xdr:nvSpPr>
        <xdr:cNvPr id="17" name="Rectangle à coins arrondis 16">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bwMode="auto">
        <a:xfrm>
          <a:off x="8429625" y="316230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16 : Dotations</a:t>
          </a:r>
        </a:p>
      </xdr:txBody>
    </xdr:sp>
    <xdr:clientData/>
  </xdr:twoCellAnchor>
  <xdr:twoCellAnchor>
    <xdr:from>
      <xdr:col>3</xdr:col>
      <xdr:colOff>638175</xdr:colOff>
      <xdr:row>26</xdr:row>
      <xdr:rowOff>133351</xdr:rowOff>
    </xdr:from>
    <xdr:to>
      <xdr:col>6</xdr:col>
      <xdr:colOff>209550</xdr:colOff>
      <xdr:row>30</xdr:row>
      <xdr:rowOff>47625</xdr:rowOff>
    </xdr:to>
    <xdr:sp macro="" textlink="">
      <xdr:nvSpPr>
        <xdr:cNvPr id="18" name="Rectangle à coins arrondis 17">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bwMode="auto">
        <a:xfrm>
          <a:off x="2695575" y="4010026"/>
          <a:ext cx="1628775" cy="5619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17 : +V Fusion</a:t>
          </a:r>
        </a:p>
      </xdr:txBody>
    </xdr:sp>
    <xdr:clientData/>
  </xdr:twoCellAnchor>
  <xdr:twoCellAnchor>
    <xdr:from>
      <xdr:col>6</xdr:col>
      <xdr:colOff>419100</xdr:colOff>
      <xdr:row>26</xdr:row>
      <xdr:rowOff>133350</xdr:rowOff>
    </xdr:from>
    <xdr:to>
      <xdr:col>8</xdr:col>
      <xdr:colOff>676275</xdr:colOff>
      <xdr:row>30</xdr:row>
      <xdr:rowOff>47625</xdr:rowOff>
    </xdr:to>
    <xdr:sp macro="" textlink="">
      <xdr:nvSpPr>
        <xdr:cNvPr id="19" name="Rectangle à coins arrondis 18">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bwMode="auto">
        <a:xfrm>
          <a:off x="4533900" y="401002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18 : Emprunts</a:t>
          </a:r>
        </a:p>
      </xdr:txBody>
    </xdr:sp>
    <xdr:clientData/>
  </xdr:twoCellAnchor>
  <xdr:twoCellAnchor>
    <xdr:from>
      <xdr:col>9</xdr:col>
      <xdr:colOff>257175</xdr:colOff>
      <xdr:row>26</xdr:row>
      <xdr:rowOff>133350</xdr:rowOff>
    </xdr:from>
    <xdr:to>
      <xdr:col>11</xdr:col>
      <xdr:colOff>514350</xdr:colOff>
      <xdr:row>30</xdr:row>
      <xdr:rowOff>47625</xdr:rowOff>
    </xdr:to>
    <xdr:sp macro="" textlink="">
      <xdr:nvSpPr>
        <xdr:cNvPr id="20" name="Rectangle à coins arrondis 19">
          <a:hlinkClick xmlns:r="http://schemas.openxmlformats.org/officeDocument/2006/relationships" r:id="rId19"/>
          <a:extLst>
            <a:ext uri="{FF2B5EF4-FFF2-40B4-BE49-F238E27FC236}">
              <a16:creationId xmlns:a16="http://schemas.microsoft.com/office/drawing/2014/main" id="{00000000-0008-0000-0000-000014000000}"/>
            </a:ext>
          </a:extLst>
        </xdr:cNvPr>
        <xdr:cNvSpPr/>
      </xdr:nvSpPr>
      <xdr:spPr bwMode="auto">
        <a:xfrm>
          <a:off x="6429375" y="401002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19 : Locations</a:t>
          </a:r>
        </a:p>
      </xdr:txBody>
    </xdr:sp>
    <xdr:clientData/>
  </xdr:twoCellAnchor>
  <xdr:twoCellAnchor>
    <xdr:from>
      <xdr:col>12</xdr:col>
      <xdr:colOff>190500</xdr:colOff>
      <xdr:row>26</xdr:row>
      <xdr:rowOff>133350</xdr:rowOff>
    </xdr:from>
    <xdr:to>
      <xdr:col>14</xdr:col>
      <xdr:colOff>447675</xdr:colOff>
      <xdr:row>30</xdr:row>
      <xdr:rowOff>47625</xdr:rowOff>
    </xdr:to>
    <xdr:sp macro="" textlink="">
      <xdr:nvSpPr>
        <xdr:cNvPr id="21" name="Rectangle à coins arrondis 20">
          <a:hlinkClick xmlns:r="http://schemas.openxmlformats.org/officeDocument/2006/relationships" r:id="rId20"/>
          <a:extLst>
            <a:ext uri="{FF2B5EF4-FFF2-40B4-BE49-F238E27FC236}">
              <a16:creationId xmlns:a16="http://schemas.microsoft.com/office/drawing/2014/main" id="{00000000-0008-0000-0000-000015000000}"/>
            </a:ext>
          </a:extLst>
        </xdr:cNvPr>
        <xdr:cNvSpPr/>
      </xdr:nvSpPr>
      <xdr:spPr bwMode="auto">
        <a:xfrm>
          <a:off x="8420100" y="4010025"/>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20 : Stock</a:t>
          </a:r>
        </a:p>
      </xdr:txBody>
    </xdr:sp>
    <xdr:clientData/>
  </xdr:twoCellAnchor>
  <xdr:twoCellAnchor>
    <xdr:from>
      <xdr:col>0</xdr:col>
      <xdr:colOff>276120</xdr:colOff>
      <xdr:row>17</xdr:row>
      <xdr:rowOff>1045</xdr:rowOff>
    </xdr:from>
    <xdr:to>
      <xdr:col>2</xdr:col>
      <xdr:colOff>533295</xdr:colOff>
      <xdr:row>20</xdr:row>
      <xdr:rowOff>84782</xdr:rowOff>
    </xdr:to>
    <xdr:sp macro="" textlink="">
      <xdr:nvSpPr>
        <xdr:cNvPr id="22" name="Rectangle à coins arrondis 21">
          <a:hlinkClick xmlns:r="http://schemas.openxmlformats.org/officeDocument/2006/relationships" r:id="rId21"/>
          <a:extLst>
            <a:ext uri="{FF2B5EF4-FFF2-40B4-BE49-F238E27FC236}">
              <a16:creationId xmlns:a16="http://schemas.microsoft.com/office/drawing/2014/main" id="{00000000-0008-0000-0000-000016000000}"/>
            </a:ext>
          </a:extLst>
        </xdr:cNvPr>
        <xdr:cNvSpPr/>
      </xdr:nvSpPr>
      <xdr:spPr bwMode="auto">
        <a:xfrm>
          <a:off x="276120" y="2837611"/>
          <a:ext cx="1638823" cy="554753"/>
        </a:xfrm>
        <a:prstGeom prst="roundRect">
          <a:avLst/>
        </a:prstGeom>
        <a:solidFill>
          <a:srgbClr val="008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Identification société</a:t>
          </a:r>
        </a:p>
      </xdr:txBody>
    </xdr:sp>
    <xdr:clientData/>
  </xdr:twoCellAnchor>
  <xdr:twoCellAnchor>
    <xdr:from>
      <xdr:col>0</xdr:col>
      <xdr:colOff>266595</xdr:colOff>
      <xdr:row>21</xdr:row>
      <xdr:rowOff>146537</xdr:rowOff>
    </xdr:from>
    <xdr:to>
      <xdr:col>2</xdr:col>
      <xdr:colOff>523770</xdr:colOff>
      <xdr:row>25</xdr:row>
      <xdr:rowOff>65731</xdr:rowOff>
    </xdr:to>
    <xdr:sp macro="" textlink="">
      <xdr:nvSpPr>
        <xdr:cNvPr id="23" name="Rectangle à coins arrondis 22">
          <a:hlinkClick xmlns:r="http://schemas.openxmlformats.org/officeDocument/2006/relationships" r:id="rId22"/>
          <a:extLst>
            <a:ext uri="{FF2B5EF4-FFF2-40B4-BE49-F238E27FC236}">
              <a16:creationId xmlns:a16="http://schemas.microsoft.com/office/drawing/2014/main" id="{00000000-0008-0000-0000-000017000000}"/>
            </a:ext>
          </a:extLst>
        </xdr:cNvPr>
        <xdr:cNvSpPr/>
      </xdr:nvSpPr>
      <xdr:spPr bwMode="auto">
        <a:xfrm>
          <a:off x="266595" y="3611125"/>
          <a:ext cx="1638823" cy="547216"/>
        </a:xfrm>
        <a:prstGeom prst="roundRect">
          <a:avLst/>
        </a:prstGeom>
        <a:solidFill>
          <a:srgbClr val="008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Balance N</a:t>
          </a:r>
        </a:p>
      </xdr:txBody>
    </xdr:sp>
    <xdr:clientData/>
  </xdr:twoCellAnchor>
  <xdr:twoCellAnchor>
    <xdr:from>
      <xdr:col>0</xdr:col>
      <xdr:colOff>257070</xdr:colOff>
      <xdr:row>26</xdr:row>
      <xdr:rowOff>132407</xdr:rowOff>
    </xdr:from>
    <xdr:to>
      <xdr:col>2</xdr:col>
      <xdr:colOff>514245</xdr:colOff>
      <xdr:row>30</xdr:row>
      <xdr:rowOff>46682</xdr:rowOff>
    </xdr:to>
    <xdr:sp macro="" textlink="">
      <xdr:nvSpPr>
        <xdr:cNvPr id="24" name="Rectangle à coins arrondis 23">
          <a:hlinkClick xmlns:r="http://schemas.openxmlformats.org/officeDocument/2006/relationships" r:id="rId23"/>
          <a:extLst>
            <a:ext uri="{FF2B5EF4-FFF2-40B4-BE49-F238E27FC236}">
              <a16:creationId xmlns:a16="http://schemas.microsoft.com/office/drawing/2014/main" id="{00000000-0008-0000-0000-000018000000}"/>
            </a:ext>
          </a:extLst>
        </xdr:cNvPr>
        <xdr:cNvSpPr/>
      </xdr:nvSpPr>
      <xdr:spPr bwMode="auto">
        <a:xfrm>
          <a:off x="257070" y="4382022"/>
          <a:ext cx="1638823" cy="542297"/>
        </a:xfrm>
        <a:prstGeom prst="roundRect">
          <a:avLst/>
        </a:prstGeom>
        <a:solidFill>
          <a:srgbClr val="008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Balance N-1</a:t>
          </a:r>
        </a:p>
      </xdr:txBody>
    </xdr:sp>
    <xdr:clientData/>
  </xdr:twoCellAnchor>
  <xdr:twoCellAnchor>
    <xdr:from>
      <xdr:col>9</xdr:col>
      <xdr:colOff>295275</xdr:colOff>
      <xdr:row>6</xdr:row>
      <xdr:rowOff>142875</xdr:rowOff>
    </xdr:from>
    <xdr:to>
      <xdr:col>11</xdr:col>
      <xdr:colOff>552450</xdr:colOff>
      <xdr:row>10</xdr:row>
      <xdr:rowOff>57150</xdr:rowOff>
    </xdr:to>
    <xdr:sp macro="" textlink="">
      <xdr:nvSpPr>
        <xdr:cNvPr id="27" name="Rectangle à coins arrondis 26">
          <a:hlinkClick xmlns:r="http://schemas.openxmlformats.org/officeDocument/2006/relationships" r:id="rId24"/>
          <a:extLst>
            <a:ext uri="{FF2B5EF4-FFF2-40B4-BE49-F238E27FC236}">
              <a16:creationId xmlns:a16="http://schemas.microsoft.com/office/drawing/2014/main" id="{00000000-0008-0000-0000-00001B000000}"/>
            </a:ext>
          </a:extLst>
        </xdr:cNvPr>
        <xdr:cNvSpPr/>
      </xdr:nvSpPr>
      <xdr:spPr bwMode="auto">
        <a:xfrm>
          <a:off x="6467475" y="628650"/>
          <a:ext cx="1628775" cy="5619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 3 : Tableau de passage</a:t>
          </a:r>
        </a:p>
      </xdr:txBody>
    </xdr:sp>
    <xdr:clientData/>
  </xdr:twoCellAnchor>
  <xdr:twoCellAnchor>
    <xdr:from>
      <xdr:col>0</xdr:col>
      <xdr:colOff>314220</xdr:colOff>
      <xdr:row>8</xdr:row>
      <xdr:rowOff>37156</xdr:rowOff>
    </xdr:from>
    <xdr:to>
      <xdr:col>2</xdr:col>
      <xdr:colOff>571395</xdr:colOff>
      <xdr:row>11</xdr:row>
      <xdr:rowOff>113357</xdr:rowOff>
    </xdr:to>
    <xdr:sp macro="" textlink="">
      <xdr:nvSpPr>
        <xdr:cNvPr id="32" name="Rectangle à coins arrondis 31">
          <a:hlinkClick xmlns:r="http://schemas.openxmlformats.org/officeDocument/2006/relationships" r:id="rId25"/>
          <a:extLst>
            <a:ext uri="{FF2B5EF4-FFF2-40B4-BE49-F238E27FC236}">
              <a16:creationId xmlns:a16="http://schemas.microsoft.com/office/drawing/2014/main" id="{00000000-0008-0000-0000-000020000000}"/>
            </a:ext>
          </a:extLst>
        </xdr:cNvPr>
        <xdr:cNvSpPr/>
      </xdr:nvSpPr>
      <xdr:spPr bwMode="auto">
        <a:xfrm>
          <a:off x="314220" y="1293200"/>
          <a:ext cx="1638823" cy="547217"/>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Liasse</a:t>
          </a:r>
          <a:r>
            <a:rPr lang="fr-FR" sz="1400" b="1" baseline="0">
              <a:solidFill>
                <a:schemeClr val="bg1"/>
              </a:solidFill>
            </a:rPr>
            <a:t> fiscale</a:t>
          </a:r>
          <a:endParaRPr lang="fr-FR" sz="1400" b="1">
            <a:solidFill>
              <a:schemeClr val="bg1"/>
            </a:solidFill>
          </a:endParaRPr>
        </a:p>
      </xdr:txBody>
    </xdr:sp>
    <xdr:clientData/>
  </xdr:twoCellAnchor>
  <xdr:twoCellAnchor>
    <xdr:from>
      <xdr:col>4</xdr:col>
      <xdr:colOff>0</xdr:colOff>
      <xdr:row>1</xdr:row>
      <xdr:rowOff>2</xdr:rowOff>
    </xdr:from>
    <xdr:to>
      <xdr:col>14</xdr:col>
      <xdr:colOff>486172</xdr:colOff>
      <xdr:row>2</xdr:row>
      <xdr:rowOff>138907</xdr:rowOff>
    </xdr:to>
    <xdr:sp macro="" textlink="">
      <xdr:nvSpPr>
        <xdr:cNvPr id="34" name="Rectangle à coins arrondis 33">
          <a:hlinkClick xmlns:r="http://schemas.openxmlformats.org/officeDocument/2006/relationships" r:id="rId21"/>
          <a:extLst>
            <a:ext uri="{FF2B5EF4-FFF2-40B4-BE49-F238E27FC236}">
              <a16:creationId xmlns:a16="http://schemas.microsoft.com/office/drawing/2014/main" id="{00000000-0008-0000-0000-000022000000}"/>
            </a:ext>
          </a:extLst>
        </xdr:cNvPr>
        <xdr:cNvSpPr/>
      </xdr:nvSpPr>
      <xdr:spPr bwMode="auto">
        <a:xfrm>
          <a:off x="2763297" y="157007"/>
          <a:ext cx="7394413" cy="295911"/>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600" b="1">
              <a:solidFill>
                <a:schemeClr val="bg1"/>
              </a:solidFill>
            </a:rPr>
            <a:t>Liasse</a:t>
          </a:r>
          <a:r>
            <a:rPr lang="fr-FR" sz="1600" b="1" baseline="0">
              <a:solidFill>
                <a:schemeClr val="bg1"/>
              </a:solidFill>
            </a:rPr>
            <a:t> fiscale</a:t>
          </a:r>
          <a:endParaRPr lang="fr-FR" sz="1600" b="1">
            <a:solidFill>
              <a:schemeClr val="bg1"/>
            </a:solidFill>
          </a:endParaRPr>
        </a:p>
      </xdr:txBody>
    </xdr:sp>
    <xdr:clientData/>
  </xdr:twoCellAnchor>
  <xdr:twoCellAnchor>
    <xdr:from>
      <xdr:col>0</xdr:col>
      <xdr:colOff>0</xdr:colOff>
      <xdr:row>42</xdr:row>
      <xdr:rowOff>115134</xdr:rowOff>
    </xdr:from>
    <xdr:to>
      <xdr:col>2</xdr:col>
      <xdr:colOff>257175</xdr:colOff>
      <xdr:row>46</xdr:row>
      <xdr:rowOff>37504</xdr:rowOff>
    </xdr:to>
    <xdr:sp macro="" textlink="">
      <xdr:nvSpPr>
        <xdr:cNvPr id="35" name="Rectangle à coins arrondis 34">
          <a:hlinkClick xmlns:r="http://schemas.openxmlformats.org/officeDocument/2006/relationships" r:id="rId1"/>
          <a:extLst>
            <a:ext uri="{FF2B5EF4-FFF2-40B4-BE49-F238E27FC236}">
              <a16:creationId xmlns:a16="http://schemas.microsoft.com/office/drawing/2014/main" id="{00000000-0008-0000-0000-000023000000}"/>
            </a:ext>
          </a:extLst>
        </xdr:cNvPr>
        <xdr:cNvSpPr/>
      </xdr:nvSpPr>
      <xdr:spPr bwMode="auto">
        <a:xfrm>
          <a:off x="0" y="6876837"/>
          <a:ext cx="1638823" cy="550392"/>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ETIC</a:t>
          </a:r>
        </a:p>
      </xdr:txBody>
    </xdr:sp>
    <xdr:clientData/>
  </xdr:twoCellAnchor>
  <xdr:twoCellAnchor>
    <xdr:from>
      <xdr:col>6</xdr:col>
      <xdr:colOff>266749</xdr:colOff>
      <xdr:row>37</xdr:row>
      <xdr:rowOff>3925</xdr:rowOff>
    </xdr:from>
    <xdr:to>
      <xdr:col>8</xdr:col>
      <xdr:colOff>522733</xdr:colOff>
      <xdr:row>40</xdr:row>
      <xdr:rowOff>75206</xdr:rowOff>
    </xdr:to>
    <xdr:sp macro="" textlink="">
      <xdr:nvSpPr>
        <xdr:cNvPr id="36" name="Rectangle à coins arrondis 35">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bwMode="auto">
        <a:xfrm>
          <a:off x="4411694" y="5980601"/>
          <a:ext cx="1637632" cy="54229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Bilan</a:t>
          </a:r>
        </a:p>
      </xdr:txBody>
    </xdr:sp>
    <xdr:clientData/>
  </xdr:twoCellAnchor>
  <xdr:twoCellAnchor>
    <xdr:from>
      <xdr:col>9</xdr:col>
      <xdr:colOff>146128</xdr:colOff>
      <xdr:row>36</xdr:row>
      <xdr:rowOff>150464</xdr:rowOff>
    </xdr:from>
    <xdr:to>
      <xdr:col>11</xdr:col>
      <xdr:colOff>408328</xdr:colOff>
      <xdr:row>40</xdr:row>
      <xdr:rowOff>64739</xdr:rowOff>
    </xdr:to>
    <xdr:sp macro="" textlink="">
      <xdr:nvSpPr>
        <xdr:cNvPr id="37" name="Rectangle à coins arrondis 36">
          <a:hlinkClick xmlns:r="http://schemas.openxmlformats.org/officeDocument/2006/relationships" r:id="rId3"/>
          <a:extLst>
            <a:ext uri="{FF2B5EF4-FFF2-40B4-BE49-F238E27FC236}">
              <a16:creationId xmlns:a16="http://schemas.microsoft.com/office/drawing/2014/main" id="{00000000-0008-0000-0000-000025000000}"/>
            </a:ext>
          </a:extLst>
        </xdr:cNvPr>
        <xdr:cNvSpPr/>
      </xdr:nvSpPr>
      <xdr:spPr bwMode="auto">
        <a:xfrm>
          <a:off x="6363546" y="5970134"/>
          <a:ext cx="1643848" cy="54229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CPC</a:t>
          </a:r>
        </a:p>
      </xdr:txBody>
    </xdr:sp>
    <xdr:clientData/>
  </xdr:twoCellAnchor>
  <xdr:twoCellAnchor>
    <xdr:from>
      <xdr:col>11</xdr:col>
      <xdr:colOff>663475</xdr:colOff>
      <xdr:row>36</xdr:row>
      <xdr:rowOff>127943</xdr:rowOff>
    </xdr:from>
    <xdr:to>
      <xdr:col>14</xdr:col>
      <xdr:colOff>234850</xdr:colOff>
      <xdr:row>40</xdr:row>
      <xdr:rowOff>48568</xdr:rowOff>
    </xdr:to>
    <xdr:sp macro="" textlink="">
      <xdr:nvSpPr>
        <xdr:cNvPr id="38" name="Rectangle à coins arrondis 37">
          <a:hlinkClick xmlns:r="http://schemas.openxmlformats.org/officeDocument/2006/relationships" r:id="rId4"/>
          <a:extLst>
            <a:ext uri="{FF2B5EF4-FFF2-40B4-BE49-F238E27FC236}">
              <a16:creationId xmlns:a16="http://schemas.microsoft.com/office/drawing/2014/main" id="{00000000-0008-0000-0000-000026000000}"/>
            </a:ext>
          </a:extLst>
        </xdr:cNvPr>
        <xdr:cNvSpPr/>
      </xdr:nvSpPr>
      <xdr:spPr bwMode="auto">
        <a:xfrm>
          <a:off x="8262541" y="5947613"/>
          <a:ext cx="1643847" cy="5486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ESG</a:t>
          </a:r>
        </a:p>
      </xdr:txBody>
    </xdr:sp>
    <xdr:clientData/>
  </xdr:twoCellAnchor>
  <xdr:twoCellAnchor>
    <xdr:from>
      <xdr:col>3</xdr:col>
      <xdr:colOff>424259</xdr:colOff>
      <xdr:row>45</xdr:row>
      <xdr:rowOff>109142</xdr:rowOff>
    </xdr:from>
    <xdr:to>
      <xdr:col>5</xdr:col>
      <xdr:colOff>681433</xdr:colOff>
      <xdr:row>49</xdr:row>
      <xdr:rowOff>13892</xdr:rowOff>
    </xdr:to>
    <xdr:sp macro="" textlink="">
      <xdr:nvSpPr>
        <xdr:cNvPr id="39" name="Rectangle à coins arrondis 38">
          <a:hlinkClick xmlns:r="http://schemas.openxmlformats.org/officeDocument/2006/relationships" r:id="rId5"/>
          <a:extLst>
            <a:ext uri="{FF2B5EF4-FFF2-40B4-BE49-F238E27FC236}">
              <a16:creationId xmlns:a16="http://schemas.microsoft.com/office/drawing/2014/main" id="{00000000-0008-0000-0000-000027000000}"/>
            </a:ext>
          </a:extLst>
        </xdr:cNvPr>
        <xdr:cNvSpPr/>
      </xdr:nvSpPr>
      <xdr:spPr bwMode="auto">
        <a:xfrm>
          <a:off x="2478087" y="6459142"/>
          <a:ext cx="1626393" cy="5397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2 : Immobilisations</a:t>
          </a:r>
        </a:p>
      </xdr:txBody>
    </xdr:sp>
    <xdr:clientData/>
  </xdr:twoCellAnchor>
  <xdr:twoCellAnchor>
    <xdr:from>
      <xdr:col>3</xdr:col>
      <xdr:colOff>424653</xdr:colOff>
      <xdr:row>54</xdr:row>
      <xdr:rowOff>48420</xdr:rowOff>
    </xdr:from>
    <xdr:to>
      <xdr:col>5</xdr:col>
      <xdr:colOff>680637</xdr:colOff>
      <xdr:row>57</xdr:row>
      <xdr:rowOff>127795</xdr:rowOff>
    </xdr:to>
    <xdr:sp macro="" textlink="">
      <xdr:nvSpPr>
        <xdr:cNvPr id="40" name="Rectangle à coins arrondis 39">
          <a:hlinkClick xmlns:r="http://schemas.openxmlformats.org/officeDocument/2006/relationships" r:id="rId6"/>
          <a:extLst>
            <a:ext uri="{FF2B5EF4-FFF2-40B4-BE49-F238E27FC236}">
              <a16:creationId xmlns:a16="http://schemas.microsoft.com/office/drawing/2014/main" id="{00000000-0008-0000-0000-000028000000}"/>
            </a:ext>
          </a:extLst>
        </xdr:cNvPr>
        <xdr:cNvSpPr/>
      </xdr:nvSpPr>
      <xdr:spPr bwMode="auto">
        <a:xfrm>
          <a:off x="2478481" y="7827170"/>
          <a:ext cx="1625203" cy="55562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11 : Détail CPC</a:t>
          </a:r>
        </a:p>
      </xdr:txBody>
    </xdr:sp>
    <xdr:clientData/>
  </xdr:twoCellAnchor>
  <xdr:twoCellAnchor>
    <xdr:from>
      <xdr:col>14</xdr:col>
      <xdr:colOff>520695</xdr:colOff>
      <xdr:row>49</xdr:row>
      <xdr:rowOff>147240</xdr:rowOff>
    </xdr:from>
    <xdr:to>
      <xdr:col>17</xdr:col>
      <xdr:colOff>93261</xdr:colOff>
      <xdr:row>53</xdr:row>
      <xdr:rowOff>67865</xdr:rowOff>
    </xdr:to>
    <xdr:sp macro="" textlink="">
      <xdr:nvSpPr>
        <xdr:cNvPr id="41" name="Rectangle à coins arrondis 40">
          <a:hlinkClick xmlns:r="http://schemas.openxmlformats.org/officeDocument/2006/relationships" r:id="rId7"/>
          <a:extLst>
            <a:ext uri="{FF2B5EF4-FFF2-40B4-BE49-F238E27FC236}">
              <a16:creationId xmlns:a16="http://schemas.microsoft.com/office/drawing/2014/main" id="{00000000-0008-0000-0000-000029000000}"/>
            </a:ext>
          </a:extLst>
        </xdr:cNvPr>
        <xdr:cNvSpPr/>
      </xdr:nvSpPr>
      <xdr:spPr bwMode="auto">
        <a:xfrm>
          <a:off x="10105226" y="7132240"/>
          <a:ext cx="1626394" cy="55562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10 : Crédit-bail</a:t>
          </a:r>
        </a:p>
      </xdr:txBody>
    </xdr:sp>
    <xdr:clientData/>
  </xdr:twoCellAnchor>
  <xdr:twoCellAnchor>
    <xdr:from>
      <xdr:col>6</xdr:col>
      <xdr:colOff>245242</xdr:colOff>
      <xdr:row>45</xdr:row>
      <xdr:rowOff>87313</xdr:rowOff>
    </xdr:from>
    <xdr:to>
      <xdr:col>8</xdr:col>
      <xdr:colOff>502416</xdr:colOff>
      <xdr:row>49</xdr:row>
      <xdr:rowOff>7938</xdr:rowOff>
    </xdr:to>
    <xdr:sp macro="" textlink="">
      <xdr:nvSpPr>
        <xdr:cNvPr id="42" name="Rectangle à coins arrondis 41">
          <a:hlinkClick xmlns:r="http://schemas.openxmlformats.org/officeDocument/2006/relationships" r:id="rId8"/>
          <a:extLst>
            <a:ext uri="{FF2B5EF4-FFF2-40B4-BE49-F238E27FC236}">
              <a16:creationId xmlns:a16="http://schemas.microsoft.com/office/drawing/2014/main" id="{00000000-0008-0000-0000-00002A000000}"/>
            </a:ext>
          </a:extLst>
        </xdr:cNvPr>
        <xdr:cNvSpPr/>
      </xdr:nvSpPr>
      <xdr:spPr bwMode="auto">
        <a:xfrm>
          <a:off x="4352898" y="6437313"/>
          <a:ext cx="1626393" cy="55562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2 -Bis : Amortissements</a:t>
          </a:r>
        </a:p>
      </xdr:txBody>
    </xdr:sp>
    <xdr:clientData/>
  </xdr:twoCellAnchor>
  <xdr:twoCellAnchor>
    <xdr:from>
      <xdr:col>14</xdr:col>
      <xdr:colOff>525064</xdr:colOff>
      <xdr:row>45</xdr:row>
      <xdr:rowOff>92869</xdr:rowOff>
    </xdr:from>
    <xdr:to>
      <xdr:col>17</xdr:col>
      <xdr:colOff>96439</xdr:colOff>
      <xdr:row>49</xdr:row>
      <xdr:rowOff>794</xdr:rowOff>
    </xdr:to>
    <xdr:sp macro="" textlink="">
      <xdr:nvSpPr>
        <xdr:cNvPr id="43" name="Rectangle à coins arrondis 42">
          <a:hlinkClick xmlns:r="http://schemas.openxmlformats.org/officeDocument/2006/relationships" r:id="rId9"/>
          <a:extLst>
            <a:ext uri="{FF2B5EF4-FFF2-40B4-BE49-F238E27FC236}">
              <a16:creationId xmlns:a16="http://schemas.microsoft.com/office/drawing/2014/main" id="{00000000-0008-0000-0000-00002B000000}"/>
            </a:ext>
          </a:extLst>
        </xdr:cNvPr>
        <xdr:cNvSpPr/>
      </xdr:nvSpPr>
      <xdr:spPr bwMode="auto">
        <a:xfrm>
          <a:off x="10109595" y="6442869"/>
          <a:ext cx="1625203" cy="54292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5 : Provisions</a:t>
          </a:r>
        </a:p>
      </xdr:txBody>
    </xdr:sp>
    <xdr:clientData/>
  </xdr:twoCellAnchor>
  <xdr:twoCellAnchor>
    <xdr:from>
      <xdr:col>9</xdr:col>
      <xdr:colOff>107549</xdr:colOff>
      <xdr:row>45</xdr:row>
      <xdr:rowOff>92870</xdr:rowOff>
    </xdr:from>
    <xdr:to>
      <xdr:col>11</xdr:col>
      <xdr:colOff>363533</xdr:colOff>
      <xdr:row>49</xdr:row>
      <xdr:rowOff>10320</xdr:rowOff>
    </xdr:to>
    <xdr:sp macro="" textlink="">
      <xdr:nvSpPr>
        <xdr:cNvPr id="44" name="Rectangle à coins arrondis 43">
          <a:hlinkClick xmlns:r="http://schemas.openxmlformats.org/officeDocument/2006/relationships" r:id="rId10"/>
          <a:extLst>
            <a:ext uri="{FF2B5EF4-FFF2-40B4-BE49-F238E27FC236}">
              <a16:creationId xmlns:a16="http://schemas.microsoft.com/office/drawing/2014/main" id="{00000000-0008-0000-0000-00002C000000}"/>
            </a:ext>
          </a:extLst>
        </xdr:cNvPr>
        <xdr:cNvSpPr/>
      </xdr:nvSpPr>
      <xdr:spPr bwMode="auto">
        <a:xfrm>
          <a:off x="6269033" y="6442870"/>
          <a:ext cx="162520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3 : +/- Values</a:t>
          </a:r>
        </a:p>
      </xdr:txBody>
    </xdr:sp>
    <xdr:clientData/>
  </xdr:twoCellAnchor>
  <xdr:twoCellAnchor>
    <xdr:from>
      <xdr:col>11</xdr:col>
      <xdr:colOff>650079</xdr:colOff>
      <xdr:row>45</xdr:row>
      <xdr:rowOff>92075</xdr:rowOff>
    </xdr:from>
    <xdr:to>
      <xdr:col>14</xdr:col>
      <xdr:colOff>222645</xdr:colOff>
      <xdr:row>49</xdr:row>
      <xdr:rowOff>9525</xdr:rowOff>
    </xdr:to>
    <xdr:sp macro="" textlink="">
      <xdr:nvSpPr>
        <xdr:cNvPr id="45" name="Rectangle à coins arrondis 44">
          <a:hlinkClick xmlns:r="http://schemas.openxmlformats.org/officeDocument/2006/relationships" r:id="rId11"/>
          <a:extLst>
            <a:ext uri="{FF2B5EF4-FFF2-40B4-BE49-F238E27FC236}">
              <a16:creationId xmlns:a16="http://schemas.microsoft.com/office/drawing/2014/main" id="{00000000-0008-0000-0000-00002D000000}"/>
            </a:ext>
          </a:extLst>
        </xdr:cNvPr>
        <xdr:cNvSpPr/>
      </xdr:nvSpPr>
      <xdr:spPr bwMode="auto">
        <a:xfrm>
          <a:off x="8180782" y="6442075"/>
          <a:ext cx="1626394"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4 : Titres de participation</a:t>
          </a:r>
        </a:p>
      </xdr:txBody>
    </xdr:sp>
    <xdr:clientData/>
  </xdr:twoCellAnchor>
  <xdr:twoCellAnchor>
    <xdr:from>
      <xdr:col>11</xdr:col>
      <xdr:colOff>642935</xdr:colOff>
      <xdr:row>54</xdr:row>
      <xdr:rowOff>33339</xdr:rowOff>
    </xdr:from>
    <xdr:to>
      <xdr:col>14</xdr:col>
      <xdr:colOff>215500</xdr:colOff>
      <xdr:row>57</xdr:row>
      <xdr:rowOff>109539</xdr:rowOff>
    </xdr:to>
    <xdr:sp macro="" textlink="">
      <xdr:nvSpPr>
        <xdr:cNvPr id="46" name="Rectangle à coins arrondis 45">
          <a:hlinkClick xmlns:r="http://schemas.openxmlformats.org/officeDocument/2006/relationships" r:id="rId12"/>
          <a:extLst>
            <a:ext uri="{FF2B5EF4-FFF2-40B4-BE49-F238E27FC236}">
              <a16:creationId xmlns:a16="http://schemas.microsoft.com/office/drawing/2014/main" id="{00000000-0008-0000-0000-00002E000000}"/>
            </a:ext>
          </a:extLst>
        </xdr:cNvPr>
        <xdr:cNvSpPr/>
      </xdr:nvSpPr>
      <xdr:spPr bwMode="auto">
        <a:xfrm>
          <a:off x="8173638" y="7812089"/>
          <a:ext cx="162639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14 : TVA</a:t>
          </a:r>
        </a:p>
      </xdr:txBody>
    </xdr:sp>
    <xdr:clientData/>
  </xdr:twoCellAnchor>
  <xdr:twoCellAnchor>
    <xdr:from>
      <xdr:col>3</xdr:col>
      <xdr:colOff>426247</xdr:colOff>
      <xdr:row>58</xdr:row>
      <xdr:rowOff>131388</xdr:rowOff>
    </xdr:from>
    <xdr:to>
      <xdr:col>5</xdr:col>
      <xdr:colOff>682231</xdr:colOff>
      <xdr:row>62</xdr:row>
      <xdr:rowOff>39313</xdr:rowOff>
    </xdr:to>
    <xdr:sp macro="" textlink="">
      <xdr:nvSpPr>
        <xdr:cNvPr id="47" name="Rectangle à coins arrondis 46">
          <a:hlinkClick xmlns:r="http://schemas.openxmlformats.org/officeDocument/2006/relationships" r:id="rId13"/>
          <a:extLst>
            <a:ext uri="{FF2B5EF4-FFF2-40B4-BE49-F238E27FC236}">
              <a16:creationId xmlns:a16="http://schemas.microsoft.com/office/drawing/2014/main" id="{00000000-0008-0000-0000-00002F000000}"/>
            </a:ext>
          </a:extLst>
        </xdr:cNvPr>
        <xdr:cNvSpPr/>
      </xdr:nvSpPr>
      <xdr:spPr bwMode="auto">
        <a:xfrm>
          <a:off x="2480075" y="8545138"/>
          <a:ext cx="1625203" cy="54292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1 : Répartition de capital</a:t>
          </a:r>
        </a:p>
      </xdr:txBody>
    </xdr:sp>
    <xdr:clientData/>
  </xdr:twoCellAnchor>
  <xdr:twoCellAnchor>
    <xdr:from>
      <xdr:col>6</xdr:col>
      <xdr:colOff>246860</xdr:colOff>
      <xdr:row>58</xdr:row>
      <xdr:rowOff>121862</xdr:rowOff>
    </xdr:from>
    <xdr:to>
      <xdr:col>8</xdr:col>
      <xdr:colOff>502844</xdr:colOff>
      <xdr:row>62</xdr:row>
      <xdr:rowOff>39312</xdr:rowOff>
    </xdr:to>
    <xdr:sp macro="" textlink="">
      <xdr:nvSpPr>
        <xdr:cNvPr id="48" name="Rectangle à coins arrondis 47">
          <a:hlinkClick xmlns:r="http://schemas.openxmlformats.org/officeDocument/2006/relationships" r:id="rId14"/>
          <a:extLst>
            <a:ext uri="{FF2B5EF4-FFF2-40B4-BE49-F238E27FC236}">
              <a16:creationId xmlns:a16="http://schemas.microsoft.com/office/drawing/2014/main" id="{00000000-0008-0000-0000-000030000000}"/>
            </a:ext>
          </a:extLst>
        </xdr:cNvPr>
        <xdr:cNvSpPr/>
      </xdr:nvSpPr>
      <xdr:spPr bwMode="auto">
        <a:xfrm>
          <a:off x="4354516" y="8535612"/>
          <a:ext cx="162520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2 : Affectation de résultat</a:t>
          </a:r>
        </a:p>
      </xdr:txBody>
    </xdr:sp>
    <xdr:clientData/>
  </xdr:twoCellAnchor>
  <xdr:twoCellAnchor>
    <xdr:from>
      <xdr:col>14</xdr:col>
      <xdr:colOff>478436</xdr:colOff>
      <xdr:row>36</xdr:row>
      <xdr:rowOff>131763</xdr:rowOff>
    </xdr:from>
    <xdr:to>
      <xdr:col>17</xdr:col>
      <xdr:colOff>44787</xdr:colOff>
      <xdr:row>40</xdr:row>
      <xdr:rowOff>49213</xdr:rowOff>
    </xdr:to>
    <xdr:sp macro="" textlink="">
      <xdr:nvSpPr>
        <xdr:cNvPr id="49" name="Rectangle à coins arrondis 48">
          <a:hlinkClick xmlns:r="http://schemas.openxmlformats.org/officeDocument/2006/relationships" r:id="rId26"/>
          <a:extLst>
            <a:ext uri="{FF2B5EF4-FFF2-40B4-BE49-F238E27FC236}">
              <a16:creationId xmlns:a16="http://schemas.microsoft.com/office/drawing/2014/main" id="{00000000-0008-0000-0000-000031000000}"/>
            </a:ext>
          </a:extLst>
        </xdr:cNvPr>
        <xdr:cNvSpPr/>
      </xdr:nvSpPr>
      <xdr:spPr bwMode="auto">
        <a:xfrm>
          <a:off x="10149974" y="5951433"/>
          <a:ext cx="1638824" cy="54547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TF</a:t>
          </a:r>
        </a:p>
      </xdr:txBody>
    </xdr:sp>
    <xdr:clientData/>
  </xdr:twoCellAnchor>
  <xdr:twoCellAnchor>
    <xdr:from>
      <xdr:col>3</xdr:col>
      <xdr:colOff>425050</xdr:colOff>
      <xdr:row>49</xdr:row>
      <xdr:rowOff>150813</xdr:rowOff>
    </xdr:from>
    <xdr:to>
      <xdr:col>5</xdr:col>
      <xdr:colOff>682224</xdr:colOff>
      <xdr:row>53</xdr:row>
      <xdr:rowOff>65088</xdr:rowOff>
    </xdr:to>
    <xdr:sp macro="" textlink="">
      <xdr:nvSpPr>
        <xdr:cNvPr id="50" name="Rectangle à coins arrondis 49">
          <a:hlinkClick xmlns:r="http://schemas.openxmlformats.org/officeDocument/2006/relationships" r:id="rId27"/>
          <a:extLst>
            <a:ext uri="{FF2B5EF4-FFF2-40B4-BE49-F238E27FC236}">
              <a16:creationId xmlns:a16="http://schemas.microsoft.com/office/drawing/2014/main" id="{00000000-0008-0000-0000-000032000000}"/>
            </a:ext>
          </a:extLst>
        </xdr:cNvPr>
        <xdr:cNvSpPr/>
      </xdr:nvSpPr>
      <xdr:spPr bwMode="auto">
        <a:xfrm>
          <a:off x="2478878" y="7135813"/>
          <a:ext cx="1626393" cy="5492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6 : Créances</a:t>
          </a:r>
        </a:p>
      </xdr:txBody>
    </xdr:sp>
    <xdr:clientData/>
  </xdr:twoCellAnchor>
  <xdr:twoCellAnchor>
    <xdr:from>
      <xdr:col>14</xdr:col>
      <xdr:colOff>496093</xdr:colOff>
      <xdr:row>41</xdr:row>
      <xdr:rowOff>50006</xdr:rowOff>
    </xdr:from>
    <xdr:to>
      <xdr:col>17</xdr:col>
      <xdr:colOff>67468</xdr:colOff>
      <xdr:row>44</xdr:row>
      <xdr:rowOff>123030</xdr:rowOff>
    </xdr:to>
    <xdr:sp macro="" textlink="">
      <xdr:nvSpPr>
        <xdr:cNvPr id="51" name="Rectangle à coins arrondis 50">
          <a:hlinkClick xmlns:r="http://schemas.openxmlformats.org/officeDocument/2006/relationships" r:id="rId28"/>
          <a:extLst>
            <a:ext uri="{FF2B5EF4-FFF2-40B4-BE49-F238E27FC236}">
              <a16:creationId xmlns:a16="http://schemas.microsoft.com/office/drawing/2014/main" id="{00000000-0008-0000-0000-000033000000}"/>
            </a:ext>
          </a:extLst>
        </xdr:cNvPr>
        <xdr:cNvSpPr/>
      </xdr:nvSpPr>
      <xdr:spPr bwMode="auto">
        <a:xfrm>
          <a:off x="10080624" y="5765006"/>
          <a:ext cx="1625203" cy="549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 : Non Valeurs</a:t>
          </a:r>
        </a:p>
      </xdr:txBody>
    </xdr:sp>
    <xdr:clientData/>
  </xdr:twoCellAnchor>
  <xdr:twoCellAnchor>
    <xdr:from>
      <xdr:col>6</xdr:col>
      <xdr:colOff>247248</xdr:colOff>
      <xdr:row>50</xdr:row>
      <xdr:rowOff>398</xdr:rowOff>
    </xdr:from>
    <xdr:to>
      <xdr:col>8</xdr:col>
      <xdr:colOff>504423</xdr:colOff>
      <xdr:row>53</xdr:row>
      <xdr:rowOff>73423</xdr:rowOff>
    </xdr:to>
    <xdr:sp macro="" textlink="">
      <xdr:nvSpPr>
        <xdr:cNvPr id="52" name="Rectangle à coins arrondis 51">
          <a:hlinkClick xmlns:r="http://schemas.openxmlformats.org/officeDocument/2006/relationships" r:id="rId29"/>
          <a:extLst>
            <a:ext uri="{FF2B5EF4-FFF2-40B4-BE49-F238E27FC236}">
              <a16:creationId xmlns:a16="http://schemas.microsoft.com/office/drawing/2014/main" id="{00000000-0008-0000-0000-000034000000}"/>
            </a:ext>
          </a:extLst>
        </xdr:cNvPr>
        <xdr:cNvSpPr/>
      </xdr:nvSpPr>
      <xdr:spPr bwMode="auto">
        <a:xfrm>
          <a:off x="4354904" y="7144148"/>
          <a:ext cx="1626394" cy="5492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7 : Dettes</a:t>
          </a:r>
        </a:p>
      </xdr:txBody>
    </xdr:sp>
    <xdr:clientData/>
  </xdr:twoCellAnchor>
  <xdr:twoCellAnchor>
    <xdr:from>
      <xdr:col>9</xdr:col>
      <xdr:colOff>105168</xdr:colOff>
      <xdr:row>49</xdr:row>
      <xdr:rowOff>149225</xdr:rowOff>
    </xdr:from>
    <xdr:to>
      <xdr:col>11</xdr:col>
      <xdr:colOff>362343</xdr:colOff>
      <xdr:row>53</xdr:row>
      <xdr:rowOff>63500</xdr:rowOff>
    </xdr:to>
    <xdr:sp macro="" textlink="">
      <xdr:nvSpPr>
        <xdr:cNvPr id="53" name="Rectangle à coins arrondis 52">
          <a:hlinkClick xmlns:r="http://schemas.openxmlformats.org/officeDocument/2006/relationships" r:id="rId30"/>
          <a:extLst>
            <a:ext uri="{FF2B5EF4-FFF2-40B4-BE49-F238E27FC236}">
              <a16:creationId xmlns:a16="http://schemas.microsoft.com/office/drawing/2014/main" id="{00000000-0008-0000-0000-000035000000}"/>
            </a:ext>
          </a:extLst>
        </xdr:cNvPr>
        <xdr:cNvSpPr/>
      </xdr:nvSpPr>
      <xdr:spPr bwMode="auto">
        <a:xfrm>
          <a:off x="6266652" y="7134225"/>
          <a:ext cx="1626394" cy="5492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8 : Sûretés</a:t>
          </a:r>
        </a:p>
      </xdr:txBody>
    </xdr:sp>
    <xdr:clientData/>
  </xdr:twoCellAnchor>
  <xdr:twoCellAnchor>
    <xdr:from>
      <xdr:col>11</xdr:col>
      <xdr:colOff>653652</xdr:colOff>
      <xdr:row>49</xdr:row>
      <xdr:rowOff>149225</xdr:rowOff>
    </xdr:from>
    <xdr:to>
      <xdr:col>14</xdr:col>
      <xdr:colOff>226217</xdr:colOff>
      <xdr:row>53</xdr:row>
      <xdr:rowOff>63500</xdr:rowOff>
    </xdr:to>
    <xdr:sp macro="" textlink="">
      <xdr:nvSpPr>
        <xdr:cNvPr id="54" name="Rectangle à coins arrondis 53">
          <a:hlinkClick xmlns:r="http://schemas.openxmlformats.org/officeDocument/2006/relationships" r:id="rId31"/>
          <a:extLst>
            <a:ext uri="{FF2B5EF4-FFF2-40B4-BE49-F238E27FC236}">
              <a16:creationId xmlns:a16="http://schemas.microsoft.com/office/drawing/2014/main" id="{00000000-0008-0000-0000-000036000000}"/>
            </a:ext>
          </a:extLst>
        </xdr:cNvPr>
        <xdr:cNvSpPr/>
      </xdr:nvSpPr>
      <xdr:spPr bwMode="auto">
        <a:xfrm>
          <a:off x="8184355" y="7134225"/>
          <a:ext cx="1626393" cy="5492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9 : Engagements financiers</a:t>
          </a:r>
        </a:p>
      </xdr:txBody>
    </xdr:sp>
    <xdr:clientData/>
  </xdr:twoCellAnchor>
  <xdr:twoCellAnchor>
    <xdr:from>
      <xdr:col>6</xdr:col>
      <xdr:colOff>242487</xdr:colOff>
      <xdr:row>54</xdr:row>
      <xdr:rowOff>49611</xdr:rowOff>
    </xdr:from>
    <xdr:to>
      <xdr:col>8</xdr:col>
      <xdr:colOff>499662</xdr:colOff>
      <xdr:row>57</xdr:row>
      <xdr:rowOff>122636</xdr:rowOff>
    </xdr:to>
    <xdr:sp macro="" textlink="">
      <xdr:nvSpPr>
        <xdr:cNvPr id="55" name="Rectangle à coins arrondis 54">
          <a:hlinkClick xmlns:r="http://schemas.openxmlformats.org/officeDocument/2006/relationships" r:id="rId24"/>
          <a:extLst>
            <a:ext uri="{FF2B5EF4-FFF2-40B4-BE49-F238E27FC236}">
              <a16:creationId xmlns:a16="http://schemas.microsoft.com/office/drawing/2014/main" id="{00000000-0008-0000-0000-000037000000}"/>
            </a:ext>
          </a:extLst>
        </xdr:cNvPr>
        <xdr:cNvSpPr/>
      </xdr:nvSpPr>
      <xdr:spPr bwMode="auto">
        <a:xfrm>
          <a:off x="4350143" y="7828361"/>
          <a:ext cx="1626394" cy="54927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12 : Tableau de passage</a:t>
          </a:r>
        </a:p>
      </xdr:txBody>
    </xdr:sp>
    <xdr:clientData/>
  </xdr:twoCellAnchor>
  <xdr:twoCellAnchor>
    <xdr:from>
      <xdr:col>9</xdr:col>
      <xdr:colOff>99211</xdr:colOff>
      <xdr:row>54</xdr:row>
      <xdr:rowOff>29763</xdr:rowOff>
    </xdr:from>
    <xdr:to>
      <xdr:col>11</xdr:col>
      <xdr:colOff>356385</xdr:colOff>
      <xdr:row>57</xdr:row>
      <xdr:rowOff>105963</xdr:rowOff>
    </xdr:to>
    <xdr:sp macro="" textlink="">
      <xdr:nvSpPr>
        <xdr:cNvPr id="56" name="Rectangle à coins arrondis 55">
          <a:hlinkClick xmlns:r="http://schemas.openxmlformats.org/officeDocument/2006/relationships" r:id="rId32"/>
          <a:extLst>
            <a:ext uri="{FF2B5EF4-FFF2-40B4-BE49-F238E27FC236}">
              <a16:creationId xmlns:a16="http://schemas.microsoft.com/office/drawing/2014/main" id="{00000000-0008-0000-0000-000038000000}"/>
            </a:ext>
          </a:extLst>
        </xdr:cNvPr>
        <xdr:cNvSpPr/>
      </xdr:nvSpPr>
      <xdr:spPr bwMode="auto">
        <a:xfrm>
          <a:off x="6260695" y="7808513"/>
          <a:ext cx="162639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13 : </a:t>
          </a:r>
          <a:r>
            <a:rPr lang="fr-FR" sz="1400" b="1" baseline="0">
              <a:solidFill>
                <a:schemeClr val="bg1"/>
              </a:solidFill>
            </a:rPr>
            <a:t>              </a:t>
          </a:r>
          <a:r>
            <a:rPr lang="fr-FR" sz="1400" b="1">
              <a:solidFill>
                <a:schemeClr val="bg1"/>
              </a:solidFill>
            </a:rPr>
            <a:t>Résultat courant</a:t>
          </a:r>
        </a:p>
      </xdr:txBody>
    </xdr:sp>
    <xdr:clientData/>
  </xdr:twoCellAnchor>
  <xdr:twoCellAnchor>
    <xdr:from>
      <xdr:col>14</xdr:col>
      <xdr:colOff>525855</xdr:colOff>
      <xdr:row>54</xdr:row>
      <xdr:rowOff>39687</xdr:rowOff>
    </xdr:from>
    <xdr:to>
      <xdr:col>17</xdr:col>
      <xdr:colOff>98420</xdr:colOff>
      <xdr:row>57</xdr:row>
      <xdr:rowOff>115887</xdr:rowOff>
    </xdr:to>
    <xdr:sp macro="" textlink="">
      <xdr:nvSpPr>
        <xdr:cNvPr id="57" name="Rectangle à coins arrondis 56">
          <a:hlinkClick xmlns:r="http://schemas.openxmlformats.org/officeDocument/2006/relationships" r:id="rId33"/>
          <a:extLst>
            <a:ext uri="{FF2B5EF4-FFF2-40B4-BE49-F238E27FC236}">
              <a16:creationId xmlns:a16="http://schemas.microsoft.com/office/drawing/2014/main" id="{00000000-0008-0000-0000-000039000000}"/>
            </a:ext>
          </a:extLst>
        </xdr:cNvPr>
        <xdr:cNvSpPr/>
      </xdr:nvSpPr>
      <xdr:spPr bwMode="auto">
        <a:xfrm>
          <a:off x="10110386" y="7818437"/>
          <a:ext cx="162639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B 15 : Passif évenuel</a:t>
          </a:r>
        </a:p>
      </xdr:txBody>
    </xdr:sp>
    <xdr:clientData/>
  </xdr:twoCellAnchor>
  <xdr:twoCellAnchor>
    <xdr:from>
      <xdr:col>3</xdr:col>
      <xdr:colOff>418681</xdr:colOff>
      <xdr:row>34</xdr:row>
      <xdr:rowOff>10467</xdr:rowOff>
    </xdr:from>
    <xdr:to>
      <xdr:col>17</xdr:col>
      <xdr:colOff>94203</xdr:colOff>
      <xdr:row>35</xdr:row>
      <xdr:rowOff>119062</xdr:rowOff>
    </xdr:to>
    <xdr:sp macro="" textlink="">
      <xdr:nvSpPr>
        <xdr:cNvPr id="58" name="Rectangle à coins arrondis 57">
          <a:hlinkClick xmlns:r="http://schemas.openxmlformats.org/officeDocument/2006/relationships" r:id="rId21"/>
          <a:extLst>
            <a:ext uri="{FF2B5EF4-FFF2-40B4-BE49-F238E27FC236}">
              <a16:creationId xmlns:a16="http://schemas.microsoft.com/office/drawing/2014/main" id="{00000000-0008-0000-0000-00003A000000}"/>
            </a:ext>
          </a:extLst>
        </xdr:cNvPr>
        <xdr:cNvSpPr/>
      </xdr:nvSpPr>
      <xdr:spPr bwMode="auto">
        <a:xfrm>
          <a:off x="2491154" y="5045110"/>
          <a:ext cx="9347060" cy="265600"/>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600" b="1">
              <a:solidFill>
                <a:schemeClr val="bg1"/>
              </a:solidFill>
            </a:rPr>
            <a:t>Etats de synthèse</a:t>
          </a:r>
        </a:p>
      </xdr:txBody>
    </xdr:sp>
    <xdr:clientData/>
  </xdr:twoCellAnchor>
  <xdr:twoCellAnchor>
    <xdr:from>
      <xdr:col>9</xdr:col>
      <xdr:colOff>109143</xdr:colOff>
      <xdr:row>58</xdr:row>
      <xdr:rowOff>128984</xdr:rowOff>
    </xdr:from>
    <xdr:to>
      <xdr:col>11</xdr:col>
      <xdr:colOff>365127</xdr:colOff>
      <xdr:row>62</xdr:row>
      <xdr:rowOff>46434</xdr:rowOff>
    </xdr:to>
    <xdr:sp macro="" textlink="">
      <xdr:nvSpPr>
        <xdr:cNvPr id="59" name="Rectangle à coins arrondis 58">
          <a:hlinkClick xmlns:r="http://schemas.openxmlformats.org/officeDocument/2006/relationships" r:id="rId34"/>
          <a:extLst>
            <a:ext uri="{FF2B5EF4-FFF2-40B4-BE49-F238E27FC236}">
              <a16:creationId xmlns:a16="http://schemas.microsoft.com/office/drawing/2014/main" id="{00000000-0008-0000-0000-00003B000000}"/>
            </a:ext>
          </a:extLst>
        </xdr:cNvPr>
        <xdr:cNvSpPr/>
      </xdr:nvSpPr>
      <xdr:spPr bwMode="auto">
        <a:xfrm>
          <a:off x="6270627" y="8542734"/>
          <a:ext cx="162520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3 : 3 Exercices</a:t>
          </a:r>
        </a:p>
      </xdr:txBody>
    </xdr:sp>
    <xdr:clientData/>
  </xdr:twoCellAnchor>
  <xdr:twoCellAnchor>
    <xdr:from>
      <xdr:col>11</xdr:col>
      <xdr:colOff>644925</xdr:colOff>
      <xdr:row>58</xdr:row>
      <xdr:rowOff>128984</xdr:rowOff>
    </xdr:from>
    <xdr:to>
      <xdr:col>14</xdr:col>
      <xdr:colOff>216300</xdr:colOff>
      <xdr:row>62</xdr:row>
      <xdr:rowOff>46434</xdr:rowOff>
    </xdr:to>
    <xdr:sp macro="" textlink="">
      <xdr:nvSpPr>
        <xdr:cNvPr id="60" name="Rectangle à coins arrondis 59">
          <a:hlinkClick xmlns:r="http://schemas.openxmlformats.org/officeDocument/2006/relationships" r:id="rId34"/>
          <a:extLst>
            <a:ext uri="{FF2B5EF4-FFF2-40B4-BE49-F238E27FC236}">
              <a16:creationId xmlns:a16="http://schemas.microsoft.com/office/drawing/2014/main" id="{00000000-0008-0000-0000-00003C000000}"/>
            </a:ext>
          </a:extLst>
        </xdr:cNvPr>
        <xdr:cNvSpPr/>
      </xdr:nvSpPr>
      <xdr:spPr bwMode="auto">
        <a:xfrm>
          <a:off x="8175628" y="8542734"/>
          <a:ext cx="162520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4 : Opérations</a:t>
          </a:r>
          <a:r>
            <a:rPr lang="fr-FR" sz="1400" b="1" baseline="0">
              <a:solidFill>
                <a:schemeClr val="bg1"/>
              </a:solidFill>
            </a:rPr>
            <a:t> en devises</a:t>
          </a:r>
          <a:endParaRPr lang="fr-FR" sz="1400" b="1">
            <a:solidFill>
              <a:schemeClr val="bg1"/>
            </a:solidFill>
          </a:endParaRPr>
        </a:p>
      </xdr:txBody>
    </xdr:sp>
    <xdr:clientData/>
  </xdr:twoCellAnchor>
  <xdr:twoCellAnchor>
    <xdr:from>
      <xdr:col>14</xdr:col>
      <xdr:colOff>525863</xdr:colOff>
      <xdr:row>58</xdr:row>
      <xdr:rowOff>119063</xdr:rowOff>
    </xdr:from>
    <xdr:to>
      <xdr:col>17</xdr:col>
      <xdr:colOff>97238</xdr:colOff>
      <xdr:row>62</xdr:row>
      <xdr:rowOff>36513</xdr:rowOff>
    </xdr:to>
    <xdr:sp macro="" textlink="">
      <xdr:nvSpPr>
        <xdr:cNvPr id="61" name="Rectangle à coins arrondis 60">
          <a:hlinkClick xmlns:r="http://schemas.openxmlformats.org/officeDocument/2006/relationships" r:id="rId34"/>
          <a:extLst>
            <a:ext uri="{FF2B5EF4-FFF2-40B4-BE49-F238E27FC236}">
              <a16:creationId xmlns:a16="http://schemas.microsoft.com/office/drawing/2014/main" id="{00000000-0008-0000-0000-00003D000000}"/>
            </a:ext>
          </a:extLst>
        </xdr:cNvPr>
        <xdr:cNvSpPr/>
      </xdr:nvSpPr>
      <xdr:spPr bwMode="auto">
        <a:xfrm>
          <a:off x="10110394" y="8532813"/>
          <a:ext cx="1625203" cy="55245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5 : Datations</a:t>
          </a:r>
        </a:p>
      </xdr:txBody>
    </xdr:sp>
    <xdr:clientData/>
  </xdr:twoCellAnchor>
  <xdr:twoCellAnchor>
    <xdr:from>
      <xdr:col>3</xdr:col>
      <xdr:colOff>426641</xdr:colOff>
      <xdr:row>41</xdr:row>
      <xdr:rowOff>49609</xdr:rowOff>
    </xdr:from>
    <xdr:to>
      <xdr:col>5</xdr:col>
      <xdr:colOff>682625</xdr:colOff>
      <xdr:row>44</xdr:row>
      <xdr:rowOff>122633</xdr:rowOff>
    </xdr:to>
    <xdr:sp macro="" textlink="">
      <xdr:nvSpPr>
        <xdr:cNvPr id="68" name="Rectangle à coins arrondis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bwMode="auto">
        <a:xfrm>
          <a:off x="2480469" y="5764609"/>
          <a:ext cx="1625203" cy="549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0 : Présentation</a:t>
          </a:r>
          <a:r>
            <a:rPr lang="fr-FR" sz="1400" b="1" baseline="0">
              <a:solidFill>
                <a:schemeClr val="bg1"/>
              </a:solidFill>
            </a:rPr>
            <a:t> </a:t>
          </a:r>
          <a:endParaRPr lang="fr-FR" sz="1400" b="1">
            <a:solidFill>
              <a:schemeClr val="bg1"/>
            </a:solidFill>
          </a:endParaRPr>
        </a:p>
      </xdr:txBody>
    </xdr:sp>
    <xdr:clientData/>
  </xdr:twoCellAnchor>
  <xdr:twoCellAnchor>
    <xdr:from>
      <xdr:col>6</xdr:col>
      <xdr:colOff>277816</xdr:colOff>
      <xdr:row>41</xdr:row>
      <xdr:rowOff>59528</xdr:rowOff>
    </xdr:from>
    <xdr:to>
      <xdr:col>8</xdr:col>
      <xdr:colOff>533800</xdr:colOff>
      <xdr:row>44</xdr:row>
      <xdr:rowOff>132552</xdr:rowOff>
    </xdr:to>
    <xdr:sp macro="" textlink="">
      <xdr:nvSpPr>
        <xdr:cNvPr id="69" name="Rectangle à coins arrondis 68">
          <a:hlinkClick xmlns:r="http://schemas.openxmlformats.org/officeDocument/2006/relationships" r:id="rId28"/>
          <a:extLst>
            <a:ext uri="{FF2B5EF4-FFF2-40B4-BE49-F238E27FC236}">
              <a16:creationId xmlns:a16="http://schemas.microsoft.com/office/drawing/2014/main" id="{00000000-0008-0000-0000-000045000000}"/>
            </a:ext>
          </a:extLst>
        </xdr:cNvPr>
        <xdr:cNvSpPr/>
      </xdr:nvSpPr>
      <xdr:spPr bwMode="auto">
        <a:xfrm>
          <a:off x="4385472" y="5774528"/>
          <a:ext cx="1625203" cy="549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1 : Méthodes d'évaluation</a:t>
          </a:r>
        </a:p>
      </xdr:txBody>
    </xdr:sp>
    <xdr:clientData/>
  </xdr:twoCellAnchor>
  <xdr:twoCellAnchor>
    <xdr:from>
      <xdr:col>9</xdr:col>
      <xdr:colOff>138908</xdr:colOff>
      <xdr:row>41</xdr:row>
      <xdr:rowOff>59528</xdr:rowOff>
    </xdr:from>
    <xdr:to>
      <xdr:col>11</xdr:col>
      <xdr:colOff>394892</xdr:colOff>
      <xdr:row>44</xdr:row>
      <xdr:rowOff>132552</xdr:rowOff>
    </xdr:to>
    <xdr:sp macro="" textlink="">
      <xdr:nvSpPr>
        <xdr:cNvPr id="70" name="Rectangle à coins arrondis 69">
          <a:hlinkClick xmlns:r="http://schemas.openxmlformats.org/officeDocument/2006/relationships" r:id="rId36"/>
          <a:extLst>
            <a:ext uri="{FF2B5EF4-FFF2-40B4-BE49-F238E27FC236}">
              <a16:creationId xmlns:a16="http://schemas.microsoft.com/office/drawing/2014/main" id="{00000000-0008-0000-0000-000046000000}"/>
            </a:ext>
          </a:extLst>
        </xdr:cNvPr>
        <xdr:cNvSpPr/>
      </xdr:nvSpPr>
      <xdr:spPr bwMode="auto">
        <a:xfrm>
          <a:off x="6300392" y="5774528"/>
          <a:ext cx="1625203" cy="549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2 : Etat des dérogations</a:t>
          </a:r>
        </a:p>
      </xdr:txBody>
    </xdr:sp>
    <xdr:clientData/>
  </xdr:twoCellAnchor>
  <xdr:twoCellAnchor>
    <xdr:from>
      <xdr:col>12</xdr:col>
      <xdr:colOff>0</xdr:colOff>
      <xdr:row>41</xdr:row>
      <xdr:rowOff>49608</xdr:rowOff>
    </xdr:from>
    <xdr:to>
      <xdr:col>14</xdr:col>
      <xdr:colOff>255985</xdr:colOff>
      <xdr:row>44</xdr:row>
      <xdr:rowOff>122632</xdr:rowOff>
    </xdr:to>
    <xdr:sp macro="" textlink="">
      <xdr:nvSpPr>
        <xdr:cNvPr id="71" name="Rectangle à coins arrondis 70">
          <a:hlinkClick xmlns:r="http://schemas.openxmlformats.org/officeDocument/2006/relationships" r:id="rId37"/>
          <a:extLst>
            <a:ext uri="{FF2B5EF4-FFF2-40B4-BE49-F238E27FC236}">
              <a16:creationId xmlns:a16="http://schemas.microsoft.com/office/drawing/2014/main" id="{00000000-0008-0000-0000-000047000000}"/>
            </a:ext>
          </a:extLst>
        </xdr:cNvPr>
        <xdr:cNvSpPr/>
      </xdr:nvSpPr>
      <xdr:spPr bwMode="auto">
        <a:xfrm>
          <a:off x="8215313" y="5764608"/>
          <a:ext cx="1625203" cy="549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3 : Changement de méthodes</a:t>
          </a:r>
        </a:p>
      </xdr:txBody>
    </xdr:sp>
    <xdr:clientData/>
  </xdr:twoCellAnchor>
  <xdr:twoCellAnchor>
    <xdr:from>
      <xdr:col>0</xdr:col>
      <xdr:colOff>31401</xdr:colOff>
      <xdr:row>38</xdr:row>
      <xdr:rowOff>104667</xdr:rowOff>
    </xdr:from>
    <xdr:to>
      <xdr:col>2</xdr:col>
      <xdr:colOff>288576</xdr:colOff>
      <xdr:row>42</xdr:row>
      <xdr:rowOff>23862</xdr:rowOff>
    </xdr:to>
    <xdr:sp macro="" textlink="">
      <xdr:nvSpPr>
        <xdr:cNvPr id="62" name="Rectangle à coins arrondis 61">
          <a:hlinkClick xmlns:r="http://schemas.openxmlformats.org/officeDocument/2006/relationships" r:id="rId25"/>
          <a:extLst>
            <a:ext uri="{FF2B5EF4-FFF2-40B4-BE49-F238E27FC236}">
              <a16:creationId xmlns:a16="http://schemas.microsoft.com/office/drawing/2014/main" id="{00000000-0008-0000-0000-00003E000000}"/>
            </a:ext>
          </a:extLst>
        </xdr:cNvPr>
        <xdr:cNvSpPr/>
      </xdr:nvSpPr>
      <xdr:spPr bwMode="auto">
        <a:xfrm>
          <a:off x="31401" y="6238348"/>
          <a:ext cx="1638823" cy="547217"/>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Liasse</a:t>
          </a:r>
          <a:r>
            <a:rPr lang="fr-FR" sz="1400" b="1" baseline="0">
              <a:solidFill>
                <a:schemeClr val="bg1"/>
              </a:solidFill>
            </a:rPr>
            <a:t> fiscale</a:t>
          </a:r>
          <a:endParaRPr lang="fr-FR" sz="1400" b="1">
            <a:solidFill>
              <a:schemeClr val="bg1"/>
            </a:solidFill>
          </a:endParaRPr>
        </a:p>
      </xdr:txBody>
    </xdr:sp>
    <xdr:clientData/>
  </xdr:twoCellAnchor>
  <xdr:twoCellAnchor>
    <xdr:from>
      <xdr:col>3</xdr:col>
      <xdr:colOff>471016</xdr:colOff>
      <xdr:row>36</xdr:row>
      <xdr:rowOff>146538</xdr:rowOff>
    </xdr:from>
    <xdr:to>
      <xdr:col>6</xdr:col>
      <xdr:colOff>36176</xdr:colOff>
      <xdr:row>40</xdr:row>
      <xdr:rowOff>60813</xdr:rowOff>
    </xdr:to>
    <xdr:sp macro="" textlink="">
      <xdr:nvSpPr>
        <xdr:cNvPr id="63" name="Rectangle à coins arrondis 62">
          <a:hlinkClick xmlns:r="http://schemas.openxmlformats.org/officeDocument/2006/relationships" r:id="rId38"/>
          <a:extLst>
            <a:ext uri="{FF2B5EF4-FFF2-40B4-BE49-F238E27FC236}">
              <a16:creationId xmlns:a16="http://schemas.microsoft.com/office/drawing/2014/main" id="{00000000-0008-0000-0000-00003F000000}"/>
            </a:ext>
          </a:extLst>
        </xdr:cNvPr>
        <xdr:cNvSpPr/>
      </xdr:nvSpPr>
      <xdr:spPr bwMode="auto">
        <a:xfrm>
          <a:off x="2543489" y="5966208"/>
          <a:ext cx="1637632" cy="54229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Feuille</a:t>
          </a:r>
          <a:r>
            <a:rPr lang="fr-FR" sz="1400" b="1" baseline="0">
              <a:solidFill>
                <a:schemeClr val="bg1"/>
              </a:solidFill>
            </a:rPr>
            <a:t> de couverture</a:t>
          </a:r>
          <a:endParaRPr lang="fr-FR" sz="1400" b="1">
            <a:solidFill>
              <a:schemeClr val="bg1"/>
            </a:solidFill>
          </a:endParaRPr>
        </a:p>
      </xdr:txBody>
    </xdr:sp>
    <xdr:clientData/>
  </xdr:twoCellAnchor>
  <xdr:twoCellAnchor>
    <xdr:from>
      <xdr:col>7</xdr:col>
      <xdr:colOff>669890</xdr:colOff>
      <xdr:row>3</xdr:row>
      <xdr:rowOff>20934</xdr:rowOff>
    </xdr:from>
    <xdr:to>
      <xdr:col>10</xdr:col>
      <xdr:colOff>235049</xdr:colOff>
      <xdr:row>6</xdr:row>
      <xdr:rowOff>92214</xdr:rowOff>
    </xdr:to>
    <xdr:sp macro="" textlink="">
      <xdr:nvSpPr>
        <xdr:cNvPr id="64" name="Rectangle à coins arrondis 63">
          <a:hlinkClick xmlns:r="http://schemas.openxmlformats.org/officeDocument/2006/relationships" r:id="rId39"/>
          <a:extLst>
            <a:ext uri="{FF2B5EF4-FFF2-40B4-BE49-F238E27FC236}">
              <a16:creationId xmlns:a16="http://schemas.microsoft.com/office/drawing/2014/main" id="{00000000-0008-0000-0000-000040000000}"/>
            </a:ext>
          </a:extLst>
        </xdr:cNvPr>
        <xdr:cNvSpPr/>
      </xdr:nvSpPr>
      <xdr:spPr bwMode="auto">
        <a:xfrm>
          <a:off x="5505659" y="491950"/>
          <a:ext cx="1637632" cy="54229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Feuille</a:t>
          </a:r>
          <a:r>
            <a:rPr lang="fr-FR" sz="1400" b="1" baseline="0">
              <a:solidFill>
                <a:schemeClr val="bg1"/>
              </a:solidFill>
            </a:rPr>
            <a:t> de couverture</a:t>
          </a:r>
          <a:endParaRPr lang="fr-FR" sz="1400" b="1">
            <a:solidFill>
              <a:schemeClr val="bg1"/>
            </a:solidFill>
          </a:endParaRPr>
        </a:p>
      </xdr:txBody>
    </xdr:sp>
    <xdr:clientData/>
  </xdr:twoCellAnchor>
  <xdr:twoCellAnchor>
    <xdr:from>
      <xdr:col>15</xdr:col>
      <xdr:colOff>302559</xdr:colOff>
      <xdr:row>0</xdr:row>
      <xdr:rowOff>123264</xdr:rowOff>
    </xdr:from>
    <xdr:to>
      <xdr:col>17</xdr:col>
      <xdr:colOff>559734</xdr:colOff>
      <xdr:row>4</xdr:row>
      <xdr:rowOff>42583</xdr:rowOff>
    </xdr:to>
    <xdr:sp macro="" textlink="">
      <xdr:nvSpPr>
        <xdr:cNvPr id="65" name="Rectangle à coins arrondis 64">
          <a:hlinkClick xmlns:r="http://schemas.openxmlformats.org/officeDocument/2006/relationships" r:id="rId40"/>
          <a:extLst>
            <a:ext uri="{FF2B5EF4-FFF2-40B4-BE49-F238E27FC236}">
              <a16:creationId xmlns:a16="http://schemas.microsoft.com/office/drawing/2014/main" id="{00000000-0008-0000-0000-000041000000}"/>
            </a:ext>
          </a:extLst>
        </xdr:cNvPr>
        <xdr:cNvSpPr/>
      </xdr:nvSpPr>
      <xdr:spPr bwMode="auto">
        <a:xfrm>
          <a:off x="10555941" y="123264"/>
          <a:ext cx="1624293" cy="546848"/>
        </a:xfrm>
        <a:prstGeom prst="roundRect">
          <a:avLst/>
        </a:prstGeom>
        <a:solidFill>
          <a:srgbClr val="FF0000"/>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Fichier XML</a:t>
          </a:r>
        </a:p>
      </xdr:txBody>
    </xdr:sp>
    <xdr:clientData/>
  </xdr:twoCellAnchor>
  <xdr:twoCellAnchor>
    <xdr:from>
      <xdr:col>15</xdr:col>
      <xdr:colOff>267838</xdr:colOff>
      <xdr:row>6</xdr:row>
      <xdr:rowOff>123256</xdr:rowOff>
    </xdr:from>
    <xdr:to>
      <xdr:col>17</xdr:col>
      <xdr:colOff>517747</xdr:colOff>
      <xdr:row>10</xdr:row>
      <xdr:rowOff>40705</xdr:rowOff>
    </xdr:to>
    <xdr:sp macro="" textlink="">
      <xdr:nvSpPr>
        <xdr:cNvPr id="66" name="Rectangle à coins arrondis 65">
          <a:hlinkClick xmlns:r="http://schemas.openxmlformats.org/officeDocument/2006/relationships" r:id="rId26"/>
          <a:extLst>
            <a:ext uri="{FF2B5EF4-FFF2-40B4-BE49-F238E27FC236}">
              <a16:creationId xmlns:a16="http://schemas.microsoft.com/office/drawing/2014/main" id="{00000000-0008-0000-0000-000042000000}"/>
            </a:ext>
          </a:extLst>
        </xdr:cNvPr>
        <xdr:cNvSpPr/>
      </xdr:nvSpPr>
      <xdr:spPr bwMode="auto">
        <a:xfrm>
          <a:off x="10521220" y="1064550"/>
          <a:ext cx="1617027" cy="544979"/>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TF</a:t>
          </a:r>
        </a:p>
      </xdr:txBody>
    </xdr:sp>
    <xdr:clientData/>
  </xdr:twoCellAnchor>
  <xdr:twoCellAnchor>
    <xdr:from>
      <xdr:col>15</xdr:col>
      <xdr:colOff>176590</xdr:colOff>
      <xdr:row>26</xdr:row>
      <xdr:rowOff>120477</xdr:rowOff>
    </xdr:from>
    <xdr:to>
      <xdr:col>17</xdr:col>
      <xdr:colOff>431524</xdr:colOff>
      <xdr:row>30</xdr:row>
      <xdr:rowOff>37927</xdr:rowOff>
    </xdr:to>
    <xdr:sp macro="" textlink="">
      <xdr:nvSpPr>
        <xdr:cNvPr id="67" name="Rectangle à coins arrondis 66">
          <a:hlinkClick xmlns:r="http://schemas.openxmlformats.org/officeDocument/2006/relationships" r:id="rId34"/>
          <a:extLst>
            <a:ext uri="{FF2B5EF4-FFF2-40B4-BE49-F238E27FC236}">
              <a16:creationId xmlns:a16="http://schemas.microsoft.com/office/drawing/2014/main" id="{00000000-0008-0000-0000-000043000000}"/>
            </a:ext>
          </a:extLst>
        </xdr:cNvPr>
        <xdr:cNvSpPr/>
      </xdr:nvSpPr>
      <xdr:spPr bwMode="auto">
        <a:xfrm>
          <a:off x="10429972" y="4356301"/>
          <a:ext cx="1622052" cy="544979"/>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C 4 : Opérations</a:t>
          </a:r>
          <a:r>
            <a:rPr lang="fr-FR" sz="1400" b="1" baseline="0">
              <a:solidFill>
                <a:schemeClr val="bg1"/>
              </a:solidFill>
            </a:rPr>
            <a:t> en devises</a:t>
          </a:r>
          <a:endParaRPr lang="fr-FR" sz="1400" b="1">
            <a:solidFill>
              <a:schemeClr val="bg1"/>
            </a:solidFill>
          </a:endParaRPr>
        </a:p>
      </xdr:txBody>
    </xdr:sp>
    <xdr:clientData/>
  </xdr:twoCellAnchor>
  <xdr:twoCellAnchor>
    <xdr:from>
      <xdr:col>15</xdr:col>
      <xdr:colOff>257717</xdr:colOff>
      <xdr:row>11</xdr:row>
      <xdr:rowOff>185492</xdr:rowOff>
    </xdr:from>
    <xdr:to>
      <xdr:col>17</xdr:col>
      <xdr:colOff>513701</xdr:colOff>
      <xdr:row>14</xdr:row>
      <xdr:rowOff>180075</xdr:rowOff>
    </xdr:to>
    <xdr:sp macro="" textlink="">
      <xdr:nvSpPr>
        <xdr:cNvPr id="72" name="Rectangle à coins arrondis 71">
          <a:hlinkClick xmlns:r="http://schemas.openxmlformats.org/officeDocument/2006/relationships" r:id="rId28"/>
          <a:extLst>
            <a:ext uri="{FF2B5EF4-FFF2-40B4-BE49-F238E27FC236}">
              <a16:creationId xmlns:a16="http://schemas.microsoft.com/office/drawing/2014/main" id="{00000000-0008-0000-0000-000048000000}"/>
            </a:ext>
          </a:extLst>
        </xdr:cNvPr>
        <xdr:cNvSpPr/>
      </xdr:nvSpPr>
      <xdr:spPr bwMode="auto">
        <a:xfrm>
          <a:off x="10511099" y="1911198"/>
          <a:ext cx="1623102" cy="5436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1 : Méthodes d'évaluation</a:t>
          </a:r>
        </a:p>
      </xdr:txBody>
    </xdr:sp>
    <xdr:clientData/>
  </xdr:twoCellAnchor>
  <xdr:twoCellAnchor>
    <xdr:from>
      <xdr:col>15</xdr:col>
      <xdr:colOff>230867</xdr:colOff>
      <xdr:row>16</xdr:row>
      <xdr:rowOff>73433</xdr:rowOff>
    </xdr:from>
    <xdr:to>
      <xdr:col>17</xdr:col>
      <xdr:colOff>486851</xdr:colOff>
      <xdr:row>19</xdr:row>
      <xdr:rowOff>146457</xdr:rowOff>
    </xdr:to>
    <xdr:sp macro="" textlink="">
      <xdr:nvSpPr>
        <xdr:cNvPr id="73" name="Rectangle à coins arrondis 72">
          <a:hlinkClick xmlns:r="http://schemas.openxmlformats.org/officeDocument/2006/relationships" r:id="rId36"/>
          <a:extLst>
            <a:ext uri="{FF2B5EF4-FFF2-40B4-BE49-F238E27FC236}">
              <a16:creationId xmlns:a16="http://schemas.microsoft.com/office/drawing/2014/main" id="{00000000-0008-0000-0000-000049000000}"/>
            </a:ext>
          </a:extLst>
        </xdr:cNvPr>
        <xdr:cNvSpPr/>
      </xdr:nvSpPr>
      <xdr:spPr bwMode="auto">
        <a:xfrm>
          <a:off x="10484249" y="2740433"/>
          <a:ext cx="1623102" cy="5436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2 : Etat des dérogations</a:t>
          </a:r>
        </a:p>
      </xdr:txBody>
    </xdr:sp>
    <xdr:clientData/>
  </xdr:twoCellAnchor>
  <xdr:twoCellAnchor>
    <xdr:from>
      <xdr:col>15</xdr:col>
      <xdr:colOff>237636</xdr:colOff>
      <xdr:row>21</xdr:row>
      <xdr:rowOff>108337</xdr:rowOff>
    </xdr:from>
    <xdr:to>
      <xdr:col>17</xdr:col>
      <xdr:colOff>493621</xdr:colOff>
      <xdr:row>25</xdr:row>
      <xdr:rowOff>24479</xdr:rowOff>
    </xdr:to>
    <xdr:sp macro="" textlink="">
      <xdr:nvSpPr>
        <xdr:cNvPr id="74" name="Rectangle à coins arrondis 73">
          <a:hlinkClick xmlns:r="http://schemas.openxmlformats.org/officeDocument/2006/relationships" r:id="rId37"/>
          <a:extLst>
            <a:ext uri="{FF2B5EF4-FFF2-40B4-BE49-F238E27FC236}">
              <a16:creationId xmlns:a16="http://schemas.microsoft.com/office/drawing/2014/main" id="{00000000-0008-0000-0000-00004A000000}"/>
            </a:ext>
          </a:extLst>
        </xdr:cNvPr>
        <xdr:cNvSpPr/>
      </xdr:nvSpPr>
      <xdr:spPr bwMode="auto">
        <a:xfrm>
          <a:off x="10491018" y="3559749"/>
          <a:ext cx="1623103" cy="5436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fr-FR" sz="1400" b="1">
              <a:solidFill>
                <a:schemeClr val="bg1"/>
              </a:solidFill>
            </a:rPr>
            <a:t>A 3 : Changement de méthodes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923925</xdr:colOff>
      <xdr:row>4</xdr:row>
      <xdr:rowOff>142875</xdr:rowOff>
    </xdr:from>
    <xdr:to>
      <xdr:col>5</xdr:col>
      <xdr:colOff>904875</xdr:colOff>
      <xdr:row>8</xdr:row>
      <xdr:rowOff>95250</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bwMode="auto">
        <a:xfrm rot="10800000">
          <a:off x="7581900" y="8572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5</xdr:col>
      <xdr:colOff>0</xdr:colOff>
      <xdr:row>0</xdr:row>
      <xdr:rowOff>152400</xdr:rowOff>
    </xdr:from>
    <xdr:to>
      <xdr:col>5</xdr:col>
      <xdr:colOff>914401</xdr:colOff>
      <xdr:row>4</xdr:row>
      <xdr:rowOff>9525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bwMode="auto">
        <a:xfrm rot="10800000">
          <a:off x="7591425" y="1524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xdr:colOff>
      <xdr:row>0</xdr:row>
      <xdr:rowOff>0</xdr:rowOff>
    </xdr:from>
    <xdr:to>
      <xdr:col>8</xdr:col>
      <xdr:colOff>942975</xdr:colOff>
      <xdr:row>3</xdr:row>
      <xdr:rowOff>57150</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bwMode="auto">
        <a:xfrm rot="10800000">
          <a:off x="9658350" y="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9</xdr:col>
      <xdr:colOff>38100</xdr:colOff>
      <xdr:row>0</xdr:row>
      <xdr:rowOff>76200</xdr:rowOff>
    </xdr:from>
    <xdr:to>
      <xdr:col>9</xdr:col>
      <xdr:colOff>952501</xdr:colOff>
      <xdr:row>3</xdr:row>
      <xdr:rowOff>133350</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bwMode="auto">
        <a:xfrm rot="10800000">
          <a:off x="10744200" y="762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180975</xdr:colOff>
      <xdr:row>8</xdr:row>
      <xdr:rowOff>28575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bwMode="auto">
        <a:xfrm rot="10800000">
          <a:off x="6219825" y="8382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8</xdr:col>
      <xdr:colOff>0</xdr:colOff>
      <xdr:row>1</xdr:row>
      <xdr:rowOff>0</xdr:rowOff>
    </xdr:from>
    <xdr:to>
      <xdr:col>9</xdr:col>
      <xdr:colOff>180976</xdr:colOff>
      <xdr:row>4</xdr:row>
      <xdr:rowOff>38100</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bwMode="auto">
        <a:xfrm rot="10800000">
          <a:off x="6219825" y="1524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5</xdr:row>
      <xdr:rowOff>0</xdr:rowOff>
    </xdr:from>
    <xdr:to>
      <xdr:col>6</xdr:col>
      <xdr:colOff>219075</xdr:colOff>
      <xdr:row>8</xdr:row>
      <xdr:rowOff>114300</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rot="10800000">
          <a:off x="6477000" y="8191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5</xdr:col>
      <xdr:colOff>0</xdr:colOff>
      <xdr:row>1</xdr:row>
      <xdr:rowOff>57150</xdr:rowOff>
    </xdr:from>
    <xdr:to>
      <xdr:col>6</xdr:col>
      <xdr:colOff>219076</xdr:colOff>
      <xdr:row>4</xdr:row>
      <xdr:rowOff>123825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bwMode="auto">
        <a:xfrm rot="10800000">
          <a:off x="6477000" y="2190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6</xdr:row>
      <xdr:rowOff>0</xdr:rowOff>
    </xdr:from>
    <xdr:to>
      <xdr:col>13</xdr:col>
      <xdr:colOff>228600</xdr:colOff>
      <xdr:row>9</xdr:row>
      <xdr:rowOff>85725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rot="10800000">
          <a:off x="10363200" y="10096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12</xdr:col>
      <xdr:colOff>0</xdr:colOff>
      <xdr:row>1</xdr:row>
      <xdr:rowOff>47625</xdr:rowOff>
    </xdr:from>
    <xdr:to>
      <xdr:col>13</xdr:col>
      <xdr:colOff>228601</xdr:colOff>
      <xdr:row>4</xdr:row>
      <xdr:rowOff>104775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bwMode="auto">
        <a:xfrm rot="10800000">
          <a:off x="10363200" y="2190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66675</xdr:colOff>
      <xdr:row>5</xdr:row>
      <xdr:rowOff>85725</xdr:rowOff>
    </xdr:from>
    <xdr:to>
      <xdr:col>7</xdr:col>
      <xdr:colOff>295275</xdr:colOff>
      <xdr:row>9</xdr:row>
      <xdr:rowOff>9525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bwMode="auto">
        <a:xfrm rot="10800000">
          <a:off x="8763000" y="9334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6</xdr:col>
      <xdr:colOff>57150</xdr:colOff>
      <xdr:row>1</xdr:row>
      <xdr:rowOff>123825</xdr:rowOff>
    </xdr:from>
    <xdr:to>
      <xdr:col>7</xdr:col>
      <xdr:colOff>285751</xdr:colOff>
      <xdr:row>5</xdr:row>
      <xdr:rowOff>19050</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bwMode="auto">
        <a:xfrm rot="10800000">
          <a:off x="8753475" y="2952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381000</xdr:colOff>
      <xdr:row>15</xdr:row>
      <xdr:rowOff>38100</xdr:rowOff>
    </xdr:from>
    <xdr:to>
      <xdr:col>7</xdr:col>
      <xdr:colOff>676276</xdr:colOff>
      <xdr:row>22</xdr:row>
      <xdr:rowOff>133350</xdr:rowOff>
    </xdr:to>
    <xdr:sp macro="" textlink="">
      <xdr:nvSpPr>
        <xdr:cNvPr id="2" name="Texte 1">
          <a:extLst>
            <a:ext uri="{FF2B5EF4-FFF2-40B4-BE49-F238E27FC236}">
              <a16:creationId xmlns:a16="http://schemas.microsoft.com/office/drawing/2014/main" id="{00000000-0008-0000-1300-000002000000}"/>
            </a:ext>
          </a:extLst>
        </xdr:cNvPr>
        <xdr:cNvSpPr txBox="1">
          <a:spLocks noChangeArrowheads="1"/>
        </xdr:cNvSpPr>
      </xdr:nvSpPr>
      <xdr:spPr bwMode="auto">
        <a:xfrm>
          <a:off x="3819525" y="2533650"/>
          <a:ext cx="3800476" cy="1228725"/>
        </a:xfrm>
        <a:prstGeom prst="rect">
          <a:avLst/>
        </a:prstGeom>
        <a:noFill/>
        <a:ln w="1">
          <a:noFill/>
          <a:miter lim="800000"/>
          <a:headEnd/>
          <a:tailEnd/>
        </a:ln>
      </xdr:spPr>
      <xdr:txBody>
        <a:bodyPr vertOverflow="clip" wrap="square" lIns="64008" tIns="59436" rIns="64008" bIns="0" anchor="t" upright="1"/>
        <a:lstStyle/>
        <a:p>
          <a:pPr algn="ctr" rtl="0">
            <a:defRPr sz="1000"/>
          </a:pPr>
          <a:r>
            <a:rPr lang="fr-FR" sz="5600" b="1" i="1" strike="noStrike">
              <a:solidFill>
                <a:srgbClr val="000000"/>
              </a:solidFill>
              <a:latin typeface="Times New Roman"/>
              <a:cs typeface="Times New Roman"/>
            </a:rPr>
            <a:t>NEANT</a:t>
          </a:r>
        </a:p>
      </xdr:txBody>
    </xdr:sp>
    <xdr:clientData/>
  </xdr:twoCellAnchor>
  <xdr:twoCellAnchor>
    <xdr:from>
      <xdr:col>10</xdr:col>
      <xdr:colOff>104775</xdr:colOff>
      <xdr:row>0</xdr:row>
      <xdr:rowOff>76200</xdr:rowOff>
    </xdr:from>
    <xdr:to>
      <xdr:col>11</xdr:col>
      <xdr:colOff>333375</xdr:colOff>
      <xdr:row>3</xdr:row>
      <xdr:rowOff>123825</xdr:rowOff>
    </xdr:to>
    <xdr:sp macro="" textlink="">
      <xdr:nvSpPr>
        <xdr:cNvPr id="5" name="Flèche droite rayée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bwMode="auto">
        <a:xfrm rot="10800000">
          <a:off x="10487025" y="762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9</xdr:col>
      <xdr:colOff>28575</xdr:colOff>
      <xdr:row>0</xdr:row>
      <xdr:rowOff>85725</xdr:rowOff>
    </xdr:from>
    <xdr:to>
      <xdr:col>9</xdr:col>
      <xdr:colOff>942976</xdr:colOff>
      <xdr:row>3</xdr:row>
      <xdr:rowOff>133350</xdr:rowOff>
    </xdr:to>
    <xdr:sp macro="" textlink="">
      <xdr:nvSpPr>
        <xdr:cNvPr id="6" name="Flèche droite rayée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bwMode="auto">
        <a:xfrm rot="10800000">
          <a:off x="9410700" y="8572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142875</xdr:colOff>
      <xdr:row>5</xdr:row>
      <xdr:rowOff>114300</xdr:rowOff>
    </xdr:from>
    <xdr:to>
      <xdr:col>9</xdr:col>
      <xdr:colOff>295275</xdr:colOff>
      <xdr:row>9</xdr:row>
      <xdr:rowOff>28575</xdr:rowOff>
    </xdr:to>
    <xdr:sp macro="" textlink="">
      <xdr:nvSpPr>
        <xdr:cNvPr id="5" name="Flèche droite rayée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rot="10800000">
          <a:off x="8667750" y="9906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8</xdr:col>
      <xdr:colOff>142875</xdr:colOff>
      <xdr:row>2</xdr:row>
      <xdr:rowOff>38100</xdr:rowOff>
    </xdr:from>
    <xdr:to>
      <xdr:col>9</xdr:col>
      <xdr:colOff>295276</xdr:colOff>
      <xdr:row>5</xdr:row>
      <xdr:rowOff>66675</xdr:rowOff>
    </xdr:to>
    <xdr:sp macro="" textlink="">
      <xdr:nvSpPr>
        <xdr:cNvPr id="6" name="Flèche droite rayée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bwMode="auto">
        <a:xfrm rot="10800000">
          <a:off x="8667750" y="3714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171450</xdr:colOff>
      <xdr:row>4</xdr:row>
      <xdr:rowOff>152400</xdr:rowOff>
    </xdr:from>
    <xdr:to>
      <xdr:col>11</xdr:col>
      <xdr:colOff>323850</xdr:colOff>
      <xdr:row>8</xdr:row>
      <xdr:rowOff>104775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bwMode="auto">
        <a:xfrm rot="10800000">
          <a:off x="9906000" y="8382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10</xdr:col>
      <xdr:colOff>171450</xdr:colOff>
      <xdr:row>1</xdr:row>
      <xdr:rowOff>38100</xdr:rowOff>
    </xdr:from>
    <xdr:to>
      <xdr:col>11</xdr:col>
      <xdr:colOff>323851</xdr:colOff>
      <xdr:row>4</xdr:row>
      <xdr:rowOff>95250</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bwMode="auto">
        <a:xfrm rot="10800000">
          <a:off x="9906000" y="20955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123825</xdr:colOff>
      <xdr:row>4</xdr:row>
      <xdr:rowOff>152400</xdr:rowOff>
    </xdr:from>
    <xdr:to>
      <xdr:col>6</xdr:col>
      <xdr:colOff>142875</xdr:colOff>
      <xdr:row>8</xdr:row>
      <xdr:rowOff>76200</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bwMode="auto">
        <a:xfrm rot="10800000">
          <a:off x="8591550" y="8096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5</xdr:col>
      <xdr:colOff>142875</xdr:colOff>
      <xdr:row>1</xdr:row>
      <xdr:rowOff>0</xdr:rowOff>
    </xdr:from>
    <xdr:to>
      <xdr:col>6</xdr:col>
      <xdr:colOff>161926</xdr:colOff>
      <xdr:row>4</xdr:row>
      <xdr:rowOff>85725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bwMode="auto">
        <a:xfrm rot="10800000">
          <a:off x="8610600" y="17145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361949</xdr:colOff>
      <xdr:row>0</xdr:row>
      <xdr:rowOff>57150</xdr:rowOff>
    </xdr:from>
    <xdr:to>
      <xdr:col>5</xdr:col>
      <xdr:colOff>133348</xdr:colOff>
      <xdr:row>3</xdr:row>
      <xdr:rowOff>142875</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rot="10800000">
          <a:off x="4762499" y="57150"/>
          <a:ext cx="895349"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114300</xdr:colOff>
      <xdr:row>5</xdr:row>
      <xdr:rowOff>38100</xdr:rowOff>
    </xdr:from>
    <xdr:to>
      <xdr:col>11</xdr:col>
      <xdr:colOff>266700</xdr:colOff>
      <xdr:row>8</xdr:row>
      <xdr:rowOff>123825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bwMode="auto">
        <a:xfrm rot="10800000">
          <a:off x="10563225" y="8572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10</xdr:col>
      <xdr:colOff>104775</xdr:colOff>
      <xdr:row>1</xdr:row>
      <xdr:rowOff>57150</xdr:rowOff>
    </xdr:from>
    <xdr:to>
      <xdr:col>11</xdr:col>
      <xdr:colOff>257176</xdr:colOff>
      <xdr:row>4</xdr:row>
      <xdr:rowOff>142875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bwMode="auto">
        <a:xfrm rot="10800000">
          <a:off x="10553700" y="2286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66675</xdr:colOff>
      <xdr:row>5</xdr:row>
      <xdr:rowOff>47625</xdr:rowOff>
    </xdr:from>
    <xdr:to>
      <xdr:col>5</xdr:col>
      <xdr:colOff>161925</xdr:colOff>
      <xdr:row>7</xdr:row>
      <xdr:rowOff>180975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bwMode="auto">
        <a:xfrm rot="10800000">
          <a:off x="7562850" y="86677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4</xdr:col>
      <xdr:colOff>76200</xdr:colOff>
      <xdr:row>1</xdr:row>
      <xdr:rowOff>85725</xdr:rowOff>
    </xdr:from>
    <xdr:to>
      <xdr:col>5</xdr:col>
      <xdr:colOff>171451</xdr:colOff>
      <xdr:row>5</xdr:row>
      <xdr:rowOff>9525</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bwMode="auto">
        <a:xfrm rot="10800000">
          <a:off x="7572375" y="2571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914401</xdr:colOff>
      <xdr:row>5</xdr:row>
      <xdr:rowOff>11906</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bwMode="auto">
        <a:xfrm rot="10800000">
          <a:off x="8822531" y="33337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47625</xdr:colOff>
      <xdr:row>11</xdr:row>
      <xdr:rowOff>76200</xdr:rowOff>
    </xdr:from>
    <xdr:to>
      <xdr:col>8</xdr:col>
      <xdr:colOff>142875</xdr:colOff>
      <xdr:row>15</xdr:row>
      <xdr:rowOff>123825</xdr:rowOff>
    </xdr:to>
    <xdr:sp macro="" textlink="">
      <xdr:nvSpPr>
        <xdr:cNvPr id="6145" name="Texte 1">
          <a:extLst>
            <a:ext uri="{FF2B5EF4-FFF2-40B4-BE49-F238E27FC236}">
              <a16:creationId xmlns:a16="http://schemas.microsoft.com/office/drawing/2014/main" id="{00000000-0008-0000-1B00-000001180000}"/>
            </a:ext>
          </a:extLst>
        </xdr:cNvPr>
        <xdr:cNvSpPr txBox="1">
          <a:spLocks noChangeArrowheads="1"/>
        </xdr:cNvSpPr>
      </xdr:nvSpPr>
      <xdr:spPr bwMode="auto">
        <a:xfrm>
          <a:off x="1914525" y="2628900"/>
          <a:ext cx="3609975" cy="657225"/>
        </a:xfrm>
        <a:prstGeom prst="rect">
          <a:avLst/>
        </a:prstGeom>
        <a:noFill/>
        <a:ln w="1">
          <a:noFill/>
          <a:miter lim="800000"/>
          <a:headEnd/>
          <a:tailEnd/>
        </a:ln>
      </xdr:spPr>
      <xdr:txBody>
        <a:bodyPr vertOverflow="clip" wrap="square" lIns="64008" tIns="59436" rIns="64008" bIns="0" anchor="t" upright="1"/>
        <a:lstStyle/>
        <a:p>
          <a:pPr algn="ctr" rtl="0">
            <a:defRPr sz="1000"/>
          </a:pPr>
          <a:r>
            <a:rPr lang="fr-FR" sz="3600" b="1" i="1" strike="noStrike">
              <a:solidFill>
                <a:srgbClr val="000000"/>
              </a:solidFill>
              <a:latin typeface="Times New Roman"/>
              <a:cs typeface="Times New Roman"/>
            </a:rPr>
            <a:t>NEANT</a:t>
          </a:r>
        </a:p>
      </xdr:txBody>
    </xdr:sp>
    <xdr:clientData/>
  </xdr:twoCellAnchor>
  <xdr:twoCellAnchor>
    <xdr:from>
      <xdr:col>10</xdr:col>
      <xdr:colOff>0</xdr:colOff>
      <xdr:row>0</xdr:row>
      <xdr:rowOff>57150</xdr:rowOff>
    </xdr:from>
    <xdr:to>
      <xdr:col>11</xdr:col>
      <xdr:colOff>228601</xdr:colOff>
      <xdr:row>3</xdr:row>
      <xdr:rowOff>161925</xdr:rowOff>
    </xdr:to>
    <xdr:sp macro="" textlink="">
      <xdr:nvSpPr>
        <xdr:cNvPr id="5" name="Flèche droite rayée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bwMode="auto">
        <a:xfrm rot="10800000">
          <a:off x="6877050" y="5715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223839</xdr:colOff>
      <xdr:row>4</xdr:row>
      <xdr:rowOff>11907</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bwMode="auto">
        <a:xfrm rot="10800000">
          <a:off x="9215438" y="166688"/>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114300</xdr:rowOff>
    </xdr:from>
    <xdr:to>
      <xdr:col>10</xdr:col>
      <xdr:colOff>228601</xdr:colOff>
      <xdr:row>3</xdr:row>
      <xdr:rowOff>190500</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bwMode="auto">
        <a:xfrm rot="10800000">
          <a:off x="8362950" y="1143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166684</xdr:colOff>
      <xdr:row>0</xdr:row>
      <xdr:rowOff>119063</xdr:rowOff>
    </xdr:from>
    <xdr:to>
      <xdr:col>10</xdr:col>
      <xdr:colOff>390523</xdr:colOff>
      <xdr:row>4</xdr:row>
      <xdr:rowOff>35719</xdr:rowOff>
    </xdr:to>
    <xdr:sp macro="" textlink="">
      <xdr:nvSpPr>
        <xdr:cNvPr id="5" name="Flèche droite rayée 4">
          <a:hlinkClick xmlns:r="http://schemas.openxmlformats.org/officeDocument/2006/relationships" r:id="rId1"/>
          <a:extLst>
            <a:ext uri="{FF2B5EF4-FFF2-40B4-BE49-F238E27FC236}">
              <a16:creationId xmlns:a16="http://schemas.microsoft.com/office/drawing/2014/main" id="{00000000-0008-0000-1E00-000005000000}"/>
            </a:ext>
          </a:extLst>
        </xdr:cNvPr>
        <xdr:cNvSpPr/>
      </xdr:nvSpPr>
      <xdr:spPr bwMode="auto">
        <a:xfrm rot="10800000">
          <a:off x="11632403" y="119063"/>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914400</xdr:colOff>
      <xdr:row>4</xdr:row>
      <xdr:rowOff>47625</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bwMode="auto">
        <a:xfrm rot="10800000">
          <a:off x="8143875" y="2000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8</xdr:col>
      <xdr:colOff>0</xdr:colOff>
      <xdr:row>4</xdr:row>
      <xdr:rowOff>123825</xdr:rowOff>
    </xdr:from>
    <xdr:to>
      <xdr:col>8</xdr:col>
      <xdr:colOff>914401</xdr:colOff>
      <xdr:row>8</xdr:row>
      <xdr:rowOff>28575</xdr:rowOff>
    </xdr:to>
    <xdr:sp macro="" textlink="">
      <xdr:nvSpPr>
        <xdr:cNvPr id="3" name="Flèche droite rayé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bwMode="auto">
        <a:xfrm rot="10800000">
          <a:off x="8143875" y="84772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152400</xdr:colOff>
      <xdr:row>4</xdr:row>
      <xdr:rowOff>0</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bwMode="auto">
        <a:xfrm rot="10800000">
          <a:off x="11391900" y="1651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3</xdr:col>
      <xdr:colOff>723900</xdr:colOff>
      <xdr:row>4</xdr:row>
      <xdr:rowOff>165100</xdr:rowOff>
    </xdr:from>
    <xdr:to>
      <xdr:col>5</xdr:col>
      <xdr:colOff>114301</xdr:colOff>
      <xdr:row>7</xdr:row>
      <xdr:rowOff>139700</xdr:rowOff>
    </xdr:to>
    <xdr:sp macro="" textlink="">
      <xdr:nvSpPr>
        <xdr:cNvPr id="3" name="Flèche droite rayé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bwMode="auto">
        <a:xfrm rot="10800000">
          <a:off x="9588500" y="9017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152400</xdr:colOff>
      <xdr:row>4</xdr:row>
      <xdr:rowOff>47625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bwMode="auto">
        <a:xfrm rot="10800000">
          <a:off x="11644313" y="166688"/>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4</xdr:col>
      <xdr:colOff>0</xdr:colOff>
      <xdr:row>4</xdr:row>
      <xdr:rowOff>119062</xdr:rowOff>
    </xdr:from>
    <xdr:to>
      <xdr:col>5</xdr:col>
      <xdr:colOff>152401</xdr:colOff>
      <xdr:row>7</xdr:row>
      <xdr:rowOff>154781</xdr:rowOff>
    </xdr:to>
    <xdr:sp macro="" textlink="">
      <xdr:nvSpPr>
        <xdr:cNvPr id="3" name="Flèche droite rayée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bwMode="auto">
        <a:xfrm rot="10800000">
          <a:off x="11644313" y="80962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228600</xdr:colOff>
      <xdr:row>0</xdr:row>
      <xdr:rowOff>76200</xdr:rowOff>
    </xdr:from>
    <xdr:to>
      <xdr:col>18</xdr:col>
      <xdr:colOff>457201</xdr:colOff>
      <xdr:row>3</xdr:row>
      <xdr:rowOff>161925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bwMode="auto">
        <a:xfrm rot="10800000">
          <a:off x="9001125" y="762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152400</xdr:colOff>
      <xdr:row>4</xdr:row>
      <xdr:rowOff>35719</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bwMode="auto">
        <a:xfrm rot="10800000">
          <a:off x="8453438" y="19050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4</xdr:col>
      <xdr:colOff>714375</xdr:colOff>
      <xdr:row>5</xdr:row>
      <xdr:rowOff>47625</xdr:rowOff>
    </xdr:from>
    <xdr:to>
      <xdr:col>6</xdr:col>
      <xdr:colOff>104776</xdr:colOff>
      <xdr:row>7</xdr:row>
      <xdr:rowOff>250031</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bwMode="auto">
        <a:xfrm rot="10800000">
          <a:off x="8751094" y="9525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152400</xdr:colOff>
      <xdr:row>4</xdr:row>
      <xdr:rowOff>85725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rot="10800000">
          <a:off x="6096000" y="2000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5</xdr:col>
      <xdr:colOff>0</xdr:colOff>
      <xdr:row>6</xdr:row>
      <xdr:rowOff>0</xdr:rowOff>
    </xdr:from>
    <xdr:to>
      <xdr:col>6</xdr:col>
      <xdr:colOff>152401</xdr:colOff>
      <xdr:row>9</xdr:row>
      <xdr:rowOff>85725</xdr:rowOff>
    </xdr:to>
    <xdr:sp macro="" textlink="">
      <xdr:nvSpPr>
        <xdr:cNvPr id="4" name="Flèche droite rayée 3">
          <a:hlinkClick xmlns:r="http://schemas.openxmlformats.org/officeDocument/2006/relationships" r:id="rId2"/>
          <a:extLst>
            <a:ext uri="{FF2B5EF4-FFF2-40B4-BE49-F238E27FC236}">
              <a16:creationId xmlns:a16="http://schemas.microsoft.com/office/drawing/2014/main" id="{00000000-0008-0000-2300-000004000000}"/>
            </a:ext>
          </a:extLst>
        </xdr:cNvPr>
        <xdr:cNvSpPr/>
      </xdr:nvSpPr>
      <xdr:spPr bwMode="auto">
        <a:xfrm rot="10800000">
          <a:off x="6096000" y="100965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561975</xdr:colOff>
      <xdr:row>17</xdr:row>
      <xdr:rowOff>85725</xdr:rowOff>
    </xdr:from>
    <xdr:to>
      <xdr:col>3</xdr:col>
      <xdr:colOff>457200</xdr:colOff>
      <xdr:row>21</xdr:row>
      <xdr:rowOff>95250</xdr:rowOff>
    </xdr:to>
    <xdr:sp macro="" textlink="">
      <xdr:nvSpPr>
        <xdr:cNvPr id="18433" name="Texte 1">
          <a:extLst>
            <a:ext uri="{FF2B5EF4-FFF2-40B4-BE49-F238E27FC236}">
              <a16:creationId xmlns:a16="http://schemas.microsoft.com/office/drawing/2014/main" id="{00000000-0008-0000-2400-000001480000}"/>
            </a:ext>
          </a:extLst>
        </xdr:cNvPr>
        <xdr:cNvSpPr txBox="1">
          <a:spLocks noChangeArrowheads="1"/>
        </xdr:cNvSpPr>
      </xdr:nvSpPr>
      <xdr:spPr bwMode="auto">
        <a:xfrm>
          <a:off x="971550" y="3038475"/>
          <a:ext cx="3609975" cy="657225"/>
        </a:xfrm>
        <a:prstGeom prst="rect">
          <a:avLst/>
        </a:prstGeom>
        <a:noFill/>
        <a:ln w="1">
          <a:noFill/>
          <a:miter lim="800000"/>
          <a:headEnd/>
          <a:tailEnd/>
        </a:ln>
      </xdr:spPr>
      <xdr:txBody>
        <a:bodyPr vertOverflow="clip" wrap="square" lIns="64008" tIns="59436" rIns="64008" bIns="0" anchor="t" upright="1"/>
        <a:lstStyle/>
        <a:p>
          <a:pPr algn="ctr" rtl="0">
            <a:defRPr sz="1000"/>
          </a:pPr>
          <a:r>
            <a:rPr lang="fr-FR" sz="3600" b="1" i="1" strike="noStrike">
              <a:solidFill>
                <a:srgbClr val="000000"/>
              </a:solidFill>
              <a:latin typeface="Times New Roman"/>
              <a:cs typeface="Times New Roman"/>
            </a:rPr>
            <a:t>NEANT</a:t>
          </a:r>
        </a:p>
      </xdr:txBody>
    </xdr:sp>
    <xdr:clientData/>
  </xdr:twoCellAnchor>
  <xdr:twoCellAnchor>
    <xdr:from>
      <xdr:col>5</xdr:col>
      <xdr:colOff>0</xdr:colOff>
      <xdr:row>1</xdr:row>
      <xdr:rowOff>0</xdr:rowOff>
    </xdr:from>
    <xdr:to>
      <xdr:col>6</xdr:col>
      <xdr:colOff>228600</xdr:colOff>
      <xdr:row>4</xdr:row>
      <xdr:rowOff>47625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rot="10800000">
          <a:off x="5629275" y="1619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223837</xdr:colOff>
      <xdr:row>4</xdr:row>
      <xdr:rowOff>71438</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rot="10800000">
          <a:off x="10572750" y="166688"/>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152400</xdr:colOff>
      <xdr:row>4</xdr:row>
      <xdr:rowOff>71438</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rot="10800000">
          <a:off x="12644438" y="166688"/>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304800</xdr:colOff>
      <xdr:row>12</xdr:row>
      <xdr:rowOff>85725</xdr:rowOff>
    </xdr:from>
    <xdr:to>
      <xdr:col>5</xdr:col>
      <xdr:colOff>1381125</xdr:colOff>
      <xdr:row>21</xdr:row>
      <xdr:rowOff>123825</xdr:rowOff>
    </xdr:to>
    <xdr:sp macro="" textlink="">
      <xdr:nvSpPr>
        <xdr:cNvPr id="21505" name="Text Box 1">
          <a:extLst>
            <a:ext uri="{FF2B5EF4-FFF2-40B4-BE49-F238E27FC236}">
              <a16:creationId xmlns:a16="http://schemas.microsoft.com/office/drawing/2014/main" id="{00000000-0008-0000-2700-000001540000}"/>
            </a:ext>
          </a:extLst>
        </xdr:cNvPr>
        <xdr:cNvSpPr txBox="1">
          <a:spLocks noChangeArrowheads="1"/>
        </xdr:cNvSpPr>
      </xdr:nvSpPr>
      <xdr:spPr bwMode="auto">
        <a:xfrm>
          <a:off x="2228850" y="2028825"/>
          <a:ext cx="5181600" cy="1495425"/>
        </a:xfrm>
        <a:prstGeom prst="rect">
          <a:avLst/>
        </a:prstGeom>
        <a:solidFill>
          <a:srgbClr val="FFFFFF"/>
        </a:solidFill>
        <a:ln w="9525">
          <a:noFill/>
          <a:miter lim="800000"/>
          <a:headEnd/>
          <a:tailEnd/>
        </a:ln>
      </xdr:spPr>
      <xdr:txBody>
        <a:bodyPr vertOverflow="clip" wrap="square" lIns="118872" tIns="105156" rIns="118872" bIns="0" anchor="t" upright="1"/>
        <a:lstStyle/>
        <a:p>
          <a:pPr algn="ctr" rtl="0">
            <a:defRPr sz="1000"/>
          </a:pPr>
          <a:r>
            <a:rPr lang="fr-FR" sz="6800" b="1" i="1" strike="noStrike">
              <a:solidFill>
                <a:srgbClr val="000000"/>
              </a:solidFill>
              <a:latin typeface="Times New Roman"/>
              <a:cs typeface="Times New Roman"/>
            </a:rPr>
            <a:t>NEANT</a:t>
          </a:r>
        </a:p>
      </xdr:txBody>
    </xdr:sp>
    <xdr:clientData/>
  </xdr:twoCellAnchor>
  <xdr:twoCellAnchor>
    <xdr:from>
      <xdr:col>7</xdr:col>
      <xdr:colOff>0</xdr:colOff>
      <xdr:row>1</xdr:row>
      <xdr:rowOff>0</xdr:rowOff>
    </xdr:from>
    <xdr:to>
      <xdr:col>8</xdr:col>
      <xdr:colOff>228600</xdr:colOff>
      <xdr:row>4</xdr:row>
      <xdr:rowOff>85725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bwMode="auto">
        <a:xfrm rot="10800000">
          <a:off x="8639175" y="1619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238125</xdr:colOff>
      <xdr:row>4</xdr:row>
      <xdr:rowOff>85725</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bwMode="auto">
        <a:xfrm rot="10800000">
          <a:off x="6238875" y="2000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1504950</xdr:colOff>
      <xdr:row>22</xdr:row>
      <xdr:rowOff>95250</xdr:rowOff>
    </xdr:from>
    <xdr:to>
      <xdr:col>0</xdr:col>
      <xdr:colOff>5114925</xdr:colOff>
      <xdr:row>26</xdr:row>
      <xdr:rowOff>104775</xdr:rowOff>
    </xdr:to>
    <xdr:sp macro="" textlink="">
      <xdr:nvSpPr>
        <xdr:cNvPr id="12289" name="Texte 1">
          <a:extLst>
            <a:ext uri="{FF2B5EF4-FFF2-40B4-BE49-F238E27FC236}">
              <a16:creationId xmlns:a16="http://schemas.microsoft.com/office/drawing/2014/main" id="{00000000-0008-0000-2900-000001300000}"/>
            </a:ext>
          </a:extLst>
        </xdr:cNvPr>
        <xdr:cNvSpPr txBox="1">
          <a:spLocks noChangeArrowheads="1"/>
        </xdr:cNvSpPr>
      </xdr:nvSpPr>
      <xdr:spPr bwMode="auto">
        <a:xfrm>
          <a:off x="1504950" y="3695700"/>
          <a:ext cx="3609975" cy="657225"/>
        </a:xfrm>
        <a:prstGeom prst="rect">
          <a:avLst/>
        </a:prstGeom>
        <a:noFill/>
        <a:ln w="1">
          <a:noFill/>
          <a:miter lim="800000"/>
          <a:headEnd/>
          <a:tailEnd/>
        </a:ln>
      </xdr:spPr>
      <xdr:txBody>
        <a:bodyPr vertOverflow="clip" wrap="square" lIns="64008" tIns="59436" rIns="64008" bIns="0" anchor="t" upright="1"/>
        <a:lstStyle/>
        <a:p>
          <a:pPr algn="ctr" rtl="0">
            <a:defRPr sz="1000"/>
          </a:pPr>
          <a:r>
            <a:rPr lang="fr-FR" sz="3600" b="1" i="1" strike="noStrike">
              <a:solidFill>
                <a:srgbClr val="000000"/>
              </a:solidFill>
              <a:latin typeface="Times New Roman"/>
              <a:cs typeface="Times New Roman"/>
            </a:rPr>
            <a:t>NEANT</a:t>
          </a:r>
        </a:p>
      </xdr:txBody>
    </xdr:sp>
    <xdr:clientData/>
  </xdr:twoCellAnchor>
  <xdr:twoCellAnchor>
    <xdr:from>
      <xdr:col>3</xdr:col>
      <xdr:colOff>0</xdr:colOff>
      <xdr:row>1</xdr:row>
      <xdr:rowOff>0</xdr:rowOff>
    </xdr:from>
    <xdr:to>
      <xdr:col>4</xdr:col>
      <xdr:colOff>228600</xdr:colOff>
      <xdr:row>4</xdr:row>
      <xdr:rowOff>85725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bwMode="auto">
        <a:xfrm rot="10800000">
          <a:off x="7077075" y="2000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19050</xdr:colOff>
      <xdr:row>5</xdr:row>
      <xdr:rowOff>0</xdr:rowOff>
    </xdr:from>
    <xdr:to>
      <xdr:col>8</xdr:col>
      <xdr:colOff>676275</xdr:colOff>
      <xdr:row>10</xdr:row>
      <xdr:rowOff>57150</xdr:rowOff>
    </xdr:to>
    <xdr:sp macro="" textlink="">
      <xdr:nvSpPr>
        <xdr:cNvPr id="20624" name="Text Box 1">
          <a:extLst>
            <a:ext uri="{FF2B5EF4-FFF2-40B4-BE49-F238E27FC236}">
              <a16:creationId xmlns:a16="http://schemas.microsoft.com/office/drawing/2014/main" id="{00000000-0008-0000-2A00-000090500000}"/>
            </a:ext>
          </a:extLst>
        </xdr:cNvPr>
        <xdr:cNvSpPr txBox="1">
          <a:spLocks noChangeArrowheads="1"/>
        </xdr:cNvSpPr>
      </xdr:nvSpPr>
      <xdr:spPr bwMode="auto">
        <a:xfrm>
          <a:off x="704850" y="828675"/>
          <a:ext cx="5457825" cy="866775"/>
        </a:xfrm>
        <a:prstGeom prst="rect">
          <a:avLst/>
        </a:prstGeom>
        <a:solidFill>
          <a:srgbClr val="FFFFFF"/>
        </a:solidFill>
        <a:ln w="9525">
          <a:noFill/>
          <a:miter lim="800000"/>
          <a:headEnd/>
          <a:tailEnd/>
        </a:ln>
      </xdr:spPr>
    </xdr:sp>
    <xdr:clientData/>
  </xdr:twoCellAnchor>
  <xdr:twoCellAnchor>
    <xdr:from>
      <xdr:col>0</xdr:col>
      <xdr:colOff>361950</xdr:colOff>
      <xdr:row>4</xdr:row>
      <xdr:rowOff>142875</xdr:rowOff>
    </xdr:from>
    <xdr:to>
      <xdr:col>8</xdr:col>
      <xdr:colOff>190500</xdr:colOff>
      <xdr:row>9</xdr:row>
      <xdr:rowOff>85725</xdr:rowOff>
    </xdr:to>
    <xdr:sp macro="" textlink="">
      <xdr:nvSpPr>
        <xdr:cNvPr id="20483" name="Text Box 3">
          <a:extLst>
            <a:ext uri="{FF2B5EF4-FFF2-40B4-BE49-F238E27FC236}">
              <a16:creationId xmlns:a16="http://schemas.microsoft.com/office/drawing/2014/main" id="{00000000-0008-0000-2A00-000003500000}"/>
            </a:ext>
          </a:extLst>
        </xdr:cNvPr>
        <xdr:cNvSpPr txBox="1">
          <a:spLocks noChangeArrowheads="1"/>
        </xdr:cNvSpPr>
      </xdr:nvSpPr>
      <xdr:spPr bwMode="auto">
        <a:xfrm>
          <a:off x="333375" y="933450"/>
          <a:ext cx="5314950"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r>
            <a:rPr lang="fr-FR" sz="1100">
              <a:latin typeface="+mn-lt"/>
              <a:ea typeface="+mn-ea"/>
              <a:cs typeface="+mn-cs"/>
            </a:rPr>
            <a:t>Les passifs éventuels peuvent découler d'un contrôle éventuel de l'administration fiscale au titre des exercices non  prescrits et ce pour l'Impôt sur les Sociétés (IS), l'Impôt sur le Revenu (IR), la Taxe sur la Valeur Ajoutée (TVA) et les autres impôts et taxes indirects. </a:t>
          </a:r>
        </a:p>
      </xdr:txBody>
    </xdr:sp>
    <xdr:clientData/>
  </xdr:twoCellAnchor>
  <xdr:twoCellAnchor>
    <xdr:from>
      <xdr:col>9</xdr:col>
      <xdr:colOff>0</xdr:colOff>
      <xdr:row>1</xdr:row>
      <xdr:rowOff>0</xdr:rowOff>
    </xdr:from>
    <xdr:to>
      <xdr:col>10</xdr:col>
      <xdr:colOff>228600</xdr:colOff>
      <xdr:row>4</xdr:row>
      <xdr:rowOff>66675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2A00-000004000000}"/>
            </a:ext>
          </a:extLst>
        </xdr:cNvPr>
        <xdr:cNvSpPr/>
      </xdr:nvSpPr>
      <xdr:spPr bwMode="auto">
        <a:xfrm rot="10800000">
          <a:off x="6172200" y="1619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152400</xdr:colOff>
      <xdr:row>4</xdr:row>
      <xdr:rowOff>95250</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bwMode="auto">
        <a:xfrm rot="10800000">
          <a:off x="8868833" y="201083"/>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1</xdr:row>
      <xdr:rowOff>0</xdr:rowOff>
    </xdr:from>
    <xdr:to>
      <xdr:col>18</xdr:col>
      <xdr:colOff>228601</xdr:colOff>
      <xdr:row>3</xdr:row>
      <xdr:rowOff>247650</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bwMode="auto">
        <a:xfrm rot="10800000">
          <a:off x="8772525" y="161925"/>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247650</xdr:colOff>
      <xdr:row>33</xdr:row>
      <xdr:rowOff>76200</xdr:rowOff>
    </xdr:from>
    <xdr:to>
      <xdr:col>3</xdr:col>
      <xdr:colOff>885825</xdr:colOff>
      <xdr:row>37</xdr:row>
      <xdr:rowOff>76200</xdr:rowOff>
    </xdr:to>
    <xdr:sp macro="" textlink="">
      <xdr:nvSpPr>
        <xdr:cNvPr id="11265" name="Texte 1">
          <a:extLst>
            <a:ext uri="{FF2B5EF4-FFF2-40B4-BE49-F238E27FC236}">
              <a16:creationId xmlns:a16="http://schemas.microsoft.com/office/drawing/2014/main" id="{00000000-0008-0000-2C00-0000012C0000}"/>
            </a:ext>
          </a:extLst>
        </xdr:cNvPr>
        <xdr:cNvSpPr txBox="1">
          <a:spLocks noChangeArrowheads="1"/>
        </xdr:cNvSpPr>
      </xdr:nvSpPr>
      <xdr:spPr bwMode="auto">
        <a:xfrm>
          <a:off x="1504950" y="5476875"/>
          <a:ext cx="3609975" cy="657225"/>
        </a:xfrm>
        <a:prstGeom prst="rect">
          <a:avLst/>
        </a:prstGeom>
        <a:noFill/>
        <a:ln w="1">
          <a:noFill/>
          <a:miter lim="800000"/>
          <a:headEnd/>
          <a:tailEnd/>
        </a:ln>
      </xdr:spPr>
      <xdr:txBody>
        <a:bodyPr vertOverflow="clip" wrap="square" lIns="64008" tIns="59436" rIns="64008" bIns="0" anchor="t" upright="1"/>
        <a:lstStyle/>
        <a:p>
          <a:pPr algn="ctr" rtl="0">
            <a:defRPr sz="1000"/>
          </a:pPr>
          <a:r>
            <a:rPr lang="fr-FR" sz="3600" b="1" i="1" strike="noStrike">
              <a:solidFill>
                <a:srgbClr val="000000"/>
              </a:solidFill>
              <a:latin typeface="Times New Roman"/>
              <a:cs typeface="Times New Roman"/>
            </a:rPr>
            <a:t>NEANT</a:t>
          </a:r>
        </a:p>
      </xdr:txBody>
    </xdr:sp>
    <xdr:clientData/>
  </xdr:twoCellAnchor>
  <xdr:twoCellAnchor>
    <xdr:from>
      <xdr:col>6</xdr:col>
      <xdr:colOff>647700</xdr:colOff>
      <xdr:row>0</xdr:row>
      <xdr:rowOff>142875</xdr:rowOff>
    </xdr:from>
    <xdr:to>
      <xdr:col>8</xdr:col>
      <xdr:colOff>38100</xdr:colOff>
      <xdr:row>4</xdr:row>
      <xdr:rowOff>28575</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bwMode="auto">
        <a:xfrm rot="10800000">
          <a:off x="7372350" y="14287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0</xdr:row>
      <xdr:rowOff>152400</xdr:rowOff>
    </xdr:from>
    <xdr:to>
      <xdr:col>5</xdr:col>
      <xdr:colOff>561976</xdr:colOff>
      <xdr:row>4</xdr:row>
      <xdr:rowOff>76200</xdr:rowOff>
    </xdr:to>
    <xdr:sp macro="" textlink="">
      <xdr:nvSpPr>
        <xdr:cNvPr id="2" name="Flèche droite rayé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bwMode="auto">
        <a:xfrm rot="10800000">
          <a:off x="5248275" y="1524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2722</xdr:colOff>
      <xdr:row>5</xdr:row>
      <xdr:rowOff>81642</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bwMode="auto">
        <a:xfrm rot="10800000">
          <a:off x="13811250" y="326571"/>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2722</xdr:colOff>
      <xdr:row>4</xdr:row>
      <xdr:rowOff>81643</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bwMode="auto">
        <a:xfrm rot="10800000">
          <a:off x="13239750" y="163286"/>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Retour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914401</xdr:colOff>
      <xdr:row>4</xdr:row>
      <xdr:rowOff>57150</xdr:rowOff>
    </xdr:to>
    <xdr:sp macro="" textlink="">
      <xdr:nvSpPr>
        <xdr:cNvPr id="3" name="Flèche droite rayée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bwMode="auto">
        <a:xfrm rot="10800000">
          <a:off x="7019925" y="15240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twoCellAnchor>
    <xdr:from>
      <xdr:col>10</xdr:col>
      <xdr:colOff>0</xdr:colOff>
      <xdr:row>6</xdr:row>
      <xdr:rowOff>0</xdr:rowOff>
    </xdr:from>
    <xdr:to>
      <xdr:col>10</xdr:col>
      <xdr:colOff>914400</xdr:colOff>
      <xdr:row>9</xdr:row>
      <xdr:rowOff>104775</xdr:rowOff>
    </xdr:to>
    <xdr:sp macro="" textlink="">
      <xdr:nvSpPr>
        <xdr:cNvPr id="4" name="Flèche droite rayé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bwMode="auto">
        <a:xfrm rot="10800000">
          <a:off x="7210425" y="971550"/>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7</xdr:row>
      <xdr:rowOff>0</xdr:rowOff>
    </xdr:from>
    <xdr:to>
      <xdr:col>8</xdr:col>
      <xdr:colOff>914400</xdr:colOff>
      <xdr:row>11</xdr:row>
      <xdr:rowOff>9525</xdr:rowOff>
    </xdr:to>
    <xdr:sp macro="" textlink="">
      <xdr:nvSpPr>
        <xdr:cNvPr id="4" name="Flèche droite rayée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bwMode="auto">
        <a:xfrm rot="10800000">
          <a:off x="8124825" y="1228725"/>
          <a:ext cx="914400" cy="571500"/>
        </a:xfrm>
        <a:prstGeom prst="stripedRightArrow">
          <a:avLst/>
        </a:prstGeom>
        <a:solidFill>
          <a:srgbClr val="00B05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ETIC</a:t>
          </a:r>
        </a:p>
      </xdr:txBody>
    </xdr:sp>
    <xdr:clientData/>
  </xdr:twoCellAnchor>
  <xdr:twoCellAnchor>
    <xdr:from>
      <xdr:col>7</xdr:col>
      <xdr:colOff>857250</xdr:colOff>
      <xdr:row>3</xdr:row>
      <xdr:rowOff>47625</xdr:rowOff>
    </xdr:from>
    <xdr:to>
      <xdr:col>8</xdr:col>
      <xdr:colOff>895351</xdr:colOff>
      <xdr:row>6</xdr:row>
      <xdr:rowOff>38100</xdr:rowOff>
    </xdr:to>
    <xdr:sp macro="" textlink="">
      <xdr:nvSpPr>
        <xdr:cNvPr id="5" name="Flèche droite rayée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bwMode="auto">
        <a:xfrm rot="10800000">
          <a:off x="8105775" y="552450"/>
          <a:ext cx="914401" cy="571500"/>
        </a:xfrm>
        <a:prstGeom prst="stripedRightArrow">
          <a:avLst/>
        </a:prstGeom>
        <a:solidFill>
          <a:srgbClr val="FF0000"/>
        </a:solidFill>
        <a:ln w="9525" cap="flat" cmpd="sng" algn="ctr">
          <a:noFill/>
          <a:prstDash val="solid"/>
          <a:round/>
          <a:headEnd type="none" w="med" len="med"/>
          <a:tailEnd type="none" w="med" len="med"/>
        </a:ln>
        <a:effectLst/>
        <a:scene3d>
          <a:camera prst="orthographicFront">
            <a:rot lat="0" lon="0" rev="0"/>
          </a:camera>
          <a:lightRig rig="contrasting" dir="t">
            <a:rot lat="0" lon="0" rev="7800000"/>
          </a:lightRig>
        </a:scene3d>
        <a:sp3d>
          <a:bevelT w="139700" h="139700"/>
        </a:sp3d>
      </xdr:spPr>
      <xdr:txBody>
        <a:bodyPr vertOverflow="clip" wrap="square" lIns="18288" tIns="0" rIns="0" bIns="0" rtlCol="0" anchor="ctr" upright="1"/>
        <a:lstStyle/>
        <a:p>
          <a:pPr algn="ctr"/>
          <a:r>
            <a:rPr lang="fr-FR" sz="1600" b="1"/>
            <a:t>Liasse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covismaroc-my.sharepoint.com/MOUADEN/LIASSE%20FISCALE%202007/LIASSE%20FISCALE/LIASSE%20FISCALE%202007%20LAST%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DE GARDE"/>
      <sheetName val="ESG"/>
      <sheetName val="TABLEAUX ANNEXES"/>
      <sheetName val="TABLEAU7"/>
      <sheetName val="TABLAU10"/>
      <sheetName val="TABLAU11"/>
      <sheetName val="TABLAU13"/>
      <sheetName val="TABLAU16 (FRAIS PRELIM)"/>
      <sheetName val="TABLAU16 (BREVETS) "/>
      <sheetName val="TABLAU16 (mat &amp; out)"/>
      <sheetName val="TABLAU16 (mat transport)"/>
      <sheetName val="TABLAU16 (MOBILIER DE BUREAU)"/>
      <sheetName val="TABLAU16(MAT.bur)"/>
      <sheetName val="TABLAU16 (mat-INFO)"/>
      <sheetName val="TABLAU16 (Mat.info suite1)"/>
      <sheetName val="TABLAU16 (mat.info suite 2)"/>
      <sheetName val="TABLAU17"/>
      <sheetName val="TABLAU18"/>
      <sheetName val="TABLAU19"/>
      <sheetName val="BILAN"/>
      <sheetName val="CPC"/>
      <sheetName val="MASSE"/>
      <sheetName val="MENU IMPRISSION"/>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2:H15"/>
  <sheetViews>
    <sheetView zoomScale="85" zoomScaleNormal="85" workbookViewId="0"/>
  </sheetViews>
  <sheetFormatPr baseColWidth="10" defaultColWidth="12" defaultRowHeight="12.75" x14ac:dyDescent="0.2"/>
  <cols>
    <col min="1" max="16384" width="12" style="845"/>
  </cols>
  <sheetData>
    <row r="12" spans="1:8" ht="18.75" x14ac:dyDescent="0.3">
      <c r="A12" s="846" t="s">
        <v>973</v>
      </c>
    </row>
    <row r="15" spans="1:8" ht="18.75" x14ac:dyDescent="0.3">
      <c r="H15" s="846" t="s">
        <v>972</v>
      </c>
    </row>
  </sheetData>
  <pageMargins left="0.7" right="0.7" top="0.75" bottom="0.75" header="0.3" footer="0.3"/>
  <pageSetup paperSize="9" scale="67" orientation="landscape" verticalDpi="0" r:id="rId1"/>
  <rowBreaks count="1" manualBreakCount="1">
    <brk id="3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235"/>
  <sheetViews>
    <sheetView workbookViewId="0">
      <selection activeCell="H13" sqref="H13"/>
    </sheetView>
  </sheetViews>
  <sheetFormatPr baseColWidth="10" defaultColWidth="11.6640625" defaultRowHeight="12.75" x14ac:dyDescent="0.2"/>
  <cols>
    <col min="1" max="1" width="11.6640625" style="1103"/>
    <col min="2" max="2" width="40.83203125" style="1103" bestFit="1" customWidth="1"/>
    <col min="3" max="8" width="13.33203125" style="1106" bestFit="1" customWidth="1"/>
    <col min="9" max="9" width="13.33203125" style="1103" bestFit="1" customWidth="1"/>
    <col min="10" max="16384" width="11.6640625" style="1103"/>
  </cols>
  <sheetData>
    <row r="1" spans="1:8" ht="60.6" customHeight="1" x14ac:dyDescent="0.2">
      <c r="A1" s="1101" t="s">
        <v>3172</v>
      </c>
      <c r="B1" s="1101" t="s">
        <v>3173</v>
      </c>
      <c r="C1" s="1102" t="s">
        <v>3174</v>
      </c>
      <c r="D1" s="1102" t="s">
        <v>3175</v>
      </c>
      <c r="E1" s="1102" t="s">
        <v>3176</v>
      </c>
      <c r="F1" s="1102" t="s">
        <v>3177</v>
      </c>
      <c r="G1" s="1102" t="s">
        <v>3178</v>
      </c>
      <c r="H1" s="1102" t="s">
        <v>3179</v>
      </c>
    </row>
    <row r="2" spans="1:8" x14ac:dyDescent="0.2">
      <c r="A2" s="1104" t="s">
        <v>2938</v>
      </c>
      <c r="B2" s="1104"/>
      <c r="C2" s="1105"/>
      <c r="D2" s="1105"/>
      <c r="E2" s="1105"/>
      <c r="F2" s="1105"/>
      <c r="G2" s="1105"/>
      <c r="H2" s="1105"/>
    </row>
    <row r="3" spans="1:8" x14ac:dyDescent="0.2">
      <c r="A3" s="1104" t="s">
        <v>2939</v>
      </c>
      <c r="B3" s="1104"/>
      <c r="C3" s="1105"/>
      <c r="D3" s="1105"/>
      <c r="E3" s="1105"/>
      <c r="F3" s="1105"/>
      <c r="G3" s="1105"/>
      <c r="H3" s="1105"/>
    </row>
    <row r="4" spans="1:8" x14ac:dyDescent="0.2">
      <c r="A4" s="1104" t="s">
        <v>2940</v>
      </c>
      <c r="B4" s="1104"/>
      <c r="C4" s="1105"/>
      <c r="D4" s="1105"/>
      <c r="E4" s="1105"/>
      <c r="F4" s="1105"/>
      <c r="G4" s="1105"/>
      <c r="H4" s="1105"/>
    </row>
    <row r="5" spans="1:8" x14ac:dyDescent="0.2">
      <c r="A5" s="1104" t="s">
        <v>2941</v>
      </c>
      <c r="B5" s="1104"/>
      <c r="C5" s="1105"/>
      <c r="D5" s="1105"/>
      <c r="E5" s="1105"/>
      <c r="F5" s="1105"/>
      <c r="G5" s="1105"/>
      <c r="H5" s="1105"/>
    </row>
    <row r="6" spans="1:8" x14ac:dyDescent="0.2">
      <c r="A6" s="1104" t="s">
        <v>2993</v>
      </c>
      <c r="B6" s="1104"/>
      <c r="C6" s="1105"/>
      <c r="D6" s="1105"/>
      <c r="E6" s="1105"/>
      <c r="F6" s="1105"/>
      <c r="G6" s="1105"/>
      <c r="H6" s="1105"/>
    </row>
    <row r="7" spans="1:8" x14ac:dyDescent="0.2">
      <c r="A7" s="1104" t="s">
        <v>2994</v>
      </c>
      <c r="B7" s="1104"/>
      <c r="C7" s="1105"/>
      <c r="D7" s="1105"/>
      <c r="E7" s="1105"/>
      <c r="F7" s="1105"/>
      <c r="G7" s="1105"/>
      <c r="H7" s="1105"/>
    </row>
    <row r="8" spans="1:8" x14ac:dyDescent="0.2">
      <c r="A8" s="1104" t="s">
        <v>2942</v>
      </c>
      <c r="B8" s="1104"/>
      <c r="C8" s="1105"/>
      <c r="D8" s="1105"/>
      <c r="E8" s="1105"/>
      <c r="F8" s="1105"/>
      <c r="G8" s="1105"/>
      <c r="H8" s="1105"/>
    </row>
    <row r="9" spans="1:8" x14ac:dyDescent="0.2">
      <c r="A9" s="1104" t="s">
        <v>2943</v>
      </c>
      <c r="B9" s="1104"/>
      <c r="C9" s="1105"/>
      <c r="D9" s="1105"/>
      <c r="E9" s="1107"/>
      <c r="F9" s="1105"/>
      <c r="G9" s="1105"/>
      <c r="H9" s="1105"/>
    </row>
    <row r="10" spans="1:8" x14ac:dyDescent="0.2">
      <c r="A10" s="1104" t="s">
        <v>2944</v>
      </c>
      <c r="B10" s="1104"/>
      <c r="C10" s="1105"/>
      <c r="D10" s="1105"/>
      <c r="E10" s="1107"/>
      <c r="F10" s="1105"/>
      <c r="G10" s="1105"/>
      <c r="H10" s="1105"/>
    </row>
    <row r="11" spans="1:8" x14ac:dyDescent="0.2">
      <c r="A11" s="1104" t="s">
        <v>2945</v>
      </c>
      <c r="B11" s="1104"/>
      <c r="C11" s="1105"/>
      <c r="D11" s="1105"/>
      <c r="E11" s="1107"/>
      <c r="F11" s="1105"/>
      <c r="G11" s="1105"/>
      <c r="H11" s="1105"/>
    </row>
    <row r="12" spans="1:8" x14ac:dyDescent="0.2">
      <c r="A12" s="1104" t="s">
        <v>2995</v>
      </c>
      <c r="B12" s="1104"/>
      <c r="C12" s="1105"/>
      <c r="D12" s="1105"/>
      <c r="E12" s="1107"/>
      <c r="F12" s="1105"/>
      <c r="G12" s="1105"/>
      <c r="H12" s="1105"/>
    </row>
    <row r="13" spans="1:8" x14ac:dyDescent="0.2">
      <c r="A13" s="1104" t="s">
        <v>2996</v>
      </c>
      <c r="B13" s="1104"/>
      <c r="C13" s="1105"/>
      <c r="D13" s="1105"/>
      <c r="E13" s="1105"/>
      <c r="F13" s="1105"/>
      <c r="G13" s="1105"/>
      <c r="H13" s="1105"/>
    </row>
    <row r="14" spans="1:8" x14ac:dyDescent="0.2">
      <c r="A14" s="1104" t="s">
        <v>2997</v>
      </c>
      <c r="B14" s="1104"/>
      <c r="C14" s="1105"/>
      <c r="D14" s="1105"/>
      <c r="E14" s="1107"/>
      <c r="F14" s="1105"/>
      <c r="G14" s="1105"/>
      <c r="H14" s="1105"/>
    </row>
    <row r="15" spans="1:8" x14ac:dyDescent="0.2">
      <c r="A15" s="1104" t="s">
        <v>2946</v>
      </c>
      <c r="B15" s="1104"/>
      <c r="C15" s="1105"/>
      <c r="D15" s="1105"/>
      <c r="E15" s="1105"/>
      <c r="F15" s="1105"/>
      <c r="G15" s="1105"/>
      <c r="H15" s="1105"/>
    </row>
    <row r="16" spans="1:8" x14ac:dyDescent="0.2">
      <c r="A16" s="1104" t="s">
        <v>2998</v>
      </c>
      <c r="B16" s="1104"/>
      <c r="C16" s="1105"/>
      <c r="D16" s="1105"/>
      <c r="E16" s="1105"/>
      <c r="F16" s="1105"/>
      <c r="G16" s="1105"/>
      <c r="H16" s="1105"/>
    </row>
    <row r="17" spans="1:8" x14ac:dyDescent="0.2">
      <c r="A17" s="1104" t="s">
        <v>2999</v>
      </c>
      <c r="B17" s="1104"/>
      <c r="C17" s="1105"/>
      <c r="D17" s="1105"/>
      <c r="E17" s="1105"/>
      <c r="F17" s="1105"/>
      <c r="G17" s="1105"/>
      <c r="H17" s="1105"/>
    </row>
    <row r="18" spans="1:8" x14ac:dyDescent="0.2">
      <c r="A18" s="1104" t="s">
        <v>2947</v>
      </c>
      <c r="B18" s="1104"/>
      <c r="C18" s="1105"/>
      <c r="D18" s="1105"/>
      <c r="E18" s="1105"/>
      <c r="F18" s="1105"/>
      <c r="G18" s="1105"/>
      <c r="H18" s="1105"/>
    </row>
    <row r="19" spans="1:8" x14ac:dyDescent="0.2">
      <c r="A19" s="1104" t="s">
        <v>2948</v>
      </c>
      <c r="B19" s="1104"/>
      <c r="C19" s="1105"/>
      <c r="D19" s="1105"/>
      <c r="E19" s="1105"/>
      <c r="F19" s="1105"/>
      <c r="G19" s="1105"/>
      <c r="H19" s="1105"/>
    </row>
    <row r="20" spans="1:8" x14ac:dyDescent="0.2">
      <c r="A20" s="1104" t="s">
        <v>3000</v>
      </c>
      <c r="B20" s="1104"/>
      <c r="C20" s="1105"/>
      <c r="D20" s="1105"/>
      <c r="E20" s="1105"/>
      <c r="F20" s="1105"/>
      <c r="G20" s="1105"/>
      <c r="H20" s="1105"/>
    </row>
    <row r="21" spans="1:8" x14ac:dyDescent="0.2">
      <c r="A21" s="1104" t="s">
        <v>2949</v>
      </c>
      <c r="B21" s="1104"/>
      <c r="C21" s="1105"/>
      <c r="D21" s="1105"/>
      <c r="E21" s="1105"/>
      <c r="F21" s="1105"/>
      <c r="G21" s="1105"/>
      <c r="H21" s="1105"/>
    </row>
    <row r="22" spans="1:8" x14ac:dyDescent="0.2">
      <c r="A22" s="1104" t="s">
        <v>3001</v>
      </c>
      <c r="B22" s="1104"/>
      <c r="C22" s="1105"/>
      <c r="D22" s="1105"/>
      <c r="E22" s="1105"/>
      <c r="F22" s="1105"/>
      <c r="G22" s="1105"/>
      <c r="H22" s="1105"/>
    </row>
    <row r="23" spans="1:8" x14ac:dyDescent="0.2">
      <c r="A23" s="1104" t="s">
        <v>3002</v>
      </c>
      <c r="B23" s="1104"/>
      <c r="C23" s="1105"/>
      <c r="D23" s="1105"/>
      <c r="E23" s="1105"/>
      <c r="F23" s="1105"/>
      <c r="G23" s="1105"/>
      <c r="H23" s="1105"/>
    </row>
    <row r="24" spans="1:8" x14ac:dyDescent="0.2">
      <c r="A24" s="1104" t="s">
        <v>3003</v>
      </c>
      <c r="B24" s="1104"/>
      <c r="C24" s="1105"/>
      <c r="D24" s="1105"/>
      <c r="E24" s="1105"/>
      <c r="F24" s="1105"/>
      <c r="G24" s="1105"/>
      <c r="H24" s="1105"/>
    </row>
    <row r="25" spans="1:8" x14ac:dyDescent="0.2">
      <c r="A25" s="1104" t="s">
        <v>2950</v>
      </c>
      <c r="B25" s="1104"/>
      <c r="C25" s="1105"/>
      <c r="D25" s="1105"/>
      <c r="E25" s="1105"/>
      <c r="F25" s="1105"/>
      <c r="G25" s="1105"/>
      <c r="H25" s="1105"/>
    </row>
    <row r="26" spans="1:8" x14ac:dyDescent="0.2">
      <c r="A26" s="1104" t="s">
        <v>3004</v>
      </c>
      <c r="B26" s="1104"/>
      <c r="C26" s="1105"/>
      <c r="D26" s="1105"/>
      <c r="E26" s="1105"/>
      <c r="F26" s="1105"/>
      <c r="G26" s="1105"/>
      <c r="H26" s="1105"/>
    </row>
    <row r="27" spans="1:8" x14ac:dyDescent="0.2">
      <c r="A27" s="1104" t="s">
        <v>3005</v>
      </c>
      <c r="B27" s="1104"/>
      <c r="C27" s="1105"/>
      <c r="D27" s="1105"/>
      <c r="E27" s="1105"/>
      <c r="F27" s="1105"/>
      <c r="G27" s="1105"/>
      <c r="H27" s="1105"/>
    </row>
    <row r="28" spans="1:8" x14ac:dyDescent="0.2">
      <c r="A28" s="1104" t="s">
        <v>3006</v>
      </c>
      <c r="B28" s="1104"/>
      <c r="C28" s="1105"/>
      <c r="D28" s="1105"/>
      <c r="E28" s="1105"/>
      <c r="F28" s="1105"/>
      <c r="G28" s="1105"/>
      <c r="H28" s="1105"/>
    </row>
    <row r="29" spans="1:8" x14ac:dyDescent="0.2">
      <c r="A29" s="1104" t="s">
        <v>3007</v>
      </c>
      <c r="B29" s="1104"/>
      <c r="C29" s="1105"/>
      <c r="D29" s="1105"/>
      <c r="E29" s="1105"/>
      <c r="F29" s="1105"/>
      <c r="G29" s="1105"/>
      <c r="H29" s="1105"/>
    </row>
    <row r="30" spans="1:8" x14ac:dyDescent="0.2">
      <c r="A30" s="1104" t="s">
        <v>3008</v>
      </c>
      <c r="B30" s="1104"/>
      <c r="C30" s="1105"/>
      <c r="D30" s="1105"/>
      <c r="E30" s="1105"/>
      <c r="F30" s="1105"/>
      <c r="G30" s="1105"/>
      <c r="H30" s="1105"/>
    </row>
    <row r="31" spans="1:8" x14ac:dyDescent="0.2">
      <c r="A31" s="1104" t="s">
        <v>3009</v>
      </c>
      <c r="B31" s="1104"/>
      <c r="C31" s="1105"/>
      <c r="D31" s="1105"/>
      <c r="E31" s="1105"/>
      <c r="F31" s="1105"/>
      <c r="G31" s="1105"/>
      <c r="H31" s="1105"/>
    </row>
    <row r="32" spans="1:8" x14ac:dyDescent="0.2">
      <c r="A32" s="1104" t="s">
        <v>3010</v>
      </c>
      <c r="B32" s="1104"/>
      <c r="C32" s="1105"/>
      <c r="D32" s="1105"/>
      <c r="E32" s="1105"/>
      <c r="F32" s="1105"/>
      <c r="G32" s="1105"/>
      <c r="H32" s="1105"/>
    </row>
    <row r="33" spans="1:8" x14ac:dyDescent="0.2">
      <c r="A33" s="1104" t="s">
        <v>3011</v>
      </c>
      <c r="B33" s="1104"/>
      <c r="C33" s="1105"/>
      <c r="D33" s="1105"/>
      <c r="E33" s="1105"/>
      <c r="F33" s="1105"/>
      <c r="G33" s="1105"/>
      <c r="H33" s="1105"/>
    </row>
    <row r="34" spans="1:8" x14ac:dyDescent="0.2">
      <c r="A34" s="1104" t="s">
        <v>3012</v>
      </c>
      <c r="B34" s="1104"/>
      <c r="C34" s="1105"/>
      <c r="D34" s="1105"/>
      <c r="E34" s="1105"/>
      <c r="F34" s="1105"/>
      <c r="G34" s="1105"/>
      <c r="H34" s="1105"/>
    </row>
    <row r="35" spans="1:8" x14ac:dyDescent="0.2">
      <c r="A35" s="1104" t="s">
        <v>3013</v>
      </c>
      <c r="B35" s="1104"/>
      <c r="C35" s="1105"/>
      <c r="D35" s="1105"/>
      <c r="E35" s="1105"/>
      <c r="F35" s="1105"/>
      <c r="G35" s="1105"/>
      <c r="H35" s="1105"/>
    </row>
    <row r="36" spans="1:8" x14ac:dyDescent="0.2">
      <c r="A36" s="1104" t="s">
        <v>3014</v>
      </c>
      <c r="B36" s="1104"/>
      <c r="C36" s="1105"/>
      <c r="D36" s="1105"/>
      <c r="E36" s="1105"/>
      <c r="F36" s="1105"/>
      <c r="G36" s="1105"/>
      <c r="H36" s="1105"/>
    </row>
    <row r="37" spans="1:8" x14ac:dyDescent="0.2">
      <c r="A37" s="1104" t="s">
        <v>3015</v>
      </c>
      <c r="B37" s="1104"/>
      <c r="C37" s="1105"/>
      <c r="D37" s="1105"/>
      <c r="E37" s="1105"/>
      <c r="F37" s="1105"/>
      <c r="G37" s="1105"/>
      <c r="H37" s="1105"/>
    </row>
    <row r="38" spans="1:8" x14ac:dyDescent="0.2">
      <c r="A38" s="1104" t="s">
        <v>3016</v>
      </c>
      <c r="B38" s="1104"/>
      <c r="C38" s="1105"/>
      <c r="D38" s="1105"/>
      <c r="E38" s="1105"/>
      <c r="F38" s="1105"/>
      <c r="G38" s="1105"/>
      <c r="H38" s="1105"/>
    </row>
    <row r="39" spans="1:8" x14ac:dyDescent="0.2">
      <c r="A39" s="1104" t="s">
        <v>3017</v>
      </c>
      <c r="B39" s="1104"/>
      <c r="C39" s="1105"/>
      <c r="D39" s="1105"/>
      <c r="E39" s="1105"/>
      <c r="F39" s="1105"/>
      <c r="G39" s="1105"/>
      <c r="H39" s="1105"/>
    </row>
    <row r="40" spans="1:8" x14ac:dyDescent="0.2">
      <c r="A40" s="1104" t="s">
        <v>3018</v>
      </c>
      <c r="B40" s="1104"/>
      <c r="C40" s="1105"/>
      <c r="D40" s="1105"/>
      <c r="E40" s="1105"/>
      <c r="F40" s="1105"/>
      <c r="G40" s="1105"/>
      <c r="H40" s="1105"/>
    </row>
    <row r="41" spans="1:8" x14ac:dyDescent="0.2">
      <c r="A41" s="1104" t="s">
        <v>3019</v>
      </c>
      <c r="B41" s="1104"/>
      <c r="C41" s="1105"/>
      <c r="D41" s="1105"/>
      <c r="E41" s="1105"/>
      <c r="F41" s="1105"/>
      <c r="G41" s="1105"/>
      <c r="H41" s="1105"/>
    </row>
    <row r="42" spans="1:8" x14ac:dyDescent="0.2">
      <c r="A42" s="1104" t="s">
        <v>3020</v>
      </c>
      <c r="B42" s="1104"/>
      <c r="C42" s="1105"/>
      <c r="D42" s="1105"/>
      <c r="E42" s="1105"/>
      <c r="F42" s="1105"/>
      <c r="G42" s="1105"/>
      <c r="H42" s="1105"/>
    </row>
    <row r="43" spans="1:8" x14ac:dyDescent="0.2">
      <c r="A43" s="1104" t="s">
        <v>3021</v>
      </c>
      <c r="B43" s="1104"/>
      <c r="C43" s="1105"/>
      <c r="D43" s="1105"/>
      <c r="E43" s="1105"/>
      <c r="F43" s="1105"/>
      <c r="G43" s="1105"/>
      <c r="H43" s="1105"/>
    </row>
    <row r="44" spans="1:8" x14ac:dyDescent="0.2">
      <c r="A44" s="1104" t="s">
        <v>3022</v>
      </c>
      <c r="B44" s="1104"/>
      <c r="C44" s="1105"/>
      <c r="D44" s="1105"/>
      <c r="E44" s="1105"/>
      <c r="F44" s="1105"/>
      <c r="G44" s="1105"/>
      <c r="H44" s="1105"/>
    </row>
    <row r="45" spans="1:8" x14ac:dyDescent="0.2">
      <c r="A45" s="1104" t="s">
        <v>3023</v>
      </c>
      <c r="B45" s="1104"/>
      <c r="C45" s="1105"/>
      <c r="D45" s="1105"/>
      <c r="E45" s="1105"/>
      <c r="F45" s="1105"/>
      <c r="G45" s="1105"/>
      <c r="H45" s="1105"/>
    </row>
    <row r="46" spans="1:8" x14ac:dyDescent="0.2">
      <c r="A46" s="1104" t="s">
        <v>3024</v>
      </c>
      <c r="B46" s="1104"/>
      <c r="C46" s="1105"/>
      <c r="D46" s="1105"/>
      <c r="E46" s="1105"/>
      <c r="F46" s="1105"/>
      <c r="G46" s="1105"/>
      <c r="H46" s="1105"/>
    </row>
    <row r="47" spans="1:8" x14ac:dyDescent="0.2">
      <c r="A47" s="1104" t="s">
        <v>3025</v>
      </c>
      <c r="B47" s="1104"/>
      <c r="C47" s="1105"/>
      <c r="D47" s="1105"/>
      <c r="E47" s="1105"/>
      <c r="F47" s="1105"/>
      <c r="G47" s="1105"/>
      <c r="H47" s="1105"/>
    </row>
    <row r="48" spans="1:8" x14ac:dyDescent="0.2">
      <c r="A48" s="1104" t="s">
        <v>3026</v>
      </c>
      <c r="B48" s="1104"/>
      <c r="C48" s="1105"/>
      <c r="D48" s="1105"/>
      <c r="E48" s="1105"/>
      <c r="F48" s="1105"/>
      <c r="G48" s="1105"/>
      <c r="H48" s="1105"/>
    </row>
    <row r="49" spans="1:9" x14ac:dyDescent="0.2">
      <c r="A49" s="1104" t="s">
        <v>3027</v>
      </c>
      <c r="B49" s="1104"/>
      <c r="C49" s="1105"/>
      <c r="D49" s="1105"/>
      <c r="E49" s="1105"/>
      <c r="F49" s="1105"/>
      <c r="G49" s="1105"/>
      <c r="H49" s="1105"/>
    </row>
    <row r="50" spans="1:9" x14ac:dyDescent="0.2">
      <c r="A50" s="1104" t="s">
        <v>3028</v>
      </c>
      <c r="B50" s="1104"/>
      <c r="C50" s="1105"/>
      <c r="D50" s="1105"/>
      <c r="E50" s="1105"/>
      <c r="F50" s="1105"/>
      <c r="G50" s="1105"/>
      <c r="H50" s="1105"/>
    </row>
    <row r="51" spans="1:9" x14ac:dyDescent="0.2">
      <c r="A51" s="1104" t="s">
        <v>3029</v>
      </c>
      <c r="B51" s="1104"/>
      <c r="C51" s="1105"/>
      <c r="D51" s="1105"/>
      <c r="E51" s="1105"/>
      <c r="F51" s="1105"/>
      <c r="G51" s="1105"/>
      <c r="H51" s="1105"/>
    </row>
    <row r="52" spans="1:9" x14ac:dyDescent="0.2">
      <c r="A52" s="1104" t="s">
        <v>3030</v>
      </c>
      <c r="B52" s="1104"/>
      <c r="C52" s="1105"/>
      <c r="D52" s="1105"/>
      <c r="E52" s="1105"/>
      <c r="F52" s="1105"/>
      <c r="G52" s="1105"/>
      <c r="H52" s="1105"/>
    </row>
    <row r="53" spans="1:9" x14ac:dyDescent="0.2">
      <c r="A53" s="1104" t="s">
        <v>3031</v>
      </c>
      <c r="B53" s="1104"/>
      <c r="C53" s="1105"/>
      <c r="D53" s="1105"/>
      <c r="E53" s="1105"/>
      <c r="F53" s="1105"/>
      <c r="G53" s="1105"/>
      <c r="H53" s="1105"/>
    </row>
    <row r="54" spans="1:9" x14ac:dyDescent="0.2">
      <c r="A54" s="1104" t="s">
        <v>3032</v>
      </c>
      <c r="B54" s="1104"/>
      <c r="C54" s="1105"/>
      <c r="D54" s="1105"/>
      <c r="E54" s="1105"/>
      <c r="F54" s="1105"/>
      <c r="G54" s="1105"/>
      <c r="H54" s="1105"/>
    </row>
    <row r="55" spans="1:9" x14ac:dyDescent="0.2">
      <c r="A55" s="1104" t="s">
        <v>3033</v>
      </c>
      <c r="B55" s="1104"/>
      <c r="C55" s="1105"/>
      <c r="D55" s="1105"/>
      <c r="E55" s="1105"/>
      <c r="F55" s="1105"/>
      <c r="G55" s="1105"/>
      <c r="H55" s="1105"/>
    </row>
    <row r="56" spans="1:9" x14ac:dyDescent="0.2">
      <c r="A56" s="1104" t="s">
        <v>3034</v>
      </c>
      <c r="B56" s="1104"/>
      <c r="C56" s="1105"/>
      <c r="D56" s="1105"/>
      <c r="E56" s="1105"/>
      <c r="F56" s="1105"/>
      <c r="G56" s="1105"/>
      <c r="H56" s="1105"/>
    </row>
    <row r="57" spans="1:9" x14ac:dyDescent="0.2">
      <c r="A57" s="1104" t="s">
        <v>3035</v>
      </c>
      <c r="B57" s="1104"/>
      <c r="C57" s="1105"/>
      <c r="D57" s="1105"/>
      <c r="E57" s="1105"/>
      <c r="F57" s="1105"/>
      <c r="G57" s="1105"/>
      <c r="H57" s="1105"/>
    </row>
    <row r="58" spans="1:9" x14ac:dyDescent="0.2">
      <c r="A58" s="1104" t="s">
        <v>3036</v>
      </c>
      <c r="B58" s="1104"/>
      <c r="C58" s="1105"/>
      <c r="D58" s="1105"/>
      <c r="E58" s="1105"/>
      <c r="F58" s="1105"/>
      <c r="G58" s="1105"/>
      <c r="H58" s="1105"/>
    </row>
    <row r="59" spans="1:9" x14ac:dyDescent="0.2">
      <c r="A59" s="1104" t="s">
        <v>3037</v>
      </c>
      <c r="B59" s="1104"/>
      <c r="C59" s="1105"/>
      <c r="D59" s="1105"/>
      <c r="E59" s="1105"/>
      <c r="F59" s="1105"/>
      <c r="G59" s="1105"/>
      <c r="H59" s="1105"/>
    </row>
    <row r="60" spans="1:9" x14ac:dyDescent="0.2">
      <c r="A60" s="1104" t="s">
        <v>3038</v>
      </c>
      <c r="B60" s="1104"/>
      <c r="C60" s="1105"/>
      <c r="D60" s="1105"/>
      <c r="E60" s="1105"/>
      <c r="F60" s="1105"/>
      <c r="G60" s="1105"/>
      <c r="H60" s="1105"/>
    </row>
    <row r="61" spans="1:9" x14ac:dyDescent="0.2">
      <c r="A61" s="1104" t="s">
        <v>3039</v>
      </c>
      <c r="B61" s="1104"/>
      <c r="C61" s="1105"/>
      <c r="D61" s="1105"/>
      <c r="E61" s="1105"/>
      <c r="F61" s="1105"/>
      <c r="G61" s="1105"/>
      <c r="H61" s="1105"/>
    </row>
    <row r="62" spans="1:9" x14ac:dyDescent="0.2">
      <c r="A62" s="1104" t="s">
        <v>2951</v>
      </c>
      <c r="B62" s="1104"/>
      <c r="C62" s="1105"/>
      <c r="D62" s="1105"/>
      <c r="E62" s="1105"/>
      <c r="F62" s="1105"/>
      <c r="G62" s="1105"/>
      <c r="H62" s="1105"/>
    </row>
    <row r="63" spans="1:9" x14ac:dyDescent="0.2">
      <c r="A63" s="1104" t="s">
        <v>2952</v>
      </c>
      <c r="B63" s="1104"/>
      <c r="C63" s="1105"/>
      <c r="D63" s="1105"/>
      <c r="E63" s="1105"/>
      <c r="F63" s="1105"/>
      <c r="G63" s="1105"/>
      <c r="H63" s="1105"/>
      <c r="I63" s="1106">
        <f>+G63-H63</f>
        <v>0</v>
      </c>
    </row>
    <row r="64" spans="1:9" x14ac:dyDescent="0.2">
      <c r="A64" s="1104" t="s">
        <v>2953</v>
      </c>
      <c r="B64" s="1104"/>
      <c r="C64" s="1105"/>
      <c r="D64" s="1105"/>
      <c r="E64" s="1105"/>
      <c r="F64" s="1105"/>
      <c r="G64" s="1105"/>
      <c r="H64" s="1105"/>
      <c r="I64" s="1106">
        <f t="shared" ref="I64:I68" si="0">+G64-H64</f>
        <v>0</v>
      </c>
    </row>
    <row r="65" spans="1:9" x14ac:dyDescent="0.2">
      <c r="A65" s="1104" t="s">
        <v>2981</v>
      </c>
      <c r="B65" s="1104"/>
      <c r="C65" s="1105"/>
      <c r="D65" s="1105"/>
      <c r="E65" s="1105"/>
      <c r="F65" s="1105"/>
      <c r="G65" s="1105"/>
      <c r="H65" s="1105"/>
      <c r="I65" s="1106">
        <f t="shared" si="0"/>
        <v>0</v>
      </c>
    </row>
    <row r="66" spans="1:9" x14ac:dyDescent="0.2">
      <c r="A66" s="1104" t="s">
        <v>2954</v>
      </c>
      <c r="B66" s="1104"/>
      <c r="C66" s="1105"/>
      <c r="D66" s="1105"/>
      <c r="E66" s="1105"/>
      <c r="F66" s="1105"/>
      <c r="G66" s="1105"/>
      <c r="H66" s="1105"/>
      <c r="I66" s="1106">
        <f t="shared" si="0"/>
        <v>0</v>
      </c>
    </row>
    <row r="67" spans="1:9" x14ac:dyDescent="0.2">
      <c r="A67" s="1104" t="s">
        <v>3040</v>
      </c>
      <c r="B67" s="1104"/>
      <c r="C67" s="1105"/>
      <c r="D67" s="1105"/>
      <c r="E67" s="1105"/>
      <c r="F67" s="1105"/>
      <c r="G67" s="1105"/>
      <c r="H67" s="1105"/>
      <c r="I67" s="1106">
        <f t="shared" si="0"/>
        <v>0</v>
      </c>
    </row>
    <row r="68" spans="1:9" x14ac:dyDescent="0.2">
      <c r="A68" s="1104" t="s">
        <v>3041</v>
      </c>
      <c r="B68" s="1104"/>
      <c r="C68" s="1105"/>
      <c r="D68" s="1105"/>
      <c r="E68" s="1105"/>
      <c r="F68" s="1105"/>
      <c r="G68" s="1105"/>
      <c r="H68" s="1105"/>
      <c r="I68" s="1106">
        <f t="shared" si="0"/>
        <v>0</v>
      </c>
    </row>
    <row r="69" spans="1:9" x14ac:dyDescent="0.2">
      <c r="A69" s="1104" t="s">
        <v>2982</v>
      </c>
      <c r="B69" s="1104"/>
      <c r="C69" s="1105"/>
      <c r="D69" s="1105"/>
      <c r="E69" s="1105"/>
      <c r="F69" s="1105"/>
      <c r="G69" s="1105"/>
      <c r="H69" s="1105"/>
    </row>
    <row r="70" spans="1:9" x14ac:dyDescent="0.2">
      <c r="A70" s="1104" t="s">
        <v>3042</v>
      </c>
      <c r="B70" s="1104"/>
      <c r="C70" s="1105"/>
      <c r="D70" s="1105"/>
      <c r="E70" s="1105"/>
      <c r="F70" s="1105"/>
      <c r="G70" s="1105"/>
      <c r="H70" s="1105"/>
    </row>
    <row r="71" spans="1:9" x14ac:dyDescent="0.2">
      <c r="A71" s="1104" t="s">
        <v>3043</v>
      </c>
      <c r="B71" s="1104"/>
      <c r="C71" s="1105"/>
      <c r="D71" s="1105"/>
      <c r="E71" s="1105"/>
      <c r="F71" s="1105"/>
      <c r="G71" s="1105"/>
      <c r="H71" s="1105"/>
    </row>
    <row r="72" spans="1:9" x14ac:dyDescent="0.2">
      <c r="A72" s="1104" t="s">
        <v>3044</v>
      </c>
      <c r="B72" s="1104"/>
      <c r="C72" s="1105"/>
      <c r="D72" s="1105"/>
      <c r="E72" s="1105"/>
      <c r="F72" s="1105"/>
      <c r="G72" s="1105"/>
      <c r="H72" s="1105"/>
    </row>
    <row r="73" spans="1:9" x14ac:dyDescent="0.2">
      <c r="A73" s="1104" t="s">
        <v>3045</v>
      </c>
      <c r="B73" s="1104"/>
      <c r="C73" s="1105"/>
      <c r="D73" s="1105"/>
      <c r="E73" s="1105"/>
      <c r="F73" s="1105"/>
      <c r="G73" s="1105"/>
      <c r="H73" s="1105"/>
    </row>
    <row r="74" spans="1:9" x14ac:dyDescent="0.2">
      <c r="A74" s="1104" t="s">
        <v>3046</v>
      </c>
      <c r="B74" s="1104"/>
      <c r="C74" s="1105"/>
      <c r="D74" s="1105"/>
      <c r="E74" s="1105"/>
      <c r="F74" s="1105"/>
      <c r="G74" s="1105"/>
      <c r="H74" s="1105"/>
    </row>
    <row r="75" spans="1:9" x14ac:dyDescent="0.2">
      <c r="A75" s="1104" t="s">
        <v>3047</v>
      </c>
      <c r="B75" s="1104"/>
      <c r="C75" s="1105"/>
      <c r="D75" s="1105"/>
      <c r="E75" s="1105"/>
      <c r="F75" s="1105"/>
      <c r="G75" s="1105"/>
      <c r="H75" s="1105"/>
    </row>
    <row r="76" spans="1:9" x14ac:dyDescent="0.2">
      <c r="A76" s="1104" t="s">
        <v>3048</v>
      </c>
      <c r="B76" s="1104"/>
      <c r="C76" s="1105"/>
      <c r="D76" s="1105"/>
      <c r="E76" s="1105"/>
      <c r="F76" s="1105"/>
      <c r="G76" s="1105"/>
      <c r="H76" s="1105"/>
    </row>
    <row r="77" spans="1:9" x14ac:dyDescent="0.2">
      <c r="A77" s="1104" t="s">
        <v>3049</v>
      </c>
      <c r="B77" s="1104"/>
      <c r="C77" s="1105"/>
      <c r="D77" s="1105"/>
      <c r="E77" s="1105"/>
      <c r="F77" s="1105"/>
      <c r="G77" s="1105"/>
      <c r="H77" s="1105"/>
    </row>
    <row r="78" spans="1:9" x14ac:dyDescent="0.2">
      <c r="A78" s="1104" t="s">
        <v>2955</v>
      </c>
      <c r="B78" s="1104"/>
      <c r="C78" s="1105"/>
      <c r="D78" s="1105"/>
      <c r="E78" s="1105"/>
      <c r="F78" s="1105"/>
      <c r="G78" s="1105"/>
      <c r="H78" s="1105"/>
    </row>
    <row r="79" spans="1:9" x14ac:dyDescent="0.2">
      <c r="A79" s="1104" t="s">
        <v>3050</v>
      </c>
      <c r="B79" s="1104"/>
      <c r="C79" s="1105"/>
      <c r="D79" s="1105"/>
      <c r="E79" s="1105"/>
      <c r="F79" s="1105"/>
      <c r="G79" s="1105"/>
      <c r="H79" s="1105"/>
    </row>
    <row r="80" spans="1:9" x14ac:dyDescent="0.2">
      <c r="A80" s="1104" t="s">
        <v>3051</v>
      </c>
      <c r="B80" s="1104"/>
      <c r="C80" s="1105"/>
      <c r="D80" s="1105"/>
      <c r="E80" s="1105"/>
      <c r="F80" s="1105"/>
      <c r="G80" s="1105"/>
      <c r="H80" s="1105"/>
    </row>
    <row r="81" spans="1:8" x14ac:dyDescent="0.2">
      <c r="A81" s="1104" t="s">
        <v>3052</v>
      </c>
      <c r="B81" s="1104"/>
      <c r="C81" s="1105"/>
      <c r="D81" s="1105"/>
      <c r="E81" s="1105"/>
      <c r="F81" s="1105"/>
      <c r="G81" s="1105"/>
      <c r="H81" s="1105"/>
    </row>
    <row r="82" spans="1:8" x14ac:dyDescent="0.2">
      <c r="A82" s="1104" t="s">
        <v>2983</v>
      </c>
      <c r="B82" s="1104"/>
      <c r="C82" s="1105"/>
      <c r="D82" s="1105"/>
      <c r="E82" s="1105"/>
      <c r="F82" s="1105"/>
      <c r="G82" s="1105"/>
      <c r="H82" s="1105"/>
    </row>
    <row r="83" spans="1:8" x14ac:dyDescent="0.2">
      <c r="A83" s="1104" t="s">
        <v>3053</v>
      </c>
      <c r="B83" s="1104"/>
      <c r="C83" s="1105"/>
      <c r="D83" s="1105"/>
      <c r="E83" s="1105"/>
      <c r="F83" s="1105"/>
      <c r="G83" s="1105"/>
      <c r="H83" s="1105"/>
    </row>
    <row r="84" spans="1:8" x14ac:dyDescent="0.2">
      <c r="A84" s="1104" t="s">
        <v>3054</v>
      </c>
      <c r="B84" s="1104"/>
      <c r="C84" s="1105"/>
      <c r="D84" s="1105"/>
      <c r="E84" s="1105"/>
      <c r="F84" s="1105"/>
      <c r="G84" s="1105"/>
      <c r="H84" s="1105"/>
    </row>
    <row r="85" spans="1:8" x14ac:dyDescent="0.2">
      <c r="A85" s="1104" t="s">
        <v>3055</v>
      </c>
      <c r="B85" s="1104"/>
      <c r="C85" s="1105"/>
      <c r="D85" s="1105"/>
      <c r="E85" s="1105"/>
      <c r="F85" s="1105"/>
      <c r="G85" s="1105"/>
      <c r="H85" s="1105"/>
    </row>
    <row r="86" spans="1:8" x14ac:dyDescent="0.2">
      <c r="A86" s="1104" t="s">
        <v>2956</v>
      </c>
      <c r="B86" s="1104"/>
      <c r="C86" s="1105"/>
      <c r="D86" s="1105"/>
      <c r="E86" s="1105"/>
      <c r="F86" s="1105"/>
      <c r="G86" s="1105"/>
      <c r="H86" s="1105"/>
    </row>
    <row r="87" spans="1:8" x14ac:dyDescent="0.2">
      <c r="A87" s="1104" t="s">
        <v>3056</v>
      </c>
      <c r="B87" s="1104"/>
      <c r="C87" s="1105"/>
      <c r="D87" s="1105"/>
      <c r="E87" s="1105"/>
      <c r="F87" s="1105"/>
      <c r="G87" s="1105"/>
      <c r="H87" s="1105"/>
    </row>
    <row r="88" spans="1:8" x14ac:dyDescent="0.2">
      <c r="A88" s="1104" t="s">
        <v>3057</v>
      </c>
      <c r="B88" s="1104"/>
      <c r="C88" s="1105"/>
      <c r="D88" s="1105"/>
      <c r="E88" s="1105"/>
      <c r="F88" s="1105"/>
      <c r="G88" s="1105"/>
      <c r="H88" s="1105"/>
    </row>
    <row r="89" spans="1:8" x14ac:dyDescent="0.2">
      <c r="A89" s="1104" t="s">
        <v>3058</v>
      </c>
      <c r="B89" s="1104"/>
      <c r="C89" s="1105"/>
      <c r="D89" s="1105"/>
      <c r="E89" s="1105"/>
      <c r="F89" s="1105"/>
      <c r="G89" s="1105"/>
      <c r="H89" s="1105"/>
    </row>
    <row r="90" spans="1:8" x14ac:dyDescent="0.2">
      <c r="A90" s="1104" t="s">
        <v>3059</v>
      </c>
      <c r="B90" s="1104"/>
      <c r="C90" s="1105"/>
      <c r="D90" s="1105"/>
      <c r="E90" s="1105"/>
      <c r="F90" s="1105"/>
      <c r="G90" s="1105"/>
      <c r="H90" s="1105"/>
    </row>
    <row r="91" spans="1:8" x14ac:dyDescent="0.2">
      <c r="A91" s="1104" t="s">
        <v>3060</v>
      </c>
      <c r="B91" s="1104"/>
      <c r="C91" s="1105"/>
      <c r="D91" s="1105"/>
      <c r="E91" s="1105"/>
      <c r="F91" s="1105"/>
      <c r="G91" s="1105"/>
      <c r="H91" s="1105"/>
    </row>
    <row r="92" spans="1:8" x14ac:dyDescent="0.2">
      <c r="A92" s="1104" t="s">
        <v>3061</v>
      </c>
      <c r="B92" s="1104"/>
      <c r="C92" s="1105"/>
      <c r="D92" s="1105"/>
      <c r="E92" s="1105"/>
      <c r="F92" s="1105"/>
      <c r="G92" s="1105"/>
      <c r="H92" s="1105"/>
    </row>
    <row r="93" spans="1:8" x14ac:dyDescent="0.2">
      <c r="A93" s="1104" t="s">
        <v>3062</v>
      </c>
      <c r="B93" s="1104"/>
      <c r="C93" s="1105"/>
      <c r="D93" s="1105"/>
      <c r="E93" s="1105"/>
      <c r="F93" s="1105"/>
      <c r="G93" s="1105"/>
      <c r="H93" s="1105"/>
    </row>
    <row r="94" spans="1:8" x14ac:dyDescent="0.2">
      <c r="A94" s="1104" t="s">
        <v>3063</v>
      </c>
      <c r="B94" s="1104"/>
      <c r="C94" s="1105"/>
      <c r="D94" s="1105"/>
      <c r="E94" s="1105"/>
      <c r="F94" s="1105"/>
      <c r="G94" s="1105"/>
      <c r="H94" s="1105"/>
    </row>
    <row r="95" spans="1:8" x14ac:dyDescent="0.2">
      <c r="A95" s="1104" t="s">
        <v>2957</v>
      </c>
      <c r="B95" s="1104"/>
      <c r="C95" s="1105"/>
      <c r="D95" s="1105"/>
      <c r="E95" s="1105"/>
      <c r="F95" s="1105"/>
      <c r="G95" s="1105"/>
      <c r="H95" s="1105"/>
    </row>
    <row r="96" spans="1:8" x14ac:dyDescent="0.2">
      <c r="A96" s="1104" t="s">
        <v>3064</v>
      </c>
      <c r="B96" s="1104"/>
      <c r="C96" s="1105"/>
      <c r="D96" s="1105"/>
      <c r="E96" s="1105"/>
      <c r="F96" s="1105"/>
      <c r="G96" s="1105"/>
      <c r="H96" s="1105"/>
    </row>
    <row r="97" spans="1:8" x14ac:dyDescent="0.2">
      <c r="A97" s="1104" t="s">
        <v>2958</v>
      </c>
      <c r="B97" s="1104"/>
      <c r="C97" s="1105"/>
      <c r="D97" s="1105"/>
      <c r="E97" s="1105"/>
      <c r="F97" s="1105"/>
      <c r="G97" s="1105"/>
      <c r="H97" s="1105"/>
    </row>
    <row r="98" spans="1:8" x14ac:dyDescent="0.2">
      <c r="A98" s="1104" t="s">
        <v>3065</v>
      </c>
      <c r="B98" s="1104"/>
      <c r="C98" s="1105"/>
      <c r="D98" s="1105"/>
      <c r="E98" s="1105"/>
      <c r="F98" s="1105"/>
      <c r="G98" s="1105"/>
      <c r="H98" s="1105"/>
    </row>
    <row r="99" spans="1:8" x14ac:dyDescent="0.2">
      <c r="A99" s="1104" t="s">
        <v>3066</v>
      </c>
      <c r="B99" s="1104"/>
      <c r="C99" s="1105"/>
      <c r="D99" s="1105"/>
      <c r="E99" s="1105"/>
      <c r="F99" s="1105"/>
      <c r="G99" s="1105"/>
      <c r="H99" s="1105"/>
    </row>
    <row r="100" spans="1:8" x14ac:dyDescent="0.2">
      <c r="A100" s="1104" t="s">
        <v>2959</v>
      </c>
      <c r="B100" s="1104"/>
      <c r="C100" s="1105"/>
      <c r="D100" s="1105"/>
      <c r="E100" s="1105"/>
      <c r="F100" s="1105"/>
      <c r="G100" s="1105"/>
      <c r="H100" s="1105"/>
    </row>
    <row r="101" spans="1:8" x14ac:dyDescent="0.2">
      <c r="A101" s="1104" t="s">
        <v>2960</v>
      </c>
      <c r="B101" s="1104"/>
      <c r="C101" s="1105"/>
      <c r="D101" s="1105"/>
      <c r="E101" s="1105"/>
      <c r="F101" s="1105"/>
      <c r="G101" s="1105"/>
      <c r="H101" s="1105"/>
    </row>
    <row r="102" spans="1:8" x14ac:dyDescent="0.2">
      <c r="A102" s="1104" t="s">
        <v>2961</v>
      </c>
      <c r="B102" s="1104"/>
      <c r="C102" s="1105"/>
      <c r="D102" s="1105"/>
      <c r="E102" s="1105"/>
      <c r="F102" s="1105"/>
      <c r="G102" s="1105"/>
      <c r="H102" s="1105"/>
    </row>
    <row r="103" spans="1:8" x14ac:dyDescent="0.2">
      <c r="A103" s="1104" t="s">
        <v>3067</v>
      </c>
      <c r="B103" s="1104"/>
      <c r="C103" s="1105"/>
      <c r="D103" s="1105"/>
      <c r="E103" s="1105"/>
      <c r="F103" s="1105"/>
      <c r="G103" s="1105"/>
      <c r="H103" s="1105"/>
    </row>
    <row r="104" spans="1:8" x14ac:dyDescent="0.2">
      <c r="A104" s="1104" t="s">
        <v>3068</v>
      </c>
      <c r="B104" s="1104"/>
      <c r="C104" s="1105"/>
      <c r="D104" s="1105"/>
      <c r="E104" s="1105"/>
      <c r="F104" s="1105"/>
      <c r="G104" s="1105"/>
      <c r="H104" s="1105"/>
    </row>
    <row r="105" spans="1:8" x14ac:dyDescent="0.2">
      <c r="A105" s="1104" t="s">
        <v>2962</v>
      </c>
      <c r="B105" s="1104"/>
      <c r="C105" s="1105"/>
      <c r="D105" s="1105"/>
      <c r="E105" s="1105"/>
      <c r="F105" s="1105"/>
      <c r="G105" s="1105"/>
      <c r="H105" s="1105"/>
    </row>
    <row r="106" spans="1:8" x14ac:dyDescent="0.2">
      <c r="A106" s="1104" t="s">
        <v>3069</v>
      </c>
      <c r="B106" s="1104"/>
      <c r="C106" s="1105"/>
      <c r="D106" s="1105"/>
      <c r="E106" s="1105"/>
      <c r="F106" s="1105"/>
      <c r="G106" s="1105"/>
      <c r="H106" s="1105"/>
    </row>
    <row r="107" spans="1:8" x14ac:dyDescent="0.2">
      <c r="A107" s="1104" t="s">
        <v>3070</v>
      </c>
      <c r="B107" s="1104"/>
      <c r="C107" s="1105"/>
      <c r="D107" s="1105"/>
      <c r="E107" s="1105"/>
      <c r="F107" s="1105"/>
      <c r="G107" s="1105"/>
      <c r="H107" s="1105"/>
    </row>
    <row r="108" spans="1:8" x14ac:dyDescent="0.2">
      <c r="A108" s="1104" t="s">
        <v>3071</v>
      </c>
      <c r="B108" s="1104"/>
      <c r="C108" s="1105"/>
      <c r="D108" s="1105"/>
      <c r="E108" s="1105"/>
      <c r="F108" s="1105"/>
      <c r="G108" s="1105"/>
      <c r="H108" s="1105"/>
    </row>
    <row r="109" spans="1:8" x14ac:dyDescent="0.2">
      <c r="A109" s="1104" t="s">
        <v>2963</v>
      </c>
      <c r="B109" s="1104"/>
      <c r="C109" s="1105"/>
      <c r="D109" s="1105"/>
      <c r="E109" s="1105"/>
      <c r="F109" s="1105"/>
      <c r="G109" s="1105"/>
      <c r="H109" s="1105"/>
    </row>
    <row r="110" spans="1:8" x14ac:dyDescent="0.2">
      <c r="A110" s="1104" t="s">
        <v>3072</v>
      </c>
      <c r="B110" s="1104"/>
      <c r="C110" s="1105"/>
      <c r="D110" s="1105"/>
      <c r="E110" s="1105"/>
      <c r="F110" s="1105"/>
      <c r="G110" s="1105"/>
      <c r="H110" s="1105"/>
    </row>
    <row r="111" spans="1:8" x14ac:dyDescent="0.2">
      <c r="A111" s="1104" t="s">
        <v>3073</v>
      </c>
      <c r="B111" s="1104"/>
      <c r="C111" s="1105"/>
      <c r="D111" s="1105"/>
      <c r="E111" s="1105"/>
      <c r="F111" s="1105"/>
      <c r="G111" s="1105"/>
      <c r="H111" s="1105"/>
    </row>
    <row r="112" spans="1:8" x14ac:dyDescent="0.2">
      <c r="A112" s="1104" t="s">
        <v>3074</v>
      </c>
      <c r="B112" s="1104"/>
      <c r="C112" s="1105"/>
      <c r="D112" s="1105"/>
      <c r="E112" s="1105"/>
      <c r="F112" s="1105"/>
      <c r="G112" s="1105"/>
      <c r="H112" s="1105"/>
    </row>
    <row r="113" spans="1:8" x14ac:dyDescent="0.2">
      <c r="A113" s="1104" t="s">
        <v>3075</v>
      </c>
      <c r="B113" s="1104"/>
      <c r="C113" s="1105"/>
      <c r="D113" s="1105"/>
      <c r="E113" s="1105"/>
      <c r="F113" s="1105"/>
      <c r="G113" s="1105"/>
      <c r="H113" s="1105"/>
    </row>
    <row r="114" spans="1:8" x14ac:dyDescent="0.2">
      <c r="A114" s="1104" t="s">
        <v>3076</v>
      </c>
      <c r="B114" s="1104"/>
      <c r="C114" s="1105"/>
      <c r="D114" s="1105"/>
      <c r="E114" s="1105"/>
      <c r="F114" s="1105"/>
      <c r="G114" s="1105"/>
      <c r="H114" s="1105"/>
    </row>
    <row r="115" spans="1:8" x14ac:dyDescent="0.2">
      <c r="A115" s="1104" t="s">
        <v>2984</v>
      </c>
      <c r="B115" s="1104"/>
      <c r="C115" s="1105"/>
      <c r="D115" s="1105"/>
      <c r="E115" s="1105"/>
      <c r="F115" s="1105"/>
      <c r="G115" s="1105"/>
      <c r="H115" s="1105"/>
    </row>
    <row r="116" spans="1:8" x14ac:dyDescent="0.2">
      <c r="A116" s="1104" t="s">
        <v>3077</v>
      </c>
      <c r="B116" s="1104"/>
      <c r="C116" s="1105"/>
      <c r="D116" s="1105"/>
      <c r="E116" s="1105"/>
      <c r="F116" s="1105"/>
      <c r="G116" s="1105"/>
      <c r="H116" s="1105"/>
    </row>
    <row r="117" spans="1:8" x14ac:dyDescent="0.2">
      <c r="A117" s="1104" t="s">
        <v>2985</v>
      </c>
      <c r="B117" s="1104"/>
      <c r="C117" s="1105"/>
      <c r="D117" s="1105"/>
      <c r="E117" s="1105"/>
      <c r="F117" s="1105"/>
      <c r="G117" s="1105"/>
      <c r="H117" s="1105"/>
    </row>
    <row r="118" spans="1:8" x14ac:dyDescent="0.2">
      <c r="A118" s="1104" t="s">
        <v>3078</v>
      </c>
      <c r="B118" s="1104"/>
      <c r="C118" s="1105"/>
      <c r="D118" s="1105"/>
      <c r="E118" s="1105"/>
      <c r="F118" s="1105"/>
      <c r="G118" s="1105"/>
      <c r="H118" s="1105"/>
    </row>
    <row r="119" spans="1:8" x14ac:dyDescent="0.2">
      <c r="A119" s="1104" t="s">
        <v>3079</v>
      </c>
      <c r="B119" s="1104"/>
      <c r="C119" s="1105"/>
      <c r="D119" s="1105"/>
      <c r="E119" s="1105"/>
      <c r="F119" s="1105"/>
      <c r="G119" s="1105"/>
      <c r="H119" s="1105"/>
    </row>
    <row r="120" spans="1:8" x14ac:dyDescent="0.2">
      <c r="A120" s="1104" t="s">
        <v>3080</v>
      </c>
      <c r="B120" s="1104"/>
      <c r="C120" s="1105"/>
      <c r="D120" s="1105"/>
      <c r="E120" s="1105"/>
      <c r="F120" s="1105"/>
      <c r="G120" s="1105"/>
      <c r="H120" s="1105"/>
    </row>
    <row r="121" spans="1:8" x14ac:dyDescent="0.2">
      <c r="A121" s="1104" t="s">
        <v>3081</v>
      </c>
      <c r="B121" s="1104"/>
      <c r="C121" s="1105"/>
      <c r="D121" s="1105"/>
      <c r="E121" s="1105"/>
      <c r="F121" s="1105"/>
      <c r="G121" s="1105"/>
      <c r="H121" s="1105"/>
    </row>
    <row r="122" spans="1:8" x14ac:dyDescent="0.2">
      <c r="A122" s="1104" t="s">
        <v>3082</v>
      </c>
      <c r="B122" s="1104"/>
      <c r="C122" s="1105"/>
      <c r="D122" s="1105"/>
      <c r="E122" s="1105"/>
      <c r="F122" s="1105"/>
      <c r="G122" s="1105"/>
      <c r="H122" s="1105"/>
    </row>
    <row r="123" spans="1:8" x14ac:dyDescent="0.2">
      <c r="A123" s="1104" t="s">
        <v>2964</v>
      </c>
      <c r="B123" s="1104"/>
      <c r="C123" s="1105"/>
      <c r="D123" s="1105"/>
      <c r="E123" s="1105"/>
      <c r="F123" s="1105"/>
      <c r="G123" s="1105"/>
      <c r="H123" s="1105"/>
    </row>
    <row r="124" spans="1:8" x14ac:dyDescent="0.2">
      <c r="A124" s="1104" t="s">
        <v>3083</v>
      </c>
      <c r="B124" s="1104"/>
      <c r="C124" s="1105"/>
      <c r="D124" s="1105"/>
      <c r="E124" s="1105"/>
      <c r="F124" s="1105"/>
      <c r="G124" s="1105"/>
      <c r="H124" s="1105"/>
    </row>
    <row r="125" spans="1:8" x14ac:dyDescent="0.2">
      <c r="A125" s="1104" t="s">
        <v>2986</v>
      </c>
      <c r="B125" s="1104"/>
      <c r="C125" s="1105"/>
      <c r="D125" s="1105"/>
      <c r="E125" s="1105"/>
      <c r="F125" s="1105"/>
      <c r="G125" s="1105"/>
      <c r="H125" s="1105"/>
    </row>
    <row r="126" spans="1:8" x14ac:dyDescent="0.2">
      <c r="A126" s="1104" t="s">
        <v>2965</v>
      </c>
      <c r="B126" s="1104"/>
      <c r="C126" s="1105"/>
      <c r="D126" s="1105"/>
      <c r="E126" s="1105"/>
      <c r="F126" s="1105"/>
      <c r="G126" s="1105"/>
      <c r="H126" s="1105"/>
    </row>
    <row r="127" spans="1:8" x14ac:dyDescent="0.2">
      <c r="A127" s="1104" t="s">
        <v>3084</v>
      </c>
      <c r="B127" s="1104"/>
      <c r="C127" s="1105"/>
      <c r="D127" s="1105"/>
      <c r="E127" s="1105"/>
      <c r="F127" s="1105"/>
      <c r="G127" s="1105"/>
      <c r="H127" s="1105"/>
    </row>
    <row r="128" spans="1:8" x14ac:dyDescent="0.2">
      <c r="A128" s="1104" t="s">
        <v>2966</v>
      </c>
      <c r="B128" s="1104"/>
      <c r="C128" s="1105"/>
      <c r="D128" s="1105"/>
      <c r="E128" s="1105"/>
      <c r="F128" s="1105"/>
      <c r="G128" s="1105"/>
      <c r="H128" s="1105"/>
    </row>
    <row r="129" spans="1:8" x14ac:dyDescent="0.2">
      <c r="A129" s="1104" t="s">
        <v>2967</v>
      </c>
      <c r="B129" s="1104"/>
      <c r="C129" s="1105"/>
      <c r="D129" s="1105"/>
      <c r="E129" s="1105"/>
      <c r="F129" s="1105"/>
      <c r="G129" s="1105"/>
      <c r="H129" s="1105"/>
    </row>
    <row r="130" spans="1:8" x14ac:dyDescent="0.2">
      <c r="A130" s="1104" t="s">
        <v>3085</v>
      </c>
      <c r="B130" s="1104"/>
      <c r="C130" s="1105"/>
      <c r="D130" s="1105"/>
      <c r="E130" s="1105"/>
      <c r="F130" s="1105"/>
      <c r="G130" s="1105"/>
      <c r="H130" s="1105"/>
    </row>
    <row r="131" spans="1:8" x14ac:dyDescent="0.2">
      <c r="A131" s="1104" t="s">
        <v>3086</v>
      </c>
      <c r="B131" s="1104"/>
      <c r="C131" s="1105"/>
      <c r="D131" s="1105"/>
      <c r="E131" s="1105"/>
      <c r="F131" s="1105"/>
      <c r="G131" s="1105"/>
      <c r="H131" s="1105"/>
    </row>
    <row r="132" spans="1:8" x14ac:dyDescent="0.2">
      <c r="A132" s="1104" t="s">
        <v>3087</v>
      </c>
      <c r="B132" s="1104"/>
      <c r="C132" s="1105"/>
      <c r="D132" s="1105"/>
      <c r="E132" s="1105"/>
      <c r="F132" s="1105"/>
      <c r="G132" s="1105"/>
      <c r="H132" s="1105"/>
    </row>
    <row r="133" spans="1:8" x14ac:dyDescent="0.2">
      <c r="A133" s="1104" t="s">
        <v>3088</v>
      </c>
      <c r="B133" s="1104"/>
      <c r="C133" s="1105"/>
      <c r="D133" s="1105"/>
      <c r="E133" s="1105"/>
      <c r="F133" s="1105"/>
      <c r="G133" s="1105"/>
      <c r="H133" s="1105"/>
    </row>
    <row r="134" spans="1:8" x14ac:dyDescent="0.2">
      <c r="A134" s="1104" t="s">
        <v>3089</v>
      </c>
      <c r="B134" s="1104"/>
      <c r="C134" s="1105"/>
      <c r="D134" s="1105"/>
      <c r="E134" s="1105"/>
      <c r="F134" s="1105"/>
      <c r="G134" s="1105"/>
      <c r="H134" s="1105"/>
    </row>
    <row r="135" spans="1:8" x14ac:dyDescent="0.2">
      <c r="A135" s="1104" t="s">
        <v>3090</v>
      </c>
      <c r="B135" s="1104"/>
      <c r="C135" s="1105"/>
      <c r="D135" s="1105"/>
      <c r="E135" s="1105"/>
      <c r="F135" s="1105"/>
      <c r="G135" s="1105"/>
      <c r="H135" s="1105"/>
    </row>
    <row r="136" spans="1:8" x14ac:dyDescent="0.2">
      <c r="A136" s="1104" t="s">
        <v>3091</v>
      </c>
      <c r="B136" s="1104"/>
      <c r="C136" s="1105"/>
      <c r="D136" s="1105"/>
      <c r="E136" s="1105"/>
      <c r="F136" s="1105"/>
      <c r="G136" s="1105"/>
      <c r="H136" s="1105"/>
    </row>
    <row r="137" spans="1:8" x14ac:dyDescent="0.2">
      <c r="A137" s="1104" t="s">
        <v>3092</v>
      </c>
      <c r="B137" s="1104"/>
      <c r="C137" s="1105"/>
      <c r="D137" s="1105"/>
      <c r="E137" s="1105"/>
      <c r="F137" s="1105"/>
      <c r="G137" s="1105"/>
      <c r="H137" s="1105"/>
    </row>
    <row r="138" spans="1:8" x14ac:dyDescent="0.2">
      <c r="A138" s="1104" t="s">
        <v>3093</v>
      </c>
      <c r="B138" s="1104"/>
      <c r="C138" s="1105"/>
      <c r="D138" s="1105"/>
      <c r="E138" s="1105"/>
      <c r="F138" s="1105"/>
      <c r="G138" s="1105"/>
      <c r="H138" s="1105"/>
    </row>
    <row r="139" spans="1:8" x14ac:dyDescent="0.2">
      <c r="A139" s="1104" t="s">
        <v>3094</v>
      </c>
      <c r="B139" s="1104"/>
      <c r="C139" s="1105"/>
      <c r="D139" s="1105"/>
      <c r="E139" s="1105"/>
      <c r="F139" s="1105"/>
      <c r="G139" s="1105"/>
      <c r="H139" s="1105"/>
    </row>
    <row r="140" spans="1:8" x14ac:dyDescent="0.2">
      <c r="A140" s="1104" t="s">
        <v>3095</v>
      </c>
      <c r="B140" s="1104"/>
      <c r="C140" s="1105"/>
      <c r="D140" s="1105"/>
      <c r="E140" s="1105"/>
      <c r="F140" s="1105"/>
      <c r="G140" s="1105"/>
      <c r="H140" s="1105"/>
    </row>
    <row r="141" spans="1:8" x14ac:dyDescent="0.2">
      <c r="A141" s="1104" t="s">
        <v>3096</v>
      </c>
      <c r="B141" s="1104"/>
      <c r="C141" s="1105"/>
      <c r="D141" s="1105"/>
      <c r="E141" s="1105"/>
      <c r="F141" s="1105"/>
      <c r="G141" s="1105"/>
      <c r="H141" s="1105"/>
    </row>
    <row r="142" spans="1:8" x14ac:dyDescent="0.2">
      <c r="A142" s="1104" t="s">
        <v>3097</v>
      </c>
      <c r="B142" s="1104"/>
      <c r="C142" s="1105"/>
      <c r="D142" s="1105"/>
      <c r="E142" s="1105"/>
      <c r="F142" s="1105"/>
      <c r="G142" s="1105"/>
      <c r="H142" s="1105"/>
    </row>
    <row r="143" spans="1:8" x14ac:dyDescent="0.2">
      <c r="A143" s="1104" t="s">
        <v>3098</v>
      </c>
      <c r="B143" s="1104"/>
      <c r="C143" s="1105"/>
      <c r="D143" s="1105"/>
      <c r="E143" s="1105"/>
      <c r="F143" s="1105"/>
      <c r="G143" s="1105"/>
      <c r="H143" s="1105"/>
    </row>
    <row r="144" spans="1:8" x14ac:dyDescent="0.2">
      <c r="A144" s="1104" t="s">
        <v>3099</v>
      </c>
      <c r="B144" s="1104"/>
      <c r="C144" s="1105"/>
      <c r="D144" s="1105"/>
      <c r="E144" s="1105"/>
      <c r="F144" s="1105"/>
      <c r="G144" s="1105"/>
      <c r="H144" s="1105"/>
    </row>
    <row r="145" spans="1:8" x14ac:dyDescent="0.2">
      <c r="A145" s="1104" t="s">
        <v>3100</v>
      </c>
      <c r="B145" s="1104"/>
      <c r="C145" s="1105"/>
      <c r="D145" s="1105"/>
      <c r="E145" s="1105"/>
      <c r="F145" s="1105"/>
      <c r="G145" s="1105"/>
      <c r="H145" s="1105"/>
    </row>
    <row r="146" spans="1:8" x14ac:dyDescent="0.2">
      <c r="A146" s="1104" t="s">
        <v>3101</v>
      </c>
      <c r="B146" s="1104"/>
      <c r="C146" s="1105"/>
      <c r="D146" s="1105"/>
      <c r="E146" s="1105"/>
      <c r="F146" s="1105"/>
      <c r="G146" s="1105"/>
      <c r="H146" s="1105"/>
    </row>
    <row r="147" spans="1:8" x14ac:dyDescent="0.2">
      <c r="A147" s="1104" t="s">
        <v>2968</v>
      </c>
      <c r="B147" s="1104"/>
      <c r="C147" s="1105"/>
      <c r="D147" s="1105"/>
      <c r="E147" s="1105"/>
      <c r="F147" s="1105"/>
      <c r="G147" s="1105"/>
      <c r="H147" s="1105"/>
    </row>
    <row r="148" spans="1:8" x14ac:dyDescent="0.2">
      <c r="A148" s="1104" t="s">
        <v>2987</v>
      </c>
      <c r="B148" s="1104"/>
      <c r="C148" s="1105"/>
      <c r="D148" s="1105"/>
      <c r="E148" s="1105"/>
      <c r="F148" s="1105"/>
      <c r="G148" s="1105"/>
      <c r="H148" s="1105"/>
    </row>
    <row r="149" spans="1:8" x14ac:dyDescent="0.2">
      <c r="A149" s="1104" t="s">
        <v>2969</v>
      </c>
      <c r="B149" s="1104"/>
      <c r="C149" s="1105"/>
      <c r="D149" s="1105"/>
      <c r="E149" s="1105"/>
      <c r="F149" s="1105"/>
      <c r="G149" s="1105"/>
      <c r="H149" s="1105"/>
    </row>
    <row r="150" spans="1:8" x14ac:dyDescent="0.2">
      <c r="A150" s="1104" t="s">
        <v>3102</v>
      </c>
      <c r="B150" s="1104"/>
      <c r="C150" s="1105"/>
      <c r="D150" s="1105"/>
      <c r="E150" s="1105"/>
      <c r="F150" s="1105"/>
      <c r="G150" s="1105"/>
      <c r="H150" s="1105"/>
    </row>
    <row r="151" spans="1:8" x14ac:dyDescent="0.2">
      <c r="A151" s="1104" t="s">
        <v>3103</v>
      </c>
      <c r="B151" s="1104"/>
      <c r="C151" s="1105"/>
      <c r="D151" s="1105"/>
      <c r="E151" s="1105"/>
      <c r="F151" s="1105"/>
      <c r="G151" s="1105"/>
      <c r="H151" s="1105"/>
    </row>
    <row r="152" spans="1:8" x14ac:dyDescent="0.2">
      <c r="A152" s="1104" t="s">
        <v>3104</v>
      </c>
      <c r="B152" s="1104"/>
      <c r="C152" s="1105"/>
      <c r="D152" s="1105"/>
      <c r="E152" s="1105"/>
      <c r="F152" s="1105"/>
      <c r="G152" s="1105"/>
      <c r="H152" s="1105"/>
    </row>
    <row r="153" spans="1:8" x14ac:dyDescent="0.2">
      <c r="A153" s="1104" t="s">
        <v>3105</v>
      </c>
      <c r="B153" s="1104"/>
      <c r="C153" s="1105"/>
      <c r="D153" s="1105"/>
      <c r="E153" s="1105"/>
      <c r="F153" s="1105"/>
      <c r="G153" s="1105"/>
      <c r="H153" s="1105"/>
    </row>
    <row r="154" spans="1:8" x14ac:dyDescent="0.2">
      <c r="A154" s="1104" t="s">
        <v>3106</v>
      </c>
      <c r="B154" s="1104"/>
      <c r="C154" s="1105"/>
      <c r="D154" s="1105"/>
      <c r="E154" s="1105"/>
      <c r="F154" s="1105"/>
      <c r="G154" s="1105"/>
      <c r="H154" s="1105"/>
    </row>
    <row r="155" spans="1:8" x14ac:dyDescent="0.2">
      <c r="A155" s="1104" t="s">
        <v>2988</v>
      </c>
      <c r="B155" s="1104"/>
      <c r="C155" s="1105"/>
      <c r="D155" s="1105"/>
      <c r="E155" s="1105"/>
      <c r="F155" s="1105"/>
      <c r="G155" s="1105"/>
      <c r="H155" s="1105"/>
    </row>
    <row r="156" spans="1:8" x14ac:dyDescent="0.2">
      <c r="A156" s="1104" t="s">
        <v>3107</v>
      </c>
      <c r="B156" s="1104"/>
      <c r="C156" s="1105"/>
      <c r="D156" s="1105"/>
      <c r="E156" s="1105"/>
      <c r="F156" s="1105"/>
      <c r="G156" s="1105"/>
      <c r="H156" s="1105"/>
    </row>
    <row r="157" spans="1:8" x14ac:dyDescent="0.2">
      <c r="A157" s="1104" t="s">
        <v>3108</v>
      </c>
      <c r="B157" s="1104"/>
      <c r="C157" s="1105"/>
      <c r="D157" s="1105"/>
      <c r="E157" s="1105"/>
      <c r="F157" s="1105"/>
      <c r="G157" s="1105"/>
      <c r="H157" s="1105"/>
    </row>
    <row r="158" spans="1:8" x14ac:dyDescent="0.2">
      <c r="A158" s="1104" t="s">
        <v>3109</v>
      </c>
      <c r="B158" s="1104"/>
      <c r="C158" s="1105"/>
      <c r="D158" s="1105"/>
      <c r="E158" s="1105"/>
      <c r="F158" s="1105"/>
      <c r="G158" s="1105"/>
      <c r="H158" s="1105"/>
    </row>
    <row r="159" spans="1:8" x14ac:dyDescent="0.2">
      <c r="A159" s="1104" t="s">
        <v>3110</v>
      </c>
      <c r="B159" s="1104"/>
      <c r="C159" s="1105"/>
      <c r="D159" s="1105"/>
      <c r="E159" s="1105"/>
      <c r="F159" s="1105"/>
      <c r="G159" s="1105"/>
      <c r="H159" s="1105"/>
    </row>
    <row r="160" spans="1:8" x14ac:dyDescent="0.2">
      <c r="A160" s="1104" t="s">
        <v>3111</v>
      </c>
      <c r="B160" s="1104"/>
      <c r="C160" s="1105"/>
      <c r="D160" s="1105"/>
      <c r="E160" s="1105"/>
      <c r="F160" s="1105"/>
      <c r="G160" s="1105"/>
      <c r="H160" s="1105"/>
    </row>
    <row r="161" spans="1:8" x14ac:dyDescent="0.2">
      <c r="A161" s="1104" t="s">
        <v>3112</v>
      </c>
      <c r="B161" s="1104"/>
      <c r="C161" s="1105"/>
      <c r="D161" s="1105"/>
      <c r="E161" s="1105"/>
      <c r="F161" s="1105"/>
      <c r="G161" s="1105"/>
      <c r="H161" s="1105"/>
    </row>
    <row r="162" spans="1:8" x14ac:dyDescent="0.2">
      <c r="A162" s="1104" t="s">
        <v>3113</v>
      </c>
      <c r="B162" s="1104"/>
      <c r="C162" s="1105"/>
      <c r="D162" s="1105"/>
      <c r="E162" s="1105"/>
      <c r="F162" s="1105"/>
      <c r="G162" s="1105"/>
      <c r="H162" s="1105"/>
    </row>
    <row r="163" spans="1:8" x14ac:dyDescent="0.2">
      <c r="A163" s="1104" t="s">
        <v>2989</v>
      </c>
      <c r="B163" s="1104"/>
      <c r="C163" s="1105"/>
      <c r="D163" s="1105"/>
      <c r="E163" s="1105"/>
      <c r="F163" s="1105"/>
      <c r="G163" s="1105"/>
      <c r="H163" s="1105"/>
    </row>
    <row r="164" spans="1:8" x14ac:dyDescent="0.2">
      <c r="A164" s="1104" t="s">
        <v>3114</v>
      </c>
      <c r="B164" s="1104"/>
      <c r="C164" s="1105"/>
      <c r="D164" s="1105"/>
      <c r="E164" s="1105"/>
      <c r="F164" s="1105"/>
      <c r="G164" s="1105"/>
      <c r="H164" s="1105"/>
    </row>
    <row r="165" spans="1:8" x14ac:dyDescent="0.2">
      <c r="A165" s="1104" t="s">
        <v>3115</v>
      </c>
      <c r="B165" s="1104"/>
      <c r="C165" s="1105"/>
      <c r="D165" s="1105"/>
      <c r="E165" s="1105"/>
      <c r="F165" s="1105"/>
      <c r="G165" s="1105"/>
      <c r="H165" s="1105"/>
    </row>
    <row r="166" spans="1:8" x14ac:dyDescent="0.2">
      <c r="A166" s="1104" t="s">
        <v>2970</v>
      </c>
      <c r="B166" s="1104"/>
      <c r="C166" s="1105"/>
      <c r="D166" s="1105"/>
      <c r="E166" s="1105"/>
      <c r="F166" s="1105"/>
      <c r="G166" s="1105"/>
      <c r="H166" s="1105"/>
    </row>
    <row r="167" spans="1:8" x14ac:dyDescent="0.2">
      <c r="A167" s="1104" t="s">
        <v>2971</v>
      </c>
      <c r="B167" s="1104"/>
      <c r="C167" s="1105"/>
      <c r="D167" s="1105"/>
      <c r="E167" s="1105"/>
      <c r="F167" s="1105"/>
      <c r="G167" s="1105"/>
      <c r="H167" s="1105"/>
    </row>
    <row r="168" spans="1:8" x14ac:dyDescent="0.2">
      <c r="A168" s="1104" t="s">
        <v>3116</v>
      </c>
      <c r="B168" s="1104"/>
      <c r="C168" s="1105"/>
      <c r="D168" s="1105"/>
      <c r="E168" s="1105"/>
      <c r="F168" s="1105"/>
      <c r="G168" s="1105"/>
      <c r="H168" s="1105"/>
    </row>
    <row r="169" spans="1:8" x14ac:dyDescent="0.2">
      <c r="A169" s="1104" t="s">
        <v>2972</v>
      </c>
      <c r="B169" s="1104"/>
      <c r="C169" s="1105"/>
      <c r="D169" s="1105"/>
      <c r="E169" s="1105"/>
      <c r="F169" s="1105"/>
      <c r="G169" s="1105"/>
      <c r="H169" s="1105"/>
    </row>
    <row r="170" spans="1:8" x14ac:dyDescent="0.2">
      <c r="A170" s="1104" t="s">
        <v>3117</v>
      </c>
      <c r="B170" s="1104"/>
      <c r="C170" s="1105"/>
      <c r="D170" s="1105"/>
      <c r="E170" s="1105"/>
      <c r="F170" s="1105"/>
      <c r="G170" s="1105"/>
      <c r="H170" s="1105"/>
    </row>
    <row r="171" spans="1:8" x14ac:dyDescent="0.2">
      <c r="A171" s="1104" t="s">
        <v>2990</v>
      </c>
      <c r="B171" s="1104"/>
      <c r="C171" s="1105"/>
      <c r="D171" s="1105"/>
      <c r="E171" s="1105"/>
      <c r="F171" s="1105"/>
      <c r="G171" s="1105"/>
      <c r="H171" s="1105"/>
    </row>
    <row r="172" spans="1:8" x14ac:dyDescent="0.2">
      <c r="A172" s="1104" t="s">
        <v>3118</v>
      </c>
      <c r="B172" s="1104"/>
      <c r="C172" s="1105"/>
      <c r="D172" s="1105"/>
      <c r="E172" s="1105"/>
      <c r="F172" s="1105"/>
      <c r="G172" s="1105"/>
      <c r="H172" s="1105"/>
    </row>
    <row r="173" spans="1:8" x14ac:dyDescent="0.2">
      <c r="A173" s="1104" t="s">
        <v>2973</v>
      </c>
      <c r="B173" s="1104"/>
      <c r="C173" s="1105"/>
      <c r="D173" s="1105"/>
      <c r="E173" s="1105"/>
      <c r="F173" s="1105"/>
      <c r="G173" s="1105"/>
      <c r="H173" s="1105"/>
    </row>
    <row r="174" spans="1:8" x14ac:dyDescent="0.2">
      <c r="A174" s="1104" t="s">
        <v>3119</v>
      </c>
      <c r="B174" s="1104"/>
      <c r="C174" s="1105"/>
      <c r="D174" s="1105"/>
      <c r="E174" s="1105"/>
      <c r="F174" s="1105"/>
      <c r="G174" s="1105"/>
      <c r="H174" s="1105"/>
    </row>
    <row r="175" spans="1:8" x14ac:dyDescent="0.2">
      <c r="A175" s="1104" t="s">
        <v>3120</v>
      </c>
      <c r="B175" s="1104"/>
      <c r="C175" s="1105"/>
      <c r="D175" s="1105"/>
      <c r="E175" s="1105"/>
      <c r="F175" s="1105"/>
      <c r="G175" s="1105"/>
      <c r="H175" s="1105"/>
    </row>
    <row r="176" spans="1:8" x14ac:dyDescent="0.2">
      <c r="A176" s="1104" t="s">
        <v>3121</v>
      </c>
      <c r="B176" s="1104"/>
      <c r="C176" s="1105"/>
      <c r="D176" s="1105"/>
      <c r="E176" s="1105"/>
      <c r="F176" s="1105"/>
      <c r="G176" s="1105"/>
      <c r="H176" s="1105"/>
    </row>
    <row r="177" spans="1:8" x14ac:dyDescent="0.2">
      <c r="A177" s="1104" t="s">
        <v>3122</v>
      </c>
      <c r="B177" s="1104"/>
      <c r="C177" s="1105"/>
      <c r="D177" s="1105"/>
      <c r="E177" s="1105"/>
      <c r="F177" s="1105"/>
      <c r="G177" s="1105"/>
      <c r="H177" s="1105"/>
    </row>
    <row r="178" spans="1:8" x14ac:dyDescent="0.2">
      <c r="A178" s="1104" t="s">
        <v>3123</v>
      </c>
      <c r="B178" s="1104"/>
      <c r="C178" s="1105"/>
      <c r="D178" s="1105"/>
      <c r="E178" s="1105"/>
      <c r="F178" s="1105"/>
      <c r="G178" s="1105"/>
      <c r="H178" s="1105"/>
    </row>
    <row r="179" spans="1:8" x14ac:dyDescent="0.2">
      <c r="A179" s="1104" t="s">
        <v>3124</v>
      </c>
      <c r="B179" s="1104"/>
      <c r="C179" s="1105"/>
      <c r="D179" s="1105"/>
      <c r="E179" s="1105"/>
      <c r="F179" s="1105"/>
      <c r="G179" s="1105"/>
      <c r="H179" s="1105"/>
    </row>
    <row r="180" spans="1:8" x14ac:dyDescent="0.2">
      <c r="A180" s="1104" t="s">
        <v>3125</v>
      </c>
      <c r="B180" s="1104"/>
      <c r="C180" s="1105"/>
      <c r="D180" s="1105"/>
      <c r="E180" s="1105"/>
      <c r="F180" s="1105"/>
      <c r="G180" s="1105"/>
      <c r="H180" s="1105"/>
    </row>
    <row r="181" spans="1:8" x14ac:dyDescent="0.2">
      <c r="A181" s="1104" t="s">
        <v>3126</v>
      </c>
      <c r="B181" s="1104"/>
      <c r="C181" s="1105"/>
      <c r="D181" s="1105"/>
      <c r="E181" s="1105"/>
      <c r="F181" s="1105"/>
      <c r="G181" s="1105"/>
      <c r="H181" s="1105"/>
    </row>
    <row r="182" spans="1:8" x14ac:dyDescent="0.2">
      <c r="A182" s="1104" t="s">
        <v>3127</v>
      </c>
      <c r="B182" s="1104"/>
      <c r="C182" s="1105"/>
      <c r="D182" s="1105"/>
      <c r="E182" s="1105"/>
      <c r="F182" s="1105"/>
      <c r="G182" s="1105"/>
      <c r="H182" s="1105"/>
    </row>
    <row r="183" spans="1:8" x14ac:dyDescent="0.2">
      <c r="A183" s="1104" t="s">
        <v>3128</v>
      </c>
      <c r="B183" s="1104"/>
      <c r="C183" s="1105"/>
      <c r="D183" s="1105"/>
      <c r="E183" s="1105"/>
      <c r="F183" s="1105"/>
      <c r="G183" s="1105"/>
      <c r="H183" s="1105"/>
    </row>
    <row r="184" spans="1:8" x14ac:dyDescent="0.2">
      <c r="A184" s="1104" t="s">
        <v>3129</v>
      </c>
      <c r="B184" s="1104"/>
      <c r="C184" s="1105"/>
      <c r="D184" s="1105"/>
      <c r="E184" s="1105"/>
      <c r="F184" s="1105"/>
      <c r="G184" s="1105"/>
      <c r="H184" s="1105"/>
    </row>
    <row r="185" spans="1:8" x14ac:dyDescent="0.2">
      <c r="A185" s="1104" t="s">
        <v>2974</v>
      </c>
      <c r="B185" s="1104"/>
      <c r="C185" s="1105"/>
      <c r="D185" s="1105"/>
      <c r="E185" s="1105"/>
      <c r="F185" s="1105"/>
      <c r="G185" s="1105"/>
      <c r="H185" s="1105"/>
    </row>
    <row r="186" spans="1:8" x14ac:dyDescent="0.2">
      <c r="A186" s="1104" t="s">
        <v>3130</v>
      </c>
      <c r="B186" s="1104"/>
      <c r="C186" s="1105"/>
      <c r="D186" s="1105"/>
      <c r="E186" s="1105"/>
      <c r="F186" s="1105"/>
      <c r="G186" s="1105"/>
      <c r="H186" s="1105"/>
    </row>
    <row r="187" spans="1:8" x14ac:dyDescent="0.2">
      <c r="A187" s="1104" t="s">
        <v>2975</v>
      </c>
      <c r="B187" s="1104"/>
      <c r="C187" s="1105"/>
      <c r="D187" s="1105"/>
      <c r="E187" s="1105"/>
      <c r="F187" s="1105"/>
      <c r="G187" s="1105"/>
      <c r="H187" s="1105"/>
    </row>
    <row r="188" spans="1:8" x14ac:dyDescent="0.2">
      <c r="A188" s="1104" t="s">
        <v>3131</v>
      </c>
      <c r="B188" s="1104"/>
      <c r="C188" s="1105"/>
      <c r="D188" s="1105"/>
      <c r="E188" s="1105"/>
      <c r="F188" s="1105"/>
      <c r="G188" s="1105"/>
      <c r="H188" s="1105"/>
    </row>
    <row r="189" spans="1:8" x14ac:dyDescent="0.2">
      <c r="A189" s="1104" t="s">
        <v>3132</v>
      </c>
      <c r="B189" s="1104"/>
      <c r="C189" s="1105"/>
      <c r="D189" s="1105"/>
      <c r="E189" s="1105"/>
      <c r="F189" s="1105"/>
      <c r="G189" s="1105"/>
      <c r="H189" s="1105"/>
    </row>
    <row r="190" spans="1:8" x14ac:dyDescent="0.2">
      <c r="A190" s="1104" t="s">
        <v>3133</v>
      </c>
      <c r="B190" s="1104"/>
      <c r="C190" s="1105"/>
      <c r="D190" s="1105"/>
      <c r="E190" s="1105"/>
      <c r="F190" s="1105"/>
      <c r="G190" s="1105"/>
      <c r="H190" s="1105"/>
    </row>
    <row r="191" spans="1:8" x14ac:dyDescent="0.2">
      <c r="A191" s="1104" t="s">
        <v>3134</v>
      </c>
      <c r="B191" s="1104"/>
      <c r="C191" s="1105"/>
      <c r="D191" s="1105"/>
      <c r="E191" s="1105"/>
      <c r="F191" s="1105"/>
      <c r="G191" s="1105"/>
      <c r="H191" s="1105"/>
    </row>
    <row r="192" spans="1:8" x14ac:dyDescent="0.2">
      <c r="A192" s="1104" t="s">
        <v>3135</v>
      </c>
      <c r="B192" s="1104"/>
      <c r="C192" s="1105"/>
      <c r="D192" s="1105"/>
      <c r="E192" s="1105"/>
      <c r="F192" s="1105"/>
      <c r="G192" s="1105"/>
      <c r="H192" s="1105"/>
    </row>
    <row r="193" spans="1:8" x14ac:dyDescent="0.2">
      <c r="A193" s="1104" t="s">
        <v>3136</v>
      </c>
      <c r="B193" s="1104"/>
      <c r="C193" s="1105"/>
      <c r="D193" s="1105"/>
      <c r="E193" s="1105"/>
      <c r="F193" s="1105"/>
      <c r="G193" s="1105"/>
      <c r="H193" s="1105"/>
    </row>
    <row r="194" spans="1:8" x14ac:dyDescent="0.2">
      <c r="A194" s="1104" t="s">
        <v>3137</v>
      </c>
      <c r="B194" s="1104"/>
      <c r="C194" s="1105"/>
      <c r="D194" s="1105"/>
      <c r="E194" s="1105"/>
      <c r="F194" s="1105"/>
      <c r="G194" s="1105"/>
      <c r="H194" s="1105"/>
    </row>
    <row r="195" spans="1:8" x14ac:dyDescent="0.2">
      <c r="A195" s="1104" t="s">
        <v>2976</v>
      </c>
      <c r="B195" s="1104"/>
      <c r="C195" s="1105"/>
      <c r="D195" s="1105"/>
      <c r="E195" s="1105"/>
      <c r="F195" s="1105"/>
      <c r="G195" s="1105"/>
      <c r="H195" s="1105"/>
    </row>
    <row r="196" spans="1:8" x14ac:dyDescent="0.2">
      <c r="A196" s="1104" t="s">
        <v>3138</v>
      </c>
      <c r="B196" s="1104"/>
      <c r="C196" s="1105"/>
      <c r="D196" s="1105"/>
      <c r="E196" s="1105"/>
      <c r="F196" s="1105"/>
      <c r="G196" s="1105"/>
      <c r="H196" s="1105"/>
    </row>
    <row r="197" spans="1:8" x14ac:dyDescent="0.2">
      <c r="A197" s="1104" t="s">
        <v>3139</v>
      </c>
      <c r="B197" s="1104"/>
      <c r="C197" s="1105"/>
      <c r="D197" s="1105"/>
      <c r="E197" s="1105"/>
      <c r="F197" s="1105"/>
      <c r="G197" s="1105"/>
      <c r="H197" s="1105"/>
    </row>
    <row r="198" spans="1:8" x14ac:dyDescent="0.2">
      <c r="A198" s="1104" t="s">
        <v>3140</v>
      </c>
      <c r="B198" s="1104"/>
      <c r="C198" s="1105"/>
      <c r="D198" s="1105"/>
      <c r="E198" s="1105"/>
      <c r="F198" s="1105"/>
      <c r="G198" s="1105"/>
      <c r="H198" s="1105"/>
    </row>
    <row r="199" spans="1:8" x14ac:dyDescent="0.2">
      <c r="A199" s="1104" t="s">
        <v>3141</v>
      </c>
      <c r="B199" s="1104"/>
      <c r="C199" s="1105"/>
      <c r="D199" s="1105"/>
      <c r="E199" s="1105"/>
      <c r="F199" s="1105"/>
      <c r="G199" s="1105"/>
      <c r="H199" s="1105"/>
    </row>
    <row r="200" spans="1:8" x14ac:dyDescent="0.2">
      <c r="A200" s="1104" t="s">
        <v>3142</v>
      </c>
      <c r="B200" s="1104"/>
      <c r="C200" s="1105"/>
      <c r="D200" s="1105"/>
      <c r="E200" s="1105"/>
      <c r="F200" s="1105"/>
      <c r="G200" s="1105"/>
      <c r="H200" s="1105"/>
    </row>
    <row r="201" spans="1:8" x14ac:dyDescent="0.2">
      <c r="A201" s="1104" t="s">
        <v>2977</v>
      </c>
      <c r="B201" s="1104"/>
      <c r="C201" s="1105"/>
      <c r="D201" s="1105"/>
      <c r="E201" s="1105"/>
      <c r="F201" s="1105"/>
      <c r="G201" s="1105"/>
      <c r="H201" s="1105"/>
    </row>
    <row r="202" spans="1:8" x14ac:dyDescent="0.2">
      <c r="A202" s="1104" t="s">
        <v>3143</v>
      </c>
      <c r="B202" s="1104"/>
      <c r="C202" s="1105"/>
      <c r="D202" s="1105"/>
      <c r="E202" s="1105"/>
      <c r="F202" s="1105"/>
      <c r="G202" s="1105"/>
      <c r="H202" s="1105"/>
    </row>
    <row r="203" spans="1:8" x14ac:dyDescent="0.2">
      <c r="A203" s="1104" t="s">
        <v>3144</v>
      </c>
      <c r="B203" s="1104"/>
      <c r="C203" s="1105"/>
      <c r="D203" s="1105"/>
      <c r="E203" s="1105"/>
      <c r="F203" s="1105"/>
      <c r="G203" s="1105"/>
      <c r="H203" s="1105"/>
    </row>
    <row r="204" spans="1:8" x14ac:dyDescent="0.2">
      <c r="A204" s="1104" t="s">
        <v>3145</v>
      </c>
      <c r="B204" s="1104"/>
      <c r="C204" s="1105"/>
      <c r="D204" s="1105"/>
      <c r="E204" s="1105"/>
      <c r="F204" s="1105"/>
      <c r="G204" s="1105"/>
      <c r="H204" s="1105"/>
    </row>
    <row r="205" spans="1:8" x14ac:dyDescent="0.2">
      <c r="A205" s="1104" t="s">
        <v>3146</v>
      </c>
      <c r="B205" s="1104"/>
      <c r="C205" s="1105"/>
      <c r="D205" s="1105"/>
      <c r="E205" s="1105"/>
      <c r="F205" s="1105"/>
      <c r="G205" s="1105"/>
      <c r="H205" s="1105"/>
    </row>
    <row r="206" spans="1:8" x14ac:dyDescent="0.2">
      <c r="A206" s="1104" t="s">
        <v>3147</v>
      </c>
      <c r="B206" s="1104"/>
      <c r="C206" s="1105"/>
      <c r="D206" s="1105"/>
      <c r="E206" s="1105"/>
      <c r="F206" s="1105"/>
      <c r="G206" s="1105"/>
      <c r="H206" s="1105"/>
    </row>
    <row r="207" spans="1:8" x14ac:dyDescent="0.2">
      <c r="A207" s="1104" t="s">
        <v>3148</v>
      </c>
      <c r="B207" s="1104"/>
      <c r="C207" s="1105"/>
      <c r="D207" s="1105"/>
      <c r="E207" s="1105"/>
      <c r="F207" s="1105"/>
      <c r="G207" s="1105"/>
      <c r="H207" s="1105"/>
    </row>
    <row r="208" spans="1:8" x14ac:dyDescent="0.2">
      <c r="A208" s="1104" t="s">
        <v>2991</v>
      </c>
      <c r="B208" s="1104"/>
      <c r="C208" s="1105"/>
      <c r="D208" s="1105"/>
      <c r="E208" s="1105"/>
      <c r="F208" s="1105"/>
      <c r="G208" s="1105"/>
      <c r="H208" s="1105"/>
    </row>
    <row r="209" spans="1:9" x14ac:dyDescent="0.2">
      <c r="A209" s="1104" t="s">
        <v>3149</v>
      </c>
      <c r="B209" s="1104"/>
      <c r="C209" s="1105"/>
      <c r="D209" s="1105"/>
      <c r="E209" s="1105"/>
      <c r="F209" s="1105"/>
      <c r="G209" s="1105"/>
      <c r="H209" s="1105"/>
      <c r="I209" s="1106">
        <f>+H209-G209</f>
        <v>0</v>
      </c>
    </row>
    <row r="210" spans="1:9" x14ac:dyDescent="0.2">
      <c r="A210" s="1104" t="s">
        <v>3150</v>
      </c>
      <c r="B210" s="1104"/>
      <c r="C210" s="1105"/>
      <c r="D210" s="1105"/>
      <c r="E210" s="1105"/>
      <c r="F210" s="1105"/>
      <c r="G210" s="1105"/>
      <c r="H210" s="1105"/>
      <c r="I210" s="1106">
        <f t="shared" ref="I210:I234" si="1">+H210-G210</f>
        <v>0</v>
      </c>
    </row>
    <row r="211" spans="1:9" x14ac:dyDescent="0.2">
      <c r="A211" s="1104" t="s">
        <v>3151</v>
      </c>
      <c r="B211" s="1104"/>
      <c r="C211" s="1105"/>
      <c r="D211" s="1105"/>
      <c r="E211" s="1105"/>
      <c r="F211" s="1105"/>
      <c r="G211" s="1105"/>
      <c r="H211" s="1105"/>
      <c r="I211" s="1106">
        <f t="shared" si="1"/>
        <v>0</v>
      </c>
    </row>
    <row r="212" spans="1:9" x14ac:dyDescent="0.2">
      <c r="A212" s="1104" t="s">
        <v>3152</v>
      </c>
      <c r="B212" s="1104"/>
      <c r="C212" s="1105"/>
      <c r="D212" s="1105"/>
      <c r="E212" s="1105"/>
      <c r="F212" s="1105"/>
      <c r="G212" s="1105"/>
      <c r="H212" s="1105"/>
      <c r="I212" s="1106">
        <f t="shared" si="1"/>
        <v>0</v>
      </c>
    </row>
    <row r="213" spans="1:9" x14ac:dyDescent="0.2">
      <c r="A213" s="1104" t="s">
        <v>3153</v>
      </c>
      <c r="B213" s="1104"/>
      <c r="C213" s="1105"/>
      <c r="D213" s="1105"/>
      <c r="E213" s="1105"/>
      <c r="F213" s="1105"/>
      <c r="G213" s="1105"/>
      <c r="H213" s="1105"/>
      <c r="I213" s="1106">
        <f t="shared" si="1"/>
        <v>0</v>
      </c>
    </row>
    <row r="214" spans="1:9" x14ac:dyDescent="0.2">
      <c r="A214" s="1104" t="s">
        <v>3154</v>
      </c>
      <c r="B214" s="1104"/>
      <c r="C214" s="1105"/>
      <c r="D214" s="1105"/>
      <c r="E214" s="1105"/>
      <c r="F214" s="1105"/>
      <c r="G214" s="1105"/>
      <c r="H214" s="1105"/>
      <c r="I214" s="1106">
        <f t="shared" si="1"/>
        <v>0</v>
      </c>
    </row>
    <row r="215" spans="1:9" x14ac:dyDescent="0.2">
      <c r="A215" s="1104" t="s">
        <v>3155</v>
      </c>
      <c r="B215" s="1104"/>
      <c r="C215" s="1105"/>
      <c r="D215" s="1105"/>
      <c r="E215" s="1105"/>
      <c r="F215" s="1105"/>
      <c r="G215" s="1105"/>
      <c r="H215" s="1105"/>
      <c r="I215" s="1106">
        <f t="shared" si="1"/>
        <v>0</v>
      </c>
    </row>
    <row r="216" spans="1:9" x14ac:dyDescent="0.2">
      <c r="A216" s="1104" t="s">
        <v>3156</v>
      </c>
      <c r="B216" s="1104"/>
      <c r="C216" s="1105"/>
      <c r="D216" s="1105"/>
      <c r="E216" s="1105"/>
      <c r="F216" s="1105"/>
      <c r="G216" s="1105"/>
      <c r="H216" s="1105"/>
      <c r="I216" s="1106">
        <f t="shared" si="1"/>
        <v>0</v>
      </c>
    </row>
    <row r="217" spans="1:9" x14ac:dyDescent="0.2">
      <c r="A217" s="1104" t="s">
        <v>3157</v>
      </c>
      <c r="B217" s="1104"/>
      <c r="C217" s="1105"/>
      <c r="D217" s="1105"/>
      <c r="E217" s="1105"/>
      <c r="F217" s="1105"/>
      <c r="G217" s="1105"/>
      <c r="H217" s="1105"/>
      <c r="I217" s="1106">
        <f t="shared" si="1"/>
        <v>0</v>
      </c>
    </row>
    <row r="218" spans="1:9" x14ac:dyDescent="0.2">
      <c r="A218" s="1104" t="s">
        <v>3158</v>
      </c>
      <c r="B218" s="1104"/>
      <c r="C218" s="1105"/>
      <c r="D218" s="1105"/>
      <c r="E218" s="1105"/>
      <c r="F218" s="1105"/>
      <c r="G218" s="1105"/>
      <c r="H218" s="1105"/>
      <c r="I218" s="1106">
        <f t="shared" si="1"/>
        <v>0</v>
      </c>
    </row>
    <row r="219" spans="1:9" x14ac:dyDescent="0.2">
      <c r="A219" s="1104" t="s">
        <v>3159</v>
      </c>
      <c r="B219" s="1104"/>
      <c r="C219" s="1105"/>
      <c r="D219" s="1105"/>
      <c r="E219" s="1105"/>
      <c r="F219" s="1105"/>
      <c r="G219" s="1105"/>
      <c r="H219" s="1105"/>
      <c r="I219" s="1106">
        <f t="shared" si="1"/>
        <v>0</v>
      </c>
    </row>
    <row r="220" spans="1:9" x14ac:dyDescent="0.2">
      <c r="A220" s="1104" t="s">
        <v>3160</v>
      </c>
      <c r="B220" s="1104"/>
      <c r="C220" s="1105"/>
      <c r="D220" s="1105"/>
      <c r="E220" s="1105"/>
      <c r="F220" s="1105"/>
      <c r="G220" s="1105"/>
      <c r="H220" s="1105"/>
      <c r="I220" s="1106">
        <f t="shared" si="1"/>
        <v>0</v>
      </c>
    </row>
    <row r="221" spans="1:9" x14ac:dyDescent="0.2">
      <c r="A221" s="1104" t="s">
        <v>3161</v>
      </c>
      <c r="B221" s="1104"/>
      <c r="C221" s="1105"/>
      <c r="D221" s="1105"/>
      <c r="E221" s="1105"/>
      <c r="F221" s="1105"/>
      <c r="G221" s="1105"/>
      <c r="H221" s="1105"/>
      <c r="I221" s="1106">
        <f t="shared" si="1"/>
        <v>0</v>
      </c>
    </row>
    <row r="222" spans="1:9" x14ac:dyDescent="0.2">
      <c r="A222" s="1104" t="s">
        <v>3162</v>
      </c>
      <c r="B222" s="1104"/>
      <c r="C222" s="1105"/>
      <c r="D222" s="1105"/>
      <c r="E222" s="1105"/>
      <c r="F222" s="1105"/>
      <c r="G222" s="1105"/>
      <c r="H222" s="1105"/>
      <c r="I222" s="1106">
        <f t="shared" si="1"/>
        <v>0</v>
      </c>
    </row>
    <row r="223" spans="1:9" x14ac:dyDescent="0.2">
      <c r="A223" s="1104" t="s">
        <v>3163</v>
      </c>
      <c r="B223" s="1104"/>
      <c r="C223" s="1105"/>
      <c r="D223" s="1105"/>
      <c r="E223" s="1105"/>
      <c r="F223" s="1105"/>
      <c r="G223" s="1105"/>
      <c r="H223" s="1105"/>
      <c r="I223" s="1106">
        <f t="shared" si="1"/>
        <v>0</v>
      </c>
    </row>
    <row r="224" spans="1:9" x14ac:dyDescent="0.2">
      <c r="A224" s="1104" t="s">
        <v>3164</v>
      </c>
      <c r="B224" s="1104"/>
      <c r="C224" s="1105"/>
      <c r="D224" s="1105"/>
      <c r="E224" s="1105"/>
      <c r="F224" s="1105"/>
      <c r="G224" s="1105"/>
      <c r="H224" s="1105"/>
      <c r="I224" s="1106">
        <f t="shared" si="1"/>
        <v>0</v>
      </c>
    </row>
    <row r="225" spans="1:9" x14ac:dyDescent="0.2">
      <c r="A225" s="1104" t="s">
        <v>3165</v>
      </c>
      <c r="B225" s="1104"/>
      <c r="C225" s="1105"/>
      <c r="D225" s="1105"/>
      <c r="E225" s="1105"/>
      <c r="F225" s="1105"/>
      <c r="G225" s="1105"/>
      <c r="H225" s="1105"/>
      <c r="I225" s="1106">
        <f t="shared" si="1"/>
        <v>0</v>
      </c>
    </row>
    <row r="226" spans="1:9" x14ac:dyDescent="0.2">
      <c r="A226" s="1104" t="s">
        <v>3166</v>
      </c>
      <c r="B226" s="1104"/>
      <c r="C226" s="1105"/>
      <c r="D226" s="1105"/>
      <c r="E226" s="1105"/>
      <c r="F226" s="1105"/>
      <c r="G226" s="1105"/>
      <c r="H226" s="1105"/>
      <c r="I226" s="1106">
        <f t="shared" si="1"/>
        <v>0</v>
      </c>
    </row>
    <row r="227" spans="1:9" x14ac:dyDescent="0.2">
      <c r="A227" s="1104" t="s">
        <v>2978</v>
      </c>
      <c r="B227" s="1104"/>
      <c r="C227" s="1105"/>
      <c r="D227" s="1105"/>
      <c r="E227" s="1105"/>
      <c r="F227" s="1105"/>
      <c r="G227" s="1105"/>
      <c r="H227" s="1105"/>
      <c r="I227" s="1106">
        <f t="shared" si="1"/>
        <v>0</v>
      </c>
    </row>
    <row r="228" spans="1:9" x14ac:dyDescent="0.2">
      <c r="A228" s="1104" t="s">
        <v>3167</v>
      </c>
      <c r="B228" s="1104"/>
      <c r="C228" s="1105"/>
      <c r="D228" s="1105"/>
      <c r="E228" s="1105"/>
      <c r="F228" s="1105"/>
      <c r="G228" s="1105"/>
      <c r="H228" s="1105"/>
      <c r="I228" s="1106">
        <f t="shared" si="1"/>
        <v>0</v>
      </c>
    </row>
    <row r="229" spans="1:9" x14ac:dyDescent="0.2">
      <c r="A229" s="1104" t="s">
        <v>3168</v>
      </c>
      <c r="B229" s="1104"/>
      <c r="C229" s="1105"/>
      <c r="D229" s="1105"/>
      <c r="E229" s="1105"/>
      <c r="F229" s="1105"/>
      <c r="G229" s="1105"/>
      <c r="H229" s="1105"/>
      <c r="I229" s="1106">
        <f t="shared" si="1"/>
        <v>0</v>
      </c>
    </row>
    <row r="230" spans="1:9" x14ac:dyDescent="0.2">
      <c r="A230" s="1104" t="s">
        <v>2979</v>
      </c>
      <c r="B230" s="1104"/>
      <c r="C230" s="1105"/>
      <c r="D230" s="1105"/>
      <c r="E230" s="1105"/>
      <c r="F230" s="1105"/>
      <c r="G230" s="1105"/>
      <c r="H230" s="1105"/>
      <c r="I230" s="1106">
        <f t="shared" si="1"/>
        <v>0</v>
      </c>
    </row>
    <row r="231" spans="1:9" x14ac:dyDescent="0.2">
      <c r="A231" s="1104" t="s">
        <v>3169</v>
      </c>
      <c r="B231" s="1104"/>
      <c r="C231" s="1105"/>
      <c r="D231" s="1105"/>
      <c r="E231" s="1105"/>
      <c r="F231" s="1105"/>
      <c r="G231" s="1105"/>
      <c r="H231" s="1105"/>
      <c r="I231" s="1106">
        <f t="shared" si="1"/>
        <v>0</v>
      </c>
    </row>
    <row r="232" spans="1:9" x14ac:dyDescent="0.2">
      <c r="A232" s="1104" t="s">
        <v>2980</v>
      </c>
      <c r="B232" s="1104"/>
      <c r="C232" s="1105"/>
      <c r="D232" s="1105"/>
      <c r="E232" s="1105"/>
      <c r="F232" s="1105"/>
      <c r="G232" s="1105"/>
      <c r="H232" s="1105"/>
      <c r="I232" s="1106">
        <f t="shared" si="1"/>
        <v>0</v>
      </c>
    </row>
    <row r="233" spans="1:9" x14ac:dyDescent="0.2">
      <c r="A233" s="1104" t="s">
        <v>3170</v>
      </c>
      <c r="B233" s="1104"/>
      <c r="C233" s="1105"/>
      <c r="D233" s="1105"/>
      <c r="E233" s="1105"/>
      <c r="F233" s="1105"/>
      <c r="G233" s="1105"/>
      <c r="H233" s="1105"/>
      <c r="I233" s="1106">
        <f t="shared" si="1"/>
        <v>0</v>
      </c>
    </row>
    <row r="234" spans="1:9" x14ac:dyDescent="0.2">
      <c r="A234" s="1104" t="s">
        <v>3171</v>
      </c>
      <c r="B234" s="1104"/>
      <c r="C234" s="1105"/>
      <c r="D234" s="1105"/>
      <c r="E234" s="1105"/>
      <c r="F234" s="1105"/>
      <c r="G234" s="1105"/>
      <c r="H234" s="1105"/>
      <c r="I234" s="1106">
        <f t="shared" si="1"/>
        <v>0</v>
      </c>
    </row>
    <row r="235" spans="1:9" x14ac:dyDescent="0.2">
      <c r="E235" s="1106">
        <f>+E22+E21+E20+E19</f>
        <v>0</v>
      </c>
      <c r="F235" s="1106">
        <f>+F22+F21+F20+F19</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4">
    <tabColor rgb="FFFF0000"/>
    <pageSetUpPr fitToPage="1"/>
  </sheetPr>
  <dimension ref="A1:Q617"/>
  <sheetViews>
    <sheetView workbookViewId="0">
      <selection activeCell="H1" sqref="H1"/>
    </sheetView>
  </sheetViews>
  <sheetFormatPr baseColWidth="10" defaultColWidth="12" defaultRowHeight="12.75" x14ac:dyDescent="0.2"/>
  <cols>
    <col min="1" max="1" width="13.83203125" style="2" bestFit="1" customWidth="1"/>
    <col min="2" max="2" width="31" style="2" customWidth="1"/>
    <col min="3" max="3" width="18.83203125" style="16" bestFit="1" customWidth="1"/>
    <col min="4" max="4" width="18.6640625" style="16" bestFit="1" customWidth="1"/>
    <col min="5" max="6" width="20.6640625" style="16" bestFit="1" customWidth="1"/>
    <col min="7" max="7" width="18.83203125" style="16" bestFit="1" customWidth="1"/>
    <col min="8" max="8" width="17.33203125" style="16" bestFit="1" customWidth="1"/>
    <col min="9" max="10" width="12" style="2"/>
    <col min="11" max="12" width="21.1640625" style="250" bestFit="1" customWidth="1"/>
    <col min="13" max="13" width="18.6640625" style="250" customWidth="1"/>
    <col min="14" max="14" width="13.33203125" style="2" bestFit="1" customWidth="1"/>
    <col min="15" max="16" width="20.33203125" style="2" bestFit="1" customWidth="1"/>
    <col min="17" max="17" width="16.33203125" style="2" bestFit="1" customWidth="1"/>
    <col min="18" max="16384" width="12" style="2"/>
  </cols>
  <sheetData>
    <row r="1" spans="1:17" s="492" customFormat="1" ht="13.5" x14ac:dyDescent="0.25">
      <c r="A1" s="491" t="s">
        <v>229</v>
      </c>
      <c r="B1" s="491" t="s">
        <v>230</v>
      </c>
      <c r="C1" s="591" t="s">
        <v>939</v>
      </c>
      <c r="D1" s="591" t="s">
        <v>940</v>
      </c>
      <c r="E1" s="591" t="s">
        <v>226</v>
      </c>
      <c r="F1" s="591" t="s">
        <v>227</v>
      </c>
      <c r="G1" s="591" t="s">
        <v>941</v>
      </c>
      <c r="H1" s="591" t="s">
        <v>942</v>
      </c>
      <c r="K1" s="493" t="s">
        <v>897</v>
      </c>
      <c r="L1" s="493" t="s">
        <v>898</v>
      </c>
      <c r="M1" s="493" t="s">
        <v>228</v>
      </c>
    </row>
    <row r="2" spans="1:17" x14ac:dyDescent="0.2">
      <c r="A2" s="782" t="str">
        <f>FIXED('Balance N-1'!A2,0,1)</f>
        <v>0</v>
      </c>
      <c r="B2" s="494">
        <f>+'Balance N-1'!B2</f>
        <v>0</v>
      </c>
      <c r="C2" s="592">
        <f>ROUND('Balance N-1'!C2,2)</f>
        <v>0</v>
      </c>
      <c r="D2" s="592">
        <f>ROUND('Balance N-1'!D2,2)</f>
        <v>0</v>
      </c>
      <c r="E2" s="592">
        <f>ROUND('Balance N-1'!E2,2)</f>
        <v>0</v>
      </c>
      <c r="F2" s="592">
        <f>ROUND('Balance N-1'!F2,2)</f>
        <v>0</v>
      </c>
      <c r="G2" s="592">
        <f>ROUND('Balance N-1'!G2,2)</f>
        <v>0</v>
      </c>
      <c r="H2" s="592">
        <f>ROUND('Balance N-1'!H2,2)</f>
        <v>0</v>
      </c>
      <c r="I2" s="2" t="str">
        <f>MID(A2,1,1)</f>
        <v>0</v>
      </c>
      <c r="J2" s="496">
        <v>1</v>
      </c>
      <c r="K2" s="629">
        <f t="shared" ref="K2:K9" si="0">SUMIF(I:I,J2,C:C)</f>
        <v>0</v>
      </c>
      <c r="L2" s="629">
        <f t="shared" ref="L2:L8" si="1">SUMIF(I:I,J2,D:D)</f>
        <v>0</v>
      </c>
      <c r="M2" s="629">
        <f>+K2-L2</f>
        <v>0</v>
      </c>
      <c r="N2" s="250">
        <f>+M2</f>
        <v>0</v>
      </c>
    </row>
    <row r="3" spans="1:17" x14ac:dyDescent="0.2">
      <c r="A3" s="782" t="str">
        <f>FIXED('Balance N-1'!A3,0,1)</f>
        <v>0</v>
      </c>
      <c r="B3" s="494">
        <f>+'Balance N-1'!B3</f>
        <v>0</v>
      </c>
      <c r="C3" s="592">
        <f>ROUND('Balance N-1'!C3,2)</f>
        <v>0</v>
      </c>
      <c r="D3" s="592">
        <f>ROUND('Balance N-1'!D3,2)</f>
        <v>0</v>
      </c>
      <c r="E3" s="592">
        <f>ROUND('Balance N-1'!E3,2)</f>
        <v>0</v>
      </c>
      <c r="F3" s="592">
        <f>ROUND('Balance N-1'!F3,2)</f>
        <v>0</v>
      </c>
      <c r="G3" s="592">
        <f>ROUND('Balance N-1'!G3,2)</f>
        <v>0</v>
      </c>
      <c r="H3" s="592">
        <f>ROUND('Balance N-1'!H3,2)</f>
        <v>0</v>
      </c>
      <c r="I3" s="2" t="str">
        <f t="shared" ref="I3:I66" si="2">MID(A3,1,1)</f>
        <v>0</v>
      </c>
      <c r="J3" s="496">
        <v>2</v>
      </c>
      <c r="K3" s="629">
        <f t="shared" si="0"/>
        <v>0</v>
      </c>
      <c r="L3" s="629">
        <f t="shared" si="1"/>
        <v>0</v>
      </c>
      <c r="M3" s="629">
        <f t="shared" ref="M3:M9" si="3">+K3-L3</f>
        <v>0</v>
      </c>
      <c r="N3" s="250">
        <f>+N2+M3</f>
        <v>0</v>
      </c>
    </row>
    <row r="4" spans="1:17" x14ac:dyDescent="0.2">
      <c r="A4" s="782" t="str">
        <f>FIXED('Balance N-1'!A4,0,1)</f>
        <v>0</v>
      </c>
      <c r="B4" s="494">
        <f>+'Balance N-1'!B4</f>
        <v>0</v>
      </c>
      <c r="C4" s="592">
        <f>ROUND('Balance N-1'!C4,2)</f>
        <v>0</v>
      </c>
      <c r="D4" s="592">
        <f>ROUND('Balance N-1'!D4,2)</f>
        <v>0</v>
      </c>
      <c r="E4" s="592">
        <f>ROUND('Balance N-1'!E4,2)</f>
        <v>0</v>
      </c>
      <c r="F4" s="592">
        <f>ROUND('Balance N-1'!F4,2)</f>
        <v>0</v>
      </c>
      <c r="G4" s="592">
        <f>ROUND('Balance N-1'!G4,2)</f>
        <v>0</v>
      </c>
      <c r="H4" s="592">
        <f>ROUND('Balance N-1'!H4,2)</f>
        <v>0</v>
      </c>
      <c r="I4" s="2" t="str">
        <f t="shared" si="2"/>
        <v>0</v>
      </c>
      <c r="J4" s="496">
        <v>3</v>
      </c>
      <c r="K4" s="629">
        <f t="shared" si="0"/>
        <v>0</v>
      </c>
      <c r="L4" s="629">
        <f t="shared" si="1"/>
        <v>0</v>
      </c>
      <c r="M4" s="629">
        <f t="shared" si="3"/>
        <v>0</v>
      </c>
      <c r="N4" s="250">
        <f>+N3+M4</f>
        <v>0</v>
      </c>
    </row>
    <row r="5" spans="1:17" x14ac:dyDescent="0.2">
      <c r="A5" s="782" t="str">
        <f>FIXED('Balance N-1'!A5,0,1)</f>
        <v>0</v>
      </c>
      <c r="B5" s="494">
        <f>+'Balance N-1'!B5</f>
        <v>0</v>
      </c>
      <c r="C5" s="592">
        <f>ROUND('Balance N-1'!C5,2)</f>
        <v>0</v>
      </c>
      <c r="D5" s="592">
        <f>ROUND('Balance N-1'!D5,2)</f>
        <v>0</v>
      </c>
      <c r="E5" s="592">
        <f>ROUND('Balance N-1'!E5,2)</f>
        <v>0</v>
      </c>
      <c r="F5" s="592">
        <f>ROUND('Balance N-1'!F5,2)</f>
        <v>0</v>
      </c>
      <c r="G5" s="592">
        <f>ROUND('Balance N-1'!G5,2)</f>
        <v>0</v>
      </c>
      <c r="H5" s="592">
        <f>ROUND('Balance N-1'!H5,2)</f>
        <v>0</v>
      </c>
      <c r="I5" s="2" t="str">
        <f t="shared" si="2"/>
        <v>0</v>
      </c>
      <c r="J5" s="496">
        <v>4</v>
      </c>
      <c r="K5" s="629">
        <f t="shared" si="0"/>
        <v>0</v>
      </c>
      <c r="L5" s="629">
        <f t="shared" si="1"/>
        <v>0</v>
      </c>
      <c r="M5" s="629">
        <f t="shared" si="3"/>
        <v>0</v>
      </c>
      <c r="N5" s="250">
        <f>+N4+M5</f>
        <v>0</v>
      </c>
    </row>
    <row r="6" spans="1:17" x14ac:dyDescent="0.2">
      <c r="A6" s="782" t="str">
        <f>FIXED('Balance N-1'!A6,0,1)</f>
        <v>0</v>
      </c>
      <c r="B6" s="494">
        <f>+'Balance N-1'!B6</f>
        <v>0</v>
      </c>
      <c r="C6" s="592">
        <f>ROUND('Balance N-1'!C6,2)</f>
        <v>0</v>
      </c>
      <c r="D6" s="592">
        <f>ROUND('Balance N-1'!D6,2)</f>
        <v>0</v>
      </c>
      <c r="E6" s="592">
        <f>ROUND('Balance N-1'!E6,2)</f>
        <v>0</v>
      </c>
      <c r="F6" s="592">
        <f>ROUND('Balance N-1'!F6,2)</f>
        <v>0</v>
      </c>
      <c r="G6" s="592">
        <f>ROUND('Balance N-1'!G6,2)</f>
        <v>0</v>
      </c>
      <c r="H6" s="592">
        <f>ROUND('Balance N-1'!H6,2)</f>
        <v>0</v>
      </c>
      <c r="I6" s="2" t="str">
        <f t="shared" si="2"/>
        <v>0</v>
      </c>
      <c r="J6" s="496">
        <v>5</v>
      </c>
      <c r="K6" s="629">
        <f t="shared" si="0"/>
        <v>0</v>
      </c>
      <c r="L6" s="629">
        <f t="shared" si="1"/>
        <v>0</v>
      </c>
      <c r="M6" s="629">
        <f t="shared" si="3"/>
        <v>0</v>
      </c>
      <c r="N6" s="250">
        <f>+N5+M6</f>
        <v>0</v>
      </c>
      <c r="O6" s="708">
        <f>SUM(K2:K6)</f>
        <v>0</v>
      </c>
      <c r="P6" s="708">
        <f>SUM(L2:L6)</f>
        <v>0</v>
      </c>
      <c r="Q6" s="708">
        <f>+O6-P6</f>
        <v>0</v>
      </c>
    </row>
    <row r="7" spans="1:17" x14ac:dyDescent="0.2">
      <c r="A7" s="782" t="str">
        <f>FIXED('Balance N-1'!A7,0,1)</f>
        <v>0</v>
      </c>
      <c r="B7" s="494">
        <f>+'Balance N-1'!B7</f>
        <v>0</v>
      </c>
      <c r="C7" s="592">
        <f>ROUND('Balance N-1'!C7,2)</f>
        <v>0</v>
      </c>
      <c r="D7" s="592">
        <f>ROUND('Balance N-1'!D7,2)</f>
        <v>0</v>
      </c>
      <c r="E7" s="592">
        <f>ROUND('Balance N-1'!E7,2)</f>
        <v>0</v>
      </c>
      <c r="F7" s="592">
        <f>ROUND('Balance N-1'!F7,2)</f>
        <v>0</v>
      </c>
      <c r="G7" s="592">
        <f>ROUND('Balance N-1'!G7,2)</f>
        <v>0</v>
      </c>
      <c r="H7" s="592">
        <f>ROUND('Balance N-1'!H7,2)</f>
        <v>0</v>
      </c>
      <c r="I7" s="2" t="str">
        <f t="shared" si="2"/>
        <v>0</v>
      </c>
      <c r="J7" s="496">
        <v>6</v>
      </c>
      <c r="K7" s="629">
        <f t="shared" si="0"/>
        <v>0</v>
      </c>
      <c r="L7" s="629">
        <f t="shared" si="1"/>
        <v>0</v>
      </c>
      <c r="M7" s="629">
        <f t="shared" si="3"/>
        <v>0</v>
      </c>
      <c r="N7" s="250">
        <f>M7</f>
        <v>0</v>
      </c>
      <c r="O7" s="16"/>
      <c r="P7" s="16"/>
      <c r="Q7" s="16"/>
    </row>
    <row r="8" spans="1:17" x14ac:dyDescent="0.2">
      <c r="A8" s="782" t="str">
        <f>FIXED('Balance N-1'!A8,0,1)</f>
        <v>0</v>
      </c>
      <c r="B8" s="494">
        <f>+'Balance N-1'!B8</f>
        <v>0</v>
      </c>
      <c r="C8" s="592">
        <f>ROUND('Balance N-1'!C8,2)</f>
        <v>0</v>
      </c>
      <c r="D8" s="592">
        <f>ROUND('Balance N-1'!D8,2)</f>
        <v>0</v>
      </c>
      <c r="E8" s="592">
        <f>ROUND('Balance N-1'!E8,2)</f>
        <v>0</v>
      </c>
      <c r="F8" s="592">
        <f>ROUND('Balance N-1'!F8,2)</f>
        <v>0</v>
      </c>
      <c r="G8" s="592">
        <f>ROUND('Balance N-1'!G8,2)</f>
        <v>0</v>
      </c>
      <c r="H8" s="592">
        <f>ROUND('Balance N-1'!H8,2)</f>
        <v>0</v>
      </c>
      <c r="I8" s="2" t="str">
        <f t="shared" si="2"/>
        <v>0</v>
      </c>
      <c r="J8" s="496">
        <v>7</v>
      </c>
      <c r="K8" s="629">
        <f>SUMIF(I:I,J8,C:C)</f>
        <v>0</v>
      </c>
      <c r="L8" s="629">
        <f t="shared" si="1"/>
        <v>0</v>
      </c>
      <c r="M8" s="629">
        <f t="shared" si="3"/>
        <v>0</v>
      </c>
      <c r="N8" s="250">
        <f>+N7+M8</f>
        <v>0</v>
      </c>
      <c r="O8" s="16"/>
      <c r="P8" s="16"/>
      <c r="Q8" s="16"/>
    </row>
    <row r="9" spans="1:17" x14ac:dyDescent="0.2">
      <c r="A9" s="782" t="str">
        <f>FIXED('Balance N-1'!A9,0,1)</f>
        <v>0</v>
      </c>
      <c r="B9" s="494">
        <f>+'Balance N-1'!B9</f>
        <v>0</v>
      </c>
      <c r="C9" s="592">
        <f>ROUND('Balance N-1'!C9,2)</f>
        <v>0</v>
      </c>
      <c r="D9" s="592">
        <f>ROUND('Balance N-1'!D9,2)</f>
        <v>0</v>
      </c>
      <c r="E9" s="592">
        <f>ROUND('Balance N-1'!E9,2)</f>
        <v>0</v>
      </c>
      <c r="F9" s="592">
        <f>ROUND('Balance N-1'!F9,2)</f>
        <v>0</v>
      </c>
      <c r="G9" s="592">
        <f>ROUND('Balance N-1'!G9,2)</f>
        <v>0</v>
      </c>
      <c r="H9" s="592">
        <f>ROUND('Balance N-1'!H9,2)</f>
        <v>0</v>
      </c>
      <c r="I9" s="2" t="str">
        <f t="shared" si="2"/>
        <v>0</v>
      </c>
      <c r="J9" s="496">
        <v>8</v>
      </c>
      <c r="K9" s="629">
        <f t="shared" si="0"/>
        <v>0</v>
      </c>
      <c r="L9" s="629">
        <f>SUMIF(I:I,J9,D:D)</f>
        <v>0</v>
      </c>
      <c r="M9" s="629">
        <f t="shared" si="3"/>
        <v>0</v>
      </c>
      <c r="O9" s="708">
        <f>SUM(K7:K9)</f>
        <v>0</v>
      </c>
      <c r="P9" s="708">
        <f>SUM(L7:L9)</f>
        <v>0</v>
      </c>
      <c r="Q9" s="708">
        <f>+O9-P9</f>
        <v>0</v>
      </c>
    </row>
    <row r="10" spans="1:17" x14ac:dyDescent="0.2">
      <c r="A10" s="782" t="str">
        <f>FIXED('Balance N-1'!A10,0,1)</f>
        <v>0</v>
      </c>
      <c r="B10" s="494">
        <f>+'Balance N-1'!B10</f>
        <v>0</v>
      </c>
      <c r="C10" s="592">
        <f>ROUND('Balance N-1'!C10,2)</f>
        <v>0</v>
      </c>
      <c r="D10" s="592">
        <f>ROUND('Balance N-1'!D10,2)</f>
        <v>0</v>
      </c>
      <c r="E10" s="592">
        <f>ROUND('Balance N-1'!E10,2)</f>
        <v>0</v>
      </c>
      <c r="F10" s="592">
        <f>ROUND('Balance N-1'!F10,2)</f>
        <v>0</v>
      </c>
      <c r="G10" s="592">
        <f>ROUND('Balance N-1'!G10,2)</f>
        <v>0</v>
      </c>
      <c r="H10" s="592">
        <f>ROUND('Balance N-1'!H10,2)</f>
        <v>0</v>
      </c>
      <c r="I10" s="2" t="str">
        <f t="shared" si="2"/>
        <v>0</v>
      </c>
      <c r="J10" s="496" t="s">
        <v>490</v>
      </c>
      <c r="K10" s="629">
        <f>SUM(K2:K9)</f>
        <v>0</v>
      </c>
      <c r="L10" s="629">
        <f>SUM(L2:L9)</f>
        <v>0</v>
      </c>
      <c r="M10" s="629">
        <f>SUM(M2:M9)</f>
        <v>0</v>
      </c>
    </row>
    <row r="11" spans="1:17" x14ac:dyDescent="0.2">
      <c r="A11" s="782" t="str">
        <f>FIXED('Balance N-1'!A11,0,1)</f>
        <v>0</v>
      </c>
      <c r="B11" s="494">
        <f>+'Balance N-1'!B11</f>
        <v>0</v>
      </c>
      <c r="C11" s="592">
        <f>ROUND('Balance N-1'!C11,2)</f>
        <v>0</v>
      </c>
      <c r="D11" s="592">
        <f>ROUND('Balance N-1'!D11,2)</f>
        <v>0</v>
      </c>
      <c r="E11" s="592">
        <f>ROUND('Balance N-1'!E11,2)</f>
        <v>0</v>
      </c>
      <c r="F11" s="592">
        <f>ROUND('Balance N-1'!F11,2)</f>
        <v>0</v>
      </c>
      <c r="G11" s="592">
        <f>ROUND('Balance N-1'!G11,2)</f>
        <v>0</v>
      </c>
      <c r="H11" s="592">
        <f>ROUND('Balance N-1'!H11,2)</f>
        <v>0</v>
      </c>
      <c r="I11" s="2" t="str">
        <f t="shared" si="2"/>
        <v>0</v>
      </c>
    </row>
    <row r="12" spans="1:17" x14ac:dyDescent="0.2">
      <c r="A12" s="782" t="str">
        <f>FIXED('Balance N-1'!A12,0,1)</f>
        <v>0</v>
      </c>
      <c r="B12" s="494">
        <f>+'Balance N-1'!B12</f>
        <v>0</v>
      </c>
      <c r="C12" s="592">
        <f>ROUND('Balance N-1'!C12,2)</f>
        <v>0</v>
      </c>
      <c r="D12" s="592">
        <f>ROUND('Balance N-1'!D12,2)</f>
        <v>0</v>
      </c>
      <c r="E12" s="592">
        <f>ROUND('Balance N-1'!E12,2)</f>
        <v>0</v>
      </c>
      <c r="F12" s="592">
        <f>ROUND('Balance N-1'!F12,2)</f>
        <v>0</v>
      </c>
      <c r="G12" s="592">
        <f>ROUND('Balance N-1'!G12,2)</f>
        <v>0</v>
      </c>
      <c r="H12" s="592">
        <f>ROUND('Balance N-1'!H12,2)</f>
        <v>0</v>
      </c>
      <c r="I12" s="2" t="str">
        <f t="shared" si="2"/>
        <v>0</v>
      </c>
    </row>
    <row r="13" spans="1:17" x14ac:dyDescent="0.2">
      <c r="A13" s="782" t="str">
        <f>FIXED('Balance N-1'!A13,0,1)</f>
        <v>0</v>
      </c>
      <c r="B13" s="494">
        <f>+'Balance N-1'!B13</f>
        <v>0</v>
      </c>
      <c r="C13" s="592">
        <f>ROUND('Balance N-1'!C13,2)</f>
        <v>0</v>
      </c>
      <c r="D13" s="592">
        <f>ROUND('Balance N-1'!D13,2)</f>
        <v>0</v>
      </c>
      <c r="E13" s="592">
        <f>ROUND('Balance N-1'!E13,2)</f>
        <v>0</v>
      </c>
      <c r="F13" s="592">
        <f>ROUND('Balance N-1'!F13,2)</f>
        <v>0</v>
      </c>
      <c r="G13" s="592">
        <f>ROUND('Balance N-1'!G13,2)</f>
        <v>0</v>
      </c>
      <c r="H13" s="592">
        <f>ROUND('Balance N-1'!H13,2)</f>
        <v>0</v>
      </c>
      <c r="I13" s="2" t="str">
        <f t="shared" si="2"/>
        <v>0</v>
      </c>
    </row>
    <row r="14" spans="1:17" x14ac:dyDescent="0.2">
      <c r="A14" s="782" t="str">
        <f>FIXED('Balance N-1'!A14,0,1)</f>
        <v>0</v>
      </c>
      <c r="B14" s="494">
        <f>+'Balance N-1'!B14</f>
        <v>0</v>
      </c>
      <c r="C14" s="592">
        <f>ROUND('Balance N-1'!C14,2)</f>
        <v>0</v>
      </c>
      <c r="D14" s="592">
        <f>ROUND('Balance N-1'!D14,2)</f>
        <v>0</v>
      </c>
      <c r="E14" s="592">
        <f>ROUND('Balance N-1'!E14,2)</f>
        <v>0</v>
      </c>
      <c r="F14" s="592">
        <f>ROUND('Balance N-1'!F14,2)</f>
        <v>0</v>
      </c>
      <c r="G14" s="592">
        <f>ROUND('Balance N-1'!G14,2)</f>
        <v>0</v>
      </c>
      <c r="H14" s="592">
        <f>ROUND('Balance N-1'!H14,2)</f>
        <v>0</v>
      </c>
      <c r="I14" s="2" t="str">
        <f t="shared" si="2"/>
        <v>0</v>
      </c>
    </row>
    <row r="15" spans="1:17" x14ac:dyDescent="0.2">
      <c r="A15" s="782" t="str">
        <f>FIXED('Balance N-1'!A15,0,1)</f>
        <v>0</v>
      </c>
      <c r="B15" s="494">
        <f>+'Balance N-1'!B15</f>
        <v>0</v>
      </c>
      <c r="C15" s="592">
        <f>ROUND('Balance N-1'!C15,2)</f>
        <v>0</v>
      </c>
      <c r="D15" s="592">
        <f>ROUND('Balance N-1'!D15,2)</f>
        <v>0</v>
      </c>
      <c r="E15" s="592">
        <f>ROUND('Balance N-1'!E15,2)</f>
        <v>0</v>
      </c>
      <c r="F15" s="592">
        <f>ROUND('Balance N-1'!F15,2)</f>
        <v>0</v>
      </c>
      <c r="G15" s="592">
        <f>ROUND('Balance N-1'!G15,2)</f>
        <v>0</v>
      </c>
      <c r="H15" s="592">
        <f>ROUND('Balance N-1'!H15,2)</f>
        <v>0</v>
      </c>
      <c r="I15" s="2" t="str">
        <f t="shared" si="2"/>
        <v>0</v>
      </c>
    </row>
    <row r="16" spans="1:17" x14ac:dyDescent="0.2">
      <c r="A16" s="782" t="str">
        <f>FIXED('Balance N-1'!A16,0,1)</f>
        <v>0</v>
      </c>
      <c r="B16" s="494">
        <f>+'Balance N-1'!B16</f>
        <v>0</v>
      </c>
      <c r="C16" s="592">
        <f>ROUND('Balance N-1'!C16,2)</f>
        <v>0</v>
      </c>
      <c r="D16" s="592">
        <f>ROUND('Balance N-1'!D16,2)</f>
        <v>0</v>
      </c>
      <c r="E16" s="592">
        <f>ROUND('Balance N-1'!E16,2)</f>
        <v>0</v>
      </c>
      <c r="F16" s="592">
        <f>ROUND('Balance N-1'!F16,2)</f>
        <v>0</v>
      </c>
      <c r="G16" s="592">
        <f>ROUND('Balance N-1'!G16,2)</f>
        <v>0</v>
      </c>
      <c r="H16" s="592">
        <f>ROUND('Balance N-1'!H16,2)</f>
        <v>0</v>
      </c>
      <c r="I16" s="2" t="str">
        <f t="shared" si="2"/>
        <v>0</v>
      </c>
    </row>
    <row r="17" spans="1:9" x14ac:dyDescent="0.2">
      <c r="A17" s="782" t="str">
        <f>FIXED('Balance N-1'!A17,0,1)</f>
        <v>0</v>
      </c>
      <c r="B17" s="494">
        <f>+'Balance N-1'!B17</f>
        <v>0</v>
      </c>
      <c r="C17" s="592">
        <f>ROUND('Balance N-1'!C17,2)</f>
        <v>0</v>
      </c>
      <c r="D17" s="592">
        <f>ROUND('Balance N-1'!D17,2)</f>
        <v>0</v>
      </c>
      <c r="E17" s="592">
        <f>ROUND('Balance N-1'!E17,2)</f>
        <v>0</v>
      </c>
      <c r="F17" s="592">
        <f>ROUND('Balance N-1'!F17,2)</f>
        <v>0</v>
      </c>
      <c r="G17" s="592">
        <f>ROUND('Balance N-1'!G17,2)</f>
        <v>0</v>
      </c>
      <c r="H17" s="592">
        <f>ROUND('Balance N-1'!H17,2)</f>
        <v>0</v>
      </c>
      <c r="I17" s="2" t="str">
        <f t="shared" si="2"/>
        <v>0</v>
      </c>
    </row>
    <row r="18" spans="1:9" x14ac:dyDescent="0.2">
      <c r="A18" s="782" t="str">
        <f>FIXED('Balance N-1'!A18,0,1)</f>
        <v>0</v>
      </c>
      <c r="B18" s="494">
        <f>+'Balance N-1'!B18</f>
        <v>0</v>
      </c>
      <c r="C18" s="592">
        <f>ROUND('Balance N-1'!C18,2)</f>
        <v>0</v>
      </c>
      <c r="D18" s="592">
        <f>ROUND('Balance N-1'!D18,2)</f>
        <v>0</v>
      </c>
      <c r="E18" s="592">
        <f>ROUND('Balance N-1'!E18,2)</f>
        <v>0</v>
      </c>
      <c r="F18" s="592">
        <f>ROUND('Balance N-1'!F18,2)</f>
        <v>0</v>
      </c>
      <c r="G18" s="592">
        <f>ROUND('Balance N-1'!G18,2)</f>
        <v>0</v>
      </c>
      <c r="H18" s="592">
        <f>ROUND('Balance N-1'!H18,2)</f>
        <v>0</v>
      </c>
      <c r="I18" s="2" t="str">
        <f t="shared" si="2"/>
        <v>0</v>
      </c>
    </row>
    <row r="19" spans="1:9" x14ac:dyDescent="0.2">
      <c r="A19" s="782" t="str">
        <f>FIXED('Balance N-1'!A19,0,1)</f>
        <v>0</v>
      </c>
      <c r="B19" s="494">
        <f>+'Balance N-1'!B19</f>
        <v>0</v>
      </c>
      <c r="C19" s="592">
        <f>ROUND('Balance N-1'!C19,2)</f>
        <v>0</v>
      </c>
      <c r="D19" s="592">
        <f>ROUND('Balance N-1'!D19,2)</f>
        <v>0</v>
      </c>
      <c r="E19" s="592">
        <f>ROUND('Balance N-1'!E19,2)</f>
        <v>0</v>
      </c>
      <c r="F19" s="592">
        <f>ROUND('Balance N-1'!F19,2)</f>
        <v>0</v>
      </c>
      <c r="G19" s="592">
        <f>ROUND('Balance N-1'!G19,2)</f>
        <v>0</v>
      </c>
      <c r="H19" s="592">
        <f>ROUND('Balance N-1'!H19,2)</f>
        <v>0</v>
      </c>
      <c r="I19" s="2" t="str">
        <f t="shared" si="2"/>
        <v>0</v>
      </c>
    </row>
    <row r="20" spans="1:9" x14ac:dyDescent="0.2">
      <c r="A20" s="782" t="str">
        <f>FIXED('Balance N-1'!A20,0,1)</f>
        <v>0</v>
      </c>
      <c r="B20" s="494">
        <f>+'Balance N-1'!B20</f>
        <v>0</v>
      </c>
      <c r="C20" s="592">
        <f>ROUND('Balance N-1'!C20,2)</f>
        <v>0</v>
      </c>
      <c r="D20" s="592">
        <f>ROUND('Balance N-1'!D20,2)</f>
        <v>0</v>
      </c>
      <c r="E20" s="592">
        <f>ROUND('Balance N-1'!E20,2)</f>
        <v>0</v>
      </c>
      <c r="F20" s="592">
        <f>ROUND('Balance N-1'!F20,2)</f>
        <v>0</v>
      </c>
      <c r="G20" s="592">
        <f>ROUND('Balance N-1'!G20,2)</f>
        <v>0</v>
      </c>
      <c r="H20" s="592">
        <f>ROUND('Balance N-1'!H20,2)</f>
        <v>0</v>
      </c>
      <c r="I20" s="2" t="str">
        <f t="shared" si="2"/>
        <v>0</v>
      </c>
    </row>
    <row r="21" spans="1:9" x14ac:dyDescent="0.2">
      <c r="A21" s="782" t="str">
        <f>FIXED('Balance N-1'!A21,0,1)</f>
        <v>0</v>
      </c>
      <c r="B21" s="494">
        <f>+'Balance N-1'!B21</f>
        <v>0</v>
      </c>
      <c r="C21" s="592">
        <f>ROUND('Balance N-1'!C21,2)</f>
        <v>0</v>
      </c>
      <c r="D21" s="592">
        <f>ROUND('Balance N-1'!D21,2)</f>
        <v>0</v>
      </c>
      <c r="E21" s="592">
        <f>ROUND('Balance N-1'!E21,2)</f>
        <v>0</v>
      </c>
      <c r="F21" s="592">
        <f>ROUND('Balance N-1'!F21,2)</f>
        <v>0</v>
      </c>
      <c r="G21" s="592">
        <f>ROUND('Balance N-1'!G21,2)</f>
        <v>0</v>
      </c>
      <c r="H21" s="592">
        <f>ROUND('Balance N-1'!H21,2)</f>
        <v>0</v>
      </c>
      <c r="I21" s="2" t="str">
        <f t="shared" si="2"/>
        <v>0</v>
      </c>
    </row>
    <row r="22" spans="1:9" x14ac:dyDescent="0.2">
      <c r="A22" s="782" t="str">
        <f>FIXED('Balance N-1'!A22,0,1)</f>
        <v>0</v>
      </c>
      <c r="B22" s="494">
        <f>+'Balance N-1'!B22</f>
        <v>0</v>
      </c>
      <c r="C22" s="592">
        <f>ROUND('Balance N-1'!C22,2)</f>
        <v>0</v>
      </c>
      <c r="D22" s="592">
        <f>ROUND('Balance N-1'!D22,2)</f>
        <v>0</v>
      </c>
      <c r="E22" s="592">
        <f>ROUND('Balance N-1'!E22,2)</f>
        <v>0</v>
      </c>
      <c r="F22" s="592">
        <f>ROUND('Balance N-1'!F22,2)</f>
        <v>0</v>
      </c>
      <c r="G22" s="592">
        <f>ROUND('Balance N-1'!G22,2)</f>
        <v>0</v>
      </c>
      <c r="H22" s="592">
        <f>ROUND('Balance N-1'!H22,2)</f>
        <v>0</v>
      </c>
      <c r="I22" s="2" t="str">
        <f t="shared" si="2"/>
        <v>0</v>
      </c>
    </row>
    <row r="23" spans="1:9" x14ac:dyDescent="0.2">
      <c r="A23" s="782" t="str">
        <f>FIXED('Balance N-1'!A23,0,1)</f>
        <v>0</v>
      </c>
      <c r="B23" s="494">
        <f>+'Balance N-1'!B23</f>
        <v>0</v>
      </c>
      <c r="C23" s="592">
        <f>ROUND('Balance N-1'!C23,2)</f>
        <v>0</v>
      </c>
      <c r="D23" s="592">
        <f>ROUND('Balance N-1'!D23,2)</f>
        <v>0</v>
      </c>
      <c r="E23" s="592">
        <f>ROUND('Balance N-1'!E23,2)</f>
        <v>0</v>
      </c>
      <c r="F23" s="592">
        <f>ROUND('Balance N-1'!F23,2)</f>
        <v>0</v>
      </c>
      <c r="G23" s="592">
        <f>ROUND('Balance N-1'!G23,2)</f>
        <v>0</v>
      </c>
      <c r="H23" s="592">
        <f>ROUND('Balance N-1'!H23,2)</f>
        <v>0</v>
      </c>
      <c r="I23" s="2" t="str">
        <f t="shared" si="2"/>
        <v>0</v>
      </c>
    </row>
    <row r="24" spans="1:9" x14ac:dyDescent="0.2">
      <c r="A24" s="782" t="str">
        <f>FIXED('Balance N-1'!A24,0,1)</f>
        <v>0</v>
      </c>
      <c r="B24" s="494">
        <f>+'Balance N-1'!B24</f>
        <v>0</v>
      </c>
      <c r="C24" s="592">
        <f>ROUND('Balance N-1'!C24,2)</f>
        <v>0</v>
      </c>
      <c r="D24" s="592">
        <f>ROUND('Balance N-1'!D24,2)</f>
        <v>0</v>
      </c>
      <c r="E24" s="592">
        <f>ROUND('Balance N-1'!E24,2)</f>
        <v>0</v>
      </c>
      <c r="F24" s="592">
        <f>ROUND('Balance N-1'!F24,2)</f>
        <v>0</v>
      </c>
      <c r="G24" s="592">
        <f>ROUND('Balance N-1'!G24,2)</f>
        <v>0</v>
      </c>
      <c r="H24" s="592">
        <f>ROUND('Balance N-1'!H24,2)</f>
        <v>0</v>
      </c>
      <c r="I24" s="2" t="str">
        <f t="shared" si="2"/>
        <v>0</v>
      </c>
    </row>
    <row r="25" spans="1:9" x14ac:dyDescent="0.2">
      <c r="A25" s="782" t="str">
        <f>FIXED('Balance N-1'!A25,0,1)</f>
        <v>0</v>
      </c>
      <c r="B25" s="494">
        <f>+'Balance N-1'!B25</f>
        <v>0</v>
      </c>
      <c r="C25" s="592">
        <f>ROUND('Balance N-1'!C25,2)</f>
        <v>0</v>
      </c>
      <c r="D25" s="592">
        <f>ROUND('Balance N-1'!D25,2)</f>
        <v>0</v>
      </c>
      <c r="E25" s="592">
        <f>ROUND('Balance N-1'!E25,2)</f>
        <v>0</v>
      </c>
      <c r="F25" s="592">
        <f>ROUND('Balance N-1'!F25,2)</f>
        <v>0</v>
      </c>
      <c r="G25" s="592">
        <f>ROUND('Balance N-1'!G25,2)</f>
        <v>0</v>
      </c>
      <c r="H25" s="592">
        <f>ROUND('Balance N-1'!H25,2)</f>
        <v>0</v>
      </c>
      <c r="I25" s="2" t="str">
        <f t="shared" si="2"/>
        <v>0</v>
      </c>
    </row>
    <row r="26" spans="1:9" x14ac:dyDescent="0.2">
      <c r="A26" s="782" t="str">
        <f>FIXED('Balance N-1'!A26,0,1)</f>
        <v>0</v>
      </c>
      <c r="B26" s="494">
        <f>+'Balance N-1'!B26</f>
        <v>0</v>
      </c>
      <c r="C26" s="592">
        <f>ROUND('Balance N-1'!C26,2)</f>
        <v>0</v>
      </c>
      <c r="D26" s="592">
        <f>ROUND('Balance N-1'!D26,2)</f>
        <v>0</v>
      </c>
      <c r="E26" s="592">
        <f>ROUND('Balance N-1'!E26,2)</f>
        <v>0</v>
      </c>
      <c r="F26" s="592">
        <f>ROUND('Balance N-1'!F26,2)</f>
        <v>0</v>
      </c>
      <c r="G26" s="592">
        <f>ROUND('Balance N-1'!G26,2)</f>
        <v>0</v>
      </c>
      <c r="H26" s="592">
        <f>ROUND('Balance N-1'!H26,2)</f>
        <v>0</v>
      </c>
      <c r="I26" s="2" t="str">
        <f t="shared" si="2"/>
        <v>0</v>
      </c>
    </row>
    <row r="27" spans="1:9" x14ac:dyDescent="0.2">
      <c r="A27" s="782" t="str">
        <f>FIXED('Balance N-1'!A27,0,1)</f>
        <v>0</v>
      </c>
      <c r="B27" s="494">
        <f>+'Balance N-1'!B27</f>
        <v>0</v>
      </c>
      <c r="C27" s="592">
        <f>ROUND('Balance N-1'!C27,2)</f>
        <v>0</v>
      </c>
      <c r="D27" s="592">
        <f>ROUND('Balance N-1'!D27,2)</f>
        <v>0</v>
      </c>
      <c r="E27" s="592">
        <f>ROUND('Balance N-1'!E27,2)</f>
        <v>0</v>
      </c>
      <c r="F27" s="592">
        <f>ROUND('Balance N-1'!F27,2)</f>
        <v>0</v>
      </c>
      <c r="G27" s="592">
        <f>ROUND('Balance N-1'!G27,2)</f>
        <v>0</v>
      </c>
      <c r="H27" s="592">
        <f>ROUND('Balance N-1'!H27,2)</f>
        <v>0</v>
      </c>
      <c r="I27" s="2" t="str">
        <f t="shared" si="2"/>
        <v>0</v>
      </c>
    </row>
    <row r="28" spans="1:9" x14ac:dyDescent="0.2">
      <c r="A28" s="782" t="str">
        <f>FIXED('Balance N-1'!A28,0,1)</f>
        <v>0</v>
      </c>
      <c r="B28" s="494">
        <f>+'Balance N-1'!B28</f>
        <v>0</v>
      </c>
      <c r="C28" s="592">
        <f>ROUND('Balance N-1'!C28,2)</f>
        <v>0</v>
      </c>
      <c r="D28" s="592">
        <f>ROUND('Balance N-1'!D28,2)</f>
        <v>0</v>
      </c>
      <c r="E28" s="592">
        <f>ROUND('Balance N-1'!E28,2)</f>
        <v>0</v>
      </c>
      <c r="F28" s="592">
        <f>ROUND('Balance N-1'!F28,2)</f>
        <v>0</v>
      </c>
      <c r="G28" s="592">
        <f>ROUND('Balance N-1'!G28,2)</f>
        <v>0</v>
      </c>
      <c r="H28" s="592">
        <f>ROUND('Balance N-1'!H28,2)</f>
        <v>0</v>
      </c>
      <c r="I28" s="2" t="str">
        <f t="shared" si="2"/>
        <v>0</v>
      </c>
    </row>
    <row r="29" spans="1:9" x14ac:dyDescent="0.2">
      <c r="A29" s="782" t="str">
        <f>FIXED('Balance N-1'!A29,0,1)</f>
        <v>0</v>
      </c>
      <c r="B29" s="494">
        <f>+'Balance N-1'!B29</f>
        <v>0</v>
      </c>
      <c r="C29" s="592">
        <f>ROUND('Balance N-1'!C29,2)</f>
        <v>0</v>
      </c>
      <c r="D29" s="592">
        <f>ROUND('Balance N-1'!D29,2)</f>
        <v>0</v>
      </c>
      <c r="E29" s="592">
        <f>ROUND('Balance N-1'!E29,2)</f>
        <v>0</v>
      </c>
      <c r="F29" s="592">
        <f>ROUND('Balance N-1'!F29,2)</f>
        <v>0</v>
      </c>
      <c r="G29" s="592">
        <f>ROUND('Balance N-1'!G29,2)</f>
        <v>0</v>
      </c>
      <c r="H29" s="592">
        <f>ROUND('Balance N-1'!H29,2)</f>
        <v>0</v>
      </c>
      <c r="I29" s="2" t="str">
        <f t="shared" si="2"/>
        <v>0</v>
      </c>
    </row>
    <row r="30" spans="1:9" x14ac:dyDescent="0.2">
      <c r="A30" s="782" t="str">
        <f>FIXED('Balance N-1'!A30,0,1)</f>
        <v>0</v>
      </c>
      <c r="B30" s="494">
        <f>+'Balance N-1'!B30</f>
        <v>0</v>
      </c>
      <c r="C30" s="592">
        <f>ROUND('Balance N-1'!C30,2)</f>
        <v>0</v>
      </c>
      <c r="D30" s="592">
        <f>ROUND('Balance N-1'!D30,2)</f>
        <v>0</v>
      </c>
      <c r="E30" s="592">
        <f>ROUND('Balance N-1'!E30,2)</f>
        <v>0</v>
      </c>
      <c r="F30" s="592">
        <f>ROUND('Balance N-1'!F30,2)</f>
        <v>0</v>
      </c>
      <c r="G30" s="592">
        <f>ROUND('Balance N-1'!G30,2)</f>
        <v>0</v>
      </c>
      <c r="H30" s="592">
        <f>ROUND('Balance N-1'!H30,2)</f>
        <v>0</v>
      </c>
      <c r="I30" s="2" t="str">
        <f t="shared" si="2"/>
        <v>0</v>
      </c>
    </row>
    <row r="31" spans="1:9" x14ac:dyDescent="0.2">
      <c r="A31" s="782" t="str">
        <f>FIXED('Balance N-1'!A31,0,1)</f>
        <v>0</v>
      </c>
      <c r="B31" s="494">
        <f>+'Balance N-1'!B31</f>
        <v>0</v>
      </c>
      <c r="C31" s="592">
        <f>ROUND('Balance N-1'!C31,2)</f>
        <v>0</v>
      </c>
      <c r="D31" s="592">
        <f>ROUND('Balance N-1'!D31,2)</f>
        <v>0</v>
      </c>
      <c r="E31" s="592">
        <f>ROUND('Balance N-1'!E31,2)</f>
        <v>0</v>
      </c>
      <c r="F31" s="592">
        <f>ROUND('Balance N-1'!F31,2)</f>
        <v>0</v>
      </c>
      <c r="G31" s="592">
        <f>ROUND('Balance N-1'!G31,2)</f>
        <v>0</v>
      </c>
      <c r="H31" s="592">
        <f>ROUND('Balance N-1'!H31,2)</f>
        <v>0</v>
      </c>
      <c r="I31" s="2" t="str">
        <f t="shared" si="2"/>
        <v>0</v>
      </c>
    </row>
    <row r="32" spans="1:9" x14ac:dyDescent="0.2">
      <c r="A32" s="782" t="str">
        <f>FIXED('Balance N-1'!A32,0,1)</f>
        <v>0</v>
      </c>
      <c r="B32" s="494">
        <f>+'Balance N-1'!B32</f>
        <v>0</v>
      </c>
      <c r="C32" s="592">
        <f>ROUND('Balance N-1'!C32,2)</f>
        <v>0</v>
      </c>
      <c r="D32" s="592">
        <f>ROUND('Balance N-1'!D32,2)</f>
        <v>0</v>
      </c>
      <c r="E32" s="592">
        <f>ROUND('Balance N-1'!E32,2)</f>
        <v>0</v>
      </c>
      <c r="F32" s="592">
        <f>ROUND('Balance N-1'!F32,2)</f>
        <v>0</v>
      </c>
      <c r="G32" s="592">
        <f>ROUND('Balance N-1'!G32,2)</f>
        <v>0</v>
      </c>
      <c r="H32" s="592">
        <f>ROUND('Balance N-1'!H32,2)</f>
        <v>0</v>
      </c>
      <c r="I32" s="2" t="str">
        <f t="shared" si="2"/>
        <v>0</v>
      </c>
    </row>
    <row r="33" spans="1:9" x14ac:dyDescent="0.2">
      <c r="A33" s="782" t="str">
        <f>FIXED('Balance N-1'!A33,0,1)</f>
        <v>0</v>
      </c>
      <c r="B33" s="494">
        <f>+'Balance N-1'!B33</f>
        <v>0</v>
      </c>
      <c r="C33" s="592">
        <f>ROUND('Balance N-1'!C33,2)</f>
        <v>0</v>
      </c>
      <c r="D33" s="592">
        <f>ROUND('Balance N-1'!D33,2)</f>
        <v>0</v>
      </c>
      <c r="E33" s="592">
        <f>ROUND('Balance N-1'!E33,2)</f>
        <v>0</v>
      </c>
      <c r="F33" s="592">
        <f>ROUND('Balance N-1'!F33,2)</f>
        <v>0</v>
      </c>
      <c r="G33" s="592">
        <f>ROUND('Balance N-1'!G33,2)</f>
        <v>0</v>
      </c>
      <c r="H33" s="592">
        <f>ROUND('Balance N-1'!H33,2)</f>
        <v>0</v>
      </c>
      <c r="I33" s="2" t="str">
        <f t="shared" si="2"/>
        <v>0</v>
      </c>
    </row>
    <row r="34" spans="1:9" x14ac:dyDescent="0.2">
      <c r="A34" s="782" t="str">
        <f>FIXED('Balance N-1'!A34,0,1)</f>
        <v>0</v>
      </c>
      <c r="B34" s="494">
        <f>+'Balance N-1'!B34</f>
        <v>0</v>
      </c>
      <c r="C34" s="592">
        <f>ROUND('Balance N-1'!C34,2)</f>
        <v>0</v>
      </c>
      <c r="D34" s="592">
        <f>ROUND('Balance N-1'!D34,2)</f>
        <v>0</v>
      </c>
      <c r="E34" s="592">
        <f>ROUND('Balance N-1'!E34,2)</f>
        <v>0</v>
      </c>
      <c r="F34" s="592">
        <f>ROUND('Balance N-1'!F34,2)</f>
        <v>0</v>
      </c>
      <c r="G34" s="592">
        <f>ROUND('Balance N-1'!G34,2)</f>
        <v>0</v>
      </c>
      <c r="H34" s="592">
        <f>ROUND('Balance N-1'!H34,2)</f>
        <v>0</v>
      </c>
      <c r="I34" s="2" t="str">
        <f t="shared" si="2"/>
        <v>0</v>
      </c>
    </row>
    <row r="35" spans="1:9" x14ac:dyDescent="0.2">
      <c r="A35" s="782" t="str">
        <f>FIXED('Balance N-1'!A35,0,1)</f>
        <v>0</v>
      </c>
      <c r="B35" s="494">
        <f>+'Balance N-1'!B35</f>
        <v>0</v>
      </c>
      <c r="C35" s="592">
        <f>ROUND('Balance N-1'!C35,2)</f>
        <v>0</v>
      </c>
      <c r="D35" s="592">
        <f>ROUND('Balance N-1'!D35,2)</f>
        <v>0</v>
      </c>
      <c r="E35" s="592">
        <f>ROUND('Balance N-1'!E35,2)</f>
        <v>0</v>
      </c>
      <c r="F35" s="592">
        <f>ROUND('Balance N-1'!F35,2)</f>
        <v>0</v>
      </c>
      <c r="G35" s="592">
        <f>ROUND('Balance N-1'!G35,2)</f>
        <v>0</v>
      </c>
      <c r="H35" s="592">
        <f>ROUND('Balance N-1'!H35,2)</f>
        <v>0</v>
      </c>
      <c r="I35" s="2" t="str">
        <f t="shared" si="2"/>
        <v>0</v>
      </c>
    </row>
    <row r="36" spans="1:9" x14ac:dyDescent="0.2">
      <c r="A36" s="782" t="str">
        <f>FIXED('Balance N-1'!A36,0,1)</f>
        <v>0</v>
      </c>
      <c r="B36" s="494">
        <f>+'Balance N-1'!B36</f>
        <v>0</v>
      </c>
      <c r="C36" s="592">
        <f>ROUND('Balance N-1'!C36,2)</f>
        <v>0</v>
      </c>
      <c r="D36" s="592">
        <f>ROUND('Balance N-1'!D36,2)</f>
        <v>0</v>
      </c>
      <c r="E36" s="592">
        <f>ROUND('Balance N-1'!E36,2)</f>
        <v>0</v>
      </c>
      <c r="F36" s="592">
        <f>ROUND('Balance N-1'!F36,2)</f>
        <v>0</v>
      </c>
      <c r="G36" s="592">
        <f>ROUND('Balance N-1'!G36,2)</f>
        <v>0</v>
      </c>
      <c r="H36" s="592">
        <f>ROUND('Balance N-1'!H36,2)</f>
        <v>0</v>
      </c>
      <c r="I36" s="2" t="str">
        <f t="shared" si="2"/>
        <v>0</v>
      </c>
    </row>
    <row r="37" spans="1:9" x14ac:dyDescent="0.2">
      <c r="A37" s="782" t="str">
        <f>FIXED('Balance N-1'!A37,0,1)</f>
        <v>0</v>
      </c>
      <c r="B37" s="494">
        <f>+'Balance N-1'!B37</f>
        <v>0</v>
      </c>
      <c r="C37" s="592">
        <f>ROUND('Balance N-1'!C37,2)</f>
        <v>0</v>
      </c>
      <c r="D37" s="592">
        <f>ROUND('Balance N-1'!D37,2)</f>
        <v>0</v>
      </c>
      <c r="E37" s="592">
        <f>ROUND('Balance N-1'!E37,2)</f>
        <v>0</v>
      </c>
      <c r="F37" s="592">
        <f>ROUND('Balance N-1'!F37,2)</f>
        <v>0</v>
      </c>
      <c r="G37" s="592">
        <f>ROUND('Balance N-1'!G37,2)</f>
        <v>0</v>
      </c>
      <c r="H37" s="592">
        <f>ROUND('Balance N-1'!H37,2)</f>
        <v>0</v>
      </c>
      <c r="I37" s="2" t="str">
        <f t="shared" si="2"/>
        <v>0</v>
      </c>
    </row>
    <row r="38" spans="1:9" x14ac:dyDescent="0.2">
      <c r="A38" s="782" t="str">
        <f>FIXED('Balance N-1'!A38,0,1)</f>
        <v>0</v>
      </c>
      <c r="B38" s="494">
        <f>+'Balance N-1'!B38</f>
        <v>0</v>
      </c>
      <c r="C38" s="592">
        <f>ROUND('Balance N-1'!C38,2)</f>
        <v>0</v>
      </c>
      <c r="D38" s="592">
        <f>ROUND('Balance N-1'!D38,2)</f>
        <v>0</v>
      </c>
      <c r="E38" s="592">
        <f>ROUND('Balance N-1'!E38,2)</f>
        <v>0</v>
      </c>
      <c r="F38" s="592">
        <f>ROUND('Balance N-1'!F38,2)</f>
        <v>0</v>
      </c>
      <c r="G38" s="592">
        <f>ROUND('Balance N-1'!G38,2)</f>
        <v>0</v>
      </c>
      <c r="H38" s="592">
        <f>ROUND('Balance N-1'!H38,2)</f>
        <v>0</v>
      </c>
      <c r="I38" s="2" t="str">
        <f t="shared" si="2"/>
        <v>0</v>
      </c>
    </row>
    <row r="39" spans="1:9" x14ac:dyDescent="0.2">
      <c r="A39" s="782" t="str">
        <f>FIXED('Balance N-1'!A39,0,1)</f>
        <v>0</v>
      </c>
      <c r="B39" s="494">
        <f>+'Balance N-1'!B39</f>
        <v>0</v>
      </c>
      <c r="C39" s="592">
        <f>ROUND('Balance N-1'!C39,2)</f>
        <v>0</v>
      </c>
      <c r="D39" s="592">
        <f>ROUND('Balance N-1'!D39,2)</f>
        <v>0</v>
      </c>
      <c r="E39" s="592">
        <f>ROUND('Balance N-1'!E39,2)</f>
        <v>0</v>
      </c>
      <c r="F39" s="592">
        <f>ROUND('Balance N-1'!F39,2)</f>
        <v>0</v>
      </c>
      <c r="G39" s="592">
        <f>ROUND('Balance N-1'!G39,2)</f>
        <v>0</v>
      </c>
      <c r="H39" s="592">
        <f>ROUND('Balance N-1'!H39,2)</f>
        <v>0</v>
      </c>
      <c r="I39" s="2" t="str">
        <f t="shared" si="2"/>
        <v>0</v>
      </c>
    </row>
    <row r="40" spans="1:9" x14ac:dyDescent="0.2">
      <c r="A40" s="782" t="str">
        <f>FIXED('Balance N-1'!A40,0,1)</f>
        <v>0</v>
      </c>
      <c r="B40" s="494">
        <f>+'Balance N-1'!B40</f>
        <v>0</v>
      </c>
      <c r="C40" s="592">
        <f>ROUND('Balance N-1'!C40,2)</f>
        <v>0</v>
      </c>
      <c r="D40" s="592">
        <f>ROUND('Balance N-1'!D40,2)</f>
        <v>0</v>
      </c>
      <c r="E40" s="592">
        <f>ROUND('Balance N-1'!E40,2)</f>
        <v>0</v>
      </c>
      <c r="F40" s="592">
        <f>ROUND('Balance N-1'!F40,2)</f>
        <v>0</v>
      </c>
      <c r="G40" s="592">
        <f>ROUND('Balance N-1'!G40,2)</f>
        <v>0</v>
      </c>
      <c r="H40" s="592">
        <f>ROUND('Balance N-1'!H40,2)</f>
        <v>0</v>
      </c>
      <c r="I40" s="2" t="str">
        <f t="shared" si="2"/>
        <v>0</v>
      </c>
    </row>
    <row r="41" spans="1:9" x14ac:dyDescent="0.2">
      <c r="A41" s="782" t="str">
        <f>FIXED('Balance N-1'!A41,0,1)</f>
        <v>0</v>
      </c>
      <c r="B41" s="494">
        <f>+'Balance N-1'!B41</f>
        <v>0</v>
      </c>
      <c r="C41" s="592">
        <f>ROUND('Balance N-1'!C41,2)</f>
        <v>0</v>
      </c>
      <c r="D41" s="592">
        <f>ROUND('Balance N-1'!D41,2)</f>
        <v>0</v>
      </c>
      <c r="E41" s="592">
        <f>ROUND('Balance N-1'!E41,2)</f>
        <v>0</v>
      </c>
      <c r="F41" s="592">
        <f>ROUND('Balance N-1'!F41,2)</f>
        <v>0</v>
      </c>
      <c r="G41" s="592">
        <f>ROUND('Balance N-1'!G41,2)</f>
        <v>0</v>
      </c>
      <c r="H41" s="592">
        <f>ROUND('Balance N-1'!H41,2)</f>
        <v>0</v>
      </c>
      <c r="I41" s="2" t="str">
        <f t="shared" si="2"/>
        <v>0</v>
      </c>
    </row>
    <row r="42" spans="1:9" x14ac:dyDescent="0.2">
      <c r="A42" s="782" t="str">
        <f>FIXED('Balance N-1'!A42,0,1)</f>
        <v>0</v>
      </c>
      <c r="B42" s="494">
        <f>+'Balance N-1'!B42</f>
        <v>0</v>
      </c>
      <c r="C42" s="592">
        <f>ROUND('Balance N-1'!C42,2)</f>
        <v>0</v>
      </c>
      <c r="D42" s="592">
        <f>ROUND('Balance N-1'!D42,2)</f>
        <v>0</v>
      </c>
      <c r="E42" s="592">
        <f>ROUND('Balance N-1'!E42,2)</f>
        <v>0</v>
      </c>
      <c r="F42" s="592">
        <f>ROUND('Balance N-1'!F42,2)</f>
        <v>0</v>
      </c>
      <c r="G42" s="592">
        <f>ROUND('Balance N-1'!G42,2)</f>
        <v>0</v>
      </c>
      <c r="H42" s="592">
        <f>ROUND('Balance N-1'!H42,2)</f>
        <v>0</v>
      </c>
      <c r="I42" s="2" t="str">
        <f t="shared" si="2"/>
        <v>0</v>
      </c>
    </row>
    <row r="43" spans="1:9" x14ac:dyDescent="0.2">
      <c r="A43" s="782" t="str">
        <f>FIXED('Balance N-1'!A43,0,1)</f>
        <v>0</v>
      </c>
      <c r="B43" s="494">
        <f>+'Balance N-1'!B43</f>
        <v>0</v>
      </c>
      <c r="C43" s="592">
        <f>ROUND('Balance N-1'!C43,2)</f>
        <v>0</v>
      </c>
      <c r="D43" s="592">
        <f>ROUND('Balance N-1'!D43,2)</f>
        <v>0</v>
      </c>
      <c r="E43" s="592">
        <f>ROUND('Balance N-1'!E43,2)</f>
        <v>0</v>
      </c>
      <c r="F43" s="592">
        <f>ROUND('Balance N-1'!F43,2)</f>
        <v>0</v>
      </c>
      <c r="G43" s="592">
        <f>ROUND('Balance N-1'!G43,2)</f>
        <v>0</v>
      </c>
      <c r="H43" s="592">
        <f>ROUND('Balance N-1'!H43,2)</f>
        <v>0</v>
      </c>
      <c r="I43" s="2" t="str">
        <f t="shared" si="2"/>
        <v>0</v>
      </c>
    </row>
    <row r="44" spans="1:9" x14ac:dyDescent="0.2">
      <c r="A44" s="782" t="str">
        <f>FIXED('Balance N-1'!A44,0,1)</f>
        <v>0</v>
      </c>
      <c r="B44" s="494">
        <f>+'Balance N-1'!B44</f>
        <v>0</v>
      </c>
      <c r="C44" s="592">
        <f>ROUND('Balance N-1'!C44,2)</f>
        <v>0</v>
      </c>
      <c r="D44" s="592">
        <f>ROUND('Balance N-1'!D44,2)</f>
        <v>0</v>
      </c>
      <c r="E44" s="592">
        <f>ROUND('Balance N-1'!E44,2)</f>
        <v>0</v>
      </c>
      <c r="F44" s="592">
        <f>ROUND('Balance N-1'!F44,2)</f>
        <v>0</v>
      </c>
      <c r="G44" s="592">
        <f>ROUND('Balance N-1'!G44,2)</f>
        <v>0</v>
      </c>
      <c r="H44" s="592">
        <f>ROUND('Balance N-1'!H44,2)</f>
        <v>0</v>
      </c>
      <c r="I44" s="2" t="str">
        <f t="shared" si="2"/>
        <v>0</v>
      </c>
    </row>
    <row r="45" spans="1:9" x14ac:dyDescent="0.2">
      <c r="A45" s="782" t="str">
        <f>FIXED('Balance N-1'!A45,0,1)</f>
        <v>0</v>
      </c>
      <c r="B45" s="494">
        <f>+'Balance N-1'!B45</f>
        <v>0</v>
      </c>
      <c r="C45" s="592">
        <f>ROUND('Balance N-1'!C45,2)</f>
        <v>0</v>
      </c>
      <c r="D45" s="592">
        <f>ROUND('Balance N-1'!D45,2)</f>
        <v>0</v>
      </c>
      <c r="E45" s="592">
        <f>ROUND('Balance N-1'!E45,2)</f>
        <v>0</v>
      </c>
      <c r="F45" s="592">
        <f>ROUND('Balance N-1'!F45,2)</f>
        <v>0</v>
      </c>
      <c r="G45" s="592">
        <f>ROUND('Balance N-1'!G45,2)</f>
        <v>0</v>
      </c>
      <c r="H45" s="592">
        <f>ROUND('Balance N-1'!H45,2)</f>
        <v>0</v>
      </c>
      <c r="I45" s="2" t="str">
        <f t="shared" si="2"/>
        <v>0</v>
      </c>
    </row>
    <row r="46" spans="1:9" x14ac:dyDescent="0.2">
      <c r="A46" s="782" t="str">
        <f>FIXED('Balance N-1'!A46,0,1)</f>
        <v>0</v>
      </c>
      <c r="B46" s="494">
        <f>+'Balance N-1'!B46</f>
        <v>0</v>
      </c>
      <c r="C46" s="592">
        <f>ROUND('Balance N-1'!C46,2)</f>
        <v>0</v>
      </c>
      <c r="D46" s="592">
        <f>ROUND('Balance N-1'!D46,2)</f>
        <v>0</v>
      </c>
      <c r="E46" s="592">
        <f>ROUND('Balance N-1'!E46,2)</f>
        <v>0</v>
      </c>
      <c r="F46" s="592">
        <f>ROUND('Balance N-1'!F46,2)</f>
        <v>0</v>
      </c>
      <c r="G46" s="592">
        <f>ROUND('Balance N-1'!G46,2)</f>
        <v>0</v>
      </c>
      <c r="H46" s="592">
        <f>ROUND('Balance N-1'!H46,2)</f>
        <v>0</v>
      </c>
      <c r="I46" s="2" t="str">
        <f t="shared" si="2"/>
        <v>0</v>
      </c>
    </row>
    <row r="47" spans="1:9" x14ac:dyDescent="0.2">
      <c r="A47" s="782" t="str">
        <f>FIXED('Balance N-1'!A47,0,1)</f>
        <v>0</v>
      </c>
      <c r="B47" s="494">
        <f>+'Balance N-1'!B47</f>
        <v>0</v>
      </c>
      <c r="C47" s="592">
        <f>ROUND('Balance N-1'!C47,2)</f>
        <v>0</v>
      </c>
      <c r="D47" s="592">
        <f>ROUND('Balance N-1'!D47,2)</f>
        <v>0</v>
      </c>
      <c r="E47" s="592">
        <f>ROUND('Balance N-1'!E47,2)</f>
        <v>0</v>
      </c>
      <c r="F47" s="592">
        <f>ROUND('Balance N-1'!F47,2)</f>
        <v>0</v>
      </c>
      <c r="G47" s="592">
        <f>ROUND('Balance N-1'!G47,2)</f>
        <v>0</v>
      </c>
      <c r="H47" s="592">
        <f>ROUND('Balance N-1'!H47,2)</f>
        <v>0</v>
      </c>
      <c r="I47" s="2" t="str">
        <f t="shared" si="2"/>
        <v>0</v>
      </c>
    </row>
    <row r="48" spans="1:9" x14ac:dyDescent="0.2">
      <c r="A48" s="782" t="str">
        <f>FIXED('Balance N-1'!A48,0,1)</f>
        <v>0</v>
      </c>
      <c r="B48" s="494">
        <f>+'Balance N-1'!B48</f>
        <v>0</v>
      </c>
      <c r="C48" s="592">
        <f>ROUND('Balance N-1'!C48,2)</f>
        <v>0</v>
      </c>
      <c r="D48" s="592">
        <f>ROUND('Balance N-1'!D48,2)</f>
        <v>0</v>
      </c>
      <c r="E48" s="592">
        <f>ROUND('Balance N-1'!E48,2)</f>
        <v>0</v>
      </c>
      <c r="F48" s="592">
        <f>ROUND('Balance N-1'!F48,2)</f>
        <v>0</v>
      </c>
      <c r="G48" s="592">
        <f>ROUND('Balance N-1'!G48,2)</f>
        <v>0</v>
      </c>
      <c r="H48" s="592">
        <f>ROUND('Balance N-1'!H48,2)</f>
        <v>0</v>
      </c>
      <c r="I48" s="2" t="str">
        <f t="shared" si="2"/>
        <v>0</v>
      </c>
    </row>
    <row r="49" spans="1:9" x14ac:dyDescent="0.2">
      <c r="A49" s="782" t="str">
        <f>FIXED('Balance N-1'!A49,0,1)</f>
        <v>0</v>
      </c>
      <c r="B49" s="494">
        <f>+'Balance N-1'!B49</f>
        <v>0</v>
      </c>
      <c r="C49" s="592">
        <f>ROUND('Balance N-1'!C49,2)</f>
        <v>0</v>
      </c>
      <c r="D49" s="592">
        <f>ROUND('Balance N-1'!D49,2)</f>
        <v>0</v>
      </c>
      <c r="E49" s="592">
        <f>ROUND('Balance N-1'!E49,2)</f>
        <v>0</v>
      </c>
      <c r="F49" s="592">
        <f>ROUND('Balance N-1'!F49,2)</f>
        <v>0</v>
      </c>
      <c r="G49" s="592">
        <f>ROUND('Balance N-1'!G49,2)</f>
        <v>0</v>
      </c>
      <c r="H49" s="592">
        <f>ROUND('Balance N-1'!H49,2)</f>
        <v>0</v>
      </c>
      <c r="I49" s="2" t="str">
        <f t="shared" si="2"/>
        <v>0</v>
      </c>
    </row>
    <row r="50" spans="1:9" x14ac:dyDescent="0.2">
      <c r="A50" s="782" t="str">
        <f>FIXED('Balance N-1'!A50,0,1)</f>
        <v>0</v>
      </c>
      <c r="B50" s="494">
        <f>+'Balance N-1'!B50</f>
        <v>0</v>
      </c>
      <c r="C50" s="592">
        <f>ROUND('Balance N-1'!C50,2)</f>
        <v>0</v>
      </c>
      <c r="D50" s="592">
        <f>ROUND('Balance N-1'!D50,2)</f>
        <v>0</v>
      </c>
      <c r="E50" s="592">
        <f>ROUND('Balance N-1'!E50,2)</f>
        <v>0</v>
      </c>
      <c r="F50" s="592">
        <f>ROUND('Balance N-1'!F50,2)</f>
        <v>0</v>
      </c>
      <c r="G50" s="592">
        <f>ROUND('Balance N-1'!G50,2)</f>
        <v>0</v>
      </c>
      <c r="H50" s="592">
        <f>ROUND('Balance N-1'!H50,2)</f>
        <v>0</v>
      </c>
      <c r="I50" s="2" t="str">
        <f t="shared" si="2"/>
        <v>0</v>
      </c>
    </row>
    <row r="51" spans="1:9" x14ac:dyDescent="0.2">
      <c r="A51" s="782" t="str">
        <f>FIXED('Balance N-1'!A51,0,1)</f>
        <v>0</v>
      </c>
      <c r="B51" s="494">
        <f>+'Balance N-1'!B51</f>
        <v>0</v>
      </c>
      <c r="C51" s="592">
        <f>ROUND('Balance N-1'!C51,2)</f>
        <v>0</v>
      </c>
      <c r="D51" s="592">
        <f>ROUND('Balance N-1'!D51,2)</f>
        <v>0</v>
      </c>
      <c r="E51" s="592">
        <f>ROUND('Balance N-1'!E51,2)</f>
        <v>0</v>
      </c>
      <c r="F51" s="592">
        <f>ROUND('Balance N-1'!F51,2)</f>
        <v>0</v>
      </c>
      <c r="G51" s="592">
        <f>ROUND('Balance N-1'!G51,2)</f>
        <v>0</v>
      </c>
      <c r="H51" s="592">
        <f>ROUND('Balance N-1'!H51,2)</f>
        <v>0</v>
      </c>
      <c r="I51" s="2" t="str">
        <f t="shared" si="2"/>
        <v>0</v>
      </c>
    </row>
    <row r="52" spans="1:9" x14ac:dyDescent="0.2">
      <c r="A52" s="782" t="str">
        <f>FIXED('Balance N-1'!A52,0,1)</f>
        <v>0</v>
      </c>
      <c r="B52" s="494">
        <f>+'Balance N-1'!B52</f>
        <v>0</v>
      </c>
      <c r="C52" s="592">
        <f>ROUND('Balance N-1'!C52,2)</f>
        <v>0</v>
      </c>
      <c r="D52" s="592">
        <f>ROUND('Balance N-1'!D52,2)</f>
        <v>0</v>
      </c>
      <c r="E52" s="592">
        <f>ROUND('Balance N-1'!E52,2)</f>
        <v>0</v>
      </c>
      <c r="F52" s="592">
        <f>ROUND('Balance N-1'!F52,2)</f>
        <v>0</v>
      </c>
      <c r="G52" s="592">
        <f>ROUND('Balance N-1'!G52,2)</f>
        <v>0</v>
      </c>
      <c r="H52" s="592">
        <f>ROUND('Balance N-1'!H52,2)</f>
        <v>0</v>
      </c>
      <c r="I52" s="2" t="str">
        <f t="shared" si="2"/>
        <v>0</v>
      </c>
    </row>
    <row r="53" spans="1:9" x14ac:dyDescent="0.2">
      <c r="A53" s="782" t="str">
        <f>FIXED('Balance N-1'!A53,0,1)</f>
        <v>0</v>
      </c>
      <c r="B53" s="494">
        <f>+'Balance N-1'!B53</f>
        <v>0</v>
      </c>
      <c r="C53" s="592">
        <f>ROUND('Balance N-1'!C53,2)</f>
        <v>0</v>
      </c>
      <c r="D53" s="592">
        <f>ROUND('Balance N-1'!D53,2)</f>
        <v>0</v>
      </c>
      <c r="E53" s="592">
        <f>ROUND('Balance N-1'!E53,2)</f>
        <v>0</v>
      </c>
      <c r="F53" s="592">
        <f>ROUND('Balance N-1'!F53,2)</f>
        <v>0</v>
      </c>
      <c r="G53" s="592">
        <f>ROUND('Balance N-1'!G53,2)</f>
        <v>0</v>
      </c>
      <c r="H53" s="592">
        <f>ROUND('Balance N-1'!H53,2)</f>
        <v>0</v>
      </c>
      <c r="I53" s="2" t="str">
        <f t="shared" si="2"/>
        <v>0</v>
      </c>
    </row>
    <row r="54" spans="1:9" x14ac:dyDescent="0.2">
      <c r="A54" s="782" t="str">
        <f>FIXED('Balance N-1'!A54,0,1)</f>
        <v>0</v>
      </c>
      <c r="B54" s="494">
        <f>+'Balance N-1'!B54</f>
        <v>0</v>
      </c>
      <c r="C54" s="592">
        <f>ROUND('Balance N-1'!C54,2)</f>
        <v>0</v>
      </c>
      <c r="D54" s="592">
        <f>ROUND('Balance N-1'!D54,2)</f>
        <v>0</v>
      </c>
      <c r="E54" s="592">
        <f>ROUND('Balance N-1'!E54,2)</f>
        <v>0</v>
      </c>
      <c r="F54" s="592">
        <f>ROUND('Balance N-1'!F54,2)</f>
        <v>0</v>
      </c>
      <c r="G54" s="592">
        <f>ROUND('Balance N-1'!G54,2)</f>
        <v>0</v>
      </c>
      <c r="H54" s="592">
        <f>ROUND('Balance N-1'!H54,2)</f>
        <v>0</v>
      </c>
      <c r="I54" s="2" t="str">
        <f t="shared" si="2"/>
        <v>0</v>
      </c>
    </row>
    <row r="55" spans="1:9" x14ac:dyDescent="0.2">
      <c r="A55" s="782" t="str">
        <f>FIXED('Balance N-1'!A55,0,1)</f>
        <v>0</v>
      </c>
      <c r="B55" s="494">
        <f>+'Balance N-1'!B55</f>
        <v>0</v>
      </c>
      <c r="C55" s="592">
        <f>ROUND('Balance N-1'!C55,2)</f>
        <v>0</v>
      </c>
      <c r="D55" s="592">
        <f>ROUND('Balance N-1'!D55,2)</f>
        <v>0</v>
      </c>
      <c r="E55" s="592">
        <f>ROUND('Balance N-1'!E55,2)</f>
        <v>0</v>
      </c>
      <c r="F55" s="592">
        <f>ROUND('Balance N-1'!F55,2)</f>
        <v>0</v>
      </c>
      <c r="G55" s="592">
        <f>ROUND('Balance N-1'!G55,2)</f>
        <v>0</v>
      </c>
      <c r="H55" s="592">
        <f>ROUND('Balance N-1'!H55,2)</f>
        <v>0</v>
      </c>
      <c r="I55" s="2" t="str">
        <f t="shared" si="2"/>
        <v>0</v>
      </c>
    </row>
    <row r="56" spans="1:9" x14ac:dyDescent="0.2">
      <c r="A56" s="782" t="str">
        <f>FIXED('Balance N-1'!A56,0,1)</f>
        <v>0</v>
      </c>
      <c r="B56" s="494">
        <f>+'Balance N-1'!B56</f>
        <v>0</v>
      </c>
      <c r="C56" s="592">
        <f>ROUND('Balance N-1'!C56,2)</f>
        <v>0</v>
      </c>
      <c r="D56" s="592">
        <f>ROUND('Balance N-1'!D56,2)</f>
        <v>0</v>
      </c>
      <c r="E56" s="592">
        <f>ROUND('Balance N-1'!E56,2)</f>
        <v>0</v>
      </c>
      <c r="F56" s="592">
        <f>ROUND('Balance N-1'!F56,2)</f>
        <v>0</v>
      </c>
      <c r="G56" s="592">
        <f>ROUND('Balance N-1'!G56,2)</f>
        <v>0</v>
      </c>
      <c r="H56" s="592">
        <f>ROUND('Balance N-1'!H56,2)</f>
        <v>0</v>
      </c>
      <c r="I56" s="2" t="str">
        <f t="shared" si="2"/>
        <v>0</v>
      </c>
    </row>
    <row r="57" spans="1:9" x14ac:dyDescent="0.2">
      <c r="A57" s="782" t="str">
        <f>FIXED('Balance N-1'!A57,0,1)</f>
        <v>0</v>
      </c>
      <c r="B57" s="494">
        <f>+'Balance N-1'!B57</f>
        <v>0</v>
      </c>
      <c r="C57" s="592">
        <f>ROUND('Balance N-1'!C57,2)</f>
        <v>0</v>
      </c>
      <c r="D57" s="592">
        <f>ROUND('Balance N-1'!D57,2)</f>
        <v>0</v>
      </c>
      <c r="E57" s="592">
        <f>ROUND('Balance N-1'!E57,2)</f>
        <v>0</v>
      </c>
      <c r="F57" s="592">
        <f>ROUND('Balance N-1'!F57,2)</f>
        <v>0</v>
      </c>
      <c r="G57" s="592">
        <f>ROUND('Balance N-1'!G57,2)</f>
        <v>0</v>
      </c>
      <c r="H57" s="592">
        <f>ROUND('Balance N-1'!H57,2)</f>
        <v>0</v>
      </c>
      <c r="I57" s="2" t="str">
        <f t="shared" si="2"/>
        <v>0</v>
      </c>
    </row>
    <row r="58" spans="1:9" x14ac:dyDescent="0.2">
      <c r="A58" s="782" t="str">
        <f>FIXED('Balance N-1'!A58,0,1)</f>
        <v>0</v>
      </c>
      <c r="B58" s="494">
        <f>+'Balance N-1'!B58</f>
        <v>0</v>
      </c>
      <c r="C58" s="592">
        <f>ROUND('Balance N-1'!C58,2)</f>
        <v>0</v>
      </c>
      <c r="D58" s="592">
        <f>ROUND('Balance N-1'!D58,2)</f>
        <v>0</v>
      </c>
      <c r="E58" s="592">
        <f>ROUND('Balance N-1'!E58,2)</f>
        <v>0</v>
      </c>
      <c r="F58" s="592">
        <f>ROUND('Balance N-1'!F58,2)</f>
        <v>0</v>
      </c>
      <c r="G58" s="592">
        <f>ROUND('Balance N-1'!G58,2)</f>
        <v>0</v>
      </c>
      <c r="H58" s="592">
        <f>ROUND('Balance N-1'!H58,2)</f>
        <v>0</v>
      </c>
      <c r="I58" s="2" t="str">
        <f t="shared" si="2"/>
        <v>0</v>
      </c>
    </row>
    <row r="59" spans="1:9" x14ac:dyDescent="0.2">
      <c r="A59" s="782" t="str">
        <f>FIXED('Balance N-1'!A59,0,1)</f>
        <v>0</v>
      </c>
      <c r="B59" s="494">
        <f>+'Balance N-1'!B59</f>
        <v>0</v>
      </c>
      <c r="C59" s="592">
        <f>ROUND('Balance N-1'!C59,2)</f>
        <v>0</v>
      </c>
      <c r="D59" s="592">
        <f>ROUND('Balance N-1'!D59,2)</f>
        <v>0</v>
      </c>
      <c r="E59" s="592">
        <f>ROUND('Balance N-1'!E59,2)</f>
        <v>0</v>
      </c>
      <c r="F59" s="592">
        <f>ROUND('Balance N-1'!F59,2)</f>
        <v>0</v>
      </c>
      <c r="G59" s="592">
        <f>ROUND('Balance N-1'!G59,2)</f>
        <v>0</v>
      </c>
      <c r="H59" s="592">
        <f>ROUND('Balance N-1'!H59,2)</f>
        <v>0</v>
      </c>
      <c r="I59" s="2" t="str">
        <f t="shared" si="2"/>
        <v>0</v>
      </c>
    </row>
    <row r="60" spans="1:9" x14ac:dyDescent="0.2">
      <c r="A60" s="782" t="str">
        <f>FIXED('Balance N-1'!A60,0,1)</f>
        <v>0</v>
      </c>
      <c r="B60" s="494">
        <f>+'Balance N-1'!B60</f>
        <v>0</v>
      </c>
      <c r="C60" s="592">
        <f>ROUND('Balance N-1'!C60,2)</f>
        <v>0</v>
      </c>
      <c r="D60" s="592">
        <f>ROUND('Balance N-1'!D60,2)</f>
        <v>0</v>
      </c>
      <c r="E60" s="592">
        <f>ROUND('Balance N-1'!E60,2)</f>
        <v>0</v>
      </c>
      <c r="F60" s="592">
        <f>ROUND('Balance N-1'!F60,2)</f>
        <v>0</v>
      </c>
      <c r="G60" s="592">
        <f>ROUND('Balance N-1'!G60,2)</f>
        <v>0</v>
      </c>
      <c r="H60" s="592">
        <f>ROUND('Balance N-1'!H60,2)</f>
        <v>0</v>
      </c>
      <c r="I60" s="2" t="str">
        <f t="shared" si="2"/>
        <v>0</v>
      </c>
    </row>
    <row r="61" spans="1:9" x14ac:dyDescent="0.2">
      <c r="A61" s="782" t="str">
        <f>FIXED('Balance N-1'!A61,0,1)</f>
        <v>0</v>
      </c>
      <c r="B61" s="494">
        <f>+'Balance N-1'!B61</f>
        <v>0</v>
      </c>
      <c r="C61" s="592">
        <f>ROUND('Balance N-1'!C61,2)</f>
        <v>0</v>
      </c>
      <c r="D61" s="592">
        <f>ROUND('Balance N-1'!D61,2)</f>
        <v>0</v>
      </c>
      <c r="E61" s="592">
        <f>ROUND('Balance N-1'!E61,2)</f>
        <v>0</v>
      </c>
      <c r="F61" s="592">
        <f>ROUND('Balance N-1'!F61,2)</f>
        <v>0</v>
      </c>
      <c r="G61" s="592">
        <f>ROUND('Balance N-1'!G61,2)</f>
        <v>0</v>
      </c>
      <c r="H61" s="592">
        <f>ROUND('Balance N-1'!H61,2)</f>
        <v>0</v>
      </c>
      <c r="I61" s="2" t="str">
        <f t="shared" si="2"/>
        <v>0</v>
      </c>
    </row>
    <row r="62" spans="1:9" x14ac:dyDescent="0.2">
      <c r="A62" s="782" t="str">
        <f>FIXED('Balance N-1'!A62,0,1)</f>
        <v>0</v>
      </c>
      <c r="B62" s="494">
        <f>+'Balance N-1'!B62</f>
        <v>0</v>
      </c>
      <c r="C62" s="592">
        <f>ROUND('Balance N-1'!C62,2)</f>
        <v>0</v>
      </c>
      <c r="D62" s="592">
        <f>ROUND('Balance N-1'!D62,2)</f>
        <v>0</v>
      </c>
      <c r="E62" s="592">
        <f>ROUND('Balance N-1'!E62,2)</f>
        <v>0</v>
      </c>
      <c r="F62" s="592">
        <f>ROUND('Balance N-1'!F62,2)</f>
        <v>0</v>
      </c>
      <c r="G62" s="592">
        <f>ROUND('Balance N-1'!G62,2)</f>
        <v>0</v>
      </c>
      <c r="H62" s="592">
        <f>ROUND('Balance N-1'!H62,2)</f>
        <v>0</v>
      </c>
      <c r="I62" s="2" t="str">
        <f t="shared" si="2"/>
        <v>0</v>
      </c>
    </row>
    <row r="63" spans="1:9" x14ac:dyDescent="0.2">
      <c r="A63" s="782" t="str">
        <f>FIXED('Balance N-1'!A63,0,1)</f>
        <v>0</v>
      </c>
      <c r="B63" s="494">
        <f>+'Balance N-1'!B63</f>
        <v>0</v>
      </c>
      <c r="C63" s="592">
        <f>ROUND('Balance N-1'!C63,2)</f>
        <v>0</v>
      </c>
      <c r="D63" s="592">
        <f>ROUND('Balance N-1'!D63,2)</f>
        <v>0</v>
      </c>
      <c r="E63" s="592">
        <f>ROUND('Balance N-1'!E63,2)</f>
        <v>0</v>
      </c>
      <c r="F63" s="592">
        <f>ROUND('Balance N-1'!F63,2)</f>
        <v>0</v>
      </c>
      <c r="G63" s="592">
        <f>ROUND('Balance N-1'!G63,2)</f>
        <v>0</v>
      </c>
      <c r="H63" s="592">
        <f>ROUND('Balance N-1'!H63,2)</f>
        <v>0</v>
      </c>
      <c r="I63" s="2" t="str">
        <f t="shared" si="2"/>
        <v>0</v>
      </c>
    </row>
    <row r="64" spans="1:9" x14ac:dyDescent="0.2">
      <c r="A64" s="782" t="str">
        <f>FIXED('Balance N-1'!A64,0,1)</f>
        <v>0</v>
      </c>
      <c r="B64" s="494">
        <f>+'Balance N-1'!B64</f>
        <v>0</v>
      </c>
      <c r="C64" s="592">
        <f>ROUND('Balance N-1'!C64,2)</f>
        <v>0</v>
      </c>
      <c r="D64" s="592">
        <f>ROUND('Balance N-1'!D64,2)</f>
        <v>0</v>
      </c>
      <c r="E64" s="592">
        <f>ROUND('Balance N-1'!E64,2)</f>
        <v>0</v>
      </c>
      <c r="F64" s="592">
        <f>ROUND('Balance N-1'!F64,2)</f>
        <v>0</v>
      </c>
      <c r="G64" s="592">
        <f>ROUND('Balance N-1'!G64,2)</f>
        <v>0</v>
      </c>
      <c r="H64" s="592">
        <f>ROUND('Balance N-1'!H64,2)</f>
        <v>0</v>
      </c>
      <c r="I64" s="2" t="str">
        <f t="shared" si="2"/>
        <v>0</v>
      </c>
    </row>
    <row r="65" spans="1:9" x14ac:dyDescent="0.2">
      <c r="A65" s="782" t="str">
        <f>FIXED('Balance N-1'!A65,0,1)</f>
        <v>0</v>
      </c>
      <c r="B65" s="494">
        <f>+'Balance N-1'!B65</f>
        <v>0</v>
      </c>
      <c r="C65" s="592">
        <f>ROUND('Balance N-1'!C65,2)</f>
        <v>0</v>
      </c>
      <c r="D65" s="592">
        <f>ROUND('Balance N-1'!D65,2)</f>
        <v>0</v>
      </c>
      <c r="E65" s="592">
        <f>ROUND('Balance N-1'!E65,2)</f>
        <v>0</v>
      </c>
      <c r="F65" s="592">
        <f>ROUND('Balance N-1'!F65,2)</f>
        <v>0</v>
      </c>
      <c r="G65" s="592">
        <f>ROUND('Balance N-1'!G65,2)</f>
        <v>0</v>
      </c>
      <c r="H65" s="592">
        <f>ROUND('Balance N-1'!H65,2)</f>
        <v>0</v>
      </c>
      <c r="I65" s="2" t="str">
        <f t="shared" si="2"/>
        <v>0</v>
      </c>
    </row>
    <row r="66" spans="1:9" x14ac:dyDescent="0.2">
      <c r="A66" s="782" t="str">
        <f>FIXED('Balance N-1'!A66,0,1)</f>
        <v>0</v>
      </c>
      <c r="B66" s="494">
        <f>+'Balance N-1'!B66</f>
        <v>0</v>
      </c>
      <c r="C66" s="592">
        <f>ROUND('Balance N-1'!C66,2)</f>
        <v>0</v>
      </c>
      <c r="D66" s="592">
        <f>ROUND('Balance N-1'!D66,2)</f>
        <v>0</v>
      </c>
      <c r="E66" s="592">
        <f>ROUND('Balance N-1'!E66,2)</f>
        <v>0</v>
      </c>
      <c r="F66" s="592">
        <f>ROUND('Balance N-1'!F66,2)</f>
        <v>0</v>
      </c>
      <c r="G66" s="592">
        <f>ROUND('Balance N-1'!G66,2)</f>
        <v>0</v>
      </c>
      <c r="H66" s="592">
        <f>ROUND('Balance N-1'!H66,2)</f>
        <v>0</v>
      </c>
      <c r="I66" s="2" t="str">
        <f t="shared" si="2"/>
        <v>0</v>
      </c>
    </row>
    <row r="67" spans="1:9" x14ac:dyDescent="0.2">
      <c r="A67" s="782" t="str">
        <f>FIXED('Balance N-1'!A67,0,1)</f>
        <v>0</v>
      </c>
      <c r="B67" s="494">
        <f>+'Balance N-1'!B67</f>
        <v>0</v>
      </c>
      <c r="C67" s="592">
        <f>ROUND('Balance N-1'!C67,2)</f>
        <v>0</v>
      </c>
      <c r="D67" s="592">
        <f>ROUND('Balance N-1'!D67,2)</f>
        <v>0</v>
      </c>
      <c r="E67" s="592">
        <f>ROUND('Balance N-1'!E67,2)</f>
        <v>0</v>
      </c>
      <c r="F67" s="592">
        <f>ROUND('Balance N-1'!F67,2)</f>
        <v>0</v>
      </c>
      <c r="G67" s="592">
        <f>ROUND('Balance N-1'!G67,2)</f>
        <v>0</v>
      </c>
      <c r="H67" s="592">
        <f>ROUND('Balance N-1'!H67,2)</f>
        <v>0</v>
      </c>
      <c r="I67" s="2" t="str">
        <f t="shared" ref="I67:I130" si="4">MID(A67,1,1)</f>
        <v>0</v>
      </c>
    </row>
    <row r="68" spans="1:9" x14ac:dyDescent="0.2">
      <c r="A68" s="782" t="str">
        <f>FIXED('Balance N-1'!A68,0,1)</f>
        <v>0</v>
      </c>
      <c r="B68" s="494">
        <f>+'Balance N-1'!B68</f>
        <v>0</v>
      </c>
      <c r="C68" s="592">
        <f>ROUND('Balance N-1'!C68,2)</f>
        <v>0</v>
      </c>
      <c r="D68" s="592">
        <f>ROUND('Balance N-1'!D68,2)</f>
        <v>0</v>
      </c>
      <c r="E68" s="592">
        <f>ROUND('Balance N-1'!E68,2)</f>
        <v>0</v>
      </c>
      <c r="F68" s="592">
        <f>ROUND('Balance N-1'!F68,2)</f>
        <v>0</v>
      </c>
      <c r="G68" s="592">
        <f>ROUND('Balance N-1'!G68,2)</f>
        <v>0</v>
      </c>
      <c r="H68" s="592">
        <f>ROUND('Balance N-1'!H68,2)</f>
        <v>0</v>
      </c>
      <c r="I68" s="2" t="str">
        <f t="shared" si="4"/>
        <v>0</v>
      </c>
    </row>
    <row r="69" spans="1:9" x14ac:dyDescent="0.2">
      <c r="A69" s="782" t="str">
        <f>FIXED('Balance N-1'!A69,0,1)</f>
        <v>0</v>
      </c>
      <c r="B69" s="494">
        <f>+'Balance N-1'!B69</f>
        <v>0</v>
      </c>
      <c r="C69" s="592">
        <f>ROUND('Balance N-1'!C69,2)</f>
        <v>0</v>
      </c>
      <c r="D69" s="592">
        <f>ROUND('Balance N-1'!D69,2)</f>
        <v>0</v>
      </c>
      <c r="E69" s="592">
        <f>ROUND('Balance N-1'!E69,2)</f>
        <v>0</v>
      </c>
      <c r="F69" s="592">
        <f>ROUND('Balance N-1'!F69,2)</f>
        <v>0</v>
      </c>
      <c r="G69" s="592">
        <f>ROUND('Balance N-1'!G69,2)</f>
        <v>0</v>
      </c>
      <c r="H69" s="592">
        <f>ROUND('Balance N-1'!H69,2)</f>
        <v>0</v>
      </c>
      <c r="I69" s="2" t="str">
        <f t="shared" si="4"/>
        <v>0</v>
      </c>
    </row>
    <row r="70" spans="1:9" x14ac:dyDescent="0.2">
      <c r="A70" s="782" t="str">
        <f>FIXED('Balance N-1'!A70,0,1)</f>
        <v>0</v>
      </c>
      <c r="B70" s="494">
        <f>+'Balance N-1'!B70</f>
        <v>0</v>
      </c>
      <c r="C70" s="592">
        <f>ROUND('Balance N-1'!C70,2)</f>
        <v>0</v>
      </c>
      <c r="D70" s="592">
        <f>ROUND('Balance N-1'!D70,2)</f>
        <v>0</v>
      </c>
      <c r="E70" s="592">
        <f>ROUND('Balance N-1'!E70,2)</f>
        <v>0</v>
      </c>
      <c r="F70" s="592">
        <f>ROUND('Balance N-1'!F70,2)</f>
        <v>0</v>
      </c>
      <c r="G70" s="592">
        <f>ROUND('Balance N-1'!G70,2)</f>
        <v>0</v>
      </c>
      <c r="H70" s="592">
        <f>ROUND('Balance N-1'!H70,2)</f>
        <v>0</v>
      </c>
      <c r="I70" s="2" t="str">
        <f t="shared" si="4"/>
        <v>0</v>
      </c>
    </row>
    <row r="71" spans="1:9" x14ac:dyDescent="0.2">
      <c r="A71" s="782" t="str">
        <f>FIXED('Balance N-1'!A71,0,1)</f>
        <v>0</v>
      </c>
      <c r="B71" s="494">
        <f>+'Balance N-1'!B71</f>
        <v>0</v>
      </c>
      <c r="C71" s="592">
        <f>ROUND('Balance N-1'!C71,2)</f>
        <v>0</v>
      </c>
      <c r="D71" s="592">
        <f>ROUND('Balance N-1'!D71,2)</f>
        <v>0</v>
      </c>
      <c r="E71" s="592">
        <f>ROUND('Balance N-1'!E71,2)</f>
        <v>0</v>
      </c>
      <c r="F71" s="592">
        <f>ROUND('Balance N-1'!F71,2)</f>
        <v>0</v>
      </c>
      <c r="G71" s="592">
        <f>ROUND('Balance N-1'!G71,2)</f>
        <v>0</v>
      </c>
      <c r="H71" s="592">
        <f>ROUND('Balance N-1'!H71,2)</f>
        <v>0</v>
      </c>
      <c r="I71" s="2" t="str">
        <f t="shared" si="4"/>
        <v>0</v>
      </c>
    </row>
    <row r="72" spans="1:9" x14ac:dyDescent="0.2">
      <c r="A72" s="782" t="str">
        <f>FIXED('Balance N-1'!A72,0,1)</f>
        <v>0</v>
      </c>
      <c r="B72" s="494">
        <f>+'Balance N-1'!B72</f>
        <v>0</v>
      </c>
      <c r="C72" s="592">
        <f>ROUND('Balance N-1'!C72,2)</f>
        <v>0</v>
      </c>
      <c r="D72" s="592">
        <f>ROUND('Balance N-1'!D72,2)</f>
        <v>0</v>
      </c>
      <c r="E72" s="592">
        <f>ROUND('Balance N-1'!E72,2)</f>
        <v>0</v>
      </c>
      <c r="F72" s="592">
        <f>ROUND('Balance N-1'!F72,2)</f>
        <v>0</v>
      </c>
      <c r="G72" s="592">
        <f>ROUND('Balance N-1'!G72,2)</f>
        <v>0</v>
      </c>
      <c r="H72" s="592">
        <f>ROUND('Balance N-1'!H72,2)</f>
        <v>0</v>
      </c>
      <c r="I72" s="2" t="str">
        <f t="shared" si="4"/>
        <v>0</v>
      </c>
    </row>
    <row r="73" spans="1:9" x14ac:dyDescent="0.2">
      <c r="A73" s="782" t="str">
        <f>FIXED('Balance N-1'!A73,0,1)</f>
        <v>0</v>
      </c>
      <c r="B73" s="494">
        <f>+'Balance N-1'!B73</f>
        <v>0</v>
      </c>
      <c r="C73" s="592">
        <f>ROUND('Balance N-1'!C73,2)</f>
        <v>0</v>
      </c>
      <c r="D73" s="592">
        <f>ROUND('Balance N-1'!D73,2)</f>
        <v>0</v>
      </c>
      <c r="E73" s="592">
        <f>ROUND('Balance N-1'!E73,2)</f>
        <v>0</v>
      </c>
      <c r="F73" s="592">
        <f>ROUND('Balance N-1'!F73,2)</f>
        <v>0</v>
      </c>
      <c r="G73" s="592">
        <f>ROUND('Balance N-1'!G73,2)</f>
        <v>0</v>
      </c>
      <c r="H73" s="592">
        <f>ROUND('Balance N-1'!H73,2)</f>
        <v>0</v>
      </c>
      <c r="I73" s="2" t="str">
        <f t="shared" si="4"/>
        <v>0</v>
      </c>
    </row>
    <row r="74" spans="1:9" x14ac:dyDescent="0.2">
      <c r="A74" s="782" t="str">
        <f>FIXED('Balance N-1'!A74,0,1)</f>
        <v>0</v>
      </c>
      <c r="B74" s="494">
        <f>+'Balance N-1'!B74</f>
        <v>0</v>
      </c>
      <c r="C74" s="592">
        <f>ROUND('Balance N-1'!C74,2)</f>
        <v>0</v>
      </c>
      <c r="D74" s="592">
        <f>ROUND('Balance N-1'!D74,2)</f>
        <v>0</v>
      </c>
      <c r="E74" s="592">
        <f>ROUND('Balance N-1'!E74,2)</f>
        <v>0</v>
      </c>
      <c r="F74" s="592">
        <f>ROUND('Balance N-1'!F74,2)</f>
        <v>0</v>
      </c>
      <c r="G74" s="592">
        <f>ROUND('Balance N-1'!G74,2)</f>
        <v>0</v>
      </c>
      <c r="H74" s="592">
        <f>ROUND('Balance N-1'!H74,2)</f>
        <v>0</v>
      </c>
      <c r="I74" s="2" t="str">
        <f t="shared" si="4"/>
        <v>0</v>
      </c>
    </row>
    <row r="75" spans="1:9" x14ac:dyDescent="0.2">
      <c r="A75" s="782" t="str">
        <f>FIXED('Balance N-1'!A75,0,1)</f>
        <v>0</v>
      </c>
      <c r="B75" s="494">
        <f>+'Balance N-1'!B75</f>
        <v>0</v>
      </c>
      <c r="C75" s="592">
        <f>ROUND('Balance N-1'!C75,2)</f>
        <v>0</v>
      </c>
      <c r="D75" s="592">
        <f>ROUND('Balance N-1'!D75,2)</f>
        <v>0</v>
      </c>
      <c r="E75" s="592">
        <f>ROUND('Balance N-1'!E75,2)</f>
        <v>0</v>
      </c>
      <c r="F75" s="592">
        <f>ROUND('Balance N-1'!F75,2)</f>
        <v>0</v>
      </c>
      <c r="G75" s="592">
        <f>ROUND('Balance N-1'!G75,2)</f>
        <v>0</v>
      </c>
      <c r="H75" s="592">
        <f>ROUND('Balance N-1'!H75,2)</f>
        <v>0</v>
      </c>
      <c r="I75" s="2" t="str">
        <f t="shared" si="4"/>
        <v>0</v>
      </c>
    </row>
    <row r="76" spans="1:9" x14ac:dyDescent="0.2">
      <c r="A76" s="782" t="str">
        <f>FIXED('Balance N-1'!A76,0,1)</f>
        <v>0</v>
      </c>
      <c r="B76" s="494">
        <f>+'Balance N-1'!B76</f>
        <v>0</v>
      </c>
      <c r="C76" s="592">
        <f>ROUND('Balance N-1'!C76,2)</f>
        <v>0</v>
      </c>
      <c r="D76" s="592">
        <f>ROUND('Balance N-1'!D76,2)</f>
        <v>0</v>
      </c>
      <c r="E76" s="592">
        <f>ROUND('Balance N-1'!E76,2)</f>
        <v>0</v>
      </c>
      <c r="F76" s="592">
        <f>ROUND('Balance N-1'!F76,2)</f>
        <v>0</v>
      </c>
      <c r="G76" s="592">
        <f>ROUND('Balance N-1'!G76,2)</f>
        <v>0</v>
      </c>
      <c r="H76" s="592">
        <f>ROUND('Balance N-1'!H76,2)</f>
        <v>0</v>
      </c>
      <c r="I76" s="2" t="str">
        <f t="shared" si="4"/>
        <v>0</v>
      </c>
    </row>
    <row r="77" spans="1:9" x14ac:dyDescent="0.2">
      <c r="A77" s="782" t="str">
        <f>FIXED('Balance N-1'!A77,0,1)</f>
        <v>0</v>
      </c>
      <c r="B77" s="494">
        <f>+'Balance N-1'!B77</f>
        <v>0</v>
      </c>
      <c r="C77" s="592">
        <f>ROUND('Balance N-1'!C77,2)</f>
        <v>0</v>
      </c>
      <c r="D77" s="592">
        <f>ROUND('Balance N-1'!D77,2)</f>
        <v>0</v>
      </c>
      <c r="E77" s="592">
        <f>ROUND('Balance N-1'!E77,2)</f>
        <v>0</v>
      </c>
      <c r="F77" s="592">
        <f>ROUND('Balance N-1'!F77,2)</f>
        <v>0</v>
      </c>
      <c r="G77" s="592">
        <f>ROUND('Balance N-1'!G77,2)</f>
        <v>0</v>
      </c>
      <c r="H77" s="592">
        <f>ROUND('Balance N-1'!H77,2)</f>
        <v>0</v>
      </c>
      <c r="I77" s="2" t="str">
        <f t="shared" si="4"/>
        <v>0</v>
      </c>
    </row>
    <row r="78" spans="1:9" x14ac:dyDescent="0.2">
      <c r="A78" s="782" t="str">
        <f>FIXED('Balance N-1'!A78,0,1)</f>
        <v>0</v>
      </c>
      <c r="B78" s="494">
        <f>+'Balance N-1'!B78</f>
        <v>0</v>
      </c>
      <c r="C78" s="592">
        <f>ROUND('Balance N-1'!C78,2)</f>
        <v>0</v>
      </c>
      <c r="D78" s="592">
        <f>ROUND('Balance N-1'!D78,2)</f>
        <v>0</v>
      </c>
      <c r="E78" s="592">
        <f>ROUND('Balance N-1'!E78,2)</f>
        <v>0</v>
      </c>
      <c r="F78" s="592">
        <f>ROUND('Balance N-1'!F78,2)</f>
        <v>0</v>
      </c>
      <c r="G78" s="592">
        <f>ROUND('Balance N-1'!G78,2)</f>
        <v>0</v>
      </c>
      <c r="H78" s="592">
        <f>ROUND('Balance N-1'!H78,2)</f>
        <v>0</v>
      </c>
      <c r="I78" s="2" t="str">
        <f t="shared" si="4"/>
        <v>0</v>
      </c>
    </row>
    <row r="79" spans="1:9" x14ac:dyDescent="0.2">
      <c r="A79" s="782" t="str">
        <f>FIXED('Balance N-1'!A79,0,1)</f>
        <v>0</v>
      </c>
      <c r="B79" s="494">
        <f>+'Balance N-1'!B79</f>
        <v>0</v>
      </c>
      <c r="C79" s="592">
        <f>ROUND('Balance N-1'!C79,2)</f>
        <v>0</v>
      </c>
      <c r="D79" s="592">
        <f>ROUND('Balance N-1'!D79,2)</f>
        <v>0</v>
      </c>
      <c r="E79" s="592">
        <f>ROUND('Balance N-1'!E79,2)</f>
        <v>0</v>
      </c>
      <c r="F79" s="592">
        <f>ROUND('Balance N-1'!F79,2)</f>
        <v>0</v>
      </c>
      <c r="G79" s="592">
        <f>ROUND('Balance N-1'!G79,2)</f>
        <v>0</v>
      </c>
      <c r="H79" s="592">
        <f>ROUND('Balance N-1'!H79,2)</f>
        <v>0</v>
      </c>
      <c r="I79" s="2" t="str">
        <f t="shared" si="4"/>
        <v>0</v>
      </c>
    </row>
    <row r="80" spans="1:9" x14ac:dyDescent="0.2">
      <c r="A80" s="782" t="str">
        <f>FIXED('Balance N-1'!A80,0,1)</f>
        <v>0</v>
      </c>
      <c r="B80" s="494">
        <f>+'Balance N-1'!B80</f>
        <v>0</v>
      </c>
      <c r="C80" s="592">
        <f>ROUND('Balance N-1'!C80,2)</f>
        <v>0</v>
      </c>
      <c r="D80" s="592">
        <f>ROUND('Balance N-1'!D80,2)</f>
        <v>0</v>
      </c>
      <c r="E80" s="592">
        <f>ROUND('Balance N-1'!E80,2)</f>
        <v>0</v>
      </c>
      <c r="F80" s="592">
        <f>ROUND('Balance N-1'!F80,2)</f>
        <v>0</v>
      </c>
      <c r="G80" s="592">
        <f>ROUND('Balance N-1'!G80,2)</f>
        <v>0</v>
      </c>
      <c r="H80" s="592">
        <f>ROUND('Balance N-1'!H80,2)</f>
        <v>0</v>
      </c>
      <c r="I80" s="2" t="str">
        <f t="shared" si="4"/>
        <v>0</v>
      </c>
    </row>
    <row r="81" spans="1:9" x14ac:dyDescent="0.2">
      <c r="A81" s="782" t="str">
        <f>FIXED('Balance N-1'!A81,0,1)</f>
        <v>0</v>
      </c>
      <c r="B81" s="494">
        <f>+'Balance N-1'!B81</f>
        <v>0</v>
      </c>
      <c r="C81" s="592">
        <f>ROUND('Balance N-1'!C81,2)</f>
        <v>0</v>
      </c>
      <c r="D81" s="592">
        <f>ROUND('Balance N-1'!D81,2)</f>
        <v>0</v>
      </c>
      <c r="E81" s="592">
        <f>ROUND('Balance N-1'!E81,2)</f>
        <v>0</v>
      </c>
      <c r="F81" s="592">
        <f>ROUND('Balance N-1'!F81,2)</f>
        <v>0</v>
      </c>
      <c r="G81" s="592">
        <f>ROUND('Balance N-1'!G81,2)</f>
        <v>0</v>
      </c>
      <c r="H81" s="592">
        <f>ROUND('Balance N-1'!H81,2)</f>
        <v>0</v>
      </c>
      <c r="I81" s="2" t="str">
        <f t="shared" si="4"/>
        <v>0</v>
      </c>
    </row>
    <row r="82" spans="1:9" x14ac:dyDescent="0.2">
      <c r="A82" s="782" t="str">
        <f>FIXED('Balance N-1'!A82,0,1)</f>
        <v>0</v>
      </c>
      <c r="B82" s="494">
        <f>+'Balance N-1'!B82</f>
        <v>0</v>
      </c>
      <c r="C82" s="592">
        <f>ROUND('Balance N-1'!C82,2)</f>
        <v>0</v>
      </c>
      <c r="D82" s="592">
        <f>ROUND('Balance N-1'!D82,2)</f>
        <v>0</v>
      </c>
      <c r="E82" s="592">
        <f>ROUND('Balance N-1'!E82,2)</f>
        <v>0</v>
      </c>
      <c r="F82" s="592">
        <f>ROUND('Balance N-1'!F82,2)</f>
        <v>0</v>
      </c>
      <c r="G82" s="592">
        <f>ROUND('Balance N-1'!G82,2)</f>
        <v>0</v>
      </c>
      <c r="H82" s="592">
        <f>ROUND('Balance N-1'!H82,2)</f>
        <v>0</v>
      </c>
      <c r="I82" s="2" t="str">
        <f t="shared" si="4"/>
        <v>0</v>
      </c>
    </row>
    <row r="83" spans="1:9" x14ac:dyDescent="0.2">
      <c r="A83" s="782" t="str">
        <f>FIXED('Balance N-1'!A83,0,1)</f>
        <v>0</v>
      </c>
      <c r="B83" s="494">
        <f>+'Balance N-1'!B83</f>
        <v>0</v>
      </c>
      <c r="C83" s="592">
        <f>ROUND('Balance N-1'!C83,2)</f>
        <v>0</v>
      </c>
      <c r="D83" s="592">
        <f>ROUND('Balance N-1'!D83,2)</f>
        <v>0</v>
      </c>
      <c r="E83" s="592">
        <f>ROUND('Balance N-1'!E83,2)</f>
        <v>0</v>
      </c>
      <c r="F83" s="592">
        <f>ROUND('Balance N-1'!F83,2)</f>
        <v>0</v>
      </c>
      <c r="G83" s="592">
        <f>ROUND('Balance N-1'!G83,2)</f>
        <v>0</v>
      </c>
      <c r="H83" s="592">
        <f>ROUND('Balance N-1'!H83,2)</f>
        <v>0</v>
      </c>
      <c r="I83" s="2" t="str">
        <f t="shared" si="4"/>
        <v>0</v>
      </c>
    </row>
    <row r="84" spans="1:9" x14ac:dyDescent="0.2">
      <c r="A84" s="782" t="str">
        <f>FIXED('Balance N-1'!A84,0,1)</f>
        <v>0</v>
      </c>
      <c r="B84" s="494">
        <f>+'Balance N-1'!B84</f>
        <v>0</v>
      </c>
      <c r="C84" s="592">
        <f>ROUND('Balance N-1'!C84,2)</f>
        <v>0</v>
      </c>
      <c r="D84" s="592">
        <f>ROUND('Balance N-1'!D84,2)</f>
        <v>0</v>
      </c>
      <c r="E84" s="592">
        <f>ROUND('Balance N-1'!E84,2)</f>
        <v>0</v>
      </c>
      <c r="F84" s="592">
        <f>ROUND('Balance N-1'!F84,2)</f>
        <v>0</v>
      </c>
      <c r="G84" s="592">
        <f>ROUND('Balance N-1'!G84,2)</f>
        <v>0</v>
      </c>
      <c r="H84" s="592">
        <f>ROUND('Balance N-1'!H84,2)</f>
        <v>0</v>
      </c>
      <c r="I84" s="2" t="str">
        <f t="shared" si="4"/>
        <v>0</v>
      </c>
    </row>
    <row r="85" spans="1:9" x14ac:dyDescent="0.2">
      <c r="A85" s="782" t="str">
        <f>FIXED('Balance N-1'!A85,0,1)</f>
        <v>0</v>
      </c>
      <c r="B85" s="494">
        <f>+'Balance N-1'!B85</f>
        <v>0</v>
      </c>
      <c r="C85" s="592">
        <f>ROUND('Balance N-1'!C85,2)</f>
        <v>0</v>
      </c>
      <c r="D85" s="592">
        <f>ROUND('Balance N-1'!D85,2)</f>
        <v>0</v>
      </c>
      <c r="E85" s="592">
        <f>ROUND('Balance N-1'!E85,2)</f>
        <v>0</v>
      </c>
      <c r="F85" s="592">
        <f>ROUND('Balance N-1'!F85,2)</f>
        <v>0</v>
      </c>
      <c r="G85" s="592">
        <f>ROUND('Balance N-1'!G85,2)</f>
        <v>0</v>
      </c>
      <c r="H85" s="592">
        <f>ROUND('Balance N-1'!H85,2)</f>
        <v>0</v>
      </c>
      <c r="I85" s="2" t="str">
        <f t="shared" si="4"/>
        <v>0</v>
      </c>
    </row>
    <row r="86" spans="1:9" x14ac:dyDescent="0.2">
      <c r="A86" s="782" t="str">
        <f>FIXED('Balance N-1'!A86,0,1)</f>
        <v>0</v>
      </c>
      <c r="B86" s="494">
        <f>+'Balance N-1'!B86</f>
        <v>0</v>
      </c>
      <c r="C86" s="592">
        <f>ROUND('Balance N-1'!C86,2)</f>
        <v>0</v>
      </c>
      <c r="D86" s="592">
        <f>ROUND('Balance N-1'!D86,2)</f>
        <v>0</v>
      </c>
      <c r="E86" s="592">
        <f>ROUND('Balance N-1'!E86,2)</f>
        <v>0</v>
      </c>
      <c r="F86" s="592">
        <f>ROUND('Balance N-1'!F86,2)</f>
        <v>0</v>
      </c>
      <c r="G86" s="592">
        <f>ROUND('Balance N-1'!G86,2)</f>
        <v>0</v>
      </c>
      <c r="H86" s="592">
        <f>ROUND('Balance N-1'!H86,2)</f>
        <v>0</v>
      </c>
      <c r="I86" s="2" t="str">
        <f t="shared" si="4"/>
        <v>0</v>
      </c>
    </row>
    <row r="87" spans="1:9" x14ac:dyDescent="0.2">
      <c r="A87" s="782" t="str">
        <f>FIXED('Balance N-1'!A87,0,1)</f>
        <v>0</v>
      </c>
      <c r="B87" s="494">
        <f>+'Balance N-1'!B87</f>
        <v>0</v>
      </c>
      <c r="C87" s="592">
        <f>ROUND('Balance N-1'!C87,2)</f>
        <v>0</v>
      </c>
      <c r="D87" s="592">
        <f>ROUND('Balance N-1'!D87,2)</f>
        <v>0</v>
      </c>
      <c r="E87" s="592">
        <f>ROUND('Balance N-1'!E87,2)</f>
        <v>0</v>
      </c>
      <c r="F87" s="592">
        <f>ROUND('Balance N-1'!F87,2)</f>
        <v>0</v>
      </c>
      <c r="G87" s="592">
        <f>ROUND('Balance N-1'!G87,2)</f>
        <v>0</v>
      </c>
      <c r="H87" s="592">
        <f>ROUND('Balance N-1'!H87,2)</f>
        <v>0</v>
      </c>
      <c r="I87" s="2" t="str">
        <f t="shared" si="4"/>
        <v>0</v>
      </c>
    </row>
    <row r="88" spans="1:9" x14ac:dyDescent="0.2">
      <c r="A88" s="782" t="str">
        <f>FIXED('Balance N-1'!A88,0,1)</f>
        <v>0</v>
      </c>
      <c r="B88" s="494">
        <f>+'Balance N-1'!B88</f>
        <v>0</v>
      </c>
      <c r="C88" s="592">
        <f>ROUND('Balance N-1'!C88,2)</f>
        <v>0</v>
      </c>
      <c r="D88" s="592">
        <f>ROUND('Balance N-1'!D88,2)</f>
        <v>0</v>
      </c>
      <c r="E88" s="592">
        <f>ROUND('Balance N-1'!E88,2)</f>
        <v>0</v>
      </c>
      <c r="F88" s="592">
        <f>ROUND('Balance N-1'!F88,2)</f>
        <v>0</v>
      </c>
      <c r="G88" s="592">
        <f>ROUND('Balance N-1'!G88,2)</f>
        <v>0</v>
      </c>
      <c r="H88" s="592">
        <f>ROUND('Balance N-1'!H88,2)</f>
        <v>0</v>
      </c>
      <c r="I88" s="2" t="str">
        <f t="shared" si="4"/>
        <v>0</v>
      </c>
    </row>
    <row r="89" spans="1:9" x14ac:dyDescent="0.2">
      <c r="A89" s="782" t="str">
        <f>FIXED('Balance N-1'!A89,0,1)</f>
        <v>0</v>
      </c>
      <c r="B89" s="494">
        <f>+'Balance N-1'!B89</f>
        <v>0</v>
      </c>
      <c r="C89" s="592">
        <f>ROUND('Balance N-1'!C89,2)</f>
        <v>0</v>
      </c>
      <c r="D89" s="592">
        <f>ROUND('Balance N-1'!D89,2)</f>
        <v>0</v>
      </c>
      <c r="E89" s="592">
        <f>ROUND('Balance N-1'!E89,2)</f>
        <v>0</v>
      </c>
      <c r="F89" s="592">
        <f>ROUND('Balance N-1'!F89,2)</f>
        <v>0</v>
      </c>
      <c r="G89" s="592">
        <f>ROUND('Balance N-1'!G89,2)</f>
        <v>0</v>
      </c>
      <c r="H89" s="592">
        <f>ROUND('Balance N-1'!H89,2)</f>
        <v>0</v>
      </c>
      <c r="I89" s="2" t="str">
        <f t="shared" si="4"/>
        <v>0</v>
      </c>
    </row>
    <row r="90" spans="1:9" x14ac:dyDescent="0.2">
      <c r="A90" s="782" t="str">
        <f>FIXED('Balance N-1'!A90,0,1)</f>
        <v>0</v>
      </c>
      <c r="B90" s="494">
        <f>+'Balance N-1'!B90</f>
        <v>0</v>
      </c>
      <c r="C90" s="592">
        <f>ROUND('Balance N-1'!C90,2)</f>
        <v>0</v>
      </c>
      <c r="D90" s="592">
        <f>ROUND('Balance N-1'!D90,2)</f>
        <v>0</v>
      </c>
      <c r="E90" s="592">
        <f>ROUND('Balance N-1'!E90,2)</f>
        <v>0</v>
      </c>
      <c r="F90" s="592">
        <f>ROUND('Balance N-1'!F90,2)</f>
        <v>0</v>
      </c>
      <c r="G90" s="592">
        <f>ROUND('Balance N-1'!G90,2)</f>
        <v>0</v>
      </c>
      <c r="H90" s="592">
        <f>ROUND('Balance N-1'!H90,2)</f>
        <v>0</v>
      </c>
      <c r="I90" s="2" t="str">
        <f t="shared" si="4"/>
        <v>0</v>
      </c>
    </row>
    <row r="91" spans="1:9" x14ac:dyDescent="0.2">
      <c r="A91" s="782" t="str">
        <f>FIXED('Balance N-1'!A91,0,1)</f>
        <v>0</v>
      </c>
      <c r="B91" s="494">
        <f>+'Balance N-1'!B91</f>
        <v>0</v>
      </c>
      <c r="C91" s="592">
        <f>ROUND('Balance N-1'!C91,2)</f>
        <v>0</v>
      </c>
      <c r="D91" s="592">
        <f>ROUND('Balance N-1'!D91,2)</f>
        <v>0</v>
      </c>
      <c r="E91" s="592">
        <f>ROUND('Balance N-1'!E91,2)</f>
        <v>0</v>
      </c>
      <c r="F91" s="592">
        <f>ROUND('Balance N-1'!F91,2)</f>
        <v>0</v>
      </c>
      <c r="G91" s="592">
        <f>ROUND('Balance N-1'!G91,2)</f>
        <v>0</v>
      </c>
      <c r="H91" s="592">
        <f>ROUND('Balance N-1'!H91,2)</f>
        <v>0</v>
      </c>
      <c r="I91" s="2" t="str">
        <f t="shared" si="4"/>
        <v>0</v>
      </c>
    </row>
    <row r="92" spans="1:9" x14ac:dyDescent="0.2">
      <c r="A92" s="782" t="str">
        <f>FIXED('Balance N-1'!A92,0,1)</f>
        <v>0</v>
      </c>
      <c r="B92" s="494">
        <f>+'Balance N-1'!B92</f>
        <v>0</v>
      </c>
      <c r="C92" s="592">
        <f>ROUND('Balance N-1'!C92,2)</f>
        <v>0</v>
      </c>
      <c r="D92" s="592">
        <f>ROUND('Balance N-1'!D92,2)</f>
        <v>0</v>
      </c>
      <c r="E92" s="592">
        <f>ROUND('Balance N-1'!E92,2)</f>
        <v>0</v>
      </c>
      <c r="F92" s="592">
        <f>ROUND('Balance N-1'!F92,2)</f>
        <v>0</v>
      </c>
      <c r="G92" s="592">
        <f>ROUND('Balance N-1'!G92,2)</f>
        <v>0</v>
      </c>
      <c r="H92" s="592">
        <f>ROUND('Balance N-1'!H92,2)</f>
        <v>0</v>
      </c>
      <c r="I92" s="2" t="str">
        <f t="shared" si="4"/>
        <v>0</v>
      </c>
    </row>
    <row r="93" spans="1:9" x14ac:dyDescent="0.2">
      <c r="A93" s="782" t="str">
        <f>FIXED('Balance N-1'!A93,0,1)</f>
        <v>0</v>
      </c>
      <c r="B93" s="494">
        <f>+'Balance N-1'!B93</f>
        <v>0</v>
      </c>
      <c r="C93" s="592">
        <f>ROUND('Balance N-1'!C93,2)</f>
        <v>0</v>
      </c>
      <c r="D93" s="592">
        <f>ROUND('Balance N-1'!D93,2)</f>
        <v>0</v>
      </c>
      <c r="E93" s="592">
        <f>ROUND('Balance N-1'!E93,2)</f>
        <v>0</v>
      </c>
      <c r="F93" s="592">
        <f>ROUND('Balance N-1'!F93,2)</f>
        <v>0</v>
      </c>
      <c r="G93" s="592">
        <f>ROUND('Balance N-1'!G93,2)</f>
        <v>0</v>
      </c>
      <c r="H93" s="592">
        <f>ROUND('Balance N-1'!H93,2)</f>
        <v>0</v>
      </c>
      <c r="I93" s="2" t="str">
        <f t="shared" si="4"/>
        <v>0</v>
      </c>
    </row>
    <row r="94" spans="1:9" x14ac:dyDescent="0.2">
      <c r="A94" s="782" t="str">
        <f>FIXED('Balance N-1'!A94,0,1)</f>
        <v>0</v>
      </c>
      <c r="B94" s="494">
        <f>+'Balance N-1'!B94</f>
        <v>0</v>
      </c>
      <c r="C94" s="592">
        <f>ROUND('Balance N-1'!C94,2)</f>
        <v>0</v>
      </c>
      <c r="D94" s="592">
        <f>ROUND('Balance N-1'!D94,2)</f>
        <v>0</v>
      </c>
      <c r="E94" s="592">
        <f>ROUND('Balance N-1'!E94,2)</f>
        <v>0</v>
      </c>
      <c r="F94" s="592">
        <f>ROUND('Balance N-1'!F94,2)</f>
        <v>0</v>
      </c>
      <c r="G94" s="592">
        <f>ROUND('Balance N-1'!G94,2)</f>
        <v>0</v>
      </c>
      <c r="H94" s="592">
        <f>ROUND('Balance N-1'!H94,2)</f>
        <v>0</v>
      </c>
      <c r="I94" s="2" t="str">
        <f t="shared" si="4"/>
        <v>0</v>
      </c>
    </row>
    <row r="95" spans="1:9" x14ac:dyDescent="0.2">
      <c r="A95" s="782" t="str">
        <f>FIXED('Balance N-1'!A95,0,1)</f>
        <v>0</v>
      </c>
      <c r="B95" s="494">
        <f>+'Balance N-1'!B95</f>
        <v>0</v>
      </c>
      <c r="C95" s="592">
        <f>ROUND('Balance N-1'!C95,2)</f>
        <v>0</v>
      </c>
      <c r="D95" s="592">
        <f>ROUND('Balance N-1'!D95,2)</f>
        <v>0</v>
      </c>
      <c r="E95" s="592">
        <f>ROUND('Balance N-1'!E95,2)</f>
        <v>0</v>
      </c>
      <c r="F95" s="592">
        <f>ROUND('Balance N-1'!F95,2)</f>
        <v>0</v>
      </c>
      <c r="G95" s="592">
        <f>ROUND('Balance N-1'!G95,2)</f>
        <v>0</v>
      </c>
      <c r="H95" s="592">
        <f>ROUND('Balance N-1'!H95,2)</f>
        <v>0</v>
      </c>
      <c r="I95" s="2" t="str">
        <f t="shared" si="4"/>
        <v>0</v>
      </c>
    </row>
    <row r="96" spans="1:9" x14ac:dyDescent="0.2">
      <c r="A96" s="782" t="str">
        <f>FIXED('Balance N-1'!A96,0,1)</f>
        <v>0</v>
      </c>
      <c r="B96" s="494">
        <f>+'Balance N-1'!B96</f>
        <v>0</v>
      </c>
      <c r="C96" s="592">
        <f>ROUND('Balance N-1'!C96,2)</f>
        <v>0</v>
      </c>
      <c r="D96" s="592">
        <f>ROUND('Balance N-1'!D96,2)</f>
        <v>0</v>
      </c>
      <c r="E96" s="592">
        <f>ROUND('Balance N-1'!E96,2)</f>
        <v>0</v>
      </c>
      <c r="F96" s="592">
        <f>ROUND('Balance N-1'!F96,2)</f>
        <v>0</v>
      </c>
      <c r="G96" s="592">
        <f>ROUND('Balance N-1'!G96,2)</f>
        <v>0</v>
      </c>
      <c r="H96" s="592">
        <f>ROUND('Balance N-1'!H96,2)</f>
        <v>0</v>
      </c>
      <c r="I96" s="2" t="str">
        <f t="shared" si="4"/>
        <v>0</v>
      </c>
    </row>
    <row r="97" spans="1:9" x14ac:dyDescent="0.2">
      <c r="A97" s="782" t="str">
        <f>FIXED('Balance N-1'!A97,0,1)</f>
        <v>0</v>
      </c>
      <c r="B97" s="494">
        <f>+'Balance N-1'!B97</f>
        <v>0</v>
      </c>
      <c r="C97" s="592">
        <f>ROUND('Balance N-1'!C97,2)</f>
        <v>0</v>
      </c>
      <c r="D97" s="592">
        <f>ROUND('Balance N-1'!D97,2)</f>
        <v>0</v>
      </c>
      <c r="E97" s="592">
        <f>ROUND('Balance N-1'!E97,2)</f>
        <v>0</v>
      </c>
      <c r="F97" s="592">
        <f>ROUND('Balance N-1'!F97,2)</f>
        <v>0</v>
      </c>
      <c r="G97" s="592">
        <f>ROUND('Balance N-1'!G97,2)</f>
        <v>0</v>
      </c>
      <c r="H97" s="592">
        <f>ROUND('Balance N-1'!H97,2)</f>
        <v>0</v>
      </c>
      <c r="I97" s="2" t="str">
        <f t="shared" si="4"/>
        <v>0</v>
      </c>
    </row>
    <row r="98" spans="1:9" x14ac:dyDescent="0.2">
      <c r="A98" s="782" t="str">
        <f>FIXED('Balance N-1'!A98,0,1)</f>
        <v>0</v>
      </c>
      <c r="B98" s="494">
        <f>+'Balance N-1'!B98</f>
        <v>0</v>
      </c>
      <c r="C98" s="592">
        <f>ROUND('Balance N-1'!C98,2)</f>
        <v>0</v>
      </c>
      <c r="D98" s="592">
        <f>ROUND('Balance N-1'!D98,2)</f>
        <v>0</v>
      </c>
      <c r="E98" s="592">
        <f>ROUND('Balance N-1'!E98,2)</f>
        <v>0</v>
      </c>
      <c r="F98" s="592">
        <f>ROUND('Balance N-1'!F98,2)</f>
        <v>0</v>
      </c>
      <c r="G98" s="592">
        <f>ROUND('Balance N-1'!G98,2)</f>
        <v>0</v>
      </c>
      <c r="H98" s="592">
        <f>ROUND('Balance N-1'!H98,2)</f>
        <v>0</v>
      </c>
      <c r="I98" s="2" t="str">
        <f t="shared" si="4"/>
        <v>0</v>
      </c>
    </row>
    <row r="99" spans="1:9" x14ac:dyDescent="0.2">
      <c r="A99" s="782" t="str">
        <f>FIXED('Balance N-1'!A99,0,1)</f>
        <v>0</v>
      </c>
      <c r="B99" s="494">
        <f>+'Balance N-1'!B99</f>
        <v>0</v>
      </c>
      <c r="C99" s="592">
        <f>ROUND('Balance N-1'!C99,2)</f>
        <v>0</v>
      </c>
      <c r="D99" s="592">
        <f>ROUND('Balance N-1'!D99,2)</f>
        <v>0</v>
      </c>
      <c r="E99" s="592">
        <f>ROUND('Balance N-1'!E99,2)</f>
        <v>0</v>
      </c>
      <c r="F99" s="592">
        <f>ROUND('Balance N-1'!F99,2)</f>
        <v>0</v>
      </c>
      <c r="G99" s="592">
        <f>ROUND('Balance N-1'!G99,2)</f>
        <v>0</v>
      </c>
      <c r="H99" s="592">
        <f>ROUND('Balance N-1'!H99,2)</f>
        <v>0</v>
      </c>
      <c r="I99" s="2" t="str">
        <f t="shared" si="4"/>
        <v>0</v>
      </c>
    </row>
    <row r="100" spans="1:9" x14ac:dyDescent="0.2">
      <c r="A100" s="782" t="str">
        <f>FIXED('Balance N-1'!A100,0,1)</f>
        <v>0</v>
      </c>
      <c r="B100" s="494">
        <f>+'Balance N-1'!B100</f>
        <v>0</v>
      </c>
      <c r="C100" s="592">
        <f>ROUND('Balance N-1'!C100,2)</f>
        <v>0</v>
      </c>
      <c r="D100" s="592">
        <f>ROUND('Balance N-1'!D100,2)</f>
        <v>0</v>
      </c>
      <c r="E100" s="592">
        <f>ROUND('Balance N-1'!E100,2)</f>
        <v>0</v>
      </c>
      <c r="F100" s="592">
        <f>ROUND('Balance N-1'!F100,2)</f>
        <v>0</v>
      </c>
      <c r="G100" s="592">
        <f>ROUND('Balance N-1'!G100,2)</f>
        <v>0</v>
      </c>
      <c r="H100" s="592">
        <f>ROUND('Balance N-1'!H100,2)</f>
        <v>0</v>
      </c>
      <c r="I100" s="2" t="str">
        <f t="shared" si="4"/>
        <v>0</v>
      </c>
    </row>
    <row r="101" spans="1:9" x14ac:dyDescent="0.2">
      <c r="A101" s="782" t="str">
        <f>FIXED('Balance N-1'!A101,0,1)</f>
        <v>0</v>
      </c>
      <c r="B101" s="494">
        <f>+'Balance N-1'!B101</f>
        <v>0</v>
      </c>
      <c r="C101" s="592">
        <f>ROUND('Balance N-1'!C101,2)</f>
        <v>0</v>
      </c>
      <c r="D101" s="592">
        <f>ROUND('Balance N-1'!D101,2)</f>
        <v>0</v>
      </c>
      <c r="E101" s="592">
        <f>ROUND('Balance N-1'!E101,2)</f>
        <v>0</v>
      </c>
      <c r="F101" s="592">
        <f>ROUND('Balance N-1'!F101,2)</f>
        <v>0</v>
      </c>
      <c r="G101" s="592">
        <f>ROUND('Balance N-1'!G101,2)</f>
        <v>0</v>
      </c>
      <c r="H101" s="592">
        <f>ROUND('Balance N-1'!H101,2)</f>
        <v>0</v>
      </c>
      <c r="I101" s="2" t="str">
        <f t="shared" si="4"/>
        <v>0</v>
      </c>
    </row>
    <row r="102" spans="1:9" x14ac:dyDescent="0.2">
      <c r="A102" s="782" t="str">
        <f>FIXED('Balance N-1'!A102,0,1)</f>
        <v>0</v>
      </c>
      <c r="B102" s="494">
        <f>+'Balance N-1'!B102</f>
        <v>0</v>
      </c>
      <c r="C102" s="592">
        <f>ROUND('Balance N-1'!C102,2)</f>
        <v>0</v>
      </c>
      <c r="D102" s="592">
        <f>ROUND('Balance N-1'!D102,2)</f>
        <v>0</v>
      </c>
      <c r="E102" s="592">
        <f>ROUND('Balance N-1'!E102,2)</f>
        <v>0</v>
      </c>
      <c r="F102" s="592">
        <f>ROUND('Balance N-1'!F102,2)</f>
        <v>0</v>
      </c>
      <c r="G102" s="592">
        <f>ROUND('Balance N-1'!G102,2)</f>
        <v>0</v>
      </c>
      <c r="H102" s="592">
        <f>ROUND('Balance N-1'!H102,2)</f>
        <v>0</v>
      </c>
      <c r="I102" s="2" t="str">
        <f t="shared" si="4"/>
        <v>0</v>
      </c>
    </row>
    <row r="103" spans="1:9" x14ac:dyDescent="0.2">
      <c r="A103" s="782" t="str">
        <f>FIXED('Balance N-1'!A103,0,1)</f>
        <v>0</v>
      </c>
      <c r="B103" s="494">
        <f>+'Balance N-1'!B103</f>
        <v>0</v>
      </c>
      <c r="C103" s="592">
        <f>ROUND('Balance N-1'!C103,2)</f>
        <v>0</v>
      </c>
      <c r="D103" s="592">
        <f>ROUND('Balance N-1'!D103,2)</f>
        <v>0</v>
      </c>
      <c r="E103" s="592">
        <f>ROUND('Balance N-1'!E103,2)</f>
        <v>0</v>
      </c>
      <c r="F103" s="592">
        <f>ROUND('Balance N-1'!F103,2)</f>
        <v>0</v>
      </c>
      <c r="G103" s="592">
        <f>ROUND('Balance N-1'!G103,2)</f>
        <v>0</v>
      </c>
      <c r="H103" s="592">
        <f>ROUND('Balance N-1'!H103,2)</f>
        <v>0</v>
      </c>
      <c r="I103" s="2" t="str">
        <f t="shared" si="4"/>
        <v>0</v>
      </c>
    </row>
    <row r="104" spans="1:9" x14ac:dyDescent="0.2">
      <c r="A104" s="782" t="str">
        <f>FIXED('Balance N-1'!A104,0,1)</f>
        <v>0</v>
      </c>
      <c r="B104" s="494">
        <f>+'Balance N-1'!B104</f>
        <v>0</v>
      </c>
      <c r="C104" s="592">
        <f>ROUND('Balance N-1'!C104,2)</f>
        <v>0</v>
      </c>
      <c r="D104" s="592">
        <f>ROUND('Balance N-1'!D104,2)</f>
        <v>0</v>
      </c>
      <c r="E104" s="592">
        <f>ROUND('Balance N-1'!E104,2)</f>
        <v>0</v>
      </c>
      <c r="F104" s="592">
        <f>ROUND('Balance N-1'!F104,2)</f>
        <v>0</v>
      </c>
      <c r="G104" s="592">
        <f>ROUND('Balance N-1'!G104,2)</f>
        <v>0</v>
      </c>
      <c r="H104" s="592">
        <f>ROUND('Balance N-1'!H104,2)</f>
        <v>0</v>
      </c>
      <c r="I104" s="2" t="str">
        <f t="shared" si="4"/>
        <v>0</v>
      </c>
    </row>
    <row r="105" spans="1:9" x14ac:dyDescent="0.2">
      <c r="A105" s="782" t="str">
        <f>FIXED('Balance N-1'!A105,0,1)</f>
        <v>0</v>
      </c>
      <c r="B105" s="494">
        <f>+'Balance N-1'!B105</f>
        <v>0</v>
      </c>
      <c r="C105" s="592">
        <f>ROUND('Balance N-1'!C105,2)</f>
        <v>0</v>
      </c>
      <c r="D105" s="592">
        <f>ROUND('Balance N-1'!D105,2)</f>
        <v>0</v>
      </c>
      <c r="E105" s="592">
        <f>ROUND('Balance N-1'!E105,2)</f>
        <v>0</v>
      </c>
      <c r="F105" s="592">
        <f>ROUND('Balance N-1'!F105,2)</f>
        <v>0</v>
      </c>
      <c r="G105" s="592">
        <f>ROUND('Balance N-1'!G105,2)</f>
        <v>0</v>
      </c>
      <c r="H105" s="592">
        <f>ROUND('Balance N-1'!H105,2)</f>
        <v>0</v>
      </c>
      <c r="I105" s="2" t="str">
        <f t="shared" si="4"/>
        <v>0</v>
      </c>
    </row>
    <row r="106" spans="1:9" x14ac:dyDescent="0.2">
      <c r="A106" s="782" t="str">
        <f>FIXED('Balance N-1'!A106,0,1)</f>
        <v>0</v>
      </c>
      <c r="B106" s="494">
        <f>+'Balance N-1'!B106</f>
        <v>0</v>
      </c>
      <c r="C106" s="592">
        <f>ROUND('Balance N-1'!C106,2)</f>
        <v>0</v>
      </c>
      <c r="D106" s="592">
        <f>ROUND('Balance N-1'!D106,2)</f>
        <v>0</v>
      </c>
      <c r="E106" s="592">
        <f>ROUND('Balance N-1'!E106,2)</f>
        <v>0</v>
      </c>
      <c r="F106" s="592">
        <f>ROUND('Balance N-1'!F106,2)</f>
        <v>0</v>
      </c>
      <c r="G106" s="592">
        <f>ROUND('Balance N-1'!G106,2)</f>
        <v>0</v>
      </c>
      <c r="H106" s="592">
        <f>ROUND('Balance N-1'!H106,2)</f>
        <v>0</v>
      </c>
      <c r="I106" s="2" t="str">
        <f t="shared" si="4"/>
        <v>0</v>
      </c>
    </row>
    <row r="107" spans="1:9" x14ac:dyDescent="0.2">
      <c r="A107" s="782" t="str">
        <f>FIXED('Balance N-1'!A107,0,1)</f>
        <v>0</v>
      </c>
      <c r="B107" s="494">
        <f>+'Balance N-1'!B107</f>
        <v>0</v>
      </c>
      <c r="C107" s="592">
        <f>ROUND('Balance N-1'!C107,2)</f>
        <v>0</v>
      </c>
      <c r="D107" s="592">
        <f>ROUND('Balance N-1'!D107,2)</f>
        <v>0</v>
      </c>
      <c r="E107" s="592">
        <f>ROUND('Balance N-1'!E107,2)</f>
        <v>0</v>
      </c>
      <c r="F107" s="592">
        <f>ROUND('Balance N-1'!F107,2)</f>
        <v>0</v>
      </c>
      <c r="G107" s="592">
        <f>ROUND('Balance N-1'!G107,2)</f>
        <v>0</v>
      </c>
      <c r="H107" s="592">
        <f>ROUND('Balance N-1'!H107,2)</f>
        <v>0</v>
      </c>
      <c r="I107" s="2" t="str">
        <f t="shared" si="4"/>
        <v>0</v>
      </c>
    </row>
    <row r="108" spans="1:9" x14ac:dyDescent="0.2">
      <c r="A108" s="782" t="str">
        <f>FIXED('Balance N-1'!A108,0,1)</f>
        <v>0</v>
      </c>
      <c r="B108" s="494">
        <f>+'Balance N-1'!B108</f>
        <v>0</v>
      </c>
      <c r="C108" s="592">
        <f>ROUND('Balance N-1'!C108,2)</f>
        <v>0</v>
      </c>
      <c r="D108" s="592">
        <f>ROUND('Balance N-1'!D108,2)</f>
        <v>0</v>
      </c>
      <c r="E108" s="592">
        <f>ROUND('Balance N-1'!E108,2)</f>
        <v>0</v>
      </c>
      <c r="F108" s="592">
        <f>ROUND('Balance N-1'!F108,2)</f>
        <v>0</v>
      </c>
      <c r="G108" s="592">
        <f>ROUND('Balance N-1'!G108,2)</f>
        <v>0</v>
      </c>
      <c r="H108" s="592">
        <f>ROUND('Balance N-1'!H108,2)</f>
        <v>0</v>
      </c>
      <c r="I108" s="2" t="str">
        <f t="shared" si="4"/>
        <v>0</v>
      </c>
    </row>
    <row r="109" spans="1:9" x14ac:dyDescent="0.2">
      <c r="A109" s="782" t="str">
        <f>FIXED('Balance N-1'!A109,0,1)</f>
        <v>0</v>
      </c>
      <c r="B109" s="494">
        <f>+'Balance N-1'!B109</f>
        <v>0</v>
      </c>
      <c r="C109" s="592">
        <f>ROUND('Balance N-1'!C109,2)</f>
        <v>0</v>
      </c>
      <c r="D109" s="592">
        <f>ROUND('Balance N-1'!D109,2)</f>
        <v>0</v>
      </c>
      <c r="E109" s="592">
        <f>ROUND('Balance N-1'!E109,2)</f>
        <v>0</v>
      </c>
      <c r="F109" s="592">
        <f>ROUND('Balance N-1'!F109,2)</f>
        <v>0</v>
      </c>
      <c r="G109" s="592">
        <f>ROUND('Balance N-1'!G109,2)</f>
        <v>0</v>
      </c>
      <c r="H109" s="592">
        <f>ROUND('Balance N-1'!H109,2)</f>
        <v>0</v>
      </c>
      <c r="I109" s="2" t="str">
        <f t="shared" si="4"/>
        <v>0</v>
      </c>
    </row>
    <row r="110" spans="1:9" x14ac:dyDescent="0.2">
      <c r="A110" s="782" t="str">
        <f>FIXED('Balance N-1'!A110,0,1)</f>
        <v>0</v>
      </c>
      <c r="B110" s="494">
        <f>+'Balance N-1'!B110</f>
        <v>0</v>
      </c>
      <c r="C110" s="592">
        <f>ROUND('Balance N-1'!C110,2)</f>
        <v>0</v>
      </c>
      <c r="D110" s="592">
        <f>ROUND('Balance N-1'!D110,2)</f>
        <v>0</v>
      </c>
      <c r="E110" s="592">
        <f>ROUND('Balance N-1'!E110,2)</f>
        <v>0</v>
      </c>
      <c r="F110" s="592">
        <f>ROUND('Balance N-1'!F110,2)</f>
        <v>0</v>
      </c>
      <c r="G110" s="592">
        <f>ROUND('Balance N-1'!G110,2)</f>
        <v>0</v>
      </c>
      <c r="H110" s="592">
        <f>ROUND('Balance N-1'!H110,2)</f>
        <v>0</v>
      </c>
      <c r="I110" s="2" t="str">
        <f t="shared" si="4"/>
        <v>0</v>
      </c>
    </row>
    <row r="111" spans="1:9" x14ac:dyDescent="0.2">
      <c r="A111" s="782" t="str">
        <f>FIXED('Balance N-1'!A111,0,1)</f>
        <v>0</v>
      </c>
      <c r="B111" s="494">
        <f>+'Balance N-1'!B111</f>
        <v>0</v>
      </c>
      <c r="C111" s="592">
        <f>ROUND('Balance N-1'!C111,2)</f>
        <v>0</v>
      </c>
      <c r="D111" s="592">
        <f>ROUND('Balance N-1'!D111,2)</f>
        <v>0</v>
      </c>
      <c r="E111" s="592">
        <f>ROUND('Balance N-1'!E111,2)</f>
        <v>0</v>
      </c>
      <c r="F111" s="592">
        <f>ROUND('Balance N-1'!F111,2)</f>
        <v>0</v>
      </c>
      <c r="G111" s="592">
        <f>ROUND('Balance N-1'!G111,2)</f>
        <v>0</v>
      </c>
      <c r="H111" s="592">
        <f>ROUND('Balance N-1'!H111,2)</f>
        <v>0</v>
      </c>
      <c r="I111" s="2" t="str">
        <f t="shared" si="4"/>
        <v>0</v>
      </c>
    </row>
    <row r="112" spans="1:9" x14ac:dyDescent="0.2">
      <c r="A112" s="782" t="str">
        <f>FIXED('Balance N-1'!A112,0,1)</f>
        <v>0</v>
      </c>
      <c r="B112" s="494">
        <f>+'Balance N-1'!B112</f>
        <v>0</v>
      </c>
      <c r="C112" s="592">
        <f>ROUND('Balance N-1'!C112,2)</f>
        <v>0</v>
      </c>
      <c r="D112" s="592">
        <f>ROUND('Balance N-1'!D112,2)</f>
        <v>0</v>
      </c>
      <c r="E112" s="592">
        <f>ROUND('Balance N-1'!E112,2)</f>
        <v>0</v>
      </c>
      <c r="F112" s="592">
        <f>ROUND('Balance N-1'!F112,2)</f>
        <v>0</v>
      </c>
      <c r="G112" s="592">
        <f>ROUND('Balance N-1'!G112,2)</f>
        <v>0</v>
      </c>
      <c r="H112" s="592">
        <f>ROUND('Balance N-1'!H112,2)</f>
        <v>0</v>
      </c>
      <c r="I112" s="2" t="str">
        <f t="shared" si="4"/>
        <v>0</v>
      </c>
    </row>
    <row r="113" spans="1:9" x14ac:dyDescent="0.2">
      <c r="A113" s="782" t="str">
        <f>FIXED('Balance N-1'!A113,0,1)</f>
        <v>0</v>
      </c>
      <c r="B113" s="494">
        <f>+'Balance N-1'!B113</f>
        <v>0</v>
      </c>
      <c r="C113" s="592">
        <f>ROUND('Balance N-1'!C113,2)</f>
        <v>0</v>
      </c>
      <c r="D113" s="592">
        <f>ROUND('Balance N-1'!D113,2)</f>
        <v>0</v>
      </c>
      <c r="E113" s="592">
        <f>ROUND('Balance N-1'!E113,2)</f>
        <v>0</v>
      </c>
      <c r="F113" s="592">
        <f>ROUND('Balance N-1'!F113,2)</f>
        <v>0</v>
      </c>
      <c r="G113" s="592">
        <f>ROUND('Balance N-1'!G113,2)</f>
        <v>0</v>
      </c>
      <c r="H113" s="592">
        <f>ROUND('Balance N-1'!H113,2)</f>
        <v>0</v>
      </c>
      <c r="I113" s="2" t="str">
        <f t="shared" si="4"/>
        <v>0</v>
      </c>
    </row>
    <row r="114" spans="1:9" x14ac:dyDescent="0.2">
      <c r="A114" s="782" t="str">
        <f>FIXED('Balance N-1'!A114,0,1)</f>
        <v>0</v>
      </c>
      <c r="B114" s="494">
        <f>+'Balance N-1'!B114</f>
        <v>0</v>
      </c>
      <c r="C114" s="592">
        <f>ROUND('Balance N-1'!C114,2)</f>
        <v>0</v>
      </c>
      <c r="D114" s="592">
        <f>ROUND('Balance N-1'!D114,2)</f>
        <v>0</v>
      </c>
      <c r="E114" s="592">
        <f>ROUND('Balance N-1'!E114,2)</f>
        <v>0</v>
      </c>
      <c r="F114" s="592">
        <f>ROUND('Balance N-1'!F114,2)</f>
        <v>0</v>
      </c>
      <c r="G114" s="592">
        <f>ROUND('Balance N-1'!G114,2)</f>
        <v>0</v>
      </c>
      <c r="H114" s="592">
        <f>ROUND('Balance N-1'!H114,2)</f>
        <v>0</v>
      </c>
      <c r="I114" s="2" t="str">
        <f t="shared" si="4"/>
        <v>0</v>
      </c>
    </row>
    <row r="115" spans="1:9" x14ac:dyDescent="0.2">
      <c r="A115" s="782" t="str">
        <f>FIXED('Balance N-1'!A115,0,1)</f>
        <v>0</v>
      </c>
      <c r="B115" s="494">
        <f>+'Balance N-1'!B115</f>
        <v>0</v>
      </c>
      <c r="C115" s="592">
        <f>ROUND('Balance N-1'!C115,2)</f>
        <v>0</v>
      </c>
      <c r="D115" s="592">
        <f>ROUND('Balance N-1'!D115,2)</f>
        <v>0</v>
      </c>
      <c r="E115" s="592">
        <f>ROUND('Balance N-1'!E115,2)</f>
        <v>0</v>
      </c>
      <c r="F115" s="592">
        <f>ROUND('Balance N-1'!F115,2)</f>
        <v>0</v>
      </c>
      <c r="G115" s="592">
        <f>ROUND('Balance N-1'!G115,2)</f>
        <v>0</v>
      </c>
      <c r="H115" s="592">
        <f>ROUND('Balance N-1'!H115,2)</f>
        <v>0</v>
      </c>
      <c r="I115" s="2" t="str">
        <f t="shared" si="4"/>
        <v>0</v>
      </c>
    </row>
    <row r="116" spans="1:9" x14ac:dyDescent="0.2">
      <c r="A116" s="782" t="str">
        <f>FIXED('Balance N-1'!A116,0,1)</f>
        <v>0</v>
      </c>
      <c r="B116" s="494">
        <f>+'Balance N-1'!B116</f>
        <v>0</v>
      </c>
      <c r="C116" s="592">
        <f>ROUND('Balance N-1'!C116,2)</f>
        <v>0</v>
      </c>
      <c r="D116" s="592">
        <f>ROUND('Balance N-1'!D116,2)</f>
        <v>0</v>
      </c>
      <c r="E116" s="592">
        <f>ROUND('Balance N-1'!E116,2)</f>
        <v>0</v>
      </c>
      <c r="F116" s="592">
        <f>ROUND('Balance N-1'!F116,2)</f>
        <v>0</v>
      </c>
      <c r="G116" s="592">
        <f>ROUND('Balance N-1'!G116,2)</f>
        <v>0</v>
      </c>
      <c r="H116" s="592">
        <f>ROUND('Balance N-1'!H116,2)</f>
        <v>0</v>
      </c>
      <c r="I116" s="2" t="str">
        <f t="shared" si="4"/>
        <v>0</v>
      </c>
    </row>
    <row r="117" spans="1:9" x14ac:dyDescent="0.2">
      <c r="A117" s="782" t="str">
        <f>FIXED('Balance N-1'!A117,0,1)</f>
        <v>0</v>
      </c>
      <c r="B117" s="494">
        <f>+'Balance N-1'!B117</f>
        <v>0</v>
      </c>
      <c r="C117" s="592">
        <f>ROUND('Balance N-1'!C117,2)</f>
        <v>0</v>
      </c>
      <c r="D117" s="592">
        <f>ROUND('Balance N-1'!D117,2)</f>
        <v>0</v>
      </c>
      <c r="E117" s="592">
        <f>ROUND('Balance N-1'!E117,2)</f>
        <v>0</v>
      </c>
      <c r="F117" s="592">
        <f>ROUND('Balance N-1'!F117,2)</f>
        <v>0</v>
      </c>
      <c r="G117" s="592">
        <f>ROUND('Balance N-1'!G117,2)</f>
        <v>0</v>
      </c>
      <c r="H117" s="592">
        <f>ROUND('Balance N-1'!H117,2)</f>
        <v>0</v>
      </c>
      <c r="I117" s="2" t="str">
        <f t="shared" si="4"/>
        <v>0</v>
      </c>
    </row>
    <row r="118" spans="1:9" x14ac:dyDescent="0.2">
      <c r="A118" s="782" t="str">
        <f>FIXED('Balance N-1'!A118,0,1)</f>
        <v>0</v>
      </c>
      <c r="B118" s="494">
        <f>+'Balance N-1'!B118</f>
        <v>0</v>
      </c>
      <c r="C118" s="592">
        <f>ROUND('Balance N-1'!C118,2)</f>
        <v>0</v>
      </c>
      <c r="D118" s="592">
        <f>ROUND('Balance N-1'!D118,2)</f>
        <v>0</v>
      </c>
      <c r="E118" s="592">
        <f>ROUND('Balance N-1'!E118,2)</f>
        <v>0</v>
      </c>
      <c r="F118" s="592">
        <f>ROUND('Balance N-1'!F118,2)</f>
        <v>0</v>
      </c>
      <c r="G118" s="592">
        <f>ROUND('Balance N-1'!G118,2)</f>
        <v>0</v>
      </c>
      <c r="H118" s="592">
        <f>ROUND('Balance N-1'!H118,2)</f>
        <v>0</v>
      </c>
      <c r="I118" s="2" t="str">
        <f t="shared" si="4"/>
        <v>0</v>
      </c>
    </row>
    <row r="119" spans="1:9" x14ac:dyDescent="0.2">
      <c r="A119" s="782" t="str">
        <f>FIXED('Balance N-1'!A119,0,1)</f>
        <v>0</v>
      </c>
      <c r="B119" s="494">
        <f>+'Balance N-1'!B119</f>
        <v>0</v>
      </c>
      <c r="C119" s="592">
        <f>ROUND('Balance N-1'!C119,2)</f>
        <v>0</v>
      </c>
      <c r="D119" s="592">
        <f>ROUND('Balance N-1'!D119,2)</f>
        <v>0</v>
      </c>
      <c r="E119" s="592">
        <f>ROUND('Balance N-1'!E119,2)</f>
        <v>0</v>
      </c>
      <c r="F119" s="592">
        <f>ROUND('Balance N-1'!F119,2)</f>
        <v>0</v>
      </c>
      <c r="G119" s="592">
        <f>ROUND('Balance N-1'!G119,2)</f>
        <v>0</v>
      </c>
      <c r="H119" s="592">
        <f>ROUND('Balance N-1'!H119,2)</f>
        <v>0</v>
      </c>
      <c r="I119" s="2" t="str">
        <f t="shared" si="4"/>
        <v>0</v>
      </c>
    </row>
    <row r="120" spans="1:9" x14ac:dyDescent="0.2">
      <c r="A120" s="782" t="str">
        <f>FIXED('Balance N-1'!A120,0,1)</f>
        <v>0</v>
      </c>
      <c r="B120" s="494">
        <f>+'Balance N-1'!B120</f>
        <v>0</v>
      </c>
      <c r="C120" s="592">
        <f>ROUND('Balance N-1'!C120,2)</f>
        <v>0</v>
      </c>
      <c r="D120" s="592">
        <f>ROUND('Balance N-1'!D120,2)</f>
        <v>0</v>
      </c>
      <c r="E120" s="592">
        <f>ROUND('Balance N-1'!E120,2)</f>
        <v>0</v>
      </c>
      <c r="F120" s="592">
        <f>ROUND('Balance N-1'!F120,2)</f>
        <v>0</v>
      </c>
      <c r="G120" s="592">
        <f>ROUND('Balance N-1'!G120,2)</f>
        <v>0</v>
      </c>
      <c r="H120" s="592">
        <f>ROUND('Balance N-1'!H120,2)</f>
        <v>0</v>
      </c>
      <c r="I120" s="2" t="str">
        <f t="shared" si="4"/>
        <v>0</v>
      </c>
    </row>
    <row r="121" spans="1:9" x14ac:dyDescent="0.2">
      <c r="A121" s="782" t="str">
        <f>FIXED('Balance N-1'!A121,0,1)</f>
        <v>0</v>
      </c>
      <c r="B121" s="494">
        <f>+'Balance N-1'!B121</f>
        <v>0</v>
      </c>
      <c r="C121" s="592">
        <f>ROUND('Balance N-1'!C121,2)</f>
        <v>0</v>
      </c>
      <c r="D121" s="592">
        <f>ROUND('Balance N-1'!D121,2)</f>
        <v>0</v>
      </c>
      <c r="E121" s="592">
        <f>ROUND('Balance N-1'!E121,2)</f>
        <v>0</v>
      </c>
      <c r="F121" s="592">
        <f>ROUND('Balance N-1'!F121,2)</f>
        <v>0</v>
      </c>
      <c r="G121" s="592">
        <f>ROUND('Balance N-1'!G121,2)</f>
        <v>0</v>
      </c>
      <c r="H121" s="592">
        <f>ROUND('Balance N-1'!H121,2)</f>
        <v>0</v>
      </c>
      <c r="I121" s="2" t="str">
        <f t="shared" si="4"/>
        <v>0</v>
      </c>
    </row>
    <row r="122" spans="1:9" x14ac:dyDescent="0.2">
      <c r="A122" s="782" t="str">
        <f>FIXED('Balance N-1'!A122,0,1)</f>
        <v>0</v>
      </c>
      <c r="B122" s="494">
        <f>+'Balance N-1'!B122</f>
        <v>0</v>
      </c>
      <c r="C122" s="592">
        <f>ROUND('Balance N-1'!C122,2)</f>
        <v>0</v>
      </c>
      <c r="D122" s="592">
        <f>ROUND('Balance N-1'!D122,2)</f>
        <v>0</v>
      </c>
      <c r="E122" s="592">
        <f>ROUND('Balance N-1'!E122,2)</f>
        <v>0</v>
      </c>
      <c r="F122" s="592">
        <f>ROUND('Balance N-1'!F122,2)</f>
        <v>0</v>
      </c>
      <c r="G122" s="592">
        <f>ROUND('Balance N-1'!G122,2)</f>
        <v>0</v>
      </c>
      <c r="H122" s="592">
        <f>ROUND('Balance N-1'!H122,2)</f>
        <v>0</v>
      </c>
      <c r="I122" s="2" t="str">
        <f t="shared" si="4"/>
        <v>0</v>
      </c>
    </row>
    <row r="123" spans="1:9" x14ac:dyDescent="0.2">
      <c r="A123" s="782" t="str">
        <f>FIXED('Balance N-1'!A123,0,1)</f>
        <v>0</v>
      </c>
      <c r="B123" s="494">
        <f>+'Balance N-1'!B123</f>
        <v>0</v>
      </c>
      <c r="C123" s="592">
        <f>ROUND('Balance N-1'!C123,2)</f>
        <v>0</v>
      </c>
      <c r="D123" s="592">
        <f>ROUND('Balance N-1'!D123,2)</f>
        <v>0</v>
      </c>
      <c r="E123" s="592">
        <f>ROUND('Balance N-1'!E123,2)</f>
        <v>0</v>
      </c>
      <c r="F123" s="592">
        <f>ROUND('Balance N-1'!F123,2)</f>
        <v>0</v>
      </c>
      <c r="G123" s="592">
        <f>ROUND('Balance N-1'!G123,2)</f>
        <v>0</v>
      </c>
      <c r="H123" s="592">
        <f>ROUND('Balance N-1'!H123,2)</f>
        <v>0</v>
      </c>
      <c r="I123" s="2" t="str">
        <f t="shared" si="4"/>
        <v>0</v>
      </c>
    </row>
    <row r="124" spans="1:9" x14ac:dyDescent="0.2">
      <c r="A124" s="782" t="str">
        <f>FIXED('Balance N-1'!A124,0,1)</f>
        <v>0</v>
      </c>
      <c r="B124" s="494">
        <f>+'Balance N-1'!B124</f>
        <v>0</v>
      </c>
      <c r="C124" s="592">
        <f>ROUND('Balance N-1'!C124,2)</f>
        <v>0</v>
      </c>
      <c r="D124" s="592">
        <f>ROUND('Balance N-1'!D124,2)</f>
        <v>0</v>
      </c>
      <c r="E124" s="592">
        <f>ROUND('Balance N-1'!E124,2)</f>
        <v>0</v>
      </c>
      <c r="F124" s="592">
        <f>ROUND('Balance N-1'!F124,2)</f>
        <v>0</v>
      </c>
      <c r="G124" s="592">
        <f>ROUND('Balance N-1'!G124,2)</f>
        <v>0</v>
      </c>
      <c r="H124" s="592">
        <f>ROUND('Balance N-1'!H124,2)</f>
        <v>0</v>
      </c>
      <c r="I124" s="2" t="str">
        <f t="shared" si="4"/>
        <v>0</v>
      </c>
    </row>
    <row r="125" spans="1:9" x14ac:dyDescent="0.2">
      <c r="A125" s="782" t="str">
        <f>FIXED('Balance N-1'!A125,0,1)</f>
        <v>0</v>
      </c>
      <c r="B125" s="494">
        <f>+'Balance N-1'!B125</f>
        <v>0</v>
      </c>
      <c r="C125" s="592">
        <f>ROUND('Balance N-1'!C125,2)</f>
        <v>0</v>
      </c>
      <c r="D125" s="592">
        <f>ROUND('Balance N-1'!D125,2)</f>
        <v>0</v>
      </c>
      <c r="E125" s="592">
        <f>ROUND('Balance N-1'!E125,2)</f>
        <v>0</v>
      </c>
      <c r="F125" s="592">
        <f>ROUND('Balance N-1'!F125,2)</f>
        <v>0</v>
      </c>
      <c r="G125" s="592">
        <f>ROUND('Balance N-1'!G125,2)</f>
        <v>0</v>
      </c>
      <c r="H125" s="592">
        <f>ROUND('Balance N-1'!H125,2)</f>
        <v>0</v>
      </c>
      <c r="I125" s="2" t="str">
        <f t="shared" si="4"/>
        <v>0</v>
      </c>
    </row>
    <row r="126" spans="1:9" x14ac:dyDescent="0.2">
      <c r="A126" s="782" t="str">
        <f>FIXED('Balance N-1'!A126,0,1)</f>
        <v>0</v>
      </c>
      <c r="B126" s="494">
        <f>+'Balance N-1'!B126</f>
        <v>0</v>
      </c>
      <c r="C126" s="592">
        <f>ROUND('Balance N-1'!C126,2)</f>
        <v>0</v>
      </c>
      <c r="D126" s="592">
        <f>ROUND('Balance N-1'!D126,2)</f>
        <v>0</v>
      </c>
      <c r="E126" s="592">
        <f>ROUND('Balance N-1'!E126,2)</f>
        <v>0</v>
      </c>
      <c r="F126" s="592">
        <f>ROUND('Balance N-1'!F126,2)</f>
        <v>0</v>
      </c>
      <c r="G126" s="592">
        <f>ROUND('Balance N-1'!G126,2)</f>
        <v>0</v>
      </c>
      <c r="H126" s="592">
        <f>ROUND('Balance N-1'!H126,2)</f>
        <v>0</v>
      </c>
      <c r="I126" s="2" t="str">
        <f t="shared" si="4"/>
        <v>0</v>
      </c>
    </row>
    <row r="127" spans="1:9" x14ac:dyDescent="0.2">
      <c r="A127" s="782" t="str">
        <f>FIXED('Balance N-1'!A127,0,1)</f>
        <v>0</v>
      </c>
      <c r="B127" s="494">
        <f>+'Balance N-1'!B127</f>
        <v>0</v>
      </c>
      <c r="C127" s="592">
        <f>ROUND('Balance N-1'!C127,2)</f>
        <v>0</v>
      </c>
      <c r="D127" s="592">
        <f>ROUND('Balance N-1'!D127,2)</f>
        <v>0</v>
      </c>
      <c r="E127" s="592">
        <f>ROUND('Balance N-1'!E127,2)</f>
        <v>0</v>
      </c>
      <c r="F127" s="592">
        <f>ROUND('Balance N-1'!F127,2)</f>
        <v>0</v>
      </c>
      <c r="G127" s="592">
        <f>ROUND('Balance N-1'!G127,2)</f>
        <v>0</v>
      </c>
      <c r="H127" s="592">
        <f>ROUND('Balance N-1'!H127,2)</f>
        <v>0</v>
      </c>
      <c r="I127" s="2" t="str">
        <f t="shared" si="4"/>
        <v>0</v>
      </c>
    </row>
    <row r="128" spans="1:9" x14ac:dyDescent="0.2">
      <c r="A128" s="782" t="str">
        <f>FIXED('Balance N-1'!A128,0,1)</f>
        <v>0</v>
      </c>
      <c r="B128" s="494">
        <f>+'Balance N-1'!B128</f>
        <v>0</v>
      </c>
      <c r="C128" s="592">
        <f>ROUND('Balance N-1'!C128,2)</f>
        <v>0</v>
      </c>
      <c r="D128" s="592">
        <f>ROUND('Balance N-1'!D128,2)</f>
        <v>0</v>
      </c>
      <c r="E128" s="592">
        <f>ROUND('Balance N-1'!E128,2)</f>
        <v>0</v>
      </c>
      <c r="F128" s="592">
        <f>ROUND('Balance N-1'!F128,2)</f>
        <v>0</v>
      </c>
      <c r="G128" s="592">
        <f>ROUND('Balance N-1'!G128,2)</f>
        <v>0</v>
      </c>
      <c r="H128" s="592">
        <f>ROUND('Balance N-1'!H128,2)</f>
        <v>0</v>
      </c>
      <c r="I128" s="2" t="str">
        <f t="shared" si="4"/>
        <v>0</v>
      </c>
    </row>
    <row r="129" spans="1:9" x14ac:dyDescent="0.2">
      <c r="A129" s="782" t="str">
        <f>FIXED('Balance N-1'!A129,0,1)</f>
        <v>0</v>
      </c>
      <c r="B129" s="494">
        <f>+'Balance N-1'!B129</f>
        <v>0</v>
      </c>
      <c r="C129" s="592">
        <f>ROUND('Balance N-1'!C129,2)</f>
        <v>0</v>
      </c>
      <c r="D129" s="592">
        <f>ROUND('Balance N-1'!D129,2)</f>
        <v>0</v>
      </c>
      <c r="E129" s="592">
        <f>ROUND('Balance N-1'!E129,2)</f>
        <v>0</v>
      </c>
      <c r="F129" s="592">
        <f>ROUND('Balance N-1'!F129,2)</f>
        <v>0</v>
      </c>
      <c r="G129" s="592">
        <f>ROUND('Balance N-1'!G129,2)</f>
        <v>0</v>
      </c>
      <c r="H129" s="592">
        <f>ROUND('Balance N-1'!H129,2)</f>
        <v>0</v>
      </c>
      <c r="I129" s="2" t="str">
        <f t="shared" si="4"/>
        <v>0</v>
      </c>
    </row>
    <row r="130" spans="1:9" x14ac:dyDescent="0.2">
      <c r="A130" s="782" t="str">
        <f>FIXED('Balance N-1'!A130,0,1)</f>
        <v>0</v>
      </c>
      <c r="B130" s="494">
        <f>+'Balance N-1'!B130</f>
        <v>0</v>
      </c>
      <c r="C130" s="592">
        <f>ROUND('Balance N-1'!C130,2)</f>
        <v>0</v>
      </c>
      <c r="D130" s="592">
        <f>ROUND('Balance N-1'!D130,2)</f>
        <v>0</v>
      </c>
      <c r="E130" s="592">
        <f>ROUND('Balance N-1'!E130,2)</f>
        <v>0</v>
      </c>
      <c r="F130" s="592">
        <f>ROUND('Balance N-1'!F130,2)</f>
        <v>0</v>
      </c>
      <c r="G130" s="592">
        <f>ROUND('Balance N-1'!G130,2)</f>
        <v>0</v>
      </c>
      <c r="H130" s="592">
        <f>ROUND('Balance N-1'!H130,2)</f>
        <v>0</v>
      </c>
      <c r="I130" s="2" t="str">
        <f t="shared" si="4"/>
        <v>0</v>
      </c>
    </row>
    <row r="131" spans="1:9" x14ac:dyDescent="0.2">
      <c r="A131" s="782" t="str">
        <f>FIXED('Balance N-1'!A131,0,1)</f>
        <v>0</v>
      </c>
      <c r="B131" s="494">
        <f>+'Balance N-1'!B131</f>
        <v>0</v>
      </c>
      <c r="C131" s="592">
        <f>ROUND('Balance N-1'!C131,2)</f>
        <v>0</v>
      </c>
      <c r="D131" s="592">
        <f>ROUND('Balance N-1'!D131,2)</f>
        <v>0</v>
      </c>
      <c r="E131" s="592">
        <f>ROUND('Balance N-1'!E131,2)</f>
        <v>0</v>
      </c>
      <c r="F131" s="592">
        <f>ROUND('Balance N-1'!F131,2)</f>
        <v>0</v>
      </c>
      <c r="G131" s="592">
        <f>ROUND('Balance N-1'!G131,2)</f>
        <v>0</v>
      </c>
      <c r="H131" s="592">
        <f>ROUND('Balance N-1'!H131,2)</f>
        <v>0</v>
      </c>
      <c r="I131" s="2" t="str">
        <f t="shared" ref="I131:I194" si="5">MID(A131,1,1)</f>
        <v>0</v>
      </c>
    </row>
    <row r="132" spans="1:9" x14ac:dyDescent="0.2">
      <c r="A132" s="782" t="str">
        <f>FIXED('Balance N-1'!A132,0,1)</f>
        <v>0</v>
      </c>
      <c r="B132" s="494">
        <f>+'Balance N-1'!B132</f>
        <v>0</v>
      </c>
      <c r="C132" s="592">
        <f>ROUND('Balance N-1'!C132,2)</f>
        <v>0</v>
      </c>
      <c r="D132" s="592">
        <f>ROUND('Balance N-1'!D132,2)</f>
        <v>0</v>
      </c>
      <c r="E132" s="592">
        <f>ROUND('Balance N-1'!E132,2)</f>
        <v>0</v>
      </c>
      <c r="F132" s="592">
        <f>ROUND('Balance N-1'!F132,2)</f>
        <v>0</v>
      </c>
      <c r="G132" s="592">
        <f>ROUND('Balance N-1'!G132,2)</f>
        <v>0</v>
      </c>
      <c r="H132" s="592">
        <f>ROUND('Balance N-1'!H132,2)</f>
        <v>0</v>
      </c>
      <c r="I132" s="2" t="str">
        <f t="shared" si="5"/>
        <v>0</v>
      </c>
    </row>
    <row r="133" spans="1:9" x14ac:dyDescent="0.2">
      <c r="A133" s="782" t="str">
        <f>FIXED('Balance N-1'!A133,0,1)</f>
        <v>0</v>
      </c>
      <c r="B133" s="494">
        <f>+'Balance N-1'!B133</f>
        <v>0</v>
      </c>
      <c r="C133" s="592">
        <f>ROUND('Balance N-1'!C133,2)</f>
        <v>0</v>
      </c>
      <c r="D133" s="592">
        <f>ROUND('Balance N-1'!D133,2)</f>
        <v>0</v>
      </c>
      <c r="E133" s="592">
        <f>ROUND('Balance N-1'!E133,2)</f>
        <v>0</v>
      </c>
      <c r="F133" s="592">
        <f>ROUND('Balance N-1'!F133,2)</f>
        <v>0</v>
      </c>
      <c r="G133" s="592">
        <f>ROUND('Balance N-1'!G133,2)</f>
        <v>0</v>
      </c>
      <c r="H133" s="592">
        <f>ROUND('Balance N-1'!H133,2)</f>
        <v>0</v>
      </c>
      <c r="I133" s="2" t="str">
        <f t="shared" si="5"/>
        <v>0</v>
      </c>
    </row>
    <row r="134" spans="1:9" x14ac:dyDescent="0.2">
      <c r="A134" s="782" t="str">
        <f>FIXED('Balance N-1'!A134,0,1)</f>
        <v>0</v>
      </c>
      <c r="B134" s="494">
        <f>+'Balance N-1'!B134</f>
        <v>0</v>
      </c>
      <c r="C134" s="592">
        <f>ROUND('Balance N-1'!C134,2)</f>
        <v>0</v>
      </c>
      <c r="D134" s="592">
        <f>ROUND('Balance N-1'!D134,2)</f>
        <v>0</v>
      </c>
      <c r="E134" s="592">
        <f>ROUND('Balance N-1'!E134,2)</f>
        <v>0</v>
      </c>
      <c r="F134" s="592">
        <f>ROUND('Balance N-1'!F134,2)</f>
        <v>0</v>
      </c>
      <c r="G134" s="592">
        <f>ROUND('Balance N-1'!G134,2)</f>
        <v>0</v>
      </c>
      <c r="H134" s="592">
        <f>ROUND('Balance N-1'!H134,2)</f>
        <v>0</v>
      </c>
      <c r="I134" s="2" t="str">
        <f t="shared" si="5"/>
        <v>0</v>
      </c>
    </row>
    <row r="135" spans="1:9" x14ac:dyDescent="0.2">
      <c r="A135" s="782" t="str">
        <f>FIXED('Balance N-1'!A135,0,1)</f>
        <v>0</v>
      </c>
      <c r="B135" s="494">
        <f>+'Balance N-1'!B135</f>
        <v>0</v>
      </c>
      <c r="C135" s="592">
        <f>ROUND('Balance N-1'!C135,2)</f>
        <v>0</v>
      </c>
      <c r="D135" s="592">
        <f>ROUND('Balance N-1'!D135,2)</f>
        <v>0</v>
      </c>
      <c r="E135" s="592">
        <f>ROUND('Balance N-1'!E135,2)</f>
        <v>0</v>
      </c>
      <c r="F135" s="592">
        <f>ROUND('Balance N-1'!F135,2)</f>
        <v>0</v>
      </c>
      <c r="G135" s="592">
        <f>ROUND('Balance N-1'!G135,2)</f>
        <v>0</v>
      </c>
      <c r="H135" s="592">
        <f>ROUND('Balance N-1'!H135,2)</f>
        <v>0</v>
      </c>
      <c r="I135" s="2" t="str">
        <f t="shared" si="5"/>
        <v>0</v>
      </c>
    </row>
    <row r="136" spans="1:9" x14ac:dyDescent="0.2">
      <c r="A136" s="782" t="str">
        <f>FIXED('Balance N-1'!A136,0,1)</f>
        <v>0</v>
      </c>
      <c r="B136" s="494">
        <f>+'Balance N-1'!B136</f>
        <v>0</v>
      </c>
      <c r="C136" s="592">
        <f>ROUND('Balance N-1'!C136,2)</f>
        <v>0</v>
      </c>
      <c r="D136" s="592">
        <f>ROUND('Balance N-1'!D136,2)</f>
        <v>0</v>
      </c>
      <c r="E136" s="592">
        <f>ROUND('Balance N-1'!E136,2)</f>
        <v>0</v>
      </c>
      <c r="F136" s="592">
        <f>ROUND('Balance N-1'!F136,2)</f>
        <v>0</v>
      </c>
      <c r="G136" s="592">
        <f>ROUND('Balance N-1'!G136,2)</f>
        <v>0</v>
      </c>
      <c r="H136" s="592">
        <f>ROUND('Balance N-1'!H136,2)</f>
        <v>0</v>
      </c>
      <c r="I136" s="2" t="str">
        <f t="shared" si="5"/>
        <v>0</v>
      </c>
    </row>
    <row r="137" spans="1:9" x14ac:dyDescent="0.2">
      <c r="A137" s="782" t="str">
        <f>FIXED('Balance N-1'!A137,0,1)</f>
        <v>0</v>
      </c>
      <c r="B137" s="494">
        <f>+'Balance N-1'!B137</f>
        <v>0</v>
      </c>
      <c r="C137" s="592">
        <f>ROUND('Balance N-1'!C137,2)</f>
        <v>0</v>
      </c>
      <c r="D137" s="592">
        <f>ROUND('Balance N-1'!D137,2)</f>
        <v>0</v>
      </c>
      <c r="E137" s="592">
        <f>ROUND('Balance N-1'!E137,2)</f>
        <v>0</v>
      </c>
      <c r="F137" s="592">
        <f>ROUND('Balance N-1'!F137,2)</f>
        <v>0</v>
      </c>
      <c r="G137" s="592">
        <f>ROUND('Balance N-1'!G137,2)</f>
        <v>0</v>
      </c>
      <c r="H137" s="592">
        <f>ROUND('Balance N-1'!H137,2)</f>
        <v>0</v>
      </c>
      <c r="I137" s="2" t="str">
        <f t="shared" si="5"/>
        <v>0</v>
      </c>
    </row>
    <row r="138" spans="1:9" x14ac:dyDescent="0.2">
      <c r="A138" s="782" t="str">
        <f>FIXED('Balance N-1'!A138,0,1)</f>
        <v>0</v>
      </c>
      <c r="B138" s="494">
        <f>+'Balance N-1'!B138</f>
        <v>0</v>
      </c>
      <c r="C138" s="592">
        <f>ROUND('Balance N-1'!C138,2)</f>
        <v>0</v>
      </c>
      <c r="D138" s="592">
        <f>ROUND('Balance N-1'!D138,2)</f>
        <v>0</v>
      </c>
      <c r="E138" s="592">
        <f>ROUND('Balance N-1'!E138,2)</f>
        <v>0</v>
      </c>
      <c r="F138" s="592">
        <f>ROUND('Balance N-1'!F138,2)</f>
        <v>0</v>
      </c>
      <c r="G138" s="592">
        <f>ROUND('Balance N-1'!G138,2)</f>
        <v>0</v>
      </c>
      <c r="H138" s="592">
        <f>ROUND('Balance N-1'!H138,2)</f>
        <v>0</v>
      </c>
      <c r="I138" s="2" t="str">
        <f t="shared" si="5"/>
        <v>0</v>
      </c>
    </row>
    <row r="139" spans="1:9" x14ac:dyDescent="0.2">
      <c r="A139" s="782" t="str">
        <f>FIXED('Balance N-1'!A139,0,1)</f>
        <v>0</v>
      </c>
      <c r="B139" s="494">
        <f>+'Balance N-1'!B139</f>
        <v>0</v>
      </c>
      <c r="C139" s="592">
        <f>ROUND('Balance N-1'!C139,2)</f>
        <v>0</v>
      </c>
      <c r="D139" s="592">
        <f>ROUND('Balance N-1'!D139,2)</f>
        <v>0</v>
      </c>
      <c r="E139" s="592">
        <f>ROUND('Balance N-1'!E139,2)</f>
        <v>0</v>
      </c>
      <c r="F139" s="592">
        <f>ROUND('Balance N-1'!F139,2)</f>
        <v>0</v>
      </c>
      <c r="G139" s="592">
        <f>ROUND('Balance N-1'!G139,2)</f>
        <v>0</v>
      </c>
      <c r="H139" s="592">
        <f>ROUND('Balance N-1'!H139,2)</f>
        <v>0</v>
      </c>
      <c r="I139" s="2" t="str">
        <f t="shared" si="5"/>
        <v>0</v>
      </c>
    </row>
    <row r="140" spans="1:9" x14ac:dyDescent="0.2">
      <c r="A140" s="782" t="str">
        <f>FIXED('Balance N-1'!A140,0,1)</f>
        <v>0</v>
      </c>
      <c r="B140" s="494">
        <f>+'Balance N-1'!B140</f>
        <v>0</v>
      </c>
      <c r="C140" s="592">
        <f>ROUND('Balance N-1'!C140,2)</f>
        <v>0</v>
      </c>
      <c r="D140" s="592">
        <f>ROUND('Balance N-1'!D140,2)</f>
        <v>0</v>
      </c>
      <c r="E140" s="592">
        <f>ROUND('Balance N-1'!E140,2)</f>
        <v>0</v>
      </c>
      <c r="F140" s="592">
        <f>ROUND('Balance N-1'!F140,2)</f>
        <v>0</v>
      </c>
      <c r="G140" s="592">
        <f>ROUND('Balance N-1'!G140,2)</f>
        <v>0</v>
      </c>
      <c r="H140" s="592">
        <f>ROUND('Balance N-1'!H140,2)</f>
        <v>0</v>
      </c>
      <c r="I140" s="2" t="str">
        <f t="shared" si="5"/>
        <v>0</v>
      </c>
    </row>
    <row r="141" spans="1:9" x14ac:dyDescent="0.2">
      <c r="A141" s="782" t="str">
        <f>FIXED('Balance N-1'!A141,0,1)</f>
        <v>0</v>
      </c>
      <c r="B141" s="494">
        <f>+'Balance N-1'!B141</f>
        <v>0</v>
      </c>
      <c r="C141" s="592">
        <f>ROUND('Balance N-1'!C141,2)</f>
        <v>0</v>
      </c>
      <c r="D141" s="592">
        <f>ROUND('Balance N-1'!D141,2)</f>
        <v>0</v>
      </c>
      <c r="E141" s="592">
        <f>ROUND('Balance N-1'!E141,2)</f>
        <v>0</v>
      </c>
      <c r="F141" s="592">
        <f>ROUND('Balance N-1'!F141,2)</f>
        <v>0</v>
      </c>
      <c r="G141" s="592">
        <f>ROUND('Balance N-1'!G141,2)</f>
        <v>0</v>
      </c>
      <c r="H141" s="592">
        <f>ROUND('Balance N-1'!H141,2)</f>
        <v>0</v>
      </c>
      <c r="I141" s="2" t="str">
        <f t="shared" si="5"/>
        <v>0</v>
      </c>
    </row>
    <row r="142" spans="1:9" x14ac:dyDescent="0.2">
      <c r="A142" s="782" t="str">
        <f>FIXED('Balance N-1'!A142,0,1)</f>
        <v>0</v>
      </c>
      <c r="B142" s="494">
        <f>+'Balance N-1'!B142</f>
        <v>0</v>
      </c>
      <c r="C142" s="592">
        <f>ROUND('Balance N-1'!C142,2)</f>
        <v>0</v>
      </c>
      <c r="D142" s="592">
        <f>ROUND('Balance N-1'!D142,2)</f>
        <v>0</v>
      </c>
      <c r="E142" s="592">
        <f>ROUND('Balance N-1'!E142,2)</f>
        <v>0</v>
      </c>
      <c r="F142" s="592">
        <f>ROUND('Balance N-1'!F142,2)</f>
        <v>0</v>
      </c>
      <c r="G142" s="592">
        <f>ROUND('Balance N-1'!G142,2)</f>
        <v>0</v>
      </c>
      <c r="H142" s="592">
        <f>ROUND('Balance N-1'!H142,2)</f>
        <v>0</v>
      </c>
      <c r="I142" s="2" t="str">
        <f t="shared" si="5"/>
        <v>0</v>
      </c>
    </row>
    <row r="143" spans="1:9" x14ac:dyDescent="0.2">
      <c r="A143" s="782" t="str">
        <f>FIXED('Balance N-1'!A143,0,1)</f>
        <v>0</v>
      </c>
      <c r="B143" s="494">
        <f>+'Balance N-1'!B143</f>
        <v>0</v>
      </c>
      <c r="C143" s="592">
        <f>ROUND('Balance N-1'!C143,2)</f>
        <v>0</v>
      </c>
      <c r="D143" s="592">
        <f>ROUND('Balance N-1'!D143,2)</f>
        <v>0</v>
      </c>
      <c r="E143" s="592">
        <f>ROUND('Balance N-1'!E143,2)</f>
        <v>0</v>
      </c>
      <c r="F143" s="592">
        <f>ROUND('Balance N-1'!F143,2)</f>
        <v>0</v>
      </c>
      <c r="G143" s="592">
        <f>ROUND('Balance N-1'!G143,2)</f>
        <v>0</v>
      </c>
      <c r="H143" s="592">
        <f>ROUND('Balance N-1'!H143,2)</f>
        <v>0</v>
      </c>
      <c r="I143" s="2" t="str">
        <f t="shared" si="5"/>
        <v>0</v>
      </c>
    </row>
    <row r="144" spans="1:9" x14ac:dyDescent="0.2">
      <c r="A144" s="782" t="str">
        <f>FIXED('Balance N-1'!A144,0,1)</f>
        <v>0</v>
      </c>
      <c r="B144" s="494">
        <f>+'Balance N-1'!B144</f>
        <v>0</v>
      </c>
      <c r="C144" s="592">
        <f>ROUND('Balance N-1'!C144,2)</f>
        <v>0</v>
      </c>
      <c r="D144" s="592">
        <f>ROUND('Balance N-1'!D144,2)</f>
        <v>0</v>
      </c>
      <c r="E144" s="592">
        <f>ROUND('Balance N-1'!E144,2)</f>
        <v>0</v>
      </c>
      <c r="F144" s="592">
        <f>ROUND('Balance N-1'!F144,2)</f>
        <v>0</v>
      </c>
      <c r="G144" s="592">
        <f>ROUND('Balance N-1'!G144,2)</f>
        <v>0</v>
      </c>
      <c r="H144" s="592">
        <f>ROUND('Balance N-1'!H144,2)</f>
        <v>0</v>
      </c>
      <c r="I144" s="2" t="str">
        <f t="shared" si="5"/>
        <v>0</v>
      </c>
    </row>
    <row r="145" spans="1:9" x14ac:dyDescent="0.2">
      <c r="A145" s="782" t="str">
        <f>FIXED('Balance N-1'!A145,0,1)</f>
        <v>0</v>
      </c>
      <c r="B145" s="494">
        <f>+'Balance N-1'!B145</f>
        <v>0</v>
      </c>
      <c r="C145" s="592">
        <f>ROUND('Balance N-1'!C145,2)</f>
        <v>0</v>
      </c>
      <c r="D145" s="592">
        <f>ROUND('Balance N-1'!D145,2)</f>
        <v>0</v>
      </c>
      <c r="E145" s="592">
        <f>ROUND('Balance N-1'!E145,2)</f>
        <v>0</v>
      </c>
      <c r="F145" s="592">
        <f>ROUND('Balance N-1'!F145,2)</f>
        <v>0</v>
      </c>
      <c r="G145" s="592">
        <f>ROUND('Balance N-1'!G145,2)</f>
        <v>0</v>
      </c>
      <c r="H145" s="592">
        <f>ROUND('Balance N-1'!H145,2)</f>
        <v>0</v>
      </c>
      <c r="I145" s="2" t="str">
        <f t="shared" si="5"/>
        <v>0</v>
      </c>
    </row>
    <row r="146" spans="1:9" x14ac:dyDescent="0.2">
      <c r="A146" s="782" t="str">
        <f>FIXED('Balance N-1'!A146,0,1)</f>
        <v>0</v>
      </c>
      <c r="B146" s="494">
        <f>+'Balance N-1'!B146</f>
        <v>0</v>
      </c>
      <c r="C146" s="592">
        <f>ROUND('Balance N-1'!C146,2)</f>
        <v>0</v>
      </c>
      <c r="D146" s="592">
        <f>ROUND('Balance N-1'!D146,2)</f>
        <v>0</v>
      </c>
      <c r="E146" s="592">
        <f>ROUND('Balance N-1'!E146,2)</f>
        <v>0</v>
      </c>
      <c r="F146" s="592">
        <f>ROUND('Balance N-1'!F146,2)</f>
        <v>0</v>
      </c>
      <c r="G146" s="592">
        <f>ROUND('Balance N-1'!G146,2)</f>
        <v>0</v>
      </c>
      <c r="H146" s="592">
        <f>ROUND('Balance N-1'!H146,2)</f>
        <v>0</v>
      </c>
      <c r="I146" s="2" t="str">
        <f t="shared" si="5"/>
        <v>0</v>
      </c>
    </row>
    <row r="147" spans="1:9" x14ac:dyDescent="0.2">
      <c r="A147" s="782" t="str">
        <f>FIXED('Balance N-1'!A147,0,1)</f>
        <v>0</v>
      </c>
      <c r="B147" s="494">
        <f>+'Balance N-1'!B147</f>
        <v>0</v>
      </c>
      <c r="C147" s="592">
        <f>ROUND('Balance N-1'!C147,2)</f>
        <v>0</v>
      </c>
      <c r="D147" s="592">
        <f>ROUND('Balance N-1'!D147,2)</f>
        <v>0</v>
      </c>
      <c r="E147" s="592">
        <f>ROUND('Balance N-1'!E147,2)</f>
        <v>0</v>
      </c>
      <c r="F147" s="592">
        <f>ROUND('Balance N-1'!F147,2)</f>
        <v>0</v>
      </c>
      <c r="G147" s="592">
        <f>ROUND('Balance N-1'!G147,2)</f>
        <v>0</v>
      </c>
      <c r="H147" s="592">
        <f>ROUND('Balance N-1'!H147,2)</f>
        <v>0</v>
      </c>
      <c r="I147" s="2" t="str">
        <f t="shared" si="5"/>
        <v>0</v>
      </c>
    </row>
    <row r="148" spans="1:9" x14ac:dyDescent="0.2">
      <c r="A148" s="782" t="str">
        <f>FIXED('Balance N-1'!A148,0,1)</f>
        <v>0</v>
      </c>
      <c r="B148" s="494">
        <f>+'Balance N-1'!B148</f>
        <v>0</v>
      </c>
      <c r="C148" s="592">
        <f>ROUND('Balance N-1'!C148,2)</f>
        <v>0</v>
      </c>
      <c r="D148" s="592">
        <f>ROUND('Balance N-1'!D148,2)</f>
        <v>0</v>
      </c>
      <c r="E148" s="592">
        <f>ROUND('Balance N-1'!E148,2)</f>
        <v>0</v>
      </c>
      <c r="F148" s="592">
        <f>ROUND('Balance N-1'!F148,2)</f>
        <v>0</v>
      </c>
      <c r="G148" s="592">
        <f>ROUND('Balance N-1'!G148,2)</f>
        <v>0</v>
      </c>
      <c r="H148" s="592">
        <f>ROUND('Balance N-1'!H148,2)</f>
        <v>0</v>
      </c>
      <c r="I148" s="2" t="str">
        <f t="shared" si="5"/>
        <v>0</v>
      </c>
    </row>
    <row r="149" spans="1:9" x14ac:dyDescent="0.2">
      <c r="A149" s="782" t="str">
        <f>FIXED('Balance N-1'!A149,0,1)</f>
        <v>0</v>
      </c>
      <c r="B149" s="494">
        <f>+'Balance N-1'!B149</f>
        <v>0</v>
      </c>
      <c r="C149" s="592">
        <f>ROUND('Balance N-1'!C149,2)</f>
        <v>0</v>
      </c>
      <c r="D149" s="592">
        <f>ROUND('Balance N-1'!D149,2)</f>
        <v>0</v>
      </c>
      <c r="E149" s="592">
        <f>ROUND('Balance N-1'!E149,2)</f>
        <v>0</v>
      </c>
      <c r="F149" s="592">
        <f>ROUND('Balance N-1'!F149,2)</f>
        <v>0</v>
      </c>
      <c r="G149" s="592">
        <f>ROUND('Balance N-1'!G149,2)</f>
        <v>0</v>
      </c>
      <c r="H149" s="592">
        <f>ROUND('Balance N-1'!H149,2)</f>
        <v>0</v>
      </c>
      <c r="I149" s="2" t="str">
        <f t="shared" si="5"/>
        <v>0</v>
      </c>
    </row>
    <row r="150" spans="1:9" x14ac:dyDescent="0.2">
      <c r="A150" s="782" t="str">
        <f>FIXED('Balance N-1'!A150,0,1)</f>
        <v>0</v>
      </c>
      <c r="B150" s="494">
        <f>+'Balance N-1'!B150</f>
        <v>0</v>
      </c>
      <c r="C150" s="592">
        <f>ROUND('Balance N-1'!C150,2)</f>
        <v>0</v>
      </c>
      <c r="D150" s="592">
        <f>ROUND('Balance N-1'!D150,2)</f>
        <v>0</v>
      </c>
      <c r="E150" s="592">
        <f>ROUND('Balance N-1'!E150,2)</f>
        <v>0</v>
      </c>
      <c r="F150" s="592">
        <f>ROUND('Balance N-1'!F150,2)</f>
        <v>0</v>
      </c>
      <c r="G150" s="592">
        <f>ROUND('Balance N-1'!G150,2)</f>
        <v>0</v>
      </c>
      <c r="H150" s="592">
        <f>ROUND('Balance N-1'!H150,2)</f>
        <v>0</v>
      </c>
      <c r="I150" s="2" t="str">
        <f t="shared" si="5"/>
        <v>0</v>
      </c>
    </row>
    <row r="151" spans="1:9" x14ac:dyDescent="0.2">
      <c r="A151" s="782" t="str">
        <f>FIXED('Balance N-1'!A151,0,1)</f>
        <v>0</v>
      </c>
      <c r="B151" s="494">
        <f>+'Balance N-1'!B151</f>
        <v>0</v>
      </c>
      <c r="C151" s="592">
        <f>ROUND('Balance N-1'!C151,2)</f>
        <v>0</v>
      </c>
      <c r="D151" s="592">
        <f>ROUND('Balance N-1'!D151,2)</f>
        <v>0</v>
      </c>
      <c r="E151" s="592">
        <f>ROUND('Balance N-1'!E151,2)</f>
        <v>0</v>
      </c>
      <c r="F151" s="592">
        <f>ROUND('Balance N-1'!F151,2)</f>
        <v>0</v>
      </c>
      <c r="G151" s="592">
        <f>ROUND('Balance N-1'!G151,2)</f>
        <v>0</v>
      </c>
      <c r="H151" s="592">
        <f>ROUND('Balance N-1'!H151,2)</f>
        <v>0</v>
      </c>
      <c r="I151" s="2" t="str">
        <f t="shared" si="5"/>
        <v>0</v>
      </c>
    </row>
    <row r="152" spans="1:9" x14ac:dyDescent="0.2">
      <c r="A152" s="782" t="str">
        <f>FIXED('Balance N-1'!A152,0,1)</f>
        <v>0</v>
      </c>
      <c r="B152" s="494">
        <f>+'Balance N-1'!B152</f>
        <v>0</v>
      </c>
      <c r="C152" s="592">
        <f>ROUND('Balance N-1'!C152,2)</f>
        <v>0</v>
      </c>
      <c r="D152" s="592">
        <f>ROUND('Balance N-1'!D152,2)</f>
        <v>0</v>
      </c>
      <c r="E152" s="592">
        <f>ROUND('Balance N-1'!E152,2)</f>
        <v>0</v>
      </c>
      <c r="F152" s="592">
        <f>ROUND('Balance N-1'!F152,2)</f>
        <v>0</v>
      </c>
      <c r="G152" s="592">
        <f>ROUND('Balance N-1'!G152,2)</f>
        <v>0</v>
      </c>
      <c r="H152" s="592">
        <f>ROUND('Balance N-1'!H152,2)</f>
        <v>0</v>
      </c>
      <c r="I152" s="2" t="str">
        <f t="shared" si="5"/>
        <v>0</v>
      </c>
    </row>
    <row r="153" spans="1:9" x14ac:dyDescent="0.2">
      <c r="A153" s="782" t="str">
        <f>FIXED('Balance N-1'!A153,0,1)</f>
        <v>0</v>
      </c>
      <c r="B153" s="494">
        <f>+'Balance N-1'!B153</f>
        <v>0</v>
      </c>
      <c r="C153" s="592">
        <f>ROUND('Balance N-1'!C153,2)</f>
        <v>0</v>
      </c>
      <c r="D153" s="592">
        <f>ROUND('Balance N-1'!D153,2)</f>
        <v>0</v>
      </c>
      <c r="E153" s="592">
        <f>ROUND('Balance N-1'!E153,2)</f>
        <v>0</v>
      </c>
      <c r="F153" s="592">
        <f>ROUND('Balance N-1'!F153,2)</f>
        <v>0</v>
      </c>
      <c r="G153" s="592">
        <f>ROUND('Balance N-1'!G153,2)</f>
        <v>0</v>
      </c>
      <c r="H153" s="592">
        <f>ROUND('Balance N-1'!H153,2)</f>
        <v>0</v>
      </c>
      <c r="I153" s="2" t="str">
        <f t="shared" si="5"/>
        <v>0</v>
      </c>
    </row>
    <row r="154" spans="1:9" x14ac:dyDescent="0.2">
      <c r="A154" s="782" t="str">
        <f>FIXED('Balance N-1'!A154,0,1)</f>
        <v>0</v>
      </c>
      <c r="B154" s="494">
        <f>+'Balance N-1'!B154</f>
        <v>0</v>
      </c>
      <c r="C154" s="592">
        <f>ROUND('Balance N-1'!C154,2)</f>
        <v>0</v>
      </c>
      <c r="D154" s="592">
        <f>ROUND('Balance N-1'!D154,2)</f>
        <v>0</v>
      </c>
      <c r="E154" s="592">
        <f>ROUND('Balance N-1'!E154,2)</f>
        <v>0</v>
      </c>
      <c r="F154" s="592">
        <f>ROUND('Balance N-1'!F154,2)</f>
        <v>0</v>
      </c>
      <c r="G154" s="592">
        <f>ROUND('Balance N-1'!G154,2)</f>
        <v>0</v>
      </c>
      <c r="H154" s="592">
        <f>ROUND('Balance N-1'!H154,2)</f>
        <v>0</v>
      </c>
      <c r="I154" s="2" t="str">
        <f t="shared" si="5"/>
        <v>0</v>
      </c>
    </row>
    <row r="155" spans="1:9" x14ac:dyDescent="0.2">
      <c r="A155" s="782" t="str">
        <f>FIXED('Balance N-1'!A155,0,1)</f>
        <v>0</v>
      </c>
      <c r="B155" s="494">
        <f>+'Balance N-1'!B155</f>
        <v>0</v>
      </c>
      <c r="C155" s="592">
        <f>ROUND('Balance N-1'!C155,2)</f>
        <v>0</v>
      </c>
      <c r="D155" s="592">
        <f>ROUND('Balance N-1'!D155,2)</f>
        <v>0</v>
      </c>
      <c r="E155" s="592">
        <f>ROUND('Balance N-1'!E155,2)</f>
        <v>0</v>
      </c>
      <c r="F155" s="592">
        <f>ROUND('Balance N-1'!F155,2)</f>
        <v>0</v>
      </c>
      <c r="G155" s="592">
        <f>ROUND('Balance N-1'!G155,2)</f>
        <v>0</v>
      </c>
      <c r="H155" s="592">
        <f>ROUND('Balance N-1'!H155,2)</f>
        <v>0</v>
      </c>
      <c r="I155" s="2" t="str">
        <f t="shared" si="5"/>
        <v>0</v>
      </c>
    </row>
    <row r="156" spans="1:9" x14ac:dyDescent="0.2">
      <c r="A156" s="782" t="str">
        <f>FIXED('Balance N-1'!A156,0,1)</f>
        <v>0</v>
      </c>
      <c r="B156" s="494">
        <f>+'Balance N-1'!B156</f>
        <v>0</v>
      </c>
      <c r="C156" s="592">
        <f>ROUND('Balance N-1'!C156,2)</f>
        <v>0</v>
      </c>
      <c r="D156" s="592">
        <f>ROUND('Balance N-1'!D156,2)</f>
        <v>0</v>
      </c>
      <c r="E156" s="592">
        <f>ROUND('Balance N-1'!E156,2)</f>
        <v>0</v>
      </c>
      <c r="F156" s="592">
        <f>ROUND('Balance N-1'!F156,2)</f>
        <v>0</v>
      </c>
      <c r="G156" s="592">
        <f>ROUND('Balance N-1'!G156,2)</f>
        <v>0</v>
      </c>
      <c r="H156" s="592">
        <f>ROUND('Balance N-1'!H156,2)</f>
        <v>0</v>
      </c>
      <c r="I156" s="2" t="str">
        <f t="shared" si="5"/>
        <v>0</v>
      </c>
    </row>
    <row r="157" spans="1:9" x14ac:dyDescent="0.2">
      <c r="A157" s="782" t="str">
        <f>FIXED('Balance N-1'!A157,0,1)</f>
        <v>0</v>
      </c>
      <c r="B157" s="494">
        <f>+'Balance N-1'!B157</f>
        <v>0</v>
      </c>
      <c r="C157" s="592">
        <f>ROUND('Balance N-1'!C157,2)</f>
        <v>0</v>
      </c>
      <c r="D157" s="592">
        <f>ROUND('Balance N-1'!D157,2)</f>
        <v>0</v>
      </c>
      <c r="E157" s="592">
        <f>ROUND('Balance N-1'!E157,2)</f>
        <v>0</v>
      </c>
      <c r="F157" s="592">
        <f>ROUND('Balance N-1'!F157,2)</f>
        <v>0</v>
      </c>
      <c r="G157" s="592">
        <f>ROUND('Balance N-1'!G157,2)</f>
        <v>0</v>
      </c>
      <c r="H157" s="592">
        <f>ROUND('Balance N-1'!H157,2)</f>
        <v>0</v>
      </c>
      <c r="I157" s="2" t="str">
        <f t="shared" si="5"/>
        <v>0</v>
      </c>
    </row>
    <row r="158" spans="1:9" x14ac:dyDescent="0.2">
      <c r="A158" s="782" t="str">
        <f>FIXED('Balance N-1'!A158,0,1)</f>
        <v>0</v>
      </c>
      <c r="B158" s="494">
        <f>+'Balance N-1'!B158</f>
        <v>0</v>
      </c>
      <c r="C158" s="592">
        <f>ROUND('Balance N-1'!C158,2)</f>
        <v>0</v>
      </c>
      <c r="D158" s="592">
        <f>ROUND('Balance N-1'!D158,2)</f>
        <v>0</v>
      </c>
      <c r="E158" s="592">
        <f>ROUND('Balance N-1'!E158,2)</f>
        <v>0</v>
      </c>
      <c r="F158" s="592">
        <f>ROUND('Balance N-1'!F158,2)</f>
        <v>0</v>
      </c>
      <c r="G158" s="592">
        <f>ROUND('Balance N-1'!G158,2)</f>
        <v>0</v>
      </c>
      <c r="H158" s="592">
        <f>ROUND('Balance N-1'!H158,2)</f>
        <v>0</v>
      </c>
      <c r="I158" s="2" t="str">
        <f t="shared" si="5"/>
        <v>0</v>
      </c>
    </row>
    <row r="159" spans="1:9" x14ac:dyDescent="0.2">
      <c r="A159" s="782" t="str">
        <f>FIXED('Balance N-1'!A159,0,1)</f>
        <v>0</v>
      </c>
      <c r="B159" s="494">
        <f>+'Balance N-1'!B159</f>
        <v>0</v>
      </c>
      <c r="C159" s="592">
        <f>ROUND('Balance N-1'!C159,2)</f>
        <v>0</v>
      </c>
      <c r="D159" s="592">
        <f>ROUND('Balance N-1'!D159,2)</f>
        <v>0</v>
      </c>
      <c r="E159" s="592">
        <f>ROUND('Balance N-1'!E159,2)</f>
        <v>0</v>
      </c>
      <c r="F159" s="592">
        <f>ROUND('Balance N-1'!F159,2)</f>
        <v>0</v>
      </c>
      <c r="G159" s="592">
        <f>ROUND('Balance N-1'!G159,2)</f>
        <v>0</v>
      </c>
      <c r="H159" s="592">
        <f>ROUND('Balance N-1'!H159,2)</f>
        <v>0</v>
      </c>
      <c r="I159" s="2" t="str">
        <f t="shared" si="5"/>
        <v>0</v>
      </c>
    </row>
    <row r="160" spans="1:9" x14ac:dyDescent="0.2">
      <c r="A160" s="782" t="str">
        <f>FIXED('Balance N-1'!A160,0,1)</f>
        <v>0</v>
      </c>
      <c r="B160" s="494">
        <f>+'Balance N-1'!B160</f>
        <v>0</v>
      </c>
      <c r="C160" s="592">
        <f>ROUND('Balance N-1'!C160,2)</f>
        <v>0</v>
      </c>
      <c r="D160" s="592">
        <f>ROUND('Balance N-1'!D160,2)</f>
        <v>0</v>
      </c>
      <c r="E160" s="592">
        <f>ROUND('Balance N-1'!E160,2)</f>
        <v>0</v>
      </c>
      <c r="F160" s="592">
        <f>ROUND('Balance N-1'!F160,2)</f>
        <v>0</v>
      </c>
      <c r="G160" s="592">
        <f>ROUND('Balance N-1'!G160,2)</f>
        <v>0</v>
      </c>
      <c r="H160" s="592">
        <f>ROUND('Balance N-1'!H160,2)</f>
        <v>0</v>
      </c>
      <c r="I160" s="2" t="str">
        <f t="shared" si="5"/>
        <v>0</v>
      </c>
    </row>
    <row r="161" spans="1:9" x14ac:dyDescent="0.2">
      <c r="A161" s="782" t="str">
        <f>FIXED('Balance N-1'!A161,0,1)</f>
        <v>0</v>
      </c>
      <c r="B161" s="494">
        <f>+'Balance N-1'!B161</f>
        <v>0</v>
      </c>
      <c r="C161" s="592">
        <f>ROUND('Balance N-1'!C161,2)</f>
        <v>0</v>
      </c>
      <c r="D161" s="592">
        <f>ROUND('Balance N-1'!D161,2)</f>
        <v>0</v>
      </c>
      <c r="E161" s="592">
        <f>ROUND('Balance N-1'!E161,2)</f>
        <v>0</v>
      </c>
      <c r="F161" s="592">
        <f>ROUND('Balance N-1'!F161,2)</f>
        <v>0</v>
      </c>
      <c r="G161" s="592">
        <f>ROUND('Balance N-1'!G161,2)</f>
        <v>0</v>
      </c>
      <c r="H161" s="592">
        <f>ROUND('Balance N-1'!H161,2)</f>
        <v>0</v>
      </c>
      <c r="I161" s="2" t="str">
        <f t="shared" si="5"/>
        <v>0</v>
      </c>
    </row>
    <row r="162" spans="1:9" x14ac:dyDescent="0.2">
      <c r="A162" s="782" t="str">
        <f>FIXED('Balance N-1'!A162,0,1)</f>
        <v>0</v>
      </c>
      <c r="B162" s="494">
        <f>+'Balance N-1'!B162</f>
        <v>0</v>
      </c>
      <c r="C162" s="592">
        <f>ROUND('Balance N-1'!C162,2)</f>
        <v>0</v>
      </c>
      <c r="D162" s="592">
        <f>ROUND('Balance N-1'!D162,2)</f>
        <v>0</v>
      </c>
      <c r="E162" s="592">
        <f>ROUND('Balance N-1'!E162,2)</f>
        <v>0</v>
      </c>
      <c r="F162" s="592">
        <f>ROUND('Balance N-1'!F162,2)</f>
        <v>0</v>
      </c>
      <c r="G162" s="592">
        <f>ROUND('Balance N-1'!G162,2)</f>
        <v>0</v>
      </c>
      <c r="H162" s="592">
        <f>ROUND('Balance N-1'!H162,2)</f>
        <v>0</v>
      </c>
      <c r="I162" s="2" t="str">
        <f t="shared" si="5"/>
        <v>0</v>
      </c>
    </row>
    <row r="163" spans="1:9" x14ac:dyDescent="0.2">
      <c r="A163" s="782" t="str">
        <f>FIXED('Balance N-1'!A163,0,1)</f>
        <v>0</v>
      </c>
      <c r="B163" s="494">
        <f>+'Balance N-1'!B163</f>
        <v>0</v>
      </c>
      <c r="C163" s="592">
        <f>ROUND('Balance N-1'!C163,2)</f>
        <v>0</v>
      </c>
      <c r="D163" s="592">
        <f>ROUND('Balance N-1'!D163,2)</f>
        <v>0</v>
      </c>
      <c r="E163" s="592">
        <f>ROUND('Balance N-1'!E163,2)</f>
        <v>0</v>
      </c>
      <c r="F163" s="592">
        <f>ROUND('Balance N-1'!F163,2)</f>
        <v>0</v>
      </c>
      <c r="G163" s="592">
        <f>ROUND('Balance N-1'!G163,2)</f>
        <v>0</v>
      </c>
      <c r="H163" s="592">
        <f>ROUND('Balance N-1'!H163,2)</f>
        <v>0</v>
      </c>
      <c r="I163" s="2" t="str">
        <f t="shared" si="5"/>
        <v>0</v>
      </c>
    </row>
    <row r="164" spans="1:9" x14ac:dyDescent="0.2">
      <c r="A164" s="782" t="str">
        <f>FIXED('Balance N-1'!A164,0,1)</f>
        <v>0</v>
      </c>
      <c r="B164" s="494">
        <f>+'Balance N-1'!B164</f>
        <v>0</v>
      </c>
      <c r="C164" s="592">
        <f>ROUND('Balance N-1'!C164,2)</f>
        <v>0</v>
      </c>
      <c r="D164" s="592">
        <f>ROUND('Balance N-1'!D164,2)</f>
        <v>0</v>
      </c>
      <c r="E164" s="592">
        <f>ROUND('Balance N-1'!E164,2)</f>
        <v>0</v>
      </c>
      <c r="F164" s="592">
        <f>ROUND('Balance N-1'!F164,2)</f>
        <v>0</v>
      </c>
      <c r="G164" s="592">
        <f>ROUND('Balance N-1'!G164,2)</f>
        <v>0</v>
      </c>
      <c r="H164" s="592">
        <f>ROUND('Balance N-1'!H164,2)</f>
        <v>0</v>
      </c>
      <c r="I164" s="2" t="str">
        <f t="shared" si="5"/>
        <v>0</v>
      </c>
    </row>
    <row r="165" spans="1:9" x14ac:dyDescent="0.2">
      <c r="A165" s="782" t="str">
        <f>FIXED('Balance N-1'!A165,0,1)</f>
        <v>0</v>
      </c>
      <c r="B165" s="494">
        <f>+'Balance N-1'!B165</f>
        <v>0</v>
      </c>
      <c r="C165" s="592">
        <f>ROUND('Balance N-1'!C165,2)</f>
        <v>0</v>
      </c>
      <c r="D165" s="592">
        <f>ROUND('Balance N-1'!D165,2)</f>
        <v>0</v>
      </c>
      <c r="E165" s="592">
        <f>ROUND('Balance N-1'!E165,2)</f>
        <v>0</v>
      </c>
      <c r="F165" s="592">
        <f>ROUND('Balance N-1'!F165,2)</f>
        <v>0</v>
      </c>
      <c r="G165" s="592">
        <f>ROUND('Balance N-1'!G165,2)</f>
        <v>0</v>
      </c>
      <c r="H165" s="592">
        <f>ROUND('Balance N-1'!H165,2)</f>
        <v>0</v>
      </c>
      <c r="I165" s="2" t="str">
        <f t="shared" si="5"/>
        <v>0</v>
      </c>
    </row>
    <row r="166" spans="1:9" x14ac:dyDescent="0.2">
      <c r="A166" s="782" t="str">
        <f>FIXED('Balance N-1'!A166,0,1)</f>
        <v>0</v>
      </c>
      <c r="B166" s="494">
        <f>+'Balance N-1'!B166</f>
        <v>0</v>
      </c>
      <c r="C166" s="592">
        <f>ROUND('Balance N-1'!C166,2)</f>
        <v>0</v>
      </c>
      <c r="D166" s="592">
        <f>ROUND('Balance N-1'!D166,2)</f>
        <v>0</v>
      </c>
      <c r="E166" s="592">
        <f>ROUND('Balance N-1'!E166,2)</f>
        <v>0</v>
      </c>
      <c r="F166" s="592">
        <f>ROUND('Balance N-1'!F166,2)</f>
        <v>0</v>
      </c>
      <c r="G166" s="592">
        <f>ROUND('Balance N-1'!G166,2)</f>
        <v>0</v>
      </c>
      <c r="H166" s="592">
        <f>ROUND('Balance N-1'!H166,2)</f>
        <v>0</v>
      </c>
      <c r="I166" s="2" t="str">
        <f t="shared" si="5"/>
        <v>0</v>
      </c>
    </row>
    <row r="167" spans="1:9" x14ac:dyDescent="0.2">
      <c r="A167" s="782" t="str">
        <f>FIXED('Balance N-1'!A167,0,1)</f>
        <v>0</v>
      </c>
      <c r="B167" s="494">
        <f>+'Balance N-1'!B167</f>
        <v>0</v>
      </c>
      <c r="C167" s="592">
        <f>ROUND('Balance N-1'!C167,2)</f>
        <v>0</v>
      </c>
      <c r="D167" s="592">
        <f>ROUND('Balance N-1'!D167,2)</f>
        <v>0</v>
      </c>
      <c r="E167" s="592">
        <f>ROUND('Balance N-1'!E167,2)</f>
        <v>0</v>
      </c>
      <c r="F167" s="592">
        <f>ROUND('Balance N-1'!F167,2)</f>
        <v>0</v>
      </c>
      <c r="G167" s="592">
        <f>ROUND('Balance N-1'!G167,2)</f>
        <v>0</v>
      </c>
      <c r="H167" s="592">
        <f>ROUND('Balance N-1'!H167,2)</f>
        <v>0</v>
      </c>
      <c r="I167" s="2" t="str">
        <f t="shared" si="5"/>
        <v>0</v>
      </c>
    </row>
    <row r="168" spans="1:9" x14ac:dyDescent="0.2">
      <c r="A168" s="782" t="str">
        <f>FIXED('Balance N-1'!A168,0,1)</f>
        <v>0</v>
      </c>
      <c r="B168" s="494">
        <f>+'Balance N-1'!B168</f>
        <v>0</v>
      </c>
      <c r="C168" s="592">
        <f>ROUND('Balance N-1'!C168,2)</f>
        <v>0</v>
      </c>
      <c r="D168" s="592">
        <f>ROUND('Balance N-1'!D168,2)</f>
        <v>0</v>
      </c>
      <c r="E168" s="592">
        <f>ROUND('Balance N-1'!E168,2)</f>
        <v>0</v>
      </c>
      <c r="F168" s="592">
        <f>ROUND('Balance N-1'!F168,2)</f>
        <v>0</v>
      </c>
      <c r="G168" s="592">
        <f>ROUND('Balance N-1'!G168,2)</f>
        <v>0</v>
      </c>
      <c r="H168" s="592">
        <f>ROUND('Balance N-1'!H168,2)</f>
        <v>0</v>
      </c>
      <c r="I168" s="2" t="str">
        <f t="shared" si="5"/>
        <v>0</v>
      </c>
    </row>
    <row r="169" spans="1:9" x14ac:dyDescent="0.2">
      <c r="A169" s="782" t="str">
        <f>FIXED('Balance N-1'!A169,0,1)</f>
        <v>0</v>
      </c>
      <c r="B169" s="494">
        <f>+'Balance N-1'!B169</f>
        <v>0</v>
      </c>
      <c r="C169" s="592">
        <f>ROUND('Balance N-1'!C169,2)</f>
        <v>0</v>
      </c>
      <c r="D169" s="592">
        <f>ROUND('Balance N-1'!D169,2)</f>
        <v>0</v>
      </c>
      <c r="E169" s="592">
        <f>ROUND('Balance N-1'!E169,2)</f>
        <v>0</v>
      </c>
      <c r="F169" s="592">
        <f>ROUND('Balance N-1'!F169,2)</f>
        <v>0</v>
      </c>
      <c r="G169" s="592">
        <f>ROUND('Balance N-1'!G169,2)</f>
        <v>0</v>
      </c>
      <c r="H169" s="592">
        <f>ROUND('Balance N-1'!H169,2)</f>
        <v>0</v>
      </c>
      <c r="I169" s="2" t="str">
        <f t="shared" si="5"/>
        <v>0</v>
      </c>
    </row>
    <row r="170" spans="1:9" x14ac:dyDescent="0.2">
      <c r="A170" s="782" t="str">
        <f>FIXED('Balance N-1'!A170,0,1)</f>
        <v>0</v>
      </c>
      <c r="B170" s="494">
        <f>+'Balance N-1'!B170</f>
        <v>0</v>
      </c>
      <c r="C170" s="592">
        <f>ROUND('Balance N-1'!C170,2)</f>
        <v>0</v>
      </c>
      <c r="D170" s="592">
        <f>ROUND('Balance N-1'!D170,2)</f>
        <v>0</v>
      </c>
      <c r="E170" s="592">
        <f>ROUND('Balance N-1'!E170,2)</f>
        <v>0</v>
      </c>
      <c r="F170" s="592">
        <f>ROUND('Balance N-1'!F170,2)</f>
        <v>0</v>
      </c>
      <c r="G170" s="592">
        <f>ROUND('Balance N-1'!G170,2)</f>
        <v>0</v>
      </c>
      <c r="H170" s="592">
        <f>ROUND('Balance N-1'!H170,2)</f>
        <v>0</v>
      </c>
      <c r="I170" s="2" t="str">
        <f t="shared" si="5"/>
        <v>0</v>
      </c>
    </row>
    <row r="171" spans="1:9" x14ac:dyDescent="0.2">
      <c r="A171" s="782" t="str">
        <f>FIXED('Balance N-1'!A171,0,1)</f>
        <v>0</v>
      </c>
      <c r="B171" s="494">
        <f>+'Balance N-1'!B171</f>
        <v>0</v>
      </c>
      <c r="C171" s="592">
        <f>ROUND('Balance N-1'!C171,2)</f>
        <v>0</v>
      </c>
      <c r="D171" s="592">
        <f>ROUND('Balance N-1'!D171,2)</f>
        <v>0</v>
      </c>
      <c r="E171" s="592">
        <f>ROUND('Balance N-1'!E171,2)</f>
        <v>0</v>
      </c>
      <c r="F171" s="592">
        <f>ROUND('Balance N-1'!F171,2)</f>
        <v>0</v>
      </c>
      <c r="G171" s="592">
        <f>ROUND('Balance N-1'!G171,2)</f>
        <v>0</v>
      </c>
      <c r="H171" s="592">
        <f>ROUND('Balance N-1'!H171,2)</f>
        <v>0</v>
      </c>
      <c r="I171" s="2" t="str">
        <f t="shared" si="5"/>
        <v>0</v>
      </c>
    </row>
    <row r="172" spans="1:9" x14ac:dyDescent="0.2">
      <c r="A172" s="782" t="str">
        <f>FIXED('Balance N-1'!A172,0,1)</f>
        <v>0</v>
      </c>
      <c r="B172" s="494">
        <f>+'Balance N-1'!B172</f>
        <v>0</v>
      </c>
      <c r="C172" s="592">
        <f>ROUND('Balance N-1'!C172,2)</f>
        <v>0</v>
      </c>
      <c r="D172" s="592">
        <f>ROUND('Balance N-1'!D172,2)</f>
        <v>0</v>
      </c>
      <c r="E172" s="592">
        <f>ROUND('Balance N-1'!E172,2)</f>
        <v>0</v>
      </c>
      <c r="F172" s="592">
        <f>ROUND('Balance N-1'!F172,2)</f>
        <v>0</v>
      </c>
      <c r="G172" s="592">
        <f>ROUND('Balance N-1'!G172,2)</f>
        <v>0</v>
      </c>
      <c r="H172" s="592">
        <f>ROUND('Balance N-1'!H172,2)</f>
        <v>0</v>
      </c>
      <c r="I172" s="2" t="str">
        <f t="shared" si="5"/>
        <v>0</v>
      </c>
    </row>
    <row r="173" spans="1:9" x14ac:dyDescent="0.2">
      <c r="A173" s="782" t="str">
        <f>FIXED('Balance N-1'!A173,0,1)</f>
        <v>0</v>
      </c>
      <c r="B173" s="494">
        <f>+'Balance N-1'!B173</f>
        <v>0</v>
      </c>
      <c r="C173" s="592">
        <f>ROUND('Balance N-1'!C173,2)</f>
        <v>0</v>
      </c>
      <c r="D173" s="592">
        <f>ROUND('Balance N-1'!D173,2)</f>
        <v>0</v>
      </c>
      <c r="E173" s="592">
        <f>ROUND('Balance N-1'!E173,2)</f>
        <v>0</v>
      </c>
      <c r="F173" s="592">
        <f>ROUND('Balance N-1'!F173,2)</f>
        <v>0</v>
      </c>
      <c r="G173" s="592">
        <f>ROUND('Balance N-1'!G173,2)</f>
        <v>0</v>
      </c>
      <c r="H173" s="592">
        <f>ROUND('Balance N-1'!H173,2)</f>
        <v>0</v>
      </c>
      <c r="I173" s="2" t="str">
        <f t="shared" si="5"/>
        <v>0</v>
      </c>
    </row>
    <row r="174" spans="1:9" x14ac:dyDescent="0.2">
      <c r="A174" s="782" t="str">
        <f>FIXED('Balance N-1'!A174,0,1)</f>
        <v>0</v>
      </c>
      <c r="B174" s="494">
        <f>+'Balance N-1'!B174</f>
        <v>0</v>
      </c>
      <c r="C174" s="592">
        <f>ROUND('Balance N-1'!C174,2)</f>
        <v>0</v>
      </c>
      <c r="D174" s="592">
        <f>ROUND('Balance N-1'!D174,2)</f>
        <v>0</v>
      </c>
      <c r="E174" s="592">
        <f>ROUND('Balance N-1'!E174,2)</f>
        <v>0</v>
      </c>
      <c r="F174" s="592">
        <f>ROUND('Balance N-1'!F174,2)</f>
        <v>0</v>
      </c>
      <c r="G174" s="592">
        <f>ROUND('Balance N-1'!G174,2)</f>
        <v>0</v>
      </c>
      <c r="H174" s="592">
        <f>ROUND('Balance N-1'!H174,2)</f>
        <v>0</v>
      </c>
      <c r="I174" s="2" t="str">
        <f t="shared" si="5"/>
        <v>0</v>
      </c>
    </row>
    <row r="175" spans="1:9" x14ac:dyDescent="0.2">
      <c r="A175" s="782" t="str">
        <f>FIXED('Balance N-1'!A175,0,1)</f>
        <v>0</v>
      </c>
      <c r="B175" s="494">
        <f>+'Balance N-1'!B175</f>
        <v>0</v>
      </c>
      <c r="C175" s="592">
        <f>ROUND('Balance N-1'!C175,2)</f>
        <v>0</v>
      </c>
      <c r="D175" s="592">
        <f>ROUND('Balance N-1'!D175,2)</f>
        <v>0</v>
      </c>
      <c r="E175" s="592">
        <f>ROUND('Balance N-1'!E175,2)</f>
        <v>0</v>
      </c>
      <c r="F175" s="592">
        <f>ROUND('Balance N-1'!F175,2)</f>
        <v>0</v>
      </c>
      <c r="G175" s="592">
        <f>ROUND('Balance N-1'!G175,2)</f>
        <v>0</v>
      </c>
      <c r="H175" s="592">
        <f>ROUND('Balance N-1'!H175,2)</f>
        <v>0</v>
      </c>
      <c r="I175" s="2" t="str">
        <f t="shared" si="5"/>
        <v>0</v>
      </c>
    </row>
    <row r="176" spans="1:9" x14ac:dyDescent="0.2">
      <c r="A176" s="782" t="str">
        <f>FIXED('Balance N-1'!A176,0,1)</f>
        <v>0</v>
      </c>
      <c r="B176" s="494">
        <f>+'Balance N-1'!B176</f>
        <v>0</v>
      </c>
      <c r="C176" s="592">
        <f>ROUND('Balance N-1'!C176,2)</f>
        <v>0</v>
      </c>
      <c r="D176" s="592">
        <f>ROUND('Balance N-1'!D176,2)</f>
        <v>0</v>
      </c>
      <c r="E176" s="592">
        <f>ROUND('Balance N-1'!E176,2)</f>
        <v>0</v>
      </c>
      <c r="F176" s="592">
        <f>ROUND('Balance N-1'!F176,2)</f>
        <v>0</v>
      </c>
      <c r="G176" s="592">
        <f>ROUND('Balance N-1'!G176,2)</f>
        <v>0</v>
      </c>
      <c r="H176" s="592">
        <f>ROUND('Balance N-1'!H176,2)</f>
        <v>0</v>
      </c>
      <c r="I176" s="2" t="str">
        <f t="shared" si="5"/>
        <v>0</v>
      </c>
    </row>
    <row r="177" spans="1:9" x14ac:dyDescent="0.2">
      <c r="A177" s="782" t="str">
        <f>FIXED('Balance N-1'!A177,0,1)</f>
        <v>0</v>
      </c>
      <c r="B177" s="494">
        <f>+'Balance N-1'!B177</f>
        <v>0</v>
      </c>
      <c r="C177" s="592">
        <f>ROUND('Balance N-1'!C177,2)</f>
        <v>0</v>
      </c>
      <c r="D177" s="592">
        <f>ROUND('Balance N-1'!D177,2)</f>
        <v>0</v>
      </c>
      <c r="E177" s="592">
        <f>ROUND('Balance N-1'!E177,2)</f>
        <v>0</v>
      </c>
      <c r="F177" s="592">
        <f>ROUND('Balance N-1'!F177,2)</f>
        <v>0</v>
      </c>
      <c r="G177" s="592">
        <f>ROUND('Balance N-1'!G177,2)</f>
        <v>0</v>
      </c>
      <c r="H177" s="592">
        <f>ROUND('Balance N-1'!H177,2)</f>
        <v>0</v>
      </c>
      <c r="I177" s="2" t="str">
        <f t="shared" si="5"/>
        <v>0</v>
      </c>
    </row>
    <row r="178" spans="1:9" x14ac:dyDescent="0.2">
      <c r="A178" s="782" t="str">
        <f>FIXED('Balance N-1'!A178,0,1)</f>
        <v>0</v>
      </c>
      <c r="B178" s="494">
        <f>+'Balance N-1'!B178</f>
        <v>0</v>
      </c>
      <c r="C178" s="592">
        <f>ROUND('Balance N-1'!C178,2)</f>
        <v>0</v>
      </c>
      <c r="D178" s="592">
        <f>ROUND('Balance N-1'!D178,2)</f>
        <v>0</v>
      </c>
      <c r="E178" s="592">
        <f>ROUND('Balance N-1'!E178,2)</f>
        <v>0</v>
      </c>
      <c r="F178" s="592">
        <f>ROUND('Balance N-1'!F178,2)</f>
        <v>0</v>
      </c>
      <c r="G178" s="592">
        <f>ROUND('Balance N-1'!G178,2)</f>
        <v>0</v>
      </c>
      <c r="H178" s="592">
        <f>ROUND('Balance N-1'!H178,2)</f>
        <v>0</v>
      </c>
      <c r="I178" s="2" t="str">
        <f t="shared" si="5"/>
        <v>0</v>
      </c>
    </row>
    <row r="179" spans="1:9" x14ac:dyDescent="0.2">
      <c r="A179" s="782" t="str">
        <f>FIXED('Balance N-1'!A179,0,1)</f>
        <v>0</v>
      </c>
      <c r="B179" s="494">
        <f>+'Balance N-1'!B179</f>
        <v>0</v>
      </c>
      <c r="C179" s="592">
        <f>ROUND('Balance N-1'!C179,2)</f>
        <v>0</v>
      </c>
      <c r="D179" s="592">
        <f>ROUND('Balance N-1'!D179,2)</f>
        <v>0</v>
      </c>
      <c r="E179" s="592">
        <f>ROUND('Balance N-1'!E179,2)</f>
        <v>0</v>
      </c>
      <c r="F179" s="592">
        <f>ROUND('Balance N-1'!F179,2)</f>
        <v>0</v>
      </c>
      <c r="G179" s="592">
        <f>ROUND('Balance N-1'!G179,2)</f>
        <v>0</v>
      </c>
      <c r="H179" s="592">
        <f>ROUND('Balance N-1'!H179,2)</f>
        <v>0</v>
      </c>
      <c r="I179" s="2" t="str">
        <f t="shared" si="5"/>
        <v>0</v>
      </c>
    </row>
    <row r="180" spans="1:9" x14ac:dyDescent="0.2">
      <c r="A180" s="782" t="str">
        <f>FIXED('Balance N-1'!A180,0,1)</f>
        <v>0</v>
      </c>
      <c r="B180" s="494">
        <f>+'Balance N-1'!B180</f>
        <v>0</v>
      </c>
      <c r="C180" s="592">
        <f>ROUND('Balance N-1'!C180,2)</f>
        <v>0</v>
      </c>
      <c r="D180" s="592">
        <f>ROUND('Balance N-1'!D180,2)</f>
        <v>0</v>
      </c>
      <c r="E180" s="592">
        <f>ROUND('Balance N-1'!E180,2)</f>
        <v>0</v>
      </c>
      <c r="F180" s="592">
        <f>ROUND('Balance N-1'!F180,2)</f>
        <v>0</v>
      </c>
      <c r="G180" s="592">
        <f>ROUND('Balance N-1'!G180,2)</f>
        <v>0</v>
      </c>
      <c r="H180" s="592">
        <f>ROUND('Balance N-1'!H180,2)</f>
        <v>0</v>
      </c>
      <c r="I180" s="2" t="str">
        <f t="shared" si="5"/>
        <v>0</v>
      </c>
    </row>
    <row r="181" spans="1:9" x14ac:dyDescent="0.2">
      <c r="A181" s="782" t="str">
        <f>FIXED('Balance N-1'!A181,0,1)</f>
        <v>0</v>
      </c>
      <c r="B181" s="494">
        <f>+'Balance N-1'!B181</f>
        <v>0</v>
      </c>
      <c r="C181" s="592">
        <f>ROUND('Balance N-1'!C181,2)</f>
        <v>0</v>
      </c>
      <c r="D181" s="592">
        <f>ROUND('Balance N-1'!D181,2)</f>
        <v>0</v>
      </c>
      <c r="E181" s="592">
        <f>ROUND('Balance N-1'!E181,2)</f>
        <v>0</v>
      </c>
      <c r="F181" s="592">
        <f>ROUND('Balance N-1'!F181,2)</f>
        <v>0</v>
      </c>
      <c r="G181" s="592">
        <f>ROUND('Balance N-1'!G181,2)</f>
        <v>0</v>
      </c>
      <c r="H181" s="592">
        <f>ROUND('Balance N-1'!H181,2)</f>
        <v>0</v>
      </c>
      <c r="I181" s="2" t="str">
        <f t="shared" si="5"/>
        <v>0</v>
      </c>
    </row>
    <row r="182" spans="1:9" x14ac:dyDescent="0.2">
      <c r="A182" s="782" t="str">
        <f>FIXED('Balance N-1'!A182,0,1)</f>
        <v>0</v>
      </c>
      <c r="B182" s="494">
        <f>+'Balance N-1'!B182</f>
        <v>0</v>
      </c>
      <c r="C182" s="592">
        <f>ROUND('Balance N-1'!C182,2)</f>
        <v>0</v>
      </c>
      <c r="D182" s="592">
        <f>ROUND('Balance N-1'!D182,2)</f>
        <v>0</v>
      </c>
      <c r="E182" s="592">
        <f>ROUND('Balance N-1'!E182,2)</f>
        <v>0</v>
      </c>
      <c r="F182" s="592">
        <f>ROUND('Balance N-1'!F182,2)</f>
        <v>0</v>
      </c>
      <c r="G182" s="592">
        <f>ROUND('Balance N-1'!G182,2)</f>
        <v>0</v>
      </c>
      <c r="H182" s="592">
        <f>ROUND('Balance N-1'!H182,2)</f>
        <v>0</v>
      </c>
      <c r="I182" s="2" t="str">
        <f t="shared" si="5"/>
        <v>0</v>
      </c>
    </row>
    <row r="183" spans="1:9" x14ac:dyDescent="0.2">
      <c r="A183" s="782" t="str">
        <f>FIXED('Balance N-1'!A183,0,1)</f>
        <v>0</v>
      </c>
      <c r="B183" s="494">
        <f>+'Balance N-1'!B183</f>
        <v>0</v>
      </c>
      <c r="C183" s="592">
        <f>ROUND('Balance N-1'!C183,2)</f>
        <v>0</v>
      </c>
      <c r="D183" s="592">
        <f>ROUND('Balance N-1'!D183,2)</f>
        <v>0</v>
      </c>
      <c r="E183" s="592">
        <f>ROUND('Balance N-1'!E183,2)</f>
        <v>0</v>
      </c>
      <c r="F183" s="592">
        <f>ROUND('Balance N-1'!F183,2)</f>
        <v>0</v>
      </c>
      <c r="G183" s="592">
        <f>ROUND('Balance N-1'!G183,2)</f>
        <v>0</v>
      </c>
      <c r="H183" s="592">
        <f>ROUND('Balance N-1'!H183,2)</f>
        <v>0</v>
      </c>
      <c r="I183" s="2" t="str">
        <f t="shared" si="5"/>
        <v>0</v>
      </c>
    </row>
    <row r="184" spans="1:9" x14ac:dyDescent="0.2">
      <c r="A184" s="782" t="str">
        <f>FIXED('Balance N-1'!A184,0,1)</f>
        <v>0</v>
      </c>
      <c r="B184" s="494">
        <f>+'Balance N-1'!B184</f>
        <v>0</v>
      </c>
      <c r="C184" s="592">
        <f>ROUND('Balance N-1'!C184,2)</f>
        <v>0</v>
      </c>
      <c r="D184" s="592">
        <f>ROUND('Balance N-1'!D184,2)</f>
        <v>0</v>
      </c>
      <c r="E184" s="592">
        <f>ROUND('Balance N-1'!E184,2)</f>
        <v>0</v>
      </c>
      <c r="F184" s="592">
        <f>ROUND('Balance N-1'!F184,2)</f>
        <v>0</v>
      </c>
      <c r="G184" s="592">
        <f>ROUND('Balance N-1'!G184,2)</f>
        <v>0</v>
      </c>
      <c r="H184" s="592">
        <f>ROUND('Balance N-1'!H184,2)</f>
        <v>0</v>
      </c>
      <c r="I184" s="2" t="str">
        <f t="shared" si="5"/>
        <v>0</v>
      </c>
    </row>
    <row r="185" spans="1:9" x14ac:dyDescent="0.2">
      <c r="A185" s="782" t="str">
        <f>FIXED('Balance N-1'!A185,0,1)</f>
        <v>0</v>
      </c>
      <c r="B185" s="494">
        <f>+'Balance N-1'!B185</f>
        <v>0</v>
      </c>
      <c r="C185" s="592">
        <f>ROUND('Balance N-1'!C185,2)</f>
        <v>0</v>
      </c>
      <c r="D185" s="592">
        <f>ROUND('Balance N-1'!D185,2)</f>
        <v>0</v>
      </c>
      <c r="E185" s="592">
        <f>ROUND('Balance N-1'!E185,2)</f>
        <v>0</v>
      </c>
      <c r="F185" s="592">
        <f>ROUND('Balance N-1'!F185,2)</f>
        <v>0</v>
      </c>
      <c r="G185" s="592">
        <f>ROUND('Balance N-1'!G185,2)</f>
        <v>0</v>
      </c>
      <c r="H185" s="592">
        <f>ROUND('Balance N-1'!H185,2)</f>
        <v>0</v>
      </c>
      <c r="I185" s="2" t="str">
        <f t="shared" si="5"/>
        <v>0</v>
      </c>
    </row>
    <row r="186" spans="1:9" x14ac:dyDescent="0.2">
      <c r="A186" s="782" t="str">
        <f>FIXED('Balance N-1'!A186,0,1)</f>
        <v>0</v>
      </c>
      <c r="B186" s="494">
        <f>+'Balance N-1'!B186</f>
        <v>0</v>
      </c>
      <c r="C186" s="592">
        <f>ROUND('Balance N-1'!C186,2)</f>
        <v>0</v>
      </c>
      <c r="D186" s="592">
        <f>ROUND('Balance N-1'!D186,2)</f>
        <v>0</v>
      </c>
      <c r="E186" s="592">
        <f>ROUND('Balance N-1'!E186,2)</f>
        <v>0</v>
      </c>
      <c r="F186" s="592">
        <f>ROUND('Balance N-1'!F186,2)</f>
        <v>0</v>
      </c>
      <c r="G186" s="592">
        <f>ROUND('Balance N-1'!G186,2)</f>
        <v>0</v>
      </c>
      <c r="H186" s="592">
        <f>ROUND('Balance N-1'!H186,2)</f>
        <v>0</v>
      </c>
      <c r="I186" s="2" t="str">
        <f t="shared" si="5"/>
        <v>0</v>
      </c>
    </row>
    <row r="187" spans="1:9" x14ac:dyDescent="0.2">
      <c r="A187" s="782" t="str">
        <f>FIXED('Balance N-1'!A187,0,1)</f>
        <v>0</v>
      </c>
      <c r="B187" s="494">
        <f>+'Balance N-1'!B187</f>
        <v>0</v>
      </c>
      <c r="C187" s="592">
        <f>ROUND('Balance N-1'!C187,2)</f>
        <v>0</v>
      </c>
      <c r="D187" s="592">
        <f>ROUND('Balance N-1'!D187,2)</f>
        <v>0</v>
      </c>
      <c r="E187" s="592">
        <f>ROUND('Balance N-1'!E187,2)</f>
        <v>0</v>
      </c>
      <c r="F187" s="592">
        <f>ROUND('Balance N-1'!F187,2)</f>
        <v>0</v>
      </c>
      <c r="G187" s="592">
        <f>ROUND('Balance N-1'!G187,2)</f>
        <v>0</v>
      </c>
      <c r="H187" s="592">
        <f>ROUND('Balance N-1'!H187,2)</f>
        <v>0</v>
      </c>
      <c r="I187" s="2" t="str">
        <f t="shared" si="5"/>
        <v>0</v>
      </c>
    </row>
    <row r="188" spans="1:9" x14ac:dyDescent="0.2">
      <c r="A188" s="782" t="str">
        <f>FIXED('Balance N-1'!A188,0,1)</f>
        <v>0</v>
      </c>
      <c r="B188" s="494">
        <f>+'Balance N-1'!B188</f>
        <v>0</v>
      </c>
      <c r="C188" s="592">
        <f>ROUND('Balance N-1'!C188,2)</f>
        <v>0</v>
      </c>
      <c r="D188" s="592">
        <f>ROUND('Balance N-1'!D188,2)</f>
        <v>0</v>
      </c>
      <c r="E188" s="592">
        <f>ROUND('Balance N-1'!E188,2)</f>
        <v>0</v>
      </c>
      <c r="F188" s="592">
        <f>ROUND('Balance N-1'!F188,2)</f>
        <v>0</v>
      </c>
      <c r="G188" s="592">
        <f>ROUND('Balance N-1'!G188,2)</f>
        <v>0</v>
      </c>
      <c r="H188" s="592">
        <f>ROUND('Balance N-1'!H188,2)</f>
        <v>0</v>
      </c>
      <c r="I188" s="2" t="str">
        <f t="shared" si="5"/>
        <v>0</v>
      </c>
    </row>
    <row r="189" spans="1:9" x14ac:dyDescent="0.2">
      <c r="A189" s="782" t="str">
        <f>FIXED('Balance N-1'!A189,0,1)</f>
        <v>0</v>
      </c>
      <c r="B189" s="494">
        <f>+'Balance N-1'!B189</f>
        <v>0</v>
      </c>
      <c r="C189" s="592">
        <f>ROUND('Balance N-1'!C189,2)</f>
        <v>0</v>
      </c>
      <c r="D189" s="592">
        <f>ROUND('Balance N-1'!D189,2)</f>
        <v>0</v>
      </c>
      <c r="E189" s="592">
        <f>ROUND('Balance N-1'!E189,2)</f>
        <v>0</v>
      </c>
      <c r="F189" s="592">
        <f>ROUND('Balance N-1'!F189,2)</f>
        <v>0</v>
      </c>
      <c r="G189" s="592">
        <f>ROUND('Balance N-1'!G189,2)</f>
        <v>0</v>
      </c>
      <c r="H189" s="592">
        <f>ROUND('Balance N-1'!H189,2)</f>
        <v>0</v>
      </c>
      <c r="I189" s="2" t="str">
        <f t="shared" si="5"/>
        <v>0</v>
      </c>
    </row>
    <row r="190" spans="1:9" x14ac:dyDescent="0.2">
      <c r="A190" s="782" t="str">
        <f>FIXED('Balance N-1'!A190,0,1)</f>
        <v>0</v>
      </c>
      <c r="B190" s="494">
        <f>+'Balance N-1'!B190</f>
        <v>0</v>
      </c>
      <c r="C190" s="592">
        <f>ROUND('Balance N-1'!C190,2)</f>
        <v>0</v>
      </c>
      <c r="D190" s="592">
        <f>ROUND('Balance N-1'!D190,2)</f>
        <v>0</v>
      </c>
      <c r="E190" s="592">
        <f>ROUND('Balance N-1'!E190,2)</f>
        <v>0</v>
      </c>
      <c r="F190" s="592">
        <f>ROUND('Balance N-1'!F190,2)</f>
        <v>0</v>
      </c>
      <c r="G190" s="592">
        <f>ROUND('Balance N-1'!G190,2)</f>
        <v>0</v>
      </c>
      <c r="H190" s="592">
        <f>ROUND('Balance N-1'!H190,2)</f>
        <v>0</v>
      </c>
      <c r="I190" s="2" t="str">
        <f t="shared" si="5"/>
        <v>0</v>
      </c>
    </row>
    <row r="191" spans="1:9" x14ac:dyDescent="0.2">
      <c r="A191" s="782" t="str">
        <f>FIXED('Balance N-1'!A191,0,1)</f>
        <v>0</v>
      </c>
      <c r="B191" s="494">
        <f>+'Balance N-1'!B191</f>
        <v>0</v>
      </c>
      <c r="C191" s="592">
        <f>ROUND('Balance N-1'!C191,2)</f>
        <v>0</v>
      </c>
      <c r="D191" s="592">
        <f>ROUND('Balance N-1'!D191,2)</f>
        <v>0</v>
      </c>
      <c r="E191" s="592">
        <f>ROUND('Balance N-1'!E191,2)</f>
        <v>0</v>
      </c>
      <c r="F191" s="592">
        <f>ROUND('Balance N-1'!F191,2)</f>
        <v>0</v>
      </c>
      <c r="G191" s="592">
        <f>ROUND('Balance N-1'!G191,2)</f>
        <v>0</v>
      </c>
      <c r="H191" s="592">
        <f>ROUND('Balance N-1'!H191,2)</f>
        <v>0</v>
      </c>
      <c r="I191" s="2" t="str">
        <f t="shared" si="5"/>
        <v>0</v>
      </c>
    </row>
    <row r="192" spans="1:9" x14ac:dyDescent="0.2">
      <c r="A192" s="782" t="str">
        <f>FIXED('Balance N-1'!A192,0,1)</f>
        <v>0</v>
      </c>
      <c r="B192" s="494">
        <f>+'Balance N-1'!B192</f>
        <v>0</v>
      </c>
      <c r="C192" s="592">
        <f>ROUND('Balance N-1'!C192,2)</f>
        <v>0</v>
      </c>
      <c r="D192" s="592">
        <f>ROUND('Balance N-1'!D192,2)</f>
        <v>0</v>
      </c>
      <c r="E192" s="592">
        <f>ROUND('Balance N-1'!E192,2)</f>
        <v>0</v>
      </c>
      <c r="F192" s="592">
        <f>ROUND('Balance N-1'!F192,2)</f>
        <v>0</v>
      </c>
      <c r="G192" s="592">
        <f>ROUND('Balance N-1'!G192,2)</f>
        <v>0</v>
      </c>
      <c r="H192" s="592">
        <f>ROUND('Balance N-1'!H192,2)</f>
        <v>0</v>
      </c>
      <c r="I192" s="2" t="str">
        <f t="shared" si="5"/>
        <v>0</v>
      </c>
    </row>
    <row r="193" spans="1:9" x14ac:dyDescent="0.2">
      <c r="A193" s="782" t="str">
        <f>FIXED('Balance N-1'!A193,0,1)</f>
        <v>0</v>
      </c>
      <c r="B193" s="494">
        <f>+'Balance N-1'!B193</f>
        <v>0</v>
      </c>
      <c r="C193" s="592">
        <f>ROUND('Balance N-1'!C193,2)</f>
        <v>0</v>
      </c>
      <c r="D193" s="592">
        <f>ROUND('Balance N-1'!D193,2)</f>
        <v>0</v>
      </c>
      <c r="E193" s="592">
        <f>ROUND('Balance N-1'!E193,2)</f>
        <v>0</v>
      </c>
      <c r="F193" s="592">
        <f>ROUND('Balance N-1'!F193,2)</f>
        <v>0</v>
      </c>
      <c r="G193" s="592">
        <f>ROUND('Balance N-1'!G193,2)</f>
        <v>0</v>
      </c>
      <c r="H193" s="592">
        <f>ROUND('Balance N-1'!H193,2)</f>
        <v>0</v>
      </c>
      <c r="I193" s="2" t="str">
        <f t="shared" si="5"/>
        <v>0</v>
      </c>
    </row>
    <row r="194" spans="1:9" x14ac:dyDescent="0.2">
      <c r="A194" s="782" t="str">
        <f>FIXED('Balance N-1'!A194,0,1)</f>
        <v>0</v>
      </c>
      <c r="B194" s="494">
        <f>+'Balance N-1'!B194</f>
        <v>0</v>
      </c>
      <c r="C194" s="592">
        <f>ROUND('Balance N-1'!C194,2)</f>
        <v>0</v>
      </c>
      <c r="D194" s="592">
        <f>ROUND('Balance N-1'!D194,2)</f>
        <v>0</v>
      </c>
      <c r="E194" s="592">
        <f>ROUND('Balance N-1'!E194,2)</f>
        <v>0</v>
      </c>
      <c r="F194" s="592">
        <f>ROUND('Balance N-1'!F194,2)</f>
        <v>0</v>
      </c>
      <c r="G194" s="592">
        <f>ROUND('Balance N-1'!G194,2)</f>
        <v>0</v>
      </c>
      <c r="H194" s="592">
        <f>ROUND('Balance N-1'!H194,2)</f>
        <v>0</v>
      </c>
      <c r="I194" s="2" t="str">
        <f t="shared" si="5"/>
        <v>0</v>
      </c>
    </row>
    <row r="195" spans="1:9" x14ac:dyDescent="0.2">
      <c r="A195" s="782" t="str">
        <f>FIXED('Balance N-1'!A195,0,1)</f>
        <v>0</v>
      </c>
      <c r="B195" s="494">
        <f>+'Balance N-1'!B195</f>
        <v>0</v>
      </c>
      <c r="C195" s="592">
        <f>ROUND('Balance N-1'!C195,2)</f>
        <v>0</v>
      </c>
      <c r="D195" s="592">
        <f>ROUND('Balance N-1'!D195,2)</f>
        <v>0</v>
      </c>
      <c r="E195" s="592">
        <f>ROUND('Balance N-1'!E195,2)</f>
        <v>0</v>
      </c>
      <c r="F195" s="592">
        <f>ROUND('Balance N-1'!F195,2)</f>
        <v>0</v>
      </c>
      <c r="G195" s="592">
        <f>ROUND('Balance N-1'!G195,2)</f>
        <v>0</v>
      </c>
      <c r="H195" s="592">
        <f>ROUND('Balance N-1'!H195,2)</f>
        <v>0</v>
      </c>
      <c r="I195" s="2" t="str">
        <f t="shared" ref="I195:I258" si="6">MID(A195,1,1)</f>
        <v>0</v>
      </c>
    </row>
    <row r="196" spans="1:9" x14ac:dyDescent="0.2">
      <c r="A196" s="782" t="str">
        <f>FIXED('Balance N-1'!A196,0,1)</f>
        <v>0</v>
      </c>
      <c r="B196" s="494">
        <f>+'Balance N-1'!B196</f>
        <v>0</v>
      </c>
      <c r="C196" s="592">
        <f>ROUND('Balance N-1'!C196,2)</f>
        <v>0</v>
      </c>
      <c r="D196" s="592">
        <f>ROUND('Balance N-1'!D196,2)</f>
        <v>0</v>
      </c>
      <c r="E196" s="592">
        <f>ROUND('Balance N-1'!E196,2)</f>
        <v>0</v>
      </c>
      <c r="F196" s="592">
        <f>ROUND('Balance N-1'!F196,2)</f>
        <v>0</v>
      </c>
      <c r="G196" s="592">
        <f>ROUND('Balance N-1'!G196,2)</f>
        <v>0</v>
      </c>
      <c r="H196" s="592">
        <f>ROUND('Balance N-1'!H196,2)</f>
        <v>0</v>
      </c>
      <c r="I196" s="2" t="str">
        <f t="shared" si="6"/>
        <v>0</v>
      </c>
    </row>
    <row r="197" spans="1:9" x14ac:dyDescent="0.2">
      <c r="A197" s="782" t="str">
        <f>FIXED('Balance N-1'!A197,0,1)</f>
        <v>0</v>
      </c>
      <c r="B197" s="494">
        <f>+'Balance N-1'!B197</f>
        <v>0</v>
      </c>
      <c r="C197" s="592">
        <f>ROUND('Balance N-1'!C197,2)</f>
        <v>0</v>
      </c>
      <c r="D197" s="592">
        <f>ROUND('Balance N-1'!D197,2)</f>
        <v>0</v>
      </c>
      <c r="E197" s="592">
        <f>ROUND('Balance N-1'!E197,2)</f>
        <v>0</v>
      </c>
      <c r="F197" s="592">
        <f>ROUND('Balance N-1'!F197,2)</f>
        <v>0</v>
      </c>
      <c r="G197" s="592">
        <f>ROUND('Balance N-1'!G197,2)</f>
        <v>0</v>
      </c>
      <c r="H197" s="592">
        <f>ROUND('Balance N-1'!H197,2)</f>
        <v>0</v>
      </c>
      <c r="I197" s="2" t="str">
        <f t="shared" si="6"/>
        <v>0</v>
      </c>
    </row>
    <row r="198" spans="1:9" x14ac:dyDescent="0.2">
      <c r="A198" s="782" t="str">
        <f>FIXED('Balance N-1'!A198,0,1)</f>
        <v>0</v>
      </c>
      <c r="B198" s="494">
        <f>+'Balance N-1'!B198</f>
        <v>0</v>
      </c>
      <c r="C198" s="592">
        <f>ROUND('Balance N-1'!C198,2)</f>
        <v>0</v>
      </c>
      <c r="D198" s="592">
        <f>ROUND('Balance N-1'!D198,2)</f>
        <v>0</v>
      </c>
      <c r="E198" s="592">
        <f>ROUND('Balance N-1'!E198,2)</f>
        <v>0</v>
      </c>
      <c r="F198" s="592">
        <f>ROUND('Balance N-1'!F198,2)</f>
        <v>0</v>
      </c>
      <c r="G198" s="592">
        <f>ROUND('Balance N-1'!G198,2)</f>
        <v>0</v>
      </c>
      <c r="H198" s="592">
        <f>ROUND('Balance N-1'!H198,2)</f>
        <v>0</v>
      </c>
      <c r="I198" s="2" t="str">
        <f t="shared" si="6"/>
        <v>0</v>
      </c>
    </row>
    <row r="199" spans="1:9" x14ac:dyDescent="0.2">
      <c r="A199" s="782" t="str">
        <f>FIXED('Balance N-1'!A199,0,1)</f>
        <v>0</v>
      </c>
      <c r="B199" s="494">
        <f>+'Balance N-1'!B199</f>
        <v>0</v>
      </c>
      <c r="C199" s="592">
        <f>ROUND('Balance N-1'!C199,2)</f>
        <v>0</v>
      </c>
      <c r="D199" s="592">
        <f>ROUND('Balance N-1'!D199,2)</f>
        <v>0</v>
      </c>
      <c r="E199" s="592">
        <f>ROUND('Balance N-1'!E199,2)</f>
        <v>0</v>
      </c>
      <c r="F199" s="592">
        <f>ROUND('Balance N-1'!F199,2)</f>
        <v>0</v>
      </c>
      <c r="G199" s="592">
        <f>ROUND('Balance N-1'!G199,2)</f>
        <v>0</v>
      </c>
      <c r="H199" s="592">
        <f>ROUND('Balance N-1'!H199,2)</f>
        <v>0</v>
      </c>
      <c r="I199" s="2" t="str">
        <f t="shared" si="6"/>
        <v>0</v>
      </c>
    </row>
    <row r="200" spans="1:9" x14ac:dyDescent="0.2">
      <c r="A200" s="782" t="str">
        <f>FIXED('Balance N-1'!A200,0,1)</f>
        <v>0</v>
      </c>
      <c r="B200" s="494">
        <f>+'Balance N-1'!B200</f>
        <v>0</v>
      </c>
      <c r="C200" s="592">
        <f>ROUND('Balance N-1'!C200,2)</f>
        <v>0</v>
      </c>
      <c r="D200" s="592">
        <f>ROUND('Balance N-1'!D200,2)</f>
        <v>0</v>
      </c>
      <c r="E200" s="592">
        <f>ROUND('Balance N-1'!E200,2)</f>
        <v>0</v>
      </c>
      <c r="F200" s="592">
        <f>ROUND('Balance N-1'!F200,2)</f>
        <v>0</v>
      </c>
      <c r="G200" s="592">
        <f>ROUND('Balance N-1'!G200,2)</f>
        <v>0</v>
      </c>
      <c r="H200" s="592">
        <f>ROUND('Balance N-1'!H200,2)</f>
        <v>0</v>
      </c>
      <c r="I200" s="2" t="str">
        <f t="shared" si="6"/>
        <v>0</v>
      </c>
    </row>
    <row r="201" spans="1:9" x14ac:dyDescent="0.2">
      <c r="A201" s="782" t="str">
        <f>FIXED('Balance N-1'!A201,0,1)</f>
        <v>0</v>
      </c>
      <c r="B201" s="494">
        <f>+'Balance N-1'!B201</f>
        <v>0</v>
      </c>
      <c r="C201" s="592">
        <f>ROUND('Balance N-1'!C201,2)</f>
        <v>0</v>
      </c>
      <c r="D201" s="592">
        <f>ROUND('Balance N-1'!D201,2)</f>
        <v>0</v>
      </c>
      <c r="E201" s="592">
        <f>ROUND('Balance N-1'!E201,2)</f>
        <v>0</v>
      </c>
      <c r="F201" s="592">
        <f>ROUND('Balance N-1'!F201,2)</f>
        <v>0</v>
      </c>
      <c r="G201" s="592">
        <f>ROUND('Balance N-1'!G201,2)</f>
        <v>0</v>
      </c>
      <c r="H201" s="592">
        <f>ROUND('Balance N-1'!H201,2)</f>
        <v>0</v>
      </c>
      <c r="I201" s="2" t="str">
        <f t="shared" si="6"/>
        <v>0</v>
      </c>
    </row>
    <row r="202" spans="1:9" x14ac:dyDescent="0.2">
      <c r="A202" s="782" t="str">
        <f>FIXED('Balance N-1'!A202,0,1)</f>
        <v>0</v>
      </c>
      <c r="B202" s="494">
        <f>+'Balance N-1'!B202</f>
        <v>0</v>
      </c>
      <c r="C202" s="592">
        <f>ROUND('Balance N-1'!C202,2)</f>
        <v>0</v>
      </c>
      <c r="D202" s="592">
        <f>ROUND('Balance N-1'!D202,2)</f>
        <v>0</v>
      </c>
      <c r="E202" s="592">
        <f>ROUND('Balance N-1'!E202,2)</f>
        <v>0</v>
      </c>
      <c r="F202" s="592">
        <f>ROUND('Balance N-1'!F202,2)</f>
        <v>0</v>
      </c>
      <c r="G202" s="592">
        <f>ROUND('Balance N-1'!G202,2)</f>
        <v>0</v>
      </c>
      <c r="H202" s="592">
        <f>ROUND('Balance N-1'!H202,2)</f>
        <v>0</v>
      </c>
      <c r="I202" s="2" t="str">
        <f t="shared" si="6"/>
        <v>0</v>
      </c>
    </row>
    <row r="203" spans="1:9" x14ac:dyDescent="0.2">
      <c r="A203" s="782" t="str">
        <f>FIXED('Balance N-1'!A203,0,1)</f>
        <v>0</v>
      </c>
      <c r="B203" s="494">
        <f>+'Balance N-1'!B203</f>
        <v>0</v>
      </c>
      <c r="C203" s="592">
        <f>ROUND('Balance N-1'!C203,2)</f>
        <v>0</v>
      </c>
      <c r="D203" s="592">
        <f>ROUND('Balance N-1'!D203,2)</f>
        <v>0</v>
      </c>
      <c r="E203" s="592">
        <f>ROUND('Balance N-1'!E203,2)</f>
        <v>0</v>
      </c>
      <c r="F203" s="592">
        <f>ROUND('Balance N-1'!F203,2)</f>
        <v>0</v>
      </c>
      <c r="G203" s="592">
        <f>ROUND('Balance N-1'!G203,2)</f>
        <v>0</v>
      </c>
      <c r="H203" s="592">
        <f>ROUND('Balance N-1'!H203,2)</f>
        <v>0</v>
      </c>
      <c r="I203" s="2" t="str">
        <f t="shared" si="6"/>
        <v>0</v>
      </c>
    </row>
    <row r="204" spans="1:9" x14ac:dyDescent="0.2">
      <c r="A204" s="782" t="str">
        <f>FIXED('Balance N-1'!A204,0,1)</f>
        <v>0</v>
      </c>
      <c r="B204" s="494">
        <f>+'Balance N-1'!B204</f>
        <v>0</v>
      </c>
      <c r="C204" s="592">
        <f>ROUND('Balance N-1'!C204,2)</f>
        <v>0</v>
      </c>
      <c r="D204" s="592">
        <f>ROUND('Balance N-1'!D204,2)</f>
        <v>0</v>
      </c>
      <c r="E204" s="592">
        <f>ROUND('Balance N-1'!E204,2)</f>
        <v>0</v>
      </c>
      <c r="F204" s="592">
        <f>ROUND('Balance N-1'!F204,2)</f>
        <v>0</v>
      </c>
      <c r="G204" s="592">
        <f>ROUND('Balance N-1'!G204,2)</f>
        <v>0</v>
      </c>
      <c r="H204" s="592">
        <f>ROUND('Balance N-1'!H204,2)</f>
        <v>0</v>
      </c>
      <c r="I204" s="2" t="str">
        <f t="shared" si="6"/>
        <v>0</v>
      </c>
    </row>
    <row r="205" spans="1:9" x14ac:dyDescent="0.2">
      <c r="A205" s="782" t="str">
        <f>FIXED('Balance N-1'!A205,0,1)</f>
        <v>0</v>
      </c>
      <c r="B205" s="494">
        <f>+'Balance N-1'!B205</f>
        <v>0</v>
      </c>
      <c r="C205" s="592">
        <f>ROUND('Balance N-1'!C205,2)</f>
        <v>0</v>
      </c>
      <c r="D205" s="592">
        <f>ROUND('Balance N-1'!D205,2)</f>
        <v>0</v>
      </c>
      <c r="E205" s="592">
        <f>ROUND('Balance N-1'!E205,2)</f>
        <v>0</v>
      </c>
      <c r="F205" s="592">
        <f>ROUND('Balance N-1'!F205,2)</f>
        <v>0</v>
      </c>
      <c r="G205" s="592">
        <f>ROUND('Balance N-1'!G205,2)</f>
        <v>0</v>
      </c>
      <c r="H205" s="592">
        <f>ROUND('Balance N-1'!H205,2)</f>
        <v>0</v>
      </c>
      <c r="I205" s="2" t="str">
        <f t="shared" si="6"/>
        <v>0</v>
      </c>
    </row>
    <row r="206" spans="1:9" x14ac:dyDescent="0.2">
      <c r="A206" s="782" t="str">
        <f>FIXED('Balance N-1'!A206,0,1)</f>
        <v>0</v>
      </c>
      <c r="B206" s="494">
        <f>+'Balance N-1'!B206</f>
        <v>0</v>
      </c>
      <c r="C206" s="592">
        <f>ROUND('Balance N-1'!C206,2)</f>
        <v>0</v>
      </c>
      <c r="D206" s="592">
        <f>ROUND('Balance N-1'!D206,2)</f>
        <v>0</v>
      </c>
      <c r="E206" s="592">
        <f>ROUND('Balance N-1'!E206,2)</f>
        <v>0</v>
      </c>
      <c r="F206" s="592">
        <f>ROUND('Balance N-1'!F206,2)</f>
        <v>0</v>
      </c>
      <c r="G206" s="592">
        <f>ROUND('Balance N-1'!G206,2)</f>
        <v>0</v>
      </c>
      <c r="H206" s="592">
        <f>ROUND('Balance N-1'!H206,2)</f>
        <v>0</v>
      </c>
      <c r="I206" s="2" t="str">
        <f t="shared" si="6"/>
        <v>0</v>
      </c>
    </row>
    <row r="207" spans="1:9" x14ac:dyDescent="0.2">
      <c r="A207" s="782" t="str">
        <f>FIXED('Balance N-1'!A207,0,1)</f>
        <v>0</v>
      </c>
      <c r="B207" s="494">
        <f>+'Balance N-1'!B207</f>
        <v>0</v>
      </c>
      <c r="C207" s="592">
        <f>ROUND('Balance N-1'!C207,2)</f>
        <v>0</v>
      </c>
      <c r="D207" s="592">
        <f>ROUND('Balance N-1'!D207,2)</f>
        <v>0</v>
      </c>
      <c r="E207" s="592">
        <f>ROUND('Balance N-1'!E207,2)</f>
        <v>0</v>
      </c>
      <c r="F207" s="592">
        <f>ROUND('Balance N-1'!F207,2)</f>
        <v>0</v>
      </c>
      <c r="G207" s="592">
        <f>ROUND('Balance N-1'!G207,2)</f>
        <v>0</v>
      </c>
      <c r="H207" s="592">
        <f>ROUND('Balance N-1'!H207,2)</f>
        <v>0</v>
      </c>
      <c r="I207" s="2" t="str">
        <f t="shared" si="6"/>
        <v>0</v>
      </c>
    </row>
    <row r="208" spans="1:9" x14ac:dyDescent="0.2">
      <c r="A208" s="782" t="str">
        <f>FIXED('Balance N-1'!A208,0,1)</f>
        <v>0</v>
      </c>
      <c r="B208" s="494">
        <f>+'Balance N-1'!B208</f>
        <v>0</v>
      </c>
      <c r="C208" s="592">
        <f>ROUND('Balance N-1'!C208,2)</f>
        <v>0</v>
      </c>
      <c r="D208" s="592">
        <f>ROUND('Balance N-1'!D208,2)</f>
        <v>0</v>
      </c>
      <c r="E208" s="592">
        <f>ROUND('Balance N-1'!E208,2)</f>
        <v>0</v>
      </c>
      <c r="F208" s="592">
        <f>ROUND('Balance N-1'!F208,2)</f>
        <v>0</v>
      </c>
      <c r="G208" s="592">
        <f>ROUND('Balance N-1'!G208,2)</f>
        <v>0</v>
      </c>
      <c r="H208" s="592">
        <f>ROUND('Balance N-1'!H208,2)</f>
        <v>0</v>
      </c>
      <c r="I208" s="2" t="str">
        <f t="shared" si="6"/>
        <v>0</v>
      </c>
    </row>
    <row r="209" spans="1:9" x14ac:dyDescent="0.2">
      <c r="A209" s="782" t="str">
        <f>FIXED('Balance N-1'!A209,0,1)</f>
        <v>0</v>
      </c>
      <c r="B209" s="494">
        <f>+'Balance N-1'!B209</f>
        <v>0</v>
      </c>
      <c r="C209" s="592">
        <f>ROUND('Balance N-1'!C209,2)</f>
        <v>0</v>
      </c>
      <c r="D209" s="592">
        <f>ROUND('Balance N-1'!D209,2)</f>
        <v>0</v>
      </c>
      <c r="E209" s="592">
        <f>ROUND('Balance N-1'!E209,2)</f>
        <v>0</v>
      </c>
      <c r="F209" s="592">
        <f>ROUND('Balance N-1'!F209,2)</f>
        <v>0</v>
      </c>
      <c r="G209" s="592">
        <f>ROUND('Balance N-1'!G209,2)</f>
        <v>0</v>
      </c>
      <c r="H209" s="592">
        <f>ROUND('Balance N-1'!H209,2)</f>
        <v>0</v>
      </c>
      <c r="I209" s="2" t="str">
        <f t="shared" si="6"/>
        <v>0</v>
      </c>
    </row>
    <row r="210" spans="1:9" x14ac:dyDescent="0.2">
      <c r="A210" s="782" t="str">
        <f>FIXED('Balance N-1'!A210,0,1)</f>
        <v>0</v>
      </c>
      <c r="B210" s="494">
        <f>+'Balance N-1'!B210</f>
        <v>0</v>
      </c>
      <c r="C210" s="592">
        <f>ROUND('Balance N-1'!C210,2)</f>
        <v>0</v>
      </c>
      <c r="D210" s="592">
        <f>ROUND('Balance N-1'!D210,2)</f>
        <v>0</v>
      </c>
      <c r="E210" s="592">
        <f>ROUND('Balance N-1'!E210,2)</f>
        <v>0</v>
      </c>
      <c r="F210" s="592">
        <f>ROUND('Balance N-1'!F210,2)</f>
        <v>0</v>
      </c>
      <c r="G210" s="592">
        <f>ROUND('Balance N-1'!G210,2)</f>
        <v>0</v>
      </c>
      <c r="H210" s="592">
        <f>ROUND('Balance N-1'!H210,2)</f>
        <v>0</v>
      </c>
      <c r="I210" s="2" t="str">
        <f t="shared" si="6"/>
        <v>0</v>
      </c>
    </row>
    <row r="211" spans="1:9" x14ac:dyDescent="0.2">
      <c r="A211" s="782" t="str">
        <f>FIXED('Balance N-1'!A211,0,1)</f>
        <v>0</v>
      </c>
      <c r="B211" s="494">
        <f>+'Balance N-1'!B211</f>
        <v>0</v>
      </c>
      <c r="C211" s="592">
        <f>ROUND('Balance N-1'!C211,2)</f>
        <v>0</v>
      </c>
      <c r="D211" s="592">
        <f>ROUND('Balance N-1'!D211,2)</f>
        <v>0</v>
      </c>
      <c r="E211" s="592">
        <f>ROUND('Balance N-1'!E211,2)</f>
        <v>0</v>
      </c>
      <c r="F211" s="592">
        <f>ROUND('Balance N-1'!F211,2)</f>
        <v>0</v>
      </c>
      <c r="G211" s="592">
        <f>ROUND('Balance N-1'!G211,2)</f>
        <v>0</v>
      </c>
      <c r="H211" s="592">
        <f>ROUND('Balance N-1'!H211,2)</f>
        <v>0</v>
      </c>
      <c r="I211" s="2" t="str">
        <f t="shared" si="6"/>
        <v>0</v>
      </c>
    </row>
    <row r="212" spans="1:9" x14ac:dyDescent="0.2">
      <c r="A212" s="782" t="str">
        <f>FIXED('Balance N-1'!A212,0,1)</f>
        <v>0</v>
      </c>
      <c r="B212" s="494">
        <f>+'Balance N-1'!B212</f>
        <v>0</v>
      </c>
      <c r="C212" s="592">
        <f>ROUND('Balance N-1'!C212,2)</f>
        <v>0</v>
      </c>
      <c r="D212" s="592">
        <f>ROUND('Balance N-1'!D212,2)</f>
        <v>0</v>
      </c>
      <c r="E212" s="592">
        <f>ROUND('Balance N-1'!E212,2)</f>
        <v>0</v>
      </c>
      <c r="F212" s="592">
        <f>ROUND('Balance N-1'!F212,2)</f>
        <v>0</v>
      </c>
      <c r="G212" s="592">
        <f>ROUND('Balance N-1'!G212,2)</f>
        <v>0</v>
      </c>
      <c r="H212" s="592">
        <f>ROUND('Balance N-1'!H212,2)</f>
        <v>0</v>
      </c>
      <c r="I212" s="2" t="str">
        <f t="shared" si="6"/>
        <v>0</v>
      </c>
    </row>
    <row r="213" spans="1:9" x14ac:dyDescent="0.2">
      <c r="A213" s="782" t="str">
        <f>FIXED('Balance N-1'!A213,0,1)</f>
        <v>0</v>
      </c>
      <c r="B213" s="494">
        <f>+'Balance N-1'!B213</f>
        <v>0</v>
      </c>
      <c r="C213" s="592">
        <f>ROUND('Balance N-1'!C213,2)</f>
        <v>0</v>
      </c>
      <c r="D213" s="592">
        <f>ROUND('Balance N-1'!D213,2)</f>
        <v>0</v>
      </c>
      <c r="E213" s="592">
        <f>ROUND('Balance N-1'!E213,2)</f>
        <v>0</v>
      </c>
      <c r="F213" s="592">
        <f>ROUND('Balance N-1'!F213,2)</f>
        <v>0</v>
      </c>
      <c r="G213" s="592">
        <f>ROUND('Balance N-1'!G213,2)</f>
        <v>0</v>
      </c>
      <c r="H213" s="592">
        <f>ROUND('Balance N-1'!H213,2)</f>
        <v>0</v>
      </c>
      <c r="I213" s="2" t="str">
        <f t="shared" si="6"/>
        <v>0</v>
      </c>
    </row>
    <row r="214" spans="1:9" x14ac:dyDescent="0.2">
      <c r="A214" s="782" t="str">
        <f>FIXED('Balance N-1'!A214,0,1)</f>
        <v>0</v>
      </c>
      <c r="B214" s="494">
        <f>+'Balance N-1'!B214</f>
        <v>0</v>
      </c>
      <c r="C214" s="592">
        <f>ROUND('Balance N-1'!C214,2)</f>
        <v>0</v>
      </c>
      <c r="D214" s="592">
        <f>ROUND('Balance N-1'!D214,2)</f>
        <v>0</v>
      </c>
      <c r="E214" s="592">
        <f>ROUND('Balance N-1'!E214,2)</f>
        <v>0</v>
      </c>
      <c r="F214" s="592">
        <f>ROUND('Balance N-1'!F214,2)</f>
        <v>0</v>
      </c>
      <c r="G214" s="592">
        <f>ROUND('Balance N-1'!G214,2)</f>
        <v>0</v>
      </c>
      <c r="H214" s="592">
        <f>ROUND('Balance N-1'!H214,2)</f>
        <v>0</v>
      </c>
      <c r="I214" s="2" t="str">
        <f t="shared" si="6"/>
        <v>0</v>
      </c>
    </row>
    <row r="215" spans="1:9" x14ac:dyDescent="0.2">
      <c r="A215" s="782" t="str">
        <f>FIXED('Balance N-1'!A215,0,1)</f>
        <v>0</v>
      </c>
      <c r="B215" s="494">
        <f>+'Balance N-1'!B215</f>
        <v>0</v>
      </c>
      <c r="C215" s="592">
        <f>ROUND('Balance N-1'!C215,2)</f>
        <v>0</v>
      </c>
      <c r="D215" s="592">
        <f>ROUND('Balance N-1'!D215,2)</f>
        <v>0</v>
      </c>
      <c r="E215" s="592">
        <f>ROUND('Balance N-1'!E215,2)</f>
        <v>0</v>
      </c>
      <c r="F215" s="592">
        <f>ROUND('Balance N-1'!F215,2)</f>
        <v>0</v>
      </c>
      <c r="G215" s="592">
        <f>ROUND('Balance N-1'!G215,2)</f>
        <v>0</v>
      </c>
      <c r="H215" s="592">
        <f>ROUND('Balance N-1'!H215,2)</f>
        <v>0</v>
      </c>
      <c r="I215" s="2" t="str">
        <f t="shared" si="6"/>
        <v>0</v>
      </c>
    </row>
    <row r="216" spans="1:9" x14ac:dyDescent="0.2">
      <c r="A216" s="782" t="str">
        <f>FIXED('Balance N-1'!A216,0,1)</f>
        <v>0</v>
      </c>
      <c r="B216" s="494">
        <f>+'Balance N-1'!B216</f>
        <v>0</v>
      </c>
      <c r="C216" s="592">
        <f>ROUND('Balance N-1'!C216,2)</f>
        <v>0</v>
      </c>
      <c r="D216" s="592">
        <f>ROUND('Balance N-1'!D216,2)</f>
        <v>0</v>
      </c>
      <c r="E216" s="592">
        <f>ROUND('Balance N-1'!E216,2)</f>
        <v>0</v>
      </c>
      <c r="F216" s="592">
        <f>ROUND('Balance N-1'!F216,2)</f>
        <v>0</v>
      </c>
      <c r="G216" s="592">
        <f>ROUND('Balance N-1'!G216,2)</f>
        <v>0</v>
      </c>
      <c r="H216" s="592">
        <f>ROUND('Balance N-1'!H216,2)</f>
        <v>0</v>
      </c>
      <c r="I216" s="2" t="str">
        <f t="shared" si="6"/>
        <v>0</v>
      </c>
    </row>
    <row r="217" spans="1:9" x14ac:dyDescent="0.2">
      <c r="A217" s="782" t="str">
        <f>FIXED('Balance N-1'!A217,0,1)</f>
        <v>0</v>
      </c>
      <c r="B217" s="494">
        <f>+'Balance N-1'!B217</f>
        <v>0</v>
      </c>
      <c r="C217" s="592">
        <f>ROUND('Balance N-1'!C217,2)</f>
        <v>0</v>
      </c>
      <c r="D217" s="592">
        <f>ROUND('Balance N-1'!D217,2)</f>
        <v>0</v>
      </c>
      <c r="E217" s="592">
        <f>ROUND('Balance N-1'!E217,2)</f>
        <v>0</v>
      </c>
      <c r="F217" s="592">
        <f>ROUND('Balance N-1'!F217,2)</f>
        <v>0</v>
      </c>
      <c r="G217" s="592">
        <f>ROUND('Balance N-1'!G217,2)</f>
        <v>0</v>
      </c>
      <c r="H217" s="592">
        <f>ROUND('Balance N-1'!H217,2)</f>
        <v>0</v>
      </c>
      <c r="I217" s="2" t="str">
        <f t="shared" si="6"/>
        <v>0</v>
      </c>
    </row>
    <row r="218" spans="1:9" x14ac:dyDescent="0.2">
      <c r="A218" s="782" t="str">
        <f>FIXED('Balance N-1'!A218,0,1)</f>
        <v>0</v>
      </c>
      <c r="B218" s="494">
        <f>+'Balance N-1'!B218</f>
        <v>0</v>
      </c>
      <c r="C218" s="592">
        <f>ROUND('Balance N-1'!C218,2)</f>
        <v>0</v>
      </c>
      <c r="D218" s="592">
        <f>ROUND('Balance N-1'!D218,2)</f>
        <v>0</v>
      </c>
      <c r="E218" s="592">
        <f>ROUND('Balance N-1'!E218,2)</f>
        <v>0</v>
      </c>
      <c r="F218" s="592">
        <f>ROUND('Balance N-1'!F218,2)</f>
        <v>0</v>
      </c>
      <c r="G218" s="592">
        <f>ROUND('Balance N-1'!G218,2)</f>
        <v>0</v>
      </c>
      <c r="H218" s="592">
        <f>ROUND('Balance N-1'!H218,2)</f>
        <v>0</v>
      </c>
      <c r="I218" s="2" t="str">
        <f t="shared" si="6"/>
        <v>0</v>
      </c>
    </row>
    <row r="219" spans="1:9" x14ac:dyDescent="0.2">
      <c r="A219" s="782" t="str">
        <f>FIXED('Balance N-1'!A219,0,1)</f>
        <v>0</v>
      </c>
      <c r="B219" s="494">
        <f>+'Balance N-1'!B219</f>
        <v>0</v>
      </c>
      <c r="C219" s="592">
        <f>ROUND('Balance N-1'!C219,2)</f>
        <v>0</v>
      </c>
      <c r="D219" s="592">
        <f>ROUND('Balance N-1'!D219,2)</f>
        <v>0</v>
      </c>
      <c r="E219" s="592">
        <f>ROUND('Balance N-1'!E219,2)</f>
        <v>0</v>
      </c>
      <c r="F219" s="592">
        <f>ROUND('Balance N-1'!F219,2)</f>
        <v>0</v>
      </c>
      <c r="G219" s="592">
        <f>ROUND('Balance N-1'!G219,2)</f>
        <v>0</v>
      </c>
      <c r="H219" s="592">
        <f>ROUND('Balance N-1'!H219,2)</f>
        <v>0</v>
      </c>
      <c r="I219" s="2" t="str">
        <f t="shared" si="6"/>
        <v>0</v>
      </c>
    </row>
    <row r="220" spans="1:9" x14ac:dyDescent="0.2">
      <c r="A220" s="782" t="str">
        <f>FIXED('Balance N-1'!A220,0,1)</f>
        <v>0</v>
      </c>
      <c r="B220" s="494">
        <f>+'Balance N-1'!B220</f>
        <v>0</v>
      </c>
      <c r="C220" s="592">
        <f>ROUND('Balance N-1'!C220,2)</f>
        <v>0</v>
      </c>
      <c r="D220" s="592">
        <f>ROUND('Balance N-1'!D220,2)</f>
        <v>0</v>
      </c>
      <c r="E220" s="592">
        <f>ROUND('Balance N-1'!E220,2)</f>
        <v>0</v>
      </c>
      <c r="F220" s="592">
        <f>ROUND('Balance N-1'!F220,2)</f>
        <v>0</v>
      </c>
      <c r="G220" s="592">
        <f>ROUND('Balance N-1'!G220,2)</f>
        <v>0</v>
      </c>
      <c r="H220" s="592">
        <f>ROUND('Balance N-1'!H220,2)</f>
        <v>0</v>
      </c>
      <c r="I220" s="2" t="str">
        <f t="shared" si="6"/>
        <v>0</v>
      </c>
    </row>
    <row r="221" spans="1:9" x14ac:dyDescent="0.2">
      <c r="A221" s="782" t="str">
        <f>FIXED('Balance N-1'!A221,0,1)</f>
        <v>0</v>
      </c>
      <c r="B221" s="494">
        <f>+'Balance N-1'!B221</f>
        <v>0</v>
      </c>
      <c r="C221" s="592">
        <f>ROUND('Balance N-1'!C221,2)</f>
        <v>0</v>
      </c>
      <c r="D221" s="592">
        <f>ROUND('Balance N-1'!D221,2)</f>
        <v>0</v>
      </c>
      <c r="E221" s="592">
        <f>ROUND('Balance N-1'!E221,2)</f>
        <v>0</v>
      </c>
      <c r="F221" s="592">
        <f>ROUND('Balance N-1'!F221,2)</f>
        <v>0</v>
      </c>
      <c r="G221" s="592">
        <f>ROUND('Balance N-1'!G221,2)</f>
        <v>0</v>
      </c>
      <c r="H221" s="592">
        <f>ROUND('Balance N-1'!H221,2)</f>
        <v>0</v>
      </c>
      <c r="I221" s="2" t="str">
        <f t="shared" si="6"/>
        <v>0</v>
      </c>
    </row>
    <row r="222" spans="1:9" x14ac:dyDescent="0.2">
      <c r="A222" s="782" t="str">
        <f>FIXED('Balance N-1'!A222,0,1)</f>
        <v>0</v>
      </c>
      <c r="B222" s="494">
        <f>+'Balance N-1'!B222</f>
        <v>0</v>
      </c>
      <c r="C222" s="592">
        <f>ROUND('Balance N-1'!C222,2)</f>
        <v>0</v>
      </c>
      <c r="D222" s="592">
        <f>ROUND('Balance N-1'!D222,2)</f>
        <v>0</v>
      </c>
      <c r="E222" s="592">
        <f>ROUND('Balance N-1'!E222,2)</f>
        <v>0</v>
      </c>
      <c r="F222" s="592">
        <f>ROUND('Balance N-1'!F222,2)</f>
        <v>0</v>
      </c>
      <c r="G222" s="592">
        <f>ROUND('Balance N-1'!G222,2)</f>
        <v>0</v>
      </c>
      <c r="H222" s="592">
        <f>ROUND('Balance N-1'!H222,2)</f>
        <v>0</v>
      </c>
      <c r="I222" s="2" t="str">
        <f t="shared" si="6"/>
        <v>0</v>
      </c>
    </row>
    <row r="223" spans="1:9" x14ac:dyDescent="0.2">
      <c r="A223" s="782" t="str">
        <f>FIXED('Balance N-1'!A223,0,1)</f>
        <v>0</v>
      </c>
      <c r="B223" s="494">
        <f>+'Balance N-1'!B223</f>
        <v>0</v>
      </c>
      <c r="C223" s="592">
        <f>ROUND('Balance N-1'!C223,2)</f>
        <v>0</v>
      </c>
      <c r="D223" s="592">
        <f>ROUND('Balance N-1'!D223,2)</f>
        <v>0</v>
      </c>
      <c r="E223" s="592">
        <f>ROUND('Balance N-1'!E223,2)</f>
        <v>0</v>
      </c>
      <c r="F223" s="592">
        <f>ROUND('Balance N-1'!F223,2)</f>
        <v>0</v>
      </c>
      <c r="G223" s="592">
        <f>ROUND('Balance N-1'!G223,2)</f>
        <v>0</v>
      </c>
      <c r="H223" s="592">
        <f>ROUND('Balance N-1'!H223,2)</f>
        <v>0</v>
      </c>
      <c r="I223" s="2" t="str">
        <f t="shared" si="6"/>
        <v>0</v>
      </c>
    </row>
    <row r="224" spans="1:9" x14ac:dyDescent="0.2">
      <c r="A224" s="782" t="str">
        <f>FIXED('Balance N-1'!A224,0,1)</f>
        <v>0</v>
      </c>
      <c r="B224" s="494">
        <f>+'Balance N-1'!B224</f>
        <v>0</v>
      </c>
      <c r="C224" s="592">
        <f>ROUND('Balance N-1'!C224,2)</f>
        <v>0</v>
      </c>
      <c r="D224" s="592">
        <f>ROUND('Balance N-1'!D224,2)</f>
        <v>0</v>
      </c>
      <c r="E224" s="592">
        <f>ROUND('Balance N-1'!E224,2)</f>
        <v>0</v>
      </c>
      <c r="F224" s="592">
        <f>ROUND('Balance N-1'!F224,2)</f>
        <v>0</v>
      </c>
      <c r="G224" s="592">
        <f>ROUND('Balance N-1'!G224,2)</f>
        <v>0</v>
      </c>
      <c r="H224" s="592">
        <f>ROUND('Balance N-1'!H224,2)</f>
        <v>0</v>
      </c>
      <c r="I224" s="2" t="str">
        <f t="shared" si="6"/>
        <v>0</v>
      </c>
    </row>
    <row r="225" spans="1:9" x14ac:dyDescent="0.2">
      <c r="A225" s="782" t="str">
        <f>FIXED('Balance N-1'!A225,0,1)</f>
        <v>0</v>
      </c>
      <c r="B225" s="494">
        <f>+'Balance N-1'!B225</f>
        <v>0</v>
      </c>
      <c r="C225" s="592">
        <f>ROUND('Balance N-1'!C225,2)</f>
        <v>0</v>
      </c>
      <c r="D225" s="592">
        <f>ROUND('Balance N-1'!D225,2)</f>
        <v>0</v>
      </c>
      <c r="E225" s="592">
        <f>ROUND('Balance N-1'!E225,2)</f>
        <v>0</v>
      </c>
      <c r="F225" s="592">
        <f>ROUND('Balance N-1'!F225,2)</f>
        <v>0</v>
      </c>
      <c r="G225" s="592">
        <f>ROUND('Balance N-1'!G225,2)</f>
        <v>0</v>
      </c>
      <c r="H225" s="592">
        <f>ROUND('Balance N-1'!H225,2)</f>
        <v>0</v>
      </c>
      <c r="I225" s="2" t="str">
        <f t="shared" si="6"/>
        <v>0</v>
      </c>
    </row>
    <row r="226" spans="1:9" x14ac:dyDescent="0.2">
      <c r="A226" s="782" t="str">
        <f>FIXED('Balance N-1'!A226,0,1)</f>
        <v>0</v>
      </c>
      <c r="B226" s="494">
        <f>+'Balance N-1'!B226</f>
        <v>0</v>
      </c>
      <c r="C226" s="592">
        <f>ROUND('Balance N-1'!C226,2)</f>
        <v>0</v>
      </c>
      <c r="D226" s="592">
        <f>ROUND('Balance N-1'!D226,2)</f>
        <v>0</v>
      </c>
      <c r="E226" s="592">
        <f>ROUND('Balance N-1'!E226,2)</f>
        <v>0</v>
      </c>
      <c r="F226" s="592">
        <f>ROUND('Balance N-1'!F226,2)</f>
        <v>0</v>
      </c>
      <c r="G226" s="592">
        <f>ROUND('Balance N-1'!G226,2)</f>
        <v>0</v>
      </c>
      <c r="H226" s="592">
        <f>ROUND('Balance N-1'!H226,2)</f>
        <v>0</v>
      </c>
      <c r="I226" s="2" t="str">
        <f t="shared" si="6"/>
        <v>0</v>
      </c>
    </row>
    <row r="227" spans="1:9" x14ac:dyDescent="0.2">
      <c r="A227" s="782" t="str">
        <f>FIXED('Balance N-1'!A227,0,1)</f>
        <v>0</v>
      </c>
      <c r="B227" s="494">
        <f>+'Balance N-1'!B227</f>
        <v>0</v>
      </c>
      <c r="C227" s="592">
        <f>ROUND('Balance N-1'!C227,2)</f>
        <v>0</v>
      </c>
      <c r="D227" s="592">
        <f>ROUND('Balance N-1'!D227,2)</f>
        <v>0</v>
      </c>
      <c r="E227" s="592">
        <f>ROUND('Balance N-1'!E227,2)</f>
        <v>0</v>
      </c>
      <c r="F227" s="592">
        <f>ROUND('Balance N-1'!F227,2)</f>
        <v>0</v>
      </c>
      <c r="G227" s="592">
        <f>ROUND('Balance N-1'!G227,2)</f>
        <v>0</v>
      </c>
      <c r="H227" s="592">
        <f>ROUND('Balance N-1'!H227,2)</f>
        <v>0</v>
      </c>
      <c r="I227" s="2" t="str">
        <f t="shared" si="6"/>
        <v>0</v>
      </c>
    </row>
    <row r="228" spans="1:9" x14ac:dyDescent="0.2">
      <c r="A228" s="782" t="str">
        <f>FIXED('Balance N-1'!A228,0,1)</f>
        <v>0</v>
      </c>
      <c r="B228" s="494">
        <f>+'Balance N-1'!B228</f>
        <v>0</v>
      </c>
      <c r="C228" s="592">
        <f>ROUND('Balance N-1'!C228,2)</f>
        <v>0</v>
      </c>
      <c r="D228" s="592">
        <f>ROUND('Balance N-1'!D228,2)</f>
        <v>0</v>
      </c>
      <c r="E228" s="592">
        <f>ROUND('Balance N-1'!E228,2)</f>
        <v>0</v>
      </c>
      <c r="F228" s="592">
        <f>ROUND('Balance N-1'!F228,2)</f>
        <v>0</v>
      </c>
      <c r="G228" s="592">
        <f>ROUND('Balance N-1'!G228,2)</f>
        <v>0</v>
      </c>
      <c r="H228" s="592">
        <f>ROUND('Balance N-1'!H228,2)</f>
        <v>0</v>
      </c>
      <c r="I228" s="2" t="str">
        <f t="shared" si="6"/>
        <v>0</v>
      </c>
    </row>
    <row r="229" spans="1:9" x14ac:dyDescent="0.2">
      <c r="A229" s="782" t="str">
        <f>FIXED('Balance N-1'!A229,0,1)</f>
        <v>0</v>
      </c>
      <c r="B229" s="494">
        <f>+'Balance N-1'!B229</f>
        <v>0</v>
      </c>
      <c r="C229" s="592">
        <f>ROUND('Balance N-1'!C229,2)</f>
        <v>0</v>
      </c>
      <c r="D229" s="592">
        <f>ROUND('Balance N-1'!D229,2)</f>
        <v>0</v>
      </c>
      <c r="E229" s="592">
        <f>ROUND('Balance N-1'!E229,2)</f>
        <v>0</v>
      </c>
      <c r="F229" s="592">
        <f>ROUND('Balance N-1'!F229,2)</f>
        <v>0</v>
      </c>
      <c r="G229" s="592">
        <f>ROUND('Balance N-1'!G229,2)</f>
        <v>0</v>
      </c>
      <c r="H229" s="592">
        <f>ROUND('Balance N-1'!H229,2)</f>
        <v>0</v>
      </c>
      <c r="I229" s="2" t="str">
        <f t="shared" si="6"/>
        <v>0</v>
      </c>
    </row>
    <row r="230" spans="1:9" x14ac:dyDescent="0.2">
      <c r="A230" s="782" t="str">
        <f>FIXED('Balance N-1'!A230,0,1)</f>
        <v>0</v>
      </c>
      <c r="B230" s="494">
        <f>+'Balance N-1'!B230</f>
        <v>0</v>
      </c>
      <c r="C230" s="592">
        <f>ROUND('Balance N-1'!C230,2)</f>
        <v>0</v>
      </c>
      <c r="D230" s="592">
        <f>ROUND('Balance N-1'!D230,2)</f>
        <v>0</v>
      </c>
      <c r="E230" s="592">
        <f>ROUND('Balance N-1'!E230,2)</f>
        <v>0</v>
      </c>
      <c r="F230" s="592">
        <f>ROUND('Balance N-1'!F230,2)</f>
        <v>0</v>
      </c>
      <c r="G230" s="592">
        <f>ROUND('Balance N-1'!G230,2)</f>
        <v>0</v>
      </c>
      <c r="H230" s="592">
        <f>ROUND('Balance N-1'!H230,2)</f>
        <v>0</v>
      </c>
      <c r="I230" s="2" t="str">
        <f t="shared" si="6"/>
        <v>0</v>
      </c>
    </row>
    <row r="231" spans="1:9" x14ac:dyDescent="0.2">
      <c r="A231" s="782" t="str">
        <f>FIXED('Balance N-1'!A231,0,1)</f>
        <v>0</v>
      </c>
      <c r="B231" s="494">
        <f>+'Balance N-1'!B231</f>
        <v>0</v>
      </c>
      <c r="C231" s="592">
        <f>ROUND('Balance N-1'!C231,2)</f>
        <v>0</v>
      </c>
      <c r="D231" s="592">
        <f>ROUND('Balance N-1'!D231,2)</f>
        <v>0</v>
      </c>
      <c r="E231" s="592">
        <f>ROUND('Balance N-1'!E231,2)</f>
        <v>0</v>
      </c>
      <c r="F231" s="592">
        <f>ROUND('Balance N-1'!F231,2)</f>
        <v>0</v>
      </c>
      <c r="G231" s="592">
        <f>ROUND('Balance N-1'!G231,2)</f>
        <v>0</v>
      </c>
      <c r="H231" s="592">
        <f>ROUND('Balance N-1'!H231,2)</f>
        <v>0</v>
      </c>
      <c r="I231" s="2" t="str">
        <f t="shared" si="6"/>
        <v>0</v>
      </c>
    </row>
    <row r="232" spans="1:9" x14ac:dyDescent="0.2">
      <c r="A232" s="782" t="str">
        <f>FIXED('Balance N-1'!A232,0,1)</f>
        <v>0</v>
      </c>
      <c r="B232" s="494">
        <f>+'Balance N-1'!B232</f>
        <v>0</v>
      </c>
      <c r="C232" s="592">
        <f>ROUND('Balance N-1'!C232,2)</f>
        <v>0</v>
      </c>
      <c r="D232" s="592">
        <f>ROUND('Balance N-1'!D232,2)</f>
        <v>0</v>
      </c>
      <c r="E232" s="592">
        <f>ROUND('Balance N-1'!E232,2)</f>
        <v>0</v>
      </c>
      <c r="F232" s="592">
        <f>ROUND('Balance N-1'!F232,2)</f>
        <v>0</v>
      </c>
      <c r="G232" s="592">
        <f>ROUND('Balance N-1'!G232,2)</f>
        <v>0</v>
      </c>
      <c r="H232" s="592">
        <f>ROUND('Balance N-1'!H232,2)</f>
        <v>0</v>
      </c>
      <c r="I232" s="2" t="str">
        <f t="shared" si="6"/>
        <v>0</v>
      </c>
    </row>
    <row r="233" spans="1:9" x14ac:dyDescent="0.2">
      <c r="A233" s="782" t="str">
        <f>FIXED('Balance N-1'!A233,0,1)</f>
        <v>0</v>
      </c>
      <c r="B233" s="494">
        <f>+'Balance N-1'!B233</f>
        <v>0</v>
      </c>
      <c r="C233" s="592">
        <f>ROUND('Balance N-1'!C233,2)</f>
        <v>0</v>
      </c>
      <c r="D233" s="592">
        <f>ROUND('Balance N-1'!D233,2)</f>
        <v>0</v>
      </c>
      <c r="E233" s="592">
        <f>ROUND('Balance N-1'!E233,2)</f>
        <v>0</v>
      </c>
      <c r="F233" s="592">
        <f>ROUND('Balance N-1'!F233,2)</f>
        <v>0</v>
      </c>
      <c r="G233" s="592">
        <f>ROUND('Balance N-1'!G233,2)</f>
        <v>0</v>
      </c>
      <c r="H233" s="592">
        <f>ROUND('Balance N-1'!H233,2)</f>
        <v>0</v>
      </c>
      <c r="I233" s="2" t="str">
        <f t="shared" si="6"/>
        <v>0</v>
      </c>
    </row>
    <row r="234" spans="1:9" x14ac:dyDescent="0.2">
      <c r="A234" s="782" t="str">
        <f>FIXED('Balance N-1'!A234,0,1)</f>
        <v>0</v>
      </c>
      <c r="B234" s="494">
        <f>+'Balance N-1'!B234</f>
        <v>0</v>
      </c>
      <c r="C234" s="592">
        <f>ROUND('Balance N-1'!C234,2)</f>
        <v>0</v>
      </c>
      <c r="D234" s="592">
        <f>ROUND('Balance N-1'!D234,2)</f>
        <v>0</v>
      </c>
      <c r="E234" s="592">
        <f>ROUND('Balance N-1'!E234,2)</f>
        <v>0</v>
      </c>
      <c r="F234" s="592">
        <f>ROUND('Balance N-1'!F234,2)</f>
        <v>0</v>
      </c>
      <c r="G234" s="592">
        <f>ROUND('Balance N-1'!G234,2)</f>
        <v>0</v>
      </c>
      <c r="H234" s="592">
        <f>ROUND('Balance N-1'!H234,2)</f>
        <v>0</v>
      </c>
      <c r="I234" s="2" t="str">
        <f t="shared" si="6"/>
        <v>0</v>
      </c>
    </row>
    <row r="235" spans="1:9" x14ac:dyDescent="0.2">
      <c r="A235" s="782" t="str">
        <f>FIXED('Balance N-1'!A235,0,1)</f>
        <v>0</v>
      </c>
      <c r="B235" s="494">
        <f>+'Balance N-1'!B235</f>
        <v>0</v>
      </c>
      <c r="C235" s="592">
        <f>ROUND('Balance N-1'!C235,2)</f>
        <v>0</v>
      </c>
      <c r="D235" s="592">
        <f>ROUND('Balance N-1'!D235,2)</f>
        <v>0</v>
      </c>
      <c r="E235" s="592">
        <f>ROUND('Balance N-1'!E235,2)</f>
        <v>0</v>
      </c>
      <c r="F235" s="592">
        <f>ROUND('Balance N-1'!F235,2)</f>
        <v>0</v>
      </c>
      <c r="G235" s="592">
        <f>ROUND('Balance N-1'!G235,2)</f>
        <v>0</v>
      </c>
      <c r="H235" s="592">
        <f>ROUND('Balance N-1'!H235,2)</f>
        <v>0</v>
      </c>
      <c r="I235" s="2" t="str">
        <f t="shared" si="6"/>
        <v>0</v>
      </c>
    </row>
    <row r="236" spans="1:9" x14ac:dyDescent="0.2">
      <c r="A236" s="782" t="str">
        <f>FIXED('Balance N-1'!A236,0,1)</f>
        <v>0</v>
      </c>
      <c r="B236" s="494">
        <f>+'Balance N-1'!B236</f>
        <v>0</v>
      </c>
      <c r="C236" s="592">
        <f>ROUND('Balance N-1'!C236,2)</f>
        <v>0</v>
      </c>
      <c r="D236" s="592">
        <f>ROUND('Balance N-1'!D236,2)</f>
        <v>0</v>
      </c>
      <c r="E236" s="592">
        <f>ROUND('Balance N-1'!E236,2)</f>
        <v>0</v>
      </c>
      <c r="F236" s="592">
        <f>ROUND('Balance N-1'!F236,2)</f>
        <v>0</v>
      </c>
      <c r="G236" s="592">
        <f>ROUND('Balance N-1'!G236,2)</f>
        <v>0</v>
      </c>
      <c r="H236" s="592">
        <f>ROUND('Balance N-1'!H236,2)</f>
        <v>0</v>
      </c>
      <c r="I236" s="2" t="str">
        <f t="shared" si="6"/>
        <v>0</v>
      </c>
    </row>
    <row r="237" spans="1:9" x14ac:dyDescent="0.2">
      <c r="A237" s="782" t="str">
        <f>FIXED('Balance N-1'!A237,0,1)</f>
        <v>0</v>
      </c>
      <c r="B237" s="494">
        <f>+'Balance N-1'!B237</f>
        <v>0</v>
      </c>
      <c r="C237" s="592">
        <f>ROUND('Balance N-1'!C237,2)</f>
        <v>0</v>
      </c>
      <c r="D237" s="592">
        <f>ROUND('Balance N-1'!D237,2)</f>
        <v>0</v>
      </c>
      <c r="E237" s="592">
        <f>ROUND('Balance N-1'!E237,2)</f>
        <v>0</v>
      </c>
      <c r="F237" s="592">
        <f>ROUND('Balance N-1'!F237,2)</f>
        <v>0</v>
      </c>
      <c r="G237" s="592">
        <f>ROUND('Balance N-1'!G237,2)</f>
        <v>0</v>
      </c>
      <c r="H237" s="592">
        <f>ROUND('Balance N-1'!H237,2)</f>
        <v>0</v>
      </c>
      <c r="I237" s="2" t="str">
        <f t="shared" si="6"/>
        <v>0</v>
      </c>
    </row>
    <row r="238" spans="1:9" x14ac:dyDescent="0.2">
      <c r="A238" s="782" t="str">
        <f>FIXED('Balance N-1'!A238,0,1)</f>
        <v>0</v>
      </c>
      <c r="B238" s="494">
        <f>+'Balance N-1'!B238</f>
        <v>0</v>
      </c>
      <c r="C238" s="592">
        <f>ROUND('Balance N-1'!C238,2)</f>
        <v>0</v>
      </c>
      <c r="D238" s="592">
        <f>ROUND('Balance N-1'!D238,2)</f>
        <v>0</v>
      </c>
      <c r="E238" s="592">
        <f>ROUND('Balance N-1'!E238,2)</f>
        <v>0</v>
      </c>
      <c r="F238" s="592">
        <f>ROUND('Balance N-1'!F238,2)</f>
        <v>0</v>
      </c>
      <c r="G238" s="592">
        <f>ROUND('Balance N-1'!G238,2)</f>
        <v>0</v>
      </c>
      <c r="H238" s="592">
        <f>ROUND('Balance N-1'!H238,2)</f>
        <v>0</v>
      </c>
      <c r="I238" s="2" t="str">
        <f t="shared" si="6"/>
        <v>0</v>
      </c>
    </row>
    <row r="239" spans="1:9" x14ac:dyDescent="0.2">
      <c r="A239" s="782" t="str">
        <f>FIXED('Balance N-1'!A239,0,1)</f>
        <v>0</v>
      </c>
      <c r="B239" s="494">
        <f>+'Balance N-1'!B239</f>
        <v>0</v>
      </c>
      <c r="C239" s="592">
        <f>ROUND('Balance N-1'!C239,2)</f>
        <v>0</v>
      </c>
      <c r="D239" s="592">
        <f>ROUND('Balance N-1'!D239,2)</f>
        <v>0</v>
      </c>
      <c r="E239" s="592">
        <f>ROUND('Balance N-1'!E239,2)</f>
        <v>0</v>
      </c>
      <c r="F239" s="592">
        <f>ROUND('Balance N-1'!F239,2)</f>
        <v>0</v>
      </c>
      <c r="G239" s="592">
        <f>ROUND('Balance N-1'!G239,2)</f>
        <v>0</v>
      </c>
      <c r="H239" s="592">
        <f>ROUND('Balance N-1'!H239,2)</f>
        <v>0</v>
      </c>
      <c r="I239" s="2" t="str">
        <f t="shared" si="6"/>
        <v>0</v>
      </c>
    </row>
    <row r="240" spans="1:9" x14ac:dyDescent="0.2">
      <c r="A240" s="782" t="str">
        <f>FIXED('Balance N-1'!A240,0,1)</f>
        <v>0</v>
      </c>
      <c r="B240" s="494">
        <f>+'Balance N-1'!B240</f>
        <v>0</v>
      </c>
      <c r="C240" s="592">
        <f>ROUND('Balance N-1'!C240,2)</f>
        <v>0</v>
      </c>
      <c r="D240" s="592">
        <f>ROUND('Balance N-1'!D240,2)</f>
        <v>0</v>
      </c>
      <c r="E240" s="592">
        <f>ROUND('Balance N-1'!E240,2)</f>
        <v>0</v>
      </c>
      <c r="F240" s="592">
        <f>ROUND('Balance N-1'!F240,2)</f>
        <v>0</v>
      </c>
      <c r="G240" s="592">
        <f>ROUND('Balance N-1'!G240,2)</f>
        <v>0</v>
      </c>
      <c r="H240" s="592">
        <f>ROUND('Balance N-1'!H240,2)</f>
        <v>0</v>
      </c>
      <c r="I240" s="2" t="str">
        <f t="shared" si="6"/>
        <v>0</v>
      </c>
    </row>
    <row r="241" spans="1:9" x14ac:dyDescent="0.2">
      <c r="A241" s="782" t="str">
        <f>FIXED('Balance N-1'!A241,0,1)</f>
        <v>0</v>
      </c>
      <c r="B241" s="494">
        <f>+'Balance N-1'!B241</f>
        <v>0</v>
      </c>
      <c r="C241" s="592">
        <f>ROUND('Balance N-1'!C241,2)</f>
        <v>0</v>
      </c>
      <c r="D241" s="592">
        <f>ROUND('Balance N-1'!D241,2)</f>
        <v>0</v>
      </c>
      <c r="E241" s="592">
        <f>ROUND('Balance N-1'!E241,2)</f>
        <v>0</v>
      </c>
      <c r="F241" s="592">
        <f>ROUND('Balance N-1'!F241,2)</f>
        <v>0</v>
      </c>
      <c r="G241" s="592">
        <f>ROUND('Balance N-1'!G241,2)</f>
        <v>0</v>
      </c>
      <c r="H241" s="592">
        <f>ROUND('Balance N-1'!H241,2)</f>
        <v>0</v>
      </c>
      <c r="I241" s="2" t="str">
        <f t="shared" si="6"/>
        <v>0</v>
      </c>
    </row>
    <row r="242" spans="1:9" x14ac:dyDescent="0.2">
      <c r="A242" s="782" t="str">
        <f>FIXED('Balance N-1'!A242,0,1)</f>
        <v>0</v>
      </c>
      <c r="B242" s="494">
        <f>+'Balance N-1'!B242</f>
        <v>0</v>
      </c>
      <c r="C242" s="592">
        <f>ROUND('Balance N-1'!C242,2)</f>
        <v>0</v>
      </c>
      <c r="D242" s="592">
        <f>ROUND('Balance N-1'!D242,2)</f>
        <v>0</v>
      </c>
      <c r="E242" s="592">
        <f>ROUND('Balance N-1'!E242,2)</f>
        <v>0</v>
      </c>
      <c r="F242" s="592">
        <f>ROUND('Balance N-1'!F242,2)</f>
        <v>0</v>
      </c>
      <c r="G242" s="592">
        <f>ROUND('Balance N-1'!G242,2)</f>
        <v>0</v>
      </c>
      <c r="H242" s="592">
        <f>ROUND('Balance N-1'!H242,2)</f>
        <v>0</v>
      </c>
      <c r="I242" s="2" t="str">
        <f t="shared" si="6"/>
        <v>0</v>
      </c>
    </row>
    <row r="243" spans="1:9" x14ac:dyDescent="0.2">
      <c r="A243" s="782" t="str">
        <f>FIXED('Balance N-1'!A243,0,1)</f>
        <v>0</v>
      </c>
      <c r="B243" s="494">
        <f>+'Balance N-1'!B243</f>
        <v>0</v>
      </c>
      <c r="C243" s="592">
        <f>ROUND('Balance N-1'!C243,2)</f>
        <v>0</v>
      </c>
      <c r="D243" s="592">
        <f>ROUND('Balance N-1'!D243,2)</f>
        <v>0</v>
      </c>
      <c r="E243" s="592">
        <f>ROUND('Balance N-1'!E243,2)</f>
        <v>0</v>
      </c>
      <c r="F243" s="592">
        <f>ROUND('Balance N-1'!F243,2)</f>
        <v>0</v>
      </c>
      <c r="G243" s="592">
        <f>ROUND('Balance N-1'!G243,2)</f>
        <v>0</v>
      </c>
      <c r="H243" s="592">
        <f>ROUND('Balance N-1'!H243,2)</f>
        <v>0</v>
      </c>
      <c r="I243" s="2" t="str">
        <f t="shared" si="6"/>
        <v>0</v>
      </c>
    </row>
    <row r="244" spans="1:9" x14ac:dyDescent="0.2">
      <c r="A244" s="782" t="str">
        <f>FIXED('Balance N-1'!A244,0,1)</f>
        <v>0</v>
      </c>
      <c r="B244" s="494">
        <f>+'Balance N-1'!B244</f>
        <v>0</v>
      </c>
      <c r="C244" s="592">
        <f>ROUND('Balance N-1'!C244,2)</f>
        <v>0</v>
      </c>
      <c r="D244" s="592">
        <f>ROUND('Balance N-1'!D244,2)</f>
        <v>0</v>
      </c>
      <c r="E244" s="592">
        <f>ROUND('Balance N-1'!E244,2)</f>
        <v>0</v>
      </c>
      <c r="F244" s="592">
        <f>ROUND('Balance N-1'!F244,2)</f>
        <v>0</v>
      </c>
      <c r="G244" s="592">
        <f>ROUND('Balance N-1'!G244,2)</f>
        <v>0</v>
      </c>
      <c r="H244" s="592">
        <f>ROUND('Balance N-1'!H244,2)</f>
        <v>0</v>
      </c>
      <c r="I244" s="2" t="str">
        <f t="shared" si="6"/>
        <v>0</v>
      </c>
    </row>
    <row r="245" spans="1:9" x14ac:dyDescent="0.2">
      <c r="A245" s="782" t="str">
        <f>FIXED('Balance N-1'!A245,0,1)</f>
        <v>0</v>
      </c>
      <c r="B245" s="494">
        <f>+'Balance N-1'!B245</f>
        <v>0</v>
      </c>
      <c r="C245" s="592">
        <f>ROUND('Balance N-1'!C245,2)</f>
        <v>0</v>
      </c>
      <c r="D245" s="592">
        <f>ROUND('Balance N-1'!D245,2)</f>
        <v>0</v>
      </c>
      <c r="E245" s="592">
        <f>ROUND('Balance N-1'!E245,2)</f>
        <v>0</v>
      </c>
      <c r="F245" s="592">
        <f>ROUND('Balance N-1'!F245,2)</f>
        <v>0</v>
      </c>
      <c r="G245" s="592">
        <f>ROUND('Balance N-1'!G245,2)</f>
        <v>0</v>
      </c>
      <c r="H245" s="592">
        <f>ROUND('Balance N-1'!H245,2)</f>
        <v>0</v>
      </c>
      <c r="I245" s="2" t="str">
        <f t="shared" si="6"/>
        <v>0</v>
      </c>
    </row>
    <row r="246" spans="1:9" x14ac:dyDescent="0.2">
      <c r="A246" s="782" t="str">
        <f>FIXED('Balance N-1'!A246,0,1)</f>
        <v>0</v>
      </c>
      <c r="B246" s="494">
        <f>+'Balance N-1'!B246</f>
        <v>0</v>
      </c>
      <c r="C246" s="592">
        <f>ROUND('Balance N-1'!C246,2)</f>
        <v>0</v>
      </c>
      <c r="D246" s="592">
        <f>ROUND('Balance N-1'!D246,2)</f>
        <v>0</v>
      </c>
      <c r="E246" s="592">
        <f>ROUND('Balance N-1'!E246,2)</f>
        <v>0</v>
      </c>
      <c r="F246" s="592">
        <f>ROUND('Balance N-1'!F246,2)</f>
        <v>0</v>
      </c>
      <c r="G246" s="592">
        <f>ROUND('Balance N-1'!G246,2)</f>
        <v>0</v>
      </c>
      <c r="H246" s="592">
        <f>ROUND('Balance N-1'!H246,2)</f>
        <v>0</v>
      </c>
      <c r="I246" s="2" t="str">
        <f t="shared" si="6"/>
        <v>0</v>
      </c>
    </row>
    <row r="247" spans="1:9" x14ac:dyDescent="0.2">
      <c r="A247" s="782" t="str">
        <f>FIXED('Balance N-1'!A247,0,1)</f>
        <v>0</v>
      </c>
      <c r="B247" s="494">
        <f>+'Balance N-1'!B247</f>
        <v>0</v>
      </c>
      <c r="C247" s="592">
        <f>ROUND('Balance N-1'!C247,2)</f>
        <v>0</v>
      </c>
      <c r="D247" s="592">
        <f>ROUND('Balance N-1'!D247,2)</f>
        <v>0</v>
      </c>
      <c r="E247" s="592">
        <f>ROUND('Balance N-1'!E247,2)</f>
        <v>0</v>
      </c>
      <c r="F247" s="592">
        <f>ROUND('Balance N-1'!F247,2)</f>
        <v>0</v>
      </c>
      <c r="G247" s="592">
        <f>ROUND('Balance N-1'!G247,2)</f>
        <v>0</v>
      </c>
      <c r="H247" s="592">
        <f>ROUND('Balance N-1'!H247,2)</f>
        <v>0</v>
      </c>
      <c r="I247" s="2" t="str">
        <f t="shared" si="6"/>
        <v>0</v>
      </c>
    </row>
    <row r="248" spans="1:9" x14ac:dyDescent="0.2">
      <c r="A248" s="782" t="str">
        <f>FIXED('Balance N-1'!A248,0,1)</f>
        <v>0</v>
      </c>
      <c r="B248" s="494">
        <f>+'Balance N-1'!B248</f>
        <v>0</v>
      </c>
      <c r="C248" s="592">
        <f>ROUND('Balance N-1'!C248,2)</f>
        <v>0</v>
      </c>
      <c r="D248" s="592">
        <f>ROUND('Balance N-1'!D248,2)</f>
        <v>0</v>
      </c>
      <c r="E248" s="592">
        <f>ROUND('Balance N-1'!E248,2)</f>
        <v>0</v>
      </c>
      <c r="F248" s="592">
        <f>ROUND('Balance N-1'!F248,2)</f>
        <v>0</v>
      </c>
      <c r="G248" s="592">
        <f>ROUND('Balance N-1'!G248,2)</f>
        <v>0</v>
      </c>
      <c r="H248" s="592">
        <f>ROUND('Balance N-1'!H248,2)</f>
        <v>0</v>
      </c>
      <c r="I248" s="2" t="str">
        <f t="shared" si="6"/>
        <v>0</v>
      </c>
    </row>
    <row r="249" spans="1:9" x14ac:dyDescent="0.2">
      <c r="A249" s="782" t="str">
        <f>FIXED('Balance N-1'!A249,0,1)</f>
        <v>0</v>
      </c>
      <c r="B249" s="494">
        <f>+'Balance N-1'!B249</f>
        <v>0</v>
      </c>
      <c r="C249" s="592">
        <f>ROUND('Balance N-1'!C249,2)</f>
        <v>0</v>
      </c>
      <c r="D249" s="592">
        <f>ROUND('Balance N-1'!D249,2)</f>
        <v>0</v>
      </c>
      <c r="E249" s="592">
        <f>ROUND('Balance N-1'!E249,2)</f>
        <v>0</v>
      </c>
      <c r="F249" s="592">
        <f>ROUND('Balance N-1'!F249,2)</f>
        <v>0</v>
      </c>
      <c r="G249" s="592">
        <f>ROUND('Balance N-1'!G249,2)</f>
        <v>0</v>
      </c>
      <c r="H249" s="592">
        <f>ROUND('Balance N-1'!H249,2)</f>
        <v>0</v>
      </c>
      <c r="I249" s="2" t="str">
        <f t="shared" si="6"/>
        <v>0</v>
      </c>
    </row>
    <row r="250" spans="1:9" x14ac:dyDescent="0.2">
      <c r="A250" s="782" t="str">
        <f>FIXED('Balance N-1'!A250,0,1)</f>
        <v>0</v>
      </c>
      <c r="B250" s="494">
        <f>+'Balance N-1'!B250</f>
        <v>0</v>
      </c>
      <c r="C250" s="592">
        <f>ROUND('Balance N-1'!C250,2)</f>
        <v>0</v>
      </c>
      <c r="D250" s="592">
        <f>ROUND('Balance N-1'!D250,2)</f>
        <v>0</v>
      </c>
      <c r="E250" s="592">
        <f>ROUND('Balance N-1'!E250,2)</f>
        <v>0</v>
      </c>
      <c r="F250" s="592">
        <f>ROUND('Balance N-1'!F250,2)</f>
        <v>0</v>
      </c>
      <c r="G250" s="592">
        <f>ROUND('Balance N-1'!G250,2)</f>
        <v>0</v>
      </c>
      <c r="H250" s="592">
        <f>ROUND('Balance N-1'!H250,2)</f>
        <v>0</v>
      </c>
      <c r="I250" s="2" t="str">
        <f t="shared" si="6"/>
        <v>0</v>
      </c>
    </row>
    <row r="251" spans="1:9" x14ac:dyDescent="0.2">
      <c r="A251" s="782" t="str">
        <f>FIXED('Balance N-1'!A251,0,1)</f>
        <v>0</v>
      </c>
      <c r="B251" s="494">
        <f>+'Balance N-1'!B251</f>
        <v>0</v>
      </c>
      <c r="C251" s="592">
        <f>ROUND('Balance N-1'!C251,2)</f>
        <v>0</v>
      </c>
      <c r="D251" s="592">
        <f>ROUND('Balance N-1'!D251,2)</f>
        <v>0</v>
      </c>
      <c r="E251" s="592">
        <f>ROUND('Balance N-1'!E251,2)</f>
        <v>0</v>
      </c>
      <c r="F251" s="592">
        <f>ROUND('Balance N-1'!F251,2)</f>
        <v>0</v>
      </c>
      <c r="G251" s="592">
        <f>ROUND('Balance N-1'!G251,2)</f>
        <v>0</v>
      </c>
      <c r="H251" s="592">
        <f>ROUND('Balance N-1'!H251,2)</f>
        <v>0</v>
      </c>
      <c r="I251" s="2" t="str">
        <f t="shared" si="6"/>
        <v>0</v>
      </c>
    </row>
    <row r="252" spans="1:9" x14ac:dyDescent="0.2">
      <c r="A252" s="782" t="str">
        <f>FIXED('Balance N-1'!A252,0,1)</f>
        <v>0</v>
      </c>
      <c r="B252" s="494">
        <f>+'Balance N-1'!B252</f>
        <v>0</v>
      </c>
      <c r="C252" s="592">
        <f>ROUND('Balance N-1'!C252,2)</f>
        <v>0</v>
      </c>
      <c r="D252" s="592">
        <f>ROUND('Balance N-1'!D252,2)</f>
        <v>0</v>
      </c>
      <c r="E252" s="592">
        <f>ROUND('Balance N-1'!E252,2)</f>
        <v>0</v>
      </c>
      <c r="F252" s="592">
        <f>ROUND('Balance N-1'!F252,2)</f>
        <v>0</v>
      </c>
      <c r="G252" s="592">
        <f>ROUND('Balance N-1'!G252,2)</f>
        <v>0</v>
      </c>
      <c r="H252" s="592">
        <f>ROUND('Balance N-1'!H252,2)</f>
        <v>0</v>
      </c>
      <c r="I252" s="2" t="str">
        <f t="shared" si="6"/>
        <v>0</v>
      </c>
    </row>
    <row r="253" spans="1:9" x14ac:dyDescent="0.2">
      <c r="A253" s="782" t="str">
        <f>FIXED('Balance N-1'!A253,0,1)</f>
        <v>0</v>
      </c>
      <c r="B253" s="494">
        <f>+'Balance N-1'!B253</f>
        <v>0</v>
      </c>
      <c r="C253" s="592">
        <f>ROUND('Balance N-1'!C253,2)</f>
        <v>0</v>
      </c>
      <c r="D253" s="592">
        <f>ROUND('Balance N-1'!D253,2)</f>
        <v>0</v>
      </c>
      <c r="E253" s="592">
        <f>ROUND('Balance N-1'!E253,2)</f>
        <v>0</v>
      </c>
      <c r="F253" s="592">
        <f>ROUND('Balance N-1'!F253,2)</f>
        <v>0</v>
      </c>
      <c r="G253" s="592">
        <f>ROUND('Balance N-1'!G253,2)</f>
        <v>0</v>
      </c>
      <c r="H253" s="592">
        <f>ROUND('Balance N-1'!H253,2)</f>
        <v>0</v>
      </c>
      <c r="I253" s="2" t="str">
        <f t="shared" si="6"/>
        <v>0</v>
      </c>
    </row>
    <row r="254" spans="1:9" x14ac:dyDescent="0.2">
      <c r="A254" s="782" t="e">
        <f>FIXED('Balance N-1'!#REF!,0,1)</f>
        <v>#REF!</v>
      </c>
      <c r="B254" s="494" t="e">
        <f>+'Balance N-1'!#REF!</f>
        <v>#REF!</v>
      </c>
      <c r="C254" s="592" t="e">
        <f>ROUND('Balance N-1'!#REF!,2)</f>
        <v>#REF!</v>
      </c>
      <c r="D254" s="592" t="e">
        <f>ROUND('Balance N-1'!#REF!,2)</f>
        <v>#REF!</v>
      </c>
      <c r="E254" s="592" t="e">
        <f>ROUND('Balance N-1'!#REF!,2)</f>
        <v>#REF!</v>
      </c>
      <c r="F254" s="592" t="e">
        <f>ROUND('Balance N-1'!#REF!,2)</f>
        <v>#REF!</v>
      </c>
      <c r="G254" s="592" t="e">
        <f>ROUND('Balance N-1'!#REF!,2)</f>
        <v>#REF!</v>
      </c>
      <c r="H254" s="592" t="e">
        <f>ROUND('Balance N-1'!#REF!,2)</f>
        <v>#REF!</v>
      </c>
      <c r="I254" s="2" t="e">
        <f t="shared" si="6"/>
        <v>#REF!</v>
      </c>
    </row>
    <row r="255" spans="1:9" x14ac:dyDescent="0.2">
      <c r="A255" s="782" t="e">
        <f>FIXED('Balance N-1'!#REF!,0,1)</f>
        <v>#REF!</v>
      </c>
      <c r="B255" s="494" t="e">
        <f>+'Balance N-1'!#REF!</f>
        <v>#REF!</v>
      </c>
      <c r="C255" s="592" t="e">
        <f>ROUND('Balance N-1'!#REF!,2)</f>
        <v>#REF!</v>
      </c>
      <c r="D255" s="592" t="e">
        <f>ROUND('Balance N-1'!#REF!,2)</f>
        <v>#REF!</v>
      </c>
      <c r="E255" s="592" t="e">
        <f>ROUND('Balance N-1'!#REF!,2)</f>
        <v>#REF!</v>
      </c>
      <c r="F255" s="592" t="e">
        <f>ROUND('Balance N-1'!#REF!,2)</f>
        <v>#REF!</v>
      </c>
      <c r="G255" s="592" t="e">
        <f>ROUND('Balance N-1'!#REF!,2)</f>
        <v>#REF!</v>
      </c>
      <c r="H255" s="592" t="e">
        <f>ROUND('Balance N-1'!#REF!,2)</f>
        <v>#REF!</v>
      </c>
      <c r="I255" s="2" t="e">
        <f t="shared" si="6"/>
        <v>#REF!</v>
      </c>
    </row>
    <row r="256" spans="1:9" x14ac:dyDescent="0.2">
      <c r="A256" s="782" t="e">
        <f>FIXED('Balance N-1'!#REF!,0,1)</f>
        <v>#REF!</v>
      </c>
      <c r="B256" s="494" t="e">
        <f>+'Balance N-1'!#REF!</f>
        <v>#REF!</v>
      </c>
      <c r="C256" s="592" t="e">
        <f>ROUND('Balance N-1'!#REF!,2)</f>
        <v>#REF!</v>
      </c>
      <c r="D256" s="592" t="e">
        <f>ROUND('Balance N-1'!#REF!,2)</f>
        <v>#REF!</v>
      </c>
      <c r="E256" s="592" t="e">
        <f>ROUND('Balance N-1'!#REF!,2)</f>
        <v>#REF!</v>
      </c>
      <c r="F256" s="592" t="e">
        <f>ROUND('Balance N-1'!#REF!,2)</f>
        <v>#REF!</v>
      </c>
      <c r="G256" s="592" t="e">
        <f>ROUND('Balance N-1'!#REF!,2)</f>
        <v>#REF!</v>
      </c>
      <c r="H256" s="592" t="e">
        <f>ROUND('Balance N-1'!#REF!,2)</f>
        <v>#REF!</v>
      </c>
      <c r="I256" s="2" t="e">
        <f t="shared" si="6"/>
        <v>#REF!</v>
      </c>
    </row>
    <row r="257" spans="1:9" x14ac:dyDescent="0.2">
      <c r="A257" s="782" t="e">
        <f>FIXED('Balance N-1'!#REF!,0,1)</f>
        <v>#REF!</v>
      </c>
      <c r="B257" s="494" t="e">
        <f>+'Balance N-1'!#REF!</f>
        <v>#REF!</v>
      </c>
      <c r="C257" s="592" t="e">
        <f>ROUND('Balance N-1'!#REF!,2)</f>
        <v>#REF!</v>
      </c>
      <c r="D257" s="592" t="e">
        <f>ROUND('Balance N-1'!#REF!,2)</f>
        <v>#REF!</v>
      </c>
      <c r="E257" s="592" t="e">
        <f>ROUND('Balance N-1'!#REF!,2)</f>
        <v>#REF!</v>
      </c>
      <c r="F257" s="592" t="e">
        <f>ROUND('Balance N-1'!#REF!,2)</f>
        <v>#REF!</v>
      </c>
      <c r="G257" s="592" t="e">
        <f>ROUND('Balance N-1'!#REF!,2)</f>
        <v>#REF!</v>
      </c>
      <c r="H257" s="592" t="e">
        <f>ROUND('Balance N-1'!#REF!,2)</f>
        <v>#REF!</v>
      </c>
      <c r="I257" s="2" t="e">
        <f t="shared" si="6"/>
        <v>#REF!</v>
      </c>
    </row>
    <row r="258" spans="1:9" x14ac:dyDescent="0.2">
      <c r="A258" s="782" t="e">
        <f>FIXED('Balance N-1'!#REF!,0,1)</f>
        <v>#REF!</v>
      </c>
      <c r="B258" s="494" t="e">
        <f>+'Balance N-1'!#REF!</f>
        <v>#REF!</v>
      </c>
      <c r="C258" s="592" t="e">
        <f>ROUND('Balance N-1'!#REF!,2)</f>
        <v>#REF!</v>
      </c>
      <c r="D258" s="592" t="e">
        <f>ROUND('Balance N-1'!#REF!,2)</f>
        <v>#REF!</v>
      </c>
      <c r="E258" s="592" t="e">
        <f>ROUND('Balance N-1'!#REF!,2)</f>
        <v>#REF!</v>
      </c>
      <c r="F258" s="592" t="e">
        <f>ROUND('Balance N-1'!#REF!,2)</f>
        <v>#REF!</v>
      </c>
      <c r="G258" s="592" t="e">
        <f>ROUND('Balance N-1'!#REF!,2)</f>
        <v>#REF!</v>
      </c>
      <c r="H258" s="592" t="e">
        <f>ROUND('Balance N-1'!#REF!,2)</f>
        <v>#REF!</v>
      </c>
      <c r="I258" s="2" t="e">
        <f t="shared" si="6"/>
        <v>#REF!</v>
      </c>
    </row>
    <row r="259" spans="1:9" x14ac:dyDescent="0.2">
      <c r="A259" s="782" t="e">
        <f>FIXED('Balance N-1'!#REF!,0,1)</f>
        <v>#REF!</v>
      </c>
      <c r="B259" s="494" t="e">
        <f>+'Balance N-1'!#REF!</f>
        <v>#REF!</v>
      </c>
      <c r="C259" s="592" t="e">
        <f>ROUND('Balance N-1'!#REF!,2)</f>
        <v>#REF!</v>
      </c>
      <c r="D259" s="592" t="e">
        <f>ROUND('Balance N-1'!#REF!,2)</f>
        <v>#REF!</v>
      </c>
      <c r="E259" s="592" t="e">
        <f>ROUND('Balance N-1'!#REF!,2)</f>
        <v>#REF!</v>
      </c>
      <c r="F259" s="592" t="e">
        <f>ROUND('Balance N-1'!#REF!,2)</f>
        <v>#REF!</v>
      </c>
      <c r="G259" s="592" t="e">
        <f>ROUND('Balance N-1'!#REF!,2)</f>
        <v>#REF!</v>
      </c>
      <c r="H259" s="592" t="e">
        <f>ROUND('Balance N-1'!#REF!,2)</f>
        <v>#REF!</v>
      </c>
      <c r="I259" s="2" t="e">
        <f t="shared" ref="I259:I322" si="7">MID(A259,1,1)</f>
        <v>#REF!</v>
      </c>
    </row>
    <row r="260" spans="1:9" x14ac:dyDescent="0.2">
      <c r="A260" s="782" t="e">
        <f>FIXED('Balance N-1'!#REF!,0,1)</f>
        <v>#REF!</v>
      </c>
      <c r="B260" s="494" t="e">
        <f>+'Balance N-1'!#REF!</f>
        <v>#REF!</v>
      </c>
      <c r="C260" s="592" t="e">
        <f>ROUND('Balance N-1'!#REF!,2)</f>
        <v>#REF!</v>
      </c>
      <c r="D260" s="592" t="e">
        <f>ROUND('Balance N-1'!#REF!,2)</f>
        <v>#REF!</v>
      </c>
      <c r="E260" s="592" t="e">
        <f>ROUND('Balance N-1'!#REF!,2)</f>
        <v>#REF!</v>
      </c>
      <c r="F260" s="592" t="e">
        <f>ROUND('Balance N-1'!#REF!,2)</f>
        <v>#REF!</v>
      </c>
      <c r="G260" s="592" t="e">
        <f>ROUND('Balance N-1'!#REF!,2)</f>
        <v>#REF!</v>
      </c>
      <c r="H260" s="592" t="e">
        <f>ROUND('Balance N-1'!#REF!,2)</f>
        <v>#REF!</v>
      </c>
      <c r="I260" s="2" t="e">
        <f t="shared" si="7"/>
        <v>#REF!</v>
      </c>
    </row>
    <row r="261" spans="1:9" x14ac:dyDescent="0.2">
      <c r="A261" s="782" t="e">
        <f>FIXED('Balance N-1'!#REF!,0,1)</f>
        <v>#REF!</v>
      </c>
      <c r="B261" s="494" t="e">
        <f>+'Balance N-1'!#REF!</f>
        <v>#REF!</v>
      </c>
      <c r="C261" s="592" t="e">
        <f>ROUND('Balance N-1'!#REF!,2)</f>
        <v>#REF!</v>
      </c>
      <c r="D261" s="592" t="e">
        <f>ROUND('Balance N-1'!#REF!,2)</f>
        <v>#REF!</v>
      </c>
      <c r="E261" s="592" t="e">
        <f>ROUND('Balance N-1'!#REF!,2)</f>
        <v>#REF!</v>
      </c>
      <c r="F261" s="592" t="e">
        <f>ROUND('Balance N-1'!#REF!,2)</f>
        <v>#REF!</v>
      </c>
      <c r="G261" s="592" t="e">
        <f>ROUND('Balance N-1'!#REF!,2)</f>
        <v>#REF!</v>
      </c>
      <c r="H261" s="592" t="e">
        <f>ROUND('Balance N-1'!#REF!,2)</f>
        <v>#REF!</v>
      </c>
      <c r="I261" s="2" t="e">
        <f t="shared" si="7"/>
        <v>#REF!</v>
      </c>
    </row>
    <row r="262" spans="1:9" x14ac:dyDescent="0.2">
      <c r="A262" s="782" t="e">
        <f>FIXED('Balance N-1'!#REF!,0,1)</f>
        <v>#REF!</v>
      </c>
      <c r="B262" s="494" t="e">
        <f>+'Balance N-1'!#REF!</f>
        <v>#REF!</v>
      </c>
      <c r="C262" s="592" t="e">
        <f>ROUND('Balance N-1'!#REF!,2)</f>
        <v>#REF!</v>
      </c>
      <c r="D262" s="592" t="e">
        <f>ROUND('Balance N-1'!#REF!,2)</f>
        <v>#REF!</v>
      </c>
      <c r="E262" s="592" t="e">
        <f>ROUND('Balance N-1'!#REF!,2)</f>
        <v>#REF!</v>
      </c>
      <c r="F262" s="592" t="e">
        <f>ROUND('Balance N-1'!#REF!,2)</f>
        <v>#REF!</v>
      </c>
      <c r="G262" s="592" t="e">
        <f>ROUND('Balance N-1'!#REF!,2)</f>
        <v>#REF!</v>
      </c>
      <c r="H262" s="592" t="e">
        <f>ROUND('Balance N-1'!#REF!,2)</f>
        <v>#REF!</v>
      </c>
      <c r="I262" s="2" t="e">
        <f t="shared" si="7"/>
        <v>#REF!</v>
      </c>
    </row>
    <row r="263" spans="1:9" x14ac:dyDescent="0.2">
      <c r="A263" s="782" t="e">
        <f>FIXED('Balance N-1'!#REF!,0,1)</f>
        <v>#REF!</v>
      </c>
      <c r="B263" s="494" t="e">
        <f>+'Balance N-1'!#REF!</f>
        <v>#REF!</v>
      </c>
      <c r="C263" s="592" t="e">
        <f>ROUND('Balance N-1'!#REF!,2)</f>
        <v>#REF!</v>
      </c>
      <c r="D263" s="592" t="e">
        <f>ROUND('Balance N-1'!#REF!,2)</f>
        <v>#REF!</v>
      </c>
      <c r="E263" s="592" t="e">
        <f>ROUND('Balance N-1'!#REF!,2)</f>
        <v>#REF!</v>
      </c>
      <c r="F263" s="592" t="e">
        <f>ROUND('Balance N-1'!#REF!,2)</f>
        <v>#REF!</v>
      </c>
      <c r="G263" s="592" t="e">
        <f>ROUND('Balance N-1'!#REF!,2)</f>
        <v>#REF!</v>
      </c>
      <c r="H263" s="592" t="e">
        <f>ROUND('Balance N-1'!#REF!,2)</f>
        <v>#REF!</v>
      </c>
      <c r="I263" s="2" t="e">
        <f t="shared" si="7"/>
        <v>#REF!</v>
      </c>
    </row>
    <row r="264" spans="1:9" x14ac:dyDescent="0.2">
      <c r="A264" s="782" t="e">
        <f>FIXED('Balance N-1'!#REF!,0,1)</f>
        <v>#REF!</v>
      </c>
      <c r="B264" s="494" t="e">
        <f>+'Balance N-1'!#REF!</f>
        <v>#REF!</v>
      </c>
      <c r="C264" s="592" t="e">
        <f>ROUND('Balance N-1'!#REF!,2)</f>
        <v>#REF!</v>
      </c>
      <c r="D264" s="592" t="e">
        <f>ROUND('Balance N-1'!#REF!,2)</f>
        <v>#REF!</v>
      </c>
      <c r="E264" s="592" t="e">
        <f>ROUND('Balance N-1'!#REF!,2)</f>
        <v>#REF!</v>
      </c>
      <c r="F264" s="592" t="e">
        <f>ROUND('Balance N-1'!#REF!,2)</f>
        <v>#REF!</v>
      </c>
      <c r="G264" s="592" t="e">
        <f>ROUND('Balance N-1'!#REF!,2)</f>
        <v>#REF!</v>
      </c>
      <c r="H264" s="592" t="e">
        <f>ROUND('Balance N-1'!#REF!,2)</f>
        <v>#REF!</v>
      </c>
      <c r="I264" s="2" t="e">
        <f t="shared" si="7"/>
        <v>#REF!</v>
      </c>
    </row>
    <row r="265" spans="1:9" x14ac:dyDescent="0.2">
      <c r="A265" s="782" t="e">
        <f>FIXED('Balance N-1'!#REF!,0,1)</f>
        <v>#REF!</v>
      </c>
      <c r="B265" s="494" t="e">
        <f>+'Balance N-1'!#REF!</f>
        <v>#REF!</v>
      </c>
      <c r="C265" s="592" t="e">
        <f>ROUND('Balance N-1'!#REF!,2)</f>
        <v>#REF!</v>
      </c>
      <c r="D265" s="592" t="e">
        <f>ROUND('Balance N-1'!#REF!,2)</f>
        <v>#REF!</v>
      </c>
      <c r="E265" s="592" t="e">
        <f>ROUND('Balance N-1'!#REF!,2)</f>
        <v>#REF!</v>
      </c>
      <c r="F265" s="592" t="e">
        <f>ROUND('Balance N-1'!#REF!,2)</f>
        <v>#REF!</v>
      </c>
      <c r="G265" s="592" t="e">
        <f>ROUND('Balance N-1'!#REF!,2)</f>
        <v>#REF!</v>
      </c>
      <c r="H265" s="592" t="e">
        <f>ROUND('Balance N-1'!#REF!,2)</f>
        <v>#REF!</v>
      </c>
      <c r="I265" s="2" t="e">
        <f t="shared" si="7"/>
        <v>#REF!</v>
      </c>
    </row>
    <row r="266" spans="1:9" x14ac:dyDescent="0.2">
      <c r="A266" s="782" t="e">
        <f>FIXED('Balance N-1'!#REF!,0,1)</f>
        <v>#REF!</v>
      </c>
      <c r="B266" s="494" t="e">
        <f>+'Balance N-1'!#REF!</f>
        <v>#REF!</v>
      </c>
      <c r="C266" s="592" t="e">
        <f>ROUND('Balance N-1'!#REF!,2)</f>
        <v>#REF!</v>
      </c>
      <c r="D266" s="592" t="e">
        <f>ROUND('Balance N-1'!#REF!,2)</f>
        <v>#REF!</v>
      </c>
      <c r="E266" s="592" t="e">
        <f>ROUND('Balance N-1'!#REF!,2)</f>
        <v>#REF!</v>
      </c>
      <c r="F266" s="592" t="e">
        <f>ROUND('Balance N-1'!#REF!,2)</f>
        <v>#REF!</v>
      </c>
      <c r="G266" s="592" t="e">
        <f>ROUND('Balance N-1'!#REF!,2)</f>
        <v>#REF!</v>
      </c>
      <c r="H266" s="592" t="e">
        <f>ROUND('Balance N-1'!#REF!,2)</f>
        <v>#REF!</v>
      </c>
      <c r="I266" s="2" t="e">
        <f t="shared" si="7"/>
        <v>#REF!</v>
      </c>
    </row>
    <row r="267" spans="1:9" x14ac:dyDescent="0.2">
      <c r="A267" s="782" t="e">
        <f>FIXED('Balance N-1'!#REF!,0,1)</f>
        <v>#REF!</v>
      </c>
      <c r="B267" s="494" t="e">
        <f>+'Balance N-1'!#REF!</f>
        <v>#REF!</v>
      </c>
      <c r="C267" s="592" t="e">
        <f>ROUND('Balance N-1'!#REF!,2)</f>
        <v>#REF!</v>
      </c>
      <c r="D267" s="592" t="e">
        <f>ROUND('Balance N-1'!#REF!,2)</f>
        <v>#REF!</v>
      </c>
      <c r="E267" s="592" t="e">
        <f>ROUND('Balance N-1'!#REF!,2)</f>
        <v>#REF!</v>
      </c>
      <c r="F267" s="592" t="e">
        <f>ROUND('Balance N-1'!#REF!,2)</f>
        <v>#REF!</v>
      </c>
      <c r="G267" s="592" t="e">
        <f>ROUND('Balance N-1'!#REF!,2)</f>
        <v>#REF!</v>
      </c>
      <c r="H267" s="592" t="e">
        <f>ROUND('Balance N-1'!#REF!,2)</f>
        <v>#REF!</v>
      </c>
      <c r="I267" s="2" t="e">
        <f t="shared" si="7"/>
        <v>#REF!</v>
      </c>
    </row>
    <row r="268" spans="1:9" x14ac:dyDescent="0.2">
      <c r="A268" s="782" t="e">
        <f>FIXED('Balance N-1'!#REF!,0,1)</f>
        <v>#REF!</v>
      </c>
      <c r="B268" s="494" t="e">
        <f>+'Balance N-1'!#REF!</f>
        <v>#REF!</v>
      </c>
      <c r="C268" s="592" t="e">
        <f>ROUND('Balance N-1'!#REF!,2)</f>
        <v>#REF!</v>
      </c>
      <c r="D268" s="592" t="e">
        <f>ROUND('Balance N-1'!#REF!,2)</f>
        <v>#REF!</v>
      </c>
      <c r="E268" s="592" t="e">
        <f>ROUND('Balance N-1'!#REF!,2)</f>
        <v>#REF!</v>
      </c>
      <c r="F268" s="592" t="e">
        <f>ROUND('Balance N-1'!#REF!,2)</f>
        <v>#REF!</v>
      </c>
      <c r="G268" s="592" t="e">
        <f>ROUND('Balance N-1'!#REF!,2)</f>
        <v>#REF!</v>
      </c>
      <c r="H268" s="592" t="e">
        <f>ROUND('Balance N-1'!#REF!,2)</f>
        <v>#REF!</v>
      </c>
      <c r="I268" s="2" t="e">
        <f t="shared" si="7"/>
        <v>#REF!</v>
      </c>
    </row>
    <row r="269" spans="1:9" x14ac:dyDescent="0.2">
      <c r="A269" s="782" t="e">
        <f>FIXED('Balance N-1'!#REF!,0,1)</f>
        <v>#REF!</v>
      </c>
      <c r="B269" s="494" t="e">
        <f>+'Balance N-1'!#REF!</f>
        <v>#REF!</v>
      </c>
      <c r="C269" s="592" t="e">
        <f>ROUND('Balance N-1'!#REF!,2)</f>
        <v>#REF!</v>
      </c>
      <c r="D269" s="592" t="e">
        <f>ROUND('Balance N-1'!#REF!,2)</f>
        <v>#REF!</v>
      </c>
      <c r="E269" s="592" t="e">
        <f>ROUND('Balance N-1'!#REF!,2)</f>
        <v>#REF!</v>
      </c>
      <c r="F269" s="592" t="e">
        <f>ROUND('Balance N-1'!#REF!,2)</f>
        <v>#REF!</v>
      </c>
      <c r="G269" s="592" t="e">
        <f>ROUND('Balance N-1'!#REF!,2)</f>
        <v>#REF!</v>
      </c>
      <c r="H269" s="592" t="e">
        <f>ROUND('Balance N-1'!#REF!,2)</f>
        <v>#REF!</v>
      </c>
      <c r="I269" s="2" t="e">
        <f t="shared" si="7"/>
        <v>#REF!</v>
      </c>
    </row>
    <row r="270" spans="1:9" x14ac:dyDescent="0.2">
      <c r="A270" s="782" t="e">
        <f>FIXED('Balance N-1'!#REF!,0,1)</f>
        <v>#REF!</v>
      </c>
      <c r="B270" s="494" t="e">
        <f>+'Balance N-1'!#REF!</f>
        <v>#REF!</v>
      </c>
      <c r="C270" s="592" t="e">
        <f>ROUND('Balance N-1'!#REF!,2)</f>
        <v>#REF!</v>
      </c>
      <c r="D270" s="592" t="e">
        <f>ROUND('Balance N-1'!#REF!,2)</f>
        <v>#REF!</v>
      </c>
      <c r="E270" s="592" t="e">
        <f>ROUND('Balance N-1'!#REF!,2)</f>
        <v>#REF!</v>
      </c>
      <c r="F270" s="592" t="e">
        <f>ROUND('Balance N-1'!#REF!,2)</f>
        <v>#REF!</v>
      </c>
      <c r="G270" s="592" t="e">
        <f>ROUND('Balance N-1'!#REF!,2)</f>
        <v>#REF!</v>
      </c>
      <c r="H270" s="592" t="e">
        <f>ROUND('Balance N-1'!#REF!,2)</f>
        <v>#REF!</v>
      </c>
      <c r="I270" s="2" t="e">
        <f t="shared" si="7"/>
        <v>#REF!</v>
      </c>
    </row>
    <row r="271" spans="1:9" x14ac:dyDescent="0.2">
      <c r="A271" s="782" t="e">
        <f>FIXED('Balance N-1'!#REF!,0,1)</f>
        <v>#REF!</v>
      </c>
      <c r="B271" s="494" t="e">
        <f>+'Balance N-1'!#REF!</f>
        <v>#REF!</v>
      </c>
      <c r="C271" s="592" t="e">
        <f>ROUND('Balance N-1'!#REF!,2)</f>
        <v>#REF!</v>
      </c>
      <c r="D271" s="592" t="e">
        <f>ROUND('Balance N-1'!#REF!,2)</f>
        <v>#REF!</v>
      </c>
      <c r="E271" s="592" t="e">
        <f>ROUND('Balance N-1'!#REF!,2)</f>
        <v>#REF!</v>
      </c>
      <c r="F271" s="592" t="e">
        <f>ROUND('Balance N-1'!#REF!,2)</f>
        <v>#REF!</v>
      </c>
      <c r="G271" s="592" t="e">
        <f>ROUND('Balance N-1'!#REF!,2)</f>
        <v>#REF!</v>
      </c>
      <c r="H271" s="592" t="e">
        <f>ROUND('Balance N-1'!#REF!,2)</f>
        <v>#REF!</v>
      </c>
      <c r="I271" s="2" t="e">
        <f t="shared" si="7"/>
        <v>#REF!</v>
      </c>
    </row>
    <row r="272" spans="1:9" x14ac:dyDescent="0.2">
      <c r="A272" s="782" t="e">
        <f>FIXED('Balance N-1'!#REF!,0,1)</f>
        <v>#REF!</v>
      </c>
      <c r="B272" s="494" t="e">
        <f>+'Balance N-1'!#REF!</f>
        <v>#REF!</v>
      </c>
      <c r="C272" s="592" t="e">
        <f>ROUND('Balance N-1'!#REF!,2)</f>
        <v>#REF!</v>
      </c>
      <c r="D272" s="592" t="e">
        <f>ROUND('Balance N-1'!#REF!,2)</f>
        <v>#REF!</v>
      </c>
      <c r="E272" s="592" t="e">
        <f>ROUND('Balance N-1'!#REF!,2)</f>
        <v>#REF!</v>
      </c>
      <c r="F272" s="592" t="e">
        <f>ROUND('Balance N-1'!#REF!,2)</f>
        <v>#REF!</v>
      </c>
      <c r="G272" s="592" t="e">
        <f>ROUND('Balance N-1'!#REF!,2)</f>
        <v>#REF!</v>
      </c>
      <c r="H272" s="592" t="e">
        <f>ROUND('Balance N-1'!#REF!,2)</f>
        <v>#REF!</v>
      </c>
      <c r="I272" s="2" t="e">
        <f t="shared" si="7"/>
        <v>#REF!</v>
      </c>
    </row>
    <row r="273" spans="1:9" x14ac:dyDescent="0.2">
      <c r="A273" s="782" t="e">
        <f>FIXED('Balance N-1'!#REF!,0,1)</f>
        <v>#REF!</v>
      </c>
      <c r="B273" s="494" t="e">
        <f>+'Balance N-1'!#REF!</f>
        <v>#REF!</v>
      </c>
      <c r="C273" s="592" t="e">
        <f>ROUND('Balance N-1'!#REF!,2)</f>
        <v>#REF!</v>
      </c>
      <c r="D273" s="592" t="e">
        <f>ROUND('Balance N-1'!#REF!,2)</f>
        <v>#REF!</v>
      </c>
      <c r="E273" s="592" t="e">
        <f>ROUND('Balance N-1'!#REF!,2)</f>
        <v>#REF!</v>
      </c>
      <c r="F273" s="592" t="e">
        <f>ROUND('Balance N-1'!#REF!,2)</f>
        <v>#REF!</v>
      </c>
      <c r="G273" s="592" t="e">
        <f>ROUND('Balance N-1'!#REF!,2)</f>
        <v>#REF!</v>
      </c>
      <c r="H273" s="592" t="e">
        <f>ROUND('Balance N-1'!#REF!,2)</f>
        <v>#REF!</v>
      </c>
      <c r="I273" s="2" t="e">
        <f t="shared" si="7"/>
        <v>#REF!</v>
      </c>
    </row>
    <row r="274" spans="1:9" x14ac:dyDescent="0.2">
      <c r="A274" s="782" t="e">
        <f>FIXED('Balance N-1'!#REF!,0,1)</f>
        <v>#REF!</v>
      </c>
      <c r="B274" s="494" t="e">
        <f>+'Balance N-1'!#REF!</f>
        <v>#REF!</v>
      </c>
      <c r="C274" s="592" t="e">
        <f>ROUND('Balance N-1'!#REF!,2)</f>
        <v>#REF!</v>
      </c>
      <c r="D274" s="592" t="e">
        <f>ROUND('Balance N-1'!#REF!,2)</f>
        <v>#REF!</v>
      </c>
      <c r="E274" s="592" t="e">
        <f>ROUND('Balance N-1'!#REF!,2)</f>
        <v>#REF!</v>
      </c>
      <c r="F274" s="592" t="e">
        <f>ROUND('Balance N-1'!#REF!,2)</f>
        <v>#REF!</v>
      </c>
      <c r="G274" s="592" t="e">
        <f>ROUND('Balance N-1'!#REF!,2)</f>
        <v>#REF!</v>
      </c>
      <c r="H274" s="592" t="e">
        <f>ROUND('Balance N-1'!#REF!,2)</f>
        <v>#REF!</v>
      </c>
      <c r="I274" s="2" t="e">
        <f t="shared" si="7"/>
        <v>#REF!</v>
      </c>
    </row>
    <row r="275" spans="1:9" x14ac:dyDescent="0.2">
      <c r="A275" s="782" t="e">
        <f>FIXED('Balance N-1'!#REF!,0,1)</f>
        <v>#REF!</v>
      </c>
      <c r="B275" s="494" t="e">
        <f>+'Balance N-1'!#REF!</f>
        <v>#REF!</v>
      </c>
      <c r="C275" s="592" t="e">
        <f>ROUND('Balance N-1'!#REF!,2)</f>
        <v>#REF!</v>
      </c>
      <c r="D275" s="592" t="e">
        <f>ROUND('Balance N-1'!#REF!,2)</f>
        <v>#REF!</v>
      </c>
      <c r="E275" s="592" t="e">
        <f>ROUND('Balance N-1'!#REF!,2)</f>
        <v>#REF!</v>
      </c>
      <c r="F275" s="592" t="e">
        <f>ROUND('Balance N-1'!#REF!,2)</f>
        <v>#REF!</v>
      </c>
      <c r="G275" s="592" t="e">
        <f>ROUND('Balance N-1'!#REF!,2)</f>
        <v>#REF!</v>
      </c>
      <c r="H275" s="592" t="e">
        <f>ROUND('Balance N-1'!#REF!,2)</f>
        <v>#REF!</v>
      </c>
      <c r="I275" s="2" t="e">
        <f t="shared" si="7"/>
        <v>#REF!</v>
      </c>
    </row>
    <row r="276" spans="1:9" x14ac:dyDescent="0.2">
      <c r="A276" s="782" t="e">
        <f>FIXED('Balance N-1'!#REF!,0,1)</f>
        <v>#REF!</v>
      </c>
      <c r="B276" s="494" t="e">
        <f>+'Balance N-1'!#REF!</f>
        <v>#REF!</v>
      </c>
      <c r="C276" s="592" t="e">
        <f>ROUND('Balance N-1'!#REF!,2)</f>
        <v>#REF!</v>
      </c>
      <c r="D276" s="592" t="e">
        <f>ROUND('Balance N-1'!#REF!,2)</f>
        <v>#REF!</v>
      </c>
      <c r="E276" s="592" t="e">
        <f>ROUND('Balance N-1'!#REF!,2)</f>
        <v>#REF!</v>
      </c>
      <c r="F276" s="592" t="e">
        <f>ROUND('Balance N-1'!#REF!,2)</f>
        <v>#REF!</v>
      </c>
      <c r="G276" s="592" t="e">
        <f>ROUND('Balance N-1'!#REF!,2)</f>
        <v>#REF!</v>
      </c>
      <c r="H276" s="592" t="e">
        <f>ROUND('Balance N-1'!#REF!,2)</f>
        <v>#REF!</v>
      </c>
      <c r="I276" s="2" t="e">
        <f t="shared" si="7"/>
        <v>#REF!</v>
      </c>
    </row>
    <row r="277" spans="1:9" x14ac:dyDescent="0.2">
      <c r="A277" s="782" t="e">
        <f>FIXED('Balance N-1'!#REF!,0,1)</f>
        <v>#REF!</v>
      </c>
      <c r="B277" s="494" t="e">
        <f>+'Balance N-1'!#REF!</f>
        <v>#REF!</v>
      </c>
      <c r="C277" s="592" t="e">
        <f>ROUND('Balance N-1'!#REF!,2)</f>
        <v>#REF!</v>
      </c>
      <c r="D277" s="592" t="e">
        <f>ROUND('Balance N-1'!#REF!,2)</f>
        <v>#REF!</v>
      </c>
      <c r="E277" s="592" t="e">
        <f>ROUND('Balance N-1'!#REF!,2)</f>
        <v>#REF!</v>
      </c>
      <c r="F277" s="592" t="e">
        <f>ROUND('Balance N-1'!#REF!,2)</f>
        <v>#REF!</v>
      </c>
      <c r="G277" s="592" t="e">
        <f>ROUND('Balance N-1'!#REF!,2)</f>
        <v>#REF!</v>
      </c>
      <c r="H277" s="592" t="e">
        <f>ROUND('Balance N-1'!#REF!,2)</f>
        <v>#REF!</v>
      </c>
      <c r="I277" s="2" t="e">
        <f t="shared" si="7"/>
        <v>#REF!</v>
      </c>
    </row>
    <row r="278" spans="1:9" x14ac:dyDescent="0.2">
      <c r="A278" s="782" t="e">
        <f>FIXED('Balance N-1'!#REF!,0,1)</f>
        <v>#REF!</v>
      </c>
      <c r="B278" s="494" t="e">
        <f>+'Balance N-1'!#REF!</f>
        <v>#REF!</v>
      </c>
      <c r="C278" s="592" t="e">
        <f>ROUND('Balance N-1'!#REF!,2)</f>
        <v>#REF!</v>
      </c>
      <c r="D278" s="592" t="e">
        <f>ROUND('Balance N-1'!#REF!,2)</f>
        <v>#REF!</v>
      </c>
      <c r="E278" s="592" t="e">
        <f>ROUND('Balance N-1'!#REF!,2)</f>
        <v>#REF!</v>
      </c>
      <c r="F278" s="592" t="e">
        <f>ROUND('Balance N-1'!#REF!,2)</f>
        <v>#REF!</v>
      </c>
      <c r="G278" s="592" t="e">
        <f>ROUND('Balance N-1'!#REF!,2)</f>
        <v>#REF!</v>
      </c>
      <c r="H278" s="592" t="e">
        <f>ROUND('Balance N-1'!#REF!,2)</f>
        <v>#REF!</v>
      </c>
      <c r="I278" s="2" t="e">
        <f t="shared" si="7"/>
        <v>#REF!</v>
      </c>
    </row>
    <row r="279" spans="1:9" x14ac:dyDescent="0.2">
      <c r="A279" s="782" t="e">
        <f>FIXED('Balance N-1'!#REF!,0,1)</f>
        <v>#REF!</v>
      </c>
      <c r="B279" s="494" t="e">
        <f>+'Balance N-1'!#REF!</f>
        <v>#REF!</v>
      </c>
      <c r="C279" s="592" t="e">
        <f>ROUND('Balance N-1'!#REF!,2)</f>
        <v>#REF!</v>
      </c>
      <c r="D279" s="592" t="e">
        <f>ROUND('Balance N-1'!#REF!,2)</f>
        <v>#REF!</v>
      </c>
      <c r="E279" s="592" t="e">
        <f>ROUND('Balance N-1'!#REF!,2)</f>
        <v>#REF!</v>
      </c>
      <c r="F279" s="592" t="e">
        <f>ROUND('Balance N-1'!#REF!,2)</f>
        <v>#REF!</v>
      </c>
      <c r="G279" s="592" t="e">
        <f>ROUND('Balance N-1'!#REF!,2)</f>
        <v>#REF!</v>
      </c>
      <c r="H279" s="592" t="e">
        <f>ROUND('Balance N-1'!#REF!,2)</f>
        <v>#REF!</v>
      </c>
      <c r="I279" s="2" t="e">
        <f t="shared" si="7"/>
        <v>#REF!</v>
      </c>
    </row>
    <row r="280" spans="1:9" x14ac:dyDescent="0.2">
      <c r="A280" s="782" t="e">
        <f>FIXED('Balance N-1'!#REF!,0,1)</f>
        <v>#REF!</v>
      </c>
      <c r="B280" s="494" t="e">
        <f>+'Balance N-1'!#REF!</f>
        <v>#REF!</v>
      </c>
      <c r="C280" s="592" t="e">
        <f>ROUND('Balance N-1'!#REF!,2)</f>
        <v>#REF!</v>
      </c>
      <c r="D280" s="592" t="e">
        <f>ROUND('Balance N-1'!#REF!,2)</f>
        <v>#REF!</v>
      </c>
      <c r="E280" s="592" t="e">
        <f>ROUND('Balance N-1'!#REF!,2)</f>
        <v>#REF!</v>
      </c>
      <c r="F280" s="592" t="e">
        <f>ROUND('Balance N-1'!#REF!,2)</f>
        <v>#REF!</v>
      </c>
      <c r="G280" s="592" t="e">
        <f>ROUND('Balance N-1'!#REF!,2)</f>
        <v>#REF!</v>
      </c>
      <c r="H280" s="592" t="e">
        <f>ROUND('Balance N-1'!#REF!,2)</f>
        <v>#REF!</v>
      </c>
      <c r="I280" s="2" t="e">
        <f t="shared" si="7"/>
        <v>#REF!</v>
      </c>
    </row>
    <row r="281" spans="1:9" x14ac:dyDescent="0.2">
      <c r="A281" s="782" t="e">
        <f>FIXED('Balance N-1'!#REF!,0,1)</f>
        <v>#REF!</v>
      </c>
      <c r="B281" s="494" t="e">
        <f>+'Balance N-1'!#REF!</f>
        <v>#REF!</v>
      </c>
      <c r="C281" s="592" t="e">
        <f>ROUND('Balance N-1'!#REF!,2)</f>
        <v>#REF!</v>
      </c>
      <c r="D281" s="592" t="e">
        <f>ROUND('Balance N-1'!#REF!,2)</f>
        <v>#REF!</v>
      </c>
      <c r="E281" s="592" t="e">
        <f>ROUND('Balance N-1'!#REF!,2)</f>
        <v>#REF!</v>
      </c>
      <c r="F281" s="592" t="e">
        <f>ROUND('Balance N-1'!#REF!,2)</f>
        <v>#REF!</v>
      </c>
      <c r="G281" s="592" t="e">
        <f>ROUND('Balance N-1'!#REF!,2)</f>
        <v>#REF!</v>
      </c>
      <c r="H281" s="592" t="e">
        <f>ROUND('Balance N-1'!#REF!,2)</f>
        <v>#REF!</v>
      </c>
      <c r="I281" s="2" t="e">
        <f t="shared" si="7"/>
        <v>#REF!</v>
      </c>
    </row>
    <row r="282" spans="1:9" x14ac:dyDescent="0.2">
      <c r="A282" s="782" t="e">
        <f>FIXED('Balance N-1'!#REF!,0,1)</f>
        <v>#REF!</v>
      </c>
      <c r="B282" s="494" t="e">
        <f>+'Balance N-1'!#REF!</f>
        <v>#REF!</v>
      </c>
      <c r="C282" s="592" t="e">
        <f>ROUND('Balance N-1'!#REF!,2)</f>
        <v>#REF!</v>
      </c>
      <c r="D282" s="592" t="e">
        <f>ROUND('Balance N-1'!#REF!,2)</f>
        <v>#REF!</v>
      </c>
      <c r="E282" s="592" t="e">
        <f>ROUND('Balance N-1'!#REF!,2)</f>
        <v>#REF!</v>
      </c>
      <c r="F282" s="592" t="e">
        <f>ROUND('Balance N-1'!#REF!,2)</f>
        <v>#REF!</v>
      </c>
      <c r="G282" s="592" t="e">
        <f>ROUND('Balance N-1'!#REF!,2)</f>
        <v>#REF!</v>
      </c>
      <c r="H282" s="592" t="e">
        <f>ROUND('Balance N-1'!#REF!,2)</f>
        <v>#REF!</v>
      </c>
      <c r="I282" s="2" t="e">
        <f t="shared" si="7"/>
        <v>#REF!</v>
      </c>
    </row>
    <row r="283" spans="1:9" x14ac:dyDescent="0.2">
      <c r="A283" s="782" t="str">
        <f>FIXED('Balance N-1'!A254,0,1)</f>
        <v>0</v>
      </c>
      <c r="B283" s="494">
        <f>+'Balance N-1'!B254</f>
        <v>0</v>
      </c>
      <c r="C283" s="592">
        <f>ROUND('Balance N-1'!C254,2)</f>
        <v>0</v>
      </c>
      <c r="D283" s="592">
        <f>ROUND('Balance N-1'!D254,2)</f>
        <v>0</v>
      </c>
      <c r="E283" s="592">
        <f>ROUND('Balance N-1'!E254,2)</f>
        <v>0</v>
      </c>
      <c r="F283" s="592">
        <f>ROUND('Balance N-1'!F254,2)</f>
        <v>0</v>
      </c>
      <c r="G283" s="592">
        <f>ROUND('Balance N-1'!G254,2)</f>
        <v>0</v>
      </c>
      <c r="H283" s="592">
        <f>ROUND('Balance N-1'!H254,2)</f>
        <v>0</v>
      </c>
      <c r="I283" s="2" t="str">
        <f t="shared" si="7"/>
        <v>0</v>
      </c>
    </row>
    <row r="284" spans="1:9" x14ac:dyDescent="0.2">
      <c r="A284" s="782" t="str">
        <f>FIXED('Balance N-1'!A255,0,1)</f>
        <v>0</v>
      </c>
      <c r="B284" s="494">
        <f>+'Balance N-1'!B255</f>
        <v>0</v>
      </c>
      <c r="C284" s="592">
        <f>ROUND('Balance N-1'!C255,2)</f>
        <v>0</v>
      </c>
      <c r="D284" s="592">
        <f>ROUND('Balance N-1'!D255,2)</f>
        <v>0</v>
      </c>
      <c r="E284" s="592">
        <f>ROUND('Balance N-1'!E255,2)</f>
        <v>0</v>
      </c>
      <c r="F284" s="592">
        <f>ROUND('Balance N-1'!F255,2)</f>
        <v>0</v>
      </c>
      <c r="G284" s="592">
        <f>ROUND('Balance N-1'!G255,2)</f>
        <v>0</v>
      </c>
      <c r="H284" s="592">
        <f>ROUND('Balance N-1'!H255,2)</f>
        <v>0</v>
      </c>
      <c r="I284" s="2" t="str">
        <f t="shared" si="7"/>
        <v>0</v>
      </c>
    </row>
    <row r="285" spans="1:9" x14ac:dyDescent="0.2">
      <c r="A285" s="782" t="str">
        <f>FIXED('Balance N-1'!A256,0,1)</f>
        <v>0</v>
      </c>
      <c r="B285" s="494">
        <f>+'Balance N-1'!B256</f>
        <v>0</v>
      </c>
      <c r="C285" s="592">
        <f>ROUND('Balance N-1'!C256,2)</f>
        <v>0</v>
      </c>
      <c r="D285" s="592">
        <f>ROUND('Balance N-1'!D256,2)</f>
        <v>0</v>
      </c>
      <c r="E285" s="592">
        <f>ROUND('Balance N-1'!E256,2)</f>
        <v>0</v>
      </c>
      <c r="F285" s="592">
        <f>ROUND('Balance N-1'!F256,2)</f>
        <v>0</v>
      </c>
      <c r="G285" s="592">
        <f>ROUND('Balance N-1'!G256,2)</f>
        <v>0</v>
      </c>
      <c r="H285" s="592">
        <f>ROUND('Balance N-1'!H256,2)</f>
        <v>0</v>
      </c>
      <c r="I285" s="2" t="str">
        <f t="shared" si="7"/>
        <v>0</v>
      </c>
    </row>
    <row r="286" spans="1:9" x14ac:dyDescent="0.2">
      <c r="A286" s="782" t="str">
        <f>FIXED('Balance N-1'!A257,0,1)</f>
        <v>0</v>
      </c>
      <c r="B286" s="494">
        <f>+'Balance N-1'!B257</f>
        <v>0</v>
      </c>
      <c r="C286" s="592">
        <f>ROUND('Balance N-1'!C257,2)</f>
        <v>0</v>
      </c>
      <c r="D286" s="592">
        <f>ROUND('Balance N-1'!D257,2)</f>
        <v>0</v>
      </c>
      <c r="E286" s="592">
        <f>ROUND('Balance N-1'!E257,2)</f>
        <v>0</v>
      </c>
      <c r="F286" s="592">
        <f>ROUND('Balance N-1'!F257,2)</f>
        <v>0</v>
      </c>
      <c r="G286" s="592">
        <f>ROUND('Balance N-1'!G257,2)</f>
        <v>0</v>
      </c>
      <c r="H286" s="592">
        <f>ROUND('Balance N-1'!H257,2)</f>
        <v>0</v>
      </c>
      <c r="I286" s="2" t="str">
        <f t="shared" si="7"/>
        <v>0</v>
      </c>
    </row>
    <row r="287" spans="1:9" x14ac:dyDescent="0.2">
      <c r="A287" s="782" t="str">
        <f>FIXED('Balance N-1'!A258,0,1)</f>
        <v>0</v>
      </c>
      <c r="B287" s="494">
        <f>+'Balance N-1'!B258</f>
        <v>0</v>
      </c>
      <c r="C287" s="592">
        <f>ROUND('Balance N-1'!C258,2)</f>
        <v>0</v>
      </c>
      <c r="D287" s="592">
        <f>ROUND('Balance N-1'!D258,2)</f>
        <v>0</v>
      </c>
      <c r="E287" s="592">
        <f>ROUND('Balance N-1'!E258,2)</f>
        <v>0</v>
      </c>
      <c r="F287" s="592">
        <f>ROUND('Balance N-1'!F258,2)</f>
        <v>0</v>
      </c>
      <c r="G287" s="592">
        <f>ROUND('Balance N-1'!G258,2)</f>
        <v>0</v>
      </c>
      <c r="H287" s="592">
        <f>ROUND('Balance N-1'!H258,2)</f>
        <v>0</v>
      </c>
      <c r="I287" s="2" t="str">
        <f t="shared" si="7"/>
        <v>0</v>
      </c>
    </row>
    <row r="288" spans="1:9" x14ac:dyDescent="0.2">
      <c r="A288" s="782" t="str">
        <f>FIXED('Balance N-1'!A259,0,1)</f>
        <v>0</v>
      </c>
      <c r="B288" s="494">
        <f>+'Balance N-1'!B259</f>
        <v>0</v>
      </c>
      <c r="C288" s="592">
        <f>ROUND('Balance N-1'!C259,2)</f>
        <v>0</v>
      </c>
      <c r="D288" s="592">
        <f>ROUND('Balance N-1'!D259,2)</f>
        <v>0</v>
      </c>
      <c r="E288" s="592">
        <f>ROUND('Balance N-1'!E259,2)</f>
        <v>0</v>
      </c>
      <c r="F288" s="592">
        <f>ROUND('Balance N-1'!F259,2)</f>
        <v>0</v>
      </c>
      <c r="G288" s="592">
        <f>ROUND('Balance N-1'!G259,2)</f>
        <v>0</v>
      </c>
      <c r="H288" s="592">
        <f>ROUND('Balance N-1'!H259,2)</f>
        <v>0</v>
      </c>
      <c r="I288" s="2" t="str">
        <f t="shared" si="7"/>
        <v>0</v>
      </c>
    </row>
    <row r="289" spans="1:9" x14ac:dyDescent="0.2">
      <c r="A289" s="782" t="str">
        <f>FIXED('Balance N-1'!A260,0,1)</f>
        <v>0</v>
      </c>
      <c r="B289" s="494">
        <f>+'Balance N-1'!B260</f>
        <v>0</v>
      </c>
      <c r="C289" s="592">
        <f>ROUND('Balance N-1'!C260,2)</f>
        <v>0</v>
      </c>
      <c r="D289" s="592">
        <f>ROUND('Balance N-1'!D260,2)</f>
        <v>0</v>
      </c>
      <c r="E289" s="592">
        <f>ROUND('Balance N-1'!E260,2)</f>
        <v>0</v>
      </c>
      <c r="F289" s="592">
        <f>ROUND('Balance N-1'!F260,2)</f>
        <v>0</v>
      </c>
      <c r="G289" s="592">
        <f>ROUND('Balance N-1'!G260,2)</f>
        <v>0</v>
      </c>
      <c r="H289" s="592">
        <f>ROUND('Balance N-1'!H260,2)</f>
        <v>0</v>
      </c>
      <c r="I289" s="2" t="str">
        <f t="shared" si="7"/>
        <v>0</v>
      </c>
    </row>
    <row r="290" spans="1:9" x14ac:dyDescent="0.2">
      <c r="A290" s="782" t="str">
        <f>FIXED('Balance N-1'!A261,0,1)</f>
        <v>0</v>
      </c>
      <c r="B290" s="494">
        <f>+'Balance N-1'!B261</f>
        <v>0</v>
      </c>
      <c r="C290" s="592">
        <f>ROUND('Balance N-1'!C261,2)</f>
        <v>0</v>
      </c>
      <c r="D290" s="592">
        <f>ROUND('Balance N-1'!D261,2)</f>
        <v>0</v>
      </c>
      <c r="E290" s="592">
        <f>ROUND('Balance N-1'!E261,2)</f>
        <v>0</v>
      </c>
      <c r="F290" s="592">
        <f>ROUND('Balance N-1'!F261,2)</f>
        <v>0</v>
      </c>
      <c r="G290" s="592">
        <f>ROUND('Balance N-1'!G261,2)</f>
        <v>0</v>
      </c>
      <c r="H290" s="592">
        <f>ROUND('Balance N-1'!H261,2)</f>
        <v>0</v>
      </c>
      <c r="I290" s="2" t="str">
        <f t="shared" si="7"/>
        <v>0</v>
      </c>
    </row>
    <row r="291" spans="1:9" x14ac:dyDescent="0.2">
      <c r="A291" s="782" t="str">
        <f>FIXED('Balance N-1'!A262,0,1)</f>
        <v>0</v>
      </c>
      <c r="B291" s="494">
        <f>+'Balance N-1'!B262</f>
        <v>0</v>
      </c>
      <c r="C291" s="592">
        <f>ROUND('Balance N-1'!C262,2)</f>
        <v>0</v>
      </c>
      <c r="D291" s="592">
        <f>ROUND('Balance N-1'!D262,2)</f>
        <v>0</v>
      </c>
      <c r="E291" s="592">
        <f>ROUND('Balance N-1'!E262,2)</f>
        <v>0</v>
      </c>
      <c r="F291" s="592">
        <f>ROUND('Balance N-1'!F262,2)</f>
        <v>0</v>
      </c>
      <c r="G291" s="592">
        <f>ROUND('Balance N-1'!G262,2)</f>
        <v>0</v>
      </c>
      <c r="H291" s="592">
        <f>ROUND('Balance N-1'!H262,2)</f>
        <v>0</v>
      </c>
      <c r="I291" s="2" t="str">
        <f t="shared" si="7"/>
        <v>0</v>
      </c>
    </row>
    <row r="292" spans="1:9" x14ac:dyDescent="0.2">
      <c r="A292" s="782" t="str">
        <f>FIXED('Balance N-1'!A263,0,1)</f>
        <v>0</v>
      </c>
      <c r="B292" s="494">
        <f>+'Balance N-1'!B263</f>
        <v>0</v>
      </c>
      <c r="C292" s="592">
        <f>ROUND('Balance N-1'!C263,2)</f>
        <v>0</v>
      </c>
      <c r="D292" s="592">
        <f>ROUND('Balance N-1'!D263,2)</f>
        <v>0</v>
      </c>
      <c r="E292" s="592">
        <f>ROUND('Balance N-1'!E263,2)</f>
        <v>0</v>
      </c>
      <c r="F292" s="592">
        <f>ROUND('Balance N-1'!F263,2)</f>
        <v>0</v>
      </c>
      <c r="G292" s="592">
        <f>ROUND('Balance N-1'!G263,2)</f>
        <v>0</v>
      </c>
      <c r="H292" s="592">
        <f>ROUND('Balance N-1'!H263,2)</f>
        <v>0</v>
      </c>
      <c r="I292" s="2" t="str">
        <f t="shared" si="7"/>
        <v>0</v>
      </c>
    </row>
    <row r="293" spans="1:9" x14ac:dyDescent="0.2">
      <c r="A293" s="782" t="str">
        <f>FIXED('Balance N-1'!A264,0,1)</f>
        <v>0</v>
      </c>
      <c r="B293" s="494">
        <f>+'Balance N-1'!B264</f>
        <v>0</v>
      </c>
      <c r="C293" s="592">
        <f>ROUND('Balance N-1'!C264,2)</f>
        <v>0</v>
      </c>
      <c r="D293" s="592">
        <f>ROUND('Balance N-1'!D264,2)</f>
        <v>0</v>
      </c>
      <c r="E293" s="592">
        <f>ROUND('Balance N-1'!E264,2)</f>
        <v>0</v>
      </c>
      <c r="F293" s="592">
        <f>ROUND('Balance N-1'!F264,2)</f>
        <v>0</v>
      </c>
      <c r="G293" s="592">
        <f>ROUND('Balance N-1'!G264,2)</f>
        <v>0</v>
      </c>
      <c r="H293" s="592">
        <f>ROUND('Balance N-1'!H264,2)</f>
        <v>0</v>
      </c>
      <c r="I293" s="2" t="str">
        <f t="shared" si="7"/>
        <v>0</v>
      </c>
    </row>
    <row r="294" spans="1:9" x14ac:dyDescent="0.2">
      <c r="A294" s="782" t="str">
        <f>FIXED('Balance N-1'!A265,0,1)</f>
        <v>0</v>
      </c>
      <c r="B294" s="494">
        <f>+'Balance N-1'!B265</f>
        <v>0</v>
      </c>
      <c r="C294" s="592">
        <f>ROUND('Balance N-1'!C265,2)</f>
        <v>0</v>
      </c>
      <c r="D294" s="592">
        <f>ROUND('Balance N-1'!D265,2)</f>
        <v>0</v>
      </c>
      <c r="E294" s="592">
        <f>ROUND('Balance N-1'!E265,2)</f>
        <v>0</v>
      </c>
      <c r="F294" s="592">
        <f>ROUND('Balance N-1'!F265,2)</f>
        <v>0</v>
      </c>
      <c r="G294" s="592">
        <f>ROUND('Balance N-1'!G265,2)</f>
        <v>0</v>
      </c>
      <c r="H294" s="592">
        <f>ROUND('Balance N-1'!H265,2)</f>
        <v>0</v>
      </c>
      <c r="I294" s="2" t="str">
        <f t="shared" si="7"/>
        <v>0</v>
      </c>
    </row>
    <row r="295" spans="1:9" x14ac:dyDescent="0.2">
      <c r="A295" s="782" t="str">
        <f>FIXED('Balance N-1'!A266,0,1)</f>
        <v>0</v>
      </c>
      <c r="B295" s="494">
        <f>+'Balance N-1'!B266</f>
        <v>0</v>
      </c>
      <c r="C295" s="592">
        <f>ROUND('Balance N-1'!C266,2)</f>
        <v>0</v>
      </c>
      <c r="D295" s="592">
        <f>ROUND('Balance N-1'!D266,2)</f>
        <v>0</v>
      </c>
      <c r="E295" s="592">
        <f>ROUND('Balance N-1'!E266,2)</f>
        <v>0</v>
      </c>
      <c r="F295" s="592">
        <f>ROUND('Balance N-1'!F266,2)</f>
        <v>0</v>
      </c>
      <c r="G295" s="592">
        <f>ROUND('Balance N-1'!G266,2)</f>
        <v>0</v>
      </c>
      <c r="H295" s="592">
        <f>ROUND('Balance N-1'!H266,2)</f>
        <v>0</v>
      </c>
      <c r="I295" s="2" t="str">
        <f t="shared" si="7"/>
        <v>0</v>
      </c>
    </row>
    <row r="296" spans="1:9" x14ac:dyDescent="0.2">
      <c r="A296" s="782" t="str">
        <f>FIXED('Balance N-1'!A267,0,1)</f>
        <v>0</v>
      </c>
      <c r="B296" s="494">
        <f>+'Balance N-1'!B267</f>
        <v>0</v>
      </c>
      <c r="C296" s="592">
        <f>ROUND('Balance N-1'!C267,2)</f>
        <v>0</v>
      </c>
      <c r="D296" s="592">
        <f>ROUND('Balance N-1'!D267,2)</f>
        <v>0</v>
      </c>
      <c r="E296" s="592">
        <f>ROUND('Balance N-1'!E267,2)</f>
        <v>0</v>
      </c>
      <c r="F296" s="592">
        <f>ROUND('Balance N-1'!F267,2)</f>
        <v>0</v>
      </c>
      <c r="G296" s="592">
        <f>ROUND('Balance N-1'!G267,2)</f>
        <v>0</v>
      </c>
      <c r="H296" s="592">
        <f>ROUND('Balance N-1'!H267,2)</f>
        <v>0</v>
      </c>
      <c r="I296" s="2" t="str">
        <f t="shared" si="7"/>
        <v>0</v>
      </c>
    </row>
    <row r="297" spans="1:9" x14ac:dyDescent="0.2">
      <c r="A297" s="782" t="str">
        <f>FIXED('Balance N-1'!A268,0,1)</f>
        <v>0</v>
      </c>
      <c r="B297" s="494">
        <f>+'Balance N-1'!B268</f>
        <v>0</v>
      </c>
      <c r="C297" s="592">
        <f>ROUND('Balance N-1'!C268,2)</f>
        <v>0</v>
      </c>
      <c r="D297" s="592">
        <f>ROUND('Balance N-1'!D268,2)</f>
        <v>0</v>
      </c>
      <c r="E297" s="592">
        <f>ROUND('Balance N-1'!E268,2)</f>
        <v>0</v>
      </c>
      <c r="F297" s="592">
        <f>ROUND('Balance N-1'!F268,2)</f>
        <v>0</v>
      </c>
      <c r="G297" s="592">
        <f>ROUND('Balance N-1'!G268,2)</f>
        <v>0</v>
      </c>
      <c r="H297" s="592">
        <f>ROUND('Balance N-1'!H268,2)</f>
        <v>0</v>
      </c>
      <c r="I297" s="2" t="str">
        <f t="shared" si="7"/>
        <v>0</v>
      </c>
    </row>
    <row r="298" spans="1:9" x14ac:dyDescent="0.2">
      <c r="A298" s="782" t="str">
        <f>FIXED('Balance N-1'!A269,0,1)</f>
        <v>0</v>
      </c>
      <c r="B298" s="494">
        <f>+'Balance N-1'!B269</f>
        <v>0</v>
      </c>
      <c r="C298" s="592">
        <f>ROUND('Balance N-1'!C269,2)</f>
        <v>0</v>
      </c>
      <c r="D298" s="592">
        <f>ROUND('Balance N-1'!D269,2)</f>
        <v>0</v>
      </c>
      <c r="E298" s="592">
        <f>ROUND('Balance N-1'!E269,2)</f>
        <v>0</v>
      </c>
      <c r="F298" s="592">
        <f>ROUND('Balance N-1'!F269,2)</f>
        <v>0</v>
      </c>
      <c r="G298" s="592">
        <f>ROUND('Balance N-1'!G269,2)</f>
        <v>0</v>
      </c>
      <c r="H298" s="592">
        <f>ROUND('Balance N-1'!H269,2)</f>
        <v>0</v>
      </c>
      <c r="I298" s="2" t="str">
        <f t="shared" si="7"/>
        <v>0</v>
      </c>
    </row>
    <row r="299" spans="1:9" x14ac:dyDescent="0.2">
      <c r="A299" s="782" t="str">
        <f>FIXED('Balance N-1'!A270,0,1)</f>
        <v>0</v>
      </c>
      <c r="B299" s="494">
        <f>+'Balance N-1'!B270</f>
        <v>0</v>
      </c>
      <c r="C299" s="592">
        <f>ROUND('Balance N-1'!C270,2)</f>
        <v>0</v>
      </c>
      <c r="D299" s="592">
        <f>ROUND('Balance N-1'!D270,2)</f>
        <v>0</v>
      </c>
      <c r="E299" s="592">
        <f>ROUND('Balance N-1'!E270,2)</f>
        <v>0</v>
      </c>
      <c r="F299" s="592">
        <f>ROUND('Balance N-1'!F270,2)</f>
        <v>0</v>
      </c>
      <c r="G299" s="592">
        <f>ROUND('Balance N-1'!G270,2)</f>
        <v>0</v>
      </c>
      <c r="H299" s="592">
        <f>ROUND('Balance N-1'!H270,2)</f>
        <v>0</v>
      </c>
      <c r="I299" s="2" t="str">
        <f t="shared" si="7"/>
        <v>0</v>
      </c>
    </row>
    <row r="300" spans="1:9" x14ac:dyDescent="0.2">
      <c r="A300" s="782" t="str">
        <f>FIXED('Balance N-1'!A271,0,1)</f>
        <v>0</v>
      </c>
      <c r="B300" s="494">
        <f>+'Balance N-1'!B271</f>
        <v>0</v>
      </c>
      <c r="C300" s="592">
        <f>ROUND('Balance N-1'!C271,2)</f>
        <v>0</v>
      </c>
      <c r="D300" s="592">
        <f>ROUND('Balance N-1'!D271,2)</f>
        <v>0</v>
      </c>
      <c r="E300" s="592">
        <f>ROUND('Balance N-1'!E271,2)</f>
        <v>0</v>
      </c>
      <c r="F300" s="592">
        <f>ROUND('Balance N-1'!F271,2)</f>
        <v>0</v>
      </c>
      <c r="G300" s="592">
        <f>ROUND('Balance N-1'!G271,2)</f>
        <v>0</v>
      </c>
      <c r="H300" s="592">
        <f>ROUND('Balance N-1'!H271,2)</f>
        <v>0</v>
      </c>
      <c r="I300" s="2" t="str">
        <f t="shared" si="7"/>
        <v>0</v>
      </c>
    </row>
    <row r="301" spans="1:9" x14ac:dyDescent="0.2">
      <c r="A301" s="782" t="str">
        <f>FIXED('Balance N-1'!A272,0,1)</f>
        <v>0</v>
      </c>
      <c r="B301" s="494">
        <f>+'Balance N-1'!B272</f>
        <v>0</v>
      </c>
      <c r="C301" s="592">
        <f>ROUND('Balance N-1'!C272,2)</f>
        <v>0</v>
      </c>
      <c r="D301" s="592">
        <f>ROUND('Balance N-1'!D272,2)</f>
        <v>0</v>
      </c>
      <c r="E301" s="592">
        <f>ROUND('Balance N-1'!E272,2)</f>
        <v>0</v>
      </c>
      <c r="F301" s="592">
        <f>ROUND('Balance N-1'!F272,2)</f>
        <v>0</v>
      </c>
      <c r="G301" s="592">
        <f>ROUND('Balance N-1'!G272,2)</f>
        <v>0</v>
      </c>
      <c r="H301" s="592">
        <f>ROUND('Balance N-1'!H272,2)</f>
        <v>0</v>
      </c>
      <c r="I301" s="2" t="str">
        <f t="shared" si="7"/>
        <v>0</v>
      </c>
    </row>
    <row r="302" spans="1:9" x14ac:dyDescent="0.2">
      <c r="A302" s="782" t="str">
        <f>FIXED('Balance N-1'!A273,0,1)</f>
        <v>0</v>
      </c>
      <c r="B302" s="494">
        <f>+'Balance N-1'!B273</f>
        <v>0</v>
      </c>
      <c r="C302" s="592">
        <f>ROUND('Balance N-1'!C273,2)</f>
        <v>0</v>
      </c>
      <c r="D302" s="592">
        <f>ROUND('Balance N-1'!D273,2)</f>
        <v>0</v>
      </c>
      <c r="E302" s="592">
        <f>ROUND('Balance N-1'!E273,2)</f>
        <v>0</v>
      </c>
      <c r="F302" s="592">
        <f>ROUND('Balance N-1'!F273,2)</f>
        <v>0</v>
      </c>
      <c r="G302" s="592">
        <f>ROUND('Balance N-1'!G273,2)</f>
        <v>0</v>
      </c>
      <c r="H302" s="592">
        <f>ROUND('Balance N-1'!H273,2)</f>
        <v>0</v>
      </c>
      <c r="I302" s="2" t="str">
        <f t="shared" si="7"/>
        <v>0</v>
      </c>
    </row>
    <row r="303" spans="1:9" x14ac:dyDescent="0.2">
      <c r="A303" s="782" t="str">
        <f>FIXED('Balance N-1'!A274,0,1)</f>
        <v>0</v>
      </c>
      <c r="B303" s="494">
        <f>+'Balance N-1'!B274</f>
        <v>0</v>
      </c>
      <c r="C303" s="592">
        <f>ROUND('Balance N-1'!C274,2)</f>
        <v>0</v>
      </c>
      <c r="D303" s="592">
        <f>ROUND('Balance N-1'!D274,2)</f>
        <v>0</v>
      </c>
      <c r="E303" s="592">
        <f>ROUND('Balance N-1'!E274,2)</f>
        <v>0</v>
      </c>
      <c r="F303" s="592">
        <f>ROUND('Balance N-1'!F274,2)</f>
        <v>0</v>
      </c>
      <c r="G303" s="592">
        <f>ROUND('Balance N-1'!G274,2)</f>
        <v>0</v>
      </c>
      <c r="H303" s="592">
        <f>ROUND('Balance N-1'!H274,2)</f>
        <v>0</v>
      </c>
      <c r="I303" s="2" t="str">
        <f t="shared" si="7"/>
        <v>0</v>
      </c>
    </row>
    <row r="304" spans="1:9" x14ac:dyDescent="0.2">
      <c r="A304" s="782" t="str">
        <f>FIXED('Balance N-1'!A275,0,1)</f>
        <v>0</v>
      </c>
      <c r="B304" s="494">
        <f>+'Balance N-1'!B275</f>
        <v>0</v>
      </c>
      <c r="C304" s="592">
        <f>ROUND('Balance N-1'!C275,2)</f>
        <v>0</v>
      </c>
      <c r="D304" s="592">
        <f>ROUND('Balance N-1'!D275,2)</f>
        <v>0</v>
      </c>
      <c r="E304" s="592">
        <f>ROUND('Balance N-1'!E275,2)</f>
        <v>0</v>
      </c>
      <c r="F304" s="592">
        <f>ROUND('Balance N-1'!F275,2)</f>
        <v>0</v>
      </c>
      <c r="G304" s="592">
        <f>ROUND('Balance N-1'!G275,2)</f>
        <v>0</v>
      </c>
      <c r="H304" s="592">
        <f>ROUND('Balance N-1'!H275,2)</f>
        <v>0</v>
      </c>
      <c r="I304" s="2" t="str">
        <f t="shared" si="7"/>
        <v>0</v>
      </c>
    </row>
    <row r="305" spans="1:9" x14ac:dyDescent="0.2">
      <c r="A305" s="782" t="str">
        <f>FIXED('Balance N-1'!A276,0,1)</f>
        <v>0</v>
      </c>
      <c r="B305" s="494">
        <f>+'Balance N-1'!B276</f>
        <v>0</v>
      </c>
      <c r="C305" s="592">
        <f>ROUND('Balance N-1'!C276,2)</f>
        <v>0</v>
      </c>
      <c r="D305" s="592">
        <f>ROUND('Balance N-1'!D276,2)</f>
        <v>0</v>
      </c>
      <c r="E305" s="592">
        <f>ROUND('Balance N-1'!E276,2)</f>
        <v>0</v>
      </c>
      <c r="F305" s="592">
        <f>ROUND('Balance N-1'!F276,2)</f>
        <v>0</v>
      </c>
      <c r="G305" s="592">
        <f>ROUND('Balance N-1'!G276,2)</f>
        <v>0</v>
      </c>
      <c r="H305" s="592">
        <f>ROUND('Balance N-1'!H276,2)</f>
        <v>0</v>
      </c>
      <c r="I305" s="2" t="str">
        <f t="shared" si="7"/>
        <v>0</v>
      </c>
    </row>
    <row r="306" spans="1:9" x14ac:dyDescent="0.2">
      <c r="A306" s="782" t="str">
        <f>FIXED('Balance N-1'!A277,0,1)</f>
        <v>0</v>
      </c>
      <c r="B306" s="494">
        <f>+'Balance N-1'!B277</f>
        <v>0</v>
      </c>
      <c r="C306" s="592">
        <f>ROUND('Balance N-1'!C277,2)</f>
        <v>0</v>
      </c>
      <c r="D306" s="592">
        <f>ROUND('Balance N-1'!D277,2)</f>
        <v>0</v>
      </c>
      <c r="E306" s="592">
        <f>ROUND('Balance N-1'!E277,2)</f>
        <v>0</v>
      </c>
      <c r="F306" s="592">
        <f>ROUND('Balance N-1'!F277,2)</f>
        <v>0</v>
      </c>
      <c r="G306" s="592">
        <f>ROUND('Balance N-1'!G277,2)</f>
        <v>0</v>
      </c>
      <c r="H306" s="592">
        <f>ROUND('Balance N-1'!H277,2)</f>
        <v>0</v>
      </c>
      <c r="I306" s="2" t="str">
        <f t="shared" si="7"/>
        <v>0</v>
      </c>
    </row>
    <row r="307" spans="1:9" x14ac:dyDescent="0.2">
      <c r="A307" s="782" t="str">
        <f>FIXED('Balance N-1'!A278,0,1)</f>
        <v>0</v>
      </c>
      <c r="B307" s="494">
        <f>+'Balance N-1'!B278</f>
        <v>0</v>
      </c>
      <c r="C307" s="592">
        <f>ROUND('Balance N-1'!C278,2)</f>
        <v>0</v>
      </c>
      <c r="D307" s="592">
        <f>ROUND('Balance N-1'!D278,2)</f>
        <v>0</v>
      </c>
      <c r="E307" s="592">
        <f>ROUND('Balance N-1'!E278,2)</f>
        <v>0</v>
      </c>
      <c r="F307" s="592">
        <f>ROUND('Balance N-1'!F278,2)</f>
        <v>0</v>
      </c>
      <c r="G307" s="592">
        <f>ROUND('Balance N-1'!G278,2)</f>
        <v>0</v>
      </c>
      <c r="H307" s="592">
        <f>ROUND('Balance N-1'!H278,2)</f>
        <v>0</v>
      </c>
      <c r="I307" s="2" t="str">
        <f t="shared" si="7"/>
        <v>0</v>
      </c>
    </row>
    <row r="308" spans="1:9" x14ac:dyDescent="0.2">
      <c r="A308" s="782" t="str">
        <f>FIXED('Balance N-1'!A279,0,1)</f>
        <v>0</v>
      </c>
      <c r="B308" s="494">
        <f>+'Balance N-1'!B279</f>
        <v>0</v>
      </c>
      <c r="C308" s="592">
        <f>ROUND('Balance N-1'!C279,2)</f>
        <v>0</v>
      </c>
      <c r="D308" s="592">
        <f>ROUND('Balance N-1'!D279,2)</f>
        <v>0</v>
      </c>
      <c r="E308" s="592">
        <f>ROUND('Balance N-1'!E279,2)</f>
        <v>0</v>
      </c>
      <c r="F308" s="592">
        <f>ROUND('Balance N-1'!F279,2)</f>
        <v>0</v>
      </c>
      <c r="G308" s="592">
        <f>ROUND('Balance N-1'!G279,2)</f>
        <v>0</v>
      </c>
      <c r="H308" s="592">
        <f>ROUND('Balance N-1'!H279,2)</f>
        <v>0</v>
      </c>
      <c r="I308" s="2" t="str">
        <f t="shared" si="7"/>
        <v>0</v>
      </c>
    </row>
    <row r="309" spans="1:9" x14ac:dyDescent="0.2">
      <c r="A309" s="782" t="str">
        <f>FIXED('Balance N-1'!A280,0,1)</f>
        <v>0</v>
      </c>
      <c r="B309" s="494">
        <f>+'Balance N-1'!B280</f>
        <v>0</v>
      </c>
      <c r="C309" s="592">
        <f>ROUND('Balance N-1'!C280,2)</f>
        <v>0</v>
      </c>
      <c r="D309" s="592">
        <f>ROUND('Balance N-1'!D280,2)</f>
        <v>0</v>
      </c>
      <c r="E309" s="592">
        <f>ROUND('Balance N-1'!E280,2)</f>
        <v>0</v>
      </c>
      <c r="F309" s="592">
        <f>ROUND('Balance N-1'!F280,2)</f>
        <v>0</v>
      </c>
      <c r="G309" s="592">
        <f>ROUND('Balance N-1'!G280,2)</f>
        <v>0</v>
      </c>
      <c r="H309" s="592">
        <f>ROUND('Balance N-1'!H280,2)</f>
        <v>0</v>
      </c>
      <c r="I309" s="2" t="str">
        <f t="shared" si="7"/>
        <v>0</v>
      </c>
    </row>
    <row r="310" spans="1:9" x14ac:dyDescent="0.2">
      <c r="A310" s="782" t="str">
        <f>FIXED('Balance N-1'!A281,0,1)</f>
        <v>0</v>
      </c>
      <c r="B310" s="494">
        <f>+'Balance N-1'!B281</f>
        <v>0</v>
      </c>
      <c r="C310" s="592">
        <f>ROUND('Balance N-1'!C281,2)</f>
        <v>0</v>
      </c>
      <c r="D310" s="592">
        <f>ROUND('Balance N-1'!D281,2)</f>
        <v>0</v>
      </c>
      <c r="E310" s="592">
        <f>ROUND('Balance N-1'!E281,2)</f>
        <v>0</v>
      </c>
      <c r="F310" s="592">
        <f>ROUND('Balance N-1'!F281,2)</f>
        <v>0</v>
      </c>
      <c r="G310" s="592">
        <f>ROUND('Balance N-1'!G281,2)</f>
        <v>0</v>
      </c>
      <c r="H310" s="592">
        <f>ROUND('Balance N-1'!H281,2)</f>
        <v>0</v>
      </c>
      <c r="I310" s="2" t="str">
        <f t="shared" si="7"/>
        <v>0</v>
      </c>
    </row>
    <row r="311" spans="1:9" x14ac:dyDescent="0.2">
      <c r="A311" s="782" t="str">
        <f>FIXED('Balance N-1'!A282,0,1)</f>
        <v>0</v>
      </c>
      <c r="B311" s="494">
        <f>+'Balance N-1'!B282</f>
        <v>0</v>
      </c>
      <c r="C311" s="592">
        <f>ROUND('Balance N-1'!C282,2)</f>
        <v>0</v>
      </c>
      <c r="D311" s="592">
        <f>ROUND('Balance N-1'!D282,2)</f>
        <v>0</v>
      </c>
      <c r="E311" s="592">
        <f>ROUND('Balance N-1'!E282,2)</f>
        <v>0</v>
      </c>
      <c r="F311" s="592">
        <f>ROUND('Balance N-1'!F282,2)</f>
        <v>0</v>
      </c>
      <c r="G311" s="592">
        <f>ROUND('Balance N-1'!G282,2)</f>
        <v>0</v>
      </c>
      <c r="H311" s="592">
        <f>ROUND('Balance N-1'!H282,2)</f>
        <v>0</v>
      </c>
      <c r="I311" s="2" t="str">
        <f t="shared" si="7"/>
        <v>0</v>
      </c>
    </row>
    <row r="312" spans="1:9" x14ac:dyDescent="0.2">
      <c r="A312" s="782" t="str">
        <f>FIXED('Balance N-1'!A283,0,1)</f>
        <v>0</v>
      </c>
      <c r="B312" s="494">
        <f>+'Balance N-1'!B283</f>
        <v>0</v>
      </c>
      <c r="C312" s="592">
        <f>ROUND('Balance N-1'!C283,2)</f>
        <v>0</v>
      </c>
      <c r="D312" s="592">
        <f>ROUND('Balance N-1'!D283,2)</f>
        <v>0</v>
      </c>
      <c r="E312" s="592">
        <f>ROUND('Balance N-1'!E283,2)</f>
        <v>0</v>
      </c>
      <c r="F312" s="592">
        <f>ROUND('Balance N-1'!F283,2)</f>
        <v>0</v>
      </c>
      <c r="G312" s="592">
        <f>ROUND('Balance N-1'!G283,2)</f>
        <v>0</v>
      </c>
      <c r="H312" s="592">
        <f>ROUND('Balance N-1'!H283,2)</f>
        <v>0</v>
      </c>
      <c r="I312" s="2" t="str">
        <f t="shared" si="7"/>
        <v>0</v>
      </c>
    </row>
    <row r="313" spans="1:9" x14ac:dyDescent="0.2">
      <c r="A313" s="782" t="str">
        <f>FIXED('Balance N-1'!A284,0,1)</f>
        <v>0</v>
      </c>
      <c r="B313" s="494">
        <f>+'Balance N-1'!B284</f>
        <v>0</v>
      </c>
      <c r="C313" s="592">
        <f>ROUND('Balance N-1'!C284,2)</f>
        <v>0</v>
      </c>
      <c r="D313" s="592">
        <f>ROUND('Balance N-1'!D284,2)</f>
        <v>0</v>
      </c>
      <c r="E313" s="592">
        <f>ROUND('Balance N-1'!E284,2)</f>
        <v>0</v>
      </c>
      <c r="F313" s="592">
        <f>ROUND('Balance N-1'!F284,2)</f>
        <v>0</v>
      </c>
      <c r="G313" s="592">
        <f>ROUND('Balance N-1'!G284,2)</f>
        <v>0</v>
      </c>
      <c r="H313" s="592">
        <f>ROUND('Balance N-1'!H284,2)</f>
        <v>0</v>
      </c>
      <c r="I313" s="2" t="str">
        <f t="shared" si="7"/>
        <v>0</v>
      </c>
    </row>
    <row r="314" spans="1:9" x14ac:dyDescent="0.2">
      <c r="A314" s="782" t="str">
        <f>FIXED('Balance N-1'!A285,0,1)</f>
        <v>0</v>
      </c>
      <c r="B314" s="494">
        <f>+'Balance N-1'!B285</f>
        <v>0</v>
      </c>
      <c r="C314" s="592">
        <f>ROUND('Balance N-1'!C285,2)</f>
        <v>0</v>
      </c>
      <c r="D314" s="592">
        <f>ROUND('Balance N-1'!D285,2)</f>
        <v>0</v>
      </c>
      <c r="E314" s="592">
        <f>ROUND('Balance N-1'!E285,2)</f>
        <v>0</v>
      </c>
      <c r="F314" s="592">
        <f>ROUND('Balance N-1'!F285,2)</f>
        <v>0</v>
      </c>
      <c r="G314" s="592">
        <f>ROUND('Balance N-1'!G285,2)</f>
        <v>0</v>
      </c>
      <c r="H314" s="592">
        <f>ROUND('Balance N-1'!H285,2)</f>
        <v>0</v>
      </c>
      <c r="I314" s="2" t="str">
        <f t="shared" si="7"/>
        <v>0</v>
      </c>
    </row>
    <row r="315" spans="1:9" x14ac:dyDescent="0.2">
      <c r="A315" s="782" t="str">
        <f>FIXED('Balance N-1'!A286,0,1)</f>
        <v>0</v>
      </c>
      <c r="B315" s="494">
        <f>+'Balance N-1'!B286</f>
        <v>0</v>
      </c>
      <c r="C315" s="592">
        <f>ROUND('Balance N-1'!C286,2)</f>
        <v>0</v>
      </c>
      <c r="D315" s="592">
        <f>ROUND('Balance N-1'!D286,2)</f>
        <v>0</v>
      </c>
      <c r="E315" s="592">
        <f>ROUND('Balance N-1'!E286,2)</f>
        <v>0</v>
      </c>
      <c r="F315" s="592">
        <f>ROUND('Balance N-1'!F286,2)</f>
        <v>0</v>
      </c>
      <c r="G315" s="592">
        <f>ROUND('Balance N-1'!G286,2)</f>
        <v>0</v>
      </c>
      <c r="H315" s="592">
        <f>ROUND('Balance N-1'!H286,2)</f>
        <v>0</v>
      </c>
      <c r="I315" s="2" t="str">
        <f t="shared" si="7"/>
        <v>0</v>
      </c>
    </row>
    <row r="316" spans="1:9" x14ac:dyDescent="0.2">
      <c r="A316" s="782" t="str">
        <f>FIXED('Balance N-1'!A287,0,1)</f>
        <v>0</v>
      </c>
      <c r="B316" s="494">
        <f>+'Balance N-1'!B287</f>
        <v>0</v>
      </c>
      <c r="C316" s="592">
        <f>ROUND('Balance N-1'!C287,2)</f>
        <v>0</v>
      </c>
      <c r="D316" s="592">
        <f>ROUND('Balance N-1'!D287,2)</f>
        <v>0</v>
      </c>
      <c r="E316" s="592">
        <f>ROUND('Balance N-1'!E287,2)</f>
        <v>0</v>
      </c>
      <c r="F316" s="592">
        <f>ROUND('Balance N-1'!F287,2)</f>
        <v>0</v>
      </c>
      <c r="G316" s="592">
        <f>ROUND('Balance N-1'!G287,2)</f>
        <v>0</v>
      </c>
      <c r="H316" s="592">
        <f>ROUND('Balance N-1'!H287,2)</f>
        <v>0</v>
      </c>
      <c r="I316" s="2" t="str">
        <f t="shared" si="7"/>
        <v>0</v>
      </c>
    </row>
    <row r="317" spans="1:9" x14ac:dyDescent="0.2">
      <c r="A317" s="782" t="str">
        <f>FIXED('Balance N-1'!A288,0,1)</f>
        <v>0</v>
      </c>
      <c r="B317" s="494">
        <f>+'Balance N-1'!B288</f>
        <v>0</v>
      </c>
      <c r="C317" s="592">
        <f>ROUND('Balance N-1'!C288,2)</f>
        <v>0</v>
      </c>
      <c r="D317" s="592">
        <f>ROUND('Balance N-1'!D288,2)</f>
        <v>0</v>
      </c>
      <c r="E317" s="592">
        <f>ROUND('Balance N-1'!E288,2)</f>
        <v>0</v>
      </c>
      <c r="F317" s="592">
        <f>ROUND('Balance N-1'!F288,2)</f>
        <v>0</v>
      </c>
      <c r="G317" s="592">
        <f>ROUND('Balance N-1'!G288,2)</f>
        <v>0</v>
      </c>
      <c r="H317" s="592">
        <f>ROUND('Balance N-1'!H288,2)</f>
        <v>0</v>
      </c>
      <c r="I317" s="2" t="str">
        <f t="shared" si="7"/>
        <v>0</v>
      </c>
    </row>
    <row r="318" spans="1:9" x14ac:dyDescent="0.2">
      <c r="A318" s="782" t="str">
        <f>FIXED('Balance N-1'!A289,0,1)</f>
        <v>0</v>
      </c>
      <c r="B318" s="494">
        <f>+'Balance N-1'!B289</f>
        <v>0</v>
      </c>
      <c r="C318" s="592">
        <f>ROUND('Balance N-1'!C289,2)</f>
        <v>0</v>
      </c>
      <c r="D318" s="592">
        <f>ROUND('Balance N-1'!D289,2)</f>
        <v>0</v>
      </c>
      <c r="E318" s="592">
        <f>ROUND('Balance N-1'!E289,2)</f>
        <v>0</v>
      </c>
      <c r="F318" s="592">
        <f>ROUND('Balance N-1'!F289,2)</f>
        <v>0</v>
      </c>
      <c r="G318" s="592">
        <f>ROUND('Balance N-1'!G289,2)</f>
        <v>0</v>
      </c>
      <c r="H318" s="592">
        <f>ROUND('Balance N-1'!H289,2)</f>
        <v>0</v>
      </c>
      <c r="I318" s="2" t="str">
        <f t="shared" si="7"/>
        <v>0</v>
      </c>
    </row>
    <row r="319" spans="1:9" x14ac:dyDescent="0.2">
      <c r="A319" s="782" t="str">
        <f>FIXED('Balance N-1'!A290,0,1)</f>
        <v>0</v>
      </c>
      <c r="B319" s="494">
        <f>+'Balance N-1'!B290</f>
        <v>0</v>
      </c>
      <c r="C319" s="592">
        <f>ROUND('Balance N-1'!C290,2)</f>
        <v>0</v>
      </c>
      <c r="D319" s="592">
        <f>ROUND('Balance N-1'!D290,2)</f>
        <v>0</v>
      </c>
      <c r="E319" s="592">
        <f>ROUND('Balance N-1'!E290,2)</f>
        <v>0</v>
      </c>
      <c r="F319" s="592">
        <f>ROUND('Balance N-1'!F290,2)</f>
        <v>0</v>
      </c>
      <c r="G319" s="592">
        <f>ROUND('Balance N-1'!G290,2)</f>
        <v>0</v>
      </c>
      <c r="H319" s="592">
        <f>ROUND('Balance N-1'!H290,2)</f>
        <v>0</v>
      </c>
      <c r="I319" s="2" t="str">
        <f t="shared" si="7"/>
        <v>0</v>
      </c>
    </row>
    <row r="320" spans="1:9" x14ac:dyDescent="0.2">
      <c r="A320" s="782" t="str">
        <f>FIXED('Balance N-1'!A291,0,1)</f>
        <v>0</v>
      </c>
      <c r="B320" s="494">
        <f>+'Balance N-1'!B291</f>
        <v>0</v>
      </c>
      <c r="C320" s="592">
        <f>ROUND('Balance N-1'!C291,2)</f>
        <v>0</v>
      </c>
      <c r="D320" s="592">
        <f>ROUND('Balance N-1'!D291,2)</f>
        <v>0</v>
      </c>
      <c r="E320" s="592">
        <f>ROUND('Balance N-1'!E291,2)</f>
        <v>0</v>
      </c>
      <c r="F320" s="592">
        <f>ROUND('Balance N-1'!F291,2)</f>
        <v>0</v>
      </c>
      <c r="G320" s="592">
        <f>ROUND('Balance N-1'!G291,2)</f>
        <v>0</v>
      </c>
      <c r="H320" s="592">
        <f>ROUND('Balance N-1'!H291,2)</f>
        <v>0</v>
      </c>
      <c r="I320" s="2" t="str">
        <f t="shared" si="7"/>
        <v>0</v>
      </c>
    </row>
    <row r="321" spans="1:9" x14ac:dyDescent="0.2">
      <c r="A321" s="782" t="str">
        <f>FIXED('Balance N-1'!A292,0,1)</f>
        <v>0</v>
      </c>
      <c r="B321" s="494">
        <f>+'Balance N-1'!B292</f>
        <v>0</v>
      </c>
      <c r="C321" s="592">
        <f>ROUND('Balance N-1'!C292,2)</f>
        <v>0</v>
      </c>
      <c r="D321" s="592">
        <f>ROUND('Balance N-1'!D292,2)</f>
        <v>0</v>
      </c>
      <c r="E321" s="592">
        <f>ROUND('Balance N-1'!E292,2)</f>
        <v>0</v>
      </c>
      <c r="F321" s="592">
        <f>ROUND('Balance N-1'!F292,2)</f>
        <v>0</v>
      </c>
      <c r="G321" s="592">
        <f>ROUND('Balance N-1'!G292,2)</f>
        <v>0</v>
      </c>
      <c r="H321" s="592">
        <f>ROUND('Balance N-1'!H292,2)</f>
        <v>0</v>
      </c>
      <c r="I321" s="2" t="str">
        <f t="shared" si="7"/>
        <v>0</v>
      </c>
    </row>
    <row r="322" spans="1:9" x14ac:dyDescent="0.2">
      <c r="A322" s="782" t="str">
        <f>FIXED('Balance N-1'!A293,0,1)</f>
        <v>0</v>
      </c>
      <c r="B322" s="494">
        <f>+'Balance N-1'!B293</f>
        <v>0</v>
      </c>
      <c r="C322" s="592">
        <f>ROUND('Balance N-1'!C293,2)</f>
        <v>0</v>
      </c>
      <c r="D322" s="592">
        <f>ROUND('Balance N-1'!D293,2)</f>
        <v>0</v>
      </c>
      <c r="E322" s="592">
        <f>ROUND('Balance N-1'!E293,2)</f>
        <v>0</v>
      </c>
      <c r="F322" s="592">
        <f>ROUND('Balance N-1'!F293,2)</f>
        <v>0</v>
      </c>
      <c r="G322" s="592">
        <f>ROUND('Balance N-1'!G293,2)</f>
        <v>0</v>
      </c>
      <c r="H322" s="592">
        <f>ROUND('Balance N-1'!H293,2)</f>
        <v>0</v>
      </c>
      <c r="I322" s="2" t="str">
        <f t="shared" si="7"/>
        <v>0</v>
      </c>
    </row>
    <row r="323" spans="1:9" x14ac:dyDescent="0.2">
      <c r="A323" s="782" t="str">
        <f>FIXED('Balance N-1'!A294,0,1)</f>
        <v>0</v>
      </c>
      <c r="B323" s="494">
        <f>+'Balance N-1'!B294</f>
        <v>0</v>
      </c>
      <c r="C323" s="592">
        <f>ROUND('Balance N-1'!C294,2)</f>
        <v>0</v>
      </c>
      <c r="D323" s="592">
        <f>ROUND('Balance N-1'!D294,2)</f>
        <v>0</v>
      </c>
      <c r="E323" s="592">
        <f>ROUND('Balance N-1'!E294,2)</f>
        <v>0</v>
      </c>
      <c r="F323" s="592">
        <f>ROUND('Balance N-1'!F294,2)</f>
        <v>0</v>
      </c>
      <c r="G323" s="592">
        <f>ROUND('Balance N-1'!G294,2)</f>
        <v>0</v>
      </c>
      <c r="H323" s="592">
        <f>ROUND('Balance N-1'!H294,2)</f>
        <v>0</v>
      </c>
      <c r="I323" s="2" t="str">
        <f t="shared" ref="I323:I386" si="8">MID(A323,1,1)</f>
        <v>0</v>
      </c>
    </row>
    <row r="324" spans="1:9" x14ac:dyDescent="0.2">
      <c r="A324" s="782" t="str">
        <f>FIXED('Balance N-1'!A295,0,1)</f>
        <v>0</v>
      </c>
      <c r="B324" s="494">
        <f>+'Balance N-1'!B295</f>
        <v>0</v>
      </c>
      <c r="C324" s="592">
        <f>ROUND('Balance N-1'!C295,2)</f>
        <v>0</v>
      </c>
      <c r="D324" s="592">
        <f>ROUND('Balance N-1'!D295,2)</f>
        <v>0</v>
      </c>
      <c r="E324" s="592">
        <f>ROUND('Balance N-1'!E295,2)</f>
        <v>0</v>
      </c>
      <c r="F324" s="592">
        <f>ROUND('Balance N-1'!F295,2)</f>
        <v>0</v>
      </c>
      <c r="G324" s="592">
        <f>ROUND('Balance N-1'!G295,2)</f>
        <v>0</v>
      </c>
      <c r="H324" s="592">
        <f>ROUND('Balance N-1'!H295,2)</f>
        <v>0</v>
      </c>
      <c r="I324" s="2" t="str">
        <f t="shared" si="8"/>
        <v>0</v>
      </c>
    </row>
    <row r="325" spans="1:9" x14ac:dyDescent="0.2">
      <c r="A325" s="782" t="str">
        <f>FIXED('Balance N-1'!A296,0,1)</f>
        <v>0</v>
      </c>
      <c r="B325" s="494">
        <f>+'Balance N-1'!B296</f>
        <v>0</v>
      </c>
      <c r="C325" s="592">
        <f>ROUND('Balance N-1'!C296,2)</f>
        <v>0</v>
      </c>
      <c r="D325" s="592">
        <f>ROUND('Balance N-1'!D296,2)</f>
        <v>0</v>
      </c>
      <c r="E325" s="592">
        <f>ROUND('Balance N-1'!E296,2)</f>
        <v>0</v>
      </c>
      <c r="F325" s="592">
        <f>ROUND('Balance N-1'!F296,2)</f>
        <v>0</v>
      </c>
      <c r="G325" s="592">
        <f>ROUND('Balance N-1'!G296,2)</f>
        <v>0</v>
      </c>
      <c r="H325" s="592">
        <f>ROUND('Balance N-1'!H296,2)</f>
        <v>0</v>
      </c>
      <c r="I325" s="2" t="str">
        <f t="shared" si="8"/>
        <v>0</v>
      </c>
    </row>
    <row r="326" spans="1:9" x14ac:dyDescent="0.2">
      <c r="A326" s="782" t="str">
        <f>FIXED('Balance N-1'!A297,0,1)</f>
        <v>0</v>
      </c>
      <c r="B326" s="494">
        <f>+'Balance N-1'!B297</f>
        <v>0</v>
      </c>
      <c r="C326" s="592">
        <f>ROUND('Balance N-1'!C297,2)</f>
        <v>0</v>
      </c>
      <c r="D326" s="592">
        <f>ROUND('Balance N-1'!D297,2)</f>
        <v>0</v>
      </c>
      <c r="E326" s="592">
        <f>ROUND('Balance N-1'!E297,2)</f>
        <v>0</v>
      </c>
      <c r="F326" s="592">
        <f>ROUND('Balance N-1'!F297,2)</f>
        <v>0</v>
      </c>
      <c r="G326" s="592">
        <f>ROUND('Balance N-1'!G297,2)</f>
        <v>0</v>
      </c>
      <c r="H326" s="592">
        <f>ROUND('Balance N-1'!H297,2)</f>
        <v>0</v>
      </c>
      <c r="I326" s="2" t="str">
        <f t="shared" si="8"/>
        <v>0</v>
      </c>
    </row>
    <row r="327" spans="1:9" x14ac:dyDescent="0.2">
      <c r="A327" s="782" t="str">
        <f>FIXED('Balance N-1'!A298,0,1)</f>
        <v>0</v>
      </c>
      <c r="B327" s="494">
        <f>+'Balance N-1'!B298</f>
        <v>0</v>
      </c>
      <c r="C327" s="592">
        <f>ROUND('Balance N-1'!C298,2)</f>
        <v>0</v>
      </c>
      <c r="D327" s="592">
        <f>ROUND('Balance N-1'!D298,2)</f>
        <v>0</v>
      </c>
      <c r="E327" s="592">
        <f>ROUND('Balance N-1'!E298,2)</f>
        <v>0</v>
      </c>
      <c r="F327" s="592">
        <f>ROUND('Balance N-1'!F298,2)</f>
        <v>0</v>
      </c>
      <c r="G327" s="592">
        <f>ROUND('Balance N-1'!G298,2)</f>
        <v>0</v>
      </c>
      <c r="H327" s="592">
        <f>ROUND('Balance N-1'!H298,2)</f>
        <v>0</v>
      </c>
      <c r="I327" s="2" t="str">
        <f t="shared" si="8"/>
        <v>0</v>
      </c>
    </row>
    <row r="328" spans="1:9" x14ac:dyDescent="0.2">
      <c r="A328" s="782" t="str">
        <f>FIXED('Balance N-1'!A299,0,1)</f>
        <v>0</v>
      </c>
      <c r="B328" s="494">
        <f>+'Balance N-1'!B299</f>
        <v>0</v>
      </c>
      <c r="C328" s="592">
        <f>ROUND('Balance N-1'!C299,2)</f>
        <v>0</v>
      </c>
      <c r="D328" s="592">
        <f>ROUND('Balance N-1'!D299,2)</f>
        <v>0</v>
      </c>
      <c r="E328" s="592">
        <f>ROUND('Balance N-1'!E299,2)</f>
        <v>0</v>
      </c>
      <c r="F328" s="592">
        <f>ROUND('Balance N-1'!F299,2)</f>
        <v>0</v>
      </c>
      <c r="G328" s="592">
        <f>ROUND('Balance N-1'!G299,2)</f>
        <v>0</v>
      </c>
      <c r="H328" s="592">
        <f>ROUND('Balance N-1'!H299,2)</f>
        <v>0</v>
      </c>
      <c r="I328" s="2" t="str">
        <f t="shared" si="8"/>
        <v>0</v>
      </c>
    </row>
    <row r="329" spans="1:9" x14ac:dyDescent="0.2">
      <c r="A329" s="782" t="str">
        <f>FIXED('Balance N-1'!A300,0,1)</f>
        <v>0</v>
      </c>
      <c r="B329" s="494">
        <f>+'Balance N-1'!B300</f>
        <v>0</v>
      </c>
      <c r="C329" s="592">
        <f>ROUND('Balance N-1'!C300,2)</f>
        <v>0</v>
      </c>
      <c r="D329" s="592">
        <f>ROUND('Balance N-1'!D300,2)</f>
        <v>0</v>
      </c>
      <c r="E329" s="592">
        <f>ROUND('Balance N-1'!E300,2)</f>
        <v>0</v>
      </c>
      <c r="F329" s="592">
        <f>ROUND('Balance N-1'!F300,2)</f>
        <v>0</v>
      </c>
      <c r="G329" s="592">
        <f>ROUND('Balance N-1'!G300,2)</f>
        <v>0</v>
      </c>
      <c r="H329" s="592">
        <f>ROUND('Balance N-1'!H300,2)</f>
        <v>0</v>
      </c>
      <c r="I329" s="2" t="str">
        <f t="shared" si="8"/>
        <v>0</v>
      </c>
    </row>
    <row r="330" spans="1:9" x14ac:dyDescent="0.2">
      <c r="A330" s="782" t="str">
        <f>FIXED('Balance N-1'!A301,0,1)</f>
        <v>0</v>
      </c>
      <c r="B330" s="494">
        <f>+'Balance N-1'!B301</f>
        <v>0</v>
      </c>
      <c r="C330" s="592">
        <f>ROUND('Balance N-1'!C301,2)</f>
        <v>0</v>
      </c>
      <c r="D330" s="592">
        <f>ROUND('Balance N-1'!D301,2)</f>
        <v>0</v>
      </c>
      <c r="E330" s="592">
        <f>ROUND('Balance N-1'!E301,2)</f>
        <v>0</v>
      </c>
      <c r="F330" s="592">
        <f>ROUND('Balance N-1'!F301,2)</f>
        <v>0</v>
      </c>
      <c r="G330" s="592">
        <f>ROUND('Balance N-1'!G301,2)</f>
        <v>0</v>
      </c>
      <c r="H330" s="592">
        <f>ROUND('Balance N-1'!H301,2)</f>
        <v>0</v>
      </c>
      <c r="I330" s="2" t="str">
        <f t="shared" si="8"/>
        <v>0</v>
      </c>
    </row>
    <row r="331" spans="1:9" x14ac:dyDescent="0.2">
      <c r="A331" s="782" t="str">
        <f>FIXED('Balance N-1'!A302,0,1)</f>
        <v>0</v>
      </c>
      <c r="B331" s="494">
        <f>+'Balance N-1'!B302</f>
        <v>0</v>
      </c>
      <c r="C331" s="592">
        <f>ROUND('Balance N-1'!C302,2)</f>
        <v>0</v>
      </c>
      <c r="D331" s="592">
        <f>ROUND('Balance N-1'!D302,2)</f>
        <v>0</v>
      </c>
      <c r="E331" s="592">
        <f>ROUND('Balance N-1'!E302,2)</f>
        <v>0</v>
      </c>
      <c r="F331" s="592">
        <f>ROUND('Balance N-1'!F302,2)</f>
        <v>0</v>
      </c>
      <c r="G331" s="592">
        <f>ROUND('Balance N-1'!G302,2)</f>
        <v>0</v>
      </c>
      <c r="H331" s="592">
        <f>ROUND('Balance N-1'!H302,2)</f>
        <v>0</v>
      </c>
      <c r="I331" s="2" t="str">
        <f t="shared" si="8"/>
        <v>0</v>
      </c>
    </row>
    <row r="332" spans="1:9" x14ac:dyDescent="0.2">
      <c r="A332" s="782" t="str">
        <f>FIXED('Balance N-1'!A303,0,1)</f>
        <v>0</v>
      </c>
      <c r="B332" s="494">
        <f>+'Balance N-1'!B303</f>
        <v>0</v>
      </c>
      <c r="C332" s="592">
        <f>ROUND('Balance N-1'!C303,2)</f>
        <v>0</v>
      </c>
      <c r="D332" s="592">
        <f>ROUND('Balance N-1'!D303,2)</f>
        <v>0</v>
      </c>
      <c r="E332" s="592">
        <f>ROUND('Balance N-1'!E303,2)</f>
        <v>0</v>
      </c>
      <c r="F332" s="592">
        <f>ROUND('Balance N-1'!F303,2)</f>
        <v>0</v>
      </c>
      <c r="G332" s="592">
        <f>ROUND('Balance N-1'!G303,2)</f>
        <v>0</v>
      </c>
      <c r="H332" s="592">
        <f>ROUND('Balance N-1'!H303,2)</f>
        <v>0</v>
      </c>
      <c r="I332" s="2" t="str">
        <f t="shared" si="8"/>
        <v>0</v>
      </c>
    </row>
    <row r="333" spans="1:9" x14ac:dyDescent="0.2">
      <c r="A333" s="782" t="str">
        <f>FIXED('Balance N-1'!A304,0,1)</f>
        <v>0</v>
      </c>
      <c r="B333" s="494">
        <f>+'Balance N-1'!B304</f>
        <v>0</v>
      </c>
      <c r="C333" s="592">
        <f>ROUND('Balance N-1'!C304,2)</f>
        <v>0</v>
      </c>
      <c r="D333" s="592">
        <f>ROUND('Balance N-1'!D304,2)</f>
        <v>0</v>
      </c>
      <c r="E333" s="592">
        <f>ROUND('Balance N-1'!E304,2)</f>
        <v>0</v>
      </c>
      <c r="F333" s="592">
        <f>ROUND('Balance N-1'!F304,2)</f>
        <v>0</v>
      </c>
      <c r="G333" s="592">
        <f>ROUND('Balance N-1'!G304,2)</f>
        <v>0</v>
      </c>
      <c r="H333" s="592">
        <f>ROUND('Balance N-1'!H304,2)</f>
        <v>0</v>
      </c>
      <c r="I333" s="2" t="str">
        <f t="shared" si="8"/>
        <v>0</v>
      </c>
    </row>
    <row r="334" spans="1:9" x14ac:dyDescent="0.2">
      <c r="A334" s="782" t="str">
        <f>FIXED('Balance N-1'!A305,0,1)</f>
        <v>0</v>
      </c>
      <c r="B334" s="494">
        <f>+'Balance N-1'!B305</f>
        <v>0</v>
      </c>
      <c r="C334" s="592">
        <f>ROUND('Balance N-1'!C305,2)</f>
        <v>0</v>
      </c>
      <c r="D334" s="592">
        <f>ROUND('Balance N-1'!D305,2)</f>
        <v>0</v>
      </c>
      <c r="E334" s="592">
        <f>ROUND('Balance N-1'!E305,2)</f>
        <v>0</v>
      </c>
      <c r="F334" s="592">
        <f>ROUND('Balance N-1'!F305,2)</f>
        <v>0</v>
      </c>
      <c r="G334" s="592">
        <f>ROUND('Balance N-1'!G305,2)</f>
        <v>0</v>
      </c>
      <c r="H334" s="592">
        <f>ROUND('Balance N-1'!H305,2)</f>
        <v>0</v>
      </c>
      <c r="I334" s="2" t="str">
        <f t="shared" si="8"/>
        <v>0</v>
      </c>
    </row>
    <row r="335" spans="1:9" x14ac:dyDescent="0.2">
      <c r="A335" s="782" t="str">
        <f>FIXED('Balance N-1'!A306,0,1)</f>
        <v>0</v>
      </c>
      <c r="B335" s="494">
        <f>+'Balance N-1'!B306</f>
        <v>0</v>
      </c>
      <c r="C335" s="592">
        <f>ROUND('Balance N-1'!C306,2)</f>
        <v>0</v>
      </c>
      <c r="D335" s="592">
        <f>ROUND('Balance N-1'!D306,2)</f>
        <v>0</v>
      </c>
      <c r="E335" s="592">
        <f>ROUND('Balance N-1'!E306,2)</f>
        <v>0</v>
      </c>
      <c r="F335" s="592">
        <f>ROUND('Balance N-1'!F306,2)</f>
        <v>0</v>
      </c>
      <c r="G335" s="592">
        <f>ROUND('Balance N-1'!G306,2)</f>
        <v>0</v>
      </c>
      <c r="H335" s="592">
        <f>ROUND('Balance N-1'!H306,2)</f>
        <v>0</v>
      </c>
      <c r="I335" s="2" t="str">
        <f t="shared" si="8"/>
        <v>0</v>
      </c>
    </row>
    <row r="336" spans="1:9" x14ac:dyDescent="0.2">
      <c r="A336" s="782" t="str">
        <f>FIXED('Balance N-1'!A307,0,1)</f>
        <v>0</v>
      </c>
      <c r="B336" s="494">
        <f>+'Balance N-1'!B307</f>
        <v>0</v>
      </c>
      <c r="C336" s="592">
        <f>ROUND('Balance N-1'!C307,2)</f>
        <v>0</v>
      </c>
      <c r="D336" s="592">
        <f>ROUND('Balance N-1'!D307,2)</f>
        <v>0</v>
      </c>
      <c r="E336" s="592">
        <f>ROUND('Balance N-1'!E307,2)</f>
        <v>0</v>
      </c>
      <c r="F336" s="592">
        <f>ROUND('Balance N-1'!F307,2)</f>
        <v>0</v>
      </c>
      <c r="G336" s="592">
        <f>ROUND('Balance N-1'!G307,2)</f>
        <v>0</v>
      </c>
      <c r="H336" s="592">
        <f>ROUND('Balance N-1'!H307,2)</f>
        <v>0</v>
      </c>
      <c r="I336" s="2" t="str">
        <f t="shared" si="8"/>
        <v>0</v>
      </c>
    </row>
    <row r="337" spans="1:9" x14ac:dyDescent="0.2">
      <c r="A337" s="782" t="str">
        <f>FIXED('Balance N-1'!A308,0,1)</f>
        <v>0</v>
      </c>
      <c r="B337" s="494">
        <f>+'Balance N-1'!B308</f>
        <v>0</v>
      </c>
      <c r="C337" s="592">
        <f>ROUND('Balance N-1'!C308,2)</f>
        <v>0</v>
      </c>
      <c r="D337" s="592">
        <f>ROUND('Balance N-1'!D308,2)</f>
        <v>0</v>
      </c>
      <c r="E337" s="592">
        <f>ROUND('Balance N-1'!E308,2)</f>
        <v>0</v>
      </c>
      <c r="F337" s="592">
        <f>ROUND('Balance N-1'!F308,2)</f>
        <v>0</v>
      </c>
      <c r="G337" s="592">
        <f>ROUND('Balance N-1'!G308,2)</f>
        <v>0</v>
      </c>
      <c r="H337" s="592">
        <f>ROUND('Balance N-1'!H308,2)</f>
        <v>0</v>
      </c>
      <c r="I337" s="2" t="str">
        <f t="shared" si="8"/>
        <v>0</v>
      </c>
    </row>
    <row r="338" spans="1:9" x14ac:dyDescent="0.2">
      <c r="A338" s="782" t="str">
        <f>FIXED('Balance N-1'!A309,0,1)</f>
        <v>0</v>
      </c>
      <c r="B338" s="494">
        <f>+'Balance N-1'!B309</f>
        <v>0</v>
      </c>
      <c r="C338" s="592">
        <f>ROUND('Balance N-1'!C309,2)</f>
        <v>0</v>
      </c>
      <c r="D338" s="592">
        <f>ROUND('Balance N-1'!D309,2)</f>
        <v>0</v>
      </c>
      <c r="E338" s="592">
        <f>ROUND('Balance N-1'!E309,2)</f>
        <v>0</v>
      </c>
      <c r="F338" s="592">
        <f>ROUND('Balance N-1'!F309,2)</f>
        <v>0</v>
      </c>
      <c r="G338" s="592">
        <f>ROUND('Balance N-1'!G309,2)</f>
        <v>0</v>
      </c>
      <c r="H338" s="592">
        <f>ROUND('Balance N-1'!H309,2)</f>
        <v>0</v>
      </c>
      <c r="I338" s="2" t="str">
        <f t="shared" si="8"/>
        <v>0</v>
      </c>
    </row>
    <row r="339" spans="1:9" x14ac:dyDescent="0.2">
      <c r="A339" s="782" t="str">
        <f>FIXED('Balance N-1'!A310,0,1)</f>
        <v>0</v>
      </c>
      <c r="B339" s="494">
        <f>+'Balance N-1'!B310</f>
        <v>0</v>
      </c>
      <c r="C339" s="592">
        <f>ROUND('Balance N-1'!C310,2)</f>
        <v>0</v>
      </c>
      <c r="D339" s="592">
        <f>ROUND('Balance N-1'!D310,2)</f>
        <v>0</v>
      </c>
      <c r="E339" s="592">
        <f>ROUND('Balance N-1'!E310,2)</f>
        <v>0</v>
      </c>
      <c r="F339" s="592">
        <f>ROUND('Balance N-1'!F310,2)</f>
        <v>0</v>
      </c>
      <c r="G339" s="592">
        <f>ROUND('Balance N-1'!G310,2)</f>
        <v>0</v>
      </c>
      <c r="H339" s="592">
        <f>ROUND('Balance N-1'!H310,2)</f>
        <v>0</v>
      </c>
      <c r="I339" s="2" t="str">
        <f t="shared" si="8"/>
        <v>0</v>
      </c>
    </row>
    <row r="340" spans="1:9" x14ac:dyDescent="0.2">
      <c r="A340" s="782" t="str">
        <f>FIXED('Balance N-1'!A311,0,1)</f>
        <v>0</v>
      </c>
      <c r="B340" s="494">
        <f>+'Balance N-1'!B311</f>
        <v>0</v>
      </c>
      <c r="C340" s="592">
        <f>ROUND('Balance N-1'!C311,2)</f>
        <v>0</v>
      </c>
      <c r="D340" s="592">
        <f>ROUND('Balance N-1'!D311,2)</f>
        <v>0</v>
      </c>
      <c r="E340" s="592">
        <f>ROUND('Balance N-1'!E311,2)</f>
        <v>0</v>
      </c>
      <c r="F340" s="592">
        <f>ROUND('Balance N-1'!F311,2)</f>
        <v>0</v>
      </c>
      <c r="G340" s="592">
        <f>ROUND('Balance N-1'!G311,2)</f>
        <v>0</v>
      </c>
      <c r="H340" s="592">
        <f>ROUND('Balance N-1'!H311,2)</f>
        <v>0</v>
      </c>
      <c r="I340" s="2" t="str">
        <f t="shared" si="8"/>
        <v>0</v>
      </c>
    </row>
    <row r="341" spans="1:9" x14ac:dyDescent="0.2">
      <c r="A341" s="782" t="str">
        <f>FIXED('Balance N-1'!A312,0,1)</f>
        <v>0</v>
      </c>
      <c r="B341" s="494">
        <f>+'Balance N-1'!B312</f>
        <v>0</v>
      </c>
      <c r="C341" s="592">
        <f>ROUND('Balance N-1'!C312,2)</f>
        <v>0</v>
      </c>
      <c r="D341" s="592">
        <f>ROUND('Balance N-1'!D312,2)</f>
        <v>0</v>
      </c>
      <c r="E341" s="592">
        <f>ROUND('Balance N-1'!E312,2)</f>
        <v>0</v>
      </c>
      <c r="F341" s="592">
        <f>ROUND('Balance N-1'!F312,2)</f>
        <v>0</v>
      </c>
      <c r="G341" s="592">
        <f>ROUND('Balance N-1'!G312,2)</f>
        <v>0</v>
      </c>
      <c r="H341" s="592">
        <f>ROUND('Balance N-1'!H312,2)</f>
        <v>0</v>
      </c>
      <c r="I341" s="2" t="str">
        <f t="shared" si="8"/>
        <v>0</v>
      </c>
    </row>
    <row r="342" spans="1:9" x14ac:dyDescent="0.2">
      <c r="A342" s="782" t="str">
        <f>FIXED('Balance N-1'!A313,0,1)</f>
        <v>0</v>
      </c>
      <c r="B342" s="494">
        <f>+'Balance N-1'!B313</f>
        <v>0</v>
      </c>
      <c r="C342" s="592">
        <f>ROUND('Balance N-1'!C313,2)</f>
        <v>0</v>
      </c>
      <c r="D342" s="592">
        <f>ROUND('Balance N-1'!D313,2)</f>
        <v>0</v>
      </c>
      <c r="E342" s="592">
        <f>ROUND('Balance N-1'!E313,2)</f>
        <v>0</v>
      </c>
      <c r="F342" s="592">
        <f>ROUND('Balance N-1'!F313,2)</f>
        <v>0</v>
      </c>
      <c r="G342" s="592">
        <f>ROUND('Balance N-1'!G313,2)</f>
        <v>0</v>
      </c>
      <c r="H342" s="592">
        <f>ROUND('Balance N-1'!H313,2)</f>
        <v>0</v>
      </c>
      <c r="I342" s="2" t="str">
        <f t="shared" si="8"/>
        <v>0</v>
      </c>
    </row>
    <row r="343" spans="1:9" x14ac:dyDescent="0.2">
      <c r="A343" s="782" t="str">
        <f>FIXED('Balance N-1'!A314,0,1)</f>
        <v>0</v>
      </c>
      <c r="B343" s="494">
        <f>+'Balance N-1'!B314</f>
        <v>0</v>
      </c>
      <c r="C343" s="592">
        <f>ROUND('Balance N-1'!C314,2)</f>
        <v>0</v>
      </c>
      <c r="D343" s="592">
        <f>ROUND('Balance N-1'!D314,2)</f>
        <v>0</v>
      </c>
      <c r="E343" s="592">
        <f>ROUND('Balance N-1'!E314,2)</f>
        <v>0</v>
      </c>
      <c r="F343" s="592">
        <f>ROUND('Balance N-1'!F314,2)</f>
        <v>0</v>
      </c>
      <c r="G343" s="592">
        <f>ROUND('Balance N-1'!G314,2)</f>
        <v>0</v>
      </c>
      <c r="H343" s="592">
        <f>ROUND('Balance N-1'!H314,2)</f>
        <v>0</v>
      </c>
      <c r="I343" s="2" t="str">
        <f t="shared" si="8"/>
        <v>0</v>
      </c>
    </row>
    <row r="344" spans="1:9" x14ac:dyDescent="0.2">
      <c r="A344" s="782" t="str">
        <f>FIXED('Balance N-1'!A315,0,1)</f>
        <v>0</v>
      </c>
      <c r="B344" s="494">
        <f>+'Balance N-1'!B315</f>
        <v>0</v>
      </c>
      <c r="C344" s="592">
        <f>ROUND('Balance N-1'!C315,2)</f>
        <v>0</v>
      </c>
      <c r="D344" s="592">
        <f>ROUND('Balance N-1'!D315,2)</f>
        <v>0</v>
      </c>
      <c r="E344" s="592">
        <f>ROUND('Balance N-1'!E315,2)</f>
        <v>0</v>
      </c>
      <c r="F344" s="592">
        <f>ROUND('Balance N-1'!F315,2)</f>
        <v>0</v>
      </c>
      <c r="G344" s="592">
        <f>ROUND('Balance N-1'!G315,2)</f>
        <v>0</v>
      </c>
      <c r="H344" s="592">
        <f>ROUND('Balance N-1'!H315,2)</f>
        <v>0</v>
      </c>
      <c r="I344" s="2" t="str">
        <f t="shared" si="8"/>
        <v>0</v>
      </c>
    </row>
    <row r="345" spans="1:9" x14ac:dyDescent="0.2">
      <c r="A345" s="782" t="str">
        <f>FIXED('Balance N-1'!A316,0,1)</f>
        <v>0</v>
      </c>
      <c r="B345" s="494">
        <f>+'Balance N-1'!B316</f>
        <v>0</v>
      </c>
      <c r="C345" s="592">
        <f>ROUND('Balance N-1'!C316,2)</f>
        <v>0</v>
      </c>
      <c r="D345" s="592">
        <f>ROUND('Balance N-1'!D316,2)</f>
        <v>0</v>
      </c>
      <c r="E345" s="592">
        <f>ROUND('Balance N-1'!E316,2)</f>
        <v>0</v>
      </c>
      <c r="F345" s="592">
        <f>ROUND('Balance N-1'!F316,2)</f>
        <v>0</v>
      </c>
      <c r="G345" s="592">
        <f>ROUND('Balance N-1'!G316,2)</f>
        <v>0</v>
      </c>
      <c r="H345" s="592">
        <f>ROUND('Balance N-1'!H316,2)</f>
        <v>0</v>
      </c>
      <c r="I345" s="2" t="str">
        <f t="shared" si="8"/>
        <v>0</v>
      </c>
    </row>
    <row r="346" spans="1:9" x14ac:dyDescent="0.2">
      <c r="A346" s="782" t="str">
        <f>FIXED('Balance N-1'!A317,0,1)</f>
        <v>0</v>
      </c>
      <c r="B346" s="494">
        <f>+'Balance N-1'!B317</f>
        <v>0</v>
      </c>
      <c r="C346" s="592">
        <f>ROUND('Balance N-1'!C317,2)</f>
        <v>0</v>
      </c>
      <c r="D346" s="592">
        <f>ROUND('Balance N-1'!D317,2)</f>
        <v>0</v>
      </c>
      <c r="E346" s="592">
        <f>ROUND('Balance N-1'!E317,2)</f>
        <v>0</v>
      </c>
      <c r="F346" s="592">
        <f>ROUND('Balance N-1'!F317,2)</f>
        <v>0</v>
      </c>
      <c r="G346" s="592">
        <f>ROUND('Balance N-1'!G317,2)</f>
        <v>0</v>
      </c>
      <c r="H346" s="592">
        <f>ROUND('Balance N-1'!H317,2)</f>
        <v>0</v>
      </c>
      <c r="I346" s="2" t="str">
        <f t="shared" si="8"/>
        <v>0</v>
      </c>
    </row>
    <row r="347" spans="1:9" x14ac:dyDescent="0.2">
      <c r="A347" s="782" t="str">
        <f>FIXED('Balance N-1'!A318,0,1)</f>
        <v>0</v>
      </c>
      <c r="B347" s="494">
        <f>+'Balance N-1'!B318</f>
        <v>0</v>
      </c>
      <c r="C347" s="592">
        <f>ROUND('Balance N-1'!C318,2)</f>
        <v>0</v>
      </c>
      <c r="D347" s="592">
        <f>ROUND('Balance N-1'!D318,2)</f>
        <v>0</v>
      </c>
      <c r="E347" s="592">
        <f>ROUND('Balance N-1'!E318,2)</f>
        <v>0</v>
      </c>
      <c r="F347" s="592">
        <f>ROUND('Balance N-1'!F318,2)</f>
        <v>0</v>
      </c>
      <c r="G347" s="592">
        <f>ROUND('Balance N-1'!G318,2)</f>
        <v>0</v>
      </c>
      <c r="H347" s="592">
        <f>ROUND('Balance N-1'!H318,2)</f>
        <v>0</v>
      </c>
      <c r="I347" s="2" t="str">
        <f t="shared" si="8"/>
        <v>0</v>
      </c>
    </row>
    <row r="348" spans="1:9" x14ac:dyDescent="0.2">
      <c r="A348" s="782" t="str">
        <f>FIXED('Balance N-1'!A319,0,1)</f>
        <v>0</v>
      </c>
      <c r="B348" s="494">
        <f>+'Balance N-1'!B319</f>
        <v>0</v>
      </c>
      <c r="C348" s="592">
        <f>ROUND('Balance N-1'!C319,2)</f>
        <v>0</v>
      </c>
      <c r="D348" s="592">
        <f>ROUND('Balance N-1'!D319,2)</f>
        <v>0</v>
      </c>
      <c r="E348" s="592">
        <f>ROUND('Balance N-1'!E319,2)</f>
        <v>0</v>
      </c>
      <c r="F348" s="592">
        <f>ROUND('Balance N-1'!F319,2)</f>
        <v>0</v>
      </c>
      <c r="G348" s="592">
        <f>ROUND('Balance N-1'!G319,2)</f>
        <v>0</v>
      </c>
      <c r="H348" s="592">
        <f>ROUND('Balance N-1'!H319,2)</f>
        <v>0</v>
      </c>
      <c r="I348" s="2" t="str">
        <f t="shared" si="8"/>
        <v>0</v>
      </c>
    </row>
    <row r="349" spans="1:9" x14ac:dyDescent="0.2">
      <c r="A349" s="782" t="str">
        <f>FIXED('Balance N-1'!A320,0,1)</f>
        <v>0</v>
      </c>
      <c r="B349" s="494">
        <f>+'Balance N-1'!B320</f>
        <v>0</v>
      </c>
      <c r="C349" s="592">
        <f>ROUND('Balance N-1'!C320,2)</f>
        <v>0</v>
      </c>
      <c r="D349" s="592">
        <f>ROUND('Balance N-1'!D320,2)</f>
        <v>0</v>
      </c>
      <c r="E349" s="592">
        <f>ROUND('Balance N-1'!E320,2)</f>
        <v>0</v>
      </c>
      <c r="F349" s="592">
        <f>ROUND('Balance N-1'!F320,2)</f>
        <v>0</v>
      </c>
      <c r="G349" s="592">
        <f>ROUND('Balance N-1'!G320,2)</f>
        <v>0</v>
      </c>
      <c r="H349" s="592">
        <f>ROUND('Balance N-1'!H320,2)</f>
        <v>0</v>
      </c>
      <c r="I349" s="2" t="str">
        <f t="shared" si="8"/>
        <v>0</v>
      </c>
    </row>
    <row r="350" spans="1:9" x14ac:dyDescent="0.2">
      <c r="A350" s="782" t="str">
        <f>FIXED('Balance N-1'!A321,0,1)</f>
        <v>0</v>
      </c>
      <c r="B350" s="494">
        <f>+'Balance N-1'!B321</f>
        <v>0</v>
      </c>
      <c r="C350" s="592">
        <f>ROUND('Balance N-1'!C321,2)</f>
        <v>0</v>
      </c>
      <c r="D350" s="592">
        <f>ROUND('Balance N-1'!D321,2)</f>
        <v>0</v>
      </c>
      <c r="E350" s="592">
        <f>ROUND('Balance N-1'!E321,2)</f>
        <v>0</v>
      </c>
      <c r="F350" s="592">
        <f>ROUND('Balance N-1'!F321,2)</f>
        <v>0</v>
      </c>
      <c r="G350" s="592">
        <f>ROUND('Balance N-1'!G321,2)</f>
        <v>0</v>
      </c>
      <c r="H350" s="592">
        <f>ROUND('Balance N-1'!H321,2)</f>
        <v>0</v>
      </c>
      <c r="I350" s="2" t="str">
        <f t="shared" si="8"/>
        <v>0</v>
      </c>
    </row>
    <row r="351" spans="1:9" x14ac:dyDescent="0.2">
      <c r="A351" s="782" t="str">
        <f>FIXED('Balance N-1'!A322,0,1)</f>
        <v>0</v>
      </c>
      <c r="B351" s="494">
        <f>+'Balance N-1'!B322</f>
        <v>0</v>
      </c>
      <c r="C351" s="592">
        <f>ROUND('Balance N-1'!C322,2)</f>
        <v>0</v>
      </c>
      <c r="D351" s="592">
        <f>ROUND('Balance N-1'!D322,2)</f>
        <v>0</v>
      </c>
      <c r="E351" s="592">
        <f>ROUND('Balance N-1'!E322,2)</f>
        <v>0</v>
      </c>
      <c r="F351" s="592">
        <f>ROUND('Balance N-1'!F322,2)</f>
        <v>0</v>
      </c>
      <c r="G351" s="592">
        <f>ROUND('Balance N-1'!G322,2)</f>
        <v>0</v>
      </c>
      <c r="H351" s="592">
        <f>ROUND('Balance N-1'!H322,2)</f>
        <v>0</v>
      </c>
      <c r="I351" s="2" t="str">
        <f t="shared" si="8"/>
        <v>0</v>
      </c>
    </row>
    <row r="352" spans="1:9" x14ac:dyDescent="0.2">
      <c r="A352" s="782" t="str">
        <f>FIXED('Balance N-1'!A323,0,1)</f>
        <v>0</v>
      </c>
      <c r="B352" s="494">
        <f>+'Balance N-1'!B323</f>
        <v>0</v>
      </c>
      <c r="C352" s="592">
        <f>ROUND('Balance N-1'!C323,2)</f>
        <v>0</v>
      </c>
      <c r="D352" s="592">
        <f>ROUND('Balance N-1'!D323,2)</f>
        <v>0</v>
      </c>
      <c r="E352" s="592">
        <f>ROUND('Balance N-1'!E323,2)</f>
        <v>0</v>
      </c>
      <c r="F352" s="592">
        <f>ROUND('Balance N-1'!F323,2)</f>
        <v>0</v>
      </c>
      <c r="G352" s="592">
        <f>ROUND('Balance N-1'!G323,2)</f>
        <v>0</v>
      </c>
      <c r="H352" s="592">
        <f>ROUND('Balance N-1'!H323,2)</f>
        <v>0</v>
      </c>
      <c r="I352" s="2" t="str">
        <f t="shared" si="8"/>
        <v>0</v>
      </c>
    </row>
    <row r="353" spans="1:9" x14ac:dyDescent="0.2">
      <c r="A353" s="782" t="str">
        <f>FIXED('Balance N-1'!A324,0,1)</f>
        <v>0</v>
      </c>
      <c r="B353" s="494">
        <f>+'Balance N-1'!B324</f>
        <v>0</v>
      </c>
      <c r="C353" s="592">
        <f>ROUND('Balance N-1'!C324,2)</f>
        <v>0</v>
      </c>
      <c r="D353" s="592">
        <f>ROUND('Balance N-1'!D324,2)</f>
        <v>0</v>
      </c>
      <c r="E353" s="592">
        <f>ROUND('Balance N-1'!E324,2)</f>
        <v>0</v>
      </c>
      <c r="F353" s="592">
        <f>ROUND('Balance N-1'!F324,2)</f>
        <v>0</v>
      </c>
      <c r="G353" s="592">
        <f>ROUND('Balance N-1'!G324,2)</f>
        <v>0</v>
      </c>
      <c r="H353" s="592">
        <f>ROUND('Balance N-1'!H324,2)</f>
        <v>0</v>
      </c>
      <c r="I353" s="2" t="str">
        <f t="shared" si="8"/>
        <v>0</v>
      </c>
    </row>
    <row r="354" spans="1:9" x14ac:dyDescent="0.2">
      <c r="A354" s="782" t="str">
        <f>FIXED('Balance N-1'!A325,0,1)</f>
        <v>0</v>
      </c>
      <c r="B354" s="494">
        <f>+'Balance N-1'!B325</f>
        <v>0</v>
      </c>
      <c r="C354" s="592">
        <f>ROUND('Balance N-1'!C325,2)</f>
        <v>0</v>
      </c>
      <c r="D354" s="592">
        <f>ROUND('Balance N-1'!D325,2)</f>
        <v>0</v>
      </c>
      <c r="E354" s="592">
        <f>ROUND('Balance N-1'!E325,2)</f>
        <v>0</v>
      </c>
      <c r="F354" s="592">
        <f>ROUND('Balance N-1'!F325,2)</f>
        <v>0</v>
      </c>
      <c r="G354" s="592">
        <f>ROUND('Balance N-1'!G325,2)</f>
        <v>0</v>
      </c>
      <c r="H354" s="592">
        <f>ROUND('Balance N-1'!H325,2)</f>
        <v>0</v>
      </c>
      <c r="I354" s="2" t="str">
        <f t="shared" si="8"/>
        <v>0</v>
      </c>
    </row>
    <row r="355" spans="1:9" x14ac:dyDescent="0.2">
      <c r="A355" s="782" t="str">
        <f>FIXED('Balance N-1'!A326,0,1)</f>
        <v>0</v>
      </c>
      <c r="B355" s="494">
        <f>+'Balance N-1'!B326</f>
        <v>0</v>
      </c>
      <c r="C355" s="592">
        <f>ROUND('Balance N-1'!C326,2)</f>
        <v>0</v>
      </c>
      <c r="D355" s="592">
        <f>ROUND('Balance N-1'!D326,2)</f>
        <v>0</v>
      </c>
      <c r="E355" s="592">
        <f>ROUND('Balance N-1'!E326,2)</f>
        <v>0</v>
      </c>
      <c r="F355" s="592">
        <f>ROUND('Balance N-1'!F326,2)</f>
        <v>0</v>
      </c>
      <c r="G355" s="592">
        <f>ROUND('Balance N-1'!G326,2)</f>
        <v>0</v>
      </c>
      <c r="H355" s="592">
        <f>ROUND('Balance N-1'!H326,2)</f>
        <v>0</v>
      </c>
      <c r="I355" s="2" t="str">
        <f t="shared" si="8"/>
        <v>0</v>
      </c>
    </row>
    <row r="356" spans="1:9" x14ac:dyDescent="0.2">
      <c r="A356" s="782" t="str">
        <f>FIXED('Balance N-1'!A327,0,1)</f>
        <v>0</v>
      </c>
      <c r="B356" s="494">
        <f>+'Balance N-1'!B327</f>
        <v>0</v>
      </c>
      <c r="C356" s="592">
        <f>ROUND('Balance N-1'!C327,2)</f>
        <v>0</v>
      </c>
      <c r="D356" s="592">
        <f>ROUND('Balance N-1'!D327,2)</f>
        <v>0</v>
      </c>
      <c r="E356" s="592">
        <f>ROUND('Balance N-1'!E327,2)</f>
        <v>0</v>
      </c>
      <c r="F356" s="592">
        <f>ROUND('Balance N-1'!F327,2)</f>
        <v>0</v>
      </c>
      <c r="G356" s="592">
        <f>ROUND('Balance N-1'!G327,2)</f>
        <v>0</v>
      </c>
      <c r="H356" s="592">
        <f>ROUND('Balance N-1'!H327,2)</f>
        <v>0</v>
      </c>
      <c r="I356" s="2" t="str">
        <f t="shared" si="8"/>
        <v>0</v>
      </c>
    </row>
    <row r="357" spans="1:9" x14ac:dyDescent="0.2">
      <c r="A357" s="782" t="str">
        <f>FIXED('Balance N-1'!A328,0,1)</f>
        <v>0</v>
      </c>
      <c r="B357" s="494">
        <f>+'Balance N-1'!B328</f>
        <v>0</v>
      </c>
      <c r="C357" s="592">
        <f>ROUND('Balance N-1'!C328,2)</f>
        <v>0</v>
      </c>
      <c r="D357" s="592">
        <f>ROUND('Balance N-1'!D328,2)</f>
        <v>0</v>
      </c>
      <c r="E357" s="592">
        <f>ROUND('Balance N-1'!E328,2)</f>
        <v>0</v>
      </c>
      <c r="F357" s="592">
        <f>ROUND('Balance N-1'!F328,2)</f>
        <v>0</v>
      </c>
      <c r="G357" s="592">
        <f>ROUND('Balance N-1'!G328,2)</f>
        <v>0</v>
      </c>
      <c r="H357" s="592">
        <f>ROUND('Balance N-1'!H328,2)</f>
        <v>0</v>
      </c>
      <c r="I357" s="2" t="str">
        <f t="shared" si="8"/>
        <v>0</v>
      </c>
    </row>
    <row r="358" spans="1:9" x14ac:dyDescent="0.2">
      <c r="A358" s="782" t="str">
        <f>FIXED('Balance N-1'!A329,0,1)</f>
        <v>0</v>
      </c>
      <c r="B358" s="494">
        <f>+'Balance N-1'!B329</f>
        <v>0</v>
      </c>
      <c r="C358" s="592">
        <f>ROUND('Balance N-1'!C329,2)</f>
        <v>0</v>
      </c>
      <c r="D358" s="592">
        <f>ROUND('Balance N-1'!D329,2)</f>
        <v>0</v>
      </c>
      <c r="E358" s="592">
        <f>ROUND('Balance N-1'!E329,2)</f>
        <v>0</v>
      </c>
      <c r="F358" s="592">
        <f>ROUND('Balance N-1'!F329,2)</f>
        <v>0</v>
      </c>
      <c r="G358" s="592">
        <f>ROUND('Balance N-1'!G329,2)</f>
        <v>0</v>
      </c>
      <c r="H358" s="592">
        <f>ROUND('Balance N-1'!H329,2)</f>
        <v>0</v>
      </c>
      <c r="I358" s="2" t="str">
        <f t="shared" si="8"/>
        <v>0</v>
      </c>
    </row>
    <row r="359" spans="1:9" x14ac:dyDescent="0.2">
      <c r="A359" s="782" t="str">
        <f>FIXED('Balance N-1'!A330,0,1)</f>
        <v>0</v>
      </c>
      <c r="B359" s="494">
        <f>+'Balance N-1'!B330</f>
        <v>0</v>
      </c>
      <c r="C359" s="592">
        <f>ROUND('Balance N-1'!C330,2)</f>
        <v>0</v>
      </c>
      <c r="D359" s="592">
        <f>ROUND('Balance N-1'!D330,2)</f>
        <v>0</v>
      </c>
      <c r="E359" s="592">
        <f>ROUND('Balance N-1'!E330,2)</f>
        <v>0</v>
      </c>
      <c r="F359" s="592">
        <f>ROUND('Balance N-1'!F330,2)</f>
        <v>0</v>
      </c>
      <c r="G359" s="592">
        <f>ROUND('Balance N-1'!G330,2)</f>
        <v>0</v>
      </c>
      <c r="H359" s="592">
        <f>ROUND('Balance N-1'!H330,2)</f>
        <v>0</v>
      </c>
      <c r="I359" s="2" t="str">
        <f t="shared" si="8"/>
        <v>0</v>
      </c>
    </row>
    <row r="360" spans="1:9" x14ac:dyDescent="0.2">
      <c r="A360" s="782" t="str">
        <f>FIXED('Balance N-1'!A331,0,1)</f>
        <v>0</v>
      </c>
      <c r="B360" s="494">
        <f>+'Balance N-1'!B331</f>
        <v>0</v>
      </c>
      <c r="C360" s="592">
        <f>ROUND('Balance N-1'!C331,2)</f>
        <v>0</v>
      </c>
      <c r="D360" s="592">
        <f>ROUND('Balance N-1'!D331,2)</f>
        <v>0</v>
      </c>
      <c r="E360" s="592">
        <f>ROUND('Balance N-1'!E331,2)</f>
        <v>0</v>
      </c>
      <c r="F360" s="592">
        <f>ROUND('Balance N-1'!F331,2)</f>
        <v>0</v>
      </c>
      <c r="G360" s="592">
        <f>ROUND('Balance N-1'!G331,2)</f>
        <v>0</v>
      </c>
      <c r="H360" s="592">
        <f>ROUND('Balance N-1'!H331,2)</f>
        <v>0</v>
      </c>
      <c r="I360" s="2" t="str">
        <f t="shared" si="8"/>
        <v>0</v>
      </c>
    </row>
    <row r="361" spans="1:9" x14ac:dyDescent="0.2">
      <c r="A361" s="782" t="str">
        <f>FIXED('Balance N-1'!A332,0,1)</f>
        <v>0</v>
      </c>
      <c r="B361" s="494">
        <f>+'Balance N-1'!B332</f>
        <v>0</v>
      </c>
      <c r="C361" s="592">
        <f>ROUND('Balance N-1'!C332,2)</f>
        <v>0</v>
      </c>
      <c r="D361" s="592">
        <f>ROUND('Balance N-1'!D332,2)</f>
        <v>0</v>
      </c>
      <c r="E361" s="592">
        <f>ROUND('Balance N-1'!E332,2)</f>
        <v>0</v>
      </c>
      <c r="F361" s="592">
        <f>ROUND('Balance N-1'!F332,2)</f>
        <v>0</v>
      </c>
      <c r="G361" s="592">
        <f>ROUND('Balance N-1'!G332,2)</f>
        <v>0</v>
      </c>
      <c r="H361" s="592">
        <f>ROUND('Balance N-1'!H332,2)</f>
        <v>0</v>
      </c>
      <c r="I361" s="2" t="str">
        <f t="shared" si="8"/>
        <v>0</v>
      </c>
    </row>
    <row r="362" spans="1:9" x14ac:dyDescent="0.2">
      <c r="A362" s="782" t="str">
        <f>FIXED('Balance N-1'!A333,0,1)</f>
        <v>0</v>
      </c>
      <c r="B362" s="494">
        <f>+'Balance N-1'!B333</f>
        <v>0</v>
      </c>
      <c r="C362" s="592">
        <f>ROUND('Balance N-1'!C333,2)</f>
        <v>0</v>
      </c>
      <c r="D362" s="592">
        <f>ROUND('Balance N-1'!D333,2)</f>
        <v>0</v>
      </c>
      <c r="E362" s="592">
        <f>ROUND('Balance N-1'!E333,2)</f>
        <v>0</v>
      </c>
      <c r="F362" s="592">
        <f>ROUND('Balance N-1'!F333,2)</f>
        <v>0</v>
      </c>
      <c r="G362" s="592">
        <f>ROUND('Balance N-1'!G333,2)</f>
        <v>0</v>
      </c>
      <c r="H362" s="592">
        <f>ROUND('Balance N-1'!H333,2)</f>
        <v>0</v>
      </c>
      <c r="I362" s="2" t="str">
        <f t="shared" si="8"/>
        <v>0</v>
      </c>
    </row>
    <row r="363" spans="1:9" x14ac:dyDescent="0.2">
      <c r="A363" s="782" t="str">
        <f>FIXED('Balance N-1'!A334,0,1)</f>
        <v>0</v>
      </c>
      <c r="B363" s="494">
        <f>+'Balance N-1'!B334</f>
        <v>0</v>
      </c>
      <c r="C363" s="592">
        <f>ROUND('Balance N-1'!C334,2)</f>
        <v>0</v>
      </c>
      <c r="D363" s="592">
        <f>ROUND('Balance N-1'!D334,2)</f>
        <v>0</v>
      </c>
      <c r="E363" s="592">
        <f>ROUND('Balance N-1'!E334,2)</f>
        <v>0</v>
      </c>
      <c r="F363" s="592">
        <f>ROUND('Balance N-1'!F334,2)</f>
        <v>0</v>
      </c>
      <c r="G363" s="592">
        <f>ROUND('Balance N-1'!G334,2)</f>
        <v>0</v>
      </c>
      <c r="H363" s="592">
        <f>ROUND('Balance N-1'!H334,2)</f>
        <v>0</v>
      </c>
      <c r="I363" s="2" t="str">
        <f t="shared" si="8"/>
        <v>0</v>
      </c>
    </row>
    <row r="364" spans="1:9" x14ac:dyDescent="0.2">
      <c r="A364" s="782" t="str">
        <f>FIXED('Balance N-1'!A335,0,1)</f>
        <v>0</v>
      </c>
      <c r="B364" s="494">
        <f>+'Balance N-1'!B335</f>
        <v>0</v>
      </c>
      <c r="C364" s="592">
        <f>ROUND('Balance N-1'!C335,2)</f>
        <v>0</v>
      </c>
      <c r="D364" s="592">
        <f>ROUND('Balance N-1'!D335,2)</f>
        <v>0</v>
      </c>
      <c r="E364" s="592">
        <f>ROUND('Balance N-1'!E335,2)</f>
        <v>0</v>
      </c>
      <c r="F364" s="592">
        <f>ROUND('Balance N-1'!F335,2)</f>
        <v>0</v>
      </c>
      <c r="G364" s="592">
        <f>ROUND('Balance N-1'!G335,2)</f>
        <v>0</v>
      </c>
      <c r="H364" s="592">
        <f>ROUND('Balance N-1'!H335,2)</f>
        <v>0</v>
      </c>
      <c r="I364" s="2" t="str">
        <f t="shared" si="8"/>
        <v>0</v>
      </c>
    </row>
    <row r="365" spans="1:9" x14ac:dyDescent="0.2">
      <c r="A365" s="782" t="str">
        <f>FIXED('Balance N-1'!A336,0,1)</f>
        <v>0</v>
      </c>
      <c r="B365" s="494">
        <f>+'Balance N-1'!B336</f>
        <v>0</v>
      </c>
      <c r="C365" s="592">
        <f>ROUND('Balance N-1'!C336,2)</f>
        <v>0</v>
      </c>
      <c r="D365" s="592">
        <f>ROUND('Balance N-1'!D336,2)</f>
        <v>0</v>
      </c>
      <c r="E365" s="592">
        <f>ROUND('Balance N-1'!E336,2)</f>
        <v>0</v>
      </c>
      <c r="F365" s="592">
        <f>ROUND('Balance N-1'!F336,2)</f>
        <v>0</v>
      </c>
      <c r="G365" s="592">
        <f>ROUND('Balance N-1'!G336,2)</f>
        <v>0</v>
      </c>
      <c r="H365" s="592">
        <f>ROUND('Balance N-1'!H336,2)</f>
        <v>0</v>
      </c>
      <c r="I365" s="2" t="str">
        <f t="shared" si="8"/>
        <v>0</v>
      </c>
    </row>
    <row r="366" spans="1:9" x14ac:dyDescent="0.2">
      <c r="A366" s="782" t="str">
        <f>FIXED('Balance N-1'!A337,0,1)</f>
        <v>0</v>
      </c>
      <c r="B366" s="494">
        <f>+'Balance N-1'!B337</f>
        <v>0</v>
      </c>
      <c r="C366" s="592">
        <f>ROUND('Balance N-1'!C337,2)</f>
        <v>0</v>
      </c>
      <c r="D366" s="592">
        <f>ROUND('Balance N-1'!D337,2)</f>
        <v>0</v>
      </c>
      <c r="E366" s="592">
        <f>ROUND('Balance N-1'!E337,2)</f>
        <v>0</v>
      </c>
      <c r="F366" s="592">
        <f>ROUND('Balance N-1'!F337,2)</f>
        <v>0</v>
      </c>
      <c r="G366" s="592">
        <f>ROUND('Balance N-1'!G337,2)</f>
        <v>0</v>
      </c>
      <c r="H366" s="592">
        <f>ROUND('Balance N-1'!H337,2)</f>
        <v>0</v>
      </c>
      <c r="I366" s="2" t="str">
        <f t="shared" si="8"/>
        <v>0</v>
      </c>
    </row>
    <row r="367" spans="1:9" x14ac:dyDescent="0.2">
      <c r="A367" s="782" t="str">
        <f>FIXED('Balance N-1'!A338,0,1)</f>
        <v>0</v>
      </c>
      <c r="B367" s="494">
        <f>+'Balance N-1'!B338</f>
        <v>0</v>
      </c>
      <c r="C367" s="592">
        <f>ROUND('Balance N-1'!C338,2)</f>
        <v>0</v>
      </c>
      <c r="D367" s="592">
        <f>ROUND('Balance N-1'!D338,2)</f>
        <v>0</v>
      </c>
      <c r="E367" s="592">
        <f>ROUND('Balance N-1'!E338,2)</f>
        <v>0</v>
      </c>
      <c r="F367" s="592">
        <f>ROUND('Balance N-1'!F338,2)</f>
        <v>0</v>
      </c>
      <c r="G367" s="592">
        <f>ROUND('Balance N-1'!G338,2)</f>
        <v>0</v>
      </c>
      <c r="H367" s="592">
        <f>ROUND('Balance N-1'!H338,2)</f>
        <v>0</v>
      </c>
      <c r="I367" s="2" t="str">
        <f t="shared" si="8"/>
        <v>0</v>
      </c>
    </row>
    <row r="368" spans="1:9" x14ac:dyDescent="0.2">
      <c r="A368" s="782" t="str">
        <f>FIXED('Balance N-1'!A339,0,1)</f>
        <v>0</v>
      </c>
      <c r="B368" s="494">
        <f>+'Balance N-1'!B339</f>
        <v>0</v>
      </c>
      <c r="C368" s="592">
        <f>ROUND('Balance N-1'!C339,2)</f>
        <v>0</v>
      </c>
      <c r="D368" s="592">
        <f>ROUND('Balance N-1'!D339,2)</f>
        <v>0</v>
      </c>
      <c r="E368" s="592">
        <f>ROUND('Balance N-1'!E339,2)</f>
        <v>0</v>
      </c>
      <c r="F368" s="592">
        <f>ROUND('Balance N-1'!F339,2)</f>
        <v>0</v>
      </c>
      <c r="G368" s="592">
        <f>ROUND('Balance N-1'!G339,2)</f>
        <v>0</v>
      </c>
      <c r="H368" s="592">
        <f>ROUND('Balance N-1'!H339,2)</f>
        <v>0</v>
      </c>
      <c r="I368" s="2" t="str">
        <f t="shared" si="8"/>
        <v>0</v>
      </c>
    </row>
    <row r="369" spans="1:9" x14ac:dyDescent="0.2">
      <c r="A369" s="782" t="str">
        <f>FIXED('Balance N-1'!A340,0,1)</f>
        <v>0</v>
      </c>
      <c r="B369" s="494">
        <f>+'Balance N-1'!B340</f>
        <v>0</v>
      </c>
      <c r="C369" s="592">
        <f>ROUND('Balance N-1'!C340,2)</f>
        <v>0</v>
      </c>
      <c r="D369" s="592">
        <f>ROUND('Balance N-1'!D340,2)</f>
        <v>0</v>
      </c>
      <c r="E369" s="592">
        <f>ROUND('Balance N-1'!E340,2)</f>
        <v>0</v>
      </c>
      <c r="F369" s="592">
        <f>ROUND('Balance N-1'!F340,2)</f>
        <v>0</v>
      </c>
      <c r="G369" s="592">
        <f>ROUND('Balance N-1'!G340,2)</f>
        <v>0</v>
      </c>
      <c r="H369" s="592">
        <f>ROUND('Balance N-1'!H340,2)</f>
        <v>0</v>
      </c>
      <c r="I369" s="2" t="str">
        <f t="shared" si="8"/>
        <v>0</v>
      </c>
    </row>
    <row r="370" spans="1:9" x14ac:dyDescent="0.2">
      <c r="A370" s="782" t="str">
        <f>FIXED('Balance N-1'!A341,0,1)</f>
        <v>0</v>
      </c>
      <c r="B370" s="494">
        <f>+'Balance N-1'!B341</f>
        <v>0</v>
      </c>
      <c r="C370" s="592">
        <f>ROUND('Balance N-1'!C341,2)</f>
        <v>0</v>
      </c>
      <c r="D370" s="592">
        <f>ROUND('Balance N-1'!D341,2)</f>
        <v>0</v>
      </c>
      <c r="E370" s="592">
        <f>ROUND('Balance N-1'!E341,2)</f>
        <v>0</v>
      </c>
      <c r="F370" s="592">
        <f>ROUND('Balance N-1'!F341,2)</f>
        <v>0</v>
      </c>
      <c r="G370" s="592">
        <f>ROUND('Balance N-1'!G341,2)</f>
        <v>0</v>
      </c>
      <c r="H370" s="592">
        <f>ROUND('Balance N-1'!H341,2)</f>
        <v>0</v>
      </c>
      <c r="I370" s="2" t="str">
        <f t="shared" si="8"/>
        <v>0</v>
      </c>
    </row>
    <row r="371" spans="1:9" x14ac:dyDescent="0.2">
      <c r="A371" s="782" t="str">
        <f>FIXED('Balance N-1'!A342,0,1)</f>
        <v>0</v>
      </c>
      <c r="B371" s="494">
        <f>+'Balance N-1'!B342</f>
        <v>0</v>
      </c>
      <c r="C371" s="592">
        <f>ROUND('Balance N-1'!C342,2)</f>
        <v>0</v>
      </c>
      <c r="D371" s="592">
        <f>ROUND('Balance N-1'!D342,2)</f>
        <v>0</v>
      </c>
      <c r="E371" s="592">
        <f>ROUND('Balance N-1'!E342,2)</f>
        <v>0</v>
      </c>
      <c r="F371" s="592">
        <f>ROUND('Balance N-1'!F342,2)</f>
        <v>0</v>
      </c>
      <c r="G371" s="592">
        <f>ROUND('Balance N-1'!G342,2)</f>
        <v>0</v>
      </c>
      <c r="H371" s="592">
        <f>ROUND('Balance N-1'!H342,2)</f>
        <v>0</v>
      </c>
      <c r="I371" s="2" t="str">
        <f t="shared" si="8"/>
        <v>0</v>
      </c>
    </row>
    <row r="372" spans="1:9" x14ac:dyDescent="0.2">
      <c r="A372" s="782" t="str">
        <f>FIXED('Balance N-1'!A343,0,1)</f>
        <v>0</v>
      </c>
      <c r="B372" s="494">
        <f>+'Balance N-1'!B343</f>
        <v>0</v>
      </c>
      <c r="C372" s="592">
        <f>ROUND('Balance N-1'!C343,2)</f>
        <v>0</v>
      </c>
      <c r="D372" s="592">
        <f>ROUND('Balance N-1'!D343,2)</f>
        <v>0</v>
      </c>
      <c r="E372" s="592">
        <f>ROUND('Balance N-1'!E343,2)</f>
        <v>0</v>
      </c>
      <c r="F372" s="592">
        <f>ROUND('Balance N-1'!F343,2)</f>
        <v>0</v>
      </c>
      <c r="G372" s="592">
        <f>ROUND('Balance N-1'!G343,2)</f>
        <v>0</v>
      </c>
      <c r="H372" s="592">
        <f>ROUND('Balance N-1'!H343,2)</f>
        <v>0</v>
      </c>
      <c r="I372" s="2" t="str">
        <f t="shared" si="8"/>
        <v>0</v>
      </c>
    </row>
    <row r="373" spans="1:9" x14ac:dyDescent="0.2">
      <c r="A373" s="782" t="str">
        <f>FIXED('Balance N-1'!A344,0,1)</f>
        <v>0</v>
      </c>
      <c r="B373" s="494">
        <f>+'Balance N-1'!B344</f>
        <v>0</v>
      </c>
      <c r="C373" s="592">
        <f>ROUND('Balance N-1'!C344,2)</f>
        <v>0</v>
      </c>
      <c r="D373" s="592">
        <f>ROUND('Balance N-1'!D344,2)</f>
        <v>0</v>
      </c>
      <c r="E373" s="592">
        <f>ROUND('Balance N-1'!E344,2)</f>
        <v>0</v>
      </c>
      <c r="F373" s="592">
        <f>ROUND('Balance N-1'!F344,2)</f>
        <v>0</v>
      </c>
      <c r="G373" s="592">
        <f>ROUND('Balance N-1'!G344,2)</f>
        <v>0</v>
      </c>
      <c r="H373" s="592">
        <f>ROUND('Balance N-1'!H344,2)</f>
        <v>0</v>
      </c>
      <c r="I373" s="2" t="str">
        <f t="shared" si="8"/>
        <v>0</v>
      </c>
    </row>
    <row r="374" spans="1:9" x14ac:dyDescent="0.2">
      <c r="A374" s="782" t="str">
        <f>FIXED('Balance N-1'!A345,0,1)</f>
        <v>0</v>
      </c>
      <c r="B374" s="494">
        <f>+'Balance N-1'!B345</f>
        <v>0</v>
      </c>
      <c r="C374" s="592">
        <f>ROUND('Balance N-1'!C345,2)</f>
        <v>0</v>
      </c>
      <c r="D374" s="592">
        <f>ROUND('Balance N-1'!D345,2)</f>
        <v>0</v>
      </c>
      <c r="E374" s="592">
        <f>ROUND('Balance N-1'!E345,2)</f>
        <v>0</v>
      </c>
      <c r="F374" s="592">
        <f>ROUND('Balance N-1'!F345,2)</f>
        <v>0</v>
      </c>
      <c r="G374" s="592">
        <f>ROUND('Balance N-1'!G345,2)</f>
        <v>0</v>
      </c>
      <c r="H374" s="592">
        <f>ROUND('Balance N-1'!H345,2)</f>
        <v>0</v>
      </c>
      <c r="I374" s="2" t="str">
        <f t="shared" si="8"/>
        <v>0</v>
      </c>
    </row>
    <row r="375" spans="1:9" x14ac:dyDescent="0.2">
      <c r="A375" s="782" t="str">
        <f>FIXED('Balance N-1'!A346,0,1)</f>
        <v>0</v>
      </c>
      <c r="B375" s="494">
        <f>+'Balance N-1'!B346</f>
        <v>0</v>
      </c>
      <c r="C375" s="592">
        <f>ROUND('Balance N-1'!C346,2)</f>
        <v>0</v>
      </c>
      <c r="D375" s="592">
        <f>ROUND('Balance N-1'!D346,2)</f>
        <v>0</v>
      </c>
      <c r="E375" s="592">
        <f>ROUND('Balance N-1'!E346,2)</f>
        <v>0</v>
      </c>
      <c r="F375" s="592">
        <f>ROUND('Balance N-1'!F346,2)</f>
        <v>0</v>
      </c>
      <c r="G375" s="592">
        <f>ROUND('Balance N-1'!G346,2)</f>
        <v>0</v>
      </c>
      <c r="H375" s="592">
        <f>ROUND('Balance N-1'!H346,2)</f>
        <v>0</v>
      </c>
      <c r="I375" s="2" t="str">
        <f t="shared" si="8"/>
        <v>0</v>
      </c>
    </row>
    <row r="376" spans="1:9" x14ac:dyDescent="0.2">
      <c r="A376" s="782" t="str">
        <f>FIXED('Balance N-1'!A347,0,1)</f>
        <v>0</v>
      </c>
      <c r="B376" s="494">
        <f>+'Balance N-1'!B347</f>
        <v>0</v>
      </c>
      <c r="C376" s="592">
        <f>ROUND('Balance N-1'!C347,2)</f>
        <v>0</v>
      </c>
      <c r="D376" s="592">
        <f>ROUND('Balance N-1'!D347,2)</f>
        <v>0</v>
      </c>
      <c r="E376" s="592">
        <f>ROUND('Balance N-1'!E347,2)</f>
        <v>0</v>
      </c>
      <c r="F376" s="592">
        <f>ROUND('Balance N-1'!F347,2)</f>
        <v>0</v>
      </c>
      <c r="G376" s="592">
        <f>ROUND('Balance N-1'!G347,2)</f>
        <v>0</v>
      </c>
      <c r="H376" s="592">
        <f>ROUND('Balance N-1'!H347,2)</f>
        <v>0</v>
      </c>
      <c r="I376" s="2" t="str">
        <f t="shared" si="8"/>
        <v>0</v>
      </c>
    </row>
    <row r="377" spans="1:9" x14ac:dyDescent="0.2">
      <c r="A377" s="782" t="str">
        <f>FIXED('Balance N-1'!A348,0,1)</f>
        <v>0</v>
      </c>
      <c r="B377" s="494">
        <f>+'Balance N-1'!B348</f>
        <v>0</v>
      </c>
      <c r="C377" s="592">
        <f>ROUND('Balance N-1'!C348,2)</f>
        <v>0</v>
      </c>
      <c r="D377" s="592">
        <f>ROUND('Balance N-1'!D348,2)</f>
        <v>0</v>
      </c>
      <c r="E377" s="592">
        <f>ROUND('Balance N-1'!E348,2)</f>
        <v>0</v>
      </c>
      <c r="F377" s="592">
        <f>ROUND('Balance N-1'!F348,2)</f>
        <v>0</v>
      </c>
      <c r="G377" s="592">
        <f>ROUND('Balance N-1'!G348,2)</f>
        <v>0</v>
      </c>
      <c r="H377" s="592">
        <f>ROUND('Balance N-1'!H348,2)</f>
        <v>0</v>
      </c>
      <c r="I377" s="2" t="str">
        <f t="shared" si="8"/>
        <v>0</v>
      </c>
    </row>
    <row r="378" spans="1:9" x14ac:dyDescent="0.2">
      <c r="A378" s="782" t="str">
        <f>FIXED('Balance N-1'!A349,0,1)</f>
        <v>0</v>
      </c>
      <c r="B378" s="494">
        <f>+'Balance N-1'!B349</f>
        <v>0</v>
      </c>
      <c r="C378" s="592">
        <f>ROUND('Balance N-1'!C349,2)</f>
        <v>0</v>
      </c>
      <c r="D378" s="592">
        <f>ROUND('Balance N-1'!D349,2)</f>
        <v>0</v>
      </c>
      <c r="E378" s="592">
        <f>ROUND('Balance N-1'!E349,2)</f>
        <v>0</v>
      </c>
      <c r="F378" s="592">
        <f>ROUND('Balance N-1'!F349,2)</f>
        <v>0</v>
      </c>
      <c r="G378" s="592">
        <f>ROUND('Balance N-1'!G349,2)</f>
        <v>0</v>
      </c>
      <c r="H378" s="592">
        <f>ROUND('Balance N-1'!H349,2)</f>
        <v>0</v>
      </c>
      <c r="I378" s="2" t="str">
        <f t="shared" si="8"/>
        <v>0</v>
      </c>
    </row>
    <row r="379" spans="1:9" x14ac:dyDescent="0.2">
      <c r="A379" s="782" t="str">
        <f>FIXED('Balance N-1'!A350,0,1)</f>
        <v>0</v>
      </c>
      <c r="B379" s="494">
        <f>+'Balance N-1'!B350</f>
        <v>0</v>
      </c>
      <c r="C379" s="592">
        <f>ROUND('Balance N-1'!C350,2)</f>
        <v>0</v>
      </c>
      <c r="D379" s="592">
        <f>ROUND('Balance N-1'!D350,2)</f>
        <v>0</v>
      </c>
      <c r="E379" s="592">
        <f>ROUND('Balance N-1'!E350,2)</f>
        <v>0</v>
      </c>
      <c r="F379" s="592">
        <f>ROUND('Balance N-1'!F350,2)</f>
        <v>0</v>
      </c>
      <c r="G379" s="592">
        <f>ROUND('Balance N-1'!G350,2)</f>
        <v>0</v>
      </c>
      <c r="H379" s="592">
        <f>ROUND('Balance N-1'!H350,2)</f>
        <v>0</v>
      </c>
      <c r="I379" s="2" t="str">
        <f t="shared" si="8"/>
        <v>0</v>
      </c>
    </row>
    <row r="380" spans="1:9" x14ac:dyDescent="0.2">
      <c r="A380" s="782" t="str">
        <f>FIXED('Balance N-1'!A351,0,1)</f>
        <v>0</v>
      </c>
      <c r="B380" s="494">
        <f>+'Balance N-1'!B351</f>
        <v>0</v>
      </c>
      <c r="C380" s="592">
        <f>ROUND('Balance N-1'!C351,2)</f>
        <v>0</v>
      </c>
      <c r="D380" s="592">
        <f>ROUND('Balance N-1'!D351,2)</f>
        <v>0</v>
      </c>
      <c r="E380" s="592">
        <f>ROUND('Balance N-1'!E351,2)</f>
        <v>0</v>
      </c>
      <c r="F380" s="592">
        <f>ROUND('Balance N-1'!F351,2)</f>
        <v>0</v>
      </c>
      <c r="G380" s="592">
        <f>ROUND('Balance N-1'!G351,2)</f>
        <v>0</v>
      </c>
      <c r="H380" s="592">
        <f>ROUND('Balance N-1'!H351,2)</f>
        <v>0</v>
      </c>
      <c r="I380" s="2" t="str">
        <f t="shared" si="8"/>
        <v>0</v>
      </c>
    </row>
    <row r="381" spans="1:9" x14ac:dyDescent="0.2">
      <c r="A381" s="782" t="str">
        <f>FIXED('Balance N-1'!A352,0,1)</f>
        <v>0</v>
      </c>
      <c r="B381" s="494">
        <f>+'Balance N-1'!B352</f>
        <v>0</v>
      </c>
      <c r="C381" s="592">
        <f>ROUND('Balance N-1'!C352,2)</f>
        <v>0</v>
      </c>
      <c r="D381" s="592">
        <f>ROUND('Balance N-1'!D352,2)</f>
        <v>0</v>
      </c>
      <c r="E381" s="592">
        <f>ROUND('Balance N-1'!E352,2)</f>
        <v>0</v>
      </c>
      <c r="F381" s="592">
        <f>ROUND('Balance N-1'!F352,2)</f>
        <v>0</v>
      </c>
      <c r="G381" s="592">
        <f>ROUND('Balance N-1'!G352,2)</f>
        <v>0</v>
      </c>
      <c r="H381" s="592">
        <f>ROUND('Balance N-1'!H352,2)</f>
        <v>0</v>
      </c>
      <c r="I381" s="2" t="str">
        <f t="shared" si="8"/>
        <v>0</v>
      </c>
    </row>
    <row r="382" spans="1:9" x14ac:dyDescent="0.2">
      <c r="A382" s="782" t="str">
        <f>FIXED('Balance N-1'!A353,0,1)</f>
        <v>0</v>
      </c>
      <c r="B382" s="494">
        <f>+'Balance N-1'!B353</f>
        <v>0</v>
      </c>
      <c r="C382" s="592">
        <f>ROUND('Balance N-1'!C353,2)</f>
        <v>0</v>
      </c>
      <c r="D382" s="592">
        <f>ROUND('Balance N-1'!D353,2)</f>
        <v>0</v>
      </c>
      <c r="E382" s="592">
        <f>ROUND('Balance N-1'!E353,2)</f>
        <v>0</v>
      </c>
      <c r="F382" s="592">
        <f>ROUND('Balance N-1'!F353,2)</f>
        <v>0</v>
      </c>
      <c r="G382" s="592">
        <f>ROUND('Balance N-1'!G353,2)</f>
        <v>0</v>
      </c>
      <c r="H382" s="592">
        <f>ROUND('Balance N-1'!H353,2)</f>
        <v>0</v>
      </c>
      <c r="I382" s="2" t="str">
        <f t="shared" si="8"/>
        <v>0</v>
      </c>
    </row>
    <row r="383" spans="1:9" x14ac:dyDescent="0.2">
      <c r="A383" s="782" t="str">
        <f>FIXED('Balance N-1'!A354,0,1)</f>
        <v>0</v>
      </c>
      <c r="B383" s="494">
        <f>+'Balance N-1'!B354</f>
        <v>0</v>
      </c>
      <c r="C383" s="592">
        <f>ROUND('Balance N-1'!C354,2)</f>
        <v>0</v>
      </c>
      <c r="D383" s="592">
        <f>ROUND('Balance N-1'!D354,2)</f>
        <v>0</v>
      </c>
      <c r="E383" s="592">
        <f>ROUND('Balance N-1'!E354,2)</f>
        <v>0</v>
      </c>
      <c r="F383" s="592">
        <f>ROUND('Balance N-1'!F354,2)</f>
        <v>0</v>
      </c>
      <c r="G383" s="592">
        <f>ROUND('Balance N-1'!G354,2)</f>
        <v>0</v>
      </c>
      <c r="H383" s="592">
        <f>ROUND('Balance N-1'!H354,2)</f>
        <v>0</v>
      </c>
      <c r="I383" s="2" t="str">
        <f t="shared" si="8"/>
        <v>0</v>
      </c>
    </row>
    <row r="384" spans="1:9" x14ac:dyDescent="0.2">
      <c r="A384" s="782" t="str">
        <f>FIXED('Balance N-1'!A355,0,1)</f>
        <v>0</v>
      </c>
      <c r="B384" s="494">
        <f>+'Balance N-1'!B355</f>
        <v>0</v>
      </c>
      <c r="C384" s="592">
        <f>ROUND('Balance N-1'!C355,2)</f>
        <v>0</v>
      </c>
      <c r="D384" s="592">
        <f>ROUND('Balance N-1'!D355,2)</f>
        <v>0</v>
      </c>
      <c r="E384" s="592">
        <f>ROUND('Balance N-1'!E355,2)</f>
        <v>0</v>
      </c>
      <c r="F384" s="592">
        <f>ROUND('Balance N-1'!F355,2)</f>
        <v>0</v>
      </c>
      <c r="G384" s="592">
        <f>ROUND('Balance N-1'!G355,2)</f>
        <v>0</v>
      </c>
      <c r="H384" s="592">
        <f>ROUND('Balance N-1'!H355,2)</f>
        <v>0</v>
      </c>
      <c r="I384" s="2" t="str">
        <f t="shared" si="8"/>
        <v>0</v>
      </c>
    </row>
    <row r="385" spans="1:9" x14ac:dyDescent="0.2">
      <c r="A385" s="782" t="str">
        <f>FIXED('Balance N-1'!A356,0,1)</f>
        <v>0</v>
      </c>
      <c r="B385" s="494">
        <f>+'Balance N-1'!B356</f>
        <v>0</v>
      </c>
      <c r="C385" s="592">
        <f>ROUND('Balance N-1'!C356,2)</f>
        <v>0</v>
      </c>
      <c r="D385" s="592">
        <f>ROUND('Balance N-1'!D356,2)</f>
        <v>0</v>
      </c>
      <c r="E385" s="592">
        <f>ROUND('Balance N-1'!E356,2)</f>
        <v>0</v>
      </c>
      <c r="F385" s="592">
        <f>ROUND('Balance N-1'!F356,2)</f>
        <v>0</v>
      </c>
      <c r="G385" s="592">
        <f>ROUND('Balance N-1'!G356,2)</f>
        <v>0</v>
      </c>
      <c r="H385" s="592">
        <f>ROUND('Balance N-1'!H356,2)</f>
        <v>0</v>
      </c>
      <c r="I385" s="2" t="str">
        <f t="shared" si="8"/>
        <v>0</v>
      </c>
    </row>
    <row r="386" spans="1:9" x14ac:dyDescent="0.2">
      <c r="A386" s="782" t="str">
        <f>FIXED('Balance N-1'!A357,0,1)</f>
        <v>0</v>
      </c>
      <c r="B386" s="494">
        <f>+'Balance N-1'!B357</f>
        <v>0</v>
      </c>
      <c r="C386" s="592">
        <f>ROUND('Balance N-1'!C357,2)</f>
        <v>0</v>
      </c>
      <c r="D386" s="592">
        <f>ROUND('Balance N-1'!D357,2)</f>
        <v>0</v>
      </c>
      <c r="E386" s="592">
        <f>ROUND('Balance N-1'!E357,2)</f>
        <v>0</v>
      </c>
      <c r="F386" s="592">
        <f>ROUND('Balance N-1'!F357,2)</f>
        <v>0</v>
      </c>
      <c r="G386" s="592">
        <f>ROUND('Balance N-1'!G357,2)</f>
        <v>0</v>
      </c>
      <c r="H386" s="592">
        <f>ROUND('Balance N-1'!H357,2)</f>
        <v>0</v>
      </c>
      <c r="I386" s="2" t="str">
        <f t="shared" si="8"/>
        <v>0</v>
      </c>
    </row>
    <row r="387" spans="1:9" x14ac:dyDescent="0.2">
      <c r="A387" s="782" t="str">
        <f>FIXED('Balance N-1'!A358,0,1)</f>
        <v>0</v>
      </c>
      <c r="B387" s="494">
        <f>+'Balance N-1'!B358</f>
        <v>0</v>
      </c>
      <c r="C387" s="592">
        <f>ROUND('Balance N-1'!C358,2)</f>
        <v>0</v>
      </c>
      <c r="D387" s="592">
        <f>ROUND('Balance N-1'!D358,2)</f>
        <v>0</v>
      </c>
      <c r="E387" s="592">
        <f>ROUND('Balance N-1'!E358,2)</f>
        <v>0</v>
      </c>
      <c r="F387" s="592">
        <f>ROUND('Balance N-1'!F358,2)</f>
        <v>0</v>
      </c>
      <c r="G387" s="592">
        <f>ROUND('Balance N-1'!G358,2)</f>
        <v>0</v>
      </c>
      <c r="H387" s="592">
        <f>ROUND('Balance N-1'!H358,2)</f>
        <v>0</v>
      </c>
      <c r="I387" s="2" t="str">
        <f t="shared" ref="I387:I450" si="9">MID(A387,1,1)</f>
        <v>0</v>
      </c>
    </row>
    <row r="388" spans="1:9" x14ac:dyDescent="0.2">
      <c r="A388" s="782" t="str">
        <f>FIXED('Balance N-1'!A359,0,1)</f>
        <v>0</v>
      </c>
      <c r="B388" s="494">
        <f>+'Balance N-1'!B359</f>
        <v>0</v>
      </c>
      <c r="C388" s="592">
        <f>ROUND('Balance N-1'!C359,2)</f>
        <v>0</v>
      </c>
      <c r="D388" s="592">
        <f>ROUND('Balance N-1'!D359,2)</f>
        <v>0</v>
      </c>
      <c r="E388" s="592">
        <f>ROUND('Balance N-1'!E359,2)</f>
        <v>0</v>
      </c>
      <c r="F388" s="592">
        <f>ROUND('Balance N-1'!F359,2)</f>
        <v>0</v>
      </c>
      <c r="G388" s="592">
        <f>ROUND('Balance N-1'!G359,2)</f>
        <v>0</v>
      </c>
      <c r="H388" s="592">
        <f>ROUND('Balance N-1'!H359,2)</f>
        <v>0</v>
      </c>
      <c r="I388" s="2" t="str">
        <f t="shared" si="9"/>
        <v>0</v>
      </c>
    </row>
    <row r="389" spans="1:9" x14ac:dyDescent="0.2">
      <c r="A389" s="782" t="str">
        <f>FIXED('Balance N-1'!A360,0,1)</f>
        <v>0</v>
      </c>
      <c r="B389" s="494">
        <f>+'Balance N-1'!B360</f>
        <v>0</v>
      </c>
      <c r="C389" s="592">
        <f>ROUND('Balance N-1'!C360,2)</f>
        <v>0</v>
      </c>
      <c r="D389" s="592">
        <f>ROUND('Balance N-1'!D360,2)</f>
        <v>0</v>
      </c>
      <c r="E389" s="592">
        <f>ROUND('Balance N-1'!E360,2)</f>
        <v>0</v>
      </c>
      <c r="F389" s="592">
        <f>ROUND('Balance N-1'!F360,2)</f>
        <v>0</v>
      </c>
      <c r="G389" s="592">
        <f>ROUND('Balance N-1'!G360,2)</f>
        <v>0</v>
      </c>
      <c r="H389" s="592">
        <f>ROUND('Balance N-1'!H360,2)</f>
        <v>0</v>
      </c>
      <c r="I389" s="2" t="str">
        <f t="shared" si="9"/>
        <v>0</v>
      </c>
    </row>
    <row r="390" spans="1:9" x14ac:dyDescent="0.2">
      <c r="A390" s="782" t="str">
        <f>FIXED('Balance N-1'!A361,0,1)</f>
        <v>0</v>
      </c>
      <c r="B390" s="494">
        <f>+'Balance N-1'!B361</f>
        <v>0</v>
      </c>
      <c r="C390" s="592">
        <f>ROUND('Balance N-1'!C361,2)</f>
        <v>0</v>
      </c>
      <c r="D390" s="592">
        <f>ROUND('Balance N-1'!D361,2)</f>
        <v>0</v>
      </c>
      <c r="E390" s="592">
        <f>ROUND('Balance N-1'!E361,2)</f>
        <v>0</v>
      </c>
      <c r="F390" s="592">
        <f>ROUND('Balance N-1'!F361,2)</f>
        <v>0</v>
      </c>
      <c r="G390" s="592">
        <f>ROUND('Balance N-1'!G361,2)</f>
        <v>0</v>
      </c>
      <c r="H390" s="592">
        <f>ROUND('Balance N-1'!H361,2)</f>
        <v>0</v>
      </c>
      <c r="I390" s="2" t="str">
        <f t="shared" si="9"/>
        <v>0</v>
      </c>
    </row>
    <row r="391" spans="1:9" x14ac:dyDescent="0.2">
      <c r="A391" s="782" t="str">
        <f>FIXED('Balance N-1'!A362,0,1)</f>
        <v>0</v>
      </c>
      <c r="B391" s="494">
        <f>+'Balance N-1'!B362</f>
        <v>0</v>
      </c>
      <c r="C391" s="592">
        <f>ROUND('Balance N-1'!C362,2)</f>
        <v>0</v>
      </c>
      <c r="D391" s="592">
        <f>ROUND('Balance N-1'!D362,2)</f>
        <v>0</v>
      </c>
      <c r="E391" s="592">
        <f>ROUND('Balance N-1'!E362,2)</f>
        <v>0</v>
      </c>
      <c r="F391" s="592">
        <f>ROUND('Balance N-1'!F362,2)</f>
        <v>0</v>
      </c>
      <c r="G391" s="592">
        <f>ROUND('Balance N-1'!G362,2)</f>
        <v>0</v>
      </c>
      <c r="H391" s="592">
        <f>ROUND('Balance N-1'!H362,2)</f>
        <v>0</v>
      </c>
      <c r="I391" s="2" t="str">
        <f t="shared" si="9"/>
        <v>0</v>
      </c>
    </row>
    <row r="392" spans="1:9" x14ac:dyDescent="0.2">
      <c r="A392" s="782" t="str">
        <f>FIXED('Balance N-1'!A363,0,1)</f>
        <v>0</v>
      </c>
      <c r="B392" s="494">
        <f>+'Balance N-1'!B363</f>
        <v>0</v>
      </c>
      <c r="C392" s="592">
        <f>ROUND('Balance N-1'!C363,2)</f>
        <v>0</v>
      </c>
      <c r="D392" s="592">
        <f>ROUND('Balance N-1'!D363,2)</f>
        <v>0</v>
      </c>
      <c r="E392" s="592">
        <f>ROUND('Balance N-1'!E363,2)</f>
        <v>0</v>
      </c>
      <c r="F392" s="592">
        <f>ROUND('Balance N-1'!F363,2)</f>
        <v>0</v>
      </c>
      <c r="G392" s="592">
        <f>ROUND('Balance N-1'!G363,2)</f>
        <v>0</v>
      </c>
      <c r="H392" s="592">
        <f>ROUND('Balance N-1'!H363,2)</f>
        <v>0</v>
      </c>
      <c r="I392" s="2" t="str">
        <f t="shared" si="9"/>
        <v>0</v>
      </c>
    </row>
    <row r="393" spans="1:9" x14ac:dyDescent="0.2">
      <c r="A393" s="782" t="str">
        <f>FIXED('Balance N-1'!A364,0,1)</f>
        <v>0</v>
      </c>
      <c r="B393" s="494">
        <f>+'Balance N-1'!B364</f>
        <v>0</v>
      </c>
      <c r="C393" s="592">
        <f>ROUND('Balance N-1'!C364,2)</f>
        <v>0</v>
      </c>
      <c r="D393" s="592">
        <f>ROUND('Balance N-1'!D364,2)</f>
        <v>0</v>
      </c>
      <c r="E393" s="592">
        <f>ROUND('Balance N-1'!E364,2)</f>
        <v>0</v>
      </c>
      <c r="F393" s="592">
        <f>ROUND('Balance N-1'!F364,2)</f>
        <v>0</v>
      </c>
      <c r="G393" s="592">
        <f>ROUND('Balance N-1'!G364,2)</f>
        <v>0</v>
      </c>
      <c r="H393" s="592">
        <f>ROUND('Balance N-1'!H364,2)</f>
        <v>0</v>
      </c>
      <c r="I393" s="2" t="str">
        <f t="shared" si="9"/>
        <v>0</v>
      </c>
    </row>
    <row r="394" spans="1:9" x14ac:dyDescent="0.2">
      <c r="A394" s="782" t="str">
        <f>FIXED('Balance N-1'!A365,0,1)</f>
        <v>0</v>
      </c>
      <c r="B394" s="494">
        <f>+'Balance N-1'!B365</f>
        <v>0</v>
      </c>
      <c r="C394" s="592">
        <f>ROUND('Balance N-1'!C365,2)</f>
        <v>0</v>
      </c>
      <c r="D394" s="592">
        <f>ROUND('Balance N-1'!D365,2)</f>
        <v>0</v>
      </c>
      <c r="E394" s="592">
        <f>ROUND('Balance N-1'!E365,2)</f>
        <v>0</v>
      </c>
      <c r="F394" s="592">
        <f>ROUND('Balance N-1'!F365,2)</f>
        <v>0</v>
      </c>
      <c r="G394" s="592">
        <f>ROUND('Balance N-1'!G365,2)</f>
        <v>0</v>
      </c>
      <c r="H394" s="592">
        <f>ROUND('Balance N-1'!H365,2)</f>
        <v>0</v>
      </c>
      <c r="I394" s="2" t="str">
        <f t="shared" si="9"/>
        <v>0</v>
      </c>
    </row>
    <row r="395" spans="1:9" x14ac:dyDescent="0.2">
      <c r="A395" s="782" t="str">
        <f>FIXED('Balance N-1'!A366,0,1)</f>
        <v>0</v>
      </c>
      <c r="B395" s="494">
        <f>+'Balance N-1'!B366</f>
        <v>0</v>
      </c>
      <c r="C395" s="592">
        <f>ROUND('Balance N-1'!C366,2)</f>
        <v>0</v>
      </c>
      <c r="D395" s="592">
        <f>ROUND('Balance N-1'!D366,2)</f>
        <v>0</v>
      </c>
      <c r="E395" s="592">
        <f>ROUND('Balance N-1'!E366,2)</f>
        <v>0</v>
      </c>
      <c r="F395" s="592">
        <f>ROUND('Balance N-1'!F366,2)</f>
        <v>0</v>
      </c>
      <c r="G395" s="592">
        <f>ROUND('Balance N-1'!G366,2)</f>
        <v>0</v>
      </c>
      <c r="H395" s="592">
        <f>ROUND('Balance N-1'!H366,2)</f>
        <v>0</v>
      </c>
      <c r="I395" s="2" t="str">
        <f t="shared" si="9"/>
        <v>0</v>
      </c>
    </row>
    <row r="396" spans="1:9" x14ac:dyDescent="0.2">
      <c r="A396" s="782" t="str">
        <f>FIXED('Balance N-1'!A367,0,1)</f>
        <v>0</v>
      </c>
      <c r="B396" s="494">
        <f>+'Balance N-1'!B367</f>
        <v>0</v>
      </c>
      <c r="C396" s="592">
        <f>ROUND('Balance N-1'!C367,2)</f>
        <v>0</v>
      </c>
      <c r="D396" s="592">
        <f>ROUND('Balance N-1'!D367,2)</f>
        <v>0</v>
      </c>
      <c r="E396" s="592">
        <f>ROUND('Balance N-1'!E367,2)</f>
        <v>0</v>
      </c>
      <c r="F396" s="592">
        <f>ROUND('Balance N-1'!F367,2)</f>
        <v>0</v>
      </c>
      <c r="G396" s="592">
        <f>ROUND('Balance N-1'!G367,2)</f>
        <v>0</v>
      </c>
      <c r="H396" s="592">
        <f>ROUND('Balance N-1'!H367,2)</f>
        <v>0</v>
      </c>
      <c r="I396" s="2" t="str">
        <f t="shared" si="9"/>
        <v>0</v>
      </c>
    </row>
    <row r="397" spans="1:9" x14ac:dyDescent="0.2">
      <c r="A397" s="782" t="str">
        <f>FIXED('Balance N-1'!A368,0,1)</f>
        <v>0</v>
      </c>
      <c r="B397" s="494">
        <f>+'Balance N-1'!B368</f>
        <v>0</v>
      </c>
      <c r="C397" s="592">
        <f>ROUND('Balance N-1'!C368,2)</f>
        <v>0</v>
      </c>
      <c r="D397" s="592">
        <f>ROUND('Balance N-1'!D368,2)</f>
        <v>0</v>
      </c>
      <c r="E397" s="592">
        <f>ROUND('Balance N-1'!E368,2)</f>
        <v>0</v>
      </c>
      <c r="F397" s="592">
        <f>ROUND('Balance N-1'!F368,2)</f>
        <v>0</v>
      </c>
      <c r="G397" s="592">
        <f>ROUND('Balance N-1'!G368,2)</f>
        <v>0</v>
      </c>
      <c r="H397" s="592">
        <f>ROUND('Balance N-1'!H368,2)</f>
        <v>0</v>
      </c>
      <c r="I397" s="2" t="str">
        <f t="shared" si="9"/>
        <v>0</v>
      </c>
    </row>
    <row r="398" spans="1:9" x14ac:dyDescent="0.2">
      <c r="A398" s="782" t="str">
        <f>FIXED('Balance N-1'!A369,0,1)</f>
        <v>0</v>
      </c>
      <c r="B398" s="494">
        <f>+'Balance N-1'!B369</f>
        <v>0</v>
      </c>
      <c r="C398" s="592">
        <f>ROUND('Balance N-1'!C369,2)</f>
        <v>0</v>
      </c>
      <c r="D398" s="592">
        <f>ROUND('Balance N-1'!D369,2)</f>
        <v>0</v>
      </c>
      <c r="E398" s="592">
        <f>ROUND('Balance N-1'!E369,2)</f>
        <v>0</v>
      </c>
      <c r="F398" s="592">
        <f>ROUND('Balance N-1'!F369,2)</f>
        <v>0</v>
      </c>
      <c r="G398" s="592">
        <f>ROUND('Balance N-1'!G369,2)</f>
        <v>0</v>
      </c>
      <c r="H398" s="592">
        <f>ROUND('Balance N-1'!H369,2)</f>
        <v>0</v>
      </c>
      <c r="I398" s="2" t="str">
        <f t="shared" si="9"/>
        <v>0</v>
      </c>
    </row>
    <row r="399" spans="1:9" x14ac:dyDescent="0.2">
      <c r="A399" s="782" t="str">
        <f>FIXED('Balance N-1'!A370,0,1)</f>
        <v>0</v>
      </c>
      <c r="B399" s="494">
        <f>+'Balance N-1'!B370</f>
        <v>0</v>
      </c>
      <c r="C399" s="592">
        <f>ROUND('Balance N-1'!C370,2)</f>
        <v>0</v>
      </c>
      <c r="D399" s="592">
        <f>ROUND('Balance N-1'!D370,2)</f>
        <v>0</v>
      </c>
      <c r="E399" s="592">
        <f>ROUND('Balance N-1'!E370,2)</f>
        <v>0</v>
      </c>
      <c r="F399" s="592">
        <f>ROUND('Balance N-1'!F370,2)</f>
        <v>0</v>
      </c>
      <c r="G399" s="592">
        <f>ROUND('Balance N-1'!G370,2)</f>
        <v>0</v>
      </c>
      <c r="H399" s="592">
        <f>ROUND('Balance N-1'!H370,2)</f>
        <v>0</v>
      </c>
      <c r="I399" s="2" t="str">
        <f t="shared" si="9"/>
        <v>0</v>
      </c>
    </row>
    <row r="400" spans="1:9" x14ac:dyDescent="0.2">
      <c r="A400" s="782" t="str">
        <f>FIXED('Balance N-1'!A371,0,1)</f>
        <v>0</v>
      </c>
      <c r="B400" s="494">
        <f>+'Balance N-1'!B371</f>
        <v>0</v>
      </c>
      <c r="C400" s="592">
        <f>ROUND('Balance N-1'!C371,2)</f>
        <v>0</v>
      </c>
      <c r="D400" s="592">
        <f>ROUND('Balance N-1'!D371,2)</f>
        <v>0</v>
      </c>
      <c r="E400" s="592">
        <f>ROUND('Balance N-1'!E371,2)</f>
        <v>0</v>
      </c>
      <c r="F400" s="592">
        <f>ROUND('Balance N-1'!F371,2)</f>
        <v>0</v>
      </c>
      <c r="G400" s="592">
        <f>ROUND('Balance N-1'!G371,2)</f>
        <v>0</v>
      </c>
      <c r="H400" s="592">
        <f>ROUND('Balance N-1'!H371,2)</f>
        <v>0</v>
      </c>
      <c r="I400" s="2" t="str">
        <f t="shared" si="9"/>
        <v>0</v>
      </c>
    </row>
    <row r="401" spans="1:9" x14ac:dyDescent="0.2">
      <c r="A401" s="782" t="str">
        <f>FIXED('Balance N-1'!A372,0,1)</f>
        <v>0</v>
      </c>
      <c r="B401" s="494">
        <f>+'Balance N-1'!B372</f>
        <v>0</v>
      </c>
      <c r="C401" s="592">
        <f>ROUND('Balance N-1'!C372,2)</f>
        <v>0</v>
      </c>
      <c r="D401" s="592">
        <f>ROUND('Balance N-1'!D372,2)</f>
        <v>0</v>
      </c>
      <c r="E401" s="592">
        <f>ROUND('Balance N-1'!E372,2)</f>
        <v>0</v>
      </c>
      <c r="F401" s="592">
        <f>ROUND('Balance N-1'!F372,2)</f>
        <v>0</v>
      </c>
      <c r="G401" s="592">
        <f>ROUND('Balance N-1'!G372,2)</f>
        <v>0</v>
      </c>
      <c r="H401" s="592">
        <f>ROUND('Balance N-1'!H372,2)</f>
        <v>0</v>
      </c>
      <c r="I401" s="2" t="str">
        <f t="shared" si="9"/>
        <v>0</v>
      </c>
    </row>
    <row r="402" spans="1:9" x14ac:dyDescent="0.2">
      <c r="A402" s="782" t="str">
        <f>FIXED('Balance N-1'!A373,0,1)</f>
        <v>0</v>
      </c>
      <c r="B402" s="494">
        <f>+'Balance N-1'!B373</f>
        <v>0</v>
      </c>
      <c r="C402" s="592">
        <f>ROUND('Balance N-1'!C373,2)</f>
        <v>0</v>
      </c>
      <c r="D402" s="592">
        <f>ROUND('Balance N-1'!D373,2)</f>
        <v>0</v>
      </c>
      <c r="E402" s="592">
        <f>ROUND('Balance N-1'!E373,2)</f>
        <v>0</v>
      </c>
      <c r="F402" s="592">
        <f>ROUND('Balance N-1'!F373,2)</f>
        <v>0</v>
      </c>
      <c r="G402" s="592">
        <f>ROUND('Balance N-1'!G373,2)</f>
        <v>0</v>
      </c>
      <c r="H402" s="592">
        <f>ROUND('Balance N-1'!H373,2)</f>
        <v>0</v>
      </c>
      <c r="I402" s="2" t="str">
        <f t="shared" si="9"/>
        <v>0</v>
      </c>
    </row>
    <row r="403" spans="1:9" x14ac:dyDescent="0.2">
      <c r="A403" s="782" t="str">
        <f>FIXED('Balance N-1'!A374,0,1)</f>
        <v>0</v>
      </c>
      <c r="B403" s="494">
        <f>+'Balance N-1'!B374</f>
        <v>0</v>
      </c>
      <c r="C403" s="592">
        <f>ROUND('Balance N-1'!C374,2)</f>
        <v>0</v>
      </c>
      <c r="D403" s="592">
        <f>ROUND('Balance N-1'!D374,2)</f>
        <v>0</v>
      </c>
      <c r="E403" s="592">
        <f>ROUND('Balance N-1'!E374,2)</f>
        <v>0</v>
      </c>
      <c r="F403" s="592">
        <f>ROUND('Balance N-1'!F374,2)</f>
        <v>0</v>
      </c>
      <c r="G403" s="592">
        <f>ROUND('Balance N-1'!G374,2)</f>
        <v>0</v>
      </c>
      <c r="H403" s="592">
        <f>ROUND('Balance N-1'!H374,2)</f>
        <v>0</v>
      </c>
      <c r="I403" s="2" t="str">
        <f t="shared" si="9"/>
        <v>0</v>
      </c>
    </row>
    <row r="404" spans="1:9" x14ac:dyDescent="0.2">
      <c r="A404" s="782" t="str">
        <f>FIXED('Balance N-1'!A375,0,1)</f>
        <v>0</v>
      </c>
      <c r="B404" s="494">
        <f>+'Balance N-1'!B375</f>
        <v>0</v>
      </c>
      <c r="C404" s="592">
        <f>ROUND('Balance N-1'!C375,2)</f>
        <v>0</v>
      </c>
      <c r="D404" s="592">
        <f>ROUND('Balance N-1'!D375,2)</f>
        <v>0</v>
      </c>
      <c r="E404" s="592">
        <f>ROUND('Balance N-1'!E375,2)</f>
        <v>0</v>
      </c>
      <c r="F404" s="592">
        <f>ROUND('Balance N-1'!F375,2)</f>
        <v>0</v>
      </c>
      <c r="G404" s="592">
        <f>ROUND('Balance N-1'!G375,2)</f>
        <v>0</v>
      </c>
      <c r="H404" s="592">
        <f>ROUND('Balance N-1'!H375,2)</f>
        <v>0</v>
      </c>
      <c r="I404" s="2" t="str">
        <f t="shared" si="9"/>
        <v>0</v>
      </c>
    </row>
    <row r="405" spans="1:9" x14ac:dyDescent="0.2">
      <c r="A405" s="782" t="str">
        <f>FIXED('Balance N-1'!A376,0,1)</f>
        <v>0</v>
      </c>
      <c r="B405" s="494">
        <f>+'Balance N-1'!B376</f>
        <v>0</v>
      </c>
      <c r="C405" s="592">
        <f>ROUND('Balance N-1'!C376,2)</f>
        <v>0</v>
      </c>
      <c r="D405" s="592">
        <f>ROUND('Balance N-1'!D376,2)</f>
        <v>0</v>
      </c>
      <c r="E405" s="592">
        <f>ROUND('Balance N-1'!E376,2)</f>
        <v>0</v>
      </c>
      <c r="F405" s="592">
        <f>ROUND('Balance N-1'!F376,2)</f>
        <v>0</v>
      </c>
      <c r="G405" s="592">
        <f>ROUND('Balance N-1'!G376,2)</f>
        <v>0</v>
      </c>
      <c r="H405" s="592">
        <f>ROUND('Balance N-1'!H376,2)</f>
        <v>0</v>
      </c>
      <c r="I405" s="2" t="str">
        <f t="shared" si="9"/>
        <v>0</v>
      </c>
    </row>
    <row r="406" spans="1:9" x14ac:dyDescent="0.2">
      <c r="A406" s="782" t="str">
        <f>FIXED('Balance N-1'!A377,0,1)</f>
        <v>0</v>
      </c>
      <c r="B406" s="494">
        <f>+'Balance N-1'!B377</f>
        <v>0</v>
      </c>
      <c r="C406" s="592">
        <f>ROUND('Balance N-1'!C377,2)</f>
        <v>0</v>
      </c>
      <c r="D406" s="592">
        <f>ROUND('Balance N-1'!D377,2)</f>
        <v>0</v>
      </c>
      <c r="E406" s="592">
        <f>ROUND('Balance N-1'!E377,2)</f>
        <v>0</v>
      </c>
      <c r="F406" s="592">
        <f>ROUND('Balance N-1'!F377,2)</f>
        <v>0</v>
      </c>
      <c r="G406" s="592">
        <f>ROUND('Balance N-1'!G377,2)</f>
        <v>0</v>
      </c>
      <c r="H406" s="592">
        <f>ROUND('Balance N-1'!H377,2)</f>
        <v>0</v>
      </c>
      <c r="I406" s="2" t="str">
        <f t="shared" si="9"/>
        <v>0</v>
      </c>
    </row>
    <row r="407" spans="1:9" x14ac:dyDescent="0.2">
      <c r="A407" s="782" t="str">
        <f>FIXED('Balance N-1'!A378,0,1)</f>
        <v>0</v>
      </c>
      <c r="B407" s="494">
        <f>+'Balance N-1'!B378</f>
        <v>0</v>
      </c>
      <c r="C407" s="592">
        <f>ROUND('Balance N-1'!C378,2)</f>
        <v>0</v>
      </c>
      <c r="D407" s="592">
        <f>ROUND('Balance N-1'!D378,2)</f>
        <v>0</v>
      </c>
      <c r="E407" s="592">
        <f>ROUND('Balance N-1'!E378,2)</f>
        <v>0</v>
      </c>
      <c r="F407" s="592">
        <f>ROUND('Balance N-1'!F378,2)</f>
        <v>0</v>
      </c>
      <c r="G407" s="592">
        <f>ROUND('Balance N-1'!G378,2)</f>
        <v>0</v>
      </c>
      <c r="H407" s="592">
        <f>ROUND('Balance N-1'!H378,2)</f>
        <v>0</v>
      </c>
      <c r="I407" s="2" t="str">
        <f t="shared" si="9"/>
        <v>0</v>
      </c>
    </row>
    <row r="408" spans="1:9" x14ac:dyDescent="0.2">
      <c r="A408" s="782" t="str">
        <f>FIXED('Balance N-1'!A379,0,1)</f>
        <v>0</v>
      </c>
      <c r="B408" s="494">
        <f>+'Balance N-1'!B379</f>
        <v>0</v>
      </c>
      <c r="C408" s="592">
        <f>ROUND('Balance N-1'!C379,2)</f>
        <v>0</v>
      </c>
      <c r="D408" s="592">
        <f>ROUND('Balance N-1'!D379,2)</f>
        <v>0</v>
      </c>
      <c r="E408" s="592">
        <f>ROUND('Balance N-1'!E379,2)</f>
        <v>0</v>
      </c>
      <c r="F408" s="592">
        <f>ROUND('Balance N-1'!F379,2)</f>
        <v>0</v>
      </c>
      <c r="G408" s="592">
        <f>ROUND('Balance N-1'!G379,2)</f>
        <v>0</v>
      </c>
      <c r="H408" s="592">
        <f>ROUND('Balance N-1'!H379,2)</f>
        <v>0</v>
      </c>
      <c r="I408" s="2" t="str">
        <f t="shared" si="9"/>
        <v>0</v>
      </c>
    </row>
    <row r="409" spans="1:9" x14ac:dyDescent="0.2">
      <c r="A409" s="782" t="str">
        <f>FIXED('Balance N-1'!A380,0,1)</f>
        <v>0</v>
      </c>
      <c r="B409" s="494">
        <f>+'Balance N-1'!B380</f>
        <v>0</v>
      </c>
      <c r="C409" s="592">
        <f>ROUND('Balance N-1'!C380,2)</f>
        <v>0</v>
      </c>
      <c r="D409" s="592">
        <f>ROUND('Balance N-1'!D380,2)</f>
        <v>0</v>
      </c>
      <c r="E409" s="592">
        <f>ROUND('Balance N-1'!E380,2)</f>
        <v>0</v>
      </c>
      <c r="F409" s="592">
        <f>ROUND('Balance N-1'!F380,2)</f>
        <v>0</v>
      </c>
      <c r="G409" s="592">
        <f>ROUND('Balance N-1'!G380,2)</f>
        <v>0</v>
      </c>
      <c r="H409" s="592">
        <f>ROUND('Balance N-1'!H380,2)</f>
        <v>0</v>
      </c>
      <c r="I409" s="2" t="str">
        <f t="shared" si="9"/>
        <v>0</v>
      </c>
    </row>
    <row r="410" spans="1:9" x14ac:dyDescent="0.2">
      <c r="A410" s="782" t="str">
        <f>FIXED('Balance N-1'!A381,0,1)</f>
        <v>0</v>
      </c>
      <c r="B410" s="494">
        <f>+'Balance N-1'!B381</f>
        <v>0</v>
      </c>
      <c r="C410" s="592">
        <f>ROUND('Balance N-1'!C381,2)</f>
        <v>0</v>
      </c>
      <c r="D410" s="592">
        <f>ROUND('Balance N-1'!D381,2)</f>
        <v>0</v>
      </c>
      <c r="E410" s="592">
        <f>ROUND('Balance N-1'!E381,2)</f>
        <v>0</v>
      </c>
      <c r="F410" s="592">
        <f>ROUND('Balance N-1'!F381,2)</f>
        <v>0</v>
      </c>
      <c r="G410" s="592">
        <f>ROUND('Balance N-1'!G381,2)</f>
        <v>0</v>
      </c>
      <c r="H410" s="592">
        <f>ROUND('Balance N-1'!H381,2)</f>
        <v>0</v>
      </c>
      <c r="I410" s="2" t="str">
        <f t="shared" si="9"/>
        <v>0</v>
      </c>
    </row>
    <row r="411" spans="1:9" x14ac:dyDescent="0.2">
      <c r="A411" s="782" t="str">
        <f>FIXED('Balance N-1'!A382,0,1)</f>
        <v>0</v>
      </c>
      <c r="B411" s="494">
        <f>+'Balance N-1'!B382</f>
        <v>0</v>
      </c>
      <c r="C411" s="592">
        <f>ROUND('Balance N-1'!C382,2)</f>
        <v>0</v>
      </c>
      <c r="D411" s="592">
        <f>ROUND('Balance N-1'!D382,2)</f>
        <v>0</v>
      </c>
      <c r="E411" s="592">
        <f>ROUND('Balance N-1'!E382,2)</f>
        <v>0</v>
      </c>
      <c r="F411" s="592">
        <f>ROUND('Balance N-1'!F382,2)</f>
        <v>0</v>
      </c>
      <c r="G411" s="592">
        <f>ROUND('Balance N-1'!G382,2)</f>
        <v>0</v>
      </c>
      <c r="H411" s="592">
        <f>ROUND('Balance N-1'!H382,2)</f>
        <v>0</v>
      </c>
      <c r="I411" s="2" t="str">
        <f t="shared" si="9"/>
        <v>0</v>
      </c>
    </row>
    <row r="412" spans="1:9" x14ac:dyDescent="0.2">
      <c r="A412" s="782" t="str">
        <f>FIXED('Balance N-1'!A383,0,1)</f>
        <v>0</v>
      </c>
      <c r="B412" s="494">
        <f>+'Balance N-1'!B383</f>
        <v>0</v>
      </c>
      <c r="C412" s="592">
        <f>ROUND('Balance N-1'!C383,2)</f>
        <v>0</v>
      </c>
      <c r="D412" s="592">
        <f>ROUND('Balance N-1'!D383,2)</f>
        <v>0</v>
      </c>
      <c r="E412" s="592">
        <f>ROUND('Balance N-1'!E383,2)</f>
        <v>0</v>
      </c>
      <c r="F412" s="592">
        <f>ROUND('Balance N-1'!F383,2)</f>
        <v>0</v>
      </c>
      <c r="G412" s="592">
        <f>ROUND('Balance N-1'!G383,2)</f>
        <v>0</v>
      </c>
      <c r="H412" s="592">
        <f>ROUND('Balance N-1'!H383,2)</f>
        <v>0</v>
      </c>
      <c r="I412" s="2" t="str">
        <f t="shared" si="9"/>
        <v>0</v>
      </c>
    </row>
    <row r="413" spans="1:9" x14ac:dyDescent="0.2">
      <c r="A413" s="782" t="str">
        <f>FIXED('Balance N-1'!A384,0,1)</f>
        <v>0</v>
      </c>
      <c r="B413" s="494">
        <f>+'Balance N-1'!B384</f>
        <v>0</v>
      </c>
      <c r="C413" s="592">
        <f>ROUND('Balance N-1'!C384,2)</f>
        <v>0</v>
      </c>
      <c r="D413" s="592">
        <f>ROUND('Balance N-1'!D384,2)</f>
        <v>0</v>
      </c>
      <c r="E413" s="592">
        <f>ROUND('Balance N-1'!E384,2)</f>
        <v>0</v>
      </c>
      <c r="F413" s="592">
        <f>ROUND('Balance N-1'!F384,2)</f>
        <v>0</v>
      </c>
      <c r="G413" s="592">
        <f>ROUND('Balance N-1'!G384,2)</f>
        <v>0</v>
      </c>
      <c r="H413" s="592">
        <f>ROUND('Balance N-1'!H384,2)</f>
        <v>0</v>
      </c>
      <c r="I413" s="2" t="str">
        <f t="shared" si="9"/>
        <v>0</v>
      </c>
    </row>
    <row r="414" spans="1:9" x14ac:dyDescent="0.2">
      <c r="A414" s="782" t="str">
        <f>FIXED('Balance N-1'!A385,0,1)</f>
        <v>0</v>
      </c>
      <c r="B414" s="494">
        <f>+'Balance N-1'!B385</f>
        <v>0</v>
      </c>
      <c r="C414" s="592">
        <f>ROUND('Balance N-1'!C385,2)</f>
        <v>0</v>
      </c>
      <c r="D414" s="592">
        <f>ROUND('Balance N-1'!D385,2)</f>
        <v>0</v>
      </c>
      <c r="E414" s="592">
        <f>ROUND('Balance N-1'!E385,2)</f>
        <v>0</v>
      </c>
      <c r="F414" s="592">
        <f>ROUND('Balance N-1'!F385,2)</f>
        <v>0</v>
      </c>
      <c r="G414" s="592">
        <f>ROUND('Balance N-1'!G385,2)</f>
        <v>0</v>
      </c>
      <c r="H414" s="592">
        <f>ROUND('Balance N-1'!H385,2)</f>
        <v>0</v>
      </c>
      <c r="I414" s="2" t="str">
        <f t="shared" si="9"/>
        <v>0</v>
      </c>
    </row>
    <row r="415" spans="1:9" x14ac:dyDescent="0.2">
      <c r="A415" s="782" t="str">
        <f>FIXED('Balance N-1'!A386,0,1)</f>
        <v>0</v>
      </c>
      <c r="B415" s="494">
        <f>+'Balance N-1'!B386</f>
        <v>0</v>
      </c>
      <c r="C415" s="592">
        <f>ROUND('Balance N-1'!C386,2)</f>
        <v>0</v>
      </c>
      <c r="D415" s="592">
        <f>ROUND('Balance N-1'!D386,2)</f>
        <v>0</v>
      </c>
      <c r="E415" s="592">
        <f>ROUND('Balance N-1'!E386,2)</f>
        <v>0</v>
      </c>
      <c r="F415" s="592">
        <f>ROUND('Balance N-1'!F386,2)</f>
        <v>0</v>
      </c>
      <c r="G415" s="592">
        <f>ROUND('Balance N-1'!G386,2)</f>
        <v>0</v>
      </c>
      <c r="H415" s="592">
        <f>ROUND('Balance N-1'!H386,2)</f>
        <v>0</v>
      </c>
      <c r="I415" s="2" t="str">
        <f t="shared" si="9"/>
        <v>0</v>
      </c>
    </row>
    <row r="416" spans="1:9" x14ac:dyDescent="0.2">
      <c r="A416" s="782" t="str">
        <f>FIXED('Balance N-1'!A387,0,1)</f>
        <v>0</v>
      </c>
      <c r="B416" s="494">
        <f>+'Balance N-1'!B387</f>
        <v>0</v>
      </c>
      <c r="C416" s="592">
        <f>ROUND('Balance N-1'!C387,2)</f>
        <v>0</v>
      </c>
      <c r="D416" s="592">
        <f>ROUND('Balance N-1'!D387,2)</f>
        <v>0</v>
      </c>
      <c r="E416" s="592">
        <f>ROUND('Balance N-1'!E387,2)</f>
        <v>0</v>
      </c>
      <c r="F416" s="592">
        <f>ROUND('Balance N-1'!F387,2)</f>
        <v>0</v>
      </c>
      <c r="G416" s="592">
        <f>ROUND('Balance N-1'!G387,2)</f>
        <v>0</v>
      </c>
      <c r="H416" s="592">
        <f>ROUND('Balance N-1'!H387,2)</f>
        <v>0</v>
      </c>
      <c r="I416" s="2" t="str">
        <f t="shared" si="9"/>
        <v>0</v>
      </c>
    </row>
    <row r="417" spans="1:9" x14ac:dyDescent="0.2">
      <c r="A417" s="782" t="str">
        <f>FIXED('Balance N-1'!A388,0,1)</f>
        <v>0</v>
      </c>
      <c r="B417" s="494">
        <f>+'Balance N-1'!B388</f>
        <v>0</v>
      </c>
      <c r="C417" s="592">
        <f>ROUND('Balance N-1'!C388,2)</f>
        <v>0</v>
      </c>
      <c r="D417" s="592">
        <f>ROUND('Balance N-1'!D388,2)</f>
        <v>0</v>
      </c>
      <c r="E417" s="592">
        <f>ROUND('Balance N-1'!E388,2)</f>
        <v>0</v>
      </c>
      <c r="F417" s="592">
        <f>ROUND('Balance N-1'!F388,2)</f>
        <v>0</v>
      </c>
      <c r="G417" s="592">
        <f>ROUND('Balance N-1'!G388,2)</f>
        <v>0</v>
      </c>
      <c r="H417" s="592">
        <f>ROUND('Balance N-1'!H388,2)</f>
        <v>0</v>
      </c>
      <c r="I417" s="2" t="str">
        <f t="shared" si="9"/>
        <v>0</v>
      </c>
    </row>
    <row r="418" spans="1:9" x14ac:dyDescent="0.2">
      <c r="A418" s="782" t="str">
        <f>FIXED('Balance N-1'!A389,0,1)</f>
        <v>0</v>
      </c>
      <c r="B418" s="494">
        <f>+'Balance N-1'!B389</f>
        <v>0</v>
      </c>
      <c r="C418" s="592">
        <f>ROUND('Balance N-1'!C389,2)</f>
        <v>0</v>
      </c>
      <c r="D418" s="592">
        <f>ROUND('Balance N-1'!D389,2)</f>
        <v>0</v>
      </c>
      <c r="E418" s="592">
        <f>ROUND('Balance N-1'!E389,2)</f>
        <v>0</v>
      </c>
      <c r="F418" s="592">
        <f>ROUND('Balance N-1'!F389,2)</f>
        <v>0</v>
      </c>
      <c r="G418" s="592">
        <f>ROUND('Balance N-1'!G389,2)</f>
        <v>0</v>
      </c>
      <c r="H418" s="592">
        <f>ROUND('Balance N-1'!H389,2)</f>
        <v>0</v>
      </c>
      <c r="I418" s="2" t="str">
        <f t="shared" si="9"/>
        <v>0</v>
      </c>
    </row>
    <row r="419" spans="1:9" x14ac:dyDescent="0.2">
      <c r="A419" s="782" t="str">
        <f>FIXED('Balance N-1'!A390,0,1)</f>
        <v>0</v>
      </c>
      <c r="B419" s="494">
        <f>+'Balance N-1'!B390</f>
        <v>0</v>
      </c>
      <c r="C419" s="592">
        <f>ROUND('Balance N-1'!C390,2)</f>
        <v>0</v>
      </c>
      <c r="D419" s="592">
        <f>ROUND('Balance N-1'!D390,2)</f>
        <v>0</v>
      </c>
      <c r="E419" s="592">
        <f>ROUND('Balance N-1'!E390,2)</f>
        <v>0</v>
      </c>
      <c r="F419" s="592">
        <f>ROUND('Balance N-1'!F390,2)</f>
        <v>0</v>
      </c>
      <c r="G419" s="592">
        <f>ROUND('Balance N-1'!G390,2)</f>
        <v>0</v>
      </c>
      <c r="H419" s="592">
        <f>ROUND('Balance N-1'!H390,2)</f>
        <v>0</v>
      </c>
      <c r="I419" s="2" t="str">
        <f t="shared" si="9"/>
        <v>0</v>
      </c>
    </row>
    <row r="420" spans="1:9" x14ac:dyDescent="0.2">
      <c r="A420" s="782" t="str">
        <f>FIXED('Balance N-1'!A391,0,1)</f>
        <v>0</v>
      </c>
      <c r="B420" s="494">
        <f>+'Balance N-1'!B391</f>
        <v>0</v>
      </c>
      <c r="C420" s="592">
        <f>ROUND('Balance N-1'!C391,2)</f>
        <v>0</v>
      </c>
      <c r="D420" s="592">
        <f>ROUND('Balance N-1'!D391,2)</f>
        <v>0</v>
      </c>
      <c r="E420" s="592">
        <f>ROUND('Balance N-1'!E391,2)</f>
        <v>0</v>
      </c>
      <c r="F420" s="592">
        <f>ROUND('Balance N-1'!F391,2)</f>
        <v>0</v>
      </c>
      <c r="G420" s="592">
        <f>ROUND('Balance N-1'!G391,2)</f>
        <v>0</v>
      </c>
      <c r="H420" s="592">
        <f>ROUND('Balance N-1'!H391,2)</f>
        <v>0</v>
      </c>
      <c r="I420" s="2" t="str">
        <f t="shared" si="9"/>
        <v>0</v>
      </c>
    </row>
    <row r="421" spans="1:9" x14ac:dyDescent="0.2">
      <c r="A421" s="782" t="str">
        <f>FIXED('Balance N-1'!A392,0,1)</f>
        <v>0</v>
      </c>
      <c r="B421" s="494">
        <f>+'Balance N-1'!B392</f>
        <v>0</v>
      </c>
      <c r="C421" s="592">
        <f>ROUND('Balance N-1'!C392,2)</f>
        <v>0</v>
      </c>
      <c r="D421" s="592">
        <f>ROUND('Balance N-1'!D392,2)</f>
        <v>0</v>
      </c>
      <c r="E421" s="592">
        <f>ROUND('Balance N-1'!E392,2)</f>
        <v>0</v>
      </c>
      <c r="F421" s="592">
        <f>ROUND('Balance N-1'!F392,2)</f>
        <v>0</v>
      </c>
      <c r="G421" s="592">
        <f>ROUND('Balance N-1'!G392,2)</f>
        <v>0</v>
      </c>
      <c r="H421" s="592">
        <f>ROUND('Balance N-1'!H392,2)</f>
        <v>0</v>
      </c>
      <c r="I421" s="2" t="str">
        <f t="shared" si="9"/>
        <v>0</v>
      </c>
    </row>
    <row r="422" spans="1:9" x14ac:dyDescent="0.2">
      <c r="A422" s="782" t="str">
        <f>FIXED('Balance N-1'!A393,0,1)</f>
        <v>0</v>
      </c>
      <c r="B422" s="494">
        <f>+'Balance N-1'!B393</f>
        <v>0</v>
      </c>
      <c r="C422" s="592">
        <f>ROUND('Balance N-1'!C393,2)</f>
        <v>0</v>
      </c>
      <c r="D422" s="592">
        <f>ROUND('Balance N-1'!D393,2)</f>
        <v>0</v>
      </c>
      <c r="E422" s="592">
        <f>ROUND('Balance N-1'!E393,2)</f>
        <v>0</v>
      </c>
      <c r="F422" s="592">
        <f>ROUND('Balance N-1'!F393,2)</f>
        <v>0</v>
      </c>
      <c r="G422" s="592">
        <f>ROUND('Balance N-1'!G393,2)</f>
        <v>0</v>
      </c>
      <c r="H422" s="592">
        <f>ROUND('Balance N-1'!H393,2)</f>
        <v>0</v>
      </c>
      <c r="I422" s="2" t="str">
        <f t="shared" si="9"/>
        <v>0</v>
      </c>
    </row>
    <row r="423" spans="1:9" x14ac:dyDescent="0.2">
      <c r="A423" s="782" t="str">
        <f>FIXED('Balance N-1'!A394,0,1)</f>
        <v>0</v>
      </c>
      <c r="B423" s="494">
        <f>+'Balance N-1'!B394</f>
        <v>0</v>
      </c>
      <c r="C423" s="592">
        <f>ROUND('Balance N-1'!C394,2)</f>
        <v>0</v>
      </c>
      <c r="D423" s="592">
        <f>ROUND('Balance N-1'!D394,2)</f>
        <v>0</v>
      </c>
      <c r="E423" s="592">
        <f>ROUND('Balance N-1'!E394,2)</f>
        <v>0</v>
      </c>
      <c r="F423" s="592">
        <f>ROUND('Balance N-1'!F394,2)</f>
        <v>0</v>
      </c>
      <c r="G423" s="592">
        <f>ROUND('Balance N-1'!G394,2)</f>
        <v>0</v>
      </c>
      <c r="H423" s="592">
        <f>ROUND('Balance N-1'!H394,2)</f>
        <v>0</v>
      </c>
      <c r="I423" s="2" t="str">
        <f t="shared" si="9"/>
        <v>0</v>
      </c>
    </row>
    <row r="424" spans="1:9" x14ac:dyDescent="0.2">
      <c r="A424" s="782" t="str">
        <f>FIXED('Balance N-1'!A395,0,1)</f>
        <v>0</v>
      </c>
      <c r="B424" s="494">
        <f>+'Balance N-1'!B395</f>
        <v>0</v>
      </c>
      <c r="C424" s="592">
        <f>ROUND('Balance N-1'!C395,2)</f>
        <v>0</v>
      </c>
      <c r="D424" s="592">
        <f>ROUND('Balance N-1'!D395,2)</f>
        <v>0</v>
      </c>
      <c r="E424" s="592">
        <f>ROUND('Balance N-1'!E395,2)</f>
        <v>0</v>
      </c>
      <c r="F424" s="592">
        <f>ROUND('Balance N-1'!F395,2)</f>
        <v>0</v>
      </c>
      <c r="G424" s="592">
        <f>ROUND('Balance N-1'!G395,2)</f>
        <v>0</v>
      </c>
      <c r="H424" s="592">
        <f>ROUND('Balance N-1'!H395,2)</f>
        <v>0</v>
      </c>
      <c r="I424" s="2" t="str">
        <f t="shared" si="9"/>
        <v>0</v>
      </c>
    </row>
    <row r="425" spans="1:9" x14ac:dyDescent="0.2">
      <c r="A425" s="782" t="str">
        <f>FIXED('Balance N-1'!A396,0,1)</f>
        <v>0</v>
      </c>
      <c r="B425" s="494">
        <f>+'Balance N-1'!B396</f>
        <v>0</v>
      </c>
      <c r="C425" s="592">
        <f>ROUND('Balance N-1'!C396,2)</f>
        <v>0</v>
      </c>
      <c r="D425" s="592">
        <f>ROUND('Balance N-1'!D396,2)</f>
        <v>0</v>
      </c>
      <c r="E425" s="592">
        <f>ROUND('Balance N-1'!E396,2)</f>
        <v>0</v>
      </c>
      <c r="F425" s="592">
        <f>ROUND('Balance N-1'!F396,2)</f>
        <v>0</v>
      </c>
      <c r="G425" s="592">
        <f>ROUND('Balance N-1'!G396,2)</f>
        <v>0</v>
      </c>
      <c r="H425" s="592">
        <f>ROUND('Balance N-1'!H396,2)</f>
        <v>0</v>
      </c>
      <c r="I425" s="2" t="str">
        <f t="shared" si="9"/>
        <v>0</v>
      </c>
    </row>
    <row r="426" spans="1:9" x14ac:dyDescent="0.2">
      <c r="A426" s="782" t="str">
        <f>FIXED('Balance N-1'!A397,0,1)</f>
        <v>0</v>
      </c>
      <c r="B426" s="494">
        <f>+'Balance N-1'!B397</f>
        <v>0</v>
      </c>
      <c r="C426" s="592">
        <f>ROUND('Balance N-1'!C397,2)</f>
        <v>0</v>
      </c>
      <c r="D426" s="592">
        <f>ROUND('Balance N-1'!D397,2)</f>
        <v>0</v>
      </c>
      <c r="E426" s="592">
        <f>ROUND('Balance N-1'!E397,2)</f>
        <v>0</v>
      </c>
      <c r="F426" s="592">
        <f>ROUND('Balance N-1'!F397,2)</f>
        <v>0</v>
      </c>
      <c r="G426" s="592">
        <f>ROUND('Balance N-1'!G397,2)</f>
        <v>0</v>
      </c>
      <c r="H426" s="592">
        <f>ROUND('Balance N-1'!H397,2)</f>
        <v>0</v>
      </c>
      <c r="I426" s="2" t="str">
        <f t="shared" si="9"/>
        <v>0</v>
      </c>
    </row>
    <row r="427" spans="1:9" x14ac:dyDescent="0.2">
      <c r="A427" s="782" t="str">
        <f>FIXED('Balance N-1'!A398,0,1)</f>
        <v>0</v>
      </c>
      <c r="B427" s="494">
        <f>+'Balance N-1'!B398</f>
        <v>0</v>
      </c>
      <c r="C427" s="592">
        <f>ROUND('Balance N-1'!C398,2)</f>
        <v>0</v>
      </c>
      <c r="D427" s="592">
        <f>ROUND('Balance N-1'!D398,2)</f>
        <v>0</v>
      </c>
      <c r="E427" s="592">
        <f>ROUND('Balance N-1'!E398,2)</f>
        <v>0</v>
      </c>
      <c r="F427" s="592">
        <f>ROUND('Balance N-1'!F398,2)</f>
        <v>0</v>
      </c>
      <c r="G427" s="592">
        <f>ROUND('Balance N-1'!G398,2)</f>
        <v>0</v>
      </c>
      <c r="H427" s="592">
        <f>ROUND('Balance N-1'!H398,2)</f>
        <v>0</v>
      </c>
      <c r="I427" s="2" t="str">
        <f t="shared" si="9"/>
        <v>0</v>
      </c>
    </row>
    <row r="428" spans="1:9" x14ac:dyDescent="0.2">
      <c r="A428" s="782" t="str">
        <f>FIXED('Balance N-1'!A399,0,1)</f>
        <v>0</v>
      </c>
      <c r="B428" s="494">
        <f>+'Balance N-1'!B399</f>
        <v>0</v>
      </c>
      <c r="C428" s="592">
        <f>ROUND('Balance N-1'!C399,2)</f>
        <v>0</v>
      </c>
      <c r="D428" s="592">
        <f>ROUND('Balance N-1'!D399,2)</f>
        <v>0</v>
      </c>
      <c r="E428" s="592">
        <f>ROUND('Balance N-1'!E399,2)</f>
        <v>0</v>
      </c>
      <c r="F428" s="592">
        <f>ROUND('Balance N-1'!F399,2)</f>
        <v>0</v>
      </c>
      <c r="G428" s="592">
        <f>ROUND('Balance N-1'!G399,2)</f>
        <v>0</v>
      </c>
      <c r="H428" s="592">
        <f>ROUND('Balance N-1'!H399,2)</f>
        <v>0</v>
      </c>
      <c r="I428" s="2" t="str">
        <f t="shared" si="9"/>
        <v>0</v>
      </c>
    </row>
    <row r="429" spans="1:9" x14ac:dyDescent="0.2">
      <c r="A429" s="782" t="str">
        <f>FIXED('Balance N-1'!A400,0,1)</f>
        <v>0</v>
      </c>
      <c r="B429" s="494">
        <f>+'Balance N-1'!B400</f>
        <v>0</v>
      </c>
      <c r="C429" s="592">
        <f>ROUND('Balance N-1'!C400,2)</f>
        <v>0</v>
      </c>
      <c r="D429" s="592">
        <f>ROUND('Balance N-1'!D400,2)</f>
        <v>0</v>
      </c>
      <c r="E429" s="592">
        <f>ROUND('Balance N-1'!E400,2)</f>
        <v>0</v>
      </c>
      <c r="F429" s="592">
        <f>ROUND('Balance N-1'!F400,2)</f>
        <v>0</v>
      </c>
      <c r="G429" s="592">
        <f>ROUND('Balance N-1'!G400,2)</f>
        <v>0</v>
      </c>
      <c r="H429" s="592">
        <f>ROUND('Balance N-1'!H400,2)</f>
        <v>0</v>
      </c>
      <c r="I429" s="2" t="str">
        <f t="shared" si="9"/>
        <v>0</v>
      </c>
    </row>
    <row r="430" spans="1:9" x14ac:dyDescent="0.2">
      <c r="A430" s="782" t="str">
        <f>FIXED('Balance N-1'!A401,0,1)</f>
        <v>0</v>
      </c>
      <c r="B430" s="494">
        <f>+'Balance N-1'!B401</f>
        <v>0</v>
      </c>
      <c r="C430" s="592">
        <f>ROUND('Balance N-1'!C401,2)</f>
        <v>0</v>
      </c>
      <c r="D430" s="592">
        <f>ROUND('Balance N-1'!D401,2)</f>
        <v>0</v>
      </c>
      <c r="E430" s="592">
        <f>ROUND('Balance N-1'!E401,2)</f>
        <v>0</v>
      </c>
      <c r="F430" s="592">
        <f>ROUND('Balance N-1'!F401,2)</f>
        <v>0</v>
      </c>
      <c r="G430" s="592">
        <f>ROUND('Balance N-1'!G401,2)</f>
        <v>0</v>
      </c>
      <c r="H430" s="592">
        <f>ROUND('Balance N-1'!H401,2)</f>
        <v>0</v>
      </c>
      <c r="I430" s="2" t="str">
        <f t="shared" si="9"/>
        <v>0</v>
      </c>
    </row>
    <row r="431" spans="1:9" x14ac:dyDescent="0.2">
      <c r="A431" s="782" t="str">
        <f>FIXED('Balance N-1'!A402,0,1)</f>
        <v>0</v>
      </c>
      <c r="B431" s="494">
        <f>+'Balance N-1'!B402</f>
        <v>0</v>
      </c>
      <c r="C431" s="592">
        <f>ROUND('Balance N-1'!C402,2)</f>
        <v>0</v>
      </c>
      <c r="D431" s="592">
        <f>ROUND('Balance N-1'!D402,2)</f>
        <v>0</v>
      </c>
      <c r="E431" s="592">
        <f>ROUND('Balance N-1'!E402,2)</f>
        <v>0</v>
      </c>
      <c r="F431" s="592">
        <f>ROUND('Balance N-1'!F402,2)</f>
        <v>0</v>
      </c>
      <c r="G431" s="592">
        <f>ROUND('Balance N-1'!G402,2)</f>
        <v>0</v>
      </c>
      <c r="H431" s="592">
        <f>ROUND('Balance N-1'!H402,2)</f>
        <v>0</v>
      </c>
      <c r="I431" s="2" t="str">
        <f t="shared" si="9"/>
        <v>0</v>
      </c>
    </row>
    <row r="432" spans="1:9" x14ac:dyDescent="0.2">
      <c r="A432" s="782" t="str">
        <f>FIXED('Balance N-1'!A403,0,1)</f>
        <v>0</v>
      </c>
      <c r="B432" s="494">
        <f>+'Balance N-1'!B403</f>
        <v>0</v>
      </c>
      <c r="C432" s="592">
        <f>ROUND('Balance N-1'!C403,2)</f>
        <v>0</v>
      </c>
      <c r="D432" s="592">
        <f>ROUND('Balance N-1'!D403,2)</f>
        <v>0</v>
      </c>
      <c r="E432" s="592">
        <f>ROUND('Balance N-1'!E403,2)</f>
        <v>0</v>
      </c>
      <c r="F432" s="592">
        <f>ROUND('Balance N-1'!F403,2)</f>
        <v>0</v>
      </c>
      <c r="G432" s="592">
        <f>ROUND('Balance N-1'!G403,2)</f>
        <v>0</v>
      </c>
      <c r="H432" s="592">
        <f>ROUND('Balance N-1'!H403,2)</f>
        <v>0</v>
      </c>
      <c r="I432" s="2" t="str">
        <f t="shared" si="9"/>
        <v>0</v>
      </c>
    </row>
    <row r="433" spans="1:9" x14ac:dyDescent="0.2">
      <c r="A433" s="782" t="str">
        <f>FIXED('Balance N-1'!A404,0,1)</f>
        <v>0</v>
      </c>
      <c r="B433" s="494">
        <f>+'Balance N-1'!B404</f>
        <v>0</v>
      </c>
      <c r="C433" s="592">
        <f>ROUND('Balance N-1'!C404,2)</f>
        <v>0</v>
      </c>
      <c r="D433" s="592">
        <f>ROUND('Balance N-1'!D404,2)</f>
        <v>0</v>
      </c>
      <c r="E433" s="592">
        <f>ROUND('Balance N-1'!E404,2)</f>
        <v>0</v>
      </c>
      <c r="F433" s="592">
        <f>ROUND('Balance N-1'!F404,2)</f>
        <v>0</v>
      </c>
      <c r="G433" s="592">
        <f>ROUND('Balance N-1'!G404,2)</f>
        <v>0</v>
      </c>
      <c r="H433" s="592">
        <f>ROUND('Balance N-1'!H404,2)</f>
        <v>0</v>
      </c>
      <c r="I433" s="2" t="str">
        <f t="shared" si="9"/>
        <v>0</v>
      </c>
    </row>
    <row r="434" spans="1:9" x14ac:dyDescent="0.2">
      <c r="A434" s="782" t="str">
        <f>FIXED('Balance N-1'!A405,0,1)</f>
        <v>0</v>
      </c>
      <c r="B434" s="494">
        <f>+'Balance N-1'!B405</f>
        <v>0</v>
      </c>
      <c r="C434" s="592">
        <f>ROUND('Balance N-1'!C405,2)</f>
        <v>0</v>
      </c>
      <c r="D434" s="592">
        <f>ROUND('Balance N-1'!D405,2)</f>
        <v>0</v>
      </c>
      <c r="E434" s="592">
        <f>ROUND('Balance N-1'!E405,2)</f>
        <v>0</v>
      </c>
      <c r="F434" s="592">
        <f>ROUND('Balance N-1'!F405,2)</f>
        <v>0</v>
      </c>
      <c r="G434" s="592">
        <f>ROUND('Balance N-1'!G405,2)</f>
        <v>0</v>
      </c>
      <c r="H434" s="592">
        <f>ROUND('Balance N-1'!H405,2)</f>
        <v>0</v>
      </c>
      <c r="I434" s="2" t="str">
        <f t="shared" si="9"/>
        <v>0</v>
      </c>
    </row>
    <row r="435" spans="1:9" x14ac:dyDescent="0.2">
      <c r="A435" s="782" t="str">
        <f>FIXED('Balance N-1'!A406,0,1)</f>
        <v>0</v>
      </c>
      <c r="B435" s="494">
        <f>+'Balance N-1'!B406</f>
        <v>0</v>
      </c>
      <c r="C435" s="592">
        <f>ROUND('Balance N-1'!C406,2)</f>
        <v>0</v>
      </c>
      <c r="D435" s="592">
        <f>ROUND('Balance N-1'!D406,2)</f>
        <v>0</v>
      </c>
      <c r="E435" s="592">
        <f>ROUND('Balance N-1'!E406,2)</f>
        <v>0</v>
      </c>
      <c r="F435" s="592">
        <f>ROUND('Balance N-1'!F406,2)</f>
        <v>0</v>
      </c>
      <c r="G435" s="592">
        <f>ROUND('Balance N-1'!G406,2)</f>
        <v>0</v>
      </c>
      <c r="H435" s="592">
        <f>ROUND('Balance N-1'!H406,2)</f>
        <v>0</v>
      </c>
      <c r="I435" s="2" t="str">
        <f t="shared" si="9"/>
        <v>0</v>
      </c>
    </row>
    <row r="436" spans="1:9" x14ac:dyDescent="0.2">
      <c r="A436" s="782" t="str">
        <f>FIXED('Balance N-1'!A407,0,1)</f>
        <v>0</v>
      </c>
      <c r="B436" s="494">
        <f>+'Balance N-1'!B407</f>
        <v>0</v>
      </c>
      <c r="C436" s="592">
        <f>ROUND('Balance N-1'!C407,2)</f>
        <v>0</v>
      </c>
      <c r="D436" s="592">
        <f>ROUND('Balance N-1'!D407,2)</f>
        <v>0</v>
      </c>
      <c r="E436" s="592">
        <f>ROUND('Balance N-1'!E407,2)</f>
        <v>0</v>
      </c>
      <c r="F436" s="592">
        <f>ROUND('Balance N-1'!F407,2)</f>
        <v>0</v>
      </c>
      <c r="G436" s="592">
        <f>ROUND('Balance N-1'!G407,2)</f>
        <v>0</v>
      </c>
      <c r="H436" s="592">
        <f>ROUND('Balance N-1'!H407,2)</f>
        <v>0</v>
      </c>
      <c r="I436" s="2" t="str">
        <f t="shared" si="9"/>
        <v>0</v>
      </c>
    </row>
    <row r="437" spans="1:9" x14ac:dyDescent="0.2">
      <c r="A437" s="782" t="str">
        <f>FIXED('Balance N-1'!A408,0,1)</f>
        <v>0</v>
      </c>
      <c r="B437" s="494">
        <f>+'Balance N-1'!B408</f>
        <v>0</v>
      </c>
      <c r="C437" s="592">
        <f>ROUND('Balance N-1'!C408,2)</f>
        <v>0</v>
      </c>
      <c r="D437" s="592">
        <f>ROUND('Balance N-1'!D408,2)</f>
        <v>0</v>
      </c>
      <c r="E437" s="592">
        <f>ROUND('Balance N-1'!E408,2)</f>
        <v>0</v>
      </c>
      <c r="F437" s="592">
        <f>ROUND('Balance N-1'!F408,2)</f>
        <v>0</v>
      </c>
      <c r="G437" s="592">
        <f>ROUND('Balance N-1'!G408,2)</f>
        <v>0</v>
      </c>
      <c r="H437" s="592">
        <f>ROUND('Balance N-1'!H408,2)</f>
        <v>0</v>
      </c>
      <c r="I437" s="2" t="str">
        <f t="shared" si="9"/>
        <v>0</v>
      </c>
    </row>
    <row r="438" spans="1:9" x14ac:dyDescent="0.2">
      <c r="A438" s="782" t="str">
        <f>FIXED('Balance N-1'!A409,0,1)</f>
        <v>0</v>
      </c>
      <c r="B438" s="494">
        <f>+'Balance N-1'!B409</f>
        <v>0</v>
      </c>
      <c r="C438" s="592">
        <f>ROUND('Balance N-1'!C409,2)</f>
        <v>0</v>
      </c>
      <c r="D438" s="592">
        <f>ROUND('Balance N-1'!D409,2)</f>
        <v>0</v>
      </c>
      <c r="E438" s="592">
        <f>ROUND('Balance N-1'!E409,2)</f>
        <v>0</v>
      </c>
      <c r="F438" s="592">
        <f>ROUND('Balance N-1'!F409,2)</f>
        <v>0</v>
      </c>
      <c r="G438" s="592">
        <f>ROUND('Balance N-1'!G409,2)</f>
        <v>0</v>
      </c>
      <c r="H438" s="592">
        <f>ROUND('Balance N-1'!H409,2)</f>
        <v>0</v>
      </c>
      <c r="I438" s="2" t="str">
        <f t="shared" si="9"/>
        <v>0</v>
      </c>
    </row>
    <row r="439" spans="1:9" x14ac:dyDescent="0.2">
      <c r="A439" s="782" t="str">
        <f>FIXED('Balance N-1'!A410,0,1)</f>
        <v>0</v>
      </c>
      <c r="B439" s="494">
        <f>+'Balance N-1'!B410</f>
        <v>0</v>
      </c>
      <c r="C439" s="592">
        <f>ROUND('Balance N-1'!C410,2)</f>
        <v>0</v>
      </c>
      <c r="D439" s="592">
        <f>ROUND('Balance N-1'!D410,2)</f>
        <v>0</v>
      </c>
      <c r="E439" s="592">
        <f>ROUND('Balance N-1'!E410,2)</f>
        <v>0</v>
      </c>
      <c r="F439" s="592">
        <f>ROUND('Balance N-1'!F410,2)</f>
        <v>0</v>
      </c>
      <c r="G439" s="592">
        <f>ROUND('Balance N-1'!G410,2)</f>
        <v>0</v>
      </c>
      <c r="H439" s="592">
        <f>ROUND('Balance N-1'!H410,2)</f>
        <v>0</v>
      </c>
      <c r="I439" s="2" t="str">
        <f t="shared" si="9"/>
        <v>0</v>
      </c>
    </row>
    <row r="440" spans="1:9" x14ac:dyDescent="0.2">
      <c r="A440" s="782" t="str">
        <f>FIXED('Balance N-1'!A411,0,1)</f>
        <v>0</v>
      </c>
      <c r="B440" s="494">
        <f>+'Balance N-1'!B411</f>
        <v>0</v>
      </c>
      <c r="C440" s="592">
        <f>ROUND('Balance N-1'!C411,2)</f>
        <v>0</v>
      </c>
      <c r="D440" s="592">
        <f>ROUND('Balance N-1'!D411,2)</f>
        <v>0</v>
      </c>
      <c r="E440" s="592">
        <f>ROUND('Balance N-1'!E411,2)</f>
        <v>0</v>
      </c>
      <c r="F440" s="592">
        <f>ROUND('Balance N-1'!F411,2)</f>
        <v>0</v>
      </c>
      <c r="G440" s="592">
        <f>ROUND('Balance N-1'!G411,2)</f>
        <v>0</v>
      </c>
      <c r="H440" s="592">
        <f>ROUND('Balance N-1'!H411,2)</f>
        <v>0</v>
      </c>
      <c r="I440" s="2" t="str">
        <f t="shared" si="9"/>
        <v>0</v>
      </c>
    </row>
    <row r="441" spans="1:9" x14ac:dyDescent="0.2">
      <c r="A441" s="782" t="str">
        <f>FIXED('Balance N-1'!A412,0,1)</f>
        <v>0</v>
      </c>
      <c r="B441" s="494">
        <f>+'Balance N-1'!B412</f>
        <v>0</v>
      </c>
      <c r="C441" s="592">
        <f>ROUND('Balance N-1'!C412,2)</f>
        <v>0</v>
      </c>
      <c r="D441" s="592">
        <f>ROUND('Balance N-1'!D412,2)</f>
        <v>0</v>
      </c>
      <c r="E441" s="592">
        <f>ROUND('Balance N-1'!E412,2)</f>
        <v>0</v>
      </c>
      <c r="F441" s="592">
        <f>ROUND('Balance N-1'!F412,2)</f>
        <v>0</v>
      </c>
      <c r="G441" s="592">
        <f>ROUND('Balance N-1'!G412,2)</f>
        <v>0</v>
      </c>
      <c r="H441" s="592">
        <f>ROUND('Balance N-1'!H412,2)</f>
        <v>0</v>
      </c>
      <c r="I441" s="2" t="str">
        <f t="shared" si="9"/>
        <v>0</v>
      </c>
    </row>
    <row r="442" spans="1:9" x14ac:dyDescent="0.2">
      <c r="A442" s="782" t="str">
        <f>FIXED('Balance N-1'!A413,0,1)</f>
        <v>0</v>
      </c>
      <c r="B442" s="494">
        <f>+'Balance N-1'!B413</f>
        <v>0</v>
      </c>
      <c r="C442" s="592">
        <f>ROUND('Balance N-1'!C413,2)</f>
        <v>0</v>
      </c>
      <c r="D442" s="592">
        <f>ROUND('Balance N-1'!D413,2)</f>
        <v>0</v>
      </c>
      <c r="E442" s="592">
        <f>ROUND('Balance N-1'!E413,2)</f>
        <v>0</v>
      </c>
      <c r="F442" s="592">
        <f>ROUND('Balance N-1'!F413,2)</f>
        <v>0</v>
      </c>
      <c r="G442" s="592">
        <f>ROUND('Balance N-1'!G413,2)</f>
        <v>0</v>
      </c>
      <c r="H442" s="592">
        <f>ROUND('Balance N-1'!H413,2)</f>
        <v>0</v>
      </c>
      <c r="I442" s="2" t="str">
        <f t="shared" si="9"/>
        <v>0</v>
      </c>
    </row>
    <row r="443" spans="1:9" x14ac:dyDescent="0.2">
      <c r="A443" s="782" t="str">
        <f>FIXED('Balance N-1'!A414,0,1)</f>
        <v>0</v>
      </c>
      <c r="B443" s="494">
        <f>+'Balance N-1'!B414</f>
        <v>0</v>
      </c>
      <c r="C443" s="592">
        <f>ROUND('Balance N-1'!C414,2)</f>
        <v>0</v>
      </c>
      <c r="D443" s="592">
        <f>ROUND('Balance N-1'!D414,2)</f>
        <v>0</v>
      </c>
      <c r="E443" s="592">
        <f>ROUND('Balance N-1'!E414,2)</f>
        <v>0</v>
      </c>
      <c r="F443" s="592">
        <f>ROUND('Balance N-1'!F414,2)</f>
        <v>0</v>
      </c>
      <c r="G443" s="592">
        <f>ROUND('Balance N-1'!G414,2)</f>
        <v>0</v>
      </c>
      <c r="H443" s="592">
        <f>ROUND('Balance N-1'!H414,2)</f>
        <v>0</v>
      </c>
      <c r="I443" s="2" t="str">
        <f t="shared" si="9"/>
        <v>0</v>
      </c>
    </row>
    <row r="444" spans="1:9" x14ac:dyDescent="0.2">
      <c r="A444" s="782" t="str">
        <f>FIXED('Balance N-1'!A415,0,1)</f>
        <v>0</v>
      </c>
      <c r="B444" s="494">
        <f>+'Balance N-1'!B415</f>
        <v>0</v>
      </c>
      <c r="C444" s="592">
        <f>ROUND('Balance N-1'!C415,2)</f>
        <v>0</v>
      </c>
      <c r="D444" s="592">
        <f>ROUND('Balance N-1'!D415,2)</f>
        <v>0</v>
      </c>
      <c r="E444" s="592">
        <f>ROUND('Balance N-1'!E415,2)</f>
        <v>0</v>
      </c>
      <c r="F444" s="592">
        <f>ROUND('Balance N-1'!F415,2)</f>
        <v>0</v>
      </c>
      <c r="G444" s="592">
        <f>ROUND('Balance N-1'!G415,2)</f>
        <v>0</v>
      </c>
      <c r="H444" s="592">
        <f>ROUND('Balance N-1'!H415,2)</f>
        <v>0</v>
      </c>
      <c r="I444" s="2" t="str">
        <f t="shared" si="9"/>
        <v>0</v>
      </c>
    </row>
    <row r="445" spans="1:9" x14ac:dyDescent="0.2">
      <c r="A445" s="782" t="str">
        <f>FIXED('Balance N-1'!A416,0,1)</f>
        <v>0</v>
      </c>
      <c r="B445" s="494">
        <f>+'Balance N-1'!B416</f>
        <v>0</v>
      </c>
      <c r="C445" s="592">
        <f>ROUND('Balance N-1'!C416,2)</f>
        <v>0</v>
      </c>
      <c r="D445" s="592">
        <f>ROUND('Balance N-1'!D416,2)</f>
        <v>0</v>
      </c>
      <c r="E445" s="592">
        <f>ROUND('Balance N-1'!E416,2)</f>
        <v>0</v>
      </c>
      <c r="F445" s="592">
        <f>ROUND('Balance N-1'!F416,2)</f>
        <v>0</v>
      </c>
      <c r="G445" s="592">
        <f>ROUND('Balance N-1'!G416,2)</f>
        <v>0</v>
      </c>
      <c r="H445" s="592">
        <f>ROUND('Balance N-1'!H416,2)</f>
        <v>0</v>
      </c>
      <c r="I445" s="2" t="str">
        <f t="shared" si="9"/>
        <v>0</v>
      </c>
    </row>
    <row r="446" spans="1:9" x14ac:dyDescent="0.2">
      <c r="A446" s="782" t="str">
        <f>FIXED('Balance N-1'!A417,0,1)</f>
        <v>0</v>
      </c>
      <c r="B446" s="494">
        <f>+'Balance N-1'!B417</f>
        <v>0</v>
      </c>
      <c r="C446" s="592">
        <f>ROUND('Balance N-1'!C417,2)</f>
        <v>0</v>
      </c>
      <c r="D446" s="592">
        <f>ROUND('Balance N-1'!D417,2)</f>
        <v>0</v>
      </c>
      <c r="E446" s="592">
        <f>ROUND('Balance N-1'!E417,2)</f>
        <v>0</v>
      </c>
      <c r="F446" s="592">
        <f>ROUND('Balance N-1'!F417,2)</f>
        <v>0</v>
      </c>
      <c r="G446" s="592">
        <f>ROUND('Balance N-1'!G417,2)</f>
        <v>0</v>
      </c>
      <c r="H446" s="592">
        <f>ROUND('Balance N-1'!H417,2)</f>
        <v>0</v>
      </c>
      <c r="I446" s="2" t="str">
        <f t="shared" si="9"/>
        <v>0</v>
      </c>
    </row>
    <row r="447" spans="1:9" x14ac:dyDescent="0.2">
      <c r="A447" s="782" t="str">
        <f>FIXED('Balance N-1'!A418,0,1)</f>
        <v>0</v>
      </c>
      <c r="B447" s="494">
        <f>+'Balance N-1'!B418</f>
        <v>0</v>
      </c>
      <c r="C447" s="592">
        <f>ROUND('Balance N-1'!C418,2)</f>
        <v>0</v>
      </c>
      <c r="D447" s="592">
        <f>ROUND('Balance N-1'!D418,2)</f>
        <v>0</v>
      </c>
      <c r="E447" s="592">
        <f>ROUND('Balance N-1'!E418,2)</f>
        <v>0</v>
      </c>
      <c r="F447" s="592">
        <f>ROUND('Balance N-1'!F418,2)</f>
        <v>0</v>
      </c>
      <c r="G447" s="592">
        <f>ROUND('Balance N-1'!G418,2)</f>
        <v>0</v>
      </c>
      <c r="H447" s="592">
        <f>ROUND('Balance N-1'!H418,2)</f>
        <v>0</v>
      </c>
      <c r="I447" s="2" t="str">
        <f t="shared" si="9"/>
        <v>0</v>
      </c>
    </row>
    <row r="448" spans="1:9" x14ac:dyDescent="0.2">
      <c r="A448" s="782" t="str">
        <f>FIXED('Balance N-1'!A419,0,1)</f>
        <v>0</v>
      </c>
      <c r="B448" s="494">
        <f>+'Balance N-1'!B419</f>
        <v>0</v>
      </c>
      <c r="C448" s="592">
        <f>ROUND('Balance N-1'!C419,2)</f>
        <v>0</v>
      </c>
      <c r="D448" s="592">
        <f>ROUND('Balance N-1'!D419,2)</f>
        <v>0</v>
      </c>
      <c r="E448" s="592">
        <f>ROUND('Balance N-1'!E419,2)</f>
        <v>0</v>
      </c>
      <c r="F448" s="592">
        <f>ROUND('Balance N-1'!F419,2)</f>
        <v>0</v>
      </c>
      <c r="G448" s="592">
        <f>ROUND('Balance N-1'!G419,2)</f>
        <v>0</v>
      </c>
      <c r="H448" s="592">
        <f>ROUND('Balance N-1'!H419,2)</f>
        <v>0</v>
      </c>
      <c r="I448" s="2" t="str">
        <f t="shared" si="9"/>
        <v>0</v>
      </c>
    </row>
    <row r="449" spans="1:9" x14ac:dyDescent="0.2">
      <c r="A449" s="782" t="str">
        <f>FIXED('Balance N-1'!A420,0,1)</f>
        <v>0</v>
      </c>
      <c r="B449" s="494">
        <f>+'Balance N-1'!B420</f>
        <v>0</v>
      </c>
      <c r="C449" s="592">
        <f>ROUND('Balance N-1'!C420,2)</f>
        <v>0</v>
      </c>
      <c r="D449" s="592">
        <f>ROUND('Balance N-1'!D420,2)</f>
        <v>0</v>
      </c>
      <c r="E449" s="592">
        <f>ROUND('Balance N-1'!E420,2)</f>
        <v>0</v>
      </c>
      <c r="F449" s="592">
        <f>ROUND('Balance N-1'!F420,2)</f>
        <v>0</v>
      </c>
      <c r="G449" s="592">
        <f>ROUND('Balance N-1'!G420,2)</f>
        <v>0</v>
      </c>
      <c r="H449" s="592">
        <f>ROUND('Balance N-1'!H420,2)</f>
        <v>0</v>
      </c>
      <c r="I449" s="2" t="str">
        <f t="shared" si="9"/>
        <v>0</v>
      </c>
    </row>
    <row r="450" spans="1:9" x14ac:dyDescent="0.2">
      <c r="A450" s="782" t="str">
        <f>FIXED('Balance N-1'!A421,0,1)</f>
        <v>0</v>
      </c>
      <c r="B450" s="494">
        <f>+'Balance N-1'!B421</f>
        <v>0</v>
      </c>
      <c r="C450" s="592">
        <f>ROUND('Balance N-1'!C421,2)</f>
        <v>0</v>
      </c>
      <c r="D450" s="592">
        <f>ROUND('Balance N-1'!D421,2)</f>
        <v>0</v>
      </c>
      <c r="E450" s="592">
        <f>ROUND('Balance N-1'!E421,2)</f>
        <v>0</v>
      </c>
      <c r="F450" s="592">
        <f>ROUND('Balance N-1'!F421,2)</f>
        <v>0</v>
      </c>
      <c r="G450" s="592">
        <f>ROUND('Balance N-1'!G421,2)</f>
        <v>0</v>
      </c>
      <c r="H450" s="592">
        <f>ROUND('Balance N-1'!H421,2)</f>
        <v>0</v>
      </c>
      <c r="I450" s="2" t="str">
        <f t="shared" si="9"/>
        <v>0</v>
      </c>
    </row>
    <row r="451" spans="1:9" x14ac:dyDescent="0.2">
      <c r="A451" s="782" t="str">
        <f>FIXED('Balance N-1'!A422,0,1)</f>
        <v>0</v>
      </c>
      <c r="B451" s="494">
        <f>+'Balance N-1'!B422</f>
        <v>0</v>
      </c>
      <c r="C451" s="592">
        <f>ROUND('Balance N-1'!C422,2)</f>
        <v>0</v>
      </c>
      <c r="D451" s="592">
        <f>ROUND('Balance N-1'!D422,2)</f>
        <v>0</v>
      </c>
      <c r="E451" s="592">
        <f>ROUND('Balance N-1'!E422,2)</f>
        <v>0</v>
      </c>
      <c r="F451" s="592">
        <f>ROUND('Balance N-1'!F422,2)</f>
        <v>0</v>
      </c>
      <c r="G451" s="592">
        <f>ROUND('Balance N-1'!G422,2)</f>
        <v>0</v>
      </c>
      <c r="H451" s="592">
        <f>ROUND('Balance N-1'!H422,2)</f>
        <v>0</v>
      </c>
      <c r="I451" s="2" t="str">
        <f t="shared" ref="I451:I514" si="10">MID(A451,1,1)</f>
        <v>0</v>
      </c>
    </row>
    <row r="452" spans="1:9" x14ac:dyDescent="0.2">
      <c r="A452" s="782" t="str">
        <f>FIXED('Balance N-1'!A423,0,1)</f>
        <v>0</v>
      </c>
      <c r="B452" s="494">
        <f>+'Balance N-1'!B423</f>
        <v>0</v>
      </c>
      <c r="C452" s="592">
        <f>ROUND('Balance N-1'!C423,2)</f>
        <v>0</v>
      </c>
      <c r="D452" s="592">
        <f>ROUND('Balance N-1'!D423,2)</f>
        <v>0</v>
      </c>
      <c r="E452" s="592">
        <f>ROUND('Balance N-1'!E423,2)</f>
        <v>0</v>
      </c>
      <c r="F452" s="592">
        <f>ROUND('Balance N-1'!F423,2)</f>
        <v>0</v>
      </c>
      <c r="G452" s="592">
        <f>ROUND('Balance N-1'!G423,2)</f>
        <v>0</v>
      </c>
      <c r="H452" s="592">
        <f>ROUND('Balance N-1'!H423,2)</f>
        <v>0</v>
      </c>
      <c r="I452" s="2" t="str">
        <f t="shared" si="10"/>
        <v>0</v>
      </c>
    </row>
    <row r="453" spans="1:9" x14ac:dyDescent="0.2">
      <c r="A453" s="782" t="str">
        <f>FIXED('Balance N-1'!A424,0,1)</f>
        <v>0</v>
      </c>
      <c r="B453" s="494">
        <f>+'Balance N-1'!B424</f>
        <v>0</v>
      </c>
      <c r="C453" s="592">
        <f>ROUND('Balance N-1'!C424,2)</f>
        <v>0</v>
      </c>
      <c r="D453" s="592">
        <f>ROUND('Balance N-1'!D424,2)</f>
        <v>0</v>
      </c>
      <c r="E453" s="592">
        <f>ROUND('Balance N-1'!E424,2)</f>
        <v>0</v>
      </c>
      <c r="F453" s="592">
        <f>ROUND('Balance N-1'!F424,2)</f>
        <v>0</v>
      </c>
      <c r="G453" s="592">
        <f>ROUND('Balance N-1'!G424,2)</f>
        <v>0</v>
      </c>
      <c r="H453" s="592">
        <f>ROUND('Balance N-1'!H424,2)</f>
        <v>0</v>
      </c>
      <c r="I453" s="2" t="str">
        <f t="shared" si="10"/>
        <v>0</v>
      </c>
    </row>
    <row r="454" spans="1:9" x14ac:dyDescent="0.2">
      <c r="A454" s="782" t="str">
        <f>FIXED('Balance N-1'!A425,0,1)</f>
        <v>0</v>
      </c>
      <c r="B454" s="494">
        <f>+'Balance N-1'!B425</f>
        <v>0</v>
      </c>
      <c r="C454" s="592">
        <f>ROUND('Balance N-1'!C425,2)</f>
        <v>0</v>
      </c>
      <c r="D454" s="592">
        <f>ROUND('Balance N-1'!D425,2)</f>
        <v>0</v>
      </c>
      <c r="E454" s="592">
        <f>ROUND('Balance N-1'!E425,2)</f>
        <v>0</v>
      </c>
      <c r="F454" s="592">
        <f>ROUND('Balance N-1'!F425,2)</f>
        <v>0</v>
      </c>
      <c r="G454" s="592">
        <f>ROUND('Balance N-1'!G425,2)</f>
        <v>0</v>
      </c>
      <c r="H454" s="592">
        <f>ROUND('Balance N-1'!H425,2)</f>
        <v>0</v>
      </c>
      <c r="I454" s="2" t="str">
        <f t="shared" si="10"/>
        <v>0</v>
      </c>
    </row>
    <row r="455" spans="1:9" x14ac:dyDescent="0.2">
      <c r="A455" s="782" t="str">
        <f>FIXED('Balance N-1'!A426,0,1)</f>
        <v>0</v>
      </c>
      <c r="B455" s="494">
        <f>+'Balance N-1'!B426</f>
        <v>0</v>
      </c>
      <c r="C455" s="592">
        <f>ROUND('Balance N-1'!C426,2)</f>
        <v>0</v>
      </c>
      <c r="D455" s="592">
        <f>ROUND('Balance N-1'!D426,2)</f>
        <v>0</v>
      </c>
      <c r="E455" s="592">
        <f>ROUND('Balance N-1'!E426,2)</f>
        <v>0</v>
      </c>
      <c r="F455" s="592">
        <f>ROUND('Balance N-1'!F426,2)</f>
        <v>0</v>
      </c>
      <c r="G455" s="592">
        <f>ROUND('Balance N-1'!G426,2)</f>
        <v>0</v>
      </c>
      <c r="H455" s="592">
        <f>ROUND('Balance N-1'!H426,2)</f>
        <v>0</v>
      </c>
      <c r="I455" s="2" t="str">
        <f t="shared" si="10"/>
        <v>0</v>
      </c>
    </row>
    <row r="456" spans="1:9" x14ac:dyDescent="0.2">
      <c r="A456" s="782" t="str">
        <f>FIXED('Balance N-1'!A427,0,1)</f>
        <v>0</v>
      </c>
      <c r="B456" s="494">
        <f>+'Balance N-1'!B427</f>
        <v>0</v>
      </c>
      <c r="C456" s="592">
        <f>ROUND('Balance N-1'!C427,2)</f>
        <v>0</v>
      </c>
      <c r="D456" s="592">
        <f>ROUND('Balance N-1'!D427,2)</f>
        <v>0</v>
      </c>
      <c r="E456" s="592">
        <f>ROUND('Balance N-1'!E427,2)</f>
        <v>0</v>
      </c>
      <c r="F456" s="592">
        <f>ROUND('Balance N-1'!F427,2)</f>
        <v>0</v>
      </c>
      <c r="G456" s="592">
        <f>ROUND('Balance N-1'!G427,2)</f>
        <v>0</v>
      </c>
      <c r="H456" s="592">
        <f>ROUND('Balance N-1'!H427,2)</f>
        <v>0</v>
      </c>
      <c r="I456" s="2" t="str">
        <f t="shared" si="10"/>
        <v>0</v>
      </c>
    </row>
    <row r="457" spans="1:9" x14ac:dyDescent="0.2">
      <c r="A457" s="782" t="str">
        <f>FIXED('Balance N-1'!A428,0,1)</f>
        <v>0</v>
      </c>
      <c r="B457" s="494">
        <f>+'Balance N-1'!B428</f>
        <v>0</v>
      </c>
      <c r="C457" s="592">
        <f>ROUND('Balance N-1'!C428,2)</f>
        <v>0</v>
      </c>
      <c r="D457" s="592">
        <f>ROUND('Balance N-1'!D428,2)</f>
        <v>0</v>
      </c>
      <c r="E457" s="592">
        <f>ROUND('Balance N-1'!E428,2)</f>
        <v>0</v>
      </c>
      <c r="F457" s="592">
        <f>ROUND('Balance N-1'!F428,2)</f>
        <v>0</v>
      </c>
      <c r="G457" s="592">
        <f>ROUND('Balance N-1'!G428,2)</f>
        <v>0</v>
      </c>
      <c r="H457" s="592">
        <f>ROUND('Balance N-1'!H428,2)</f>
        <v>0</v>
      </c>
      <c r="I457" s="2" t="str">
        <f t="shared" si="10"/>
        <v>0</v>
      </c>
    </row>
    <row r="458" spans="1:9" x14ac:dyDescent="0.2">
      <c r="A458" s="782" t="str">
        <f>FIXED('Balance N-1'!A429,0,1)</f>
        <v>0</v>
      </c>
      <c r="B458" s="494">
        <f>+'Balance N-1'!B429</f>
        <v>0</v>
      </c>
      <c r="C458" s="592">
        <f>ROUND('Balance N-1'!C429,2)</f>
        <v>0</v>
      </c>
      <c r="D458" s="592">
        <f>ROUND('Balance N-1'!D429,2)</f>
        <v>0</v>
      </c>
      <c r="E458" s="592">
        <f>ROUND('Balance N-1'!E429,2)</f>
        <v>0</v>
      </c>
      <c r="F458" s="592">
        <f>ROUND('Balance N-1'!F429,2)</f>
        <v>0</v>
      </c>
      <c r="G458" s="592">
        <f>ROUND('Balance N-1'!G429,2)</f>
        <v>0</v>
      </c>
      <c r="H458" s="592">
        <f>ROUND('Balance N-1'!H429,2)</f>
        <v>0</v>
      </c>
      <c r="I458" s="2" t="str">
        <f t="shared" si="10"/>
        <v>0</v>
      </c>
    </row>
    <row r="459" spans="1:9" x14ac:dyDescent="0.2">
      <c r="A459" s="782" t="str">
        <f>FIXED('Balance N-1'!A430,0,1)</f>
        <v>0</v>
      </c>
      <c r="B459" s="494">
        <f>+'Balance N-1'!B430</f>
        <v>0</v>
      </c>
      <c r="C459" s="592">
        <f>ROUND('Balance N-1'!C430,2)</f>
        <v>0</v>
      </c>
      <c r="D459" s="592">
        <f>ROUND('Balance N-1'!D430,2)</f>
        <v>0</v>
      </c>
      <c r="E459" s="592">
        <f>ROUND('Balance N-1'!E430,2)</f>
        <v>0</v>
      </c>
      <c r="F459" s="592">
        <f>ROUND('Balance N-1'!F430,2)</f>
        <v>0</v>
      </c>
      <c r="G459" s="592">
        <f>ROUND('Balance N-1'!G430,2)</f>
        <v>0</v>
      </c>
      <c r="H459" s="592">
        <f>ROUND('Balance N-1'!H430,2)</f>
        <v>0</v>
      </c>
      <c r="I459" s="2" t="str">
        <f t="shared" si="10"/>
        <v>0</v>
      </c>
    </row>
    <row r="460" spans="1:9" x14ac:dyDescent="0.2">
      <c r="A460" s="782" t="str">
        <f>FIXED('Balance N-1'!A431,0,1)</f>
        <v>0</v>
      </c>
      <c r="B460" s="494">
        <f>+'Balance N-1'!B431</f>
        <v>0</v>
      </c>
      <c r="C460" s="592">
        <f>ROUND('Balance N-1'!C431,2)</f>
        <v>0</v>
      </c>
      <c r="D460" s="592">
        <f>ROUND('Balance N-1'!D431,2)</f>
        <v>0</v>
      </c>
      <c r="E460" s="592">
        <f>ROUND('Balance N-1'!E431,2)</f>
        <v>0</v>
      </c>
      <c r="F460" s="592">
        <f>ROUND('Balance N-1'!F431,2)</f>
        <v>0</v>
      </c>
      <c r="G460" s="592">
        <f>ROUND('Balance N-1'!G431,2)</f>
        <v>0</v>
      </c>
      <c r="H460" s="592">
        <f>ROUND('Balance N-1'!H431,2)</f>
        <v>0</v>
      </c>
      <c r="I460" s="2" t="str">
        <f t="shared" si="10"/>
        <v>0</v>
      </c>
    </row>
    <row r="461" spans="1:9" x14ac:dyDescent="0.2">
      <c r="A461" s="782" t="str">
        <f>FIXED('Balance N-1'!A432,0,1)</f>
        <v>0</v>
      </c>
      <c r="B461" s="494">
        <f>+'Balance N-1'!B432</f>
        <v>0</v>
      </c>
      <c r="C461" s="592">
        <f>ROUND('Balance N-1'!C432,2)</f>
        <v>0</v>
      </c>
      <c r="D461" s="592">
        <f>ROUND('Balance N-1'!D432,2)</f>
        <v>0</v>
      </c>
      <c r="E461" s="592">
        <f>ROUND('Balance N-1'!E432,2)</f>
        <v>0</v>
      </c>
      <c r="F461" s="592">
        <f>ROUND('Balance N-1'!F432,2)</f>
        <v>0</v>
      </c>
      <c r="G461" s="592">
        <f>ROUND('Balance N-1'!G432,2)</f>
        <v>0</v>
      </c>
      <c r="H461" s="592">
        <f>ROUND('Balance N-1'!H432,2)</f>
        <v>0</v>
      </c>
      <c r="I461" s="2" t="str">
        <f t="shared" si="10"/>
        <v>0</v>
      </c>
    </row>
    <row r="462" spans="1:9" x14ac:dyDescent="0.2">
      <c r="A462" s="782" t="str">
        <f>FIXED('Balance N-1'!A433,0,1)</f>
        <v>0</v>
      </c>
      <c r="B462" s="494">
        <f>+'Balance N-1'!B433</f>
        <v>0</v>
      </c>
      <c r="C462" s="592">
        <f>ROUND('Balance N-1'!C433,2)</f>
        <v>0</v>
      </c>
      <c r="D462" s="592">
        <f>ROUND('Balance N-1'!D433,2)</f>
        <v>0</v>
      </c>
      <c r="E462" s="592">
        <f>ROUND('Balance N-1'!E433,2)</f>
        <v>0</v>
      </c>
      <c r="F462" s="592">
        <f>ROUND('Balance N-1'!F433,2)</f>
        <v>0</v>
      </c>
      <c r="G462" s="592">
        <f>ROUND('Balance N-1'!G433,2)</f>
        <v>0</v>
      </c>
      <c r="H462" s="592">
        <f>ROUND('Balance N-1'!H433,2)</f>
        <v>0</v>
      </c>
      <c r="I462" s="2" t="str">
        <f t="shared" si="10"/>
        <v>0</v>
      </c>
    </row>
    <row r="463" spans="1:9" x14ac:dyDescent="0.2">
      <c r="A463" s="782" t="str">
        <f>FIXED('Balance N-1'!A434,0,1)</f>
        <v>0</v>
      </c>
      <c r="B463" s="494">
        <f>+'Balance N-1'!B434</f>
        <v>0</v>
      </c>
      <c r="C463" s="592">
        <f>ROUND('Balance N-1'!C434,2)</f>
        <v>0</v>
      </c>
      <c r="D463" s="592">
        <f>ROUND('Balance N-1'!D434,2)</f>
        <v>0</v>
      </c>
      <c r="E463" s="592">
        <f>ROUND('Balance N-1'!E434,2)</f>
        <v>0</v>
      </c>
      <c r="F463" s="592">
        <f>ROUND('Balance N-1'!F434,2)</f>
        <v>0</v>
      </c>
      <c r="G463" s="592">
        <f>ROUND('Balance N-1'!G434,2)</f>
        <v>0</v>
      </c>
      <c r="H463" s="592">
        <f>ROUND('Balance N-1'!H434,2)</f>
        <v>0</v>
      </c>
      <c r="I463" s="2" t="str">
        <f t="shared" si="10"/>
        <v>0</v>
      </c>
    </row>
    <row r="464" spans="1:9" x14ac:dyDescent="0.2">
      <c r="A464" s="782" t="str">
        <f>FIXED('Balance N-1'!A435,0,1)</f>
        <v>0</v>
      </c>
      <c r="B464" s="494">
        <f>+'Balance N-1'!B435</f>
        <v>0</v>
      </c>
      <c r="C464" s="592">
        <f>ROUND('Balance N-1'!C435,2)</f>
        <v>0</v>
      </c>
      <c r="D464" s="592">
        <f>ROUND('Balance N-1'!D435,2)</f>
        <v>0</v>
      </c>
      <c r="E464" s="592">
        <f>ROUND('Balance N-1'!E435,2)</f>
        <v>0</v>
      </c>
      <c r="F464" s="592">
        <f>ROUND('Balance N-1'!F435,2)</f>
        <v>0</v>
      </c>
      <c r="G464" s="592">
        <f>ROUND('Balance N-1'!G435,2)</f>
        <v>0</v>
      </c>
      <c r="H464" s="592">
        <f>ROUND('Balance N-1'!H435,2)</f>
        <v>0</v>
      </c>
      <c r="I464" s="2" t="str">
        <f t="shared" si="10"/>
        <v>0</v>
      </c>
    </row>
    <row r="465" spans="1:9" x14ac:dyDescent="0.2">
      <c r="A465" s="782" t="str">
        <f>FIXED('Balance N-1'!A436,0,1)</f>
        <v>0</v>
      </c>
      <c r="B465" s="494">
        <f>+'Balance N-1'!B436</f>
        <v>0</v>
      </c>
      <c r="C465" s="592">
        <f>ROUND('Balance N-1'!C436,2)</f>
        <v>0</v>
      </c>
      <c r="D465" s="592">
        <f>ROUND('Balance N-1'!D436,2)</f>
        <v>0</v>
      </c>
      <c r="E465" s="592">
        <f>ROUND('Balance N-1'!E436,2)</f>
        <v>0</v>
      </c>
      <c r="F465" s="592">
        <f>ROUND('Balance N-1'!F436,2)</f>
        <v>0</v>
      </c>
      <c r="G465" s="592">
        <f>ROUND('Balance N-1'!G436,2)</f>
        <v>0</v>
      </c>
      <c r="H465" s="592">
        <f>ROUND('Balance N-1'!H436,2)</f>
        <v>0</v>
      </c>
      <c r="I465" s="2" t="str">
        <f t="shared" si="10"/>
        <v>0</v>
      </c>
    </row>
    <row r="466" spans="1:9" x14ac:dyDescent="0.2">
      <c r="A466" s="782" t="str">
        <f>FIXED('Balance N-1'!A437,0,1)</f>
        <v>0</v>
      </c>
      <c r="B466" s="494">
        <f>+'Balance N-1'!B437</f>
        <v>0</v>
      </c>
      <c r="C466" s="592">
        <f>ROUND('Balance N-1'!C437,2)</f>
        <v>0</v>
      </c>
      <c r="D466" s="592">
        <f>ROUND('Balance N-1'!D437,2)</f>
        <v>0</v>
      </c>
      <c r="E466" s="592">
        <f>ROUND('Balance N-1'!E437,2)</f>
        <v>0</v>
      </c>
      <c r="F466" s="592">
        <f>ROUND('Balance N-1'!F437,2)</f>
        <v>0</v>
      </c>
      <c r="G466" s="592">
        <f>ROUND('Balance N-1'!G437,2)</f>
        <v>0</v>
      </c>
      <c r="H466" s="592">
        <f>ROUND('Balance N-1'!H437,2)</f>
        <v>0</v>
      </c>
      <c r="I466" s="2" t="str">
        <f t="shared" si="10"/>
        <v>0</v>
      </c>
    </row>
    <row r="467" spans="1:9" x14ac:dyDescent="0.2">
      <c r="A467" s="782" t="str">
        <f>FIXED('Balance N-1'!A438,0,1)</f>
        <v>0</v>
      </c>
      <c r="B467" s="494">
        <f>+'Balance N-1'!B438</f>
        <v>0</v>
      </c>
      <c r="C467" s="592">
        <f>ROUND('Balance N-1'!C438,2)</f>
        <v>0</v>
      </c>
      <c r="D467" s="592">
        <f>ROUND('Balance N-1'!D438,2)</f>
        <v>0</v>
      </c>
      <c r="E467" s="592">
        <f>ROUND('Balance N-1'!E438,2)</f>
        <v>0</v>
      </c>
      <c r="F467" s="592">
        <f>ROUND('Balance N-1'!F438,2)</f>
        <v>0</v>
      </c>
      <c r="G467" s="592">
        <f>ROUND('Balance N-1'!G438,2)</f>
        <v>0</v>
      </c>
      <c r="H467" s="592">
        <f>ROUND('Balance N-1'!H438,2)</f>
        <v>0</v>
      </c>
      <c r="I467" s="2" t="str">
        <f t="shared" si="10"/>
        <v>0</v>
      </c>
    </row>
    <row r="468" spans="1:9" x14ac:dyDescent="0.2">
      <c r="A468" s="782" t="str">
        <f>FIXED('Balance N-1'!A439,0,1)</f>
        <v>0</v>
      </c>
      <c r="B468" s="494">
        <f>+'Balance N-1'!B439</f>
        <v>0</v>
      </c>
      <c r="C468" s="592">
        <f>ROUND('Balance N-1'!C439,2)</f>
        <v>0</v>
      </c>
      <c r="D468" s="592">
        <f>ROUND('Balance N-1'!D439,2)</f>
        <v>0</v>
      </c>
      <c r="E468" s="592">
        <f>ROUND('Balance N-1'!E439,2)</f>
        <v>0</v>
      </c>
      <c r="F468" s="592">
        <f>ROUND('Balance N-1'!F439,2)</f>
        <v>0</v>
      </c>
      <c r="G468" s="592">
        <f>ROUND('Balance N-1'!G439,2)</f>
        <v>0</v>
      </c>
      <c r="H468" s="592">
        <f>ROUND('Balance N-1'!H439,2)</f>
        <v>0</v>
      </c>
      <c r="I468" s="2" t="str">
        <f t="shared" si="10"/>
        <v>0</v>
      </c>
    </row>
    <row r="469" spans="1:9" x14ac:dyDescent="0.2">
      <c r="A469" s="782" t="str">
        <f>FIXED('Balance N-1'!A440,0,1)</f>
        <v>0</v>
      </c>
      <c r="B469" s="494">
        <f>+'Balance N-1'!B440</f>
        <v>0</v>
      </c>
      <c r="C469" s="592">
        <f>ROUND('Balance N-1'!C440,2)</f>
        <v>0</v>
      </c>
      <c r="D469" s="592">
        <f>ROUND('Balance N-1'!D440,2)</f>
        <v>0</v>
      </c>
      <c r="E469" s="592">
        <f>ROUND('Balance N-1'!E440,2)</f>
        <v>0</v>
      </c>
      <c r="F469" s="592">
        <f>ROUND('Balance N-1'!F440,2)</f>
        <v>0</v>
      </c>
      <c r="G469" s="592">
        <f>ROUND('Balance N-1'!G440,2)</f>
        <v>0</v>
      </c>
      <c r="H469" s="592">
        <f>ROUND('Balance N-1'!H440,2)</f>
        <v>0</v>
      </c>
      <c r="I469" s="2" t="str">
        <f t="shared" si="10"/>
        <v>0</v>
      </c>
    </row>
    <row r="470" spans="1:9" x14ac:dyDescent="0.2">
      <c r="A470" s="782" t="str">
        <f>FIXED('Balance N-1'!A441,0,1)</f>
        <v>0</v>
      </c>
      <c r="B470" s="494">
        <f>+'Balance N-1'!B441</f>
        <v>0</v>
      </c>
      <c r="C470" s="592">
        <f>ROUND('Balance N-1'!C441,2)</f>
        <v>0</v>
      </c>
      <c r="D470" s="592">
        <f>ROUND('Balance N-1'!D441,2)</f>
        <v>0</v>
      </c>
      <c r="E470" s="592">
        <f>ROUND('Balance N-1'!E441,2)</f>
        <v>0</v>
      </c>
      <c r="F470" s="592">
        <f>ROUND('Balance N-1'!F441,2)</f>
        <v>0</v>
      </c>
      <c r="G470" s="592">
        <f>ROUND('Balance N-1'!G441,2)</f>
        <v>0</v>
      </c>
      <c r="H470" s="592">
        <f>ROUND('Balance N-1'!H441,2)</f>
        <v>0</v>
      </c>
      <c r="I470" s="2" t="str">
        <f t="shared" si="10"/>
        <v>0</v>
      </c>
    </row>
    <row r="471" spans="1:9" x14ac:dyDescent="0.2">
      <c r="A471" s="782" t="str">
        <f>FIXED('Balance N-1'!A442,0,1)</f>
        <v>0</v>
      </c>
      <c r="B471" s="494">
        <f>+'Balance N-1'!B442</f>
        <v>0</v>
      </c>
      <c r="C471" s="592">
        <f>ROUND('Balance N-1'!C442,2)</f>
        <v>0</v>
      </c>
      <c r="D471" s="592">
        <f>ROUND('Balance N-1'!D442,2)</f>
        <v>0</v>
      </c>
      <c r="E471" s="592">
        <f>ROUND('Balance N-1'!E442,2)</f>
        <v>0</v>
      </c>
      <c r="F471" s="592">
        <f>ROUND('Balance N-1'!F442,2)</f>
        <v>0</v>
      </c>
      <c r="G471" s="592">
        <f>ROUND('Balance N-1'!G442,2)</f>
        <v>0</v>
      </c>
      <c r="H471" s="592">
        <f>ROUND('Balance N-1'!H442,2)</f>
        <v>0</v>
      </c>
      <c r="I471" s="2" t="str">
        <f t="shared" si="10"/>
        <v>0</v>
      </c>
    </row>
    <row r="472" spans="1:9" x14ac:dyDescent="0.2">
      <c r="A472" s="782" t="str">
        <f>FIXED('Balance N-1'!A443,0,1)</f>
        <v>0</v>
      </c>
      <c r="B472" s="494">
        <f>+'Balance N-1'!B443</f>
        <v>0</v>
      </c>
      <c r="C472" s="592">
        <f>ROUND('Balance N-1'!C443,2)</f>
        <v>0</v>
      </c>
      <c r="D472" s="592">
        <f>ROUND('Balance N-1'!D443,2)</f>
        <v>0</v>
      </c>
      <c r="E472" s="592">
        <f>ROUND('Balance N-1'!E443,2)</f>
        <v>0</v>
      </c>
      <c r="F472" s="592">
        <f>ROUND('Balance N-1'!F443,2)</f>
        <v>0</v>
      </c>
      <c r="G472" s="592">
        <f>ROUND('Balance N-1'!G443,2)</f>
        <v>0</v>
      </c>
      <c r="H472" s="592">
        <f>ROUND('Balance N-1'!H443,2)</f>
        <v>0</v>
      </c>
      <c r="I472" s="2" t="str">
        <f t="shared" si="10"/>
        <v>0</v>
      </c>
    </row>
    <row r="473" spans="1:9" x14ac:dyDescent="0.2">
      <c r="A473" s="782" t="str">
        <f>FIXED('Balance N-1'!A444,0,1)</f>
        <v>0</v>
      </c>
      <c r="B473" s="494">
        <f>+'Balance N-1'!B444</f>
        <v>0</v>
      </c>
      <c r="C473" s="592">
        <f>ROUND('Balance N-1'!C444,2)</f>
        <v>0</v>
      </c>
      <c r="D473" s="592">
        <f>ROUND('Balance N-1'!D444,2)</f>
        <v>0</v>
      </c>
      <c r="E473" s="592">
        <f>ROUND('Balance N-1'!E444,2)</f>
        <v>0</v>
      </c>
      <c r="F473" s="592">
        <f>ROUND('Balance N-1'!F444,2)</f>
        <v>0</v>
      </c>
      <c r="G473" s="592">
        <f>ROUND('Balance N-1'!G444,2)</f>
        <v>0</v>
      </c>
      <c r="H473" s="592">
        <f>ROUND('Balance N-1'!H444,2)</f>
        <v>0</v>
      </c>
      <c r="I473" s="2" t="str">
        <f t="shared" si="10"/>
        <v>0</v>
      </c>
    </row>
    <row r="474" spans="1:9" x14ac:dyDescent="0.2">
      <c r="A474" s="782" t="str">
        <f>FIXED('Balance N-1'!A445,0,1)</f>
        <v>0</v>
      </c>
      <c r="B474" s="494">
        <f>+'Balance N-1'!B445</f>
        <v>0</v>
      </c>
      <c r="C474" s="592">
        <f>ROUND('Balance N-1'!C445,2)</f>
        <v>0</v>
      </c>
      <c r="D474" s="592">
        <f>ROUND('Balance N-1'!D445,2)</f>
        <v>0</v>
      </c>
      <c r="E474" s="592">
        <f>ROUND('Balance N-1'!E445,2)</f>
        <v>0</v>
      </c>
      <c r="F474" s="592">
        <f>ROUND('Balance N-1'!F445,2)</f>
        <v>0</v>
      </c>
      <c r="G474" s="592">
        <f>ROUND('Balance N-1'!G445,2)</f>
        <v>0</v>
      </c>
      <c r="H474" s="592">
        <f>ROUND('Balance N-1'!H445,2)</f>
        <v>0</v>
      </c>
      <c r="I474" s="2" t="str">
        <f t="shared" si="10"/>
        <v>0</v>
      </c>
    </row>
    <row r="475" spans="1:9" x14ac:dyDescent="0.2">
      <c r="A475" s="782" t="str">
        <f>FIXED('Balance N-1'!A446,0,1)</f>
        <v>0</v>
      </c>
      <c r="B475" s="494">
        <f>+'Balance N-1'!B446</f>
        <v>0</v>
      </c>
      <c r="C475" s="592">
        <f>ROUND('Balance N-1'!C446,2)</f>
        <v>0</v>
      </c>
      <c r="D475" s="592">
        <f>ROUND('Balance N-1'!D446,2)</f>
        <v>0</v>
      </c>
      <c r="E475" s="592">
        <f>ROUND('Balance N-1'!E446,2)</f>
        <v>0</v>
      </c>
      <c r="F475" s="592">
        <f>ROUND('Balance N-1'!F446,2)</f>
        <v>0</v>
      </c>
      <c r="G475" s="592">
        <f>ROUND('Balance N-1'!G446,2)</f>
        <v>0</v>
      </c>
      <c r="H475" s="592">
        <f>ROUND('Balance N-1'!H446,2)</f>
        <v>0</v>
      </c>
      <c r="I475" s="2" t="str">
        <f t="shared" si="10"/>
        <v>0</v>
      </c>
    </row>
    <row r="476" spans="1:9" x14ac:dyDescent="0.2">
      <c r="A476" s="782" t="str">
        <f>FIXED('Balance N-1'!A447,0,1)</f>
        <v>0</v>
      </c>
      <c r="B476" s="494">
        <f>+'Balance N-1'!B447</f>
        <v>0</v>
      </c>
      <c r="C476" s="592">
        <f>ROUND('Balance N-1'!C447,2)</f>
        <v>0</v>
      </c>
      <c r="D476" s="592">
        <f>ROUND('Balance N-1'!D447,2)</f>
        <v>0</v>
      </c>
      <c r="E476" s="592">
        <f>ROUND('Balance N-1'!E447,2)</f>
        <v>0</v>
      </c>
      <c r="F476" s="592">
        <f>ROUND('Balance N-1'!F447,2)</f>
        <v>0</v>
      </c>
      <c r="G476" s="592">
        <f>ROUND('Balance N-1'!G447,2)</f>
        <v>0</v>
      </c>
      <c r="H476" s="592">
        <f>ROUND('Balance N-1'!H447,2)</f>
        <v>0</v>
      </c>
      <c r="I476" s="2" t="str">
        <f t="shared" si="10"/>
        <v>0</v>
      </c>
    </row>
    <row r="477" spans="1:9" x14ac:dyDescent="0.2">
      <c r="A477" s="782" t="str">
        <f>FIXED('Balance N-1'!A448,0,1)</f>
        <v>0</v>
      </c>
      <c r="B477" s="494">
        <f>+'Balance N-1'!B448</f>
        <v>0</v>
      </c>
      <c r="C477" s="592">
        <f>ROUND('Balance N-1'!C448,2)</f>
        <v>0</v>
      </c>
      <c r="D477" s="592">
        <f>ROUND('Balance N-1'!D448,2)</f>
        <v>0</v>
      </c>
      <c r="E477" s="592">
        <f>ROUND('Balance N-1'!E448,2)</f>
        <v>0</v>
      </c>
      <c r="F477" s="592">
        <f>ROUND('Balance N-1'!F448,2)</f>
        <v>0</v>
      </c>
      <c r="G477" s="592">
        <f>ROUND('Balance N-1'!G448,2)</f>
        <v>0</v>
      </c>
      <c r="H477" s="592">
        <f>ROUND('Balance N-1'!H448,2)</f>
        <v>0</v>
      </c>
      <c r="I477" s="2" t="str">
        <f t="shared" si="10"/>
        <v>0</v>
      </c>
    </row>
    <row r="478" spans="1:9" x14ac:dyDescent="0.2">
      <c r="A478" s="782" t="str">
        <f>FIXED('Balance N-1'!A449,0,1)</f>
        <v>0</v>
      </c>
      <c r="B478" s="494">
        <f>+'Balance N-1'!B449</f>
        <v>0</v>
      </c>
      <c r="C478" s="592">
        <f>ROUND('Balance N-1'!C449,2)</f>
        <v>0</v>
      </c>
      <c r="D478" s="592">
        <f>ROUND('Balance N-1'!D449,2)</f>
        <v>0</v>
      </c>
      <c r="E478" s="592">
        <f>ROUND('Balance N-1'!E449,2)</f>
        <v>0</v>
      </c>
      <c r="F478" s="592">
        <f>ROUND('Balance N-1'!F449,2)</f>
        <v>0</v>
      </c>
      <c r="G478" s="592">
        <f>ROUND('Balance N-1'!G449,2)</f>
        <v>0</v>
      </c>
      <c r="H478" s="592">
        <f>ROUND('Balance N-1'!H449,2)</f>
        <v>0</v>
      </c>
      <c r="I478" s="2" t="str">
        <f t="shared" si="10"/>
        <v>0</v>
      </c>
    </row>
    <row r="479" spans="1:9" x14ac:dyDescent="0.2">
      <c r="A479" s="782" t="str">
        <f>FIXED('Balance N-1'!A450,0,1)</f>
        <v>0</v>
      </c>
      <c r="B479" s="494">
        <f>+'Balance N-1'!B450</f>
        <v>0</v>
      </c>
      <c r="C479" s="592">
        <f>ROUND('Balance N-1'!C450,2)</f>
        <v>0</v>
      </c>
      <c r="D479" s="592">
        <f>ROUND('Balance N-1'!D450,2)</f>
        <v>0</v>
      </c>
      <c r="E479" s="592">
        <f>ROUND('Balance N-1'!E450,2)</f>
        <v>0</v>
      </c>
      <c r="F479" s="592">
        <f>ROUND('Balance N-1'!F450,2)</f>
        <v>0</v>
      </c>
      <c r="G479" s="592">
        <f>ROUND('Balance N-1'!G450,2)</f>
        <v>0</v>
      </c>
      <c r="H479" s="592">
        <f>ROUND('Balance N-1'!H450,2)</f>
        <v>0</v>
      </c>
      <c r="I479" s="2" t="str">
        <f t="shared" si="10"/>
        <v>0</v>
      </c>
    </row>
    <row r="480" spans="1:9" x14ac:dyDescent="0.2">
      <c r="A480" s="782" t="str">
        <f>FIXED('Balance N-1'!A451,0,1)</f>
        <v>0</v>
      </c>
      <c r="B480" s="494">
        <f>+'Balance N-1'!B451</f>
        <v>0</v>
      </c>
      <c r="C480" s="592">
        <f>ROUND('Balance N-1'!C451,2)</f>
        <v>0</v>
      </c>
      <c r="D480" s="592">
        <f>ROUND('Balance N-1'!D451,2)</f>
        <v>0</v>
      </c>
      <c r="E480" s="592">
        <f>ROUND('Balance N-1'!E451,2)</f>
        <v>0</v>
      </c>
      <c r="F480" s="592">
        <f>ROUND('Balance N-1'!F451,2)</f>
        <v>0</v>
      </c>
      <c r="G480" s="592">
        <f>ROUND('Balance N-1'!G451,2)</f>
        <v>0</v>
      </c>
      <c r="H480" s="592">
        <f>ROUND('Balance N-1'!H451,2)</f>
        <v>0</v>
      </c>
      <c r="I480" s="2" t="str">
        <f t="shared" si="10"/>
        <v>0</v>
      </c>
    </row>
    <row r="481" spans="1:9" x14ac:dyDescent="0.2">
      <c r="A481" s="782" t="str">
        <f>FIXED('Balance N-1'!A452,0,1)</f>
        <v>0</v>
      </c>
      <c r="B481" s="494">
        <f>+'Balance N-1'!B452</f>
        <v>0</v>
      </c>
      <c r="C481" s="592">
        <f>ROUND('Balance N-1'!C452,2)</f>
        <v>0</v>
      </c>
      <c r="D481" s="592">
        <f>ROUND('Balance N-1'!D452,2)</f>
        <v>0</v>
      </c>
      <c r="E481" s="592">
        <f>ROUND('Balance N-1'!E452,2)</f>
        <v>0</v>
      </c>
      <c r="F481" s="592">
        <f>ROUND('Balance N-1'!F452,2)</f>
        <v>0</v>
      </c>
      <c r="G481" s="592">
        <f>ROUND('Balance N-1'!G452,2)</f>
        <v>0</v>
      </c>
      <c r="H481" s="592">
        <f>ROUND('Balance N-1'!H452,2)</f>
        <v>0</v>
      </c>
      <c r="I481" s="2" t="str">
        <f t="shared" si="10"/>
        <v>0</v>
      </c>
    </row>
    <row r="482" spans="1:9" x14ac:dyDescent="0.2">
      <c r="A482" s="782" t="str">
        <f>FIXED('Balance N-1'!A453,0,1)</f>
        <v>0</v>
      </c>
      <c r="B482" s="494">
        <f>+'Balance N-1'!B453</f>
        <v>0</v>
      </c>
      <c r="C482" s="592">
        <f>ROUND('Balance N-1'!C453,2)</f>
        <v>0</v>
      </c>
      <c r="D482" s="592">
        <f>ROUND('Balance N-1'!D453,2)</f>
        <v>0</v>
      </c>
      <c r="E482" s="592">
        <f>ROUND('Balance N-1'!E453,2)</f>
        <v>0</v>
      </c>
      <c r="F482" s="592">
        <f>ROUND('Balance N-1'!F453,2)</f>
        <v>0</v>
      </c>
      <c r="G482" s="592">
        <f>ROUND('Balance N-1'!G453,2)</f>
        <v>0</v>
      </c>
      <c r="H482" s="592">
        <f>ROUND('Balance N-1'!H453,2)</f>
        <v>0</v>
      </c>
      <c r="I482" s="2" t="str">
        <f t="shared" si="10"/>
        <v>0</v>
      </c>
    </row>
    <row r="483" spans="1:9" x14ac:dyDescent="0.2">
      <c r="A483" s="782" t="str">
        <f>FIXED('Balance N-1'!A454,0,1)</f>
        <v>0</v>
      </c>
      <c r="B483" s="494">
        <f>+'Balance N-1'!B454</f>
        <v>0</v>
      </c>
      <c r="C483" s="592">
        <f>ROUND('Balance N-1'!C454,2)</f>
        <v>0</v>
      </c>
      <c r="D483" s="592">
        <f>ROUND('Balance N-1'!D454,2)</f>
        <v>0</v>
      </c>
      <c r="E483" s="592">
        <f>ROUND('Balance N-1'!E454,2)</f>
        <v>0</v>
      </c>
      <c r="F483" s="592">
        <f>ROUND('Balance N-1'!F454,2)</f>
        <v>0</v>
      </c>
      <c r="G483" s="592">
        <f>ROUND('Balance N-1'!G454,2)</f>
        <v>0</v>
      </c>
      <c r="H483" s="592">
        <f>ROUND('Balance N-1'!H454,2)</f>
        <v>0</v>
      </c>
      <c r="I483" s="2" t="str">
        <f t="shared" si="10"/>
        <v>0</v>
      </c>
    </row>
    <row r="484" spans="1:9" x14ac:dyDescent="0.2">
      <c r="A484" s="782" t="str">
        <f>FIXED('Balance N-1'!A455,0,1)</f>
        <v>0</v>
      </c>
      <c r="B484" s="494">
        <f>+'Balance N-1'!B455</f>
        <v>0</v>
      </c>
      <c r="C484" s="592">
        <f>ROUND('Balance N-1'!C455,2)</f>
        <v>0</v>
      </c>
      <c r="D484" s="592">
        <f>ROUND('Balance N-1'!D455,2)</f>
        <v>0</v>
      </c>
      <c r="E484" s="592">
        <f>ROUND('Balance N-1'!E455,2)</f>
        <v>0</v>
      </c>
      <c r="F484" s="592">
        <f>ROUND('Balance N-1'!F455,2)</f>
        <v>0</v>
      </c>
      <c r="G484" s="592">
        <f>ROUND('Balance N-1'!G455,2)</f>
        <v>0</v>
      </c>
      <c r="H484" s="592">
        <f>ROUND('Balance N-1'!H455,2)</f>
        <v>0</v>
      </c>
      <c r="I484" s="2" t="str">
        <f t="shared" si="10"/>
        <v>0</v>
      </c>
    </row>
    <row r="485" spans="1:9" x14ac:dyDescent="0.2">
      <c r="A485" s="782" t="str">
        <f>FIXED('Balance N-1'!A456,0,1)</f>
        <v>0</v>
      </c>
      <c r="B485" s="494">
        <f>+'Balance N-1'!B456</f>
        <v>0</v>
      </c>
      <c r="C485" s="592">
        <f>ROUND('Balance N-1'!C456,2)</f>
        <v>0</v>
      </c>
      <c r="D485" s="592">
        <f>ROUND('Balance N-1'!D456,2)</f>
        <v>0</v>
      </c>
      <c r="E485" s="592">
        <f>ROUND('Balance N-1'!E456,2)</f>
        <v>0</v>
      </c>
      <c r="F485" s="592">
        <f>ROUND('Balance N-1'!F456,2)</f>
        <v>0</v>
      </c>
      <c r="G485" s="592">
        <f>ROUND('Balance N-1'!G456,2)</f>
        <v>0</v>
      </c>
      <c r="H485" s="592">
        <f>ROUND('Balance N-1'!H456,2)</f>
        <v>0</v>
      </c>
      <c r="I485" s="2" t="str">
        <f t="shared" si="10"/>
        <v>0</v>
      </c>
    </row>
    <row r="486" spans="1:9" x14ac:dyDescent="0.2">
      <c r="A486" s="782" t="str">
        <f>FIXED('Balance N-1'!A457,0,1)</f>
        <v>0</v>
      </c>
      <c r="B486" s="494">
        <f>+'Balance N-1'!B457</f>
        <v>0</v>
      </c>
      <c r="C486" s="592">
        <f>ROUND('Balance N-1'!C457,2)</f>
        <v>0</v>
      </c>
      <c r="D486" s="592">
        <f>ROUND('Balance N-1'!D457,2)</f>
        <v>0</v>
      </c>
      <c r="E486" s="592">
        <f>ROUND('Balance N-1'!E457,2)</f>
        <v>0</v>
      </c>
      <c r="F486" s="592">
        <f>ROUND('Balance N-1'!F457,2)</f>
        <v>0</v>
      </c>
      <c r="G486" s="592">
        <f>ROUND('Balance N-1'!G457,2)</f>
        <v>0</v>
      </c>
      <c r="H486" s="592">
        <f>ROUND('Balance N-1'!H457,2)</f>
        <v>0</v>
      </c>
      <c r="I486" s="2" t="str">
        <f t="shared" si="10"/>
        <v>0</v>
      </c>
    </row>
    <row r="487" spans="1:9" x14ac:dyDescent="0.2">
      <c r="A487" s="782" t="str">
        <f>FIXED('Balance N-1'!A458,0,1)</f>
        <v>0</v>
      </c>
      <c r="B487" s="494">
        <f>+'Balance N-1'!B458</f>
        <v>0</v>
      </c>
      <c r="C487" s="592">
        <f>ROUND('Balance N-1'!C458,2)</f>
        <v>0</v>
      </c>
      <c r="D487" s="592">
        <f>ROUND('Balance N-1'!D458,2)</f>
        <v>0</v>
      </c>
      <c r="E487" s="592">
        <f>ROUND('Balance N-1'!E458,2)</f>
        <v>0</v>
      </c>
      <c r="F487" s="592">
        <f>ROUND('Balance N-1'!F458,2)</f>
        <v>0</v>
      </c>
      <c r="G487" s="592">
        <f>ROUND('Balance N-1'!G458,2)</f>
        <v>0</v>
      </c>
      <c r="H487" s="592">
        <f>ROUND('Balance N-1'!H458,2)</f>
        <v>0</v>
      </c>
      <c r="I487" s="2" t="str">
        <f t="shared" si="10"/>
        <v>0</v>
      </c>
    </row>
    <row r="488" spans="1:9" x14ac:dyDescent="0.2">
      <c r="A488" s="782" t="str">
        <f>FIXED('Balance N-1'!A459,0,1)</f>
        <v>0</v>
      </c>
      <c r="B488" s="494">
        <f>+'Balance N-1'!B459</f>
        <v>0</v>
      </c>
      <c r="C488" s="592">
        <f>ROUND('Balance N-1'!C459,2)</f>
        <v>0</v>
      </c>
      <c r="D488" s="592">
        <f>ROUND('Balance N-1'!D459,2)</f>
        <v>0</v>
      </c>
      <c r="E488" s="592">
        <f>ROUND('Balance N-1'!E459,2)</f>
        <v>0</v>
      </c>
      <c r="F488" s="592">
        <f>ROUND('Balance N-1'!F459,2)</f>
        <v>0</v>
      </c>
      <c r="G488" s="592">
        <f>ROUND('Balance N-1'!G459,2)</f>
        <v>0</v>
      </c>
      <c r="H488" s="592">
        <f>ROUND('Balance N-1'!H459,2)</f>
        <v>0</v>
      </c>
      <c r="I488" s="2" t="str">
        <f t="shared" si="10"/>
        <v>0</v>
      </c>
    </row>
    <row r="489" spans="1:9" x14ac:dyDescent="0.2">
      <c r="A489" s="782" t="str">
        <f>FIXED('Balance N-1'!A460,0,1)</f>
        <v>0</v>
      </c>
      <c r="B489" s="494">
        <f>+'Balance N-1'!B460</f>
        <v>0</v>
      </c>
      <c r="C489" s="592">
        <f>ROUND('Balance N-1'!C460,2)</f>
        <v>0</v>
      </c>
      <c r="D489" s="592">
        <f>ROUND('Balance N-1'!D460,2)</f>
        <v>0</v>
      </c>
      <c r="E489" s="592">
        <f>ROUND('Balance N-1'!E460,2)</f>
        <v>0</v>
      </c>
      <c r="F489" s="592">
        <f>ROUND('Balance N-1'!F460,2)</f>
        <v>0</v>
      </c>
      <c r="G489" s="592">
        <f>ROUND('Balance N-1'!G460,2)</f>
        <v>0</v>
      </c>
      <c r="H489" s="592">
        <f>ROUND('Balance N-1'!H460,2)</f>
        <v>0</v>
      </c>
      <c r="I489" s="2" t="str">
        <f t="shared" si="10"/>
        <v>0</v>
      </c>
    </row>
    <row r="490" spans="1:9" x14ac:dyDescent="0.2">
      <c r="A490" s="782" t="str">
        <f>FIXED('Balance N-1'!A461,0,1)</f>
        <v>0</v>
      </c>
      <c r="B490" s="494">
        <f>+'Balance N-1'!B461</f>
        <v>0</v>
      </c>
      <c r="C490" s="592">
        <f>ROUND('Balance N-1'!C461,2)</f>
        <v>0</v>
      </c>
      <c r="D490" s="592">
        <f>ROUND('Balance N-1'!D461,2)</f>
        <v>0</v>
      </c>
      <c r="E490" s="592">
        <f>ROUND('Balance N-1'!E461,2)</f>
        <v>0</v>
      </c>
      <c r="F490" s="592">
        <f>ROUND('Balance N-1'!F461,2)</f>
        <v>0</v>
      </c>
      <c r="G490" s="592">
        <f>ROUND('Balance N-1'!G461,2)</f>
        <v>0</v>
      </c>
      <c r="H490" s="592">
        <f>ROUND('Balance N-1'!H461,2)</f>
        <v>0</v>
      </c>
      <c r="I490" s="2" t="str">
        <f t="shared" si="10"/>
        <v>0</v>
      </c>
    </row>
    <row r="491" spans="1:9" x14ac:dyDescent="0.2">
      <c r="A491" s="782" t="str">
        <f>FIXED('Balance N-1'!A462,0,1)</f>
        <v>0</v>
      </c>
      <c r="B491" s="494">
        <f>+'Balance N-1'!B462</f>
        <v>0</v>
      </c>
      <c r="C491" s="592">
        <f>ROUND('Balance N-1'!C462,2)</f>
        <v>0</v>
      </c>
      <c r="D491" s="592">
        <f>ROUND('Balance N-1'!D462,2)</f>
        <v>0</v>
      </c>
      <c r="E491" s="592">
        <f>ROUND('Balance N-1'!E462,2)</f>
        <v>0</v>
      </c>
      <c r="F491" s="592">
        <f>ROUND('Balance N-1'!F462,2)</f>
        <v>0</v>
      </c>
      <c r="G491" s="592">
        <f>ROUND('Balance N-1'!G462,2)</f>
        <v>0</v>
      </c>
      <c r="H491" s="592">
        <f>ROUND('Balance N-1'!H462,2)</f>
        <v>0</v>
      </c>
      <c r="I491" s="2" t="str">
        <f t="shared" si="10"/>
        <v>0</v>
      </c>
    </row>
    <row r="492" spans="1:9" x14ac:dyDescent="0.2">
      <c r="A492" s="782" t="str">
        <f>FIXED('Balance N-1'!A463,0,1)</f>
        <v>0</v>
      </c>
      <c r="B492" s="494">
        <f>+'Balance N-1'!B463</f>
        <v>0</v>
      </c>
      <c r="C492" s="592">
        <f>ROUND('Balance N-1'!C463,2)</f>
        <v>0</v>
      </c>
      <c r="D492" s="592">
        <f>ROUND('Balance N-1'!D463,2)</f>
        <v>0</v>
      </c>
      <c r="E492" s="592">
        <f>ROUND('Balance N-1'!E463,2)</f>
        <v>0</v>
      </c>
      <c r="F492" s="592">
        <f>ROUND('Balance N-1'!F463,2)</f>
        <v>0</v>
      </c>
      <c r="G492" s="592">
        <f>ROUND('Balance N-1'!G463,2)</f>
        <v>0</v>
      </c>
      <c r="H492" s="592">
        <f>ROUND('Balance N-1'!H463,2)</f>
        <v>0</v>
      </c>
      <c r="I492" s="2" t="str">
        <f t="shared" si="10"/>
        <v>0</v>
      </c>
    </row>
    <row r="493" spans="1:9" x14ac:dyDescent="0.2">
      <c r="A493" s="782" t="str">
        <f>FIXED('Balance N-1'!A464,0,1)</f>
        <v>0</v>
      </c>
      <c r="B493" s="494">
        <f>+'Balance N-1'!B464</f>
        <v>0</v>
      </c>
      <c r="C493" s="592">
        <f>ROUND('Balance N-1'!C464,2)</f>
        <v>0</v>
      </c>
      <c r="D493" s="592">
        <f>ROUND('Balance N-1'!D464,2)</f>
        <v>0</v>
      </c>
      <c r="E493" s="592">
        <f>ROUND('Balance N-1'!E464,2)</f>
        <v>0</v>
      </c>
      <c r="F493" s="592">
        <f>ROUND('Balance N-1'!F464,2)</f>
        <v>0</v>
      </c>
      <c r="G493" s="592">
        <f>ROUND('Balance N-1'!G464,2)</f>
        <v>0</v>
      </c>
      <c r="H493" s="592">
        <f>ROUND('Balance N-1'!H464,2)</f>
        <v>0</v>
      </c>
      <c r="I493" s="2" t="str">
        <f t="shared" si="10"/>
        <v>0</v>
      </c>
    </row>
    <row r="494" spans="1:9" x14ac:dyDescent="0.2">
      <c r="A494" s="782" t="str">
        <f>FIXED('Balance N-1'!A465,0,1)</f>
        <v>0</v>
      </c>
      <c r="B494" s="494">
        <f>+'Balance N-1'!B465</f>
        <v>0</v>
      </c>
      <c r="C494" s="592">
        <f>ROUND('Balance N-1'!C465,2)</f>
        <v>0</v>
      </c>
      <c r="D494" s="592">
        <f>ROUND('Balance N-1'!D465,2)</f>
        <v>0</v>
      </c>
      <c r="E494" s="592">
        <f>ROUND('Balance N-1'!E465,2)</f>
        <v>0</v>
      </c>
      <c r="F494" s="592">
        <f>ROUND('Balance N-1'!F465,2)</f>
        <v>0</v>
      </c>
      <c r="G494" s="592">
        <f>ROUND('Balance N-1'!G465,2)</f>
        <v>0</v>
      </c>
      <c r="H494" s="592">
        <f>ROUND('Balance N-1'!H465,2)</f>
        <v>0</v>
      </c>
      <c r="I494" s="2" t="str">
        <f t="shared" si="10"/>
        <v>0</v>
      </c>
    </row>
    <row r="495" spans="1:9" x14ac:dyDescent="0.2">
      <c r="A495" s="782" t="str">
        <f>FIXED('Balance N-1'!A466,0,1)</f>
        <v>0</v>
      </c>
      <c r="B495" s="494">
        <f>+'Balance N-1'!B466</f>
        <v>0</v>
      </c>
      <c r="C495" s="592">
        <f>ROUND('Balance N-1'!C466,2)</f>
        <v>0</v>
      </c>
      <c r="D495" s="592">
        <f>ROUND('Balance N-1'!D466,2)</f>
        <v>0</v>
      </c>
      <c r="E495" s="592">
        <f>ROUND('Balance N-1'!E466,2)</f>
        <v>0</v>
      </c>
      <c r="F495" s="592">
        <f>ROUND('Balance N-1'!F466,2)</f>
        <v>0</v>
      </c>
      <c r="G495" s="592">
        <f>ROUND('Balance N-1'!G466,2)</f>
        <v>0</v>
      </c>
      <c r="H495" s="592">
        <f>ROUND('Balance N-1'!H466,2)</f>
        <v>0</v>
      </c>
      <c r="I495" s="2" t="str">
        <f t="shared" si="10"/>
        <v>0</v>
      </c>
    </row>
    <row r="496" spans="1:9" x14ac:dyDescent="0.2">
      <c r="A496" s="782" t="str">
        <f>FIXED('Balance N-1'!A467,0,1)</f>
        <v>0</v>
      </c>
      <c r="B496" s="494">
        <f>+'Balance N-1'!B467</f>
        <v>0</v>
      </c>
      <c r="C496" s="592">
        <f>ROUND('Balance N-1'!C467,2)</f>
        <v>0</v>
      </c>
      <c r="D496" s="592">
        <f>ROUND('Balance N-1'!D467,2)</f>
        <v>0</v>
      </c>
      <c r="E496" s="592">
        <f>ROUND('Balance N-1'!E467,2)</f>
        <v>0</v>
      </c>
      <c r="F496" s="592">
        <f>ROUND('Balance N-1'!F467,2)</f>
        <v>0</v>
      </c>
      <c r="G496" s="592">
        <f>ROUND('Balance N-1'!G467,2)</f>
        <v>0</v>
      </c>
      <c r="H496" s="592">
        <f>ROUND('Balance N-1'!H467,2)</f>
        <v>0</v>
      </c>
      <c r="I496" s="2" t="str">
        <f t="shared" si="10"/>
        <v>0</v>
      </c>
    </row>
    <row r="497" spans="1:9" x14ac:dyDescent="0.2">
      <c r="A497" s="782" t="str">
        <f>FIXED('Balance N-1'!A468,0,1)</f>
        <v>0</v>
      </c>
      <c r="B497" s="494">
        <f>+'Balance N-1'!B468</f>
        <v>0</v>
      </c>
      <c r="C497" s="592">
        <f>ROUND('Balance N-1'!C468,2)</f>
        <v>0</v>
      </c>
      <c r="D497" s="592">
        <f>ROUND('Balance N-1'!D468,2)</f>
        <v>0</v>
      </c>
      <c r="E497" s="592">
        <f>ROUND('Balance N-1'!E468,2)</f>
        <v>0</v>
      </c>
      <c r="F497" s="592">
        <f>ROUND('Balance N-1'!F468,2)</f>
        <v>0</v>
      </c>
      <c r="G497" s="592">
        <f>ROUND('Balance N-1'!G468,2)</f>
        <v>0</v>
      </c>
      <c r="H497" s="592">
        <f>ROUND('Balance N-1'!H468,2)</f>
        <v>0</v>
      </c>
      <c r="I497" s="2" t="str">
        <f t="shared" si="10"/>
        <v>0</v>
      </c>
    </row>
    <row r="498" spans="1:9" x14ac:dyDescent="0.2">
      <c r="A498" s="782" t="str">
        <f>FIXED('Balance N-1'!A469,0,1)</f>
        <v>0</v>
      </c>
      <c r="B498" s="494">
        <f>+'Balance N-1'!B469</f>
        <v>0</v>
      </c>
      <c r="C498" s="592">
        <f>ROUND('Balance N-1'!C469,2)</f>
        <v>0</v>
      </c>
      <c r="D498" s="592">
        <f>ROUND('Balance N-1'!D469,2)</f>
        <v>0</v>
      </c>
      <c r="E498" s="592">
        <f>ROUND('Balance N-1'!E469,2)</f>
        <v>0</v>
      </c>
      <c r="F498" s="592">
        <f>ROUND('Balance N-1'!F469,2)</f>
        <v>0</v>
      </c>
      <c r="G498" s="592">
        <f>ROUND('Balance N-1'!G469,2)</f>
        <v>0</v>
      </c>
      <c r="H498" s="592">
        <f>ROUND('Balance N-1'!H469,2)</f>
        <v>0</v>
      </c>
      <c r="I498" s="2" t="str">
        <f t="shared" si="10"/>
        <v>0</v>
      </c>
    </row>
    <row r="499" spans="1:9" x14ac:dyDescent="0.2">
      <c r="A499" s="782" t="str">
        <f>FIXED('Balance N-1'!A470,0,1)</f>
        <v>0</v>
      </c>
      <c r="B499" s="494">
        <f>+'Balance N-1'!B470</f>
        <v>0</v>
      </c>
      <c r="C499" s="592">
        <f>ROUND('Balance N-1'!C470,2)</f>
        <v>0</v>
      </c>
      <c r="D499" s="592">
        <f>ROUND('Balance N-1'!D470,2)</f>
        <v>0</v>
      </c>
      <c r="E499" s="592">
        <f>ROUND('Balance N-1'!E470,2)</f>
        <v>0</v>
      </c>
      <c r="F499" s="592">
        <f>ROUND('Balance N-1'!F470,2)</f>
        <v>0</v>
      </c>
      <c r="G499" s="592">
        <f>ROUND('Balance N-1'!G470,2)</f>
        <v>0</v>
      </c>
      <c r="H499" s="592">
        <f>ROUND('Balance N-1'!H470,2)</f>
        <v>0</v>
      </c>
      <c r="I499" s="2" t="str">
        <f t="shared" si="10"/>
        <v>0</v>
      </c>
    </row>
    <row r="500" spans="1:9" x14ac:dyDescent="0.2">
      <c r="A500" s="782" t="str">
        <f>FIXED('Balance N-1'!A471,0,1)</f>
        <v>0</v>
      </c>
      <c r="B500" s="494">
        <f>+'Balance N-1'!B471</f>
        <v>0</v>
      </c>
      <c r="C500" s="592">
        <f>ROUND('Balance N-1'!C471,2)</f>
        <v>0</v>
      </c>
      <c r="D500" s="592">
        <f>ROUND('Balance N-1'!D471,2)</f>
        <v>0</v>
      </c>
      <c r="E500" s="592">
        <f>ROUND('Balance N-1'!E471,2)</f>
        <v>0</v>
      </c>
      <c r="F500" s="592">
        <f>ROUND('Balance N-1'!F471,2)</f>
        <v>0</v>
      </c>
      <c r="G500" s="592">
        <f>ROUND('Balance N-1'!G471,2)</f>
        <v>0</v>
      </c>
      <c r="H500" s="592">
        <f>ROUND('Balance N-1'!H471,2)</f>
        <v>0</v>
      </c>
      <c r="I500" s="2" t="str">
        <f t="shared" si="10"/>
        <v>0</v>
      </c>
    </row>
    <row r="501" spans="1:9" x14ac:dyDescent="0.2">
      <c r="A501" s="782" t="str">
        <f>FIXED('Balance N-1'!A472,0,1)</f>
        <v>0</v>
      </c>
      <c r="B501" s="494">
        <f>+'Balance N-1'!B472</f>
        <v>0</v>
      </c>
      <c r="C501" s="592">
        <f>ROUND('Balance N-1'!C472,2)</f>
        <v>0</v>
      </c>
      <c r="D501" s="592">
        <f>ROUND('Balance N-1'!D472,2)</f>
        <v>0</v>
      </c>
      <c r="E501" s="592">
        <f>ROUND('Balance N-1'!E472,2)</f>
        <v>0</v>
      </c>
      <c r="F501" s="592">
        <f>ROUND('Balance N-1'!F472,2)</f>
        <v>0</v>
      </c>
      <c r="G501" s="592">
        <f>ROUND('Balance N-1'!G472,2)</f>
        <v>0</v>
      </c>
      <c r="H501" s="592">
        <f>ROUND('Balance N-1'!H472,2)</f>
        <v>0</v>
      </c>
      <c r="I501" s="2" t="str">
        <f t="shared" si="10"/>
        <v>0</v>
      </c>
    </row>
    <row r="502" spans="1:9" x14ac:dyDescent="0.2">
      <c r="A502" s="782" t="str">
        <f>FIXED('Balance N-1'!A473,0,1)</f>
        <v>0</v>
      </c>
      <c r="B502" s="494">
        <f>+'Balance N-1'!B473</f>
        <v>0</v>
      </c>
      <c r="C502" s="592">
        <f>ROUND('Balance N-1'!C473,2)</f>
        <v>0</v>
      </c>
      <c r="D502" s="592">
        <f>ROUND('Balance N-1'!D473,2)</f>
        <v>0</v>
      </c>
      <c r="E502" s="592">
        <f>ROUND('Balance N-1'!E473,2)</f>
        <v>0</v>
      </c>
      <c r="F502" s="592">
        <f>ROUND('Balance N-1'!F473,2)</f>
        <v>0</v>
      </c>
      <c r="G502" s="592">
        <f>ROUND('Balance N-1'!G473,2)</f>
        <v>0</v>
      </c>
      <c r="H502" s="592">
        <f>ROUND('Balance N-1'!H473,2)</f>
        <v>0</v>
      </c>
      <c r="I502" s="2" t="str">
        <f t="shared" si="10"/>
        <v>0</v>
      </c>
    </row>
    <row r="503" spans="1:9" x14ac:dyDescent="0.2">
      <c r="A503" s="782" t="str">
        <f>FIXED('Balance N-1'!A474,0,1)</f>
        <v>0</v>
      </c>
      <c r="B503" s="494">
        <f>+'Balance N-1'!B474</f>
        <v>0</v>
      </c>
      <c r="C503" s="592">
        <f>ROUND('Balance N-1'!C474,2)</f>
        <v>0</v>
      </c>
      <c r="D503" s="592">
        <f>ROUND('Balance N-1'!D474,2)</f>
        <v>0</v>
      </c>
      <c r="E503" s="592">
        <f>ROUND('Balance N-1'!E474,2)</f>
        <v>0</v>
      </c>
      <c r="F503" s="592">
        <f>ROUND('Balance N-1'!F474,2)</f>
        <v>0</v>
      </c>
      <c r="G503" s="592">
        <f>ROUND('Balance N-1'!G474,2)</f>
        <v>0</v>
      </c>
      <c r="H503" s="592">
        <f>ROUND('Balance N-1'!H474,2)</f>
        <v>0</v>
      </c>
      <c r="I503" s="2" t="str">
        <f t="shared" si="10"/>
        <v>0</v>
      </c>
    </row>
    <row r="504" spans="1:9" x14ac:dyDescent="0.2">
      <c r="A504" s="782" t="str">
        <f>FIXED('Balance N-1'!A475,0,1)</f>
        <v>0</v>
      </c>
      <c r="B504" s="494">
        <f>+'Balance N-1'!B475</f>
        <v>0</v>
      </c>
      <c r="C504" s="592">
        <f>ROUND('Balance N-1'!C475,2)</f>
        <v>0</v>
      </c>
      <c r="D504" s="592">
        <f>ROUND('Balance N-1'!D475,2)</f>
        <v>0</v>
      </c>
      <c r="E504" s="592">
        <f>ROUND('Balance N-1'!E475,2)</f>
        <v>0</v>
      </c>
      <c r="F504" s="592">
        <f>ROUND('Balance N-1'!F475,2)</f>
        <v>0</v>
      </c>
      <c r="G504" s="592">
        <f>ROUND('Balance N-1'!G475,2)</f>
        <v>0</v>
      </c>
      <c r="H504" s="592">
        <f>ROUND('Balance N-1'!H475,2)</f>
        <v>0</v>
      </c>
      <c r="I504" s="2" t="str">
        <f t="shared" si="10"/>
        <v>0</v>
      </c>
    </row>
    <row r="505" spans="1:9" x14ac:dyDescent="0.2">
      <c r="A505" s="782" t="str">
        <f>FIXED('Balance N-1'!A476,0,1)</f>
        <v>0</v>
      </c>
      <c r="B505" s="494">
        <f>+'Balance N-1'!B476</f>
        <v>0</v>
      </c>
      <c r="C505" s="592">
        <f>ROUND('Balance N-1'!C476,2)</f>
        <v>0</v>
      </c>
      <c r="D505" s="592">
        <f>ROUND('Balance N-1'!D476,2)</f>
        <v>0</v>
      </c>
      <c r="E505" s="592">
        <f>ROUND('Balance N-1'!E476,2)</f>
        <v>0</v>
      </c>
      <c r="F505" s="592">
        <f>ROUND('Balance N-1'!F476,2)</f>
        <v>0</v>
      </c>
      <c r="G505" s="592">
        <f>ROUND('Balance N-1'!G476,2)</f>
        <v>0</v>
      </c>
      <c r="H505" s="592">
        <f>ROUND('Balance N-1'!H476,2)</f>
        <v>0</v>
      </c>
      <c r="I505" s="2" t="str">
        <f t="shared" si="10"/>
        <v>0</v>
      </c>
    </row>
    <row r="506" spans="1:9" x14ac:dyDescent="0.2">
      <c r="A506" s="782" t="str">
        <f>FIXED('Balance N-1'!A477,0,1)</f>
        <v>0</v>
      </c>
      <c r="B506" s="494">
        <f>+'Balance N-1'!B477</f>
        <v>0</v>
      </c>
      <c r="C506" s="592">
        <f>ROUND('Balance N-1'!C477,2)</f>
        <v>0</v>
      </c>
      <c r="D506" s="592">
        <f>ROUND('Balance N-1'!D477,2)</f>
        <v>0</v>
      </c>
      <c r="E506" s="592">
        <f>ROUND('Balance N-1'!E477,2)</f>
        <v>0</v>
      </c>
      <c r="F506" s="592">
        <f>ROUND('Balance N-1'!F477,2)</f>
        <v>0</v>
      </c>
      <c r="G506" s="592">
        <f>ROUND('Balance N-1'!G477,2)</f>
        <v>0</v>
      </c>
      <c r="H506" s="592">
        <f>ROUND('Balance N-1'!H477,2)</f>
        <v>0</v>
      </c>
      <c r="I506" s="2" t="str">
        <f t="shared" si="10"/>
        <v>0</v>
      </c>
    </row>
    <row r="507" spans="1:9" x14ac:dyDescent="0.2">
      <c r="A507" s="782" t="str">
        <f>FIXED('Balance N-1'!A478,0,1)</f>
        <v>0</v>
      </c>
      <c r="B507" s="494">
        <f>+'Balance N-1'!B478</f>
        <v>0</v>
      </c>
      <c r="C507" s="592">
        <f>ROUND('Balance N-1'!C478,2)</f>
        <v>0</v>
      </c>
      <c r="D507" s="592">
        <f>ROUND('Balance N-1'!D478,2)</f>
        <v>0</v>
      </c>
      <c r="E507" s="592">
        <f>ROUND('Balance N-1'!E478,2)</f>
        <v>0</v>
      </c>
      <c r="F507" s="592">
        <f>ROUND('Balance N-1'!F478,2)</f>
        <v>0</v>
      </c>
      <c r="G507" s="592">
        <f>ROUND('Balance N-1'!G478,2)</f>
        <v>0</v>
      </c>
      <c r="H507" s="592">
        <f>ROUND('Balance N-1'!H478,2)</f>
        <v>0</v>
      </c>
      <c r="I507" s="2" t="str">
        <f t="shared" si="10"/>
        <v>0</v>
      </c>
    </row>
    <row r="508" spans="1:9" x14ac:dyDescent="0.2">
      <c r="A508" s="782" t="str">
        <f>FIXED('Balance N-1'!A479,0,1)</f>
        <v>0</v>
      </c>
      <c r="B508" s="494">
        <f>+'Balance N-1'!B479</f>
        <v>0</v>
      </c>
      <c r="C508" s="592">
        <f>ROUND('Balance N-1'!C479,2)</f>
        <v>0</v>
      </c>
      <c r="D508" s="592">
        <f>ROUND('Balance N-1'!D479,2)</f>
        <v>0</v>
      </c>
      <c r="E508" s="592">
        <f>ROUND('Balance N-1'!E479,2)</f>
        <v>0</v>
      </c>
      <c r="F508" s="592">
        <f>ROUND('Balance N-1'!F479,2)</f>
        <v>0</v>
      </c>
      <c r="G508" s="592">
        <f>ROUND('Balance N-1'!G479,2)</f>
        <v>0</v>
      </c>
      <c r="H508" s="592">
        <f>ROUND('Balance N-1'!H479,2)</f>
        <v>0</v>
      </c>
      <c r="I508" s="2" t="str">
        <f t="shared" si="10"/>
        <v>0</v>
      </c>
    </row>
    <row r="509" spans="1:9" x14ac:dyDescent="0.2">
      <c r="A509" s="782" t="str">
        <f>FIXED('Balance N-1'!A480,0,1)</f>
        <v>0</v>
      </c>
      <c r="B509" s="494">
        <f>+'Balance N-1'!B480</f>
        <v>0</v>
      </c>
      <c r="C509" s="592">
        <f>ROUND('Balance N-1'!C480,2)</f>
        <v>0</v>
      </c>
      <c r="D509" s="592">
        <f>ROUND('Balance N-1'!D480,2)</f>
        <v>0</v>
      </c>
      <c r="E509" s="592">
        <f>ROUND('Balance N-1'!E480,2)</f>
        <v>0</v>
      </c>
      <c r="F509" s="592">
        <f>ROUND('Balance N-1'!F480,2)</f>
        <v>0</v>
      </c>
      <c r="G509" s="592">
        <f>ROUND('Balance N-1'!G480,2)</f>
        <v>0</v>
      </c>
      <c r="H509" s="592">
        <f>ROUND('Balance N-1'!H480,2)</f>
        <v>0</v>
      </c>
      <c r="I509" s="2" t="str">
        <f t="shared" si="10"/>
        <v>0</v>
      </c>
    </row>
    <row r="510" spans="1:9" x14ac:dyDescent="0.2">
      <c r="A510" s="782" t="str">
        <f>FIXED('Balance N-1'!A481,0,1)</f>
        <v>0</v>
      </c>
      <c r="B510" s="494">
        <f>+'Balance N-1'!B481</f>
        <v>0</v>
      </c>
      <c r="C510" s="592">
        <f>ROUND('Balance N-1'!C481,2)</f>
        <v>0</v>
      </c>
      <c r="D510" s="592">
        <f>ROUND('Balance N-1'!D481,2)</f>
        <v>0</v>
      </c>
      <c r="E510" s="592">
        <f>ROUND('Balance N-1'!E481,2)</f>
        <v>0</v>
      </c>
      <c r="F510" s="592">
        <f>ROUND('Balance N-1'!F481,2)</f>
        <v>0</v>
      </c>
      <c r="G510" s="592">
        <f>ROUND('Balance N-1'!G481,2)</f>
        <v>0</v>
      </c>
      <c r="H510" s="592">
        <f>ROUND('Balance N-1'!H481,2)</f>
        <v>0</v>
      </c>
      <c r="I510" s="2" t="str">
        <f t="shared" si="10"/>
        <v>0</v>
      </c>
    </row>
    <row r="511" spans="1:9" x14ac:dyDescent="0.2">
      <c r="A511" s="782" t="str">
        <f>FIXED('Balance N-1'!A482,0,1)</f>
        <v>0</v>
      </c>
      <c r="B511" s="494">
        <f>+'Balance N-1'!B482</f>
        <v>0</v>
      </c>
      <c r="C511" s="592">
        <f>ROUND('Balance N-1'!C482,2)</f>
        <v>0</v>
      </c>
      <c r="D511" s="592">
        <f>ROUND('Balance N-1'!D482,2)</f>
        <v>0</v>
      </c>
      <c r="E511" s="592">
        <f>ROUND('Balance N-1'!E482,2)</f>
        <v>0</v>
      </c>
      <c r="F511" s="592">
        <f>ROUND('Balance N-1'!F482,2)</f>
        <v>0</v>
      </c>
      <c r="G511" s="592">
        <f>ROUND('Balance N-1'!G482,2)</f>
        <v>0</v>
      </c>
      <c r="H511" s="592">
        <f>ROUND('Balance N-1'!H482,2)</f>
        <v>0</v>
      </c>
      <c r="I511" s="2" t="str">
        <f t="shared" si="10"/>
        <v>0</v>
      </c>
    </row>
    <row r="512" spans="1:9" x14ac:dyDescent="0.2">
      <c r="A512" s="782" t="str">
        <f>FIXED('Balance N-1'!A483,0,1)</f>
        <v>0</v>
      </c>
      <c r="B512" s="494">
        <f>+'Balance N-1'!B483</f>
        <v>0</v>
      </c>
      <c r="C512" s="592">
        <f>ROUND('Balance N-1'!C483,2)</f>
        <v>0</v>
      </c>
      <c r="D512" s="592">
        <f>ROUND('Balance N-1'!D483,2)</f>
        <v>0</v>
      </c>
      <c r="E512" s="592">
        <f>ROUND('Balance N-1'!E483,2)</f>
        <v>0</v>
      </c>
      <c r="F512" s="592">
        <f>ROUND('Balance N-1'!F483,2)</f>
        <v>0</v>
      </c>
      <c r="G512" s="592">
        <f>ROUND('Balance N-1'!G483,2)</f>
        <v>0</v>
      </c>
      <c r="H512" s="592">
        <f>ROUND('Balance N-1'!H483,2)</f>
        <v>0</v>
      </c>
      <c r="I512" s="2" t="str">
        <f t="shared" si="10"/>
        <v>0</v>
      </c>
    </row>
    <row r="513" spans="1:9" x14ac:dyDescent="0.2">
      <c r="A513" s="782" t="str">
        <f>FIXED('Balance N-1'!A484,0,1)</f>
        <v>0</v>
      </c>
      <c r="B513" s="494">
        <f>+'Balance N-1'!B484</f>
        <v>0</v>
      </c>
      <c r="C513" s="592">
        <f>ROUND('Balance N-1'!C484,2)</f>
        <v>0</v>
      </c>
      <c r="D513" s="592">
        <f>ROUND('Balance N-1'!D484,2)</f>
        <v>0</v>
      </c>
      <c r="E513" s="592">
        <f>ROUND('Balance N-1'!E484,2)</f>
        <v>0</v>
      </c>
      <c r="F513" s="592">
        <f>ROUND('Balance N-1'!F484,2)</f>
        <v>0</v>
      </c>
      <c r="G513" s="592">
        <f>ROUND('Balance N-1'!G484,2)</f>
        <v>0</v>
      </c>
      <c r="H513" s="592">
        <f>ROUND('Balance N-1'!H484,2)</f>
        <v>0</v>
      </c>
      <c r="I513" s="2" t="str">
        <f t="shared" si="10"/>
        <v>0</v>
      </c>
    </row>
    <row r="514" spans="1:9" x14ac:dyDescent="0.2">
      <c r="A514" s="782" t="str">
        <f>FIXED('Balance N-1'!A485,0,1)</f>
        <v>0</v>
      </c>
      <c r="B514" s="494">
        <f>+'Balance N-1'!B485</f>
        <v>0</v>
      </c>
      <c r="C514" s="592">
        <f>ROUND('Balance N-1'!C485,2)</f>
        <v>0</v>
      </c>
      <c r="D514" s="592">
        <f>ROUND('Balance N-1'!D485,2)</f>
        <v>0</v>
      </c>
      <c r="E514" s="592">
        <f>ROUND('Balance N-1'!E485,2)</f>
        <v>0</v>
      </c>
      <c r="F514" s="592">
        <f>ROUND('Balance N-1'!F485,2)</f>
        <v>0</v>
      </c>
      <c r="G514" s="592">
        <f>ROUND('Balance N-1'!G485,2)</f>
        <v>0</v>
      </c>
      <c r="H514" s="592">
        <f>ROUND('Balance N-1'!H485,2)</f>
        <v>0</v>
      </c>
      <c r="I514" s="2" t="str">
        <f t="shared" si="10"/>
        <v>0</v>
      </c>
    </row>
    <row r="515" spans="1:9" x14ac:dyDescent="0.2">
      <c r="A515" s="782" t="str">
        <f>FIXED('Balance N-1'!A486,0,1)</f>
        <v>0</v>
      </c>
      <c r="B515" s="494">
        <f>+'Balance N-1'!B486</f>
        <v>0</v>
      </c>
      <c r="C515" s="592">
        <f>ROUND('Balance N-1'!C486,2)</f>
        <v>0</v>
      </c>
      <c r="D515" s="592">
        <f>ROUND('Balance N-1'!D486,2)</f>
        <v>0</v>
      </c>
      <c r="E515" s="592">
        <f>ROUND('Balance N-1'!E486,2)</f>
        <v>0</v>
      </c>
      <c r="F515" s="592">
        <f>ROUND('Balance N-1'!F486,2)</f>
        <v>0</v>
      </c>
      <c r="G515" s="592">
        <f>ROUND('Balance N-1'!G486,2)</f>
        <v>0</v>
      </c>
      <c r="H515" s="592">
        <f>ROUND('Balance N-1'!H486,2)</f>
        <v>0</v>
      </c>
      <c r="I515" s="2" t="str">
        <f t="shared" ref="I515:I578" si="11">MID(A515,1,1)</f>
        <v>0</v>
      </c>
    </row>
    <row r="516" spans="1:9" x14ac:dyDescent="0.2">
      <c r="A516" s="782" t="str">
        <f>FIXED('Balance N-1'!A487,0,1)</f>
        <v>0</v>
      </c>
      <c r="B516" s="494">
        <f>+'Balance N-1'!B487</f>
        <v>0</v>
      </c>
      <c r="C516" s="592">
        <f>ROUND('Balance N-1'!C487,2)</f>
        <v>0</v>
      </c>
      <c r="D516" s="592">
        <f>ROUND('Balance N-1'!D487,2)</f>
        <v>0</v>
      </c>
      <c r="E516" s="592">
        <f>ROUND('Balance N-1'!E487,2)</f>
        <v>0</v>
      </c>
      <c r="F516" s="592">
        <f>ROUND('Balance N-1'!F487,2)</f>
        <v>0</v>
      </c>
      <c r="G516" s="592">
        <f>ROUND('Balance N-1'!G487,2)</f>
        <v>0</v>
      </c>
      <c r="H516" s="592">
        <f>ROUND('Balance N-1'!H487,2)</f>
        <v>0</v>
      </c>
      <c r="I516" s="2" t="str">
        <f t="shared" si="11"/>
        <v>0</v>
      </c>
    </row>
    <row r="517" spans="1:9" x14ac:dyDescent="0.2">
      <c r="A517" s="782" t="str">
        <f>FIXED('Balance N-1'!A488,0,1)</f>
        <v>0</v>
      </c>
      <c r="B517" s="494">
        <f>+'Balance N-1'!B488</f>
        <v>0</v>
      </c>
      <c r="C517" s="592">
        <f>ROUND('Balance N-1'!C488,2)</f>
        <v>0</v>
      </c>
      <c r="D517" s="592">
        <f>ROUND('Balance N-1'!D488,2)</f>
        <v>0</v>
      </c>
      <c r="E517" s="592">
        <f>ROUND('Balance N-1'!E488,2)</f>
        <v>0</v>
      </c>
      <c r="F517" s="592">
        <f>ROUND('Balance N-1'!F488,2)</f>
        <v>0</v>
      </c>
      <c r="G517" s="592">
        <f>ROUND('Balance N-1'!G488,2)</f>
        <v>0</v>
      </c>
      <c r="H517" s="592">
        <f>ROUND('Balance N-1'!H488,2)</f>
        <v>0</v>
      </c>
      <c r="I517" s="2" t="str">
        <f t="shared" si="11"/>
        <v>0</v>
      </c>
    </row>
    <row r="518" spans="1:9" x14ac:dyDescent="0.2">
      <c r="A518" s="782" t="str">
        <f>FIXED('Balance N-1'!A489,0,1)</f>
        <v>0</v>
      </c>
      <c r="B518" s="494">
        <f>+'Balance N-1'!B489</f>
        <v>0</v>
      </c>
      <c r="C518" s="592">
        <f>ROUND('Balance N-1'!C489,2)</f>
        <v>0</v>
      </c>
      <c r="D518" s="592">
        <f>ROUND('Balance N-1'!D489,2)</f>
        <v>0</v>
      </c>
      <c r="E518" s="592">
        <f>ROUND('Balance N-1'!E489,2)</f>
        <v>0</v>
      </c>
      <c r="F518" s="592">
        <f>ROUND('Balance N-1'!F489,2)</f>
        <v>0</v>
      </c>
      <c r="G518" s="592">
        <f>ROUND('Balance N-1'!G489,2)</f>
        <v>0</v>
      </c>
      <c r="H518" s="592">
        <f>ROUND('Balance N-1'!H489,2)</f>
        <v>0</v>
      </c>
      <c r="I518" s="2" t="str">
        <f t="shared" si="11"/>
        <v>0</v>
      </c>
    </row>
    <row r="519" spans="1:9" x14ac:dyDescent="0.2">
      <c r="A519" s="782" t="str">
        <f>FIXED('Balance N-1'!A490,0,1)</f>
        <v>0</v>
      </c>
      <c r="B519" s="494">
        <f>+'Balance N-1'!B490</f>
        <v>0</v>
      </c>
      <c r="C519" s="592">
        <f>ROUND('Balance N-1'!C490,2)</f>
        <v>0</v>
      </c>
      <c r="D519" s="592">
        <f>ROUND('Balance N-1'!D490,2)</f>
        <v>0</v>
      </c>
      <c r="E519" s="592">
        <f>ROUND('Balance N-1'!E490,2)</f>
        <v>0</v>
      </c>
      <c r="F519" s="592">
        <f>ROUND('Balance N-1'!F490,2)</f>
        <v>0</v>
      </c>
      <c r="G519" s="592">
        <f>ROUND('Balance N-1'!G490,2)</f>
        <v>0</v>
      </c>
      <c r="H519" s="592">
        <f>ROUND('Balance N-1'!H490,2)</f>
        <v>0</v>
      </c>
      <c r="I519" s="2" t="str">
        <f t="shared" si="11"/>
        <v>0</v>
      </c>
    </row>
    <row r="520" spans="1:9" x14ac:dyDescent="0.2">
      <c r="A520" s="782" t="str">
        <f>FIXED('Balance N-1'!A491,0,1)</f>
        <v>0</v>
      </c>
      <c r="B520" s="494">
        <f>+'Balance N-1'!B491</f>
        <v>0</v>
      </c>
      <c r="C520" s="592">
        <f>ROUND('Balance N-1'!C491,2)</f>
        <v>0</v>
      </c>
      <c r="D520" s="592">
        <f>ROUND('Balance N-1'!D491,2)</f>
        <v>0</v>
      </c>
      <c r="E520" s="592">
        <f>ROUND('Balance N-1'!E491,2)</f>
        <v>0</v>
      </c>
      <c r="F520" s="592">
        <f>ROUND('Balance N-1'!F491,2)</f>
        <v>0</v>
      </c>
      <c r="G520" s="592">
        <f>ROUND('Balance N-1'!G491,2)</f>
        <v>0</v>
      </c>
      <c r="H520" s="592">
        <f>ROUND('Balance N-1'!H491,2)</f>
        <v>0</v>
      </c>
      <c r="I520" s="2" t="str">
        <f t="shared" si="11"/>
        <v>0</v>
      </c>
    </row>
    <row r="521" spans="1:9" x14ac:dyDescent="0.2">
      <c r="A521" s="782" t="str">
        <f>FIXED('Balance N-1'!A492,0,1)</f>
        <v>0</v>
      </c>
      <c r="B521" s="494">
        <f>+'Balance N-1'!B492</f>
        <v>0</v>
      </c>
      <c r="C521" s="592">
        <f>ROUND('Balance N-1'!C492,2)</f>
        <v>0</v>
      </c>
      <c r="D521" s="592">
        <f>ROUND('Balance N-1'!D492,2)</f>
        <v>0</v>
      </c>
      <c r="E521" s="592">
        <f>ROUND('Balance N-1'!E492,2)</f>
        <v>0</v>
      </c>
      <c r="F521" s="592">
        <f>ROUND('Balance N-1'!F492,2)</f>
        <v>0</v>
      </c>
      <c r="G521" s="592">
        <f>ROUND('Balance N-1'!G492,2)</f>
        <v>0</v>
      </c>
      <c r="H521" s="592">
        <f>ROUND('Balance N-1'!H492,2)</f>
        <v>0</v>
      </c>
      <c r="I521" s="2" t="str">
        <f t="shared" si="11"/>
        <v>0</v>
      </c>
    </row>
    <row r="522" spans="1:9" x14ac:dyDescent="0.2">
      <c r="A522" s="782" t="str">
        <f>FIXED('Balance N-1'!A493,0,1)</f>
        <v>0</v>
      </c>
      <c r="B522" s="494">
        <f>+'Balance N-1'!B493</f>
        <v>0</v>
      </c>
      <c r="C522" s="592">
        <f>ROUND('Balance N-1'!C493,2)</f>
        <v>0</v>
      </c>
      <c r="D522" s="592">
        <f>ROUND('Balance N-1'!D493,2)</f>
        <v>0</v>
      </c>
      <c r="E522" s="592">
        <f>ROUND('Balance N-1'!E493,2)</f>
        <v>0</v>
      </c>
      <c r="F522" s="592">
        <f>ROUND('Balance N-1'!F493,2)</f>
        <v>0</v>
      </c>
      <c r="G522" s="592">
        <f>ROUND('Balance N-1'!G493,2)</f>
        <v>0</v>
      </c>
      <c r="H522" s="592">
        <f>ROUND('Balance N-1'!H493,2)</f>
        <v>0</v>
      </c>
      <c r="I522" s="2" t="str">
        <f t="shared" si="11"/>
        <v>0</v>
      </c>
    </row>
    <row r="523" spans="1:9" x14ac:dyDescent="0.2">
      <c r="A523" s="782" t="str">
        <f>FIXED('Balance N-1'!A494,0,1)</f>
        <v>0</v>
      </c>
      <c r="B523" s="494">
        <f>+'Balance N-1'!B494</f>
        <v>0</v>
      </c>
      <c r="C523" s="592">
        <f>ROUND('Balance N-1'!C494,2)</f>
        <v>0</v>
      </c>
      <c r="D523" s="592">
        <f>ROUND('Balance N-1'!D494,2)</f>
        <v>0</v>
      </c>
      <c r="E523" s="592">
        <f>ROUND('Balance N-1'!E494,2)</f>
        <v>0</v>
      </c>
      <c r="F523" s="592">
        <f>ROUND('Balance N-1'!F494,2)</f>
        <v>0</v>
      </c>
      <c r="G523" s="592">
        <f>ROUND('Balance N-1'!G494,2)</f>
        <v>0</v>
      </c>
      <c r="H523" s="592">
        <f>ROUND('Balance N-1'!H494,2)</f>
        <v>0</v>
      </c>
      <c r="I523" s="2" t="str">
        <f t="shared" si="11"/>
        <v>0</v>
      </c>
    </row>
    <row r="524" spans="1:9" x14ac:dyDescent="0.2">
      <c r="A524" s="782" t="str">
        <f>FIXED('Balance N-1'!A495,0,1)</f>
        <v>0</v>
      </c>
      <c r="B524" s="494">
        <f>+'Balance N-1'!B495</f>
        <v>0</v>
      </c>
      <c r="C524" s="592">
        <f>ROUND('Balance N-1'!C495,2)</f>
        <v>0</v>
      </c>
      <c r="D524" s="592">
        <f>ROUND('Balance N-1'!D495,2)</f>
        <v>0</v>
      </c>
      <c r="E524" s="592">
        <f>ROUND('Balance N-1'!E495,2)</f>
        <v>0</v>
      </c>
      <c r="F524" s="592">
        <f>ROUND('Balance N-1'!F495,2)</f>
        <v>0</v>
      </c>
      <c r="G524" s="592">
        <f>ROUND('Balance N-1'!G495,2)</f>
        <v>0</v>
      </c>
      <c r="H524" s="592">
        <f>ROUND('Balance N-1'!H495,2)</f>
        <v>0</v>
      </c>
      <c r="I524" s="2" t="str">
        <f t="shared" si="11"/>
        <v>0</v>
      </c>
    </row>
    <row r="525" spans="1:9" x14ac:dyDescent="0.2">
      <c r="A525" s="782" t="str">
        <f>FIXED('Balance N-1'!A496,0,1)</f>
        <v>0</v>
      </c>
      <c r="B525" s="494">
        <f>+'Balance N-1'!B496</f>
        <v>0</v>
      </c>
      <c r="C525" s="592">
        <f>ROUND('Balance N-1'!C496,2)</f>
        <v>0</v>
      </c>
      <c r="D525" s="592">
        <f>ROUND('Balance N-1'!D496,2)</f>
        <v>0</v>
      </c>
      <c r="E525" s="592">
        <f>ROUND('Balance N-1'!E496,2)</f>
        <v>0</v>
      </c>
      <c r="F525" s="592">
        <f>ROUND('Balance N-1'!F496,2)</f>
        <v>0</v>
      </c>
      <c r="G525" s="592">
        <f>ROUND('Balance N-1'!G496,2)</f>
        <v>0</v>
      </c>
      <c r="H525" s="592">
        <f>ROUND('Balance N-1'!H496,2)</f>
        <v>0</v>
      </c>
      <c r="I525" s="2" t="str">
        <f t="shared" si="11"/>
        <v>0</v>
      </c>
    </row>
    <row r="526" spans="1:9" x14ac:dyDescent="0.2">
      <c r="A526" s="782" t="str">
        <f>FIXED('Balance N-1'!A497,0,1)</f>
        <v>0</v>
      </c>
      <c r="B526" s="494">
        <f>+'Balance N-1'!B497</f>
        <v>0</v>
      </c>
      <c r="C526" s="592">
        <f>ROUND('Balance N-1'!C497,2)</f>
        <v>0</v>
      </c>
      <c r="D526" s="592">
        <f>ROUND('Balance N-1'!D497,2)</f>
        <v>0</v>
      </c>
      <c r="E526" s="592">
        <f>ROUND('Balance N-1'!E497,2)</f>
        <v>0</v>
      </c>
      <c r="F526" s="592">
        <f>ROUND('Balance N-1'!F497,2)</f>
        <v>0</v>
      </c>
      <c r="G526" s="592">
        <f>ROUND('Balance N-1'!G497,2)</f>
        <v>0</v>
      </c>
      <c r="H526" s="592">
        <f>ROUND('Balance N-1'!H497,2)</f>
        <v>0</v>
      </c>
      <c r="I526" s="2" t="str">
        <f t="shared" si="11"/>
        <v>0</v>
      </c>
    </row>
    <row r="527" spans="1:9" x14ac:dyDescent="0.2">
      <c r="A527" s="782" t="str">
        <f>FIXED('Balance N-1'!A498,0,1)</f>
        <v>0</v>
      </c>
      <c r="B527" s="494">
        <f>+'Balance N-1'!B498</f>
        <v>0</v>
      </c>
      <c r="C527" s="592">
        <f>ROUND('Balance N-1'!C498,2)</f>
        <v>0</v>
      </c>
      <c r="D527" s="592">
        <f>ROUND('Balance N-1'!D498,2)</f>
        <v>0</v>
      </c>
      <c r="E527" s="592">
        <f>ROUND('Balance N-1'!E498,2)</f>
        <v>0</v>
      </c>
      <c r="F527" s="592">
        <f>ROUND('Balance N-1'!F498,2)</f>
        <v>0</v>
      </c>
      <c r="G527" s="592">
        <f>ROUND('Balance N-1'!G498,2)</f>
        <v>0</v>
      </c>
      <c r="H527" s="592">
        <f>ROUND('Balance N-1'!H498,2)</f>
        <v>0</v>
      </c>
      <c r="I527" s="2" t="str">
        <f t="shared" si="11"/>
        <v>0</v>
      </c>
    </row>
    <row r="528" spans="1:9" x14ac:dyDescent="0.2">
      <c r="A528" s="782" t="str">
        <f>FIXED('Balance N-1'!A499,0,1)</f>
        <v>0</v>
      </c>
      <c r="B528" s="494">
        <f>+'Balance N-1'!B499</f>
        <v>0</v>
      </c>
      <c r="C528" s="592">
        <f>ROUND('Balance N-1'!C499,2)</f>
        <v>0</v>
      </c>
      <c r="D528" s="592">
        <f>ROUND('Balance N-1'!D499,2)</f>
        <v>0</v>
      </c>
      <c r="E528" s="592">
        <f>ROUND('Balance N-1'!E499,2)</f>
        <v>0</v>
      </c>
      <c r="F528" s="592">
        <f>ROUND('Balance N-1'!F499,2)</f>
        <v>0</v>
      </c>
      <c r="G528" s="592">
        <f>ROUND('Balance N-1'!G499,2)</f>
        <v>0</v>
      </c>
      <c r="H528" s="592">
        <f>ROUND('Balance N-1'!H499,2)</f>
        <v>0</v>
      </c>
      <c r="I528" s="2" t="str">
        <f t="shared" si="11"/>
        <v>0</v>
      </c>
    </row>
    <row r="529" spans="1:9" x14ac:dyDescent="0.2">
      <c r="A529" s="782" t="str">
        <f>FIXED('Balance N-1'!A500,0,1)</f>
        <v>0</v>
      </c>
      <c r="B529" s="494">
        <f>+'Balance N-1'!B500</f>
        <v>0</v>
      </c>
      <c r="C529" s="592">
        <f>ROUND('Balance N-1'!C500,2)</f>
        <v>0</v>
      </c>
      <c r="D529" s="592">
        <f>ROUND('Balance N-1'!D500,2)</f>
        <v>0</v>
      </c>
      <c r="E529" s="592">
        <f>ROUND('Balance N-1'!E500,2)</f>
        <v>0</v>
      </c>
      <c r="F529" s="592">
        <f>ROUND('Balance N-1'!F500,2)</f>
        <v>0</v>
      </c>
      <c r="G529" s="592">
        <f>ROUND('Balance N-1'!G500,2)</f>
        <v>0</v>
      </c>
      <c r="H529" s="592">
        <f>ROUND('Balance N-1'!H500,2)</f>
        <v>0</v>
      </c>
      <c r="I529" s="2" t="str">
        <f t="shared" si="11"/>
        <v>0</v>
      </c>
    </row>
    <row r="530" spans="1:9" x14ac:dyDescent="0.2">
      <c r="A530" s="782" t="str">
        <f>FIXED('Balance N-1'!A501,0,1)</f>
        <v>0</v>
      </c>
      <c r="B530" s="494">
        <f>+'Balance N-1'!B501</f>
        <v>0</v>
      </c>
      <c r="C530" s="592">
        <f>ROUND('Balance N-1'!C501,2)</f>
        <v>0</v>
      </c>
      <c r="D530" s="592">
        <f>ROUND('Balance N-1'!D501,2)</f>
        <v>0</v>
      </c>
      <c r="E530" s="592">
        <f>ROUND('Balance N-1'!E501,2)</f>
        <v>0</v>
      </c>
      <c r="F530" s="592">
        <f>ROUND('Balance N-1'!F501,2)</f>
        <v>0</v>
      </c>
      <c r="G530" s="592">
        <f>ROUND('Balance N-1'!G501,2)</f>
        <v>0</v>
      </c>
      <c r="H530" s="592">
        <f>ROUND('Balance N-1'!H501,2)</f>
        <v>0</v>
      </c>
      <c r="I530" s="2" t="str">
        <f t="shared" si="11"/>
        <v>0</v>
      </c>
    </row>
    <row r="531" spans="1:9" x14ac:dyDescent="0.2">
      <c r="A531" s="782" t="str">
        <f>FIXED('Balance N-1'!A502,0,1)</f>
        <v>0</v>
      </c>
      <c r="B531" s="494">
        <f>+'Balance N-1'!B502</f>
        <v>0</v>
      </c>
      <c r="C531" s="592">
        <f>ROUND('Balance N-1'!C502,2)</f>
        <v>0</v>
      </c>
      <c r="D531" s="592">
        <f>ROUND('Balance N-1'!D502,2)</f>
        <v>0</v>
      </c>
      <c r="E531" s="592">
        <f>ROUND('Balance N-1'!E502,2)</f>
        <v>0</v>
      </c>
      <c r="F531" s="592">
        <f>ROUND('Balance N-1'!F502,2)</f>
        <v>0</v>
      </c>
      <c r="G531" s="592">
        <f>ROUND('Balance N-1'!G502,2)</f>
        <v>0</v>
      </c>
      <c r="H531" s="592">
        <f>ROUND('Balance N-1'!H502,2)</f>
        <v>0</v>
      </c>
      <c r="I531" s="2" t="str">
        <f t="shared" si="11"/>
        <v>0</v>
      </c>
    </row>
    <row r="532" spans="1:9" x14ac:dyDescent="0.2">
      <c r="A532" s="782" t="str">
        <f>FIXED('Balance N-1'!A503,0,1)</f>
        <v>0</v>
      </c>
      <c r="B532" s="494">
        <f>+'Balance N-1'!B503</f>
        <v>0</v>
      </c>
      <c r="C532" s="592">
        <f>ROUND('Balance N-1'!C503,2)</f>
        <v>0</v>
      </c>
      <c r="D532" s="592">
        <f>ROUND('Balance N-1'!D503,2)</f>
        <v>0</v>
      </c>
      <c r="E532" s="592">
        <f>ROUND('Balance N-1'!E503,2)</f>
        <v>0</v>
      </c>
      <c r="F532" s="592">
        <f>ROUND('Balance N-1'!F503,2)</f>
        <v>0</v>
      </c>
      <c r="G532" s="592">
        <f>ROUND('Balance N-1'!G503,2)</f>
        <v>0</v>
      </c>
      <c r="H532" s="592">
        <f>ROUND('Balance N-1'!H503,2)</f>
        <v>0</v>
      </c>
      <c r="I532" s="2" t="str">
        <f t="shared" si="11"/>
        <v>0</v>
      </c>
    </row>
    <row r="533" spans="1:9" x14ac:dyDescent="0.2">
      <c r="A533" s="782" t="str">
        <f>FIXED('Balance N-1'!A504,0,1)</f>
        <v>0</v>
      </c>
      <c r="B533" s="494">
        <f>+'Balance N-1'!B504</f>
        <v>0</v>
      </c>
      <c r="C533" s="592">
        <f>ROUND('Balance N-1'!C504,2)</f>
        <v>0</v>
      </c>
      <c r="D533" s="592">
        <f>ROUND('Balance N-1'!D504,2)</f>
        <v>0</v>
      </c>
      <c r="E533" s="592">
        <f>ROUND('Balance N-1'!E504,2)</f>
        <v>0</v>
      </c>
      <c r="F533" s="592">
        <f>ROUND('Balance N-1'!F504,2)</f>
        <v>0</v>
      </c>
      <c r="G533" s="592">
        <f>ROUND('Balance N-1'!G504,2)</f>
        <v>0</v>
      </c>
      <c r="H533" s="592">
        <f>ROUND('Balance N-1'!H504,2)</f>
        <v>0</v>
      </c>
      <c r="I533" s="2" t="str">
        <f t="shared" si="11"/>
        <v>0</v>
      </c>
    </row>
    <row r="534" spans="1:9" x14ac:dyDescent="0.2">
      <c r="A534" s="782" t="str">
        <f>FIXED('Balance N-1'!A505,0,1)</f>
        <v>0</v>
      </c>
      <c r="B534" s="494">
        <f>+'Balance N-1'!B505</f>
        <v>0</v>
      </c>
      <c r="C534" s="592">
        <f>ROUND('Balance N-1'!C505,2)</f>
        <v>0</v>
      </c>
      <c r="D534" s="592">
        <f>ROUND('Balance N-1'!D505,2)</f>
        <v>0</v>
      </c>
      <c r="E534" s="592">
        <f>ROUND('Balance N-1'!E505,2)</f>
        <v>0</v>
      </c>
      <c r="F534" s="592">
        <f>ROUND('Balance N-1'!F505,2)</f>
        <v>0</v>
      </c>
      <c r="G534" s="592">
        <f>ROUND('Balance N-1'!G505,2)</f>
        <v>0</v>
      </c>
      <c r="H534" s="592">
        <f>ROUND('Balance N-1'!H505,2)</f>
        <v>0</v>
      </c>
      <c r="I534" s="2" t="str">
        <f t="shared" si="11"/>
        <v>0</v>
      </c>
    </row>
    <row r="535" spans="1:9" x14ac:dyDescent="0.2">
      <c r="A535" s="782" t="str">
        <f>FIXED('Balance N-1'!A506,0,1)</f>
        <v>0</v>
      </c>
      <c r="B535" s="494">
        <f>+'Balance N-1'!B506</f>
        <v>0</v>
      </c>
      <c r="C535" s="592">
        <f>ROUND('Balance N-1'!C506,2)</f>
        <v>0</v>
      </c>
      <c r="D535" s="592">
        <f>ROUND('Balance N-1'!D506,2)</f>
        <v>0</v>
      </c>
      <c r="E535" s="592">
        <f>ROUND('Balance N-1'!E506,2)</f>
        <v>0</v>
      </c>
      <c r="F535" s="592">
        <f>ROUND('Balance N-1'!F506,2)</f>
        <v>0</v>
      </c>
      <c r="G535" s="592">
        <f>ROUND('Balance N-1'!G506,2)</f>
        <v>0</v>
      </c>
      <c r="H535" s="592">
        <f>ROUND('Balance N-1'!H506,2)</f>
        <v>0</v>
      </c>
      <c r="I535" s="2" t="str">
        <f t="shared" si="11"/>
        <v>0</v>
      </c>
    </row>
    <row r="536" spans="1:9" x14ac:dyDescent="0.2">
      <c r="A536" s="782" t="str">
        <f>FIXED('Balance N-1'!A507,0,1)</f>
        <v>0</v>
      </c>
      <c r="B536" s="494">
        <f>+'Balance N-1'!B507</f>
        <v>0</v>
      </c>
      <c r="C536" s="592">
        <f>ROUND('Balance N-1'!C507,2)</f>
        <v>0</v>
      </c>
      <c r="D536" s="592">
        <f>ROUND('Balance N-1'!D507,2)</f>
        <v>0</v>
      </c>
      <c r="E536" s="592">
        <f>ROUND('Balance N-1'!E507,2)</f>
        <v>0</v>
      </c>
      <c r="F536" s="592">
        <f>ROUND('Balance N-1'!F507,2)</f>
        <v>0</v>
      </c>
      <c r="G536" s="592">
        <f>ROUND('Balance N-1'!G507,2)</f>
        <v>0</v>
      </c>
      <c r="H536" s="592">
        <f>ROUND('Balance N-1'!H507,2)</f>
        <v>0</v>
      </c>
      <c r="I536" s="2" t="str">
        <f t="shared" si="11"/>
        <v>0</v>
      </c>
    </row>
    <row r="537" spans="1:9" x14ac:dyDescent="0.2">
      <c r="A537" s="782" t="str">
        <f>FIXED('Balance N-1'!A508,0,1)</f>
        <v>0</v>
      </c>
      <c r="B537" s="494">
        <f>+'Balance N-1'!B508</f>
        <v>0</v>
      </c>
      <c r="C537" s="592">
        <f>ROUND('Balance N-1'!C508,2)</f>
        <v>0</v>
      </c>
      <c r="D537" s="592">
        <f>ROUND('Balance N-1'!D508,2)</f>
        <v>0</v>
      </c>
      <c r="E537" s="592">
        <f>ROUND('Balance N-1'!E508,2)</f>
        <v>0</v>
      </c>
      <c r="F537" s="592">
        <f>ROUND('Balance N-1'!F508,2)</f>
        <v>0</v>
      </c>
      <c r="G537" s="592">
        <f>ROUND('Balance N-1'!G508,2)</f>
        <v>0</v>
      </c>
      <c r="H537" s="592">
        <f>ROUND('Balance N-1'!H508,2)</f>
        <v>0</v>
      </c>
      <c r="I537" s="2" t="str">
        <f t="shared" si="11"/>
        <v>0</v>
      </c>
    </row>
    <row r="538" spans="1:9" x14ac:dyDescent="0.2">
      <c r="A538" s="782" t="str">
        <f>FIXED('Balance N-1'!A509,0,1)</f>
        <v>0</v>
      </c>
      <c r="B538" s="494">
        <f>+'Balance N-1'!B509</f>
        <v>0</v>
      </c>
      <c r="C538" s="592">
        <f>ROUND('Balance N-1'!C509,2)</f>
        <v>0</v>
      </c>
      <c r="D538" s="592">
        <f>ROUND('Balance N-1'!D509,2)</f>
        <v>0</v>
      </c>
      <c r="E538" s="592">
        <f>ROUND('Balance N-1'!E509,2)</f>
        <v>0</v>
      </c>
      <c r="F538" s="592">
        <f>ROUND('Balance N-1'!F509,2)</f>
        <v>0</v>
      </c>
      <c r="G538" s="592">
        <f>ROUND('Balance N-1'!G509,2)</f>
        <v>0</v>
      </c>
      <c r="H538" s="592">
        <f>ROUND('Balance N-1'!H509,2)</f>
        <v>0</v>
      </c>
      <c r="I538" s="2" t="str">
        <f t="shared" si="11"/>
        <v>0</v>
      </c>
    </row>
    <row r="539" spans="1:9" x14ac:dyDescent="0.2">
      <c r="A539" s="782" t="str">
        <f>FIXED('Balance N-1'!A510,0,1)</f>
        <v>0</v>
      </c>
      <c r="B539" s="494">
        <f>+'Balance N-1'!B510</f>
        <v>0</v>
      </c>
      <c r="C539" s="592">
        <f>ROUND('Balance N-1'!C510,2)</f>
        <v>0</v>
      </c>
      <c r="D539" s="592">
        <f>ROUND('Balance N-1'!D510,2)</f>
        <v>0</v>
      </c>
      <c r="E539" s="592">
        <f>ROUND('Balance N-1'!E510,2)</f>
        <v>0</v>
      </c>
      <c r="F539" s="592">
        <f>ROUND('Balance N-1'!F510,2)</f>
        <v>0</v>
      </c>
      <c r="G539" s="592">
        <f>ROUND('Balance N-1'!G510,2)</f>
        <v>0</v>
      </c>
      <c r="H539" s="592">
        <f>ROUND('Balance N-1'!H510,2)</f>
        <v>0</v>
      </c>
      <c r="I539" s="2" t="str">
        <f t="shared" si="11"/>
        <v>0</v>
      </c>
    </row>
    <row r="540" spans="1:9" x14ac:dyDescent="0.2">
      <c r="A540" s="782" t="str">
        <f>FIXED('Balance N-1'!A511,0,1)</f>
        <v>0</v>
      </c>
      <c r="B540" s="494">
        <f>+'Balance N-1'!B511</f>
        <v>0</v>
      </c>
      <c r="C540" s="592">
        <f>ROUND('Balance N-1'!C511,2)</f>
        <v>0</v>
      </c>
      <c r="D540" s="592">
        <f>ROUND('Balance N-1'!D511,2)</f>
        <v>0</v>
      </c>
      <c r="E540" s="592">
        <f>ROUND('Balance N-1'!E511,2)</f>
        <v>0</v>
      </c>
      <c r="F540" s="592">
        <f>ROUND('Balance N-1'!F511,2)</f>
        <v>0</v>
      </c>
      <c r="G540" s="592">
        <f>ROUND('Balance N-1'!G511,2)</f>
        <v>0</v>
      </c>
      <c r="H540" s="592">
        <f>ROUND('Balance N-1'!H511,2)</f>
        <v>0</v>
      </c>
      <c r="I540" s="2" t="str">
        <f t="shared" si="11"/>
        <v>0</v>
      </c>
    </row>
    <row r="541" spans="1:9" x14ac:dyDescent="0.2">
      <c r="A541" s="782" t="str">
        <f>FIXED('Balance N-1'!A512,0,1)</f>
        <v>0</v>
      </c>
      <c r="B541" s="494">
        <f>+'Balance N-1'!B512</f>
        <v>0</v>
      </c>
      <c r="C541" s="592">
        <f>ROUND('Balance N-1'!C512,2)</f>
        <v>0</v>
      </c>
      <c r="D541" s="592">
        <f>ROUND('Balance N-1'!D512,2)</f>
        <v>0</v>
      </c>
      <c r="E541" s="592">
        <f>ROUND('Balance N-1'!E512,2)</f>
        <v>0</v>
      </c>
      <c r="F541" s="592">
        <f>ROUND('Balance N-1'!F512,2)</f>
        <v>0</v>
      </c>
      <c r="G541" s="592">
        <f>ROUND('Balance N-1'!G512,2)</f>
        <v>0</v>
      </c>
      <c r="H541" s="592">
        <f>ROUND('Balance N-1'!H512,2)</f>
        <v>0</v>
      </c>
      <c r="I541" s="2" t="str">
        <f t="shared" si="11"/>
        <v>0</v>
      </c>
    </row>
    <row r="542" spans="1:9" x14ac:dyDescent="0.2">
      <c r="A542" s="782" t="str">
        <f>FIXED('Balance N-1'!A513,0,1)</f>
        <v>0</v>
      </c>
      <c r="B542" s="494">
        <f>+'Balance N-1'!B513</f>
        <v>0</v>
      </c>
      <c r="C542" s="592">
        <f>ROUND('Balance N-1'!C513,2)</f>
        <v>0</v>
      </c>
      <c r="D542" s="592">
        <f>ROUND('Balance N-1'!D513,2)</f>
        <v>0</v>
      </c>
      <c r="E542" s="592">
        <f>ROUND('Balance N-1'!E513,2)</f>
        <v>0</v>
      </c>
      <c r="F542" s="592">
        <f>ROUND('Balance N-1'!F513,2)</f>
        <v>0</v>
      </c>
      <c r="G542" s="592">
        <f>ROUND('Balance N-1'!G513,2)</f>
        <v>0</v>
      </c>
      <c r="H542" s="592">
        <f>ROUND('Balance N-1'!H513,2)</f>
        <v>0</v>
      </c>
      <c r="I542" s="2" t="str">
        <f t="shared" si="11"/>
        <v>0</v>
      </c>
    </row>
    <row r="543" spans="1:9" x14ac:dyDescent="0.2">
      <c r="A543" s="782" t="str">
        <f>FIXED('Balance N-1'!A514,0,1)</f>
        <v>0</v>
      </c>
      <c r="B543" s="494">
        <f>+'Balance N-1'!B514</f>
        <v>0</v>
      </c>
      <c r="C543" s="592">
        <f>ROUND('Balance N-1'!C514,2)</f>
        <v>0</v>
      </c>
      <c r="D543" s="592">
        <f>ROUND('Balance N-1'!D514,2)</f>
        <v>0</v>
      </c>
      <c r="E543" s="592">
        <f>ROUND('Balance N-1'!E514,2)</f>
        <v>0</v>
      </c>
      <c r="F543" s="592">
        <f>ROUND('Balance N-1'!F514,2)</f>
        <v>0</v>
      </c>
      <c r="G543" s="592">
        <f>ROUND('Balance N-1'!G514,2)</f>
        <v>0</v>
      </c>
      <c r="H543" s="592">
        <f>ROUND('Balance N-1'!H514,2)</f>
        <v>0</v>
      </c>
      <c r="I543" s="2" t="str">
        <f t="shared" si="11"/>
        <v>0</v>
      </c>
    </row>
    <row r="544" spans="1:9" x14ac:dyDescent="0.2">
      <c r="A544" s="782" t="str">
        <f>FIXED('Balance N-1'!A515,0,1)</f>
        <v>0</v>
      </c>
      <c r="B544" s="494">
        <f>+'Balance N-1'!B515</f>
        <v>0</v>
      </c>
      <c r="C544" s="592">
        <f>ROUND('Balance N-1'!C515,2)</f>
        <v>0</v>
      </c>
      <c r="D544" s="592">
        <f>ROUND('Balance N-1'!D515,2)</f>
        <v>0</v>
      </c>
      <c r="E544" s="592">
        <f>ROUND('Balance N-1'!E515,2)</f>
        <v>0</v>
      </c>
      <c r="F544" s="592">
        <f>ROUND('Balance N-1'!F515,2)</f>
        <v>0</v>
      </c>
      <c r="G544" s="592">
        <f>ROUND('Balance N-1'!G515,2)</f>
        <v>0</v>
      </c>
      <c r="H544" s="592">
        <f>ROUND('Balance N-1'!H515,2)</f>
        <v>0</v>
      </c>
      <c r="I544" s="2" t="str">
        <f t="shared" si="11"/>
        <v>0</v>
      </c>
    </row>
    <row r="545" spans="1:9" x14ac:dyDescent="0.2">
      <c r="A545" s="782" t="str">
        <f>FIXED('Balance N-1'!A516,0,1)</f>
        <v>0</v>
      </c>
      <c r="B545" s="494">
        <f>+'Balance N-1'!B516</f>
        <v>0</v>
      </c>
      <c r="C545" s="592">
        <f>ROUND('Balance N-1'!C516,2)</f>
        <v>0</v>
      </c>
      <c r="D545" s="592">
        <f>ROUND('Balance N-1'!D516,2)</f>
        <v>0</v>
      </c>
      <c r="E545" s="592">
        <f>ROUND('Balance N-1'!E516,2)</f>
        <v>0</v>
      </c>
      <c r="F545" s="592">
        <f>ROUND('Balance N-1'!F516,2)</f>
        <v>0</v>
      </c>
      <c r="G545" s="592">
        <f>ROUND('Balance N-1'!G516,2)</f>
        <v>0</v>
      </c>
      <c r="H545" s="592">
        <f>ROUND('Balance N-1'!H516,2)</f>
        <v>0</v>
      </c>
      <c r="I545" s="2" t="str">
        <f t="shared" si="11"/>
        <v>0</v>
      </c>
    </row>
    <row r="546" spans="1:9" x14ac:dyDescent="0.2">
      <c r="A546" s="782" t="str">
        <f>FIXED('Balance N-1'!A517,0,1)</f>
        <v>0</v>
      </c>
      <c r="B546" s="494">
        <f>+'Balance N-1'!B517</f>
        <v>0</v>
      </c>
      <c r="C546" s="592">
        <f>ROUND('Balance N-1'!C517,2)</f>
        <v>0</v>
      </c>
      <c r="D546" s="592">
        <f>ROUND('Balance N-1'!D517,2)</f>
        <v>0</v>
      </c>
      <c r="E546" s="592">
        <f>ROUND('Balance N-1'!E517,2)</f>
        <v>0</v>
      </c>
      <c r="F546" s="592">
        <f>ROUND('Balance N-1'!F517,2)</f>
        <v>0</v>
      </c>
      <c r="G546" s="592">
        <f>ROUND('Balance N-1'!G517,2)</f>
        <v>0</v>
      </c>
      <c r="H546" s="592">
        <f>ROUND('Balance N-1'!H517,2)</f>
        <v>0</v>
      </c>
      <c r="I546" s="2" t="str">
        <f t="shared" si="11"/>
        <v>0</v>
      </c>
    </row>
    <row r="547" spans="1:9" x14ac:dyDescent="0.2">
      <c r="A547" s="782" t="str">
        <f>FIXED('Balance N-1'!A518,0,1)</f>
        <v>0</v>
      </c>
      <c r="B547" s="494">
        <f>+'Balance N-1'!B518</f>
        <v>0</v>
      </c>
      <c r="C547" s="592">
        <f>ROUND('Balance N-1'!C518,2)</f>
        <v>0</v>
      </c>
      <c r="D547" s="592">
        <f>ROUND('Balance N-1'!D518,2)</f>
        <v>0</v>
      </c>
      <c r="E547" s="592">
        <f>ROUND('Balance N-1'!E518,2)</f>
        <v>0</v>
      </c>
      <c r="F547" s="592">
        <f>ROUND('Balance N-1'!F518,2)</f>
        <v>0</v>
      </c>
      <c r="G547" s="592">
        <f>ROUND('Balance N-1'!G518,2)</f>
        <v>0</v>
      </c>
      <c r="H547" s="592">
        <f>ROUND('Balance N-1'!H518,2)</f>
        <v>0</v>
      </c>
      <c r="I547" s="2" t="str">
        <f t="shared" si="11"/>
        <v>0</v>
      </c>
    </row>
    <row r="548" spans="1:9" x14ac:dyDescent="0.2">
      <c r="A548" s="782" t="str">
        <f>FIXED('Balance N-1'!A519,0,1)</f>
        <v>0</v>
      </c>
      <c r="B548" s="494">
        <f>+'Balance N-1'!B519</f>
        <v>0</v>
      </c>
      <c r="C548" s="592">
        <f>ROUND('Balance N-1'!C519,2)</f>
        <v>0</v>
      </c>
      <c r="D548" s="592">
        <f>ROUND('Balance N-1'!D519,2)</f>
        <v>0</v>
      </c>
      <c r="E548" s="592">
        <f>ROUND('Balance N-1'!E519,2)</f>
        <v>0</v>
      </c>
      <c r="F548" s="592">
        <f>ROUND('Balance N-1'!F519,2)</f>
        <v>0</v>
      </c>
      <c r="G548" s="592">
        <f>ROUND('Balance N-1'!G519,2)</f>
        <v>0</v>
      </c>
      <c r="H548" s="592">
        <f>ROUND('Balance N-1'!H519,2)</f>
        <v>0</v>
      </c>
      <c r="I548" s="2" t="str">
        <f t="shared" si="11"/>
        <v>0</v>
      </c>
    </row>
    <row r="549" spans="1:9" x14ac:dyDescent="0.2">
      <c r="A549" s="782" t="str">
        <f>FIXED('Balance N-1'!A520,0,1)</f>
        <v>0</v>
      </c>
      <c r="B549" s="494">
        <f>+'Balance N-1'!B520</f>
        <v>0</v>
      </c>
      <c r="C549" s="592">
        <f>ROUND('Balance N-1'!C520,2)</f>
        <v>0</v>
      </c>
      <c r="D549" s="592">
        <f>ROUND('Balance N-1'!D520,2)</f>
        <v>0</v>
      </c>
      <c r="E549" s="592">
        <f>ROUND('Balance N-1'!E520,2)</f>
        <v>0</v>
      </c>
      <c r="F549" s="592">
        <f>ROUND('Balance N-1'!F520,2)</f>
        <v>0</v>
      </c>
      <c r="G549" s="592">
        <f>ROUND('Balance N-1'!G520,2)</f>
        <v>0</v>
      </c>
      <c r="H549" s="592">
        <f>ROUND('Balance N-1'!H520,2)</f>
        <v>0</v>
      </c>
      <c r="I549" s="2" t="str">
        <f t="shared" si="11"/>
        <v>0</v>
      </c>
    </row>
    <row r="550" spans="1:9" x14ac:dyDescent="0.2">
      <c r="A550" s="782" t="str">
        <f>FIXED('Balance N-1'!A521,0,1)</f>
        <v>0</v>
      </c>
      <c r="B550" s="494">
        <f>+'Balance N-1'!B521</f>
        <v>0</v>
      </c>
      <c r="C550" s="592">
        <f>ROUND('Balance N-1'!C521,2)</f>
        <v>0</v>
      </c>
      <c r="D550" s="592">
        <f>ROUND('Balance N-1'!D521,2)</f>
        <v>0</v>
      </c>
      <c r="E550" s="592">
        <f>ROUND('Balance N-1'!E521,2)</f>
        <v>0</v>
      </c>
      <c r="F550" s="592">
        <f>ROUND('Balance N-1'!F521,2)</f>
        <v>0</v>
      </c>
      <c r="G550" s="592">
        <f>ROUND('Balance N-1'!G521,2)</f>
        <v>0</v>
      </c>
      <c r="H550" s="592">
        <f>ROUND('Balance N-1'!H521,2)</f>
        <v>0</v>
      </c>
      <c r="I550" s="2" t="str">
        <f t="shared" si="11"/>
        <v>0</v>
      </c>
    </row>
    <row r="551" spans="1:9" x14ac:dyDescent="0.2">
      <c r="A551" s="782" t="str">
        <f>FIXED('Balance N-1'!A522,0,1)</f>
        <v>0</v>
      </c>
      <c r="B551" s="494">
        <f>+'Balance N-1'!B522</f>
        <v>0</v>
      </c>
      <c r="C551" s="592">
        <f>ROUND('Balance N-1'!C522,2)</f>
        <v>0</v>
      </c>
      <c r="D551" s="592">
        <f>ROUND('Balance N-1'!D522,2)</f>
        <v>0</v>
      </c>
      <c r="E551" s="592">
        <f>ROUND('Balance N-1'!E522,2)</f>
        <v>0</v>
      </c>
      <c r="F551" s="592">
        <f>ROUND('Balance N-1'!F522,2)</f>
        <v>0</v>
      </c>
      <c r="G551" s="592">
        <f>ROUND('Balance N-1'!G522,2)</f>
        <v>0</v>
      </c>
      <c r="H551" s="592">
        <f>ROUND('Balance N-1'!H522,2)</f>
        <v>0</v>
      </c>
      <c r="I551" s="2" t="str">
        <f t="shared" si="11"/>
        <v>0</v>
      </c>
    </row>
    <row r="552" spans="1:9" x14ac:dyDescent="0.2">
      <c r="A552" s="782" t="str">
        <f>FIXED('Balance N-1'!A523,0,1)</f>
        <v>0</v>
      </c>
      <c r="B552" s="494">
        <f>+'Balance N-1'!B523</f>
        <v>0</v>
      </c>
      <c r="C552" s="592">
        <f>ROUND('Balance N-1'!C523,2)</f>
        <v>0</v>
      </c>
      <c r="D552" s="592">
        <f>ROUND('Balance N-1'!D523,2)</f>
        <v>0</v>
      </c>
      <c r="E552" s="592">
        <f>ROUND('Balance N-1'!E523,2)</f>
        <v>0</v>
      </c>
      <c r="F552" s="592">
        <f>ROUND('Balance N-1'!F523,2)</f>
        <v>0</v>
      </c>
      <c r="G552" s="592">
        <f>ROUND('Balance N-1'!G523,2)</f>
        <v>0</v>
      </c>
      <c r="H552" s="592">
        <f>ROUND('Balance N-1'!H523,2)</f>
        <v>0</v>
      </c>
      <c r="I552" s="2" t="str">
        <f t="shared" si="11"/>
        <v>0</v>
      </c>
    </row>
    <row r="553" spans="1:9" x14ac:dyDescent="0.2">
      <c r="A553" s="782" t="str">
        <f>FIXED('Balance N-1'!A524,0,1)</f>
        <v>0</v>
      </c>
      <c r="B553" s="494">
        <f>+'Balance N-1'!B524</f>
        <v>0</v>
      </c>
      <c r="C553" s="592">
        <f>ROUND('Balance N-1'!C524,2)</f>
        <v>0</v>
      </c>
      <c r="D553" s="592">
        <f>ROUND('Balance N-1'!D524,2)</f>
        <v>0</v>
      </c>
      <c r="E553" s="592">
        <f>ROUND('Balance N-1'!E524,2)</f>
        <v>0</v>
      </c>
      <c r="F553" s="592">
        <f>ROUND('Balance N-1'!F524,2)</f>
        <v>0</v>
      </c>
      <c r="G553" s="592">
        <f>ROUND('Balance N-1'!G524,2)</f>
        <v>0</v>
      </c>
      <c r="H553" s="592">
        <f>ROUND('Balance N-1'!H524,2)</f>
        <v>0</v>
      </c>
      <c r="I553" s="2" t="str">
        <f t="shared" si="11"/>
        <v>0</v>
      </c>
    </row>
    <row r="554" spans="1:9" x14ac:dyDescent="0.2">
      <c r="A554" s="782" t="str">
        <f>FIXED('Balance N-1'!A525,0,1)</f>
        <v>0</v>
      </c>
      <c r="B554" s="494">
        <f>+'Balance N-1'!B525</f>
        <v>0</v>
      </c>
      <c r="C554" s="592">
        <f>ROUND('Balance N-1'!C525,2)</f>
        <v>0</v>
      </c>
      <c r="D554" s="592">
        <f>ROUND('Balance N-1'!D525,2)</f>
        <v>0</v>
      </c>
      <c r="E554" s="592">
        <f>ROUND('Balance N-1'!E525,2)</f>
        <v>0</v>
      </c>
      <c r="F554" s="592">
        <f>ROUND('Balance N-1'!F525,2)</f>
        <v>0</v>
      </c>
      <c r="G554" s="592">
        <f>ROUND('Balance N-1'!G525,2)</f>
        <v>0</v>
      </c>
      <c r="H554" s="592">
        <f>ROUND('Balance N-1'!H525,2)</f>
        <v>0</v>
      </c>
      <c r="I554" s="2" t="str">
        <f t="shared" si="11"/>
        <v>0</v>
      </c>
    </row>
    <row r="555" spans="1:9" x14ac:dyDescent="0.2">
      <c r="A555" s="782" t="str">
        <f>FIXED('Balance N-1'!A526,0,1)</f>
        <v>0</v>
      </c>
      <c r="B555" s="494">
        <f>+'Balance N-1'!B526</f>
        <v>0</v>
      </c>
      <c r="C555" s="592">
        <f>ROUND('Balance N-1'!C526,2)</f>
        <v>0</v>
      </c>
      <c r="D555" s="592">
        <f>ROUND('Balance N-1'!D526,2)</f>
        <v>0</v>
      </c>
      <c r="E555" s="592">
        <f>ROUND('Balance N-1'!E526,2)</f>
        <v>0</v>
      </c>
      <c r="F555" s="592">
        <f>ROUND('Balance N-1'!F526,2)</f>
        <v>0</v>
      </c>
      <c r="G555" s="592">
        <f>ROUND('Balance N-1'!G526,2)</f>
        <v>0</v>
      </c>
      <c r="H555" s="592">
        <f>ROUND('Balance N-1'!H526,2)</f>
        <v>0</v>
      </c>
      <c r="I555" s="2" t="str">
        <f t="shared" si="11"/>
        <v>0</v>
      </c>
    </row>
    <row r="556" spans="1:9" x14ac:dyDescent="0.2">
      <c r="A556" s="782" t="str">
        <f>FIXED('Balance N-1'!A527,0,1)</f>
        <v>0</v>
      </c>
      <c r="B556" s="494">
        <f>+'Balance N-1'!B527</f>
        <v>0</v>
      </c>
      <c r="C556" s="592">
        <f>ROUND('Balance N-1'!C527,2)</f>
        <v>0</v>
      </c>
      <c r="D556" s="592">
        <f>ROUND('Balance N-1'!D527,2)</f>
        <v>0</v>
      </c>
      <c r="E556" s="592">
        <f>ROUND('Balance N-1'!E527,2)</f>
        <v>0</v>
      </c>
      <c r="F556" s="592">
        <f>ROUND('Balance N-1'!F527,2)</f>
        <v>0</v>
      </c>
      <c r="G556" s="592">
        <f>ROUND('Balance N-1'!G527,2)</f>
        <v>0</v>
      </c>
      <c r="H556" s="592">
        <f>ROUND('Balance N-1'!H527,2)</f>
        <v>0</v>
      </c>
      <c r="I556" s="2" t="str">
        <f t="shared" si="11"/>
        <v>0</v>
      </c>
    </row>
    <row r="557" spans="1:9" x14ac:dyDescent="0.2">
      <c r="A557" s="782" t="str">
        <f>FIXED('Balance N-1'!A528,0,1)</f>
        <v>0</v>
      </c>
      <c r="B557" s="494">
        <f>+'Balance N-1'!B528</f>
        <v>0</v>
      </c>
      <c r="C557" s="592">
        <f>ROUND('Balance N-1'!C528,2)</f>
        <v>0</v>
      </c>
      <c r="D557" s="592">
        <f>ROUND('Balance N-1'!D528,2)</f>
        <v>0</v>
      </c>
      <c r="E557" s="592">
        <f>ROUND('Balance N-1'!E528,2)</f>
        <v>0</v>
      </c>
      <c r="F557" s="592">
        <f>ROUND('Balance N-1'!F528,2)</f>
        <v>0</v>
      </c>
      <c r="G557" s="592">
        <f>ROUND('Balance N-1'!G528,2)</f>
        <v>0</v>
      </c>
      <c r="H557" s="592">
        <f>ROUND('Balance N-1'!H528,2)</f>
        <v>0</v>
      </c>
      <c r="I557" s="2" t="str">
        <f t="shared" si="11"/>
        <v>0</v>
      </c>
    </row>
    <row r="558" spans="1:9" x14ac:dyDescent="0.2">
      <c r="A558" s="782" t="str">
        <f>FIXED('Balance N-1'!A529,0,1)</f>
        <v>0</v>
      </c>
      <c r="B558" s="494">
        <f>+'Balance N-1'!B529</f>
        <v>0</v>
      </c>
      <c r="C558" s="592">
        <f>ROUND('Balance N-1'!C529,2)</f>
        <v>0</v>
      </c>
      <c r="D558" s="592">
        <f>ROUND('Balance N-1'!D529,2)</f>
        <v>0</v>
      </c>
      <c r="E558" s="592">
        <f>ROUND('Balance N-1'!E529,2)</f>
        <v>0</v>
      </c>
      <c r="F558" s="592">
        <f>ROUND('Balance N-1'!F529,2)</f>
        <v>0</v>
      </c>
      <c r="G558" s="592">
        <f>ROUND('Balance N-1'!G529,2)</f>
        <v>0</v>
      </c>
      <c r="H558" s="592">
        <f>ROUND('Balance N-1'!H529,2)</f>
        <v>0</v>
      </c>
      <c r="I558" s="2" t="str">
        <f t="shared" si="11"/>
        <v>0</v>
      </c>
    </row>
    <row r="559" spans="1:9" x14ac:dyDescent="0.2">
      <c r="A559" s="782" t="str">
        <f>FIXED('Balance N-1'!A530,0,1)</f>
        <v>0</v>
      </c>
      <c r="B559" s="494">
        <f>+'Balance N-1'!B530</f>
        <v>0</v>
      </c>
      <c r="C559" s="592">
        <f>ROUND('Balance N-1'!C530,2)</f>
        <v>0</v>
      </c>
      <c r="D559" s="592">
        <f>ROUND('Balance N-1'!D530,2)</f>
        <v>0</v>
      </c>
      <c r="E559" s="592">
        <f>ROUND('Balance N-1'!E530,2)</f>
        <v>0</v>
      </c>
      <c r="F559" s="592">
        <f>ROUND('Balance N-1'!F530,2)</f>
        <v>0</v>
      </c>
      <c r="G559" s="592">
        <f>ROUND('Balance N-1'!G530,2)</f>
        <v>0</v>
      </c>
      <c r="H559" s="592">
        <f>ROUND('Balance N-1'!H530,2)</f>
        <v>0</v>
      </c>
      <c r="I559" s="2" t="str">
        <f t="shared" si="11"/>
        <v>0</v>
      </c>
    </row>
    <row r="560" spans="1:9" x14ac:dyDescent="0.2">
      <c r="A560" s="782" t="str">
        <f>FIXED('Balance N-1'!A531,0,1)</f>
        <v>0</v>
      </c>
      <c r="B560" s="494">
        <f>+'Balance N-1'!B531</f>
        <v>0</v>
      </c>
      <c r="C560" s="592">
        <f>ROUND('Balance N-1'!C531,2)</f>
        <v>0</v>
      </c>
      <c r="D560" s="592">
        <f>ROUND('Balance N-1'!D531,2)</f>
        <v>0</v>
      </c>
      <c r="E560" s="592">
        <f>ROUND('Balance N-1'!E531,2)</f>
        <v>0</v>
      </c>
      <c r="F560" s="592">
        <f>ROUND('Balance N-1'!F531,2)</f>
        <v>0</v>
      </c>
      <c r="G560" s="592">
        <f>ROUND('Balance N-1'!G531,2)</f>
        <v>0</v>
      </c>
      <c r="H560" s="592">
        <f>ROUND('Balance N-1'!H531,2)</f>
        <v>0</v>
      </c>
      <c r="I560" s="2" t="str">
        <f t="shared" si="11"/>
        <v>0</v>
      </c>
    </row>
    <row r="561" spans="1:9" x14ac:dyDescent="0.2">
      <c r="A561" s="782" t="str">
        <f>FIXED('Balance N-1'!A532,0,1)</f>
        <v>0</v>
      </c>
      <c r="B561" s="494">
        <f>+'Balance N-1'!B532</f>
        <v>0</v>
      </c>
      <c r="C561" s="592">
        <f>ROUND('Balance N-1'!C532,2)</f>
        <v>0</v>
      </c>
      <c r="D561" s="592">
        <f>ROUND('Balance N-1'!D532,2)</f>
        <v>0</v>
      </c>
      <c r="E561" s="592">
        <f>ROUND('Balance N-1'!E532,2)</f>
        <v>0</v>
      </c>
      <c r="F561" s="592">
        <f>ROUND('Balance N-1'!F532,2)</f>
        <v>0</v>
      </c>
      <c r="G561" s="592">
        <f>ROUND('Balance N-1'!G532,2)</f>
        <v>0</v>
      </c>
      <c r="H561" s="592">
        <f>ROUND('Balance N-1'!H532,2)</f>
        <v>0</v>
      </c>
      <c r="I561" s="2" t="str">
        <f t="shared" si="11"/>
        <v>0</v>
      </c>
    </row>
    <row r="562" spans="1:9" x14ac:dyDescent="0.2">
      <c r="A562" s="782" t="str">
        <f>FIXED('Balance N-1'!A533,0,1)</f>
        <v>0</v>
      </c>
      <c r="B562" s="494">
        <f>+'Balance N-1'!B533</f>
        <v>0</v>
      </c>
      <c r="C562" s="592">
        <f>ROUND('Balance N-1'!C533,2)</f>
        <v>0</v>
      </c>
      <c r="D562" s="592">
        <f>ROUND('Balance N-1'!D533,2)</f>
        <v>0</v>
      </c>
      <c r="E562" s="592">
        <f>ROUND('Balance N-1'!E533,2)</f>
        <v>0</v>
      </c>
      <c r="F562" s="592">
        <f>ROUND('Balance N-1'!F533,2)</f>
        <v>0</v>
      </c>
      <c r="G562" s="592">
        <f>ROUND('Balance N-1'!G533,2)</f>
        <v>0</v>
      </c>
      <c r="H562" s="592">
        <f>ROUND('Balance N-1'!H533,2)</f>
        <v>0</v>
      </c>
      <c r="I562" s="2" t="str">
        <f t="shared" si="11"/>
        <v>0</v>
      </c>
    </row>
    <row r="563" spans="1:9" x14ac:dyDescent="0.2">
      <c r="A563" s="782" t="str">
        <f>FIXED('Balance N-1'!A534,0,1)</f>
        <v>0</v>
      </c>
      <c r="B563" s="494">
        <f>+'Balance N-1'!B534</f>
        <v>0</v>
      </c>
      <c r="C563" s="592">
        <f>ROUND('Balance N-1'!C534,2)</f>
        <v>0</v>
      </c>
      <c r="D563" s="592">
        <f>ROUND('Balance N-1'!D534,2)</f>
        <v>0</v>
      </c>
      <c r="E563" s="592">
        <f>ROUND('Balance N-1'!E534,2)</f>
        <v>0</v>
      </c>
      <c r="F563" s="592">
        <f>ROUND('Balance N-1'!F534,2)</f>
        <v>0</v>
      </c>
      <c r="G563" s="592">
        <f>ROUND('Balance N-1'!G534,2)</f>
        <v>0</v>
      </c>
      <c r="H563" s="592">
        <f>ROUND('Balance N-1'!H534,2)</f>
        <v>0</v>
      </c>
      <c r="I563" s="2" t="str">
        <f t="shared" si="11"/>
        <v>0</v>
      </c>
    </row>
    <row r="564" spans="1:9" x14ac:dyDescent="0.2">
      <c r="A564" s="782" t="str">
        <f>FIXED('Balance N-1'!A535,0,1)</f>
        <v>0</v>
      </c>
      <c r="B564" s="494">
        <f>+'Balance N-1'!B535</f>
        <v>0</v>
      </c>
      <c r="C564" s="592">
        <f>ROUND('Balance N-1'!C535,2)</f>
        <v>0</v>
      </c>
      <c r="D564" s="592">
        <f>ROUND('Balance N-1'!D535,2)</f>
        <v>0</v>
      </c>
      <c r="E564" s="592">
        <f>ROUND('Balance N-1'!E535,2)</f>
        <v>0</v>
      </c>
      <c r="F564" s="592">
        <f>ROUND('Balance N-1'!F535,2)</f>
        <v>0</v>
      </c>
      <c r="G564" s="592">
        <f>ROUND('Balance N-1'!G535,2)</f>
        <v>0</v>
      </c>
      <c r="H564" s="592">
        <f>ROUND('Balance N-1'!H535,2)</f>
        <v>0</v>
      </c>
      <c r="I564" s="2" t="str">
        <f t="shared" si="11"/>
        <v>0</v>
      </c>
    </row>
    <row r="565" spans="1:9" x14ac:dyDescent="0.2">
      <c r="A565" s="782" t="str">
        <f>FIXED('Balance N-1'!A536,0,1)</f>
        <v>0</v>
      </c>
      <c r="B565" s="494">
        <f>+'Balance N-1'!B536</f>
        <v>0</v>
      </c>
      <c r="C565" s="592">
        <f>ROUND('Balance N-1'!C536,2)</f>
        <v>0</v>
      </c>
      <c r="D565" s="592">
        <f>ROUND('Balance N-1'!D536,2)</f>
        <v>0</v>
      </c>
      <c r="E565" s="592">
        <f>ROUND('Balance N-1'!E536,2)</f>
        <v>0</v>
      </c>
      <c r="F565" s="592">
        <f>ROUND('Balance N-1'!F536,2)</f>
        <v>0</v>
      </c>
      <c r="G565" s="592">
        <f>ROUND('Balance N-1'!G536,2)</f>
        <v>0</v>
      </c>
      <c r="H565" s="592">
        <f>ROUND('Balance N-1'!H536,2)</f>
        <v>0</v>
      </c>
      <c r="I565" s="2" t="str">
        <f t="shared" si="11"/>
        <v>0</v>
      </c>
    </row>
    <row r="566" spans="1:9" x14ac:dyDescent="0.2">
      <c r="A566" s="782" t="str">
        <f>FIXED('Balance N-1'!A537,0,1)</f>
        <v>0</v>
      </c>
      <c r="B566" s="494">
        <f>+'Balance N-1'!B537</f>
        <v>0</v>
      </c>
      <c r="C566" s="592">
        <f>ROUND('Balance N-1'!C537,2)</f>
        <v>0</v>
      </c>
      <c r="D566" s="592">
        <f>ROUND('Balance N-1'!D537,2)</f>
        <v>0</v>
      </c>
      <c r="E566" s="592">
        <f>ROUND('Balance N-1'!E537,2)</f>
        <v>0</v>
      </c>
      <c r="F566" s="592">
        <f>ROUND('Balance N-1'!F537,2)</f>
        <v>0</v>
      </c>
      <c r="G566" s="592">
        <f>ROUND('Balance N-1'!G537,2)</f>
        <v>0</v>
      </c>
      <c r="H566" s="592">
        <f>ROUND('Balance N-1'!H537,2)</f>
        <v>0</v>
      </c>
      <c r="I566" s="2" t="str">
        <f t="shared" si="11"/>
        <v>0</v>
      </c>
    </row>
    <row r="567" spans="1:9" x14ac:dyDescent="0.2">
      <c r="A567" s="782" t="str">
        <f>FIXED('Balance N-1'!A538,0,1)</f>
        <v>0</v>
      </c>
      <c r="B567" s="494">
        <f>+'Balance N-1'!B538</f>
        <v>0</v>
      </c>
      <c r="C567" s="592">
        <f>ROUND('Balance N-1'!C538,2)</f>
        <v>0</v>
      </c>
      <c r="D567" s="592">
        <f>ROUND('Balance N-1'!D538,2)</f>
        <v>0</v>
      </c>
      <c r="E567" s="592">
        <f>ROUND('Balance N-1'!E538,2)</f>
        <v>0</v>
      </c>
      <c r="F567" s="592">
        <f>ROUND('Balance N-1'!F538,2)</f>
        <v>0</v>
      </c>
      <c r="G567" s="592">
        <f>ROUND('Balance N-1'!G538,2)</f>
        <v>0</v>
      </c>
      <c r="H567" s="592">
        <f>ROUND('Balance N-1'!H538,2)</f>
        <v>0</v>
      </c>
      <c r="I567" s="2" t="str">
        <f t="shared" si="11"/>
        <v>0</v>
      </c>
    </row>
    <row r="568" spans="1:9" x14ac:dyDescent="0.2">
      <c r="A568" s="782" t="str">
        <f>FIXED('Balance N-1'!A539,0,1)</f>
        <v>0</v>
      </c>
      <c r="B568" s="494">
        <f>+'Balance N-1'!B539</f>
        <v>0</v>
      </c>
      <c r="C568" s="592">
        <f>ROUND('Balance N-1'!C539,2)</f>
        <v>0</v>
      </c>
      <c r="D568" s="592">
        <f>ROUND('Balance N-1'!D539,2)</f>
        <v>0</v>
      </c>
      <c r="E568" s="592">
        <f>ROUND('Balance N-1'!E539,2)</f>
        <v>0</v>
      </c>
      <c r="F568" s="592">
        <f>ROUND('Balance N-1'!F539,2)</f>
        <v>0</v>
      </c>
      <c r="G568" s="592">
        <f>ROUND('Balance N-1'!G539,2)</f>
        <v>0</v>
      </c>
      <c r="H568" s="592">
        <f>ROUND('Balance N-1'!H539,2)</f>
        <v>0</v>
      </c>
      <c r="I568" s="2" t="str">
        <f t="shared" si="11"/>
        <v>0</v>
      </c>
    </row>
    <row r="569" spans="1:9" x14ac:dyDescent="0.2">
      <c r="A569" s="782" t="str">
        <f>FIXED('Balance N-1'!A540,0,1)</f>
        <v>0</v>
      </c>
      <c r="B569" s="494">
        <f>+'Balance N-1'!B540</f>
        <v>0</v>
      </c>
      <c r="C569" s="592">
        <f>ROUND('Balance N-1'!C540,2)</f>
        <v>0</v>
      </c>
      <c r="D569" s="592">
        <f>ROUND('Balance N-1'!D540,2)</f>
        <v>0</v>
      </c>
      <c r="E569" s="592">
        <f>ROUND('Balance N-1'!E540,2)</f>
        <v>0</v>
      </c>
      <c r="F569" s="592">
        <f>ROUND('Balance N-1'!F540,2)</f>
        <v>0</v>
      </c>
      <c r="G569" s="592">
        <f>ROUND('Balance N-1'!G540,2)</f>
        <v>0</v>
      </c>
      <c r="H569" s="592">
        <f>ROUND('Balance N-1'!H540,2)</f>
        <v>0</v>
      </c>
      <c r="I569" s="2" t="str">
        <f t="shared" si="11"/>
        <v>0</v>
      </c>
    </row>
    <row r="570" spans="1:9" x14ac:dyDescent="0.2">
      <c r="A570" s="782" t="str">
        <f>FIXED('Balance N-1'!A541,0,1)</f>
        <v>0</v>
      </c>
      <c r="B570" s="494">
        <f>+'Balance N-1'!B541</f>
        <v>0</v>
      </c>
      <c r="C570" s="592">
        <f>ROUND('Balance N-1'!C541,2)</f>
        <v>0</v>
      </c>
      <c r="D570" s="592">
        <f>ROUND('Balance N-1'!D541,2)</f>
        <v>0</v>
      </c>
      <c r="E570" s="592">
        <f>ROUND('Balance N-1'!E541,2)</f>
        <v>0</v>
      </c>
      <c r="F570" s="592">
        <f>ROUND('Balance N-1'!F541,2)</f>
        <v>0</v>
      </c>
      <c r="G570" s="592">
        <f>ROUND('Balance N-1'!G541,2)</f>
        <v>0</v>
      </c>
      <c r="H570" s="592">
        <f>ROUND('Balance N-1'!H541,2)</f>
        <v>0</v>
      </c>
      <c r="I570" s="2" t="str">
        <f t="shared" si="11"/>
        <v>0</v>
      </c>
    </row>
    <row r="571" spans="1:9" x14ac:dyDescent="0.2">
      <c r="A571" s="782" t="str">
        <f>FIXED('Balance N-1'!A542,0,1)</f>
        <v>0</v>
      </c>
      <c r="B571" s="494">
        <f>+'Balance N-1'!B542</f>
        <v>0</v>
      </c>
      <c r="C571" s="592">
        <f>ROUND('Balance N-1'!C542,2)</f>
        <v>0</v>
      </c>
      <c r="D571" s="592">
        <f>ROUND('Balance N-1'!D542,2)</f>
        <v>0</v>
      </c>
      <c r="E571" s="592">
        <f>ROUND('Balance N-1'!E542,2)</f>
        <v>0</v>
      </c>
      <c r="F571" s="592">
        <f>ROUND('Balance N-1'!F542,2)</f>
        <v>0</v>
      </c>
      <c r="G571" s="592">
        <f>ROUND('Balance N-1'!G542,2)</f>
        <v>0</v>
      </c>
      <c r="H571" s="592">
        <f>ROUND('Balance N-1'!H542,2)</f>
        <v>0</v>
      </c>
      <c r="I571" s="2" t="str">
        <f t="shared" si="11"/>
        <v>0</v>
      </c>
    </row>
    <row r="572" spans="1:9" x14ac:dyDescent="0.2">
      <c r="A572" s="782" t="str">
        <f>FIXED('Balance N-1'!A543,0,1)</f>
        <v>0</v>
      </c>
      <c r="B572" s="494">
        <f>+'Balance N-1'!B543</f>
        <v>0</v>
      </c>
      <c r="C572" s="592">
        <f>ROUND('Balance N-1'!C543,2)</f>
        <v>0</v>
      </c>
      <c r="D572" s="592">
        <f>ROUND('Balance N-1'!D543,2)</f>
        <v>0</v>
      </c>
      <c r="E572" s="592">
        <f>ROUND('Balance N-1'!E543,2)</f>
        <v>0</v>
      </c>
      <c r="F572" s="592">
        <f>ROUND('Balance N-1'!F543,2)</f>
        <v>0</v>
      </c>
      <c r="G572" s="592">
        <f>ROUND('Balance N-1'!G543,2)</f>
        <v>0</v>
      </c>
      <c r="H572" s="592">
        <f>ROUND('Balance N-1'!H543,2)</f>
        <v>0</v>
      </c>
      <c r="I572" s="2" t="str">
        <f t="shared" si="11"/>
        <v>0</v>
      </c>
    </row>
    <row r="573" spans="1:9" x14ac:dyDescent="0.2">
      <c r="A573" s="782" t="str">
        <f>FIXED('Balance N-1'!A544,0,1)</f>
        <v>0</v>
      </c>
      <c r="B573" s="494">
        <f>+'Balance N-1'!B544</f>
        <v>0</v>
      </c>
      <c r="C573" s="592">
        <f>ROUND('Balance N-1'!C544,2)</f>
        <v>0</v>
      </c>
      <c r="D573" s="592">
        <f>ROUND('Balance N-1'!D544,2)</f>
        <v>0</v>
      </c>
      <c r="E573" s="592">
        <f>ROUND('Balance N-1'!E544,2)</f>
        <v>0</v>
      </c>
      <c r="F573" s="592">
        <f>ROUND('Balance N-1'!F544,2)</f>
        <v>0</v>
      </c>
      <c r="G573" s="592">
        <f>ROUND('Balance N-1'!G544,2)</f>
        <v>0</v>
      </c>
      <c r="H573" s="592">
        <f>ROUND('Balance N-1'!H544,2)</f>
        <v>0</v>
      </c>
      <c r="I573" s="2" t="str">
        <f t="shared" si="11"/>
        <v>0</v>
      </c>
    </row>
    <row r="574" spans="1:9" x14ac:dyDescent="0.2">
      <c r="A574" s="782" t="str">
        <f>FIXED('Balance N-1'!A545,0,1)</f>
        <v>0</v>
      </c>
      <c r="B574" s="494">
        <f>+'Balance N-1'!B545</f>
        <v>0</v>
      </c>
      <c r="C574" s="592">
        <f>ROUND('Balance N-1'!C545,2)</f>
        <v>0</v>
      </c>
      <c r="D574" s="592">
        <f>ROUND('Balance N-1'!D545,2)</f>
        <v>0</v>
      </c>
      <c r="E574" s="592">
        <f>ROUND('Balance N-1'!E545,2)</f>
        <v>0</v>
      </c>
      <c r="F574" s="592">
        <f>ROUND('Balance N-1'!F545,2)</f>
        <v>0</v>
      </c>
      <c r="G574" s="592">
        <f>ROUND('Balance N-1'!G545,2)</f>
        <v>0</v>
      </c>
      <c r="H574" s="592">
        <f>ROUND('Balance N-1'!H545,2)</f>
        <v>0</v>
      </c>
      <c r="I574" s="2" t="str">
        <f t="shared" si="11"/>
        <v>0</v>
      </c>
    </row>
    <row r="575" spans="1:9" x14ac:dyDescent="0.2">
      <c r="A575" s="782" t="str">
        <f>FIXED('Balance N-1'!A546,0,1)</f>
        <v>0</v>
      </c>
      <c r="B575" s="494">
        <f>+'Balance N-1'!B546</f>
        <v>0</v>
      </c>
      <c r="C575" s="592">
        <f>ROUND('Balance N-1'!C546,2)</f>
        <v>0</v>
      </c>
      <c r="D575" s="592">
        <f>ROUND('Balance N-1'!D546,2)</f>
        <v>0</v>
      </c>
      <c r="E575" s="592">
        <f>ROUND('Balance N-1'!E546,2)</f>
        <v>0</v>
      </c>
      <c r="F575" s="592">
        <f>ROUND('Balance N-1'!F546,2)</f>
        <v>0</v>
      </c>
      <c r="G575" s="592">
        <f>ROUND('Balance N-1'!G546,2)</f>
        <v>0</v>
      </c>
      <c r="H575" s="592">
        <f>ROUND('Balance N-1'!H546,2)</f>
        <v>0</v>
      </c>
      <c r="I575" s="2" t="str">
        <f t="shared" si="11"/>
        <v>0</v>
      </c>
    </row>
    <row r="576" spans="1:9" x14ac:dyDescent="0.2">
      <c r="A576" s="782" t="str">
        <f>FIXED('Balance N-1'!A547,0,1)</f>
        <v>0</v>
      </c>
      <c r="B576" s="494">
        <f>+'Balance N-1'!B547</f>
        <v>0</v>
      </c>
      <c r="C576" s="592">
        <f>ROUND('Balance N-1'!C547,2)</f>
        <v>0</v>
      </c>
      <c r="D576" s="592">
        <f>ROUND('Balance N-1'!D547,2)</f>
        <v>0</v>
      </c>
      <c r="E576" s="592">
        <f>ROUND('Balance N-1'!E547,2)</f>
        <v>0</v>
      </c>
      <c r="F576" s="592">
        <f>ROUND('Balance N-1'!F547,2)</f>
        <v>0</v>
      </c>
      <c r="G576" s="592">
        <f>ROUND('Balance N-1'!G547,2)</f>
        <v>0</v>
      </c>
      <c r="H576" s="592">
        <f>ROUND('Balance N-1'!H547,2)</f>
        <v>0</v>
      </c>
      <c r="I576" s="2" t="str">
        <f t="shared" si="11"/>
        <v>0</v>
      </c>
    </row>
    <row r="577" spans="1:9" x14ac:dyDescent="0.2">
      <c r="A577" s="782" t="str">
        <f>FIXED('Balance N-1'!A548,0,1)</f>
        <v>0</v>
      </c>
      <c r="B577" s="494">
        <f>+'Balance N-1'!B548</f>
        <v>0</v>
      </c>
      <c r="C577" s="592">
        <f>ROUND('Balance N-1'!C548,2)</f>
        <v>0</v>
      </c>
      <c r="D577" s="592">
        <f>ROUND('Balance N-1'!D548,2)</f>
        <v>0</v>
      </c>
      <c r="E577" s="592">
        <f>ROUND('Balance N-1'!E548,2)</f>
        <v>0</v>
      </c>
      <c r="F577" s="592">
        <f>ROUND('Balance N-1'!F548,2)</f>
        <v>0</v>
      </c>
      <c r="G577" s="592">
        <f>ROUND('Balance N-1'!G548,2)</f>
        <v>0</v>
      </c>
      <c r="H577" s="592">
        <f>ROUND('Balance N-1'!H548,2)</f>
        <v>0</v>
      </c>
      <c r="I577" s="2" t="str">
        <f t="shared" si="11"/>
        <v>0</v>
      </c>
    </row>
    <row r="578" spans="1:9" x14ac:dyDescent="0.2">
      <c r="A578" s="782" t="str">
        <f>FIXED('Balance N-1'!A549,0,1)</f>
        <v>0</v>
      </c>
      <c r="B578" s="494">
        <f>+'Balance N-1'!B549</f>
        <v>0</v>
      </c>
      <c r="C578" s="592">
        <f>ROUND('Balance N-1'!C549,2)</f>
        <v>0</v>
      </c>
      <c r="D578" s="592">
        <f>ROUND('Balance N-1'!D549,2)</f>
        <v>0</v>
      </c>
      <c r="E578" s="592">
        <f>ROUND('Balance N-1'!E549,2)</f>
        <v>0</v>
      </c>
      <c r="F578" s="592">
        <f>ROUND('Balance N-1'!F549,2)</f>
        <v>0</v>
      </c>
      <c r="G578" s="592">
        <f>ROUND('Balance N-1'!G549,2)</f>
        <v>0</v>
      </c>
      <c r="H578" s="592">
        <f>ROUND('Balance N-1'!H549,2)</f>
        <v>0</v>
      </c>
      <c r="I578" s="2" t="str">
        <f t="shared" si="11"/>
        <v>0</v>
      </c>
    </row>
    <row r="579" spans="1:9" x14ac:dyDescent="0.2">
      <c r="A579" s="782" t="str">
        <f>FIXED('Balance N-1'!A550,0,1)</f>
        <v>0</v>
      </c>
      <c r="B579" s="494">
        <f>+'Balance N-1'!B550</f>
        <v>0</v>
      </c>
      <c r="C579" s="592">
        <f>ROUND('Balance N-1'!C550,2)</f>
        <v>0</v>
      </c>
      <c r="D579" s="592">
        <f>ROUND('Balance N-1'!D550,2)</f>
        <v>0</v>
      </c>
      <c r="E579" s="592">
        <f>ROUND('Balance N-1'!E550,2)</f>
        <v>0</v>
      </c>
      <c r="F579" s="592">
        <f>ROUND('Balance N-1'!F550,2)</f>
        <v>0</v>
      </c>
      <c r="G579" s="592">
        <f>ROUND('Balance N-1'!G550,2)</f>
        <v>0</v>
      </c>
      <c r="H579" s="592">
        <f>ROUND('Balance N-1'!H550,2)</f>
        <v>0</v>
      </c>
      <c r="I579" s="2" t="str">
        <f t="shared" ref="I579:I599" si="12">MID(A579,1,1)</f>
        <v>0</v>
      </c>
    </row>
    <row r="580" spans="1:9" x14ac:dyDescent="0.2">
      <c r="A580" s="782" t="str">
        <f>FIXED('Balance N-1'!A551,0,1)</f>
        <v>0</v>
      </c>
      <c r="B580" s="494">
        <f>+'Balance N-1'!B551</f>
        <v>0</v>
      </c>
      <c r="C580" s="592">
        <f>ROUND('Balance N-1'!C551,2)</f>
        <v>0</v>
      </c>
      <c r="D580" s="592">
        <f>ROUND('Balance N-1'!D551,2)</f>
        <v>0</v>
      </c>
      <c r="E580" s="592">
        <f>ROUND('Balance N-1'!E551,2)</f>
        <v>0</v>
      </c>
      <c r="F580" s="592">
        <f>ROUND('Balance N-1'!F551,2)</f>
        <v>0</v>
      </c>
      <c r="G580" s="592">
        <f>ROUND('Balance N-1'!G551,2)</f>
        <v>0</v>
      </c>
      <c r="H580" s="592">
        <f>ROUND('Balance N-1'!H551,2)</f>
        <v>0</v>
      </c>
      <c r="I580" s="2" t="str">
        <f t="shared" si="12"/>
        <v>0</v>
      </c>
    </row>
    <row r="581" spans="1:9" x14ac:dyDescent="0.2">
      <c r="A581" s="782" t="str">
        <f>FIXED('Balance N-1'!A552,0,1)</f>
        <v>0</v>
      </c>
      <c r="B581" s="494">
        <f>+'Balance N-1'!B552</f>
        <v>0</v>
      </c>
      <c r="C581" s="592">
        <f>ROUND('Balance N-1'!C552,2)</f>
        <v>0</v>
      </c>
      <c r="D581" s="592">
        <f>ROUND('Balance N-1'!D552,2)</f>
        <v>0</v>
      </c>
      <c r="E581" s="592">
        <f>ROUND('Balance N-1'!E552,2)</f>
        <v>0</v>
      </c>
      <c r="F581" s="592">
        <f>ROUND('Balance N-1'!F552,2)</f>
        <v>0</v>
      </c>
      <c r="G581" s="592">
        <f>ROUND('Balance N-1'!G552,2)</f>
        <v>0</v>
      </c>
      <c r="H581" s="592">
        <f>ROUND('Balance N-1'!H552,2)</f>
        <v>0</v>
      </c>
      <c r="I581" s="2" t="str">
        <f t="shared" si="12"/>
        <v>0</v>
      </c>
    </row>
    <row r="582" spans="1:9" x14ac:dyDescent="0.2">
      <c r="A582" s="782" t="str">
        <f>FIXED('Balance N-1'!A553,0,1)</f>
        <v>0</v>
      </c>
      <c r="B582" s="494">
        <f>+'Balance N-1'!B553</f>
        <v>0</v>
      </c>
      <c r="C582" s="592">
        <f>ROUND('Balance N-1'!C553,2)</f>
        <v>0</v>
      </c>
      <c r="D582" s="592">
        <f>ROUND('Balance N-1'!D553,2)</f>
        <v>0</v>
      </c>
      <c r="E582" s="592">
        <f>ROUND('Balance N-1'!E553,2)</f>
        <v>0</v>
      </c>
      <c r="F582" s="592">
        <f>ROUND('Balance N-1'!F553,2)</f>
        <v>0</v>
      </c>
      <c r="G582" s="592">
        <f>ROUND('Balance N-1'!G553,2)</f>
        <v>0</v>
      </c>
      <c r="H582" s="592">
        <f>ROUND('Balance N-1'!H553,2)</f>
        <v>0</v>
      </c>
      <c r="I582" s="2" t="str">
        <f t="shared" si="12"/>
        <v>0</v>
      </c>
    </row>
    <row r="583" spans="1:9" x14ac:dyDescent="0.2">
      <c r="A583" s="782" t="str">
        <f>FIXED('Balance N-1'!A554,0,1)</f>
        <v>0</v>
      </c>
      <c r="B583" s="494">
        <f>+'Balance N-1'!B554</f>
        <v>0</v>
      </c>
      <c r="C583" s="592">
        <f>ROUND('Balance N-1'!C554,2)</f>
        <v>0</v>
      </c>
      <c r="D583" s="592">
        <f>ROUND('Balance N-1'!D554,2)</f>
        <v>0</v>
      </c>
      <c r="E583" s="592">
        <f>ROUND('Balance N-1'!E554,2)</f>
        <v>0</v>
      </c>
      <c r="F583" s="592">
        <f>ROUND('Balance N-1'!F554,2)</f>
        <v>0</v>
      </c>
      <c r="G583" s="592">
        <f>ROUND('Balance N-1'!G554,2)</f>
        <v>0</v>
      </c>
      <c r="H583" s="592">
        <f>ROUND('Balance N-1'!H554,2)</f>
        <v>0</v>
      </c>
      <c r="I583" s="2" t="str">
        <f t="shared" si="12"/>
        <v>0</v>
      </c>
    </row>
    <row r="584" spans="1:9" x14ac:dyDescent="0.2">
      <c r="A584" s="782" t="str">
        <f>FIXED('Balance N-1'!A555,0,1)</f>
        <v>0</v>
      </c>
      <c r="B584" s="494">
        <f>+'Balance N-1'!B555</f>
        <v>0</v>
      </c>
      <c r="C584" s="592">
        <f>ROUND('Balance N-1'!C555,2)</f>
        <v>0</v>
      </c>
      <c r="D584" s="592">
        <f>ROUND('Balance N-1'!D555,2)</f>
        <v>0</v>
      </c>
      <c r="E584" s="592">
        <f>ROUND('Balance N-1'!E555,2)</f>
        <v>0</v>
      </c>
      <c r="F584" s="592">
        <f>ROUND('Balance N-1'!F555,2)</f>
        <v>0</v>
      </c>
      <c r="G584" s="592">
        <f>ROUND('Balance N-1'!G555,2)</f>
        <v>0</v>
      </c>
      <c r="H584" s="592">
        <f>ROUND('Balance N-1'!H555,2)</f>
        <v>0</v>
      </c>
      <c r="I584" s="2" t="str">
        <f t="shared" si="12"/>
        <v>0</v>
      </c>
    </row>
    <row r="585" spans="1:9" x14ac:dyDescent="0.2">
      <c r="A585" s="782" t="str">
        <f>FIXED('Balance N-1'!A556,0,1)</f>
        <v>0</v>
      </c>
      <c r="B585" s="494">
        <f>+'Balance N-1'!B556</f>
        <v>0</v>
      </c>
      <c r="C585" s="592">
        <f>ROUND('Balance N-1'!C556,2)</f>
        <v>0</v>
      </c>
      <c r="D585" s="592">
        <f>ROUND('Balance N-1'!D556,2)</f>
        <v>0</v>
      </c>
      <c r="E585" s="592">
        <f>ROUND('Balance N-1'!E556,2)</f>
        <v>0</v>
      </c>
      <c r="F585" s="592">
        <f>ROUND('Balance N-1'!F556,2)</f>
        <v>0</v>
      </c>
      <c r="G585" s="592">
        <f>ROUND('Balance N-1'!G556,2)</f>
        <v>0</v>
      </c>
      <c r="H585" s="592">
        <f>ROUND('Balance N-1'!H556,2)</f>
        <v>0</v>
      </c>
      <c r="I585" s="2" t="str">
        <f t="shared" si="12"/>
        <v>0</v>
      </c>
    </row>
    <row r="586" spans="1:9" x14ac:dyDescent="0.2">
      <c r="A586" s="782" t="str">
        <f>FIXED('Balance N-1'!A557,0,1)</f>
        <v>0</v>
      </c>
      <c r="B586" s="494">
        <f>+'Balance N-1'!B557</f>
        <v>0</v>
      </c>
      <c r="C586" s="592">
        <f>ROUND('Balance N-1'!C557,2)</f>
        <v>0</v>
      </c>
      <c r="D586" s="592">
        <f>ROUND('Balance N-1'!D557,2)</f>
        <v>0</v>
      </c>
      <c r="E586" s="592">
        <f>ROUND('Balance N-1'!E557,2)</f>
        <v>0</v>
      </c>
      <c r="F586" s="592">
        <f>ROUND('Balance N-1'!F557,2)</f>
        <v>0</v>
      </c>
      <c r="G586" s="592">
        <f>ROUND('Balance N-1'!G557,2)</f>
        <v>0</v>
      </c>
      <c r="H586" s="592">
        <f>ROUND('Balance N-1'!H557,2)</f>
        <v>0</v>
      </c>
      <c r="I586" s="2" t="str">
        <f t="shared" si="12"/>
        <v>0</v>
      </c>
    </row>
    <row r="587" spans="1:9" x14ac:dyDescent="0.2">
      <c r="A587" s="782" t="str">
        <f>FIXED('Balance N-1'!A558,0,1)</f>
        <v>0</v>
      </c>
      <c r="B587" s="494">
        <f>+'Balance N-1'!B558</f>
        <v>0</v>
      </c>
      <c r="C587" s="592">
        <f>ROUND('Balance N-1'!C558,2)</f>
        <v>0</v>
      </c>
      <c r="D587" s="592">
        <f>ROUND('Balance N-1'!D558,2)</f>
        <v>0</v>
      </c>
      <c r="E587" s="592">
        <f>ROUND('Balance N-1'!E558,2)</f>
        <v>0</v>
      </c>
      <c r="F587" s="592">
        <f>ROUND('Balance N-1'!F558,2)</f>
        <v>0</v>
      </c>
      <c r="G587" s="592">
        <f>ROUND('Balance N-1'!G558,2)</f>
        <v>0</v>
      </c>
      <c r="H587" s="592">
        <f>ROUND('Balance N-1'!H558,2)</f>
        <v>0</v>
      </c>
      <c r="I587" s="2" t="str">
        <f t="shared" si="12"/>
        <v>0</v>
      </c>
    </row>
    <row r="588" spans="1:9" x14ac:dyDescent="0.2">
      <c r="A588" s="782" t="str">
        <f>FIXED('Balance N-1'!A559,0,1)</f>
        <v>0</v>
      </c>
      <c r="B588" s="494">
        <f>+'Balance N-1'!B559</f>
        <v>0</v>
      </c>
      <c r="C588" s="592">
        <f>ROUND('Balance N-1'!C559,2)</f>
        <v>0</v>
      </c>
      <c r="D588" s="592">
        <f>ROUND('Balance N-1'!D559,2)</f>
        <v>0</v>
      </c>
      <c r="E588" s="592">
        <f>ROUND('Balance N-1'!E559,2)</f>
        <v>0</v>
      </c>
      <c r="F588" s="592">
        <f>ROUND('Balance N-1'!F559,2)</f>
        <v>0</v>
      </c>
      <c r="G588" s="592">
        <f>ROUND('Balance N-1'!G559,2)</f>
        <v>0</v>
      </c>
      <c r="H588" s="592">
        <f>ROUND('Balance N-1'!H559,2)</f>
        <v>0</v>
      </c>
      <c r="I588" s="2" t="str">
        <f t="shared" si="12"/>
        <v>0</v>
      </c>
    </row>
    <row r="589" spans="1:9" x14ac:dyDescent="0.2">
      <c r="A589" s="782" t="str">
        <f>FIXED('Balance N-1'!A560,0,1)</f>
        <v>0</v>
      </c>
      <c r="B589" s="494">
        <f>+'Balance N-1'!B560</f>
        <v>0</v>
      </c>
      <c r="C589" s="592">
        <f>ROUND('Balance N-1'!C560,2)</f>
        <v>0</v>
      </c>
      <c r="D589" s="592">
        <f>ROUND('Balance N-1'!D560,2)</f>
        <v>0</v>
      </c>
      <c r="E589" s="592">
        <f>ROUND('Balance N-1'!E560,2)</f>
        <v>0</v>
      </c>
      <c r="F589" s="592">
        <f>ROUND('Balance N-1'!F560,2)</f>
        <v>0</v>
      </c>
      <c r="G589" s="592">
        <f>ROUND('Balance N-1'!G560,2)</f>
        <v>0</v>
      </c>
      <c r="H589" s="592">
        <f>ROUND('Balance N-1'!H560,2)</f>
        <v>0</v>
      </c>
      <c r="I589" s="2" t="str">
        <f t="shared" si="12"/>
        <v>0</v>
      </c>
    </row>
    <row r="590" spans="1:9" x14ac:dyDescent="0.2">
      <c r="A590" s="782" t="str">
        <f>FIXED('Balance N-1'!A561,0,1)</f>
        <v>0</v>
      </c>
      <c r="B590" s="494">
        <f>+'Balance N-1'!B561</f>
        <v>0</v>
      </c>
      <c r="C590" s="592">
        <f>ROUND('Balance N-1'!C561,2)</f>
        <v>0</v>
      </c>
      <c r="D590" s="592">
        <f>ROUND('Balance N-1'!D561,2)</f>
        <v>0</v>
      </c>
      <c r="E590" s="592">
        <f>ROUND('Balance N-1'!E561,2)</f>
        <v>0</v>
      </c>
      <c r="F590" s="592">
        <f>ROUND('Balance N-1'!F561,2)</f>
        <v>0</v>
      </c>
      <c r="G590" s="592">
        <f>ROUND('Balance N-1'!G561,2)</f>
        <v>0</v>
      </c>
      <c r="H590" s="592">
        <f>ROUND('Balance N-1'!H561,2)</f>
        <v>0</v>
      </c>
      <c r="I590" s="2" t="str">
        <f t="shared" si="12"/>
        <v>0</v>
      </c>
    </row>
    <row r="591" spans="1:9" x14ac:dyDescent="0.2">
      <c r="A591" s="782" t="str">
        <f>FIXED('Balance N-1'!A562,0,1)</f>
        <v>0</v>
      </c>
      <c r="B591" s="494">
        <f>+'Balance N-1'!B562</f>
        <v>0</v>
      </c>
      <c r="C591" s="592">
        <f>ROUND('Balance N-1'!C562,2)</f>
        <v>0</v>
      </c>
      <c r="D591" s="592">
        <f>ROUND('Balance N-1'!D562,2)</f>
        <v>0</v>
      </c>
      <c r="E591" s="592">
        <f>ROUND('Balance N-1'!E562,2)</f>
        <v>0</v>
      </c>
      <c r="F591" s="592">
        <f>ROUND('Balance N-1'!F562,2)</f>
        <v>0</v>
      </c>
      <c r="G591" s="592">
        <f>ROUND('Balance N-1'!G562,2)</f>
        <v>0</v>
      </c>
      <c r="H591" s="592">
        <f>ROUND('Balance N-1'!H562,2)</f>
        <v>0</v>
      </c>
      <c r="I591" s="2" t="str">
        <f t="shared" si="12"/>
        <v>0</v>
      </c>
    </row>
    <row r="592" spans="1:9" x14ac:dyDescent="0.2">
      <c r="A592" s="782" t="str">
        <f>FIXED('Balance N-1'!A563,0,1)</f>
        <v>0</v>
      </c>
      <c r="B592" s="494">
        <f>+'Balance N-1'!B563</f>
        <v>0</v>
      </c>
      <c r="C592" s="592">
        <f>ROUND('Balance N-1'!C563,2)</f>
        <v>0</v>
      </c>
      <c r="D592" s="592">
        <f>ROUND('Balance N-1'!D563,2)</f>
        <v>0</v>
      </c>
      <c r="E592" s="592">
        <f>ROUND('Balance N-1'!E563,2)</f>
        <v>0</v>
      </c>
      <c r="F592" s="592">
        <f>ROUND('Balance N-1'!F563,2)</f>
        <v>0</v>
      </c>
      <c r="G592" s="592">
        <f>ROUND('Balance N-1'!G563,2)</f>
        <v>0</v>
      </c>
      <c r="H592" s="592">
        <f>ROUND('Balance N-1'!H563,2)</f>
        <v>0</v>
      </c>
      <c r="I592" s="2" t="str">
        <f t="shared" si="12"/>
        <v>0</v>
      </c>
    </row>
    <row r="593" spans="1:9" x14ac:dyDescent="0.2">
      <c r="A593" s="782" t="str">
        <f>FIXED('Balance N-1'!A564,0,1)</f>
        <v>0</v>
      </c>
      <c r="B593" s="494">
        <f>+'Balance N-1'!B564</f>
        <v>0</v>
      </c>
      <c r="C593" s="592">
        <f>ROUND('Balance N-1'!C564,2)</f>
        <v>0</v>
      </c>
      <c r="D593" s="592">
        <f>ROUND('Balance N-1'!D564,2)</f>
        <v>0</v>
      </c>
      <c r="E593" s="592">
        <f>ROUND('Balance N-1'!E564,2)</f>
        <v>0</v>
      </c>
      <c r="F593" s="592">
        <f>ROUND('Balance N-1'!F564,2)</f>
        <v>0</v>
      </c>
      <c r="G593" s="592">
        <f>ROUND('Balance N-1'!G564,2)</f>
        <v>0</v>
      </c>
      <c r="H593" s="592">
        <f>ROUND('Balance N-1'!H564,2)</f>
        <v>0</v>
      </c>
      <c r="I593" s="2" t="str">
        <f t="shared" si="12"/>
        <v>0</v>
      </c>
    </row>
    <row r="594" spans="1:9" x14ac:dyDescent="0.2">
      <c r="A594" s="782" t="str">
        <f>FIXED('Balance N-1'!A565,0,1)</f>
        <v>0</v>
      </c>
      <c r="B594" s="494">
        <f>+'Balance N-1'!B565</f>
        <v>0</v>
      </c>
      <c r="C594" s="592">
        <f>ROUND('Balance N-1'!C565,2)</f>
        <v>0</v>
      </c>
      <c r="D594" s="592">
        <f>ROUND('Balance N-1'!D565,2)</f>
        <v>0</v>
      </c>
      <c r="E594" s="592">
        <f>ROUND('Balance N-1'!E565,2)</f>
        <v>0</v>
      </c>
      <c r="F594" s="592">
        <f>ROUND('Balance N-1'!F565,2)</f>
        <v>0</v>
      </c>
      <c r="G594" s="592">
        <f>ROUND('Balance N-1'!G565,2)</f>
        <v>0</v>
      </c>
      <c r="H594" s="592">
        <f>ROUND('Balance N-1'!H565,2)</f>
        <v>0</v>
      </c>
      <c r="I594" s="2" t="str">
        <f t="shared" si="12"/>
        <v>0</v>
      </c>
    </row>
    <row r="595" spans="1:9" x14ac:dyDescent="0.2">
      <c r="A595" s="782" t="str">
        <f>FIXED('Balance N-1'!A566,0,1)</f>
        <v>0</v>
      </c>
      <c r="B595" s="494">
        <f>+'Balance N-1'!B566</f>
        <v>0</v>
      </c>
      <c r="C595" s="592">
        <f>ROUND('Balance N-1'!C566,2)</f>
        <v>0</v>
      </c>
      <c r="D595" s="592">
        <f>ROUND('Balance N-1'!D566,2)</f>
        <v>0</v>
      </c>
      <c r="E595" s="592">
        <f>ROUND('Balance N-1'!E566,2)</f>
        <v>0</v>
      </c>
      <c r="F595" s="592">
        <f>ROUND('Balance N-1'!F566,2)</f>
        <v>0</v>
      </c>
      <c r="G595" s="592">
        <f>ROUND('Balance N-1'!G566,2)</f>
        <v>0</v>
      </c>
      <c r="H595" s="592">
        <f>ROUND('Balance N-1'!H566,2)</f>
        <v>0</v>
      </c>
      <c r="I595" s="2" t="str">
        <f t="shared" si="12"/>
        <v>0</v>
      </c>
    </row>
    <row r="596" spans="1:9" x14ac:dyDescent="0.2">
      <c r="A596" s="782" t="str">
        <f>FIXED('Balance N-1'!A567,0,1)</f>
        <v>0</v>
      </c>
      <c r="B596" s="494">
        <f>+'Balance N-1'!B567</f>
        <v>0</v>
      </c>
      <c r="C596" s="592">
        <f>ROUND('Balance N-1'!C567,2)</f>
        <v>0</v>
      </c>
      <c r="D596" s="592">
        <f>ROUND('Balance N-1'!D567,2)</f>
        <v>0</v>
      </c>
      <c r="E596" s="592">
        <f>ROUND('Balance N-1'!E567,2)</f>
        <v>0</v>
      </c>
      <c r="F596" s="592">
        <f>ROUND('Balance N-1'!F567,2)</f>
        <v>0</v>
      </c>
      <c r="G596" s="592">
        <f>ROUND('Balance N-1'!G567,2)</f>
        <v>0</v>
      </c>
      <c r="H596" s="592">
        <f>ROUND('Balance N-1'!H567,2)</f>
        <v>0</v>
      </c>
      <c r="I596" s="2" t="str">
        <f t="shared" si="12"/>
        <v>0</v>
      </c>
    </row>
    <row r="597" spans="1:9" x14ac:dyDescent="0.2">
      <c r="A597" s="782" t="str">
        <f>FIXED('Balance N-1'!A568,0,1)</f>
        <v>0</v>
      </c>
      <c r="B597" s="494">
        <f>+'Balance N-1'!B568</f>
        <v>0</v>
      </c>
      <c r="C597" s="592">
        <f>ROUND('Balance N-1'!C568,2)</f>
        <v>0</v>
      </c>
      <c r="D597" s="592">
        <f>ROUND('Balance N-1'!D568,2)</f>
        <v>0</v>
      </c>
      <c r="E597" s="592">
        <f>ROUND('Balance N-1'!E568,2)</f>
        <v>0</v>
      </c>
      <c r="F597" s="592">
        <f>ROUND('Balance N-1'!F568,2)</f>
        <v>0</v>
      </c>
      <c r="G597" s="592">
        <f>ROUND('Balance N-1'!G568,2)</f>
        <v>0</v>
      </c>
      <c r="H597" s="592">
        <f>ROUND('Balance N-1'!H568,2)</f>
        <v>0</v>
      </c>
      <c r="I597" s="2" t="str">
        <f t="shared" si="12"/>
        <v>0</v>
      </c>
    </row>
    <row r="598" spans="1:9" x14ac:dyDescent="0.2">
      <c r="A598" s="782" t="str">
        <f>FIXED('Balance N-1'!A569,0,1)</f>
        <v>0</v>
      </c>
      <c r="B598" s="494">
        <f>+'Balance N-1'!B569</f>
        <v>0</v>
      </c>
      <c r="C598" s="592">
        <f>ROUND('Balance N-1'!C569,2)</f>
        <v>0</v>
      </c>
      <c r="D598" s="592">
        <f>ROUND('Balance N-1'!D569,2)</f>
        <v>0</v>
      </c>
      <c r="E598" s="592">
        <f>ROUND('Balance N-1'!E569,2)</f>
        <v>0</v>
      </c>
      <c r="F598" s="592">
        <f>ROUND('Balance N-1'!F569,2)</f>
        <v>0</v>
      </c>
      <c r="G598" s="592">
        <f>ROUND('Balance N-1'!G569,2)</f>
        <v>0</v>
      </c>
      <c r="H598" s="592">
        <f>ROUND('Balance N-1'!H569,2)</f>
        <v>0</v>
      </c>
      <c r="I598" s="2" t="str">
        <f t="shared" si="12"/>
        <v>0</v>
      </c>
    </row>
    <row r="599" spans="1:9" x14ac:dyDescent="0.2">
      <c r="A599" s="782" t="str">
        <f>FIXED('Balance N-1'!A570,0,1)</f>
        <v>0</v>
      </c>
      <c r="B599" s="494">
        <f>+'Balance N-1'!B570</f>
        <v>0</v>
      </c>
      <c r="C599" s="592">
        <f>ROUND('Balance N-1'!C570,2)</f>
        <v>0</v>
      </c>
      <c r="D599" s="592">
        <f>ROUND('Balance N-1'!D570,2)</f>
        <v>0</v>
      </c>
      <c r="E599" s="592">
        <f>ROUND('Balance N-1'!E570,2)</f>
        <v>0</v>
      </c>
      <c r="F599" s="592">
        <f>ROUND('Balance N-1'!F570,2)</f>
        <v>0</v>
      </c>
      <c r="G599" s="592">
        <f>ROUND('Balance N-1'!G570,2)</f>
        <v>0</v>
      </c>
      <c r="H599" s="592">
        <f>ROUND('Balance N-1'!H570,2)</f>
        <v>0</v>
      </c>
      <c r="I599" s="2" t="str">
        <f t="shared" si="12"/>
        <v>0</v>
      </c>
    </row>
    <row r="600" spans="1:9" x14ac:dyDescent="0.2">
      <c r="A600" s="782" t="str">
        <f>FIXED('Balance N-1'!A571,0,1)</f>
        <v>0</v>
      </c>
      <c r="B600" s="494">
        <f>+'Balance N-1'!B571</f>
        <v>0</v>
      </c>
      <c r="C600" s="592">
        <f>ROUND('Balance N-1'!C571,2)</f>
        <v>0</v>
      </c>
      <c r="D600" s="592">
        <f>ROUND('Balance N-1'!D571,2)</f>
        <v>0</v>
      </c>
      <c r="E600" s="592">
        <f>ROUND('Balance N-1'!E571,2)</f>
        <v>0</v>
      </c>
      <c r="F600" s="592">
        <f>ROUND('Balance N-1'!F571,2)</f>
        <v>0</v>
      </c>
      <c r="G600" s="592">
        <f>ROUND('Balance N-1'!G571,2)</f>
        <v>0</v>
      </c>
      <c r="H600" s="592">
        <f>ROUND('Balance N-1'!H571,2)</f>
        <v>0</v>
      </c>
      <c r="I600" s="2" t="str">
        <f t="shared" ref="I600:I616" si="13">MID(A600,1,1)</f>
        <v>0</v>
      </c>
    </row>
    <row r="601" spans="1:9" x14ac:dyDescent="0.2">
      <c r="A601" s="782" t="str">
        <f>FIXED('Balance N-1'!A572,0,1)</f>
        <v>0</v>
      </c>
      <c r="B601" s="494">
        <f>+'Balance N-1'!B572</f>
        <v>0</v>
      </c>
      <c r="C601" s="592">
        <f>ROUND('Balance N-1'!C572,2)</f>
        <v>0</v>
      </c>
      <c r="D601" s="592">
        <f>ROUND('Balance N-1'!D572,2)</f>
        <v>0</v>
      </c>
      <c r="E601" s="592">
        <f>ROUND('Balance N-1'!E572,2)</f>
        <v>0</v>
      </c>
      <c r="F601" s="592">
        <f>ROUND('Balance N-1'!F572,2)</f>
        <v>0</v>
      </c>
      <c r="G601" s="592">
        <f>ROUND('Balance N-1'!G572,2)</f>
        <v>0</v>
      </c>
      <c r="H601" s="592">
        <f>ROUND('Balance N-1'!H572,2)</f>
        <v>0</v>
      </c>
      <c r="I601" s="2" t="str">
        <f t="shared" si="13"/>
        <v>0</v>
      </c>
    </row>
    <row r="602" spans="1:9" x14ac:dyDescent="0.2">
      <c r="A602" s="782" t="str">
        <f>FIXED('Balance N-1'!A573,0,1)</f>
        <v>0</v>
      </c>
      <c r="B602" s="494">
        <f>+'Balance N-1'!B573</f>
        <v>0</v>
      </c>
      <c r="C602" s="592">
        <f>ROUND('Balance N-1'!C573,2)</f>
        <v>0</v>
      </c>
      <c r="D602" s="592">
        <f>ROUND('Balance N-1'!D573,2)</f>
        <v>0</v>
      </c>
      <c r="E602" s="592">
        <f>ROUND('Balance N-1'!E573,2)</f>
        <v>0</v>
      </c>
      <c r="F602" s="592">
        <f>ROUND('Balance N-1'!F573,2)</f>
        <v>0</v>
      </c>
      <c r="G602" s="592">
        <f>ROUND('Balance N-1'!G573,2)</f>
        <v>0</v>
      </c>
      <c r="H602" s="592">
        <f>ROUND('Balance N-1'!H573,2)</f>
        <v>0</v>
      </c>
      <c r="I602" s="2" t="str">
        <f t="shared" si="13"/>
        <v>0</v>
      </c>
    </row>
    <row r="603" spans="1:9" x14ac:dyDescent="0.2">
      <c r="A603" s="782" t="str">
        <f>FIXED('Balance N-1'!A574,0,1)</f>
        <v>0</v>
      </c>
      <c r="B603" s="494">
        <f>+'Balance N-1'!B574</f>
        <v>0</v>
      </c>
      <c r="C603" s="592">
        <f>ROUND('Balance N-1'!C574,2)</f>
        <v>0</v>
      </c>
      <c r="D603" s="592">
        <f>ROUND('Balance N-1'!D574,2)</f>
        <v>0</v>
      </c>
      <c r="E603" s="592">
        <f>ROUND('Balance N-1'!E574,2)</f>
        <v>0</v>
      </c>
      <c r="F603" s="592">
        <f>ROUND('Balance N-1'!F574,2)</f>
        <v>0</v>
      </c>
      <c r="G603" s="592">
        <f>ROUND('Balance N-1'!G574,2)</f>
        <v>0</v>
      </c>
      <c r="H603" s="592">
        <f>ROUND('Balance N-1'!H574,2)</f>
        <v>0</v>
      </c>
      <c r="I603" s="2" t="str">
        <f t="shared" si="13"/>
        <v>0</v>
      </c>
    </row>
    <row r="604" spans="1:9" x14ac:dyDescent="0.2">
      <c r="A604" s="782" t="str">
        <f>FIXED('Balance N-1'!A575,0,1)</f>
        <v>0</v>
      </c>
      <c r="B604" s="494">
        <f>+'Balance N-1'!B575</f>
        <v>0</v>
      </c>
      <c r="C604" s="592">
        <f>ROUND('Balance N-1'!C575,2)</f>
        <v>0</v>
      </c>
      <c r="D604" s="592">
        <f>ROUND('Balance N-1'!D575,2)</f>
        <v>0</v>
      </c>
      <c r="E604" s="592">
        <f>ROUND('Balance N-1'!E575,2)</f>
        <v>0</v>
      </c>
      <c r="F604" s="592">
        <f>ROUND('Balance N-1'!F575,2)</f>
        <v>0</v>
      </c>
      <c r="G604" s="592">
        <f>ROUND('Balance N-1'!G575,2)</f>
        <v>0</v>
      </c>
      <c r="H604" s="592">
        <f>ROUND('Balance N-1'!H575,2)</f>
        <v>0</v>
      </c>
      <c r="I604" s="2" t="str">
        <f t="shared" si="13"/>
        <v>0</v>
      </c>
    </row>
    <row r="605" spans="1:9" x14ac:dyDescent="0.2">
      <c r="A605" s="782" t="str">
        <f>FIXED('Balance N-1'!A576,0,1)</f>
        <v>0</v>
      </c>
      <c r="B605" s="494">
        <f>+'Balance N-1'!B576</f>
        <v>0</v>
      </c>
      <c r="C605" s="592">
        <f>ROUND('Balance N-1'!C576,2)</f>
        <v>0</v>
      </c>
      <c r="D605" s="592">
        <f>ROUND('Balance N-1'!D576,2)</f>
        <v>0</v>
      </c>
      <c r="E605" s="592">
        <f>ROUND('Balance N-1'!E576,2)</f>
        <v>0</v>
      </c>
      <c r="F605" s="592">
        <f>ROUND('Balance N-1'!F576,2)</f>
        <v>0</v>
      </c>
      <c r="G605" s="592">
        <f>ROUND('Balance N-1'!G576,2)</f>
        <v>0</v>
      </c>
      <c r="H605" s="592">
        <f>ROUND('Balance N-1'!H576,2)</f>
        <v>0</v>
      </c>
      <c r="I605" s="2" t="str">
        <f t="shared" si="13"/>
        <v>0</v>
      </c>
    </row>
    <row r="606" spans="1:9" x14ac:dyDescent="0.2">
      <c r="A606" s="782" t="str">
        <f>FIXED('Balance N-1'!A577,0,1)</f>
        <v>0</v>
      </c>
      <c r="B606" s="494">
        <f>+'Balance N-1'!B577</f>
        <v>0</v>
      </c>
      <c r="C606" s="592">
        <f>ROUND('Balance N-1'!C577,2)</f>
        <v>0</v>
      </c>
      <c r="D606" s="592">
        <f>ROUND('Balance N-1'!D577,2)</f>
        <v>0</v>
      </c>
      <c r="E606" s="592">
        <f>ROUND('Balance N-1'!E577,2)</f>
        <v>0</v>
      </c>
      <c r="F606" s="592">
        <f>ROUND('Balance N-1'!F577,2)</f>
        <v>0</v>
      </c>
      <c r="G606" s="592">
        <f>ROUND('Balance N-1'!G577,2)</f>
        <v>0</v>
      </c>
      <c r="H606" s="592">
        <f>ROUND('Balance N-1'!H577,2)</f>
        <v>0</v>
      </c>
      <c r="I606" s="2" t="str">
        <f t="shared" si="13"/>
        <v>0</v>
      </c>
    </row>
    <row r="607" spans="1:9" x14ac:dyDescent="0.2">
      <c r="A607" s="782" t="str">
        <f>FIXED('Balance N-1'!A578,0,1)</f>
        <v>0</v>
      </c>
      <c r="B607" s="494">
        <f>+'Balance N-1'!B578</f>
        <v>0</v>
      </c>
      <c r="C607" s="592">
        <f>ROUND('Balance N-1'!C578,2)</f>
        <v>0</v>
      </c>
      <c r="D607" s="592">
        <f>ROUND('Balance N-1'!D578,2)</f>
        <v>0</v>
      </c>
      <c r="E607" s="592">
        <f>ROUND('Balance N-1'!E578,2)</f>
        <v>0</v>
      </c>
      <c r="F607" s="592">
        <f>ROUND('Balance N-1'!F578,2)</f>
        <v>0</v>
      </c>
      <c r="G607" s="592">
        <f>ROUND('Balance N-1'!G578,2)</f>
        <v>0</v>
      </c>
      <c r="H607" s="592">
        <f>ROUND('Balance N-1'!H578,2)</f>
        <v>0</v>
      </c>
      <c r="I607" s="2" t="str">
        <f t="shared" si="13"/>
        <v>0</v>
      </c>
    </row>
    <row r="608" spans="1:9" x14ac:dyDescent="0.2">
      <c r="A608" s="782" t="str">
        <f>FIXED('Balance N-1'!A579,0,1)</f>
        <v>0</v>
      </c>
      <c r="B608" s="494">
        <f>+'Balance N-1'!B579</f>
        <v>0</v>
      </c>
      <c r="C608" s="592">
        <f>ROUND('Balance N-1'!C579,2)</f>
        <v>0</v>
      </c>
      <c r="D608" s="592">
        <f>ROUND('Balance N-1'!D579,2)</f>
        <v>0</v>
      </c>
      <c r="E608" s="592">
        <f>ROUND('Balance N-1'!E579,2)</f>
        <v>0</v>
      </c>
      <c r="F608" s="592">
        <f>ROUND('Balance N-1'!F579,2)</f>
        <v>0</v>
      </c>
      <c r="G608" s="592">
        <f>ROUND('Balance N-1'!G579,2)</f>
        <v>0</v>
      </c>
      <c r="H608" s="592">
        <f>ROUND('Balance N-1'!H579,2)</f>
        <v>0</v>
      </c>
      <c r="I608" s="2" t="str">
        <f t="shared" si="13"/>
        <v>0</v>
      </c>
    </row>
    <row r="609" spans="1:9" x14ac:dyDescent="0.2">
      <c r="A609" s="782" t="str">
        <f>FIXED('Balance N-1'!A580,0,1)</f>
        <v>0</v>
      </c>
      <c r="B609" s="494">
        <f>+'Balance N-1'!B580</f>
        <v>0</v>
      </c>
      <c r="C609" s="592">
        <f>ROUND('Balance N-1'!C580,2)</f>
        <v>0</v>
      </c>
      <c r="D609" s="592">
        <f>ROUND('Balance N-1'!D580,2)</f>
        <v>0</v>
      </c>
      <c r="E609" s="592">
        <f>ROUND('Balance N-1'!E580,2)</f>
        <v>0</v>
      </c>
      <c r="F609" s="592">
        <f>ROUND('Balance N-1'!F580,2)</f>
        <v>0</v>
      </c>
      <c r="G609" s="592">
        <f>ROUND('Balance N-1'!G580,2)</f>
        <v>0</v>
      </c>
      <c r="H609" s="592">
        <f>ROUND('Balance N-1'!H580,2)</f>
        <v>0</v>
      </c>
      <c r="I609" s="2" t="str">
        <f t="shared" si="13"/>
        <v>0</v>
      </c>
    </row>
    <row r="610" spans="1:9" x14ac:dyDescent="0.2">
      <c r="A610" s="782" t="str">
        <f>FIXED('Balance N-1'!A581,0,1)</f>
        <v>0</v>
      </c>
      <c r="B610" s="494">
        <f>+'Balance N-1'!B581</f>
        <v>0</v>
      </c>
      <c r="C610" s="592">
        <f>ROUND('Balance N-1'!C581,2)</f>
        <v>0</v>
      </c>
      <c r="D610" s="592">
        <f>ROUND('Balance N-1'!D581,2)</f>
        <v>0</v>
      </c>
      <c r="E610" s="592">
        <f>ROUND('Balance N-1'!E581,2)</f>
        <v>0</v>
      </c>
      <c r="F610" s="592">
        <f>ROUND('Balance N-1'!F581,2)</f>
        <v>0</v>
      </c>
      <c r="G610" s="592">
        <f>ROUND('Balance N-1'!G581,2)</f>
        <v>0</v>
      </c>
      <c r="H610" s="592">
        <f>ROUND('Balance N-1'!H581,2)</f>
        <v>0</v>
      </c>
      <c r="I610" s="2" t="str">
        <f t="shared" si="13"/>
        <v>0</v>
      </c>
    </row>
    <row r="611" spans="1:9" x14ac:dyDescent="0.2">
      <c r="A611" s="782" t="str">
        <f>FIXED('Balance N-1'!A582,0,1)</f>
        <v>0</v>
      </c>
      <c r="B611" s="494">
        <f>+'Balance N-1'!B582</f>
        <v>0</v>
      </c>
      <c r="C611" s="592">
        <f>ROUND('Balance N-1'!C582,2)</f>
        <v>0</v>
      </c>
      <c r="D611" s="592">
        <f>ROUND('Balance N-1'!D582,2)</f>
        <v>0</v>
      </c>
      <c r="E611" s="592">
        <f>ROUND('Balance N-1'!E582,2)</f>
        <v>0</v>
      </c>
      <c r="F611" s="592">
        <f>ROUND('Balance N-1'!F582,2)</f>
        <v>0</v>
      </c>
      <c r="G611" s="592">
        <f>ROUND('Balance N-1'!G582,2)</f>
        <v>0</v>
      </c>
      <c r="H611" s="592">
        <f>ROUND('Balance N-1'!H582,2)</f>
        <v>0</v>
      </c>
      <c r="I611" s="2" t="str">
        <f t="shared" si="13"/>
        <v>0</v>
      </c>
    </row>
    <row r="612" spans="1:9" x14ac:dyDescent="0.2">
      <c r="A612" s="782" t="str">
        <f>FIXED('Balance N-1'!A583,0,1)</f>
        <v>0</v>
      </c>
      <c r="B612" s="494">
        <f>+'Balance N-1'!B583</f>
        <v>0</v>
      </c>
      <c r="C612" s="592">
        <f>ROUND('Balance N-1'!C583,2)</f>
        <v>0</v>
      </c>
      <c r="D612" s="592">
        <f>ROUND('Balance N-1'!D583,2)</f>
        <v>0</v>
      </c>
      <c r="E612" s="592">
        <f>ROUND('Balance N-1'!E583,2)</f>
        <v>0</v>
      </c>
      <c r="F612" s="592">
        <f>ROUND('Balance N-1'!F583,2)</f>
        <v>0</v>
      </c>
      <c r="G612" s="592">
        <f>ROUND('Balance N-1'!G583,2)</f>
        <v>0</v>
      </c>
      <c r="H612" s="592">
        <f>ROUND('Balance N-1'!H583,2)</f>
        <v>0</v>
      </c>
      <c r="I612" s="2" t="str">
        <f t="shared" si="13"/>
        <v>0</v>
      </c>
    </row>
    <row r="613" spans="1:9" x14ac:dyDescent="0.2">
      <c r="A613" s="782" t="str">
        <f>FIXED('Balance N-1'!A584,0,1)</f>
        <v>0</v>
      </c>
      <c r="B613" s="494">
        <f>+'Balance N-1'!B584</f>
        <v>0</v>
      </c>
      <c r="C613" s="592">
        <f>ROUND('Balance N-1'!C584,2)</f>
        <v>0</v>
      </c>
      <c r="D613" s="592">
        <f>ROUND('Balance N-1'!D584,2)</f>
        <v>0</v>
      </c>
      <c r="E613" s="592">
        <f>ROUND('Balance N-1'!E584,2)</f>
        <v>0</v>
      </c>
      <c r="F613" s="592">
        <f>ROUND('Balance N-1'!F584,2)</f>
        <v>0</v>
      </c>
      <c r="G613" s="592">
        <f>ROUND('Balance N-1'!G584,2)</f>
        <v>0</v>
      </c>
      <c r="H613" s="592">
        <f>ROUND('Balance N-1'!H584,2)</f>
        <v>0</v>
      </c>
      <c r="I613" s="2" t="str">
        <f t="shared" si="13"/>
        <v>0</v>
      </c>
    </row>
    <row r="614" spans="1:9" x14ac:dyDescent="0.2">
      <c r="A614" s="782" t="str">
        <f>FIXED('Balance N-1'!A585,0,1)</f>
        <v>0</v>
      </c>
      <c r="B614" s="494">
        <f>+'Balance N-1'!B585</f>
        <v>0</v>
      </c>
      <c r="C614" s="592">
        <f>ROUND('Balance N-1'!C585,2)</f>
        <v>0</v>
      </c>
      <c r="D614" s="592">
        <f>ROUND('Balance N-1'!D585,2)</f>
        <v>0</v>
      </c>
      <c r="E614" s="592">
        <f>ROUND('Balance N-1'!E585,2)</f>
        <v>0</v>
      </c>
      <c r="F614" s="592">
        <f>ROUND('Balance N-1'!F585,2)</f>
        <v>0</v>
      </c>
      <c r="G614" s="592">
        <f>ROUND('Balance N-1'!G585,2)</f>
        <v>0</v>
      </c>
      <c r="H614" s="592">
        <f>ROUND('Balance N-1'!H585,2)</f>
        <v>0</v>
      </c>
      <c r="I614" s="2" t="str">
        <f t="shared" si="13"/>
        <v>0</v>
      </c>
    </row>
    <row r="615" spans="1:9" x14ac:dyDescent="0.2">
      <c r="A615" s="782" t="str">
        <f>FIXED('Balance N-1'!A586,0,1)</f>
        <v>0</v>
      </c>
      <c r="B615" s="494">
        <f>+'Balance N-1'!B586</f>
        <v>0</v>
      </c>
      <c r="C615" s="592">
        <f>ROUND('Balance N-1'!C586,2)</f>
        <v>0</v>
      </c>
      <c r="D615" s="592">
        <f>ROUND('Balance N-1'!D586,2)</f>
        <v>0</v>
      </c>
      <c r="E615" s="592">
        <f>ROUND('Balance N-1'!E586,2)</f>
        <v>0</v>
      </c>
      <c r="F615" s="592">
        <f>ROUND('Balance N-1'!F586,2)</f>
        <v>0</v>
      </c>
      <c r="G615" s="592">
        <f>ROUND('Balance N-1'!G586,2)</f>
        <v>0</v>
      </c>
      <c r="H615" s="592">
        <f>ROUND('Balance N-1'!H586,2)</f>
        <v>0</v>
      </c>
      <c r="I615" s="2" t="str">
        <f t="shared" si="13"/>
        <v>0</v>
      </c>
    </row>
    <row r="616" spans="1:9" x14ac:dyDescent="0.2">
      <c r="A616" s="782" t="str">
        <f>FIXED('Balance N-1'!A587,0,1)</f>
        <v>0</v>
      </c>
      <c r="B616" s="494">
        <f>+'Balance N-1'!B587</f>
        <v>0</v>
      </c>
      <c r="C616" s="592">
        <f>ROUND('Balance N-1'!C587,2)</f>
        <v>0</v>
      </c>
      <c r="D616" s="592">
        <f>ROUND('Balance N-1'!D587,2)</f>
        <v>0</v>
      </c>
      <c r="E616" s="592">
        <f>ROUND('Balance N-1'!E587,2)</f>
        <v>0</v>
      </c>
      <c r="F616" s="592">
        <f>ROUND('Balance N-1'!F587,2)</f>
        <v>0</v>
      </c>
      <c r="G616" s="592">
        <f>ROUND('Balance N-1'!G587,2)</f>
        <v>0</v>
      </c>
      <c r="H616" s="592">
        <f>ROUND('Balance N-1'!H587,2)</f>
        <v>0</v>
      </c>
      <c r="I616" s="2" t="str">
        <f t="shared" si="13"/>
        <v>0</v>
      </c>
    </row>
    <row r="617" spans="1:9" x14ac:dyDescent="0.2">
      <c r="A617" s="494"/>
      <c r="B617" s="494"/>
      <c r="C617" s="592">
        <f>ROUND('Balance N-1'!C588,2)</f>
        <v>0</v>
      </c>
      <c r="D617" s="592">
        <f>ROUND('Balance N-1'!D588,2)</f>
        <v>0</v>
      </c>
      <c r="E617" s="592">
        <f>ROUND('Balance N-1'!E588,2)</f>
        <v>0</v>
      </c>
      <c r="F617" s="592">
        <f>ROUND('Balance N-1'!F588,2)</f>
        <v>0</v>
      </c>
      <c r="G617" s="592">
        <f>ROUND('Balance N-1'!G588,2)</f>
        <v>0</v>
      </c>
      <c r="H617" s="592">
        <f>ROUND('Balance N-1'!H588,2)</f>
        <v>0</v>
      </c>
    </row>
  </sheetData>
  <autoFilter ref="A1:H617" xr:uid="{00000000-0009-0000-0000-00000A000000}"/>
  <phoneticPr fontId="0" type="noConversion"/>
  <pageMargins left="0.78740157499999996" right="0.78740157499999996" top="0.984251969" bottom="0.984251969" header="0.4921259845" footer="0.4921259845"/>
  <pageSetup paperSize="9" scale="10" orientation="portrait" horizontalDpi="300" verticalDpi="300" r:id="rId1"/>
  <headerFooter alignWithMargins="0"/>
  <ignoredErrors>
    <ignoredError sqref="N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4">
    <tabColor rgb="FFFF0000"/>
  </sheetPr>
  <dimension ref="A1:P127"/>
  <sheetViews>
    <sheetView showGridLines="0" showZeros="0" topLeftCell="A26" zoomScale="130" zoomScaleNormal="130" workbookViewId="0">
      <selection activeCell="E48" sqref="E42:E48"/>
    </sheetView>
  </sheetViews>
  <sheetFormatPr baseColWidth="10" defaultColWidth="12" defaultRowHeight="12" x14ac:dyDescent="0.2"/>
  <cols>
    <col min="1" max="1" width="4.6640625" style="20" customWidth="1"/>
    <col min="2" max="2" width="38.33203125" style="20" customWidth="1"/>
    <col min="3" max="3" width="17.6640625" style="1" customWidth="1"/>
    <col min="4" max="4" width="15.1640625" style="1" customWidth="1"/>
    <col min="5" max="5" width="17.6640625" style="1" customWidth="1"/>
    <col min="6" max="6" width="0.83203125" style="1" customWidth="1"/>
    <col min="7" max="7" width="17.6640625" style="1" bestFit="1" customWidth="1"/>
    <col min="8" max="9" width="17.6640625" style="1" customWidth="1"/>
    <col min="10" max="10" width="14.33203125" style="20" bestFit="1" customWidth="1"/>
    <col min="11" max="11" width="16.33203125" style="20" bestFit="1" customWidth="1"/>
    <col min="12" max="13" width="16.33203125" style="20" customWidth="1"/>
    <col min="14" max="14" width="16.33203125" style="20" bestFit="1" customWidth="1"/>
    <col min="15" max="15" width="12" style="20"/>
    <col min="16" max="16" width="16.33203125" style="20" bestFit="1" customWidth="1"/>
    <col min="17" max="16384" width="12" style="20"/>
  </cols>
  <sheetData>
    <row r="1" spans="1:13" x14ac:dyDescent="0.2">
      <c r="A1" s="3" t="s">
        <v>242</v>
      </c>
    </row>
    <row r="2" spans="1:13" ht="15.75" x14ac:dyDescent="0.25">
      <c r="C2" s="19" t="s">
        <v>243</v>
      </c>
    </row>
    <row r="3" spans="1:13" ht="12.75" thickBot="1" x14ac:dyDescent="0.25">
      <c r="A3" s="418"/>
      <c r="B3" s="418"/>
      <c r="C3" s="419" t="s">
        <v>244</v>
      </c>
      <c r="D3" s="420"/>
      <c r="E3" s="421" t="s">
        <v>245</v>
      </c>
      <c r="G3" s="367" t="str">
        <f>Couverture!E15</f>
        <v>31/12/2015</v>
      </c>
      <c r="H3" s="870"/>
      <c r="I3" s="870"/>
    </row>
    <row r="4" spans="1:13" s="24" customFormat="1" x14ac:dyDescent="0.2">
      <c r="A4" s="320"/>
      <c r="B4" s="422" t="s">
        <v>246</v>
      </c>
      <c r="C4" s="423" t="s">
        <v>247</v>
      </c>
      <c r="D4" s="423" t="s">
        <v>248</v>
      </c>
      <c r="E4" s="424"/>
      <c r="F4" s="425"/>
      <c r="G4" s="426" t="s">
        <v>249</v>
      </c>
      <c r="H4" s="1108"/>
      <c r="I4" s="1108"/>
    </row>
    <row r="5" spans="1:13" x14ac:dyDescent="0.2">
      <c r="A5" s="322"/>
      <c r="B5" s="427" t="s">
        <v>250</v>
      </c>
      <c r="C5" s="428"/>
      <c r="D5" s="429" t="s">
        <v>251</v>
      </c>
      <c r="E5" s="428"/>
      <c r="G5" s="428"/>
      <c r="H5" s="1109" t="s">
        <v>532</v>
      </c>
      <c r="I5" s="1109">
        <v>2014</v>
      </c>
    </row>
    <row r="6" spans="1:13" x14ac:dyDescent="0.2">
      <c r="A6" s="430"/>
      <c r="B6" s="327"/>
      <c r="C6" s="431" t="s">
        <v>252</v>
      </c>
      <c r="D6" s="432" t="s">
        <v>253</v>
      </c>
      <c r="E6" s="431" t="s">
        <v>254</v>
      </c>
      <c r="G6" s="431" t="s">
        <v>254</v>
      </c>
      <c r="H6" s="1109"/>
      <c r="I6" s="1109"/>
    </row>
    <row r="7" spans="1:13" ht="12.75" thickBot="1" x14ac:dyDescent="0.25">
      <c r="A7" s="433"/>
      <c r="B7" s="434"/>
      <c r="C7" s="435"/>
      <c r="D7" s="436" t="s">
        <v>255</v>
      </c>
      <c r="E7" s="435"/>
      <c r="G7" s="435"/>
      <c r="H7" s="1109"/>
      <c r="I7" s="1109"/>
    </row>
    <row r="8" spans="1:13" x14ac:dyDescent="0.2">
      <c r="A8" s="437"/>
      <c r="B8" s="438" t="s">
        <v>256</v>
      </c>
      <c r="C8" s="783">
        <f>SUM(C9:C11)</f>
        <v>0</v>
      </c>
      <c r="D8" s="783">
        <f>SUM(D9:D11)</f>
        <v>0</v>
      </c>
      <c r="E8" s="783">
        <f>SUM(E9:E11)</f>
        <v>0</v>
      </c>
      <c r="F8" s="761"/>
      <c r="G8" s="783">
        <f>SUM(G9:G11)</f>
        <v>0</v>
      </c>
      <c r="H8" s="761"/>
      <c r="I8" s="761"/>
      <c r="J8" s="279"/>
      <c r="K8" s="285"/>
      <c r="L8" s="285"/>
      <c r="M8" s="285"/>
    </row>
    <row r="9" spans="1:13" x14ac:dyDescent="0.2">
      <c r="A9" s="437"/>
      <c r="B9" s="439" t="s">
        <v>257</v>
      </c>
      <c r="C9" s="784">
        <f>SUMIF('Balance N Retraitée'!A:A,"211*",'Balance N Retraitée'!G:G)-SUMIF('Balance N Retraitée'!A:A,"211*",'Balance N Retraitée'!H:H)</f>
        <v>0</v>
      </c>
      <c r="D9" s="447">
        <f>(SUMIF('Balance N Retraitée'!A:A,"2811*",'Balance N Retraitée'!H:H)-SUMIF('Balance N Retraitée'!A:A,"2811*",'Balance N Retraitée'!G:G))+(SUMIF('Balance N Retraitée'!A:A,"2911*",'Balance N Retraitée'!H:H)-SUMIF('Balance N Retraitée'!A:A,"2911*",'Balance N Retraitée'!G:G))</f>
        <v>0</v>
      </c>
      <c r="E9" s="447">
        <f>+C9-D9</f>
        <v>0</v>
      </c>
      <c r="F9" s="762"/>
      <c r="G9" s="447">
        <f>(SUMIF('Balance N-1 Retraitée'!A:A,"211*",'Balance N-1 Retraitée'!G:G)-SUMIF('Balance N-1 Retraitée'!A:A,"211*",'Balance N-1 Retraitée'!H:H))-(SUMIF('Balance N-1 Retraitée'!A:A,"2811*",'Balance N-1 Retraitée'!H:H)-SUMIF('Balance N-1 Retraitée'!A:A,"2811*",'Balance N-1 Retraitée'!G:G))-(SUMIF('Balance N-1 Retraitée'!A:A,"2911*",'Balance N-1 Retraitée'!H:H)-SUMIF('Balance N-1 Retraitée'!A:A,"2911*",'Balance N-1 Retraitée'!G:G))</f>
        <v>0</v>
      </c>
      <c r="H9" s="762"/>
      <c r="I9" s="762"/>
      <c r="J9" s="279"/>
      <c r="K9" s="279"/>
      <c r="L9" s="279"/>
      <c r="M9" s="279"/>
    </row>
    <row r="10" spans="1:13" x14ac:dyDescent="0.2">
      <c r="A10" s="437"/>
      <c r="B10" s="440" t="s">
        <v>258</v>
      </c>
      <c r="C10" s="447">
        <f>SUMIF('Balance N Retraitée'!A:A,"212*",'Balance N Retraitée'!G:G)-SUMIF('Balance N Retraitée'!A:A,"212*",'Balance N Retraitée'!H:H)</f>
        <v>0</v>
      </c>
      <c r="D10" s="447">
        <f>(SUMIF('Balance N Retraitée'!A:A,"2812*",'Balance N Retraitée'!H:H)-SUMIF('Balance N Retraitée'!A:A,"2812*",'Balance N Retraitée'!G:G))+(SUMIF('Balance N Retraitée'!A:A,"2912*",'Balance N Retraitée'!H:H)-SUMIF('Balance N Retraitée'!A:A,"2912*",'Balance N Retraitée'!G:G))</f>
        <v>0</v>
      </c>
      <c r="E10" s="447">
        <f>+C10-D10</f>
        <v>0</v>
      </c>
      <c r="F10" s="762"/>
      <c r="G10" s="447">
        <f>(SUMIF('Balance N-1 Retraitée'!A:A,"212*",'Balance N-1 Retraitée'!G:G)-SUMIF('Balance N-1 Retraitée'!A:A,"212*",'Balance N-1 Retraitée'!H:H))-(SUMIF('Balance N-1 Retraitée'!A:A,"2812*",'Balance N-1 Retraitée'!H:H)-SUMIF('Balance N-1 Retraitée'!A:A,"2812*",'Balance N-1 Retraitée'!G:G))-(SUMIF('Balance N-1 Retraitée'!A:A,"2912*",'Balance N-1 Retraitée'!H:H)-SUMIF('Balance N-1 Retraitée'!A:A,"2912*",'Balance N-1 Retraitée'!G:G))</f>
        <v>0</v>
      </c>
      <c r="H10" s="762"/>
      <c r="I10" s="762"/>
      <c r="J10" s="279"/>
      <c r="K10" s="279"/>
      <c r="L10" s="279"/>
      <c r="M10" s="279"/>
    </row>
    <row r="11" spans="1:13" ht="12.75" thickBot="1" x14ac:dyDescent="0.25">
      <c r="A11" s="441" t="s">
        <v>259</v>
      </c>
      <c r="B11" s="442" t="s">
        <v>260</v>
      </c>
      <c r="C11" s="763">
        <f>SUMIF('Balance N Retraitée'!A:A,"213*",'Balance N Retraitée'!G:G)-SUMIF('Balance N Retraitée'!A:A,"213*",'Balance N Retraitée'!H:H)</f>
        <v>0</v>
      </c>
      <c r="D11" s="763">
        <f>(SUMIF('Balance N Retraitée'!A:A,"2813*",'Balance N Retraitée'!H:H)-SUMIF('Balance N Retraitée'!A:A,"2813*",'Balance N Retraitée'!G:G))+(SUMIF('Balance N Retraitée'!A:A,"2913*",'Balance N Retraitée'!H:H)-SUMIF('Balance N Retraitée'!A:A,"2913*",'Balance N Retraitée'!G:G))</f>
        <v>0</v>
      </c>
      <c r="E11" s="763">
        <f>+C13-D13</f>
        <v>0</v>
      </c>
      <c r="F11" s="762"/>
      <c r="G11" s="763">
        <f>(SUMIF('Balance N-1 Retraitée'!A:A,"213*",'Balance N-1 Retraitée'!G:G)-SUMIF('Balance N-1 Retraitée'!A:A,"213*",'Balance N-1 Retraitée'!H:H))-(SUMIF('Balance N-1 Retraitée'!A:A,"2813*",'Balance N-1 Retraitée'!H:H)-SUMIF('Balance N-1 Retraitée'!A:A,"2813*",'Balance N-1 Retraitée'!G:G))-(SUMIF('Balance N-1 Retraitée'!A:A,"2913*",'Balance N-1 Retraitée'!H:H)-SUMIF('Balance N-1 Retraitée'!A:A,"2913*",'Balance N-1 Retraitée'!G:G))</f>
        <v>0</v>
      </c>
      <c r="H11" s="762"/>
      <c r="I11" s="762"/>
      <c r="J11" s="279"/>
      <c r="K11" s="279"/>
      <c r="L11" s="279"/>
      <c r="M11" s="279"/>
    </row>
    <row r="12" spans="1:13" x14ac:dyDescent="0.2">
      <c r="A12" s="441" t="s">
        <v>261</v>
      </c>
      <c r="B12" s="443" t="s">
        <v>262</v>
      </c>
      <c r="C12" s="446">
        <f>SUM(C13:C16)</f>
        <v>0</v>
      </c>
      <c r="D12" s="446">
        <f>SUM(D13:D16)</f>
        <v>0</v>
      </c>
      <c r="E12" s="446">
        <f>SUM(E13:E16)</f>
        <v>0</v>
      </c>
      <c r="F12" s="761"/>
      <c r="G12" s="446">
        <f>SUM(G13:G16)</f>
        <v>0</v>
      </c>
      <c r="H12" s="761"/>
      <c r="I12" s="761"/>
      <c r="J12" s="279"/>
    </row>
    <row r="13" spans="1:13" x14ac:dyDescent="0.2">
      <c r="A13" s="441" t="s">
        <v>263</v>
      </c>
      <c r="B13" s="444" t="s">
        <v>264</v>
      </c>
      <c r="C13" s="447">
        <f>SUMIF('Balance N Retraitée'!A:A,"221*",'Balance N Retraitée'!G:G)-SUMIF('Balance N Retraitée'!A:A,"221*",'Balance N Retraitée'!H:H)</f>
        <v>0</v>
      </c>
      <c r="D13" s="447">
        <f>(SUMIF('Balance N Retraitée'!A:A,"2821*",'Balance N Retraitée'!H:H)-SUMIF('Balance N Retraitée'!A:A,"2821*",'Balance N Retraitée'!G:G))+(SUMIF('Balance N Retraitée'!A:A,"2921*",'Balance N Retraitée'!H:H)-SUMIF('Balance N Retraitée'!A:A,"2921*",'Balance N Retraitée'!G:G))</f>
        <v>0</v>
      </c>
      <c r="E13" s="447">
        <f>+C13-D13</f>
        <v>0</v>
      </c>
      <c r="F13" s="762"/>
      <c r="G13" s="447">
        <f>(SUMIF('Balance N-1 Retraitée'!A:A,"221*",'Balance N-1 Retraitée'!G:G)-SUMIF('Balance N-1 Retraitée'!A:A,"221*",'Balance N-1 Retraitée'!H:H))-(SUMIF('Balance N-1 Retraitée'!A:A,"2821*",'Balance N-1 Retraitée'!H:H)-SUMIF('Balance N-1 Retraitée'!A:A,"2821*",'Balance N-1 Retraitée'!G:G))-(SUMIF('Balance N-1 Retraitée'!A:A,"2921*",'Balance N-1 Retraitée'!H:H)-SUMIF('Balance N-1 Retraitée'!A:A,"2921*",'Balance N-1 Retraitée'!G:G))</f>
        <v>0</v>
      </c>
      <c r="H13" s="762"/>
      <c r="I13" s="762"/>
      <c r="J13" s="279"/>
      <c r="K13" s="279"/>
      <c r="L13" s="279"/>
      <c r="M13" s="279"/>
    </row>
    <row r="14" spans="1:13" x14ac:dyDescent="0.2">
      <c r="A14" s="441" t="s">
        <v>259</v>
      </c>
      <c r="B14" s="440" t="s">
        <v>265</v>
      </c>
      <c r="C14" s="447">
        <f>SUMIF('Balance N Retraitée'!A:A,"222*",'Balance N Retraitée'!G:G)-SUMIF('Balance N Retraitée'!A:A,"222*",'Balance N Retraitée'!H:H)</f>
        <v>0</v>
      </c>
      <c r="D14" s="447">
        <f>(SUMIF('Balance N Retraitée'!A:A,"2822*",'Balance N Retraitée'!H:H)-SUMIF('Balance N Retraitée'!A:A,"2822*",'Balance N Retraitée'!G:G))+(SUMIF('Balance N Retraitée'!A:A,"2922*",'Balance N Retraitée'!H:H)-SUMIF('Balance N Retraitée'!A:A,"2922*",'Balance N Retraitée'!G:G))</f>
        <v>0</v>
      </c>
      <c r="E14" s="447">
        <f>+C14-D14</f>
        <v>0</v>
      </c>
      <c r="F14" s="762"/>
      <c r="G14" s="447">
        <f>(SUMIF('Balance N-1 Retraitée'!A:A,"222*",'Balance N-1 Retraitée'!G:G)-SUMIF('Balance N-1 Retraitée'!A:A,"222*",'Balance N-1 Retraitée'!H:H))-(SUMIF('Balance N-1 Retraitée'!A:A,"2822*",'Balance N-1 Retraitée'!H:H)-SUMIF('Balance N-1 Retraitée'!A:A,"2822*",'Balance N-1 Retraitée'!G:G))-(SUMIF('Balance N-1 Retraitée'!A:A,"2922*",'Balance N-1 Retraitée'!H:H)-SUMIF('Balance N-1 Retraitée'!A:A,"2922*",'Balance N-1 Retraitée'!G:G))</f>
        <v>0</v>
      </c>
      <c r="H14" s="762"/>
      <c r="I14" s="762"/>
      <c r="J14" s="279"/>
      <c r="K14" s="279"/>
      <c r="L14" s="279"/>
      <c r="M14" s="279"/>
    </row>
    <row r="15" spans="1:13" x14ac:dyDescent="0.2">
      <c r="A15" s="441" t="s">
        <v>266</v>
      </c>
      <c r="B15" s="440" t="s">
        <v>267</v>
      </c>
      <c r="C15" s="447">
        <f>SUMIF('Balance N Retraitée'!A:A,"223*",'Balance N Retraitée'!G:G)-SUMIF('Balance N Retraitée'!A:A,"223*",'Balance N Retraitée'!H:H)</f>
        <v>0</v>
      </c>
      <c r="D15" s="447">
        <f>(SUMIF('Balance N Retraitée'!A:A,"2823*",'Balance N Retraitée'!H:H)-SUMIF('Balance N Retraitée'!A:A,"2823*",'Balance N Retraitée'!G:G))+(SUMIF('Balance N Retraitée'!A:A,"2923*",'Balance N Retraitée'!H:H)-SUMIF('Balance N Retraitée'!A:A,"2923*",'Balance N Retraitée'!G:G))</f>
        <v>0</v>
      </c>
      <c r="E15" s="447">
        <f>+C15-D15</f>
        <v>0</v>
      </c>
      <c r="F15" s="762"/>
      <c r="G15" s="447">
        <f>(SUMIF('Balance N-1 Retraitée'!A:A,"223*",'Balance N-1 Retraitée'!G:G)-SUMIF('Balance N-1 Retraitée'!A:A,"223*",'Balance N-1 Retraitée'!H:H))-(SUMIF('Balance N-1 Retraitée'!A:A,"2823*",'Balance N-1 Retraitée'!H:H)-SUMIF('Balance N-1 Retraitée'!A:A,"2823*",'Balance N-1 Retraitée'!G:G))-(SUMIF('Balance N-1 Retraitée'!A:A,"2923*",'Balance N-1 Retraitée'!H:H)-SUMIF('Balance N-1 Retraitée'!A:A,"2923*",'Balance N-1 Retraitée'!G:G))</f>
        <v>0</v>
      </c>
      <c r="H15" s="762"/>
      <c r="I15" s="762"/>
      <c r="J15" s="279"/>
      <c r="K15" s="279"/>
      <c r="L15" s="279"/>
      <c r="M15" s="279"/>
    </row>
    <row r="16" spans="1:13" ht="12.75" thickBot="1" x14ac:dyDescent="0.25">
      <c r="A16" s="441" t="s">
        <v>268</v>
      </c>
      <c r="B16" s="442" t="s">
        <v>269</v>
      </c>
      <c r="C16" s="763">
        <f>SUMIF('Balance N Retraitée'!A:A,"228*",'Balance N Retraitée'!G:G)-SUMIF('Balance N Retraitée'!A:A,"228*",'Balance N Retraitée'!H:H)</f>
        <v>0</v>
      </c>
      <c r="D16" s="763">
        <f>(SUMIF('Balance N Retraitée'!A:A,"2828*",'Balance N Retraitée'!H:H)-SUMIF('Balance N Retraitée'!A:A,"2828*",'Balance N Retraitée'!G:G))+(SUMIF('Balance N Retraitée'!A:A,"2928*",'Balance N Retraitée'!H:H)-SUMIF('Balance N Retraitée'!A:A,"2928*",'Balance N Retraitée'!G:G))</f>
        <v>0</v>
      </c>
      <c r="E16" s="763">
        <f>+C16-D16</f>
        <v>0</v>
      </c>
      <c r="F16" s="762"/>
      <c r="G16" s="763">
        <f>(SUMIF('Balance N-1 Retraitée'!A:A,"228*",'Balance N-1 Retraitée'!G:G)-SUMIF('Balance N-1 Retraitée'!A:A,"228*",'Balance N-1 Retraitée'!H:H))-(SUMIF('Balance N-1 Retraitée'!A:A,"2828*",'Balance N-1 Retraitée'!H:H)-SUMIF('Balance N-1 Retraitée'!A:A,"2828*",'Balance N-1 Retraitée'!G:G))-(SUMIF('Balance N-1 Retraitée'!A:A,"2928*",'Balance N-1 Retraitée'!H:H)-SUMIF('Balance N-1 Retraitée'!A:A,"2928*",'Balance N-1 Retraitée'!G:G))</f>
        <v>0</v>
      </c>
      <c r="H16" s="762"/>
      <c r="I16" s="762"/>
      <c r="J16" s="279"/>
      <c r="K16" s="279"/>
      <c r="L16" s="279"/>
      <c r="M16" s="279"/>
    </row>
    <row r="17" spans="1:13" x14ac:dyDescent="0.2">
      <c r="A17" s="441" t="s">
        <v>266</v>
      </c>
      <c r="B17" s="438" t="s">
        <v>270</v>
      </c>
      <c r="C17" s="446">
        <f>SUM(C18:C24)</f>
        <v>0</v>
      </c>
      <c r="D17" s="446">
        <f>SUM(D18:D24)</f>
        <v>0</v>
      </c>
      <c r="E17" s="446">
        <f>SUM(E18:E24)</f>
        <v>0</v>
      </c>
      <c r="F17" s="761"/>
      <c r="G17" s="446">
        <f>SUM(G18:G24)</f>
        <v>0</v>
      </c>
      <c r="H17" s="761"/>
      <c r="I17" s="761"/>
      <c r="J17" s="279"/>
    </row>
    <row r="18" spans="1:13" ht="12.75" x14ac:dyDescent="0.2">
      <c r="A18" s="441" t="s">
        <v>271</v>
      </c>
      <c r="B18" s="439" t="s">
        <v>236</v>
      </c>
      <c r="C18" s="447">
        <f>SUMIF('Balance N Retraitée'!A:A,"231*",'Balance N Retraitée'!G:G)-SUMIF('Balance N Retraitée'!A:A,"231*",'Balance N Retraitée'!H:H)</f>
        <v>0</v>
      </c>
      <c r="D18" s="447">
        <f>(SUMIF('Balance N Retraitée'!A:A,"2831*",'Balance N Retraitée'!H:H)-SUMIF('Balance N Retraitée'!A:A,"2831*",'Balance N Retraitée'!G:G))+(SUMIF('Balance N Retraitée'!A:A,"2931*",'Balance N Retraitée'!H:H)-SUMIF('Balance N Retraitée'!A:A,"2931*",'Balance N Retraitée'!G:G))</f>
        <v>0</v>
      </c>
      <c r="E18" s="447">
        <f t="shared" ref="E18:E28" si="0">+C18-D18</f>
        <v>0</v>
      </c>
      <c r="F18" s="762"/>
      <c r="G18" s="447">
        <f>(SUMIF('Balance N-1 Retraitée'!A:A,"231*",'Balance N-1 Retraitée'!G:G)-SUMIF('Balance N-1 Retraitée'!A:A,"231*",'Balance N-1 Retraitée'!H:H))-(SUMIF('Balance N-1 Retraitée'!A:A,"2831*",'Balance N-1 Retraitée'!H:H)-SUMIF('Balance N-1 Retraitée'!A:A,"2831*",'Balance N-1 Retraitée'!G:G))-(SUMIF('Balance N-1 Retraitée'!A:A,"2931*",'Balance N-1 Retraitée'!H:H)-SUMIF('Balance N-1 Retraitée'!A:A,"2931*",'Balance N-1 Retraitée'!G:G))</f>
        <v>0</v>
      </c>
      <c r="H18" s="762"/>
      <c r="I18" s="762"/>
      <c r="J18" s="279"/>
      <c r="K18" s="279"/>
      <c r="L18" s="279"/>
      <c r="M18" s="279"/>
    </row>
    <row r="19" spans="1:13" ht="12.75" x14ac:dyDescent="0.2">
      <c r="A19" s="441" t="s">
        <v>272</v>
      </c>
      <c r="B19" s="440" t="s">
        <v>237</v>
      </c>
      <c r="C19" s="447">
        <f>SUMIF('Balance N Retraitée'!A:A,"232*",'Balance N Retraitée'!G:G)-SUMIF('Balance N Retraitée'!A:A,"232*",'Balance N Retraitée'!H:H)</f>
        <v>0</v>
      </c>
      <c r="D19" s="447">
        <f>(SUMIF('Balance N Retraitée'!A:A,"2832*",'Balance N Retraitée'!H:H)-SUMIF('Balance N Retraitée'!A:A,"2832*",'Balance N Retraitée'!G:G))+(SUMIF('Balance N Retraitée'!A:A,"2932*",'Balance N Retraitée'!H:H)-SUMIF('Balance N Retraitée'!A:A,"2932*",'Balance N Retraitée'!G:G))</f>
        <v>0</v>
      </c>
      <c r="E19" s="447">
        <f t="shared" si="0"/>
        <v>0</v>
      </c>
      <c r="F19" s="762"/>
      <c r="G19" s="447">
        <f>(SUMIF('Balance N-1 Retraitée'!A:A,"232*",'Balance N-1 Retraitée'!G:G)-SUMIF('Balance N-1 Retraitée'!A:A,"232*",'Balance N-1 Retraitée'!H:H))-(SUMIF('Balance N-1 Retraitée'!A:A,"2832*",'Balance N-1 Retraitée'!H:H)-SUMIF('Balance N-1 Retraitée'!A:A,"2832*",'Balance N-1 Retraitée'!G:G))-(SUMIF('Balance N-1 Retraitée'!A:A,"2932*",'Balance N-1 Retraitée'!H:H)-SUMIF('Balance N-1 Retraitée'!A:A,"2932*",'Balance N-1 Retraitée'!G:G))</f>
        <v>0</v>
      </c>
      <c r="H19" s="762"/>
      <c r="I19" s="762"/>
      <c r="J19" s="279"/>
      <c r="K19" s="279"/>
      <c r="L19" s="279"/>
      <c r="M19" s="279"/>
    </row>
    <row r="20" spans="1:13" ht="15" x14ac:dyDescent="0.2">
      <c r="A20" s="441" t="s">
        <v>273</v>
      </c>
      <c r="B20" s="440" t="s">
        <v>238</v>
      </c>
      <c r="C20" s="447">
        <f>SUMIF('Balance N Retraitée'!A:A,"233*",'Balance N Retraitée'!G:G)-SUMIF('Balance N Retraitée'!A:A,"233*",'Balance N Retraitée'!H:H)</f>
        <v>0</v>
      </c>
      <c r="D20" s="447">
        <f>(SUMIF('Balance N Retraitée'!A:A,"2833*",'Balance N Retraitée'!H:H)-SUMIF('Balance N Retraitée'!A:A,"2833*",'Balance N Retraitée'!G:G))+(SUMIF('Balance N Retraitée'!A:A,"2933*",'Balance N Retraitée'!H:H)-SUMIF('Balance N Retraitée'!A:A,"2933*",'Balance N Retraitée'!G:G))</f>
        <v>0</v>
      </c>
      <c r="E20" s="447">
        <f t="shared" si="0"/>
        <v>0</v>
      </c>
      <c r="F20" s="762"/>
      <c r="G20" s="447">
        <f>(SUMIF('Balance N-1 Retraitée'!A:A,"233*",'Balance N-1 Retraitée'!G:G)-SUMIF('Balance N-1 Retraitée'!A:A,"233*",'Balance N-1 Retraitée'!H:H))-(SUMIF('Balance N-1 Retraitée'!A:A,"2833*",'Balance N-1 Retraitée'!H:H)-SUMIF('Balance N-1 Retraitée'!A:A,"2833*",'Balance N-1 Retraitée'!G:G))-(SUMIF('Balance N-1 Retraitée'!A:A,"2933*",'Balance N-1 Retraitée'!H:H)-SUMIF('Balance N-1 Retraitée'!A:A,"2933*",'Balance N-1 Retraitée'!G:G))</f>
        <v>0</v>
      </c>
      <c r="H20" s="762"/>
      <c r="I20" s="762"/>
      <c r="J20" s="279"/>
      <c r="K20" s="279"/>
      <c r="L20" s="279"/>
      <c r="M20" s="279"/>
    </row>
    <row r="21" spans="1:13" ht="15" x14ac:dyDescent="0.2">
      <c r="A21" s="441" t="s">
        <v>273</v>
      </c>
      <c r="B21" s="330" t="s">
        <v>239</v>
      </c>
      <c r="C21" s="447">
        <f>SUMIF('Balance N Retraitée'!A:A,"234*",'Balance N Retraitée'!G:G)-SUMIF('Balance N Retraitée'!A:A,"234*",'Balance N Retraitée'!H:H)</f>
        <v>0</v>
      </c>
      <c r="D21" s="447">
        <f>(SUMIF('Balance N Retraitée'!A:A,"2834*",'Balance N Retraitée'!H:H)-SUMIF('Balance N Retraitée'!A:A,"2834*",'Balance N Retraitée'!G:G))+(SUMIF('Balance N Retraitée'!A:A,"2934*",'Balance N Retraitée'!H:H)-SUMIF('Balance N Retraitée'!A:A,"2934*",'Balance N Retraitée'!G:G))</f>
        <v>0</v>
      </c>
      <c r="E21" s="447">
        <f t="shared" si="0"/>
        <v>0</v>
      </c>
      <c r="F21" s="762"/>
      <c r="G21" s="447">
        <f>(SUMIF('Balance N-1 Retraitée'!A:A,"234*",'Balance N-1 Retraitée'!G:G)-SUMIF('Balance N-1 Retraitée'!A:A,"234*",'Balance N-1 Retraitée'!H:H))-(SUMIF('Balance N-1 Retraitée'!A:A,"2834*",'Balance N-1 Retraitée'!H:H)-SUMIF('Balance N-1 Retraitée'!A:A,"2834*",'Balance N-1 Retraitée'!G:G))-(SUMIF('Balance N-1 Retraitée'!A:A,"2934*",'Balance N-1 Retraitée'!H:H)-SUMIF('Balance N-1 Retraitée'!A:A,"2934*",'Balance N-1 Retraitée'!G:G))</f>
        <v>0</v>
      </c>
      <c r="H21" s="762"/>
      <c r="I21" s="762"/>
      <c r="J21" s="279"/>
      <c r="K21" s="279"/>
      <c r="L21" s="279"/>
      <c r="M21" s="279"/>
    </row>
    <row r="22" spans="1:13" x14ac:dyDescent="0.2">
      <c r="A22" s="441" t="s">
        <v>274</v>
      </c>
      <c r="B22" s="330" t="s">
        <v>240</v>
      </c>
      <c r="C22" s="447">
        <f>SUMIF('Balance N Retraitée'!A:A,"235*",'Balance N Retraitée'!G:G)-SUMIF('Balance N Retraitée'!A:A,"235*",'Balance N Retraitée'!H:H)</f>
        <v>0</v>
      </c>
      <c r="D22" s="447">
        <f>(SUMIF('Balance N Retraitée'!A:A,"2835*",'Balance N Retraitée'!H:H)-SUMIF('Balance N Retraitée'!A:A,"2835*",'Balance N Retraitée'!G:G))+(SUMIF('Balance N Retraitée'!A:A,"2935*",'Balance N Retraitée'!H:H)-SUMIF('Balance N Retraitée'!A:A,"2935*",'Balance N Retraitée'!G:G))</f>
        <v>0</v>
      </c>
      <c r="E22" s="447">
        <f t="shared" si="0"/>
        <v>0</v>
      </c>
      <c r="F22" s="762"/>
      <c r="G22" s="447">
        <f>(SUMIF('Balance N-1 Retraitée'!A:A,"235*",'Balance N-1 Retraitée'!G:G)-SUMIF('Balance N-1 Retraitée'!A:A,"235*",'Balance N-1 Retraitée'!H:H))-(SUMIF('Balance N-1 Retraitée'!A:A,"2835*",'Balance N-1 Retraitée'!H:H)-SUMIF('Balance N-1 Retraitée'!A:A,"2835*",'Balance N-1 Retraitée'!G:G))-(SUMIF('Balance N-1 Retraitée'!A:A,"2935*",'Balance N-1 Retraitée'!H:H)-SUMIF('Balance N-1 Retraitée'!A:A,"2935*",'Balance N-1 Retraitée'!G:G))</f>
        <v>0</v>
      </c>
      <c r="H22" s="762"/>
      <c r="I22" s="762"/>
      <c r="J22" s="279"/>
      <c r="K22" s="279"/>
      <c r="L22" s="279"/>
      <c r="M22" s="279"/>
    </row>
    <row r="23" spans="1:13" x14ac:dyDescent="0.2">
      <c r="A23" s="441"/>
      <c r="B23" s="324" t="s">
        <v>241</v>
      </c>
      <c r="C23" s="447">
        <f>SUMIF('Balance N Retraitée'!A:A,"238*",'Balance N Retraitée'!G:G)-SUMIF('Balance N Retraitée'!A:A,"238*",'Balance N Retraitée'!H:H)</f>
        <v>0</v>
      </c>
      <c r="D23" s="447">
        <f>(SUMIF('Balance N Retraitée'!A:A,"2838*",'Balance N Retraitée'!H:H)-SUMIF('Balance N Retraitée'!A:A,"2838*",'Balance N Retraitée'!G:G))+(SUMIF('Balance N Retraitée'!A:A,"2938*",'Balance N Retraitée'!H:H)-SUMIF('Balance N Retraitée'!A:A,"2938*",'Balance N Retraitée'!G:G))</f>
        <v>0</v>
      </c>
      <c r="E23" s="447">
        <f t="shared" si="0"/>
        <v>0</v>
      </c>
      <c r="F23" s="762"/>
      <c r="G23" s="447">
        <f>(SUMIF('Balance N-1 Retraitée'!A:A,"238*",'Balance N-1 Retraitée'!G:G)-SUMIF('Balance N-1 Retraitée'!A:A,"238*",'Balance N-1 Retraitée'!H:H))-(SUMIF('Balance N-1 Retraitée'!A:A,"2838*",'Balance N-1 Retraitée'!H:H)-SUMIF('Balance N-1 Retraitée'!A:A,"2838*",'Balance N-1 Retraitée'!G:G))-(SUMIF('Balance N-1 Retraitée'!A:A,"2938*",'Balance N-1 Retraitée'!H:H)-SUMIF('Balance N-1 Retraitée'!A:A,"2938*",'Balance N-1 Retraitée'!G:G))</f>
        <v>0</v>
      </c>
      <c r="H23" s="762"/>
      <c r="I23" s="762"/>
      <c r="J23" s="279"/>
      <c r="K23" s="279"/>
      <c r="L23" s="279"/>
      <c r="M23" s="279"/>
    </row>
    <row r="24" spans="1:13" ht="12.75" thickBot="1" x14ac:dyDescent="0.25">
      <c r="A24" s="441" t="s">
        <v>259</v>
      </c>
      <c r="B24" s="445" t="s">
        <v>275</v>
      </c>
      <c r="C24" s="763">
        <f>SUMIF('Balance N Retraitée'!A:A,"239*",'Balance N Retraitée'!G:G)-SUMIF('Balance N Retraitée'!A:A,"239*",'Balance N Retraitée'!H:H)</f>
        <v>0</v>
      </c>
      <c r="D24" s="763">
        <f>(SUMIF('Balance N Retraitée'!A:A,"2839*",'Balance N Retraitée'!H:H)-SUMIF('Balance N Retraitée'!A:A,"2839*",'Balance N Retraitée'!G:G))+(SUMIF('Balance N Retraitée'!A:A,"2939*",'Balance N Retraitée'!H:H)-SUMIF('Balance N Retraitée'!A:A,"2939*",'Balance N Retraitée'!G:G))</f>
        <v>0</v>
      </c>
      <c r="E24" s="763">
        <f>+C24-D24</f>
        <v>0</v>
      </c>
      <c r="F24" s="762"/>
      <c r="G24" s="763">
        <f>(SUMIF('Balance N-1 Retraitée'!A:A,"239*",'Balance N-1 Retraitée'!G:G)-SUMIF('Balance N-1 Retraitée'!A:A,"239*",'Balance N-1 Retraitée'!H:H))-(SUMIF('Balance N-1 Retraitée'!A:A,"2839*",'Balance N-1 Retraitée'!H:H)-SUMIF('Balance N-1 Retraitée'!A:A,"2839*",'Balance N-1 Retraitée'!G:G))-(SUMIF('Balance N-1 Retraitée'!A:A,"2939*",'Balance N-1 Retraitée'!H:H)-SUMIF('Balance N-1 Retraitée'!A:A,"2939*",'Balance N-1 Retraitée'!G:G))</f>
        <v>0</v>
      </c>
      <c r="H24" s="762"/>
      <c r="I24" s="762"/>
      <c r="J24" s="279"/>
    </row>
    <row r="25" spans="1:13" x14ac:dyDescent="0.2">
      <c r="A25" s="441" t="s">
        <v>276</v>
      </c>
      <c r="B25" s="334" t="s">
        <v>277</v>
      </c>
      <c r="C25" s="446">
        <f>SUM(C26:C29)</f>
        <v>0</v>
      </c>
      <c r="D25" s="446">
        <f>SUM(D26:D29)</f>
        <v>0</v>
      </c>
      <c r="E25" s="446">
        <f>SUM(E26:E29)</f>
        <v>0</v>
      </c>
      <c r="F25" s="761"/>
      <c r="G25" s="446">
        <f>SUM(G26:G29)</f>
        <v>0</v>
      </c>
      <c r="H25" s="761"/>
      <c r="I25" s="761"/>
      <c r="J25" s="279"/>
    </row>
    <row r="26" spans="1:13" ht="13.5" x14ac:dyDescent="0.2">
      <c r="A26" s="441" t="s">
        <v>278</v>
      </c>
      <c r="B26" s="337" t="s">
        <v>279</v>
      </c>
      <c r="C26" s="447">
        <f>SUMIF('Balance N Retraitée'!A:A,"241*",'Balance N Retraitée'!G:G)-SUMIF('Balance N Retraitée'!A:A,"241*",'Balance N Retraitée'!H:H)</f>
        <v>0</v>
      </c>
      <c r="D26" s="447">
        <f>(SUMIF('Balance N Retraitée'!A:A,"2941*",'Balance N Retraitée'!H:H)-SUMIF('Balance N Retraitée'!A:A,"2941*",'Balance N Retraitée'!G:G))</f>
        <v>0</v>
      </c>
      <c r="E26" s="447">
        <f>+C26-D26</f>
        <v>0</v>
      </c>
      <c r="F26" s="762"/>
      <c r="G26" s="447">
        <f>(SUMIF('Balance N-1 Retraitée'!A:A,"241*",'Balance N-1 Retraitée'!G:G)-SUMIF('Balance N-1 Retraitée'!A:A,"241*",'Balance N-1 Retraitée'!H:H))-(SUMIF('Balance N-1 Retraitée'!A:A,"2941*",'Balance N-1 Retraitée'!H:H)-SUMIF('Balance N-1 Retraitée'!A:A,"2941*",'Balance N-1 Retraitée'!G:G))</f>
        <v>0</v>
      </c>
      <c r="H26" s="762"/>
      <c r="I26" s="762"/>
      <c r="J26" s="279"/>
    </row>
    <row r="27" spans="1:13" x14ac:dyDescent="0.2">
      <c r="A27" s="441" t="s">
        <v>261</v>
      </c>
      <c r="B27" s="324" t="s">
        <v>280</v>
      </c>
      <c r="C27" s="447">
        <f>SUMIF('Balance N Retraitée'!A:A,"248*",'Balance N Retraitée'!G:G)-SUMIF('Balance N Retraitée'!A:A,"248*",'Balance N Retraitée'!H:H)</f>
        <v>0</v>
      </c>
      <c r="D27" s="447">
        <f>(SUMIF('Balance N Retraitée'!A:A,"2948*",'Balance N Retraitée'!H:H)-SUMIF('Balance N Retraitée'!A:A,"2948*",'Balance N Retraitée'!G:G))</f>
        <v>0</v>
      </c>
      <c r="E27" s="447">
        <f>+C27-D27</f>
        <v>0</v>
      </c>
      <c r="F27" s="762"/>
      <c r="G27" s="447">
        <f>(SUMIF('Balance N-1 Retraitée'!A:A,"248*",'Balance N-1 Retraitée'!G:G)-SUMIF('Balance N-1 Retraitée'!A:A,"248*",'Balance N-1 Retraitée'!H:H))-(SUMIF('Balance N-1 Retraitée'!A:A,"2948*",'Balance N-1 Retraitée'!H:H)-SUMIF('Balance N-1 Retraitée'!A:A,"2948*",'Balance N-1 Retraitée'!G:G))</f>
        <v>0</v>
      </c>
      <c r="H27" s="762"/>
      <c r="I27" s="762"/>
      <c r="J27" s="279"/>
      <c r="K27" s="279"/>
      <c r="L27" s="279"/>
      <c r="M27" s="279"/>
    </row>
    <row r="28" spans="1:13" x14ac:dyDescent="0.2">
      <c r="A28" s="441" t="s">
        <v>268</v>
      </c>
      <c r="B28" s="324" t="s">
        <v>281</v>
      </c>
      <c r="C28" s="854">
        <f>SUMIF('Balance N Retraitée'!A:A,"251*",'Balance N Retraitée'!G:G)-SUMIF('Balance N Retraitée'!A:A,"251*",'Balance N Retraitée'!H:H)</f>
        <v>0</v>
      </c>
      <c r="D28" s="854">
        <f>(SUMIF('Balance N Retraitée'!A:A,"2951*",'Balance N Retraitée'!H:H)-SUMIF('Balance N Retraitée'!A:A,"2951*",'Balance N Retraitée'!G:G))</f>
        <v>0</v>
      </c>
      <c r="E28" s="854">
        <f t="shared" si="0"/>
        <v>0</v>
      </c>
      <c r="F28" s="762"/>
      <c r="G28" s="447">
        <f>(SUMIF('Balance N-1 Retraitée'!A:A,"251*",'Balance N-1 Retraitée'!G:G)-SUMIF('Balance N-1 Retraitée'!A:A,"251*",'Balance N-1 Retraitée'!H:H))-(SUMIF('Balance N-1 Retraitée'!A:A,"2951*",'Balance N-1 Retraitée'!H:H)-SUMIF('Balance N-1 Retraitée'!A:A,"2951*",'Balance N-1 Retraitée'!G:G))</f>
        <v>0</v>
      </c>
      <c r="H28" s="762"/>
      <c r="I28" s="762"/>
      <c r="J28" s="279"/>
      <c r="K28" s="279"/>
      <c r="L28" s="279"/>
    </row>
    <row r="29" spans="1:13" ht="13.5" thickBot="1" x14ac:dyDescent="0.25">
      <c r="A29" s="441" t="s">
        <v>282</v>
      </c>
      <c r="B29" s="445" t="s">
        <v>283</v>
      </c>
      <c r="C29" s="763">
        <f>SUMIF('Balance N Retraitée'!A:A,"258*",'Balance N Retraitée'!G:G)-SUMIF('Balance N Retraitée'!A:A,"258*",'Balance N Retraitée'!H:H)</f>
        <v>0</v>
      </c>
      <c r="D29" s="763">
        <f>(SUMIF('Balance N Retraitée'!A:A,"2958*",'Balance N Retraitée'!H:H)-SUMIF('Balance N Retraitée'!A:A,"2958*",'Balance N Retraitée'!G:G))</f>
        <v>0</v>
      </c>
      <c r="E29" s="763">
        <f>+C29-D29</f>
        <v>0</v>
      </c>
      <c r="F29" s="762"/>
      <c r="G29" s="763">
        <f>(SUMIF('Balance N-1 Retraitée'!A:A,"258*",'Balance N-1 Retraitée'!G:G)-SUMIF('Balance N-1 Retraitée'!A:A,"258*",'Balance N-1 Retraitée'!H:H))-(SUMIF('Balance N-1 Retraitée'!A:A,"2958*",'Balance N-1 Retraitée'!H:H)-SUMIF('Balance N-1 Retraitée'!A:A,"2958*",'Balance N-1 Retraitée'!G:G))</f>
        <v>0</v>
      </c>
      <c r="H29" s="762"/>
      <c r="I29" s="762"/>
      <c r="J29" s="279"/>
    </row>
    <row r="30" spans="1:13" ht="13.5" x14ac:dyDescent="0.2">
      <c r="A30" s="441" t="s">
        <v>284</v>
      </c>
      <c r="B30" s="334" t="s">
        <v>285</v>
      </c>
      <c r="C30" s="446">
        <f>SUM(C31:C32)</f>
        <v>0</v>
      </c>
      <c r="D30" s="785"/>
      <c r="E30" s="446">
        <f>SUM(E31:E32)</f>
        <v>0</v>
      </c>
      <c r="F30" s="762"/>
      <c r="G30" s="446">
        <f>SUM(G31:G32)</f>
        <v>0</v>
      </c>
      <c r="H30" s="761"/>
      <c r="I30" s="761"/>
      <c r="J30" s="279"/>
      <c r="K30" s="680"/>
      <c r="L30" s="279"/>
      <c r="M30" s="279"/>
    </row>
    <row r="31" spans="1:13" x14ac:dyDescent="0.2">
      <c r="A31" s="437"/>
      <c r="B31" s="337" t="s">
        <v>286</v>
      </c>
      <c r="C31" s="447">
        <f>SUMIF('Balance N Retraitée'!A:A,"271*",'Balance N Retraitée'!G:G)-SUMIF('Balance N Retraitée'!A:A,"271*",'Balance N Retraitée'!H:H)</f>
        <v>0</v>
      </c>
      <c r="D31" s="786"/>
      <c r="E31" s="447">
        <f>C31</f>
        <v>0</v>
      </c>
      <c r="F31" s="762"/>
      <c r="G31" s="447">
        <f>SUMIF('Balance N-1 Retraitée'!A:A,"271*",'Balance N-1 Retraitée'!G:G)-SUMIF('Balance N-1 Retraitée'!A:A,"271*",'Balance N-1 Retraitée'!H:H)</f>
        <v>0</v>
      </c>
      <c r="H31" s="762"/>
      <c r="I31" s="762"/>
      <c r="J31" s="279"/>
      <c r="K31" s="680"/>
      <c r="L31" s="279"/>
      <c r="M31" s="279"/>
    </row>
    <row r="32" spans="1:13" ht="12.75" thickBot="1" x14ac:dyDescent="0.25">
      <c r="A32" s="437"/>
      <c r="B32" s="448" t="s">
        <v>287</v>
      </c>
      <c r="C32" s="763">
        <f>SUMIF('Balance N Retraitée'!A:A,"272*",'Balance N Retraitée'!G:G)-SUMIF('Balance N Retraitée'!A:A,"272*",'Balance N Retraitée'!H:H)</f>
        <v>0</v>
      </c>
      <c r="D32" s="787"/>
      <c r="E32" s="763">
        <f>C32</f>
        <v>0</v>
      </c>
      <c r="F32" s="762"/>
      <c r="G32" s="763">
        <f>SUMIF('Balance N-1 Retraitée'!A:A,"272*",'Balance N-1 Retraitée'!G:G)-SUMIF('Balance N-1 Retraitée'!A:A,"272*",'Balance N-1 Retraitée'!H:H)</f>
        <v>0</v>
      </c>
      <c r="H32" s="762"/>
      <c r="I32" s="762"/>
      <c r="J32" s="279"/>
    </row>
    <row r="33" spans="1:16" ht="13.5" thickBot="1" x14ac:dyDescent="0.25">
      <c r="A33" s="449"/>
      <c r="B33" s="450" t="s">
        <v>288</v>
      </c>
      <c r="C33" s="788">
        <f>+C8+C12+C17+C25+C30</f>
        <v>0</v>
      </c>
      <c r="D33" s="788">
        <f>+D8+D12+D17+D25+D30</f>
        <v>0</v>
      </c>
      <c r="E33" s="788">
        <f>+E8+E12+E17+E25+E30</f>
        <v>0</v>
      </c>
      <c r="F33" s="762"/>
      <c r="G33" s="788">
        <f>+G8+G12+G17+G25+G30</f>
        <v>0</v>
      </c>
      <c r="H33" s="803"/>
      <c r="I33" s="803"/>
      <c r="J33" s="279"/>
      <c r="K33" s="680"/>
      <c r="L33" s="680"/>
      <c r="M33" s="680"/>
      <c r="N33" s="715"/>
      <c r="O33" s="680"/>
      <c r="P33" s="715"/>
    </row>
    <row r="34" spans="1:16" ht="4.1500000000000004" customHeight="1" thickBot="1" x14ac:dyDescent="0.25">
      <c r="A34" s="418"/>
      <c r="B34" s="418"/>
      <c r="C34" s="451"/>
      <c r="D34" s="451"/>
      <c r="E34" s="451"/>
      <c r="F34" s="279"/>
      <c r="G34" s="451"/>
      <c r="H34" s="279"/>
      <c r="I34" s="279"/>
      <c r="J34" s="279"/>
    </row>
    <row r="35" spans="1:16" x14ac:dyDescent="0.2">
      <c r="A35" s="430"/>
      <c r="B35" s="452" t="s">
        <v>289</v>
      </c>
      <c r="C35" s="783">
        <f>SUM(C36:C40)</f>
        <v>0</v>
      </c>
      <c r="D35" s="783">
        <f>SUM(D36:D40)</f>
        <v>0</v>
      </c>
      <c r="E35" s="783">
        <f>SUM(E36:E40)</f>
        <v>0</v>
      </c>
      <c r="F35" s="761"/>
      <c r="G35" s="783">
        <f>SUM(G36:G40)</f>
        <v>0</v>
      </c>
      <c r="H35" s="761"/>
      <c r="I35" s="761"/>
      <c r="J35" s="279"/>
    </row>
    <row r="36" spans="1:16" x14ac:dyDescent="0.2">
      <c r="A36" s="430"/>
      <c r="B36" s="337" t="s">
        <v>231</v>
      </c>
      <c r="C36" s="447">
        <f>SUMIF('Balance N Retraitée'!A:A,"311*",'Balance N Retraitée'!G:G)-SUMIF('Balance N Retraitée'!A:A,"311*",'Balance N Retraitée'!H:H)</f>
        <v>0</v>
      </c>
      <c r="D36" s="447">
        <f>SUMIF('Balance N Retraitée'!A:A,"3911*",'Balance N Retraitée'!H:H)-SUMIF('Balance N Retraitée'!A:A,"3911*",'Balance N Retraitée'!G:G)</f>
        <v>0</v>
      </c>
      <c r="E36" s="447">
        <f>+C36-D36</f>
        <v>0</v>
      </c>
      <c r="F36" s="762"/>
      <c r="G36" s="447">
        <f>(SUMIF('Balance N-1 Retraitée'!A:A,"311*",'Balance N-1 Retraitée'!G:G)-SUMIF('Balance N-1 Retraitée'!A:A,"311*",'Balance N-1 Retraitée'!H:H))-(SUMIF('Balance N-1 Retraitée'!A:A,"3911*",'Balance N-1 Retraitée'!H:H)-SUMIF('Balance N-1 Retraitée'!A:A,"3911*",'Balance N-1 Retraitée'!G:G))</f>
        <v>0</v>
      </c>
      <c r="H36" s="762"/>
      <c r="I36" s="762"/>
      <c r="J36" s="279"/>
    </row>
    <row r="37" spans="1:16" x14ac:dyDescent="0.2">
      <c r="A37" s="430"/>
      <c r="B37" s="324" t="s">
        <v>232</v>
      </c>
      <c r="C37" s="447">
        <f>SUMIF('Balance N Retraitée'!A:A,"312*",'Balance N Retraitée'!G:G)-SUMIF('Balance N Retraitée'!A:A,"312*",'Balance N Retraitée'!H:H)</f>
        <v>0</v>
      </c>
      <c r="D37" s="447">
        <f>SUMIF('Balance N Retraitée'!A:A,"3912*",'Balance N Retraitée'!H:H)-SUMIF('Balance N Retraitée'!A:A,"3912*",'Balance N Retraitée'!G:G)</f>
        <v>0</v>
      </c>
      <c r="E37" s="447">
        <f>+C37-D37</f>
        <v>0</v>
      </c>
      <c r="F37" s="762"/>
      <c r="G37" s="447">
        <f>(SUMIF('Balance N-1 Retraitée'!A:A,"312*",'Balance N-1 Retraitée'!G:G)-SUMIF('Balance N-1 Retraitée'!A:A,"312*",'Balance N-1 Retraitée'!H:H))-(SUMIF('Balance N-1 Retraitée'!A:A,"3912*",'Balance N-1 Retraitée'!H:H)-SUMIF('Balance N-1 Retraitée'!A:A,"3912*",'Balance N-1 Retraitée'!G:G))</f>
        <v>0</v>
      </c>
      <c r="H37" s="762"/>
      <c r="I37" s="762"/>
      <c r="J37" s="279"/>
      <c r="K37" s="279"/>
      <c r="L37" s="279"/>
      <c r="M37" s="279"/>
    </row>
    <row r="38" spans="1:16" x14ac:dyDescent="0.2">
      <c r="A38" s="430"/>
      <c r="B38" s="324" t="s">
        <v>233</v>
      </c>
      <c r="C38" s="447">
        <f>SUMIF('Balance N Retraitée'!A:A,"313*",'Balance N Retraitée'!G:G)-SUMIF('Balance N Retraitée'!A:A,"313*",'Balance N Retraitée'!H:H)</f>
        <v>0</v>
      </c>
      <c r="D38" s="447">
        <f>SUMIF('Balance N Retraitée'!A:A,"3913*",'Balance N Retraitée'!H:H)-SUMIF('Balance N Retraitée'!A:A,"3913*",'Balance N Retraitée'!G:G)</f>
        <v>0</v>
      </c>
      <c r="E38" s="447">
        <f>+C38-D38</f>
        <v>0</v>
      </c>
      <c r="F38" s="762"/>
      <c r="G38" s="447">
        <f>(SUMIF('Balance N-1 Retraitée'!A:A,"313*",'Balance N-1 Retraitée'!G:G)-SUMIF('Balance N-1 Retraitée'!A:A,"313*",'Balance N-1 Retraitée'!H:H))-(SUMIF('Balance N-1 Retraitée'!A:A,"3913*",'Balance N-1 Retraitée'!H:H)-SUMIF('Balance N-1 Retraitée'!A:A,"3913*",'Balance N-1 Retraitée'!G:G))</f>
        <v>0</v>
      </c>
      <c r="H38" s="762"/>
      <c r="I38" s="762"/>
      <c r="J38" s="279"/>
    </row>
    <row r="39" spans="1:16" x14ac:dyDescent="0.2">
      <c r="A39" s="430"/>
      <c r="B39" s="330" t="s">
        <v>234</v>
      </c>
      <c r="C39" s="447">
        <f>SUMIF('Balance N Retraitée'!A:A,"314*",'Balance N Retraitée'!G:G)-SUMIF('Balance N Retraitée'!A:A,"314*",'Balance N Retraitée'!H:H)</f>
        <v>0</v>
      </c>
      <c r="D39" s="447">
        <f>SUMIF('Balance N Retraitée'!A:A,"3914*",'Balance N Retraitée'!H:H)-SUMIF('Balance N Retraitée'!A:A,"3914*",'Balance N Retraitée'!G:G)</f>
        <v>0</v>
      </c>
      <c r="E39" s="447">
        <f>+C39-D39</f>
        <v>0</v>
      </c>
      <c r="F39" s="762"/>
      <c r="G39" s="447">
        <f>(SUMIF('Balance N-1 Retraitée'!A:A,"314*",'Balance N-1 Retraitée'!G:G)-SUMIF('Balance N-1 Retraitée'!A:A,"314*",'Balance N-1 Retraitée'!H:H))-(SUMIF('Balance N-1 Retraitée'!A:A,"3914*",'Balance N-1 Retraitée'!H:H)-SUMIF('Balance N-1 Retraitée'!A:A,"3914*",'Balance N-1 Retraitée'!G:G))</f>
        <v>0</v>
      </c>
      <c r="H39" s="762"/>
      <c r="I39" s="762"/>
      <c r="J39" s="279"/>
    </row>
    <row r="40" spans="1:16" ht="12.75" thickBot="1" x14ac:dyDescent="0.25">
      <c r="A40" s="430"/>
      <c r="B40" s="445" t="s">
        <v>235</v>
      </c>
      <c r="C40" s="763">
        <f>SUMIF('Balance N Retraitée'!A:A,"315*",'Balance N Retraitée'!G:G)-SUMIF('Balance N Retraitée'!A:A,"315*",'Balance N Retraitée'!H:H)</f>
        <v>0</v>
      </c>
      <c r="D40" s="763">
        <f>SUMIF('Balance N Retraitée'!A:A,"3915*",'Balance N Retraitée'!H:H)-SUMIF('Balance N Retraitée'!A:A,"3915*",'Balance N Retraitée'!G:G)</f>
        <v>0</v>
      </c>
      <c r="E40" s="763">
        <f>+C40-D40</f>
        <v>0</v>
      </c>
      <c r="F40" s="762"/>
      <c r="G40" s="763">
        <f>(SUMIF('Balance N-1 Retraitée'!A:A,"315*",'Balance N-1 Retraitée'!G:G)-SUMIF('Balance N-1 Retraitée'!A:A,"315*",'Balance N-1 Retraitée'!H:H))-(SUMIF('Balance N-1 Retraitée'!A:A,"3915*",'Balance N-1 Retraitée'!H:H)-SUMIF('Balance N-1 Retraitée'!A:A,"3915*",'Balance N-1 Retraitée'!G:G))</f>
        <v>0</v>
      </c>
      <c r="H40" s="762"/>
      <c r="I40" s="762"/>
      <c r="J40" s="279"/>
    </row>
    <row r="41" spans="1:16" x14ac:dyDescent="0.2">
      <c r="A41" s="430"/>
      <c r="B41" s="453" t="s">
        <v>290</v>
      </c>
      <c r="C41" s="446">
        <f>SUM(C42:C48)</f>
        <v>0</v>
      </c>
      <c r="D41" s="446">
        <f>SUM(D42:D48)</f>
        <v>0</v>
      </c>
      <c r="E41" s="446">
        <f>SUM(E42:E48)</f>
        <v>0</v>
      </c>
      <c r="F41" s="761"/>
      <c r="G41" s="446">
        <f>SUM(G42:G48)</f>
        <v>0</v>
      </c>
      <c r="H41" s="761"/>
      <c r="I41" s="761"/>
      <c r="J41" s="279"/>
    </row>
    <row r="42" spans="1:16" x14ac:dyDescent="0.2">
      <c r="A42" s="430"/>
      <c r="B42" s="454" t="s">
        <v>291</v>
      </c>
      <c r="C42" s="447">
        <f>SUMIF('Balance N Retraitée'!A:A,"341*",'Balance N Retraitée'!G:G)-SUMIF('Balance N Retraitée'!A:A,"341*",'Balance N Retraitée'!H:H)</f>
        <v>0</v>
      </c>
      <c r="D42" s="447">
        <f>SUMIF('Balance N Retraitée'!A:A,"3941*",'Balance N Retraitée'!H:H)-SUMIF('Balance N Retraitée'!A:A,"3941*",'Balance N Retraitée'!G:G)</f>
        <v>0</v>
      </c>
      <c r="E42" s="447">
        <f t="shared" ref="E42:E48" si="1">+C42-D42</f>
        <v>0</v>
      </c>
      <c r="F42" s="762"/>
      <c r="G42" s="447">
        <f>(SUMIF('Balance N-1 Retraitée'!A:A,"341*",'Balance N-1 Retraitée'!G:G)-SUMIF('Balance N-1 Retraitée'!A:A,"341*",'Balance N-1 Retraitée'!H:H))-(SUMIF('Balance N-1 Retraitée'!A:A,"3941*",'Balance N-1 Retraitée'!H:H)-SUMIF('Balance N-1 Retraitée'!A:A,"3941*",'Balance N-1 Retraitée'!G:G))</f>
        <v>0</v>
      </c>
      <c r="H42" s="762"/>
      <c r="I42" s="762"/>
      <c r="J42" s="279"/>
    </row>
    <row r="43" spans="1:16" x14ac:dyDescent="0.2">
      <c r="A43" s="430"/>
      <c r="B43" s="324" t="s">
        <v>292</v>
      </c>
      <c r="C43" s="447">
        <f>SUMIF('Balance N Retraitée'!A:A,"342*",'Balance N Retraitée'!G:G)-SUMIF('Balance N Retraitée'!A:A,"342*",'Balance N Retraitée'!H:H)</f>
        <v>0</v>
      </c>
      <c r="D43" s="447">
        <f>SUMIF('Balance N Retraitée'!A:A,"3942*",'Balance N Retraitée'!H:H)-SUMIF('Balance N Retraitée'!A:A,"3942*",'Balance N Retraitée'!G:G)</f>
        <v>0</v>
      </c>
      <c r="E43" s="447">
        <f t="shared" si="1"/>
        <v>0</v>
      </c>
      <c r="F43" s="762"/>
      <c r="G43" s="447">
        <f>(SUMIF('Balance N-1 Retraitée'!A:A,"342*",'Balance N-1 Retraitée'!G:G)-SUMIF('Balance N-1 Retraitée'!A:A,"342*",'Balance N-1 Retraitée'!H:H))-(SUMIF('Balance N-1 Retraitée'!A:A,"3942*",'Balance N-1 Retraitée'!H:H)-SUMIF('Balance N-1 Retraitée'!A:A,"3942*",'Balance N-1 Retraitée'!G:G))</f>
        <v>0</v>
      </c>
      <c r="H43" s="762"/>
      <c r="I43" s="762"/>
      <c r="J43" s="279"/>
      <c r="K43" s="279"/>
      <c r="L43" s="279"/>
      <c r="M43" s="279"/>
    </row>
    <row r="44" spans="1:16" x14ac:dyDescent="0.2">
      <c r="A44" s="430"/>
      <c r="B44" s="324" t="s">
        <v>293</v>
      </c>
      <c r="C44" s="447">
        <f>SUMIF('Balance N Retraitée'!A:A,"343*",'Balance N Retraitée'!G:G)-SUMIF('Balance N Retraitée'!A:A,"343*",'Balance N Retraitée'!H:H)</f>
        <v>0</v>
      </c>
      <c r="D44" s="447">
        <f>SUMIF('Balance N Retraitée'!A:A,"3943*",'Balance N Retraitée'!H:H)-SUMIF('Balance N Retraitée'!A:A,"3943*",'Balance N Retraitée'!G:G)</f>
        <v>0</v>
      </c>
      <c r="E44" s="447">
        <f t="shared" si="1"/>
        <v>0</v>
      </c>
      <c r="F44" s="762"/>
      <c r="G44" s="447">
        <f>(SUMIF('Balance N-1 Retraitée'!A:A,"343*",'Balance N-1 Retraitée'!G:G)-SUMIF('Balance N-1 Retraitée'!A:A,"343*",'Balance N-1 Retraitée'!H:H))-(SUMIF('Balance N-1 Retraitée'!A:A,"3943*",'Balance N-1 Retraitée'!H:H)-SUMIF('Balance N-1 Retraitée'!A:A,"3943*",'Balance N-1 Retraitée'!G:G))</f>
        <v>0</v>
      </c>
      <c r="H44" s="762"/>
      <c r="I44" s="762"/>
      <c r="J44" s="279"/>
    </row>
    <row r="45" spans="1:16" x14ac:dyDescent="0.2">
      <c r="A45" s="430"/>
      <c r="B45" s="324" t="s">
        <v>294</v>
      </c>
      <c r="C45" s="447">
        <f>SUMIF('Balance N Retraitée'!A:A,"345*",'Balance N Retraitée'!G:G)-SUMIF('Balance N Retraitée'!A:A,"345*",'Balance N Retraitée'!H:H)</f>
        <v>0</v>
      </c>
      <c r="D45" s="447">
        <f>SUMIF('Balance N Retraitée'!A:A,"3945*",'Balance N Retraitée'!H:H)-SUMIF('Balance N Retraitée'!A:A,"3945*",'Balance N Retraitée'!G:G)</f>
        <v>0</v>
      </c>
      <c r="E45" s="447">
        <f t="shared" si="1"/>
        <v>0</v>
      </c>
      <c r="F45" s="762"/>
      <c r="G45" s="447">
        <f>(SUMIF('Balance N-1 Retraitée'!A:A,"345*",'Balance N-1 Retraitée'!G:G)-SUMIF('Balance N-1 Retraitée'!A:A,"345*",'Balance N-1 Retraitée'!H:H))-(SUMIF('Balance N-1 Retraitée'!A:A,"3945*",'Balance N-1 Retraitée'!H:H)-SUMIF('Balance N-1 Retraitée'!A:A,"3945*",'Balance N-1 Retraitée'!G:G))</f>
        <v>0</v>
      </c>
      <c r="H45" s="762"/>
      <c r="I45" s="762"/>
      <c r="J45" s="279"/>
      <c r="K45" s="279"/>
    </row>
    <row r="46" spans="1:16" x14ac:dyDescent="0.2">
      <c r="A46" s="430"/>
      <c r="B46" s="324" t="s">
        <v>295</v>
      </c>
      <c r="C46" s="447">
        <f>SUMIF('Balance N Retraitée'!A:A,"346*",'Balance N Retraitée'!G:G)-SUMIF('Balance N Retraitée'!A:A,"346*",'Balance N Retraitée'!H:H)</f>
        <v>0</v>
      </c>
      <c r="D46" s="447">
        <f>SUMIF('Balance N Retraitée'!A:A,"3946*",'Balance N Retraitée'!H:H)-SUMIF('Balance N Retraitée'!A:A,"3946*",'Balance N Retraitée'!G:G)</f>
        <v>0</v>
      </c>
      <c r="E46" s="447">
        <f t="shared" si="1"/>
        <v>0</v>
      </c>
      <c r="F46" s="762"/>
      <c r="G46" s="447">
        <f>(SUMIF('Balance N-1 Retraitée'!A:A,"346*",'Balance N-1 Retraitée'!G:G)-SUMIF('Balance N-1 Retraitée'!A:A,"346*",'Balance N-1 Retraitée'!H:H))-(SUMIF('Balance N-1 Retraitée'!A:A,"3946*",'Balance N-1 Retraitée'!H:H)-SUMIF('Balance N-1 Retraitée'!A:A,"3946*",'Balance N-1 Retraitée'!G:G))</f>
        <v>0</v>
      </c>
      <c r="H46" s="762"/>
      <c r="I46" s="762"/>
      <c r="J46" s="279"/>
    </row>
    <row r="47" spans="1:16" x14ac:dyDescent="0.2">
      <c r="A47" s="430"/>
      <c r="B47" s="324" t="s">
        <v>297</v>
      </c>
      <c r="C47" s="447">
        <f>SUMIF('Balance N Retraitée'!A:A,"348*",'Balance N Retraitée'!G:G)-SUMIF('Balance N Retraitée'!A:A,"348*",'Balance N Retraitée'!H:H)</f>
        <v>0</v>
      </c>
      <c r="D47" s="447">
        <f>SUMIF('Balance N Retraitée'!A:A,"3948*",'Balance N Retraitée'!H:H)-SUMIF('Balance N Retraitée'!A:A,"3948*",'Balance N Retraitée'!G:G)</f>
        <v>0</v>
      </c>
      <c r="E47" s="447">
        <f t="shared" si="1"/>
        <v>0</v>
      </c>
      <c r="F47" s="762"/>
      <c r="G47" s="447">
        <f>(SUMIF('Balance N-1 Retraitée'!A:A,"348*",'Balance N-1 Retraitée'!G:G)-SUMIF('Balance N-1 Retraitée'!A:A,"348*",'Balance N-1 Retraitée'!H:H))-(SUMIF('Balance N-1 Retraitée'!A:A,"3948*",'Balance N-1 Retraitée'!H:H)-SUMIF('Balance N-1 Retraitée'!A:A,"3948*",'Balance N-1 Retraitée'!G:G))</f>
        <v>0</v>
      </c>
      <c r="H47" s="762"/>
      <c r="I47" s="762"/>
      <c r="J47" s="279"/>
    </row>
    <row r="48" spans="1:16" ht="12.75" thickBot="1" x14ac:dyDescent="0.25">
      <c r="A48" s="430"/>
      <c r="B48" s="445" t="s">
        <v>298</v>
      </c>
      <c r="C48" s="763">
        <f>SUMIF('Balance N Retraitée'!A:A,"349*",'Balance N Retraitée'!G:G)-SUMIF('Balance N Retraitée'!A:A,"349*",'Balance N Retraitée'!H:H)</f>
        <v>0</v>
      </c>
      <c r="D48" s="763">
        <f>SUMIF('Balance N Retraitée'!A:A,"3949*",'Balance N Retraitée'!H:H)-SUMIF('Balance N Retraitée'!A:A,"3949*",'Balance N Retraitée'!G:G)</f>
        <v>0</v>
      </c>
      <c r="E48" s="763">
        <f t="shared" si="1"/>
        <v>0</v>
      </c>
      <c r="F48" s="762"/>
      <c r="G48" s="763">
        <f>(SUMIF('Balance N-1 Retraitée'!A:A,"349*",'Balance N-1 Retraitée'!G:G)-SUMIF('Balance N-1 Retraitée'!A:A,"349*",'Balance N-1 Retraitée'!H:H))-(SUMIF('Balance N-1 Retraitée'!A:A,"3949*",'Balance N-1 Retraitée'!H:H)-SUMIF('Balance N-1 Retraitée'!A:A,"3949*",'Balance N-1 Retraitée'!G:G))</f>
        <v>0</v>
      </c>
      <c r="H48" s="762"/>
      <c r="I48" s="762"/>
      <c r="J48" s="279"/>
    </row>
    <row r="49" spans="1:10" ht="12.75" thickBot="1" x14ac:dyDescent="0.25">
      <c r="A49" s="430"/>
      <c r="B49" s="455" t="s">
        <v>299</v>
      </c>
      <c r="C49" s="789">
        <f>SUMIF('Balance N Retraitée'!A:A,"35*",'Balance N Retraitée'!G:G)-SUMIF('Balance N Retraitée'!A:A,"35*",'Balance N Retraitée'!H:H)</f>
        <v>0</v>
      </c>
      <c r="D49" s="790">
        <f>SUMIF('Balance N Retraitée'!A:A,"3912*",'Balance N Retraitée'!H:H)-SUMIF('Balance N Retraitée'!A:A,"3912*",'Balance N Retraitée'!G:G)</f>
        <v>0</v>
      </c>
      <c r="E49" s="789">
        <f>C49-D49</f>
        <v>0</v>
      </c>
      <c r="F49" s="761"/>
      <c r="G49" s="789">
        <f>(SUMIF('Balance N-1 Retraitée'!A:A,"35*",'Balance N-1 Retraitée'!G:G)-SUMIF('Balance N-1 Retraitée'!A:A,"35*",'Balance N-1 Retraitée'!H:H))-(SUMIF('Balance N-1 Retraitée'!A:A,"395*",'Balance N-1 Retraitée'!H:H)-SUMIF('Balance N-1 Retraitée'!A:A,"395*",'Balance N-1 Retraitée'!G:G))</f>
        <v>0</v>
      </c>
      <c r="H49" s="761"/>
      <c r="I49" s="761"/>
      <c r="J49" s="279"/>
    </row>
    <row r="50" spans="1:10" ht="12.75" thickTop="1" x14ac:dyDescent="0.2">
      <c r="A50" s="430"/>
      <c r="B50" s="456" t="s">
        <v>300</v>
      </c>
      <c r="C50" s="783">
        <f>C51</f>
        <v>0</v>
      </c>
      <c r="D50" s="791"/>
      <c r="E50" s="447">
        <f>E51</f>
        <v>0</v>
      </c>
      <c r="F50" s="761"/>
      <c r="G50" s="447">
        <f>G51</f>
        <v>0</v>
      </c>
      <c r="H50" s="762"/>
      <c r="I50" s="762"/>
      <c r="J50" s="279"/>
    </row>
    <row r="51" spans="1:10" ht="14.25" customHeight="1" thickBot="1" x14ac:dyDescent="0.25">
      <c r="A51" s="430"/>
      <c r="B51" s="457" t="s">
        <v>301</v>
      </c>
      <c r="C51" s="792">
        <f>SUMIF('Balance N Retraitée'!A:A,"37*",'Balance N Retraitée'!G:G)-SUMIF('Balance N Retraitée'!A:A,"37*",'Balance N Retraitée'!H:H)</f>
        <v>0</v>
      </c>
      <c r="D51" s="793"/>
      <c r="E51" s="447">
        <f>+C51-D51</f>
        <v>0</v>
      </c>
      <c r="F51" s="762"/>
      <c r="G51" s="792">
        <f>(SUMIF('Balance N-1 Retraitée'!A:A,"37*",'Balance N-1 Retraitée'!G:G)-SUMIF('Balance N-1 Retraitée'!A:A,"37*",'Balance N-1 Retraitée'!H:H))</f>
        <v>0</v>
      </c>
      <c r="H51" s="762"/>
      <c r="I51" s="762"/>
      <c r="J51" s="279"/>
    </row>
    <row r="52" spans="1:10" ht="12.75" thickBot="1" x14ac:dyDescent="0.25">
      <c r="A52" s="458"/>
      <c r="B52" s="459" t="s">
        <v>303</v>
      </c>
      <c r="C52" s="794">
        <f>C35+C41+C49+C50</f>
        <v>0</v>
      </c>
      <c r="D52" s="794">
        <f>D35+D41+D49+D50</f>
        <v>0</v>
      </c>
      <c r="E52" s="794">
        <f>E35+E41+E49+E50</f>
        <v>0</v>
      </c>
      <c r="F52" s="761"/>
      <c r="G52" s="794">
        <f>G35+G41+G49+G50</f>
        <v>0</v>
      </c>
      <c r="H52" s="761"/>
      <c r="I52" s="761"/>
      <c r="J52" s="279"/>
    </row>
    <row r="53" spans="1:10" ht="4.3499999999999996" customHeight="1" thickBot="1" x14ac:dyDescent="0.25">
      <c r="A53" s="460"/>
      <c r="B53" s="461"/>
      <c r="C53" s="795">
        <f>SUMIF('Balance N Retraitée'!A:A,"311*",'Balance N Retraitée'!G:G)-SUMIF('Balance N Retraitée'!A:A,"311*",'Balance N Retraitée'!H:H)</f>
        <v>0</v>
      </c>
      <c r="D53" s="795"/>
      <c r="E53" s="795"/>
      <c r="F53" s="761"/>
      <c r="G53" s="795">
        <f>(SUMIF('Balance N-1 Retraitée'!A:A,"311*",'Balance N-1 Retraitée'!G:G)-SUMIF('Balance N-1 Retraitée'!A:A,"311*",'Balance N-1 Retraitée'!H:H))-(SUMIF('Balance N-1 Retraitée'!A:A,"3911*",'Balance N-1 Retraitée'!G:G)-SUMIF('Balance N-1 Retraitée'!A:A,"3911*",'Balance N-1 Retraitée'!H:H))</f>
        <v>0</v>
      </c>
      <c r="H53" s="761"/>
      <c r="I53" s="761"/>
      <c r="J53" s="279"/>
    </row>
    <row r="54" spans="1:10" x14ac:dyDescent="0.2">
      <c r="A54" s="430"/>
      <c r="B54" s="462" t="s">
        <v>304</v>
      </c>
      <c r="C54" s="796">
        <f>SUM(C55:C57)</f>
        <v>0</v>
      </c>
      <c r="D54" s="796">
        <f>SUM(D55:D57)</f>
        <v>0</v>
      </c>
      <c r="E54" s="796">
        <f>SUM(E55:E57)</f>
        <v>0</v>
      </c>
      <c r="F54" s="762"/>
      <c r="G54" s="796">
        <f>SUM(G55:G57)</f>
        <v>0</v>
      </c>
      <c r="H54" s="762"/>
      <c r="I54" s="762"/>
      <c r="J54" s="279"/>
    </row>
    <row r="55" spans="1:10" x14ac:dyDescent="0.2">
      <c r="A55" s="430"/>
      <c r="B55" s="463" t="s">
        <v>305</v>
      </c>
      <c r="C55" s="447">
        <f>SUMIF('Balance N Retraitée'!A:A,"511*",'Balance N Retraitée'!G:G)-SUMIF('Balance N Retraitée'!A:A,"511*",'Balance N Retraitée'!H:H)</f>
        <v>0</v>
      </c>
      <c r="D55" s="447">
        <f>SUMIF('Balance N Retraitée'!A:A,"5911*",'Balance N Retraitée'!H:H)-SUMIF('Balance N Retraitée'!A:A,"5911*",'Balance N Retraitée'!G:G)</f>
        <v>0</v>
      </c>
      <c r="E55" s="447">
        <f>+C55-D55</f>
        <v>0</v>
      </c>
      <c r="F55" s="762"/>
      <c r="G55" s="447">
        <f>(SUMIF('Balance N-1 Retraitée'!A:A,"511*",'Balance N-1 Retraitée'!G:G)-SUMIF('Balance N-1 Retraitée'!A:A,"511*",'Balance N-1 Retraitée'!H:H))-(SUMIF('Balance N-1 Retraitée'!A:A,"5911*",'Balance N-1 Retraitée'!H:H)-SUMIF('Balance N-1 Retraitée'!A:A,"5911*",'Balance N-1 Retraitée'!G:G))</f>
        <v>0</v>
      </c>
      <c r="H55" s="762"/>
      <c r="I55" s="762"/>
      <c r="J55" s="279"/>
    </row>
    <row r="56" spans="1:10" x14ac:dyDescent="0.2">
      <c r="A56" s="430"/>
      <c r="B56" s="463" t="s">
        <v>306</v>
      </c>
      <c r="C56" s="447">
        <f>SUMIF('Balance N Retraitée'!A:A,"514*",'Balance N Retraitée'!G:G)+SUMIF('Balance N Retraitée'!A:A,"554*",'Balance N Retraitée'!G:G)</f>
        <v>0</v>
      </c>
      <c r="D56" s="447">
        <f>SUMIF('Balance N Retraitée'!A:A,"5914*",'Balance N Retraitée'!H:H)-SUMIF('Balance N Retraitée'!A:A,"5914*",'Balance N Retraitée'!G:G)</f>
        <v>0</v>
      </c>
      <c r="E56" s="447">
        <f>+C56-D56</f>
        <v>0</v>
      </c>
      <c r="F56" s="762"/>
      <c r="G56" s="447">
        <f>(SUMIF('Balance N-1 Retraitée'!A:A,"514*",'Balance N-1 Retraitée'!G:G)+SUMIF('Balance N-1 Retraitée'!A:A,"554*",'Balance N-1 Retraitée'!G:G))-(SUMIF('Balance N-1 Retraitée'!A:A,"5914*",'Balance N-1 Retraitée'!H:H)-SUMIF('Balance N-1 Retraitée'!A:A,"5914*",'Balance N-1 Retraitée'!G:G))</f>
        <v>0</v>
      </c>
      <c r="H56" s="762"/>
      <c r="I56" s="762"/>
      <c r="J56" s="279"/>
    </row>
    <row r="57" spans="1:10" ht="12.75" thickBot="1" x14ac:dyDescent="0.25">
      <c r="A57" s="430"/>
      <c r="B57" s="464" t="s">
        <v>307</v>
      </c>
      <c r="C57" s="797">
        <f>SUMIF('Balance N Retraitée'!A:A,"516*",'Balance N Retraitée'!G:G)-SUMIF('Balance N Retraitée'!A:A,"516*",'Balance N Retraitée'!H:H)</f>
        <v>0</v>
      </c>
      <c r="D57" s="797">
        <f>SUMIF('Balance N Retraitée'!A:A,"5911*",'Balance N Retraitée'!H:H)-SUMIF('Balance N Retraitée'!A:A,"5911*",'Balance N Retraitée'!G:G)</f>
        <v>0</v>
      </c>
      <c r="E57" s="797">
        <f>+C57-D57</f>
        <v>0</v>
      </c>
      <c r="F57" s="762"/>
      <c r="G57" s="763">
        <f>(SUMIF('Balance N-1 Retraitée'!A:A,"516*",'Balance N-1 Retraitée'!G:G)-SUMIF('Balance N-1 Retraitée'!A:A,"516*",'Balance N-1 Retraitée'!H:H))-(SUMIF('Balance N-1 Retraitée'!A:A,"5916*",'Balance N-1 Retraitée'!H:H)-SUMIF('Balance N-1 Retraitée'!A:A,"5916*",'Balance N-1 Retraitée'!G:G))</f>
        <v>0</v>
      </c>
      <c r="H57" s="762"/>
      <c r="I57" s="762"/>
      <c r="J57" s="279"/>
    </row>
    <row r="58" spans="1:10" ht="12.75" thickBot="1" x14ac:dyDescent="0.25">
      <c r="A58" s="433"/>
      <c r="B58" s="465" t="s">
        <v>308</v>
      </c>
      <c r="C58" s="798">
        <f>C54</f>
        <v>0</v>
      </c>
      <c r="D58" s="798">
        <f>D54</f>
        <v>0</v>
      </c>
      <c r="E58" s="798">
        <f>E54</f>
        <v>0</v>
      </c>
      <c r="F58" s="762"/>
      <c r="G58" s="798">
        <f>G54</f>
        <v>0</v>
      </c>
      <c r="H58" s="761"/>
      <c r="I58" s="761"/>
      <c r="J58" s="279"/>
    </row>
    <row r="59" spans="1:10" ht="3.6" customHeight="1" thickBot="1" x14ac:dyDescent="0.25">
      <c r="A59" s="418"/>
      <c r="B59" s="460"/>
      <c r="C59" s="795"/>
      <c r="D59" s="795"/>
      <c r="E59" s="799"/>
      <c r="F59" s="762"/>
      <c r="G59" s="799"/>
      <c r="H59" s="762"/>
      <c r="I59" s="762"/>
      <c r="J59" s="279"/>
    </row>
    <row r="60" spans="1:10" ht="12.75" thickBot="1" x14ac:dyDescent="0.25">
      <c r="A60" s="433"/>
      <c r="B60" s="465" t="s">
        <v>309</v>
      </c>
      <c r="C60" s="798">
        <f>C33+C52+C58</f>
        <v>0</v>
      </c>
      <c r="D60" s="798">
        <f>D33+D52+D58</f>
        <v>0</v>
      </c>
      <c r="E60" s="798">
        <f>E33+E52+E58</f>
        <v>0</v>
      </c>
      <c r="F60" s="762"/>
      <c r="G60" s="798">
        <f>G33+G52+G58</f>
        <v>0</v>
      </c>
      <c r="H60" s="761"/>
      <c r="I60" s="761"/>
      <c r="J60" s="279"/>
    </row>
    <row r="61" spans="1:10" x14ac:dyDescent="0.2">
      <c r="E61" s="1">
        <f>+E60-E123</f>
        <v>0</v>
      </c>
      <c r="G61" s="1">
        <f>+G60-G123</f>
        <v>0</v>
      </c>
      <c r="J61" s="279"/>
    </row>
    <row r="62" spans="1:10" x14ac:dyDescent="0.2">
      <c r="J62" s="279"/>
    </row>
    <row r="63" spans="1:10" x14ac:dyDescent="0.2">
      <c r="A63" s="3" t="s">
        <v>242</v>
      </c>
      <c r="J63" s="279"/>
    </row>
    <row r="64" spans="1:10" ht="15.75" x14ac:dyDescent="0.25">
      <c r="C64" s="19" t="s">
        <v>310</v>
      </c>
      <c r="J64" s="279"/>
    </row>
    <row r="65" spans="1:12" ht="12.75" thickBot="1" x14ac:dyDescent="0.25">
      <c r="A65" s="418"/>
      <c r="B65" s="418"/>
      <c r="C65" s="419" t="s">
        <v>244</v>
      </c>
      <c r="D65" s="420"/>
      <c r="E65" s="421" t="s">
        <v>245</v>
      </c>
      <c r="G65" s="367" t="str">
        <f>G3</f>
        <v>31/12/2015</v>
      </c>
      <c r="H65" s="870"/>
      <c r="I65" s="870"/>
      <c r="J65" s="279"/>
    </row>
    <row r="66" spans="1:12" x14ac:dyDescent="0.2">
      <c r="A66" s="320"/>
      <c r="B66" s="466" t="s">
        <v>311</v>
      </c>
      <c r="C66" s="467"/>
      <c r="D66" s="468"/>
      <c r="E66" s="423" t="s">
        <v>248</v>
      </c>
      <c r="F66" s="425"/>
      <c r="G66" s="426" t="s">
        <v>248</v>
      </c>
      <c r="H66" s="1108"/>
      <c r="I66" s="1108"/>
      <c r="J66" s="279"/>
    </row>
    <row r="67" spans="1:12" x14ac:dyDescent="0.2">
      <c r="A67" s="437"/>
      <c r="B67" s="469" t="s">
        <v>312</v>
      </c>
      <c r="C67" s="470">
        <f>SUM(C68:C70)</f>
        <v>0</v>
      </c>
      <c r="D67" s="471"/>
      <c r="E67" s="472"/>
      <c r="F67" s="301"/>
      <c r="G67" s="472"/>
      <c r="H67" s="301"/>
      <c r="I67" s="301"/>
      <c r="J67" s="279"/>
    </row>
    <row r="68" spans="1:12" x14ac:dyDescent="0.2">
      <c r="A68" s="437"/>
      <c r="B68" s="473" t="s">
        <v>313</v>
      </c>
      <c r="C68" s="474"/>
      <c r="D68" s="475"/>
      <c r="E68" s="684">
        <f>SUMIF('Balance N Retraitée'!$A:$A,"111*",'Balance N Retraitée'!$H:$H)-SUMIF('Balance N Retraitée'!$A:$A,"111*",'Balance N Retraitée'!$G:$G)-E69</f>
        <v>0</v>
      </c>
      <c r="F68" s="762"/>
      <c r="G68" s="684">
        <f>SUMIF('Balance N-1 Retraitée'!$A:$A,"111*",'Balance N-1 Retraitée'!$H:$H)-SUMIF('Balance N-1 Retraitée'!$A:$A,"111*",'Balance N-1 Retraitée'!$G:$G)-G69</f>
        <v>0</v>
      </c>
      <c r="H68" s="762"/>
      <c r="I68" s="762"/>
      <c r="J68" s="279"/>
    </row>
    <row r="69" spans="1:12" x14ac:dyDescent="0.2">
      <c r="A69" s="437"/>
      <c r="B69" s="476" t="s">
        <v>314</v>
      </c>
      <c r="C69" s="477"/>
      <c r="D69" s="478"/>
      <c r="E69" s="684">
        <f>SUMIF('Balance N Retraitée'!$A:$A,"1119*",'Balance N Retraitée'!$H:$H)-SUMIF('Balance N Retraitée'!$A:$A,"1119*",'Balance N Retraitée'!$G:$G)</f>
        <v>0</v>
      </c>
      <c r="F69" s="762"/>
      <c r="G69" s="684">
        <f>SUMIF('Balance N-1 Retraitée'!$A:$A,"1119*",'Balance N-1 Retraitée'!$H:$H)-SUMIF('Balance N-1 Retraitée'!$A:$A,"1119*",'Balance N-1 Retraitée'!$G:$G)</f>
        <v>0</v>
      </c>
      <c r="H69" s="762"/>
      <c r="I69" s="762"/>
      <c r="J69" s="279"/>
    </row>
    <row r="70" spans="1:12" x14ac:dyDescent="0.2">
      <c r="A70" s="441"/>
      <c r="B70" s="476" t="s">
        <v>2657</v>
      </c>
      <c r="C70" s="477"/>
      <c r="D70" s="478"/>
      <c r="E70" s="447"/>
      <c r="F70" s="762"/>
      <c r="G70" s="447"/>
      <c r="H70" s="762"/>
      <c r="I70" s="762"/>
      <c r="J70" s="279"/>
    </row>
    <row r="71" spans="1:12" x14ac:dyDescent="0.2">
      <c r="A71" s="441"/>
      <c r="B71" s="476" t="s">
        <v>2658</v>
      </c>
      <c r="C71" s="477"/>
      <c r="D71" s="478"/>
      <c r="E71" s="684">
        <f>Cellule_13402-(SUMIF('Balance N Retraitée'!$A:$A,"3462*",'Balance N Retraitée'!$G:$G)-SUMIF('Balance N Retraitée'!$A:$A,"3462*",'Balance N Retraitée'!$H:$H))</f>
        <v>0</v>
      </c>
      <c r="F71" s="762"/>
      <c r="G71" s="684">
        <f>Cellule_13413-(SUMIF('Balance N-1 Retraitée'!$A:$A,"3462*",'Balance N-1 Retraitée'!$G:$G)-SUMIF('Balance N-1 Retraitée'!$A:$A,"3462*",'Balance N-1 Retraitée'!$H:$H))</f>
        <v>0</v>
      </c>
      <c r="H71" s="762"/>
      <c r="I71" s="762"/>
      <c r="J71" s="279"/>
    </row>
    <row r="72" spans="1:12" x14ac:dyDescent="0.2">
      <c r="A72" s="441"/>
      <c r="B72" s="476" t="s">
        <v>315</v>
      </c>
      <c r="C72" s="477"/>
      <c r="D72" s="478"/>
      <c r="E72" s="684">
        <f>SUMIF('Balance N Retraitée'!$A:$A,"112*",'Balance N Retraitée'!$H:$H)-SUMIF('Balance N Retraitée'!$A:$A,"112*",'Balance N Retraitée'!$G:$G)</f>
        <v>0</v>
      </c>
      <c r="F72" s="762"/>
      <c r="G72" s="684">
        <f>SUMIF('Balance N-1 Retraitée'!$A:$A,"112*",'Balance N-1 Retraitée'!$H:$H)-SUMIF('Balance N-1 Retraitée'!$A:$A,"112*",'Balance N-1 Retraitée'!$G:$G)</f>
        <v>0</v>
      </c>
      <c r="H72" s="762"/>
      <c r="I72" s="762"/>
      <c r="J72" s="279"/>
    </row>
    <row r="73" spans="1:12" x14ac:dyDescent="0.2">
      <c r="A73" s="441"/>
      <c r="B73" s="476" t="s">
        <v>316</v>
      </c>
      <c r="C73" s="477"/>
      <c r="D73" s="478"/>
      <c r="E73" s="684">
        <f>SUMIF('Balance N Retraitée'!$A:$A,"113*",'Balance N Retraitée'!$H:$H)-SUMIF('Balance N Retraitée'!$A:$A,"113*",'Balance N Retraitée'!$G:$G)</f>
        <v>0</v>
      </c>
      <c r="F73" s="762"/>
      <c r="G73" s="684">
        <f>SUMIF('Balance N-1 Retraitée'!$A:$A,"113*",'Balance N-1 Retraitée'!$H:$H)-SUMIF('Balance N-1 Retraitée'!$A:$A,"113*",'Balance N-1 Retraitée'!$G:$G)</f>
        <v>0</v>
      </c>
      <c r="H73" s="762"/>
      <c r="I73" s="762"/>
      <c r="J73" s="279"/>
    </row>
    <row r="74" spans="1:12" x14ac:dyDescent="0.2">
      <c r="A74" s="441"/>
      <c r="B74" s="476" t="s">
        <v>317</v>
      </c>
      <c r="C74" s="477"/>
      <c r="D74" s="478"/>
      <c r="E74" s="684">
        <f>SUMIF('Balance N Retraitée'!$A:$A,"114*",'Balance N Retraitée'!$H:$H)-SUMIF('Balance N Retraitée'!$A:$A,"114*",'Balance N Retraitée'!$G:$G)</f>
        <v>0</v>
      </c>
      <c r="F74" s="762"/>
      <c r="G74" s="684">
        <f>SUMIF('Balance N-1 Retraitée'!$A:$A,"114*",'Balance N-1 Retraitée'!$H:$H)-SUMIF('Balance N-1 Retraitée'!$A:$A,"114*",'Balance N-1 Retraitée'!$G:$G)</f>
        <v>0</v>
      </c>
      <c r="H74" s="762"/>
      <c r="I74" s="762"/>
      <c r="J74" s="279"/>
    </row>
    <row r="75" spans="1:12" x14ac:dyDescent="0.2">
      <c r="A75" s="441"/>
      <c r="B75" s="476" t="s">
        <v>318</v>
      </c>
      <c r="C75" s="477"/>
      <c r="D75" s="478"/>
      <c r="E75" s="684">
        <f>SUMIF('Balance N Retraitée'!$A:$A,"115*",'Balance N Retraitée'!$H:$H)-SUMIF('Balance N Retraitée'!$A:$A,"115*",'Balance N Retraitée'!$G:$G)</f>
        <v>0</v>
      </c>
      <c r="F75" s="762"/>
      <c r="G75" s="684">
        <f>SUMIF('Balance N-1 Retraitée'!$A:$A,"115*",'Balance N-1 Retraitée'!$H:$H)-SUMIF('Balance N-1 Retraitée'!$A:$A,"115*",'Balance N-1 Retraitée'!$G:$G)</f>
        <v>0</v>
      </c>
      <c r="H75" s="762"/>
      <c r="I75" s="762"/>
      <c r="J75" s="279"/>
    </row>
    <row r="76" spans="1:12" x14ac:dyDescent="0.2">
      <c r="A76" s="441"/>
      <c r="B76" s="476" t="s">
        <v>319</v>
      </c>
      <c r="C76" s="477"/>
      <c r="D76" s="478"/>
      <c r="E76" s="684">
        <f>SUMIF('Balance N Retraitée'!$A:$A,"116*",'Balance N Retraitée'!$H:$H)-SUMIF('Balance N Retraitée'!$A:$A,"116*",'Balance N Retraitée'!$G:$G)</f>
        <v>0</v>
      </c>
      <c r="F76" s="762"/>
      <c r="G76" s="684">
        <f>SUMIF('Balance N-1 Retraitée'!$A:$A,"116*",'Balance N-1 Retraitée'!$H:$H)-SUMIF('Balance N-1 Retraitée'!$A:$A,"116*",'Balance N-1 Retraitée'!$G:$G)</f>
        <v>0</v>
      </c>
      <c r="H76" s="762"/>
      <c r="I76" s="762"/>
      <c r="J76" s="279"/>
    </row>
    <row r="77" spans="1:12" x14ac:dyDescent="0.2">
      <c r="A77" s="441"/>
      <c r="B77" s="476" t="s">
        <v>320</v>
      </c>
      <c r="C77" s="477"/>
      <c r="D77" s="478"/>
      <c r="E77" s="1019">
        <f>SUMIF('Balance N Retraitée'!$A:$A,"118*",'Balance N Retraitée'!$H:$H)-SUMIF('Balance N Retraitée'!$A:$A,"118*",'Balance N Retraitée'!$G:$G)</f>
        <v>0</v>
      </c>
      <c r="F77" s="1020"/>
      <c r="G77" s="1019">
        <f>SUMIF('Balance N-1 Retraitée'!$A:$A,"118*",'Balance N-1 Retraitée'!$H:$H)-SUMIF('Balance N-1 Retraitée'!$A:$A,"118*",'Balance N-1 Retraitée'!$G:$G)</f>
        <v>0</v>
      </c>
      <c r="H77" s="762"/>
      <c r="I77" s="762"/>
      <c r="J77" s="279"/>
    </row>
    <row r="78" spans="1:12" ht="12.75" thickBot="1" x14ac:dyDescent="0.25">
      <c r="A78" s="441"/>
      <c r="B78" s="476" t="s">
        <v>321</v>
      </c>
      <c r="C78" s="477"/>
      <c r="D78" s="478"/>
      <c r="E78" s="684">
        <f>+'T2 CPC'!F72</f>
        <v>0</v>
      </c>
      <c r="F78" s="762"/>
      <c r="G78" s="684">
        <f>+'T2 CPC'!G72</f>
        <v>0</v>
      </c>
      <c r="H78" s="762"/>
      <c r="I78" s="762"/>
      <c r="J78" s="279"/>
      <c r="K78" s="279"/>
      <c r="L78" s="279"/>
    </row>
    <row r="79" spans="1:12" ht="12.75" thickBot="1" x14ac:dyDescent="0.25">
      <c r="A79" s="441"/>
      <c r="B79" s="479"/>
      <c r="C79" s="480"/>
      <c r="D79" s="481" t="s">
        <v>322</v>
      </c>
      <c r="E79" s="800">
        <f>SUM(E68:E78)</f>
        <v>0</v>
      </c>
      <c r="F79" s="801"/>
      <c r="G79" s="800">
        <f>SUM(G68:G78)</f>
        <v>0</v>
      </c>
      <c r="H79" s="803"/>
      <c r="I79" s="803"/>
      <c r="J79" s="279"/>
    </row>
    <row r="80" spans="1:12" x14ac:dyDescent="0.2">
      <c r="A80" s="441"/>
      <c r="B80" s="469" t="s">
        <v>323</v>
      </c>
      <c r="C80" s="470">
        <f>SUM(C81:C83)</f>
        <v>0</v>
      </c>
      <c r="D80" s="482" t="s">
        <v>324</v>
      </c>
      <c r="E80" s="802">
        <f>SUM(E81:E86)</f>
        <v>0</v>
      </c>
      <c r="F80" s="803"/>
      <c r="G80" s="802">
        <f>SUM(G81:G86)</f>
        <v>0</v>
      </c>
      <c r="H80" s="803"/>
      <c r="I80" s="803"/>
      <c r="J80" s="279"/>
    </row>
    <row r="81" spans="1:10" x14ac:dyDescent="0.2">
      <c r="A81" s="441"/>
      <c r="B81" s="473" t="s">
        <v>325</v>
      </c>
      <c r="C81" s="474"/>
      <c r="D81" s="475"/>
      <c r="E81" s="684">
        <f>SUMIF('Balance N Retraitée'!$A:$A,"131*",'Balance N Retraitée'!$H:$H)-SUMIF('Balance N Retraitée'!$A:$A,"131*",'Balance N Retraitée'!$G:$G)</f>
        <v>0</v>
      </c>
      <c r="F81" s="762"/>
      <c r="G81" s="684">
        <f>SUMIF('Balance N-1 Retraitée'!$A:$A,"131*",'Balance N-1 Retraitée'!$H:$H)-SUMIF('Balance N-1 Retraitée'!$A:$A,"131*",'Balance N-1 Retraitée'!$G:$G)</f>
        <v>0</v>
      </c>
      <c r="H81" s="762"/>
      <c r="I81" s="762"/>
      <c r="J81" s="279"/>
    </row>
    <row r="82" spans="1:10" x14ac:dyDescent="0.2">
      <c r="A82" s="441"/>
      <c r="B82" s="476" t="s">
        <v>326</v>
      </c>
      <c r="C82" s="477"/>
      <c r="D82" s="478"/>
      <c r="E82" s="684">
        <f>SUMIF('Balance N Retraitée'!$A:$A,"135*",'Balance N Retraitée'!$H:$H)-SUMIF('Balance N Retraitée'!$A:$A,"135*",'Balance N Retraitée'!$G:$G)</f>
        <v>0</v>
      </c>
      <c r="F82" s="762"/>
      <c r="G82" s="684">
        <f>SUMIF('Balance N-1 Retraitée'!$A:$A,"135*",'Balance N-1 Retraitée'!$H:$H)-SUMIF('Balance N-1 Retraitée'!$A:$A,"135*",'Balance N-1 Retraitée'!$G:$G)</f>
        <v>0</v>
      </c>
      <c r="H82" s="762"/>
      <c r="I82" s="762"/>
      <c r="J82" s="279"/>
    </row>
    <row r="83" spans="1:10" x14ac:dyDescent="0.2">
      <c r="A83" s="441"/>
      <c r="B83" s="476"/>
      <c r="C83" s="477"/>
      <c r="D83" s="478"/>
      <c r="E83" s="447"/>
      <c r="F83" s="762"/>
      <c r="G83" s="447"/>
      <c r="H83" s="762"/>
      <c r="I83" s="762"/>
      <c r="J83" s="279"/>
    </row>
    <row r="84" spans="1:10" x14ac:dyDescent="0.2">
      <c r="A84" s="441"/>
      <c r="B84" s="476"/>
      <c r="C84" s="477"/>
      <c r="D84" s="478"/>
      <c r="E84" s="447"/>
      <c r="F84" s="762"/>
      <c r="G84" s="447"/>
      <c r="H84" s="762"/>
      <c r="I84" s="762"/>
      <c r="J84" s="279"/>
    </row>
    <row r="85" spans="1:10" x14ac:dyDescent="0.2">
      <c r="A85" s="441"/>
      <c r="B85" s="476"/>
      <c r="C85" s="477"/>
      <c r="D85" s="478"/>
      <c r="E85" s="447"/>
      <c r="F85" s="762"/>
      <c r="G85" s="447"/>
      <c r="H85" s="762"/>
      <c r="I85" s="762"/>
      <c r="J85" s="279"/>
    </row>
    <row r="86" spans="1:10" ht="12.75" thickBot="1" x14ac:dyDescent="0.25">
      <c r="A86" s="441"/>
      <c r="B86" s="484"/>
      <c r="C86" s="485"/>
      <c r="D86" s="486"/>
      <c r="E86" s="763"/>
      <c r="F86" s="799"/>
      <c r="G86" s="763"/>
      <c r="H86" s="762"/>
      <c r="I86" s="762"/>
      <c r="J86" s="279"/>
    </row>
    <row r="87" spans="1:10" x14ac:dyDescent="0.2">
      <c r="A87" s="441"/>
      <c r="B87" s="469" t="s">
        <v>327</v>
      </c>
      <c r="C87" s="470">
        <f>SUM(C88:C90)</f>
        <v>0</v>
      </c>
      <c r="D87" s="482" t="s">
        <v>328</v>
      </c>
      <c r="E87" s="802">
        <f>SUM(E88:E93)</f>
        <v>0</v>
      </c>
      <c r="F87" s="803"/>
      <c r="G87" s="802">
        <f>SUM(G88:G93)</f>
        <v>0</v>
      </c>
      <c r="H87" s="803"/>
      <c r="I87" s="803"/>
      <c r="J87" s="279"/>
    </row>
    <row r="88" spans="1:10" x14ac:dyDescent="0.2">
      <c r="A88" s="441"/>
      <c r="B88" s="473" t="s">
        <v>329</v>
      </c>
      <c r="C88" s="474"/>
      <c r="D88" s="475"/>
      <c r="E88" s="684">
        <f>SUMIF('Balance N Retraitée'!$A:$A,"141*",'Balance N Retraitée'!$H:$H)-SUMIF('Balance N Retraitée'!$A:$A,"141*",'Balance N Retraitée'!$G:$G)</f>
        <v>0</v>
      </c>
      <c r="F88" s="762"/>
      <c r="G88" s="684">
        <f>SUMIF('Balance N-1 Retraitée'!$A:$A,"141*",'Balance N-1 Retraitée'!$H:$H)-SUMIF('Balance N-1 Retraitée'!$A:$A,"141*",'Balance N-1 Retraitée'!$G:$G)</f>
        <v>0</v>
      </c>
      <c r="H88" s="762"/>
      <c r="I88" s="762"/>
      <c r="J88" s="279"/>
    </row>
    <row r="89" spans="1:10" x14ac:dyDescent="0.2">
      <c r="A89" s="441"/>
      <c r="B89" s="476" t="s">
        <v>330</v>
      </c>
      <c r="C89" s="477"/>
      <c r="D89" s="478"/>
      <c r="E89" s="684">
        <f>SUMIF('Balance N Retraitée'!$A:$A,"148*",'Balance N Retraitée'!$H:$H)-SUMIF('Balance N Retraitée'!$A:$A,"148*",'Balance N Retraitée'!$G:$G)</f>
        <v>0</v>
      </c>
      <c r="F89" s="762"/>
      <c r="G89" s="684">
        <f>SUMIF('Balance N-1 Retraitée'!$A:$A,"148*",'Balance N-1 Retraitée'!$H:$H)-SUMIF('Balance N-1 Retraitée'!$A:$A,"148*",'Balance N-1 Retraitée'!$G:$G)</f>
        <v>0</v>
      </c>
      <c r="H89" s="762"/>
      <c r="I89" s="762"/>
      <c r="J89" s="279"/>
    </row>
    <row r="90" spans="1:10" x14ac:dyDescent="0.2">
      <c r="A90" s="441"/>
      <c r="B90" s="476"/>
      <c r="C90" s="477"/>
      <c r="D90" s="478"/>
      <c r="E90" s="447"/>
      <c r="F90" s="762"/>
      <c r="G90" s="447"/>
      <c r="H90" s="762"/>
      <c r="I90" s="762"/>
      <c r="J90" s="279"/>
    </row>
    <row r="91" spans="1:10" x14ac:dyDescent="0.2">
      <c r="A91" s="441"/>
      <c r="B91" s="476"/>
      <c r="C91" s="477"/>
      <c r="D91" s="478"/>
      <c r="E91" s="447"/>
      <c r="F91" s="762"/>
      <c r="G91" s="447"/>
      <c r="H91" s="762"/>
      <c r="I91" s="762"/>
      <c r="J91" s="279"/>
    </row>
    <row r="92" spans="1:10" x14ac:dyDescent="0.2">
      <c r="A92" s="441"/>
      <c r="B92" s="476"/>
      <c r="C92" s="477"/>
      <c r="D92" s="478"/>
      <c r="E92" s="447"/>
      <c r="F92" s="762"/>
      <c r="G92" s="447"/>
      <c r="H92" s="762"/>
      <c r="I92" s="762"/>
      <c r="J92" s="279"/>
    </row>
    <row r="93" spans="1:10" ht="12.75" thickBot="1" x14ac:dyDescent="0.25">
      <c r="A93" s="441"/>
      <c r="B93" s="484"/>
      <c r="C93" s="485"/>
      <c r="D93" s="486"/>
      <c r="E93" s="763"/>
      <c r="F93" s="799"/>
      <c r="G93" s="763"/>
      <c r="H93" s="762"/>
      <c r="I93" s="762"/>
      <c r="J93" s="279"/>
    </row>
    <row r="94" spans="1:10" x14ac:dyDescent="0.2">
      <c r="A94" s="441"/>
      <c r="B94" s="469" t="s">
        <v>331</v>
      </c>
      <c r="C94" s="470">
        <f>SUM(C95:C97)</f>
        <v>0</v>
      </c>
      <c r="D94" s="482" t="s">
        <v>332</v>
      </c>
      <c r="E94" s="802">
        <f>SUM(E95:E97)</f>
        <v>0</v>
      </c>
      <c r="F94" s="803"/>
      <c r="G94" s="802">
        <f>SUM(G95:G97)</f>
        <v>0</v>
      </c>
      <c r="H94" s="803"/>
      <c r="I94" s="803"/>
      <c r="J94" s="279"/>
    </row>
    <row r="95" spans="1:10" x14ac:dyDescent="0.2">
      <c r="A95" s="441"/>
      <c r="B95" s="473" t="s">
        <v>333</v>
      </c>
      <c r="C95" s="474"/>
      <c r="D95" s="475"/>
      <c r="E95" s="684">
        <f>SUMIF('Balance N Retraitée'!$A:$A,"151*",'Balance N Retraitée'!$H:$H)-SUMIF('Balance N Retraitée'!$A:$A,"151*",'Balance N Retraitée'!$G:$G)</f>
        <v>0</v>
      </c>
      <c r="F95" s="762"/>
      <c r="G95" s="684">
        <f>SUMIF('Balance N-1 Retraitée'!$A:$A,"151*",'Balance N-1 Retraitée'!$H:$H)-SUMIF('Balance N-1 Retraitée'!$A:$A,"151*",'Balance N-1 Retraitée'!$G:$G)</f>
        <v>0</v>
      </c>
      <c r="H95" s="762"/>
      <c r="I95" s="762"/>
      <c r="J95" s="279"/>
    </row>
    <row r="96" spans="1:10" x14ac:dyDescent="0.2">
      <c r="A96" s="441"/>
      <c r="B96" s="473" t="s">
        <v>334</v>
      </c>
      <c r="C96" s="477"/>
      <c r="D96" s="478"/>
      <c r="E96" s="684">
        <f>SUMIF('Balance N Retraitée'!$A:$A,"155*",'Balance N Retraitée'!$H:$H)-SUMIF('Balance N Retraitée'!$A:$A,"155*",'Balance N Retraitée'!$G:$G)</f>
        <v>0</v>
      </c>
      <c r="F96" s="762"/>
      <c r="G96" s="684">
        <f>SUMIF('Balance N-1 Retraitée'!$A:$A,"155*",'Balance N-1 Retraitée'!$H:$H)-SUMIF('Balance N-1 Retraitée'!$A:$A,"155*",'Balance N-1 Retraitée'!$G:$G)</f>
        <v>0</v>
      </c>
      <c r="H96" s="762"/>
      <c r="I96" s="762"/>
      <c r="J96" s="279"/>
    </row>
    <row r="97" spans="1:11" ht="12.75" thickBot="1" x14ac:dyDescent="0.25">
      <c r="A97" s="441"/>
      <c r="B97" s="484"/>
      <c r="C97" s="485"/>
      <c r="D97" s="486"/>
      <c r="E97" s="763"/>
      <c r="F97" s="799"/>
      <c r="G97" s="763"/>
      <c r="H97" s="762"/>
      <c r="I97" s="762"/>
      <c r="J97" s="279"/>
    </row>
    <row r="98" spans="1:11" x14ac:dyDescent="0.2">
      <c r="A98" s="441"/>
      <c r="B98" s="469" t="s">
        <v>335</v>
      </c>
      <c r="C98" s="470">
        <f>SUM(C99:C101)</f>
        <v>0</v>
      </c>
      <c r="D98" s="482" t="s">
        <v>336</v>
      </c>
      <c r="E98" s="802">
        <f>SUM(E99:E101)</f>
        <v>0</v>
      </c>
      <c r="F98" s="803"/>
      <c r="G98" s="802">
        <f>SUM(G99:G101)</f>
        <v>0</v>
      </c>
      <c r="H98" s="803"/>
      <c r="I98" s="803"/>
      <c r="J98" s="279"/>
    </row>
    <row r="99" spans="1:11" x14ac:dyDescent="0.2">
      <c r="A99" s="441"/>
      <c r="B99" s="473" t="s">
        <v>337</v>
      </c>
      <c r="C99" s="474"/>
      <c r="D99" s="475"/>
      <c r="E99" s="684">
        <f>SUMIF('Balance N Retraitée'!$A:$A,"171*",'Balance N Retraitée'!$H:$H)-SUMIF('Balance N Retraitée'!$A:$A,"171*",'Balance N Retraitée'!$G:$G)</f>
        <v>0</v>
      </c>
      <c r="F99" s="762"/>
      <c r="G99" s="684">
        <f>SUMIF('Balance N-1 Retraitée'!$A:$A,"171*",'Balance N-1 Retraitée'!$H:$H)-SUMIF('Balance N-1 Retraitée'!$A:$A,"171*",'Balance N-1 Retraitée'!$G:$G)</f>
        <v>0</v>
      </c>
      <c r="H99" s="762"/>
      <c r="I99" s="762"/>
      <c r="J99" s="279"/>
    </row>
    <row r="100" spans="1:11" x14ac:dyDescent="0.2">
      <c r="A100" s="441"/>
      <c r="B100" s="473" t="s">
        <v>338</v>
      </c>
      <c r="C100" s="477"/>
      <c r="D100" s="478"/>
      <c r="E100" s="684">
        <f>SUMIF('Balance N Retraitée'!$A:$A,"172*",'Balance N Retraitée'!$H:$H)-SUMIF('Balance N Retraitée'!$A:$A,"172*",'Balance N Retraitée'!$G:$G)</f>
        <v>0</v>
      </c>
      <c r="F100" s="762"/>
      <c r="G100" s="684">
        <f>SUMIF('Balance N-1 Retraitée'!$A:$A,"172*",'Balance N-1 Retraitée'!$H:$H)-SUMIF('Balance N-1 Retraitée'!$A:$A,"172*",'Balance N-1 Retraitée'!$G:$G)</f>
        <v>0</v>
      </c>
      <c r="H100" s="762"/>
      <c r="I100" s="762"/>
      <c r="J100" s="279"/>
    </row>
    <row r="101" spans="1:11" ht="12.75" thickBot="1" x14ac:dyDescent="0.25">
      <c r="A101" s="441"/>
      <c r="B101" s="476"/>
      <c r="C101" s="477"/>
      <c r="D101" s="478"/>
      <c r="E101" s="447"/>
      <c r="F101" s="762"/>
      <c r="G101" s="447"/>
      <c r="H101" s="762"/>
      <c r="I101" s="762"/>
      <c r="J101" s="279"/>
    </row>
    <row r="102" spans="1:11" ht="12.75" thickBot="1" x14ac:dyDescent="0.25">
      <c r="A102" s="487"/>
      <c r="B102" s="479"/>
      <c r="C102" s="480"/>
      <c r="D102" s="481" t="s">
        <v>339</v>
      </c>
      <c r="E102" s="800">
        <f>+E79+E80+E87+E94+E98</f>
        <v>0</v>
      </c>
      <c r="F102" s="801"/>
      <c r="G102" s="800">
        <f>+G79+G80+G87+G94+G98</f>
        <v>0</v>
      </c>
      <c r="H102" s="803"/>
      <c r="I102" s="803"/>
      <c r="J102" s="279"/>
    </row>
    <row r="103" spans="1:11" ht="5.65" customHeight="1" thickBot="1" x14ac:dyDescent="0.25">
      <c r="A103" s="487"/>
      <c r="B103" s="418"/>
      <c r="C103" s="418"/>
      <c r="D103" s="488"/>
      <c r="E103" s="792"/>
      <c r="F103" s="799"/>
      <c r="G103" s="792"/>
      <c r="H103" s="762"/>
      <c r="I103" s="762"/>
      <c r="J103" s="279"/>
    </row>
    <row r="104" spans="1:11" x14ac:dyDescent="0.2">
      <c r="A104" s="441"/>
      <c r="B104" s="469" t="s">
        <v>340</v>
      </c>
      <c r="C104" s="470">
        <f>SUM(C105:C107)</f>
        <v>0</v>
      </c>
      <c r="D104" s="482" t="s">
        <v>341</v>
      </c>
      <c r="E104" s="802">
        <f>SUM(E105:E112)</f>
        <v>0</v>
      </c>
      <c r="F104" s="803"/>
      <c r="G104" s="802">
        <f>SUM(G105:G112)</f>
        <v>0</v>
      </c>
      <c r="H104" s="803"/>
      <c r="I104" s="803"/>
      <c r="J104" s="279"/>
    </row>
    <row r="105" spans="1:11" x14ac:dyDescent="0.2">
      <c r="A105" s="441"/>
      <c r="B105" s="473" t="s">
        <v>342</v>
      </c>
      <c r="C105" s="474"/>
      <c r="D105" s="475"/>
      <c r="E105" s="684">
        <f>SUMIF('Balance N Retraitée'!$A:$A,"441*",'Balance N Retraitée'!$H:$H)-SUMIF('Balance N Retraitée'!$A:$A,"441*",'Balance N Retraitée'!$G:$G)</f>
        <v>0</v>
      </c>
      <c r="F105" s="762"/>
      <c r="G105" s="684">
        <f>SUMIF('Balance N-1 Retraitée'!$A:$A,"441*",'Balance N-1 Retraitée'!$H:$H)-SUMIF('Balance N-1 Retraitée'!$A:$A,"441*",'Balance N-1 Retraitée'!$G:$G)</f>
        <v>0</v>
      </c>
      <c r="H105" s="762"/>
      <c r="I105" s="762"/>
      <c r="J105" s="279"/>
    </row>
    <row r="106" spans="1:11" x14ac:dyDescent="0.2">
      <c r="A106" s="441"/>
      <c r="B106" s="473" t="s">
        <v>343</v>
      </c>
      <c r="C106" s="477"/>
      <c r="D106" s="478"/>
      <c r="E106" s="684">
        <f>SUMIF('Balance N Retraitée'!$A:$A,"442*",'Balance N Retraitée'!$H:$H)-SUMIF('Balance N Retraitée'!$A:$A,"442*",'Balance N Retraitée'!$G:$G)</f>
        <v>0</v>
      </c>
      <c r="F106" s="762"/>
      <c r="G106" s="684">
        <f>SUMIF('Balance N-1 Retraitée'!$A:$A,"442*",'Balance N-1 Retraitée'!$H:$H)-SUMIF('Balance N-1 Retraitée'!$A:$A,"442*",'Balance N-1 Retraitée'!$G:$G)</f>
        <v>0</v>
      </c>
      <c r="H106" s="762"/>
      <c r="I106" s="762"/>
      <c r="J106" s="279"/>
    </row>
    <row r="107" spans="1:11" x14ac:dyDescent="0.2">
      <c r="A107" s="441"/>
      <c r="B107" s="476" t="s">
        <v>344</v>
      </c>
      <c r="C107" s="477"/>
      <c r="D107" s="478"/>
      <c r="E107" s="684">
        <f>SUMIF('Balance N Retraitée'!$A:$A,"443*",'Balance N Retraitée'!$H:$H)-SUMIF('Balance N Retraitée'!$A:$A,"443*",'Balance N Retraitée'!$G:$G)</f>
        <v>0</v>
      </c>
      <c r="F107" s="762"/>
      <c r="G107" s="684">
        <f>SUMIF('Balance N-1 Retraitée'!$A:$A,"443*",'Balance N-1 Retraitée'!$H:$H)-SUMIF('Balance N-1 Retraitée'!$A:$A,"443*",'Balance N-1 Retraitée'!$G:$G)</f>
        <v>0</v>
      </c>
      <c r="H107" s="762"/>
      <c r="I107" s="762"/>
      <c r="J107" s="279"/>
    </row>
    <row r="108" spans="1:11" x14ac:dyDescent="0.2">
      <c r="A108" s="441"/>
      <c r="B108" s="476" t="s">
        <v>345</v>
      </c>
      <c r="C108" s="477"/>
      <c r="D108" s="478"/>
      <c r="E108" s="684">
        <f>SUMIF('Balance N Retraitée'!$A:$A,"444*",'Balance N Retraitée'!$H:$H)-SUMIF('Balance N Retraitée'!$A:$A,"444*",'Balance N Retraitée'!$G:$G)</f>
        <v>0</v>
      </c>
      <c r="F108" s="762"/>
      <c r="G108" s="684">
        <f>SUMIF('Balance N-1 Retraitée'!$A:$A,"444*",'Balance N-1 Retraitée'!$H:$H)-SUMIF('Balance N-1 Retraitée'!$A:$A,"444*",'Balance N-1 Retraitée'!$G:$G)</f>
        <v>0</v>
      </c>
      <c r="H108" s="762"/>
      <c r="I108" s="762"/>
      <c r="J108" s="279"/>
    </row>
    <row r="109" spans="1:11" x14ac:dyDescent="0.2">
      <c r="A109" s="441"/>
      <c r="B109" s="476" t="s">
        <v>346</v>
      </c>
      <c r="C109" s="477"/>
      <c r="D109" s="478"/>
      <c r="E109" s="684">
        <f>SUMIF('Balance N Retraitée'!$A:$A,"445*",'Balance N Retraitée'!$H:$H)-SUMIF('Balance N Retraitée'!$A:$A,"445*",'Balance N Retraitée'!$G:$G)</f>
        <v>0</v>
      </c>
      <c r="F109" s="762"/>
      <c r="G109" s="684">
        <f>SUMIF('Balance N-1 Retraitée'!$A:$A,"445*",'Balance N-1 Retraitée'!$H:$H)-SUMIF('Balance N-1 Retraitée'!$A:$A,"445*",'Balance N-1 Retraitée'!$G:$G)</f>
        <v>0</v>
      </c>
      <c r="H109" s="762"/>
      <c r="I109" s="762"/>
      <c r="J109" s="279"/>
      <c r="K109" s="279"/>
    </row>
    <row r="110" spans="1:11" x14ac:dyDescent="0.2">
      <c r="A110" s="441"/>
      <c r="B110" s="476" t="s">
        <v>347</v>
      </c>
      <c r="C110" s="477"/>
      <c r="D110" s="478"/>
      <c r="E110" s="684">
        <f>SUMIF('Balance N Retraitée'!$A:$A,"446*",'Balance N Retraitée'!$H:$H)-SUMIF('Balance N Retraitée'!$A:$A,"446*",'Balance N Retraitée'!$G:$G)</f>
        <v>0</v>
      </c>
      <c r="F110" s="762"/>
      <c r="G110" s="684">
        <f>SUMIF('Balance N-1 Retraitée'!$A:$A,"446*",'Balance N-1 Retraitée'!$H:$H)-SUMIF('Balance N-1 Retraitée'!$A:$A,"446*",'Balance N-1 Retraitée'!$G:$G)</f>
        <v>0</v>
      </c>
      <c r="H110" s="762"/>
      <c r="I110" s="762"/>
      <c r="J110" s="279"/>
    </row>
    <row r="111" spans="1:11" x14ac:dyDescent="0.2">
      <c r="A111" s="441"/>
      <c r="B111" s="476" t="s">
        <v>348</v>
      </c>
      <c r="C111" s="477"/>
      <c r="D111" s="478"/>
      <c r="E111" s="684">
        <f>SUMIF('Balance N Retraitée'!$A:$A,"448*",'Balance N Retraitée'!$H:$H)-SUMIF('Balance N Retraitée'!$A:$A,"448*",'Balance N Retraitée'!$G:$G)</f>
        <v>0</v>
      </c>
      <c r="F111" s="762"/>
      <c r="G111" s="684">
        <f>SUMIF('Balance N-1 Retraitée'!$A:$A,"448*",'Balance N-1 Retraitée'!$H:$H)-SUMIF('Balance N-1 Retraitée'!$A:$A,"448*",'Balance N-1 Retraitée'!$G:$G)</f>
        <v>0</v>
      </c>
      <c r="H111" s="762"/>
      <c r="I111" s="762"/>
      <c r="J111" s="279"/>
    </row>
    <row r="112" spans="1:11" ht="12.75" thickBot="1" x14ac:dyDescent="0.25">
      <c r="A112" s="441"/>
      <c r="B112" s="476" t="s">
        <v>349</v>
      </c>
      <c r="C112" s="477"/>
      <c r="D112" s="478"/>
      <c r="E112" s="792">
        <f>SUMIF('Balance N Retraitée'!$A:$A,"449*",'Balance N Retraitée'!$H:$H)-SUMIF('Balance N Retraitée'!$A:$A,"449*",'Balance N Retraitée'!$G:$G)</f>
        <v>0</v>
      </c>
      <c r="F112" s="762"/>
      <c r="G112" s="792">
        <f>SUMIF('Balance N-1 Retraitée'!$A:$A,"449*",'Balance N-1 Retraitée'!$H:$H)-SUMIF('Balance N-1 Retraitée'!$A:$A,"449*",'Balance N-1 Retraitée'!$G:$G)</f>
        <v>0</v>
      </c>
      <c r="H112" s="762"/>
      <c r="I112" s="762"/>
      <c r="J112" s="279"/>
    </row>
    <row r="113" spans="1:10" ht="12.75" thickBot="1" x14ac:dyDescent="0.25">
      <c r="A113" s="441"/>
      <c r="B113" s="489" t="s">
        <v>350</v>
      </c>
      <c r="C113" s="480"/>
      <c r="D113" s="490" t="s">
        <v>351</v>
      </c>
      <c r="E113" s="804">
        <f>SUMIF('Balance N Retraitée'!$A:$A,"45*",'Balance N Retraitée'!$H:$H)-SUMIF('Balance N Retraitée'!$A:$A,"45*",'Balance N Retraitée'!$G:$G)</f>
        <v>0</v>
      </c>
      <c r="F113" s="801"/>
      <c r="G113" s="804">
        <f>SUMIF('Balance N-1 Retraitée'!$A:$A,"45*",'Balance N-1 Retraitée'!$H:$H)-SUMIF('Balance N-1 Retraitée'!$A:$A,"45*",'Balance N-1 Retraitée'!$G:$G)</f>
        <v>0</v>
      </c>
      <c r="H113" s="803"/>
      <c r="I113" s="803"/>
      <c r="J113" s="279"/>
    </row>
    <row r="114" spans="1:10" ht="12.75" thickBot="1" x14ac:dyDescent="0.25">
      <c r="A114" s="441"/>
      <c r="B114" s="489" t="s">
        <v>352</v>
      </c>
      <c r="C114" s="480"/>
      <c r="D114" s="490" t="s">
        <v>353</v>
      </c>
      <c r="E114" s="804">
        <f>SUMIF('Balance N Retraitée'!$A:$A,"47*",'Balance N Retraitée'!$H:$H)-SUMIF('Balance N Retraitée'!$A:$A,"47*",'Balance N Retraitée'!$G:$G)</f>
        <v>0</v>
      </c>
      <c r="F114" s="801"/>
      <c r="G114" s="804">
        <f>SUMIF('Balance N-1 Retraitée'!$A:$A,"47*",'Balance N-1 Retraitée'!$H:$H)-SUMIF('Balance N-1 Retraitée'!$A:$A,"47*",'Balance N-1 Retraitée'!$G:$G)</f>
        <v>0</v>
      </c>
      <c r="H114" s="803"/>
      <c r="I114" s="803"/>
      <c r="J114" s="279"/>
    </row>
    <row r="115" spans="1:10" ht="12.75" thickBot="1" x14ac:dyDescent="0.25">
      <c r="A115" s="487"/>
      <c r="B115" s="479"/>
      <c r="C115" s="480"/>
      <c r="D115" s="481" t="s">
        <v>354</v>
      </c>
      <c r="E115" s="800">
        <f>+E104+E113+E114</f>
        <v>0</v>
      </c>
      <c r="F115" s="801"/>
      <c r="G115" s="800">
        <f>+G104+G113+G114</f>
        <v>0</v>
      </c>
      <c r="H115" s="803"/>
      <c r="I115" s="803"/>
      <c r="J115" s="279"/>
    </row>
    <row r="116" spans="1:10" ht="5.0999999999999996" customHeight="1" thickBot="1" x14ac:dyDescent="0.25">
      <c r="A116" s="487"/>
      <c r="B116" s="418"/>
      <c r="C116" s="418"/>
      <c r="D116" s="488"/>
      <c r="E116" s="792"/>
      <c r="F116" s="799"/>
      <c r="G116" s="792"/>
      <c r="H116" s="762"/>
      <c r="I116" s="762"/>
      <c r="J116" s="279"/>
    </row>
    <row r="117" spans="1:10" x14ac:dyDescent="0.2">
      <c r="A117" s="441"/>
      <c r="B117" s="469" t="s">
        <v>355</v>
      </c>
      <c r="C117" s="470">
        <f>SUM(C118:C120)</f>
        <v>0</v>
      </c>
      <c r="D117" s="482" t="s">
        <v>356</v>
      </c>
      <c r="E117" s="802">
        <f>SUM(E118:E120)</f>
        <v>0</v>
      </c>
      <c r="F117" s="803"/>
      <c r="G117" s="802">
        <f>SUM(G118:G120)</f>
        <v>0</v>
      </c>
      <c r="H117" s="803"/>
      <c r="I117" s="803"/>
      <c r="J117" s="279"/>
    </row>
    <row r="118" spans="1:10" x14ac:dyDescent="0.2">
      <c r="A118" s="441"/>
      <c r="B118" s="473" t="s">
        <v>357</v>
      </c>
      <c r="C118" s="474"/>
      <c r="D118" s="475"/>
      <c r="E118" s="684">
        <f>SUMIF('Balance N Retraitée'!$A:$A,"552*",'Balance N Retraitée'!$H:$H)-SUMIF('Balance N Retraitée'!$A:$A,"552*",'Balance N Retraitée'!$G:$G)</f>
        <v>0</v>
      </c>
      <c r="F118" s="762"/>
      <c r="G118" s="684">
        <f>SUMIF('Balance N-1 Retraitée'!$A:$A,"552*",'Balance N-1 Retraitée'!$H:$H)-SUMIF('Balance N-1 Retraitée'!$A:$A,"552*",'Balance N-1 Retraitée'!$G:$G)</f>
        <v>0</v>
      </c>
      <c r="H118" s="762"/>
      <c r="I118" s="762"/>
      <c r="J118" s="279"/>
    </row>
    <row r="119" spans="1:10" x14ac:dyDescent="0.2">
      <c r="A119" s="441"/>
      <c r="B119" s="473" t="s">
        <v>358</v>
      </c>
      <c r="C119" s="477"/>
      <c r="D119" s="478"/>
      <c r="E119" s="684">
        <f>SUMIF('Balance N Retraitée'!$A:$A,"553*",'Balance N Retraitée'!$H:$H)-SUMIF('Balance N Retraitée'!$A:$A,"553*",'Balance N Retraitée'!$G:$G)</f>
        <v>0</v>
      </c>
      <c r="F119" s="762"/>
      <c r="G119" s="684">
        <f>SUMIF('Balance N-1 Retraitée'!$A:$A,"553*",'Balance N-1 Retraitée'!$H:$H)-SUMIF('Balance N-1 Retraitée'!$A:$A,"553*",'Balance N-1 Retraitée'!$G:$G)</f>
        <v>0</v>
      </c>
      <c r="H119" s="762"/>
      <c r="I119" s="762"/>
      <c r="J119" s="279"/>
    </row>
    <row r="120" spans="1:10" ht="12.75" thickBot="1" x14ac:dyDescent="0.25">
      <c r="A120" s="441"/>
      <c r="B120" s="484" t="s">
        <v>359</v>
      </c>
      <c r="C120" s="485"/>
      <c r="D120" s="486"/>
      <c r="E120" s="792">
        <f>SUMIF('Balance N Retraitée'!$A:$A,"514*",'Balance N Retraitée'!$H:$H)+SUMIF('Balance N Retraitée'!$A:$A,"554*",'Balance N Retraitée'!$H:$H)</f>
        <v>0</v>
      </c>
      <c r="F120" s="799"/>
      <c r="G120" s="792">
        <f>SUMIF('Balance N-1 Retraitée'!$A:$A,"514*",'Balance N-1 Retraitée'!$H:$H)+SUMIF('Balance N-1 Retraitée'!$A:$A,"554*",'Balance N-1 Retraitée'!$H:$H)</f>
        <v>0</v>
      </c>
      <c r="H120" s="762"/>
      <c r="I120" s="762"/>
      <c r="J120" s="279"/>
    </row>
    <row r="121" spans="1:10" ht="12.75" thickBot="1" x14ac:dyDescent="0.25">
      <c r="A121" s="487"/>
      <c r="B121" s="418"/>
      <c r="C121" s="418"/>
      <c r="D121" s="481" t="s">
        <v>360</v>
      </c>
      <c r="E121" s="788">
        <f>+E117</f>
        <v>0</v>
      </c>
      <c r="F121" s="805"/>
      <c r="G121" s="788">
        <f>+G117</f>
        <v>0</v>
      </c>
      <c r="H121" s="803"/>
      <c r="I121" s="803"/>
      <c r="J121" s="279"/>
    </row>
    <row r="122" spans="1:10" ht="5.0999999999999996" customHeight="1" thickBot="1" x14ac:dyDescent="0.25">
      <c r="A122" s="487"/>
      <c r="B122" s="418"/>
      <c r="C122" s="418"/>
      <c r="D122" s="488"/>
      <c r="E122" s="792"/>
      <c r="F122" s="799"/>
      <c r="G122" s="792"/>
      <c r="H122" s="762"/>
      <c r="I122" s="762"/>
      <c r="J122" s="279"/>
    </row>
    <row r="123" spans="1:10" ht="12.75" thickBot="1" x14ac:dyDescent="0.25">
      <c r="A123" s="487"/>
      <c r="B123" s="484"/>
      <c r="C123" s="485"/>
      <c r="D123" s="481" t="s">
        <v>361</v>
      </c>
      <c r="E123" s="806">
        <f>+E102+E115+E121</f>
        <v>0</v>
      </c>
      <c r="F123" s="805"/>
      <c r="G123" s="806">
        <f>+G102+G115+G121</f>
        <v>0</v>
      </c>
      <c r="H123" s="803"/>
      <c r="I123" s="803"/>
      <c r="J123" s="279"/>
    </row>
    <row r="124" spans="1:10" x14ac:dyDescent="0.2">
      <c r="A124" s="20" t="s">
        <v>362</v>
      </c>
      <c r="E124" s="807">
        <f>SUM(E68:E77)+E80+E87+E94+E98+E104+E113+E114+E117</f>
        <v>0</v>
      </c>
      <c r="F124" s="808"/>
      <c r="G124" s="499"/>
      <c r="H124" s="499"/>
      <c r="I124" s="499"/>
    </row>
    <row r="125" spans="1:10" x14ac:dyDescent="0.2">
      <c r="E125" s="499"/>
      <c r="F125" s="808"/>
      <c r="G125" s="499"/>
      <c r="H125" s="499"/>
      <c r="I125" s="499"/>
    </row>
    <row r="126" spans="1:10" x14ac:dyDescent="0.2">
      <c r="E126" s="1146"/>
      <c r="F126" s="808"/>
      <c r="G126" s="499"/>
      <c r="H126" s="499"/>
      <c r="I126" s="499"/>
    </row>
    <row r="127" spans="1:10" ht="12.75" x14ac:dyDescent="0.2">
      <c r="C127" s="2"/>
    </row>
  </sheetData>
  <phoneticPr fontId="0" type="noConversion"/>
  <pageMargins left="0.78740157499999996" right="0.78740157499999996" top="0.984251969" bottom="0.984251969" header="0.4921259845" footer="0.4921259845"/>
  <pageSetup paperSize="9" scale="87" orientation="portrait" horizontalDpi="300" verticalDpi="300" r:id="rId1"/>
  <headerFooter alignWithMargins="0">
    <oddHeader>&amp;L&amp;"Times New Roman,Gras italique"&amp;12Sté : ...............................</oddHeader>
  </headerFooter>
  <rowBreaks count="1" manualBreakCount="1">
    <brk id="62" max="6" man="1"/>
  </rowBreaks>
  <ignoredErrors>
    <ignoredError sqref="E17 E25 E41 C56:D5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5">
    <tabColor rgb="FFFF0000"/>
  </sheetPr>
  <dimension ref="A1:K84"/>
  <sheetViews>
    <sheetView showGridLines="0" showZeros="0" topLeftCell="A3" workbookViewId="0"/>
  </sheetViews>
  <sheetFormatPr baseColWidth="10" defaultColWidth="12" defaultRowHeight="11.25" x14ac:dyDescent="0.2"/>
  <cols>
    <col min="1" max="1" width="2.6640625" style="344" customWidth="1"/>
    <col min="2" max="2" width="5" style="344" bestFit="1" customWidth="1"/>
    <col min="3" max="3" width="40.33203125" style="344" customWidth="1"/>
    <col min="4" max="4" width="18.1640625" style="360" bestFit="1" customWidth="1"/>
    <col min="5" max="5" width="20.6640625" style="360" bestFit="1" customWidth="1"/>
    <col min="6" max="6" width="23.6640625" style="344" bestFit="1" customWidth="1"/>
    <col min="7" max="7" width="16.33203125" style="344" customWidth="1"/>
    <col min="8" max="8" width="15.33203125" style="344" bestFit="1" customWidth="1"/>
    <col min="9" max="9" width="16.6640625" style="344" bestFit="1" customWidth="1"/>
    <col min="10" max="10" width="13" style="344" bestFit="1" customWidth="1"/>
    <col min="11" max="16384" width="12" style="344"/>
  </cols>
  <sheetData>
    <row r="1" spans="1:11" x14ac:dyDescent="0.2">
      <c r="A1" s="14" t="s">
        <v>363</v>
      </c>
    </row>
    <row r="2" spans="1:11" ht="15.75" x14ac:dyDescent="0.25">
      <c r="A2" s="361" t="s">
        <v>364</v>
      </c>
      <c r="B2" s="362"/>
      <c r="C2" s="362"/>
      <c r="D2" s="363"/>
      <c r="E2" s="363"/>
      <c r="F2" s="362"/>
      <c r="G2" s="362"/>
    </row>
    <row r="3" spans="1:11" ht="12.75" customHeight="1" x14ac:dyDescent="0.2">
      <c r="A3" s="364" t="s">
        <v>365</v>
      </c>
      <c r="B3" s="362"/>
      <c r="C3" s="362"/>
      <c r="D3" s="362"/>
      <c r="E3" s="362"/>
      <c r="F3" s="365"/>
      <c r="G3" s="362"/>
    </row>
    <row r="4" spans="1:11" ht="20.25" customHeight="1" thickBot="1" x14ac:dyDescent="0.25">
      <c r="D4" s="366" t="s">
        <v>896</v>
      </c>
      <c r="E4" s="367" t="str">
        <f>+Couverture!C15</f>
        <v>01/01/2015</v>
      </c>
      <c r="F4" s="368" t="str">
        <f>+Couverture!E15</f>
        <v>31/12/2015</v>
      </c>
    </row>
    <row r="5" spans="1:11" ht="14.25" customHeight="1" x14ac:dyDescent="0.2">
      <c r="A5" s="369"/>
      <c r="B5" s="370"/>
      <c r="C5" s="877"/>
      <c r="D5" s="890" t="s">
        <v>366</v>
      </c>
      <c r="E5" s="371"/>
      <c r="F5" s="891" t="s">
        <v>250</v>
      </c>
      <c r="G5" s="881" t="s">
        <v>250</v>
      </c>
    </row>
    <row r="6" spans="1:11" s="378" customFormat="1" x14ac:dyDescent="0.2">
      <c r="A6" s="373"/>
      <c r="B6" s="374"/>
      <c r="C6" s="878"/>
      <c r="D6" s="892" t="s">
        <v>367</v>
      </c>
      <c r="E6" s="376" t="s">
        <v>368</v>
      </c>
      <c r="F6" s="377" t="s">
        <v>369</v>
      </c>
      <c r="G6" s="882" t="s">
        <v>369</v>
      </c>
    </row>
    <row r="7" spans="1:11" s="378" customFormat="1" x14ac:dyDescent="0.2">
      <c r="A7" s="373"/>
      <c r="B7" s="374"/>
      <c r="C7" s="878" t="s">
        <v>370</v>
      </c>
      <c r="D7" s="893"/>
      <c r="E7" s="379" t="s">
        <v>371</v>
      </c>
      <c r="F7" s="380" t="s">
        <v>372</v>
      </c>
      <c r="G7" s="883" t="s">
        <v>372</v>
      </c>
    </row>
    <row r="8" spans="1:11" s="378" customFormat="1" x14ac:dyDescent="0.2">
      <c r="A8" s="373"/>
      <c r="B8" s="381"/>
      <c r="C8" s="879"/>
      <c r="D8" s="894"/>
      <c r="E8" s="382"/>
      <c r="F8" s="377"/>
      <c r="G8" s="883" t="s">
        <v>423</v>
      </c>
    </row>
    <row r="9" spans="1:11" s="378" customFormat="1" x14ac:dyDescent="0.2">
      <c r="A9" s="373"/>
      <c r="B9" s="381"/>
      <c r="C9" s="878"/>
      <c r="D9" s="893"/>
      <c r="E9" s="379"/>
      <c r="F9" s="377"/>
      <c r="G9" s="882"/>
    </row>
    <row r="10" spans="1:11" ht="11.1" customHeight="1" x14ac:dyDescent="0.2">
      <c r="A10" s="383"/>
      <c r="B10" s="384"/>
      <c r="C10" s="880"/>
      <c r="D10" s="895">
        <v>1</v>
      </c>
      <c r="E10" s="385">
        <v>2</v>
      </c>
      <c r="F10" s="896" t="s">
        <v>373</v>
      </c>
      <c r="G10" s="884"/>
    </row>
    <row r="11" spans="1:11" x14ac:dyDescent="0.2">
      <c r="A11" s="386" t="s">
        <v>374</v>
      </c>
      <c r="B11" s="387" t="s">
        <v>274</v>
      </c>
      <c r="C11" s="14" t="s">
        <v>375</v>
      </c>
      <c r="D11" s="897">
        <f>SUM(D12:D18)</f>
        <v>0</v>
      </c>
      <c r="E11" s="865">
        <f>SUM(E12:E18)</f>
        <v>0</v>
      </c>
      <c r="F11" s="867">
        <f>SUM(F12:F18)</f>
        <v>0</v>
      </c>
      <c r="G11" s="885">
        <f>SUM(G12:G18)</f>
        <v>0</v>
      </c>
    </row>
    <row r="12" spans="1:11" x14ac:dyDescent="0.2">
      <c r="A12" s="386" t="s">
        <v>376</v>
      </c>
      <c r="B12" s="384"/>
      <c r="C12" s="388" t="s">
        <v>377</v>
      </c>
      <c r="D12" s="898">
        <f>SUMIF('Balance N Retraitée'!A:A,"711*",'Balance N Retraitée'!H:H)-SUMIF('Balance N Retraitée'!A:A,"711*",'Balance N Retraitée'!G:G)-E12</f>
        <v>0</v>
      </c>
      <c r="E12" s="810">
        <f>SUMIF('Balance N Retraitée'!A:A,"7118*",'Balance N Retraitée'!H:H)-SUMIF('Balance N Retraitée'!A:A,"7118*",'Balance N Retraitée'!G:G)</f>
        <v>0</v>
      </c>
      <c r="F12" s="811">
        <f t="shared" ref="F12:F18" si="0">+D12+E12</f>
        <v>0</v>
      </c>
      <c r="G12" s="886">
        <f>SUMIF('Balance N-1 Retraitée'!A:A,"711*",'Balance N-1 Retraitée'!H:H)-SUMIF('Balance N-1 Retraitée'!A:A,"711*",'Balance N-1 Retraitée'!G:G)</f>
        <v>0</v>
      </c>
      <c r="H12" s="345">
        <f>+Cellule_11184</f>
        <v>0</v>
      </c>
      <c r="I12" s="345"/>
      <c r="K12" s="345"/>
    </row>
    <row r="13" spans="1:11" x14ac:dyDescent="0.2">
      <c r="A13" s="386" t="s">
        <v>378</v>
      </c>
      <c r="B13" s="384"/>
      <c r="C13" s="390" t="s">
        <v>379</v>
      </c>
      <c r="D13" s="1143">
        <f>SUMIF('Balance N Retraitée'!A:A,"712*",'Balance N Retraitée'!H:H)-SUMIF('Balance N Retraitée'!A:A,"712*",'Balance N Retraitée'!G:G)+'Balance N Retraitée'!G228</f>
        <v>0</v>
      </c>
      <c r="E13" s="810">
        <f>(SUMIF('Balance N Retraitée'!A:A,"7128*",'Balance N Retraitée'!H:H)-SUMIF('Balance N Retraitée'!A:A,"7128*",'Balance N Retraitée'!G:G))+(SUMIF('Balance N Retraitée'!A:A,"71298*",'Balance N Retraitée'!H:H)-SUMIF('Balance N Retraitée'!A:A,"71298*",'Balance N Retraitée'!G:G))</f>
        <v>0</v>
      </c>
      <c r="F13" s="811">
        <f>+D13+E13</f>
        <v>0</v>
      </c>
      <c r="G13" s="886">
        <f>SUMIF('Balance N-1 Retraitée'!A:A,"712*",'Balance N-1 Retraitée'!H:H)-SUMIF('Balance N-1 Retraitée'!A:A,"712*",'Balance N-1 Retraitée'!G:G)</f>
        <v>0</v>
      </c>
      <c r="H13" s="345"/>
      <c r="K13" s="345"/>
    </row>
    <row r="14" spans="1:11" x14ac:dyDescent="0.2">
      <c r="A14" s="386" t="s">
        <v>933</v>
      </c>
      <c r="B14" s="384"/>
      <c r="C14" s="391" t="s">
        <v>381</v>
      </c>
      <c r="D14" s="899">
        <f>SUMIF('Balance N Retraitée'!A:A,"713*",'Balance N Retraitée'!H:H)-SUMIF('Balance N Retraitée'!A:A,"713*",'Balance N Retraitée'!G:G)-E14</f>
        <v>0</v>
      </c>
      <c r="E14" s="827"/>
      <c r="F14" s="811">
        <f t="shared" si="0"/>
        <v>0</v>
      </c>
      <c r="G14" s="886">
        <f>SUMIF('Balance N-1 Retraitée'!A:A,"713*",'Balance N-1 Retraitée'!H:H)-SUMIF('Balance N-1 Retraitée'!A:A,"713*",'Balance N-1 Retraitée'!G:G)</f>
        <v>0</v>
      </c>
      <c r="H14" s="345"/>
      <c r="K14" s="345"/>
    </row>
    <row r="15" spans="1:11" x14ac:dyDescent="0.2">
      <c r="A15" s="386" t="s">
        <v>380</v>
      </c>
      <c r="B15" s="384"/>
      <c r="C15" s="390" t="s">
        <v>382</v>
      </c>
      <c r="D15" s="899">
        <f>SUMIF('Balance N Retraitée'!A:A,"714*",'Balance N Retraitée'!H:H)-SUMIF('Balance N Retraitée'!A:A,"714*",'Balance N Retraitée'!G:G)-E15</f>
        <v>0</v>
      </c>
      <c r="E15" s="827">
        <f>SUMIF('Balance N Retraitée'!A:A,"7148*",'Balance N Retraitée'!H:H)-SUMIF('Balance N Retraitée'!A:A,"7148*",'Balance N Retraitée'!G:G)</f>
        <v>0</v>
      </c>
      <c r="F15" s="811">
        <f t="shared" si="0"/>
        <v>0</v>
      </c>
      <c r="G15" s="886">
        <f>SUMIF('Balance N-1 Retraitée'!A:A,"714*",'Balance N-1 Retraitée'!H:H)-SUMIF('Balance N-1 Retraitée'!A:A,"714*",'Balance N-1 Retraitée'!G:G)</f>
        <v>0</v>
      </c>
      <c r="H15" s="566"/>
      <c r="K15" s="345"/>
    </row>
    <row r="16" spans="1:11" x14ac:dyDescent="0.2">
      <c r="A16" s="386" t="s">
        <v>274</v>
      </c>
      <c r="B16" s="384"/>
      <c r="C16" s="391" t="s">
        <v>384</v>
      </c>
      <c r="D16" s="899">
        <f>SUMIF('Balance N Retraitée'!A:A,"716*",'Balance N Retraitée'!H:H)-SUMIF('Balance N Retraitée'!A:A,"716*",'Balance N Retraitée'!G:G)-E16</f>
        <v>0</v>
      </c>
      <c r="E16" s="827">
        <f>SUMIF('Balance N Retraitée'!A:A,"7168*",'Balance N Retraitée'!H:H)-SUMIF('Balance N Retraitée'!A:A,"7168*",'Balance N Retraitée'!G:G)</f>
        <v>0</v>
      </c>
      <c r="F16" s="811">
        <f t="shared" si="0"/>
        <v>0</v>
      </c>
      <c r="G16" s="886">
        <f>SUMIF('Balance N-1 Retraitée'!A:A,"716*",'Balance N-1 Retraitée'!H:H)-SUMIF('Balance N-1 Retraitée'!A:A,"716*",'Balance N-1 Retraitée'!G:G)</f>
        <v>0</v>
      </c>
      <c r="H16" s="345"/>
      <c r="K16" s="345"/>
    </row>
    <row r="17" spans="1:11" x14ac:dyDescent="0.2">
      <c r="A17" s="386" t="s">
        <v>385</v>
      </c>
      <c r="B17" s="384"/>
      <c r="C17" s="391" t="s">
        <v>386</v>
      </c>
      <c r="D17" s="899">
        <f>SUMIF('Balance N Retraitée'!A:A,"718*",'Balance N Retraitée'!H:H)-SUMIF('Balance N Retraitée'!A:A,"718*",'Balance N Retraitée'!G:G)-E17</f>
        <v>0</v>
      </c>
      <c r="E17" s="827">
        <f>SUMIF('Balance N Retraitée'!A:A,"7188*",'Balance N Retraitée'!H:H)-SUMIF('Balance N Retraitée'!A:A,"7188*",'Balance N Retraitée'!G:G)</f>
        <v>0</v>
      </c>
      <c r="F17" s="811">
        <f t="shared" si="0"/>
        <v>0</v>
      </c>
      <c r="G17" s="886">
        <f>SUMIF('Balance N-1 Retraitée'!A:A,"718*",'Balance N-1 Retraitée'!H:H)-SUMIF('Balance N-1 Retraitée'!A:A,"718*",'Balance N-1 Retraitée'!G:G)</f>
        <v>0</v>
      </c>
      <c r="K17" s="345"/>
    </row>
    <row r="18" spans="1:11" ht="12" thickBot="1" x14ac:dyDescent="0.25">
      <c r="A18" s="386" t="s">
        <v>383</v>
      </c>
      <c r="B18" s="384"/>
      <c r="C18" s="390" t="s">
        <v>387</v>
      </c>
      <c r="D18" s="899">
        <f>SUMIF('Balance N Retraitée'!A:A,"719*",'Balance N Retraitée'!H:H)-SUMIF('Balance N Retraitée'!A:A,"719*",'Balance N Retraitée'!G:G)-E18</f>
        <v>0</v>
      </c>
      <c r="E18" s="827">
        <f>SUMIF('Balance N Retraitée'!A:A,"7198*",'Balance N Retraitée'!H:H)-SUMIF('Balance N Retraitée'!A:A,"7198*",'Balance N Retraitée'!G:G)</f>
        <v>0</v>
      </c>
      <c r="F18" s="811">
        <f t="shared" si="0"/>
        <v>0</v>
      </c>
      <c r="G18" s="886">
        <f>SUMIF('Balance N-1 Retraitée'!A:A,"719*",'Balance N-1 Retraitée'!H:H)-SUMIF('Balance N-1 Retraitée'!A:A,"719*",'Balance N-1 Retraitée'!G:G)</f>
        <v>0</v>
      </c>
      <c r="K18" s="345"/>
    </row>
    <row r="19" spans="1:11" ht="12" thickBot="1" x14ac:dyDescent="0.25">
      <c r="A19" s="386" t="s">
        <v>385</v>
      </c>
      <c r="B19" s="384"/>
      <c r="C19" s="392" t="s">
        <v>388</v>
      </c>
      <c r="D19" s="900">
        <f>ROUND(SUM(D12:D18),2)</f>
        <v>0</v>
      </c>
      <c r="E19" s="900">
        <f>ROUND(SUM(E12:E18),2)</f>
        <v>0</v>
      </c>
      <c r="F19" s="900">
        <f>ROUND(SUM(F12:F18),2)</f>
        <v>0</v>
      </c>
      <c r="G19" s="900">
        <f>ROUND(SUM(G12:G18),2)</f>
        <v>0</v>
      </c>
      <c r="H19" s="345"/>
      <c r="I19" s="345"/>
      <c r="K19" s="345"/>
    </row>
    <row r="20" spans="1:11" x14ac:dyDescent="0.2">
      <c r="A20" s="386" t="s">
        <v>274</v>
      </c>
      <c r="B20" s="393" t="s">
        <v>390</v>
      </c>
      <c r="C20" s="14" t="s">
        <v>391</v>
      </c>
      <c r="D20" s="901">
        <f>SUM(D21:D27)</f>
        <v>0</v>
      </c>
      <c r="E20" s="866">
        <f>SUM(E21:E27)</f>
        <v>0</v>
      </c>
      <c r="F20" s="868">
        <f>SUM(F21:F27)</f>
        <v>0</v>
      </c>
      <c r="G20" s="887">
        <f>SUM(G21:G27)</f>
        <v>0</v>
      </c>
      <c r="H20" s="345"/>
      <c r="I20" s="345"/>
      <c r="J20" s="345"/>
      <c r="K20" s="345"/>
    </row>
    <row r="21" spans="1:11" x14ac:dyDescent="0.2">
      <c r="A21" s="386" t="s">
        <v>380</v>
      </c>
      <c r="B21" s="394"/>
      <c r="C21" s="344" t="s">
        <v>392</v>
      </c>
      <c r="D21" s="898">
        <f>SUMIF('Balance N Retraitée'!A:A,"611*",'Balance N Retraitée'!G:G)-SUMIF('Balance N Retraitée'!A:A,"611*",'Balance N Retraitée'!H:H)-E21</f>
        <v>0</v>
      </c>
      <c r="E21" s="810">
        <f>SUMIF('Balance N Retraitée'!A:A,"6118*",'Balance N Retraitée'!G:G)-SUMIF('Balance N Retraitée'!A:A,"6118*",'Balance N Retraitée'!H:H)</f>
        <v>0</v>
      </c>
      <c r="F21" s="811">
        <f t="shared" ref="F21:F26" si="1">+D21+E21</f>
        <v>0</v>
      </c>
      <c r="G21" s="886">
        <f>SUMIF('Balance N-1 Retraitée'!A:A,"611*",'Balance N-1 Retraitée'!G:G)-SUMIF('Balance N-1 Retraitée'!A:A,"611*",'Balance N-1 Retraitée'!H:H)</f>
        <v>0</v>
      </c>
      <c r="H21" s="722"/>
      <c r="K21" s="345"/>
    </row>
    <row r="22" spans="1:11" x14ac:dyDescent="0.2">
      <c r="A22" s="386" t="s">
        <v>389</v>
      </c>
      <c r="B22" s="394"/>
      <c r="C22" s="390" t="s">
        <v>393</v>
      </c>
      <c r="D22" s="898">
        <f>SUMIF('Balance N Retraitée'!A:A,"612*",'Balance N Retraitée'!G:G)-SUMIF('Balance N Retraitée'!A:A,"612*",'Balance N Retraitée'!H:H)-E22</f>
        <v>0</v>
      </c>
      <c r="E22" s="810">
        <f>(SUMIF('Balance N Retraitée'!A:A,"6128*",'Balance N Retraitée'!G:G)-SUMIF('Balance N Retraitée'!A:A,"6128*",'Balance N Retraitée'!H:H))+(SUMIF('Balance N Retraitée'!A:A,"61298*",'Balance N Retraitée'!G:G)-SUMIF('Balance N Retraitée'!A:A,"61298*",'Balance N Retraitée'!H:H))</f>
        <v>0</v>
      </c>
      <c r="F22" s="811">
        <f>+D22+E22</f>
        <v>0</v>
      </c>
      <c r="G22" s="886">
        <f>SUMIF('Balance N-1 Retraitée'!A:A,"612*",'Balance N-1 Retraitée'!G:G)-SUMIF('Balance N-1 Retraitée'!A:A,"612*",'Balance N-1 Retraitée'!H:H)</f>
        <v>0</v>
      </c>
      <c r="H22" s="345"/>
      <c r="K22" s="345"/>
    </row>
    <row r="23" spans="1:11" x14ac:dyDescent="0.2">
      <c r="A23" s="383"/>
      <c r="B23" s="394"/>
      <c r="C23" s="391" t="s">
        <v>394</v>
      </c>
      <c r="D23" s="898">
        <f>SUMIF('Balance N Retraitée'!A:A,"613*",'Balance N Retraitée'!G:G)-SUMIF('Balance N Retraitée'!A:A,"613*",'Balance N Retraitée'!H:H)+SUMIF('Balance N Retraitée'!A:A,"614*",'Balance N Retraitée'!G:G)-SUMIF('Balance N Retraitée'!A:A,"614*",'Balance N Retraitée'!H:H)-E23</f>
        <v>0</v>
      </c>
      <c r="E23" s="810">
        <f>SUMIF('Balance N Retraitée'!A:A,"6148*",'Balance N Retraitée'!G:G)-SUMIF('Balance N Retraitée'!A:A,"6148*",'Balance N Retraitée'!H:H)</f>
        <v>0</v>
      </c>
      <c r="F23" s="811">
        <f t="shared" si="1"/>
        <v>0</v>
      </c>
      <c r="G23" s="886">
        <f>SUMIF('Balance N-1 Retraitée'!A:A,"613*",'Balance N-1 Retraitée'!G:G)-SUMIF('Balance N-1 Retraitée'!A:A,"613*",'Balance N-1 Retraitée'!H:H)+SUMIF('Balance N-1 Retraitée'!A:A,"614*",'Balance N-1 Retraitée'!G:G)-SUMIF('Balance N-1 Retraitée'!A:A,"614*",'Balance N-1 Retraitée'!H:H)</f>
        <v>0</v>
      </c>
      <c r="H23" s="345"/>
      <c r="K23" s="345"/>
    </row>
    <row r="24" spans="1:11" x14ac:dyDescent="0.2">
      <c r="A24" s="383"/>
      <c r="B24" s="394"/>
      <c r="C24" s="391" t="s">
        <v>395</v>
      </c>
      <c r="D24" s="898">
        <f>SUMIF('Balance N Retraitée'!A:A,"616*",'Balance N Retraitée'!G:G)-SUMIF('Balance N Retraitée'!A:A,"616*",'Balance N Retraitée'!H:H)-E24</f>
        <v>0</v>
      </c>
      <c r="E24" s="810">
        <f>SUMIF('Balance N Retraitée'!A:A,"6168*",'Balance N Retraitée'!G:G)-SUMIF('Balance N Retraitée'!A:A,"6168*",'Balance N Retraitée'!H:H)</f>
        <v>0</v>
      </c>
      <c r="F24" s="811">
        <f t="shared" si="1"/>
        <v>0</v>
      </c>
      <c r="G24" s="886">
        <f>SUMIF('Balance N-1 Retraitée'!A:A,"616*",'Balance N-1 Retraitée'!G:G)-SUMIF('Balance N-1 Retraitée'!A:A,"616*",'Balance N-1 Retraitée'!H:H)</f>
        <v>0</v>
      </c>
      <c r="H24" s="345"/>
      <c r="K24" s="345"/>
    </row>
    <row r="25" spans="1:11" x14ac:dyDescent="0.2">
      <c r="A25" s="383"/>
      <c r="B25" s="394"/>
      <c r="C25" s="395" t="s">
        <v>396</v>
      </c>
      <c r="D25" s="898">
        <f>SUMIF('Balance N Retraitée'!A:A,"617*",'Balance N Retraitée'!G:G)-SUMIF('Balance N Retraitée'!A:A,"617*",'Balance N Retraitée'!H:H)-E25</f>
        <v>0</v>
      </c>
      <c r="E25" s="810">
        <f>SUMIF('Balance N Retraitée'!A:A,"6178*",'Balance N Retraitée'!G:G)-SUMIF('Balance N Retraitée'!A:A,"6178*",'Balance N Retraitée'!H:H)</f>
        <v>0</v>
      </c>
      <c r="F25" s="811">
        <f t="shared" si="1"/>
        <v>0</v>
      </c>
      <c r="G25" s="886">
        <f>SUMIF('Balance N-1 Retraitée'!A:A,"617*",'Balance N-1 Retraitée'!G:G)-SUMIF('Balance N-1 Retraitée'!A:A,"617*",'Balance N-1 Retraitée'!H:H)</f>
        <v>0</v>
      </c>
      <c r="K25" s="345"/>
    </row>
    <row r="26" spans="1:11" x14ac:dyDescent="0.2">
      <c r="A26" s="383"/>
      <c r="B26" s="394"/>
      <c r="C26" s="395" t="s">
        <v>397</v>
      </c>
      <c r="D26" s="898">
        <f>SUMIF('Balance N Retraitée'!A:A,"618*",'Balance N Retraitée'!G:G)-SUMIF('Balance N Retraitée'!A:A,"618*",'Balance N Retraitée'!H:H)-E26</f>
        <v>0</v>
      </c>
      <c r="E26" s="810">
        <f>SUMIF('Balance N Retraitée'!A:A,"6188*",'Balance N Retraitée'!G:G)-SUMIF('Balance N Retraitée'!A:A,"6188*",'Balance N Retraitée'!H:H)</f>
        <v>0</v>
      </c>
      <c r="F26" s="811">
        <f t="shared" si="1"/>
        <v>0</v>
      </c>
      <c r="G26" s="886">
        <f>SUMIF('Balance N-1 Retraitée'!A:A,"618*",'Balance N-1 Retraitée'!G:G)-SUMIF('Balance N-1 Retraitée'!A:A,"618*",'Balance N-1 Retraitée'!H:H)</f>
        <v>0</v>
      </c>
      <c r="K26" s="345"/>
    </row>
    <row r="27" spans="1:11" ht="12" thickBot="1" x14ac:dyDescent="0.25">
      <c r="A27" s="383"/>
      <c r="B27" s="394"/>
      <c r="C27" s="391" t="s">
        <v>398</v>
      </c>
      <c r="D27" s="898">
        <f>SUMIF('Balance N Retraitée'!A:A,"619*",'Balance N Retraitée'!G:G)-SUMIF('Balance N Retraitée'!A:A,"619*",'Balance N Retraitée'!H:H)-E27</f>
        <v>0</v>
      </c>
      <c r="E27" s="810">
        <f>SUMIF('Balance N Retraitée'!A:A,"6198*",'Balance N Retraitée'!G:G)-SUMIF('Balance N Retraitée'!A:A,"6198*",'Balance N Retraitée'!H:H)</f>
        <v>0</v>
      </c>
      <c r="F27" s="811">
        <f>+D27+E27</f>
        <v>0</v>
      </c>
      <c r="G27" s="886">
        <f>SUMIF('Balance N-1 Retraitée'!A:A,"619*",'Balance N-1 Retraitée'!G:G)-SUMIF('Balance N-1 Retraitée'!A:A,"619*",'Balance N-1 Retraitée'!H:H)</f>
        <v>0</v>
      </c>
      <c r="K27" s="345"/>
    </row>
    <row r="28" spans="1:11" ht="12" thickBot="1" x14ac:dyDescent="0.25">
      <c r="A28" s="396"/>
      <c r="B28" s="394"/>
      <c r="C28" s="392" t="s">
        <v>399</v>
      </c>
      <c r="D28" s="902">
        <f>SUM(D21:D27)</f>
        <v>0</v>
      </c>
      <c r="E28" s="902">
        <f>SUM(E21:E27)</f>
        <v>0</v>
      </c>
      <c r="F28" s="902">
        <f>SUM(F21:F27)</f>
        <v>0</v>
      </c>
      <c r="G28" s="902">
        <f>SUM(G21:G27)</f>
        <v>0</v>
      </c>
      <c r="K28" s="345"/>
    </row>
    <row r="29" spans="1:11" ht="12.75" thickTop="1" thickBot="1" x14ac:dyDescent="0.25">
      <c r="A29" s="383"/>
      <c r="B29" s="397" t="s">
        <v>400</v>
      </c>
      <c r="C29" s="398" t="s">
        <v>401</v>
      </c>
      <c r="D29" s="1144">
        <f>ROUND(D19-D28,2)</f>
        <v>0</v>
      </c>
      <c r="E29" s="902">
        <f>ROUND(E19-E28,2)</f>
        <v>0</v>
      </c>
      <c r="F29" s="902">
        <f>ROUND(F19-F28,2)</f>
        <v>0</v>
      </c>
      <c r="G29" s="902">
        <f>ROUND(G19-G28,2)</f>
        <v>0</v>
      </c>
      <c r="K29" s="345"/>
    </row>
    <row r="30" spans="1:11" x14ac:dyDescent="0.2">
      <c r="A30" s="383"/>
      <c r="B30" s="397" t="s">
        <v>402</v>
      </c>
      <c r="C30" s="14" t="s">
        <v>403</v>
      </c>
      <c r="D30" s="901">
        <f>SUM(D31:D34)</f>
        <v>0</v>
      </c>
      <c r="E30" s="866">
        <f t="shared" ref="E30:G30" si="2">SUM(E31:E34)</f>
        <v>0</v>
      </c>
      <c r="F30" s="868">
        <f t="shared" si="2"/>
        <v>0</v>
      </c>
      <c r="G30" s="887">
        <f t="shared" si="2"/>
        <v>0</v>
      </c>
      <c r="K30" s="345"/>
    </row>
    <row r="31" spans="1:11" x14ac:dyDescent="0.2">
      <c r="A31" s="386" t="s">
        <v>404</v>
      </c>
      <c r="B31" s="394"/>
      <c r="C31" s="344" t="s">
        <v>405</v>
      </c>
      <c r="D31" s="898">
        <f>SUMIF('Balance N Retraitée'!A:A,"732*",'Balance N Retraitée'!H:H)-SUMIF('Balance N Retraitée'!A:A,"732*",'Balance N Retraitée'!G:G)-E31</f>
        <v>0</v>
      </c>
      <c r="E31" s="810">
        <f>SUMIF('Balance N Retraitée'!A:A,"7328*",'Balance N Retraitée'!H:H)-SUMIF('Balance N Retraitée'!A:A,"7328*",'Balance N Retraitée'!G:G)</f>
        <v>0</v>
      </c>
      <c r="F31" s="811">
        <f>+D31+E31</f>
        <v>0</v>
      </c>
      <c r="G31" s="886">
        <f>SUMIF('Balance N-1 Retraitée'!A:A,"732*",'Balance N-1 Retraitée'!H:H)-SUMIF('Balance N-1 Retraitée'!A:A,"732*",'Balance N-1 Retraitée'!G:G)</f>
        <v>0</v>
      </c>
      <c r="K31" s="345"/>
    </row>
    <row r="32" spans="1:11" x14ac:dyDescent="0.2">
      <c r="A32" s="386" t="s">
        <v>274</v>
      </c>
      <c r="B32" s="394"/>
      <c r="C32" s="391" t="s">
        <v>406</v>
      </c>
      <c r="D32" s="898">
        <f>SUMIF('Balance N Retraitée'!A:A,"733*",'Balance N Retraitée'!H:H)-SUMIF('Balance N Retraitée'!A:A,"733*",'Balance N Retraitée'!G:G)-E32</f>
        <v>0</v>
      </c>
      <c r="E32" s="810">
        <f>SUMIF('Balance N Retraitée'!A:A,"7338*",'Balance N Retraitée'!H:H)-SUMIF('Balance N Retraitée'!A:A,"7338*",'Balance N Retraitée'!G:G)</f>
        <v>0</v>
      </c>
      <c r="F32" s="811">
        <f>+D32+E32</f>
        <v>0</v>
      </c>
      <c r="G32" s="886">
        <f>SUMIF('Balance N-1 Retraitée'!A:A,"733*",'Balance N-1 Retraitée'!H:H)-SUMIF('Balance N-1 Retraitée'!A:A,"733*",'Balance N-1 Retraitée'!G:G)</f>
        <v>0</v>
      </c>
      <c r="K32" s="345"/>
    </row>
    <row r="33" spans="1:11" x14ac:dyDescent="0.2">
      <c r="A33" s="386" t="s">
        <v>389</v>
      </c>
      <c r="B33" s="394"/>
      <c r="C33" s="391" t="s">
        <v>407</v>
      </c>
      <c r="D33" s="898">
        <f>SUMIF('Balance N Retraitée'!A:A,"738*",'Balance N Retraitée'!H:H)-SUMIF('Balance N Retraitée'!A:A,"738*",'Balance N Retraitée'!G:G)-E33</f>
        <v>0</v>
      </c>
      <c r="E33" s="810">
        <f>SUMIF('Balance N Retraitée'!A:A,"7388*",'Balance N Retraitée'!H:H)-SUMIF('Balance N Retraitée'!A:A,"7388*",'Balance N Retraitée'!G:G)</f>
        <v>0</v>
      </c>
      <c r="F33" s="811">
        <f>+D33+E33</f>
        <v>0</v>
      </c>
      <c r="G33" s="886">
        <f>SUMIF('Balance N-1 Retraitée'!A:A,"738*",'Balance N-1 Retraitée'!H:H)-SUMIF('Balance N-1 Retraitée'!A:A,"738*",'Balance N-1 Retraitée'!G:G)</f>
        <v>0</v>
      </c>
      <c r="K33" s="345"/>
    </row>
    <row r="34" spans="1:11" ht="12" thickBot="1" x14ac:dyDescent="0.25">
      <c r="A34" s="386" t="s">
        <v>383</v>
      </c>
      <c r="B34" s="394"/>
      <c r="C34" s="399" t="s">
        <v>408</v>
      </c>
      <c r="D34" s="898">
        <f>SUMIF('Balance N Retraitée'!A:A,"739*",'Balance N Retraitée'!H:H)-SUMIF('Balance N Retraitée'!A:A,"739*",'Balance N Retraitée'!G:G)-E34</f>
        <v>0</v>
      </c>
      <c r="E34" s="810">
        <f>SUMIF('Balance N Retraitée'!A:A,"7398*",'Balance N Retraitée'!H:H)-SUMIF('Balance N Retraitée'!A:A,"7398*",'Balance N Retraitée'!G:G)</f>
        <v>0</v>
      </c>
      <c r="F34" s="811">
        <f>+D34+E34</f>
        <v>0</v>
      </c>
      <c r="G34" s="886">
        <f>SUMIF('Balance N-1 Retraitée'!A:A,"739*",'Balance N-1 Retraitée'!H:H)-SUMIF('Balance N-1 Retraitée'!A:A,"739*",'Balance N-1 Retraitée'!G:G)</f>
        <v>0</v>
      </c>
      <c r="K34" s="345"/>
    </row>
    <row r="35" spans="1:11" ht="12" thickBot="1" x14ac:dyDescent="0.25">
      <c r="A35" s="386" t="s">
        <v>389</v>
      </c>
      <c r="B35" s="394"/>
      <c r="C35" s="392" t="s">
        <v>410</v>
      </c>
      <c r="D35" s="902">
        <f>SUM(D31:D34)</f>
        <v>0</v>
      </c>
      <c r="E35" s="809">
        <f>SUM(E31:E34)</f>
        <v>0</v>
      </c>
      <c r="F35" s="812">
        <f>SUM(F31:F34)</f>
        <v>0</v>
      </c>
      <c r="G35" s="888">
        <f>SUM(G31:G34)</f>
        <v>0</v>
      </c>
      <c r="K35" s="345"/>
    </row>
    <row r="36" spans="1:11" x14ac:dyDescent="0.2">
      <c r="A36" s="386" t="s">
        <v>409</v>
      </c>
      <c r="B36" s="400" t="s">
        <v>284</v>
      </c>
      <c r="C36" s="14" t="s">
        <v>411</v>
      </c>
      <c r="D36" s="903">
        <f>SUM(D37:D40)</f>
        <v>0</v>
      </c>
      <c r="E36" s="813">
        <f t="shared" ref="E36:G36" si="3">SUM(E37:E40)</f>
        <v>0</v>
      </c>
      <c r="F36" s="869">
        <f t="shared" si="3"/>
        <v>0</v>
      </c>
      <c r="G36" s="889">
        <f t="shared" si="3"/>
        <v>0</v>
      </c>
      <c r="K36" s="345"/>
    </row>
    <row r="37" spans="1:11" x14ac:dyDescent="0.2">
      <c r="A37" s="386" t="s">
        <v>274</v>
      </c>
      <c r="B37" s="394"/>
      <c r="C37" s="344" t="s">
        <v>412</v>
      </c>
      <c r="D37" s="898">
        <f>SUMIF('Balance N Retraitée'!A:A,"631*",'Balance N Retraitée'!G:G)-SUMIF('Balance N Retraitée'!A:A,"631*",'Balance N Retraitée'!H:H)-E37</f>
        <v>0</v>
      </c>
      <c r="E37" s="810">
        <f>SUMIF('Balance N Retraitée'!A:A,"6318*",'Balance N Retraitée'!G:G)-SUMIF('Balance N Retraitée'!A:A,"6318*",'Balance N Retraitée'!H:H)</f>
        <v>0</v>
      </c>
      <c r="F37" s="811">
        <f>+D37+E37</f>
        <v>0</v>
      </c>
      <c r="G37" s="886">
        <f>SUMIF('Balance N-1 Retraitée'!A:A,"631*",'Balance N-1 Retraitée'!G:G)-SUMIF('Balance N-1 Retraitée'!A:A,"631*",'Balance N-1 Retraitée'!H:H)</f>
        <v>0</v>
      </c>
      <c r="H37" s="565"/>
      <c r="K37" s="345"/>
    </row>
    <row r="38" spans="1:11" x14ac:dyDescent="0.2">
      <c r="A38" s="386" t="s">
        <v>374</v>
      </c>
      <c r="B38" s="394"/>
      <c r="C38" s="391" t="s">
        <v>414</v>
      </c>
      <c r="D38" s="898">
        <f>SUMIF('Balance N Retraitée'!A:A,"633*",'Balance N Retraitée'!G:G)-SUMIF('Balance N Retraitée'!A:A,"633*",'Balance N Retraitée'!H:H)-E38</f>
        <v>0</v>
      </c>
      <c r="E38" s="810">
        <f>SUMIF('Balance N Retraitée'!A:A,"6338*",'Balance N Retraitée'!G:G)-SUMIF('Balance N Retraitée'!A:A,"6338*",'Balance N Retraitée'!H:H)</f>
        <v>0</v>
      </c>
      <c r="F38" s="811">
        <f>+D38+E38</f>
        <v>0</v>
      </c>
      <c r="G38" s="886">
        <f>SUMIF('Balance N-1 Retraitée'!A:A,"633*",'Balance N-1 Retraitée'!G:G)-SUMIF('Balance N-1 Retraitée'!A:A,"633*",'Balance N-1 Retraitée'!H:H)</f>
        <v>0</v>
      </c>
      <c r="H38" s="565"/>
      <c r="I38" s="565"/>
      <c r="K38" s="345"/>
    </row>
    <row r="39" spans="1:11" x14ac:dyDescent="0.2">
      <c r="A39" s="386" t="s">
        <v>413</v>
      </c>
      <c r="B39" s="394"/>
      <c r="C39" s="391" t="s">
        <v>415</v>
      </c>
      <c r="D39" s="898">
        <f>SUMIF('Balance N Retraitée'!A:A,"638*",'Balance N Retraitée'!G:G)-SUMIF('Balance N Retraitée'!A:A,"638*",'Balance N Retraitée'!H:H)-E39</f>
        <v>0</v>
      </c>
      <c r="E39" s="810">
        <f>SUMIF('Balance N Retraitée'!A:A,"6388*",'Balance N Retraitée'!G:G)-SUMIF('Balance N Retraitée'!A:A,"6388*",'Balance N Retraitée'!H:H)</f>
        <v>0</v>
      </c>
      <c r="F39" s="811">
        <f>+D39+E39</f>
        <v>0</v>
      </c>
      <c r="G39" s="886">
        <f>SUMIF('Balance N-1 Retraitée'!A:A,"638*",'Balance N-1 Retraitée'!G:G)-SUMIF('Balance N-1 Retraitée'!A:A,"638*",'Balance N-1 Retraitée'!H:H)</f>
        <v>0</v>
      </c>
      <c r="K39" s="345"/>
    </row>
    <row r="40" spans="1:11" ht="12" thickBot="1" x14ac:dyDescent="0.25">
      <c r="A40" s="386"/>
      <c r="B40" s="394"/>
      <c r="C40" s="391" t="s">
        <v>416</v>
      </c>
      <c r="D40" s="898">
        <f>SUMIF('Balance N Retraitée'!A:A,"639*",'Balance N Retraitée'!G:G)-SUMIF('Balance N Retraitée'!A:A,"639*",'Balance N Retraitée'!H:H)-E40</f>
        <v>0</v>
      </c>
      <c r="E40" s="810">
        <f>SUMIF('Balance N Retraitée'!A:A,"6398*",'Balance N Retraitée'!G:G)-SUMIF('Balance N Retraitée'!A:A,"6398*",'Balance N Retraitée'!H:H)</f>
        <v>0</v>
      </c>
      <c r="F40" s="811">
        <f>+D40+E40</f>
        <v>0</v>
      </c>
      <c r="G40" s="886">
        <f>SUMIF('Balance N-1 Retraitée'!A:A,"639*",'Balance N-1 Retraitée'!G:G)-SUMIF('Balance N-1 Retraitée'!A:A,"639*",'Balance N-1 Retraitée'!H:H)</f>
        <v>0</v>
      </c>
      <c r="K40" s="345"/>
    </row>
    <row r="41" spans="1:11" ht="12" thickBot="1" x14ac:dyDescent="0.25">
      <c r="A41" s="383"/>
      <c r="B41" s="394"/>
      <c r="C41" s="392" t="s">
        <v>417</v>
      </c>
      <c r="D41" s="902">
        <f>SUM(D37:D40)</f>
        <v>0</v>
      </c>
      <c r="E41" s="809">
        <f>SUM(E37:E40)</f>
        <v>0</v>
      </c>
      <c r="F41" s="812">
        <f>SUM(F37:F40)</f>
        <v>0</v>
      </c>
      <c r="G41" s="888">
        <f>SUM(G37:G40)</f>
        <v>0</v>
      </c>
      <c r="H41" s="565"/>
      <c r="K41" s="345"/>
    </row>
    <row r="42" spans="1:11" ht="12" thickBot="1" x14ac:dyDescent="0.25">
      <c r="A42" s="396"/>
      <c r="B42" s="397" t="s">
        <v>418</v>
      </c>
      <c r="C42" s="392" t="s">
        <v>419</v>
      </c>
      <c r="D42" s="902">
        <f>ROUND((D35-D41),2)</f>
        <v>0</v>
      </c>
      <c r="E42" s="902">
        <f>ROUND((E35-E41),2)</f>
        <v>0</v>
      </c>
      <c r="F42" s="902">
        <f>ROUND((F35-F41),2)</f>
        <v>0</v>
      </c>
      <c r="G42" s="902">
        <f>ROUND((G35-G41),2)</f>
        <v>0</v>
      </c>
      <c r="H42" s="565"/>
      <c r="K42" s="345"/>
    </row>
    <row r="43" spans="1:11" ht="12.75" thickTop="1" thickBot="1" x14ac:dyDescent="0.25">
      <c r="A43" s="401"/>
      <c r="B43" s="402" t="s">
        <v>420</v>
      </c>
      <c r="C43" s="392" t="s">
        <v>421</v>
      </c>
      <c r="D43" s="902">
        <f>+D29+D42</f>
        <v>0</v>
      </c>
      <c r="E43" s="809">
        <f>+E29+E42</f>
        <v>0</v>
      </c>
      <c r="F43" s="812">
        <f>+F29+F42</f>
        <v>0</v>
      </c>
      <c r="G43" s="888">
        <f>+G29+G42</f>
        <v>0</v>
      </c>
      <c r="K43" s="345"/>
    </row>
    <row r="44" spans="1:11" ht="18.75" customHeight="1" x14ac:dyDescent="0.2">
      <c r="C44" s="388" t="s">
        <v>422</v>
      </c>
      <c r="D44" s="403"/>
      <c r="E44" s="403"/>
      <c r="F44" s="389"/>
      <c r="G44" s="389"/>
      <c r="K44" s="345"/>
    </row>
    <row r="45" spans="1:11" x14ac:dyDescent="0.2">
      <c r="C45" s="404" t="s">
        <v>424</v>
      </c>
      <c r="D45" s="403"/>
      <c r="E45" s="403"/>
      <c r="F45" s="389"/>
      <c r="G45" s="389"/>
      <c r="K45" s="345"/>
    </row>
    <row r="46" spans="1:11" x14ac:dyDescent="0.2">
      <c r="C46" s="404"/>
      <c r="D46" s="403"/>
      <c r="E46" s="403"/>
      <c r="F46" s="389"/>
      <c r="G46" s="389"/>
      <c r="K46" s="345"/>
    </row>
    <row r="47" spans="1:11" x14ac:dyDescent="0.2">
      <c r="A47" s="14" t="s">
        <v>363</v>
      </c>
      <c r="B47" s="14"/>
      <c r="C47" s="14"/>
      <c r="D47" s="403"/>
      <c r="E47" s="403"/>
      <c r="F47" s="389"/>
      <c r="G47" s="389"/>
      <c r="K47" s="345"/>
    </row>
    <row r="48" spans="1:11" x14ac:dyDescent="0.2">
      <c r="D48" s="403"/>
      <c r="E48" s="403"/>
      <c r="F48" s="389"/>
      <c r="G48" s="389"/>
      <c r="K48" s="345"/>
    </row>
    <row r="49" spans="1:11" ht="15.75" x14ac:dyDescent="0.25">
      <c r="A49" s="280" t="s">
        <v>425</v>
      </c>
      <c r="B49" s="362"/>
      <c r="C49" s="362"/>
      <c r="D49" s="405"/>
      <c r="E49" s="405"/>
      <c r="F49" s="405"/>
      <c r="G49" s="405"/>
      <c r="K49" s="345"/>
    </row>
    <row r="50" spans="1:11" x14ac:dyDescent="0.2">
      <c r="A50" s="406" t="s">
        <v>365</v>
      </c>
      <c r="B50" s="362"/>
      <c r="C50" s="362"/>
      <c r="D50" s="407"/>
      <c r="E50" s="407"/>
      <c r="F50" s="405"/>
      <c r="G50" s="405"/>
      <c r="K50" s="345"/>
    </row>
    <row r="51" spans="1:11" ht="12.75" thickBot="1" x14ac:dyDescent="0.25">
      <c r="D51" s="408" t="str">
        <f>+D4</f>
        <v xml:space="preserve">    Exercice du :</v>
      </c>
      <c r="E51" s="870" t="str">
        <f>E4</f>
        <v>01/01/2015</v>
      </c>
      <c r="F51" s="870" t="str">
        <f>F4</f>
        <v>31/12/2015</v>
      </c>
      <c r="K51" s="345"/>
    </row>
    <row r="52" spans="1:11" ht="25.5" customHeight="1" x14ac:dyDescent="0.2">
      <c r="A52" s="369"/>
      <c r="B52" s="372"/>
      <c r="C52" s="904"/>
      <c r="D52" s="915" t="s">
        <v>366</v>
      </c>
      <c r="E52" s="871"/>
      <c r="F52" s="891" t="s">
        <v>250</v>
      </c>
      <c r="G52" s="881" t="s">
        <v>250</v>
      </c>
      <c r="K52" s="345"/>
    </row>
    <row r="53" spans="1:11" s="410" customFormat="1" ht="25.5" customHeight="1" x14ac:dyDescent="0.2">
      <c r="A53" s="872"/>
      <c r="B53" s="375"/>
      <c r="C53" s="878" t="s">
        <v>370</v>
      </c>
      <c r="D53" s="916" t="s">
        <v>426</v>
      </c>
      <c r="E53" s="409" t="s">
        <v>427</v>
      </c>
      <c r="F53" s="873" t="s">
        <v>428</v>
      </c>
      <c r="G53" s="913" t="s">
        <v>428</v>
      </c>
      <c r="K53" s="345"/>
    </row>
    <row r="54" spans="1:11" ht="12" thickBot="1" x14ac:dyDescent="0.25">
      <c r="A54" s="383"/>
      <c r="B54" s="411"/>
      <c r="C54" s="880"/>
      <c r="D54" s="895">
        <v>1</v>
      </c>
      <c r="E54" s="385">
        <v>2</v>
      </c>
      <c r="F54" s="917" t="s">
        <v>429</v>
      </c>
      <c r="G54" s="883" t="s">
        <v>423</v>
      </c>
      <c r="K54" s="345"/>
    </row>
    <row r="55" spans="1:11" ht="12" thickBot="1" x14ac:dyDescent="0.25">
      <c r="A55" s="874"/>
      <c r="B55" s="412" t="s">
        <v>430</v>
      </c>
      <c r="C55" s="905" t="s">
        <v>431</v>
      </c>
      <c r="D55" s="918">
        <f>D43</f>
        <v>0</v>
      </c>
      <c r="E55" s="707">
        <f>E43</f>
        <v>0</v>
      </c>
      <c r="F55" s="812">
        <f>+F43</f>
        <v>0</v>
      </c>
      <c r="G55" s="888">
        <f>+G43</f>
        <v>0</v>
      </c>
      <c r="K55" s="345"/>
    </row>
    <row r="56" spans="1:11" ht="12" thickTop="1" x14ac:dyDescent="0.2">
      <c r="A56" s="383"/>
      <c r="B56" s="413" t="s">
        <v>432</v>
      </c>
      <c r="C56" s="906" t="s">
        <v>433</v>
      </c>
      <c r="D56" s="897">
        <f>SUM(D57:D61)</f>
        <v>0</v>
      </c>
      <c r="E56" s="865">
        <f t="shared" ref="E56:G56" si="4">SUM(E57:E61)</f>
        <v>0</v>
      </c>
      <c r="F56" s="867">
        <f t="shared" si="4"/>
        <v>0</v>
      </c>
      <c r="G56" s="885">
        <f t="shared" si="4"/>
        <v>0</v>
      </c>
      <c r="K56" s="345"/>
    </row>
    <row r="57" spans="1:11" x14ac:dyDescent="0.2">
      <c r="A57" s="386" t="s">
        <v>389</v>
      </c>
      <c r="B57" s="411"/>
      <c r="C57" s="880" t="s">
        <v>434</v>
      </c>
      <c r="D57" s="898">
        <f>SUMIF('Balance N Retraitée'!A:A,"751*",'Balance N Retraitée'!H:H)-SUMIF('Balance N Retraitée'!A:A,"751*",'Balance N Retraitée'!G:G)-E57</f>
        <v>0</v>
      </c>
      <c r="E57" s="810">
        <f>SUMIF('Balance N Retraitée'!A:A,"7518*",'Balance N Retraitée'!H:H)-SUMIF('Balance N Retraitée'!A:A,"7518*",'Balance N Retraitée'!G:G)</f>
        <v>0</v>
      </c>
      <c r="F57" s="811">
        <f>+D57+E57</f>
        <v>0</v>
      </c>
      <c r="G57" s="886">
        <f>SUMIF('Balance N-1 Retraitée'!A:A,"751*",'Balance N-1 Retraitée'!H:H)-SUMIF('Balance N-1 Retraitée'!A:A,"751*",'Balance N-1 Retraitée'!G:G)</f>
        <v>0</v>
      </c>
      <c r="K57" s="345"/>
    </row>
    <row r="58" spans="1:11" x14ac:dyDescent="0.2">
      <c r="A58" s="386" t="s">
        <v>380</v>
      </c>
      <c r="B58" s="411"/>
      <c r="C58" s="907" t="s">
        <v>435</v>
      </c>
      <c r="D58" s="898">
        <f>SUMIF('Balance N Retraitée'!A:A,"756*",'Balance N Retraitée'!H:H)-SUMIF('Balance N Retraitée'!A:A,"756*",'Balance N Retraitée'!G:G)-E58</f>
        <v>0</v>
      </c>
      <c r="E58" s="810">
        <f>SUMIF('Balance N Retraitée'!A:A,"7568*",'Balance N Retraitée'!H:H)-SUMIF('Balance N Retraitée'!A:A,"7568*",'Balance N Retraitée'!G:G)</f>
        <v>0</v>
      </c>
      <c r="F58" s="811">
        <f>+D58+E58</f>
        <v>0</v>
      </c>
      <c r="G58" s="886">
        <f>SUMIF('Balance N-1 Retraitée'!A:A,"756*",'Balance N-1 Retraitée'!H:H)-SUMIF('Balance N-1 Retraitée'!A:A,"756*",'Balance N-1 Retraitée'!G:G)</f>
        <v>0</v>
      </c>
      <c r="K58" s="345"/>
    </row>
    <row r="59" spans="1:11" x14ac:dyDescent="0.2">
      <c r="A59" s="386" t="s">
        <v>389</v>
      </c>
      <c r="B59" s="411"/>
      <c r="C59" s="908" t="s">
        <v>436</v>
      </c>
      <c r="D59" s="898">
        <f>SUMIF('Balance N Retraitée'!A:A,"757*",'Balance N Retraitée'!H:H)-SUMIF('Balance N Retraitée'!A:A,"757*",'Balance N Retraitée'!G:G)-E59</f>
        <v>0</v>
      </c>
      <c r="E59" s="810">
        <f>SUMIF('Balance N Retraitée'!A:A,"7578*",'Balance N Retraitée'!H:H)-SUMIF('Balance N Retraitée'!A:A,"7578*",'Balance N Retraitée'!G:G)</f>
        <v>0</v>
      </c>
      <c r="F59" s="811">
        <f>+D59+E59</f>
        <v>0</v>
      </c>
      <c r="G59" s="886">
        <f>SUMIF('Balance N-1 Retraitée'!A:A,"757*",'Balance N-1 Retraitée'!H:H)-SUMIF('Balance N-1 Retraitée'!A:A,"757*",'Balance N-1 Retraitée'!G:G)</f>
        <v>0</v>
      </c>
      <c r="H59" s="345"/>
      <c r="K59" s="345"/>
    </row>
    <row r="60" spans="1:11" x14ac:dyDescent="0.2">
      <c r="A60" s="386" t="s">
        <v>535</v>
      </c>
      <c r="B60" s="411"/>
      <c r="C60" s="907" t="s">
        <v>437</v>
      </c>
      <c r="D60" s="898">
        <f>SUMIF('Balance N Retraitée'!A:A,"758*",'Balance N Retraitée'!H:H)-SUMIF('Balance N Retraitée'!A:A,"758*",'Balance N Retraitée'!G:G)-E60</f>
        <v>0</v>
      </c>
      <c r="E60" s="810">
        <f>SUMIF('Balance N Retraitée'!A:A,"7588*",'Balance N Retraitée'!H:H)-SUMIF('Balance N Retraitée'!A:A,"7588*",'Balance N Retraitée'!G:G)</f>
        <v>0</v>
      </c>
      <c r="F60" s="811">
        <f>+D60+E60</f>
        <v>0</v>
      </c>
      <c r="G60" s="886">
        <f>SUMIF('Balance N-1 Retraitée'!A:A,"758*",'Balance N-1 Retraitée'!H:H)-SUMIF('Balance N-1 Retraitée'!A:A,"758*",'Balance N-1 Retraitée'!G:G)</f>
        <v>0</v>
      </c>
      <c r="K60" s="345"/>
    </row>
    <row r="61" spans="1:11" ht="12" thickBot="1" x14ac:dyDescent="0.25">
      <c r="A61" s="386" t="s">
        <v>409</v>
      </c>
      <c r="B61" s="411"/>
      <c r="C61" s="909" t="s">
        <v>438</v>
      </c>
      <c r="D61" s="898">
        <f>SUMIF('Balance N Retraitée'!A:A,"759*",'Balance N Retraitée'!H:H)-SUMIF('Balance N Retraitée'!A:A,"759*",'Balance N Retraitée'!G:G)-E61</f>
        <v>0</v>
      </c>
      <c r="E61" s="810">
        <f>SUMIF('Balance N Retraitée'!A:A,"7598*",'Balance N Retraitée'!H:H)-SUMIF('Balance N Retraitée'!A:A,"7598*",'Balance N Retraitée'!G:G)</f>
        <v>0</v>
      </c>
      <c r="F61" s="811">
        <f>+D61+E61</f>
        <v>0</v>
      </c>
      <c r="G61" s="886">
        <f>SUMIF('Balance N-1 Retraitée'!A:A,"759*",'Balance N-1 Retraitée'!H:H)-SUMIF('Balance N-1 Retraitée'!A:A,"759*",'Balance N-1 Retraitée'!G:G)</f>
        <v>0</v>
      </c>
      <c r="K61" s="345"/>
    </row>
    <row r="62" spans="1:11" ht="12.75" thickTop="1" thickBot="1" x14ac:dyDescent="0.25">
      <c r="A62" s="386" t="s">
        <v>380</v>
      </c>
      <c r="B62" s="411"/>
      <c r="C62" s="910" t="s">
        <v>439</v>
      </c>
      <c r="D62" s="902">
        <f>ROUND(SUM(D57:D61),2)</f>
        <v>0</v>
      </c>
      <c r="E62" s="902">
        <f>ROUND(SUM(E57:E61),2)</f>
        <v>0</v>
      </c>
      <c r="F62" s="902">
        <f>ROUND(SUM(F57:F61),2)</f>
        <v>0</v>
      </c>
      <c r="G62" s="902">
        <f>ROUND(SUM(G57:G61),2)</f>
        <v>0</v>
      </c>
      <c r="K62" s="345"/>
    </row>
    <row r="63" spans="1:11" ht="12" thickTop="1" x14ac:dyDescent="0.2">
      <c r="A63" s="386" t="s">
        <v>934</v>
      </c>
      <c r="B63" s="414" t="s">
        <v>440</v>
      </c>
      <c r="C63" s="14" t="s">
        <v>441</v>
      </c>
      <c r="D63" s="903">
        <f>SUM(D64:D67)</f>
        <v>0</v>
      </c>
      <c r="E63" s="813">
        <f t="shared" ref="E63:G63" si="5">SUM(E64:E67)</f>
        <v>0</v>
      </c>
      <c r="F63" s="869">
        <f t="shared" si="5"/>
        <v>0</v>
      </c>
      <c r="G63" s="889">
        <f t="shared" si="5"/>
        <v>0</v>
      </c>
      <c r="K63" s="345"/>
    </row>
    <row r="64" spans="1:11" x14ac:dyDescent="0.2">
      <c r="A64" s="386" t="s">
        <v>413</v>
      </c>
      <c r="B64" s="411"/>
      <c r="C64" s="344" t="s">
        <v>442</v>
      </c>
      <c r="D64" s="898">
        <f>SUMIF('Balance N Retraitée'!A:A,"651*",'Balance N Retraitée'!G:G)-SUMIF('Balance N Retraitée'!A:A,"651*",'Balance N Retraitée'!H:H)-E64</f>
        <v>0</v>
      </c>
      <c r="E64" s="810">
        <f>SUMIF('Balance N Retraitée'!A:A,"6518*",'Balance N Retraitée'!G:G)-SUMIF('Balance N Retraitée'!A:A,"6518*",'Balance N Retraitée'!H:H)</f>
        <v>0</v>
      </c>
      <c r="F64" s="811">
        <f>+D64+E64</f>
        <v>0</v>
      </c>
      <c r="G64" s="886">
        <f>SUMIF('Balance N-1 Retraitée'!A:A,"651*",'Balance N-1 Retraitée'!G:G)-SUMIF('Balance N-1 Retraitée'!A:A,"651*",'Balance N-1 Retraitée'!H:H)</f>
        <v>0</v>
      </c>
      <c r="K64" s="345"/>
    </row>
    <row r="65" spans="1:11" x14ac:dyDescent="0.2">
      <c r="A65" s="383" t="s">
        <v>383</v>
      </c>
      <c r="B65" s="411"/>
      <c r="C65" s="391" t="s">
        <v>443</v>
      </c>
      <c r="D65" s="898">
        <f>SUMIF('Balance N Retraitée'!A:A,"656*",'Balance N Retraitée'!G:G)-SUMIF('Balance N Retraitée'!A:A,"656*",'Balance N Retraitée'!H:H)-E65</f>
        <v>0</v>
      </c>
      <c r="E65" s="810">
        <f>SUMIF('Balance N Retraitée'!A:A,"6568*",'Balance N Retraitée'!G:G)-SUMIF('Balance N Retraitée'!A:A,"6568*",'Balance N Retraitée'!H:H)</f>
        <v>0</v>
      </c>
      <c r="F65" s="811">
        <f>+D65+E65</f>
        <v>0</v>
      </c>
      <c r="G65" s="914">
        <f>SUMIF('Balance N-1 Retraitée'!A:A,"656*",'Balance N-1 Retraitée'!G:G)-SUMIF('Balance N-1 Retraitée'!A:A,"656*",'Balance N-1 Retraitée'!H:H)</f>
        <v>0</v>
      </c>
      <c r="K65" s="345"/>
    </row>
    <row r="66" spans="1:11" x14ac:dyDescent="0.2">
      <c r="A66" s="383" t="s">
        <v>389</v>
      </c>
      <c r="B66" s="411"/>
      <c r="C66" s="391" t="s">
        <v>444</v>
      </c>
      <c r="D66" s="898">
        <f>SUMIF('Balance N Retraitée'!A:A,"658*",'Balance N Retraitée'!G:G)-SUMIF('Balance N Retraitée'!A:A,"658*",'Balance N Retraitée'!H:H)-E66</f>
        <v>0</v>
      </c>
      <c r="E66" s="810">
        <f>+SUMIF('Balance N Retraitée'!A:A,"6588*",'Balance N Retraitée'!G:G)-SUMIF('Balance N Retraitée'!A:A,"6588*",'Balance N Retraitée'!H:H)</f>
        <v>0</v>
      </c>
      <c r="F66" s="811">
        <f>+D66+E66</f>
        <v>0</v>
      </c>
      <c r="G66" s="886">
        <f>SUMIF('Balance N-1 Retraitée'!A:A,"658*",'Balance N-1 Retraitée'!G:G)-SUMIF('Balance N-1 Retraitée'!A:A,"658*",'Balance N-1 Retraitée'!H:H)</f>
        <v>0</v>
      </c>
      <c r="K66" s="345"/>
    </row>
    <row r="67" spans="1:11" ht="12" thickBot="1" x14ac:dyDescent="0.25">
      <c r="A67" s="383" t="s">
        <v>385</v>
      </c>
      <c r="B67" s="411"/>
      <c r="C67" s="908" t="s">
        <v>445</v>
      </c>
      <c r="D67" s="898">
        <f>SUMIF('Balance N Retraitée'!A:A,"659*",'Balance N Retraitée'!G:G)-SUMIF('Balance N Retraitée'!A:A,"659*",'Balance N Retraitée'!H:H)-E67</f>
        <v>0</v>
      </c>
      <c r="E67" s="810">
        <f>SUMIF('Balance N Retraitée'!A:A,"6598*",'Balance N Retraitée'!G:G)-SUMIF('Balance N Retraitée'!A:A,"6598*",'Balance N Retraitée'!H:H)</f>
        <v>0</v>
      </c>
      <c r="F67" s="811">
        <f>+D67+E67</f>
        <v>0</v>
      </c>
      <c r="G67" s="886">
        <f>SUMIF('Balance N-1 Retraitée'!A:A,"659*",'Balance N-1 Retraitée'!G:G)-SUMIF('Balance N-1 Retraitée'!A:A,"659*",'Balance N-1 Retraitée'!H:H)</f>
        <v>0</v>
      </c>
      <c r="K67" s="345"/>
    </row>
    <row r="68" spans="1:11" ht="12.75" thickTop="1" thickBot="1" x14ac:dyDescent="0.25">
      <c r="A68" s="383"/>
      <c r="B68" s="414" t="s">
        <v>250</v>
      </c>
      <c r="C68" s="910" t="s">
        <v>446</v>
      </c>
      <c r="D68" s="902">
        <f>ROUND(SUM(D64:D67),2)</f>
        <v>0</v>
      </c>
      <c r="E68" s="902">
        <f>ROUND(SUM(E64:E67),2)</f>
        <v>0</v>
      </c>
      <c r="F68" s="902">
        <f>ROUND(SUM(F64:F67),2)</f>
        <v>0</v>
      </c>
      <c r="G68" s="902">
        <f>ROUND(SUM(G64:G67),2)</f>
        <v>0</v>
      </c>
      <c r="K68" s="345"/>
    </row>
    <row r="69" spans="1:11" ht="12.75" thickTop="1" thickBot="1" x14ac:dyDescent="0.25">
      <c r="A69" s="396"/>
      <c r="B69" s="414" t="s">
        <v>376</v>
      </c>
      <c r="C69" s="911" t="s">
        <v>447</v>
      </c>
      <c r="D69" s="902">
        <f>+D62-D68</f>
        <v>0</v>
      </c>
      <c r="E69" s="809">
        <f>+E62-E68</f>
        <v>0</v>
      </c>
      <c r="F69" s="812">
        <f>+F62-F68</f>
        <v>0</v>
      </c>
      <c r="G69" s="888">
        <f>+G62-G68</f>
        <v>0</v>
      </c>
      <c r="K69" s="345"/>
    </row>
    <row r="70" spans="1:11" ht="12.75" thickTop="1" thickBot="1" x14ac:dyDescent="0.25">
      <c r="A70" s="875"/>
      <c r="B70" s="414" t="s">
        <v>448</v>
      </c>
      <c r="C70" s="911" t="s">
        <v>449</v>
      </c>
      <c r="D70" s="902">
        <f>+D55+D69</f>
        <v>0</v>
      </c>
      <c r="E70" s="809">
        <f>+E55+E69</f>
        <v>0</v>
      </c>
      <c r="F70" s="812">
        <f>+F55+F69</f>
        <v>0</v>
      </c>
      <c r="G70" s="888">
        <f>+G55+G69</f>
        <v>0</v>
      </c>
      <c r="K70" s="345"/>
    </row>
    <row r="71" spans="1:11" ht="12.75" thickTop="1" thickBot="1" x14ac:dyDescent="0.25">
      <c r="A71" s="383"/>
      <c r="B71" s="414" t="s">
        <v>470</v>
      </c>
      <c r="C71" s="911" t="s">
        <v>471</v>
      </c>
      <c r="D71" s="918">
        <f>SUMIF('Balance N Retraitée'!A:A,"670*",'Balance N Retraitée'!G:G)-SUMIF('Balance N Retraitée'!A:A,"670*",'Balance N Retraitée'!H:H)-E71</f>
        <v>0</v>
      </c>
      <c r="E71" s="707">
        <f>SUMIF('Balance N Retraitée'!A:A,"6708*",'Balance N Retraitée'!G:G)-SUMIF('Balance N Retraitée'!A:A,"6708*",'Balance N Retraitée'!H:H)</f>
        <v>0</v>
      </c>
      <c r="F71" s="811">
        <f>+D71+E71</f>
        <v>0</v>
      </c>
      <c r="G71" s="888">
        <f>SUMIF('Balance N-1 Retraitée'!A:A,"670*",'Balance N-1 Retraitée'!G:G)-SUMIF('Balance N-1 Retraitée'!A:A,"670*",'Balance N-1 Retraitée'!H:H)</f>
        <v>0</v>
      </c>
      <c r="H71" s="345"/>
      <c r="K71" s="345"/>
    </row>
    <row r="72" spans="1:11" ht="12.75" thickTop="1" thickBot="1" x14ac:dyDescent="0.25">
      <c r="A72" s="401"/>
      <c r="B72" s="876" t="s">
        <v>472</v>
      </c>
      <c r="C72" s="912" t="s">
        <v>473</v>
      </c>
      <c r="D72" s="919">
        <f>D70-D71</f>
        <v>0</v>
      </c>
      <c r="E72" s="814">
        <f>E70-E71</f>
        <v>0</v>
      </c>
      <c r="F72" s="812">
        <f>+F70-F71</f>
        <v>0</v>
      </c>
      <c r="G72" s="888">
        <f>+G70-G71</f>
        <v>0</v>
      </c>
      <c r="K72" s="345"/>
    </row>
    <row r="73" spans="1:11" x14ac:dyDescent="0.2">
      <c r="D73" s="403"/>
      <c r="E73" s="403"/>
      <c r="F73" s="389"/>
      <c r="G73" s="389"/>
      <c r="H73" s="345"/>
      <c r="K73" s="345"/>
    </row>
    <row r="74" spans="1:11" ht="12" thickBot="1" x14ac:dyDescent="0.25">
      <c r="C74" s="14"/>
      <c r="D74" s="403"/>
      <c r="E74" s="403"/>
      <c r="F74" s="389"/>
      <c r="G74" s="389"/>
      <c r="K74" s="345"/>
    </row>
    <row r="75" spans="1:11" ht="12" thickBot="1" x14ac:dyDescent="0.25">
      <c r="A75" s="415"/>
      <c r="B75" s="416" t="s">
        <v>474</v>
      </c>
      <c r="C75" s="920" t="s">
        <v>475</v>
      </c>
      <c r="D75" s="922">
        <f>ROUND(D19+D35+D62,2)</f>
        <v>0</v>
      </c>
      <c r="E75" s="922">
        <f>ROUND(E19+E35+E62,2)</f>
        <v>0</v>
      </c>
      <c r="F75" s="922">
        <f>ROUND(F19+F35+F62,2)</f>
        <v>0</v>
      </c>
      <c r="G75" s="922">
        <f>ROUND(G19+G35+G62,2)</f>
        <v>0</v>
      </c>
      <c r="H75" s="498"/>
      <c r="K75" s="345"/>
    </row>
    <row r="76" spans="1:11" ht="12" thickBot="1" x14ac:dyDescent="0.25">
      <c r="A76" s="401"/>
      <c r="B76" s="417" t="s">
        <v>476</v>
      </c>
      <c r="C76" s="912" t="s">
        <v>477</v>
      </c>
      <c r="D76" s="919">
        <f>ROUND(D28+D41+D68+D71,2)</f>
        <v>0</v>
      </c>
      <c r="E76" s="919">
        <f>ROUND(E28+E41+E68+E71,2)</f>
        <v>0</v>
      </c>
      <c r="F76" s="919">
        <f>ROUND(F28+F41+F68+F71,2)</f>
        <v>0</v>
      </c>
      <c r="G76" s="919">
        <f>ROUND(G28+G41+G68+G71,2)</f>
        <v>0</v>
      </c>
      <c r="H76" s="498"/>
      <c r="K76" s="345"/>
    </row>
    <row r="77" spans="1:11" ht="12" thickBot="1" x14ac:dyDescent="0.25">
      <c r="A77" s="401"/>
      <c r="B77" s="417" t="s">
        <v>478</v>
      </c>
      <c r="C77" s="921" t="s">
        <v>480</v>
      </c>
      <c r="D77" s="919">
        <f>ROUND(D75-D76,2)</f>
        <v>0</v>
      </c>
      <c r="E77" s="919">
        <f>ROUND(E75-E76,2)</f>
        <v>0</v>
      </c>
      <c r="F77" s="919">
        <f>ROUND(F75-F76,2)</f>
        <v>0</v>
      </c>
      <c r="G77" s="919">
        <f>ROUND(G75-G76,2)</f>
        <v>0</v>
      </c>
      <c r="H77" s="498"/>
      <c r="K77" s="345"/>
    </row>
    <row r="78" spans="1:11" x14ac:dyDescent="0.2">
      <c r="F78" s="345"/>
    </row>
    <row r="80" spans="1:11" x14ac:dyDescent="0.2">
      <c r="F80" s="345"/>
      <c r="G80" s="345"/>
    </row>
    <row r="83" spans="6:6" x14ac:dyDescent="0.2">
      <c r="F83" s="345"/>
    </row>
    <row r="84" spans="6:6" x14ac:dyDescent="0.2">
      <c r="F84" s="345"/>
    </row>
  </sheetData>
  <phoneticPr fontId="0" type="noConversion"/>
  <pageMargins left="0.78740157499999996" right="0.78740157499999996" top="0.984251969" bottom="0.984251969" header="0.4921259845" footer="0.4921259845"/>
  <pageSetup paperSize="9" scale="75" orientation="portrait" horizontalDpi="300" verticalDpi="300" r:id="rId1"/>
  <headerFooter alignWithMargins="0">
    <oddHeader>&amp;L&amp;"Times New Roman,Gras italique"&amp;12Sté : ...............................</oddHeader>
  </headerFooter>
  <rowBreaks count="1" manualBreakCount="1">
    <brk id="46" max="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rgb="FFFFFF00"/>
  </sheetPr>
  <dimension ref="A1:H60"/>
  <sheetViews>
    <sheetView topLeftCell="A15" workbookViewId="0">
      <selection activeCell="E27" sqref="E27"/>
    </sheetView>
  </sheetViews>
  <sheetFormatPr baseColWidth="10" defaultColWidth="13.33203125" defaultRowHeight="12" x14ac:dyDescent="0.2"/>
  <cols>
    <col min="1" max="1" width="59.6640625" style="186" customWidth="1"/>
    <col min="2" max="2" width="18.33203125" style="186" customWidth="1"/>
    <col min="3" max="3" width="22.33203125" style="186" customWidth="1"/>
    <col min="4" max="4" width="16.1640625" style="186" customWidth="1"/>
    <col min="5" max="5" width="16.33203125" style="186" bestFit="1" customWidth="1"/>
    <col min="6" max="6" width="17.33203125" style="186" customWidth="1"/>
    <col min="7" max="7" width="19.1640625" style="186" bestFit="1" customWidth="1"/>
    <col min="8" max="8" width="14.6640625" style="186" bestFit="1" customWidth="1"/>
    <col min="9" max="16384" width="13.33203125" style="186"/>
  </cols>
  <sheetData>
    <row r="1" spans="1:4" ht="13.5" x14ac:dyDescent="0.25">
      <c r="A1" s="608" t="s">
        <v>943</v>
      </c>
      <c r="C1" s="835" t="s">
        <v>956</v>
      </c>
    </row>
    <row r="2" spans="1:4" ht="12.75" x14ac:dyDescent="0.2">
      <c r="A2" s="68"/>
      <c r="B2" s="187"/>
      <c r="C2" s="187"/>
      <c r="D2" s="187"/>
    </row>
    <row r="3" spans="1:4" s="190" customFormat="1" ht="15" x14ac:dyDescent="0.25">
      <c r="A3" s="188" t="s">
        <v>481</v>
      </c>
      <c r="B3" s="189"/>
      <c r="C3" s="189"/>
      <c r="D3" s="189"/>
    </row>
    <row r="4" spans="1:4" s="190" customFormat="1" ht="15" x14ac:dyDescent="0.25">
      <c r="A4" s="188"/>
      <c r="B4" s="189"/>
      <c r="C4" s="189"/>
      <c r="D4" s="189"/>
    </row>
    <row r="5" spans="1:4" x14ac:dyDescent="0.2">
      <c r="A5" s="191" t="s">
        <v>502</v>
      </c>
      <c r="B5" s="192" t="str">
        <f>'T2 CPC'!F4</f>
        <v>31/12/2015</v>
      </c>
    </row>
    <row r="6" spans="1:4" x14ac:dyDescent="0.2">
      <c r="A6" s="193" t="s">
        <v>482</v>
      </c>
      <c r="B6" s="194" t="s">
        <v>483</v>
      </c>
      <c r="C6" s="194" t="s">
        <v>483</v>
      </c>
    </row>
    <row r="7" spans="1:4" ht="12.75" x14ac:dyDescent="0.2">
      <c r="A7" s="146" t="s">
        <v>484</v>
      </c>
      <c r="B7" s="735"/>
      <c r="C7" s="736"/>
    </row>
    <row r="8" spans="1:4" x14ac:dyDescent="0.2">
      <c r="A8" s="195" t="s">
        <v>103</v>
      </c>
      <c r="B8" s="196">
        <f>IF('T2 CPC'!F72&gt;0,'T2 CPC'!F72,0)</f>
        <v>0</v>
      </c>
      <c r="C8" s="573"/>
      <c r="D8" s="197"/>
    </row>
    <row r="9" spans="1:4" x14ac:dyDescent="0.2">
      <c r="A9" s="195" t="s">
        <v>104</v>
      </c>
      <c r="B9" s="198"/>
      <c r="C9" s="668">
        <f>IF('T2 CPC'!F72&lt;0,-'T2 CPC'!F72,0)</f>
        <v>0</v>
      </c>
    </row>
    <row r="10" spans="1:4" ht="12.75" x14ac:dyDescent="0.2">
      <c r="A10" s="146" t="s">
        <v>485</v>
      </c>
      <c r="B10" s="199"/>
      <c r="C10" s="737"/>
    </row>
    <row r="11" spans="1:4" ht="12.75" x14ac:dyDescent="0.2">
      <c r="A11" s="195" t="s">
        <v>486</v>
      </c>
      <c r="B11" s="196">
        <f>SUM(B12:B13)</f>
        <v>0</v>
      </c>
      <c r="C11" s="738"/>
    </row>
    <row r="12" spans="1:4" x14ac:dyDescent="0.2">
      <c r="A12" s="200"/>
      <c r="B12" s="667"/>
      <c r="C12" s="204">
        <v>0</v>
      </c>
    </row>
    <row r="13" spans="1:4" x14ac:dyDescent="0.2">
      <c r="A13" s="201"/>
      <c r="B13" s="667"/>
      <c r="C13" s="204">
        <v>0</v>
      </c>
    </row>
    <row r="14" spans="1:4" x14ac:dyDescent="0.2">
      <c r="A14" s="201" t="s">
        <v>2589</v>
      </c>
      <c r="B14" s="953">
        <v>0</v>
      </c>
      <c r="C14" s="204">
        <v>0</v>
      </c>
    </row>
    <row r="15" spans="1:4" x14ac:dyDescent="0.2">
      <c r="A15" s="201" t="s">
        <v>2589</v>
      </c>
      <c r="B15" s="953">
        <v>0</v>
      </c>
      <c r="C15" s="204">
        <v>0</v>
      </c>
    </row>
    <row r="16" spans="1:4" x14ac:dyDescent="0.2">
      <c r="A16" s="201" t="s">
        <v>2589</v>
      </c>
      <c r="B16" s="953">
        <v>0</v>
      </c>
      <c r="C16" s="204">
        <v>0</v>
      </c>
    </row>
    <row r="17" spans="1:3" ht="12.75" x14ac:dyDescent="0.2">
      <c r="A17" s="201" t="s">
        <v>2589</v>
      </c>
      <c r="B17" s="954">
        <v>0</v>
      </c>
      <c r="C17" s="204">
        <v>0</v>
      </c>
    </row>
    <row r="18" spans="1:3" ht="12.75" x14ac:dyDescent="0.2">
      <c r="A18" s="201" t="s">
        <v>488</v>
      </c>
      <c r="B18" s="196">
        <f>SUM(B19:B24)</f>
        <v>0</v>
      </c>
      <c r="C18" s="738"/>
    </row>
    <row r="19" spans="1:3" x14ac:dyDescent="0.2">
      <c r="A19" s="201" t="s">
        <v>2583</v>
      </c>
      <c r="B19" s="198">
        <f>+Cellule_11418</f>
        <v>0</v>
      </c>
      <c r="C19" s="737">
        <v>0</v>
      </c>
    </row>
    <row r="20" spans="1:3" x14ac:dyDescent="0.2">
      <c r="A20" s="201" t="s">
        <v>2584</v>
      </c>
      <c r="B20" s="667"/>
      <c r="C20" s="737">
        <v>0</v>
      </c>
    </row>
    <row r="21" spans="1:3" x14ac:dyDescent="0.2">
      <c r="A21" s="201" t="s">
        <v>2585</v>
      </c>
      <c r="B21" s="667"/>
      <c r="C21" s="737">
        <v>0</v>
      </c>
    </row>
    <row r="22" spans="1:3" x14ac:dyDescent="0.2">
      <c r="A22" s="201" t="s">
        <v>2589</v>
      </c>
      <c r="B22" s="953">
        <v>0</v>
      </c>
      <c r="C22" s="737">
        <v>0</v>
      </c>
    </row>
    <row r="23" spans="1:3" x14ac:dyDescent="0.2">
      <c r="A23" s="201" t="s">
        <v>2589</v>
      </c>
      <c r="B23" s="953">
        <v>0</v>
      </c>
      <c r="C23" s="737">
        <v>0</v>
      </c>
    </row>
    <row r="24" spans="1:3" x14ac:dyDescent="0.2">
      <c r="A24" s="201" t="s">
        <v>2589</v>
      </c>
      <c r="B24" s="667">
        <v>0</v>
      </c>
      <c r="C24" s="737">
        <v>0</v>
      </c>
    </row>
    <row r="25" spans="1:3" x14ac:dyDescent="0.2">
      <c r="A25" s="202" t="s">
        <v>489</v>
      </c>
      <c r="B25" s="198"/>
      <c r="C25" s="739"/>
    </row>
    <row r="26" spans="1:3" x14ac:dyDescent="0.2">
      <c r="A26" s="195" t="s">
        <v>486</v>
      </c>
      <c r="B26" s="203"/>
      <c r="C26" s="196">
        <f>SUM(C27:C28)</f>
        <v>0</v>
      </c>
    </row>
    <row r="27" spans="1:3" x14ac:dyDescent="0.2">
      <c r="A27" s="200" t="s">
        <v>2586</v>
      </c>
      <c r="B27" s="203">
        <v>0</v>
      </c>
      <c r="C27" s="204">
        <v>0</v>
      </c>
    </row>
    <row r="28" spans="1:3" x14ac:dyDescent="0.2">
      <c r="A28" s="201" t="s">
        <v>2587</v>
      </c>
      <c r="B28" s="203">
        <v>0</v>
      </c>
      <c r="C28" s="204">
        <v>0</v>
      </c>
    </row>
    <row r="29" spans="1:3" x14ac:dyDescent="0.2">
      <c r="A29" s="201" t="s">
        <v>2589</v>
      </c>
      <c r="B29" s="203">
        <v>0</v>
      </c>
      <c r="C29" s="204">
        <v>0</v>
      </c>
    </row>
    <row r="30" spans="1:3" x14ac:dyDescent="0.2">
      <c r="A30" s="201" t="s">
        <v>2589</v>
      </c>
      <c r="B30" s="203">
        <v>0</v>
      </c>
      <c r="C30" s="204">
        <v>0</v>
      </c>
    </row>
    <row r="31" spans="1:3" x14ac:dyDescent="0.2">
      <c r="A31" s="201" t="s">
        <v>2589</v>
      </c>
      <c r="B31" s="203">
        <v>0</v>
      </c>
      <c r="C31" s="204">
        <v>0</v>
      </c>
    </row>
    <row r="32" spans="1:3" x14ac:dyDescent="0.2">
      <c r="A32" s="201" t="s">
        <v>2589</v>
      </c>
      <c r="B32" s="203">
        <v>0</v>
      </c>
      <c r="C32" s="204">
        <v>0</v>
      </c>
    </row>
    <row r="33" spans="1:8" x14ac:dyDescent="0.2">
      <c r="A33" s="195" t="s">
        <v>488</v>
      </c>
      <c r="B33" s="203"/>
      <c r="C33" s="196"/>
      <c r="D33" s="205"/>
    </row>
    <row r="34" spans="1:8" x14ac:dyDescent="0.2">
      <c r="A34" s="201" t="s">
        <v>2588</v>
      </c>
      <c r="B34" s="198">
        <v>0</v>
      </c>
      <c r="C34" s="204">
        <v>0</v>
      </c>
      <c r="D34" s="205"/>
    </row>
    <row r="35" spans="1:8" x14ac:dyDescent="0.2">
      <c r="A35" s="201" t="s">
        <v>2589</v>
      </c>
      <c r="B35" s="198">
        <v>0</v>
      </c>
      <c r="C35" s="204">
        <v>0</v>
      </c>
      <c r="D35" s="205"/>
    </row>
    <row r="36" spans="1:8" x14ac:dyDescent="0.2">
      <c r="A36" s="201" t="s">
        <v>2589</v>
      </c>
      <c r="B36" s="198">
        <v>0</v>
      </c>
      <c r="C36" s="204">
        <v>0</v>
      </c>
      <c r="D36" s="205"/>
    </row>
    <row r="37" spans="1:8" x14ac:dyDescent="0.2">
      <c r="A37" s="201" t="s">
        <v>2589</v>
      </c>
      <c r="B37" s="198">
        <v>0</v>
      </c>
      <c r="C37" s="204">
        <v>0</v>
      </c>
      <c r="D37" s="205"/>
    </row>
    <row r="38" spans="1:8" x14ac:dyDescent="0.2">
      <c r="A38" s="201" t="s">
        <v>2589</v>
      </c>
      <c r="B38" s="198">
        <v>0</v>
      </c>
      <c r="C38" s="204">
        <v>0</v>
      </c>
      <c r="D38" s="205"/>
    </row>
    <row r="39" spans="1:8" x14ac:dyDescent="0.2">
      <c r="A39" s="201" t="s">
        <v>2589</v>
      </c>
      <c r="B39" s="198">
        <v>0</v>
      </c>
      <c r="C39" s="204">
        <v>0</v>
      </c>
      <c r="D39" s="205"/>
    </row>
    <row r="40" spans="1:8" x14ac:dyDescent="0.2">
      <c r="A40" s="206" t="s">
        <v>490</v>
      </c>
      <c r="B40" s="196">
        <f>+B18+B11+B8</f>
        <v>0</v>
      </c>
      <c r="C40" s="196">
        <f>+C33+C26+C9</f>
        <v>0</v>
      </c>
      <c r="D40" s="205"/>
    </row>
    <row r="41" spans="1:8" x14ac:dyDescent="0.2">
      <c r="A41" s="146" t="s">
        <v>491</v>
      </c>
      <c r="B41" s="204"/>
      <c r="C41" s="740" t="s">
        <v>492</v>
      </c>
      <c r="D41" s="205"/>
    </row>
    <row r="42" spans="1:8" x14ac:dyDescent="0.2">
      <c r="A42" s="195" t="s">
        <v>493</v>
      </c>
      <c r="B42" s="733">
        <f>IF(B40-C40&gt;=0,B40-C40,0)</f>
        <v>0</v>
      </c>
      <c r="C42" s="733"/>
      <c r="D42" s="205"/>
    </row>
    <row r="43" spans="1:8" x14ac:dyDescent="0.2">
      <c r="A43" s="195" t="s">
        <v>494</v>
      </c>
      <c r="B43" s="204"/>
      <c r="C43" s="733">
        <f>IF(B40-C40&lt;=0,C40-B40,0)</f>
        <v>0</v>
      </c>
      <c r="H43" s="568"/>
    </row>
    <row r="44" spans="1:8" x14ac:dyDescent="0.2">
      <c r="A44" s="202" t="s">
        <v>495</v>
      </c>
      <c r="B44" s="204">
        <f>SUM(B45:B48)</f>
        <v>0</v>
      </c>
      <c r="C44" s="204"/>
    </row>
    <row r="45" spans="1:8" x14ac:dyDescent="0.2">
      <c r="A45" s="195" t="s">
        <v>496</v>
      </c>
      <c r="B45" s="207"/>
      <c r="C45" s="736"/>
      <c r="D45" s="205"/>
      <c r="G45" s="205"/>
      <c r="H45" s="205"/>
    </row>
    <row r="46" spans="1:8" x14ac:dyDescent="0.2">
      <c r="A46" s="195" t="s">
        <v>105</v>
      </c>
      <c r="B46" s="208"/>
      <c r="C46" s="204"/>
      <c r="D46" s="205"/>
    </row>
    <row r="47" spans="1:8" x14ac:dyDescent="0.2">
      <c r="A47" s="195" t="s">
        <v>106</v>
      </c>
      <c r="B47" s="209"/>
      <c r="C47" s="204"/>
      <c r="D47" s="197"/>
    </row>
    <row r="48" spans="1:8" x14ac:dyDescent="0.2">
      <c r="A48" s="195" t="s">
        <v>107</v>
      </c>
      <c r="B48" s="210"/>
      <c r="C48" s="204"/>
      <c r="D48" s="205"/>
    </row>
    <row r="49" spans="1:6" x14ac:dyDescent="0.2">
      <c r="A49" s="146" t="s">
        <v>497</v>
      </c>
      <c r="B49" s="204"/>
      <c r="C49" s="204"/>
    </row>
    <row r="50" spans="1:6" x14ac:dyDescent="0.2">
      <c r="A50" s="195" t="s">
        <v>498</v>
      </c>
      <c r="B50" s="204">
        <f>IF(B42=0,0,B42-B44)</f>
        <v>0</v>
      </c>
      <c r="C50" s="952"/>
      <c r="E50" s="568"/>
      <c r="F50" s="765"/>
    </row>
    <row r="51" spans="1:6" x14ac:dyDescent="0.2">
      <c r="A51" s="211" t="s">
        <v>499</v>
      </c>
      <c r="B51" s="573"/>
      <c r="C51" s="734"/>
    </row>
    <row r="52" spans="1:6" x14ac:dyDescent="0.2">
      <c r="A52" s="202" t="s">
        <v>500</v>
      </c>
      <c r="B52" s="204"/>
      <c r="C52" s="740" t="s">
        <v>492</v>
      </c>
    </row>
    <row r="53" spans="1:6" x14ac:dyDescent="0.2">
      <c r="A53" s="195"/>
      <c r="B53" s="932"/>
      <c r="C53" s="209"/>
    </row>
    <row r="54" spans="1:6" x14ac:dyDescent="0.2">
      <c r="A54" s="146" t="s">
        <v>503</v>
      </c>
      <c r="B54" s="204"/>
      <c r="C54" s="208"/>
    </row>
    <row r="55" spans="1:6" x14ac:dyDescent="0.2">
      <c r="A55" s="195" t="s">
        <v>496</v>
      </c>
      <c r="B55" s="207">
        <v>0</v>
      </c>
      <c r="C55" s="204"/>
    </row>
    <row r="56" spans="1:6" x14ac:dyDescent="0.2">
      <c r="A56" s="195" t="s">
        <v>105</v>
      </c>
      <c r="B56" s="208">
        <v>0</v>
      </c>
      <c r="C56" s="204"/>
    </row>
    <row r="57" spans="1:6" x14ac:dyDescent="0.2">
      <c r="A57" s="195" t="s">
        <v>106</v>
      </c>
      <c r="B57" s="208">
        <v>0</v>
      </c>
      <c r="C57" s="204"/>
    </row>
    <row r="58" spans="1:6" x14ac:dyDescent="0.2">
      <c r="A58" s="195" t="s">
        <v>107</v>
      </c>
      <c r="B58" s="212">
        <v>0</v>
      </c>
      <c r="C58" s="204"/>
    </row>
    <row r="59" spans="1:6" x14ac:dyDescent="0.2">
      <c r="A59" s="213"/>
      <c r="B59" s="573"/>
      <c r="C59" s="573"/>
    </row>
    <row r="60" spans="1:6" x14ac:dyDescent="0.2">
      <c r="A60" s="186" t="s">
        <v>504</v>
      </c>
    </row>
  </sheetData>
  <phoneticPr fontId="28" type="noConversion"/>
  <pageMargins left="0.78740157499999996" right="0.78740157499999996" top="0.984251969" bottom="0.984251969" header="0.4921259845" footer="0.4921259845"/>
  <pageSetup paperSize="9" scale="95" orientation="portrait" horizontalDpi="300" verticalDpi="300" r:id="rId1"/>
  <headerFooter alignWithMargins="0">
    <oddHeader>&amp;L&amp;"Times New Roman,Gras italique"&amp;12Sté :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FF0000"/>
  </sheetPr>
  <dimension ref="A1:K40"/>
  <sheetViews>
    <sheetView zoomScale="90" zoomScaleNormal="90" workbookViewId="0"/>
  </sheetViews>
  <sheetFormatPr baseColWidth="10" defaultColWidth="13.33203125" defaultRowHeight="12" x14ac:dyDescent="0.2"/>
  <cols>
    <col min="1" max="1" width="45.6640625" style="186" customWidth="1"/>
    <col min="2" max="2" width="18" style="186" customWidth="1"/>
    <col min="3" max="3" width="18.6640625" style="186" bestFit="1" customWidth="1"/>
    <col min="4" max="4" width="18.6640625" style="186" customWidth="1"/>
    <col min="5" max="5" width="17.6640625" style="186" bestFit="1" customWidth="1"/>
    <col min="6" max="6" width="17.6640625" style="186" customWidth="1"/>
    <col min="7" max="7" width="15.33203125" style="186" customWidth="1"/>
    <col min="8" max="8" width="17" style="186" customWidth="1"/>
    <col min="9" max="9" width="18.83203125" style="186" bestFit="1" customWidth="1"/>
    <col min="10" max="10" width="19" style="186" customWidth="1"/>
    <col min="11" max="11" width="17.33203125" style="186" bestFit="1" customWidth="1"/>
    <col min="12" max="16384" width="13.33203125" style="186"/>
  </cols>
  <sheetData>
    <row r="1" spans="1:11" ht="13.5" x14ac:dyDescent="0.25">
      <c r="A1" s="608" t="s">
        <v>944</v>
      </c>
      <c r="I1" s="835" t="s">
        <v>957</v>
      </c>
    </row>
    <row r="3" spans="1:11" s="4" customFormat="1" ht="15" customHeight="1" x14ac:dyDescent="0.2">
      <c r="A3" s="66"/>
      <c r="B3" s="9" t="s">
        <v>505</v>
      </c>
      <c r="C3" s="9"/>
      <c r="D3" s="9"/>
      <c r="E3" s="9"/>
      <c r="F3" s="9"/>
      <c r="G3" s="9"/>
      <c r="H3" s="9"/>
      <c r="I3" s="9"/>
    </row>
    <row r="4" spans="1:11" x14ac:dyDescent="0.2">
      <c r="A4" s="143"/>
      <c r="B4" s="143"/>
      <c r="C4" s="143"/>
      <c r="D4" s="143"/>
      <c r="E4" s="143"/>
      <c r="F4" s="143"/>
      <c r="G4" s="143"/>
      <c r="H4" s="143"/>
      <c r="I4" s="143"/>
    </row>
    <row r="5" spans="1:11" x14ac:dyDescent="0.2">
      <c r="F5" s="264"/>
      <c r="G5" s="72" t="s">
        <v>19</v>
      </c>
      <c r="H5" s="265"/>
      <c r="I5" s="284" t="str">
        <f>Couverture!E15</f>
        <v>31/12/2015</v>
      </c>
    </row>
    <row r="6" spans="1:11" s="72" customFormat="1" ht="11.25" x14ac:dyDescent="0.2">
      <c r="A6" s="266"/>
      <c r="B6" s="267" t="s">
        <v>506</v>
      </c>
      <c r="C6" s="268" t="s">
        <v>507</v>
      </c>
      <c r="D6" s="268"/>
      <c r="E6" s="269"/>
      <c r="F6" s="270" t="s">
        <v>508</v>
      </c>
      <c r="G6" s="268"/>
      <c r="H6" s="269"/>
      <c r="I6" s="266" t="s">
        <v>509</v>
      </c>
      <c r="J6" s="575" t="s">
        <v>7</v>
      </c>
      <c r="K6" s="575"/>
    </row>
    <row r="7" spans="1:11" s="72" customFormat="1" ht="11.25" x14ac:dyDescent="0.2">
      <c r="A7" s="271" t="s">
        <v>370</v>
      </c>
      <c r="B7" s="272"/>
      <c r="C7" s="273"/>
      <c r="D7" s="274" t="s">
        <v>510</v>
      </c>
      <c r="E7" s="272"/>
      <c r="F7" s="272"/>
      <c r="G7" s="272"/>
      <c r="H7" s="272"/>
      <c r="I7" s="271" t="s">
        <v>511</v>
      </c>
    </row>
    <row r="8" spans="1:11" s="72" customFormat="1" ht="11.25" x14ac:dyDescent="0.2">
      <c r="A8" s="271"/>
      <c r="B8" s="272" t="s">
        <v>512</v>
      </c>
      <c r="C8" s="272" t="s">
        <v>513</v>
      </c>
      <c r="D8" s="275" t="s">
        <v>514</v>
      </c>
      <c r="E8" s="276" t="s">
        <v>515</v>
      </c>
      <c r="F8" s="276" t="s">
        <v>516</v>
      </c>
      <c r="G8" s="276" t="s">
        <v>517</v>
      </c>
      <c r="H8" s="276" t="s">
        <v>515</v>
      </c>
      <c r="I8" s="277" t="s">
        <v>518</v>
      </c>
    </row>
    <row r="9" spans="1:11" s="143" customFormat="1" x14ac:dyDescent="0.2">
      <c r="A9" s="709" t="s">
        <v>519</v>
      </c>
      <c r="B9" s="685">
        <f t="shared" ref="B9:J9" si="0">SUM(B10:B12)</f>
        <v>0</v>
      </c>
      <c r="C9" s="685">
        <f t="shared" si="0"/>
        <v>0</v>
      </c>
      <c r="D9" s="685">
        <f t="shared" si="0"/>
        <v>0</v>
      </c>
      <c r="E9" s="685">
        <f t="shared" si="0"/>
        <v>0</v>
      </c>
      <c r="F9" s="685">
        <f t="shared" si="0"/>
        <v>0</v>
      </c>
      <c r="G9" s="685">
        <f t="shared" si="0"/>
        <v>0</v>
      </c>
      <c r="H9" s="685">
        <f t="shared" si="0"/>
        <v>0</v>
      </c>
      <c r="I9" s="685">
        <f t="shared" si="0"/>
        <v>0</v>
      </c>
      <c r="J9" s="570">
        <f t="shared" si="0"/>
        <v>0</v>
      </c>
      <c r="K9" s="574"/>
    </row>
    <row r="10" spans="1:11" x14ac:dyDescent="0.2">
      <c r="A10" s="195" t="s">
        <v>773</v>
      </c>
      <c r="B10" s="198">
        <f>SUMIF('Balance N-1 Retraitée'!A:A,"211*",'Balance N-1 Retraitée'!G:G)-SUMIF('Balance N-1 Retraitée'!A:A,"211*",'Balance N-1 Retraitée'!H:H)</f>
        <v>0</v>
      </c>
      <c r="C10" s="204">
        <f>SUMIF('Balance N Retraitée'!A:A,"211*",'Balance N Retraitée'!E:E)-D10-E10</f>
        <v>0</v>
      </c>
      <c r="D10" s="643">
        <v>0</v>
      </c>
      <c r="E10" s="644">
        <v>0</v>
      </c>
      <c r="F10" s="204">
        <f>+SUMIF('Balance N Retraitée'!A:A,"211*",'Balance N Retraitée'!F:F)-G10-H10</f>
        <v>0</v>
      </c>
      <c r="G10" s="643">
        <v>0</v>
      </c>
      <c r="H10" s="644">
        <v>0</v>
      </c>
      <c r="I10" s="204">
        <f>B10+SUM(C10:E10)-SUM(F10:H10)</f>
        <v>0</v>
      </c>
      <c r="J10" s="571">
        <f>SUMIF('Balance N Retraitée'!A:A,"211*",'Balance N Retraitée'!G:G)-SUMIF('Balance N Retraitée'!A:A,"211*",'Balance N Retraitée'!H:H)-I10</f>
        <v>0</v>
      </c>
      <c r="K10" s="574"/>
    </row>
    <row r="11" spans="1:11" x14ac:dyDescent="0.2">
      <c r="A11" s="201" t="s">
        <v>776</v>
      </c>
      <c r="B11" s="198">
        <f>SUMIF('Balance N-1 Retraitée'!A:A,"212*",'Balance N-1 Retraitée'!G:G)-SUMIF('Balance N-1 Retraitée'!A:A,"212*",'Balance N-1 Retraitée'!H:H)</f>
        <v>0</v>
      </c>
      <c r="C11" s="204">
        <f>SUMIF('Balance N Retraitée'!A:A,"212*",'Balance N Retraitée'!E:E)-D11-E11</f>
        <v>0</v>
      </c>
      <c r="D11" s="643">
        <v>0</v>
      </c>
      <c r="E11" s="644">
        <v>0</v>
      </c>
      <c r="F11" s="204">
        <f>+SUMIF('Balance N Retraitée'!A:A,"212*",'Balance N Retraitée'!F:F)-G11-H11</f>
        <v>0</v>
      </c>
      <c r="G11" s="643">
        <v>0</v>
      </c>
      <c r="H11" s="644">
        <v>0</v>
      </c>
      <c r="I11" s="204">
        <f>B11+SUM(C11:E11)-SUM(F11:H11)</f>
        <v>0</v>
      </c>
      <c r="J11" s="571">
        <f>SUMIF('Balance N Retraitée'!A:A,"212*",'Balance N Retraitée'!G:G)-SUMIF('Balance N Retraitée'!A:A,"212*",'Balance N Retraitée'!H:H)-I11</f>
        <v>0</v>
      </c>
      <c r="K11" s="574"/>
    </row>
    <row r="12" spans="1:11" x14ac:dyDescent="0.2">
      <c r="A12" s="201" t="s">
        <v>26</v>
      </c>
      <c r="B12" s="198">
        <f>SUMIF('Balance N-1 Retraitée'!A:A,"213*",'Balance N-1 Retraitée'!G:G)-SUMIF('Balance N-1 Retraitée'!A:A,"213*",'Balance N-1 Retraitée'!H:H)</f>
        <v>0</v>
      </c>
      <c r="C12" s="204">
        <f>SUMIF('Balance N Retraitée'!A:A,"213*",'Balance N Retraitée'!E:E)-D12-E12</f>
        <v>0</v>
      </c>
      <c r="D12" s="643">
        <v>0</v>
      </c>
      <c r="E12" s="644">
        <v>0</v>
      </c>
      <c r="F12" s="204">
        <f>+SUMIF('Balance N Retraitée'!A:A,"213*",'Balance N Retraitée'!F:F)-G12-H12</f>
        <v>0</v>
      </c>
      <c r="G12" s="643">
        <v>0</v>
      </c>
      <c r="H12" s="644">
        <v>0</v>
      </c>
      <c r="I12" s="204">
        <f>B12+SUM(C12:E12)-SUM(F12:H12)</f>
        <v>0</v>
      </c>
      <c r="J12" s="571">
        <f>SUMIF('Balance N Retraitée'!A:A,"213*",'Balance N Retraitée'!G:G)-SUMIF('Balance N Retraitée'!A:A,"213*",'Balance N Retraitée'!H:H)-I12</f>
        <v>0</v>
      </c>
      <c r="K12" s="574"/>
    </row>
    <row r="13" spans="1:11" x14ac:dyDescent="0.2">
      <c r="A13" s="201"/>
      <c r="B13" s="198">
        <v>0</v>
      </c>
      <c r="C13" s="204">
        <f>SUMIF('Balance N Retraitée'!A:A,"213*",'Balance N Retraitée'!E:E)-D13-E13</f>
        <v>0</v>
      </c>
      <c r="D13" s="643">
        <v>0</v>
      </c>
      <c r="E13" s="643">
        <v>0</v>
      </c>
      <c r="F13" s="204">
        <f>+SUMIF('Balance N Retraitée'!A:A,"213*",'Balance N Retraitée'!F:F)-G13-H13</f>
        <v>0</v>
      </c>
      <c r="G13" s="643">
        <v>0</v>
      </c>
      <c r="H13" s="644">
        <v>0</v>
      </c>
      <c r="I13" s="204">
        <f>B13+SUM(C13:E13)-SUM(F13:H13)</f>
        <v>0</v>
      </c>
      <c r="J13" s="571"/>
      <c r="K13" s="574"/>
    </row>
    <row r="14" spans="1:11" s="143" customFormat="1" x14ac:dyDescent="0.2">
      <c r="A14" s="709" t="s">
        <v>520</v>
      </c>
      <c r="B14" s="685">
        <f t="shared" ref="B14:J14" si="1">SUM(B15:B18)</f>
        <v>0</v>
      </c>
      <c r="C14" s="685">
        <f t="shared" si="1"/>
        <v>0</v>
      </c>
      <c r="D14" s="685">
        <f t="shared" si="1"/>
        <v>0</v>
      </c>
      <c r="E14" s="685">
        <f t="shared" si="1"/>
        <v>0</v>
      </c>
      <c r="F14" s="685">
        <f t="shared" si="1"/>
        <v>0</v>
      </c>
      <c r="G14" s="685">
        <f t="shared" si="1"/>
        <v>0</v>
      </c>
      <c r="H14" s="685">
        <f t="shared" si="1"/>
        <v>0</v>
      </c>
      <c r="I14" s="685">
        <f t="shared" si="1"/>
        <v>0</v>
      </c>
      <c r="J14" s="570">
        <f t="shared" si="1"/>
        <v>0</v>
      </c>
      <c r="K14" s="574"/>
    </row>
    <row r="15" spans="1:11" x14ac:dyDescent="0.2">
      <c r="A15" s="201" t="s">
        <v>521</v>
      </c>
      <c r="B15" s="198">
        <f>SUMIF('Balance N-1 Retraitée'!A:A,"221*",'Balance N-1 Retraitée'!G:G)-SUMIF('Balance N-1 Retraitée'!A:A,"221*",'Balance N-1 Retraitée'!H:H)</f>
        <v>0</v>
      </c>
      <c r="C15" s="204">
        <f>SUMIF('Balance N Retraitée'!A:A,"221*",'Balance N Retraitée'!E:E)-D15-E15</f>
        <v>0</v>
      </c>
      <c r="D15" s="643">
        <v>0</v>
      </c>
      <c r="E15" s="644">
        <v>0</v>
      </c>
      <c r="F15" s="204">
        <f>+SUMIF('Balance N Retraitée'!A:A,"221*",'Balance N Retraitée'!F:F)-G15-H15</f>
        <v>0</v>
      </c>
      <c r="G15" s="643">
        <v>0</v>
      </c>
      <c r="H15" s="644">
        <v>0</v>
      </c>
      <c r="I15" s="204">
        <f t="shared" ref="I15:I27" si="2">B15+SUM(C15:E15)-SUM(F15:H15)</f>
        <v>0</v>
      </c>
      <c r="J15" s="571">
        <f>SUMIF('Balance N Retraitée'!A:A,"221*",'Balance N Retraitée'!G:G)-SUMIF('Balance N Retraitée'!A:A,"221*",'Balance N Retraitée'!H:H)-I15</f>
        <v>0</v>
      </c>
      <c r="K15" s="574"/>
    </row>
    <row r="16" spans="1:11" x14ac:dyDescent="0.2">
      <c r="A16" s="201" t="s">
        <v>522</v>
      </c>
      <c r="B16" s="198">
        <f>SUMIF('Balance N-1 Retraitée'!A:A,"222*",'Balance N-1 Retraitée'!G:G)-SUMIF('Balance N-1 Retraitée'!A:A,"222*",'Balance N-1 Retraitée'!H:H)</f>
        <v>0</v>
      </c>
      <c r="C16" s="204">
        <f>SUMIF('Balance N Retraitée'!A:A,"222*",'Balance N Retraitée'!E:E)-D16-E16</f>
        <v>0</v>
      </c>
      <c r="D16" s="643">
        <v>0</v>
      </c>
      <c r="E16" s="644">
        <v>0</v>
      </c>
      <c r="F16" s="204">
        <f>+SUMIF('Balance N Retraitée'!A:A,"222*",'Balance N Retraitée'!F:F)-G16-H16</f>
        <v>0</v>
      </c>
      <c r="G16" s="643">
        <v>0</v>
      </c>
      <c r="H16" s="644">
        <v>0</v>
      </c>
      <c r="I16" s="204">
        <f t="shared" si="2"/>
        <v>0</v>
      </c>
      <c r="J16" s="571">
        <f>SUMIF('Balance N Retraitée'!A:A,"222*",'Balance N Retraitée'!G:G)-SUMIF('Balance N Retraitée'!A:A,"222*",'Balance N Retraitée'!H:H)-I16</f>
        <v>0</v>
      </c>
      <c r="K16" s="574"/>
    </row>
    <row r="17" spans="1:11" x14ac:dyDescent="0.2">
      <c r="A17" s="195" t="s">
        <v>523</v>
      </c>
      <c r="B17" s="198">
        <f>SUMIF('Balance N-1 Retraitée'!A:A,"223*",'Balance N-1 Retraitée'!G:G)-SUMIF('Balance N-1 Retraitée'!A:A,"223*",'Balance N-1 Retraitée'!H:H)</f>
        <v>0</v>
      </c>
      <c r="C17" s="204">
        <f>SUMIF('Balance N Retraitée'!A:A,"223*",'Balance N Retraitée'!E:E)-D17-E17</f>
        <v>0</v>
      </c>
      <c r="D17" s="643">
        <v>0</v>
      </c>
      <c r="E17" s="644">
        <v>0</v>
      </c>
      <c r="F17" s="204">
        <f>+SUMIF('Balance N Retraitée'!A:A,"223*",'Balance N Retraitée'!F:F)-G17-H17</f>
        <v>0</v>
      </c>
      <c r="G17" s="643">
        <v>0</v>
      </c>
      <c r="H17" s="644">
        <v>0</v>
      </c>
      <c r="I17" s="204">
        <f t="shared" si="2"/>
        <v>0</v>
      </c>
      <c r="J17" s="571">
        <f>SUMIF('Balance N Retraitée'!A:A,"223*",'Balance N Retraitée'!G:G)-SUMIF('Balance N Retraitée'!A:A,"223*",'Balance N Retraitée'!H:H)-I17</f>
        <v>0</v>
      </c>
      <c r="K17" s="574"/>
    </row>
    <row r="18" spans="1:11" x14ac:dyDescent="0.2">
      <c r="A18" s="201" t="s">
        <v>524</v>
      </c>
      <c r="B18" s="204">
        <f>SUMIF('Balance N-1 Retraitée'!A:A,"228*",'Balance N-1 Retraitée'!G:G)-SUMIF('Balance N-1 Retraitée'!A:A,"228*",'Balance N-1 Retraitée'!H:H)</f>
        <v>0</v>
      </c>
      <c r="C18" s="204">
        <f>SUMIF('Balance N Retraitée'!A:A,"228*",'Balance N Retraitée'!E:E)-D18-E18</f>
        <v>0</v>
      </c>
      <c r="D18" s="643">
        <v>0</v>
      </c>
      <c r="E18" s="644">
        <v>0</v>
      </c>
      <c r="F18" s="204">
        <f>+SUMIF('Balance N Retraitée'!A:A,"228*",'Balance N Retraitée'!F:F)-G18-H18</f>
        <v>0</v>
      </c>
      <c r="G18" s="643">
        <v>0</v>
      </c>
      <c r="H18" s="644">
        <v>0</v>
      </c>
      <c r="I18" s="204">
        <f t="shared" si="2"/>
        <v>0</v>
      </c>
      <c r="J18" s="571">
        <f>SUMIF('Balance N Retraitée'!A:A,"228*",'Balance N Retraitée'!G:G)-SUMIF('Balance N Retraitée'!A:A,"228*",'Balance N Retraitée'!H:H)-I18</f>
        <v>0</v>
      </c>
      <c r="K18" s="574"/>
    </row>
    <row r="19" spans="1:11" x14ac:dyDescent="0.2">
      <c r="A19" s="195"/>
      <c r="B19" s="198"/>
      <c r="C19" s="204"/>
      <c r="D19" s="643"/>
      <c r="E19" s="644"/>
      <c r="F19" s="204"/>
      <c r="G19" s="643"/>
      <c r="H19" s="644"/>
      <c r="I19" s="204"/>
      <c r="J19" s="571"/>
      <c r="K19" s="574"/>
    </row>
    <row r="20" spans="1:11" s="143" customFormat="1" x14ac:dyDescent="0.2">
      <c r="A20" s="709" t="s">
        <v>525</v>
      </c>
      <c r="B20" s="685">
        <f>SUM(B21:B28)</f>
        <v>0</v>
      </c>
      <c r="C20" s="685">
        <f t="shared" ref="C20:I20" si="3">SUM(C21:C28)</f>
        <v>0</v>
      </c>
      <c r="D20" s="685">
        <f t="shared" si="3"/>
        <v>0</v>
      </c>
      <c r="E20" s="685">
        <f t="shared" si="3"/>
        <v>0</v>
      </c>
      <c r="F20" s="685">
        <f t="shared" si="3"/>
        <v>0</v>
      </c>
      <c r="G20" s="685">
        <f>SUM(G21:G28)</f>
        <v>0</v>
      </c>
      <c r="H20" s="685">
        <f t="shared" si="3"/>
        <v>0</v>
      </c>
      <c r="I20" s="685">
        <f t="shared" si="3"/>
        <v>0</v>
      </c>
      <c r="J20" s="570">
        <f>SUM(J21:J28)</f>
        <v>0</v>
      </c>
      <c r="K20" s="574"/>
    </row>
    <row r="21" spans="1:11" x14ac:dyDescent="0.2">
      <c r="A21" s="195" t="s">
        <v>526</v>
      </c>
      <c r="B21" s="198">
        <f>SUMIF('Balance N-1 Retraitée'!A:A,"231*",'Balance N-1 Retraitée'!G:G)-SUMIF('Balance N-1 Retraitée'!A:A,"231*",'Balance N-1 Retraitée'!H:H)</f>
        <v>0</v>
      </c>
      <c r="C21" s="204">
        <f>SUMIF('Balance N Retraitée'!A:A,"231*",'Balance N Retraitée'!E:E)-D21-E21</f>
        <v>0</v>
      </c>
      <c r="D21" s="643">
        <v>0</v>
      </c>
      <c r="E21" s="644">
        <v>0</v>
      </c>
      <c r="F21" s="204">
        <f>+SUMIF('Balance N Retraitée'!A:A,"231*",'Balance N Retraitée'!F:F)-G21-H21</f>
        <v>0</v>
      </c>
      <c r="G21" s="643">
        <v>0</v>
      </c>
      <c r="H21" s="643">
        <v>0</v>
      </c>
      <c r="I21" s="198">
        <f t="shared" si="2"/>
        <v>0</v>
      </c>
      <c r="J21" s="571">
        <f>SUMIF('Balance N Retraitée'!A:A,"231*",'Balance N Retraitée'!G:G)-SUMIF('Balance N Retraitée'!A:A,"231*",'Balance N Retraitée'!H:H)-I21</f>
        <v>0</v>
      </c>
      <c r="K21" s="574"/>
    </row>
    <row r="22" spans="1:11" x14ac:dyDescent="0.2">
      <c r="A22" s="195" t="s">
        <v>782</v>
      </c>
      <c r="B22" s="204">
        <f>SUMIF('Balance N-1 Retraitée'!A:A,"232*",'Balance N-1 Retraitée'!G:G)-SUMIF('Balance N-1 Retraitée'!A:A,"232*",'Balance N-1 Retraitée'!H:H)</f>
        <v>0</v>
      </c>
      <c r="C22" s="204">
        <f>SUMIF('Balance N Retraitée'!A:A,"232*",'Balance N Retraitée'!E:E)-D22-E22</f>
        <v>0</v>
      </c>
      <c r="D22" s="643">
        <v>0</v>
      </c>
      <c r="E22" s="644">
        <v>0</v>
      </c>
      <c r="F22" s="204">
        <f>+SUMIF('Balance N Retraitée'!A:A,"232*",'Balance N Retraitée'!F:F)-G22-H22</f>
        <v>0</v>
      </c>
      <c r="G22" s="643">
        <v>0</v>
      </c>
      <c r="H22" s="643">
        <v>0</v>
      </c>
      <c r="I22" s="198">
        <f t="shared" si="2"/>
        <v>0</v>
      </c>
      <c r="J22" s="571">
        <f>SUMIF('Balance N Retraitée'!A:A,"232*",'Balance N Retraitée'!G:G)-SUMIF('Balance N Retraitée'!A:A,"232*",'Balance N Retraitée'!H:H)-I22</f>
        <v>0</v>
      </c>
      <c r="K22" s="574"/>
    </row>
    <row r="23" spans="1:11" x14ac:dyDescent="0.2">
      <c r="A23" s="201" t="s">
        <v>27</v>
      </c>
      <c r="B23" s="204">
        <f>SUMIF('Balance N-1 Retraitée'!A:A,"233*",'Balance N-1 Retraitée'!G:G)-SUMIF('Balance N-1 Retraitée'!A:A,"233*",'Balance N-1 Retraitée'!H:H)</f>
        <v>0</v>
      </c>
      <c r="C23" s="204">
        <f>SUMIF('Balance N Retraitée'!A:A,"233*",'Balance N Retraitée'!E:E)-D23-E23</f>
        <v>0</v>
      </c>
      <c r="D23" s="643">
        <v>0</v>
      </c>
      <c r="E23" s="644">
        <v>0</v>
      </c>
      <c r="F23" s="204">
        <f>+SUMIF('Balance N Retraitée'!A:A,"233*",'Balance N Retraitée'!F:F)-G23-H23</f>
        <v>0</v>
      </c>
      <c r="G23" s="643">
        <v>0</v>
      </c>
      <c r="H23" s="643">
        <v>0</v>
      </c>
      <c r="I23" s="198">
        <f t="shared" si="2"/>
        <v>0</v>
      </c>
      <c r="J23" s="571">
        <f>SUMIF('Balance N Retraitée'!A:A,"233*",'Balance N Retraitée'!G:G)-SUMIF('Balance N Retraitée'!A:A,"233*",'Balance N Retraitée'!H:H)-I23</f>
        <v>0</v>
      </c>
      <c r="K23" s="574"/>
    </row>
    <row r="24" spans="1:11" x14ac:dyDescent="0.2">
      <c r="A24" s="201" t="s">
        <v>527</v>
      </c>
      <c r="B24" s="204">
        <f>SUMIF('Balance N-1 Retraitée'!A:A,"234*",'Balance N-1 Retraitée'!G:G)-SUMIF('Balance N-1 Retraitée'!A:A,"234*",'Balance N-1 Retraitée'!H:H)</f>
        <v>0</v>
      </c>
      <c r="C24" s="204">
        <f>SUMIF('Balance N Retraitée'!A:A,"234*",'Balance N Retraitée'!E:E)-D24-E24</f>
        <v>0</v>
      </c>
      <c r="D24" s="643">
        <v>0</v>
      </c>
      <c r="E24" s="644">
        <v>0</v>
      </c>
      <c r="F24" s="204">
        <f>SUMIF('Balance N Retraitée'!A:A,"234*",'Balance N Retraitée'!F:F)-G24-H24</f>
        <v>0</v>
      </c>
      <c r="G24" s="643">
        <v>0</v>
      </c>
      <c r="H24" s="643">
        <v>0</v>
      </c>
      <c r="I24" s="198">
        <f t="shared" si="2"/>
        <v>0</v>
      </c>
      <c r="J24" s="571">
        <f>SUMIF('Balance N Retraitée'!A:A,"234*",'Balance N Retraitée'!G:G)-SUMIF('Balance N Retraitée'!A:A,"234*",'Balance N Retraitée'!H:H)-I24</f>
        <v>0</v>
      </c>
      <c r="K24" s="574"/>
    </row>
    <row r="25" spans="1:11" x14ac:dyDescent="0.2">
      <c r="A25" s="201" t="s">
        <v>528</v>
      </c>
      <c r="B25" s="204">
        <f>SUMIF('Balance N-1 Retraitée'!A:A,"235*",'Balance N-1 Retraitée'!G:G)-SUMIF('Balance N-1 Retraitée'!A:A,"235*",'Balance N-1 Retraitée'!H:H)</f>
        <v>0</v>
      </c>
      <c r="C25" s="204">
        <f>SUMIF('Balance N Retraitée'!A:A,"235*",'Balance N Retraitée'!E:E)-D25-E25</f>
        <v>0</v>
      </c>
      <c r="D25" s="643">
        <v>0</v>
      </c>
      <c r="E25" s="644">
        <v>0</v>
      </c>
      <c r="F25" s="204">
        <f>SUMIF('Balance N Retraitée'!A:A,"235*",'Balance N Retraitée'!F:F)-G25-H25</f>
        <v>0</v>
      </c>
      <c r="G25" s="643">
        <v>0</v>
      </c>
      <c r="H25" s="643">
        <v>0</v>
      </c>
      <c r="I25" s="198">
        <f t="shared" si="2"/>
        <v>0</v>
      </c>
      <c r="J25" s="571">
        <f>SUMIF('Balance N Retraitée'!A:A,"235*",'Balance N Retraitée'!G:G)-SUMIF('Balance N Retraitée'!A:A,"235*",'Balance N Retraitée'!H:H)-I25</f>
        <v>0</v>
      </c>
      <c r="K25" s="574"/>
    </row>
    <row r="26" spans="1:11" x14ac:dyDescent="0.2">
      <c r="A26" s="201" t="s">
        <v>28</v>
      </c>
      <c r="B26" s="204">
        <f>SUMIF('Balance N-1 Retraitée'!A:A,"238*",'Balance N-1 Retraitée'!G:G)-SUMIF('Balance N-1 Retraitée'!A:A,"238*",'Balance N-1 Retraitée'!H:H)</f>
        <v>0</v>
      </c>
      <c r="C26" s="204">
        <f>SUMIF('Balance N Retraitée'!A:A,"238*",'Balance N Retraitée'!E:E)-D26-E26</f>
        <v>0</v>
      </c>
      <c r="D26" s="643">
        <v>0</v>
      </c>
      <c r="E26" s="644">
        <v>0</v>
      </c>
      <c r="F26" s="204">
        <f>SUMIF('Balance N Retraitée'!A:A,"238*",'Balance N Retraitée'!F:F)-G26-H26</f>
        <v>0</v>
      </c>
      <c r="G26" s="643">
        <v>0</v>
      </c>
      <c r="H26" s="643">
        <v>0</v>
      </c>
      <c r="I26" s="198">
        <f t="shared" si="2"/>
        <v>0</v>
      </c>
      <c r="J26" s="571">
        <f>SUMIF('Balance N Retraitée'!A:A,"238*",'Balance N Retraitée'!G:G)-SUMIF('Balance N Retraitée'!A:A,"238*",'Balance N Retraitée'!H:H)-I26</f>
        <v>0</v>
      </c>
      <c r="K26" s="574"/>
    </row>
    <row r="27" spans="1:11" x14ac:dyDescent="0.2">
      <c r="A27" s="201" t="s">
        <v>785</v>
      </c>
      <c r="B27" s="204">
        <f>SUMIF('Balance N-1 Retraitée'!A:A,"239*",'Balance N-1 Retraitée'!G:G)-SUMIF('Balance N-1 Retraitée'!A:A,"239*",'Balance N-1 Retraitée'!H:H)</f>
        <v>0</v>
      </c>
      <c r="C27" s="204">
        <f>SUMIF('Balance N Retraitée'!A:A,"239*",'Balance N Retraitée'!E:E)-SUMIF('Balance N Retraitée'!A:A,"239*",'Balance N Retraitée'!H:H)-D27-E27</f>
        <v>0</v>
      </c>
      <c r="D27" s="643">
        <v>0</v>
      </c>
      <c r="E27" s="644">
        <v>0</v>
      </c>
      <c r="F27" s="204">
        <v>0</v>
      </c>
      <c r="G27" s="643">
        <v>0</v>
      </c>
      <c r="H27" s="643">
        <v>0</v>
      </c>
      <c r="I27" s="198">
        <f t="shared" si="2"/>
        <v>0</v>
      </c>
      <c r="J27" s="571">
        <f>SUMIF('Balance N Retraitée'!A:A,"239*",'Balance N Retraitée'!G:G)-SUMIF('Balance N Retraitée'!A:A,"239*",'Balance N Retraitée'!H:H)-I27</f>
        <v>0</v>
      </c>
      <c r="K27" s="574"/>
    </row>
    <row r="28" spans="1:11" ht="12.75" x14ac:dyDescent="0.2">
      <c r="A28" s="211" t="s">
        <v>2540</v>
      </c>
      <c r="B28" s="572"/>
      <c r="C28" s="573"/>
      <c r="D28" s="645">
        <v>0</v>
      </c>
      <c r="E28" s="645">
        <v>0</v>
      </c>
      <c r="F28" s="646">
        <v>0</v>
      </c>
      <c r="G28" s="645">
        <v>0</v>
      </c>
      <c r="H28" s="573">
        <v>0</v>
      </c>
      <c r="I28" s="572"/>
      <c r="J28" s="571"/>
      <c r="K28" s="574"/>
    </row>
    <row r="29" spans="1:11" x14ac:dyDescent="0.2">
      <c r="I29" s="571"/>
    </row>
    <row r="30" spans="1:11" x14ac:dyDescent="0.2">
      <c r="A30" s="838" t="s">
        <v>490</v>
      </c>
      <c r="B30" s="571">
        <f t="shared" ref="B30:J30" si="4">B9+B14+B20</f>
        <v>0</v>
      </c>
      <c r="C30" s="571">
        <f t="shared" si="4"/>
        <v>0</v>
      </c>
      <c r="D30" s="571">
        <f t="shared" si="4"/>
        <v>0</v>
      </c>
      <c r="E30" s="571">
        <f t="shared" si="4"/>
        <v>0</v>
      </c>
      <c r="F30" s="571">
        <f t="shared" si="4"/>
        <v>0</v>
      </c>
      <c r="G30" s="571">
        <f t="shared" si="4"/>
        <v>0</v>
      </c>
      <c r="H30" s="571">
        <f t="shared" si="4"/>
        <v>0</v>
      </c>
      <c r="I30" s="571">
        <f t="shared" si="4"/>
        <v>0</v>
      </c>
      <c r="J30" s="571">
        <f t="shared" si="4"/>
        <v>0</v>
      </c>
    </row>
    <row r="31" spans="1:11" x14ac:dyDescent="0.2">
      <c r="C31" s="205"/>
      <c r="F31" s="568"/>
      <c r="I31" s="571"/>
    </row>
    <row r="32" spans="1:11" x14ac:dyDescent="0.2">
      <c r="I32" s="571"/>
    </row>
    <row r="33" spans="9:9" x14ac:dyDescent="0.2">
      <c r="I33" s="571"/>
    </row>
    <row r="34" spans="9:9" x14ac:dyDescent="0.2">
      <c r="I34" s="571"/>
    </row>
    <row r="35" spans="9:9" x14ac:dyDescent="0.2">
      <c r="I35" s="571"/>
    </row>
    <row r="36" spans="9:9" x14ac:dyDescent="0.2">
      <c r="I36" s="571"/>
    </row>
    <row r="37" spans="9:9" x14ac:dyDescent="0.2">
      <c r="I37" s="571"/>
    </row>
    <row r="38" spans="9:9" x14ac:dyDescent="0.2">
      <c r="I38" s="571"/>
    </row>
    <row r="39" spans="9:9" x14ac:dyDescent="0.2">
      <c r="I39" s="571"/>
    </row>
    <row r="40" spans="9:9" x14ac:dyDescent="0.2">
      <c r="I40" s="571"/>
    </row>
  </sheetData>
  <phoneticPr fontId="28" type="noConversion"/>
  <pageMargins left="0.78740157499999996" right="0.78740157499999996" top="0.984251969" bottom="0.984251969" header="0.4921259845" footer="0.4921259845"/>
  <pageSetup paperSize="9" scale="77" orientation="landscape" horizontalDpi="300" verticalDpi="300" r:id="rId1"/>
  <headerFooter alignWithMargins="0">
    <oddHeader>&amp;L&amp;"Times New Roman,Gras italique"&amp;12Sté : ...............................</oddHeader>
  </headerFooter>
  <ignoredErrors>
    <ignoredError sqref="I14"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8">
    <tabColor rgb="FFFFFF00"/>
  </sheetPr>
  <dimension ref="A1:K52"/>
  <sheetViews>
    <sheetView showGridLines="0" showZeros="0" workbookViewId="0">
      <selection activeCell="G13" sqref="G13"/>
    </sheetView>
  </sheetViews>
  <sheetFormatPr baseColWidth="10" defaultColWidth="12" defaultRowHeight="11.25" x14ac:dyDescent="0.2"/>
  <cols>
    <col min="1" max="1" width="4" style="342" customWidth="1"/>
    <col min="2" max="2" width="4" style="343" customWidth="1"/>
    <col min="3" max="3" width="3.1640625" style="343" customWidth="1"/>
    <col min="4" max="4" width="48.6640625" style="344" customWidth="1"/>
    <col min="5" max="5" width="16.33203125" style="345" customWidth="1"/>
    <col min="6" max="6" width="1.1640625" style="345" customWidth="1"/>
    <col min="7" max="7" width="17.1640625" style="345" customWidth="1"/>
    <col min="8" max="8" width="14.1640625" style="344" bestFit="1" customWidth="1"/>
    <col min="9" max="11" width="12.83203125" style="344" bestFit="1" customWidth="1"/>
    <col min="12" max="12" width="12.1640625" style="344" bestFit="1" customWidth="1"/>
    <col min="13" max="16384" width="12" style="344"/>
  </cols>
  <sheetData>
    <row r="1" spans="1:11" s="20" customFormat="1" ht="12" x14ac:dyDescent="0.2">
      <c r="A1" s="13"/>
      <c r="B1" s="311" t="s">
        <v>529</v>
      </c>
      <c r="E1" s="279"/>
      <c r="F1" s="279"/>
      <c r="G1" s="279"/>
    </row>
    <row r="2" spans="1:11" s="20" customFormat="1" ht="15.75" x14ac:dyDescent="0.25">
      <c r="A2" s="312" t="s">
        <v>530</v>
      </c>
      <c r="B2" s="313"/>
      <c r="C2" s="313"/>
      <c r="D2" s="313"/>
      <c r="E2" s="314"/>
      <c r="F2" s="314"/>
      <c r="G2" s="314"/>
    </row>
    <row r="3" spans="1:11" s="20" customFormat="1" ht="14.25" customHeight="1" x14ac:dyDescent="0.2">
      <c r="A3" s="315" t="s">
        <v>531</v>
      </c>
      <c r="B3" s="289"/>
      <c r="C3" s="289"/>
      <c r="E3" s="283" t="s">
        <v>18</v>
      </c>
      <c r="F3" s="279"/>
      <c r="G3" s="284" t="str">
        <f>Couverture!E15</f>
        <v>31/12/2015</v>
      </c>
    </row>
    <row r="4" spans="1:11" s="24" customFormat="1" ht="12" x14ac:dyDescent="0.2">
      <c r="A4" s="316"/>
      <c r="B4" s="317"/>
      <c r="C4" s="317"/>
      <c r="D4" s="1158" t="s">
        <v>3182</v>
      </c>
      <c r="E4" s="1156" t="s">
        <v>3180</v>
      </c>
      <c r="F4" s="819"/>
      <c r="G4" s="1156" t="s">
        <v>3181</v>
      </c>
    </row>
    <row r="5" spans="1:11" s="24" customFormat="1" ht="12" x14ac:dyDescent="0.2">
      <c r="A5" s="318"/>
      <c r="B5" s="319"/>
      <c r="C5" s="319"/>
      <c r="D5" s="1159"/>
      <c r="E5" s="1157"/>
      <c r="F5" s="819"/>
      <c r="G5" s="1157"/>
    </row>
    <row r="6" spans="1:11" s="20" customFormat="1" ht="14.25" customHeight="1" x14ac:dyDescent="0.2">
      <c r="A6" s="123"/>
      <c r="B6" s="321">
        <v>1</v>
      </c>
      <c r="C6" s="321" t="s">
        <v>533</v>
      </c>
      <c r="D6" s="322" t="s">
        <v>534</v>
      </c>
      <c r="E6" s="1116">
        <f>+'T2 CPC'!F12</f>
        <v>0</v>
      </c>
      <c r="F6" s="1117"/>
      <c r="G6" s="1116">
        <f>+'T2 CPC'!G12</f>
        <v>0</v>
      </c>
      <c r="H6" s="279"/>
      <c r="I6" s="759"/>
    </row>
    <row r="7" spans="1:11" s="20" customFormat="1" ht="14.25" customHeight="1" x14ac:dyDescent="0.2">
      <c r="A7" s="125"/>
      <c r="B7" s="323">
        <v>2</v>
      </c>
      <c r="C7" s="323" t="s">
        <v>535</v>
      </c>
      <c r="D7" s="324" t="s">
        <v>536</v>
      </c>
      <c r="E7" s="1118">
        <f>+'T2 CPC'!F21</f>
        <v>0</v>
      </c>
      <c r="F7" s="1117"/>
      <c r="G7" s="1118">
        <f>+'T2 CPC'!G21</f>
        <v>0</v>
      </c>
    </row>
    <row r="8" spans="1:11" s="3" customFormat="1" ht="14.25" customHeight="1" x14ac:dyDescent="0.2">
      <c r="A8" s="325" t="s">
        <v>274</v>
      </c>
      <c r="B8" s="286"/>
      <c r="C8" s="326" t="s">
        <v>537</v>
      </c>
      <c r="D8" s="1110" t="s">
        <v>538</v>
      </c>
      <c r="E8" s="1114">
        <f>+E6-E7</f>
        <v>0</v>
      </c>
      <c r="F8" s="1119"/>
      <c r="G8" s="1114">
        <f>+G6-G7</f>
        <v>0</v>
      </c>
      <c r="H8" s="279">
        <f>Cellule_1310-Cellule_1335</f>
        <v>0</v>
      </c>
      <c r="I8" s="759"/>
      <c r="J8" s="759"/>
      <c r="K8" s="759"/>
    </row>
    <row r="9" spans="1:11" s="3" customFormat="1" ht="14.25" customHeight="1" x14ac:dyDescent="0.2">
      <c r="A9" s="124" t="s">
        <v>390</v>
      </c>
      <c r="B9" s="327"/>
      <c r="C9" s="328" t="s">
        <v>533</v>
      </c>
      <c r="D9" s="329" t="s">
        <v>3184</v>
      </c>
      <c r="E9" s="1119">
        <f>+E10+E11+E12</f>
        <v>0</v>
      </c>
      <c r="F9" s="1119"/>
      <c r="G9" s="1119">
        <f>+G10+G11+G12</f>
        <v>0</v>
      </c>
      <c r="H9" s="1124" t="e">
        <f>Cellule_1310/Cellule_1309</f>
        <v>#DIV/0!</v>
      </c>
    </row>
    <row r="10" spans="1:11" s="20" customFormat="1" ht="14.25" customHeight="1" x14ac:dyDescent="0.2">
      <c r="A10" s="124"/>
      <c r="B10" s="323">
        <v>3</v>
      </c>
      <c r="C10" s="323"/>
      <c r="D10" s="324" t="s">
        <v>539</v>
      </c>
      <c r="E10" s="1117">
        <f>+'T2 CPC'!F13</f>
        <v>0</v>
      </c>
      <c r="F10" s="1117"/>
      <c r="G10" s="1117">
        <f>+'T2 CPC'!G13</f>
        <v>0</v>
      </c>
    </row>
    <row r="11" spans="1:11" s="20" customFormat="1" ht="14.25" customHeight="1" x14ac:dyDescent="0.2">
      <c r="A11" s="124"/>
      <c r="B11" s="323">
        <v>4</v>
      </c>
      <c r="C11" s="323"/>
      <c r="D11" s="324" t="s">
        <v>540</v>
      </c>
      <c r="E11" s="1117">
        <f>+'T2 CPC'!F14</f>
        <v>0</v>
      </c>
      <c r="F11" s="1117"/>
      <c r="G11" s="1117">
        <f>+'T2 CPC'!G14</f>
        <v>0</v>
      </c>
    </row>
    <row r="12" spans="1:11" s="20" customFormat="1" ht="14.25" customHeight="1" x14ac:dyDescent="0.2">
      <c r="A12" s="125"/>
      <c r="B12" s="323">
        <v>5</v>
      </c>
      <c r="C12" s="323"/>
      <c r="D12" s="330" t="s">
        <v>541</v>
      </c>
      <c r="E12" s="1118">
        <f>+'T2 CPC'!F15</f>
        <v>0</v>
      </c>
      <c r="F12" s="1117"/>
      <c r="G12" s="1118">
        <f>+'T2 CPC'!G15</f>
        <v>0</v>
      </c>
    </row>
    <row r="13" spans="1:11" s="20" customFormat="1" ht="14.25" customHeight="1" x14ac:dyDescent="0.2">
      <c r="A13" s="124" t="s">
        <v>400</v>
      </c>
      <c r="B13" s="331"/>
      <c r="C13" s="332" t="s">
        <v>535</v>
      </c>
      <c r="D13" s="1110" t="s">
        <v>3183</v>
      </c>
      <c r="E13" s="1114">
        <f>(E14+E15)</f>
        <v>0</v>
      </c>
      <c r="F13" s="1117"/>
      <c r="G13" s="1114">
        <f>(G14+G15)</f>
        <v>0</v>
      </c>
    </row>
    <row r="14" spans="1:11" s="20" customFormat="1" ht="14.25" customHeight="1" x14ac:dyDescent="0.2">
      <c r="A14" s="124"/>
      <c r="B14" s="331">
        <v>6</v>
      </c>
      <c r="C14" s="331"/>
      <c r="D14" s="308" t="s">
        <v>542</v>
      </c>
      <c r="E14" s="1117">
        <f>Cellule_11258</f>
        <v>0</v>
      </c>
      <c r="F14" s="1117"/>
      <c r="G14" s="1117">
        <f>+'T2 CPC'!G22</f>
        <v>0</v>
      </c>
      <c r="H14" s="20">
        <f>SUMIF('Balance N-1 Retraitée'!A:A,"713*",'Balance N-1 Retraitée'!H:H)-SUMIF('Balance N-1 Retraitée'!A:A,"713*",'Balance N-1 Retraitée'!G:G)</f>
        <v>0</v>
      </c>
    </row>
    <row r="15" spans="1:11" s="20" customFormat="1" ht="14.25" customHeight="1" x14ac:dyDescent="0.2">
      <c r="A15" s="124"/>
      <c r="B15" s="331">
        <v>7</v>
      </c>
      <c r="C15" s="331"/>
      <c r="D15" s="330" t="s">
        <v>543</v>
      </c>
      <c r="E15" s="1117">
        <f>+'T2 CPC'!F23</f>
        <v>0</v>
      </c>
      <c r="F15" s="1117"/>
      <c r="G15" s="1117">
        <f>+'T2 CPC'!G23</f>
        <v>0</v>
      </c>
      <c r="H15" s="279"/>
      <c r="I15" s="759"/>
    </row>
    <row r="16" spans="1:11" s="20" customFormat="1" ht="14.25" customHeight="1" x14ac:dyDescent="0.2">
      <c r="A16" s="325" t="s">
        <v>402</v>
      </c>
      <c r="B16" s="323"/>
      <c r="C16" s="323" t="s">
        <v>537</v>
      </c>
      <c r="D16" s="1110" t="s">
        <v>544</v>
      </c>
      <c r="E16" s="1114">
        <f>E8+E9-E13</f>
        <v>0</v>
      </c>
      <c r="F16" s="1117"/>
      <c r="G16" s="1114">
        <f>G8+G9-G13</f>
        <v>0</v>
      </c>
      <c r="H16" s="279"/>
      <c r="I16" s="759"/>
      <c r="J16" s="759"/>
      <c r="K16" s="759"/>
    </row>
    <row r="17" spans="1:11" s="20" customFormat="1" ht="14.25" customHeight="1" x14ac:dyDescent="0.2">
      <c r="A17" s="124"/>
      <c r="B17" s="331">
        <v>8</v>
      </c>
      <c r="C17" s="331" t="s">
        <v>533</v>
      </c>
      <c r="D17" s="324" t="s">
        <v>545</v>
      </c>
      <c r="E17" s="1115">
        <f>+'T2 CPC'!F16</f>
        <v>0</v>
      </c>
      <c r="F17" s="1117"/>
      <c r="G17" s="1115">
        <f>+'T2 CPC'!G16</f>
        <v>0</v>
      </c>
    </row>
    <row r="18" spans="1:11" s="20" customFormat="1" ht="14.25" customHeight="1" x14ac:dyDescent="0.2">
      <c r="A18" s="124"/>
      <c r="B18" s="331">
        <v>9</v>
      </c>
      <c r="C18" s="331" t="s">
        <v>535</v>
      </c>
      <c r="D18" s="324" t="s">
        <v>546</v>
      </c>
      <c r="E18" s="1115">
        <f>+'T2 CPC'!F24</f>
        <v>0</v>
      </c>
      <c r="F18" s="1117"/>
      <c r="G18" s="1115">
        <f>+'T2 CPC'!G24</f>
        <v>0</v>
      </c>
    </row>
    <row r="19" spans="1:11" s="20" customFormat="1" ht="14.25" customHeight="1" x14ac:dyDescent="0.2">
      <c r="A19" s="125"/>
      <c r="B19" s="333">
        <v>10</v>
      </c>
      <c r="C19" s="333" t="s">
        <v>535</v>
      </c>
      <c r="D19" s="324" t="s">
        <v>547</v>
      </c>
      <c r="E19" s="1115">
        <f>+'T2 CPC'!F25</f>
        <v>0</v>
      </c>
      <c r="F19" s="1117"/>
      <c r="G19" s="1115">
        <f>+'T2 CPC'!G25</f>
        <v>0</v>
      </c>
      <c r="H19" s="279"/>
      <c r="I19" s="759"/>
      <c r="J19" s="759"/>
      <c r="K19" s="759"/>
    </row>
    <row r="20" spans="1:11" s="20" customFormat="1" ht="14.25" customHeight="1" x14ac:dyDescent="0.2">
      <c r="A20" s="124" t="s">
        <v>284</v>
      </c>
      <c r="B20" s="331"/>
      <c r="C20" s="331" t="s">
        <v>537</v>
      </c>
      <c r="D20" s="1113" t="s">
        <v>548</v>
      </c>
      <c r="E20" s="1120">
        <f>ROUND(E16+E17-E18-E19,2)</f>
        <v>0</v>
      </c>
      <c r="F20" s="1117"/>
      <c r="G20" s="1120">
        <f>ROUND(G16+G17-G18-G19,2)</f>
        <v>0</v>
      </c>
      <c r="H20" s="279"/>
      <c r="I20" s="759"/>
      <c r="J20" s="759"/>
      <c r="K20" s="759"/>
    </row>
    <row r="21" spans="1:11" s="20" customFormat="1" ht="14.25" customHeight="1" x14ac:dyDescent="0.2">
      <c r="A21" s="125"/>
      <c r="B21" s="333"/>
      <c r="C21" s="333"/>
      <c r="D21" s="1111" t="s">
        <v>549</v>
      </c>
      <c r="E21" s="1121"/>
      <c r="F21" s="1117"/>
      <c r="G21" s="1121"/>
    </row>
    <row r="22" spans="1:11" s="20" customFormat="1" ht="14.25" customHeight="1" x14ac:dyDescent="0.2">
      <c r="A22" s="124"/>
      <c r="B22" s="331">
        <v>11</v>
      </c>
      <c r="C22" s="331" t="s">
        <v>533</v>
      </c>
      <c r="D22" s="324" t="s">
        <v>550</v>
      </c>
      <c r="E22" s="1117">
        <f>+'T2 CPC'!F17</f>
        <v>0</v>
      </c>
      <c r="F22" s="1117"/>
      <c r="G22" s="1117">
        <f>+'T2 CPC'!G17</f>
        <v>0</v>
      </c>
    </row>
    <row r="23" spans="1:11" s="20" customFormat="1" ht="14.25" customHeight="1" x14ac:dyDescent="0.2">
      <c r="A23" s="124"/>
      <c r="B23" s="331">
        <v>12</v>
      </c>
      <c r="C23" s="331" t="s">
        <v>535</v>
      </c>
      <c r="D23" s="324" t="s">
        <v>551</v>
      </c>
      <c r="E23" s="1117">
        <f>+'T2 CPC'!F26</f>
        <v>0</v>
      </c>
      <c r="F23" s="1117"/>
      <c r="G23" s="1117">
        <f>+'T2 CPC'!G26</f>
        <v>0</v>
      </c>
    </row>
    <row r="24" spans="1:11" s="20" customFormat="1" ht="14.25" customHeight="1" x14ac:dyDescent="0.2">
      <c r="A24" s="124"/>
      <c r="B24" s="331">
        <v>13</v>
      </c>
      <c r="C24" s="331" t="s">
        <v>533</v>
      </c>
      <c r="D24" s="324" t="s">
        <v>552</v>
      </c>
      <c r="E24" s="1117">
        <f>+'T2 CPC'!F18</f>
        <v>0</v>
      </c>
      <c r="F24" s="1117"/>
      <c r="G24" s="1117">
        <f>+'T2 CPC'!G18</f>
        <v>0</v>
      </c>
    </row>
    <row r="25" spans="1:11" s="20" customFormat="1" ht="14.25" customHeight="1" x14ac:dyDescent="0.2">
      <c r="A25" s="125"/>
      <c r="B25" s="333">
        <v>14</v>
      </c>
      <c r="C25" s="333" t="s">
        <v>535</v>
      </c>
      <c r="D25" s="324" t="s">
        <v>553</v>
      </c>
      <c r="E25" s="1118">
        <f>+'T2 CPC'!F27</f>
        <v>0</v>
      </c>
      <c r="F25" s="1117"/>
      <c r="G25" s="1118">
        <f>+'T2 CPC'!G27</f>
        <v>0</v>
      </c>
    </row>
    <row r="26" spans="1:11" s="3" customFormat="1" ht="14.25" customHeight="1" x14ac:dyDescent="0.2">
      <c r="A26" s="125" t="s">
        <v>418</v>
      </c>
      <c r="B26" s="335"/>
      <c r="C26" s="335" t="s">
        <v>537</v>
      </c>
      <c r="D26" s="1111" t="s">
        <v>3185</v>
      </c>
      <c r="E26" s="1121">
        <f>+E20+E22-E23+E24-E25</f>
        <v>0</v>
      </c>
      <c r="F26" s="1119"/>
      <c r="G26" s="1121">
        <f>+G20+G22-G23+G24-G25</f>
        <v>0</v>
      </c>
      <c r="H26" s="279"/>
      <c r="I26" s="759"/>
      <c r="J26" s="759"/>
      <c r="K26" s="759"/>
    </row>
    <row r="27" spans="1:11" s="3" customFormat="1" ht="14.25" customHeight="1" x14ac:dyDescent="0.2">
      <c r="A27" s="125" t="s">
        <v>420</v>
      </c>
      <c r="B27" s="335"/>
      <c r="C27" s="336" t="s">
        <v>554</v>
      </c>
      <c r="D27" s="1112" t="s">
        <v>555</v>
      </c>
      <c r="E27" s="1121">
        <f>+'T2 CPC'!F42</f>
        <v>0</v>
      </c>
      <c r="F27" s="1119"/>
      <c r="G27" s="1121">
        <f>+'T2 CPC'!G42</f>
        <v>0</v>
      </c>
    </row>
    <row r="28" spans="1:11" s="3" customFormat="1" ht="14.25" customHeight="1" x14ac:dyDescent="0.2">
      <c r="A28" s="125" t="s">
        <v>432</v>
      </c>
      <c r="B28" s="335"/>
      <c r="C28" s="335" t="s">
        <v>537</v>
      </c>
      <c r="D28" s="1112" t="s">
        <v>556</v>
      </c>
      <c r="E28" s="1121">
        <f>+E26+E27</f>
        <v>0</v>
      </c>
      <c r="F28" s="1119"/>
      <c r="G28" s="1121">
        <f>+G26+G27</f>
        <v>0</v>
      </c>
      <c r="H28" s="279"/>
      <c r="I28" s="759"/>
      <c r="J28" s="759"/>
      <c r="K28" s="759"/>
    </row>
    <row r="29" spans="1:11" s="3" customFormat="1" ht="14.25" customHeight="1" x14ac:dyDescent="0.2">
      <c r="A29" s="125" t="s">
        <v>440</v>
      </c>
      <c r="B29" s="335"/>
      <c r="C29" s="336" t="s">
        <v>554</v>
      </c>
      <c r="D29" s="1111" t="s">
        <v>3186</v>
      </c>
      <c r="E29" s="1121">
        <f>+'T2 CPC'!F69</f>
        <v>0</v>
      </c>
      <c r="F29" s="1119"/>
      <c r="G29" s="1121">
        <f>+'T2 CPC'!G69</f>
        <v>0</v>
      </c>
    </row>
    <row r="30" spans="1:11" s="20" customFormat="1" ht="14.25" customHeight="1" x14ac:dyDescent="0.2">
      <c r="A30" s="125"/>
      <c r="B30" s="333">
        <v>15</v>
      </c>
      <c r="C30" s="333" t="s">
        <v>535</v>
      </c>
      <c r="D30" s="337" t="s">
        <v>557</v>
      </c>
      <c r="E30" s="1122">
        <f>+'T2 CPC'!F71</f>
        <v>0</v>
      </c>
      <c r="F30" s="1117"/>
      <c r="G30" s="1122">
        <f>+'T2 CPC'!G71</f>
        <v>0</v>
      </c>
      <c r="H30" s="680"/>
      <c r="I30" s="680"/>
      <c r="J30" s="680"/>
      <c r="K30" s="680"/>
    </row>
    <row r="31" spans="1:11" s="338" customFormat="1" ht="13.5" x14ac:dyDescent="0.25">
      <c r="A31" s="6"/>
      <c r="E31" s="1123"/>
      <c r="F31" s="1123"/>
      <c r="G31" s="1123"/>
    </row>
    <row r="32" spans="1:11" s="3" customFormat="1" ht="12" x14ac:dyDescent="0.2">
      <c r="A32" s="325" t="s">
        <v>376</v>
      </c>
      <c r="B32" s="286"/>
      <c r="C32" s="286" t="s">
        <v>537</v>
      </c>
      <c r="D32" s="1110" t="s">
        <v>558</v>
      </c>
      <c r="E32" s="1114">
        <f>(+E28+E29-E30)</f>
        <v>0</v>
      </c>
      <c r="F32" s="1119"/>
      <c r="G32" s="1114">
        <f>(+G28+G29-G30)</f>
        <v>0</v>
      </c>
      <c r="H32" s="279"/>
      <c r="I32" s="759"/>
      <c r="J32" s="759"/>
      <c r="K32" s="759"/>
    </row>
    <row r="33" spans="1:9" s="3" customFormat="1" ht="12" x14ac:dyDescent="0.2">
      <c r="A33" s="107"/>
      <c r="B33" s="339"/>
      <c r="C33" s="339"/>
      <c r="D33" s="302"/>
      <c r="E33" s="816"/>
      <c r="F33" s="761"/>
      <c r="G33" s="817"/>
    </row>
    <row r="34" spans="1:9" s="20" customFormat="1" ht="12" x14ac:dyDescent="0.2">
      <c r="A34" s="5" t="s">
        <v>559</v>
      </c>
      <c r="B34" s="289"/>
      <c r="C34" s="289"/>
      <c r="E34" s="818"/>
      <c r="F34" s="818"/>
      <c r="G34" s="818"/>
    </row>
    <row r="35" spans="1:9" s="20" customFormat="1" ht="12.75" customHeight="1" x14ac:dyDescent="0.2">
      <c r="A35" s="325"/>
      <c r="B35" s="323">
        <v>1</v>
      </c>
      <c r="C35" s="323"/>
      <c r="D35" s="324" t="s">
        <v>560</v>
      </c>
      <c r="E35" s="447"/>
      <c r="F35" s="815"/>
      <c r="G35" s="447"/>
    </row>
    <row r="36" spans="1:9" s="20" customFormat="1" ht="12.75" customHeight="1" x14ac:dyDescent="0.2">
      <c r="A36" s="325"/>
      <c r="B36" s="323"/>
      <c r="C36" s="323"/>
      <c r="D36" s="330" t="s">
        <v>561</v>
      </c>
      <c r="E36" s="1115">
        <f>IF(E32&gt;0,E32,0)</f>
        <v>0</v>
      </c>
      <c r="F36" s="815"/>
      <c r="G36" s="447">
        <f>IF(G32&gt;0,G32,0)</f>
        <v>0</v>
      </c>
    </row>
    <row r="37" spans="1:9" s="20" customFormat="1" ht="12.75" customHeight="1" x14ac:dyDescent="0.2">
      <c r="A37" s="325"/>
      <c r="B37" s="323"/>
      <c r="C37" s="323"/>
      <c r="D37" s="330" t="s">
        <v>562</v>
      </c>
      <c r="E37" s="447">
        <f>IF(E32&lt;0,E32,0)</f>
        <v>0</v>
      </c>
      <c r="F37" s="815"/>
      <c r="G37" s="447">
        <f>IF(G32&lt;0,G32,0)</f>
        <v>0</v>
      </c>
    </row>
    <row r="38" spans="1:9" s="20" customFormat="1" ht="12.75" customHeight="1" x14ac:dyDescent="0.2">
      <c r="A38" s="325"/>
      <c r="B38" s="323">
        <v>2</v>
      </c>
      <c r="C38" s="323" t="s">
        <v>563</v>
      </c>
      <c r="D38" s="330" t="s">
        <v>564</v>
      </c>
      <c r="E38" s="447">
        <f>(SUMIF('Balance N Retraitée'!A:A,"619*",'Balance N Retraitée'!G:G)-SUMIF('Balance N Retraitée'!A:A,"619*",'Balance N Retraitée'!H:H))-((SUMIF('Balance N Retraitée'!A:A,"61957*",'Balance N Retraitée'!G:G)-SUMIF('Balance N Retraitée'!A:A,"61957*",'Balance N Retraitée'!H:H)))-((SUMIF('Balance N Retraitée'!A:A,"6196*",'Balance N Retraitée'!G:G)-SUMIF('Balance N Retraitée'!A:A,"6196*",'Balance N Retraitée'!H:H)))</f>
        <v>0</v>
      </c>
      <c r="F38" s="815"/>
      <c r="G38" s="447">
        <f>(SUMIF('Balance N-1 Retraitée'!A:A,"619*",'Balance N-1 Retraitée'!G:G)-SUMIF('Balance N-1 Retraitée'!A:A,"619*",'Balance N-1 Retraitée'!H:H))-((SUMIF('Balance N-1 Retraitée'!A:A,"61957*",'Balance N-1 Retraitée'!G:G)-SUMIF('Balance N-1 Retraitée'!A:A,"61957*",'Balance N-1 Retraitée'!H:H)))-((SUMIF('Balance N-1 Retraitée'!A:A,"6196*",'Balance N-1 Retraitée'!G:G)-SUMIF('Balance N-1 Retraitée'!A:A,"6196*",'Balance N-1 Retraitée'!H:H)))</f>
        <v>0</v>
      </c>
      <c r="I38" s="820"/>
    </row>
    <row r="39" spans="1:9" s="20" customFormat="1" ht="12.75" customHeight="1" x14ac:dyDescent="0.2">
      <c r="A39" s="325"/>
      <c r="B39" s="323">
        <v>3</v>
      </c>
      <c r="C39" s="323" t="s">
        <v>563</v>
      </c>
      <c r="D39" s="330" t="s">
        <v>565</v>
      </c>
      <c r="E39" s="447">
        <f>(SUMIF('Balance N Retraitée'!A:A,"6391*",'Balance N Retraitée'!G:G)-SUMIF('Balance N Retraitée'!A:A,"6391*",'Balance N Retraitée'!H:H))+(SUMIF('Balance N Retraitée'!A:A,"6392*",'Balance N Retraitée'!G:G)-SUMIF('Balance N Retraitée'!A:A,"6392*",'Balance N Retraitée'!H:H))+(SUMIF('Balance N Retraitée'!A:A,"63935*",'Balance N Retraitée'!G:G)-SUMIF('Balance N Retraitée'!A:A,"63935*",'Balance N Retraitée'!H:H))</f>
        <v>0</v>
      </c>
      <c r="F39" s="815"/>
      <c r="G39" s="447">
        <f>(SUMIF('Balance N-1 Retraitée'!A:A,"6391*",'Balance N-1 Retraitée'!G:G)-SUMIF('Balance N-1 Retraitée'!A:A,"6391*",'Balance N-1 Retraitée'!H:H))+(SUMIF('Balance N-1 Retraitée'!A:A,"6392*",'Balance N-1 Retraitée'!G:G)-SUMIF('Balance N-1 Retraitée'!A:A,"6392*",'Balance N-1 Retraitée'!H:H))+(SUMIF('Balance N-1 Retraitée'!A:A,"63935*",'Balance N-1 Retraitée'!G:G)-SUMIF('Balance N-1 Retraitée'!A:A,"63935*",'Balance N-1 Retraitée'!H:H))</f>
        <v>0</v>
      </c>
    </row>
    <row r="40" spans="1:9" s="20" customFormat="1" ht="12.75" customHeight="1" x14ac:dyDescent="0.2">
      <c r="A40" s="325"/>
      <c r="B40" s="323">
        <v>4</v>
      </c>
      <c r="C40" s="323" t="s">
        <v>563</v>
      </c>
      <c r="D40" s="330" t="s">
        <v>566</v>
      </c>
      <c r="E40" s="447">
        <f>(SUMIF('Balance N Retraitée'!A:A,"659*",'Balance N Retraitée'!G:G)-SUMIF('Balance N Retraitée'!A:A,"659*",'Balance N Retraitée'!H:H))-(SUMIF('Balance N Retraitée'!A:A,"65957*",'Balance N Retraitée'!G:G)-SUMIF('Balance N Retraitée'!A:A,"65957*",'Balance N Retraitée'!H:H))-(SUMIF('Balance N Retraitée'!A:A,"65963*",'Balance N Retraitée'!G:G)-SUMIF('Balance N Retraitée'!A:A,"65963*",'Balance N Retraitée'!H:H))</f>
        <v>0</v>
      </c>
      <c r="F40" s="815"/>
      <c r="G40" s="447">
        <f>(SUMIF('Balance N-1 Retraitée'!A:A,"659*",'Balance N-1 Retraitée'!G:G)-SUMIF('Balance N-1 Retraitée'!A:A,"659*",'Balance N-1 Retraitée'!H:H))-(SUMIF('Balance N-1 Retraitée'!A:A,"65957*",'Balance N-1 Retraitée'!G:G)-SUMIF('Balance N-1 Retraitée'!A:A,"65957*",'Balance N-1 Retraitée'!H:H))-(SUMIF('Balance N-1 Retraitée'!A:A,"65963*",'Balance N-1 Retraitée'!G:G)-SUMIF('Balance N-1 Retraitée'!A:A,"65963*",'Balance N-1 Retraitée'!H:H))</f>
        <v>0</v>
      </c>
    </row>
    <row r="41" spans="1:9" s="20" customFormat="1" ht="12.75" customHeight="1" x14ac:dyDescent="0.2">
      <c r="A41" s="325"/>
      <c r="B41" s="323">
        <v>5</v>
      </c>
      <c r="C41" s="323" t="s">
        <v>487</v>
      </c>
      <c r="D41" s="330" t="s">
        <v>567</v>
      </c>
      <c r="E41" s="447">
        <f>(SUMIF('Balance N Retraitée'!A:A,"719*",'Balance N Retraitée'!H:H)-SUMIF('Balance N Retraitée'!A:A,"719*",'Balance N Retraitée'!G:G))-(SUMIF('Balance N Retraitée'!A:A,"71957*",'Balance N Retraitée'!H:H)-SUMIF('Balance N Retraitée'!A:A,"71957*",'Balance N Retraitée'!G:G))-(SUMIF('Balance N Retraitée'!A:A,"7196*",'Balance N Retraitée'!H:H)-SUMIF('Balance N Retraitée'!A:A,"7196*",'Balance N Retraitée'!G:G))-(SUMIF('Balance N Retraitée'!A:A,"7197*",'Balance N Retraitée'!H:H)-SUMIF('Balance N Retraitée'!A:A,"7197*",'Balance N Retraitée'!G:G))</f>
        <v>0</v>
      </c>
      <c r="F41" s="815"/>
      <c r="G41" s="447">
        <f>(SUMIF('Balance N-1 Retraitée'!A:A,"719*",'Balance N-1 Retraitée'!H:H)-SUMIF('Balance N-1 Retraitée'!A:A,"719*",'Balance N-1 Retraitée'!G:G))-(SUMIF('Balance N-1 Retraitée'!A:A,"71957*",'Balance N-1 Retraitée'!H:H)-SUMIF('Balance N-1 Retraitée'!A:A,"71957*",'Balance N-1 Retraitée'!G:G))-(SUMIF('Balance N-1 Retraitée'!A:A,"7196*",'Balance N-1 Retraitée'!H:H)-SUMIF('Balance N-1 Retraitée'!A:A,"7196*",'Balance N-1 Retraitée'!G:G))-(SUMIF('Balance N-1 Retraitée'!A:A,"7197*",'Balance N-1 Retraitée'!H:H)-SUMIF('Balance N-1 Retraitée'!A:A,"7197*",'Balance N-1 Retraitée'!G:G))</f>
        <v>0</v>
      </c>
    </row>
    <row r="42" spans="1:9" s="20" customFormat="1" ht="12.75" customHeight="1" x14ac:dyDescent="0.2">
      <c r="A42" s="325"/>
      <c r="B42" s="323">
        <v>6</v>
      </c>
      <c r="C42" s="323" t="s">
        <v>487</v>
      </c>
      <c r="D42" s="330" t="s">
        <v>568</v>
      </c>
      <c r="E42" s="447">
        <f>(SUMIF('Balance N Retraitée'!A:A,"7391*",'Balance N Retraitée'!H:H)-SUMIF('Balance N Retraitée'!A:A,"7391*",'Balance N Retraitée'!G:G))+(SUMIF('Balance N Retraitée'!A:A,"7392*",'Balance N Retraitée'!H:H)-SUMIF('Balance N Retraitée'!A:A,"7392*",'Balance N Retraitée'!G:G))+(SUMIF('Balance N Retraitée'!A:A,"73935*",'Balance N Retraitée'!H:H)-SUMIF('Balance N Retraitée'!A:A,"73935*",'Balance N Retraitée'!G:G))</f>
        <v>0</v>
      </c>
      <c r="F42" s="815"/>
      <c r="G42" s="447">
        <f>(SUMIF('Balance N-1 Retraitée'!A:A,"7391*",'Balance N-1 Retraitée'!H:H)-SUMIF('Balance N-1 Retraitée'!A:A,"7391*",'Balance N-1 Retraitée'!G:G))+(SUMIF('Balance N-1 Retraitée'!A:A,"7392*",'Balance N-1 Retraitée'!H:H)-SUMIF('Balance N-1 Retraitée'!A:A,"7392*",'Balance N-1 Retraitée'!G:G))+(SUMIF('Balance N-1 Retraitée'!A:A,"73935*",'Balance N-1 Retraitée'!H:H)-SUMIF('Balance N-1 Retraitée'!A:A,"73935*",'Balance N-1 Retraitée'!G:G))</f>
        <v>0</v>
      </c>
    </row>
    <row r="43" spans="1:9" s="20" customFormat="1" ht="12.75" customHeight="1" x14ac:dyDescent="0.2">
      <c r="A43" s="325"/>
      <c r="B43" s="323">
        <v>7</v>
      </c>
      <c r="C43" s="323" t="s">
        <v>487</v>
      </c>
      <c r="D43" s="330" t="s">
        <v>569</v>
      </c>
      <c r="E43" s="447">
        <f>(SUMIF('Balance N Retraitée'!A:A,"759*",'Balance N Retraitée'!H:H)-SUMIF('Balance N Retraitée'!A:A,"759*",'Balance N Retraitée'!G:G))-(SUMIF('Balance N Retraitée'!A:A,"75957*",'Balance N Retraitée'!H:H)-SUMIF('Balance N Retraitée'!A:A,"75957*",'Balance N Retraitée'!G:G))-(SUMIF('Balance N Retraitée'!A:A,"75963*",'Balance N Retraitée'!H:H)-SUMIF('Balance N Retraitée'!A:A,"75963*",'Balance N Retraitée'!G:G))-(SUMIF('Balance N Retraitée'!A:A,"7597*",'Balance N Retraitée'!H:H)-SUMIF('Balance N Retraitée'!A:A,"7597*",'Balance N Retraitée'!G:G))</f>
        <v>0</v>
      </c>
      <c r="F43" s="815"/>
      <c r="G43" s="447">
        <f>(SUMIF('Balance N-1 Retraitée'!A:A,"759*",'Balance N-1 Retraitée'!H:H)-SUMIF('Balance N-1 Retraitée'!A:A,"759*",'Balance N-1 Retraitée'!G:G))-(SUMIF('Balance N-1 Retraitée'!A:A,"75957*",'Balance N-1 Retraitée'!H:H)-SUMIF('Balance N-1 Retraitée'!A:A,"75957*",'Balance N-1 Retraitée'!G:G))-(SUMIF('Balance N-1 Retraitée'!A:A,"75963*",'Balance N-1 Retraitée'!H:H)-SUMIF('Balance N-1 Retraitée'!A:A,"75963*",'Balance N-1 Retraitée'!G:G))-(SUMIF('Balance N-1 Retraitée'!A:A,"7597*",'Balance N-1 Retraitée'!H:H)-SUMIF('Balance N-1 Retraitée'!A:A,"7597*",'Balance N-1 Retraitée'!G:G))</f>
        <v>0</v>
      </c>
    </row>
    <row r="44" spans="1:9" s="20" customFormat="1" ht="12.75" customHeight="1" x14ac:dyDescent="0.2">
      <c r="A44" s="325"/>
      <c r="B44" s="323">
        <v>8</v>
      </c>
      <c r="C44" s="323" t="s">
        <v>487</v>
      </c>
      <c r="D44" s="324" t="s">
        <v>570</v>
      </c>
      <c r="E44" s="447">
        <f>SUMIF('Balance N Retraitée'!A:A,"751*",'Balance N Retraitée'!H:H)-(SUMIF('Balance N Retraitée'!A:A,"751*",'Balance N Retraitée'!G:G))</f>
        <v>0</v>
      </c>
      <c r="F44" s="815"/>
      <c r="G44" s="447">
        <f>SUMIF('Balance N-1 Retraitée'!A:A,"751*",'Balance N-1 Retraitée'!G:G)-(SUMIF('Balance N-1 Retraitée'!A:A,"751*",'Balance N-1 Retraitée'!H:H))</f>
        <v>0</v>
      </c>
    </row>
    <row r="45" spans="1:9" s="20" customFormat="1" ht="12.75" customHeight="1" x14ac:dyDescent="0.2">
      <c r="A45" s="325"/>
      <c r="B45" s="323">
        <v>9</v>
      </c>
      <c r="C45" s="323" t="s">
        <v>533</v>
      </c>
      <c r="D45" s="324" t="s">
        <v>571</v>
      </c>
      <c r="E45" s="447">
        <f>(SUMIF('Balance N Retraitée'!A:A,"651*",'Balance N Retraitée'!G:G))-SUMIF('Balance N Retraitée'!A:A,"651*",'Balance N Retraitée'!H:H)</f>
        <v>0</v>
      </c>
      <c r="F45" s="815"/>
      <c r="G45" s="447">
        <f>(SUMIF('Balance N-1 Retraitée'!A:A,"651*",'Balance N-1 Retraitée'!G:G))-SUMIF('Balance N-1 Retraitée'!A:A,"651*",'Balance N-1 Retraitée'!H:H)</f>
        <v>0</v>
      </c>
    </row>
    <row r="46" spans="1:9" s="3" customFormat="1" ht="12.75" customHeight="1" x14ac:dyDescent="0.2">
      <c r="A46" s="325" t="s">
        <v>274</v>
      </c>
      <c r="B46" s="286"/>
      <c r="C46" s="286"/>
      <c r="D46" s="340" t="s">
        <v>572</v>
      </c>
      <c r="E46" s="783">
        <f>SUM(E36:E40)-SUM(E41:E44)+E45</f>
        <v>0</v>
      </c>
      <c r="F46" s="815"/>
      <c r="G46" s="783">
        <f>SUM(G36:G40)-SUM(G41:G44)+G45</f>
        <v>0</v>
      </c>
    </row>
    <row r="47" spans="1:9" s="20" customFormat="1" ht="12.75" customHeight="1" x14ac:dyDescent="0.2">
      <c r="A47" s="325"/>
      <c r="B47" s="323">
        <v>10</v>
      </c>
      <c r="C47" s="323"/>
      <c r="D47" s="324" t="s">
        <v>573</v>
      </c>
      <c r="E47" s="447"/>
      <c r="F47" s="815"/>
      <c r="G47" s="447"/>
    </row>
    <row r="48" spans="1:9" s="3" customFormat="1" ht="12.75" customHeight="1" x14ac:dyDescent="0.2">
      <c r="A48" s="125" t="s">
        <v>390</v>
      </c>
      <c r="B48" s="335"/>
      <c r="C48" s="335"/>
      <c r="D48" s="299" t="s">
        <v>574</v>
      </c>
      <c r="E48" s="446">
        <f>+E46-E47</f>
        <v>0</v>
      </c>
      <c r="F48" s="815"/>
      <c r="G48" s="446">
        <f>+G46-G47</f>
        <v>0</v>
      </c>
    </row>
    <row r="49" spans="1:7" s="20" customFormat="1" ht="12" hidden="1" x14ac:dyDescent="0.2">
      <c r="A49" s="125"/>
      <c r="B49" s="333"/>
      <c r="C49" s="333"/>
      <c r="D49" s="337"/>
      <c r="E49" s="308"/>
      <c r="F49" s="293"/>
      <c r="G49" s="308"/>
    </row>
    <row r="50" spans="1:7" s="20" customFormat="1" ht="12" x14ac:dyDescent="0.2">
      <c r="A50" s="341" t="s">
        <v>575</v>
      </c>
      <c r="E50" s="279"/>
      <c r="F50" s="279"/>
      <c r="G50" s="279"/>
    </row>
    <row r="51" spans="1:7" s="20" customFormat="1" ht="12" x14ac:dyDescent="0.2">
      <c r="A51" s="105" t="s">
        <v>576</v>
      </c>
      <c r="B51" s="289"/>
      <c r="C51" s="289"/>
      <c r="E51" s="279"/>
      <c r="F51" s="279"/>
      <c r="G51" s="279"/>
    </row>
    <row r="52" spans="1:7" s="20" customFormat="1" ht="12" x14ac:dyDescent="0.2">
      <c r="A52" s="105" t="s">
        <v>577</v>
      </c>
      <c r="B52" s="289"/>
      <c r="C52" s="289"/>
      <c r="E52" s="279"/>
      <c r="F52" s="279"/>
      <c r="G52" s="279"/>
    </row>
  </sheetData>
  <mergeCells count="3">
    <mergeCell ref="E4:E5"/>
    <mergeCell ref="G4:G5"/>
    <mergeCell ref="D4:D5"/>
  </mergeCells>
  <phoneticPr fontId="0" type="noConversion"/>
  <pageMargins left="0.78740157499999996" right="0.78740157499999996" top="0.984251969" bottom="0.984251969" header="0.4921259845" footer="0.4921259845"/>
  <pageSetup paperSize="9" scale="102" orientation="portrait" horizontalDpi="300" verticalDpi="300" r:id="rId1"/>
  <headerFooter alignWithMargins="0">
    <oddHeader>&amp;L&amp;"Times New Roman,Gras italique"&amp;12Sté :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9">
    <tabColor rgb="FFFFFF00"/>
  </sheetPr>
  <dimension ref="A1:H115"/>
  <sheetViews>
    <sheetView showZeros="0" workbookViewId="0">
      <selection activeCell="C24" sqref="C24"/>
    </sheetView>
  </sheetViews>
  <sheetFormatPr baseColWidth="10" defaultColWidth="12" defaultRowHeight="12" x14ac:dyDescent="0.2"/>
  <cols>
    <col min="1" max="1" width="6.6640625" style="3" customWidth="1"/>
    <col min="2" max="2" width="51.1640625" style="20" customWidth="1"/>
    <col min="3" max="3" width="19.33203125" style="279" customWidth="1"/>
    <col min="4" max="4" width="22.6640625" style="279" bestFit="1" customWidth="1"/>
    <col min="5" max="5" width="15.33203125" style="20" bestFit="1" customWidth="1"/>
    <col min="6" max="6" width="12.1640625" style="20" bestFit="1" customWidth="1"/>
    <col min="7" max="16384" width="12" style="20"/>
  </cols>
  <sheetData>
    <row r="1" spans="1:7" ht="12.75" x14ac:dyDescent="0.2">
      <c r="A1" s="3" t="s">
        <v>578</v>
      </c>
      <c r="D1" s="835" t="s">
        <v>955</v>
      </c>
    </row>
    <row r="2" spans="1:7" ht="15.75" x14ac:dyDescent="0.25">
      <c r="A2" s="280" t="s">
        <v>579</v>
      </c>
      <c r="B2" s="281"/>
      <c r="C2" s="282"/>
      <c r="D2" s="282"/>
    </row>
    <row r="3" spans="1:7" x14ac:dyDescent="0.2">
      <c r="C3" s="283" t="s">
        <v>18</v>
      </c>
      <c r="D3" s="284" t="str">
        <f>'T5 ESG'!$G$3</f>
        <v>31/12/2015</v>
      </c>
      <c r="G3" s="285"/>
    </row>
    <row r="4" spans="1:7" s="289" customFormat="1" x14ac:dyDescent="0.2">
      <c r="A4" s="286" t="s">
        <v>580</v>
      </c>
      <c r="B4" s="287"/>
      <c r="C4" s="288" t="s">
        <v>248</v>
      </c>
      <c r="D4" s="288" t="s">
        <v>249</v>
      </c>
    </row>
    <row r="5" spans="1:7" x14ac:dyDescent="0.2">
      <c r="A5" s="290"/>
      <c r="B5" s="291" t="s">
        <v>581</v>
      </c>
      <c r="C5" s="669"/>
      <c r="D5" s="670"/>
    </row>
    <row r="6" spans="1:7" x14ac:dyDescent="0.2">
      <c r="A6" s="290">
        <v>611</v>
      </c>
      <c r="B6" s="291" t="s">
        <v>536</v>
      </c>
      <c r="C6" s="671"/>
      <c r="D6" s="670"/>
    </row>
    <row r="7" spans="1:7" x14ac:dyDescent="0.2">
      <c r="A7" s="290"/>
      <c r="B7" s="292" t="s">
        <v>582</v>
      </c>
      <c r="C7" s="672">
        <f>SUMIF('Balance N Retraitée'!A:A,"611*",'Balance N Retraitée'!G:G)-SUMIF('Balance N Retraitée'!A:A,"611*",'Balance N Retraitée'!H:H)-C8</f>
        <v>0</v>
      </c>
      <c r="D7" s="670">
        <f>SUMIF('Balance N-1 Retraitée'!A:A,"611*",'Balance N-1 Retraitée'!G:G)-SUMIF('Balance N-1 Retraitée'!A:A,"611*",'Balance N-1 Retraitée'!H:H)-D8</f>
        <v>0</v>
      </c>
    </row>
    <row r="8" spans="1:7" x14ac:dyDescent="0.2">
      <c r="A8" s="290"/>
      <c r="B8" s="294" t="s">
        <v>583</v>
      </c>
      <c r="C8" s="672">
        <f>SUMIF('Balance N Retraitée'!A:A,"6114*",'Balance N Retraitée'!G:G)-SUMIF('Balance N Retraitée'!A:A,"6114*",'Balance N Retraitée'!H:H)</f>
        <v>0</v>
      </c>
      <c r="D8" s="670">
        <f>SUMIF('Balance N-1 Retraitée'!A:A,"6114*",'Balance N-1 Retraitée'!G:G)-SUMIF('Balance N-1 Retraitée'!A:A,"6114*",'Balance N-1 Retraitée'!H:H)</f>
        <v>0</v>
      </c>
    </row>
    <row r="9" spans="1:7" x14ac:dyDescent="0.2">
      <c r="A9" s="290"/>
      <c r="B9" s="295" t="s">
        <v>584</v>
      </c>
      <c r="C9" s="673">
        <f>SUM(C7:C8)</f>
        <v>0</v>
      </c>
      <c r="D9" s="673">
        <f>SUM(D7:D8)</f>
        <v>0</v>
      </c>
    </row>
    <row r="10" spans="1:7" x14ac:dyDescent="0.2">
      <c r="A10" s="290"/>
      <c r="B10" s="295"/>
      <c r="C10" s="670"/>
      <c r="D10" s="670"/>
    </row>
    <row r="11" spans="1:7" x14ac:dyDescent="0.2">
      <c r="A11" s="290">
        <v>612</v>
      </c>
      <c r="B11" s="296" t="s">
        <v>542</v>
      </c>
      <c r="C11" s="670"/>
      <c r="D11" s="670"/>
    </row>
    <row r="12" spans="1:7" x14ac:dyDescent="0.2">
      <c r="A12" s="290"/>
      <c r="B12" s="297" t="s">
        <v>585</v>
      </c>
      <c r="C12" s="672">
        <f>SUMIF('Balance N Retraitée'!A:A,"6121*",'Balance N Retraitée'!G:G)-SUMIF('Balance N Retraitée'!A:A,"6121*",'Balance N Retraitée'!H:H)</f>
        <v>0</v>
      </c>
      <c r="D12" s="670">
        <f>SUMIF('Balance N-1 Retraitée'!A:A,"6121*",'Balance N-1 Retraitée'!G:G)-SUMIF('Balance N-1 Retraitée'!A:A,"6121*",'Balance N-1 Retraitée'!H:H)</f>
        <v>0</v>
      </c>
    </row>
    <row r="13" spans="1:7" x14ac:dyDescent="0.2">
      <c r="A13" s="290"/>
      <c r="B13" s="925" t="s">
        <v>2541</v>
      </c>
      <c r="C13" s="926">
        <f>SUMIF('Balance N Retraitée'!A:A,"61241*",'Balance N Retraitée'!G:G)-SUMIF('Balance N Retraitée'!A:A,"61241*",'Balance N Retraitée'!H:H)</f>
        <v>0</v>
      </c>
      <c r="D13" s="927">
        <f>SUMIF('Balance N-1 Retraitée'!A:A,"61241*",'Balance N-1 Retraitée'!G:G)-SUMIF('Balance N-1 Retraitée'!A:A,"61241*",'Balance N-1 Retraitée'!H:H)</f>
        <v>0</v>
      </c>
    </row>
    <row r="14" spans="1:7" x14ac:dyDescent="0.2">
      <c r="A14" s="290"/>
      <c r="B14" s="292" t="s">
        <v>2542</v>
      </c>
      <c r="C14" s="672">
        <f>SUMIF('Balance N Retraitée'!A:A,"6122*",'Balance N Retraitée'!G:G)-SUMIF('Balance N Retraitée'!A:A,"6122*",'Balance N Retraitée'!H:H)+SUMIF('Balance N Retraitée'!A:A,"6123*",'Balance N Retraitée'!G:G)-SUMIF('Balance N Retraitée'!A:A,"6123*",'Balance N Retraitée'!H:H)</f>
        <v>0</v>
      </c>
      <c r="D14" s="670">
        <f>SUMIF('Balance N-1 Retraitée'!A:A,"6122*",'Balance N-1 Retraitée'!G:G)-SUMIF('Balance N-1 Retraitée'!A:A,"6122*",'Balance N-1 Retraitée'!H:H)+SUMIF('Balance N-1 Retraitée'!A:A,"6123*",'Balance N-1 Retraitée'!G:G)-SUMIF('Balance N-1 Retraitée'!A:A,"6123*",'Balance N-1 Retraitée'!H:H)</f>
        <v>0</v>
      </c>
    </row>
    <row r="15" spans="1:7" x14ac:dyDescent="0.2">
      <c r="A15" s="290"/>
      <c r="B15" s="294" t="s">
        <v>586</v>
      </c>
      <c r="C15" s="672">
        <f>SUMIF('Balance N Retraitée'!A:A,"61242*",'Balance N Retraitée'!G:G)-SUMIF('Balance N Retraitée'!A:A,"61242*",'Balance N Retraitée'!H:H)+SUMIF('Balance N Retraitée'!A:A,"61243*",'Balance N Retraitée'!G:G)-SUMIF('Balance N Retraitée'!A:A,"61243*",'Balance N Retraitée'!H:H)</f>
        <v>0</v>
      </c>
      <c r="D15" s="670">
        <f>SUMIF('Balance N-1 Retraitée'!A:A,"61242*",'Balance N-1 Retraitée'!G:G)-SUMIF('Balance N-1 Retraitée'!A:A,"61242*",'Balance N-1 Retraitée'!H:H)</f>
        <v>0</v>
      </c>
    </row>
    <row r="16" spans="1:7" x14ac:dyDescent="0.2">
      <c r="A16" s="290"/>
      <c r="B16" s="297" t="s">
        <v>587</v>
      </c>
      <c r="C16" s="672">
        <f>SUMIF('Balance N Retraitée'!A:A,"6125*",'Balance N Retraitée'!G:G)-SUMIF('Balance N Retraitée'!A:A,"6125*",'Balance N Retraitée'!H:H)</f>
        <v>0</v>
      </c>
      <c r="D16" s="670">
        <f>SUMIF('Balance N-1 Retraitée'!A:A,"6125*",'Balance N-1 Retraitée'!G:G)-SUMIF('Balance N-1 Retraitée'!A:A,"6125*",'Balance N-1 Retraitée'!H:H)</f>
        <v>0</v>
      </c>
    </row>
    <row r="17" spans="1:8" x14ac:dyDescent="0.2">
      <c r="A17" s="290"/>
      <c r="B17" s="297" t="s">
        <v>588</v>
      </c>
      <c r="C17" s="672">
        <f>SUMIF('Balance N Retraitée'!A:A,"6126*",'Balance N Retraitée'!G:G)-SUMIF('Balance N Retraitée'!A:A,"6126*",'Balance N Retraitée'!H:H)</f>
        <v>0</v>
      </c>
      <c r="D17" s="670">
        <f>SUMIF('Balance N-1 Retraitée'!A:A,"6126*",'Balance N-1 Retraitée'!G:G)-SUMIF('Balance N-1 Retraitée'!A:A,"6126*",'Balance N-1 Retraitée'!H:H)</f>
        <v>0</v>
      </c>
    </row>
    <row r="18" spans="1:8" x14ac:dyDescent="0.2">
      <c r="A18" s="290"/>
      <c r="B18" s="1140" t="s">
        <v>589</v>
      </c>
      <c r="C18" s="1139">
        <f>SUMIF('Balance N Retraitée'!A:A,"6128*",'Balance N Retraitée'!G:G)-SUMIF('Balance N Retraitée'!A:A,"6128*",'Balance N Retraitée'!H:H)</f>
        <v>0</v>
      </c>
      <c r="D18" s="1141">
        <f>SUMIF('Balance N-1 Retraitée'!A:A,"6128*",'Balance N-1 Retraitée'!G:G)-SUMIF('Balance N-1 Retraitée'!A:A,"6128*",'Balance N-1 Retraitée'!H:H)</f>
        <v>0</v>
      </c>
    </row>
    <row r="19" spans="1:8" x14ac:dyDescent="0.2">
      <c r="A19" s="290"/>
      <c r="B19" s="1140" t="s">
        <v>590</v>
      </c>
      <c r="C19" s="1139">
        <f>SUMIF('Balance N Retraitée'!A:A,"6129*",'Balance N Retraitée'!G:G)-SUMIF('Balance N Retraitée'!A:A,"6129*",'Balance N Retraitée'!H:H)</f>
        <v>0</v>
      </c>
      <c r="D19" s="1142">
        <f>SUMIF('Balance N-1 Retraitée'!A:A,"6129*",'Balance N-1 Retraitée'!G:G)-SUMIF('Balance N-1 Retraitée'!A:A,"6129*",'Balance N-1 Retraitée'!H:H)</f>
        <v>0</v>
      </c>
      <c r="E19" s="279"/>
    </row>
    <row r="20" spans="1:8" x14ac:dyDescent="0.2">
      <c r="A20" s="290"/>
      <c r="B20" s="295" t="s">
        <v>490</v>
      </c>
      <c r="C20" s="675">
        <f>SUM(C12:C19)</f>
        <v>0</v>
      </c>
      <c r="D20" s="676">
        <f>SUM(D12:D19)</f>
        <v>0</v>
      </c>
    </row>
    <row r="21" spans="1:8" x14ac:dyDescent="0.2">
      <c r="A21" s="290"/>
      <c r="B21" s="295"/>
      <c r="C21" s="677"/>
      <c r="D21" s="677"/>
    </row>
    <row r="22" spans="1:8" x14ac:dyDescent="0.2">
      <c r="A22" s="290" t="s">
        <v>591</v>
      </c>
      <c r="B22" s="296" t="s">
        <v>592</v>
      </c>
      <c r="C22" s="670"/>
      <c r="D22" s="670"/>
    </row>
    <row r="23" spans="1:8" x14ac:dyDescent="0.2">
      <c r="A23" s="290"/>
      <c r="B23" s="297" t="s">
        <v>593</v>
      </c>
      <c r="C23" s="672">
        <f>SUMIF('Balance N Retraitée'!A:A,"6131*",'Balance N Retraitée'!G:G)-SUMIF('Balance N Retraitée'!A:A,"6131*",'Balance N Retraitée'!H:H)</f>
        <v>0</v>
      </c>
      <c r="D23" s="670">
        <f>SUMIF('Balance N-1 Retraitée'!A:A,"6131*",'Balance N-1 Retraitée'!G:G)-SUMIF('Balance N-1 Retraitée'!A:A,"6131*",'Balance N-1 Retraitée'!H:H)</f>
        <v>0</v>
      </c>
    </row>
    <row r="24" spans="1:8" x14ac:dyDescent="0.2">
      <c r="A24" s="290"/>
      <c r="B24" s="297" t="s">
        <v>594</v>
      </c>
      <c r="C24" s="672">
        <f>SUMIF('Balance N Retraitée'!A:A,"6132*",'Balance N Retraitée'!G:G)-SUMIF('Balance N Retraitée'!A:A,"6132*",'Balance N Retraitée'!H:H)</f>
        <v>0</v>
      </c>
      <c r="D24" s="670">
        <f>SUMIF('Balance N-1 Retraitée'!A:A,"6132*",'Balance N-1 Retraitée'!G:G)-SUMIF('Balance N-1 Retraitée'!A:A,"6132*",'Balance N-1 Retraitée'!H:H)</f>
        <v>0</v>
      </c>
    </row>
    <row r="25" spans="1:8" x14ac:dyDescent="0.2">
      <c r="A25" s="290"/>
      <c r="B25" s="297" t="s">
        <v>595</v>
      </c>
      <c r="C25" s="672">
        <f>SUMIF('Balance N Retraitée'!A:A,"6133*",'Balance N Retraitée'!G:G)-SUMIF('Balance N Retraitée'!A:A,"6133*",'Balance N Retraitée'!H:H)</f>
        <v>0</v>
      </c>
      <c r="D25" s="670">
        <f>SUMIF('Balance N-1 Retraitée'!A:A,"6133*",'Balance N-1 Retraitée'!G:G)-SUMIF('Balance N-1 Retraitée'!A:A,"6133*",'Balance N-1 Retraitée'!H:H)</f>
        <v>0</v>
      </c>
    </row>
    <row r="26" spans="1:8" x14ac:dyDescent="0.2">
      <c r="A26" s="290"/>
      <c r="B26" s="297" t="s">
        <v>596</v>
      </c>
      <c r="C26" s="672">
        <f>SUMIF('Balance N Retraitée'!A:A,"6134*",'Balance N Retraitée'!G:G)-SUMIF('Balance N Retraitée'!A:A,"6134*",'Balance N Retraitée'!H:H)</f>
        <v>0</v>
      </c>
      <c r="D26" s="670">
        <f>SUMIF('Balance N-1 Retraitée'!A:A,"6134*",'Balance N-1 Retraitée'!G:G)-SUMIF('Balance N-1 Retraitée'!A:A,"6134*",'Balance N-1 Retraitée'!H:H)</f>
        <v>0</v>
      </c>
    </row>
    <row r="27" spans="1:8" x14ac:dyDescent="0.2">
      <c r="A27" s="290"/>
      <c r="B27" s="297" t="s">
        <v>597</v>
      </c>
      <c r="C27" s="672">
        <f>SUMIF('Balance N Retraitée'!A:A,"6135*",'Balance N Retraitée'!G:G)-SUMIF('Balance N Retraitée'!A:A,"6135*",'Balance N Retraitée'!H:H)</f>
        <v>0</v>
      </c>
      <c r="D27" s="670">
        <f>SUMIF('Balance N-1 Retraitée'!A:A,"6135*",'Balance N-1 Retraitée'!G:G)-SUMIF('Balance N-1 Retraitée'!A:A,"6135*",'Balance N-1 Retraitée'!H:H)</f>
        <v>0</v>
      </c>
    </row>
    <row r="28" spans="1:8" x14ac:dyDescent="0.2">
      <c r="A28" s="290"/>
      <c r="B28" s="297" t="s">
        <v>598</v>
      </c>
      <c r="C28" s="672">
        <f>SUMIF('Balance N Retraitée'!A:A,"6136*",'Balance N Retraitée'!G:G)-SUMIF('Balance N Retraitée'!A:A,"6136*",'Balance N Retraitée'!H:H)</f>
        <v>0</v>
      </c>
      <c r="D28" s="670">
        <f>SUMIF('Balance N-1 Retraitée'!A:A,"6136*",'Balance N-1 Retraitée'!G:G)-SUMIF('Balance N-1 Retraitée'!A:A,"6136*",'Balance N-1 Retraitée'!H:H)</f>
        <v>0</v>
      </c>
    </row>
    <row r="29" spans="1:8" x14ac:dyDescent="0.2">
      <c r="A29" s="290"/>
      <c r="B29" s="297" t="s">
        <v>599</v>
      </c>
      <c r="C29" s="672">
        <f>SUMIF('Balance N Retraitée'!A:A,"6137*",'Balance N Retraitée'!G:G)-SUMIF('Balance N Retraitée'!A:A,"6137*",'Balance N Retraitée'!H:H)</f>
        <v>0</v>
      </c>
      <c r="D29" s="670">
        <f>SUMIF('Balance N-1 Retraitée'!A:A,"6137*",'Balance N-1 Retraitée'!G:G)-SUMIF('Balance N-1 Retraitée'!A:A,"6137*",'Balance N-1 Retraitée'!H:H)</f>
        <v>0</v>
      </c>
    </row>
    <row r="30" spans="1:8" x14ac:dyDescent="0.2">
      <c r="A30" s="290"/>
      <c r="B30" s="297" t="s">
        <v>600</v>
      </c>
      <c r="C30" s="672">
        <f>SUMIF('Balance N Retraitée'!A:A,"6142*",'Balance N Retraitée'!G:G)-SUMIF('Balance N Retraitée'!A:A,"6142*",'Balance N Retraitée'!H:H)</f>
        <v>0</v>
      </c>
      <c r="D30" s="670">
        <f>SUMIF('Balance N-1 Retraitée'!A:A,"6142*",'Balance N-1 Retraitée'!G:G)-SUMIF('Balance N-1 Retraitée'!A:A,"6142*",'Balance N-1 Retraitée'!H:H)</f>
        <v>0</v>
      </c>
    </row>
    <row r="31" spans="1:8" x14ac:dyDescent="0.2">
      <c r="A31" s="290"/>
      <c r="B31" s="297" t="s">
        <v>601</v>
      </c>
      <c r="C31" s="672">
        <f>SUMIF('Balance N Retraitée'!A:A,"6143*",'Balance N Retraitée'!G:G)-SUMIF('Balance N Retraitée'!A:A,"6143*",'Balance N Retraitée'!H:H)</f>
        <v>0</v>
      </c>
      <c r="D31" s="670">
        <f>SUMIF('Balance N-1 Retraitée'!A:A,"6143*",'Balance N-1 Retraitée'!G:G)-SUMIF('Balance N-1 Retraitée'!A:A,"6143*",'Balance N-1 Retraitée'!H:H)</f>
        <v>0</v>
      </c>
    </row>
    <row r="32" spans="1:8" x14ac:dyDescent="0.2">
      <c r="A32" s="290"/>
      <c r="B32" s="297" t="s">
        <v>602</v>
      </c>
      <c r="C32" s="672">
        <f>(SUMIF('Balance N Retraitée'!A:A,"613*",'Balance N Retraitée'!G:G)-SUMIF('Balance N Retraitée'!A:A,"613*",'Balance N Retraitée'!H:H))+(SUMIF('Balance N Retraitée'!A:A,"614*",'Balance N Retraitée'!G:G)-SUMIF('Balance N Retraitée'!A:A,"614*",'Balance N Retraitée'!H:H))-SUM(C23:C31)</f>
        <v>0</v>
      </c>
      <c r="D32" s="670">
        <f>(SUMIF('Balance N-1 Retraitée'!A:A,"613*",'Balance N-1 Retraitée'!G:G)-SUMIF('Balance N-1 Retraitée'!A:A,"613*",'Balance N-1 Retraitée'!H:H))+(SUMIF('Balance N-1 Retraitée'!A:A,"614*",'Balance N-1 Retraitée'!G:G)-SUMIF('Balance N-1 Retraitée'!A:A,"614*",'Balance N-1 Retraitée'!H:H))-SUM(D23:D31)</f>
        <v>0</v>
      </c>
      <c r="H32" s="279"/>
    </row>
    <row r="33" spans="1:7" x14ac:dyDescent="0.2">
      <c r="A33" s="290"/>
      <c r="B33" s="295" t="s">
        <v>490</v>
      </c>
      <c r="C33" s="678">
        <f>SUM(C23:C32)</f>
        <v>0</v>
      </c>
      <c r="D33" s="678">
        <f>SUM(D23:D32)</f>
        <v>0</v>
      </c>
      <c r="G33" s="298"/>
    </row>
    <row r="34" spans="1:7" x14ac:dyDescent="0.2">
      <c r="A34" s="290"/>
      <c r="B34" s="295"/>
      <c r="C34" s="677"/>
      <c r="D34" s="677"/>
    </row>
    <row r="35" spans="1:7" x14ac:dyDescent="0.2">
      <c r="A35" s="290">
        <v>617</v>
      </c>
      <c r="B35" s="296" t="s">
        <v>547</v>
      </c>
      <c r="C35" s="670"/>
      <c r="D35" s="670"/>
    </row>
    <row r="36" spans="1:7" x14ac:dyDescent="0.2">
      <c r="A36" s="290"/>
      <c r="B36" s="292" t="s">
        <v>603</v>
      </c>
      <c r="C36" s="672">
        <f>SUMIF('Balance N Retraitée'!A:A,"6171*",'Balance N Retraitée'!G:G)-SUMIF('Balance N Retraitée'!A:A,"6171*",'Balance N Retraitée'!H:H)-C37</f>
        <v>0</v>
      </c>
      <c r="D36" s="672">
        <f>SUMIF('Balance N-1 Retraitée'!A:A,"6171*",'Balance N-1 Retraitée'!G:G)-SUMIF('Balance N-1 Retraitée'!A:A,"6171*",'Balance N-1 Retraitée'!H:H)-C37</f>
        <v>0</v>
      </c>
      <c r="E36" s="680"/>
    </row>
    <row r="37" spans="1:7" x14ac:dyDescent="0.2">
      <c r="A37" s="290"/>
      <c r="B37" s="297" t="s">
        <v>604</v>
      </c>
      <c r="C37" s="672">
        <f>SUMIF('Balance N Retraitée'!A:A,"6174*",'Balance N Retraitée'!G:G)-SUMIF('Balance N Retraitée'!A:A,"6174*",'Balance N Retraitée'!H:H)</f>
        <v>0</v>
      </c>
      <c r="D37" s="672">
        <f>SUMIF('Balance N-1 Retraitée'!A:A,"6174*",'Balance N-1 Retraitée'!G:G)-SUMIF('Balance N-1 Retraitée'!A:A,"6174*",'Balance N-1 Retraitée'!H:H)</f>
        <v>0</v>
      </c>
      <c r="E37" s="680"/>
    </row>
    <row r="38" spans="1:7" x14ac:dyDescent="0.2">
      <c r="A38" s="290"/>
      <c r="B38" s="297" t="s">
        <v>605</v>
      </c>
      <c r="C38" s="672">
        <f>(SUMIF('Balance N Retraitée'!A:A,"617*",'Balance N Retraitée'!G:G)-SUMIF('Balance N Retraitée'!A:A,"617*",'Balance N Retraitée'!H:H))-SUM(C36:C37)</f>
        <v>0</v>
      </c>
      <c r="D38" s="672">
        <f>(SUMIF('Balance N-1 Retraitée'!A:A,"617*",'Balance N-1 Retraitée'!G:G)-SUMIF('Balance N-1 Retraitée'!A:A,"617*",'Balance N-1 Retraitée'!H:H))-SUM(C36:C37)</f>
        <v>0</v>
      </c>
      <c r="E38" s="680"/>
    </row>
    <row r="39" spans="1:7" x14ac:dyDescent="0.2">
      <c r="A39" s="290"/>
      <c r="B39" s="295" t="s">
        <v>490</v>
      </c>
      <c r="C39" s="678">
        <f>SUM(C36:C38)</f>
        <v>0</v>
      </c>
      <c r="D39" s="678">
        <f>SUM(D36:D38)</f>
        <v>0</v>
      </c>
    </row>
    <row r="40" spans="1:7" x14ac:dyDescent="0.2">
      <c r="A40" s="290"/>
      <c r="B40" s="295"/>
      <c r="C40" s="677"/>
      <c r="D40" s="677"/>
    </row>
    <row r="41" spans="1:7" x14ac:dyDescent="0.2">
      <c r="A41" s="290">
        <v>618</v>
      </c>
      <c r="B41" s="296" t="s">
        <v>551</v>
      </c>
      <c r="C41" s="670"/>
      <c r="D41" s="670"/>
    </row>
    <row r="42" spans="1:7" x14ac:dyDescent="0.2">
      <c r="A42" s="290"/>
      <c r="B42" s="297" t="s">
        <v>606</v>
      </c>
      <c r="C42" s="672">
        <f>SUMIF('Balance N Retraitée'!A:A,"6181*",'Balance N Retraitée'!G:G)-SUMIF('Balance N Retraitée'!A:A,"6181*",'Balance N Retraitée'!H:H)</f>
        <v>0</v>
      </c>
      <c r="D42" s="670">
        <f>SUMIF('Balance N-1 Retraitée'!A:A,"6181*",'Balance N-1 Retraitée'!G:G)-SUMIF('Balance N-1 Retraitée'!A:A,"6181*",'Balance N-1 Retraitée'!H:H)</f>
        <v>0</v>
      </c>
    </row>
    <row r="43" spans="1:7" x14ac:dyDescent="0.2">
      <c r="A43" s="290"/>
      <c r="B43" s="297" t="s">
        <v>607</v>
      </c>
      <c r="C43" s="672">
        <f>SUMIF('Balance N Retraitée'!A:A,"6182*",'Balance N Retraitée'!G:G)-SUMIF('Balance N Retraitée'!A:A,"6182*",'Balance N Retraitée'!H:H)</f>
        <v>0</v>
      </c>
      <c r="D43" s="670">
        <f>SUMIF('Balance N-1 Retraitée'!A:A,"6182*",'Balance N-1 Retraitée'!G:G)-SUMIF('Balance N-1 Retraitée'!A:A,"6182*",'Balance N-1 Retraitée'!H:H)</f>
        <v>0</v>
      </c>
    </row>
    <row r="44" spans="1:7" x14ac:dyDescent="0.2">
      <c r="A44" s="290"/>
      <c r="B44" s="297" t="s">
        <v>608</v>
      </c>
      <c r="C44" s="672">
        <f>SUMIF('Balance N Retraitée'!A:A,"618*",'Balance N Retraitée'!G:G)-SUMIF('Balance N Retraitée'!A:A,"618*",'Balance N Retraitée'!H:H)-C42-C43</f>
        <v>0</v>
      </c>
      <c r="D44" s="670">
        <f>SUMIF('Balance N-1 Retraitée'!A:A,"618*",'Balance N-1 Retraitée'!G:G)-SUMIF('Balance N-1 Retraitée'!A:A,"618*",'Balance N-1 Retraitée'!H:H)-D42-D43</f>
        <v>0</v>
      </c>
    </row>
    <row r="45" spans="1:7" x14ac:dyDescent="0.2">
      <c r="A45" s="290"/>
      <c r="B45" s="295" t="s">
        <v>490</v>
      </c>
      <c r="C45" s="678">
        <f>SUM(C42:C44)</f>
        <v>0</v>
      </c>
      <c r="D45" s="678">
        <f>SUM(D42:D44)</f>
        <v>0</v>
      </c>
    </row>
    <row r="46" spans="1:7" x14ac:dyDescent="0.2">
      <c r="A46" s="290"/>
      <c r="B46" s="295"/>
      <c r="C46" s="677"/>
      <c r="D46" s="677"/>
    </row>
    <row r="47" spans="1:7" x14ac:dyDescent="0.2">
      <c r="A47" s="290"/>
      <c r="B47" s="296" t="s">
        <v>621</v>
      </c>
      <c r="C47" s="670"/>
      <c r="D47" s="670"/>
    </row>
    <row r="48" spans="1:7" x14ac:dyDescent="0.2">
      <c r="A48" s="290">
        <v>638</v>
      </c>
      <c r="B48" s="296" t="s">
        <v>622</v>
      </c>
      <c r="C48" s="670"/>
      <c r="D48" s="670"/>
    </row>
    <row r="49" spans="1:4" x14ac:dyDescent="0.2">
      <c r="A49" s="290"/>
      <c r="B49" s="297" t="s">
        <v>623</v>
      </c>
      <c r="C49" s="672">
        <f>SUMIF('Balance N Retraitée'!A:A,"6385*",'Balance N Retraitée'!G:G)-SUMIF('Balance N Retraitée'!A:A,"6385*",'Balance N Retraitée'!H:H)</f>
        <v>0</v>
      </c>
      <c r="D49" s="670">
        <f>SUMIF('Balance N-1 Retraitée'!A:A,"6385*",'Balance N-1 Retraitée'!G:G)-SUMIF('Balance N-1 Retraitée'!A:A,"6385*",'Balance N-1 Retraitée'!H:H)</f>
        <v>0</v>
      </c>
    </row>
    <row r="50" spans="1:4" x14ac:dyDescent="0.2">
      <c r="A50" s="290"/>
      <c r="B50" s="297" t="s">
        <v>624</v>
      </c>
      <c r="C50" s="672">
        <f>SUMIF('Balance N Retraitée'!A:A,"638*",'Balance N Retraitée'!G:G)-SUMIF('Balance N Retraitée'!A:A,"638*",'Balance N Retraitée'!H:H)-C49</f>
        <v>0</v>
      </c>
      <c r="D50" s="670">
        <f>SUMIF('Balance N-1 Retraitée'!A:A,"638*",'Balance N-1 Retraitée'!G:G)-SUMIF('Balance N-1 Retraitée'!A:A,"638*",'Balance N-1 Retraitée'!H:H)-D49</f>
        <v>0</v>
      </c>
    </row>
    <row r="51" spans="1:4" x14ac:dyDescent="0.2">
      <c r="A51" s="290"/>
      <c r="B51" s="295" t="s">
        <v>490</v>
      </c>
      <c r="C51" s="678">
        <f>SUM(C49:C50)</f>
        <v>0</v>
      </c>
      <c r="D51" s="678">
        <f>SUM(D49:D50)</f>
        <v>0</v>
      </c>
    </row>
    <row r="52" spans="1:4" x14ac:dyDescent="0.2">
      <c r="A52" s="290"/>
      <c r="B52" s="295"/>
      <c r="C52" s="677"/>
      <c r="D52" s="677"/>
    </row>
    <row r="53" spans="1:4" x14ac:dyDescent="0.2">
      <c r="A53" s="290"/>
      <c r="B53" s="296" t="s">
        <v>625</v>
      </c>
      <c r="C53" s="670"/>
      <c r="D53" s="670"/>
    </row>
    <row r="54" spans="1:4" x14ac:dyDescent="0.2">
      <c r="A54" s="290">
        <v>658</v>
      </c>
      <c r="B54" s="296" t="s">
        <v>501</v>
      </c>
      <c r="C54" s="672"/>
      <c r="D54" s="670"/>
    </row>
    <row r="55" spans="1:4" x14ac:dyDescent="0.2">
      <c r="A55" s="290"/>
      <c r="B55" s="297" t="s">
        <v>626</v>
      </c>
      <c r="C55" s="670">
        <f>SUMIF('Balance N Retraitée'!A:A,"6581*",'Balance N Retraitée'!G:G)-SUMIF('Balance N Retraitée'!A:A,"6581*",'Balance N Retraitée'!H:H)</f>
        <v>0</v>
      </c>
      <c r="D55" s="670">
        <f>SUMIF('Balance N-1 Retraitée'!A:A,"6581*",'Balance N-1 Retraitée'!G:G)-SUMIF('Balance N-1 Retraitée'!A:A,"6581*",'Balance N-1 Retraitée'!H:H)</f>
        <v>0</v>
      </c>
    </row>
    <row r="56" spans="1:4" x14ac:dyDescent="0.2">
      <c r="A56" s="290"/>
      <c r="B56" s="297" t="s">
        <v>627</v>
      </c>
      <c r="C56" s="1139">
        <f>SUMIF('Balance N Retraitée'!A:A,"6582*",'Balance N Retraitée'!G:G)-SUMIF('Balance N Retraitée'!A:A,"6582*",'Balance N Retraitée'!H:H)</f>
        <v>0</v>
      </c>
      <c r="D56" s="670">
        <f>SUMIF('Balance N-1 Retraitée'!A:A,"6582*",'Balance N-1 Retraitée'!G:G)-SUMIF('Balance N-1 Retraitée'!A:A,"6582*",'Balance N-1 Retraitée'!H:H)</f>
        <v>0</v>
      </c>
    </row>
    <row r="57" spans="1:4" x14ac:dyDescent="0.2">
      <c r="A57" s="290"/>
      <c r="B57" s="292" t="s">
        <v>628</v>
      </c>
      <c r="C57" s="1139">
        <f>SUMIF('Balance N Retraitée'!A:A,"6583*",'Balance N Retraitée'!G:G)-SUMIF('Balance N Retraitée'!A:A,"6583*",'Balance N Retraitée'!H:H)</f>
        <v>0</v>
      </c>
      <c r="D57" s="670">
        <f>SUMIF('Balance N-1 Retraitée'!A:A,"6583*",'Balance N-1 Retraitée'!G:G)-SUMIF('Balance N-1 Retraitée'!A:A,"6583*",'Balance N-1 Retraitée'!H:H)</f>
        <v>0</v>
      </c>
    </row>
    <row r="58" spans="1:4" x14ac:dyDescent="0.2">
      <c r="A58" s="290"/>
      <c r="B58" s="297" t="s">
        <v>629</v>
      </c>
      <c r="C58" s="1139">
        <f>SUMIF('Balance N Retraitée'!A:A,"6585*",'Balance N Retraitée'!G:G)-SUMIF('Balance N Retraitée'!A:A,"6585*",'Balance N Retraitée'!H:H)</f>
        <v>0</v>
      </c>
      <c r="D58" s="670">
        <f>SUMIF('Balance N-1 Retraitée'!A:A,"6585*",'Balance N-1 Retraitée'!G:G)-SUMIF('Balance N-1 Retraitée'!A:A,"6585*",'Balance N-1 Retraitée'!H:H)</f>
        <v>0</v>
      </c>
    </row>
    <row r="59" spans="1:4" x14ac:dyDescent="0.2">
      <c r="A59" s="290"/>
      <c r="B59" s="297" t="s">
        <v>630</v>
      </c>
      <c r="C59" s="1139">
        <f>ROUND(SUMIF('Balance N Retraitée'!A:A,"658*",'Balance N Retraitée'!G:G)-SUMIF('Balance N Retraitée'!A:A,"658*",'Balance N Retraitée'!H:H)-SUM(C55:C58),2)</f>
        <v>0</v>
      </c>
      <c r="D59" s="670">
        <f>SUMIF('Balance N-1 Retraitée'!A:A,"658*",'Balance N-1 Retraitée'!G:G)-SUMIF('Balance N-1 Retraitée'!A:A,"658*",'Balance N-1 Retraitée'!H:H)-SUM(D55:D58)</f>
        <v>0</v>
      </c>
    </row>
    <row r="60" spans="1:4" x14ac:dyDescent="0.2">
      <c r="A60" s="299"/>
      <c r="B60" s="300" t="s">
        <v>490</v>
      </c>
      <c r="C60" s="678">
        <f>SUM(C55:C59)</f>
        <v>0</v>
      </c>
      <c r="D60" s="678">
        <f>SUM(D55:D59)</f>
        <v>0</v>
      </c>
    </row>
    <row r="61" spans="1:4" x14ac:dyDescent="0.2">
      <c r="C61" s="679"/>
      <c r="D61" s="680"/>
    </row>
    <row r="62" spans="1:4" x14ac:dyDescent="0.2">
      <c r="C62" s="679"/>
      <c r="D62" s="680"/>
    </row>
    <row r="63" spans="1:4" x14ac:dyDescent="0.2">
      <c r="A63" s="302" t="s">
        <v>631</v>
      </c>
      <c r="C63" s="680"/>
      <c r="D63" s="680"/>
    </row>
    <row r="64" spans="1:4" s="304" customFormat="1" ht="15.75" x14ac:dyDescent="0.25">
      <c r="A64" s="280" t="s">
        <v>579</v>
      </c>
      <c r="B64" s="303"/>
      <c r="C64" s="681"/>
      <c r="D64" s="681"/>
    </row>
    <row r="65" spans="1:4" ht="12.75" x14ac:dyDescent="0.2">
      <c r="C65" s="682"/>
      <c r="D65" s="16"/>
    </row>
    <row r="66" spans="1:4" s="307" customFormat="1" ht="24" x14ac:dyDescent="0.2">
      <c r="A66" s="305" t="s">
        <v>580</v>
      </c>
      <c r="B66" s="306"/>
      <c r="C66" s="683" t="s">
        <v>248</v>
      </c>
      <c r="D66" s="683" t="s">
        <v>249</v>
      </c>
    </row>
    <row r="67" spans="1:4" x14ac:dyDescent="0.2">
      <c r="A67" s="290"/>
      <c r="B67" s="296" t="s">
        <v>634</v>
      </c>
      <c r="C67" s="670"/>
      <c r="D67" s="670"/>
    </row>
    <row r="68" spans="1:4" x14ac:dyDescent="0.2">
      <c r="A68" s="290">
        <v>711</v>
      </c>
      <c r="B68" s="296" t="s">
        <v>635</v>
      </c>
      <c r="C68" s="670"/>
      <c r="D68" s="670"/>
    </row>
    <row r="69" spans="1:4" x14ac:dyDescent="0.2">
      <c r="A69" s="290"/>
      <c r="B69" s="297" t="s">
        <v>636</v>
      </c>
      <c r="C69" s="672">
        <f>SUMIF('Balance N Retraitée'!A:A,"7111*",'Balance N Retraitée'!H:H)-SUMIF('Balance N Retraitée'!A:A,"7111*",'Balance N Retraitée'!G:G)</f>
        <v>0</v>
      </c>
      <c r="D69" s="670">
        <f>SUMIF('Balance N-1 Retraitée'!A:A,"7111*",'Balance N-1 Retraitée'!H:H)-SUMIF('Balance N-1 Retraitée'!A:A,"7111*",'Balance N-1 Retraitée'!G:G)</f>
        <v>0</v>
      </c>
    </row>
    <row r="70" spans="1:4" x14ac:dyDescent="0.2">
      <c r="A70" s="290"/>
      <c r="B70" s="297" t="s">
        <v>637</v>
      </c>
      <c r="C70" s="672">
        <f>SUMIF('Balance N Retraitée'!A:A,"7113*",'Balance N Retraitée'!H:H)-SUMIF('Balance N Retraitée'!A:A,"7113*",'Balance N Retraitée'!G:G)</f>
        <v>0</v>
      </c>
      <c r="D70" s="670">
        <f>SUMIF('Balance N-1 Retraitée'!A:A,"7113*",'Balance N-1 Retraitée'!H:H)-SUMIF('Balance N-1 Retraitée'!A:A,"7113*",'Balance N-1 Retraitée'!G:G)</f>
        <v>0</v>
      </c>
    </row>
    <row r="71" spans="1:4" x14ac:dyDescent="0.2">
      <c r="A71" s="290"/>
      <c r="B71" s="297" t="s">
        <v>638</v>
      </c>
      <c r="C71" s="684">
        <f>SUMIF('Balance N Retraitée'!A:A,"711*",'Balance N Retraitée'!H:H)-SUMIF('Balance N Retraitée'!A:A,"711*",'Balance N Retraitée'!G:G)-C69-C70</f>
        <v>0</v>
      </c>
      <c r="D71" s="674">
        <f>SUMIF('Balance N-1 Retraitée'!A:A,"711*",'Balance N-1 Retraitée'!H:H)-SUMIF('Balance N-1 Retraitée'!A:A,"711*",'Balance N-1 Retraitée'!G:G)-D69-D70</f>
        <v>0</v>
      </c>
    </row>
    <row r="72" spans="1:4" x14ac:dyDescent="0.2">
      <c r="A72" s="290"/>
      <c r="B72" s="295" t="s">
        <v>490</v>
      </c>
      <c r="C72" s="676">
        <f>SUM(C69:C71)</f>
        <v>0</v>
      </c>
      <c r="D72" s="676">
        <f>SUM(D69:D71)</f>
        <v>0</v>
      </c>
    </row>
    <row r="73" spans="1:4" x14ac:dyDescent="0.2">
      <c r="A73" s="290"/>
      <c r="B73" s="296"/>
      <c r="C73" s="670"/>
      <c r="D73" s="670"/>
    </row>
    <row r="74" spans="1:4" x14ac:dyDescent="0.2">
      <c r="A74" s="290">
        <v>712</v>
      </c>
      <c r="B74" s="296" t="s">
        <v>639</v>
      </c>
      <c r="C74" s="670"/>
      <c r="D74" s="670"/>
    </row>
    <row r="75" spans="1:4" x14ac:dyDescent="0.2">
      <c r="A75" s="290"/>
      <c r="B75" s="292" t="s">
        <v>2659</v>
      </c>
      <c r="C75" s="672">
        <f>SUMIF('Balance N Retraitée'!A:A,"7121*",'Balance N Retraitée'!H:H)-SUMIF('Balance N Retraitée'!A:A,"7121*",'Balance N Retraitée'!G:G)</f>
        <v>0</v>
      </c>
      <c r="D75" s="670">
        <f>SUMIF('Balance N-1 Retraitée'!A:A,"7121*",'Balance N-1 Retraitée'!H:H)-SUMIF('Balance N-1 Retraitée'!A:A,"7121*",'Balance N-1 Retraitée'!G:G)</f>
        <v>0</v>
      </c>
    </row>
    <row r="76" spans="1:4" x14ac:dyDescent="0.2">
      <c r="A76" s="290"/>
      <c r="B76" s="292" t="s">
        <v>2660</v>
      </c>
      <c r="C76" s="672">
        <f>SUMIF('Balance N Retraitée'!A:A,"7122*",'Balance N Retraitée'!H:H)-SUMIF('Balance N Retraitée'!A:A,"7122*",'Balance N Retraitée'!G:G)</f>
        <v>0</v>
      </c>
      <c r="D76" s="670">
        <f>SUMIF('Balance N-1 Retraitée'!A:A,"7122*",'Balance N-1 Retraitée'!H:H)-SUMIF('Balance N-1 Retraitée'!A:A,"7122*",'Balance N-1 Retraitée'!G:G)</f>
        <v>0</v>
      </c>
    </row>
    <row r="77" spans="1:4" x14ac:dyDescent="0.2">
      <c r="A77" s="290"/>
      <c r="B77" s="292" t="s">
        <v>710</v>
      </c>
      <c r="C77" s="672">
        <f>SUMIF('Balance N Retraitée'!A:A,"7124*",'Balance N Retraitée'!H:H)-SUMIF('Balance N Retraitée'!A:A,"7124*",'Balance N Retraitée'!G:G)</f>
        <v>0</v>
      </c>
      <c r="D77" s="670">
        <f>SUMIF('Balance N-1 Retraitée'!A:A,"7124*",'Balance N-1 Retraitée'!H:H)-SUMIF('Balance N-1 Retraitée'!A:A,"7124*",'Balance N-1 Retraitée'!G:G)</f>
        <v>0</v>
      </c>
    </row>
    <row r="78" spans="1:4" x14ac:dyDescent="0.2">
      <c r="A78" s="290"/>
      <c r="B78" s="292" t="s">
        <v>711</v>
      </c>
      <c r="C78" s="672">
        <f>SUMIF('Balance N Retraitée'!A:A,"7125*",'Balance N Retraitée'!H:H)-SUMIF('Balance N Retraitée'!A:A,"7125*",'Balance N Retraitée'!G:G)</f>
        <v>0</v>
      </c>
      <c r="D78" s="670">
        <f>SUMIF('Balance N-1 Retraitée'!A:A,"7125*",'Balance N-1 Retraitée'!H:H)-SUMIF('Balance N-1 Retraitée'!A:A,"7125*",'Balance N-1 Retraitée'!G:G)</f>
        <v>0</v>
      </c>
    </row>
    <row r="79" spans="1:4" x14ac:dyDescent="0.2">
      <c r="A79" s="290"/>
      <c r="B79" s="297" t="s">
        <v>712</v>
      </c>
      <c r="C79" s="672">
        <f>SUMIF('Balance N Retraitée'!A:A,"7126*",'Balance N Retraitée'!H:H)-SUMIF('Balance N Retraitée'!A:A,"7126*",'Balance N Retraitée'!G:G)</f>
        <v>0</v>
      </c>
      <c r="D79" s="670">
        <f>SUMIF('Balance N-1 Retraitée'!A:A,"7126*",'Balance N-1 Retraitée'!H:H)-SUMIF('Balance N-1 Retraitée'!A:A,"7126*",'Balance N-1 Retraitée'!G:G)</f>
        <v>0</v>
      </c>
    </row>
    <row r="80" spans="1:4" x14ac:dyDescent="0.2">
      <c r="A80" s="290"/>
      <c r="B80" s="297" t="s">
        <v>713</v>
      </c>
      <c r="C80" s="684">
        <f>SUMIF('Balance N Retraitée'!A:A,"712*",'Balance N Retraitée'!H:H)-SUMIF('Balance N Retraitée'!A:A,"712*",'Balance N Retraitée'!G:G)-SUM(C75:C79)</f>
        <v>0</v>
      </c>
      <c r="D80" s="674">
        <f>SUMIF('Balance N-1 Retraitée'!A:A,"712*",'Balance N-1 Retraitée'!H:H)-SUMIF('Balance N-1 Retraitée'!A:A,"712*",'Balance N-1 Retraitée'!G:G)-SUM(D75:D79)</f>
        <v>0</v>
      </c>
    </row>
    <row r="81" spans="1:4" x14ac:dyDescent="0.2">
      <c r="A81" s="290"/>
      <c r="B81" s="295" t="s">
        <v>490</v>
      </c>
      <c r="C81" s="676">
        <f>SUM(C75:C80)</f>
        <v>0</v>
      </c>
      <c r="D81" s="676">
        <f>SUM(D75:D80)</f>
        <v>0</v>
      </c>
    </row>
    <row r="82" spans="1:4" x14ac:dyDescent="0.2">
      <c r="A82" s="290"/>
      <c r="B82" s="296"/>
      <c r="C82" s="670"/>
      <c r="D82" s="670"/>
    </row>
    <row r="83" spans="1:4" x14ac:dyDescent="0.2">
      <c r="A83" s="290">
        <v>713</v>
      </c>
      <c r="B83" s="296" t="s">
        <v>714</v>
      </c>
      <c r="C83" s="670"/>
      <c r="D83" s="670"/>
    </row>
    <row r="84" spans="1:4" x14ac:dyDescent="0.2">
      <c r="A84" s="290"/>
      <c r="B84" s="292" t="s">
        <v>715</v>
      </c>
      <c r="C84" s="672">
        <f>SUMIF('Balance N Retraitée'!A:A,"7132*",'Balance N Retraitée'!H:H)-SUMIF('Balance N Retraitée'!A:A,"7132*",'Balance N Retraitée'!G:G)</f>
        <v>0</v>
      </c>
      <c r="D84" s="670">
        <f>SUMIF('Balance N-1 Retraitée'!A:A,"7132*",'Balance N-1 Retraitée'!H:H)-SUMIF('Balance N-1 Retraitée'!A:A,"7132*",'Balance N-1 Retraitée'!G:G)</f>
        <v>0</v>
      </c>
    </row>
    <row r="85" spans="1:4" x14ac:dyDescent="0.2">
      <c r="A85" s="290"/>
      <c r="B85" s="292" t="s">
        <v>716</v>
      </c>
      <c r="C85" s="672">
        <f>SUMIF('Balance N Retraitée'!A:A,"7134*",'Balance N Retraitée'!H:H)-SUMIF('Balance N Retraitée'!A:A,"7134*",'Balance N Retraitée'!G:G)</f>
        <v>0</v>
      </c>
      <c r="D85" s="670">
        <f>SUMIF('Balance N-1 Retraitée'!A:A,"7134*",'Balance N-1 Retraitée'!H:H)-SUMIF('Balance N-1 Retraitée'!A:A,"7134*",'Balance N-1 Retraitée'!G:G)</f>
        <v>0</v>
      </c>
    </row>
    <row r="86" spans="1:4" x14ac:dyDescent="0.2">
      <c r="A86" s="290"/>
      <c r="B86" s="292" t="s">
        <v>717</v>
      </c>
      <c r="C86" s="672">
        <f>SUMIF('Balance N Retraitée'!A:A,"7131*",'Balance N Retraitée'!H:H)-SUMIF('Balance N Retraitée'!A:A,"7131*",'Balance N Retraitée'!G:G)</f>
        <v>0</v>
      </c>
      <c r="D86" s="670">
        <f>SUMIF('Balance N-1 Retraitée'!A:A,"7131*",'Balance N-1 Retraitée'!H:H)-SUMIF('Balance N-1 Retraitée'!A:A,"7131*",'Balance N-1 Retraitée'!G:G)</f>
        <v>0</v>
      </c>
    </row>
    <row r="87" spans="1:4" x14ac:dyDescent="0.2">
      <c r="A87" s="290"/>
      <c r="B87" s="295" t="s">
        <v>490</v>
      </c>
      <c r="C87" s="678">
        <f>SUM(C84:C86)</f>
        <v>0</v>
      </c>
      <c r="D87" s="678">
        <f>SUM(D84:D86)</f>
        <v>0</v>
      </c>
    </row>
    <row r="88" spans="1:4" x14ac:dyDescent="0.2">
      <c r="A88" s="290"/>
      <c r="B88" s="295"/>
      <c r="C88" s="677"/>
      <c r="D88" s="677"/>
    </row>
    <row r="89" spans="1:4" x14ac:dyDescent="0.2">
      <c r="A89" s="290">
        <v>718</v>
      </c>
      <c r="B89" s="291" t="s">
        <v>718</v>
      </c>
      <c r="C89" s="670"/>
      <c r="D89" s="670"/>
    </row>
    <row r="90" spans="1:4" x14ac:dyDescent="0.2">
      <c r="A90" s="290"/>
      <c r="B90" s="297" t="s">
        <v>719</v>
      </c>
      <c r="C90" s="672">
        <f>SUMIF('Balance N Retraitée'!A:A,"7181*",'Balance N Retraitée'!H:H)-SUMIF('Balance N Retraitée'!A:A,"7181*",'Balance N Retraitée'!G:G)</f>
        <v>0</v>
      </c>
      <c r="D90" s="670">
        <f>SUMIF('Balance N-1 Retraitée'!A:A,"7181*",'Balance N-1 Retraitée'!H:H)-SUMIF('Balance N-1 Retraitée'!A:A,"7181*",'Balance N-1 Retraitée'!G:G)</f>
        <v>0</v>
      </c>
    </row>
    <row r="91" spans="1:4" x14ac:dyDescent="0.2">
      <c r="A91" s="290"/>
      <c r="B91" s="297" t="s">
        <v>720</v>
      </c>
      <c r="C91" s="672">
        <f>SUMIF('Balance N Retraitée'!A:A,"718*",'Balance N Retraitée'!H:H)-SUMIF('Balance N Retraitée'!A:A,"718*",'Balance N Retraitée'!G:G)-C90</f>
        <v>0</v>
      </c>
      <c r="D91" s="670">
        <f>SUMIF('Balance N-1 Retraitée'!A:A,"718*",'Balance N-1 Retraitée'!H:H)-SUMIF('Balance N-1 Retraitée'!A:A,"718*",'Balance N-1 Retraitée'!G:G)-D90</f>
        <v>0</v>
      </c>
    </row>
    <row r="92" spans="1:4" x14ac:dyDescent="0.2">
      <c r="A92" s="290"/>
      <c r="B92" s="295" t="s">
        <v>490</v>
      </c>
      <c r="C92" s="678">
        <f>SUM(C90:C91)</f>
        <v>0</v>
      </c>
      <c r="D92" s="678">
        <f>SUM(D90:D91)</f>
        <v>0</v>
      </c>
    </row>
    <row r="93" spans="1:4" x14ac:dyDescent="0.2">
      <c r="A93" s="290"/>
      <c r="B93" s="297"/>
      <c r="C93" s="670"/>
      <c r="D93" s="670"/>
    </row>
    <row r="94" spans="1:4" x14ac:dyDescent="0.2">
      <c r="A94" s="290">
        <v>719</v>
      </c>
      <c r="B94" s="296" t="s">
        <v>721</v>
      </c>
      <c r="C94" s="670"/>
      <c r="D94" s="670"/>
    </row>
    <row r="95" spans="1:4" x14ac:dyDescent="0.2">
      <c r="A95" s="290"/>
      <c r="B95" s="297" t="s">
        <v>722</v>
      </c>
      <c r="C95" s="672">
        <f>SUMIF('Balance N Retraitée'!A:A,"719*",'Balance N Retraitée'!H:H)-SUMIF('Balance N Retraitée'!A:A,"719*",'Balance N Retraitée'!G:G)-C96</f>
        <v>0</v>
      </c>
      <c r="D95" s="670">
        <f>SUMIF('Balance N-1 Retraitée'!A:A,"719*",'Balance N-1 Retraitée'!H:H)-SUMIF('Balance N-1 Retraitée'!A:A,"719*",'Balance N-1 Retraitée'!G:G)-D96</f>
        <v>0</v>
      </c>
    </row>
    <row r="96" spans="1:4" x14ac:dyDescent="0.2">
      <c r="A96" s="290"/>
      <c r="B96" s="297" t="s">
        <v>723</v>
      </c>
      <c r="C96" s="672">
        <f>SUMIF('Balance N Retraitée'!A:A,"7197*",'Balance N Retraitée'!H:H)-SUMIF('Balance N Retraitée'!A:A,"7197*",'Balance N Retraitée'!G:G)</f>
        <v>0</v>
      </c>
      <c r="D96" s="670">
        <f>SUMIF('Balance N-1 Retraitée'!A:A,"7197*",'Balance N-1 Retraitée'!H:H)-SUMIF('Balance N-1 Retraitée'!A:A,"7197*",'Balance N-1 Retraitée'!G:G)</f>
        <v>0</v>
      </c>
    </row>
    <row r="97" spans="1:7" x14ac:dyDescent="0.2">
      <c r="A97" s="290"/>
      <c r="B97" s="295" t="s">
        <v>490</v>
      </c>
      <c r="C97" s="678">
        <f>SUM(C95:C96)</f>
        <v>0</v>
      </c>
      <c r="D97" s="678">
        <f>SUM(D95:D96)</f>
        <v>0</v>
      </c>
    </row>
    <row r="98" spans="1:7" x14ac:dyDescent="0.2">
      <c r="A98" s="290"/>
      <c r="B98" s="296"/>
      <c r="C98" s="670"/>
      <c r="D98" s="670"/>
      <c r="G98" s="279"/>
    </row>
    <row r="99" spans="1:7" x14ac:dyDescent="0.2">
      <c r="A99" s="290"/>
      <c r="B99" s="296" t="s">
        <v>403</v>
      </c>
      <c r="C99" s="670"/>
      <c r="D99" s="670"/>
    </row>
    <row r="100" spans="1:7" x14ac:dyDescent="0.2">
      <c r="A100" s="290">
        <v>738</v>
      </c>
      <c r="B100" s="296" t="s">
        <v>724</v>
      </c>
      <c r="C100" s="670"/>
      <c r="D100" s="670"/>
    </row>
    <row r="101" spans="1:7" x14ac:dyDescent="0.2">
      <c r="A101" s="290"/>
      <c r="B101" s="297" t="s">
        <v>725</v>
      </c>
      <c r="C101" s="672">
        <f>SUMIF('Balance N Retraitée'!A:A,"7381*",'Balance N Retraitée'!H:H)-SUMIF('Balance N Retraitée'!A:A,"7381*",'Balance N Retraitée'!G:G)</f>
        <v>0</v>
      </c>
      <c r="D101" s="670">
        <f>SUMIF('Balance N-1 Retraitée'!A:A,"7381*",'Balance N-1 Retraitée'!H:H)-SUMIF('Balance N-1 Retraitée'!A:A,"7381*",'Balance N-1 Retraitée'!G:G)</f>
        <v>0</v>
      </c>
    </row>
    <row r="102" spans="1:7" x14ac:dyDescent="0.2">
      <c r="A102" s="290"/>
      <c r="B102" s="297" t="s">
        <v>726</v>
      </c>
      <c r="C102" s="672">
        <f>SUMIF('Balance N Retraitée'!A:A,"7383*",'Balance N Retraitée'!H:H)-SUMIF('Balance N Retraitée'!A:A,"7383*",'Balance N Retraitée'!G:G)</f>
        <v>0</v>
      </c>
      <c r="D102" s="670">
        <f>SUMIF('Balance N-1 Retraitée'!A:A,"7383*",'Balance N-1 Retraitée'!H:H)-SUMIF('Balance N-1 Retraitée'!A:A,"7383*",'Balance N-1 Retraitée'!G:G)</f>
        <v>0</v>
      </c>
    </row>
    <row r="103" spans="1:7" x14ac:dyDescent="0.2">
      <c r="A103" s="290"/>
      <c r="B103" s="297" t="s">
        <v>727</v>
      </c>
      <c r="C103" s="672">
        <f>SUMIF('Balance N Retraitée'!A:A,"7385*",'Balance N Retraitée'!H:H)-SUMIF('Balance N Retraitée'!A:A,"7385*",'Balance N Retraitée'!G:G)</f>
        <v>0</v>
      </c>
      <c r="D103" s="670">
        <f>SUMIF('Balance N-1 Retraitée'!A:A,"7385*",'Balance N-1 Retraitée'!H:H)-SUMIF('Balance N-1 Retraitée'!A:A,"7385*",'Balance N-1 Retraitée'!G:G)</f>
        <v>0</v>
      </c>
    </row>
    <row r="104" spans="1:7" x14ac:dyDescent="0.2">
      <c r="A104" s="290"/>
      <c r="B104" s="297" t="s">
        <v>728</v>
      </c>
      <c r="C104" s="684">
        <f>SUMIF('Balance N Retraitée'!A:A,"738*",'Balance N Retraitée'!H:H)-SUMIF('Balance N Retraitée'!A:A,"738*",'Balance N Retraitée'!G:G)-C101-C102-C103</f>
        <v>0</v>
      </c>
      <c r="D104" s="674">
        <f>SUMIF('Balance N-1 Retraitée'!A:A,"738*",'Balance N-1 Retraitée'!H:H)-SUMIF('Balance N-1 Retraitée'!A:A,"738*",'Balance N-1 Retraitée'!G:G)-D101-D102-D103</f>
        <v>0</v>
      </c>
    </row>
    <row r="105" spans="1:7" x14ac:dyDescent="0.2">
      <c r="A105" s="299"/>
      <c r="B105" s="300" t="s">
        <v>490</v>
      </c>
      <c r="C105" s="676">
        <f>SUM(C101:C104)</f>
        <v>0</v>
      </c>
      <c r="D105" s="676">
        <f>SUM(D101:D104)</f>
        <v>0</v>
      </c>
    </row>
    <row r="106" spans="1:7" x14ac:dyDescent="0.2">
      <c r="B106" s="309"/>
      <c r="C106" s="310"/>
      <c r="D106" s="310"/>
    </row>
    <row r="115" spans="3:3" x14ac:dyDescent="0.2">
      <c r="C115" s="301"/>
    </row>
  </sheetData>
  <phoneticPr fontId="0" type="noConversion"/>
  <pageMargins left="0.78740157499999996" right="0.78740157499999996" top="0.984251969" bottom="0.984251969" header="0.4921259845" footer="0.4921259845"/>
  <pageSetup paperSize="9" scale="96" orientation="portrait" horizontalDpi="300" verticalDpi="300" r:id="rId1"/>
  <headerFooter alignWithMargins="0">
    <oddHeader>&amp;L&amp;"Times New Roman,Gras italique"&amp;12Sté : ...............................</oddHeader>
  </headerFooter>
  <rowBreaks count="1" manualBreakCount="1">
    <brk id="61"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7">
    <tabColor rgb="FFFFFF00"/>
    <pageSetUpPr fitToPage="1"/>
  </sheetPr>
  <dimension ref="A1:K21"/>
  <sheetViews>
    <sheetView showGridLines="0" workbookViewId="0"/>
  </sheetViews>
  <sheetFormatPr baseColWidth="10" defaultColWidth="12" defaultRowHeight="12.75" x14ac:dyDescent="0.2"/>
  <cols>
    <col min="1" max="1" width="20.83203125" style="2" customWidth="1"/>
    <col min="2" max="2" width="13.33203125" style="2" bestFit="1" customWidth="1"/>
    <col min="3" max="3" width="12.1640625" style="2" bestFit="1" customWidth="1"/>
    <col min="4" max="4" width="16.33203125" style="2" bestFit="1" customWidth="1"/>
    <col min="5" max="5" width="12.1640625" style="2" bestFit="1" customWidth="1"/>
    <col min="6" max="6" width="18.33203125" style="2" bestFit="1" customWidth="1"/>
    <col min="7" max="7" width="18.83203125" style="2" bestFit="1" customWidth="1"/>
    <col min="8" max="8" width="14.6640625" style="2" customWidth="1"/>
    <col min="9" max="9" width="15.6640625" style="2" customWidth="1"/>
    <col min="10" max="10" width="13.83203125" style="2" customWidth="1"/>
    <col min="11" max="11" width="14" style="2" bestFit="1" customWidth="1"/>
    <col min="12" max="16384" width="12" style="2"/>
  </cols>
  <sheetData>
    <row r="1" spans="1:11" ht="13.5" x14ac:dyDescent="0.25">
      <c r="A1" s="608" t="s">
        <v>945</v>
      </c>
      <c r="B1" s="143"/>
      <c r="C1" s="143"/>
      <c r="D1" s="143"/>
      <c r="E1" s="143"/>
      <c r="F1" s="143"/>
      <c r="G1" s="143"/>
      <c r="H1" s="143"/>
      <c r="I1" s="143"/>
      <c r="J1" s="143"/>
      <c r="K1" s="835" t="s">
        <v>958</v>
      </c>
    </row>
    <row r="2" spans="1:11" ht="15" x14ac:dyDescent="0.25">
      <c r="A2" s="214"/>
      <c r="B2" s="215"/>
      <c r="C2" s="189"/>
      <c r="D2" s="214"/>
      <c r="E2" s="188" t="s">
        <v>729</v>
      </c>
      <c r="F2" s="214"/>
      <c r="G2" s="189"/>
      <c r="H2" s="189"/>
      <c r="I2" s="189"/>
      <c r="J2" s="1160"/>
      <c r="K2" s="1160"/>
    </row>
    <row r="3" spans="1:11" x14ac:dyDescent="0.2">
      <c r="A3" s="186"/>
      <c r="B3" s="186"/>
      <c r="C3" s="186"/>
      <c r="D3" s="186"/>
      <c r="E3" s="186"/>
      <c r="F3" s="186"/>
      <c r="G3" s="186"/>
      <c r="H3" s="186"/>
      <c r="I3" s="186"/>
      <c r="J3" s="186"/>
      <c r="K3" s="186"/>
    </row>
    <row r="4" spans="1:11" x14ac:dyDescent="0.2">
      <c r="A4" s="186"/>
      <c r="B4" s="186"/>
      <c r="C4" s="186"/>
      <c r="D4" s="186"/>
      <c r="E4" s="186"/>
      <c r="F4" s="186"/>
      <c r="G4" s="186"/>
      <c r="H4" s="186"/>
      <c r="I4" s="186" t="str">
        <f>+'B9-Eng fin'!C8</f>
        <v>Exercice clos le :</v>
      </c>
      <c r="J4" s="216"/>
      <c r="K4" s="284" t="str">
        <f>'T5 ESG'!$G$3</f>
        <v>31/12/2015</v>
      </c>
    </row>
    <row r="5" spans="1:11" x14ac:dyDescent="0.2">
      <c r="A5" s="142"/>
      <c r="B5" s="217" t="s">
        <v>730</v>
      </c>
      <c r="C5" s="217" t="s">
        <v>731</v>
      </c>
      <c r="D5" s="217" t="s">
        <v>732</v>
      </c>
      <c r="E5" s="217" t="s">
        <v>731</v>
      </c>
      <c r="F5" s="217" t="s">
        <v>733</v>
      </c>
      <c r="G5" s="217" t="s">
        <v>734</v>
      </c>
      <c r="H5" s="1161" t="s">
        <v>88</v>
      </c>
      <c r="I5" s="1162"/>
      <c r="J5" s="217" t="s">
        <v>735</v>
      </c>
      <c r="K5" s="217"/>
    </row>
    <row r="6" spans="1:11" x14ac:dyDescent="0.2">
      <c r="A6" s="218"/>
      <c r="B6" s="219" t="s">
        <v>736</v>
      </c>
      <c r="C6" s="219" t="s">
        <v>737</v>
      </c>
      <c r="D6" s="219" t="s">
        <v>738</v>
      </c>
      <c r="E6" s="219" t="s">
        <v>739</v>
      </c>
      <c r="F6" s="219" t="s">
        <v>740</v>
      </c>
      <c r="G6" s="219" t="s">
        <v>741</v>
      </c>
      <c r="H6" s="1163" t="s">
        <v>742</v>
      </c>
      <c r="I6" s="1164"/>
      <c r="J6" s="219" t="s">
        <v>743</v>
      </c>
      <c r="K6" s="219" t="s">
        <v>744</v>
      </c>
    </row>
    <row r="7" spans="1:11" x14ac:dyDescent="0.2">
      <c r="A7" s="218" t="s">
        <v>745</v>
      </c>
      <c r="B7" s="219" t="s">
        <v>746</v>
      </c>
      <c r="C7" s="219" t="s">
        <v>747</v>
      </c>
      <c r="D7" s="219" t="s">
        <v>748</v>
      </c>
      <c r="E7" s="219" t="s">
        <v>749</v>
      </c>
      <c r="F7" s="219" t="s">
        <v>102</v>
      </c>
      <c r="G7" s="219" t="s">
        <v>750</v>
      </c>
      <c r="H7" s="219" t="s">
        <v>751</v>
      </c>
      <c r="I7" s="219" t="s">
        <v>752</v>
      </c>
      <c r="J7" s="219" t="s">
        <v>753</v>
      </c>
      <c r="K7" s="219"/>
    </row>
    <row r="8" spans="1:11" x14ac:dyDescent="0.2">
      <c r="A8" s="218"/>
      <c r="B8" s="219"/>
      <c r="C8" s="219"/>
      <c r="D8" s="219" t="s">
        <v>754</v>
      </c>
      <c r="E8" s="219" t="s">
        <v>755</v>
      </c>
      <c r="F8" s="219" t="s">
        <v>756</v>
      </c>
      <c r="G8" s="219" t="s">
        <v>757</v>
      </c>
      <c r="H8" s="219" t="s">
        <v>758</v>
      </c>
      <c r="I8" s="219" t="s">
        <v>758</v>
      </c>
      <c r="J8" s="219" t="s">
        <v>759</v>
      </c>
      <c r="K8" s="219"/>
    </row>
    <row r="9" spans="1:11" x14ac:dyDescent="0.2">
      <c r="A9" s="218"/>
      <c r="B9" s="219"/>
      <c r="C9" s="219"/>
      <c r="D9" s="219" t="s">
        <v>759</v>
      </c>
      <c r="E9" s="219" t="s">
        <v>760</v>
      </c>
      <c r="F9" s="219" t="s">
        <v>757</v>
      </c>
      <c r="G9" s="219"/>
      <c r="H9" s="219"/>
      <c r="I9" s="219"/>
      <c r="J9" s="219"/>
      <c r="K9" s="219"/>
    </row>
    <row r="10" spans="1:11" x14ac:dyDescent="0.2">
      <c r="A10" s="220">
        <v>1</v>
      </c>
      <c r="B10" s="243">
        <v>2</v>
      </c>
      <c r="C10" s="243">
        <v>3</v>
      </c>
      <c r="D10" s="243">
        <v>4</v>
      </c>
      <c r="E10" s="243">
        <v>5</v>
      </c>
      <c r="F10" s="243">
        <v>6</v>
      </c>
      <c r="G10" s="243">
        <v>7</v>
      </c>
      <c r="H10" s="243">
        <v>8</v>
      </c>
      <c r="I10" s="243">
        <v>9</v>
      </c>
      <c r="J10" s="243">
        <v>10</v>
      </c>
      <c r="K10" s="243">
        <v>11</v>
      </c>
    </row>
    <row r="11" spans="1:11" ht="29.25" customHeight="1" x14ac:dyDescent="0.2">
      <c r="A11" s="667"/>
      <c r="B11" s="760"/>
      <c r="C11" s="721"/>
      <c r="D11" s="667"/>
      <c r="E11" s="667"/>
      <c r="F11" s="667"/>
      <c r="G11" s="667"/>
      <c r="H11" s="667"/>
      <c r="I11" s="667"/>
      <c r="J11" s="667"/>
      <c r="K11" s="667"/>
    </row>
    <row r="12" spans="1:11" ht="29.25" customHeight="1" x14ac:dyDescent="0.2">
      <c r="A12" s="667"/>
      <c r="B12" s="720"/>
      <c r="C12" s="721"/>
      <c r="D12" s="667"/>
      <c r="E12" s="667"/>
      <c r="F12" s="667"/>
      <c r="G12" s="667"/>
      <c r="H12" s="667"/>
      <c r="I12" s="667"/>
      <c r="J12" s="667"/>
      <c r="K12" s="667"/>
    </row>
    <row r="13" spans="1:11" ht="29.25" customHeight="1" x14ac:dyDescent="0.2">
      <c r="A13" s="667"/>
      <c r="B13" s="720"/>
      <c r="C13" s="721"/>
      <c r="D13" s="667"/>
      <c r="E13" s="667"/>
      <c r="F13" s="667"/>
      <c r="G13" s="667"/>
      <c r="H13" s="667"/>
      <c r="I13" s="667"/>
      <c r="J13" s="667"/>
      <c r="K13" s="667"/>
    </row>
    <row r="14" spans="1:11" ht="29.25" customHeight="1" x14ac:dyDescent="0.2">
      <c r="A14" s="667"/>
      <c r="B14" s="667"/>
      <c r="C14" s="667"/>
      <c r="D14" s="667"/>
      <c r="E14" s="667"/>
      <c r="F14" s="667"/>
      <c r="G14" s="667"/>
      <c r="H14" s="667"/>
      <c r="I14" s="667"/>
      <c r="J14" s="667"/>
      <c r="K14" s="667"/>
    </row>
    <row r="15" spans="1:11" ht="29.25" customHeight="1" x14ac:dyDescent="0.2">
      <c r="A15" s="667"/>
      <c r="B15" s="667"/>
      <c r="C15" s="667"/>
      <c r="D15" s="667"/>
      <c r="E15" s="667"/>
      <c r="F15" s="667"/>
      <c r="G15" s="667"/>
      <c r="H15" s="667"/>
      <c r="I15" s="667"/>
      <c r="J15" s="667"/>
      <c r="K15" s="667"/>
    </row>
    <row r="16" spans="1:11" ht="29.25" customHeight="1" x14ac:dyDescent="0.2">
      <c r="A16" s="667"/>
      <c r="B16" s="667"/>
      <c r="C16" s="667"/>
      <c r="D16" s="667"/>
      <c r="E16" s="667"/>
      <c r="F16" s="667"/>
      <c r="G16" s="667"/>
      <c r="H16" s="667"/>
      <c r="I16" s="667"/>
      <c r="J16" s="667"/>
      <c r="K16" s="667"/>
    </row>
    <row r="17" spans="1:11" s="221" customFormat="1" ht="28.5" customHeight="1" x14ac:dyDescent="0.2">
      <c r="A17" s="685"/>
      <c r="B17" s="685"/>
      <c r="C17" s="685"/>
      <c r="D17" s="685"/>
      <c r="E17" s="685"/>
      <c r="F17" s="685">
        <f>SUM(F11:F16)</f>
        <v>0</v>
      </c>
      <c r="G17" s="685">
        <f>SUM(G11:G16)</f>
        <v>0</v>
      </c>
      <c r="H17" s="685">
        <f>SUM(H11:H16)</f>
        <v>0</v>
      </c>
      <c r="I17" s="685">
        <f>SUM(I11:I16)</f>
        <v>0</v>
      </c>
      <c r="J17" s="685">
        <f>SUM(J11:J16)</f>
        <v>0</v>
      </c>
      <c r="K17" s="685"/>
    </row>
    <row r="19" spans="1:11" x14ac:dyDescent="0.2">
      <c r="A19" s="836" t="s">
        <v>966</v>
      </c>
      <c r="G19" s="16">
        <f>'T6 TB11'!C24</f>
        <v>0</v>
      </c>
    </row>
    <row r="21" spans="1:11" x14ac:dyDescent="0.2">
      <c r="A21" s="836" t="s">
        <v>7</v>
      </c>
      <c r="G21" s="837">
        <f>G17-G19</f>
        <v>0</v>
      </c>
    </row>
  </sheetData>
  <mergeCells count="3">
    <mergeCell ref="J2:K2"/>
    <mergeCell ref="H5:I5"/>
    <mergeCell ref="H6:I6"/>
  </mergeCells>
  <phoneticPr fontId="28" type="noConversion"/>
  <pageMargins left="0.78740157499999996" right="0.78740157499999996" top="0.984251969" bottom="0.984251969" header="0.4921259845" footer="0.4921259845"/>
  <pageSetup paperSize="9" scale="85" orientation="landscape" horizontalDpi="300" verticalDpi="300" r:id="rId1"/>
  <headerFooter alignWithMargins="0">
    <oddHeader>&amp;L&amp;"Times New Roman,Gras italique"&amp;12Sté :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8">
    <tabColor rgb="FFFFFF00"/>
  </sheetPr>
  <dimension ref="A1:G34"/>
  <sheetViews>
    <sheetView workbookViewId="0"/>
  </sheetViews>
  <sheetFormatPr baseColWidth="10" defaultColWidth="12" defaultRowHeight="12.75" x14ac:dyDescent="0.2"/>
  <cols>
    <col min="1" max="1" width="46.33203125" style="2" bestFit="1" customWidth="1"/>
    <col min="2" max="2" width="24" style="16" customWidth="1"/>
    <col min="3" max="3" width="21.6640625" style="2" customWidth="1"/>
    <col min="4" max="4" width="21.1640625" style="2" customWidth="1"/>
    <col min="5" max="5" width="23.1640625" style="2" customWidth="1"/>
    <col min="6" max="6" width="15.6640625" style="2" bestFit="1" customWidth="1"/>
    <col min="7" max="16384" width="12" style="2"/>
  </cols>
  <sheetData>
    <row r="1" spans="1:7" ht="13.5" x14ac:dyDescent="0.25">
      <c r="A1" s="608" t="s">
        <v>946</v>
      </c>
      <c r="B1" s="578"/>
      <c r="C1" s="4"/>
      <c r="D1" s="4"/>
      <c r="E1" s="835" t="s">
        <v>959</v>
      </c>
    </row>
    <row r="2" spans="1:7" ht="15" x14ac:dyDescent="0.25">
      <c r="A2" s="188" t="s">
        <v>761</v>
      </c>
      <c r="B2" s="579"/>
      <c r="C2" s="189"/>
      <c r="D2" s="189"/>
      <c r="E2" s="188"/>
    </row>
    <row r="3" spans="1:7" x14ac:dyDescent="0.2">
      <c r="A3" s="4"/>
      <c r="B3" s="578"/>
      <c r="C3" s="4"/>
      <c r="D3" s="4"/>
      <c r="E3" s="4"/>
    </row>
    <row r="4" spans="1:7" x14ac:dyDescent="0.2">
      <c r="A4" s="4"/>
      <c r="B4" s="578"/>
      <c r="C4" s="4"/>
      <c r="D4" s="283" t="s">
        <v>18</v>
      </c>
      <c r="E4" s="284" t="str">
        <f>'T5 ESG'!$G$3</f>
        <v>31/12/2015</v>
      </c>
    </row>
    <row r="5" spans="1:7" x14ac:dyDescent="0.2">
      <c r="A5" s="141"/>
      <c r="B5" s="580" t="s">
        <v>762</v>
      </c>
      <c r="C5" s="141" t="s">
        <v>763</v>
      </c>
      <c r="D5" s="260" t="s">
        <v>764</v>
      </c>
      <c r="E5" s="142" t="s">
        <v>765</v>
      </c>
    </row>
    <row r="6" spans="1:7" x14ac:dyDescent="0.2">
      <c r="A6" s="261" t="s">
        <v>370</v>
      </c>
      <c r="B6" s="581" t="s">
        <v>766</v>
      </c>
      <c r="C6" s="261" t="s">
        <v>767</v>
      </c>
      <c r="D6" s="261" t="s">
        <v>768</v>
      </c>
      <c r="E6" s="218" t="s">
        <v>769</v>
      </c>
    </row>
    <row r="7" spans="1:7" x14ac:dyDescent="0.2">
      <c r="A7" s="262"/>
      <c r="B7" s="581"/>
      <c r="C7" s="261"/>
      <c r="D7" s="261" t="s">
        <v>770</v>
      </c>
      <c r="E7" s="218" t="s">
        <v>766</v>
      </c>
    </row>
    <row r="8" spans="1:7" x14ac:dyDescent="0.2">
      <c r="A8" s="263"/>
      <c r="B8" s="263">
        <v>1</v>
      </c>
      <c r="C8" s="263">
        <v>2</v>
      </c>
      <c r="D8" s="263">
        <v>3</v>
      </c>
      <c r="E8" s="220" t="s">
        <v>771</v>
      </c>
      <c r="F8" s="2" t="s">
        <v>7</v>
      </c>
    </row>
    <row r="9" spans="1:7" x14ac:dyDescent="0.2">
      <c r="A9" s="139" t="s">
        <v>772</v>
      </c>
      <c r="B9" s="582">
        <f>SUM(B11:B13)</f>
        <v>0</v>
      </c>
      <c r="C9" s="582">
        <f>SUM(C11:C13)</f>
        <v>0</v>
      </c>
      <c r="D9" s="582">
        <f>SUM(D11:D13)</f>
        <v>0</v>
      </c>
      <c r="E9" s="582">
        <f>SUM(E10:E13)</f>
        <v>0</v>
      </c>
      <c r="F9" s="16">
        <f>SUM(F11:F13)</f>
        <v>0</v>
      </c>
      <c r="G9" s="567"/>
    </row>
    <row r="10" spans="1:7" x14ac:dyDescent="0.2">
      <c r="A10" s="160"/>
      <c r="C10" s="198"/>
      <c r="D10" s="585"/>
      <c r="E10" s="198"/>
      <c r="F10" s="16"/>
      <c r="G10" s="567"/>
    </row>
    <row r="11" spans="1:7" x14ac:dyDescent="0.2">
      <c r="A11" s="195" t="s">
        <v>773</v>
      </c>
      <c r="B11" s="198">
        <f>SUMIF('Balance N-1 Retraitée'!A:A,"2811*",'Balance N-1 Retraitée'!H:H)-SUMIF('Balance N-1 Retraitée'!A:A,"2811*",'Balance N-1 Retraitée'!G:G)</f>
        <v>0</v>
      </c>
      <c r="C11" s="198">
        <f>SUMIF('Balance N Retraitée'!A:A,"2811*",'Balance N Retraitée'!F:F)</f>
        <v>0</v>
      </c>
      <c r="D11" s="585">
        <f>SUMIF('Balance N Retraitée'!A:A,"2811*",'Balance N Retraitée'!E:E)</f>
        <v>0</v>
      </c>
      <c r="E11" s="198">
        <f>+B11+C11-D11</f>
        <v>0</v>
      </c>
      <c r="F11" s="16">
        <f>SUMIF('Balance N Retraitée'!A:A,"2811*",'Balance N Retraitée'!H:H)-SUMIF('Balance N Retraitée'!A:A,"2811*",'Balance N Retraitée'!G:G)-E11</f>
        <v>0</v>
      </c>
      <c r="G11" s="567"/>
    </row>
    <row r="12" spans="1:7" x14ac:dyDescent="0.2">
      <c r="A12" s="195" t="s">
        <v>776</v>
      </c>
      <c r="B12" s="198">
        <f>SUMIF('Balance N-1 Retraitée'!A:A,"2812*",'Balance N-1 Retraitée'!H:H)-SUMIF('Balance N-1 Retraitée'!A:A,"2812*",'Balance N-1 Retraitée'!G:G)</f>
        <v>0</v>
      </c>
      <c r="C12" s="583">
        <f>SUMIF('Balance N Retraitée'!A:A,"2812*",'Balance N Retraitée'!F:F)</f>
        <v>0</v>
      </c>
      <c r="D12" s="585">
        <f>+SUMIF('Balance N Retraitée'!A:A,"2812*",'Balance N Retraitée'!E:E)</f>
        <v>0</v>
      </c>
      <c r="E12" s="198">
        <f>+B12+C12-D12</f>
        <v>0</v>
      </c>
      <c r="F12" s="16">
        <f>SUMIF('Balance N Retraitée'!A:A,"2812*",'Balance N Retraitée'!H:H)-SUMIF('Balance N Retraitée'!A:A,"2812*",'Balance N Retraitée'!G:G)-E12</f>
        <v>0</v>
      </c>
      <c r="G12" s="567"/>
    </row>
    <row r="13" spans="1:7" x14ac:dyDescent="0.2">
      <c r="A13" s="201" t="s">
        <v>777</v>
      </c>
      <c r="B13" s="198">
        <f>SUMIF('Balance N-1 Retraitée'!A:A,"2813*",'Balance N-1 Retraitée'!H:H)-SUMIF('Balance N-1 Retraitée'!A:A,"2813*",'Balance N-1 Retraitée'!G:G)</f>
        <v>0</v>
      </c>
      <c r="C13" s="198">
        <f>SUMIF('Balance N Retraitée'!A:A,"2813*",'Balance N Retraitée'!F:F)</f>
        <v>0</v>
      </c>
      <c r="D13" s="585">
        <f>+SUMIF('Balance N Retraitée'!A:A,"2813*",'Balance N Retraitée'!E:E)</f>
        <v>0</v>
      </c>
      <c r="E13" s="198">
        <f>+B13+C13-D13</f>
        <v>0</v>
      </c>
      <c r="F13" s="16">
        <f>SUMIF('Balance N Retraitée'!A:A,"2813*",'Balance N Retraitée'!H:H)-SUMIF('Balance N Retraitée'!A:A,"2813*",'Balance N Retraitée'!G:G)-E13</f>
        <v>0</v>
      </c>
      <c r="G13" s="567"/>
    </row>
    <row r="14" spans="1:7" x14ac:dyDescent="0.2">
      <c r="A14" s="201"/>
      <c r="B14" s="198"/>
      <c r="C14" s="198"/>
      <c r="D14" s="585"/>
      <c r="E14" s="198">
        <f>+B14+C14-D14</f>
        <v>0</v>
      </c>
      <c r="F14" s="16"/>
      <c r="G14" s="567"/>
    </row>
    <row r="15" spans="1:7" x14ac:dyDescent="0.2">
      <c r="A15" s="195"/>
      <c r="B15" s="198"/>
      <c r="C15" s="198"/>
      <c r="D15" s="585"/>
      <c r="E15" s="198">
        <f>SUMIF('Balance N Retraitée'!A:A,"7138*",'Balance N Retraitée'!H:H)-SUMIF('Balance N Retraitée'!A:A,"7138*",'Balance N Retraitée'!G:G)</f>
        <v>0</v>
      </c>
      <c r="F15" s="16"/>
      <c r="G15" s="567"/>
    </row>
    <row r="16" spans="1:7" x14ac:dyDescent="0.2">
      <c r="A16" s="139" t="s">
        <v>778</v>
      </c>
      <c r="B16" s="582">
        <f>SUM(B18:B21)</f>
        <v>0</v>
      </c>
      <c r="C16" s="582">
        <f>SUM(C18:C21)</f>
        <v>0</v>
      </c>
      <c r="D16" s="582">
        <f>SUM(D18:D21)</f>
        <v>0</v>
      </c>
      <c r="E16" s="582">
        <f>SUM(E18:E21)</f>
        <v>0</v>
      </c>
      <c r="F16" s="16">
        <f>SUM(F18:F21)</f>
        <v>0</v>
      </c>
      <c r="G16" s="567"/>
    </row>
    <row r="17" spans="1:7" x14ac:dyDescent="0.2">
      <c r="A17" s="195"/>
      <c r="B17" s="198"/>
      <c r="C17" s="198"/>
      <c r="D17" s="585"/>
      <c r="E17" s="198"/>
      <c r="F17" s="16"/>
      <c r="G17" s="567"/>
    </row>
    <row r="18" spans="1:7" x14ac:dyDescent="0.2">
      <c r="A18" s="195" t="s">
        <v>779</v>
      </c>
      <c r="B18" s="198">
        <f>SUMIF('Balance N-1 Retraitée'!A:A,"2821*",'Balance N-1 Retraitée'!H:H)-SUMIF('Balance N-1 Retraitée'!A:A,"2821*",'Balance N-1 Retraitée'!G:G)</f>
        <v>0</v>
      </c>
      <c r="C18" s="198">
        <f>SUMIF('Balance N Retraitée'!A:A,"2821*",'Balance N Retraitée'!F:F)</f>
        <v>0</v>
      </c>
      <c r="D18" s="585">
        <f>+SUMIF('Balance N Retraitée'!A:A,"2821*",'Balance N Retraitée'!E:E)</f>
        <v>0</v>
      </c>
      <c r="E18" s="198">
        <f>+B18+C18-D18</f>
        <v>0</v>
      </c>
      <c r="F18" s="16">
        <f>SUMIF('Balance N Retraitée'!A:A,"2821*",'Balance N Retraitée'!H:H)-SUMIF('Balance N Retraitée'!A:A,"2821*",'Balance N Retraitée'!G:G)-E18</f>
        <v>0</v>
      </c>
      <c r="G18" s="567"/>
    </row>
    <row r="19" spans="1:7" x14ac:dyDescent="0.2">
      <c r="A19" s="201" t="s">
        <v>780</v>
      </c>
      <c r="B19" s="198">
        <f>SUMIF('Balance N-1 Retraitée'!A:A,"2822*",'Balance N-1 Retraitée'!H:H)-SUMIF('Balance N-1 Retraitée'!A:A,"2822*",'Balance N-1 Retraitée'!G:G)</f>
        <v>0</v>
      </c>
      <c r="C19" s="198">
        <f>SUMIF('Balance N Retraitée'!A:A,"2822*",'Balance N Retraitée'!F:F)</f>
        <v>0</v>
      </c>
      <c r="D19" s="585">
        <f>+SUMIF('Balance N Retraitée'!A:A,"2822*",'Balance N Retraitée'!E:E)</f>
        <v>0</v>
      </c>
      <c r="E19" s="198">
        <f>+B19+C19-D19</f>
        <v>0</v>
      </c>
      <c r="F19" s="16">
        <f>SUMIF('Balance N Retraitée'!A:A,"2822*",'Balance N Retraitée'!H:H)-SUMIF('Balance N Retraitée'!A:A,"2822*",'Balance N Retraitée'!G:G)-E19</f>
        <v>0</v>
      </c>
      <c r="G19" s="567"/>
    </row>
    <row r="20" spans="1:7" x14ac:dyDescent="0.2">
      <c r="A20" s="201" t="s">
        <v>523</v>
      </c>
      <c r="B20" s="198">
        <f>SUMIF('Balance N-1 Retraitée'!A:A,"2823*",'Balance N-1 Retraitée'!H:H)-SUMIF('Balance N-1 Retraitée'!A:A,"2823*",'Balance N-1 Retraitée'!G:G)</f>
        <v>0</v>
      </c>
      <c r="C20" s="198">
        <f>SUMIF('Balance N Retraitée'!A:A,"2823*",'Balance N Retraitée'!F:F)</f>
        <v>0</v>
      </c>
      <c r="D20" s="585">
        <f>+SUMIF('Balance N Retraitée'!A:A,"2823*",'Balance N Retraitée'!E:E)</f>
        <v>0</v>
      </c>
      <c r="E20" s="198">
        <f>+B20+C20-D20</f>
        <v>0</v>
      </c>
      <c r="F20" s="16">
        <f>SUMIF('Balance N Retraitée'!A:A,"2823*",'Balance N Retraitée'!H:H)-SUMIF('Balance N Retraitée'!A:A,"2823*",'Balance N Retraitée'!G:G)-E20</f>
        <v>0</v>
      </c>
      <c r="G20" s="567"/>
    </row>
    <row r="21" spans="1:7" x14ac:dyDescent="0.2">
      <c r="A21" s="201" t="s">
        <v>781</v>
      </c>
      <c r="B21" s="198">
        <f>SUMIF('Balance N-1 Retraitée'!A:A,"2828*",'Balance N-1 Retraitée'!H:H)-SUMIF('Balance N-1 Retraitée'!A:A,"2828*",'Balance N-1 Retraitée'!G:G)</f>
        <v>0</v>
      </c>
      <c r="C21" s="584">
        <f>SUMIF('Balance N Retraitée'!A:A,"2828*",'Balance N Retraitée'!F:F)</f>
        <v>0</v>
      </c>
      <c r="D21" s="585">
        <f>+SUMIF('Balance N Retraitée'!A:A,"2828*",'Balance N Retraitée'!E:E)</f>
        <v>0</v>
      </c>
      <c r="E21" s="198">
        <f>+B21+C21-D21</f>
        <v>0</v>
      </c>
      <c r="F21" s="16">
        <f>SUMIF('Balance N Retraitée'!A:A,"2828*",'Balance N Retraitée'!H:H)-SUMIF('Balance N Retraitée'!A:A,"2828*",'Balance N Retraitée'!G:G)-E21</f>
        <v>0</v>
      </c>
      <c r="G21" s="567"/>
    </row>
    <row r="22" spans="1:7" x14ac:dyDescent="0.2">
      <c r="A22" s="195"/>
      <c r="B22" s="198"/>
      <c r="C22" s="198"/>
      <c r="D22" s="585"/>
      <c r="E22" s="198"/>
      <c r="F22" s="16"/>
      <c r="G22" s="567"/>
    </row>
    <row r="23" spans="1:7" x14ac:dyDescent="0.2">
      <c r="A23" s="828" t="s">
        <v>525</v>
      </c>
      <c r="B23" s="582">
        <f>SUM(B24:B31)</f>
        <v>0</v>
      </c>
      <c r="C23" s="582">
        <f>SUM(C24:C31)</f>
        <v>0</v>
      </c>
      <c r="D23" s="582">
        <f>SUM(D24:D31)</f>
        <v>0</v>
      </c>
      <c r="E23" s="582">
        <f>SUM(E24:E31)</f>
        <v>0</v>
      </c>
      <c r="F23" s="16">
        <f>SUM(F24:F31)</f>
        <v>0</v>
      </c>
      <c r="G23" s="567"/>
    </row>
    <row r="24" spans="1:7" x14ac:dyDescent="0.2">
      <c r="A24" s="195"/>
      <c r="B24" s="198"/>
      <c r="C24" s="198"/>
      <c r="D24" s="585"/>
      <c r="E24" s="198"/>
      <c r="F24" s="16"/>
      <c r="G24" s="567"/>
    </row>
    <row r="25" spans="1:7" x14ac:dyDescent="0.2">
      <c r="A25" s="201" t="s">
        <v>526</v>
      </c>
      <c r="B25" s="198">
        <f>SUMIF('Balance N-1 Retraitée'!A:A,"2831*",'Balance N-1 Retraitée'!H:H)-SUMIF('Balance N-1 Retraitée'!A:A,"2831*",'Balance N-1 Retraitée'!G:G)</f>
        <v>0</v>
      </c>
      <c r="C25" s="198">
        <f>SUMIF('Balance N Retraitée'!A:A,"2831*",'Balance N Retraitée'!F:F)</f>
        <v>0</v>
      </c>
      <c r="D25" s="585">
        <f>+SUMIF('Balance N Retraitée'!A:A,"2831*",'Balance N Retraitée'!E:E)</f>
        <v>0</v>
      </c>
      <c r="E25" s="198">
        <f t="shared" ref="E25:E30" si="0">+B25+C25-D25</f>
        <v>0</v>
      </c>
      <c r="F25" s="16">
        <f>SUMIF('Balance N Retraitée'!A:A,"2831*",'Balance N Retraitée'!H:H)-SUMIF('Balance N Retraitée'!A:A,"2831*",'Balance N Retraitée'!G:G)-E25</f>
        <v>0</v>
      </c>
      <c r="G25" s="567"/>
    </row>
    <row r="26" spans="1:7" x14ac:dyDescent="0.2">
      <c r="A26" s="201" t="s">
        <v>782</v>
      </c>
      <c r="B26" s="198">
        <f>SUMIF('Balance N-1 Retraitée'!A:A,"2832*",'Balance N-1 Retraitée'!H:H)-SUMIF('Balance N-1 Retraitée'!A:A,"2832*",'Balance N-1 Retraitée'!G:G)</f>
        <v>0</v>
      </c>
      <c r="C26" s="584">
        <f>SUMIF('Balance N Retraitée'!A:A,"2832*",'Balance N Retraitée'!F:F)</f>
        <v>0</v>
      </c>
      <c r="D26" s="585">
        <f>+SUMIF('Balance N Retraitée'!A:A,"2832*",'Balance N Retraitée'!E:E)</f>
        <v>0</v>
      </c>
      <c r="E26" s="198">
        <f t="shared" si="0"/>
        <v>0</v>
      </c>
      <c r="F26" s="16">
        <f>SUMIF('Balance N Retraitée'!A:A,"2832*",'Balance N Retraitée'!H:H)-SUMIF('Balance N Retraitée'!A:A,"2832*",'Balance N Retraitée'!G:G)-E26</f>
        <v>0</v>
      </c>
      <c r="G26" s="567"/>
    </row>
    <row r="27" spans="1:7" x14ac:dyDescent="0.2">
      <c r="A27" s="201" t="s">
        <v>783</v>
      </c>
      <c r="B27" s="198">
        <f>SUMIF('Balance N-1 Retraitée'!A:A,"2833*",'Balance N-1 Retraitée'!H:H)-SUMIF('Balance N-1 Retraitée'!A:A,"2833*",'Balance N-1 Retraitée'!G:G)</f>
        <v>0</v>
      </c>
      <c r="C27" s="584">
        <f>SUMIF('Balance N Retraitée'!A:A,"2833*",'Balance N Retraitée'!F:F)</f>
        <v>0</v>
      </c>
      <c r="D27" s="586">
        <f>+SUMIF('Balance N Retraitée'!A:A,"2833*",'Balance N Retraitée'!E:E)</f>
        <v>0</v>
      </c>
      <c r="E27" s="198">
        <f t="shared" si="0"/>
        <v>0</v>
      </c>
      <c r="F27" s="16">
        <f>SUMIF('Balance N Retraitée'!A:A,"2833*",'Balance N Retraitée'!H:H)-SUMIF('Balance N Retraitée'!A:A,"2833*",'Balance N Retraitée'!G:G)-E27</f>
        <v>0</v>
      </c>
      <c r="G27" s="567"/>
    </row>
    <row r="28" spans="1:7" x14ac:dyDescent="0.2">
      <c r="A28" s="201" t="s">
        <v>527</v>
      </c>
      <c r="B28" s="198">
        <f>SUMIF('Balance N-1 Retraitée'!A:A,"2834*",'Balance N-1 Retraitée'!H:H)-SUMIF('Balance N-1 Retraitée'!A:A,"2834*",'Balance N-1 Retraitée'!G:G)</f>
        <v>0</v>
      </c>
      <c r="C28" s="584">
        <f>SUMIF('Balance N Retraitée'!A:A,"2834*",'Balance N Retraitée'!F:F)</f>
        <v>0</v>
      </c>
      <c r="D28" s="587">
        <f>+SUMIF('Balance N Retraitée'!A:A,"2834*",'Balance N Retraitée'!E:E)</f>
        <v>0</v>
      </c>
      <c r="E28" s="198">
        <f t="shared" si="0"/>
        <v>0</v>
      </c>
      <c r="F28" s="16">
        <f>SUMIF('Balance N Retraitée'!A:A,"2834*",'Balance N Retraitée'!H:H)-SUMIF('Balance N Retraitée'!A:A,"2834*",'Balance N Retraitée'!G:G)-E28</f>
        <v>0</v>
      </c>
      <c r="G28" s="567"/>
    </row>
    <row r="29" spans="1:7" x14ac:dyDescent="0.2">
      <c r="A29" s="201" t="s">
        <v>784</v>
      </c>
      <c r="B29" s="198">
        <f>SUMIF('Balance N-1 Retraitée'!A:A,"2835*",'Balance N-1 Retraitée'!H:H)-SUMIF('Balance N-1 Retraitée'!A:A,"2835*",'Balance N-1 Retraitée'!G:G)</f>
        <v>0</v>
      </c>
      <c r="C29" s="1098">
        <f>SUMIF('Balance N Retraitée'!A:A,"2835*",'Balance N Retraitée'!F:F)</f>
        <v>0</v>
      </c>
      <c r="D29" s="585">
        <f>+SUMIF('Balance N Retraitée'!A:A,"2835*",'Balance N Retraitée'!E:E)</f>
        <v>0</v>
      </c>
      <c r="E29" s="198">
        <f t="shared" si="0"/>
        <v>0</v>
      </c>
      <c r="F29" s="16">
        <f>SUMIF('Balance N Retraitée'!A:A,"2835*",'Balance N Retraitée'!H:H)-SUMIF('Balance N Retraitée'!A:A,"2835*",'Balance N Retraitée'!G:G)-E29</f>
        <v>0</v>
      </c>
      <c r="G29" s="567"/>
    </row>
    <row r="30" spans="1:7" x14ac:dyDescent="0.2">
      <c r="A30" s="201" t="s">
        <v>29</v>
      </c>
      <c r="B30" s="198">
        <f>SUMIF('Balance N-1 Retraitée'!A:A,"2838*",'Balance N-1 Retraitée'!H:H)-SUMIF('Balance N-1 Retraitée'!A:A,"2838*",'Balance N-1 Retraitée'!G:G)</f>
        <v>0</v>
      </c>
      <c r="C30" s="198">
        <f>SUMIF('Balance N Retraitée'!A:A,"2838*",'Balance N Retraitée'!F:F)</f>
        <v>0</v>
      </c>
      <c r="D30" s="585">
        <f>+SUMIF('Balance N Retraitée'!A:A,"2838*",'Balance N Retraitée'!E:E)</f>
        <v>0</v>
      </c>
      <c r="E30" s="198">
        <f t="shared" si="0"/>
        <v>0</v>
      </c>
      <c r="F30" s="16">
        <f>SUMIF('Balance N Retraitée'!A:A,"2838*",'Balance N Retraitée'!H:H)-SUMIF('Balance N Retraitée'!A:A,"2838*",'Balance N Retraitée'!G:G)-E30</f>
        <v>0</v>
      </c>
      <c r="G30" s="567"/>
    </row>
    <row r="31" spans="1:7" x14ac:dyDescent="0.2">
      <c r="A31" s="211" t="s">
        <v>785</v>
      </c>
      <c r="B31" s="572">
        <f>SUMIF('Balance N-1 Retraitée'!A:A,"2839*",'Balance N-1 Retraitée'!H:H)-SUMIF('Balance N-1 Retraitée'!A:A,"2839*",'Balance N-1 Retraitée'!G:G)</f>
        <v>0</v>
      </c>
      <c r="C31" s="572">
        <f>SUMIF('Balance N Retraitée'!A:A,"2839*",'Balance N Retraitée'!F:F)</f>
        <v>0</v>
      </c>
      <c r="D31" s="588">
        <f>+SUMIF('Balance N Retraitée'!A:A,"2839*",'Balance N Retraitée'!E:E)</f>
        <v>0</v>
      </c>
      <c r="E31" s="572">
        <f>+B31+C31-D31</f>
        <v>0</v>
      </c>
      <c r="F31" s="16">
        <f>SUMIF('Balance N Retraitée'!A:A,"2839*",'Balance N Retraitée'!H:H)-SUMIF('Balance N Retraitée'!A:A,"2839*",'Balance N Retraitée'!G:G)-E31</f>
        <v>0</v>
      </c>
      <c r="G31" s="567"/>
    </row>
    <row r="32" spans="1:7" x14ac:dyDescent="0.2">
      <c r="C32" s="250"/>
      <c r="E32" s="250"/>
    </row>
    <row r="33" spans="1:5" x14ac:dyDescent="0.2">
      <c r="A33" s="2" t="s">
        <v>490</v>
      </c>
      <c r="B33" s="16">
        <f>B9+B16+B23</f>
        <v>0</v>
      </c>
      <c r="C33" s="16">
        <f>C9+C16+C23</f>
        <v>0</v>
      </c>
      <c r="D33" s="16">
        <f>D9+D16+D23</f>
        <v>0</v>
      </c>
      <c r="E33" s="16">
        <f>E9+E16+E23</f>
        <v>0</v>
      </c>
    </row>
    <row r="34" spans="1:5" x14ac:dyDescent="0.2">
      <c r="E34" s="250"/>
    </row>
  </sheetData>
  <phoneticPr fontId="0" type="noConversion"/>
  <pageMargins left="0.78740157499999996" right="0.78740157499999996" top="0.984251969" bottom="0.984251969" header="0.4921259845" footer="0.4921259845"/>
  <pageSetup paperSize="9" scale="105" orientation="landscape" horizontalDpi="300" verticalDpi="300" r:id="rId1"/>
  <headerFooter alignWithMargins="0">
    <oddHeader>&amp;L&amp;"Times New Roman,Gras italique"&amp;12Sté : ...............................</oddHeader>
  </headerFooter>
  <ignoredErrors>
    <ignoredError sqref="E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tabColor rgb="FFFF0000"/>
  </sheetPr>
  <dimension ref="A7:F17"/>
  <sheetViews>
    <sheetView workbookViewId="0">
      <selection activeCell="O11" sqref="O11"/>
    </sheetView>
  </sheetViews>
  <sheetFormatPr baseColWidth="10" defaultColWidth="12" defaultRowHeight="12.75" x14ac:dyDescent="0.2"/>
  <cols>
    <col min="1" max="1" width="33.6640625" style="845" customWidth="1"/>
    <col min="2" max="2" width="12" style="845"/>
    <col min="3" max="3" width="19.33203125" style="845" customWidth="1"/>
    <col min="4" max="4" width="12" style="845"/>
    <col min="5" max="5" width="19.6640625" style="845" customWidth="1"/>
    <col min="6" max="6" width="3.1640625" style="845" customWidth="1"/>
    <col min="7" max="16384" width="12" style="845"/>
  </cols>
  <sheetData>
    <row r="7" spans="1:6" ht="18.75" x14ac:dyDescent="0.3">
      <c r="A7" s="849" t="s">
        <v>974</v>
      </c>
      <c r="B7" s="1147" t="s">
        <v>3187</v>
      </c>
      <c r="C7" s="1148"/>
      <c r="D7" s="1148"/>
      <c r="E7" s="1148"/>
      <c r="F7" s="1149"/>
    </row>
    <row r="9" spans="1:6" ht="19.5" x14ac:dyDescent="0.35">
      <c r="A9" s="849" t="s">
        <v>975</v>
      </c>
      <c r="B9" s="1150" t="s">
        <v>3188</v>
      </c>
      <c r="C9" s="1151"/>
      <c r="D9" s="1151"/>
      <c r="E9" s="1151"/>
      <c r="F9" s="1151"/>
    </row>
    <row r="11" spans="1:6" ht="19.5" x14ac:dyDescent="0.35">
      <c r="A11" s="849" t="s">
        <v>976</v>
      </c>
      <c r="B11" s="847" t="s">
        <v>977</v>
      </c>
      <c r="C11" s="995" t="s">
        <v>3189</v>
      </c>
      <c r="D11" s="848" t="s">
        <v>978</v>
      </c>
      <c r="E11" s="995" t="s">
        <v>3190</v>
      </c>
    </row>
    <row r="13" spans="1:6" ht="19.5" x14ac:dyDescent="0.35">
      <c r="A13" s="849" t="s">
        <v>979</v>
      </c>
      <c r="C13" s="850">
        <v>1087240</v>
      </c>
    </row>
    <row r="15" spans="1:6" ht="19.5" x14ac:dyDescent="0.35">
      <c r="A15" s="849" t="s">
        <v>980</v>
      </c>
      <c r="C15" s="850"/>
    </row>
    <row r="17" spans="1:3" ht="19.5" x14ac:dyDescent="0.35">
      <c r="A17" s="849" t="s">
        <v>981</v>
      </c>
      <c r="C17" s="850"/>
    </row>
  </sheetData>
  <mergeCells count="2">
    <mergeCell ref="B7:F7"/>
    <mergeCell ref="B9:F9"/>
  </mergeCells>
  <pageMargins left="0.7" right="0.7" top="0.75" bottom="0.75" header="0.3" footer="0.3"/>
  <pageSetup paperSize="9" scale="98"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9">
    <tabColor rgb="FFFFFF00"/>
  </sheetPr>
  <dimension ref="A1:K41"/>
  <sheetViews>
    <sheetView workbookViewId="0"/>
  </sheetViews>
  <sheetFormatPr baseColWidth="10" defaultColWidth="12" defaultRowHeight="12.75" x14ac:dyDescent="0.2"/>
  <cols>
    <col min="1" max="1" width="23.33203125" style="2" customWidth="1"/>
    <col min="2" max="3" width="18.33203125" style="2" bestFit="1" customWidth="1"/>
    <col min="4" max="4" width="16.83203125" style="2" customWidth="1"/>
    <col min="5" max="5" width="18.33203125" style="2" bestFit="1" customWidth="1"/>
    <col min="6" max="6" width="14" style="2" bestFit="1" customWidth="1"/>
    <col min="7" max="7" width="16.1640625" style="2" customWidth="1"/>
    <col min="8" max="8" width="19.33203125" style="2" customWidth="1"/>
    <col min="9" max="9" width="19.1640625" style="2" customWidth="1"/>
    <col min="10" max="10" width="17.6640625" style="2" bestFit="1" customWidth="1"/>
    <col min="11" max="16384" width="12" style="2"/>
  </cols>
  <sheetData>
    <row r="1" spans="1:11" ht="13.5" x14ac:dyDescent="0.25">
      <c r="A1" s="608" t="s">
        <v>947</v>
      </c>
      <c r="B1" s="4"/>
      <c r="C1" s="4"/>
      <c r="D1" s="4"/>
      <c r="E1" s="4"/>
      <c r="F1" s="4"/>
      <c r="G1" s="4"/>
      <c r="H1" s="9"/>
      <c r="I1" s="835" t="s">
        <v>960</v>
      </c>
    </row>
    <row r="2" spans="1:11" ht="15" x14ac:dyDescent="0.25">
      <c r="A2" s="190"/>
      <c r="B2" s="190"/>
      <c r="C2" s="190"/>
      <c r="D2" s="69" t="s">
        <v>786</v>
      </c>
      <c r="E2" s="190"/>
      <c r="F2" s="190"/>
      <c r="G2" s="190"/>
      <c r="H2" s="190"/>
      <c r="I2" s="190"/>
    </row>
    <row r="3" spans="1:11" x14ac:dyDescent="0.2">
      <c r="A3" s="4"/>
      <c r="B3" s="4"/>
      <c r="C3" s="4"/>
      <c r="D3" s="4"/>
      <c r="E3" s="4"/>
      <c r="F3" s="4"/>
      <c r="G3" s="4" t="str">
        <f>+'T8 B2 BIS'!D4</f>
        <v>Exercice clos le :</v>
      </c>
      <c r="H3" s="4"/>
      <c r="I3" s="284" t="str">
        <f>'T5 ESG'!$G$3</f>
        <v>31/12/2015</v>
      </c>
    </row>
    <row r="4" spans="1:11" x14ac:dyDescent="0.2">
      <c r="A4" s="142" t="s">
        <v>370</v>
      </c>
      <c r="B4" s="217" t="s">
        <v>787</v>
      </c>
      <c r="C4" s="141"/>
      <c r="D4" s="240" t="s">
        <v>788</v>
      </c>
      <c r="E4" s="217"/>
      <c r="F4" s="241"/>
      <c r="G4" s="242" t="s">
        <v>789</v>
      </c>
      <c r="H4" s="194"/>
      <c r="I4" s="142" t="s">
        <v>790</v>
      </c>
    </row>
    <row r="5" spans="1:11" x14ac:dyDescent="0.2">
      <c r="A5" s="220"/>
      <c r="B5" s="243" t="s">
        <v>766</v>
      </c>
      <c r="C5" s="244" t="s">
        <v>791</v>
      </c>
      <c r="D5" s="194" t="s">
        <v>792</v>
      </c>
      <c r="E5" s="194" t="s">
        <v>793</v>
      </c>
      <c r="F5" s="206" t="s">
        <v>794</v>
      </c>
      <c r="G5" s="243" t="s">
        <v>792</v>
      </c>
      <c r="H5" s="243" t="s">
        <v>793</v>
      </c>
      <c r="I5" s="220" t="s">
        <v>766</v>
      </c>
      <c r="J5" s="350" t="s">
        <v>7</v>
      </c>
    </row>
    <row r="6" spans="1:11" x14ac:dyDescent="0.2">
      <c r="A6" s="137" t="s">
        <v>795</v>
      </c>
      <c r="B6" s="594"/>
      <c r="C6" s="595"/>
      <c r="D6" s="594"/>
      <c r="E6" s="594"/>
      <c r="F6" s="595"/>
      <c r="G6" s="594"/>
      <c r="H6" s="594"/>
      <c r="I6" s="594"/>
    </row>
    <row r="7" spans="1:11" x14ac:dyDescent="0.2">
      <c r="A7" s="137" t="s">
        <v>796</v>
      </c>
      <c r="B7" s="594"/>
      <c r="C7" s="595"/>
      <c r="D7" s="594"/>
      <c r="E7" s="594"/>
      <c r="F7" s="595"/>
      <c r="G7" s="594"/>
      <c r="H7" s="594"/>
      <c r="I7" s="594"/>
    </row>
    <row r="8" spans="1:11" x14ac:dyDescent="0.2">
      <c r="A8" s="137" t="s">
        <v>797</v>
      </c>
      <c r="B8" s="594">
        <f>SUMIF('Balance N-1 Retraitée'!A:A,"29*",'Balance N-1 Retraitée'!H:H)-SUMIF('Balance N-1 Retraitée'!A:A,"29*",'Balance N-1 Retraitée'!G:G)</f>
        <v>0</v>
      </c>
      <c r="C8" s="829">
        <f>SUMIF('Balance N Retraitée'!$A:$A,"6194*",'Balance N Retraitée'!$G:$G)-SUMIF('Balance N Retraitée'!$A:$A,"6194*",'Balance N Retraitée'!$H:$H)</f>
        <v>0</v>
      </c>
      <c r="D8" s="594">
        <f>SUMIF('Balance N Retraitée'!$A:$A,"6392*",'Balance N Retraitée'!$G:$G)-SUMIF('Balance N Retraitée'!$A:$A,"6392*",'Balance N Retraitée'!$H:$H)</f>
        <v>0</v>
      </c>
      <c r="E8" s="594">
        <f>SUMIF('Balance N Retraitée'!$A:$A,"65962*",'Balance N Retraitée'!$G:$G)-SUMIF('Balance N Retraitée'!$A:$A,"65962*",'Balance N Retraitée'!$H:$H)</f>
        <v>0</v>
      </c>
      <c r="F8" s="829">
        <f>SUMIF('Balance N Retraitée'!$A:$A,"7194*",'Balance N Retraitée'!$H:$H)-SUMIF('Balance N Retraitée'!$A:$A,"7194*",'Balance N Retraitée'!$G:$G)</f>
        <v>0</v>
      </c>
      <c r="G8" s="594">
        <f>SUMIF('Balance N Retraitée'!$A:$A,"7392*",'Balance N Retraitée'!$H:$H)-SUMIF('Balance N Retraitée'!$A:$A,"7392*",'Balance N Retraitée'!$G:$G)</f>
        <v>0</v>
      </c>
      <c r="H8" s="594">
        <f>SUMIF('Balance N Retraitée'!$A:$A,"75962*",'Balance N Retraitée'!$H:$H)-SUMIF('Balance N Retraitée'!$A:$A,"75962*",'Balance N Retraitée'!$G:$G)</f>
        <v>0</v>
      </c>
      <c r="I8" s="595">
        <f>B8+SUM(C8:E8)-SUM(F8:H8)</f>
        <v>0</v>
      </c>
      <c r="J8" s="16">
        <f>SUMIF('Balance N Retraitée'!A:A,"29*",'Balance N Retraitée'!H:H)-SUMIF('Balance N Retraitée'!A:A,"29*",'Balance N Retraitée'!G:G)-I8</f>
        <v>0</v>
      </c>
      <c r="K8" s="567"/>
    </row>
    <row r="9" spans="1:11" x14ac:dyDescent="0.2">
      <c r="A9" s="137"/>
      <c r="B9" s="594"/>
      <c r="C9" s="594"/>
      <c r="D9" s="594"/>
      <c r="E9" s="594"/>
      <c r="F9" s="594"/>
      <c r="G9" s="594"/>
      <c r="H9" s="594"/>
      <c r="I9" s="595"/>
      <c r="J9" s="16"/>
      <c r="K9" s="567"/>
    </row>
    <row r="10" spans="1:11" x14ac:dyDescent="0.2">
      <c r="A10" s="137" t="s">
        <v>30</v>
      </c>
      <c r="B10" s="594">
        <f>SUMIF('Balance N-1 Retraitée'!A:A,"135*",'Balance N-1 Retraitée'!H:H)-SUMIF('Balance N-1 Retraitée'!A:A,"135*",'Balance N-1 Retraitée'!G:G)</f>
        <v>0</v>
      </c>
      <c r="C10" s="687"/>
      <c r="D10" s="688"/>
      <c r="E10" s="594">
        <f>SUMIF('Balance N Retraitée'!$A:$A,"6594*",'Balance N Retraitée'!$G:$G)-SUMIF('Balance N Retraitée'!$A:$A,"6594*",'Balance N Retraitée'!$H:$H)</f>
        <v>0</v>
      </c>
      <c r="F10" s="687"/>
      <c r="G10" s="688"/>
      <c r="H10" s="594">
        <f>SUMIF('Balance N Retraitée'!$A:$A,"7594*",'Balance N Retraitée'!$H:$H)-SUMIF('Balance N Retraitée'!$A:$A,"7594*",'Balance N Retraitée'!$G:$G)</f>
        <v>0</v>
      </c>
      <c r="I10" s="595">
        <f>B10+SUM(C10:E10)-SUM(F10:H10)</f>
        <v>0</v>
      </c>
      <c r="J10" s="16">
        <f>SUMIF('Balance N Retraitée'!A:A,"135*",'Balance N Retraitée'!H:H)-SUMIF('Balance N Retraitée'!A:A,"135*",'Balance N Retraitée'!G:G)-I10</f>
        <v>0</v>
      </c>
      <c r="K10" s="567"/>
    </row>
    <row r="11" spans="1:11" x14ac:dyDescent="0.2">
      <c r="A11" s="137" t="s">
        <v>31</v>
      </c>
      <c r="B11" s="594"/>
      <c r="C11" s="594"/>
      <c r="D11" s="594"/>
      <c r="E11" s="594"/>
      <c r="F11" s="594"/>
      <c r="G11" s="594"/>
      <c r="H11" s="594"/>
      <c r="I11" s="595"/>
      <c r="J11" s="16"/>
      <c r="K11" s="567"/>
    </row>
    <row r="12" spans="1:11" x14ac:dyDescent="0.2">
      <c r="A12" s="137"/>
      <c r="B12" s="594"/>
      <c r="C12" s="594"/>
      <c r="D12" s="594"/>
      <c r="E12" s="594"/>
      <c r="F12" s="594"/>
      <c r="G12" s="594"/>
      <c r="H12" s="594"/>
      <c r="I12" s="595"/>
      <c r="J12" s="16"/>
      <c r="K12" s="567"/>
    </row>
    <row r="13" spans="1:11" x14ac:dyDescent="0.2">
      <c r="A13" s="137" t="s">
        <v>32</v>
      </c>
      <c r="B13" s="594">
        <f>SUMIF('Balance N-1 Retraitée'!A:A,"15*",'Balance N-1 Retraitée'!H:H)-SUMIF('Balance N-1 Retraitée'!A:A,"15*",'Balance N-1 Retraitée'!G:G)</f>
        <v>0</v>
      </c>
      <c r="C13" s="829">
        <f>SUMIF('Balance N Retraitée'!$A:$A,"61955*",'Balance N Retraitée'!$G:$G)-SUMIF('Balance N Retraitée'!$A:$A,"61955*",'Balance N Retraitée'!$H:$H)</f>
        <v>0</v>
      </c>
      <c r="D13" s="594">
        <f>SUMIF('Balance N Retraitée'!$A:$A,"63935*",'Balance N Retraitée'!$G:$G)-SUMIF('Balance N Retraitée'!$A:$A,"63935*",'Balance N Retraitée'!$H:$H)</f>
        <v>0</v>
      </c>
      <c r="E13" s="594">
        <f>SUMIF('Balance N Retraitée'!$A:$A,"65955*",'Balance N Retraitée'!$G:$G)-SUMIF('Balance N Retraitée'!$A:$A,"65955*",'Balance N Retraitée'!$H:$H)</f>
        <v>0</v>
      </c>
      <c r="F13" s="829">
        <f>SUMIF('Balance N Retraitée'!$A:$A,"71955*",'Balance N Retraitée'!$H:$H)-SUMIF('Balance N Retraitée'!$A:$A,"71955*",'Balance N Retraitée'!$G:$G)</f>
        <v>0</v>
      </c>
      <c r="G13" s="594">
        <f>SUMIF('Balance N Retraitée'!$A:$A,"73935*",'Balance N Retraitée'!$H:$H)-SUMIF('Balance N Retraitée'!$A:$A,"73935*",'Balance N Retraitée'!$G:$G)</f>
        <v>0</v>
      </c>
      <c r="H13" s="594">
        <f>SUMIF('Balance N Retraitée'!$A:$A,"75955*",'Balance N Retraitée'!$H:$H)-SUMIF('Balance N Retraitée'!$A:$A,"75955*",'Balance N Retraitée'!$G:$G)</f>
        <v>0</v>
      </c>
      <c r="I13" s="595">
        <f>B13+SUM(C13:E13)-SUM(F13:H13)</f>
        <v>0</v>
      </c>
      <c r="J13" s="16">
        <f>SUMIF('Balance N Retraitée'!A:A,"15*",'Balance N Retraitée'!H:H)-SUMIF('Balance N Retraitée'!A:A,"15*",'Balance N Retraitée'!G:G)-I13</f>
        <v>0</v>
      </c>
      <c r="K13" s="567"/>
    </row>
    <row r="14" spans="1:11" x14ac:dyDescent="0.2">
      <c r="A14" s="137" t="s">
        <v>798</v>
      </c>
      <c r="B14" s="594"/>
      <c r="C14" s="594"/>
      <c r="D14" s="594"/>
      <c r="E14" s="594"/>
      <c r="F14" s="594"/>
      <c r="G14" s="594"/>
      <c r="H14" s="594"/>
      <c r="I14" s="595"/>
      <c r="J14" s="16"/>
      <c r="K14" s="567"/>
    </row>
    <row r="15" spans="1:11" x14ac:dyDescent="0.2">
      <c r="A15" s="137" t="s">
        <v>799</v>
      </c>
      <c r="B15" s="595"/>
      <c r="C15" s="594"/>
      <c r="D15" s="594"/>
      <c r="E15" s="594"/>
      <c r="F15" s="594"/>
      <c r="G15" s="594"/>
      <c r="H15" s="594"/>
      <c r="I15" s="595"/>
      <c r="J15" s="16"/>
      <c r="K15" s="567"/>
    </row>
    <row r="16" spans="1:11" x14ac:dyDescent="0.2">
      <c r="A16" s="137"/>
      <c r="B16" s="594"/>
      <c r="C16" s="595"/>
      <c r="D16" s="594"/>
      <c r="E16" s="594"/>
      <c r="F16" s="595"/>
      <c r="G16" s="594"/>
      <c r="H16" s="594"/>
      <c r="I16" s="594"/>
      <c r="J16" s="16"/>
      <c r="K16" s="567"/>
    </row>
    <row r="17" spans="1:11" s="221" customFormat="1" x14ac:dyDescent="0.2">
      <c r="A17" s="156" t="s">
        <v>800</v>
      </c>
      <c r="B17" s="173">
        <f t="shared" ref="B17:H17" si="0">SUM(B6:B16)</f>
        <v>0</v>
      </c>
      <c r="C17" s="173">
        <f t="shared" si="0"/>
        <v>0</v>
      </c>
      <c r="D17" s="173">
        <f t="shared" si="0"/>
        <v>0</v>
      </c>
      <c r="E17" s="173">
        <f t="shared" si="0"/>
        <v>0</v>
      </c>
      <c r="F17" s="173">
        <f t="shared" si="0"/>
        <v>0</v>
      </c>
      <c r="G17" s="173">
        <f t="shared" si="0"/>
        <v>0</v>
      </c>
      <c r="H17" s="173">
        <f t="shared" si="0"/>
        <v>0</v>
      </c>
      <c r="I17" s="173">
        <f>SUM(I6:I16)</f>
        <v>0</v>
      </c>
      <c r="J17" s="597">
        <f>SUM(J3:J16)</f>
        <v>0</v>
      </c>
      <c r="K17" s="567"/>
    </row>
    <row r="18" spans="1:11" x14ac:dyDescent="0.2">
      <c r="A18" s="137"/>
      <c r="B18" s="594"/>
      <c r="C18" s="595"/>
      <c r="D18" s="594"/>
      <c r="E18" s="594"/>
      <c r="F18" s="595"/>
      <c r="G18" s="594"/>
      <c r="H18" s="594"/>
      <c r="I18" s="594"/>
      <c r="J18" s="16"/>
      <c r="K18" s="567"/>
    </row>
    <row r="19" spans="1:11" x14ac:dyDescent="0.2">
      <c r="A19" s="137" t="s">
        <v>801</v>
      </c>
      <c r="B19" s="16"/>
      <c r="C19" s="595"/>
      <c r="D19" s="594"/>
      <c r="E19" s="594"/>
      <c r="F19" s="595"/>
      <c r="G19" s="594"/>
      <c r="H19" s="594"/>
      <c r="I19" s="594"/>
      <c r="J19" s="16"/>
      <c r="K19" s="567"/>
    </row>
    <row r="20" spans="1:11" x14ac:dyDescent="0.2">
      <c r="A20" s="137" t="s">
        <v>796</v>
      </c>
      <c r="B20" s="594">
        <f>SUMIF('Balance N-1 Retraitée'!A:A,"39*",'Balance N-1 Retraitée'!H:H)-SUMIF('Balance N-1 Retraitée'!A:A,"39*",'Balance N-1 Retraitée'!G:G)</f>
        <v>0</v>
      </c>
      <c r="C20" s="829">
        <f>SUMIF('Balance N Retraitée'!$A:$A,"6196*",'Balance N Retraitée'!$G:$G)-SUMIF('Balance N Retraitée'!$A:$A,"6196*",'Balance N Retraitée'!$H:$H)</f>
        <v>0</v>
      </c>
      <c r="D20" s="594">
        <f>SUMIF('Balance N Retraitée'!$A:$A,"6394*",'Balance N Retraitée'!$G:$G)-SUMIF('Balance N Retraitée'!$A:$A,"6394*",'Balance N Retraitée'!$H:$H)</f>
        <v>0</v>
      </c>
      <c r="E20" s="594">
        <f>SUMIF('Balance N Retraitée'!$A:$A,"65963*",'Balance N Retraitée'!$G:$G)-SUMIF('Balance N Retraitée'!$A:$A,"65963*",'Balance N Retraitée'!$H:$H)</f>
        <v>0</v>
      </c>
      <c r="F20" s="829">
        <f>SUMIF('Balance N Retraitée'!$A:$A,"7196*",'Balance N Retraitée'!$H:$H)-SUMIF('Balance N Retraitée'!$A:$A,"7196*",'Balance N Retraitée'!$G:$G)</f>
        <v>0</v>
      </c>
      <c r="G20" s="594">
        <f>SUMIF('Balance N Retraitée'!$A:$A,"7394*",'Balance N Retraitée'!$H:$H)-SUMIF('Balance N Retraitée'!$A:$A,"7394*",'Balance N Retraitée'!$G:$G)</f>
        <v>0</v>
      </c>
      <c r="H20" s="594">
        <f>SUMIF('Balance N Retraitée'!$A:$A,"75963*",'Balance N Retraitée'!$H:$H)-SUMIF('Balance N Retraitée'!$A:$A,"75963*",'Balance N Retraitée'!$G:$G)</f>
        <v>0</v>
      </c>
      <c r="I20" s="595">
        <f>B20+SUM(C20:E20)-SUM(F20:H20)</f>
        <v>0</v>
      </c>
      <c r="J20" s="16">
        <f>SUMIF('Balance N Retraitée'!A:A,"39*",'Balance N Retraitée'!H:H)-SUMIF('Balance N Retraitée'!A:A,"39*",'Balance N Retraitée'!G:G)-I20</f>
        <v>0</v>
      </c>
      <c r="K20" s="567"/>
    </row>
    <row r="21" spans="1:11" x14ac:dyDescent="0.2">
      <c r="A21" s="137" t="s">
        <v>802</v>
      </c>
      <c r="B21" s="594"/>
      <c r="C21" s="595"/>
      <c r="D21" s="594"/>
      <c r="E21" s="594"/>
      <c r="F21" s="595"/>
      <c r="G21" s="594"/>
      <c r="H21" s="594"/>
      <c r="I21" s="595"/>
      <c r="J21" s="16"/>
      <c r="K21" s="567"/>
    </row>
    <row r="22" spans="1:11" x14ac:dyDescent="0.2">
      <c r="A22" s="137" t="s">
        <v>803</v>
      </c>
      <c r="B22" s="594"/>
      <c r="C22" s="595"/>
      <c r="D22" s="594"/>
      <c r="E22" s="594"/>
      <c r="F22" s="595"/>
      <c r="G22" s="594"/>
      <c r="H22" s="594"/>
      <c r="I22" s="595"/>
      <c r="J22" s="16"/>
      <c r="K22" s="567"/>
    </row>
    <row r="23" spans="1:11" x14ac:dyDescent="0.2">
      <c r="A23" s="137"/>
      <c r="B23" s="594"/>
      <c r="C23" s="595"/>
      <c r="D23" s="594"/>
      <c r="E23" s="594"/>
      <c r="F23" s="595"/>
      <c r="G23" s="594"/>
      <c r="H23" s="594"/>
      <c r="I23" s="595"/>
      <c r="J23" s="16"/>
      <c r="K23" s="567"/>
    </row>
    <row r="24" spans="1:11" x14ac:dyDescent="0.2">
      <c r="A24" s="137" t="s">
        <v>804</v>
      </c>
      <c r="B24" s="594"/>
      <c r="C24" s="595"/>
      <c r="D24" s="594"/>
      <c r="E24" s="594"/>
      <c r="F24" s="595"/>
      <c r="G24" s="594"/>
      <c r="H24" s="594"/>
      <c r="I24" s="595"/>
      <c r="J24" s="16"/>
      <c r="K24" s="567"/>
    </row>
    <row r="25" spans="1:11" x14ac:dyDescent="0.2">
      <c r="A25" s="137" t="s">
        <v>805</v>
      </c>
      <c r="B25" s="594">
        <f>SUMIF('Balance N-1 Retraitée'!A:A,"45*",'Balance N-1 Retraitée'!H:H)-SUMIF('Balance N-1 Retraitée'!A:A,"45*",'Balance N-1 Retraitée'!G:G)</f>
        <v>0</v>
      </c>
      <c r="C25" s="1099">
        <f>SUMIF('Balance N Retraitée'!$A:$A,"61957*",'Balance N Retraitée'!$G:$G)-SUMIF('Balance N Retraitée'!$A:$A,"61957*",'Balance N Retraitée'!$H:$H)</f>
        <v>0</v>
      </c>
      <c r="D25" s="594">
        <f>SUMIF('Balance N Retraitée'!$A:$A,"6393*",'Balance N Retraitée'!$G:$G)-SUMIF('Balance N Retraitée'!$A:$A,"6393*",'Balance N Retraitée'!$H:$H)</f>
        <v>0</v>
      </c>
      <c r="E25" s="1099">
        <f>SUMIF('Balance N Retraitée'!$A:$A,"65957*",'Balance N Retraitée'!$G:$G)-SUMIF('Balance N Retraitée'!$A:$A,"65957*",'Balance N Retraitée'!$H:$H)</f>
        <v>0</v>
      </c>
      <c r="F25" s="829">
        <f>SUMIF('Balance N Retraitée'!$A:$A,"71957*",'Balance N Retraitée'!$H:$H)-SUMIF('Balance N Retraitée'!$A:$A,"71957*",'Balance N Retraitée'!$G:$G)</f>
        <v>0</v>
      </c>
      <c r="G25" s="594">
        <f>SUMIF('Balance N Retraitée'!$A:$A,"7393*",'Balance N Retraitée'!$G:$G)-SUMIF('Balance N Retraitée'!$A:$A,"7393*",'Balance N Retraitée'!$H:$H)</f>
        <v>0</v>
      </c>
      <c r="H25" s="594">
        <f>SUMIF('Balance N Retraitée'!$A:$A,"75957*",'Balance N Retraitée'!$H:$H)-SUMIF('Balance N Retraitée'!$A:$A,"75957*",'Balance N Retraitée'!$G:$G)</f>
        <v>0</v>
      </c>
      <c r="I25" s="595">
        <f>B25+SUM(C25:E25)-SUM(F25:H25)</f>
        <v>0</v>
      </c>
      <c r="J25" s="16">
        <f>SUMIF('Balance N Retraitée'!A:A,"45*",'Balance N Retraitée'!H:H)-SUMIF('Balance N Retraitée'!A:A,"45*",'Balance N Retraitée'!G:G)-I25</f>
        <v>0</v>
      </c>
      <c r="K25" s="567"/>
    </row>
    <row r="26" spans="1:11" x14ac:dyDescent="0.2">
      <c r="A26" s="245" t="s">
        <v>806</v>
      </c>
      <c r="B26" s="594"/>
      <c r="C26" s="583"/>
      <c r="D26" s="594"/>
      <c r="E26" s="594"/>
      <c r="F26" s="583"/>
      <c r="G26" s="594"/>
      <c r="H26" s="594"/>
      <c r="I26" s="595"/>
      <c r="J26" s="16"/>
      <c r="K26" s="567"/>
    </row>
    <row r="27" spans="1:11" x14ac:dyDescent="0.2">
      <c r="A27" s="137"/>
      <c r="B27" s="594"/>
      <c r="C27" s="595"/>
      <c r="D27" s="594"/>
      <c r="E27" s="594"/>
      <c r="F27" s="595"/>
      <c r="G27" s="594"/>
      <c r="H27" s="594"/>
      <c r="I27" s="595"/>
      <c r="J27" s="16"/>
      <c r="K27" s="567"/>
    </row>
    <row r="28" spans="1:11" x14ac:dyDescent="0.2">
      <c r="A28" s="137" t="s">
        <v>807</v>
      </c>
      <c r="B28" s="594"/>
      <c r="C28" s="595"/>
      <c r="D28" s="594"/>
      <c r="E28" s="594"/>
      <c r="F28" s="595"/>
      <c r="G28" s="594"/>
      <c r="H28" s="594"/>
      <c r="I28" s="594"/>
      <c r="J28" s="16"/>
      <c r="K28" s="567"/>
    </row>
    <row r="29" spans="1:11" x14ac:dyDescent="0.2">
      <c r="A29" s="137" t="s">
        <v>808</v>
      </c>
      <c r="B29" s="594">
        <f>SUMIF('Balance N-1 Retraitée'!A:A,"59*",'Balance N-1 Retraitée'!H:H)-SUMIF('Balance N-1 Retraitée'!A:A,"59*",'Balance N-1 Retraitée'!G:G)</f>
        <v>0</v>
      </c>
      <c r="C29" s="688"/>
      <c r="D29" s="594">
        <f>SUMIF('Balance N Retraitée'!$A:$A,"6396*",'Balance N Retraitée'!$G:$G)-SUMIF('Balance N Retraitée'!$A:$A,"6396*",'Balance N Retraitée'!$H:$H)</f>
        <v>0</v>
      </c>
      <c r="E29" s="686"/>
      <c r="F29" s="688"/>
      <c r="G29" s="594">
        <f>SUMIF('Balance N Retraitée'!$A:$A,"7396*",'Balance N Retraitée'!$H:$H)-SUMIF('Balance N Retraitée'!$A:$A,"7396*",'Balance N Retraitée'!$G:$G)</f>
        <v>0</v>
      </c>
      <c r="H29" s="686"/>
      <c r="I29" s="595">
        <f>B29+SUM(C29:E29)-SUM(F29:H29)</f>
        <v>0</v>
      </c>
      <c r="J29" s="16">
        <f>SUMIF('Balance N Retraitée'!A:A,"59*",'Balance N Retraitée'!H:H)-SUMIF('Balance N Retraitée'!A:A,"59*",'Balance N Retraitée'!G:G)-I29</f>
        <v>0</v>
      </c>
      <c r="K29" s="567"/>
    </row>
    <row r="30" spans="1:11" x14ac:dyDescent="0.2">
      <c r="A30" s="137" t="s">
        <v>809</v>
      </c>
      <c r="B30" s="594"/>
      <c r="C30" s="595"/>
      <c r="D30" s="594"/>
      <c r="E30" s="594"/>
      <c r="F30" s="595"/>
      <c r="G30" s="594"/>
      <c r="H30" s="594"/>
      <c r="I30" s="594"/>
      <c r="J30" s="16"/>
      <c r="K30" s="567"/>
    </row>
    <row r="31" spans="1:11" x14ac:dyDescent="0.2">
      <c r="A31" s="137" t="s">
        <v>810</v>
      </c>
      <c r="B31" s="594"/>
      <c r="C31" s="595"/>
      <c r="D31" s="594"/>
      <c r="E31" s="594"/>
      <c r="F31" s="595"/>
      <c r="G31" s="594"/>
      <c r="H31" s="594"/>
      <c r="I31" s="594"/>
      <c r="J31" s="16"/>
      <c r="K31" s="567"/>
    </row>
    <row r="32" spans="1:11" s="248" customFormat="1" x14ac:dyDescent="0.2">
      <c r="A32" s="247" t="s">
        <v>811</v>
      </c>
      <c r="B32" s="596">
        <f t="shared" ref="B32:G32" si="1">SUM(B18:B31)</f>
        <v>0</v>
      </c>
      <c r="C32" s="596">
        <f t="shared" si="1"/>
        <v>0</v>
      </c>
      <c r="D32" s="596">
        <f t="shared" si="1"/>
        <v>0</v>
      </c>
      <c r="E32" s="596">
        <f t="shared" si="1"/>
        <v>0</v>
      </c>
      <c r="F32" s="596">
        <f t="shared" si="1"/>
        <v>0</v>
      </c>
      <c r="G32" s="596">
        <f t="shared" si="1"/>
        <v>0</v>
      </c>
      <c r="H32" s="596"/>
      <c r="I32" s="596">
        <f>SUM(I18:I31)</f>
        <v>0</v>
      </c>
      <c r="J32" s="598">
        <f>SUM(J18:J31)</f>
        <v>0</v>
      </c>
      <c r="K32" s="567"/>
    </row>
    <row r="33" spans="1:11" s="248" customFormat="1" x14ac:dyDescent="0.2">
      <c r="A33" s="249" t="s">
        <v>812</v>
      </c>
      <c r="B33" s="596">
        <f t="shared" ref="B33:J33" si="2">+B32+B17</f>
        <v>0</v>
      </c>
      <c r="C33" s="596">
        <f t="shared" si="2"/>
        <v>0</v>
      </c>
      <c r="D33" s="596">
        <f t="shared" si="2"/>
        <v>0</v>
      </c>
      <c r="E33" s="596">
        <f t="shared" si="2"/>
        <v>0</v>
      </c>
      <c r="F33" s="596">
        <f t="shared" si="2"/>
        <v>0</v>
      </c>
      <c r="G33" s="596">
        <f t="shared" si="2"/>
        <v>0</v>
      </c>
      <c r="H33" s="596">
        <f t="shared" si="2"/>
        <v>0</v>
      </c>
      <c r="I33" s="596">
        <f t="shared" si="2"/>
        <v>0</v>
      </c>
      <c r="J33" s="598">
        <f t="shared" si="2"/>
        <v>0</v>
      </c>
      <c r="K33" s="567"/>
    </row>
    <row r="35" spans="1:11" x14ac:dyDescent="0.2">
      <c r="I35" s="250"/>
    </row>
    <row r="36" spans="1:11" x14ac:dyDescent="0.2">
      <c r="I36" s="250"/>
    </row>
    <row r="38" spans="1:11" x14ac:dyDescent="0.2">
      <c r="J38" s="250"/>
    </row>
    <row r="39" spans="1:11" x14ac:dyDescent="0.2">
      <c r="J39" s="250"/>
    </row>
    <row r="40" spans="1:11" x14ac:dyDescent="0.2">
      <c r="J40" s="250"/>
    </row>
    <row r="41" spans="1:11" x14ac:dyDescent="0.2">
      <c r="J41" s="250"/>
    </row>
  </sheetData>
  <phoneticPr fontId="0" type="noConversion"/>
  <pageMargins left="0.78740157499999996" right="0.78740157499999996" top="0.984251969" bottom="0.984251969" header="0.4921259845" footer="0.4921259845"/>
  <pageSetup paperSize="9" scale="87" orientation="landscape" horizontalDpi="300" verticalDpi="300" r:id="rId1"/>
  <headerFooter alignWithMargins="0">
    <oddHeader>&amp;L&amp;"Times New Roman,Gras italique"&amp;12Sté :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0">
    <tabColor rgb="FFFF0000"/>
  </sheetPr>
  <dimension ref="A1:H25"/>
  <sheetViews>
    <sheetView workbookViewId="0"/>
  </sheetViews>
  <sheetFormatPr baseColWidth="10" defaultColWidth="13.33203125" defaultRowHeight="12.75" x14ac:dyDescent="0.2"/>
  <cols>
    <col min="1" max="1" width="17.83203125" style="4" customWidth="1"/>
    <col min="2" max="2" width="13.33203125" style="4" customWidth="1"/>
    <col min="3" max="3" width="19.33203125" style="4" customWidth="1"/>
    <col min="4" max="4" width="17.83203125" style="4" customWidth="1"/>
    <col min="5" max="5" width="20" style="4" customWidth="1"/>
    <col min="6" max="6" width="19.83203125" style="4" customWidth="1"/>
    <col min="7" max="7" width="21.6640625" style="4" customWidth="1"/>
    <col min="8" max="8" width="19.1640625" style="4" customWidth="1"/>
    <col min="9" max="16384" width="13.33203125" style="4"/>
  </cols>
  <sheetData>
    <row r="1" spans="1:8" ht="13.5" x14ac:dyDescent="0.25">
      <c r="A1" s="608" t="s">
        <v>948</v>
      </c>
      <c r="H1" s="835" t="s">
        <v>961</v>
      </c>
    </row>
    <row r="3" spans="1:8" x14ac:dyDescent="0.2">
      <c r="G3" s="9"/>
    </row>
    <row r="4" spans="1:8" s="190" customFormat="1" ht="15" x14ac:dyDescent="0.25">
      <c r="A4" s="188" t="s">
        <v>813</v>
      </c>
      <c r="B4" s="215"/>
      <c r="C4" s="189"/>
      <c r="D4" s="189"/>
      <c r="E4" s="189"/>
      <c r="F4" s="189"/>
      <c r="G4" s="188"/>
      <c r="H4" s="189"/>
    </row>
    <row r="5" spans="1:8" s="190" customFormat="1" ht="15" x14ac:dyDescent="0.25">
      <c r="A5" s="188" t="s">
        <v>814</v>
      </c>
      <c r="B5" s="215"/>
      <c r="C5" s="189"/>
      <c r="D5" s="189"/>
      <c r="E5" s="189"/>
      <c r="F5" s="189"/>
      <c r="G5" s="189"/>
      <c r="H5" s="189"/>
    </row>
    <row r="6" spans="1:8" s="190" customFormat="1" ht="15" x14ac:dyDescent="0.25">
      <c r="A6" s="188"/>
      <c r="B6" s="215"/>
      <c r="C6" s="189"/>
      <c r="D6" s="189"/>
      <c r="E6" s="189"/>
      <c r="F6" s="189"/>
      <c r="G6" s="189"/>
      <c r="H6" s="189"/>
    </row>
    <row r="7" spans="1:8" x14ac:dyDescent="0.2">
      <c r="G7" s="172" t="str">
        <f>+'T8 B2 BIS'!D4</f>
        <v>Exercice clos le :</v>
      </c>
      <c r="H7" s="1003" t="str">
        <f>'T5 ESG'!$G$3</f>
        <v>31/12/2015</v>
      </c>
    </row>
    <row r="8" spans="1:8" s="143" customFormat="1" ht="12" x14ac:dyDescent="0.2">
      <c r="A8" s="142" t="s">
        <v>815</v>
      </c>
      <c r="B8" s="217" t="s">
        <v>816</v>
      </c>
      <c r="C8" s="217" t="s">
        <v>817</v>
      </c>
      <c r="D8" s="217" t="s">
        <v>764</v>
      </c>
      <c r="E8" s="217" t="s">
        <v>818</v>
      </c>
      <c r="F8" s="217" t="s">
        <v>819</v>
      </c>
      <c r="G8" s="217" t="s">
        <v>820</v>
      </c>
      <c r="H8" s="217" t="s">
        <v>821</v>
      </c>
    </row>
    <row r="9" spans="1:8" s="143" customFormat="1" ht="12" x14ac:dyDescent="0.2">
      <c r="A9" s="220" t="s">
        <v>822</v>
      </c>
      <c r="B9" s="243" t="s">
        <v>823</v>
      </c>
      <c r="C9" s="243" t="s">
        <v>824</v>
      </c>
      <c r="D9" s="243" t="s">
        <v>825</v>
      </c>
      <c r="E9" s="243" t="s">
        <v>826</v>
      </c>
      <c r="F9" s="243" t="s">
        <v>827</v>
      </c>
      <c r="G9" s="243" t="s">
        <v>828</v>
      </c>
      <c r="H9" s="243" t="s">
        <v>828</v>
      </c>
    </row>
    <row r="10" spans="1:8" ht="24" customHeight="1" x14ac:dyDescent="0.2">
      <c r="A10" s="992"/>
      <c r="B10" s="993"/>
      <c r="C10" s="689"/>
      <c r="D10" s="745"/>
      <c r="E10" s="830">
        <f>+C10-D10</f>
        <v>0</v>
      </c>
      <c r="F10" s="689"/>
      <c r="G10" s="830">
        <f>IF(F10&gt;E10,F10-E10,0)</f>
        <v>0</v>
      </c>
      <c r="H10" s="830">
        <f>IF(E10&gt;F10,E10-F10,0)</f>
        <v>0</v>
      </c>
    </row>
    <row r="11" spans="1:8" ht="24" customHeight="1" x14ac:dyDescent="0.2">
      <c r="A11" s="599"/>
      <c r="B11" s="666"/>
      <c r="C11" s="686"/>
      <c r="D11" s="686"/>
      <c r="E11" s="829">
        <f t="shared" ref="E11:E15" si="0">+C11-D11</f>
        <v>0</v>
      </c>
      <c r="F11" s="686"/>
      <c r="G11" s="829">
        <f t="shared" ref="G11:G15" si="1">IF(F11&gt;E11,F11-E11,0)</f>
        <v>0</v>
      </c>
      <c r="H11" s="829">
        <f t="shared" ref="H11:H15" si="2">IF(E11&gt;F11,E11-F11,0)</f>
        <v>0</v>
      </c>
    </row>
    <row r="12" spans="1:8" ht="24" customHeight="1" x14ac:dyDescent="0.2">
      <c r="A12" s="599"/>
      <c r="B12" s="666"/>
      <c r="C12" s="686"/>
      <c r="D12" s="686"/>
      <c r="E12" s="829">
        <f t="shared" si="0"/>
        <v>0</v>
      </c>
      <c r="F12" s="686"/>
      <c r="G12" s="829">
        <f t="shared" si="1"/>
        <v>0</v>
      </c>
      <c r="H12" s="829">
        <f t="shared" si="2"/>
        <v>0</v>
      </c>
    </row>
    <row r="13" spans="1:8" ht="24" customHeight="1" x14ac:dyDescent="0.2">
      <c r="A13" s="599"/>
      <c r="B13" s="666"/>
      <c r="C13" s="686"/>
      <c r="D13" s="686"/>
      <c r="E13" s="829">
        <f t="shared" si="0"/>
        <v>0</v>
      </c>
      <c r="F13" s="686"/>
      <c r="G13" s="829">
        <f t="shared" si="1"/>
        <v>0</v>
      </c>
      <c r="H13" s="829">
        <f t="shared" si="2"/>
        <v>0</v>
      </c>
    </row>
    <row r="14" spans="1:8" ht="24" customHeight="1" x14ac:dyDescent="0.2">
      <c r="A14" s="599"/>
      <c r="B14" s="666"/>
      <c r="C14" s="686"/>
      <c r="D14" s="686"/>
      <c r="E14" s="829">
        <f t="shared" si="0"/>
        <v>0</v>
      </c>
      <c r="F14" s="686"/>
      <c r="G14" s="829">
        <f t="shared" si="1"/>
        <v>0</v>
      </c>
      <c r="H14" s="829">
        <f t="shared" si="2"/>
        <v>0</v>
      </c>
    </row>
    <row r="15" spans="1:8" ht="24" customHeight="1" x14ac:dyDescent="0.2">
      <c r="A15" s="599"/>
      <c r="B15" s="666"/>
      <c r="C15" s="686"/>
      <c r="D15" s="686"/>
      <c r="E15" s="829">
        <f t="shared" si="0"/>
        <v>0</v>
      </c>
      <c r="F15" s="686"/>
      <c r="G15" s="829">
        <f t="shared" si="1"/>
        <v>0</v>
      </c>
      <c r="H15" s="829">
        <f t="shared" si="2"/>
        <v>0</v>
      </c>
    </row>
    <row r="16" spans="1:8" s="11" customFormat="1" x14ac:dyDescent="0.2">
      <c r="A16" s="258" t="s">
        <v>829</v>
      </c>
      <c r="B16" s="930">
        <f t="shared" ref="B16:H16" si="3">SUM(B10:B15)</f>
        <v>0</v>
      </c>
      <c r="C16" s="619">
        <f t="shared" si="3"/>
        <v>0</v>
      </c>
      <c r="D16" s="619">
        <f t="shared" si="3"/>
        <v>0</v>
      </c>
      <c r="E16" s="619">
        <f t="shared" si="3"/>
        <v>0</v>
      </c>
      <c r="F16" s="619">
        <f t="shared" si="3"/>
        <v>0</v>
      </c>
      <c r="G16" s="619">
        <f t="shared" si="3"/>
        <v>0</v>
      </c>
      <c r="H16" s="619">
        <f t="shared" si="3"/>
        <v>0</v>
      </c>
    </row>
    <row r="17" spans="1:8" x14ac:dyDescent="0.2">
      <c r="A17" s="63"/>
      <c r="B17" s="931"/>
      <c r="C17" s="259"/>
      <c r="D17" s="259"/>
      <c r="E17" s="259"/>
      <c r="F17" s="259"/>
      <c r="G17" s="259"/>
      <c r="H17" s="259"/>
    </row>
    <row r="18" spans="1:8" x14ac:dyDescent="0.2">
      <c r="C18" s="90"/>
    </row>
    <row r="19" spans="1:8" x14ac:dyDescent="0.2">
      <c r="A19" s="10" t="s">
        <v>967</v>
      </c>
      <c r="C19" s="578">
        <f>'T4 B2-immo'!F30+'T4 B2-immo'!G30</f>
        <v>0</v>
      </c>
      <c r="F19" s="90"/>
    </row>
    <row r="21" spans="1:8" x14ac:dyDescent="0.2">
      <c r="A21" s="10" t="s">
        <v>968</v>
      </c>
      <c r="D21" s="578">
        <f>'T8 B2 BIS'!D33</f>
        <v>0</v>
      </c>
    </row>
    <row r="23" spans="1:8" x14ac:dyDescent="0.2">
      <c r="A23" s="10" t="s">
        <v>969</v>
      </c>
      <c r="E23" s="578">
        <f>'T2 CPC'!F64</f>
        <v>0</v>
      </c>
      <c r="F23" s="578">
        <f>'T2 CPC'!F57</f>
        <v>0</v>
      </c>
    </row>
    <row r="25" spans="1:8" x14ac:dyDescent="0.2">
      <c r="A25" s="10" t="s">
        <v>7</v>
      </c>
      <c r="C25" s="839">
        <f>C16-SUM(C19:C23)</f>
        <v>0</v>
      </c>
      <c r="D25" s="839">
        <f>D16-SUM(D19:D23)</f>
        <v>0</v>
      </c>
      <c r="E25" s="839">
        <f>E16-SUM(E19:E23)</f>
        <v>0</v>
      </c>
      <c r="F25" s="839">
        <f>F16-SUM(F19:F23)</f>
        <v>0</v>
      </c>
      <c r="G25" s="764"/>
      <c r="H25" s="764"/>
    </row>
  </sheetData>
  <phoneticPr fontId="28" type="noConversion"/>
  <pageMargins left="0.78740157499999996" right="0.78740157499999996" top="0.984251969" bottom="0.984251969" header="0.4921259845" footer="0.4921259845"/>
  <pageSetup paperSize="9" scale="96" orientation="landscape" horizontalDpi="300" verticalDpi="300" r:id="rId1"/>
  <headerFooter alignWithMargins="0">
    <oddHeader>&amp;L&amp;"Times New Roman,Gras italique"&amp;12Sté :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1">
    <tabColor rgb="FFFF0000"/>
  </sheetPr>
  <dimension ref="A1:K21"/>
  <sheetViews>
    <sheetView workbookViewId="0"/>
  </sheetViews>
  <sheetFormatPr baseColWidth="10" defaultColWidth="13.33203125" defaultRowHeight="12.75" x14ac:dyDescent="0.2"/>
  <cols>
    <col min="1" max="1" width="18.33203125" style="4" customWidth="1"/>
    <col min="2" max="2" width="13.33203125" style="4" customWidth="1"/>
    <col min="3" max="3" width="16.1640625" style="4" customWidth="1"/>
    <col min="4" max="4" width="13.33203125" style="4" customWidth="1"/>
    <col min="5" max="5" width="17.83203125" style="4" customWidth="1"/>
    <col min="6" max="6" width="19" style="4" customWidth="1"/>
    <col min="7" max="7" width="13.33203125" style="4" customWidth="1"/>
    <col min="8" max="8" width="19.33203125" style="4" customWidth="1"/>
    <col min="9" max="9" width="16.33203125" style="4" customWidth="1"/>
    <col min="10" max="10" width="23" style="4" customWidth="1"/>
    <col min="11" max="16384" width="13.33203125" style="4"/>
  </cols>
  <sheetData>
    <row r="1" spans="1:11" ht="13.5" x14ac:dyDescent="0.25">
      <c r="A1" s="608" t="s">
        <v>949</v>
      </c>
      <c r="J1" s="835" t="s">
        <v>962</v>
      </c>
    </row>
    <row r="3" spans="1:11" s="190" customFormat="1" ht="15" x14ac:dyDescent="0.25">
      <c r="A3" s="188" t="s">
        <v>830</v>
      </c>
      <c r="B3" s="189"/>
      <c r="C3" s="215"/>
      <c r="D3" s="188"/>
      <c r="E3" s="188"/>
      <c r="F3" s="189"/>
      <c r="G3" s="189"/>
      <c r="H3" s="189"/>
      <c r="I3" s="188"/>
      <c r="J3" s="189"/>
    </row>
    <row r="5" spans="1:11" x14ac:dyDescent="0.2">
      <c r="H5" s="1165" t="str">
        <f>+'T8 B2 BIS'!D4</f>
        <v>Exercice clos le :</v>
      </c>
      <c r="I5" s="1165"/>
      <c r="J5" s="284" t="str">
        <f>'T5 ESG'!$G$3</f>
        <v>31/12/2015</v>
      </c>
    </row>
    <row r="6" spans="1:11" s="252" customFormat="1" ht="12" x14ac:dyDescent="0.2">
      <c r="A6" s="142" t="s">
        <v>831</v>
      </c>
      <c r="B6" s="142" t="s">
        <v>832</v>
      </c>
      <c r="C6" s="142" t="s">
        <v>833</v>
      </c>
      <c r="D6" s="142" t="s">
        <v>834</v>
      </c>
      <c r="E6" s="142" t="s">
        <v>835</v>
      </c>
      <c r="F6" s="142" t="s">
        <v>732</v>
      </c>
      <c r="G6" s="251" t="s">
        <v>836</v>
      </c>
      <c r="H6" s="251"/>
      <c r="I6" s="251"/>
      <c r="J6" s="142" t="s">
        <v>837</v>
      </c>
    </row>
    <row r="7" spans="1:11" s="252" customFormat="1" ht="12" x14ac:dyDescent="0.2">
      <c r="A7" s="218" t="s">
        <v>838</v>
      </c>
      <c r="B7" s="218" t="s">
        <v>839</v>
      </c>
      <c r="C7" s="218" t="s">
        <v>840</v>
      </c>
      <c r="D7" s="218" t="s">
        <v>841</v>
      </c>
      <c r="E7" s="253" t="s">
        <v>842</v>
      </c>
      <c r="F7" s="218" t="s">
        <v>843</v>
      </c>
      <c r="G7" s="254" t="s">
        <v>844</v>
      </c>
      <c r="H7" s="254"/>
      <c r="I7" s="254"/>
      <c r="J7" s="218" t="s">
        <v>845</v>
      </c>
    </row>
    <row r="8" spans="1:11" s="252" customFormat="1" ht="12" x14ac:dyDescent="0.2">
      <c r="A8" s="218" t="s">
        <v>846</v>
      </c>
      <c r="B8" s="218"/>
      <c r="C8" s="218"/>
      <c r="D8" s="253" t="s">
        <v>847</v>
      </c>
      <c r="E8" s="218" t="s">
        <v>848</v>
      </c>
      <c r="F8" s="218" t="s">
        <v>849</v>
      </c>
      <c r="G8" s="218" t="s">
        <v>850</v>
      </c>
      <c r="H8" s="218" t="s">
        <v>851</v>
      </c>
      <c r="I8" s="218" t="s">
        <v>852</v>
      </c>
      <c r="J8" s="218" t="s">
        <v>853</v>
      </c>
    </row>
    <row r="9" spans="1:11" s="252" customFormat="1" ht="12" x14ac:dyDescent="0.2">
      <c r="A9" s="255"/>
      <c r="B9" s="255"/>
      <c r="C9" s="255"/>
      <c r="D9" s="256" t="s">
        <v>854</v>
      </c>
      <c r="E9" s="218"/>
      <c r="F9" s="255"/>
      <c r="G9" s="218" t="s">
        <v>856</v>
      </c>
      <c r="H9" s="218" t="s">
        <v>849</v>
      </c>
      <c r="I9" s="218" t="s">
        <v>857</v>
      </c>
      <c r="J9" s="253" t="s">
        <v>858</v>
      </c>
    </row>
    <row r="10" spans="1:11" s="252" customFormat="1" ht="12" x14ac:dyDescent="0.2">
      <c r="A10" s="220"/>
      <c r="B10" s="220">
        <v>1</v>
      </c>
      <c r="C10" s="220">
        <v>2</v>
      </c>
      <c r="D10" s="220">
        <v>3</v>
      </c>
      <c r="E10" s="220">
        <v>4</v>
      </c>
      <c r="F10" s="220">
        <v>5</v>
      </c>
      <c r="G10" s="220">
        <v>6</v>
      </c>
      <c r="H10" s="220">
        <v>7</v>
      </c>
      <c r="I10" s="220">
        <v>8</v>
      </c>
      <c r="J10" s="220">
        <v>9</v>
      </c>
    </row>
    <row r="11" spans="1:11" ht="24" customHeight="1" x14ac:dyDescent="0.2">
      <c r="A11" s="599"/>
      <c r="B11" s="666"/>
      <c r="C11" s="731"/>
      <c r="D11" s="742"/>
      <c r="E11" s="743"/>
      <c r="F11" s="743"/>
      <c r="G11" s="741"/>
      <c r="H11" s="741"/>
      <c r="I11" s="741"/>
      <c r="J11" s="724"/>
    </row>
    <row r="12" spans="1:11" ht="24" customHeight="1" x14ac:dyDescent="0.2">
      <c r="A12" s="599"/>
      <c r="B12" s="666"/>
      <c r="C12" s="731"/>
      <c r="D12" s="742"/>
      <c r="E12" s="743"/>
      <c r="F12" s="743"/>
      <c r="G12" s="741"/>
      <c r="H12" s="741"/>
      <c r="I12" s="741"/>
      <c r="J12" s="686"/>
      <c r="K12" s="758"/>
    </row>
    <row r="13" spans="1:11" ht="24" customHeight="1" x14ac:dyDescent="0.2">
      <c r="A13" s="599"/>
      <c r="B13" s="666"/>
      <c r="C13" s="666"/>
      <c r="D13" s="666"/>
      <c r="E13" s="666"/>
      <c r="F13" s="666"/>
      <c r="G13" s="666"/>
      <c r="H13" s="666"/>
      <c r="I13" s="666"/>
      <c r="J13" s="666"/>
    </row>
    <row r="14" spans="1:11" ht="24" customHeight="1" x14ac:dyDescent="0.2">
      <c r="A14" s="599"/>
      <c r="B14" s="666"/>
      <c r="C14" s="666"/>
      <c r="D14" s="666"/>
      <c r="E14" s="666"/>
      <c r="F14" s="666"/>
      <c r="G14" s="666"/>
      <c r="H14" s="666"/>
      <c r="I14" s="666"/>
      <c r="J14" s="666"/>
    </row>
    <row r="15" spans="1:11" s="11" customFormat="1" x14ac:dyDescent="0.2">
      <c r="A15" s="257" t="s">
        <v>829</v>
      </c>
      <c r="B15" s="620"/>
      <c r="C15" s="620"/>
      <c r="D15" s="620"/>
      <c r="E15" s="594">
        <f>SUM(E11:E14)</f>
        <v>0</v>
      </c>
      <c r="F15" s="594">
        <f>SUM(F11:F14)</f>
        <v>0</v>
      </c>
      <c r="G15" s="620"/>
      <c r="H15" s="620"/>
      <c r="I15" s="620"/>
      <c r="J15" s="594">
        <f>SUM(J11:J14)</f>
        <v>0</v>
      </c>
    </row>
    <row r="16" spans="1:11" x14ac:dyDescent="0.2">
      <c r="A16" s="138"/>
      <c r="B16" s="65"/>
      <c r="C16" s="65"/>
      <c r="D16" s="65"/>
      <c r="E16" s="65"/>
      <c r="F16" s="65"/>
      <c r="G16" s="65"/>
      <c r="H16" s="65"/>
      <c r="I16" s="65"/>
      <c r="J16" s="65"/>
    </row>
    <row r="18" spans="1:10" x14ac:dyDescent="0.2">
      <c r="A18" s="10" t="s">
        <v>970</v>
      </c>
      <c r="E18" s="578">
        <f>'T1 Bilan'!C28</f>
        <v>0</v>
      </c>
      <c r="F18" s="578">
        <f>'T1 Bilan'!E28</f>
        <v>0</v>
      </c>
    </row>
    <row r="19" spans="1:10" x14ac:dyDescent="0.2">
      <c r="A19" s="10" t="s">
        <v>971</v>
      </c>
      <c r="E19" s="578"/>
      <c r="F19" s="578"/>
      <c r="J19" s="578">
        <f>'T6 TB11'!C102</f>
        <v>0</v>
      </c>
    </row>
    <row r="21" spans="1:10" x14ac:dyDescent="0.2">
      <c r="A21" s="10" t="s">
        <v>7</v>
      </c>
      <c r="E21" s="840">
        <f>E15-E18</f>
        <v>0</v>
      </c>
      <c r="F21" s="840">
        <f>F15-F18</f>
        <v>0</v>
      </c>
      <c r="J21" s="841">
        <f>J15-J19</f>
        <v>0</v>
      </c>
    </row>
  </sheetData>
  <mergeCells count="1">
    <mergeCell ref="H5:I5"/>
  </mergeCells>
  <phoneticPr fontId="28" type="noConversion"/>
  <pageMargins left="0.78740157499999996" right="0.78740157499999996" top="0.984251969" bottom="0.984251969" header="0.4921259845" footer="0.4921259845"/>
  <pageSetup paperSize="9" scale="84" orientation="landscape" horizontalDpi="300" verticalDpi="300" r:id="rId1"/>
  <headerFooter alignWithMargins="0">
    <oddHeader>&amp;L&amp;"Times New Roman,Gras italique"&amp;12Sté :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2">
    <tabColor rgb="FFFFFF00"/>
  </sheetPr>
  <dimension ref="A1:G40"/>
  <sheetViews>
    <sheetView workbookViewId="0"/>
  </sheetViews>
  <sheetFormatPr baseColWidth="10" defaultColWidth="12" defaultRowHeight="12.75" x14ac:dyDescent="0.2"/>
  <cols>
    <col min="1" max="1" width="34.6640625" style="171" customWidth="1"/>
    <col min="2" max="2" width="29" style="171" customWidth="1"/>
    <col min="3" max="3" width="27.1640625" style="171" customWidth="1"/>
    <col min="4" max="4" width="29" style="171" customWidth="1"/>
    <col min="5" max="5" width="28.33203125" style="171" customWidth="1"/>
    <col min="6" max="6" width="15.6640625" style="587" bestFit="1" customWidth="1"/>
    <col min="7" max="7" width="13.1640625" style="171" bestFit="1" customWidth="1"/>
    <col min="8" max="16384" width="12" style="171"/>
  </cols>
  <sheetData>
    <row r="1" spans="1:7" ht="13.5" x14ac:dyDescent="0.25">
      <c r="A1" s="608" t="s">
        <v>950</v>
      </c>
      <c r="B1" s="4"/>
      <c r="C1" s="4"/>
      <c r="D1" s="9"/>
      <c r="E1" s="835" t="s">
        <v>963</v>
      </c>
    </row>
    <row r="2" spans="1:7" x14ac:dyDescent="0.2">
      <c r="A2" s="4"/>
      <c r="B2" s="4"/>
      <c r="C2" s="4"/>
      <c r="D2" s="4"/>
      <c r="E2" s="4"/>
    </row>
    <row r="3" spans="1:7" x14ac:dyDescent="0.2">
      <c r="A3" s="4"/>
      <c r="B3" s="4"/>
      <c r="C3" s="4"/>
      <c r="D3" s="4"/>
      <c r="E3" s="4"/>
    </row>
    <row r="4" spans="1:7" x14ac:dyDescent="0.2">
      <c r="A4" s="126" t="s">
        <v>859</v>
      </c>
      <c r="B4" s="57"/>
      <c r="C4" s="57"/>
      <c r="D4" s="57"/>
      <c r="E4" s="57"/>
    </row>
    <row r="5" spans="1:7" x14ac:dyDescent="0.2">
      <c r="A5" s="4"/>
      <c r="B5" s="4"/>
      <c r="C5" s="4"/>
      <c r="D5" s="4"/>
      <c r="E5" s="4"/>
    </row>
    <row r="6" spans="1:7" x14ac:dyDescent="0.2">
      <c r="A6" s="4"/>
      <c r="B6" s="4"/>
      <c r="C6" s="4"/>
      <c r="D6" s="172" t="str">
        <f>+'T7 CNCET B10-CB'!I4</f>
        <v>Exercice clos le :</v>
      </c>
      <c r="E6" s="284" t="str">
        <f>'T5 ESG'!$G$3</f>
        <v>31/12/2015</v>
      </c>
    </row>
    <row r="7" spans="1:7" x14ac:dyDescent="0.2">
      <c r="A7" s="131" t="s">
        <v>370</v>
      </c>
      <c r="B7" s="132" t="s">
        <v>860</v>
      </c>
      <c r="C7" s="132" t="s">
        <v>861</v>
      </c>
      <c r="D7" s="132" t="s">
        <v>119</v>
      </c>
      <c r="E7" s="132" t="s">
        <v>862</v>
      </c>
    </row>
    <row r="8" spans="1:7" x14ac:dyDescent="0.2">
      <c r="A8" s="133"/>
      <c r="B8" s="134" t="s">
        <v>858</v>
      </c>
      <c r="C8" s="134" t="s">
        <v>863</v>
      </c>
      <c r="D8" s="134" t="s">
        <v>864</v>
      </c>
      <c r="E8" s="134" t="s">
        <v>865</v>
      </c>
    </row>
    <row r="9" spans="1:7" x14ac:dyDescent="0.2">
      <c r="A9" s="133"/>
      <c r="B9" s="134"/>
      <c r="C9" s="134" t="s">
        <v>858</v>
      </c>
      <c r="D9" s="134" t="s">
        <v>858</v>
      </c>
      <c r="E9" s="134"/>
    </row>
    <row r="10" spans="1:7" x14ac:dyDescent="0.2">
      <c r="A10" s="135"/>
      <c r="B10" s="136">
        <v>1</v>
      </c>
      <c r="C10" s="136">
        <v>2</v>
      </c>
      <c r="D10" s="136">
        <v>3</v>
      </c>
      <c r="E10" s="136"/>
      <c r="F10" s="587" t="s">
        <v>7</v>
      </c>
    </row>
    <row r="11" spans="1:7" ht="15" customHeight="1" x14ac:dyDescent="0.2">
      <c r="A11" s="137"/>
      <c r="B11" s="62"/>
      <c r="C11" s="62"/>
      <c r="D11" s="159"/>
      <c r="E11" s="62"/>
    </row>
    <row r="12" spans="1:7" ht="15" customHeight="1" x14ac:dyDescent="0.2">
      <c r="A12" s="625" t="s">
        <v>866</v>
      </c>
      <c r="B12" s="1081">
        <f>SUMIF('Balance N-1 Retraitée'!A:A,"4455*",'Balance N-1 Retraitée'!H:H)-SUMIF('Balance N-1 Retraitée'!A:A,"4455*",'Balance N-1 Retraitée'!G:G)</f>
        <v>0</v>
      </c>
      <c r="C12" s="1082">
        <f>SUMIF('Balance N Retraitée'!A:A,"4455*",'Balance N Retraitée'!F:F)</f>
        <v>0</v>
      </c>
      <c r="D12" s="1082">
        <f>SUMIF('Balance N Retraitée'!A:A,"4455*",'Balance N Retraitée'!E:E)</f>
        <v>0</v>
      </c>
      <c r="E12" s="1082">
        <f>+B12+C12-D12</f>
        <v>0</v>
      </c>
      <c r="F12" s="587">
        <f>SUMIF('Balance N Retraitée'!A:A,"4455*",'Balance N Retraitée'!H:H)-SUMIF('Balance N Retraitée'!A:A,"4455*",'Balance N Retraitée'!G:G)-E12</f>
        <v>0</v>
      </c>
      <c r="G12" s="593"/>
    </row>
    <row r="13" spans="1:7" ht="15" customHeight="1" x14ac:dyDescent="0.2">
      <c r="A13" s="156"/>
      <c r="B13" s="622"/>
      <c r="C13" s="831"/>
      <c r="D13" s="831"/>
      <c r="E13" s="622"/>
    </row>
    <row r="14" spans="1:7" ht="15" customHeight="1" x14ac:dyDescent="0.2">
      <c r="A14" s="625" t="s">
        <v>867</v>
      </c>
      <c r="B14" s="621">
        <f>B16+B17</f>
        <v>0</v>
      </c>
      <c r="C14" s="832">
        <f>C16+C17</f>
        <v>0</v>
      </c>
      <c r="D14" s="832">
        <f>D16+D17</f>
        <v>0</v>
      </c>
      <c r="E14" s="173">
        <f>+B14+C14-D14</f>
        <v>0</v>
      </c>
      <c r="F14" s="587">
        <f>SUMIF('Balance N Retraitée'!A:A,"3455*",'Balance N Retraitée'!G:G)-SUMIF('Balance N Retraitée'!A:A,"3455*",'Balance N Retraitée'!H:H)-E14</f>
        <v>0</v>
      </c>
      <c r="G14" s="593"/>
    </row>
    <row r="15" spans="1:7" ht="15" customHeight="1" x14ac:dyDescent="0.2">
      <c r="A15" s="137"/>
      <c r="B15" s="594"/>
      <c r="C15" s="829"/>
      <c r="D15" s="833"/>
      <c r="E15" s="594"/>
    </row>
    <row r="16" spans="1:7" ht="15" customHeight="1" x14ac:dyDescent="0.2">
      <c r="A16" s="137" t="s">
        <v>868</v>
      </c>
      <c r="B16" s="1080">
        <f>SUMIF('Balance N-1 Retraitée'!A:A,"34552*",'Balance N-1 Retraitée'!G:G)-SUMIF('Balance N-1 Retraitée'!A:A,"34552*",'Balance N-1 Retraitée'!H:H)</f>
        <v>0</v>
      </c>
      <c r="C16" s="1080"/>
      <c r="D16" s="1083"/>
      <c r="E16" s="1083">
        <f>+B16+C16-D16</f>
        <v>0</v>
      </c>
      <c r="F16" s="587">
        <f>SUMIF('Balance N Retraitée'!A:A,"34552*",'Balance N Retraitée'!G:G)-SUMIF('Balance N Retraitée'!A:A,"34552*",'Balance N Retraitée'!H:H)-E16</f>
        <v>0</v>
      </c>
      <c r="G16" s="593"/>
    </row>
    <row r="17" spans="1:7" ht="15" customHeight="1" x14ac:dyDescent="0.2">
      <c r="A17" s="137" t="s">
        <v>869</v>
      </c>
      <c r="B17" s="1083">
        <f>SUMIF('Balance N-1 Retraitée'!A:A,"34551*",'Balance N-1 Retraitée'!G:G)-SUMIF('Balance N-1 Retraitée'!A:A,"34551*",'Balance N-1 Retraitée'!H:H)</f>
        <v>0</v>
      </c>
      <c r="C17" s="1083"/>
      <c r="D17" s="1083"/>
      <c r="E17" s="1083">
        <f>+B17+C17-D17</f>
        <v>0</v>
      </c>
      <c r="F17" s="587">
        <f>SUMIF('Balance N Retraitée'!A:A,"34551*",'Balance N Retraitée'!G:G)-SUMIF('Balance N Retraitée'!A:A,"34551*",'Balance N Retraitée'!H:H)-E17</f>
        <v>0</v>
      </c>
      <c r="G17" s="593"/>
    </row>
    <row r="18" spans="1:7" ht="15" customHeight="1" x14ac:dyDescent="0.2">
      <c r="A18" s="137"/>
      <c r="B18" s="174"/>
      <c r="C18" s="174"/>
      <c r="D18" s="174"/>
      <c r="E18" s="174"/>
      <c r="G18" s="593"/>
    </row>
    <row r="19" spans="1:7" ht="15" customHeight="1" x14ac:dyDescent="0.2">
      <c r="A19" s="625"/>
      <c r="B19" s="621"/>
      <c r="C19" s="621"/>
      <c r="D19" s="621"/>
      <c r="E19" s="173"/>
      <c r="G19" s="593"/>
    </row>
    <row r="20" spans="1:7" ht="15" customHeight="1" x14ac:dyDescent="0.2">
      <c r="A20" s="137"/>
      <c r="B20" s="626"/>
      <c r="C20" s="624"/>
      <c r="D20" s="627"/>
      <c r="E20" s="594"/>
    </row>
    <row r="21" spans="1:7" ht="15" customHeight="1" x14ac:dyDescent="0.2">
      <c r="A21" s="156" t="s">
        <v>120</v>
      </c>
      <c r="B21" s="623"/>
      <c r="C21" s="623"/>
      <c r="D21" s="623"/>
      <c r="E21" s="623"/>
    </row>
    <row r="22" spans="1:7" ht="15" customHeight="1" x14ac:dyDescent="0.2">
      <c r="A22" s="175" t="s">
        <v>870</v>
      </c>
      <c r="B22" s="624">
        <f>+B12-B14</f>
        <v>0</v>
      </c>
      <c r="C22" s="624">
        <f t="shared" ref="C22:D22" si="0">+C12-C14</f>
        <v>0</v>
      </c>
      <c r="D22" s="624">
        <f t="shared" si="0"/>
        <v>0</v>
      </c>
      <c r="E22" s="624">
        <f>+E12-E14-E19</f>
        <v>0</v>
      </c>
    </row>
    <row r="23" spans="1:7" x14ac:dyDescent="0.2">
      <c r="A23" s="4"/>
      <c r="B23" s="4"/>
      <c r="C23" s="4"/>
      <c r="D23" s="4"/>
      <c r="E23" s="4"/>
    </row>
    <row r="24" spans="1:7" x14ac:dyDescent="0.2">
      <c r="A24" s="4"/>
      <c r="B24" s="4"/>
      <c r="C24" s="4"/>
      <c r="D24" s="4"/>
      <c r="E24" s="4"/>
    </row>
    <row r="25" spans="1:7" x14ac:dyDescent="0.2">
      <c r="B25" s="176"/>
      <c r="C25" s="176"/>
    </row>
    <row r="26" spans="1:7" x14ac:dyDescent="0.2">
      <c r="B26" s="756"/>
    </row>
    <row r="27" spans="1:7" s="852" customFormat="1" ht="31.5" x14ac:dyDescent="0.25">
      <c r="A27" s="851" t="s">
        <v>982</v>
      </c>
      <c r="B27" s="851" t="s">
        <v>983</v>
      </c>
      <c r="C27" s="851" t="s">
        <v>984</v>
      </c>
      <c r="D27" s="851" t="s">
        <v>985</v>
      </c>
      <c r="F27" s="853"/>
    </row>
    <row r="28" spans="1:7" x14ac:dyDescent="0.2">
      <c r="A28" s="847" t="s">
        <v>986</v>
      </c>
    </row>
    <row r="29" spans="1:7" x14ac:dyDescent="0.2">
      <c r="A29" s="847" t="s">
        <v>987</v>
      </c>
    </row>
    <row r="30" spans="1:7" x14ac:dyDescent="0.2">
      <c r="A30" s="847" t="s">
        <v>75</v>
      </c>
    </row>
    <row r="31" spans="1:7" x14ac:dyDescent="0.2">
      <c r="A31" s="847" t="s">
        <v>988</v>
      </c>
    </row>
    <row r="32" spans="1:7" x14ac:dyDescent="0.2">
      <c r="A32" s="847" t="s">
        <v>989</v>
      </c>
    </row>
    <row r="33" spans="1:4" x14ac:dyDescent="0.2">
      <c r="A33" s="847" t="s">
        <v>990</v>
      </c>
    </row>
    <row r="34" spans="1:4" x14ac:dyDescent="0.2">
      <c r="A34" s="847" t="s">
        <v>991</v>
      </c>
    </row>
    <row r="35" spans="1:4" x14ac:dyDescent="0.2">
      <c r="A35" s="847" t="s">
        <v>992</v>
      </c>
    </row>
    <row r="36" spans="1:4" x14ac:dyDescent="0.2">
      <c r="A36" s="847" t="s">
        <v>993</v>
      </c>
    </row>
    <row r="37" spans="1:4" x14ac:dyDescent="0.2">
      <c r="A37" s="847" t="s">
        <v>994</v>
      </c>
    </row>
    <row r="38" spans="1:4" x14ac:dyDescent="0.2">
      <c r="A38" s="847" t="s">
        <v>995</v>
      </c>
    </row>
    <row r="39" spans="1:4" x14ac:dyDescent="0.2">
      <c r="A39" s="847" t="s">
        <v>996</v>
      </c>
    </row>
    <row r="40" spans="1:4" x14ac:dyDescent="0.2">
      <c r="B40" s="593">
        <f>SUM(B28:B39)</f>
        <v>0</v>
      </c>
      <c r="C40" s="593">
        <f>SUM(C28:C39)</f>
        <v>0</v>
      </c>
      <c r="D40" s="593">
        <f>SUM(D28:D39)</f>
        <v>0</v>
      </c>
    </row>
  </sheetData>
  <phoneticPr fontId="0" type="noConversion"/>
  <pageMargins left="0.78740157499999996" right="0.78740157499999996" top="0.984251969" bottom="0.984251969" header="0.4921259845" footer="0.4921259845"/>
  <pageSetup paperSize="9" scale="97" orientation="landscape" horizontalDpi="300" verticalDpi="300" r:id="rId1"/>
  <headerFooter alignWithMargins="0">
    <oddHeader>&amp;L&amp;"Times New Roman,Gras italique"&amp;12Sté :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3">
    <tabColor rgb="FFFF0000"/>
  </sheetPr>
  <dimension ref="A1:J25"/>
  <sheetViews>
    <sheetView workbookViewId="0">
      <selection activeCell="I12" sqref="I12"/>
    </sheetView>
  </sheetViews>
  <sheetFormatPr baseColWidth="10" defaultColWidth="13.33203125" defaultRowHeight="12.75" x14ac:dyDescent="0.2"/>
  <cols>
    <col min="1" max="1" width="23.6640625" style="10" customWidth="1"/>
    <col min="2" max="2" width="16.6640625" style="10" customWidth="1"/>
    <col min="3" max="3" width="17.33203125" style="10" customWidth="1"/>
    <col min="4" max="4" width="24.83203125" style="10" customWidth="1"/>
    <col min="5" max="5" width="15.1640625" style="10" customWidth="1"/>
    <col min="6" max="6" width="16" style="10" customWidth="1"/>
    <col min="7" max="7" width="17" style="10" customWidth="1"/>
    <col min="8" max="8" width="17.1640625" style="10" customWidth="1"/>
    <col min="9" max="9" width="17.6640625" style="10" customWidth="1"/>
    <col min="10" max="10" width="17.33203125" style="10" customWidth="1"/>
    <col min="11" max="16384" width="13.33203125" style="10"/>
  </cols>
  <sheetData>
    <row r="1" spans="1:10" ht="13.5" x14ac:dyDescent="0.25">
      <c r="A1" s="608" t="s">
        <v>951</v>
      </c>
      <c r="B1" s="608"/>
      <c r="C1" s="608"/>
      <c r="J1" s="835" t="s">
        <v>964</v>
      </c>
    </row>
    <row r="2" spans="1:10" x14ac:dyDescent="0.2">
      <c r="A2" s="11"/>
      <c r="B2" s="11"/>
      <c r="C2" s="11"/>
      <c r="J2" s="163"/>
    </row>
    <row r="3" spans="1:10" x14ac:dyDescent="0.2">
      <c r="A3" s="164" t="s">
        <v>871</v>
      </c>
      <c r="B3" s="164"/>
      <c r="C3" s="164"/>
      <c r="D3" s="165"/>
      <c r="E3" s="165"/>
      <c r="F3" s="165"/>
      <c r="G3" s="165"/>
      <c r="H3" s="165"/>
      <c r="I3" s="165"/>
      <c r="J3" s="165"/>
    </row>
    <row r="4" spans="1:10" s="11" customFormat="1" x14ac:dyDescent="0.2">
      <c r="A4" s="67"/>
      <c r="B4" s="126"/>
      <c r="C4" s="126"/>
      <c r="D4" s="67" t="s">
        <v>2611</v>
      </c>
      <c r="E4" s="966">
        <f>H18</f>
        <v>100000</v>
      </c>
      <c r="F4" s="10"/>
      <c r="G4" s="10"/>
      <c r="H4" s="164"/>
      <c r="I4" s="164"/>
      <c r="J4" s="164"/>
    </row>
    <row r="5" spans="1:10" x14ac:dyDescent="0.2">
      <c r="H5" s="10" t="str">
        <f>+'T12 B14-TVA'!D6</f>
        <v>Exercice clos le :</v>
      </c>
      <c r="J5" s="284" t="str">
        <f>'T5 ESG'!$G$3</f>
        <v>31/12/2015</v>
      </c>
    </row>
    <row r="7" spans="1:10" x14ac:dyDescent="0.2">
      <c r="A7" s="955" t="s">
        <v>872</v>
      </c>
      <c r="B7" s="956"/>
      <c r="C7" s="956"/>
      <c r="D7" s="956"/>
      <c r="E7" s="1166" t="s">
        <v>873</v>
      </c>
      <c r="F7" s="1167"/>
      <c r="G7" s="955" t="s">
        <v>874</v>
      </c>
      <c r="H7" s="957" t="s">
        <v>875</v>
      </c>
      <c r="I7" s="958"/>
      <c r="J7" s="959"/>
    </row>
    <row r="8" spans="1:10" x14ac:dyDescent="0.2">
      <c r="A8" s="960" t="s">
        <v>876</v>
      </c>
      <c r="B8" s="961"/>
      <c r="C8" s="961"/>
      <c r="D8" s="961" t="s">
        <v>877</v>
      </c>
      <c r="E8" s="960" t="s">
        <v>248</v>
      </c>
      <c r="F8" s="961" t="s">
        <v>248</v>
      </c>
      <c r="G8" s="961" t="s">
        <v>878</v>
      </c>
      <c r="H8" s="961" t="s">
        <v>879</v>
      </c>
      <c r="I8" s="961" t="s">
        <v>880</v>
      </c>
      <c r="J8" s="961" t="s">
        <v>881</v>
      </c>
    </row>
    <row r="9" spans="1:10" x14ac:dyDescent="0.2">
      <c r="A9" s="960" t="s">
        <v>882</v>
      </c>
      <c r="B9" s="964" t="s">
        <v>2609</v>
      </c>
      <c r="C9" s="964" t="s">
        <v>2610</v>
      </c>
      <c r="D9" s="961"/>
      <c r="E9" s="960" t="s">
        <v>885</v>
      </c>
      <c r="F9" s="961" t="s">
        <v>886</v>
      </c>
      <c r="G9" s="961" t="s">
        <v>883</v>
      </c>
      <c r="H9" s="961"/>
      <c r="I9" s="961"/>
      <c r="J9" s="961"/>
    </row>
    <row r="10" spans="1:10" x14ac:dyDescent="0.2">
      <c r="A10" s="960" t="s">
        <v>884</v>
      </c>
      <c r="B10" s="961"/>
      <c r="C10" s="961"/>
      <c r="D10" s="961"/>
      <c r="E10" s="960"/>
      <c r="F10" s="961"/>
      <c r="G10" s="961" t="s">
        <v>887</v>
      </c>
      <c r="H10" s="961"/>
      <c r="I10" s="961"/>
      <c r="J10" s="961"/>
    </row>
    <row r="11" spans="1:10" x14ac:dyDescent="0.2">
      <c r="A11" s="962">
        <v>1</v>
      </c>
      <c r="B11" s="963"/>
      <c r="C11" s="963"/>
      <c r="D11" s="963">
        <v>2</v>
      </c>
      <c r="E11" s="963">
        <v>3</v>
      </c>
      <c r="F11" s="963">
        <v>4</v>
      </c>
      <c r="G11" s="963">
        <v>5</v>
      </c>
      <c r="H11" s="963">
        <v>6</v>
      </c>
      <c r="I11" s="963">
        <v>7</v>
      </c>
      <c r="J11" s="963">
        <v>8</v>
      </c>
    </row>
    <row r="12" spans="1:10" s="4" customFormat="1" x14ac:dyDescent="0.2">
      <c r="A12" s="937" t="s">
        <v>3191</v>
      </c>
      <c r="B12" s="965"/>
      <c r="C12" s="965" t="s">
        <v>3193</v>
      </c>
      <c r="D12" s="965" t="s">
        <v>3192</v>
      </c>
      <c r="E12" s="939">
        <v>1000</v>
      </c>
      <c r="F12" s="939">
        <v>1000</v>
      </c>
      <c r="G12" s="940">
        <v>100</v>
      </c>
      <c r="H12" s="939">
        <v>100000</v>
      </c>
      <c r="I12" s="939">
        <f t="shared" ref="I12:J14" si="0">+H12</f>
        <v>100000</v>
      </c>
      <c r="J12" s="939">
        <f t="shared" si="0"/>
        <v>100000</v>
      </c>
    </row>
    <row r="13" spans="1:10" s="4" customFormat="1" x14ac:dyDescent="0.2">
      <c r="A13" s="937"/>
      <c r="B13" s="965"/>
      <c r="C13" s="965"/>
      <c r="D13" s="965"/>
      <c r="E13" s="939"/>
      <c r="F13" s="939"/>
      <c r="G13" s="940"/>
      <c r="H13" s="939"/>
      <c r="I13" s="939">
        <f t="shared" si="0"/>
        <v>0</v>
      </c>
      <c r="J13" s="939">
        <f t="shared" si="0"/>
        <v>0</v>
      </c>
    </row>
    <row r="14" spans="1:10" s="4" customFormat="1" x14ac:dyDescent="0.2">
      <c r="A14" s="937"/>
      <c r="B14" s="965"/>
      <c r="C14" s="965"/>
      <c r="D14" s="938"/>
      <c r="E14" s="939"/>
      <c r="F14" s="939">
        <v>0</v>
      </c>
      <c r="G14" s="940"/>
      <c r="H14" s="939">
        <f>+F14*G14</f>
        <v>0</v>
      </c>
      <c r="I14" s="939">
        <f t="shared" si="0"/>
        <v>0</v>
      </c>
      <c r="J14" s="939">
        <f t="shared" si="0"/>
        <v>0</v>
      </c>
    </row>
    <row r="15" spans="1:10" s="4" customFormat="1" x14ac:dyDescent="0.2">
      <c r="A15" s="937"/>
      <c r="B15" s="965"/>
      <c r="C15" s="965"/>
      <c r="D15" s="938"/>
      <c r="E15" s="939"/>
      <c r="F15" s="939"/>
      <c r="G15" s="940"/>
      <c r="H15" s="939">
        <f t="shared" ref="H15:H17" si="1">+F15*G15</f>
        <v>0</v>
      </c>
      <c r="I15" s="939">
        <f t="shared" ref="I15:J17" si="2">+H15</f>
        <v>0</v>
      </c>
      <c r="J15" s="939">
        <f t="shared" si="2"/>
        <v>0</v>
      </c>
    </row>
    <row r="16" spans="1:10" s="4" customFormat="1" x14ac:dyDescent="0.2">
      <c r="A16" s="937"/>
      <c r="B16" s="965"/>
      <c r="C16" s="965"/>
      <c r="D16" s="938"/>
      <c r="E16" s="939"/>
      <c r="F16" s="939"/>
      <c r="G16" s="940"/>
      <c r="H16" s="939">
        <f t="shared" si="1"/>
        <v>0</v>
      </c>
      <c r="I16" s="939">
        <f t="shared" si="2"/>
        <v>0</v>
      </c>
      <c r="J16" s="939">
        <f t="shared" si="2"/>
        <v>0</v>
      </c>
    </row>
    <row r="17" spans="1:10" s="4" customFormat="1" x14ac:dyDescent="0.2">
      <c r="A17" s="937"/>
      <c r="B17" s="965"/>
      <c r="C17" s="965"/>
      <c r="D17" s="938"/>
      <c r="E17" s="939"/>
      <c r="F17" s="939"/>
      <c r="G17" s="940"/>
      <c r="H17" s="939">
        <f t="shared" si="1"/>
        <v>0</v>
      </c>
      <c r="I17" s="939">
        <f t="shared" si="2"/>
        <v>0</v>
      </c>
      <c r="J17" s="939">
        <f t="shared" si="2"/>
        <v>0</v>
      </c>
    </row>
    <row r="18" spans="1:10" s="11" customFormat="1" ht="29.25" customHeight="1" x14ac:dyDescent="0.2">
      <c r="A18" s="225"/>
      <c r="B18" s="170"/>
      <c r="C18" s="170"/>
      <c r="D18" s="170"/>
      <c r="E18" s="716">
        <f>SUM(E12:E17)</f>
        <v>1000</v>
      </c>
      <c r="F18" s="716">
        <f>SUM(F12:F17)</f>
        <v>1000</v>
      </c>
      <c r="G18" s="628"/>
      <c r="H18" s="716">
        <f>SUM(H12:H17)</f>
        <v>100000</v>
      </c>
      <c r="I18" s="716">
        <f>SUM(I12:I17)</f>
        <v>100000</v>
      </c>
      <c r="J18" s="716">
        <f>SUM(J12:J17)</f>
        <v>100000</v>
      </c>
    </row>
    <row r="19" spans="1:10" x14ac:dyDescent="0.2">
      <c r="A19" s="10" t="s">
        <v>888</v>
      </c>
    </row>
    <row r="20" spans="1:10" x14ac:dyDescent="0.2">
      <c r="A20" s="10" t="s">
        <v>121</v>
      </c>
    </row>
    <row r="23" spans="1:10" x14ac:dyDescent="0.2">
      <c r="A23" s="10" t="s">
        <v>970</v>
      </c>
      <c r="H23" s="842">
        <f>'T1 Bilan'!E68</f>
        <v>0</v>
      </c>
      <c r="I23" s="842">
        <f>'T1 Bilan'!E68+'T1 Bilan'!E69</f>
        <v>0</v>
      </c>
    </row>
    <row r="25" spans="1:10" x14ac:dyDescent="0.2">
      <c r="A25" s="10" t="s">
        <v>7</v>
      </c>
      <c r="H25" s="843">
        <f>H18-H23</f>
        <v>100000</v>
      </c>
      <c r="I25" s="843">
        <f>I18-I23</f>
        <v>100000</v>
      </c>
    </row>
  </sheetData>
  <mergeCells count="1">
    <mergeCell ref="E7:F7"/>
  </mergeCells>
  <phoneticPr fontId="28" type="noConversion"/>
  <pageMargins left="0.78740157499999996" right="0.78740157499999996" top="0.984251969" bottom="0.984251969" header="0.4921259845" footer="0.4921259845"/>
  <pageSetup paperSize="9" scale="96" orientation="landscape" horizontalDpi="300" verticalDpi="300" r:id="rId1"/>
  <headerFooter alignWithMargins="0">
    <oddHeader>&amp;L&amp;"Times New Roman,Gras italique"&amp;12Sté : ...............................</oddHeader>
  </headerFooter>
  <ignoredErrors>
    <ignoredError sqref="E18:F18"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4">
    <tabColor rgb="FFFFFF00"/>
  </sheetPr>
  <dimension ref="A1:E20"/>
  <sheetViews>
    <sheetView workbookViewId="0">
      <selection activeCell="B14" sqref="B14"/>
    </sheetView>
  </sheetViews>
  <sheetFormatPr baseColWidth="10" defaultColWidth="13.33203125" defaultRowHeight="12.75" x14ac:dyDescent="0.2"/>
  <cols>
    <col min="1" max="1" width="52" style="4" customWidth="1"/>
    <col min="2" max="2" width="20.33203125" style="4" customWidth="1"/>
    <col min="3" max="3" width="38.33203125" style="4" bestFit="1" customWidth="1"/>
    <col min="4" max="4" width="20.6640625" style="4" customWidth="1"/>
    <col min="5" max="5" width="14.33203125" style="4" customWidth="1"/>
    <col min="6" max="16384" width="13.33203125" style="4"/>
  </cols>
  <sheetData>
    <row r="1" spans="1:5" ht="13.5" x14ac:dyDescent="0.25">
      <c r="A1" s="608" t="s">
        <v>952</v>
      </c>
      <c r="D1" s="835" t="s">
        <v>965</v>
      </c>
    </row>
    <row r="2" spans="1:5" x14ac:dyDescent="0.2">
      <c r="A2" s="11"/>
    </row>
    <row r="3" spans="1:5" x14ac:dyDescent="0.2">
      <c r="A3" s="11"/>
    </row>
    <row r="4" spans="1:5" s="9" customFormat="1" x14ac:dyDescent="0.2">
      <c r="A4" s="9" t="s">
        <v>889</v>
      </c>
    </row>
    <row r="5" spans="1:5" s="9" customFormat="1" x14ac:dyDescent="0.2">
      <c r="D5" s="9" t="s">
        <v>122</v>
      </c>
    </row>
    <row r="6" spans="1:5" x14ac:dyDescent="0.2">
      <c r="C6" s="4" t="str">
        <f>+'T13 C1-rép cap'!H5</f>
        <v>Exercice clos le :</v>
      </c>
      <c r="D6" s="284" t="str">
        <f>'T5 ESG'!$G$3</f>
        <v>31/12/2015</v>
      </c>
    </row>
    <row r="7" spans="1:5" s="9" customFormat="1" ht="21.75" customHeight="1" x14ac:dyDescent="0.2">
      <c r="A7" s="153"/>
      <c r="B7" s="154" t="s">
        <v>483</v>
      </c>
      <c r="C7" s="155"/>
      <c r="D7" s="154" t="s">
        <v>483</v>
      </c>
    </row>
    <row r="8" spans="1:5" ht="21.75" customHeight="1" x14ac:dyDescent="0.2">
      <c r="A8" s="156" t="s">
        <v>890</v>
      </c>
      <c r="B8" s="62"/>
      <c r="C8" s="157" t="s">
        <v>891</v>
      </c>
      <c r="D8" s="62"/>
    </row>
    <row r="9" spans="1:5" ht="11.25" customHeight="1" x14ac:dyDescent="0.2">
      <c r="A9" s="599" t="s">
        <v>2992</v>
      </c>
      <c r="B9" s="158"/>
      <c r="C9" s="159"/>
      <c r="D9" s="158"/>
    </row>
    <row r="10" spans="1:5" x14ac:dyDescent="0.2">
      <c r="A10" s="160"/>
      <c r="B10" s="158"/>
      <c r="C10" s="158" t="s">
        <v>123</v>
      </c>
      <c r="D10" s="719"/>
    </row>
    <row r="11" spans="1:5" x14ac:dyDescent="0.2">
      <c r="A11" s="137" t="s">
        <v>124</v>
      </c>
      <c r="B11" s="719"/>
      <c r="C11" s="158" t="s">
        <v>125</v>
      </c>
      <c r="D11" s="719"/>
    </row>
    <row r="12" spans="1:5" x14ac:dyDescent="0.2">
      <c r="A12" s="137" t="s">
        <v>126</v>
      </c>
      <c r="B12" s="719"/>
      <c r="C12" s="158" t="s">
        <v>127</v>
      </c>
      <c r="D12" s="719"/>
    </row>
    <row r="13" spans="1:5" x14ac:dyDescent="0.2">
      <c r="A13" s="137" t="s">
        <v>128</v>
      </c>
      <c r="B13" s="719"/>
      <c r="C13" s="158" t="s">
        <v>129</v>
      </c>
      <c r="D13" s="719"/>
    </row>
    <row r="14" spans="1:5" x14ac:dyDescent="0.2">
      <c r="A14" s="137" t="s">
        <v>130</v>
      </c>
      <c r="B14" s="719"/>
      <c r="C14" s="158" t="s">
        <v>131</v>
      </c>
      <c r="D14" s="719"/>
    </row>
    <row r="15" spans="1:5" x14ac:dyDescent="0.2">
      <c r="A15" s="137" t="s">
        <v>130</v>
      </c>
      <c r="B15" s="719"/>
      <c r="C15" s="158" t="s">
        <v>131</v>
      </c>
      <c r="D15" s="719"/>
      <c r="E15" s="764"/>
    </row>
    <row r="16" spans="1:5" x14ac:dyDescent="0.2">
      <c r="A16" s="137"/>
      <c r="B16" s="158"/>
      <c r="C16" s="158"/>
      <c r="D16" s="158"/>
    </row>
    <row r="17" spans="1:4" x14ac:dyDescent="0.2">
      <c r="A17" s="137"/>
      <c r="B17" s="158"/>
      <c r="C17" s="158"/>
      <c r="D17" s="158"/>
    </row>
    <row r="18" spans="1:4" s="9" customFormat="1" x14ac:dyDescent="0.2">
      <c r="A18" s="135" t="s">
        <v>892</v>
      </c>
      <c r="B18" s="161">
        <f>SUM(B11:B17)</f>
        <v>0</v>
      </c>
      <c r="C18" s="162" t="s">
        <v>893</v>
      </c>
      <c r="D18" s="161">
        <f>SUM(D10:D15)</f>
        <v>0</v>
      </c>
    </row>
    <row r="19" spans="1:4" x14ac:dyDescent="0.2">
      <c r="B19" s="90"/>
      <c r="C19" s="90"/>
      <c r="D19" s="578">
        <f>D18-B18</f>
        <v>0</v>
      </c>
    </row>
    <row r="20" spans="1:4" x14ac:dyDescent="0.2">
      <c r="A20" s="9" t="s">
        <v>894</v>
      </c>
    </row>
  </sheetData>
  <phoneticPr fontId="28" type="noConversion"/>
  <pageMargins left="0.78740157499999996" right="0.78740157499999996" top="0.984251969" bottom="0.984251969" header="0.4921259845" footer="0.4921259845"/>
  <pageSetup paperSize="9" scale="110" orientation="landscape" horizontalDpi="300" verticalDpi="300" r:id="rId1"/>
  <headerFooter alignWithMargins="0">
    <oddHeader>&amp;L&amp;"Times New Roman,Gras italique"&amp;12Sté :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B2:D33"/>
  <sheetViews>
    <sheetView workbookViewId="0"/>
  </sheetViews>
  <sheetFormatPr baseColWidth="10" defaultColWidth="12" defaultRowHeight="12.75" x14ac:dyDescent="0.2"/>
  <cols>
    <col min="1" max="1" width="12" style="845"/>
    <col min="2" max="2" width="78" style="845" customWidth="1"/>
    <col min="3" max="3" width="42.1640625" style="845" customWidth="1"/>
    <col min="4" max="4" width="15.83203125" style="845" customWidth="1"/>
    <col min="5" max="16384" width="12" style="845"/>
  </cols>
  <sheetData>
    <row r="2" spans="2:4" ht="15.75" x14ac:dyDescent="0.25">
      <c r="B2" s="1169" t="s">
        <v>2678</v>
      </c>
      <c r="C2" s="1169"/>
    </row>
    <row r="5" spans="2:4" ht="14.25" x14ac:dyDescent="0.2">
      <c r="B5" s="1021" t="s">
        <v>2661</v>
      </c>
      <c r="C5" s="1021" t="s">
        <v>817</v>
      </c>
    </row>
    <row r="6" spans="2:4" ht="15" x14ac:dyDescent="0.25">
      <c r="B6" s="1022" t="s">
        <v>2662</v>
      </c>
      <c r="C6" s="1026">
        <v>0</v>
      </c>
    </row>
    <row r="7" spans="2:4" ht="15" x14ac:dyDescent="0.25">
      <c r="B7" s="1022" t="s">
        <v>2663</v>
      </c>
      <c r="C7" s="1026">
        <v>0</v>
      </c>
    </row>
    <row r="8" spans="2:4" ht="15" x14ac:dyDescent="0.25">
      <c r="B8" s="1168" t="s">
        <v>2664</v>
      </c>
      <c r="C8" s="1168"/>
    </row>
    <row r="9" spans="2:4" ht="15" x14ac:dyDescent="0.25">
      <c r="B9" s="1022"/>
      <c r="C9" s="1022"/>
    </row>
    <row r="10" spans="2:4" ht="15" x14ac:dyDescent="0.25">
      <c r="B10" s="1025" t="s">
        <v>2665</v>
      </c>
      <c r="C10" s="1025" t="s">
        <v>817</v>
      </c>
    </row>
    <row r="11" spans="2:4" ht="15" x14ac:dyDescent="0.25">
      <c r="B11" s="1027">
        <v>0.17499999999999999</v>
      </c>
      <c r="C11" s="1026">
        <v>0</v>
      </c>
      <c r="D11" s="1095"/>
    </row>
    <row r="12" spans="2:4" ht="15" x14ac:dyDescent="0.25">
      <c r="B12" s="1022"/>
      <c r="C12" s="1024"/>
    </row>
    <row r="13" spans="2:4" ht="15" x14ac:dyDescent="0.25">
      <c r="B13" s="1022"/>
      <c r="C13" s="1024"/>
    </row>
    <row r="14" spans="2:4" ht="15" x14ac:dyDescent="0.25">
      <c r="B14" s="1022"/>
      <c r="C14" s="1024"/>
    </row>
    <row r="15" spans="2:4" ht="15" x14ac:dyDescent="0.25">
      <c r="B15" s="1168" t="s">
        <v>2666</v>
      </c>
      <c r="C15" s="1168"/>
    </row>
    <row r="16" spans="2:4" ht="15" x14ac:dyDescent="0.25">
      <c r="B16" s="1022" t="s">
        <v>2666</v>
      </c>
      <c r="C16" s="1096">
        <v>0</v>
      </c>
    </row>
    <row r="17" spans="2:3" ht="15" x14ac:dyDescent="0.25">
      <c r="B17" s="1023" t="s">
        <v>2667</v>
      </c>
      <c r="C17" s="1026">
        <v>0</v>
      </c>
    </row>
    <row r="18" spans="2:3" ht="15" x14ac:dyDescent="0.25">
      <c r="B18" s="1023" t="s">
        <v>2668</v>
      </c>
      <c r="C18" s="1026">
        <v>0</v>
      </c>
    </row>
    <row r="19" spans="2:3" ht="15" x14ac:dyDescent="0.25">
      <c r="B19" s="1023" t="s">
        <v>2669</v>
      </c>
      <c r="C19" s="1026">
        <v>0</v>
      </c>
    </row>
    <row r="20" spans="2:3" ht="15" x14ac:dyDescent="0.25">
      <c r="B20" s="1028" t="s">
        <v>2937</v>
      </c>
      <c r="C20" s="1026">
        <v>0</v>
      </c>
    </row>
    <row r="21" spans="2:3" ht="15" x14ac:dyDescent="0.25">
      <c r="B21" s="1028" t="s">
        <v>2937</v>
      </c>
      <c r="C21" s="1026">
        <v>0</v>
      </c>
    </row>
    <row r="22" spans="2:3" ht="15" x14ac:dyDescent="0.25">
      <c r="B22" s="1023" t="s">
        <v>2670</v>
      </c>
      <c r="C22" s="1026">
        <f>C6+C7+C11+C16</f>
        <v>0</v>
      </c>
    </row>
    <row r="23" spans="2:3" ht="15" x14ac:dyDescent="0.25">
      <c r="B23" s="1023" t="s">
        <v>2671</v>
      </c>
      <c r="C23" s="1026">
        <f>IFERROR(C28+C31,0)</f>
        <v>0</v>
      </c>
    </row>
    <row r="25" spans="2:3" x14ac:dyDescent="0.2">
      <c r="B25" s="847" t="s">
        <v>2672</v>
      </c>
    </row>
    <row r="26" spans="2:3" x14ac:dyDescent="0.2">
      <c r="B26" s="847"/>
    </row>
    <row r="27" spans="2:3" x14ac:dyDescent="0.2">
      <c r="B27" s="847" t="s">
        <v>2673</v>
      </c>
    </row>
    <row r="28" spans="2:3" x14ac:dyDescent="0.2">
      <c r="B28" s="847" t="s">
        <v>2674</v>
      </c>
      <c r="C28" s="1075">
        <v>0</v>
      </c>
    </row>
    <row r="29" spans="2:3" x14ac:dyDescent="0.2">
      <c r="B29" s="847"/>
      <c r="C29" s="1076"/>
    </row>
    <row r="30" spans="2:3" x14ac:dyDescent="0.2">
      <c r="B30" s="847" t="s">
        <v>2675</v>
      </c>
      <c r="C30" s="1076"/>
    </row>
    <row r="31" spans="2:3" x14ac:dyDescent="0.2">
      <c r="B31" s="847" t="s">
        <v>2676</v>
      </c>
      <c r="C31" s="1077">
        <v>0</v>
      </c>
    </row>
    <row r="32" spans="2:3" x14ac:dyDescent="0.2">
      <c r="B32" s="847"/>
    </row>
    <row r="33" spans="2:2" x14ac:dyDescent="0.2">
      <c r="B33" s="847" t="s">
        <v>2677</v>
      </c>
    </row>
  </sheetData>
  <mergeCells count="3">
    <mergeCell ref="B8:C8"/>
    <mergeCell ref="B15:C15"/>
    <mergeCell ref="B2:C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6">
    <tabColor rgb="FFFF0000"/>
  </sheetPr>
  <dimension ref="A2:L203"/>
  <sheetViews>
    <sheetView workbookViewId="0"/>
  </sheetViews>
  <sheetFormatPr baseColWidth="10" defaultColWidth="12" defaultRowHeight="12.75" x14ac:dyDescent="0.2"/>
  <cols>
    <col min="1" max="1" width="6.33203125" style="2" customWidth="1"/>
    <col min="2" max="2" width="20.83203125" style="2" customWidth="1"/>
    <col min="3" max="3" width="13.33203125" style="2" customWidth="1"/>
    <col min="4" max="4" width="16.1640625" style="2" bestFit="1" customWidth="1"/>
    <col min="5" max="5" width="15.33203125" style="2" customWidth="1"/>
    <col min="6" max="6" width="16.1640625" style="2" bestFit="1" customWidth="1"/>
    <col min="7" max="7" width="15.83203125" style="2" customWidth="1"/>
    <col min="8" max="8" width="18.33203125" style="2" customWidth="1"/>
    <col min="9" max="9" width="17.33203125" style="2" customWidth="1"/>
    <col min="10" max="10" width="17" style="2" customWidth="1"/>
    <col min="11" max="11" width="21.6640625" style="2" customWidth="1"/>
    <col min="12" max="16384" width="12" style="2"/>
  </cols>
  <sheetData>
    <row r="2" spans="1:12" x14ac:dyDescent="0.2">
      <c r="A2" s="501"/>
      <c r="B2" s="501" t="s">
        <v>899</v>
      </c>
    </row>
    <row r="3" spans="1:12" x14ac:dyDescent="0.2">
      <c r="A3" s="501"/>
      <c r="B3" s="501"/>
    </row>
    <row r="4" spans="1:12" s="504" customFormat="1" ht="18" x14ac:dyDescent="0.25">
      <c r="A4" s="746"/>
      <c r="B4" s="746" t="s">
        <v>900</v>
      </c>
      <c r="C4" s="747"/>
      <c r="D4" s="747"/>
      <c r="E4" s="747"/>
      <c r="F4" s="747"/>
      <c r="G4" s="747"/>
      <c r="H4" s="747"/>
      <c r="I4" s="747"/>
      <c r="J4" s="747"/>
      <c r="K4" s="747"/>
    </row>
    <row r="5" spans="1:12" s="504" customFormat="1" ht="13.15" customHeight="1" x14ac:dyDescent="0.25">
      <c r="A5" s="746"/>
      <c r="B5" s="746"/>
      <c r="C5" s="747"/>
      <c r="D5" s="747"/>
      <c r="E5" s="747"/>
      <c r="F5" s="747"/>
      <c r="G5" s="747"/>
      <c r="H5" s="747"/>
      <c r="I5" s="747"/>
      <c r="J5" s="747"/>
      <c r="K5" s="747"/>
    </row>
    <row r="6" spans="1:12" x14ac:dyDescent="0.2">
      <c r="H6" s="501" t="s">
        <v>901</v>
      </c>
      <c r="K6" s="942"/>
      <c r="L6" s="942"/>
    </row>
    <row r="7" spans="1:12" s="979" customFormat="1" ht="20.25" customHeight="1" x14ac:dyDescent="0.2">
      <c r="F7" s="980" t="s">
        <v>2618</v>
      </c>
      <c r="H7" s="981">
        <f>Cellule_1093</f>
        <v>0</v>
      </c>
      <c r="J7" s="982"/>
      <c r="K7" s="983"/>
      <c r="L7" s="983"/>
    </row>
    <row r="8" spans="1:12" s="979" customFormat="1" ht="20.25" customHeight="1" x14ac:dyDescent="0.2">
      <c r="F8" s="979" t="s">
        <v>18</v>
      </c>
      <c r="H8" s="1004" t="str">
        <f>+'T14 C2-affec resu'!D6</f>
        <v>31/12/2015</v>
      </c>
      <c r="J8" s="982"/>
      <c r="K8" s="983"/>
      <c r="L8" s="983"/>
    </row>
    <row r="9" spans="1:12" s="979" customFormat="1" ht="20.25" customHeight="1" x14ac:dyDescent="0.2">
      <c r="F9" s="980" t="s">
        <v>2619</v>
      </c>
      <c r="H9" s="1005" t="str">
        <f>Couverture!C15</f>
        <v>01/01/2015</v>
      </c>
      <c r="J9" s="982"/>
      <c r="K9" s="983"/>
      <c r="L9" s="983"/>
    </row>
    <row r="10" spans="1:12" s="979" customFormat="1" ht="20.25" customHeight="1" x14ac:dyDescent="0.2">
      <c r="F10" s="980" t="s">
        <v>2620</v>
      </c>
      <c r="H10" s="1005" t="str">
        <f>Couverture!E15</f>
        <v>31/12/2015</v>
      </c>
      <c r="J10" s="982"/>
      <c r="K10" s="983"/>
      <c r="L10" s="983"/>
    </row>
    <row r="11" spans="1:12" x14ac:dyDescent="0.2">
      <c r="H11" s="501"/>
      <c r="J11" s="941"/>
      <c r="K11" s="942"/>
      <c r="L11" s="942"/>
    </row>
    <row r="12" spans="1:12" s="969" customFormat="1" ht="51" customHeight="1" x14ac:dyDescent="0.2">
      <c r="A12" s="967" t="s">
        <v>2656</v>
      </c>
      <c r="B12" s="967" t="s">
        <v>2612</v>
      </c>
      <c r="C12" s="967" t="s">
        <v>902</v>
      </c>
      <c r="D12" s="967" t="s">
        <v>2613</v>
      </c>
      <c r="E12" s="967" t="s">
        <v>2614</v>
      </c>
      <c r="F12" s="967" t="s">
        <v>2615</v>
      </c>
      <c r="G12" s="967" t="s">
        <v>903</v>
      </c>
      <c r="H12" s="967" t="s">
        <v>904</v>
      </c>
      <c r="I12" s="967" t="s">
        <v>2616</v>
      </c>
      <c r="J12" s="967" t="s">
        <v>2617</v>
      </c>
      <c r="K12" s="967" t="s">
        <v>905</v>
      </c>
      <c r="L12" s="968"/>
    </row>
    <row r="13" spans="1:12" x14ac:dyDescent="0.2">
      <c r="A13" s="944"/>
      <c r="B13" s="944"/>
      <c r="C13" s="943">
        <v>1</v>
      </c>
      <c r="D13" s="943">
        <v>2</v>
      </c>
      <c r="E13" s="943">
        <v>3</v>
      </c>
      <c r="F13" s="943">
        <v>4</v>
      </c>
      <c r="G13" s="943">
        <v>5</v>
      </c>
      <c r="H13" s="943">
        <v>6</v>
      </c>
      <c r="I13" s="943">
        <v>7</v>
      </c>
      <c r="J13" s="943">
        <v>8</v>
      </c>
      <c r="K13" s="943">
        <v>9</v>
      </c>
      <c r="L13" s="855"/>
    </row>
    <row r="14" spans="1:12" ht="22.5" customHeight="1" x14ac:dyDescent="0.2">
      <c r="A14" s="1006">
        <v>1</v>
      </c>
      <c r="B14" s="1084"/>
      <c r="C14" s="1085"/>
      <c r="D14" s="1086"/>
      <c r="E14" s="1087"/>
      <c r="F14" s="1086"/>
      <c r="G14" s="1088"/>
      <c r="H14" s="1089"/>
      <c r="I14" s="1090"/>
      <c r="J14" s="1086"/>
      <c r="K14" s="1079"/>
      <c r="L14" s="855"/>
    </row>
    <row r="15" spans="1:12" ht="22.5" customHeight="1" x14ac:dyDescent="0.2">
      <c r="A15" s="1006">
        <f t="shared" ref="A15:A78" si="0">A14+1</f>
        <v>2</v>
      </c>
      <c r="B15" s="1084"/>
      <c r="C15" s="1085"/>
      <c r="D15" s="1086"/>
      <c r="E15" s="1087"/>
      <c r="F15" s="1086"/>
      <c r="G15" s="1091"/>
      <c r="H15" s="1089"/>
      <c r="I15" s="1086"/>
      <c r="J15" s="1086"/>
      <c r="K15" s="1078"/>
      <c r="L15" s="855"/>
    </row>
    <row r="16" spans="1:12" ht="22.5" customHeight="1" x14ac:dyDescent="0.2">
      <c r="A16" s="1006">
        <f t="shared" si="0"/>
        <v>3</v>
      </c>
      <c r="B16" s="1084"/>
      <c r="C16" s="1085"/>
      <c r="D16" s="1086"/>
      <c r="E16" s="1087"/>
      <c r="F16" s="1086"/>
      <c r="G16" s="1088"/>
      <c r="H16" s="1089"/>
      <c r="I16" s="1086"/>
      <c r="J16" s="1086"/>
      <c r="K16" s="1078"/>
      <c r="L16" s="855"/>
    </row>
    <row r="17" spans="1:12" ht="22.5" customHeight="1" x14ac:dyDescent="0.2">
      <c r="A17" s="1006">
        <f t="shared" si="0"/>
        <v>4</v>
      </c>
      <c r="B17" s="1084"/>
      <c r="C17" s="1085"/>
      <c r="D17" s="1086"/>
      <c r="E17" s="1087"/>
      <c r="F17" s="1086"/>
      <c r="G17" s="1092"/>
      <c r="H17" s="1089"/>
      <c r="I17" s="1086"/>
      <c r="J17" s="1086"/>
      <c r="K17" s="1078"/>
      <c r="L17" s="855"/>
    </row>
    <row r="18" spans="1:12" ht="22.5" customHeight="1" x14ac:dyDescent="0.2">
      <c r="A18" s="1006">
        <f t="shared" si="0"/>
        <v>5</v>
      </c>
      <c r="B18" s="1084"/>
      <c r="C18" s="1093"/>
      <c r="D18" s="1086"/>
      <c r="E18" s="1087"/>
      <c r="F18" s="1086"/>
      <c r="G18" s="1088"/>
      <c r="H18" s="1089"/>
      <c r="I18" s="1086"/>
      <c r="J18" s="1086"/>
      <c r="K18" s="949"/>
      <c r="L18" s="855"/>
    </row>
    <row r="19" spans="1:12" ht="22.5" customHeight="1" x14ac:dyDescent="0.2">
      <c r="A19" s="1006">
        <f t="shared" si="0"/>
        <v>6</v>
      </c>
      <c r="B19" s="1084"/>
      <c r="C19" s="1093"/>
      <c r="D19" s="1086"/>
      <c r="E19" s="1087"/>
      <c r="F19" s="1086"/>
      <c r="G19" s="1088"/>
      <c r="H19" s="1089"/>
      <c r="I19" s="1086"/>
      <c r="J19" s="1086"/>
      <c r="K19" s="949"/>
      <c r="L19" s="855"/>
    </row>
    <row r="20" spans="1:12" ht="22.5" customHeight="1" x14ac:dyDescent="0.2">
      <c r="A20" s="1006">
        <f t="shared" si="0"/>
        <v>7</v>
      </c>
      <c r="B20" s="1084"/>
      <c r="C20" s="1093"/>
      <c r="D20" s="1086"/>
      <c r="E20" s="1087"/>
      <c r="F20" s="1086"/>
      <c r="G20" s="1088"/>
      <c r="H20" s="1089"/>
      <c r="I20" s="1094"/>
      <c r="J20" s="1086"/>
      <c r="K20" s="945"/>
      <c r="L20" s="855"/>
    </row>
    <row r="21" spans="1:12" ht="22.5" customHeight="1" x14ac:dyDescent="0.2">
      <c r="A21" s="1006">
        <f t="shared" si="0"/>
        <v>8</v>
      </c>
      <c r="B21" s="1084"/>
      <c r="C21" s="1093"/>
      <c r="D21" s="1086"/>
      <c r="E21" s="1087"/>
      <c r="F21" s="1086"/>
      <c r="G21" s="1088"/>
      <c r="H21" s="1089"/>
      <c r="I21" s="1086"/>
      <c r="J21" s="1086"/>
      <c r="K21" s="949"/>
      <c r="L21" s="855"/>
    </row>
    <row r="22" spans="1:12" ht="22.5" customHeight="1" x14ac:dyDescent="0.2">
      <c r="A22" s="1006">
        <f t="shared" si="0"/>
        <v>9</v>
      </c>
      <c r="B22" s="1084"/>
      <c r="C22" s="1093"/>
      <c r="D22" s="1086"/>
      <c r="E22" s="1087"/>
      <c r="F22" s="1086"/>
      <c r="G22" s="1088"/>
      <c r="H22" s="1089"/>
      <c r="I22" s="1086"/>
      <c r="J22" s="1086"/>
      <c r="K22" s="945"/>
      <c r="L22" s="855"/>
    </row>
    <row r="23" spans="1:12" ht="22.5" customHeight="1" x14ac:dyDescent="0.2">
      <c r="A23" s="1006">
        <f t="shared" si="0"/>
        <v>10</v>
      </c>
      <c r="B23" s="1084"/>
      <c r="C23" s="1093"/>
      <c r="D23" s="1086"/>
      <c r="E23" s="1087"/>
      <c r="F23" s="1086"/>
      <c r="G23" s="1088"/>
      <c r="H23" s="1089"/>
      <c r="I23" s="1086"/>
      <c r="J23" s="1086"/>
      <c r="K23" s="945"/>
      <c r="L23" s="855"/>
    </row>
    <row r="24" spans="1:12" ht="22.5" customHeight="1" x14ac:dyDescent="0.2">
      <c r="A24" s="1006">
        <f t="shared" si="0"/>
        <v>11</v>
      </c>
      <c r="B24" s="1084"/>
      <c r="C24" s="1093"/>
      <c r="D24" s="1086"/>
      <c r="E24" s="1087"/>
      <c r="F24" s="1086"/>
      <c r="G24" s="1088"/>
      <c r="H24" s="1089"/>
      <c r="I24" s="1086"/>
      <c r="J24" s="1086"/>
      <c r="K24" s="945"/>
      <c r="L24" s="855"/>
    </row>
    <row r="25" spans="1:12" ht="22.5" customHeight="1" x14ac:dyDescent="0.2">
      <c r="A25" s="1006">
        <f t="shared" si="0"/>
        <v>12</v>
      </c>
      <c r="B25" s="1084"/>
      <c r="C25" s="1093"/>
      <c r="D25" s="1086"/>
      <c r="E25" s="1087"/>
      <c r="F25" s="1086"/>
      <c r="G25" s="1088"/>
      <c r="H25" s="1089"/>
      <c r="I25" s="1086"/>
      <c r="J25" s="1086"/>
      <c r="K25" s="945"/>
      <c r="L25" s="855"/>
    </row>
    <row r="26" spans="1:12" ht="22.5" customHeight="1" x14ac:dyDescent="0.2">
      <c r="A26" s="1006">
        <f t="shared" si="0"/>
        <v>13</v>
      </c>
      <c r="B26" s="1084"/>
      <c r="C26" s="1093"/>
      <c r="D26" s="1086"/>
      <c r="E26" s="1087"/>
      <c r="F26" s="1086"/>
      <c r="G26" s="1088"/>
      <c r="H26" s="1089"/>
      <c r="I26" s="1086"/>
      <c r="J26" s="1086"/>
      <c r="K26" s="945"/>
      <c r="L26" s="855"/>
    </row>
    <row r="27" spans="1:12" ht="22.5" customHeight="1" x14ac:dyDescent="0.2">
      <c r="A27" s="1006">
        <f t="shared" si="0"/>
        <v>14</v>
      </c>
      <c r="B27" s="1084"/>
      <c r="C27" s="1093"/>
      <c r="D27" s="1086"/>
      <c r="E27" s="1087"/>
      <c r="F27" s="1086"/>
      <c r="G27" s="1088"/>
      <c r="H27" s="1089"/>
      <c r="I27" s="1086"/>
      <c r="J27" s="1086"/>
      <c r="K27" s="945"/>
      <c r="L27" s="855"/>
    </row>
    <row r="28" spans="1:12" ht="22.5" customHeight="1" x14ac:dyDescent="0.2">
      <c r="A28" s="1006">
        <f t="shared" si="0"/>
        <v>15</v>
      </c>
      <c r="B28" s="1084"/>
      <c r="C28" s="1093"/>
      <c r="D28" s="1086"/>
      <c r="E28" s="1087"/>
      <c r="F28" s="1086"/>
      <c r="G28" s="1088"/>
      <c r="H28" s="1089"/>
      <c r="I28" s="1086"/>
      <c r="J28" s="1086"/>
      <c r="K28" s="945"/>
      <c r="L28" s="855"/>
    </row>
    <row r="29" spans="1:12" ht="22.5" customHeight="1" x14ac:dyDescent="0.2">
      <c r="A29" s="1006">
        <f t="shared" si="0"/>
        <v>16</v>
      </c>
      <c r="B29" s="1084"/>
      <c r="C29" s="1093"/>
      <c r="D29" s="1086"/>
      <c r="E29" s="1087"/>
      <c r="F29" s="1086"/>
      <c r="G29" s="1088"/>
      <c r="H29" s="1089"/>
      <c r="I29" s="1086"/>
      <c r="J29" s="1086"/>
      <c r="K29" s="945"/>
      <c r="L29" s="855"/>
    </row>
    <row r="30" spans="1:12" ht="22.5" customHeight="1" x14ac:dyDescent="0.2">
      <c r="A30" s="1006">
        <f t="shared" si="0"/>
        <v>17</v>
      </c>
      <c r="B30" s="1084"/>
      <c r="C30" s="1093"/>
      <c r="D30" s="1086"/>
      <c r="E30" s="1087"/>
      <c r="F30" s="1086"/>
      <c r="G30" s="1088"/>
      <c r="H30" s="1089"/>
      <c r="I30" s="1086"/>
      <c r="J30" s="1086"/>
      <c r="K30" s="945"/>
      <c r="L30" s="855"/>
    </row>
    <row r="31" spans="1:12" ht="22.5" customHeight="1" x14ac:dyDescent="0.2">
      <c r="A31" s="1006">
        <f t="shared" si="0"/>
        <v>18</v>
      </c>
      <c r="B31" s="1084"/>
      <c r="C31" s="1093"/>
      <c r="D31" s="1086"/>
      <c r="E31" s="1087"/>
      <c r="F31" s="1086"/>
      <c r="G31" s="1088"/>
      <c r="H31" s="1089"/>
      <c r="I31" s="1086"/>
      <c r="J31" s="1086"/>
      <c r="K31" s="945"/>
      <c r="L31" s="855"/>
    </row>
    <row r="32" spans="1:12" ht="22.5" customHeight="1" x14ac:dyDescent="0.2">
      <c r="A32" s="1006">
        <f t="shared" si="0"/>
        <v>19</v>
      </c>
      <c r="B32" s="1084"/>
      <c r="C32" s="1093"/>
      <c r="D32" s="1086"/>
      <c r="E32" s="1087"/>
      <c r="F32" s="1086"/>
      <c r="G32" s="1088"/>
      <c r="H32" s="1089"/>
      <c r="I32" s="1086"/>
      <c r="J32" s="1086"/>
      <c r="K32" s="945"/>
      <c r="L32" s="855"/>
    </row>
    <row r="33" spans="1:12" ht="22.5" customHeight="1" x14ac:dyDescent="0.2">
      <c r="A33" s="1006">
        <f t="shared" si="0"/>
        <v>20</v>
      </c>
      <c r="B33" s="1084"/>
      <c r="C33" s="1093"/>
      <c r="D33" s="1086"/>
      <c r="E33" s="1087"/>
      <c r="F33" s="1086"/>
      <c r="G33" s="1088"/>
      <c r="H33" s="1089"/>
      <c r="I33" s="1086"/>
      <c r="J33" s="1086"/>
      <c r="K33" s="945"/>
      <c r="L33" s="855"/>
    </row>
    <row r="34" spans="1:12" ht="22.5" customHeight="1" x14ac:dyDescent="0.2">
      <c r="A34" s="1006">
        <f t="shared" si="0"/>
        <v>21</v>
      </c>
      <c r="B34" s="1084"/>
      <c r="C34" s="1093"/>
      <c r="D34" s="1086"/>
      <c r="E34" s="1087"/>
      <c r="F34" s="1086"/>
      <c r="G34" s="1088"/>
      <c r="H34" s="1089"/>
      <c r="I34" s="1086"/>
      <c r="J34" s="1086"/>
      <c r="K34" s="945"/>
      <c r="L34" s="855"/>
    </row>
    <row r="35" spans="1:12" ht="22.5" customHeight="1" x14ac:dyDescent="0.2">
      <c r="A35" s="1006">
        <f t="shared" si="0"/>
        <v>22</v>
      </c>
      <c r="B35" s="1084"/>
      <c r="C35" s="1093"/>
      <c r="D35" s="1086"/>
      <c r="E35" s="1087"/>
      <c r="F35" s="1086"/>
      <c r="G35" s="1088"/>
      <c r="H35" s="1089"/>
      <c r="I35" s="1086"/>
      <c r="J35" s="1086"/>
      <c r="K35" s="945"/>
      <c r="L35" s="855"/>
    </row>
    <row r="36" spans="1:12" ht="22.5" customHeight="1" x14ac:dyDescent="0.2">
      <c r="A36" s="1006">
        <f t="shared" si="0"/>
        <v>23</v>
      </c>
      <c r="B36" s="1084"/>
      <c r="C36" s="1093"/>
      <c r="D36" s="1086"/>
      <c r="E36" s="1087"/>
      <c r="F36" s="1086"/>
      <c r="G36" s="1088"/>
      <c r="H36" s="1089"/>
      <c r="I36" s="1086"/>
      <c r="J36" s="1086"/>
      <c r="K36" s="945"/>
      <c r="L36" s="855"/>
    </row>
    <row r="37" spans="1:12" ht="22.5" customHeight="1" x14ac:dyDescent="0.2">
      <c r="A37" s="1006">
        <f t="shared" si="0"/>
        <v>24</v>
      </c>
      <c r="B37" s="1084"/>
      <c r="C37" s="1093"/>
      <c r="D37" s="1086"/>
      <c r="E37" s="1087"/>
      <c r="F37" s="1086"/>
      <c r="G37" s="1088"/>
      <c r="H37" s="1089"/>
      <c r="I37" s="1086"/>
      <c r="J37" s="1086"/>
      <c r="K37" s="945"/>
      <c r="L37" s="855"/>
    </row>
    <row r="38" spans="1:12" ht="22.5" customHeight="1" x14ac:dyDescent="0.2">
      <c r="A38" s="1006">
        <f t="shared" si="0"/>
        <v>25</v>
      </c>
      <c r="B38" s="1084"/>
      <c r="C38" s="1093"/>
      <c r="D38" s="1086"/>
      <c r="E38" s="1087"/>
      <c r="F38" s="1086"/>
      <c r="G38" s="1088"/>
      <c r="H38" s="1089"/>
      <c r="I38" s="1086"/>
      <c r="J38" s="1086"/>
      <c r="K38" s="945"/>
      <c r="L38" s="855"/>
    </row>
    <row r="39" spans="1:12" ht="22.5" customHeight="1" x14ac:dyDescent="0.2">
      <c r="A39" s="1006">
        <f t="shared" si="0"/>
        <v>26</v>
      </c>
      <c r="B39" s="1084"/>
      <c r="C39" s="1093"/>
      <c r="D39" s="1086"/>
      <c r="E39" s="1087"/>
      <c r="F39" s="1086"/>
      <c r="G39" s="1088"/>
      <c r="H39" s="1089"/>
      <c r="I39" s="1086"/>
      <c r="J39" s="1086"/>
      <c r="K39" s="945"/>
      <c r="L39" s="855"/>
    </row>
    <row r="40" spans="1:12" ht="22.5" customHeight="1" x14ac:dyDescent="0.2">
      <c r="A40" s="1006">
        <f t="shared" si="0"/>
        <v>27</v>
      </c>
      <c r="B40" s="1084"/>
      <c r="C40" s="1093"/>
      <c r="D40" s="1086"/>
      <c r="E40" s="1087"/>
      <c r="F40" s="1086"/>
      <c r="G40" s="1088"/>
      <c r="H40" s="1089"/>
      <c r="I40" s="1086"/>
      <c r="J40" s="1086"/>
      <c r="K40" s="945"/>
      <c r="L40" s="855"/>
    </row>
    <row r="41" spans="1:12" ht="22.5" customHeight="1" x14ac:dyDescent="0.2">
      <c r="A41" s="1006">
        <f t="shared" si="0"/>
        <v>28</v>
      </c>
      <c r="B41" s="1084"/>
      <c r="C41" s="1093"/>
      <c r="D41" s="1086"/>
      <c r="E41" s="1087"/>
      <c r="F41" s="1086"/>
      <c r="G41" s="1088"/>
      <c r="H41" s="1089"/>
      <c r="I41" s="1086"/>
      <c r="J41" s="1086"/>
      <c r="K41" s="945"/>
      <c r="L41" s="855"/>
    </row>
    <row r="42" spans="1:12" ht="22.5" customHeight="1" x14ac:dyDescent="0.2">
      <c r="A42" s="1006">
        <f t="shared" si="0"/>
        <v>29</v>
      </c>
      <c r="B42" s="1084"/>
      <c r="C42" s="1093"/>
      <c r="D42" s="1086"/>
      <c r="E42" s="1087"/>
      <c r="F42" s="1086"/>
      <c r="G42" s="1088"/>
      <c r="H42" s="1089"/>
      <c r="I42" s="1086"/>
      <c r="J42" s="1086"/>
      <c r="K42" s="945"/>
      <c r="L42" s="855"/>
    </row>
    <row r="43" spans="1:12" ht="22.5" customHeight="1" x14ac:dyDescent="0.2">
      <c r="A43" s="1006">
        <f t="shared" si="0"/>
        <v>30</v>
      </c>
      <c r="B43" s="1084"/>
      <c r="C43" s="1093"/>
      <c r="D43" s="1086"/>
      <c r="E43" s="1087"/>
      <c r="F43" s="1086"/>
      <c r="G43" s="1088"/>
      <c r="H43" s="1089"/>
      <c r="I43" s="1086"/>
      <c r="J43" s="1086"/>
      <c r="K43" s="945"/>
      <c r="L43" s="855"/>
    </row>
    <row r="44" spans="1:12" ht="22.5" customHeight="1" x14ac:dyDescent="0.2">
      <c r="A44" s="1006">
        <f t="shared" si="0"/>
        <v>31</v>
      </c>
      <c r="B44" s="1084"/>
      <c r="C44" s="1093"/>
      <c r="D44" s="1086"/>
      <c r="E44" s="1087"/>
      <c r="F44" s="1086"/>
      <c r="G44" s="1088"/>
      <c r="H44" s="1089"/>
      <c r="I44" s="1086"/>
      <c r="J44" s="1086"/>
      <c r="K44" s="945"/>
      <c r="L44" s="855"/>
    </row>
    <row r="45" spans="1:12" ht="22.5" customHeight="1" x14ac:dyDescent="0.2">
      <c r="A45" s="1006">
        <f t="shared" si="0"/>
        <v>32</v>
      </c>
      <c r="B45" s="1084"/>
      <c r="C45" s="1093"/>
      <c r="D45" s="1086"/>
      <c r="E45" s="1087"/>
      <c r="F45" s="1086"/>
      <c r="G45" s="1088"/>
      <c r="H45" s="1089"/>
      <c r="I45" s="1086"/>
      <c r="J45" s="1086"/>
      <c r="K45" s="945"/>
      <c r="L45" s="855"/>
    </row>
    <row r="46" spans="1:12" ht="22.5" customHeight="1" x14ac:dyDescent="0.2">
      <c r="A46" s="1006">
        <f t="shared" si="0"/>
        <v>33</v>
      </c>
      <c r="B46" s="1084"/>
      <c r="C46" s="1093"/>
      <c r="D46" s="1086"/>
      <c r="E46" s="1087"/>
      <c r="F46" s="1086"/>
      <c r="G46" s="1088"/>
      <c r="H46" s="1089"/>
      <c r="I46" s="1086"/>
      <c r="J46" s="1086"/>
      <c r="K46" s="945"/>
      <c r="L46" s="855"/>
    </row>
    <row r="47" spans="1:12" ht="22.5" customHeight="1" x14ac:dyDescent="0.2">
      <c r="A47" s="1006">
        <f t="shared" si="0"/>
        <v>34</v>
      </c>
      <c r="B47" s="1084"/>
      <c r="C47" s="1093"/>
      <c r="D47" s="1086"/>
      <c r="E47" s="1087"/>
      <c r="F47" s="1086"/>
      <c r="G47" s="1088"/>
      <c r="H47" s="1089"/>
      <c r="I47" s="1086"/>
      <c r="J47" s="1086"/>
      <c r="K47" s="945"/>
      <c r="L47" s="855"/>
    </row>
    <row r="48" spans="1:12" ht="22.5" customHeight="1" x14ac:dyDescent="0.2">
      <c r="A48" s="1006">
        <f t="shared" si="0"/>
        <v>35</v>
      </c>
      <c r="B48" s="1084"/>
      <c r="C48" s="1093"/>
      <c r="D48" s="1086"/>
      <c r="E48" s="1087"/>
      <c r="F48" s="1086"/>
      <c r="G48" s="1088"/>
      <c r="H48" s="1089"/>
      <c r="I48" s="1086"/>
      <c r="J48" s="1086"/>
      <c r="K48" s="945"/>
      <c r="L48" s="855"/>
    </row>
    <row r="49" spans="1:12" ht="22.5" customHeight="1" x14ac:dyDescent="0.2">
      <c r="A49" s="1006">
        <f t="shared" si="0"/>
        <v>36</v>
      </c>
      <c r="B49" s="1084"/>
      <c r="C49" s="1093"/>
      <c r="D49" s="1086"/>
      <c r="E49" s="1087"/>
      <c r="F49" s="1086"/>
      <c r="G49" s="1088"/>
      <c r="H49" s="1089"/>
      <c r="I49" s="1086"/>
      <c r="J49" s="1086"/>
      <c r="K49" s="945"/>
      <c r="L49" s="855"/>
    </row>
    <row r="50" spans="1:12" ht="22.5" customHeight="1" x14ac:dyDescent="0.2">
      <c r="A50" s="1006">
        <f t="shared" si="0"/>
        <v>37</v>
      </c>
      <c r="B50" s="1084"/>
      <c r="C50" s="1093"/>
      <c r="D50" s="1086"/>
      <c r="E50" s="1087"/>
      <c r="F50" s="1086"/>
      <c r="G50" s="1088"/>
      <c r="H50" s="1089"/>
      <c r="I50" s="1086"/>
      <c r="J50" s="1086"/>
      <c r="K50" s="945"/>
      <c r="L50" s="855"/>
    </row>
    <row r="51" spans="1:12" ht="22.5" customHeight="1" x14ac:dyDescent="0.2">
      <c r="A51" s="1006">
        <f t="shared" si="0"/>
        <v>38</v>
      </c>
      <c r="B51" s="1084"/>
      <c r="C51" s="1093"/>
      <c r="D51" s="1086"/>
      <c r="E51" s="1087"/>
      <c r="F51" s="1086"/>
      <c r="G51" s="1088"/>
      <c r="H51" s="1089"/>
      <c r="I51" s="1086"/>
      <c r="J51" s="1086"/>
      <c r="K51" s="945"/>
      <c r="L51" s="855"/>
    </row>
    <row r="52" spans="1:12" ht="22.5" customHeight="1" x14ac:dyDescent="0.2">
      <c r="A52" s="1006">
        <f t="shared" si="0"/>
        <v>39</v>
      </c>
      <c r="B52" s="1084"/>
      <c r="C52" s="1093"/>
      <c r="D52" s="1086"/>
      <c r="E52" s="1087"/>
      <c r="F52" s="1086"/>
      <c r="G52" s="1088"/>
      <c r="H52" s="1089"/>
      <c r="I52" s="1086"/>
      <c r="J52" s="1086"/>
      <c r="K52" s="945"/>
      <c r="L52" s="855"/>
    </row>
    <row r="53" spans="1:12" ht="22.5" customHeight="1" x14ac:dyDescent="0.2">
      <c r="A53" s="1006">
        <f t="shared" si="0"/>
        <v>40</v>
      </c>
      <c r="B53" s="1084"/>
      <c r="C53" s="1093"/>
      <c r="D53" s="1086"/>
      <c r="E53" s="1087"/>
      <c r="F53" s="1086"/>
      <c r="G53" s="1088"/>
      <c r="H53" s="1089"/>
      <c r="I53" s="1086"/>
      <c r="J53" s="1086"/>
      <c r="K53" s="945"/>
      <c r="L53" s="855"/>
    </row>
    <row r="54" spans="1:12" ht="22.5" customHeight="1" x14ac:dyDescent="0.2">
      <c r="A54" s="1006">
        <f t="shared" si="0"/>
        <v>41</v>
      </c>
      <c r="B54" s="1084"/>
      <c r="C54" s="1093"/>
      <c r="D54" s="1086"/>
      <c r="E54" s="1087"/>
      <c r="F54" s="1086"/>
      <c r="G54" s="1088"/>
      <c r="H54" s="1089"/>
      <c r="I54" s="1086"/>
      <c r="J54" s="1086"/>
      <c r="K54" s="945"/>
      <c r="L54" s="855"/>
    </row>
    <row r="55" spans="1:12" ht="22.5" customHeight="1" x14ac:dyDescent="0.2">
      <c r="A55" s="1006">
        <f t="shared" si="0"/>
        <v>42</v>
      </c>
      <c r="B55" s="1084"/>
      <c r="C55" s="1093"/>
      <c r="D55" s="1086"/>
      <c r="E55" s="1087"/>
      <c r="F55" s="1086"/>
      <c r="G55" s="1088"/>
      <c r="H55" s="1089"/>
      <c r="I55" s="1086"/>
      <c r="J55" s="1086"/>
      <c r="K55" s="945"/>
      <c r="L55" s="855"/>
    </row>
    <row r="56" spans="1:12" ht="22.5" customHeight="1" x14ac:dyDescent="0.2">
      <c r="A56" s="1006">
        <f t="shared" si="0"/>
        <v>43</v>
      </c>
      <c r="B56" s="1084"/>
      <c r="C56" s="1093"/>
      <c r="D56" s="1086"/>
      <c r="E56" s="1087"/>
      <c r="F56" s="1086"/>
      <c r="G56" s="1088"/>
      <c r="H56" s="1089"/>
      <c r="I56" s="1086"/>
      <c r="J56" s="1086"/>
      <c r="K56" s="945"/>
      <c r="L56" s="855"/>
    </row>
    <row r="57" spans="1:12" ht="22.5" customHeight="1" x14ac:dyDescent="0.2">
      <c r="A57" s="1006">
        <f t="shared" si="0"/>
        <v>44</v>
      </c>
      <c r="B57" s="1084"/>
      <c r="C57" s="1093"/>
      <c r="D57" s="1086"/>
      <c r="E57" s="1087"/>
      <c r="F57" s="1086"/>
      <c r="G57" s="1088"/>
      <c r="H57" s="1089"/>
      <c r="I57" s="1086"/>
      <c r="J57" s="1086"/>
      <c r="K57" s="945"/>
      <c r="L57" s="855"/>
    </row>
    <row r="58" spans="1:12" ht="22.5" customHeight="1" x14ac:dyDescent="0.2">
      <c r="A58" s="1006">
        <f t="shared" si="0"/>
        <v>45</v>
      </c>
      <c r="B58" s="1084"/>
      <c r="C58" s="1093"/>
      <c r="D58" s="1086"/>
      <c r="E58" s="1087"/>
      <c r="F58" s="1086"/>
      <c r="G58" s="1088"/>
      <c r="H58" s="1089"/>
      <c r="I58" s="1086"/>
      <c r="J58" s="1086"/>
      <c r="K58" s="945"/>
      <c r="L58" s="855"/>
    </row>
    <row r="59" spans="1:12" ht="22.5" customHeight="1" x14ac:dyDescent="0.2">
      <c r="A59" s="1006">
        <f t="shared" si="0"/>
        <v>46</v>
      </c>
      <c r="B59" s="1084"/>
      <c r="C59" s="1093"/>
      <c r="D59" s="1086"/>
      <c r="E59" s="1087"/>
      <c r="F59" s="1086"/>
      <c r="G59" s="1088"/>
      <c r="H59" s="1089"/>
      <c r="I59" s="1086"/>
      <c r="J59" s="1086"/>
      <c r="K59" s="945"/>
      <c r="L59" s="855"/>
    </row>
    <row r="60" spans="1:12" ht="22.5" customHeight="1" x14ac:dyDescent="0.2">
      <c r="A60" s="1006">
        <f t="shared" si="0"/>
        <v>47</v>
      </c>
      <c r="B60" s="1084"/>
      <c r="C60" s="1093"/>
      <c r="D60" s="1086"/>
      <c r="E60" s="1087"/>
      <c r="F60" s="1086"/>
      <c r="G60" s="1088"/>
      <c r="H60" s="1089"/>
      <c r="I60" s="1086"/>
      <c r="J60" s="1086"/>
      <c r="K60" s="945"/>
      <c r="L60" s="855"/>
    </row>
    <row r="61" spans="1:12" ht="22.5" customHeight="1" x14ac:dyDescent="0.2">
      <c r="A61" s="1006">
        <f t="shared" si="0"/>
        <v>48</v>
      </c>
      <c r="B61" s="1084"/>
      <c r="C61" s="1093"/>
      <c r="D61" s="1086"/>
      <c r="E61" s="1087"/>
      <c r="F61" s="1086"/>
      <c r="G61" s="1088"/>
      <c r="H61" s="1089"/>
      <c r="I61" s="1086"/>
      <c r="J61" s="1086"/>
      <c r="K61" s="945"/>
      <c r="L61" s="855"/>
    </row>
    <row r="62" spans="1:12" ht="22.5" customHeight="1" x14ac:dyDescent="0.2">
      <c r="A62" s="1006">
        <f t="shared" si="0"/>
        <v>49</v>
      </c>
      <c r="B62" s="1084"/>
      <c r="C62" s="1093"/>
      <c r="D62" s="1086"/>
      <c r="E62" s="1087"/>
      <c r="F62" s="1086"/>
      <c r="G62" s="1088"/>
      <c r="H62" s="1089"/>
      <c r="I62" s="1086"/>
      <c r="J62" s="1086"/>
      <c r="K62" s="945"/>
      <c r="L62" s="855"/>
    </row>
    <row r="63" spans="1:12" ht="22.5" customHeight="1" x14ac:dyDescent="0.2">
      <c r="A63" s="1006">
        <f t="shared" si="0"/>
        <v>50</v>
      </c>
      <c r="B63" s="928"/>
      <c r="C63" s="946"/>
      <c r="D63" s="947"/>
      <c r="E63" s="948"/>
      <c r="F63" s="947"/>
      <c r="G63" s="950"/>
      <c r="H63" s="949"/>
      <c r="I63" s="947"/>
      <c r="J63" s="947"/>
      <c r="K63" s="945"/>
      <c r="L63" s="855"/>
    </row>
    <row r="64" spans="1:12" ht="22.5" customHeight="1" x14ac:dyDescent="0.2">
      <c r="A64" s="1006">
        <f t="shared" si="0"/>
        <v>51</v>
      </c>
      <c r="B64" s="928"/>
      <c r="C64" s="946"/>
      <c r="D64" s="947"/>
      <c r="E64" s="948"/>
      <c r="F64" s="947"/>
      <c r="G64" s="950"/>
      <c r="H64" s="949"/>
      <c r="I64" s="947"/>
      <c r="J64" s="947"/>
      <c r="K64" s="945"/>
      <c r="L64" s="855"/>
    </row>
    <row r="65" spans="1:12" ht="22.5" customHeight="1" x14ac:dyDescent="0.2">
      <c r="A65" s="1006">
        <f t="shared" si="0"/>
        <v>52</v>
      </c>
      <c r="B65" s="928"/>
      <c r="C65" s="946"/>
      <c r="D65" s="947"/>
      <c r="E65" s="948"/>
      <c r="F65" s="947"/>
      <c r="G65" s="950"/>
      <c r="H65" s="949"/>
      <c r="I65" s="947"/>
      <c r="J65" s="947"/>
      <c r="K65" s="945"/>
      <c r="L65" s="855"/>
    </row>
    <row r="66" spans="1:12" ht="22.5" customHeight="1" x14ac:dyDescent="0.2">
      <c r="A66" s="1006">
        <f t="shared" si="0"/>
        <v>53</v>
      </c>
      <c r="B66" s="928"/>
      <c r="C66" s="946"/>
      <c r="D66" s="947"/>
      <c r="E66" s="948"/>
      <c r="F66" s="947"/>
      <c r="G66" s="950"/>
      <c r="H66" s="949"/>
      <c r="I66" s="947"/>
      <c r="J66" s="947"/>
      <c r="K66" s="945"/>
      <c r="L66" s="855"/>
    </row>
    <row r="67" spans="1:12" ht="22.5" customHeight="1" x14ac:dyDescent="0.2">
      <c r="A67" s="1006">
        <f t="shared" si="0"/>
        <v>54</v>
      </c>
      <c r="B67" s="928"/>
      <c r="C67" s="946"/>
      <c r="D67" s="947"/>
      <c r="E67" s="948"/>
      <c r="F67" s="947"/>
      <c r="G67" s="950"/>
      <c r="H67" s="949"/>
      <c r="I67" s="947"/>
      <c r="J67" s="947"/>
      <c r="K67" s="945"/>
      <c r="L67" s="855"/>
    </row>
    <row r="68" spans="1:12" ht="22.5" customHeight="1" x14ac:dyDescent="0.2">
      <c r="A68" s="1006">
        <f t="shared" si="0"/>
        <v>55</v>
      </c>
      <c r="B68" s="928"/>
      <c r="C68" s="946"/>
      <c r="D68" s="947"/>
      <c r="E68" s="948"/>
      <c r="F68" s="947"/>
      <c r="G68" s="950"/>
      <c r="H68" s="949"/>
      <c r="I68" s="947"/>
      <c r="J68" s="947"/>
      <c r="K68" s="945"/>
      <c r="L68" s="855"/>
    </row>
    <row r="69" spans="1:12" ht="22.5" customHeight="1" x14ac:dyDescent="0.2">
      <c r="A69" s="1006">
        <f t="shared" si="0"/>
        <v>56</v>
      </c>
      <c r="B69" s="928"/>
      <c r="C69" s="946"/>
      <c r="D69" s="947"/>
      <c r="E69" s="948"/>
      <c r="F69" s="947"/>
      <c r="G69" s="950"/>
      <c r="H69" s="949"/>
      <c r="I69" s="947"/>
      <c r="J69" s="947"/>
      <c r="K69" s="945"/>
      <c r="L69" s="855"/>
    </row>
    <row r="70" spans="1:12" ht="22.5" customHeight="1" x14ac:dyDescent="0.2">
      <c r="A70" s="1006">
        <f t="shared" si="0"/>
        <v>57</v>
      </c>
      <c r="B70" s="928"/>
      <c r="C70" s="946"/>
      <c r="D70" s="947"/>
      <c r="E70" s="948"/>
      <c r="F70" s="947"/>
      <c r="G70" s="950"/>
      <c r="H70" s="949"/>
      <c r="I70" s="947"/>
      <c r="J70" s="947"/>
      <c r="K70" s="945"/>
      <c r="L70" s="855"/>
    </row>
    <row r="71" spans="1:12" ht="22.5" customHeight="1" x14ac:dyDescent="0.2">
      <c r="A71" s="1006">
        <f t="shared" si="0"/>
        <v>58</v>
      </c>
      <c r="B71" s="928"/>
      <c r="C71" s="946"/>
      <c r="D71" s="947"/>
      <c r="E71" s="948"/>
      <c r="F71" s="947"/>
      <c r="G71" s="950"/>
      <c r="H71" s="949"/>
      <c r="I71" s="947"/>
      <c r="J71" s="947"/>
      <c r="K71" s="945"/>
      <c r="L71" s="855"/>
    </row>
    <row r="72" spans="1:12" ht="22.5" customHeight="1" x14ac:dyDescent="0.2">
      <c r="A72" s="1006">
        <f t="shared" si="0"/>
        <v>59</v>
      </c>
      <c r="B72" s="928"/>
      <c r="C72" s="946"/>
      <c r="D72" s="947"/>
      <c r="E72" s="948"/>
      <c r="F72" s="947"/>
      <c r="G72" s="950"/>
      <c r="H72" s="949"/>
      <c r="I72" s="947"/>
      <c r="J72" s="947"/>
      <c r="K72" s="945"/>
      <c r="L72" s="855"/>
    </row>
    <row r="73" spans="1:12" ht="22.5" customHeight="1" x14ac:dyDescent="0.2">
      <c r="A73" s="1006">
        <f t="shared" si="0"/>
        <v>60</v>
      </c>
      <c r="B73" s="928"/>
      <c r="C73" s="946"/>
      <c r="D73" s="947"/>
      <c r="E73" s="948"/>
      <c r="F73" s="947"/>
      <c r="G73" s="950"/>
      <c r="H73" s="949"/>
      <c r="I73" s="947"/>
      <c r="J73" s="947"/>
      <c r="K73" s="945"/>
      <c r="L73" s="855"/>
    </row>
    <row r="74" spans="1:12" ht="22.5" customHeight="1" x14ac:dyDescent="0.2">
      <c r="A74" s="1006">
        <f t="shared" si="0"/>
        <v>61</v>
      </c>
      <c r="B74" s="928"/>
      <c r="C74" s="946"/>
      <c r="D74" s="947"/>
      <c r="E74" s="948"/>
      <c r="F74" s="947"/>
      <c r="G74" s="950"/>
      <c r="H74" s="949"/>
      <c r="I74" s="947"/>
      <c r="J74" s="947"/>
      <c r="K74" s="945"/>
      <c r="L74" s="855"/>
    </row>
    <row r="75" spans="1:12" ht="22.5" customHeight="1" x14ac:dyDescent="0.2">
      <c r="A75" s="1006">
        <f t="shared" si="0"/>
        <v>62</v>
      </c>
      <c r="B75" s="928"/>
      <c r="C75" s="946"/>
      <c r="D75" s="947"/>
      <c r="E75" s="948"/>
      <c r="F75" s="947"/>
      <c r="G75" s="950"/>
      <c r="H75" s="949"/>
      <c r="I75" s="947"/>
      <c r="J75" s="947"/>
      <c r="K75" s="945"/>
      <c r="L75" s="855"/>
    </row>
    <row r="76" spans="1:12" ht="22.5" customHeight="1" x14ac:dyDescent="0.2">
      <c r="A76" s="1006">
        <f t="shared" si="0"/>
        <v>63</v>
      </c>
      <c r="B76" s="928"/>
      <c r="C76" s="946"/>
      <c r="D76" s="947"/>
      <c r="E76" s="948"/>
      <c r="F76" s="947"/>
      <c r="G76" s="950"/>
      <c r="H76" s="949"/>
      <c r="I76" s="947"/>
      <c r="J76" s="947"/>
      <c r="K76" s="945"/>
      <c r="L76" s="855"/>
    </row>
    <row r="77" spans="1:12" ht="22.5" customHeight="1" x14ac:dyDescent="0.2">
      <c r="A77" s="1006">
        <f t="shared" si="0"/>
        <v>64</v>
      </c>
      <c r="B77" s="928"/>
      <c r="C77" s="946"/>
      <c r="D77" s="947"/>
      <c r="E77" s="948"/>
      <c r="F77" s="947"/>
      <c r="G77" s="950"/>
      <c r="H77" s="949"/>
      <c r="I77" s="947"/>
      <c r="J77" s="947"/>
      <c r="K77" s="945"/>
      <c r="L77" s="855"/>
    </row>
    <row r="78" spans="1:12" ht="22.5" customHeight="1" x14ac:dyDescent="0.2">
      <c r="A78" s="1006">
        <f t="shared" si="0"/>
        <v>65</v>
      </c>
      <c r="B78" s="928"/>
      <c r="C78" s="946"/>
      <c r="D78" s="947"/>
      <c r="E78" s="948"/>
      <c r="F78" s="947"/>
      <c r="G78" s="950"/>
      <c r="H78" s="949"/>
      <c r="I78" s="947"/>
      <c r="J78" s="947"/>
      <c r="K78" s="945"/>
      <c r="L78" s="855"/>
    </row>
    <row r="79" spans="1:12" ht="22.5" customHeight="1" x14ac:dyDescent="0.2">
      <c r="A79" s="1006">
        <f t="shared" ref="A79:A80" si="1">A78+1</f>
        <v>66</v>
      </c>
      <c r="B79" s="928"/>
      <c r="C79" s="946"/>
      <c r="D79" s="947"/>
      <c r="E79" s="948"/>
      <c r="F79" s="947"/>
      <c r="G79" s="950"/>
      <c r="H79" s="949"/>
      <c r="I79" s="947"/>
      <c r="J79" s="947"/>
      <c r="K79" s="945"/>
      <c r="L79" s="855"/>
    </row>
    <row r="80" spans="1:12" ht="22.5" customHeight="1" x14ac:dyDescent="0.2">
      <c r="A80" s="1006">
        <f t="shared" si="1"/>
        <v>67</v>
      </c>
      <c r="B80" s="928"/>
      <c r="C80" s="946"/>
      <c r="D80" s="947"/>
      <c r="E80" s="948"/>
      <c r="F80" s="947"/>
      <c r="G80" s="950"/>
      <c r="H80" s="949"/>
      <c r="I80" s="947"/>
      <c r="J80" s="947"/>
      <c r="K80" s="945"/>
      <c r="L80" s="855"/>
    </row>
    <row r="81" spans="1:12" ht="22.5" customHeight="1" x14ac:dyDescent="0.2">
      <c r="A81" s="1006">
        <f>A80+1</f>
        <v>68</v>
      </c>
      <c r="B81" s="928"/>
      <c r="C81" s="946"/>
      <c r="D81" s="947"/>
      <c r="E81" s="948"/>
      <c r="F81" s="947"/>
      <c r="G81" s="950"/>
      <c r="H81" s="949"/>
      <c r="I81" s="947"/>
      <c r="J81" s="947"/>
      <c r="K81" s="945"/>
      <c r="L81" s="855"/>
    </row>
    <row r="82" spans="1:12" ht="22.5" customHeight="1" x14ac:dyDescent="0.2">
      <c r="A82" s="1006">
        <f t="shared" ref="A82:A143" si="2">A81+1</f>
        <v>69</v>
      </c>
      <c r="B82" s="928"/>
      <c r="C82" s="946"/>
      <c r="D82" s="947"/>
      <c r="E82" s="948"/>
      <c r="F82" s="947"/>
      <c r="G82" s="950"/>
      <c r="H82" s="949"/>
      <c r="I82" s="947"/>
      <c r="J82" s="947"/>
      <c r="K82" s="945"/>
      <c r="L82" s="855"/>
    </row>
    <row r="83" spans="1:12" ht="22.5" customHeight="1" x14ac:dyDescent="0.2">
      <c r="A83" s="1006">
        <f t="shared" si="2"/>
        <v>70</v>
      </c>
      <c r="B83" s="928"/>
      <c r="C83" s="946"/>
      <c r="D83" s="947"/>
      <c r="E83" s="948"/>
      <c r="F83" s="947"/>
      <c r="G83" s="950"/>
      <c r="H83" s="949"/>
      <c r="I83" s="947"/>
      <c r="J83" s="947"/>
      <c r="K83" s="945"/>
      <c r="L83" s="855"/>
    </row>
    <row r="84" spans="1:12" ht="22.5" customHeight="1" x14ac:dyDescent="0.2">
      <c r="A84" s="1006">
        <f t="shared" si="2"/>
        <v>71</v>
      </c>
      <c r="B84" s="928"/>
      <c r="C84" s="946"/>
      <c r="D84" s="947"/>
      <c r="E84" s="948"/>
      <c r="F84" s="947"/>
      <c r="G84" s="950"/>
      <c r="H84" s="949"/>
      <c r="I84" s="947"/>
      <c r="J84" s="947"/>
      <c r="K84" s="945"/>
      <c r="L84" s="855"/>
    </row>
    <row r="85" spans="1:12" ht="22.5" customHeight="1" x14ac:dyDescent="0.2">
      <c r="A85" s="1006">
        <f t="shared" si="2"/>
        <v>72</v>
      </c>
      <c r="B85" s="928"/>
      <c r="C85" s="946"/>
      <c r="D85" s="947"/>
      <c r="E85" s="948"/>
      <c r="F85" s="947"/>
      <c r="G85" s="950"/>
      <c r="H85" s="949"/>
      <c r="I85" s="947"/>
      <c r="J85" s="947"/>
      <c r="K85" s="945"/>
      <c r="L85" s="855"/>
    </row>
    <row r="86" spans="1:12" ht="22.5" customHeight="1" x14ac:dyDescent="0.2">
      <c r="A86" s="1006">
        <f t="shared" si="2"/>
        <v>73</v>
      </c>
      <c r="B86" s="928"/>
      <c r="C86" s="946"/>
      <c r="D86" s="947"/>
      <c r="E86" s="948"/>
      <c r="F86" s="947"/>
      <c r="G86" s="950"/>
      <c r="H86" s="949"/>
      <c r="I86" s="947"/>
      <c r="J86" s="947"/>
      <c r="K86" s="945"/>
      <c r="L86" s="855"/>
    </row>
    <row r="87" spans="1:12" ht="22.5" customHeight="1" x14ac:dyDescent="0.2">
      <c r="A87" s="1006">
        <f t="shared" si="2"/>
        <v>74</v>
      </c>
      <c r="B87" s="928"/>
      <c r="C87" s="946"/>
      <c r="D87" s="947"/>
      <c r="E87" s="948"/>
      <c r="F87" s="947"/>
      <c r="G87" s="950"/>
      <c r="H87" s="949"/>
      <c r="I87" s="947"/>
      <c r="J87" s="947"/>
      <c r="K87" s="945"/>
      <c r="L87" s="855"/>
    </row>
    <row r="88" spans="1:12" ht="22.5" customHeight="1" x14ac:dyDescent="0.2">
      <c r="A88" s="1006">
        <f t="shared" si="2"/>
        <v>75</v>
      </c>
      <c r="B88" s="928"/>
      <c r="C88" s="946"/>
      <c r="D88" s="947"/>
      <c r="E88" s="948"/>
      <c r="F88" s="947"/>
      <c r="G88" s="950"/>
      <c r="H88" s="949"/>
      <c r="I88" s="947"/>
      <c r="J88" s="947"/>
      <c r="K88" s="945"/>
      <c r="L88" s="855"/>
    </row>
    <row r="89" spans="1:12" ht="22.5" customHeight="1" x14ac:dyDescent="0.2">
      <c r="A89" s="1006">
        <f t="shared" si="2"/>
        <v>76</v>
      </c>
      <c r="B89" s="928"/>
      <c r="C89" s="946"/>
      <c r="D89" s="947"/>
      <c r="E89" s="948"/>
      <c r="F89" s="947"/>
      <c r="G89" s="950"/>
      <c r="H89" s="949"/>
      <c r="I89" s="947"/>
      <c r="J89" s="947"/>
      <c r="K89" s="945"/>
      <c r="L89" s="855"/>
    </row>
    <row r="90" spans="1:12" ht="22.5" customHeight="1" x14ac:dyDescent="0.2">
      <c r="A90" s="1006">
        <f t="shared" si="2"/>
        <v>77</v>
      </c>
      <c r="B90" s="928"/>
      <c r="C90" s="946"/>
      <c r="D90" s="947"/>
      <c r="E90" s="948"/>
      <c r="F90" s="947"/>
      <c r="G90" s="950"/>
      <c r="H90" s="949"/>
      <c r="I90" s="947"/>
      <c r="J90" s="947"/>
      <c r="K90" s="945"/>
      <c r="L90" s="855"/>
    </row>
    <row r="91" spans="1:12" ht="22.5" customHeight="1" x14ac:dyDescent="0.2">
      <c r="A91" s="1006">
        <f t="shared" si="2"/>
        <v>78</v>
      </c>
      <c r="B91" s="928"/>
      <c r="C91" s="946"/>
      <c r="D91" s="947"/>
      <c r="E91" s="948"/>
      <c r="F91" s="947"/>
      <c r="G91" s="950"/>
      <c r="H91" s="949"/>
      <c r="I91" s="947"/>
      <c r="J91" s="947"/>
      <c r="K91" s="945"/>
      <c r="L91" s="855"/>
    </row>
    <row r="92" spans="1:12" ht="22.5" customHeight="1" x14ac:dyDescent="0.2">
      <c r="A92" s="1006">
        <f t="shared" si="2"/>
        <v>79</v>
      </c>
      <c r="B92" s="928"/>
      <c r="C92" s="946"/>
      <c r="D92" s="947"/>
      <c r="E92" s="948"/>
      <c r="F92" s="947"/>
      <c r="G92" s="950"/>
      <c r="H92" s="949"/>
      <c r="I92" s="947"/>
      <c r="J92" s="947"/>
      <c r="K92" s="945"/>
      <c r="L92" s="855"/>
    </row>
    <row r="93" spans="1:12" ht="22.5" customHeight="1" x14ac:dyDescent="0.2">
      <c r="A93" s="1006">
        <f t="shared" si="2"/>
        <v>80</v>
      </c>
      <c r="B93" s="928"/>
      <c r="C93" s="946"/>
      <c r="D93" s="947"/>
      <c r="E93" s="948"/>
      <c r="F93" s="947"/>
      <c r="G93" s="950"/>
      <c r="H93" s="949"/>
      <c r="I93" s="947"/>
      <c r="J93" s="947"/>
      <c r="K93" s="945"/>
      <c r="L93" s="855"/>
    </row>
    <row r="94" spans="1:12" ht="22.5" customHeight="1" x14ac:dyDescent="0.2">
      <c r="A94" s="1006">
        <f t="shared" si="2"/>
        <v>81</v>
      </c>
      <c r="B94" s="928"/>
      <c r="C94" s="946"/>
      <c r="D94" s="947"/>
      <c r="E94" s="948"/>
      <c r="F94" s="947"/>
      <c r="G94" s="950"/>
      <c r="H94" s="949"/>
      <c r="I94" s="947"/>
      <c r="J94" s="947"/>
      <c r="K94" s="945"/>
      <c r="L94" s="855"/>
    </row>
    <row r="95" spans="1:12" ht="22.5" customHeight="1" x14ac:dyDescent="0.2">
      <c r="A95" s="1006">
        <f t="shared" si="2"/>
        <v>82</v>
      </c>
      <c r="B95" s="928"/>
      <c r="C95" s="946"/>
      <c r="D95" s="947"/>
      <c r="E95" s="948"/>
      <c r="F95" s="947"/>
      <c r="G95" s="950"/>
      <c r="H95" s="949"/>
      <c r="I95" s="947"/>
      <c r="J95" s="947"/>
      <c r="K95" s="945"/>
      <c r="L95" s="855"/>
    </row>
    <row r="96" spans="1:12" ht="22.5" customHeight="1" x14ac:dyDescent="0.2">
      <c r="A96" s="1006">
        <f t="shared" si="2"/>
        <v>83</v>
      </c>
      <c r="B96" s="928"/>
      <c r="C96" s="946"/>
      <c r="D96" s="947"/>
      <c r="E96" s="948"/>
      <c r="F96" s="947"/>
      <c r="G96" s="950"/>
      <c r="H96" s="949"/>
      <c r="I96" s="947"/>
      <c r="J96" s="947"/>
      <c r="K96" s="945"/>
      <c r="L96" s="855"/>
    </row>
    <row r="97" spans="1:12" ht="22.5" customHeight="1" x14ac:dyDescent="0.2">
      <c r="A97" s="1006">
        <f t="shared" si="2"/>
        <v>84</v>
      </c>
      <c r="B97" s="928"/>
      <c r="C97" s="946"/>
      <c r="D97" s="947"/>
      <c r="E97" s="948"/>
      <c r="F97" s="947"/>
      <c r="G97" s="950"/>
      <c r="H97" s="949"/>
      <c r="I97" s="947"/>
      <c r="J97" s="947"/>
      <c r="K97" s="945"/>
      <c r="L97" s="855"/>
    </row>
    <row r="98" spans="1:12" ht="22.5" customHeight="1" x14ac:dyDescent="0.2">
      <c r="A98" s="1006">
        <f t="shared" si="2"/>
        <v>85</v>
      </c>
      <c r="B98" s="928"/>
      <c r="C98" s="946"/>
      <c r="D98" s="947"/>
      <c r="E98" s="948"/>
      <c r="F98" s="947"/>
      <c r="G98" s="950"/>
      <c r="H98" s="949"/>
      <c r="I98" s="947"/>
      <c r="J98" s="947"/>
      <c r="K98" s="945"/>
      <c r="L98" s="855"/>
    </row>
    <row r="99" spans="1:12" ht="22.5" customHeight="1" x14ac:dyDescent="0.2">
      <c r="A99" s="1006">
        <f t="shared" si="2"/>
        <v>86</v>
      </c>
      <c r="B99" s="928"/>
      <c r="C99" s="946"/>
      <c r="D99" s="947"/>
      <c r="E99" s="948"/>
      <c r="F99" s="947"/>
      <c r="G99" s="950"/>
      <c r="H99" s="949"/>
      <c r="I99" s="947"/>
      <c r="J99" s="947"/>
      <c r="K99" s="945"/>
      <c r="L99" s="855"/>
    </row>
    <row r="100" spans="1:12" ht="22.5" customHeight="1" x14ac:dyDescent="0.2">
      <c r="A100" s="1006">
        <f t="shared" si="2"/>
        <v>87</v>
      </c>
      <c r="B100" s="928"/>
      <c r="C100" s="946"/>
      <c r="D100" s="947"/>
      <c r="E100" s="948"/>
      <c r="F100" s="947"/>
      <c r="G100" s="950"/>
      <c r="H100" s="949"/>
      <c r="I100" s="947"/>
      <c r="J100" s="947"/>
      <c r="K100" s="945"/>
      <c r="L100" s="855"/>
    </row>
    <row r="101" spans="1:12" ht="22.5" customHeight="1" x14ac:dyDescent="0.2">
      <c r="A101" s="1006">
        <f t="shared" si="2"/>
        <v>88</v>
      </c>
      <c r="B101" s="928"/>
      <c r="C101" s="946"/>
      <c r="D101" s="947"/>
      <c r="E101" s="948"/>
      <c r="F101" s="947"/>
      <c r="G101" s="950"/>
      <c r="H101" s="949"/>
      <c r="I101" s="947"/>
      <c r="J101" s="947"/>
      <c r="K101" s="945"/>
      <c r="L101" s="855"/>
    </row>
    <row r="102" spans="1:12" ht="22.5" customHeight="1" x14ac:dyDescent="0.2">
      <c r="A102" s="1006">
        <f t="shared" si="2"/>
        <v>89</v>
      </c>
      <c r="B102" s="928"/>
      <c r="C102" s="946"/>
      <c r="D102" s="947"/>
      <c r="E102" s="948"/>
      <c r="F102" s="947"/>
      <c r="G102" s="950"/>
      <c r="H102" s="949"/>
      <c r="I102" s="947"/>
      <c r="J102" s="947"/>
      <c r="K102" s="945"/>
      <c r="L102" s="855"/>
    </row>
    <row r="103" spans="1:12" ht="22.5" customHeight="1" x14ac:dyDescent="0.2">
      <c r="A103" s="1006">
        <f t="shared" si="2"/>
        <v>90</v>
      </c>
      <c r="B103" s="928"/>
      <c r="C103" s="946"/>
      <c r="D103" s="947"/>
      <c r="E103" s="948"/>
      <c r="F103" s="947"/>
      <c r="G103" s="950"/>
      <c r="H103" s="949"/>
      <c r="I103" s="947"/>
      <c r="J103" s="947"/>
      <c r="K103" s="945"/>
      <c r="L103" s="855"/>
    </row>
    <row r="104" spans="1:12" ht="22.5" customHeight="1" x14ac:dyDescent="0.2">
      <c r="A104" s="1006">
        <f t="shared" si="2"/>
        <v>91</v>
      </c>
      <c r="B104" s="928"/>
      <c r="C104" s="946"/>
      <c r="D104" s="947"/>
      <c r="E104" s="948"/>
      <c r="F104" s="947"/>
      <c r="G104" s="950"/>
      <c r="H104" s="949"/>
      <c r="I104" s="947"/>
      <c r="J104" s="947"/>
      <c r="K104" s="945"/>
      <c r="L104" s="855"/>
    </row>
    <row r="105" spans="1:12" ht="22.5" customHeight="1" x14ac:dyDescent="0.2">
      <c r="A105" s="1006">
        <f t="shared" si="2"/>
        <v>92</v>
      </c>
      <c r="B105" s="928"/>
      <c r="C105" s="946"/>
      <c r="D105" s="947"/>
      <c r="E105" s="948"/>
      <c r="F105" s="947"/>
      <c r="G105" s="950"/>
      <c r="H105" s="949"/>
      <c r="I105" s="947"/>
      <c r="J105" s="947"/>
      <c r="K105" s="945"/>
      <c r="L105" s="855"/>
    </row>
    <row r="106" spans="1:12" ht="22.5" customHeight="1" x14ac:dyDescent="0.2">
      <c r="A106" s="1006">
        <f t="shared" si="2"/>
        <v>93</v>
      </c>
      <c r="B106" s="928"/>
      <c r="C106" s="946"/>
      <c r="D106" s="947"/>
      <c r="E106" s="948"/>
      <c r="F106" s="947"/>
      <c r="G106" s="950"/>
      <c r="H106" s="949"/>
      <c r="I106" s="947"/>
      <c r="J106" s="947"/>
      <c r="K106" s="945"/>
      <c r="L106" s="855"/>
    </row>
    <row r="107" spans="1:12" ht="22.5" customHeight="1" x14ac:dyDescent="0.2">
      <c r="A107" s="1006">
        <f t="shared" si="2"/>
        <v>94</v>
      </c>
      <c r="B107" s="928"/>
      <c r="C107" s="946"/>
      <c r="D107" s="947"/>
      <c r="E107" s="948"/>
      <c r="F107" s="947"/>
      <c r="G107" s="950"/>
      <c r="H107" s="949"/>
      <c r="I107" s="947"/>
      <c r="J107" s="947"/>
      <c r="K107" s="945"/>
      <c r="L107" s="855"/>
    </row>
    <row r="108" spans="1:12" ht="22.5" customHeight="1" x14ac:dyDescent="0.2">
      <c r="A108" s="1006">
        <f t="shared" si="2"/>
        <v>95</v>
      </c>
      <c r="B108" s="928"/>
      <c r="C108" s="946"/>
      <c r="D108" s="947"/>
      <c r="E108" s="948"/>
      <c r="F108" s="947"/>
      <c r="G108" s="950"/>
      <c r="H108" s="949"/>
      <c r="I108" s="947"/>
      <c r="J108" s="947"/>
      <c r="K108" s="945"/>
      <c r="L108" s="855"/>
    </row>
    <row r="109" spans="1:12" ht="22.5" customHeight="1" x14ac:dyDescent="0.2">
      <c r="A109" s="1006">
        <f t="shared" si="2"/>
        <v>96</v>
      </c>
      <c r="B109" s="928"/>
      <c r="C109" s="946"/>
      <c r="D109" s="947"/>
      <c r="E109" s="948"/>
      <c r="F109" s="947"/>
      <c r="G109" s="950"/>
      <c r="H109" s="949"/>
      <c r="I109" s="947"/>
      <c r="J109" s="947"/>
      <c r="K109" s="945"/>
      <c r="L109" s="855"/>
    </row>
    <row r="110" spans="1:12" ht="22.5" customHeight="1" x14ac:dyDescent="0.2">
      <c r="A110" s="1006">
        <f t="shared" si="2"/>
        <v>97</v>
      </c>
      <c r="B110" s="928"/>
      <c r="C110" s="946"/>
      <c r="D110" s="947"/>
      <c r="E110" s="948"/>
      <c r="F110" s="947"/>
      <c r="G110" s="950"/>
      <c r="H110" s="949"/>
      <c r="I110" s="947"/>
      <c r="J110" s="947"/>
      <c r="K110" s="945"/>
      <c r="L110" s="855"/>
    </row>
    <row r="111" spans="1:12" ht="22.5" customHeight="1" x14ac:dyDescent="0.2">
      <c r="A111" s="1006">
        <f t="shared" si="2"/>
        <v>98</v>
      </c>
      <c r="B111" s="928"/>
      <c r="C111" s="946"/>
      <c r="D111" s="947"/>
      <c r="E111" s="948"/>
      <c r="F111" s="947"/>
      <c r="G111" s="950"/>
      <c r="H111" s="949"/>
      <c r="I111" s="947"/>
      <c r="J111" s="947"/>
      <c r="K111" s="945"/>
      <c r="L111" s="855"/>
    </row>
    <row r="112" spans="1:12" ht="22.5" customHeight="1" x14ac:dyDescent="0.2">
      <c r="A112" s="1006">
        <f t="shared" si="2"/>
        <v>99</v>
      </c>
      <c r="B112" s="928"/>
      <c r="C112" s="946"/>
      <c r="D112" s="947"/>
      <c r="E112" s="948"/>
      <c r="F112" s="947"/>
      <c r="G112" s="950"/>
      <c r="H112" s="949"/>
      <c r="I112" s="947"/>
      <c r="J112" s="947"/>
      <c r="K112" s="945"/>
      <c r="L112" s="855"/>
    </row>
    <row r="113" spans="1:12" ht="22.5" customHeight="1" x14ac:dyDescent="0.2">
      <c r="A113" s="1006">
        <f t="shared" si="2"/>
        <v>100</v>
      </c>
      <c r="B113" s="928"/>
      <c r="C113" s="946"/>
      <c r="D113" s="947"/>
      <c r="E113" s="948"/>
      <c r="F113" s="947"/>
      <c r="G113" s="950"/>
      <c r="H113" s="949"/>
      <c r="I113" s="947"/>
      <c r="J113" s="947"/>
      <c r="K113" s="945"/>
      <c r="L113" s="855"/>
    </row>
    <row r="114" spans="1:12" ht="22.5" customHeight="1" x14ac:dyDescent="0.2">
      <c r="A114" s="1006">
        <f t="shared" si="2"/>
        <v>101</v>
      </c>
      <c r="B114" s="928"/>
      <c r="C114" s="946"/>
      <c r="D114" s="947"/>
      <c r="E114" s="948"/>
      <c r="F114" s="947"/>
      <c r="G114" s="950"/>
      <c r="H114" s="949"/>
      <c r="I114" s="947"/>
      <c r="J114" s="947"/>
      <c r="K114" s="945"/>
      <c r="L114" s="855"/>
    </row>
    <row r="115" spans="1:12" ht="22.5" customHeight="1" x14ac:dyDescent="0.2">
      <c r="A115" s="1006">
        <f t="shared" si="2"/>
        <v>102</v>
      </c>
      <c r="B115" s="928"/>
      <c r="C115" s="946"/>
      <c r="D115" s="947"/>
      <c r="E115" s="948"/>
      <c r="F115" s="947"/>
      <c r="G115" s="950"/>
      <c r="H115" s="949"/>
      <c r="I115" s="947"/>
      <c r="J115" s="947"/>
      <c r="K115" s="945"/>
      <c r="L115" s="855"/>
    </row>
    <row r="116" spans="1:12" ht="22.5" customHeight="1" x14ac:dyDescent="0.2">
      <c r="A116" s="1006">
        <f t="shared" si="2"/>
        <v>103</v>
      </c>
      <c r="B116" s="928"/>
      <c r="C116" s="946"/>
      <c r="D116" s="947"/>
      <c r="E116" s="948"/>
      <c r="F116" s="947"/>
      <c r="G116" s="950"/>
      <c r="H116" s="949"/>
      <c r="I116" s="947"/>
      <c r="J116" s="947"/>
      <c r="K116" s="945"/>
      <c r="L116" s="855"/>
    </row>
    <row r="117" spans="1:12" ht="22.5" customHeight="1" x14ac:dyDescent="0.2">
      <c r="A117" s="1006">
        <f t="shared" si="2"/>
        <v>104</v>
      </c>
      <c r="B117" s="928"/>
      <c r="C117" s="946"/>
      <c r="D117" s="947"/>
      <c r="E117" s="948"/>
      <c r="F117" s="947"/>
      <c r="G117" s="950"/>
      <c r="H117" s="949"/>
      <c r="I117" s="947"/>
      <c r="J117" s="947"/>
      <c r="K117" s="945"/>
      <c r="L117" s="855"/>
    </row>
    <row r="118" spans="1:12" ht="22.5" customHeight="1" x14ac:dyDescent="0.2">
      <c r="A118" s="1006">
        <f t="shared" si="2"/>
        <v>105</v>
      </c>
      <c r="B118" s="928"/>
      <c r="C118" s="946"/>
      <c r="D118" s="947"/>
      <c r="E118" s="948"/>
      <c r="F118" s="947"/>
      <c r="G118" s="950"/>
      <c r="H118" s="949"/>
      <c r="I118" s="947"/>
      <c r="J118" s="947"/>
      <c r="K118" s="945"/>
      <c r="L118" s="855"/>
    </row>
    <row r="119" spans="1:12" ht="22.5" customHeight="1" x14ac:dyDescent="0.2">
      <c r="A119" s="1006">
        <f t="shared" si="2"/>
        <v>106</v>
      </c>
      <c r="B119" s="928"/>
      <c r="C119" s="946"/>
      <c r="D119" s="947"/>
      <c r="E119" s="948"/>
      <c r="F119" s="947"/>
      <c r="G119" s="950"/>
      <c r="H119" s="949"/>
      <c r="I119" s="947"/>
      <c r="J119" s="947"/>
      <c r="K119" s="945"/>
      <c r="L119" s="855"/>
    </row>
    <row r="120" spans="1:12" ht="22.5" customHeight="1" x14ac:dyDescent="0.2">
      <c r="A120" s="1006">
        <f t="shared" si="2"/>
        <v>107</v>
      </c>
      <c r="B120" s="928"/>
      <c r="C120" s="946"/>
      <c r="D120" s="947"/>
      <c r="E120" s="948"/>
      <c r="F120" s="947"/>
      <c r="G120" s="950"/>
      <c r="H120" s="949"/>
      <c r="I120" s="947"/>
      <c r="J120" s="947"/>
      <c r="K120" s="945"/>
      <c r="L120" s="855"/>
    </row>
    <row r="121" spans="1:12" ht="22.5" customHeight="1" x14ac:dyDescent="0.2">
      <c r="A121" s="1006">
        <f t="shared" si="2"/>
        <v>108</v>
      </c>
      <c r="B121" s="928"/>
      <c r="C121" s="946"/>
      <c r="D121" s="947"/>
      <c r="E121" s="948"/>
      <c r="F121" s="947"/>
      <c r="G121" s="950"/>
      <c r="H121" s="949"/>
      <c r="I121" s="947"/>
      <c r="J121" s="947"/>
      <c r="K121" s="945"/>
      <c r="L121" s="855"/>
    </row>
    <row r="122" spans="1:12" ht="22.5" customHeight="1" x14ac:dyDescent="0.2">
      <c r="A122" s="1006">
        <f t="shared" si="2"/>
        <v>109</v>
      </c>
      <c r="B122" s="928"/>
      <c r="C122" s="946"/>
      <c r="D122" s="947"/>
      <c r="E122" s="948"/>
      <c r="F122" s="947"/>
      <c r="G122" s="950"/>
      <c r="H122" s="949"/>
      <c r="I122" s="947"/>
      <c r="J122" s="947"/>
      <c r="K122" s="945"/>
      <c r="L122" s="855"/>
    </row>
    <row r="123" spans="1:12" ht="22.5" customHeight="1" x14ac:dyDescent="0.2">
      <c r="A123" s="1006">
        <f t="shared" si="2"/>
        <v>110</v>
      </c>
      <c r="B123" s="928"/>
      <c r="C123" s="946"/>
      <c r="D123" s="947"/>
      <c r="E123" s="948"/>
      <c r="F123" s="947"/>
      <c r="G123" s="950"/>
      <c r="H123" s="949"/>
      <c r="I123" s="947"/>
      <c r="J123" s="947"/>
      <c r="K123" s="945"/>
      <c r="L123" s="855"/>
    </row>
    <row r="124" spans="1:12" ht="22.5" customHeight="1" x14ac:dyDescent="0.2">
      <c r="A124" s="1006">
        <f t="shared" si="2"/>
        <v>111</v>
      </c>
      <c r="B124" s="928"/>
      <c r="C124" s="946"/>
      <c r="D124" s="947"/>
      <c r="E124" s="948"/>
      <c r="F124" s="947"/>
      <c r="G124" s="950"/>
      <c r="H124" s="949"/>
      <c r="I124" s="947"/>
      <c r="J124" s="947"/>
      <c r="K124" s="945"/>
      <c r="L124" s="855"/>
    </row>
    <row r="125" spans="1:12" ht="22.5" customHeight="1" x14ac:dyDescent="0.2">
      <c r="A125" s="1006">
        <f t="shared" si="2"/>
        <v>112</v>
      </c>
      <c r="B125" s="928"/>
      <c r="C125" s="946"/>
      <c r="D125" s="947"/>
      <c r="E125" s="948"/>
      <c r="F125" s="947"/>
      <c r="G125" s="950"/>
      <c r="H125" s="949"/>
      <c r="I125" s="947"/>
      <c r="J125" s="947"/>
      <c r="K125" s="945"/>
      <c r="L125" s="855"/>
    </row>
    <row r="126" spans="1:12" ht="22.5" customHeight="1" x14ac:dyDescent="0.2">
      <c r="A126" s="1006">
        <f t="shared" si="2"/>
        <v>113</v>
      </c>
      <c r="B126" s="928"/>
      <c r="C126" s="946"/>
      <c r="D126" s="947"/>
      <c r="E126" s="948"/>
      <c r="F126" s="947"/>
      <c r="G126" s="950"/>
      <c r="H126" s="949"/>
      <c r="I126" s="947"/>
      <c r="J126" s="947"/>
      <c r="K126" s="945"/>
      <c r="L126" s="855"/>
    </row>
    <row r="127" spans="1:12" ht="22.5" customHeight="1" x14ac:dyDescent="0.2">
      <c r="A127" s="1006">
        <f t="shared" si="2"/>
        <v>114</v>
      </c>
      <c r="B127" s="928"/>
      <c r="C127" s="946"/>
      <c r="D127" s="947"/>
      <c r="E127" s="948"/>
      <c r="F127" s="947"/>
      <c r="G127" s="950"/>
      <c r="H127" s="949"/>
      <c r="I127" s="947"/>
      <c r="J127" s="947"/>
      <c r="K127" s="945"/>
      <c r="L127" s="855"/>
    </row>
    <row r="128" spans="1:12" ht="22.5" customHeight="1" x14ac:dyDescent="0.2">
      <c r="A128" s="1006">
        <f t="shared" si="2"/>
        <v>115</v>
      </c>
      <c r="B128" s="928"/>
      <c r="C128" s="946"/>
      <c r="D128" s="947"/>
      <c r="E128" s="948"/>
      <c r="F128" s="947"/>
      <c r="G128" s="950"/>
      <c r="H128" s="949"/>
      <c r="I128" s="947"/>
      <c r="J128" s="947"/>
      <c r="K128" s="945"/>
      <c r="L128" s="855"/>
    </row>
    <row r="129" spans="1:12" ht="22.5" customHeight="1" x14ac:dyDescent="0.2">
      <c r="A129" s="1006">
        <f t="shared" si="2"/>
        <v>116</v>
      </c>
      <c r="B129" s="928"/>
      <c r="C129" s="946"/>
      <c r="D129" s="947"/>
      <c r="E129" s="948"/>
      <c r="F129" s="947"/>
      <c r="G129" s="950"/>
      <c r="H129" s="949"/>
      <c r="I129" s="947"/>
      <c r="J129" s="947"/>
      <c r="K129" s="945"/>
      <c r="L129" s="855"/>
    </row>
    <row r="130" spans="1:12" ht="22.5" customHeight="1" x14ac:dyDescent="0.2">
      <c r="A130" s="1006">
        <f t="shared" si="2"/>
        <v>117</v>
      </c>
      <c r="B130" s="928"/>
      <c r="C130" s="946"/>
      <c r="D130" s="947"/>
      <c r="E130" s="948"/>
      <c r="F130" s="947"/>
      <c r="G130" s="950"/>
      <c r="H130" s="949"/>
      <c r="I130" s="947"/>
      <c r="J130" s="947"/>
      <c r="K130" s="945"/>
      <c r="L130" s="855"/>
    </row>
    <row r="131" spans="1:12" ht="22.5" customHeight="1" x14ac:dyDescent="0.2">
      <c r="A131" s="1006">
        <f t="shared" si="2"/>
        <v>118</v>
      </c>
      <c r="B131" s="928"/>
      <c r="C131" s="946"/>
      <c r="D131" s="947"/>
      <c r="E131" s="948"/>
      <c r="F131" s="947"/>
      <c r="G131" s="950"/>
      <c r="H131" s="949"/>
      <c r="I131" s="947"/>
      <c r="J131" s="947"/>
      <c r="K131" s="945"/>
      <c r="L131" s="855"/>
    </row>
    <row r="132" spans="1:12" ht="22.5" customHeight="1" x14ac:dyDescent="0.2">
      <c r="A132" s="1006">
        <f t="shared" si="2"/>
        <v>119</v>
      </c>
      <c r="B132" s="928"/>
      <c r="C132" s="946"/>
      <c r="D132" s="947"/>
      <c r="E132" s="948"/>
      <c r="F132" s="947"/>
      <c r="G132" s="950"/>
      <c r="H132" s="949"/>
      <c r="I132" s="947"/>
      <c r="J132" s="947"/>
      <c r="K132" s="945"/>
      <c r="L132" s="855"/>
    </row>
    <row r="133" spans="1:12" ht="22.5" customHeight="1" x14ac:dyDescent="0.2">
      <c r="A133" s="1006">
        <f t="shared" si="2"/>
        <v>120</v>
      </c>
      <c r="B133" s="928"/>
      <c r="C133" s="946"/>
      <c r="D133" s="947"/>
      <c r="E133" s="948"/>
      <c r="F133" s="947"/>
      <c r="G133" s="950"/>
      <c r="H133" s="949"/>
      <c r="I133" s="947"/>
      <c r="J133" s="947"/>
      <c r="K133" s="945"/>
      <c r="L133" s="855"/>
    </row>
    <row r="134" spans="1:12" ht="22.5" customHeight="1" x14ac:dyDescent="0.2">
      <c r="A134" s="1006">
        <f t="shared" si="2"/>
        <v>121</v>
      </c>
      <c r="B134" s="928"/>
      <c r="C134" s="946"/>
      <c r="D134" s="947"/>
      <c r="E134" s="948"/>
      <c r="F134" s="947"/>
      <c r="G134" s="950"/>
      <c r="H134" s="949"/>
      <c r="I134" s="947"/>
      <c r="J134" s="947"/>
      <c r="K134" s="945"/>
      <c r="L134" s="855"/>
    </row>
    <row r="135" spans="1:12" ht="22.5" customHeight="1" x14ac:dyDescent="0.2">
      <c r="A135" s="1006">
        <f t="shared" si="2"/>
        <v>122</v>
      </c>
      <c r="B135" s="928"/>
      <c r="C135" s="946"/>
      <c r="D135" s="947"/>
      <c r="E135" s="948"/>
      <c r="F135" s="947"/>
      <c r="G135" s="950"/>
      <c r="H135" s="949"/>
      <c r="I135" s="947"/>
      <c r="J135" s="947"/>
      <c r="K135" s="945"/>
      <c r="L135" s="855"/>
    </row>
    <row r="136" spans="1:12" ht="22.5" customHeight="1" x14ac:dyDescent="0.2">
      <c r="A136" s="1006">
        <f t="shared" si="2"/>
        <v>123</v>
      </c>
      <c r="B136" s="928"/>
      <c r="C136" s="946"/>
      <c r="D136" s="947"/>
      <c r="E136" s="948"/>
      <c r="F136" s="947"/>
      <c r="G136" s="950"/>
      <c r="H136" s="949"/>
      <c r="I136" s="947"/>
      <c r="J136" s="947"/>
      <c r="K136" s="945"/>
      <c r="L136" s="855"/>
    </row>
    <row r="137" spans="1:12" ht="22.5" customHeight="1" x14ac:dyDescent="0.2">
      <c r="A137" s="1006">
        <f t="shared" si="2"/>
        <v>124</v>
      </c>
      <c r="B137" s="928"/>
      <c r="C137" s="946"/>
      <c r="D137" s="947"/>
      <c r="E137" s="948"/>
      <c r="F137" s="947"/>
      <c r="G137" s="950"/>
      <c r="H137" s="949"/>
      <c r="I137" s="947"/>
      <c r="J137" s="947"/>
      <c r="K137" s="945"/>
      <c r="L137" s="855"/>
    </row>
    <row r="138" spans="1:12" ht="22.5" customHeight="1" x14ac:dyDescent="0.2">
      <c r="A138" s="1006">
        <f t="shared" si="2"/>
        <v>125</v>
      </c>
      <c r="B138" s="928"/>
      <c r="C138" s="946"/>
      <c r="D138" s="947"/>
      <c r="E138" s="948"/>
      <c r="F138" s="947"/>
      <c r="G138" s="950"/>
      <c r="H138" s="949"/>
      <c r="I138" s="947"/>
      <c r="J138" s="947"/>
      <c r="K138" s="945"/>
      <c r="L138" s="855"/>
    </row>
    <row r="139" spans="1:12" ht="22.5" customHeight="1" x14ac:dyDescent="0.2">
      <c r="A139" s="1006">
        <f t="shared" si="2"/>
        <v>126</v>
      </c>
      <c r="B139" s="928"/>
      <c r="C139" s="946"/>
      <c r="D139" s="947"/>
      <c r="E139" s="948"/>
      <c r="F139" s="947"/>
      <c r="G139" s="950"/>
      <c r="H139" s="949"/>
      <c r="I139" s="947"/>
      <c r="J139" s="947"/>
      <c r="K139" s="945"/>
      <c r="L139" s="855"/>
    </row>
    <row r="140" spans="1:12" ht="22.5" customHeight="1" x14ac:dyDescent="0.2">
      <c r="A140" s="1006">
        <f t="shared" si="2"/>
        <v>127</v>
      </c>
      <c r="B140" s="928"/>
      <c r="C140" s="946"/>
      <c r="D140" s="947"/>
      <c r="E140" s="948"/>
      <c r="F140" s="947"/>
      <c r="G140" s="950"/>
      <c r="H140" s="949"/>
      <c r="I140" s="947"/>
      <c r="J140" s="947"/>
      <c r="K140" s="945"/>
      <c r="L140" s="855"/>
    </row>
    <row r="141" spans="1:12" ht="22.5" customHeight="1" x14ac:dyDescent="0.2">
      <c r="A141" s="1006">
        <f t="shared" si="2"/>
        <v>128</v>
      </c>
      <c r="B141" s="928"/>
      <c r="C141" s="946"/>
      <c r="D141" s="947"/>
      <c r="E141" s="948"/>
      <c r="F141" s="947"/>
      <c r="G141" s="950"/>
      <c r="H141" s="949"/>
      <c r="I141" s="947"/>
      <c r="J141" s="947"/>
      <c r="K141" s="945"/>
      <c r="L141" s="855"/>
    </row>
    <row r="142" spans="1:12" ht="22.5" customHeight="1" x14ac:dyDescent="0.2">
      <c r="A142" s="1006">
        <f t="shared" si="2"/>
        <v>129</v>
      </c>
      <c r="B142" s="928"/>
      <c r="C142" s="946"/>
      <c r="D142" s="947"/>
      <c r="E142" s="948"/>
      <c r="F142" s="947"/>
      <c r="G142" s="950"/>
      <c r="H142" s="949"/>
      <c r="I142" s="947"/>
      <c r="J142" s="947"/>
      <c r="K142" s="945"/>
      <c r="L142" s="855"/>
    </row>
    <row r="143" spans="1:12" ht="22.5" customHeight="1" x14ac:dyDescent="0.2">
      <c r="A143" s="1006">
        <f t="shared" si="2"/>
        <v>130</v>
      </c>
      <c r="B143" s="928"/>
      <c r="C143" s="946"/>
      <c r="D143" s="947"/>
      <c r="E143" s="948"/>
      <c r="F143" s="947"/>
      <c r="G143" s="950"/>
      <c r="H143" s="949"/>
      <c r="I143" s="947"/>
      <c r="J143" s="947"/>
      <c r="K143" s="945"/>
      <c r="L143" s="855"/>
    </row>
    <row r="144" spans="1:12" ht="22.5" customHeight="1" x14ac:dyDescent="0.2">
      <c r="A144" s="1006">
        <f t="shared" ref="A144:A195" si="3">A143+1</f>
        <v>131</v>
      </c>
      <c r="B144" s="928"/>
      <c r="C144" s="946"/>
      <c r="D144" s="947"/>
      <c r="E144" s="948"/>
      <c r="F144" s="947"/>
      <c r="G144" s="950"/>
      <c r="H144" s="949"/>
      <c r="I144" s="947"/>
      <c r="J144" s="947"/>
      <c r="K144" s="945"/>
      <c r="L144" s="855"/>
    </row>
    <row r="145" spans="1:12" ht="22.5" customHeight="1" x14ac:dyDescent="0.2">
      <c r="A145" s="1006">
        <f t="shared" si="3"/>
        <v>132</v>
      </c>
      <c r="B145" s="928"/>
      <c r="C145" s="946"/>
      <c r="D145" s="947"/>
      <c r="E145" s="948"/>
      <c r="F145" s="947"/>
      <c r="G145" s="950"/>
      <c r="H145" s="949"/>
      <c r="I145" s="947"/>
      <c r="J145" s="947"/>
      <c r="K145" s="945"/>
      <c r="L145" s="855"/>
    </row>
    <row r="146" spans="1:12" ht="22.5" customHeight="1" x14ac:dyDescent="0.2">
      <c r="A146" s="1006">
        <f t="shared" si="3"/>
        <v>133</v>
      </c>
      <c r="B146" s="928"/>
      <c r="C146" s="946"/>
      <c r="D146" s="947"/>
      <c r="E146" s="948"/>
      <c r="F146" s="947"/>
      <c r="G146" s="950"/>
      <c r="H146" s="949"/>
      <c r="I146" s="947"/>
      <c r="J146" s="947"/>
      <c r="K146" s="945"/>
      <c r="L146" s="855"/>
    </row>
    <row r="147" spans="1:12" ht="22.5" customHeight="1" x14ac:dyDescent="0.2">
      <c r="A147" s="1006">
        <f t="shared" si="3"/>
        <v>134</v>
      </c>
      <c r="B147" s="928"/>
      <c r="C147" s="946"/>
      <c r="D147" s="947"/>
      <c r="E147" s="948"/>
      <c r="F147" s="947"/>
      <c r="G147" s="950"/>
      <c r="H147" s="949"/>
      <c r="I147" s="947"/>
      <c r="J147" s="947"/>
      <c r="K147" s="945"/>
      <c r="L147" s="855"/>
    </row>
    <row r="148" spans="1:12" ht="22.5" customHeight="1" x14ac:dyDescent="0.2">
      <c r="A148" s="1006">
        <f t="shared" si="3"/>
        <v>135</v>
      </c>
      <c r="B148" s="928"/>
      <c r="C148" s="946"/>
      <c r="D148" s="947"/>
      <c r="E148" s="948"/>
      <c r="F148" s="947"/>
      <c r="G148" s="950"/>
      <c r="H148" s="949"/>
      <c r="I148" s="947"/>
      <c r="J148" s="947"/>
      <c r="K148" s="945"/>
      <c r="L148" s="855"/>
    </row>
    <row r="149" spans="1:12" ht="22.5" customHeight="1" x14ac:dyDescent="0.2">
      <c r="A149" s="1006">
        <f t="shared" si="3"/>
        <v>136</v>
      </c>
      <c r="B149" s="928"/>
      <c r="C149" s="946"/>
      <c r="D149" s="947"/>
      <c r="E149" s="948"/>
      <c r="F149" s="947"/>
      <c r="G149" s="950"/>
      <c r="H149" s="949"/>
      <c r="I149" s="947"/>
      <c r="J149" s="947"/>
      <c r="K149" s="945"/>
      <c r="L149" s="855"/>
    </row>
    <row r="150" spans="1:12" ht="22.5" customHeight="1" x14ac:dyDescent="0.2">
      <c r="A150" s="1006">
        <f t="shared" si="3"/>
        <v>137</v>
      </c>
      <c r="B150" s="928"/>
      <c r="C150" s="946"/>
      <c r="D150" s="947"/>
      <c r="E150" s="948"/>
      <c r="F150" s="947"/>
      <c r="G150" s="950"/>
      <c r="H150" s="949"/>
      <c r="I150" s="947"/>
      <c r="J150" s="947"/>
      <c r="K150" s="945"/>
      <c r="L150" s="855"/>
    </row>
    <row r="151" spans="1:12" ht="22.5" customHeight="1" x14ac:dyDescent="0.2">
      <c r="A151" s="1006">
        <f t="shared" si="3"/>
        <v>138</v>
      </c>
      <c r="B151" s="928"/>
      <c r="C151" s="946"/>
      <c r="D151" s="947"/>
      <c r="E151" s="948"/>
      <c r="F151" s="947"/>
      <c r="G151" s="950"/>
      <c r="H151" s="949"/>
      <c r="I151" s="947"/>
      <c r="J151" s="947"/>
      <c r="K151" s="945"/>
      <c r="L151" s="855"/>
    </row>
    <row r="152" spans="1:12" ht="22.5" customHeight="1" x14ac:dyDescent="0.2">
      <c r="A152" s="1006">
        <f t="shared" si="3"/>
        <v>139</v>
      </c>
      <c r="B152" s="928"/>
      <c r="C152" s="946"/>
      <c r="D152" s="947"/>
      <c r="E152" s="948"/>
      <c r="F152" s="947"/>
      <c r="G152" s="950"/>
      <c r="H152" s="949"/>
      <c r="I152" s="947"/>
      <c r="J152" s="947"/>
      <c r="K152" s="945"/>
      <c r="L152" s="855"/>
    </row>
    <row r="153" spans="1:12" ht="22.5" customHeight="1" x14ac:dyDescent="0.2">
      <c r="A153" s="1006">
        <f t="shared" si="3"/>
        <v>140</v>
      </c>
      <c r="B153" s="928"/>
      <c r="C153" s="946"/>
      <c r="D153" s="947"/>
      <c r="E153" s="948"/>
      <c r="F153" s="947"/>
      <c r="G153" s="950"/>
      <c r="H153" s="949"/>
      <c r="I153" s="947"/>
      <c r="J153" s="947"/>
      <c r="K153" s="945"/>
      <c r="L153" s="855"/>
    </row>
    <row r="154" spans="1:12" ht="22.5" customHeight="1" x14ac:dyDescent="0.2">
      <c r="A154" s="1006">
        <f t="shared" si="3"/>
        <v>141</v>
      </c>
      <c r="B154" s="928"/>
      <c r="C154" s="946"/>
      <c r="D154" s="947"/>
      <c r="E154" s="948"/>
      <c r="F154" s="947"/>
      <c r="G154" s="950"/>
      <c r="H154" s="949"/>
      <c r="I154" s="947"/>
      <c r="J154" s="947"/>
      <c r="K154" s="945"/>
      <c r="L154" s="855"/>
    </row>
    <row r="155" spans="1:12" ht="22.5" customHeight="1" x14ac:dyDescent="0.2">
      <c r="A155" s="1006">
        <f t="shared" si="3"/>
        <v>142</v>
      </c>
      <c r="B155" s="928"/>
      <c r="C155" s="946"/>
      <c r="D155" s="947"/>
      <c r="E155" s="948"/>
      <c r="F155" s="947"/>
      <c r="G155" s="950"/>
      <c r="H155" s="949"/>
      <c r="I155" s="947"/>
      <c r="J155" s="947"/>
      <c r="K155" s="945"/>
      <c r="L155" s="855"/>
    </row>
    <row r="156" spans="1:12" ht="22.5" customHeight="1" x14ac:dyDescent="0.2">
      <c r="A156" s="1006">
        <f t="shared" si="3"/>
        <v>143</v>
      </c>
      <c r="B156" s="928"/>
      <c r="C156" s="946"/>
      <c r="D156" s="947"/>
      <c r="E156" s="948"/>
      <c r="F156" s="947"/>
      <c r="G156" s="950"/>
      <c r="H156" s="949"/>
      <c r="I156" s="947"/>
      <c r="J156" s="947"/>
      <c r="K156" s="945"/>
      <c r="L156" s="855"/>
    </row>
    <row r="157" spans="1:12" ht="22.5" customHeight="1" x14ac:dyDescent="0.2">
      <c r="A157" s="1006">
        <f t="shared" si="3"/>
        <v>144</v>
      </c>
      <c r="B157" s="928"/>
      <c r="C157" s="946"/>
      <c r="D157" s="947"/>
      <c r="E157" s="948"/>
      <c r="F157" s="947"/>
      <c r="G157" s="950"/>
      <c r="H157" s="949"/>
      <c r="I157" s="947"/>
      <c r="J157" s="947"/>
      <c r="K157" s="945"/>
      <c r="L157" s="855"/>
    </row>
    <row r="158" spans="1:12" ht="22.5" customHeight="1" x14ac:dyDescent="0.2">
      <c r="A158" s="1006">
        <f t="shared" si="3"/>
        <v>145</v>
      </c>
      <c r="B158" s="928"/>
      <c r="C158" s="946"/>
      <c r="D158" s="947"/>
      <c r="E158" s="948"/>
      <c r="F158" s="947"/>
      <c r="G158" s="950"/>
      <c r="H158" s="949"/>
      <c r="I158" s="947"/>
      <c r="J158" s="947"/>
      <c r="K158" s="945"/>
      <c r="L158" s="855"/>
    </row>
    <row r="159" spans="1:12" ht="22.5" customHeight="1" x14ac:dyDescent="0.2">
      <c r="A159" s="1006">
        <f t="shared" si="3"/>
        <v>146</v>
      </c>
      <c r="B159" s="928"/>
      <c r="C159" s="946"/>
      <c r="D159" s="947"/>
      <c r="E159" s="948"/>
      <c r="F159" s="947"/>
      <c r="G159" s="950"/>
      <c r="H159" s="949"/>
      <c r="I159" s="947"/>
      <c r="J159" s="947"/>
      <c r="K159" s="945"/>
      <c r="L159" s="855"/>
    </row>
    <row r="160" spans="1:12" ht="22.5" customHeight="1" x14ac:dyDescent="0.2">
      <c r="A160" s="1006">
        <f t="shared" si="3"/>
        <v>147</v>
      </c>
      <c r="B160" s="928"/>
      <c r="C160" s="946"/>
      <c r="D160" s="947"/>
      <c r="E160" s="948"/>
      <c r="F160" s="947"/>
      <c r="G160" s="950"/>
      <c r="H160" s="949"/>
      <c r="I160" s="947"/>
      <c r="J160" s="947"/>
      <c r="K160" s="945"/>
      <c r="L160" s="855"/>
    </row>
    <row r="161" spans="1:12" ht="22.5" customHeight="1" x14ac:dyDescent="0.2">
      <c r="A161" s="1006">
        <f t="shared" si="3"/>
        <v>148</v>
      </c>
      <c r="B161" s="928"/>
      <c r="C161" s="946"/>
      <c r="D161" s="947"/>
      <c r="E161" s="948"/>
      <c r="F161" s="947"/>
      <c r="G161" s="950"/>
      <c r="H161" s="949"/>
      <c r="I161" s="947"/>
      <c r="J161" s="947"/>
      <c r="K161" s="945"/>
      <c r="L161" s="855"/>
    </row>
    <row r="162" spans="1:12" ht="22.5" customHeight="1" x14ac:dyDescent="0.2">
      <c r="A162" s="1006">
        <f t="shared" si="3"/>
        <v>149</v>
      </c>
      <c r="B162" s="928"/>
      <c r="C162" s="946"/>
      <c r="D162" s="947"/>
      <c r="E162" s="948"/>
      <c r="F162" s="947"/>
      <c r="G162" s="950"/>
      <c r="H162" s="949"/>
      <c r="I162" s="947"/>
      <c r="J162" s="947"/>
      <c r="K162" s="945"/>
      <c r="L162" s="855"/>
    </row>
    <row r="163" spans="1:12" ht="22.5" customHeight="1" x14ac:dyDescent="0.2">
      <c r="A163" s="1006">
        <f t="shared" si="3"/>
        <v>150</v>
      </c>
      <c r="B163" s="928"/>
      <c r="C163" s="946"/>
      <c r="D163" s="947"/>
      <c r="E163" s="948"/>
      <c r="F163" s="947"/>
      <c r="G163" s="950"/>
      <c r="H163" s="949"/>
      <c r="I163" s="947"/>
      <c r="J163" s="947"/>
      <c r="K163" s="945"/>
      <c r="L163" s="855"/>
    </row>
    <row r="164" spans="1:12" ht="22.5" customHeight="1" x14ac:dyDescent="0.2">
      <c r="A164" s="1006">
        <f t="shared" si="3"/>
        <v>151</v>
      </c>
      <c r="B164" s="928"/>
      <c r="C164" s="946"/>
      <c r="D164" s="947"/>
      <c r="E164" s="948"/>
      <c r="F164" s="947"/>
      <c r="G164" s="950"/>
      <c r="H164" s="949"/>
      <c r="I164" s="947"/>
      <c r="J164" s="947"/>
      <c r="K164" s="945"/>
      <c r="L164" s="855"/>
    </row>
    <row r="165" spans="1:12" ht="22.5" customHeight="1" x14ac:dyDescent="0.2">
      <c r="A165" s="1006">
        <f t="shared" si="3"/>
        <v>152</v>
      </c>
      <c r="B165" s="928"/>
      <c r="C165" s="946"/>
      <c r="D165" s="947"/>
      <c r="E165" s="948"/>
      <c r="F165" s="947"/>
      <c r="G165" s="950"/>
      <c r="H165" s="949"/>
      <c r="I165" s="947"/>
      <c r="J165" s="947"/>
      <c r="K165" s="945"/>
      <c r="L165" s="855"/>
    </row>
    <row r="166" spans="1:12" ht="22.5" customHeight="1" x14ac:dyDescent="0.2">
      <c r="A166" s="1006">
        <f t="shared" si="3"/>
        <v>153</v>
      </c>
      <c r="B166" s="928"/>
      <c r="C166" s="946"/>
      <c r="D166" s="947"/>
      <c r="E166" s="948"/>
      <c r="F166" s="947"/>
      <c r="G166" s="950"/>
      <c r="H166" s="949"/>
      <c r="I166" s="947"/>
      <c r="J166" s="947"/>
      <c r="K166" s="945"/>
      <c r="L166" s="855"/>
    </row>
    <row r="167" spans="1:12" ht="22.5" customHeight="1" x14ac:dyDescent="0.2">
      <c r="A167" s="1006">
        <f t="shared" si="3"/>
        <v>154</v>
      </c>
      <c r="B167" s="928"/>
      <c r="C167" s="946"/>
      <c r="D167" s="947"/>
      <c r="E167" s="948"/>
      <c r="F167" s="947"/>
      <c r="G167" s="950"/>
      <c r="H167" s="949"/>
      <c r="I167" s="947"/>
      <c r="J167" s="947"/>
      <c r="K167" s="945"/>
      <c r="L167" s="855"/>
    </row>
    <row r="168" spans="1:12" ht="22.5" customHeight="1" x14ac:dyDescent="0.2">
      <c r="A168" s="1006">
        <f t="shared" si="3"/>
        <v>155</v>
      </c>
      <c r="B168" s="928"/>
      <c r="C168" s="946"/>
      <c r="D168" s="947"/>
      <c r="E168" s="948"/>
      <c r="F168" s="947"/>
      <c r="G168" s="950"/>
      <c r="H168" s="949"/>
      <c r="I168" s="947"/>
      <c r="J168" s="947"/>
      <c r="K168" s="945"/>
      <c r="L168" s="855"/>
    </row>
    <row r="169" spans="1:12" ht="22.5" customHeight="1" x14ac:dyDescent="0.2">
      <c r="A169" s="1006">
        <f t="shared" si="3"/>
        <v>156</v>
      </c>
      <c r="B169" s="928"/>
      <c r="C169" s="946"/>
      <c r="D169" s="947"/>
      <c r="E169" s="948"/>
      <c r="F169" s="947"/>
      <c r="G169" s="950"/>
      <c r="H169" s="949"/>
      <c r="I169" s="947"/>
      <c r="J169" s="947"/>
      <c r="K169" s="945"/>
      <c r="L169" s="855"/>
    </row>
    <row r="170" spans="1:12" ht="22.5" customHeight="1" x14ac:dyDescent="0.2">
      <c r="A170" s="1006">
        <f t="shared" si="3"/>
        <v>157</v>
      </c>
      <c r="B170" s="928"/>
      <c r="C170" s="946"/>
      <c r="D170" s="947"/>
      <c r="E170" s="948"/>
      <c r="F170" s="947"/>
      <c r="G170" s="950"/>
      <c r="H170" s="949"/>
      <c r="I170" s="947"/>
      <c r="J170" s="947"/>
      <c r="K170" s="945"/>
      <c r="L170" s="855"/>
    </row>
    <row r="171" spans="1:12" ht="22.5" customHeight="1" x14ac:dyDescent="0.2">
      <c r="A171" s="1006">
        <f t="shared" si="3"/>
        <v>158</v>
      </c>
      <c r="B171" s="928"/>
      <c r="C171" s="946"/>
      <c r="D171" s="947"/>
      <c r="E171" s="948"/>
      <c r="F171" s="947"/>
      <c r="G171" s="950"/>
      <c r="H171" s="949"/>
      <c r="I171" s="947"/>
      <c r="J171" s="947"/>
      <c r="K171" s="945"/>
      <c r="L171" s="855"/>
    </row>
    <row r="172" spans="1:12" ht="22.5" customHeight="1" x14ac:dyDescent="0.2">
      <c r="A172" s="1006">
        <f t="shared" si="3"/>
        <v>159</v>
      </c>
      <c r="B172" s="928"/>
      <c r="C172" s="946"/>
      <c r="D172" s="947"/>
      <c r="E172" s="948"/>
      <c r="F172" s="947"/>
      <c r="G172" s="950"/>
      <c r="H172" s="949"/>
      <c r="I172" s="947"/>
      <c r="J172" s="947"/>
      <c r="K172" s="945"/>
      <c r="L172" s="855"/>
    </row>
    <row r="173" spans="1:12" ht="22.5" customHeight="1" x14ac:dyDescent="0.2">
      <c r="A173" s="1006">
        <f t="shared" si="3"/>
        <v>160</v>
      </c>
      <c r="B173" s="928"/>
      <c r="C173" s="946"/>
      <c r="D173" s="947"/>
      <c r="E173" s="948"/>
      <c r="F173" s="947"/>
      <c r="G173" s="950"/>
      <c r="H173" s="949"/>
      <c r="I173" s="947"/>
      <c r="J173" s="947"/>
      <c r="K173" s="945"/>
      <c r="L173" s="855"/>
    </row>
    <row r="174" spans="1:12" ht="22.5" customHeight="1" x14ac:dyDescent="0.2">
      <c r="A174" s="1006">
        <f t="shared" si="3"/>
        <v>161</v>
      </c>
      <c r="B174" s="928"/>
      <c r="C174" s="946"/>
      <c r="D174" s="947"/>
      <c r="E174" s="948"/>
      <c r="F174" s="947"/>
      <c r="G174" s="950"/>
      <c r="H174" s="949"/>
      <c r="I174" s="947"/>
      <c r="J174" s="947"/>
      <c r="K174" s="945"/>
      <c r="L174" s="855"/>
    </row>
    <row r="175" spans="1:12" ht="22.5" customHeight="1" x14ac:dyDescent="0.2">
      <c r="A175" s="1006">
        <f t="shared" si="3"/>
        <v>162</v>
      </c>
      <c r="B175" s="928"/>
      <c r="C175" s="946"/>
      <c r="D175" s="947"/>
      <c r="E175" s="948"/>
      <c r="F175" s="947"/>
      <c r="G175" s="950"/>
      <c r="H175" s="949"/>
      <c r="I175" s="947"/>
      <c r="J175" s="947"/>
      <c r="K175" s="945"/>
      <c r="L175" s="855"/>
    </row>
    <row r="176" spans="1:12" ht="22.5" customHeight="1" x14ac:dyDescent="0.2">
      <c r="A176" s="1006">
        <f t="shared" si="3"/>
        <v>163</v>
      </c>
      <c r="B176" s="928"/>
      <c r="C176" s="946"/>
      <c r="D176" s="947"/>
      <c r="E176" s="948"/>
      <c r="F176" s="947"/>
      <c r="G176" s="950"/>
      <c r="H176" s="949"/>
      <c r="I176" s="947"/>
      <c r="J176" s="947"/>
      <c r="K176" s="945"/>
      <c r="L176" s="855"/>
    </row>
    <row r="177" spans="1:12" ht="22.5" customHeight="1" x14ac:dyDescent="0.2">
      <c r="A177" s="1006">
        <f t="shared" si="3"/>
        <v>164</v>
      </c>
      <c r="B177" s="928"/>
      <c r="C177" s="946"/>
      <c r="D177" s="947"/>
      <c r="E177" s="948"/>
      <c r="F177" s="947"/>
      <c r="G177" s="950"/>
      <c r="H177" s="949"/>
      <c r="I177" s="947"/>
      <c r="J177" s="947"/>
      <c r="K177" s="945"/>
      <c r="L177" s="855"/>
    </row>
    <row r="178" spans="1:12" ht="22.5" customHeight="1" x14ac:dyDescent="0.2">
      <c r="A178" s="1006">
        <f t="shared" si="3"/>
        <v>165</v>
      </c>
      <c r="B178" s="928"/>
      <c r="C178" s="946"/>
      <c r="D178" s="947"/>
      <c r="E178" s="948"/>
      <c r="F178" s="947"/>
      <c r="G178" s="950"/>
      <c r="H178" s="949"/>
      <c r="I178" s="947"/>
      <c r="J178" s="947"/>
      <c r="K178" s="945"/>
      <c r="L178" s="855"/>
    </row>
    <row r="179" spans="1:12" ht="22.5" customHeight="1" x14ac:dyDescent="0.2">
      <c r="A179" s="1006">
        <f t="shared" si="3"/>
        <v>166</v>
      </c>
      <c r="B179" s="928"/>
      <c r="C179" s="946"/>
      <c r="D179" s="947"/>
      <c r="E179" s="948"/>
      <c r="F179" s="947"/>
      <c r="G179" s="950"/>
      <c r="H179" s="949"/>
      <c r="I179" s="947"/>
      <c r="J179" s="947"/>
      <c r="K179" s="945"/>
      <c r="L179" s="855"/>
    </row>
    <row r="180" spans="1:12" ht="22.5" customHeight="1" x14ac:dyDescent="0.2">
      <c r="A180" s="1006">
        <f t="shared" si="3"/>
        <v>167</v>
      </c>
      <c r="B180" s="928"/>
      <c r="C180" s="946"/>
      <c r="D180" s="947"/>
      <c r="E180" s="948"/>
      <c r="F180" s="947"/>
      <c r="G180" s="950"/>
      <c r="H180" s="949"/>
      <c r="I180" s="947"/>
      <c r="J180" s="947"/>
      <c r="K180" s="945"/>
      <c r="L180" s="855"/>
    </row>
    <row r="181" spans="1:12" ht="22.5" customHeight="1" x14ac:dyDescent="0.2">
      <c r="A181" s="1006">
        <f t="shared" si="3"/>
        <v>168</v>
      </c>
      <c r="B181" s="928"/>
      <c r="C181" s="946"/>
      <c r="D181" s="947"/>
      <c r="E181" s="948"/>
      <c r="F181" s="947"/>
      <c r="G181" s="950"/>
      <c r="H181" s="949"/>
      <c r="I181" s="947"/>
      <c r="J181" s="947"/>
      <c r="K181" s="945"/>
      <c r="L181" s="855"/>
    </row>
    <row r="182" spans="1:12" ht="22.5" customHeight="1" x14ac:dyDescent="0.2">
      <c r="A182" s="1006">
        <f t="shared" si="3"/>
        <v>169</v>
      </c>
      <c r="B182" s="928"/>
      <c r="C182" s="946"/>
      <c r="D182" s="947"/>
      <c r="E182" s="948"/>
      <c r="F182" s="947"/>
      <c r="G182" s="950"/>
      <c r="H182" s="949"/>
      <c r="I182" s="947"/>
      <c r="J182" s="947"/>
      <c r="K182" s="945"/>
      <c r="L182" s="855"/>
    </row>
    <row r="183" spans="1:12" ht="22.5" customHeight="1" x14ac:dyDescent="0.2">
      <c r="A183" s="1006">
        <f t="shared" si="3"/>
        <v>170</v>
      </c>
      <c r="B183" s="928"/>
      <c r="C183" s="946"/>
      <c r="D183" s="947"/>
      <c r="E183" s="948"/>
      <c r="F183" s="947"/>
      <c r="G183" s="950"/>
      <c r="H183" s="949"/>
      <c r="I183" s="947"/>
      <c r="J183" s="947"/>
      <c r="K183" s="945"/>
      <c r="L183" s="855"/>
    </row>
    <row r="184" spans="1:12" ht="22.5" customHeight="1" x14ac:dyDescent="0.2">
      <c r="A184" s="1006">
        <f t="shared" si="3"/>
        <v>171</v>
      </c>
      <c r="B184" s="928"/>
      <c r="C184" s="946"/>
      <c r="D184" s="947"/>
      <c r="E184" s="948"/>
      <c r="F184" s="947"/>
      <c r="G184" s="950"/>
      <c r="H184" s="949"/>
      <c r="I184" s="947"/>
      <c r="J184" s="947"/>
      <c r="K184" s="945"/>
      <c r="L184" s="855"/>
    </row>
    <row r="185" spans="1:12" ht="22.5" customHeight="1" x14ac:dyDescent="0.2">
      <c r="A185" s="1006">
        <f t="shared" si="3"/>
        <v>172</v>
      </c>
      <c r="B185" s="928"/>
      <c r="C185" s="946"/>
      <c r="D185" s="947"/>
      <c r="E185" s="948"/>
      <c r="F185" s="947"/>
      <c r="G185" s="950"/>
      <c r="H185" s="949"/>
      <c r="I185" s="947"/>
      <c r="J185" s="947"/>
      <c r="K185" s="945"/>
      <c r="L185" s="855"/>
    </row>
    <row r="186" spans="1:12" ht="22.5" customHeight="1" x14ac:dyDescent="0.2">
      <c r="A186" s="1006">
        <f t="shared" si="3"/>
        <v>173</v>
      </c>
      <c r="B186" s="928"/>
      <c r="C186" s="946"/>
      <c r="D186" s="947"/>
      <c r="E186" s="948"/>
      <c r="F186" s="947"/>
      <c r="G186" s="950"/>
      <c r="H186" s="949"/>
      <c r="I186" s="947"/>
      <c r="J186" s="947"/>
      <c r="K186" s="945"/>
      <c r="L186" s="855"/>
    </row>
    <row r="187" spans="1:12" ht="22.5" customHeight="1" x14ac:dyDescent="0.2">
      <c r="A187" s="1006">
        <f t="shared" si="3"/>
        <v>174</v>
      </c>
      <c r="B187" s="928"/>
      <c r="C187" s="946"/>
      <c r="D187" s="947"/>
      <c r="E187" s="948"/>
      <c r="F187" s="947"/>
      <c r="G187" s="950"/>
      <c r="H187" s="949"/>
      <c r="I187" s="947"/>
      <c r="J187" s="947"/>
      <c r="K187" s="945"/>
      <c r="L187" s="855"/>
    </row>
    <row r="188" spans="1:12" ht="22.5" customHeight="1" x14ac:dyDescent="0.2">
      <c r="A188" s="1006">
        <f t="shared" si="3"/>
        <v>175</v>
      </c>
      <c r="B188" s="928"/>
      <c r="C188" s="946"/>
      <c r="D188" s="947"/>
      <c r="E188" s="948"/>
      <c r="F188" s="947"/>
      <c r="G188" s="950"/>
      <c r="H188" s="949"/>
      <c r="I188" s="947"/>
      <c r="J188" s="947"/>
      <c r="K188" s="945"/>
      <c r="L188" s="855"/>
    </row>
    <row r="189" spans="1:12" ht="22.5" customHeight="1" x14ac:dyDescent="0.2">
      <c r="A189" s="1006">
        <f t="shared" si="3"/>
        <v>176</v>
      </c>
      <c r="B189" s="928"/>
      <c r="C189" s="946"/>
      <c r="D189" s="947"/>
      <c r="E189" s="948"/>
      <c r="F189" s="947"/>
      <c r="G189" s="950"/>
      <c r="H189" s="949"/>
      <c r="I189" s="947"/>
      <c r="J189" s="947"/>
      <c r="K189" s="945"/>
      <c r="L189" s="855"/>
    </row>
    <row r="190" spans="1:12" ht="22.5" customHeight="1" x14ac:dyDescent="0.2">
      <c r="A190" s="1006">
        <f t="shared" si="3"/>
        <v>177</v>
      </c>
      <c r="B190" s="928"/>
      <c r="C190" s="946"/>
      <c r="D190" s="947"/>
      <c r="E190" s="948"/>
      <c r="F190" s="947"/>
      <c r="G190" s="950"/>
      <c r="H190" s="949"/>
      <c r="I190" s="947"/>
      <c r="J190" s="947"/>
      <c r="K190" s="945"/>
      <c r="L190" s="855"/>
    </row>
    <row r="191" spans="1:12" ht="22.5" customHeight="1" x14ac:dyDescent="0.2">
      <c r="A191" s="1006">
        <f t="shared" si="3"/>
        <v>178</v>
      </c>
      <c r="B191" s="928"/>
      <c r="C191" s="946"/>
      <c r="D191" s="947"/>
      <c r="E191" s="948"/>
      <c r="F191" s="947"/>
      <c r="G191" s="950"/>
      <c r="H191" s="949"/>
      <c r="I191" s="947"/>
      <c r="J191" s="947"/>
      <c r="K191" s="945"/>
      <c r="L191" s="855"/>
    </row>
    <row r="192" spans="1:12" ht="22.5" customHeight="1" x14ac:dyDescent="0.2">
      <c r="A192" s="1006">
        <f t="shared" si="3"/>
        <v>179</v>
      </c>
      <c r="B192" s="928"/>
      <c r="C192" s="946"/>
      <c r="D192" s="947"/>
      <c r="E192" s="948"/>
      <c r="F192" s="947"/>
      <c r="G192" s="950"/>
      <c r="H192" s="949"/>
      <c r="I192" s="947"/>
      <c r="J192" s="947"/>
      <c r="K192" s="945"/>
      <c r="L192" s="855"/>
    </row>
    <row r="193" spans="1:12" ht="22.5" customHeight="1" x14ac:dyDescent="0.2">
      <c r="A193" s="1006">
        <f t="shared" si="3"/>
        <v>180</v>
      </c>
      <c r="B193" s="928"/>
      <c r="C193" s="946"/>
      <c r="D193" s="947"/>
      <c r="E193" s="948"/>
      <c r="F193" s="947"/>
      <c r="G193" s="950"/>
      <c r="H193" s="949"/>
      <c r="I193" s="947"/>
      <c r="J193" s="947"/>
      <c r="K193" s="945"/>
      <c r="L193" s="855"/>
    </row>
    <row r="194" spans="1:12" ht="22.5" customHeight="1" x14ac:dyDescent="0.2">
      <c r="A194" s="1006">
        <f t="shared" si="3"/>
        <v>181</v>
      </c>
      <c r="B194" s="928"/>
      <c r="C194" s="946"/>
      <c r="D194" s="947"/>
      <c r="E194" s="948"/>
      <c r="F194" s="947"/>
      <c r="G194" s="950"/>
      <c r="H194" s="949"/>
      <c r="I194" s="947"/>
      <c r="J194" s="947"/>
      <c r="K194" s="945"/>
      <c r="L194" s="855"/>
    </row>
    <row r="195" spans="1:12" ht="22.5" customHeight="1" x14ac:dyDescent="0.2">
      <c r="A195" s="943">
        <f t="shared" si="3"/>
        <v>182</v>
      </c>
      <c r="B195" s="944"/>
      <c r="C195" s="975"/>
      <c r="D195" s="976"/>
      <c r="E195" s="977"/>
      <c r="F195" s="976"/>
      <c r="G195" s="978"/>
      <c r="H195" s="936"/>
      <c r="I195" s="976"/>
      <c r="J195" s="976"/>
      <c r="K195" s="748"/>
      <c r="L195" s="855"/>
    </row>
    <row r="196" spans="1:12" x14ac:dyDescent="0.2">
      <c r="A196" s="855"/>
      <c r="B196" s="855"/>
      <c r="C196" s="970"/>
      <c r="D196" s="971"/>
      <c r="E196" s="972"/>
      <c r="F196" s="971"/>
      <c r="G196" s="973"/>
      <c r="H196" s="974"/>
      <c r="I196" s="971"/>
      <c r="J196" s="971"/>
      <c r="K196" s="855"/>
      <c r="L196" s="855"/>
    </row>
    <row r="197" spans="1:12" x14ac:dyDescent="0.2">
      <c r="A197" s="855"/>
      <c r="B197" s="855"/>
      <c r="C197" s="970"/>
      <c r="D197" s="971"/>
      <c r="E197" s="972"/>
      <c r="F197" s="971"/>
      <c r="G197" s="973"/>
      <c r="H197" s="974"/>
      <c r="I197" s="971"/>
      <c r="J197" s="971"/>
      <c r="K197" s="855"/>
      <c r="L197" s="855"/>
    </row>
    <row r="198" spans="1:12" x14ac:dyDescent="0.2">
      <c r="A198" s="855"/>
      <c r="B198" s="855"/>
      <c r="C198" s="970"/>
      <c r="D198" s="971"/>
      <c r="E198" s="972"/>
      <c r="F198" s="971"/>
      <c r="G198" s="973"/>
      <c r="H198" s="974"/>
      <c r="I198" s="971"/>
      <c r="J198" s="971"/>
      <c r="K198" s="855"/>
      <c r="L198" s="855"/>
    </row>
    <row r="199" spans="1:12" x14ac:dyDescent="0.2">
      <c r="C199" s="2" t="s">
        <v>906</v>
      </c>
      <c r="D199" s="567">
        <f>SUM(D14:D197)</f>
        <v>0</v>
      </c>
      <c r="E199" s="567">
        <f>SUM(E14:E197)</f>
        <v>0</v>
      </c>
      <c r="F199" s="567">
        <f>SUM(F14:F197)</f>
        <v>0</v>
      </c>
      <c r="I199" s="567">
        <f>SUM(I14:I197)</f>
        <v>0</v>
      </c>
      <c r="J199" s="567">
        <f>SUM(J14:J197)</f>
        <v>0</v>
      </c>
    </row>
    <row r="201" spans="1:12" x14ac:dyDescent="0.2">
      <c r="C201" s="2" t="s">
        <v>2582</v>
      </c>
      <c r="D201" s="16">
        <f>'T4 B2-immo'!I9+'T4 B2-immo'!I14+'T4 B2-immo'!I20</f>
        <v>0</v>
      </c>
      <c r="E201" s="16"/>
      <c r="F201" s="16">
        <f>'T8 B2 BIS'!B9+'T8 B2 BIS'!B16+'T8 B2 BIS'!B23</f>
        <v>0</v>
      </c>
      <c r="G201" s="16"/>
      <c r="H201" s="16"/>
      <c r="I201" s="16">
        <f>'T8 B2 BIS'!C9+'T8 B2 BIS'!C16+'T8 B2 BIS'!C23</f>
        <v>0</v>
      </c>
      <c r="J201" s="16">
        <f>'T8 B2 BIS'!E9+'T8 B2 BIS'!E16+'T8 B2 BIS'!E23</f>
        <v>0</v>
      </c>
    </row>
    <row r="203" spans="1:12" x14ac:dyDescent="0.2">
      <c r="C203" s="2" t="s">
        <v>7</v>
      </c>
      <c r="D203" s="567">
        <f>D199-D201</f>
        <v>0</v>
      </c>
      <c r="F203" s="567">
        <f>F199-F201</f>
        <v>0</v>
      </c>
      <c r="I203" s="567">
        <f>I199-I201</f>
        <v>0</v>
      </c>
      <c r="J203" s="567">
        <f>J199-J201</f>
        <v>0</v>
      </c>
    </row>
  </sheetData>
  <phoneticPr fontId="0" type="noConversion"/>
  <pageMargins left="0.78740157499999996" right="0.78740157499999996" top="0.984251969" bottom="0.984251969" header="0.4921259845" footer="0.4921259845"/>
  <pageSetup paperSize="9" scale="83" orientation="landscape" horizontalDpi="300" verticalDpi="300" r:id="rId1"/>
  <headerFooter alignWithMargins="0">
    <oddHeader>&amp;L&amp;"Times New Roman,Gras italique"&amp;12Sté : ...............................</oddHeader>
  </headerFooter>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7">
    <tabColor rgb="FFFF0000"/>
  </sheetPr>
  <dimension ref="A1:J22"/>
  <sheetViews>
    <sheetView workbookViewId="0"/>
  </sheetViews>
  <sheetFormatPr baseColWidth="10" defaultColWidth="12" defaultRowHeight="12" x14ac:dyDescent="0.2"/>
  <cols>
    <col min="1" max="1" width="3.83203125" style="106" customWidth="1"/>
    <col min="2" max="2" width="28.83203125" style="105" customWidth="1"/>
    <col min="3" max="4" width="10.33203125" style="105" customWidth="1"/>
    <col min="5" max="5" width="9.83203125" style="105" customWidth="1"/>
    <col min="6" max="6" width="13.1640625" style="105" customWidth="1"/>
    <col min="7" max="7" width="8.83203125" style="105" customWidth="1"/>
    <col min="8" max="8" width="9" style="105" customWidth="1"/>
    <col min="9" max="9" width="12" style="105"/>
    <col min="10" max="10" width="14.1640625" style="105" customWidth="1"/>
    <col min="11" max="16384" width="12" style="105"/>
  </cols>
  <sheetData>
    <row r="1" spans="1:10" s="13" customFormat="1" x14ac:dyDescent="0.2">
      <c r="A1" s="5" t="s">
        <v>907</v>
      </c>
      <c r="B1" s="5"/>
      <c r="D1" s="105"/>
      <c r="E1" s="105"/>
    </row>
    <row r="2" spans="1:10" s="13" customFormat="1" ht="12.75" x14ac:dyDescent="0.2">
      <c r="A2" s="15"/>
    </row>
    <row r="4" spans="1:10" s="13" customFormat="1" ht="15" x14ac:dyDescent="0.25">
      <c r="A4" s="107"/>
      <c r="B4" s="108" t="s">
        <v>908</v>
      </c>
      <c r="C4" s="109"/>
      <c r="D4" s="109"/>
      <c r="E4" s="109"/>
      <c r="F4" s="109"/>
      <c r="G4" s="109"/>
      <c r="H4" s="109"/>
      <c r="I4" s="109"/>
      <c r="J4" s="109"/>
    </row>
    <row r="5" spans="1:10" s="13" customFormat="1" x14ac:dyDescent="0.2">
      <c r="A5" s="107"/>
      <c r="B5" s="109"/>
      <c r="C5" s="109"/>
      <c r="D5" s="109"/>
      <c r="E5" s="109"/>
      <c r="F5" s="109"/>
      <c r="G5" s="109"/>
      <c r="H5" s="109"/>
      <c r="I5" s="109"/>
      <c r="J5" s="109"/>
    </row>
    <row r="6" spans="1:10" s="13" customFormat="1" x14ac:dyDescent="0.2">
      <c r="A6" s="107"/>
      <c r="D6" s="5"/>
      <c r="E6" s="5"/>
      <c r="F6" s="5"/>
      <c r="G6" s="5"/>
      <c r="H6" s="934" t="s">
        <v>19</v>
      </c>
      <c r="I6" s="5"/>
      <c r="J6" s="935" t="str">
        <f>'T16 Amort'!H8</f>
        <v>31/12/2015</v>
      </c>
    </row>
    <row r="7" spans="1:10" ht="0.75" customHeight="1" x14ac:dyDescent="0.2"/>
    <row r="8" spans="1:10" s="113" customFormat="1" ht="88.5" customHeight="1" x14ac:dyDescent="0.2">
      <c r="A8" s="110"/>
      <c r="B8" s="110" t="s">
        <v>909</v>
      </c>
      <c r="C8" s="111" t="s">
        <v>910</v>
      </c>
      <c r="D8" s="111" t="s">
        <v>911</v>
      </c>
      <c r="E8" s="111" t="s">
        <v>912</v>
      </c>
      <c r="F8" s="111" t="s">
        <v>913</v>
      </c>
      <c r="G8" s="111" t="s">
        <v>914</v>
      </c>
      <c r="H8" s="111" t="s">
        <v>915</v>
      </c>
      <c r="I8" s="111" t="s">
        <v>916</v>
      </c>
      <c r="J8" s="112" t="s">
        <v>744</v>
      </c>
    </row>
    <row r="9" spans="1:10" x14ac:dyDescent="0.2">
      <c r="A9" s="114">
        <v>1</v>
      </c>
      <c r="B9" s="115" t="s">
        <v>917</v>
      </c>
      <c r="C9" s="690"/>
      <c r="D9" s="690"/>
      <c r="E9" s="690"/>
      <c r="F9" s="690"/>
      <c r="G9" s="690"/>
      <c r="H9" s="690"/>
      <c r="I9" s="690"/>
      <c r="J9" s="690"/>
    </row>
    <row r="10" spans="1:10" x14ac:dyDescent="0.2">
      <c r="A10" s="114">
        <v>2</v>
      </c>
      <c r="B10" s="115" t="s">
        <v>918</v>
      </c>
      <c r="C10" s="690"/>
      <c r="D10" s="690"/>
      <c r="E10" s="690"/>
      <c r="F10" s="690"/>
      <c r="G10" s="690"/>
      <c r="H10" s="690"/>
      <c r="I10" s="690"/>
      <c r="J10" s="690"/>
    </row>
    <row r="11" spans="1:10" x14ac:dyDescent="0.2">
      <c r="A11" s="114">
        <v>3</v>
      </c>
      <c r="B11" s="115" t="s">
        <v>919</v>
      </c>
      <c r="C11" s="690"/>
      <c r="D11" s="690"/>
      <c r="E11" s="690"/>
      <c r="F11" s="690"/>
      <c r="G11" s="690"/>
      <c r="H11" s="690"/>
      <c r="I11" s="690"/>
      <c r="J11" s="690"/>
    </row>
    <row r="12" spans="1:10" x14ac:dyDescent="0.2">
      <c r="A12" s="114">
        <v>4</v>
      </c>
      <c r="B12" s="115" t="s">
        <v>920</v>
      </c>
      <c r="C12" s="690"/>
      <c r="D12" s="690"/>
      <c r="E12" s="690"/>
      <c r="F12" s="690"/>
      <c r="G12" s="690"/>
      <c r="H12" s="690"/>
      <c r="I12" s="690"/>
      <c r="J12" s="690"/>
    </row>
    <row r="13" spans="1:10" x14ac:dyDescent="0.2">
      <c r="A13" s="114">
        <v>5</v>
      </c>
      <c r="B13" s="115" t="s">
        <v>921</v>
      </c>
      <c r="C13" s="690"/>
      <c r="D13" s="690"/>
      <c r="E13" s="690"/>
      <c r="F13" s="690"/>
      <c r="G13" s="690"/>
      <c r="H13" s="690"/>
      <c r="I13" s="690"/>
      <c r="J13" s="690"/>
    </row>
    <row r="14" spans="1:10" x14ac:dyDescent="0.2">
      <c r="A14" s="114">
        <v>6</v>
      </c>
      <c r="B14" s="115" t="s">
        <v>922</v>
      </c>
      <c r="C14" s="690"/>
      <c r="D14" s="690"/>
      <c r="E14" s="690"/>
      <c r="F14" s="690"/>
      <c r="G14" s="690"/>
      <c r="H14" s="690"/>
      <c r="I14" s="690"/>
      <c r="J14" s="690"/>
    </row>
    <row r="15" spans="1:10" x14ac:dyDescent="0.2">
      <c r="A15" s="114">
        <v>7</v>
      </c>
      <c r="B15" s="115" t="s">
        <v>923</v>
      </c>
      <c r="C15" s="690"/>
      <c r="D15" s="690"/>
      <c r="E15" s="690"/>
      <c r="F15" s="690"/>
      <c r="G15" s="690"/>
      <c r="H15" s="690"/>
      <c r="I15" s="690"/>
      <c r="J15" s="690"/>
    </row>
    <row r="16" spans="1:10" x14ac:dyDescent="0.2">
      <c r="A16" s="114">
        <v>8</v>
      </c>
      <c r="B16" s="115" t="s">
        <v>924</v>
      </c>
      <c r="C16" s="690"/>
      <c r="D16" s="690"/>
      <c r="E16" s="690"/>
      <c r="F16" s="690"/>
      <c r="G16" s="690"/>
      <c r="H16" s="690"/>
      <c r="I16" s="690"/>
      <c r="J16" s="690"/>
    </row>
    <row r="17" spans="1:10" x14ac:dyDescent="0.2">
      <c r="A17" s="114">
        <v>9</v>
      </c>
      <c r="B17" s="115" t="s">
        <v>925</v>
      </c>
      <c r="C17" s="690"/>
      <c r="D17" s="690"/>
      <c r="E17" s="690"/>
      <c r="F17" s="690"/>
      <c r="G17" s="690"/>
      <c r="H17" s="690"/>
      <c r="I17" s="690"/>
      <c r="J17" s="690"/>
    </row>
    <row r="18" spans="1:10" ht="13.5" customHeight="1" x14ac:dyDescent="0.2">
      <c r="A18" s="116">
        <v>10</v>
      </c>
      <c r="B18" s="117" t="s">
        <v>926</v>
      </c>
      <c r="C18" s="690"/>
      <c r="D18" s="690"/>
      <c r="E18" s="690"/>
      <c r="F18" s="690"/>
      <c r="G18" s="690"/>
      <c r="H18" s="690"/>
      <c r="I18" s="690"/>
      <c r="J18" s="690"/>
    </row>
    <row r="19" spans="1:10" ht="11.25" customHeight="1" x14ac:dyDescent="0.2">
      <c r="A19" s="118"/>
      <c r="B19" s="119" t="s">
        <v>829</v>
      </c>
      <c r="C19" s="710">
        <f>SUM(C9:C18)</f>
        <v>0</v>
      </c>
      <c r="D19" s="710">
        <f t="shared" ref="D19:I19" si="0">SUM(D9:D18)</f>
        <v>0</v>
      </c>
      <c r="E19" s="710">
        <f t="shared" si="0"/>
        <v>0</v>
      </c>
      <c r="F19" s="710">
        <f t="shared" si="0"/>
        <v>0</v>
      </c>
      <c r="G19" s="710">
        <f t="shared" si="0"/>
        <v>0</v>
      </c>
      <c r="H19" s="710">
        <f t="shared" si="0"/>
        <v>0</v>
      </c>
      <c r="I19" s="710">
        <f t="shared" si="0"/>
        <v>0</v>
      </c>
      <c r="J19" s="710"/>
    </row>
    <row r="20" spans="1:10" s="121" customFormat="1" ht="9" x14ac:dyDescent="0.15">
      <c r="A20" s="120" t="s">
        <v>927</v>
      </c>
      <c r="B20" s="121" t="s">
        <v>928</v>
      </c>
    </row>
    <row r="21" spans="1:10" s="121" customFormat="1" ht="9" x14ac:dyDescent="0.15">
      <c r="A21" s="120" t="s">
        <v>929</v>
      </c>
      <c r="B21" s="121" t="s">
        <v>930</v>
      </c>
    </row>
    <row r="22" spans="1:10" s="121" customFormat="1" ht="9" x14ac:dyDescent="0.15">
      <c r="A22" s="122"/>
    </row>
  </sheetData>
  <phoneticPr fontId="0" type="noConversion"/>
  <pageMargins left="0.78740157499999996" right="0.78740157499999996" top="0.984251969" bottom="0.984251969" header="0.4921259845" footer="0.4921259845"/>
  <pageSetup paperSize="9" scale="119" orientation="landscape" horizontalDpi="300" verticalDpi="300" r:id="rId1"/>
  <headerFooter alignWithMargins="0">
    <oddHeader>&amp;L&amp;"Times New Roman,Gras italique"&amp;12Sté :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8">
    <tabColor rgb="FFFF0000"/>
  </sheetPr>
  <dimension ref="A1:N34"/>
  <sheetViews>
    <sheetView zoomScale="80" zoomScaleNormal="80" workbookViewId="0"/>
  </sheetViews>
  <sheetFormatPr baseColWidth="10" defaultColWidth="12" defaultRowHeight="12.75" x14ac:dyDescent="0.2"/>
  <cols>
    <col min="1" max="1" width="15.6640625" style="2" bestFit="1" customWidth="1"/>
    <col min="2" max="2" width="18.83203125" style="2" customWidth="1"/>
    <col min="3" max="3" width="12.33203125" style="2" customWidth="1"/>
    <col min="4" max="4" width="16" style="2" bestFit="1" customWidth="1"/>
    <col min="5" max="5" width="10.6640625" style="2" customWidth="1"/>
    <col min="6" max="6" width="9.33203125" style="2" customWidth="1"/>
    <col min="7" max="7" width="10.1640625" style="2" customWidth="1"/>
    <col min="8" max="8" width="15" style="2" bestFit="1" customWidth="1"/>
    <col min="9" max="9" width="14.6640625" style="2" customWidth="1"/>
    <col min="10" max="10" width="10.6640625" style="2" customWidth="1"/>
    <col min="11" max="11" width="13.1640625" style="2" customWidth="1"/>
    <col min="12" max="12" width="14.83203125" style="2" bestFit="1" customWidth="1"/>
    <col min="13" max="16384" width="12" style="2"/>
  </cols>
  <sheetData>
    <row r="1" spans="1:14" ht="13.5" x14ac:dyDescent="0.25">
      <c r="A1" s="608" t="s">
        <v>640</v>
      </c>
    </row>
    <row r="4" spans="1:14" s="504" customFormat="1" ht="18" x14ac:dyDescent="0.25">
      <c r="A4" s="502" t="s">
        <v>641</v>
      </c>
      <c r="B4" s="502"/>
      <c r="C4" s="502"/>
      <c r="D4" s="502"/>
      <c r="E4" s="502"/>
      <c r="F4" s="502"/>
      <c r="G4" s="502"/>
      <c r="H4" s="502"/>
      <c r="I4" s="502"/>
      <c r="J4" s="502"/>
      <c r="K4" s="503"/>
      <c r="L4" s="503"/>
      <c r="M4" s="503"/>
      <c r="N4" s="503"/>
    </row>
    <row r="5" spans="1:14" s="506" customFormat="1" ht="18" x14ac:dyDescent="0.25">
      <c r="A5" s="505" t="s">
        <v>642</v>
      </c>
      <c r="B5" s="505"/>
      <c r="C5" s="505"/>
      <c r="D5" s="505"/>
      <c r="E5" s="505"/>
      <c r="F5" s="505"/>
      <c r="G5" s="505"/>
      <c r="H5" s="505"/>
      <c r="I5" s="505"/>
      <c r="J5" s="505"/>
      <c r="K5" s="505"/>
      <c r="L5" s="505"/>
      <c r="M5" s="505"/>
      <c r="N5" s="505"/>
    </row>
    <row r="7" spans="1:14" x14ac:dyDescent="0.2">
      <c r="J7" s="12" t="str">
        <f>'T14 C2-affec resu'!C6</f>
        <v>Exercice clos le :</v>
      </c>
      <c r="K7" s="12"/>
      <c r="L7" s="284" t="str">
        <f>'T5 ESG'!$G$3</f>
        <v>31/12/2015</v>
      </c>
      <c r="M7" s="507"/>
    </row>
    <row r="8" spans="1:14" x14ac:dyDescent="0.2">
      <c r="A8" s="508" t="s">
        <v>643</v>
      </c>
      <c r="B8" s="508" t="s">
        <v>877</v>
      </c>
      <c r="C8" s="508" t="s">
        <v>644</v>
      </c>
      <c r="D8" s="508" t="s">
        <v>645</v>
      </c>
      <c r="E8" s="508" t="s">
        <v>646</v>
      </c>
      <c r="F8" s="508" t="s">
        <v>647</v>
      </c>
      <c r="G8" s="508" t="s">
        <v>648</v>
      </c>
      <c r="H8" s="508" t="s">
        <v>649</v>
      </c>
      <c r="I8" s="509" t="s">
        <v>650</v>
      </c>
      <c r="J8" s="510"/>
      <c r="K8" s="509" t="s">
        <v>651</v>
      </c>
      <c r="L8" s="511"/>
      <c r="M8" s="512"/>
    </row>
    <row r="9" spans="1:14" x14ac:dyDescent="0.2">
      <c r="A9" s="513" t="s">
        <v>652</v>
      </c>
      <c r="B9" s="513"/>
      <c r="C9" s="513" t="s">
        <v>653</v>
      </c>
      <c r="D9" s="513" t="s">
        <v>654</v>
      </c>
      <c r="E9" s="513" t="s">
        <v>655</v>
      </c>
      <c r="F9" s="513" t="s">
        <v>654</v>
      </c>
      <c r="G9" s="513" t="s">
        <v>656</v>
      </c>
      <c r="H9" s="513" t="s">
        <v>657</v>
      </c>
      <c r="I9" s="514" t="s">
        <v>658</v>
      </c>
      <c r="J9" s="515"/>
      <c r="K9" s="514" t="s">
        <v>659</v>
      </c>
      <c r="L9" s="355"/>
      <c r="M9" s="513" t="s">
        <v>744</v>
      </c>
    </row>
    <row r="10" spans="1:14" x14ac:dyDescent="0.2">
      <c r="A10" s="513" t="s">
        <v>887</v>
      </c>
      <c r="B10" s="513"/>
      <c r="C10" s="513" t="s">
        <v>660</v>
      </c>
      <c r="D10" s="513"/>
      <c r="E10" s="513"/>
      <c r="F10" s="513" t="s">
        <v>661</v>
      </c>
      <c r="G10" s="513"/>
      <c r="H10" s="513" t="s">
        <v>662</v>
      </c>
      <c r="I10" s="516" t="s">
        <v>663</v>
      </c>
      <c r="J10" s="517"/>
      <c r="K10" s="516"/>
      <c r="L10" s="278"/>
      <c r="M10" s="356"/>
    </row>
    <row r="11" spans="1:14" x14ac:dyDescent="0.2">
      <c r="A11" s="518"/>
      <c r="B11" s="518"/>
      <c r="C11" s="518"/>
      <c r="D11" s="518"/>
      <c r="E11" s="518"/>
      <c r="F11" s="518"/>
      <c r="G11" s="518"/>
      <c r="H11" s="500"/>
      <c r="I11" s="524" t="s">
        <v>664</v>
      </c>
      <c r="J11" s="524" t="s">
        <v>665</v>
      </c>
      <c r="K11" s="524" t="s">
        <v>664</v>
      </c>
      <c r="L11" s="524" t="s">
        <v>665</v>
      </c>
      <c r="M11" s="519"/>
    </row>
    <row r="12" spans="1:14" x14ac:dyDescent="0.2">
      <c r="A12" s="520"/>
      <c r="B12" s="984"/>
      <c r="C12" s="984"/>
      <c r="D12" s="985"/>
      <c r="E12" s="985"/>
      <c r="F12" s="985"/>
      <c r="G12" s="985"/>
      <c r="H12" s="985"/>
      <c r="I12" s="985"/>
      <c r="J12" s="985"/>
      <c r="K12" s="985"/>
      <c r="L12" s="986"/>
      <c r="M12" s="986"/>
    </row>
    <row r="13" spans="1:14" ht="24" customHeight="1" x14ac:dyDescent="0.2">
      <c r="A13" s="521" t="s">
        <v>666</v>
      </c>
      <c r="B13" s="987"/>
      <c r="C13" s="987"/>
      <c r="D13" s="988"/>
      <c r="E13" s="988"/>
      <c r="F13" s="988"/>
      <c r="G13" s="988"/>
      <c r="H13" s="988"/>
      <c r="I13" s="988"/>
      <c r="J13" s="988"/>
      <c r="K13" s="988"/>
      <c r="L13" s="989"/>
      <c r="M13" s="989"/>
    </row>
    <row r="14" spans="1:14" ht="24" customHeight="1" x14ac:dyDescent="0.2">
      <c r="A14" s="521"/>
      <c r="B14" s="691"/>
      <c r="C14" s="694"/>
      <c r="D14" s="757"/>
      <c r="E14" s="753"/>
      <c r="F14" s="692"/>
      <c r="G14" s="755"/>
      <c r="H14" s="757"/>
      <c r="I14" s="696"/>
      <c r="J14" s="695"/>
      <c r="K14" s="695"/>
      <c r="L14" s="697"/>
      <c r="M14" s="693"/>
    </row>
    <row r="15" spans="1:14" ht="24" customHeight="1" x14ac:dyDescent="0.2">
      <c r="A15" s="521"/>
      <c r="B15" s="754"/>
      <c r="C15" s="691"/>
      <c r="D15" s="692"/>
      <c r="E15" s="692"/>
      <c r="F15" s="692"/>
      <c r="G15" s="692"/>
      <c r="H15" s="692"/>
      <c r="I15" s="692"/>
      <c r="J15" s="692"/>
      <c r="K15" s="692"/>
      <c r="L15" s="693"/>
      <c r="M15" s="693"/>
    </row>
    <row r="16" spans="1:14" ht="24" customHeight="1" x14ac:dyDescent="0.2">
      <c r="A16" s="521"/>
      <c r="B16" s="691"/>
      <c r="C16" s="691"/>
      <c r="D16" s="692"/>
      <c r="E16" s="692"/>
      <c r="F16" s="692"/>
      <c r="G16" s="692"/>
      <c r="H16" s="692"/>
      <c r="I16" s="692"/>
      <c r="J16" s="692"/>
      <c r="K16" s="692"/>
      <c r="L16" s="693"/>
      <c r="M16" s="693"/>
    </row>
    <row r="17" spans="1:13" ht="24" customHeight="1" x14ac:dyDescent="0.2">
      <c r="A17" s="521"/>
      <c r="B17" s="691"/>
      <c r="C17" s="691"/>
      <c r="D17" s="692"/>
      <c r="E17" s="692"/>
      <c r="F17" s="692"/>
      <c r="G17" s="692"/>
      <c r="H17" s="692"/>
      <c r="I17" s="692"/>
      <c r="J17" s="692"/>
      <c r="K17" s="692"/>
      <c r="L17" s="693"/>
      <c r="M17" s="693"/>
    </row>
    <row r="18" spans="1:13" ht="24" customHeight="1" x14ac:dyDescent="0.2">
      <c r="A18" s="521" t="s">
        <v>667</v>
      </c>
      <c r="B18" s="987"/>
      <c r="C18" s="987"/>
      <c r="D18" s="988"/>
      <c r="E18" s="988"/>
      <c r="F18" s="988"/>
      <c r="G18" s="988"/>
      <c r="H18" s="988"/>
      <c r="I18" s="988"/>
      <c r="J18" s="988"/>
      <c r="K18" s="988"/>
      <c r="L18" s="989"/>
      <c r="M18" s="989"/>
    </row>
    <row r="19" spans="1:13" ht="24" customHeight="1" x14ac:dyDescent="0.2">
      <c r="A19" s="521"/>
      <c r="B19" s="691"/>
      <c r="C19" s="691"/>
      <c r="D19" s="692"/>
      <c r="E19" s="692"/>
      <c r="F19" s="692"/>
      <c r="G19" s="692"/>
      <c r="H19" s="692"/>
      <c r="I19" s="692"/>
      <c r="J19" s="692"/>
      <c r="K19" s="692"/>
      <c r="L19" s="693"/>
      <c r="M19" s="693"/>
    </row>
    <row r="20" spans="1:13" ht="24" customHeight="1" x14ac:dyDescent="0.2">
      <c r="A20" s="521"/>
      <c r="B20" s="691"/>
      <c r="C20" s="691"/>
      <c r="D20" s="692"/>
      <c r="E20" s="692"/>
      <c r="F20" s="692"/>
      <c r="G20" s="692"/>
      <c r="H20" s="692"/>
      <c r="I20" s="692"/>
      <c r="J20" s="692"/>
      <c r="K20" s="692"/>
      <c r="L20" s="693"/>
      <c r="M20" s="693"/>
    </row>
    <row r="21" spans="1:13" ht="24" customHeight="1" x14ac:dyDescent="0.2">
      <c r="A21" s="521"/>
      <c r="B21" s="691"/>
      <c r="C21" s="691"/>
      <c r="D21" s="692"/>
      <c r="E21" s="692"/>
      <c r="F21" s="692"/>
      <c r="G21" s="692"/>
      <c r="H21" s="692"/>
      <c r="I21" s="692"/>
      <c r="J21" s="692"/>
      <c r="K21" s="692"/>
      <c r="L21" s="693"/>
      <c r="M21" s="693"/>
    </row>
    <row r="22" spans="1:13" ht="24" customHeight="1" x14ac:dyDescent="0.2">
      <c r="A22" s="521"/>
      <c r="B22" s="691"/>
      <c r="C22" s="692"/>
      <c r="D22" s="692"/>
      <c r="E22" s="692"/>
      <c r="F22" s="692"/>
      <c r="G22" s="692"/>
      <c r="H22" s="692"/>
      <c r="I22" s="692"/>
      <c r="J22" s="692"/>
      <c r="K22" s="692"/>
      <c r="L22" s="693"/>
      <c r="M22" s="693"/>
    </row>
    <row r="23" spans="1:13" ht="24" customHeight="1" x14ac:dyDescent="0.2">
      <c r="A23" s="522" t="s">
        <v>829</v>
      </c>
      <c r="B23" s="520"/>
      <c r="C23" s="711"/>
      <c r="D23" s="525">
        <f>SUM(D13:D21)</f>
        <v>0</v>
      </c>
      <c r="E23" s="711"/>
      <c r="F23" s="711"/>
      <c r="G23" s="711"/>
      <c r="H23" s="525">
        <f>SUM(H13:H21)</f>
        <v>0</v>
      </c>
      <c r="I23" s="525">
        <f>SUM(I13:I21)</f>
        <v>0</v>
      </c>
      <c r="J23" s="525">
        <f>SUM(J13:J21)</f>
        <v>0</v>
      </c>
      <c r="K23" s="525">
        <f>SUM(K13:K21)</f>
        <v>0</v>
      </c>
      <c r="L23" s="525">
        <f>SUM(L13:L21)</f>
        <v>0</v>
      </c>
      <c r="M23" s="511"/>
    </row>
    <row r="24" spans="1:13" x14ac:dyDescent="0.2">
      <c r="A24" s="500"/>
      <c r="B24" s="500"/>
      <c r="C24" s="517"/>
      <c r="D24" s="517"/>
      <c r="E24" s="517"/>
      <c r="F24" s="517"/>
      <c r="G24" s="517"/>
      <c r="H24" s="517"/>
      <c r="I24" s="517"/>
      <c r="J24" s="517"/>
      <c r="K24" s="517"/>
      <c r="L24" s="278"/>
      <c r="M24" s="278"/>
    </row>
    <row r="25" spans="1:13" x14ac:dyDescent="0.2">
      <c r="A25" s="523"/>
      <c r="B25" s="523"/>
      <c r="C25" s="523"/>
      <c r="D25" s="523"/>
      <c r="E25" s="523"/>
      <c r="F25" s="523"/>
      <c r="G25" s="523"/>
      <c r="H25" s="523"/>
      <c r="I25" s="523"/>
      <c r="J25" s="523"/>
      <c r="K25" s="523"/>
    </row>
    <row r="26" spans="1:13" x14ac:dyDescent="0.2">
      <c r="A26" s="523"/>
      <c r="B26" s="523"/>
      <c r="C26" s="523"/>
      <c r="D26" s="523"/>
      <c r="E26" s="523"/>
      <c r="F26" s="523"/>
      <c r="G26" s="523"/>
      <c r="H26" s="523"/>
      <c r="I26" s="523"/>
      <c r="J26" s="523"/>
      <c r="K26" s="523"/>
    </row>
    <row r="27" spans="1:13" x14ac:dyDescent="0.2">
      <c r="A27" s="523"/>
      <c r="B27" s="523"/>
      <c r="C27" s="523"/>
      <c r="D27" s="523"/>
      <c r="E27" s="523"/>
      <c r="F27" s="523"/>
      <c r="G27" s="523"/>
      <c r="H27" s="523"/>
      <c r="I27" s="523"/>
      <c r="J27" s="523"/>
      <c r="K27" s="523"/>
    </row>
    <row r="28" spans="1:13" x14ac:dyDescent="0.2">
      <c r="A28" s="523"/>
      <c r="B28" s="523"/>
      <c r="C28" s="523"/>
      <c r="D28" s="523"/>
      <c r="E28" s="523"/>
      <c r="F28" s="523"/>
      <c r="G28" s="523"/>
      <c r="H28" s="523"/>
      <c r="I28" s="523"/>
      <c r="J28" s="523"/>
      <c r="K28" s="523"/>
    </row>
    <row r="29" spans="1:13" x14ac:dyDescent="0.2">
      <c r="A29" s="523"/>
      <c r="B29" s="523"/>
      <c r="C29" s="523"/>
      <c r="D29" s="523"/>
      <c r="E29" s="523"/>
      <c r="F29" s="523"/>
      <c r="G29" s="523"/>
      <c r="H29" s="523"/>
      <c r="I29" s="523"/>
      <c r="J29" s="523"/>
      <c r="K29" s="523"/>
    </row>
    <row r="30" spans="1:13" x14ac:dyDescent="0.2">
      <c r="A30" s="523"/>
      <c r="B30" s="523"/>
      <c r="C30" s="523"/>
      <c r="D30" s="523"/>
      <c r="E30" s="523"/>
      <c r="F30" s="523"/>
      <c r="G30" s="523"/>
      <c r="H30" s="523"/>
      <c r="I30" s="523"/>
      <c r="J30" s="523"/>
      <c r="K30" s="523"/>
    </row>
    <row r="31" spans="1:13" x14ac:dyDescent="0.2">
      <c r="A31" s="523"/>
      <c r="B31" s="523"/>
      <c r="C31" s="523"/>
      <c r="D31" s="523"/>
      <c r="E31" s="523"/>
      <c r="F31" s="523"/>
      <c r="G31" s="523"/>
      <c r="H31" s="523"/>
      <c r="I31" s="523"/>
      <c r="J31" s="523"/>
      <c r="K31" s="523"/>
    </row>
    <row r="32" spans="1:13" x14ac:dyDescent="0.2">
      <c r="A32" s="523"/>
      <c r="B32" s="523"/>
      <c r="C32" s="523"/>
      <c r="D32" s="523"/>
      <c r="E32" s="523"/>
      <c r="F32" s="523"/>
      <c r="G32" s="523"/>
      <c r="H32" s="523"/>
      <c r="I32" s="523"/>
      <c r="J32" s="523"/>
      <c r="K32" s="523"/>
    </row>
    <row r="33" spans="1:11" x14ac:dyDescent="0.2">
      <c r="A33" s="523"/>
      <c r="B33" s="523"/>
      <c r="C33" s="523"/>
      <c r="D33" s="523"/>
      <c r="E33" s="523"/>
      <c r="F33" s="523"/>
      <c r="G33" s="523"/>
      <c r="H33" s="523"/>
      <c r="I33" s="523"/>
      <c r="J33" s="523"/>
      <c r="K33" s="523"/>
    </row>
    <row r="34" spans="1:11" x14ac:dyDescent="0.2">
      <c r="A34" s="523"/>
      <c r="B34" s="523"/>
      <c r="C34" s="523"/>
      <c r="D34" s="523"/>
      <c r="E34" s="523"/>
      <c r="F34" s="523"/>
      <c r="G34" s="523"/>
      <c r="H34" s="523"/>
      <c r="I34" s="523"/>
      <c r="J34" s="523"/>
      <c r="K34" s="523"/>
    </row>
  </sheetData>
  <phoneticPr fontId="0" type="noConversion"/>
  <pageMargins left="0.78740157499999996" right="0.78740157499999996" top="0.984251969" bottom="0.984251969" header="0.4921259845" footer="0.4921259845"/>
  <pageSetup paperSize="9" scale="83" orientation="landscape" horizontalDpi="300" verticalDpi="300" r:id="rId1"/>
  <headerFooter alignWithMargins="0">
    <oddHeader>&amp;L&amp;"Times New Roman,Gras italique"&amp;12Sté : ...............................</oddHeader>
  </headerFooter>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rgb="FFFF0000"/>
  </sheetPr>
  <dimension ref="A1:N55"/>
  <sheetViews>
    <sheetView workbookViewId="0">
      <selection activeCell="F23" sqref="F23:M23"/>
    </sheetView>
  </sheetViews>
  <sheetFormatPr baseColWidth="10" defaultColWidth="12" defaultRowHeight="12.75" x14ac:dyDescent="0.2"/>
  <cols>
    <col min="1" max="1" width="17.6640625" style="2" customWidth="1"/>
    <col min="2" max="2" width="14.6640625" style="2" customWidth="1"/>
    <col min="3" max="3" width="18" style="2" bestFit="1" customWidth="1"/>
    <col min="4" max="4" width="12" style="2"/>
    <col min="5" max="5" width="18" style="2" bestFit="1" customWidth="1"/>
    <col min="6" max="13" width="3.1640625" style="2" customWidth="1"/>
    <col min="14" max="16384" width="12" style="2"/>
  </cols>
  <sheetData>
    <row r="1" spans="1:14" x14ac:dyDescent="0.2">
      <c r="L1" s="501"/>
    </row>
    <row r="4" spans="1:14" ht="27" x14ac:dyDescent="0.5">
      <c r="A4" s="609"/>
      <c r="B4" s="610"/>
      <c r="C4" s="610"/>
      <c r="D4" s="610"/>
      <c r="E4" s="610"/>
      <c r="F4" s="610"/>
      <c r="G4" s="610"/>
      <c r="H4" s="610"/>
      <c r="I4" s="610"/>
      <c r="J4" s="610"/>
      <c r="K4" s="609"/>
      <c r="L4" s="609"/>
      <c r="M4" s="609"/>
      <c r="N4" s="609"/>
    </row>
    <row r="5" spans="1:14" ht="27" x14ac:dyDescent="0.5">
      <c r="A5" s="609"/>
      <c r="B5" s="610"/>
      <c r="C5" s="610"/>
      <c r="D5" s="610"/>
      <c r="E5" s="610"/>
      <c r="F5" s="610"/>
      <c r="G5" s="610"/>
      <c r="H5" s="610"/>
      <c r="I5" s="610"/>
      <c r="J5" s="610"/>
      <c r="K5" s="609"/>
      <c r="L5" s="609"/>
      <c r="M5" s="609"/>
      <c r="N5" s="609"/>
    </row>
    <row r="6" spans="1:14" x14ac:dyDescent="0.2">
      <c r="A6" s="605"/>
      <c r="B6" s="605"/>
      <c r="C6" s="605"/>
      <c r="D6" s="605"/>
      <c r="E6" s="605"/>
      <c r="F6" s="605"/>
      <c r="G6" s="605"/>
      <c r="H6" s="605"/>
      <c r="I6" s="605"/>
      <c r="J6" s="605"/>
      <c r="K6" s="605"/>
      <c r="L6" s="605"/>
      <c r="M6" s="605"/>
      <c r="N6" s="605"/>
    </row>
    <row r="7" spans="1:14" ht="30" x14ac:dyDescent="0.4">
      <c r="A7" s="611"/>
      <c r="B7" s="611" t="s">
        <v>2648</v>
      </c>
      <c r="C7" s="611"/>
      <c r="D7" s="611"/>
      <c r="E7" s="611"/>
      <c r="F7" s="611"/>
      <c r="G7" s="611"/>
      <c r="H7" s="611"/>
      <c r="I7" s="611"/>
      <c r="J7" s="611"/>
      <c r="K7" s="611"/>
      <c r="L7" s="611"/>
      <c r="M7" s="611"/>
      <c r="N7" s="605"/>
    </row>
    <row r="8" spans="1:14" x14ac:dyDescent="0.2">
      <c r="A8" s="605"/>
      <c r="B8" s="605"/>
      <c r="C8" s="605"/>
      <c r="D8" s="605"/>
      <c r="E8" s="605"/>
      <c r="F8" s="605"/>
      <c r="G8" s="605"/>
      <c r="H8" s="605"/>
      <c r="I8" s="605"/>
      <c r="J8" s="605"/>
      <c r="K8" s="605"/>
      <c r="L8" s="605"/>
      <c r="M8" s="605"/>
    </row>
    <row r="9" spans="1:14" ht="20.25" x14ac:dyDescent="0.3">
      <c r="A9" s="612"/>
      <c r="B9" s="605"/>
      <c r="C9" s="605"/>
      <c r="D9" s="605"/>
      <c r="E9" s="605"/>
      <c r="F9" s="605"/>
      <c r="G9" s="605"/>
      <c r="H9" s="605"/>
      <c r="I9" s="605"/>
      <c r="J9" s="605"/>
      <c r="K9" s="605"/>
      <c r="L9" s="605"/>
      <c r="M9" s="605"/>
      <c r="N9" s="605"/>
    </row>
    <row r="10" spans="1:14" x14ac:dyDescent="0.2">
      <c r="A10" s="605"/>
      <c r="B10" s="605"/>
      <c r="C10" s="605"/>
      <c r="D10" s="605"/>
      <c r="E10" s="605"/>
      <c r="F10" s="605"/>
      <c r="G10" s="605"/>
      <c r="H10" s="605"/>
      <c r="I10" s="605"/>
      <c r="J10" s="605"/>
      <c r="K10" s="605"/>
      <c r="L10" s="605"/>
      <c r="M10" s="605"/>
      <c r="N10" s="605"/>
    </row>
    <row r="11" spans="1:14" x14ac:dyDescent="0.2">
      <c r="A11" s="605"/>
      <c r="B11" s="605"/>
      <c r="C11" s="605"/>
      <c r="D11" s="605"/>
      <c r="E11" s="605"/>
      <c r="F11" s="605"/>
      <c r="G11" s="605"/>
      <c r="H11" s="605"/>
      <c r="I11" s="605"/>
      <c r="J11" s="605"/>
      <c r="K11" s="605"/>
      <c r="L11" s="605"/>
      <c r="M11" s="605"/>
      <c r="N11" s="605"/>
    </row>
    <row r="12" spans="1:14" x14ac:dyDescent="0.2">
      <c r="A12" s="605"/>
      <c r="B12" s="605"/>
      <c r="C12" s="605"/>
      <c r="D12" s="605"/>
      <c r="E12" s="605"/>
      <c r="F12" s="605"/>
      <c r="G12" s="605"/>
      <c r="H12" s="605"/>
      <c r="I12" s="605"/>
      <c r="J12" s="605"/>
      <c r="K12" s="605"/>
      <c r="L12" s="605"/>
      <c r="M12" s="605"/>
      <c r="N12" s="605"/>
    </row>
    <row r="13" spans="1:14" ht="18" x14ac:dyDescent="0.25">
      <c r="A13" s="1152" t="s">
        <v>467</v>
      </c>
      <c r="B13" s="1152"/>
      <c r="C13" s="1152"/>
      <c r="D13" s="1152"/>
      <c r="E13" s="1152"/>
      <c r="F13" s="1152"/>
      <c r="G13" s="1152"/>
      <c r="H13" s="1152"/>
      <c r="I13" s="1152"/>
      <c r="J13" s="1152"/>
      <c r="K13" s="1152"/>
      <c r="L13" s="1152"/>
      <c r="M13" s="1152"/>
      <c r="N13" s="1152"/>
    </row>
    <row r="15" spans="1:14" ht="19.5" x14ac:dyDescent="0.35">
      <c r="B15" s="749" t="s">
        <v>468</v>
      </c>
      <c r="C15" s="994" t="str">
        <f>Identification!C11</f>
        <v>01/01/2015</v>
      </c>
      <c r="D15" s="750" t="s">
        <v>469</v>
      </c>
      <c r="E15" s="994" t="str">
        <f>Identification!E11</f>
        <v>31/12/2015</v>
      </c>
      <c r="F15" s="608"/>
    </row>
    <row r="21" spans="1:13" ht="19.5" x14ac:dyDescent="0.4">
      <c r="A21" s="613" t="s">
        <v>455</v>
      </c>
      <c r="C21" s="614" t="str">
        <f>Identification!B7</f>
        <v>ADEP</v>
      </c>
      <c r="D21" s="501"/>
      <c r="E21" s="501"/>
    </row>
    <row r="22" spans="1:13" ht="19.5" x14ac:dyDescent="0.4">
      <c r="C22" s="614"/>
    </row>
    <row r="23" spans="1:13" ht="15.75" x14ac:dyDescent="0.25">
      <c r="A23" s="613" t="s">
        <v>456</v>
      </c>
      <c r="F23" s="1153">
        <f>+Couverture!F23</f>
        <v>1087240</v>
      </c>
      <c r="G23" s="1154"/>
      <c r="H23" s="1154"/>
      <c r="I23" s="1154"/>
      <c r="J23" s="1154"/>
      <c r="K23" s="1154"/>
      <c r="L23" s="1154"/>
      <c r="M23" s="1155"/>
    </row>
    <row r="24" spans="1:13" ht="15.75" x14ac:dyDescent="0.25">
      <c r="A24" s="613"/>
    </row>
    <row r="25" spans="1:13" ht="15.75" x14ac:dyDescent="0.25">
      <c r="A25" s="613"/>
    </row>
    <row r="26" spans="1:13" ht="15.75" x14ac:dyDescent="0.25">
      <c r="A26" s="613"/>
    </row>
    <row r="27" spans="1:13" ht="15.75" x14ac:dyDescent="0.25">
      <c r="A27" s="613" t="s">
        <v>457</v>
      </c>
      <c r="C27" s="501" t="str">
        <f>Identification!B9</f>
        <v>Sidi Bernoussi</v>
      </c>
    </row>
    <row r="28" spans="1:13" x14ac:dyDescent="0.2">
      <c r="A28" s="2" t="s">
        <v>458</v>
      </c>
    </row>
    <row r="31" spans="1:13" x14ac:dyDescent="0.2">
      <c r="A31" s="2" t="s">
        <v>459</v>
      </c>
      <c r="B31" s="717"/>
      <c r="C31" s="2">
        <f>Identification!C17</f>
        <v>0</v>
      </c>
    </row>
    <row r="32" spans="1:13" x14ac:dyDescent="0.2">
      <c r="A32" s="997" t="s">
        <v>2649</v>
      </c>
      <c r="B32" s="718"/>
      <c r="C32" s="2">
        <f>Identification!C15</f>
        <v>0</v>
      </c>
    </row>
    <row r="36" spans="1:14" x14ac:dyDescent="0.2">
      <c r="E36" s="2" t="s">
        <v>296</v>
      </c>
      <c r="H36" s="615"/>
      <c r="I36" s="615"/>
      <c r="J36" s="615"/>
    </row>
    <row r="38" spans="1:14" x14ac:dyDescent="0.2">
      <c r="E38" s="2" t="s">
        <v>460</v>
      </c>
    </row>
    <row r="44" spans="1:14" x14ac:dyDescent="0.2">
      <c r="A44" s="616" t="s">
        <v>461</v>
      </c>
      <c r="B44" s="616"/>
      <c r="C44" s="616"/>
      <c r="D44" s="616"/>
      <c r="E44" s="616"/>
      <c r="F44" s="616"/>
      <c r="G44" s="616"/>
      <c r="H44" s="616"/>
      <c r="I44" s="616"/>
      <c r="J44" s="616"/>
      <c r="K44" s="616"/>
      <c r="L44" s="616"/>
      <c r="M44" s="616"/>
      <c r="N44" s="616"/>
    </row>
    <row r="46" spans="1:14" x14ac:dyDescent="0.2">
      <c r="A46" s="2" t="s">
        <v>462</v>
      </c>
    </row>
    <row r="48" spans="1:14" x14ac:dyDescent="0.2">
      <c r="A48" s="2" t="s">
        <v>463</v>
      </c>
    </row>
    <row r="49" spans="1:5" x14ac:dyDescent="0.2">
      <c r="A49" s="2" t="s">
        <v>250</v>
      </c>
      <c r="E49" s="2" t="s">
        <v>464</v>
      </c>
    </row>
    <row r="54" spans="1:5" s="618" customFormat="1" ht="12" x14ac:dyDescent="0.2">
      <c r="A54" s="617" t="s">
        <v>465</v>
      </c>
    </row>
    <row r="55" spans="1:5" s="618" customFormat="1" ht="12" x14ac:dyDescent="0.2">
      <c r="A55" s="618" t="s">
        <v>466</v>
      </c>
    </row>
  </sheetData>
  <mergeCells count="2">
    <mergeCell ref="A13:N13"/>
    <mergeCell ref="F23:M23"/>
  </mergeCells>
  <phoneticPr fontId="0" type="noConversion"/>
  <pageMargins left="0.78740157499999996" right="0.78740157499999996" top="0.984251969" bottom="0.984251969" header="0.4921259845" footer="0.4921259845"/>
  <pageSetup paperSize="9" scale="8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9">
    <tabColor rgb="FFFF0000"/>
  </sheetPr>
  <dimension ref="A1:N25"/>
  <sheetViews>
    <sheetView workbookViewId="0">
      <selection activeCell="D21" sqref="D21"/>
    </sheetView>
  </sheetViews>
  <sheetFormatPr baseColWidth="10" defaultColWidth="12" defaultRowHeight="12.75" x14ac:dyDescent="0.2"/>
  <cols>
    <col min="1" max="1" width="4.6640625" style="2" customWidth="1"/>
    <col min="2" max="2" width="9.6640625" style="2" customWidth="1"/>
    <col min="3" max="3" width="21.33203125" style="2" customWidth="1"/>
    <col min="4" max="4" width="34.83203125" style="2" customWidth="1"/>
    <col min="5" max="5" width="17" style="2" customWidth="1"/>
    <col min="6" max="6" width="15.6640625" style="2" customWidth="1"/>
    <col min="7" max="7" width="18" style="2" customWidth="1"/>
    <col min="8" max="8" width="12.1640625" style="2" bestFit="1" customWidth="1"/>
    <col min="9" max="9" width="13" style="2" bestFit="1" customWidth="1"/>
    <col min="10" max="16384" width="12" style="2"/>
  </cols>
  <sheetData>
    <row r="1" spans="1:14" ht="13.5" x14ac:dyDescent="0.25">
      <c r="A1" s="608" t="s">
        <v>953</v>
      </c>
      <c r="B1" s="227"/>
      <c r="D1" s="227"/>
    </row>
    <row r="2" spans="1:14" x14ac:dyDescent="0.2">
      <c r="C2" s="227"/>
      <c r="D2" s="227"/>
    </row>
    <row r="3" spans="1:14" x14ac:dyDescent="0.2">
      <c r="C3" s="227"/>
      <c r="D3" s="227"/>
    </row>
    <row r="4" spans="1:14" s="504" customFormat="1" ht="18" x14ac:dyDescent="0.25">
      <c r="C4" s="526" t="s">
        <v>668</v>
      </c>
      <c r="D4" s="526"/>
      <c r="E4" s="526"/>
      <c r="F4" s="526"/>
      <c r="G4" s="526"/>
      <c r="H4" s="527"/>
      <c r="N4" s="2"/>
    </row>
    <row r="5" spans="1:14" x14ac:dyDescent="0.2">
      <c r="C5" s="528"/>
      <c r="D5" s="528"/>
      <c r="E5" s="528"/>
      <c r="F5" s="528"/>
      <c r="G5" s="528"/>
      <c r="H5" s="501"/>
      <c r="I5" s="284"/>
    </row>
    <row r="6" spans="1:14" x14ac:dyDescent="0.2">
      <c r="G6" s="589" t="str">
        <f>'T18 Emprunts'!J7</f>
        <v>Exercice clos le :</v>
      </c>
      <c r="H6" s="589"/>
      <c r="I6" s="284" t="str">
        <f>'T5 ESG'!$G$3</f>
        <v>31/12/2015</v>
      </c>
    </row>
    <row r="7" spans="1:14" x14ac:dyDescent="0.2">
      <c r="A7" s="520"/>
      <c r="B7" s="520"/>
      <c r="C7" s="520"/>
      <c r="D7" s="510"/>
      <c r="E7" s="510"/>
      <c r="F7" s="510"/>
      <c r="G7" s="520"/>
      <c r="H7" s="529" t="s">
        <v>669</v>
      </c>
      <c r="I7" s="530"/>
      <c r="J7" s="523"/>
      <c r="K7" s="523"/>
      <c r="L7" s="523"/>
    </row>
    <row r="8" spans="1:14" x14ac:dyDescent="0.2">
      <c r="A8" s="521"/>
      <c r="B8" s="513" t="s">
        <v>670</v>
      </c>
      <c r="C8" s="513" t="s">
        <v>671</v>
      </c>
      <c r="D8" s="531" t="s">
        <v>672</v>
      </c>
      <c r="E8" s="531" t="s">
        <v>673</v>
      </c>
      <c r="F8" s="531" t="s">
        <v>674</v>
      </c>
      <c r="G8" s="513" t="s">
        <v>675</v>
      </c>
      <c r="H8" s="520"/>
      <c r="I8" s="520"/>
      <c r="J8" s="523"/>
      <c r="K8" s="523"/>
      <c r="L8" s="523"/>
    </row>
    <row r="9" spans="1:14" x14ac:dyDescent="0.2">
      <c r="A9" s="521"/>
      <c r="B9" s="513" t="s">
        <v>676</v>
      </c>
      <c r="C9" s="513" t="s">
        <v>677</v>
      </c>
      <c r="D9" s="531" t="s">
        <v>678</v>
      </c>
      <c r="E9" s="531" t="s">
        <v>679</v>
      </c>
      <c r="F9" s="531" t="s">
        <v>680</v>
      </c>
      <c r="G9" s="513" t="s">
        <v>681</v>
      </c>
      <c r="H9" s="513" t="s">
        <v>682</v>
      </c>
      <c r="I9" s="513" t="s">
        <v>683</v>
      </c>
      <c r="J9" s="523"/>
      <c r="K9" s="523"/>
      <c r="L9" s="523"/>
    </row>
    <row r="10" spans="1:14" x14ac:dyDescent="0.2">
      <c r="A10" s="521"/>
      <c r="B10" s="513"/>
      <c r="C10" s="513"/>
      <c r="D10" s="531"/>
      <c r="E10" s="531" t="s">
        <v>680</v>
      </c>
      <c r="F10" s="531"/>
      <c r="G10" s="513" t="s">
        <v>684</v>
      </c>
      <c r="H10" s="521"/>
      <c r="I10" s="521"/>
      <c r="J10" s="523"/>
      <c r="K10" s="523"/>
      <c r="L10" s="523"/>
    </row>
    <row r="11" spans="1:14" x14ac:dyDescent="0.2">
      <c r="A11" s="500"/>
      <c r="B11" s="518">
        <v>1</v>
      </c>
      <c r="C11" s="518">
        <v>2</v>
      </c>
      <c r="D11" s="532">
        <v>3</v>
      </c>
      <c r="E11" s="532">
        <v>4</v>
      </c>
      <c r="F11" s="532">
        <v>5</v>
      </c>
      <c r="G11" s="518">
        <v>6</v>
      </c>
      <c r="H11" s="518">
        <v>7</v>
      </c>
      <c r="I11" s="518">
        <v>8</v>
      </c>
      <c r="J11" s="523"/>
      <c r="K11" s="523"/>
      <c r="L11" s="523"/>
    </row>
    <row r="12" spans="1:14" s="535" customFormat="1" ht="53.25" customHeight="1" x14ac:dyDescent="0.2">
      <c r="A12" s="1069"/>
      <c r="B12" s="1070" t="s">
        <v>3194</v>
      </c>
      <c r="C12" s="1071" t="s">
        <v>3195</v>
      </c>
      <c r="D12" s="1071" t="s">
        <v>3195</v>
      </c>
      <c r="E12" s="1072"/>
      <c r="F12" s="1073">
        <v>132000</v>
      </c>
      <c r="G12" s="1073">
        <v>132000</v>
      </c>
      <c r="H12" s="1074"/>
      <c r="I12" s="1071"/>
      <c r="J12" s="534"/>
      <c r="K12" s="534"/>
      <c r="L12" s="534"/>
    </row>
    <row r="13" spans="1:14" s="535" customFormat="1" ht="58.5" customHeight="1" x14ac:dyDescent="0.2">
      <c r="A13" s="1069"/>
      <c r="B13" s="1070"/>
      <c r="C13" s="1071"/>
      <c r="D13" s="1071"/>
      <c r="E13" s="1072"/>
      <c r="F13" s="1073"/>
      <c r="G13" s="1073"/>
      <c r="H13" s="1074"/>
      <c r="I13" s="1071"/>
      <c r="J13" s="534"/>
      <c r="K13" s="534"/>
      <c r="L13" s="534"/>
    </row>
    <row r="14" spans="1:14" s="535" customFormat="1" ht="27" customHeight="1" x14ac:dyDescent="0.2">
      <c r="A14" s="533"/>
      <c r="B14" s="698"/>
      <c r="C14" s="699"/>
      <c r="D14" s="699"/>
      <c r="E14" s="700"/>
      <c r="F14" s="701"/>
      <c r="G14" s="701"/>
      <c r="H14" s="702"/>
      <c r="I14" s="699"/>
      <c r="J14" s="534"/>
      <c r="K14" s="534"/>
      <c r="L14" s="534"/>
    </row>
    <row r="15" spans="1:14" s="535" customFormat="1" ht="27" customHeight="1" x14ac:dyDescent="0.2">
      <c r="A15" s="533"/>
      <c r="B15" s="698"/>
      <c r="C15" s="699"/>
      <c r="D15" s="699"/>
      <c r="E15" s="700"/>
      <c r="F15" s="701"/>
      <c r="G15" s="701"/>
      <c r="H15" s="702"/>
      <c r="I15" s="699"/>
      <c r="J15" s="534"/>
      <c r="K15" s="534"/>
      <c r="L15" s="534"/>
    </row>
    <row r="16" spans="1:14" s="535" customFormat="1" ht="27" customHeight="1" x14ac:dyDescent="0.2">
      <c r="A16" s="533"/>
      <c r="B16" s="698"/>
      <c r="C16" s="699"/>
      <c r="D16" s="699"/>
      <c r="E16" s="700"/>
      <c r="F16" s="701"/>
      <c r="G16" s="701"/>
      <c r="H16" s="702"/>
      <c r="I16" s="699"/>
      <c r="J16" s="534"/>
      <c r="K16" s="534"/>
      <c r="L16" s="534"/>
    </row>
    <row r="17" spans="1:12" s="535" customFormat="1" ht="27" customHeight="1" x14ac:dyDescent="0.2">
      <c r="A17" s="533"/>
      <c r="B17" s="698"/>
      <c r="C17" s="699"/>
      <c r="D17" s="699"/>
      <c r="E17" s="700"/>
      <c r="F17" s="701"/>
      <c r="G17" s="701"/>
      <c r="H17" s="702"/>
      <c r="I17" s="699"/>
      <c r="J17" s="534"/>
      <c r="K17" s="534"/>
      <c r="L17" s="534"/>
    </row>
    <row r="18" spans="1:12" ht="27" customHeight="1" x14ac:dyDescent="0.2">
      <c r="A18" s="529"/>
      <c r="B18" s="536"/>
      <c r="C18" s="537" t="s">
        <v>685</v>
      </c>
      <c r="D18" s="538"/>
      <c r="E18" s="539"/>
      <c r="F18" s="539">
        <f>SUM(F12:F17)</f>
        <v>132000</v>
      </c>
      <c r="G18" s="539">
        <f>SUM(G12:G17)</f>
        <v>132000</v>
      </c>
      <c r="H18" s="540"/>
      <c r="I18" s="540"/>
      <c r="J18" s="523"/>
      <c r="K18" s="523"/>
      <c r="L18" s="523"/>
    </row>
    <row r="19" spans="1:12" x14ac:dyDescent="0.2">
      <c r="A19" s="523"/>
      <c r="B19" s="523" t="s">
        <v>686</v>
      </c>
      <c r="C19" s="523"/>
      <c r="D19" s="523"/>
      <c r="E19" s="523"/>
      <c r="F19" s="523"/>
      <c r="G19" s="523"/>
      <c r="H19" s="523"/>
      <c r="I19" s="523"/>
      <c r="J19" s="523"/>
      <c r="K19" s="523"/>
      <c r="L19" s="523"/>
    </row>
    <row r="20" spans="1:12" x14ac:dyDescent="0.2">
      <c r="A20" s="523"/>
      <c r="B20" s="523" t="s">
        <v>687</v>
      </c>
      <c r="C20" s="523"/>
      <c r="D20" s="523"/>
      <c r="E20" s="523"/>
      <c r="F20" s="523"/>
      <c r="G20" s="523"/>
      <c r="H20" s="523"/>
      <c r="I20" s="523"/>
      <c r="J20" s="523"/>
      <c r="K20" s="523"/>
      <c r="L20" s="523"/>
    </row>
    <row r="21" spans="1:12" x14ac:dyDescent="0.2">
      <c r="A21" s="523"/>
      <c r="B21" s="523"/>
      <c r="C21" s="523"/>
      <c r="D21" s="523"/>
      <c r="E21" s="523"/>
      <c r="F21" s="523"/>
      <c r="G21" s="523"/>
      <c r="H21" s="523"/>
      <c r="I21" s="523"/>
      <c r="J21" s="523"/>
      <c r="K21" s="523"/>
      <c r="L21" s="523"/>
    </row>
    <row r="22" spans="1:12" x14ac:dyDescent="0.2">
      <c r="A22" s="523"/>
      <c r="B22" s="523"/>
      <c r="C22" s="523"/>
      <c r="D22" s="523"/>
      <c r="E22" s="523"/>
      <c r="F22" s="523"/>
      <c r="G22" s="523"/>
      <c r="H22" s="523"/>
      <c r="I22" s="523"/>
      <c r="J22" s="523"/>
      <c r="K22" s="523"/>
      <c r="L22" s="523"/>
    </row>
    <row r="23" spans="1:12" x14ac:dyDescent="0.2">
      <c r="A23" s="523" t="s">
        <v>971</v>
      </c>
      <c r="B23" s="523"/>
      <c r="C23" s="523"/>
      <c r="D23" s="523"/>
      <c r="E23" s="523"/>
      <c r="F23" s="523"/>
      <c r="G23" s="834">
        <f>'T6 TB11'!C23</f>
        <v>0</v>
      </c>
      <c r="H23" s="523"/>
      <c r="I23" s="523"/>
      <c r="J23" s="523"/>
      <c r="K23" s="523"/>
      <c r="L23" s="523"/>
    </row>
    <row r="25" spans="1:12" x14ac:dyDescent="0.2">
      <c r="A25" s="2" t="s">
        <v>7</v>
      </c>
      <c r="G25" s="844">
        <f>G18-G23</f>
        <v>132000</v>
      </c>
    </row>
  </sheetData>
  <phoneticPr fontId="0" type="noConversion"/>
  <pageMargins left="0.78740157499999996" right="0.78740157499999996" top="0.984251969" bottom="0.984251969" header="0.4921259845" footer="0.4921259845"/>
  <pageSetup paperSize="9" scale="98" orientation="landscape" horizontalDpi="300" verticalDpi="300" r:id="rId1"/>
  <headerFooter alignWithMargins="0">
    <oddHeader>&amp;L&amp;"Times New Roman,Gras italique"&amp;12Sté :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0">
    <tabColor rgb="FFFF0000"/>
  </sheetPr>
  <dimension ref="A1:I44"/>
  <sheetViews>
    <sheetView zoomScale="80" zoomScaleNormal="80" workbookViewId="0"/>
  </sheetViews>
  <sheetFormatPr baseColWidth="10" defaultColWidth="12" defaultRowHeight="12" customHeight="1" x14ac:dyDescent="0.2"/>
  <cols>
    <col min="1" max="1" width="78.6640625" style="2" customWidth="1"/>
    <col min="2" max="2" width="18" style="2" customWidth="1"/>
    <col min="3" max="3" width="15" style="2" customWidth="1"/>
    <col min="4" max="4" width="18.83203125" style="2" customWidth="1"/>
    <col min="5" max="5" width="18.1640625" style="2" customWidth="1"/>
    <col min="6" max="6" width="12.33203125" style="2" customWidth="1"/>
    <col min="7" max="7" width="17.83203125" style="2" bestFit="1" customWidth="1"/>
    <col min="8" max="8" width="18.1640625" style="2" customWidth="1"/>
    <col min="9" max="9" width="3.6640625" style="350" customWidth="1"/>
    <col min="10" max="16384" width="12" style="2"/>
  </cols>
  <sheetData>
    <row r="1" spans="1:9" ht="12" customHeight="1" x14ac:dyDescent="0.25">
      <c r="A1" s="608" t="s">
        <v>954</v>
      </c>
    </row>
    <row r="2" spans="1:9" s="504" customFormat="1" ht="15" customHeight="1" x14ac:dyDescent="0.25">
      <c r="A2" s="527" t="s">
        <v>688</v>
      </c>
      <c r="B2" s="527"/>
      <c r="C2" s="527"/>
      <c r="D2" s="527"/>
      <c r="I2" s="541"/>
    </row>
    <row r="3" spans="1:9" ht="12" customHeight="1" x14ac:dyDescent="0.2">
      <c r="A3" s="501"/>
      <c r="B3" s="501"/>
      <c r="C3" s="501"/>
      <c r="D3" s="501"/>
      <c r="F3" s="569" t="str">
        <f>'T18 Emprunts'!J7</f>
        <v>Exercice clos le :</v>
      </c>
      <c r="G3" s="569"/>
      <c r="H3" s="284" t="str">
        <f>'T5 ESG'!$G$3</f>
        <v>31/12/2015</v>
      </c>
      <c r="I3" s="569"/>
    </row>
    <row r="4" spans="1:9" ht="12" customHeight="1" x14ac:dyDescent="0.2">
      <c r="A4" s="542"/>
      <c r="B4" s="543" t="s">
        <v>689</v>
      </c>
      <c r="C4" s="544"/>
      <c r="D4" s="545"/>
      <c r="E4" s="543" t="s">
        <v>690</v>
      </c>
      <c r="F4" s="544"/>
      <c r="G4" s="545"/>
      <c r="H4" s="508" t="s">
        <v>691</v>
      </c>
      <c r="I4" s="512"/>
    </row>
    <row r="5" spans="1:9" ht="12" customHeight="1" x14ac:dyDescent="0.2">
      <c r="A5" s="546" t="s">
        <v>692</v>
      </c>
      <c r="B5" s="547"/>
      <c r="C5" s="531" t="s">
        <v>693</v>
      </c>
      <c r="D5" s="356"/>
      <c r="E5" s="547"/>
      <c r="F5" s="531" t="s">
        <v>694</v>
      </c>
      <c r="G5" s="350"/>
      <c r="H5" s="513" t="s">
        <v>695</v>
      </c>
      <c r="I5" s="356"/>
    </row>
    <row r="6" spans="1:9" ht="12" customHeight="1" x14ac:dyDescent="0.2">
      <c r="A6" s="521"/>
      <c r="B6" s="531" t="s">
        <v>696</v>
      </c>
      <c r="C6" s="350" t="s">
        <v>697</v>
      </c>
      <c r="D6" s="513" t="s">
        <v>698</v>
      </c>
      <c r="E6" s="531" t="s">
        <v>699</v>
      </c>
      <c r="F6" s="547" t="s">
        <v>697</v>
      </c>
      <c r="G6" s="548" t="s">
        <v>698</v>
      </c>
      <c r="H6" s="513" t="s">
        <v>700</v>
      </c>
      <c r="I6" s="356"/>
    </row>
    <row r="7" spans="1:9" ht="12" customHeight="1" x14ac:dyDescent="0.2">
      <c r="A7" s="500"/>
      <c r="B7" s="518"/>
      <c r="C7" s="518" t="s">
        <v>701</v>
      </c>
      <c r="D7" s="513"/>
      <c r="E7" s="531"/>
      <c r="F7" s="531" t="s">
        <v>702</v>
      </c>
      <c r="G7" s="548"/>
      <c r="H7" s="518" t="s">
        <v>703</v>
      </c>
      <c r="I7" s="547"/>
    </row>
    <row r="8" spans="1:9" ht="12" customHeight="1" x14ac:dyDescent="0.2">
      <c r="A8" s="549" t="s">
        <v>2592</v>
      </c>
      <c r="B8" s="550"/>
      <c r="C8" s="525"/>
      <c r="D8" s="525">
        <f>B8-C8</f>
        <v>0</v>
      </c>
      <c r="E8" s="509"/>
      <c r="F8" s="509"/>
      <c r="G8" s="550">
        <f>E8-F8</f>
        <v>0</v>
      </c>
      <c r="H8" s="551">
        <f>+G8-D8</f>
        <v>0</v>
      </c>
      <c r="I8" s="547"/>
    </row>
    <row r="9" spans="1:9" ht="12" customHeight="1" x14ac:dyDescent="0.2">
      <c r="A9" s="928" t="s">
        <v>2543</v>
      </c>
      <c r="B9" s="16"/>
      <c r="C9" s="583"/>
      <c r="D9" s="552">
        <f>+B9-C9</f>
        <v>0</v>
      </c>
      <c r="E9" s="553"/>
      <c r="F9" s="553"/>
      <c r="G9" s="553">
        <f>E9-F9</f>
        <v>0</v>
      </c>
      <c r="H9" s="552">
        <f>+G9-D9</f>
        <v>0</v>
      </c>
      <c r="I9" s="356"/>
    </row>
    <row r="10" spans="1:9" ht="12" customHeight="1" x14ac:dyDescent="0.2">
      <c r="A10" s="521" t="s">
        <v>704</v>
      </c>
      <c r="B10" s="553"/>
      <c r="C10" s="552"/>
      <c r="D10" s="552">
        <f t="shared" ref="D10:D21" si="0">+B10-C10</f>
        <v>0</v>
      </c>
      <c r="E10" s="553"/>
      <c r="F10" s="553"/>
      <c r="G10" s="553">
        <f t="shared" ref="G10:G21" si="1">E10-F10</f>
        <v>0</v>
      </c>
      <c r="H10" s="552">
        <f>+G10-D10</f>
        <v>0</v>
      </c>
      <c r="I10" s="513">
        <v>1</v>
      </c>
    </row>
    <row r="11" spans="1:9" ht="12" customHeight="1" x14ac:dyDescent="0.2">
      <c r="A11" s="521" t="s">
        <v>705</v>
      </c>
      <c r="B11" s="553">
        <f>SUMIF('Balance N Retraitée'!$A:$A,"311*",'Balance N Retraitée'!$G:$G)-SUMIF('Balance N Retraitée'!$A:$A,"311*",'Balance N Retraitée'!$H:$H)</f>
        <v>0</v>
      </c>
      <c r="C11" s="552">
        <f>SUMIF('Balance N Retraitée'!$A:$A,"3911*",'Balance N Retraitée'!$H:$H)-SUMIF('Balance N Retraitée'!$A:$A,"3911*",'Balance N Retraitée'!$G:$G)</f>
        <v>0</v>
      </c>
      <c r="D11" s="552">
        <f t="shared" si="0"/>
        <v>0</v>
      </c>
      <c r="E11" s="553">
        <f>SUMIF('Balance N-1 Retraitée'!$A:$A,"311*",'Balance N-1 Retraitée'!$G:$G)-SUMIF('Balance N-1 Retraitée'!$A:$A,"311*",'Balance N-1 Retraitée'!$H:$H)</f>
        <v>0</v>
      </c>
      <c r="F11" s="553">
        <f>SUMIF('Balance N-1 Retraitée'!$A:$A,"3911*",'Balance N-1 Retraitée'!$H:$H)-SUMIF('Balance N-1 Retraitée'!$A:$A,"3911*",'Balance N-1 Retraitée'!$G:$G)</f>
        <v>0</v>
      </c>
      <c r="G11" s="553">
        <f t="shared" si="1"/>
        <v>0</v>
      </c>
      <c r="H11" s="552">
        <f>+G11-D11</f>
        <v>0</v>
      </c>
      <c r="I11" s="513">
        <v>2</v>
      </c>
    </row>
    <row r="12" spans="1:9" ht="12" customHeight="1" x14ac:dyDescent="0.2">
      <c r="A12" s="928" t="s">
        <v>2544</v>
      </c>
      <c r="B12" s="553">
        <f>SUMIF('Balance N Retraitée'!$A:$A,"3121*",'Balance N Retraitée'!$G:$G)-SUMIF('Balance N Retraitée'!$A:$A,"3121*",'Balance N Retraitée'!$H:$H)</f>
        <v>0</v>
      </c>
      <c r="C12" s="552">
        <f>SUMIF('Balance N Retraitée'!$A:$A,"39121*",'Balance N Retraitée'!$H:$H)-SUMIF('Balance N Retraitée'!$A:$A,"39121*",'Balance N Retraitée'!$G:$G)</f>
        <v>0</v>
      </c>
      <c r="D12" s="552">
        <f t="shared" si="0"/>
        <v>0</v>
      </c>
      <c r="E12" s="553">
        <f>SUMIF('Balance N-1 Retraitée'!$A:$A,"3121*",'Balance N-1 Retraitée'!$G:$G)-SUMIF('Balance N-1 Retraitée'!$A:$A,"3121*",'Balance N-1 Retraitée'!$H:$H)</f>
        <v>0</v>
      </c>
      <c r="F12" s="553">
        <f>SUMIF('Balance N-1 Retraitée'!$A:$A,"39121*",'Balance N-1 Retraitée'!$H:$H)-SUMIF('Balance N-1 Retraitée'!$A:$A,"39121*",'Balance N-1 Retraitée'!$G:$G)</f>
        <v>0</v>
      </c>
      <c r="G12" s="553">
        <f t="shared" si="1"/>
        <v>0</v>
      </c>
      <c r="H12" s="552">
        <f>+G12-D12</f>
        <v>0</v>
      </c>
      <c r="I12" s="513">
        <v>3</v>
      </c>
    </row>
    <row r="13" spans="1:9" ht="12" customHeight="1" x14ac:dyDescent="0.2">
      <c r="A13" s="521"/>
      <c r="B13" s="553"/>
      <c r="C13" s="552"/>
      <c r="D13" s="552">
        <f t="shared" si="0"/>
        <v>0</v>
      </c>
      <c r="E13" s="553"/>
      <c r="F13" s="553"/>
      <c r="G13" s="553"/>
      <c r="H13" s="552"/>
      <c r="I13" s="513"/>
    </row>
    <row r="14" spans="1:9" ht="12" customHeight="1" x14ac:dyDescent="0.2">
      <c r="A14" s="929" t="s">
        <v>2545</v>
      </c>
      <c r="B14" s="553"/>
      <c r="C14" s="552"/>
      <c r="D14" s="552"/>
      <c r="E14" s="553"/>
      <c r="F14" s="553"/>
      <c r="G14" s="553"/>
      <c r="H14" s="552"/>
      <c r="I14" s="513"/>
    </row>
    <row r="15" spans="1:9" s="554" customFormat="1" ht="12" customHeight="1" x14ac:dyDescent="0.2">
      <c r="A15" s="929" t="s">
        <v>2546</v>
      </c>
      <c r="B15" s="553">
        <f>SUMIF('Balance N Retraitée'!$A:$A,"31221*",'Balance N Retraitée'!$G:$G)-SUMIF('Balance N Retraitée'!$A:$A,"31221*",'Balance N Retraitée'!$H:$H)</f>
        <v>0</v>
      </c>
      <c r="C15" s="552">
        <f>SUMIF('Balance N Retraitée'!$A:$A,"391221*",'Balance N Retraitée'!$H:$H)-SUMIF('Balance N Retraitée'!$A:$A,"391221*",'Balance N Retraitée'!$G:$G)</f>
        <v>0</v>
      </c>
      <c r="D15" s="552">
        <f t="shared" si="0"/>
        <v>0</v>
      </c>
      <c r="E15" s="553">
        <f>SUMIF('Balance N-1 Retraitée'!$A:$A,"31221*",'Balance N-1 Retraitée'!$G:$G)-SUMIF('Balance N-1 Retraitée'!$A:$A,"31221*",'Balance N-1 Retraitée'!$H:$H)</f>
        <v>0</v>
      </c>
      <c r="F15" s="553">
        <f>SUMIF('Balance N-1 Retraitée'!$A:$A,"391221*",'Balance N-1 Retraitée'!$H:$H)-SUMIF('Balance N-1 Retraitée'!$A:$A,"391221*",'Balance N-1 Retraitée'!$G:$G)</f>
        <v>0</v>
      </c>
      <c r="G15" s="553">
        <f t="shared" si="1"/>
        <v>0</v>
      </c>
      <c r="H15" s="552">
        <f t="shared" ref="H15:H39" si="2">+G15-D15</f>
        <v>0</v>
      </c>
      <c r="I15" s="513">
        <v>4</v>
      </c>
    </row>
    <row r="16" spans="1:9" ht="12" customHeight="1" x14ac:dyDescent="0.2">
      <c r="A16" s="928" t="s">
        <v>2547</v>
      </c>
      <c r="B16" s="553">
        <f>SUMIF('Balance N Retraitée'!$A:$A,"31225*",'Balance N Retraitée'!$G:$G)-SUMIF('Balance N Retraitée'!$A:$A,"31225*",'Balance N Retraitée'!$H:$H)</f>
        <v>0</v>
      </c>
      <c r="C16" s="552">
        <f>SUMIF('Balance N Retraitée'!$A:$A,"391225*",'Balance N Retraitée'!$H:$H)-SUMIF('Balance N Retraitée'!$A:$A,"391225*",'Balance N Retraitée'!$G:$G)</f>
        <v>0</v>
      </c>
      <c r="D16" s="552">
        <f t="shared" si="0"/>
        <v>0</v>
      </c>
      <c r="E16" s="553">
        <f>SUMIF('Balance N-1 Retraitée'!$A:$A,"31225*",'Balance N-1 Retraitée'!$G:$G)-SUMIF('Balance N-1 Retraitée'!$A:$A,"31225*",'Balance N-1 Retraitée'!$H:$H)</f>
        <v>0</v>
      </c>
      <c r="F16" s="553">
        <f>SUMIF('Balance N-1 Retraitée'!$A:$A,"391225*",'Balance N-1 Retraitée'!$H:$H)-SUMIF('Balance N-1 Retraitée'!$A:$A,"391225*",'Balance N-1 Retraitée'!$G:$G)</f>
        <v>0</v>
      </c>
      <c r="G16" s="553">
        <f t="shared" si="1"/>
        <v>0</v>
      </c>
      <c r="H16" s="552">
        <f t="shared" si="2"/>
        <v>0</v>
      </c>
      <c r="I16" s="513">
        <v>5</v>
      </c>
    </row>
    <row r="17" spans="1:9" ht="12" customHeight="1" x14ac:dyDescent="0.2">
      <c r="A17" s="928" t="s">
        <v>2548</v>
      </c>
      <c r="B17" s="553"/>
      <c r="C17" s="552"/>
      <c r="D17" s="552">
        <f t="shared" si="0"/>
        <v>0</v>
      </c>
      <c r="E17" s="553"/>
      <c r="F17" s="553"/>
      <c r="G17" s="553">
        <f t="shared" si="1"/>
        <v>0</v>
      </c>
      <c r="H17" s="552">
        <f t="shared" si="2"/>
        <v>0</v>
      </c>
      <c r="I17" s="513">
        <v>6</v>
      </c>
    </row>
    <row r="18" spans="1:9" ht="12" customHeight="1" x14ac:dyDescent="0.2">
      <c r="A18" s="521" t="s">
        <v>708</v>
      </c>
      <c r="B18" s="553"/>
      <c r="C18" s="552"/>
      <c r="D18" s="552">
        <f t="shared" si="0"/>
        <v>0</v>
      </c>
      <c r="E18" s="553"/>
      <c r="F18" s="553"/>
      <c r="G18" s="553">
        <f t="shared" si="1"/>
        <v>0</v>
      </c>
      <c r="H18" s="552">
        <f t="shared" si="2"/>
        <v>0</v>
      </c>
      <c r="I18" s="513"/>
    </row>
    <row r="19" spans="1:9" ht="12" customHeight="1" x14ac:dyDescent="0.2">
      <c r="A19" s="928" t="s">
        <v>2549</v>
      </c>
      <c r="B19" s="553">
        <f>SUMIF('Balance N Retraitée'!$A:$A,"31232*",'Balance N Retraitée'!$G:$G)-SUMIF('Balance N Retraitée'!$A:$A,"31232*",'Balance N Retraitée'!$H:$H)</f>
        <v>0</v>
      </c>
      <c r="C19" s="552">
        <f>SUMIF('Balance N Retraitée'!$A:$A,"391232*",'Balance N Retraitée'!$H:$H)-SUMIF('Balance N Retraitée'!$A:$A,"391232*",'Balance N Retraitée'!$G:$G)</f>
        <v>0</v>
      </c>
      <c r="D19" s="552">
        <f t="shared" si="0"/>
        <v>0</v>
      </c>
      <c r="E19" s="553">
        <f>SUMIF('Balance N-1 Retraitée'!$A:$A,"31232*",'Balance N-1 Retraitée'!$G:$G)-SUMIF('Balance N-1 Retraitée'!$A:$A,"31232*",'Balance N-1 Retraitée'!$H:$H)</f>
        <v>0</v>
      </c>
      <c r="F19" s="553">
        <f>SUMIF('Balance N-1 Retraitée'!$A:$A,"391232*",'Balance N-1 Retraitée'!$H:$H)-SUMIF('Balance N-1 Retraitée'!$A:$A,"391232*",'Balance N-1 Retraitée'!$G:$G)</f>
        <v>0</v>
      </c>
      <c r="G19" s="553">
        <f t="shared" si="1"/>
        <v>0</v>
      </c>
      <c r="H19" s="552">
        <f t="shared" si="2"/>
        <v>0</v>
      </c>
      <c r="I19" s="513">
        <v>7</v>
      </c>
    </row>
    <row r="20" spans="1:9" ht="12" customHeight="1" x14ac:dyDescent="0.2">
      <c r="A20" s="928" t="s">
        <v>2550</v>
      </c>
      <c r="B20" s="553"/>
      <c r="C20" s="552"/>
      <c r="D20" s="552">
        <f t="shared" si="0"/>
        <v>0</v>
      </c>
      <c r="E20" s="553"/>
      <c r="F20" s="553"/>
      <c r="G20" s="553">
        <f t="shared" si="1"/>
        <v>0</v>
      </c>
      <c r="H20" s="552">
        <f t="shared" si="2"/>
        <v>0</v>
      </c>
      <c r="I20" s="513">
        <v>8</v>
      </c>
    </row>
    <row r="21" spans="1:9" ht="12" customHeight="1" x14ac:dyDescent="0.2">
      <c r="A21" s="928" t="s">
        <v>2551</v>
      </c>
      <c r="B21" s="553">
        <f>SUMIF('Balance N Retraitée'!$A:$A,"31231*",'Balance N Retraitée'!$G:$G)-SUMIF('Balance N Retraitée'!$A:$A,"31231*",'Balance N Retraitée'!$H:$H)</f>
        <v>0</v>
      </c>
      <c r="C21" s="552">
        <f>SUMIF('Balance N Retraitée'!$A:$A,"3912391*",'Balance N Retraitée'!$H:$H)-SUMIF('Balance N Retraitée'!$A:$A,"3912391*",'Balance N Retraitée'!$G:$G)</f>
        <v>0</v>
      </c>
      <c r="D21" s="552">
        <f t="shared" si="0"/>
        <v>0</v>
      </c>
      <c r="E21" s="553">
        <f>SUMIF('Balance N-1 Retraitée'!$A:$A,"31231*",'Balance N-1 Retraitée'!$G:$G)-SUMIF('Balance N-1 Retraitée'!$A:$A,"31231*",'Balance N-1 Retraitée'!$H:$H)</f>
        <v>0</v>
      </c>
      <c r="F21" s="553">
        <f>SUMIF('Balance N-1 Retraitée'!$A:$A,"3912391*",'Balance N-1 Retraitée'!$H:$H)-SUMIF('Balance N-1 Retraitée'!$A:$A,"3912391*",'Balance N-1 Retraitée'!$G:$G)</f>
        <v>0</v>
      </c>
      <c r="G21" s="553">
        <f t="shared" si="1"/>
        <v>0</v>
      </c>
      <c r="H21" s="552">
        <f t="shared" si="2"/>
        <v>0</v>
      </c>
      <c r="I21" s="513">
        <v>9</v>
      </c>
    </row>
    <row r="22" spans="1:9" ht="12" customHeight="1" x14ac:dyDescent="0.2">
      <c r="A22" s="555" t="s">
        <v>2598</v>
      </c>
      <c r="B22" s="556">
        <f t="shared" ref="B22:G22" si="3">SUM(B8:B21)</f>
        <v>0</v>
      </c>
      <c r="C22" s="558">
        <f>SUM(C8:C21)</f>
        <v>0</v>
      </c>
      <c r="D22" s="556">
        <f t="shared" si="3"/>
        <v>0</v>
      </c>
      <c r="E22" s="556">
        <f t="shared" si="3"/>
        <v>0</v>
      </c>
      <c r="F22" s="556">
        <f>SUM(F8:F21)</f>
        <v>0</v>
      </c>
      <c r="G22" s="556">
        <f t="shared" si="3"/>
        <v>0</v>
      </c>
      <c r="H22" s="556">
        <f t="shared" si="2"/>
        <v>0</v>
      </c>
      <c r="I22" s="513">
        <v>10</v>
      </c>
    </row>
    <row r="23" spans="1:9" ht="12" customHeight="1" x14ac:dyDescent="0.2">
      <c r="A23" s="549" t="s">
        <v>2591</v>
      </c>
      <c r="B23" s="514"/>
      <c r="C23" s="521"/>
      <c r="D23" s="514"/>
      <c r="E23" s="553"/>
      <c r="F23" s="553"/>
      <c r="G23" s="514"/>
      <c r="H23" s="514"/>
      <c r="I23" s="513"/>
    </row>
    <row r="24" spans="1:9" ht="12" customHeight="1" x14ac:dyDescent="0.2">
      <c r="A24" s="928" t="s">
        <v>2593</v>
      </c>
      <c r="B24" s="553">
        <f>SUMIF('Balance N Retraitée'!$A:$A,"3131*",'Balance N Retraitée'!$G:$G)-SUMIF('Balance N Retraitée'!$A:$A,"3131*",'Balance N Retraitée'!$H:$H)</f>
        <v>0</v>
      </c>
      <c r="C24" s="552">
        <f>SUMIF('Balance N Retraitée'!$A:$A,"391391*",'Balance N Retraitée'!$H:$H)-SUMIF('Balance N Retraitée'!$A:$A,"391391*",'Balance N Retraitée'!$G:$G)</f>
        <v>0</v>
      </c>
      <c r="D24" s="553">
        <f>B24-C24</f>
        <v>0</v>
      </c>
      <c r="E24" s="553">
        <f>SUMIF('Balance N-1 Retraitée'!$A:$A,"3131*",'Balance N-1 Retraitée'!$G:$G)-SUMIF('Balance N-1 Retraitée'!$A:$A,"3131*",'Balance N-1 Retraitée'!$H:$H)</f>
        <v>0</v>
      </c>
      <c r="F24" s="553">
        <f>SUMIF('Balance N-1 Retraitée'!$A:$A,"391391*",'Balance N-1 Retraitée'!$H:$H)-SUMIF('Balance N-1 Retraitée'!$A:$A,"391391*",'Balance N-1 Retraitée'!$G:$G)</f>
        <v>0</v>
      </c>
      <c r="G24" s="553">
        <f>E24-F24</f>
        <v>0</v>
      </c>
      <c r="H24" s="552">
        <f t="shared" si="2"/>
        <v>0</v>
      </c>
      <c r="I24" s="513">
        <v>11</v>
      </c>
    </row>
    <row r="25" spans="1:9" ht="12" customHeight="1" x14ac:dyDescent="0.2">
      <c r="A25" s="928" t="s">
        <v>2594</v>
      </c>
      <c r="B25" s="553">
        <f>SUMIF('Balance N Retraitée'!$A:$A,"31342*",'Balance N Retraitée'!$G:$G)-SUMIF('Balance N Retraitée'!$A:$A,"31342*",'Balance N Retraitée'!$H:$H)</f>
        <v>0</v>
      </c>
      <c r="C25" s="552">
        <f>SUMIF('Balance N Retraitée'!$A:$A,"391342*",'Balance N Retraitée'!$H:$H)-SUMIF('Balance N Retraitée'!$A:$A,"391342*",'Balance N Retraitée'!$G:$G)</f>
        <v>0</v>
      </c>
      <c r="D25" s="553">
        <f>B25-C25</f>
        <v>0</v>
      </c>
      <c r="E25" s="553">
        <f>SUMIF('Balance N-1 Retraitée'!$A:$A,"31342*",'Balance N-1 Retraitée'!$G:$G)-SUMIF('Balance N-1 Retraitée'!$A:$A,"31342*",'Balance N-1 Retraitée'!$H:$H)</f>
        <v>0</v>
      </c>
      <c r="F25" s="553">
        <f>SUMIF('Balance N-1 Retraitée'!$A:$A,"391342*",'Balance N-1 Retraitée'!$H:$H)-SUMIF('Balance N-1 Retraitée'!$A:$A,"391342*",'Balance N-1 Retraitée'!$G:$G)</f>
        <v>0</v>
      </c>
      <c r="G25" s="553">
        <f>E25-F25</f>
        <v>0</v>
      </c>
      <c r="H25" s="552">
        <f t="shared" si="2"/>
        <v>0</v>
      </c>
      <c r="I25" s="513">
        <v>12</v>
      </c>
    </row>
    <row r="26" spans="1:9" ht="12" customHeight="1" x14ac:dyDescent="0.2">
      <c r="A26" s="928" t="s">
        <v>2595</v>
      </c>
      <c r="B26" s="553">
        <f>SUMIF('Balance N Retraitée'!$A:$A,"31341*",'Balance N Retraitée'!$G:$G)-SUMIF('Balance N Retraitée'!$A:$A,"31341*",'Balance N Retraitée'!$H:$H)</f>
        <v>0</v>
      </c>
      <c r="C26" s="552">
        <f>SUMIF('Balance N Retraitée'!$A:$A,"391341*",'Balance N Retraitée'!$H:$H)-SUMIF('Balance N Retraitée'!$A:$A,"391341*",'Balance N Retraitée'!$G:$G)</f>
        <v>0</v>
      </c>
      <c r="D26" s="553">
        <f>B26-C26</f>
        <v>0</v>
      </c>
      <c r="E26" s="553">
        <f>SUMIF('Balance N-1 Retraitée'!$A:$A,"31341*",'Balance N-1 Retraitée'!$G:$G)-SUMIF('Balance N-1 Retraitée'!$A:$A,"31341*",'Balance N-1 Retraitée'!$H:$H)</f>
        <v>0</v>
      </c>
      <c r="F26" s="553">
        <f>SUMIF('Balance N-1 Retraitée'!$A:$A,"391341*",'Balance N-1 Retraitée'!$H:$H)-SUMIF('Balance N-1 Retraitée'!$A:$A,"391341*",'Balance N-1 Retraitée'!$G:$G)</f>
        <v>0</v>
      </c>
      <c r="G26" s="553">
        <f>E26-F26</f>
        <v>0</v>
      </c>
      <c r="H26" s="552">
        <f t="shared" si="2"/>
        <v>0</v>
      </c>
      <c r="I26" s="513">
        <v>13</v>
      </c>
    </row>
    <row r="27" spans="1:9" ht="12" customHeight="1" x14ac:dyDescent="0.2">
      <c r="A27" s="928" t="s">
        <v>2596</v>
      </c>
      <c r="B27" s="553">
        <f>SUMIF('Balance N Retraitée'!$A:$A,"31343*",'Balance N Retraitée'!$G:$G)-SUMIF('Balance N Retraitée'!$A:$A,"31343*",'Balance N Retraitée'!$H:$H)</f>
        <v>0</v>
      </c>
      <c r="C27" s="552">
        <f>SUMIF('Balance N Retraitée'!$A:$A,"391343*",'Balance N Retraitée'!$H:$H)-SUMIF('Balance N Retraitée'!$A:$A,"391343*",'Balance N Retraitée'!$G:$G)</f>
        <v>0</v>
      </c>
      <c r="D27" s="553">
        <f>B27-C27</f>
        <v>0</v>
      </c>
      <c r="E27" s="553">
        <f>SUMIF('Balance N-1 Retraitée'!$A:$A,"31343*",'Balance N-1 Retraitée'!$G:$G)-SUMIF('Balance N-1 Retraitée'!$A:$A,"31343*",'Balance N-1 Retraitée'!$H:$H)</f>
        <v>0</v>
      </c>
      <c r="F27" s="553">
        <f>SUMIF('Balance N-1 Retraitée'!$A:$A,"391343*",'Balance N-1 Retraitée'!$H:$H)-SUMIF('Balance N-1 Retraitée'!$A:$A,"391343*",'Balance N-1 Retraitée'!$G:$G)</f>
        <v>0</v>
      </c>
      <c r="G27" s="553">
        <f>E27-F27</f>
        <v>0</v>
      </c>
      <c r="H27" s="552">
        <f t="shared" si="2"/>
        <v>0</v>
      </c>
      <c r="I27" s="513">
        <v>14</v>
      </c>
    </row>
    <row r="28" spans="1:9" ht="12" customHeight="1" x14ac:dyDescent="0.2">
      <c r="A28" s="555" t="s">
        <v>2597</v>
      </c>
      <c r="B28" s="556">
        <f t="shared" ref="B28:G28" si="4">SUM(B24:B27)</f>
        <v>0</v>
      </c>
      <c r="C28" s="558">
        <f>SUM(C24:C27)</f>
        <v>0</v>
      </c>
      <c r="D28" s="556">
        <f t="shared" si="4"/>
        <v>0</v>
      </c>
      <c r="E28" s="556">
        <f t="shared" si="4"/>
        <v>0</v>
      </c>
      <c r="F28" s="556">
        <f>SUM(F24:F27)</f>
        <v>0</v>
      </c>
      <c r="G28" s="556">
        <f t="shared" si="4"/>
        <v>0</v>
      </c>
      <c r="H28" s="552">
        <f t="shared" si="2"/>
        <v>0</v>
      </c>
      <c r="I28" s="513">
        <v>15</v>
      </c>
    </row>
    <row r="29" spans="1:9" ht="12" customHeight="1" x14ac:dyDescent="0.2">
      <c r="A29" s="549" t="s">
        <v>2599</v>
      </c>
      <c r="B29" s="514"/>
      <c r="C29" s="521"/>
      <c r="D29" s="514"/>
      <c r="E29" s="553"/>
      <c r="F29" s="553"/>
      <c r="G29" s="514"/>
      <c r="H29" s="525">
        <f t="shared" si="2"/>
        <v>0</v>
      </c>
      <c r="I29" s="513"/>
    </row>
    <row r="30" spans="1:9" ht="12" customHeight="1" x14ac:dyDescent="0.2">
      <c r="A30" s="928" t="s">
        <v>2600</v>
      </c>
      <c r="B30" s="553">
        <f>SUMIF('Balance N Retraitée'!$A:$A,"315*",'Balance N Retraitée'!$G:$G)-SUMIF('Balance N Retraitée'!$A:$A,"315*",'Balance N Retraitée'!$H:$H)</f>
        <v>0</v>
      </c>
      <c r="C30" s="552">
        <f>SUMIF('Balance N Retraitée'!$A:$A,"3915*",'Balance N Retraitée'!$H:$H)-SUMIF('Balance N Retraitée'!$A:$A,"3915*",'Balance N Retraitée'!$G:$G)</f>
        <v>0</v>
      </c>
      <c r="D30" s="553">
        <f>B30-C30</f>
        <v>0</v>
      </c>
      <c r="E30" s="553">
        <f>SUMIF('Balance N-1 Retraitée'!$A:$A,"315*",'Balance N-1 Retraitée'!$G:$G)-SUMIF('Balance N-1 Retraitée'!$A:$A,"315*",'Balance N-1 Retraitée'!$H:$H)</f>
        <v>0</v>
      </c>
      <c r="F30" s="553">
        <f>SUMIF('Balance N-1 Retraitée'!$A:$A,"3915*",'Balance N-1 Retraitée'!$H:$H)-SUMIF('Balance N-1 Retraitée'!$A:$A,"3915*",'Balance N-1 Retraitée'!$G:$G)</f>
        <v>0</v>
      </c>
      <c r="G30" s="557">
        <f>E30-F30</f>
        <v>0</v>
      </c>
      <c r="H30" s="552">
        <f t="shared" si="2"/>
        <v>0</v>
      </c>
      <c r="I30" s="513">
        <v>16</v>
      </c>
    </row>
    <row r="31" spans="1:9" ht="12" customHeight="1" x14ac:dyDescent="0.2">
      <c r="A31" s="928" t="s">
        <v>2601</v>
      </c>
      <c r="B31" s="514"/>
      <c r="C31" s="521"/>
      <c r="D31" s="553">
        <f>B31-C31</f>
        <v>0</v>
      </c>
      <c r="E31" s="553"/>
      <c r="F31" s="553"/>
      <c r="G31" s="557">
        <f>E31-F31</f>
        <v>0</v>
      </c>
      <c r="H31" s="552">
        <f t="shared" si="2"/>
        <v>0</v>
      </c>
      <c r="I31" s="513">
        <v>17</v>
      </c>
    </row>
    <row r="32" spans="1:9" ht="12" customHeight="1" x14ac:dyDescent="0.2">
      <c r="A32" s="555" t="s">
        <v>2602</v>
      </c>
      <c r="B32" s="556">
        <f t="shared" ref="B32:G32" si="5">SUM(B30:B31)</f>
        <v>0</v>
      </c>
      <c r="C32" s="558">
        <f>SUM(C30:C31)</f>
        <v>0</v>
      </c>
      <c r="D32" s="556">
        <f t="shared" si="5"/>
        <v>0</v>
      </c>
      <c r="E32" s="556">
        <f t="shared" si="5"/>
        <v>0</v>
      </c>
      <c r="F32" s="556">
        <f>SUM(F30:F31)</f>
        <v>0</v>
      </c>
      <c r="G32" s="556">
        <f t="shared" si="5"/>
        <v>0</v>
      </c>
      <c r="H32" s="558">
        <f t="shared" si="2"/>
        <v>0</v>
      </c>
      <c r="I32" s="513">
        <v>18</v>
      </c>
    </row>
    <row r="33" spans="1:9" ht="12" customHeight="1" x14ac:dyDescent="0.2">
      <c r="A33" s="549" t="s">
        <v>2603</v>
      </c>
      <c r="B33" s="514"/>
      <c r="C33" s="521"/>
      <c r="D33" s="514"/>
      <c r="E33" s="553"/>
      <c r="F33" s="553"/>
      <c r="G33" s="514"/>
      <c r="H33" s="552">
        <f t="shared" si="2"/>
        <v>0</v>
      </c>
      <c r="I33" s="513"/>
    </row>
    <row r="34" spans="1:9" ht="12" customHeight="1" x14ac:dyDescent="0.2">
      <c r="A34" s="928" t="s">
        <v>2604</v>
      </c>
      <c r="B34" s="553">
        <f>SUMIF('Balance N Retraitée'!$A:$A,"31451*",'Balance N Retraitée'!$G:$G)-SUMIF('Balance N Retraitée'!$A:$A,"31451*",'Balance N Retraitée'!$H:$H)</f>
        <v>0</v>
      </c>
      <c r="C34" s="552">
        <f>SUMIF('Balance N Retraitée'!$A:$A,"391451*",'Balance N Retraitée'!$H:$H)-SUMIF('Balance N Retraitée'!$A:$A,"391451*",'Balance N Retraitée'!$G:$G)</f>
        <v>0</v>
      </c>
      <c r="D34" s="553">
        <f>B34-C34</f>
        <v>0</v>
      </c>
      <c r="E34" s="553">
        <f>SUMIF('Balance N-1 Retraitée'!$A:$A,"31451*",'Balance N-1 Retraitée'!$G:$G)-SUMIF('Balance N-1 Retraitée'!$A:$A,"31451*",'Balance N-1 Retraitée'!$H:$H)</f>
        <v>0</v>
      </c>
      <c r="F34" s="553">
        <f>SUMIF('Balance N-1 Retraitée'!$A:$A,"391451*",'Balance N-1 Retraitée'!$H:$H)-SUMIF('Balance N-1 Retraitée'!$A:$A,"391451*",'Balance N-1 Retraitée'!$G:$G)</f>
        <v>0</v>
      </c>
      <c r="G34" s="553">
        <f>E34-F34</f>
        <v>0</v>
      </c>
      <c r="H34" s="552">
        <f t="shared" si="2"/>
        <v>0</v>
      </c>
      <c r="I34" s="513">
        <v>19</v>
      </c>
    </row>
    <row r="35" spans="1:9" ht="12" customHeight="1" x14ac:dyDescent="0.2">
      <c r="A35" s="928" t="s">
        <v>2605</v>
      </c>
      <c r="B35" s="553">
        <f>SUMIF('Balance N Retraitée'!$A:$A,"31452*",'Balance N Retraitée'!$G:$G)-SUMIF('Balance N Retraitée'!$A:$A,"31452*",'Balance N Retraitée'!$H:$H)</f>
        <v>0</v>
      </c>
      <c r="C35" s="552">
        <f>SUMIF('Balance N Retraitée'!$A:$A,"391452*",'Balance N Retraitée'!$H:$H)-SUMIF('Balance N Retraitée'!$A:$A,"391452*",'Balance N Retraitée'!$G:$G)</f>
        <v>0</v>
      </c>
      <c r="D35" s="553">
        <f>B35-C35</f>
        <v>0</v>
      </c>
      <c r="E35" s="553">
        <f>SUMIF('Balance N-1 Retraitée'!$A:$A,"31452*",'Balance N-1 Retraitée'!$G:$G)-SUMIF('Balance N-1 Retraitée'!$A:$A,"31452*",'Balance N-1 Retraitée'!$H:$H)</f>
        <v>0</v>
      </c>
      <c r="F35" s="553">
        <f>SUMIF('Balance N-1 Retraitée'!$A:$A,"391452*",'Balance N-1 Retraitée'!$H:$H)-SUMIF('Balance N-1 Retraitée'!$A:$A,"391452*",'Balance N-1 Retraitée'!$G:$G)</f>
        <v>0</v>
      </c>
      <c r="G35" s="553">
        <f>E35-F35</f>
        <v>0</v>
      </c>
      <c r="H35" s="552">
        <f t="shared" si="2"/>
        <v>0</v>
      </c>
      <c r="I35" s="513">
        <v>20</v>
      </c>
    </row>
    <row r="36" spans="1:9" ht="12" customHeight="1" x14ac:dyDescent="0.2">
      <c r="A36" s="928" t="s">
        <v>2606</v>
      </c>
      <c r="B36" s="553">
        <f>SUMIF('Balance N Retraitée'!$A:$A,"31453*",'Balance N Retraitée'!$G:$G)-SUMIF('Balance N Retraitée'!$A:$A,"31453*",'Balance N Retraitée'!$H:$H)</f>
        <v>0</v>
      </c>
      <c r="C36" s="552">
        <f>SUMIF('Balance N Retraitée'!$A:$A,"391453*",'Balance N Retraitée'!$H:$H)-SUMIF('Balance N Retraitée'!$A:$A,"391453*",'Balance N Retraitée'!$G:$G)</f>
        <v>0</v>
      </c>
      <c r="D36" s="553">
        <f>B36-C36</f>
        <v>0</v>
      </c>
      <c r="E36" s="553">
        <f>SUMIF('Balance N-1 Retraitée'!$A:$A,"31453*",'Balance N-1 Retraitée'!$G:$G)-SUMIF('Balance N-1 Retraitée'!$A:$A,"31453*",'Balance N-1 Retraitée'!$H:$H)</f>
        <v>0</v>
      </c>
      <c r="F36" s="553">
        <f>SUMIF('Balance N-1 Retraitée'!$A:$A,"391453*",'Balance N-1 Retraitée'!$H:$H)-SUMIF('Balance N-1 Retraitée'!$A:$A,"391453*",'Balance N-1 Retraitée'!$G:$G)</f>
        <v>0</v>
      </c>
      <c r="G36" s="553">
        <f>E36-F36</f>
        <v>0</v>
      </c>
      <c r="H36" s="552">
        <f t="shared" si="2"/>
        <v>0</v>
      </c>
      <c r="I36" s="513">
        <v>21</v>
      </c>
    </row>
    <row r="37" spans="1:9" ht="12" customHeight="1" x14ac:dyDescent="0.2">
      <c r="A37" s="555" t="s">
        <v>2607</v>
      </c>
      <c r="B37" s="556">
        <f t="shared" ref="B37:G37" si="6">SUM(B34:B36)</f>
        <v>0</v>
      </c>
      <c r="C37" s="558">
        <f>SUM(C34:C36)</f>
        <v>0</v>
      </c>
      <c r="D37" s="556">
        <f t="shared" si="6"/>
        <v>0</v>
      </c>
      <c r="E37" s="556">
        <f t="shared" si="6"/>
        <v>0</v>
      </c>
      <c r="F37" s="556">
        <f>SUM(F34:F36)</f>
        <v>0</v>
      </c>
      <c r="G37" s="556">
        <f t="shared" si="6"/>
        <v>0</v>
      </c>
      <c r="H37" s="552">
        <f t="shared" si="2"/>
        <v>0</v>
      </c>
      <c r="I37" s="513">
        <v>22</v>
      </c>
    </row>
    <row r="38" spans="1:9" ht="12" customHeight="1" x14ac:dyDescent="0.2">
      <c r="A38" s="559" t="s">
        <v>2608</v>
      </c>
      <c r="B38" s="553">
        <f t="shared" ref="B38:G38" si="7">B22+B28+B32+B37</f>
        <v>0</v>
      </c>
      <c r="C38" s="552">
        <f>C22+C28+C392+C37</f>
        <v>0</v>
      </c>
      <c r="D38" s="552">
        <f t="shared" si="7"/>
        <v>0</v>
      </c>
      <c r="E38" s="552">
        <f t="shared" si="7"/>
        <v>0</v>
      </c>
      <c r="F38" s="552">
        <f>F22+F28+F392+F37</f>
        <v>0</v>
      </c>
      <c r="G38" s="552">
        <f t="shared" si="7"/>
        <v>0</v>
      </c>
      <c r="H38" s="525">
        <f t="shared" si="2"/>
        <v>0</v>
      </c>
      <c r="I38" s="513">
        <v>23</v>
      </c>
    </row>
    <row r="39" spans="1:9" ht="12" customHeight="1" x14ac:dyDescent="0.2">
      <c r="A39" s="500" t="s">
        <v>709</v>
      </c>
      <c r="B39" s="516"/>
      <c r="C39" s="500"/>
      <c r="D39" s="517"/>
      <c r="E39" s="630"/>
      <c r="F39" s="630"/>
      <c r="G39" s="517"/>
      <c r="H39" s="558">
        <f t="shared" si="2"/>
        <v>0</v>
      </c>
      <c r="I39" s="519"/>
    </row>
    <row r="40" spans="1:9" ht="12" customHeight="1" x14ac:dyDescent="0.2">
      <c r="A40" s="523"/>
      <c r="B40" s="523"/>
      <c r="C40" s="523"/>
      <c r="D40" s="523"/>
      <c r="E40" s="523"/>
      <c r="F40" s="523"/>
      <c r="G40" s="523"/>
      <c r="H40" s="523"/>
    </row>
    <row r="41" spans="1:9" ht="12" customHeight="1" x14ac:dyDescent="0.2">
      <c r="A41" s="523"/>
      <c r="B41" s="523"/>
      <c r="C41" s="523"/>
      <c r="D41" s="560"/>
      <c r="E41" s="523"/>
      <c r="F41" s="523"/>
      <c r="G41" s="560"/>
      <c r="H41" s="523"/>
    </row>
    <row r="42" spans="1:9" ht="12" customHeight="1" x14ac:dyDescent="0.2">
      <c r="A42" s="855" t="s">
        <v>970</v>
      </c>
      <c r="B42" s="16">
        <f>'T1 Bilan'!C35</f>
        <v>0</v>
      </c>
      <c r="C42" s="16">
        <f>'T1 Bilan'!D35</f>
        <v>0</v>
      </c>
      <c r="D42" s="16">
        <f>'T1 Bilan'!E35</f>
        <v>0</v>
      </c>
      <c r="G42" s="16">
        <f>'T1 Bilan'!G35</f>
        <v>0</v>
      </c>
    </row>
    <row r="44" spans="1:9" ht="12" customHeight="1" x14ac:dyDescent="0.2">
      <c r="A44" s="2" t="s">
        <v>7</v>
      </c>
      <c r="B44" s="844">
        <f>B38-B42</f>
        <v>0</v>
      </c>
      <c r="C44" s="844">
        <f>C38-C42</f>
        <v>0</v>
      </c>
      <c r="D44" s="844">
        <f>D38-D42</f>
        <v>0</v>
      </c>
      <c r="G44" s="844">
        <f>G38-G42</f>
        <v>0</v>
      </c>
    </row>
  </sheetData>
  <phoneticPr fontId="0" type="noConversion"/>
  <pageMargins left="0.78740157499999996" right="0.78740157499999996" top="0.984251969" bottom="0.984251969" header="0.4921259845" footer="0.4921259845"/>
  <pageSetup paperSize="9" scale="72" orientation="landscape" horizontalDpi="300" verticalDpi="300" r:id="rId1"/>
  <headerFooter alignWithMargins="0">
    <oddHeader>&amp;L&amp;"Times New Roman,Gras italique"&amp;12Sté :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4">
    <tabColor rgb="FFFFFF00"/>
  </sheetPr>
  <dimension ref="A1:I59"/>
  <sheetViews>
    <sheetView workbookViewId="0"/>
  </sheetViews>
  <sheetFormatPr baseColWidth="10" defaultColWidth="13.33203125" defaultRowHeight="12.75" x14ac:dyDescent="0.2"/>
  <cols>
    <col min="1" max="1" width="3.1640625" style="4" customWidth="1"/>
    <col min="2" max="2" width="42.1640625" style="4" customWidth="1"/>
    <col min="3" max="3" width="19.1640625" style="4" customWidth="1"/>
    <col min="4" max="4" width="19.6640625" style="4" customWidth="1"/>
    <col min="5" max="5" width="0.83203125" style="4" customWidth="1"/>
    <col min="6" max="6" width="19.83203125" style="4" customWidth="1"/>
    <col min="7" max="7" width="19.33203125" style="4" customWidth="1"/>
    <col min="8" max="8" width="18.33203125" style="4" bestFit="1" customWidth="1"/>
    <col min="9" max="9" width="17.1640625" style="4" bestFit="1" customWidth="1"/>
    <col min="10" max="16384" width="13.33203125" style="4"/>
  </cols>
  <sheetData>
    <row r="1" spans="1:9" ht="15.75" x14ac:dyDescent="0.25">
      <c r="A1" s="744"/>
    </row>
    <row r="2" spans="1:9" ht="15" x14ac:dyDescent="0.25">
      <c r="A2" s="68"/>
      <c r="B2" s="69" t="s">
        <v>190</v>
      </c>
      <c r="G2" s="70"/>
    </row>
    <row r="3" spans="1:9" x14ac:dyDescent="0.2">
      <c r="C3" s="9" t="s">
        <v>365</v>
      </c>
      <c r="D3" s="68"/>
    </row>
    <row r="4" spans="1:9" ht="13.5" thickBot="1" x14ac:dyDescent="0.25">
      <c r="B4" s="71" t="s">
        <v>191</v>
      </c>
      <c r="F4" s="72" t="s">
        <v>20</v>
      </c>
      <c r="G4" s="284" t="str">
        <f>'T5 ESG'!$G$3</f>
        <v>31/12/2015</v>
      </c>
    </row>
    <row r="5" spans="1:9" ht="13.5" thickBot="1" x14ac:dyDescent="0.25">
      <c r="A5" s="73"/>
      <c r="B5" s="74"/>
      <c r="C5" s="74"/>
      <c r="D5" s="75" t="s">
        <v>248</v>
      </c>
      <c r="F5" s="76" t="s">
        <v>192</v>
      </c>
      <c r="G5" s="77"/>
    </row>
    <row r="6" spans="1:9" x14ac:dyDescent="0.2">
      <c r="A6" s="78"/>
      <c r="B6" s="79" t="s">
        <v>193</v>
      </c>
      <c r="C6" s="80" t="s">
        <v>248</v>
      </c>
      <c r="D6" s="80" t="s">
        <v>885</v>
      </c>
      <c r="F6" s="80" t="s">
        <v>194</v>
      </c>
      <c r="G6" s="80" t="s">
        <v>195</v>
      </c>
    </row>
    <row r="7" spans="1:9" ht="13.5" thickBot="1" x14ac:dyDescent="0.25">
      <c r="A7" s="81"/>
      <c r="B7" s="82"/>
      <c r="C7" s="83" t="s">
        <v>282</v>
      </c>
      <c r="D7" s="83" t="s">
        <v>271</v>
      </c>
      <c r="F7" s="83" t="s">
        <v>196</v>
      </c>
      <c r="G7" s="83" t="s">
        <v>197</v>
      </c>
    </row>
    <row r="8" spans="1:9" x14ac:dyDescent="0.2">
      <c r="A8" s="607">
        <v>1</v>
      </c>
      <c r="B8" s="72" t="s">
        <v>198</v>
      </c>
      <c r="C8" s="631">
        <f>'T1 Bilan'!E102</f>
        <v>0</v>
      </c>
      <c r="D8" s="631">
        <f>'T1 Bilan'!G102</f>
        <v>0</v>
      </c>
      <c r="E8" s="632"/>
      <c r="F8" s="631">
        <f>IF(C8-D8&lt;=0,D8-C8,0)</f>
        <v>0</v>
      </c>
      <c r="G8" s="631">
        <f>IF(C8-D8&gt;=0,C8-D8,0)</f>
        <v>0</v>
      </c>
    </row>
    <row r="9" spans="1:9" ht="13.5" thickBot="1" x14ac:dyDescent="0.25">
      <c r="A9" s="84">
        <v>2</v>
      </c>
      <c r="B9" s="85" t="s">
        <v>199</v>
      </c>
      <c r="C9" s="633">
        <f>'T1 Bilan'!E33</f>
        <v>0</v>
      </c>
      <c r="D9" s="633">
        <f>+'T1 Bilan'!G33</f>
        <v>0</v>
      </c>
      <c r="E9" s="632"/>
      <c r="F9" s="633">
        <f>IF(C9-D9&gt;=0,C9-D9,0)</f>
        <v>0</v>
      </c>
      <c r="G9" s="633">
        <f>IF(C9-D9&lt;=0,D9-C9,0)</f>
        <v>0</v>
      </c>
      <c r="H9" s="4" t="s">
        <v>250</v>
      </c>
    </row>
    <row r="10" spans="1:9" ht="13.5" thickBot="1" x14ac:dyDescent="0.25">
      <c r="A10" s="84">
        <v>3</v>
      </c>
      <c r="B10" s="86" t="s">
        <v>200</v>
      </c>
      <c r="C10" s="634">
        <f>+C8-C9</f>
        <v>0</v>
      </c>
      <c r="D10" s="634">
        <f>+D8-D9</f>
        <v>0</v>
      </c>
      <c r="E10" s="632"/>
      <c r="F10" s="634">
        <f>IF((F8-G8)+(F9-G9)&lt;=0,0,(F8-G8)+(F9-G9))</f>
        <v>0</v>
      </c>
      <c r="G10" s="634">
        <f>IF((F8-G8)+(F9-G9)&gt;=0,0,-((F8-G8)+(F9-G9)))</f>
        <v>0</v>
      </c>
      <c r="H10" s="714"/>
    </row>
    <row r="11" spans="1:9" x14ac:dyDescent="0.2">
      <c r="A11" s="84">
        <v>4</v>
      </c>
      <c r="B11" s="72" t="s">
        <v>201</v>
      </c>
      <c r="C11" s="631">
        <f>+'T1 Bilan'!E52</f>
        <v>0</v>
      </c>
      <c r="D11" s="631">
        <f>+'T1 Bilan'!G52</f>
        <v>0</v>
      </c>
      <c r="E11" s="632"/>
      <c r="F11" s="631">
        <f>IF(D11-C11&lt;=0,C11-D11,0)</f>
        <v>0</v>
      </c>
      <c r="G11" s="631">
        <f>IF(D11-C11&gt;=0,D11-C11,0)</f>
        <v>0</v>
      </c>
    </row>
    <row r="12" spans="1:9" x14ac:dyDescent="0.2">
      <c r="A12" s="84">
        <v>5</v>
      </c>
      <c r="B12" s="87" t="s">
        <v>202</v>
      </c>
      <c r="C12" s="635">
        <f>+'T1 Bilan'!E115</f>
        <v>0</v>
      </c>
      <c r="D12" s="635">
        <f>+'T1 Bilan'!G115</f>
        <v>0</v>
      </c>
      <c r="E12" s="632"/>
      <c r="F12" s="635">
        <f>IF(D12-C12&gt;=0,D12-C12,0)</f>
        <v>0</v>
      </c>
      <c r="G12" s="635">
        <f>IF(D12-C12&lt;=0,C12-D12,0)</f>
        <v>0</v>
      </c>
    </row>
    <row r="13" spans="1:9" ht="13.5" thickBot="1" x14ac:dyDescent="0.25">
      <c r="A13" s="84">
        <v>6</v>
      </c>
      <c r="B13" s="72" t="s">
        <v>203</v>
      </c>
      <c r="C13" s="631">
        <f>+C11-C12</f>
        <v>0</v>
      </c>
      <c r="D13" s="631">
        <f>+D11-D12</f>
        <v>0</v>
      </c>
      <c r="E13" s="632"/>
      <c r="F13" s="631">
        <f>IF(D13-C13&lt;=0,C13-D13,0)</f>
        <v>0</v>
      </c>
      <c r="G13" s="631">
        <f>IF(D13-C13&gt;=0,D13-C13,0)</f>
        <v>0</v>
      </c>
    </row>
    <row r="14" spans="1:9" ht="13.5" thickBot="1" x14ac:dyDescent="0.25">
      <c r="A14" s="88">
        <v>7</v>
      </c>
      <c r="B14" s="89" t="s">
        <v>204</v>
      </c>
      <c r="C14" s="634">
        <f>+C10-C13</f>
        <v>0</v>
      </c>
      <c r="D14" s="634">
        <f>D10-D13</f>
        <v>0</v>
      </c>
      <c r="E14" s="632"/>
      <c r="F14" s="634">
        <f>IF(D14-C14&lt;=0,C14-D14,0)</f>
        <v>0</v>
      </c>
      <c r="G14" s="634">
        <f>IF(D14-C14&gt;=0,D14-C14,0)</f>
        <v>0</v>
      </c>
      <c r="H14" s="714"/>
      <c r="I14" s="714"/>
    </row>
    <row r="15" spans="1:9" x14ac:dyDescent="0.2">
      <c r="B15" s="72"/>
      <c r="D15" s="90"/>
    </row>
    <row r="16" spans="1:9" ht="13.5" thickBot="1" x14ac:dyDescent="0.25">
      <c r="B16" s="71" t="s">
        <v>205</v>
      </c>
      <c r="G16" s="714"/>
    </row>
    <row r="17" spans="1:7" ht="13.5" thickBot="1" x14ac:dyDescent="0.25">
      <c r="A17" s="1046"/>
      <c r="B17" s="74"/>
      <c r="C17" s="91" t="s">
        <v>632</v>
      </c>
      <c r="D17" s="92"/>
      <c r="E17" s="72"/>
      <c r="F17" s="91" t="s">
        <v>633</v>
      </c>
      <c r="G17" s="92"/>
    </row>
    <row r="18" spans="1:7" x14ac:dyDescent="0.2">
      <c r="A18" s="1047"/>
      <c r="B18" s="93"/>
      <c r="C18" s="94" t="s">
        <v>206</v>
      </c>
      <c r="D18" s="94" t="s">
        <v>207</v>
      </c>
      <c r="E18" s="72"/>
      <c r="F18" s="94" t="s">
        <v>208</v>
      </c>
      <c r="G18" s="94" t="s">
        <v>207</v>
      </c>
    </row>
    <row r="19" spans="1:7" ht="13.5" thickBot="1" x14ac:dyDescent="0.25">
      <c r="A19" s="1047"/>
      <c r="B19" s="95" t="s">
        <v>2895</v>
      </c>
      <c r="C19" s="96"/>
      <c r="D19" s="96"/>
      <c r="E19" s="72"/>
      <c r="F19" s="96"/>
      <c r="G19" s="96"/>
    </row>
    <row r="20" spans="1:7" s="11" customFormat="1" x14ac:dyDescent="0.2">
      <c r="A20" s="1048"/>
      <c r="B20" s="1043" t="s">
        <v>209</v>
      </c>
      <c r="C20" s="1044"/>
      <c r="D20" s="1044">
        <f>D21-D22</f>
        <v>0</v>
      </c>
      <c r="E20" s="1043"/>
      <c r="F20" s="1044"/>
      <c r="G20" s="1044">
        <f>G21-G22</f>
        <v>0</v>
      </c>
    </row>
    <row r="21" spans="1:7" x14ac:dyDescent="0.2">
      <c r="A21" s="1049"/>
      <c r="B21" s="87" t="s">
        <v>210</v>
      </c>
      <c r="C21" s="639"/>
      <c r="D21" s="639">
        <f>+'T5 ESG'!E46</f>
        <v>0</v>
      </c>
      <c r="E21" s="1045"/>
      <c r="F21" s="639"/>
      <c r="G21" s="639">
        <f>'T5 ESG'!G46</f>
        <v>0</v>
      </c>
    </row>
    <row r="22" spans="1:7" x14ac:dyDescent="0.2">
      <c r="A22" s="1049"/>
      <c r="B22" s="87" t="s">
        <v>211</v>
      </c>
      <c r="C22" s="639"/>
      <c r="D22" s="639">
        <f>('T5 ESG'!E47)</f>
        <v>0</v>
      </c>
      <c r="E22" s="1045"/>
      <c r="F22" s="639"/>
      <c r="G22" s="639">
        <f>'T5 ESG'!G47</f>
        <v>0</v>
      </c>
    </row>
    <row r="23" spans="1:7" s="11" customFormat="1" ht="22.5" x14ac:dyDescent="0.2">
      <c r="A23" s="1050"/>
      <c r="B23" s="1031" t="s">
        <v>2894</v>
      </c>
      <c r="C23" s="636"/>
      <c r="D23" s="636">
        <f>SUM(D24:D27)</f>
        <v>0</v>
      </c>
      <c r="E23" s="101"/>
      <c r="F23" s="636"/>
      <c r="G23" s="636">
        <f>SUM(G24:G27)</f>
        <v>0</v>
      </c>
    </row>
    <row r="24" spans="1:7" x14ac:dyDescent="0.2">
      <c r="A24" s="1049"/>
      <c r="B24" s="87" t="s">
        <v>212</v>
      </c>
      <c r="C24" s="639"/>
      <c r="D24" s="639">
        <f>SUMIF('Balance N Retraitée'!A:A,"7512*",'Balance N Retraitée'!H:H)-(SUMIF('Balance N Retraitée'!A:A,"7512*",'Balance N Retraitée'!G:G))</f>
        <v>0</v>
      </c>
      <c r="E24" s="100"/>
      <c r="F24" s="639"/>
      <c r="G24" s="640"/>
    </row>
    <row r="25" spans="1:7" x14ac:dyDescent="0.2">
      <c r="A25" s="1049"/>
      <c r="B25" s="87" t="s">
        <v>213</v>
      </c>
      <c r="C25" s="639"/>
      <c r="D25" s="639">
        <f>SUMIF('Balance N Retraitée'!A:A,"7513*",'Balance N Retraitée'!H:H)-(SUMIF('Balance N Retraitée'!A:A,"7513*",'Balance N Retraitée'!G:G))</f>
        <v>0</v>
      </c>
      <c r="E25" s="100"/>
      <c r="F25" s="639"/>
      <c r="G25" s="640"/>
    </row>
    <row r="26" spans="1:7" x14ac:dyDescent="0.2">
      <c r="A26" s="1049"/>
      <c r="B26" s="87" t="s">
        <v>214</v>
      </c>
      <c r="C26" s="639"/>
      <c r="D26" s="639">
        <f>SUMIF('Balance N Retraitée'!A:A,"7514*",'Balance N Retraitée'!H:H)-(SUMIF('Balance N Retraitée'!A:A,"7514*",'Balance N Retraitée'!G:G))</f>
        <v>0</v>
      </c>
      <c r="E26" s="100"/>
      <c r="F26" s="639"/>
      <c r="G26" s="640"/>
    </row>
    <row r="27" spans="1:7" ht="13.5" thickBot="1" x14ac:dyDescent="0.25">
      <c r="A27" s="1051"/>
      <c r="B27" s="85" t="s">
        <v>215</v>
      </c>
      <c r="C27" s="638"/>
      <c r="D27" s="638">
        <f>SUMIF('Balance N Retraitée'!A:A,"24*",'Balance N Retraitée'!F:F)</f>
        <v>0</v>
      </c>
      <c r="E27" s="100"/>
      <c r="F27" s="638"/>
      <c r="G27" s="1042"/>
    </row>
    <row r="28" spans="1:7" s="11" customFormat="1" ht="23.25" thickBot="1" x14ac:dyDescent="0.25">
      <c r="A28" s="1032"/>
      <c r="B28" s="1033" t="s">
        <v>2893</v>
      </c>
      <c r="C28" s="642"/>
      <c r="D28" s="642">
        <f>SUM(D29:D30)</f>
        <v>0</v>
      </c>
      <c r="E28" s="101"/>
      <c r="F28" s="642"/>
      <c r="G28" s="642">
        <f>SUM(G29:G30)</f>
        <v>0</v>
      </c>
    </row>
    <row r="29" spans="1:7" x14ac:dyDescent="0.2">
      <c r="A29" s="1052"/>
      <c r="B29" s="1037" t="s">
        <v>216</v>
      </c>
      <c r="C29" s="1038"/>
      <c r="D29" s="1038">
        <f>SUMIF('Balance N Retraitée'!A:A,"111*",'Balance N Retraitée'!F:F)+SUMIF('Balance N Retraitée'!A:A,"112*",'Balance N Retraitée'!F:F)</f>
        <v>0</v>
      </c>
      <c r="E29" s="100"/>
      <c r="F29" s="1038"/>
      <c r="G29" s="1038"/>
    </row>
    <row r="30" spans="1:7" x14ac:dyDescent="0.2">
      <c r="A30" s="1049"/>
      <c r="B30" s="87" t="s">
        <v>217</v>
      </c>
      <c r="C30" s="639"/>
      <c r="D30" s="639">
        <f>SUMIF('Balance N Retraitée'!A:A,"131*",'Balance N Retraitée'!F:F)</f>
        <v>0</v>
      </c>
      <c r="E30" s="100"/>
      <c r="F30" s="639"/>
      <c r="G30" s="639">
        <f>SUMIF('Balance N-1 Retraitée'!A:A,"131*",'Balance N-1 Retraitée'!F:F)</f>
        <v>0</v>
      </c>
    </row>
    <row r="31" spans="1:7" s="11" customFormat="1" ht="34.5" thickBot="1" x14ac:dyDescent="0.25">
      <c r="A31" s="1050"/>
      <c r="B31" s="1031" t="s">
        <v>2892</v>
      </c>
      <c r="C31" s="636"/>
      <c r="D31" s="636">
        <f>SUMIF('Balance N Retraitée'!A:A,"14*",'Balance N Retraitée'!F:F)</f>
        <v>0</v>
      </c>
      <c r="E31" s="101"/>
      <c r="F31" s="636"/>
      <c r="G31" s="636">
        <f>SUMIF('Balance N-1 Retraitée'!A:A,"14*",'Balance N-1 Retraitée'!F:F)</f>
        <v>0</v>
      </c>
    </row>
    <row r="32" spans="1:7" s="11" customFormat="1" ht="23.25" thickBot="1" x14ac:dyDescent="0.25">
      <c r="A32" s="1032"/>
      <c r="B32" s="1041" t="s">
        <v>2891</v>
      </c>
      <c r="C32" s="642"/>
      <c r="D32" s="642">
        <f>+D31+D28+D23+D20</f>
        <v>0</v>
      </c>
      <c r="E32" s="101"/>
      <c r="F32" s="642"/>
      <c r="G32" s="642">
        <f>+G31+G28+G23+G20</f>
        <v>0</v>
      </c>
    </row>
    <row r="33" spans="1:9" ht="13.5" thickBot="1" x14ac:dyDescent="0.25">
      <c r="A33" s="1047"/>
      <c r="B33" s="71" t="s">
        <v>218</v>
      </c>
      <c r="C33" s="99"/>
      <c r="D33" s="99"/>
      <c r="E33" s="100"/>
      <c r="F33" s="637"/>
      <c r="G33" s="637"/>
    </row>
    <row r="34" spans="1:9" s="11" customFormat="1" ht="23.25" thickBot="1" x14ac:dyDescent="0.25">
      <c r="A34" s="1032"/>
      <c r="B34" s="1033" t="s">
        <v>2890</v>
      </c>
      <c r="C34" s="642">
        <f>SUM(C35:C38)</f>
        <v>0</v>
      </c>
      <c r="D34" s="1034"/>
      <c r="E34" s="101"/>
      <c r="F34" s="642">
        <f>SUM(F35:F38)</f>
        <v>0</v>
      </c>
      <c r="G34" s="642"/>
    </row>
    <row r="35" spans="1:9" x14ac:dyDescent="0.2">
      <c r="A35" s="1052"/>
      <c r="B35" s="1037" t="s">
        <v>219</v>
      </c>
      <c r="C35" s="1038">
        <f>'T4 B2-immo'!C14</f>
        <v>0</v>
      </c>
      <c r="D35" s="1039"/>
      <c r="E35" s="100"/>
      <c r="F35" s="1040"/>
      <c r="G35" s="1038"/>
    </row>
    <row r="36" spans="1:9" x14ac:dyDescent="0.2">
      <c r="A36" s="1049"/>
      <c r="B36" s="87" t="s">
        <v>220</v>
      </c>
      <c r="C36" s="639">
        <f>'T4 B2-immo'!C20-'T4 B2-immo'!H27+'T4 B2-immo'!D20+'T4 B2-immo'!E20</f>
        <v>0</v>
      </c>
      <c r="D36" s="102"/>
      <c r="E36" s="100"/>
      <c r="F36" s="640"/>
      <c r="G36" s="639"/>
    </row>
    <row r="37" spans="1:9" x14ac:dyDescent="0.2">
      <c r="A37" s="1049"/>
      <c r="B37" s="87" t="s">
        <v>221</v>
      </c>
      <c r="C37" s="639">
        <f>+SUMIF('Balance N Retraitée'!A:A,"25*",'Balance N Retraitée'!E:E)</f>
        <v>0</v>
      </c>
      <c r="D37" s="102"/>
      <c r="E37" s="100"/>
      <c r="F37" s="640"/>
      <c r="G37" s="639"/>
    </row>
    <row r="38" spans="1:9" ht="13.5" thickBot="1" x14ac:dyDescent="0.25">
      <c r="A38" s="1047"/>
      <c r="B38" s="72" t="s">
        <v>222</v>
      </c>
      <c r="C38" s="637">
        <f>SUMIF('Balance N Retraitée'!A:A,"24*",'Balance N Retraitée'!E:E)</f>
        <v>0</v>
      </c>
      <c r="D38" s="99"/>
      <c r="E38" s="100"/>
      <c r="F38" s="648"/>
      <c r="G38" s="637"/>
    </row>
    <row r="39" spans="1:9" ht="23.25" thickBot="1" x14ac:dyDescent="0.25">
      <c r="A39" s="76"/>
      <c r="B39" s="1033" t="s">
        <v>2889</v>
      </c>
      <c r="C39" s="1035">
        <f>SUMIF('Balance N Retraitée'!A:A,"111*",'Balance N Retraitée'!E:E)+SUMIF('Balance N Retraitée'!A:A,"131*",'Balance N Retraitée'!E:E)</f>
        <v>0</v>
      </c>
      <c r="D39" s="1036"/>
      <c r="E39" s="100"/>
      <c r="F39" s="1035"/>
      <c r="G39" s="1035"/>
    </row>
    <row r="40" spans="1:9" s="11" customFormat="1" ht="23.25" thickBot="1" x14ac:dyDescent="0.25">
      <c r="A40" s="1032"/>
      <c r="B40" s="1033" t="s">
        <v>2888</v>
      </c>
      <c r="C40" s="642">
        <f>SUMIF('Balance N Retraitée'!A:A,"14*",'Balance N Retraitée'!E:E)</f>
        <v>0</v>
      </c>
      <c r="D40" s="1034"/>
      <c r="E40" s="101"/>
      <c r="F40" s="642">
        <f>SUMIF('Balance N-1 Retraitée'!A:A,"14*",'Balance N-1 Retraitée'!E:E)</f>
        <v>0</v>
      </c>
      <c r="G40" s="642"/>
    </row>
    <row r="41" spans="1:9" s="11" customFormat="1" ht="13.5" thickBot="1" x14ac:dyDescent="0.25">
      <c r="A41" s="1050"/>
      <c r="B41" s="97" t="s">
        <v>223</v>
      </c>
      <c r="C41" s="636">
        <f>SUMIF('Balance N Retraitée'!A:A,"21*",'Balance N Retraitée'!E:E)</f>
        <v>0</v>
      </c>
      <c r="D41" s="98"/>
      <c r="E41" s="101"/>
      <c r="F41" s="636"/>
      <c r="G41" s="636"/>
    </row>
    <row r="42" spans="1:9" s="11" customFormat="1" ht="23.25" thickBot="1" x14ac:dyDescent="0.25">
      <c r="A42" s="1032"/>
      <c r="B42" s="1041" t="s">
        <v>2896</v>
      </c>
      <c r="C42" s="642">
        <f>+C41+C40+C34+C39</f>
        <v>0</v>
      </c>
      <c r="D42" s="1034"/>
      <c r="E42" s="101"/>
      <c r="F42" s="642">
        <f>+F41+F40+F34+F39</f>
        <v>0</v>
      </c>
      <c r="G42" s="642"/>
    </row>
    <row r="43" spans="1:9" ht="23.25" thickBot="1" x14ac:dyDescent="0.25">
      <c r="A43" s="1047"/>
      <c r="B43" s="1031" t="s">
        <v>2887</v>
      </c>
      <c r="C43" s="636">
        <f>+F13</f>
        <v>0</v>
      </c>
      <c r="D43" s="637">
        <f>+G13</f>
        <v>0</v>
      </c>
      <c r="E43" s="100"/>
      <c r="F43" s="780"/>
      <c r="G43" s="637">
        <f>IF((SUMIF('Balance N-1 Retraitée'!A:A,"3*",'Balance N-1 Retraitée'!E:E)-SUMIF('Balance N-1 Retraitée'!A:A,"3*",'Balance N-1 Retraitée'!F:F))-(SUMIF('Balance N-1 Retraitée'!A:A,"4*",'Balance N-1 Retraitée'!F:F)-SUMIF('Balance N-1 Retraitée'!A:A,"4*",'Balance N-1 Retraitée'!E:E))&lt;=0,-(SUMIF('Balance N-1 Retraitée'!A:A,"3*",'Balance N-1 Retraitée'!E:E)-SUMIF('Balance N-1 Retraitée'!A:A,"3*",'Balance N-1 Retraitée'!F:F))-(SUMIF('Balance N-1 Retraitée'!A:A,"4*",'Balance N-1 Retraitée'!F:F)-SUMIF('Balance N-1 Retraitée'!A:A,"4*",'Balance N-1 Retraitée'!E:E)),0)</f>
        <v>0</v>
      </c>
      <c r="H43" s="578">
        <f>IF((SUMIF('Balance N-1 Retraitée'!A:A,"3*",'Balance N-1 Retraitée'!E:E)-SUMIF('Balance N-1 Retraitée'!A:A,"3*",'Balance N-1 Retraitée'!F:F))-(SUMIF('Balance N-1 Retraitée'!A:A,"4*",'Balance N-1 Retraitée'!F:F)-SUMIF('Balance N-1 Retraitée'!A:A,"4*",'Balance N-1 Retraitée'!E:E))&gt;=0,(SUMIF('Balance N-1 Retraitée'!A:A,"3*",'Balance N-1 Retraitée'!E:E)-SUMIF('Balance N-1 Retraitée'!A:A,"3*",'Balance N-1 Retraitée'!F:F))-(SUMIF('Balance N-1 Retraitée'!A:A,"4*",'Balance N-1 Retraitée'!F:F)-SUMIF('Balance N-1 Retraitée'!A:A,"4*",'Balance N-1 Retraitée'!E:E)),0)</f>
        <v>0</v>
      </c>
      <c r="I43" s="578"/>
    </row>
    <row r="44" spans="1:9" s="11" customFormat="1" ht="13.5" thickBot="1" x14ac:dyDescent="0.25">
      <c r="A44" s="1032"/>
      <c r="B44" s="104" t="s">
        <v>224</v>
      </c>
      <c r="C44" s="642">
        <f>+F14</f>
        <v>0</v>
      </c>
      <c r="D44" s="642">
        <f>+G14</f>
        <v>0</v>
      </c>
      <c r="E44" s="101"/>
      <c r="F44" s="642">
        <f>IF((SUMIF('Balance N-1 Retraitée'!A:A,"5*",'Balance N-1 Retraitée'!E:E)-SUMIF('Balance N-1 Retraitée'!A:A,"5*",'Balance N-1 Retraitée'!F:F))&gt;=0,(SUMIF('Balance N-1 Retraitée'!A:A,"5*",'Balance N-1 Retraitée'!E:E)-SUMIF('Balance N-1 Retraitée'!A:A,"5*",'Balance N-1 Retraitée'!F:F)),0)</f>
        <v>0</v>
      </c>
      <c r="G44" s="642"/>
    </row>
    <row r="45" spans="1:9" s="11" customFormat="1" ht="13.5" thickBot="1" x14ac:dyDescent="0.25">
      <c r="A45" s="1053"/>
      <c r="B45" s="103" t="s">
        <v>225</v>
      </c>
      <c r="C45" s="641">
        <f>+C42+C43+C44</f>
        <v>0</v>
      </c>
      <c r="D45" s="641">
        <f>+D43+D32+D44</f>
        <v>0</v>
      </c>
      <c r="E45" s="101"/>
      <c r="F45" s="641">
        <f>+F42+F43+F44</f>
        <v>0</v>
      </c>
      <c r="G45" s="641">
        <f>+G43+G32+G44</f>
        <v>0</v>
      </c>
    </row>
    <row r="46" spans="1:9" x14ac:dyDescent="0.2">
      <c r="B46" s="72"/>
      <c r="C46" s="72"/>
      <c r="D46" s="72"/>
      <c r="E46" s="72"/>
      <c r="F46" s="72"/>
      <c r="G46" s="72"/>
    </row>
    <row r="47" spans="1:9" x14ac:dyDescent="0.2">
      <c r="C47" s="647">
        <f>+C45-D45</f>
        <v>0</v>
      </c>
      <c r="D47" s="100"/>
      <c r="E47" s="72"/>
      <c r="F47" s="779">
        <f>F45-G45</f>
        <v>0</v>
      </c>
      <c r="G47" s="72"/>
    </row>
    <row r="48" spans="1:9" x14ac:dyDescent="0.2">
      <c r="C48" s="647"/>
      <c r="D48" s="100"/>
      <c r="E48" s="72"/>
      <c r="F48" s="72"/>
      <c r="G48" s="72"/>
    </row>
    <row r="49" spans="3:7" x14ac:dyDescent="0.2">
      <c r="C49" s="647">
        <f>+C47/2</f>
        <v>0</v>
      </c>
      <c r="D49" s="100"/>
      <c r="E49" s="72"/>
      <c r="F49" s="72"/>
      <c r="G49" s="72"/>
    </row>
    <row r="50" spans="3:7" x14ac:dyDescent="0.2">
      <c r="C50" s="713"/>
      <c r="D50" s="72"/>
      <c r="E50" s="72"/>
      <c r="F50" s="72"/>
      <c r="G50" s="72"/>
    </row>
    <row r="51" spans="3:7" x14ac:dyDescent="0.2">
      <c r="C51" s="713"/>
      <c r="D51" s="72"/>
      <c r="E51" s="72"/>
      <c r="F51" s="72"/>
      <c r="G51" s="72"/>
    </row>
    <row r="52" spans="3:7" x14ac:dyDescent="0.2">
      <c r="C52" s="72"/>
      <c r="D52" s="72"/>
      <c r="E52" s="72"/>
      <c r="F52" s="72"/>
      <c r="G52" s="72"/>
    </row>
    <row r="53" spans="3:7" x14ac:dyDescent="0.2">
      <c r="C53" s="72"/>
      <c r="D53" s="72"/>
      <c r="E53" s="72"/>
      <c r="F53" s="72"/>
      <c r="G53" s="72"/>
    </row>
    <row r="54" spans="3:7" x14ac:dyDescent="0.2">
      <c r="C54" s="72"/>
      <c r="D54" s="72"/>
      <c r="E54" s="72"/>
      <c r="F54" s="72"/>
      <c r="G54" s="72"/>
    </row>
    <row r="55" spans="3:7" x14ac:dyDescent="0.2">
      <c r="C55" s="72"/>
      <c r="D55" s="72"/>
      <c r="E55" s="72"/>
      <c r="F55" s="72"/>
      <c r="G55" s="72"/>
    </row>
    <row r="56" spans="3:7" x14ac:dyDescent="0.2">
      <c r="C56" s="72"/>
      <c r="D56" s="72"/>
      <c r="E56" s="72"/>
      <c r="F56" s="72"/>
      <c r="G56" s="72"/>
    </row>
    <row r="57" spans="3:7" x14ac:dyDescent="0.2">
      <c r="C57" s="72"/>
      <c r="D57" s="72"/>
      <c r="E57" s="72"/>
      <c r="F57" s="72"/>
      <c r="G57" s="72"/>
    </row>
    <row r="58" spans="3:7" x14ac:dyDescent="0.2">
      <c r="C58" s="72"/>
      <c r="D58" s="72"/>
      <c r="E58" s="72"/>
      <c r="F58" s="72"/>
      <c r="G58" s="72"/>
    </row>
    <row r="59" spans="3:7" x14ac:dyDescent="0.2">
      <c r="C59" s="72"/>
      <c r="D59" s="72"/>
      <c r="E59" s="72"/>
      <c r="F59" s="72"/>
      <c r="G59" s="72"/>
    </row>
  </sheetData>
  <phoneticPr fontId="28" type="noConversion"/>
  <pageMargins left="0.78740157499999996" right="0.78740157499999996" top="0.984251969" bottom="0.984251969" header="0.4921259845" footer="0.4921259845"/>
  <pageSetup paperSize="9" scale="76" orientation="portrait" horizontalDpi="300" verticalDpi="300" r:id="rId1"/>
  <headerFooter alignWithMargins="0">
    <oddHeader>&amp;L&amp;"Times New Roman,Gras italique"&amp;12Sté : ...............................</oddHeader>
  </headerFooter>
  <ignoredErrors>
    <ignoredError sqref="F12:G12"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1">
    <tabColor rgb="FFFF0000"/>
  </sheetPr>
  <dimension ref="B3:C65"/>
  <sheetViews>
    <sheetView zoomScale="75" zoomScaleNormal="75" workbookViewId="0"/>
  </sheetViews>
  <sheetFormatPr baseColWidth="10" defaultColWidth="13.33203125" defaultRowHeight="12.75" x14ac:dyDescent="0.2"/>
  <cols>
    <col min="1" max="1" width="2.1640625" style="767" customWidth="1"/>
    <col min="2" max="2" width="76.33203125" style="1061" customWidth="1"/>
    <col min="3" max="3" width="76.33203125" style="767" customWidth="1"/>
    <col min="4" max="16384" width="13.33203125" style="767"/>
  </cols>
  <sheetData>
    <row r="3" spans="2:3" ht="18.75" x14ac:dyDescent="0.3">
      <c r="B3" s="1057"/>
      <c r="C3" s="766"/>
    </row>
    <row r="4" spans="2:3" x14ac:dyDescent="0.2">
      <c r="B4" s="1058"/>
      <c r="C4" s="768"/>
    </row>
    <row r="5" spans="2:3" ht="13.5" thickBot="1" x14ac:dyDescent="0.25">
      <c r="B5" s="1059" t="str">
        <f>' A2 Dérogations'!C7</f>
        <v>31/12/2015</v>
      </c>
      <c r="C5" s="769"/>
    </row>
    <row r="6" spans="2:3" ht="19.5" thickBot="1" x14ac:dyDescent="0.35">
      <c r="B6" s="1172" t="s">
        <v>609</v>
      </c>
      <c r="C6" s="1173"/>
    </row>
    <row r="7" spans="2:3" x14ac:dyDescent="0.2">
      <c r="B7" s="1178"/>
      <c r="C7" s="1179"/>
    </row>
    <row r="8" spans="2:3" ht="15" x14ac:dyDescent="0.2">
      <c r="B8" s="1180" t="s">
        <v>610</v>
      </c>
      <c r="C8" s="1181"/>
    </row>
    <row r="9" spans="2:3" x14ac:dyDescent="0.2">
      <c r="B9" s="1182"/>
      <c r="C9" s="1183"/>
    </row>
    <row r="10" spans="2:3" ht="14.25" x14ac:dyDescent="0.2">
      <c r="B10" s="1184"/>
      <c r="C10" s="1185"/>
    </row>
    <row r="11" spans="2:3" ht="13.5" thickBot="1" x14ac:dyDescent="0.25">
      <c r="B11" s="1170"/>
      <c r="C11" s="1171"/>
    </row>
    <row r="12" spans="2:3" ht="13.5" thickBot="1" x14ac:dyDescent="0.25"/>
    <row r="13" spans="2:3" ht="19.5" thickBot="1" x14ac:dyDescent="0.35">
      <c r="B13" s="1172" t="s">
        <v>2930</v>
      </c>
      <c r="C13" s="1173"/>
    </row>
    <row r="14" spans="2:3" ht="13.5" thickBot="1" x14ac:dyDescent="0.25"/>
    <row r="15" spans="2:3" ht="19.5" thickBot="1" x14ac:dyDescent="0.35">
      <c r="B15" s="1176" t="s">
        <v>2897</v>
      </c>
      <c r="C15" s="1177"/>
    </row>
    <row r="16" spans="2:3" ht="13.5" thickBot="1" x14ac:dyDescent="0.25"/>
    <row r="17" spans="2:3" ht="19.5" thickBot="1" x14ac:dyDescent="0.35">
      <c r="B17" s="1174" t="s">
        <v>2898</v>
      </c>
      <c r="C17" s="1175"/>
    </row>
    <row r="18" spans="2:3" ht="19.5" thickBot="1" x14ac:dyDescent="0.35">
      <c r="B18" s="1060" t="s">
        <v>2899</v>
      </c>
      <c r="C18" s="1054" t="s">
        <v>2900</v>
      </c>
    </row>
    <row r="19" spans="2:3" ht="92.25" customHeight="1" thickBot="1" x14ac:dyDescent="0.25">
      <c r="B19" s="1056" t="s">
        <v>2901</v>
      </c>
      <c r="C19" s="1055"/>
    </row>
    <row r="20" spans="2:3" ht="92.25" customHeight="1" thickBot="1" x14ac:dyDescent="0.25">
      <c r="B20" s="1056" t="s">
        <v>2902</v>
      </c>
      <c r="C20" s="1055"/>
    </row>
    <row r="21" spans="2:3" ht="92.25" customHeight="1" thickBot="1" x14ac:dyDescent="0.25">
      <c r="B21" s="1056" t="s">
        <v>2903</v>
      </c>
      <c r="C21" s="1055"/>
    </row>
    <row r="22" spans="2:3" ht="92.25" customHeight="1" x14ac:dyDescent="0.2">
      <c r="B22" s="1056" t="s">
        <v>2904</v>
      </c>
      <c r="C22" s="1055"/>
    </row>
    <row r="23" spans="2:3" ht="13.5" thickBot="1" x14ac:dyDescent="0.25"/>
    <row r="24" spans="2:3" ht="19.5" thickBot="1" x14ac:dyDescent="0.35">
      <c r="B24" s="1174" t="s">
        <v>2905</v>
      </c>
      <c r="C24" s="1175"/>
    </row>
    <row r="25" spans="2:3" ht="19.5" thickBot="1" x14ac:dyDescent="0.35">
      <c r="B25" s="1060" t="s">
        <v>2899</v>
      </c>
      <c r="C25" s="1054" t="s">
        <v>2900</v>
      </c>
    </row>
    <row r="26" spans="2:3" ht="92.25" customHeight="1" thickBot="1" x14ac:dyDescent="0.25">
      <c r="B26" s="1056" t="s">
        <v>2906</v>
      </c>
      <c r="C26" s="1055"/>
    </row>
    <row r="27" spans="2:3" ht="92.25" customHeight="1" thickBot="1" x14ac:dyDescent="0.25">
      <c r="B27" s="1056" t="s">
        <v>2907</v>
      </c>
      <c r="C27" s="1055"/>
    </row>
    <row r="28" spans="2:3" ht="92.25" customHeight="1" x14ac:dyDescent="0.2">
      <c r="B28" s="1056" t="s">
        <v>2908</v>
      </c>
      <c r="C28" s="1055"/>
    </row>
    <row r="29" spans="2:3" ht="13.5" thickBot="1" x14ac:dyDescent="0.25"/>
    <row r="30" spans="2:3" ht="19.5" thickBot="1" x14ac:dyDescent="0.35">
      <c r="B30" s="1176" t="s">
        <v>2909</v>
      </c>
      <c r="C30" s="1177"/>
    </row>
    <row r="31" spans="2:3" ht="13.5" thickBot="1" x14ac:dyDescent="0.25"/>
    <row r="32" spans="2:3" ht="19.5" thickBot="1" x14ac:dyDescent="0.35">
      <c r="B32" s="1174" t="s">
        <v>2898</v>
      </c>
      <c r="C32" s="1175"/>
    </row>
    <row r="33" spans="2:3" ht="19.5" thickBot="1" x14ac:dyDescent="0.35">
      <c r="B33" s="1060" t="s">
        <v>2899</v>
      </c>
      <c r="C33" s="1054" t="s">
        <v>2900</v>
      </c>
    </row>
    <row r="34" spans="2:3" ht="92.25" customHeight="1" thickBot="1" x14ac:dyDescent="0.25">
      <c r="B34" s="1056" t="s">
        <v>2910</v>
      </c>
      <c r="C34" s="1055"/>
    </row>
    <row r="35" spans="2:3" ht="92.25" customHeight="1" thickBot="1" x14ac:dyDescent="0.25">
      <c r="B35" s="1056" t="s">
        <v>2911</v>
      </c>
      <c r="C35" s="1055"/>
    </row>
    <row r="36" spans="2:3" ht="92.25" customHeight="1" x14ac:dyDescent="0.2">
      <c r="B36" s="1056" t="s">
        <v>2912</v>
      </c>
      <c r="C36" s="1055"/>
    </row>
    <row r="37" spans="2:3" ht="13.5" thickBot="1" x14ac:dyDescent="0.25"/>
    <row r="38" spans="2:3" ht="19.5" thickBot="1" x14ac:dyDescent="0.35">
      <c r="B38" s="1174" t="s">
        <v>2913</v>
      </c>
      <c r="C38" s="1175"/>
    </row>
    <row r="39" spans="2:3" ht="19.5" thickBot="1" x14ac:dyDescent="0.35">
      <c r="B39" s="1060" t="s">
        <v>2899</v>
      </c>
      <c r="C39" s="1054" t="s">
        <v>2900</v>
      </c>
    </row>
    <row r="40" spans="2:3" ht="92.25" customHeight="1" thickBot="1" x14ac:dyDescent="0.25">
      <c r="B40" s="1056" t="s">
        <v>2914</v>
      </c>
      <c r="C40" s="1055"/>
    </row>
    <row r="41" spans="2:3" ht="92.25" customHeight="1" x14ac:dyDescent="0.2">
      <c r="B41" s="1056" t="s">
        <v>2915</v>
      </c>
      <c r="C41" s="1055"/>
    </row>
    <row r="42" spans="2:3" ht="13.5" thickBot="1" x14ac:dyDescent="0.25"/>
    <row r="43" spans="2:3" ht="19.5" thickBot="1" x14ac:dyDescent="0.35">
      <c r="B43" s="1176" t="s">
        <v>2916</v>
      </c>
      <c r="C43" s="1177"/>
    </row>
    <row r="44" spans="2:3" ht="13.5" thickBot="1" x14ac:dyDescent="0.25"/>
    <row r="45" spans="2:3" ht="19.5" thickBot="1" x14ac:dyDescent="0.35">
      <c r="B45" s="1174" t="s">
        <v>2898</v>
      </c>
      <c r="C45" s="1175"/>
    </row>
    <row r="46" spans="2:3" ht="19.5" thickBot="1" x14ac:dyDescent="0.35">
      <c r="B46" s="1060" t="s">
        <v>2899</v>
      </c>
      <c r="C46" s="1054" t="s">
        <v>2900</v>
      </c>
    </row>
    <row r="47" spans="2:3" ht="92.25" customHeight="1" thickBot="1" x14ac:dyDescent="0.25">
      <c r="B47" s="1056" t="s">
        <v>2917</v>
      </c>
      <c r="C47" s="1055"/>
    </row>
    <row r="48" spans="2:3" ht="92.25" customHeight="1" thickBot="1" x14ac:dyDescent="0.25">
      <c r="B48" s="1056" t="s">
        <v>2918</v>
      </c>
      <c r="C48" s="1055"/>
    </row>
    <row r="49" spans="2:3" ht="92.25" customHeight="1" thickBot="1" x14ac:dyDescent="0.25">
      <c r="B49" s="1056" t="s">
        <v>2919</v>
      </c>
      <c r="C49" s="1055"/>
    </row>
    <row r="50" spans="2:3" ht="92.25" customHeight="1" thickBot="1" x14ac:dyDescent="0.25">
      <c r="B50" s="1056" t="s">
        <v>2920</v>
      </c>
      <c r="C50" s="1055"/>
    </row>
    <row r="51" spans="2:3" ht="92.25" customHeight="1" x14ac:dyDescent="0.2">
      <c r="B51" s="1056" t="s">
        <v>2921</v>
      </c>
      <c r="C51" s="1055"/>
    </row>
    <row r="52" spans="2:3" ht="13.5" thickBot="1" x14ac:dyDescent="0.25"/>
    <row r="53" spans="2:3" ht="19.5" thickBot="1" x14ac:dyDescent="0.35">
      <c r="B53" s="1176" t="s">
        <v>2922</v>
      </c>
      <c r="C53" s="1177"/>
    </row>
    <row r="54" spans="2:3" ht="13.5" thickBot="1" x14ac:dyDescent="0.25"/>
    <row r="55" spans="2:3" ht="19.5" thickBot="1" x14ac:dyDescent="0.35">
      <c r="B55" s="1060" t="s">
        <v>2899</v>
      </c>
      <c r="C55" s="1054" t="s">
        <v>2900</v>
      </c>
    </row>
    <row r="56" spans="2:3" ht="92.25" customHeight="1" thickBot="1" x14ac:dyDescent="0.25">
      <c r="B56" s="1056" t="s">
        <v>2923</v>
      </c>
      <c r="C56" s="1055"/>
    </row>
    <row r="57" spans="2:3" ht="92.25" customHeight="1" thickBot="1" x14ac:dyDescent="0.25">
      <c r="B57" s="1056" t="s">
        <v>2924</v>
      </c>
      <c r="C57" s="1055"/>
    </row>
    <row r="58" spans="2:3" ht="92.25" customHeight="1" x14ac:dyDescent="0.2">
      <c r="B58" s="1056" t="s">
        <v>2925</v>
      </c>
      <c r="C58" s="1055"/>
    </row>
    <row r="59" spans="2:3" ht="13.5" thickBot="1" x14ac:dyDescent="0.25"/>
    <row r="60" spans="2:3" ht="19.5" thickBot="1" x14ac:dyDescent="0.35">
      <c r="B60" s="1176" t="s">
        <v>2926</v>
      </c>
      <c r="C60" s="1177"/>
    </row>
    <row r="61" spans="2:3" ht="13.5" thickBot="1" x14ac:dyDescent="0.25"/>
    <row r="62" spans="2:3" ht="19.5" thickBot="1" x14ac:dyDescent="0.35">
      <c r="B62" s="1060" t="s">
        <v>2899</v>
      </c>
      <c r="C62" s="1054" t="s">
        <v>2900</v>
      </c>
    </row>
    <row r="63" spans="2:3" ht="92.25" customHeight="1" thickBot="1" x14ac:dyDescent="0.25">
      <c r="B63" s="1056" t="s">
        <v>2927</v>
      </c>
      <c r="C63" s="1055"/>
    </row>
    <row r="64" spans="2:3" ht="92.25" customHeight="1" thickBot="1" x14ac:dyDescent="0.25">
      <c r="B64" s="1056" t="s">
        <v>2928</v>
      </c>
      <c r="C64" s="1055"/>
    </row>
    <row r="65" spans="2:3" ht="92.25" customHeight="1" x14ac:dyDescent="0.2">
      <c r="B65" s="1056" t="s">
        <v>2929</v>
      </c>
      <c r="C65" s="1055"/>
    </row>
  </sheetData>
  <mergeCells count="17">
    <mergeCell ref="B53:C53"/>
    <mergeCell ref="B60:C60"/>
    <mergeCell ref="B45:C45"/>
    <mergeCell ref="B6:C6"/>
    <mergeCell ref="B7:C7"/>
    <mergeCell ref="B8:C8"/>
    <mergeCell ref="B9:C9"/>
    <mergeCell ref="B10:C10"/>
    <mergeCell ref="B11:C11"/>
    <mergeCell ref="B13:C13"/>
    <mergeCell ref="B32:C32"/>
    <mergeCell ref="B38:C38"/>
    <mergeCell ref="B43:C43"/>
    <mergeCell ref="B17:C17"/>
    <mergeCell ref="B15:C15"/>
    <mergeCell ref="B24:C24"/>
    <mergeCell ref="B30:C30"/>
  </mergeCells>
  <phoneticPr fontId="0" type="noConversion"/>
  <pageMargins left="0.78740157499999996" right="0.78740157499999996" top="0.984251969" bottom="0.984251969" header="0.4921259845" footer="0.4921259845"/>
  <pageSetup paperSize="9" scale="80" orientation="portrait" r:id="rId1"/>
  <headerFooter alignWithMargins="0">
    <oddHeader>&amp;L&amp;"Times New Roman,Gras italique"&amp;12Sté : ...............................</oddHeader>
  </headerFooter>
  <rowBreaks count="1" manualBreakCount="1">
    <brk id="21" min="1" max="1"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2">
    <tabColor rgb="FFFF0000"/>
    <pageSetUpPr fitToPage="1"/>
  </sheetPr>
  <dimension ref="A2:C24"/>
  <sheetViews>
    <sheetView zoomScale="80" zoomScaleNormal="80" workbookViewId="0"/>
  </sheetViews>
  <sheetFormatPr baseColWidth="10" defaultColWidth="13.33203125" defaultRowHeight="12.75" x14ac:dyDescent="0.2"/>
  <cols>
    <col min="1" max="1" width="82.33203125" style="767" customWidth="1"/>
    <col min="2" max="2" width="48.6640625" style="767" customWidth="1"/>
    <col min="3" max="3" width="59.1640625" style="767" customWidth="1"/>
    <col min="4" max="16384" width="13.33203125" style="767"/>
  </cols>
  <sheetData>
    <row r="2" spans="1:3" ht="15" x14ac:dyDescent="0.2">
      <c r="A2" s="770"/>
    </row>
    <row r="3" spans="1:3" x14ac:dyDescent="0.2">
      <c r="A3" s="768"/>
    </row>
    <row r="5" spans="1:3" ht="14.25" x14ac:dyDescent="0.2">
      <c r="A5" s="771" t="s">
        <v>611</v>
      </c>
    </row>
    <row r="6" spans="1:3" x14ac:dyDescent="0.2">
      <c r="A6" s="768"/>
    </row>
    <row r="7" spans="1:3" ht="15" thickBot="1" x14ac:dyDescent="0.25">
      <c r="A7" s="772"/>
      <c r="B7" s="773" t="s">
        <v>19</v>
      </c>
      <c r="C7" s="774" t="str">
        <f>'T20 Stocks'!H3</f>
        <v>31/12/2015</v>
      </c>
    </row>
    <row r="8" spans="1:3" ht="14.25" x14ac:dyDescent="0.2">
      <c r="A8" s="775" t="s">
        <v>612</v>
      </c>
      <c r="B8" s="775" t="s">
        <v>613</v>
      </c>
      <c r="C8" s="775" t="s">
        <v>614</v>
      </c>
    </row>
    <row r="9" spans="1:3" ht="14.25" x14ac:dyDescent="0.2">
      <c r="A9" s="776" t="s">
        <v>615</v>
      </c>
      <c r="B9" s="776" t="s">
        <v>615</v>
      </c>
      <c r="C9" s="776" t="s">
        <v>616</v>
      </c>
    </row>
    <row r="10" spans="1:3" ht="15.75" thickBot="1" x14ac:dyDescent="0.3">
      <c r="A10" s="777"/>
      <c r="B10" s="778"/>
      <c r="C10" s="778" t="s">
        <v>617</v>
      </c>
    </row>
    <row r="11" spans="1:3" ht="93" customHeight="1" thickBot="1" x14ac:dyDescent="0.25">
      <c r="A11" s="1029" t="s">
        <v>618</v>
      </c>
      <c r="B11" s="1030"/>
      <c r="C11" s="1030"/>
    </row>
    <row r="12" spans="1:3" ht="93" customHeight="1" thickBot="1" x14ac:dyDescent="0.25">
      <c r="A12" s="1029" t="s">
        <v>2885</v>
      </c>
      <c r="B12" s="1030"/>
      <c r="C12" s="1030"/>
    </row>
    <row r="13" spans="1:3" ht="93" customHeight="1" thickBot="1" x14ac:dyDescent="0.25">
      <c r="A13" s="1029" t="s">
        <v>2886</v>
      </c>
      <c r="B13" s="1030"/>
      <c r="C13" s="1030"/>
    </row>
    <row r="14" spans="1:3" ht="14.25" x14ac:dyDescent="0.2">
      <c r="A14" s="772"/>
      <c r="B14" s="772"/>
      <c r="C14" s="772"/>
    </row>
    <row r="15" spans="1:3" ht="14.25" x14ac:dyDescent="0.2">
      <c r="A15" s="772"/>
      <c r="B15" s="772"/>
      <c r="C15" s="772"/>
    </row>
    <row r="16" spans="1:3" ht="14.25" x14ac:dyDescent="0.2">
      <c r="A16" s="772"/>
      <c r="B16" s="772"/>
      <c r="C16" s="772"/>
    </row>
    <row r="17" spans="1:3" ht="14.25" x14ac:dyDescent="0.2">
      <c r="A17" s="772"/>
      <c r="B17" s="772"/>
      <c r="C17" s="772"/>
    </row>
    <row r="18" spans="1:3" ht="14.25" x14ac:dyDescent="0.2">
      <c r="A18" s="772"/>
      <c r="B18" s="772"/>
      <c r="C18" s="772"/>
    </row>
    <row r="19" spans="1:3" ht="14.25" x14ac:dyDescent="0.2">
      <c r="A19" s="772"/>
      <c r="B19" s="772"/>
      <c r="C19" s="772"/>
    </row>
    <row r="20" spans="1:3" ht="14.25" x14ac:dyDescent="0.2">
      <c r="A20" s="772"/>
      <c r="B20" s="772"/>
      <c r="C20" s="772"/>
    </row>
    <row r="21" spans="1:3" ht="14.25" x14ac:dyDescent="0.2">
      <c r="A21" s="772"/>
      <c r="B21" s="772"/>
      <c r="C21" s="772"/>
    </row>
    <row r="22" spans="1:3" ht="14.25" x14ac:dyDescent="0.2">
      <c r="A22" s="772"/>
      <c r="B22" s="772"/>
      <c r="C22" s="772"/>
    </row>
    <row r="23" spans="1:3" ht="14.25" x14ac:dyDescent="0.2">
      <c r="A23" s="772"/>
      <c r="B23" s="772"/>
      <c r="C23" s="772"/>
    </row>
    <row r="24" spans="1:3" ht="14.25" x14ac:dyDescent="0.2">
      <c r="A24" s="772"/>
      <c r="B24" s="772"/>
      <c r="C24" s="772"/>
    </row>
  </sheetData>
  <phoneticPr fontId="0" type="noConversion"/>
  <pageMargins left="0.78740157499999996" right="0.78740157499999996" top="0.984251969" bottom="0.984251969" header="0.4921259845" footer="0.4921259845"/>
  <pageSetup paperSize="9" scale="74" orientation="landscape" r:id="rId1"/>
  <headerFooter alignWithMargins="0">
    <oddHeader>&amp;L&amp;"Times New Roman,Gras italique"&amp;12Sté :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3">
    <tabColor rgb="FFFF0000"/>
    <pageSetUpPr fitToPage="1"/>
  </sheetPr>
  <dimension ref="B1:D15"/>
  <sheetViews>
    <sheetView zoomScale="80" zoomScaleNormal="80" workbookViewId="0"/>
  </sheetViews>
  <sheetFormatPr baseColWidth="10" defaultColWidth="13.33203125" defaultRowHeight="12.75" x14ac:dyDescent="0.2"/>
  <cols>
    <col min="1" max="1" width="13.33203125" style="767" customWidth="1"/>
    <col min="2" max="2" width="62.33203125" style="767" customWidth="1"/>
    <col min="3" max="3" width="22.33203125" style="767" bestFit="1" customWidth="1"/>
    <col min="4" max="4" width="42.33203125" style="767" bestFit="1" customWidth="1"/>
    <col min="5" max="16384" width="13.33203125" style="767"/>
  </cols>
  <sheetData>
    <row r="1" spans="2:4" ht="15" x14ac:dyDescent="0.2">
      <c r="B1" s="770"/>
      <c r="C1" s="772"/>
      <c r="D1" s="772"/>
    </row>
    <row r="2" spans="2:4" ht="14.25" x14ac:dyDescent="0.2">
      <c r="B2" s="772"/>
      <c r="C2" s="772"/>
      <c r="D2" s="772"/>
    </row>
    <row r="3" spans="2:4" ht="14.25" x14ac:dyDescent="0.2">
      <c r="B3" s="772"/>
      <c r="C3" s="772"/>
      <c r="D3" s="772"/>
    </row>
    <row r="4" spans="2:4" ht="14.25" x14ac:dyDescent="0.2">
      <c r="B4" s="771" t="s">
        <v>619</v>
      </c>
      <c r="C4" s="772"/>
      <c r="D4" s="772"/>
    </row>
    <row r="5" spans="2:4" ht="14.25" x14ac:dyDescent="0.2">
      <c r="B5" s="771"/>
      <c r="C5" s="772"/>
      <c r="D5" s="772"/>
    </row>
    <row r="6" spans="2:4" ht="14.25" x14ac:dyDescent="0.2">
      <c r="B6" s="772"/>
      <c r="C6" s="773" t="s">
        <v>19</v>
      </c>
      <c r="D6" s="774" t="str">
        <f>' A2 Dérogations'!C7</f>
        <v>31/12/2015</v>
      </c>
    </row>
    <row r="7" spans="2:4" ht="15" thickBot="1" x14ac:dyDescent="0.25">
      <c r="B7" s="772"/>
      <c r="C7" s="773"/>
      <c r="D7" s="774"/>
    </row>
    <row r="8" spans="2:4" ht="29.25" customHeight="1" thickBot="1" x14ac:dyDescent="0.25">
      <c r="B8" s="1186" t="s">
        <v>2935</v>
      </c>
      <c r="C8" s="1187"/>
      <c r="D8" s="1188"/>
    </row>
    <row r="9" spans="2:4" s="1061" customFormat="1" ht="43.5" thickBot="1" x14ac:dyDescent="0.25">
      <c r="B9" s="1064" t="s">
        <v>2932</v>
      </c>
      <c r="C9" s="1064" t="s">
        <v>2933</v>
      </c>
      <c r="D9" s="1064" t="s">
        <v>2934</v>
      </c>
    </row>
    <row r="10" spans="2:4" ht="41.25" customHeight="1" thickBot="1" x14ac:dyDescent="0.25">
      <c r="B10" s="1065"/>
      <c r="C10" s="1066"/>
      <c r="D10" s="1066"/>
    </row>
    <row r="11" spans="2:4" ht="41.25" customHeight="1" thickBot="1" x14ac:dyDescent="0.25">
      <c r="B11" s="1067"/>
      <c r="C11" s="1068"/>
      <c r="D11" s="1068"/>
    </row>
    <row r="12" spans="2:4" ht="15" thickBot="1" x14ac:dyDescent="0.25">
      <c r="B12" s="772"/>
      <c r="C12" s="772"/>
      <c r="D12" s="772"/>
    </row>
    <row r="13" spans="2:4" ht="29.25" customHeight="1" thickBot="1" x14ac:dyDescent="0.25">
      <c r="B13" s="1186" t="s">
        <v>2936</v>
      </c>
      <c r="C13" s="1187"/>
      <c r="D13" s="1188"/>
    </row>
    <row r="14" spans="2:4" ht="41.25" customHeight="1" thickBot="1" x14ac:dyDescent="0.25">
      <c r="B14" s="1065"/>
      <c r="C14" s="1066"/>
      <c r="D14" s="1066"/>
    </row>
    <row r="15" spans="2:4" ht="41.25" customHeight="1" thickBot="1" x14ac:dyDescent="0.25">
      <c r="B15" s="1067"/>
      <c r="C15" s="1068"/>
      <c r="D15" s="1068"/>
    </row>
  </sheetData>
  <mergeCells count="2">
    <mergeCell ref="B8:D8"/>
    <mergeCell ref="B13:D13"/>
  </mergeCells>
  <phoneticPr fontId="0" type="noConversion"/>
  <pageMargins left="0.78740157499999996" right="0.78740157499999996" top="0.984251969" bottom="0.984251969" header="0.4921259845" footer="0.4921259845"/>
  <pageSetup paperSize="9" scale="92" orientation="landscape" verticalDpi="300" r:id="rId1"/>
  <headerFooter alignWithMargins="0">
    <oddHeader>&amp;L&amp;"Times New Roman,Gras italique"&amp;12Sté :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42">
    <pageSetUpPr fitToPage="1"/>
  </sheetPr>
  <dimension ref="A1:E24"/>
  <sheetViews>
    <sheetView workbookViewId="0"/>
  </sheetViews>
  <sheetFormatPr baseColWidth="10" defaultColWidth="13.33203125" defaultRowHeight="12.75" x14ac:dyDescent="0.2"/>
  <cols>
    <col min="1" max="1" width="7.1640625" style="4" customWidth="1"/>
    <col min="2" max="2" width="47.1640625" style="4" customWidth="1"/>
    <col min="3" max="3" width="20.6640625" style="4" customWidth="1"/>
    <col min="4" max="4" width="18.33203125" style="4" customWidth="1"/>
    <col min="5" max="16384" width="13.33203125" style="4"/>
  </cols>
  <sheetData>
    <row r="1" spans="1:5" ht="15.75" x14ac:dyDescent="0.25">
      <c r="A1" s="732"/>
    </row>
    <row r="2" spans="1:5" x14ac:dyDescent="0.2">
      <c r="B2" s="9"/>
      <c r="C2" s="9"/>
      <c r="D2" s="55" t="s">
        <v>161</v>
      </c>
    </row>
    <row r="3" spans="1:5" x14ac:dyDescent="0.2">
      <c r="B3" s="9"/>
      <c r="C3" s="9"/>
      <c r="D3" s="9"/>
    </row>
    <row r="4" spans="1:5" x14ac:dyDescent="0.2">
      <c r="A4" s="126" t="s">
        <v>162</v>
      </c>
      <c r="B4" s="129"/>
      <c r="C4" s="129"/>
      <c r="D4" s="126"/>
      <c r="E4" s="130"/>
    </row>
    <row r="5" spans="1:5" x14ac:dyDescent="0.2">
      <c r="A5" s="126" t="s">
        <v>163</v>
      </c>
      <c r="B5" s="129"/>
      <c r="C5" s="129"/>
      <c r="D5" s="129"/>
      <c r="E5" s="130"/>
    </row>
    <row r="6" spans="1:5" x14ac:dyDescent="0.2">
      <c r="B6" s="9"/>
      <c r="C6" s="9"/>
      <c r="D6" s="9"/>
    </row>
    <row r="7" spans="1:5" x14ac:dyDescent="0.2">
      <c r="B7" s="9"/>
      <c r="C7" s="10" t="str">
        <f>+'C3-3 exer'!C4</f>
        <v>Exercice clos le :</v>
      </c>
      <c r="D7" s="284" t="str">
        <f>'T5 ESG'!$G$3</f>
        <v>31/12/2015</v>
      </c>
    </row>
    <row r="8" spans="1:5" x14ac:dyDescent="0.2">
      <c r="B8" s="9"/>
      <c r="C8" s="9"/>
      <c r="D8" s="9"/>
    </row>
    <row r="9" spans="1:5" x14ac:dyDescent="0.2">
      <c r="B9" s="131"/>
      <c r="C9" s="132" t="s">
        <v>164</v>
      </c>
      <c r="D9" s="132" t="s">
        <v>165</v>
      </c>
    </row>
    <row r="10" spans="1:5" x14ac:dyDescent="0.2">
      <c r="B10" s="133" t="s">
        <v>370</v>
      </c>
      <c r="C10" s="134" t="s">
        <v>166</v>
      </c>
      <c r="D10" s="134" t="s">
        <v>166</v>
      </c>
    </row>
    <row r="11" spans="1:5" x14ac:dyDescent="0.2">
      <c r="B11" s="135"/>
      <c r="C11" s="136" t="s">
        <v>167</v>
      </c>
      <c r="D11" s="136" t="s">
        <v>167</v>
      </c>
    </row>
    <row r="12" spans="1:5" ht="15" customHeight="1" x14ac:dyDescent="0.2">
      <c r="B12" s="137"/>
      <c r="C12" s="62"/>
      <c r="D12" s="62"/>
    </row>
    <row r="13" spans="1:5" ht="15" customHeight="1" x14ac:dyDescent="0.2">
      <c r="B13" s="137" t="s">
        <v>168</v>
      </c>
      <c r="C13" s="724"/>
      <c r="D13" s="724"/>
    </row>
    <row r="14" spans="1:5" ht="15" customHeight="1" x14ac:dyDescent="0.2">
      <c r="B14" s="137" t="s">
        <v>169</v>
      </c>
      <c r="C14" s="724"/>
      <c r="D14" s="724"/>
    </row>
    <row r="15" spans="1:5" ht="15" customHeight="1" x14ac:dyDescent="0.2">
      <c r="B15" s="137" t="s">
        <v>170</v>
      </c>
      <c r="C15" s="724"/>
      <c r="D15" s="724"/>
    </row>
    <row r="16" spans="1:5" ht="15" customHeight="1" x14ac:dyDescent="0.2">
      <c r="B16" s="137" t="s">
        <v>171</v>
      </c>
      <c r="C16" s="724"/>
      <c r="D16" s="724"/>
    </row>
    <row r="17" spans="2:4" ht="15" customHeight="1" x14ac:dyDescent="0.2">
      <c r="B17" s="137"/>
      <c r="C17" s="724"/>
      <c r="D17" s="724"/>
    </row>
    <row r="18" spans="2:4" ht="15" customHeight="1" x14ac:dyDescent="0.2">
      <c r="B18" s="137" t="s">
        <v>172</v>
      </c>
      <c r="C18" s="724"/>
      <c r="D18" s="724"/>
    </row>
    <row r="19" spans="2:4" ht="15" customHeight="1" x14ac:dyDescent="0.2">
      <c r="B19" s="137" t="s">
        <v>173</v>
      </c>
      <c r="C19" s="724"/>
      <c r="D19" s="725"/>
    </row>
    <row r="20" spans="2:4" ht="15" customHeight="1" x14ac:dyDescent="0.2">
      <c r="B20" s="138"/>
      <c r="C20" s="726"/>
      <c r="D20" s="726"/>
    </row>
    <row r="21" spans="2:4" ht="15" customHeight="1" x14ac:dyDescent="0.2">
      <c r="B21" s="139" t="s">
        <v>174</v>
      </c>
      <c r="C21" s="602">
        <f>SUM(C13:C20)</f>
        <v>0</v>
      </c>
      <c r="D21" s="603"/>
    </row>
    <row r="22" spans="2:4" ht="15" customHeight="1" x14ac:dyDescent="0.2">
      <c r="B22" s="139" t="s">
        <v>175</v>
      </c>
      <c r="C22" s="603"/>
      <c r="D22" s="604">
        <f>SUM(D13:D20)</f>
        <v>0</v>
      </c>
    </row>
    <row r="23" spans="2:4" ht="15" customHeight="1" x14ac:dyDescent="0.2">
      <c r="B23" s="139" t="s">
        <v>176</v>
      </c>
      <c r="C23" s="604">
        <f>+D22-C21</f>
        <v>0</v>
      </c>
      <c r="D23" s="606"/>
    </row>
    <row r="24" spans="2:4" ht="15" customHeight="1" x14ac:dyDescent="0.2">
      <c r="B24" s="139" t="s">
        <v>177</v>
      </c>
      <c r="C24" s="604">
        <f>SUM(C21:C23)</f>
        <v>0</v>
      </c>
      <c r="D24" s="604">
        <f>SUM(D21:D23)</f>
        <v>0</v>
      </c>
    </row>
  </sheetData>
  <phoneticPr fontId="28" type="noConversion"/>
  <pageMargins left="0.78740157499999996" right="0.78740157499999996" top="0.984251969" bottom="0.984251969" header="0.4921259845" footer="0.4921259845"/>
  <pageSetup paperSize="9" orientation="landscape" horizontalDpi="300" verticalDpi="300" r:id="rId1"/>
  <headerFooter alignWithMargins="0">
    <oddHeader>&amp;L&amp;"Times New Roman,Gras italique"&amp;12Sté : ...............................</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4">
    <pageSetUpPr fitToPage="1"/>
  </sheetPr>
  <dimension ref="B1:D31"/>
  <sheetViews>
    <sheetView workbookViewId="0"/>
  </sheetViews>
  <sheetFormatPr baseColWidth="10" defaultColWidth="12" defaultRowHeight="12.75" x14ac:dyDescent="0.2"/>
  <cols>
    <col min="1" max="1" width="7.1640625" style="2" customWidth="1"/>
    <col min="2" max="2" width="16.1640625" style="2" customWidth="1"/>
    <col min="3" max="3" width="48.83203125" style="2" customWidth="1"/>
    <col min="4" max="4" width="14.33203125" style="2" customWidth="1"/>
    <col min="5" max="16384" width="12" style="2"/>
  </cols>
  <sheetData>
    <row r="1" spans="2:4" x14ac:dyDescent="0.2">
      <c r="C1" s="1189"/>
      <c r="D1" s="1189"/>
    </row>
    <row r="2" spans="2:4" x14ac:dyDescent="0.2">
      <c r="C2" s="346"/>
      <c r="D2" s="346"/>
    </row>
    <row r="3" spans="2:4" ht="15.75" x14ac:dyDescent="0.25">
      <c r="B3" s="347"/>
      <c r="D3" s="348" t="s">
        <v>146</v>
      </c>
    </row>
    <row r="4" spans="2:4" x14ac:dyDescent="0.2">
      <c r="C4" s="349" t="s">
        <v>147</v>
      </c>
    </row>
    <row r="5" spans="2:4" x14ac:dyDescent="0.2">
      <c r="B5" s="350"/>
      <c r="C5" s="346" t="s">
        <v>19</v>
      </c>
      <c r="D5" s="284" t="str">
        <f>'T5 ESG'!$G$3</f>
        <v>31/12/2015</v>
      </c>
    </row>
    <row r="6" spans="2:4" x14ac:dyDescent="0.2">
      <c r="B6" s="351" t="s">
        <v>148</v>
      </c>
      <c r="C6" s="352" t="s">
        <v>149</v>
      </c>
      <c r="D6" s="352" t="s">
        <v>483</v>
      </c>
    </row>
    <row r="7" spans="2:4" x14ac:dyDescent="0.2">
      <c r="B7" s="353" t="s">
        <v>150</v>
      </c>
      <c r="C7" s="354"/>
      <c r="D7" s="354"/>
    </row>
    <row r="8" spans="2:4" x14ac:dyDescent="0.2">
      <c r="B8" s="246"/>
      <c r="C8" s="355"/>
      <c r="D8" s="355"/>
    </row>
    <row r="9" spans="2:4" x14ac:dyDescent="0.2">
      <c r="B9" s="577">
        <v>2111</v>
      </c>
      <c r="C9" s="246" t="s">
        <v>8</v>
      </c>
      <c r="D9" s="358">
        <f>SUMIF('Balance N Retraitée'!A:A,"2111*",'Balance N Retraitée'!G:G)-SUMIF('Balance N Retraitée'!A:A,"2111*",'Balance N Retraitée'!H:H)</f>
        <v>0</v>
      </c>
    </row>
    <row r="10" spans="2:4" x14ac:dyDescent="0.2">
      <c r="B10" s="577">
        <v>2112</v>
      </c>
      <c r="C10" s="246" t="s">
        <v>9</v>
      </c>
      <c r="D10" s="358">
        <f>SUMIF('Balance N Retraitée'!A:A,"2112*",'Balance N Retraitée'!G:G)-SUMIF('Balance N Retraitée'!A:A,"2112*",'Balance N Retraitée'!H:H)</f>
        <v>0</v>
      </c>
    </row>
    <row r="11" spans="2:4" x14ac:dyDescent="0.2">
      <c r="B11" s="577">
        <v>2113</v>
      </c>
      <c r="C11" s="246" t="s">
        <v>10</v>
      </c>
      <c r="D11" s="358">
        <f>SUMIF('Balance N Retraitée'!A:A,"2113*",'Balance N Retraitée'!G:G)-SUMIF('Balance N Retraitée'!A:A,"2113*",'Balance N Retraitée'!H:H)</f>
        <v>0</v>
      </c>
    </row>
    <row r="12" spans="2:4" ht="25.5" x14ac:dyDescent="0.2">
      <c r="B12" s="577">
        <v>2114</v>
      </c>
      <c r="C12" s="576" t="s">
        <v>11</v>
      </c>
      <c r="D12" s="358">
        <f>SUMIF('Balance N Retraitée'!A:A,"2114*",'Balance N Retraitée'!G:G)-SUMIF('Balance N Retraitée'!A:A,"2114*",'Balance N Retraitée'!H:H)</f>
        <v>0</v>
      </c>
    </row>
    <row r="13" spans="2:4" x14ac:dyDescent="0.2">
      <c r="B13" s="577">
        <v>2116</v>
      </c>
      <c r="C13" s="246" t="s">
        <v>12</v>
      </c>
      <c r="D13" s="358">
        <f>SUMIF('Balance N Retraitée'!A:A,"2116*",'Balance N Retraitée'!G:G)-SUMIF('Balance N Retraitée'!A:A,"2116*",'Balance N Retraitée'!H:H)</f>
        <v>0</v>
      </c>
    </row>
    <row r="14" spans="2:4" x14ac:dyDescent="0.2">
      <c r="B14" s="577">
        <v>2117</v>
      </c>
      <c r="C14" s="246" t="s">
        <v>13</v>
      </c>
      <c r="D14" s="358">
        <f>SUMIF('Balance N Retraitée'!A:A,"2117*",'Balance N Retraitée'!G:G)-SUMIF('Balance N Retraitée'!A:A,"2117*",'Balance N Retraitée'!H:H)</f>
        <v>0</v>
      </c>
    </row>
    <row r="15" spans="2:4" x14ac:dyDescent="0.2">
      <c r="B15" s="577">
        <v>2118</v>
      </c>
      <c r="C15" s="246" t="s">
        <v>14</v>
      </c>
      <c r="D15" s="358">
        <f>SUMIF('Balance N Retraitée'!A:A,"2118*",'Balance N Retraitée'!G:G)-SUMIF('Balance N Retraitée'!A:A,"2118*",'Balance N Retraitée'!H:H)</f>
        <v>0</v>
      </c>
    </row>
    <row r="16" spans="2:4" x14ac:dyDescent="0.2">
      <c r="B16" s="577">
        <v>2121</v>
      </c>
      <c r="C16" s="246" t="s">
        <v>15</v>
      </c>
      <c r="D16" s="358">
        <f>SUMIF('Balance N Retraitée'!A:A,"2121*",'Balance N Retraitée'!G:G)-SUMIF('Balance N Retraitée'!A:A,"2121*",'Balance N Retraitée'!H:H)</f>
        <v>0</v>
      </c>
    </row>
    <row r="17" spans="2:4" x14ac:dyDescent="0.2">
      <c r="B17" s="577">
        <v>2125</v>
      </c>
      <c r="C17" s="246" t="s">
        <v>16</v>
      </c>
      <c r="D17" s="358">
        <f>SUMIF('Balance N Retraitée'!A:A,"2125*",'Balance N Retraitée'!G:G)-SUMIF('Balance N Retraitée'!A:A,"2125*",'Balance N Retraitée'!H:H)</f>
        <v>0</v>
      </c>
    </row>
    <row r="18" spans="2:4" x14ac:dyDescent="0.2">
      <c r="B18" s="577">
        <v>2128</v>
      </c>
      <c r="C18" s="246" t="s">
        <v>151</v>
      </c>
      <c r="D18" s="358">
        <f>SUMIF('Balance N Retraitée'!A:A,"2128*",'Balance N Retraitée'!G:G)-SUMIF('Balance N Retraitée'!A:A,"2128*",'Balance N Retraitée'!H:H)</f>
        <v>0</v>
      </c>
    </row>
    <row r="19" spans="2:4" x14ac:dyDescent="0.2">
      <c r="B19" s="577">
        <v>2130</v>
      </c>
      <c r="C19" s="246" t="s">
        <v>17</v>
      </c>
      <c r="D19" s="358">
        <f>SUMIF('Balance N Retraitée'!A:A,"2130*",'Balance N Retraitée'!G:G)-SUMIF('Balance N Retraitée'!A:A,"2130*",'Balance N Retraitée'!H:H)</f>
        <v>0</v>
      </c>
    </row>
    <row r="20" spans="2:4" x14ac:dyDescent="0.2">
      <c r="B20" s="246"/>
      <c r="C20" s="355"/>
      <c r="D20" s="358"/>
    </row>
    <row r="21" spans="2:4" x14ac:dyDescent="0.2">
      <c r="B21" s="246"/>
      <c r="C21" s="355"/>
      <c r="D21" s="355"/>
    </row>
    <row r="22" spans="2:4" x14ac:dyDescent="0.2">
      <c r="B22" s="246"/>
      <c r="C22" s="355"/>
      <c r="D22" s="355"/>
    </row>
    <row r="23" spans="2:4" x14ac:dyDescent="0.2">
      <c r="B23" s="246"/>
      <c r="C23" s="355"/>
      <c r="D23" s="355"/>
    </row>
    <row r="24" spans="2:4" x14ac:dyDescent="0.2">
      <c r="B24" s="246"/>
      <c r="C24" s="355"/>
      <c r="D24" s="355"/>
    </row>
    <row r="25" spans="2:4" x14ac:dyDescent="0.2">
      <c r="B25" s="246"/>
      <c r="C25" s="355"/>
      <c r="D25" s="355"/>
    </row>
    <row r="26" spans="2:4" x14ac:dyDescent="0.2">
      <c r="B26" s="246"/>
      <c r="C26" s="355"/>
      <c r="D26" s="355"/>
    </row>
    <row r="27" spans="2:4" x14ac:dyDescent="0.2">
      <c r="B27" s="246"/>
      <c r="C27" s="355"/>
      <c r="D27" s="355"/>
    </row>
    <row r="28" spans="2:4" x14ac:dyDescent="0.2">
      <c r="B28" s="246"/>
      <c r="C28" s="355"/>
      <c r="D28" s="355"/>
    </row>
    <row r="29" spans="2:4" x14ac:dyDescent="0.2">
      <c r="B29" s="246"/>
      <c r="C29" s="355"/>
      <c r="D29" s="278"/>
    </row>
    <row r="30" spans="2:4" x14ac:dyDescent="0.2">
      <c r="B30" s="246"/>
      <c r="C30" s="357" t="s">
        <v>829</v>
      </c>
      <c r="D30" s="358">
        <f>SUM(D8:D29)</f>
        <v>0</v>
      </c>
    </row>
    <row r="31" spans="2:4" x14ac:dyDescent="0.2">
      <c r="B31" s="359"/>
      <c r="C31" s="278"/>
      <c r="D31" s="278"/>
    </row>
  </sheetData>
  <mergeCells count="1">
    <mergeCell ref="C1:D1"/>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oddHeader>&amp;L&amp;"Times New Roman,Gras italique"&amp;12Sté :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5"/>
  <dimension ref="A1:I20"/>
  <sheetViews>
    <sheetView zoomScale="80" zoomScaleNormal="80" workbookViewId="0"/>
  </sheetViews>
  <sheetFormatPr baseColWidth="10" defaultColWidth="12" defaultRowHeight="12.75" x14ac:dyDescent="0.2"/>
  <cols>
    <col min="1" max="1" width="37.33203125" style="12" bestFit="1" customWidth="1"/>
    <col min="2" max="2" width="21" style="12" customWidth="1"/>
    <col min="3" max="3" width="21.33203125" style="12" bestFit="1" customWidth="1"/>
    <col min="4" max="4" width="24" style="12" bestFit="1" customWidth="1"/>
    <col min="5" max="6" width="12.33203125" style="12" bestFit="1" customWidth="1"/>
    <col min="7" max="7" width="23" style="12" bestFit="1" customWidth="1"/>
    <col min="8" max="8" width="13.33203125" style="12" bestFit="1" customWidth="1"/>
    <col min="9" max="9" width="20.1640625" style="12" customWidth="1"/>
    <col min="10" max="16384" width="12" style="12"/>
  </cols>
  <sheetData>
    <row r="1" spans="1:9" x14ac:dyDescent="0.2">
      <c r="A1" s="10"/>
      <c r="B1" s="10"/>
      <c r="C1" s="10"/>
      <c r="D1" s="10"/>
      <c r="E1" s="10"/>
      <c r="F1" s="10"/>
      <c r="G1" s="10"/>
      <c r="H1" s="10"/>
      <c r="I1" s="10"/>
    </row>
    <row r="2" spans="1:9" x14ac:dyDescent="0.2">
      <c r="A2" s="1190" t="s">
        <v>33</v>
      </c>
      <c r="B2" s="1190"/>
      <c r="C2" s="1190"/>
      <c r="D2" s="1190"/>
      <c r="E2" s="1190"/>
      <c r="F2" s="1190"/>
      <c r="G2" s="1190"/>
      <c r="H2" s="1190"/>
      <c r="I2" s="1190"/>
    </row>
    <row r="3" spans="1:9" x14ac:dyDescent="0.2">
      <c r="B3" s="165"/>
      <c r="C3" s="165"/>
      <c r="D3" s="165"/>
      <c r="E3" s="165"/>
      <c r="F3" s="165"/>
      <c r="G3" s="165" t="str">
        <f>+'T8 B2 BIS'!D4</f>
        <v>Exercice clos le :</v>
      </c>
      <c r="H3" s="165"/>
      <c r="I3" s="284" t="str">
        <f>'T5 ESG'!$G$3</f>
        <v>31/12/2015</v>
      </c>
    </row>
    <row r="4" spans="1:9" x14ac:dyDescent="0.2">
      <c r="A4" s="1191" t="s">
        <v>34</v>
      </c>
      <c r="B4" s="1192" t="s">
        <v>829</v>
      </c>
      <c r="C4" s="1194" t="s">
        <v>35</v>
      </c>
      <c r="D4" s="1194"/>
      <c r="E4" s="1194"/>
      <c r="F4" s="1194" t="s">
        <v>36</v>
      </c>
      <c r="G4" s="1194"/>
      <c r="H4" s="1194"/>
      <c r="I4" s="1194"/>
    </row>
    <row r="5" spans="1:9" ht="45" x14ac:dyDescent="0.2">
      <c r="A5" s="1191"/>
      <c r="B5" s="1193"/>
      <c r="C5" s="235" t="s">
        <v>37</v>
      </c>
      <c r="D5" s="235" t="s">
        <v>38</v>
      </c>
      <c r="E5" s="236" t="s">
        <v>39</v>
      </c>
      <c r="F5" s="236" t="s">
        <v>40</v>
      </c>
      <c r="G5" s="236" t="s">
        <v>41</v>
      </c>
      <c r="H5" s="236" t="s">
        <v>42</v>
      </c>
      <c r="I5" s="236" t="s">
        <v>43</v>
      </c>
    </row>
    <row r="6" spans="1:9" s="227" customFormat="1" x14ac:dyDescent="0.2">
      <c r="A6" s="178" t="s">
        <v>44</v>
      </c>
      <c r="B6" s="561">
        <f>SUM(B8:B9)</f>
        <v>0</v>
      </c>
      <c r="C6" s="561">
        <f t="shared" ref="C6:I6" si="0">SUM(C8:C9)</f>
        <v>0</v>
      </c>
      <c r="D6" s="561">
        <f t="shared" si="0"/>
        <v>0</v>
      </c>
      <c r="E6" s="561">
        <f t="shared" si="0"/>
        <v>0</v>
      </c>
      <c r="F6" s="561">
        <f t="shared" si="0"/>
        <v>0</v>
      </c>
      <c r="G6" s="561">
        <f t="shared" si="0"/>
        <v>0</v>
      </c>
      <c r="H6" s="561">
        <f t="shared" si="0"/>
        <v>0</v>
      </c>
      <c r="I6" s="561">
        <f t="shared" si="0"/>
        <v>0</v>
      </c>
    </row>
    <row r="7" spans="1:9" x14ac:dyDescent="0.2">
      <c r="A7" s="237"/>
      <c r="B7" s="562"/>
      <c r="C7" s="562"/>
      <c r="D7" s="562"/>
      <c r="E7" s="562"/>
      <c r="F7" s="562"/>
      <c r="G7" s="562"/>
      <c r="H7" s="562"/>
      <c r="I7" s="562"/>
    </row>
    <row r="8" spans="1:9" x14ac:dyDescent="0.2">
      <c r="A8" s="238" t="s">
        <v>45</v>
      </c>
      <c r="B8" s="563">
        <f>SUMIF('Balance N Retraitée'!A:A,"241*",'Balance N Retraitée'!G:G)-SUMIF('Balance N Retraitée'!A:A,"241*",'Balance N Retraitée'!H:H)</f>
        <v>0</v>
      </c>
      <c r="C8" s="563">
        <f>B8-D8-E8</f>
        <v>0</v>
      </c>
      <c r="D8" s="650"/>
      <c r="E8" s="650"/>
      <c r="F8" s="650"/>
      <c r="G8" s="650"/>
      <c r="H8" s="650"/>
      <c r="I8" s="650"/>
    </row>
    <row r="9" spans="1:9" x14ac:dyDescent="0.2">
      <c r="A9" s="238" t="s">
        <v>46</v>
      </c>
      <c r="B9" s="563">
        <f>SUMIF('Balance N Retraitée'!A:A,"248*",'Balance N Retraitée'!G:G)-SUMIF('Balance N Retraitée'!A:A,"248*",'Balance N Retraitée'!H:H)</f>
        <v>0</v>
      </c>
      <c r="C9" s="563">
        <f>B9-D9-E9</f>
        <v>0</v>
      </c>
      <c r="D9" s="650"/>
      <c r="E9" s="650"/>
      <c r="F9" s="650"/>
      <c r="G9" s="650"/>
      <c r="H9" s="650"/>
      <c r="I9" s="650"/>
    </row>
    <row r="10" spans="1:9" x14ac:dyDescent="0.2">
      <c r="A10" s="239"/>
      <c r="B10" s="564"/>
      <c r="C10" s="564"/>
      <c r="D10" s="564"/>
      <c r="E10" s="564"/>
      <c r="F10" s="564"/>
      <c r="G10" s="564"/>
      <c r="H10" s="564"/>
      <c r="I10" s="564"/>
    </row>
    <row r="11" spans="1:9" s="227" customFormat="1" x14ac:dyDescent="0.2">
      <c r="A11" s="178" t="s">
        <v>47</v>
      </c>
      <c r="B11" s="561">
        <f>SUM(B14:B19)</f>
        <v>0</v>
      </c>
      <c r="C11" s="561">
        <f t="shared" ref="C11:I11" si="1">SUM(C14:C19)</f>
        <v>0</v>
      </c>
      <c r="D11" s="561">
        <f t="shared" si="1"/>
        <v>0</v>
      </c>
      <c r="E11" s="561">
        <f t="shared" si="1"/>
        <v>0</v>
      </c>
      <c r="F11" s="561">
        <f t="shared" si="1"/>
        <v>0</v>
      </c>
      <c r="G11" s="561">
        <f t="shared" si="1"/>
        <v>0</v>
      </c>
      <c r="H11" s="561">
        <f t="shared" si="1"/>
        <v>0</v>
      </c>
      <c r="I11" s="561">
        <f t="shared" si="1"/>
        <v>0</v>
      </c>
    </row>
    <row r="12" spans="1:9" x14ac:dyDescent="0.2">
      <c r="A12" s="222"/>
      <c r="B12" s="562"/>
      <c r="C12" s="649"/>
      <c r="D12" s="562"/>
      <c r="E12" s="649"/>
      <c r="F12" s="649"/>
      <c r="G12" s="649"/>
      <c r="H12" s="649"/>
      <c r="I12" s="649"/>
    </row>
    <row r="13" spans="1:9" x14ac:dyDescent="0.2">
      <c r="A13" s="238" t="s">
        <v>48</v>
      </c>
      <c r="B13" s="563">
        <f>SUMIF('Balance N Retraitée'!A:A,"341*",'Balance N Retraitée'!G:G)-SUMIF('Balance N Retraitée'!A:A,"341*",'Balance N Retraitée'!H:H)</f>
        <v>0</v>
      </c>
      <c r="C13" s="650"/>
      <c r="D13" s="563">
        <f t="shared" ref="D13:D19" si="2">B13-C13-E13</f>
        <v>0</v>
      </c>
      <c r="E13" s="650"/>
      <c r="F13" s="650"/>
      <c r="G13" s="650"/>
      <c r="H13" s="650"/>
      <c r="I13" s="650"/>
    </row>
    <row r="14" spans="1:9" x14ac:dyDescent="0.2">
      <c r="A14" s="238" t="s">
        <v>49</v>
      </c>
      <c r="B14" s="563">
        <f>SUMIF('Balance N Retraitée'!A:A,"342*",'Balance N Retraitée'!G:G)-SUMIF('Balance N Retraitée'!A:A,"342*",'Balance N Retraitée'!H:H)</f>
        <v>0</v>
      </c>
      <c r="C14" s="650"/>
      <c r="D14" s="563">
        <f t="shared" si="2"/>
        <v>0</v>
      </c>
      <c r="E14" s="650"/>
      <c r="F14" s="650"/>
      <c r="G14" s="650"/>
      <c r="H14" s="650"/>
      <c r="I14" s="563">
        <f>SUMIF('Balance N Retraitée'!A:A,"3425*",'Balance N Retraitée'!G:G)-SUMIF('Balance N Retraitée'!A:A,"3425*",'Balance N Retraitée'!H:H)</f>
        <v>0</v>
      </c>
    </row>
    <row r="15" spans="1:9" x14ac:dyDescent="0.2">
      <c r="A15" s="238" t="s">
        <v>50</v>
      </c>
      <c r="B15" s="563">
        <f>SUMIF('Balance N Retraitée'!A:A,"343*",'Balance N Retraitée'!G:G)-SUMIF('Balance N Retraitée'!A:A,"343*",'Balance N Retraitée'!H:H)</f>
        <v>0</v>
      </c>
      <c r="C15" s="650"/>
      <c r="D15" s="563">
        <f t="shared" si="2"/>
        <v>0</v>
      </c>
      <c r="E15" s="650"/>
      <c r="F15" s="650"/>
      <c r="G15" s="650"/>
      <c r="H15" s="650"/>
      <c r="I15" s="650"/>
    </row>
    <row r="16" spans="1:9" x14ac:dyDescent="0.2">
      <c r="A16" s="238" t="s">
        <v>51</v>
      </c>
      <c r="B16" s="563">
        <f>SUMIF('Balance N Retraitée'!A:A,"345*",'Balance N Retraitée'!G:G)-SUMIF('Balance N Retraitée'!A:A,"345*",'Balance N Retraitée'!H:H)</f>
        <v>0</v>
      </c>
      <c r="C16" s="650"/>
      <c r="D16" s="563">
        <f t="shared" si="2"/>
        <v>0</v>
      </c>
      <c r="E16" s="650"/>
      <c r="F16" s="650"/>
      <c r="G16" s="563">
        <f>+D16</f>
        <v>0</v>
      </c>
      <c r="H16" s="650"/>
      <c r="I16" s="650"/>
    </row>
    <row r="17" spans="1:9" x14ac:dyDescent="0.2">
      <c r="A17" s="238" t="s">
        <v>52</v>
      </c>
      <c r="B17" s="563">
        <f>SUMIF('Balance N Retraitée'!A:A,"346*",'Balance N Retraitée'!G:G)-SUMIF('Balance N Retraitée'!A:A,"346*",'Balance N Retraitée'!H:H)</f>
        <v>0</v>
      </c>
      <c r="C17" s="650"/>
      <c r="D17" s="563">
        <f t="shared" si="2"/>
        <v>0</v>
      </c>
      <c r="E17" s="650"/>
      <c r="F17" s="650"/>
      <c r="G17" s="650"/>
      <c r="H17" s="650"/>
      <c r="I17" s="650"/>
    </row>
    <row r="18" spans="1:9" x14ac:dyDescent="0.2">
      <c r="A18" s="238" t="s">
        <v>53</v>
      </c>
      <c r="B18" s="563">
        <f>SUMIF('Balance N Retraitée'!A:A,"348*",'Balance N Retraitée'!G:G)-SUMIF('Balance N Retraitée'!A:A,"348*",'Balance N Retraitée'!H:H)</f>
        <v>0</v>
      </c>
      <c r="C18" s="650"/>
      <c r="D18" s="563">
        <f t="shared" si="2"/>
        <v>0</v>
      </c>
      <c r="E18" s="650"/>
      <c r="F18" s="650"/>
      <c r="G18" s="650"/>
      <c r="H18" s="650"/>
      <c r="I18" s="650"/>
    </row>
    <row r="19" spans="1:9" x14ac:dyDescent="0.2">
      <c r="A19" s="238" t="s">
        <v>54</v>
      </c>
      <c r="B19" s="563">
        <f>SUMIF('Balance N Retraitée'!A:A,"349*",'Balance N Retraitée'!G:G)-SUMIF('Balance N Retraitée'!A:A,"349*",'Balance N Retraitée'!H:H)</f>
        <v>0</v>
      </c>
      <c r="C19" s="650"/>
      <c r="D19" s="563">
        <f t="shared" si="2"/>
        <v>0</v>
      </c>
      <c r="E19" s="650"/>
      <c r="F19" s="650"/>
      <c r="G19" s="650"/>
      <c r="H19" s="650"/>
      <c r="I19" s="650"/>
    </row>
    <row r="20" spans="1:9" x14ac:dyDescent="0.2">
      <c r="A20" s="225"/>
      <c r="B20" s="564"/>
      <c r="C20" s="651"/>
      <c r="D20" s="564"/>
      <c r="E20" s="651"/>
      <c r="F20" s="651"/>
      <c r="G20" s="651"/>
      <c r="H20" s="651"/>
      <c r="I20" s="651"/>
    </row>
  </sheetData>
  <mergeCells count="5">
    <mergeCell ref="A2:I2"/>
    <mergeCell ref="A4:A5"/>
    <mergeCell ref="B4:B5"/>
    <mergeCell ref="C4:E4"/>
    <mergeCell ref="F4:I4"/>
  </mergeCells>
  <phoneticPr fontId="0" type="noConversion"/>
  <pageMargins left="0.78740157499999996" right="0.78740157499999996" top="0.984251969" bottom="0.984251969" header="0.4921259845" footer="0.4921259845"/>
  <pageSetup paperSize="9" scale="77" orientation="landscape" horizontalDpi="300" verticalDpi="300" r:id="rId1"/>
  <headerFooter alignWithMargins="0">
    <oddHeader>&amp;L&amp;"Times New Roman,Gras italique"&amp;12Sté :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6"/>
  <dimension ref="A1:I23"/>
  <sheetViews>
    <sheetView zoomScale="80" zoomScaleNormal="80" workbookViewId="0"/>
  </sheetViews>
  <sheetFormatPr baseColWidth="10" defaultColWidth="13.33203125" defaultRowHeight="12.75" x14ac:dyDescent="0.2"/>
  <cols>
    <col min="1" max="1" width="64.33203125" style="10" bestFit="1" customWidth="1"/>
    <col min="2" max="2" width="25.1640625" style="10" bestFit="1" customWidth="1"/>
    <col min="3" max="3" width="17" style="10" customWidth="1"/>
    <col min="4" max="4" width="25.1640625" style="10" bestFit="1" customWidth="1"/>
    <col min="5" max="5" width="13.33203125" style="10" customWidth="1"/>
    <col min="6" max="6" width="15" style="10" customWidth="1"/>
    <col min="7" max="7" width="20.1640625" style="10" customWidth="1"/>
    <col min="8" max="8" width="16.33203125" style="10" customWidth="1"/>
    <col min="9" max="9" width="24.6640625" style="10" bestFit="1" customWidth="1"/>
    <col min="10" max="16384" width="13.33203125" style="10"/>
  </cols>
  <sheetData>
    <row r="1" spans="1:9" x14ac:dyDescent="0.2">
      <c r="A1" s="11" t="s">
        <v>25</v>
      </c>
    </row>
    <row r="2" spans="1:9" x14ac:dyDescent="0.2">
      <c r="A2" s="11"/>
    </row>
    <row r="3" spans="1:9" x14ac:dyDescent="0.2">
      <c r="A3" s="11"/>
    </row>
    <row r="4" spans="1:9" x14ac:dyDescent="0.2">
      <c r="A4" s="1190" t="s">
        <v>56</v>
      </c>
      <c r="B4" s="1190"/>
      <c r="C4" s="1190"/>
      <c r="D4" s="1190"/>
      <c r="E4" s="1190"/>
      <c r="F4" s="1190"/>
      <c r="G4" s="1190"/>
      <c r="H4" s="1190"/>
      <c r="I4" s="1190"/>
    </row>
    <row r="5" spans="1:9" x14ac:dyDescent="0.2">
      <c r="B5" s="165"/>
      <c r="C5" s="165"/>
      <c r="D5" s="165"/>
      <c r="E5" s="165"/>
      <c r="F5" s="165"/>
      <c r="G5" s="165" t="str">
        <f>+'T8 B2 BIS'!D4</f>
        <v>Exercice clos le :</v>
      </c>
      <c r="H5" s="165"/>
      <c r="I5" s="284" t="str">
        <f>'T5 ESG'!$G$3</f>
        <v>31/12/2015</v>
      </c>
    </row>
    <row r="6" spans="1:9" x14ac:dyDescent="0.2">
      <c r="A6" s="1191" t="s">
        <v>55</v>
      </c>
      <c r="B6" s="1191" t="s">
        <v>829</v>
      </c>
      <c r="C6" s="1195" t="s">
        <v>35</v>
      </c>
      <c r="D6" s="1195"/>
      <c r="E6" s="1195"/>
      <c r="F6" s="1195" t="s">
        <v>36</v>
      </c>
      <c r="G6" s="1195"/>
      <c r="H6" s="1195"/>
      <c r="I6" s="1195"/>
    </row>
    <row r="7" spans="1:9" ht="51" x14ac:dyDescent="0.2">
      <c r="A7" s="1191"/>
      <c r="B7" s="1193"/>
      <c r="C7" s="178" t="s">
        <v>37</v>
      </c>
      <c r="D7" s="178" t="s">
        <v>38</v>
      </c>
      <c r="E7" s="234" t="s">
        <v>39</v>
      </c>
      <c r="F7" s="234" t="s">
        <v>40</v>
      </c>
      <c r="G7" s="234" t="s">
        <v>41</v>
      </c>
      <c r="H7" s="234" t="s">
        <v>42</v>
      </c>
      <c r="I7" s="234" t="s">
        <v>43</v>
      </c>
    </row>
    <row r="8" spans="1:9" s="11" customFormat="1" x14ac:dyDescent="0.2">
      <c r="A8" s="178" t="s">
        <v>327</v>
      </c>
      <c r="B8" s="561">
        <f t="shared" ref="B8:I8" si="0">SUM(B9:B10)</f>
        <v>0</v>
      </c>
      <c r="C8" s="561">
        <f t="shared" si="0"/>
        <v>0</v>
      </c>
      <c r="D8" s="561">
        <f t="shared" si="0"/>
        <v>0</v>
      </c>
      <c r="E8" s="561">
        <f t="shared" si="0"/>
        <v>0</v>
      </c>
      <c r="F8" s="561">
        <f t="shared" si="0"/>
        <v>0</v>
      </c>
      <c r="G8" s="561">
        <f t="shared" si="0"/>
        <v>0</v>
      </c>
      <c r="H8" s="561">
        <f t="shared" si="0"/>
        <v>0</v>
      </c>
      <c r="I8" s="561">
        <f t="shared" si="0"/>
        <v>0</v>
      </c>
    </row>
    <row r="9" spans="1:9" x14ac:dyDescent="0.2">
      <c r="A9" s="167" t="s">
        <v>57</v>
      </c>
      <c r="B9" s="562">
        <f>SUMIF('Balance N Retraitée'!A:A,"141*",'Balance N Retraitée'!H:H)-SUMIF('Balance N Retraitée'!A:A,"141*",'Balance N Retraitée'!G:G)</f>
        <v>0</v>
      </c>
      <c r="C9" s="649"/>
      <c r="D9" s="563">
        <f>+B9-C9-E9</f>
        <v>0</v>
      </c>
      <c r="E9" s="649"/>
      <c r="F9" s="649"/>
      <c r="G9" s="649"/>
      <c r="H9" s="649"/>
      <c r="I9" s="649"/>
    </row>
    <row r="10" spans="1:9" x14ac:dyDescent="0.2">
      <c r="A10" s="182" t="s">
        <v>58</v>
      </c>
      <c r="B10" s="563">
        <f>SUMIF('Balance N Retraitée'!A:A,"148*",'Balance N Retraitée'!H:H)-SUMIF('Balance N Retraitée'!A:A,"148*",'Balance N Retraitée'!G:G)</f>
        <v>0</v>
      </c>
      <c r="C10" s="650"/>
      <c r="D10" s="563">
        <f>+B10-C10-E10</f>
        <v>0</v>
      </c>
      <c r="E10" s="650"/>
      <c r="F10" s="650">
        <v>0</v>
      </c>
      <c r="G10" s="650"/>
      <c r="H10" s="650"/>
      <c r="I10" s="650"/>
    </row>
    <row r="11" spans="1:9" x14ac:dyDescent="0.2">
      <c r="A11" s="183"/>
      <c r="B11" s="564"/>
      <c r="C11" s="564"/>
      <c r="D11" s="564"/>
      <c r="E11" s="564"/>
      <c r="F11" s="564"/>
      <c r="G11" s="564"/>
      <c r="H11" s="564"/>
      <c r="I11" s="564"/>
    </row>
    <row r="12" spans="1:9" s="11" customFormat="1" x14ac:dyDescent="0.2">
      <c r="A12" s="178" t="s">
        <v>59</v>
      </c>
      <c r="B12" s="561">
        <f>SUM(B13:B20)</f>
        <v>0</v>
      </c>
      <c r="C12" s="561">
        <f>SUM(C13:C20)</f>
        <v>0</v>
      </c>
      <c r="D12" s="561">
        <f>SUM(D13:D20)</f>
        <v>0</v>
      </c>
      <c r="E12" s="561">
        <f>SUM(E13:E20)</f>
        <v>0</v>
      </c>
      <c r="F12" s="561">
        <f>SUM(F13:F21)</f>
        <v>0</v>
      </c>
      <c r="G12" s="561">
        <f>SUM(G13:G21)</f>
        <v>0</v>
      </c>
      <c r="H12" s="561">
        <f>SUM(H13:H21)</f>
        <v>0</v>
      </c>
      <c r="I12" s="561">
        <f>SUM(I13:I21)</f>
        <v>0</v>
      </c>
    </row>
    <row r="13" spans="1:9" x14ac:dyDescent="0.2">
      <c r="A13" s="167" t="s">
        <v>60</v>
      </c>
      <c r="B13" s="563">
        <f>SUMIF('Balance N Retraitée'!A:A,"441*",'Balance N Retraitée'!H:H)-SUMIF('Balance N Retraitée'!A:A,"441*",'Balance N Retraitée'!G:G)</f>
        <v>0</v>
      </c>
      <c r="C13" s="649"/>
      <c r="D13" s="562">
        <f>+B13-C13-E13</f>
        <v>0</v>
      </c>
      <c r="E13" s="649"/>
      <c r="F13" s="649">
        <v>0</v>
      </c>
      <c r="G13" s="649"/>
      <c r="H13" s="649"/>
      <c r="I13" s="562">
        <f>SUMIF('Balance N Retraitée'!A:A,"4415*",'Balance N Retraitée'!H:H)-SUMIF('Balance N Retraitée'!A:A,"4415*",'Balance N Retraitée'!G:G)</f>
        <v>0</v>
      </c>
    </row>
    <row r="14" spans="1:9" x14ac:dyDescent="0.2">
      <c r="A14" s="182" t="s">
        <v>61</v>
      </c>
      <c r="B14" s="563">
        <f>SUMIF('Balance N Retraitée'!A:A,"442*",'Balance N Retraitée'!H:H)-SUMIF('Balance N Retraitée'!A:A,"442*",'Balance N Retraitée'!G:G)</f>
        <v>0</v>
      </c>
      <c r="C14" s="650"/>
      <c r="D14" s="563">
        <f t="shared" ref="D14:D20" si="1">+B14-C14-E14</f>
        <v>0</v>
      </c>
      <c r="E14" s="650"/>
      <c r="F14" s="650">
        <v>0</v>
      </c>
      <c r="G14" s="650"/>
      <c r="H14" s="650"/>
      <c r="I14" s="650"/>
    </row>
    <row r="15" spans="1:9" x14ac:dyDescent="0.2">
      <c r="A15" s="182" t="s">
        <v>50</v>
      </c>
      <c r="B15" s="563">
        <f>SUMIF('Balance N Retraitée'!A:A,"443*",'Balance N Retraitée'!H:H)-SUMIF('Balance N Retraitée'!A:A,"443*",'Balance N Retraitée'!G:G)</f>
        <v>0</v>
      </c>
      <c r="C15" s="650"/>
      <c r="D15" s="563">
        <f t="shared" si="1"/>
        <v>0</v>
      </c>
      <c r="E15" s="650"/>
      <c r="F15" s="650">
        <v>0</v>
      </c>
      <c r="G15" s="650"/>
      <c r="H15" s="650"/>
      <c r="I15" s="650"/>
    </row>
    <row r="16" spans="1:9" x14ac:dyDescent="0.2">
      <c r="A16" s="182" t="s">
        <v>62</v>
      </c>
      <c r="B16" s="563">
        <f>SUMIF('Balance N Retraitée'!A:A,"444*",'Balance N Retraitée'!H:H)-SUMIF('Balance N Retraitée'!A:A,"444*",'Balance N Retraitée'!G:G)</f>
        <v>0</v>
      </c>
      <c r="C16" s="650"/>
      <c r="D16" s="563">
        <f t="shared" si="1"/>
        <v>0</v>
      </c>
      <c r="E16" s="650"/>
      <c r="F16" s="650">
        <v>0</v>
      </c>
      <c r="G16" s="563">
        <f>+D16</f>
        <v>0</v>
      </c>
      <c r="H16" s="650"/>
      <c r="I16" s="650"/>
    </row>
    <row r="17" spans="1:9" x14ac:dyDescent="0.2">
      <c r="A17" s="182" t="s">
        <v>63</v>
      </c>
      <c r="B17" s="563">
        <f>SUMIF('Balance N Retraitée'!A:A,"445*",'Balance N Retraitée'!H:H)-SUMIF('Balance N Retraitée'!A:A,"445*",'Balance N Retraitée'!G:G)</f>
        <v>0</v>
      </c>
      <c r="C17" s="650"/>
      <c r="D17" s="563">
        <f t="shared" si="1"/>
        <v>0</v>
      </c>
      <c r="E17" s="650"/>
      <c r="F17" s="650">
        <v>0</v>
      </c>
      <c r="G17" s="563">
        <f>+D17</f>
        <v>0</v>
      </c>
      <c r="H17" s="650"/>
      <c r="I17" s="650"/>
    </row>
    <row r="18" spans="1:9" x14ac:dyDescent="0.2">
      <c r="A18" s="182" t="s">
        <v>52</v>
      </c>
      <c r="B18" s="563">
        <f>SUMIF('Balance N Retraitée'!A:A,"446*",'Balance N Retraitée'!H:H)-SUMIF('Balance N Retraitée'!A:A,"446*",'Balance N Retraitée'!G:G)</f>
        <v>0</v>
      </c>
      <c r="C18" s="650"/>
      <c r="D18" s="563">
        <f t="shared" si="1"/>
        <v>0</v>
      </c>
      <c r="E18" s="650"/>
      <c r="F18" s="650">
        <v>0</v>
      </c>
      <c r="G18" s="650"/>
      <c r="H18" s="650"/>
      <c r="I18" s="650"/>
    </row>
    <row r="19" spans="1:9" x14ac:dyDescent="0.2">
      <c r="A19" s="182" t="s">
        <v>64</v>
      </c>
      <c r="B19" s="563">
        <f>SUMIF('Balance N Retraitée'!A:A,"448*",'Balance N Retraitée'!H:H)-SUMIF('Balance N Retraitée'!A:A,"448*",'Balance N Retraitée'!G:G)</f>
        <v>0</v>
      </c>
      <c r="C19" s="650"/>
      <c r="D19" s="563">
        <f t="shared" si="1"/>
        <v>0</v>
      </c>
      <c r="E19" s="650"/>
      <c r="F19" s="650">
        <v>0</v>
      </c>
      <c r="G19" s="650"/>
      <c r="H19" s="650"/>
      <c r="I19" s="650"/>
    </row>
    <row r="20" spans="1:9" x14ac:dyDescent="0.2">
      <c r="A20" s="182" t="s">
        <v>65</v>
      </c>
      <c r="B20" s="563">
        <f>SUMIF('Balance N Retraitée'!A:A,"449*",'Balance N Retraitée'!H:H)-SUMIF('Balance N Retraitée'!A:A,"449*",'Balance N Retraitée'!G:G)</f>
        <v>0</v>
      </c>
      <c r="C20" s="650"/>
      <c r="D20" s="563">
        <f t="shared" si="1"/>
        <v>0</v>
      </c>
      <c r="E20" s="650"/>
      <c r="F20" s="650">
        <v>0</v>
      </c>
      <c r="G20" s="650"/>
      <c r="H20" s="650"/>
      <c r="I20" s="650"/>
    </row>
    <row r="21" spans="1:9" x14ac:dyDescent="0.2">
      <c r="A21" s="225"/>
      <c r="B21" s="564"/>
      <c r="C21" s="651"/>
      <c r="D21" s="564"/>
      <c r="E21" s="651"/>
      <c r="F21" s="651">
        <v>0</v>
      </c>
      <c r="G21" s="651"/>
      <c r="H21" s="651"/>
      <c r="I21" s="651"/>
    </row>
    <row r="23" spans="1:9" x14ac:dyDescent="0.2">
      <c r="B23" s="184"/>
    </row>
  </sheetData>
  <mergeCells count="5">
    <mergeCell ref="A4:I4"/>
    <mergeCell ref="A6:A7"/>
    <mergeCell ref="B6:B7"/>
    <mergeCell ref="C6:E6"/>
    <mergeCell ref="F6:I6"/>
  </mergeCells>
  <phoneticPr fontId="28" type="noConversion"/>
  <pageMargins left="0.78740157499999996" right="0.78740157499999996" top="0.984251969" bottom="0.984251969" header="0.4921259845" footer="0.4921259845"/>
  <pageSetup paperSize="9" scale="65" orientation="landscape" horizontalDpi="300" verticalDpi="300" r:id="rId1"/>
  <headerFooter alignWithMargins="0">
    <oddHeader>&amp;L&amp;"Times New Roman,Gras italique"&amp;12Sté :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0">
    <tabColor rgb="FFFF0000"/>
  </sheetPr>
  <dimension ref="A1:N55"/>
  <sheetViews>
    <sheetView workbookViewId="0">
      <selection activeCell="F23" sqref="F23:M23"/>
    </sheetView>
  </sheetViews>
  <sheetFormatPr baseColWidth="10" defaultColWidth="12" defaultRowHeight="12.75" x14ac:dyDescent="0.2"/>
  <cols>
    <col min="1" max="1" width="17.6640625" style="2" customWidth="1"/>
    <col min="2" max="2" width="14.6640625" style="2" customWidth="1"/>
    <col min="3" max="3" width="18" style="2" bestFit="1" customWidth="1"/>
    <col min="4" max="4" width="12" style="2"/>
    <col min="5" max="5" width="18" style="2" bestFit="1" customWidth="1"/>
    <col min="6" max="13" width="3.1640625" style="2" customWidth="1"/>
    <col min="14" max="16384" width="12" style="2"/>
  </cols>
  <sheetData>
    <row r="1" spans="1:14" x14ac:dyDescent="0.2">
      <c r="L1" s="501" t="s">
        <v>450</v>
      </c>
    </row>
    <row r="4" spans="1:14" ht="27" x14ac:dyDescent="0.5">
      <c r="A4" s="609" t="s">
        <v>451</v>
      </c>
      <c r="B4" s="610"/>
      <c r="C4" s="610"/>
      <c r="D4" s="610"/>
      <c r="E4" s="610"/>
      <c r="F4" s="610"/>
      <c r="G4" s="610"/>
      <c r="H4" s="610"/>
      <c r="I4" s="610"/>
      <c r="J4" s="610"/>
      <c r="K4" s="609"/>
      <c r="L4" s="609"/>
      <c r="M4" s="609"/>
      <c r="N4" s="609"/>
    </row>
    <row r="5" spans="1:14" ht="27" x14ac:dyDescent="0.5">
      <c r="A5" s="609" t="s">
        <v>452</v>
      </c>
      <c r="B5" s="610"/>
      <c r="C5" s="610"/>
      <c r="D5" s="610"/>
      <c r="E5" s="610"/>
      <c r="F5" s="610"/>
      <c r="G5" s="610"/>
      <c r="H5" s="610"/>
      <c r="I5" s="610"/>
      <c r="J5" s="610"/>
      <c r="K5" s="609"/>
      <c r="L5" s="609"/>
      <c r="M5" s="609"/>
      <c r="N5" s="609"/>
    </row>
    <row r="6" spans="1:14" x14ac:dyDescent="0.2">
      <c r="A6" s="605"/>
      <c r="B6" s="605"/>
      <c r="C6" s="605"/>
      <c r="D6" s="605"/>
      <c r="E6" s="605"/>
      <c r="F6" s="605"/>
      <c r="G6" s="605"/>
      <c r="H6" s="605"/>
      <c r="I6" s="605"/>
      <c r="J6" s="605"/>
      <c r="K6" s="605"/>
      <c r="L6" s="605"/>
      <c r="M6" s="605"/>
      <c r="N6" s="605"/>
    </row>
    <row r="7" spans="1:14" ht="30" x14ac:dyDescent="0.4">
      <c r="A7" s="611" t="s">
        <v>453</v>
      </c>
      <c r="B7" s="611"/>
      <c r="C7" s="611"/>
      <c r="D7" s="611"/>
      <c r="E7" s="611"/>
      <c r="F7" s="611"/>
      <c r="G7" s="611"/>
      <c r="H7" s="611"/>
      <c r="I7" s="611"/>
      <c r="J7" s="611"/>
      <c r="K7" s="611"/>
      <c r="L7" s="611"/>
      <c r="M7" s="611"/>
      <c r="N7" s="605"/>
    </row>
    <row r="8" spans="1:14" x14ac:dyDescent="0.2">
      <c r="A8" s="605"/>
      <c r="B8" s="605"/>
      <c r="C8" s="605"/>
      <c r="D8" s="605"/>
      <c r="E8" s="605"/>
      <c r="F8" s="605"/>
      <c r="G8" s="605"/>
      <c r="H8" s="605"/>
      <c r="I8" s="605"/>
      <c r="J8" s="605"/>
      <c r="K8" s="605"/>
      <c r="L8" s="605"/>
      <c r="M8" s="605"/>
    </row>
    <row r="9" spans="1:14" ht="20.25" x14ac:dyDescent="0.3">
      <c r="A9" s="612" t="s">
        <v>454</v>
      </c>
      <c r="B9" s="605"/>
      <c r="C9" s="605"/>
      <c r="D9" s="605"/>
      <c r="E9" s="605"/>
      <c r="F9" s="605"/>
      <c r="G9" s="605"/>
      <c r="H9" s="605"/>
      <c r="I9" s="605"/>
      <c r="J9" s="605"/>
      <c r="K9" s="605"/>
      <c r="L9" s="605"/>
      <c r="M9" s="605"/>
      <c r="N9" s="605"/>
    </row>
    <row r="10" spans="1:14" x14ac:dyDescent="0.2">
      <c r="A10" s="605"/>
      <c r="B10" s="605"/>
      <c r="C10" s="605"/>
      <c r="D10" s="605"/>
      <c r="E10" s="605"/>
      <c r="F10" s="605"/>
      <c r="G10" s="605"/>
      <c r="H10" s="605"/>
      <c r="I10" s="605"/>
      <c r="J10" s="605"/>
      <c r="K10" s="605"/>
      <c r="L10" s="605"/>
      <c r="M10" s="605"/>
      <c r="N10" s="605"/>
    </row>
    <row r="11" spans="1:14" x14ac:dyDescent="0.2">
      <c r="A11" s="605"/>
      <c r="B11" s="605"/>
      <c r="C11" s="605"/>
      <c r="D11" s="605"/>
      <c r="E11" s="605"/>
      <c r="F11" s="605"/>
      <c r="G11" s="605"/>
      <c r="H11" s="605"/>
      <c r="I11" s="605"/>
      <c r="J11" s="605"/>
      <c r="K11" s="605"/>
      <c r="L11" s="605"/>
      <c r="M11" s="605"/>
      <c r="N11" s="605"/>
    </row>
    <row r="12" spans="1:14" x14ac:dyDescent="0.2">
      <c r="A12" s="605"/>
      <c r="B12" s="605"/>
      <c r="C12" s="605"/>
      <c r="D12" s="605"/>
      <c r="E12" s="605"/>
      <c r="F12" s="605"/>
      <c r="G12" s="605"/>
      <c r="H12" s="605"/>
      <c r="I12" s="605"/>
      <c r="J12" s="605"/>
      <c r="K12" s="605"/>
      <c r="L12" s="605"/>
      <c r="M12" s="605"/>
      <c r="N12" s="605"/>
    </row>
    <row r="13" spans="1:14" ht="18" x14ac:dyDescent="0.25">
      <c r="A13" s="1152" t="s">
        <v>467</v>
      </c>
      <c r="B13" s="1152"/>
      <c r="C13" s="1152"/>
      <c r="D13" s="1152"/>
      <c r="E13" s="1152"/>
      <c r="F13" s="1152"/>
      <c r="G13" s="1152"/>
      <c r="H13" s="1152"/>
      <c r="I13" s="1152"/>
      <c r="J13" s="1152"/>
      <c r="K13" s="1152"/>
      <c r="L13" s="1152"/>
      <c r="M13" s="1152"/>
      <c r="N13" s="1152"/>
    </row>
    <row r="15" spans="1:14" ht="19.5" x14ac:dyDescent="0.35">
      <c r="B15" s="749" t="s">
        <v>468</v>
      </c>
      <c r="C15" s="933" t="str">
        <f>Identification!C11</f>
        <v>01/01/2015</v>
      </c>
      <c r="D15" s="750" t="s">
        <v>469</v>
      </c>
      <c r="E15" s="933" t="str">
        <f>Identification!E11</f>
        <v>31/12/2015</v>
      </c>
      <c r="F15" s="608"/>
    </row>
    <row r="21" spans="1:13" ht="19.5" x14ac:dyDescent="0.4">
      <c r="A21" s="613" t="s">
        <v>455</v>
      </c>
      <c r="C21" s="614" t="str">
        <f>Identification!B7</f>
        <v>ADEP</v>
      </c>
      <c r="D21" s="501"/>
      <c r="E21" s="501"/>
    </row>
    <row r="22" spans="1:13" ht="19.5" x14ac:dyDescent="0.4">
      <c r="C22" s="614"/>
    </row>
    <row r="23" spans="1:13" ht="15.75" x14ac:dyDescent="0.25">
      <c r="A23" s="613" t="s">
        <v>456</v>
      </c>
      <c r="F23" s="1153">
        <v>1087240</v>
      </c>
      <c r="G23" s="1154"/>
      <c r="H23" s="1154"/>
      <c r="I23" s="1154"/>
      <c r="J23" s="1154"/>
      <c r="K23" s="1154"/>
      <c r="L23" s="1154"/>
      <c r="M23" s="1155"/>
    </row>
    <row r="24" spans="1:13" ht="15.75" x14ac:dyDescent="0.25">
      <c r="A24" s="613"/>
    </row>
    <row r="25" spans="1:13" ht="15.75" x14ac:dyDescent="0.25">
      <c r="A25" s="613"/>
    </row>
    <row r="26" spans="1:13" ht="15.75" x14ac:dyDescent="0.25">
      <c r="A26" s="613"/>
    </row>
    <row r="27" spans="1:13" ht="15.75" x14ac:dyDescent="0.25">
      <c r="A27" s="613" t="s">
        <v>457</v>
      </c>
      <c r="B27" s="729" t="str">
        <f>Identification!B9</f>
        <v>Sidi Bernoussi</v>
      </c>
      <c r="C27" s="501"/>
    </row>
    <row r="28" spans="1:13" x14ac:dyDescent="0.2">
      <c r="A28" s="2" t="s">
        <v>458</v>
      </c>
    </row>
    <row r="31" spans="1:13" x14ac:dyDescent="0.2">
      <c r="A31" s="2" t="s">
        <v>459</v>
      </c>
      <c r="B31" s="717">
        <f>Identification!C17</f>
        <v>0</v>
      </c>
    </row>
    <row r="32" spans="1:13" x14ac:dyDescent="0.2">
      <c r="A32" s="997" t="s">
        <v>2649</v>
      </c>
      <c r="B32" s="718">
        <f>Identification!C15</f>
        <v>0</v>
      </c>
    </row>
    <row r="36" spans="1:14" x14ac:dyDescent="0.2">
      <c r="E36" s="2" t="str">
        <f>'Couverture Etats de synthèse'!E36</f>
        <v>A …………………  Le …/…/……..</v>
      </c>
      <c r="H36" s="615"/>
      <c r="I36" s="615"/>
      <c r="J36" s="615"/>
    </row>
    <row r="38" spans="1:14" x14ac:dyDescent="0.2">
      <c r="E38" s="2" t="s">
        <v>460</v>
      </c>
    </row>
    <row r="44" spans="1:14" x14ac:dyDescent="0.2">
      <c r="A44" s="616" t="s">
        <v>461</v>
      </c>
      <c r="B44" s="616"/>
      <c r="C44" s="616"/>
      <c r="D44" s="616"/>
      <c r="E44" s="616"/>
      <c r="F44" s="616"/>
      <c r="G44" s="616"/>
      <c r="H44" s="616"/>
      <c r="I44" s="616"/>
      <c r="J44" s="616"/>
      <c r="K44" s="616"/>
      <c r="L44" s="616"/>
      <c r="M44" s="616"/>
      <c r="N44" s="616"/>
    </row>
    <row r="46" spans="1:14" x14ac:dyDescent="0.2">
      <c r="A46" s="2" t="s">
        <v>462</v>
      </c>
    </row>
    <row r="48" spans="1:14" x14ac:dyDescent="0.2">
      <c r="A48" s="2" t="s">
        <v>463</v>
      </c>
    </row>
    <row r="49" spans="1:5" x14ac:dyDescent="0.2">
      <c r="A49" s="2" t="s">
        <v>250</v>
      </c>
      <c r="E49" s="2" t="s">
        <v>464</v>
      </c>
    </row>
    <row r="54" spans="1:5" s="618" customFormat="1" ht="12" x14ac:dyDescent="0.2">
      <c r="A54" s="617" t="s">
        <v>465</v>
      </c>
    </row>
    <row r="55" spans="1:5" s="618" customFormat="1" ht="12" x14ac:dyDescent="0.2">
      <c r="A55" s="618" t="s">
        <v>466</v>
      </c>
    </row>
  </sheetData>
  <mergeCells count="2">
    <mergeCell ref="A13:N13"/>
    <mergeCell ref="F23:M23"/>
  </mergeCells>
  <phoneticPr fontId="0" type="noConversion"/>
  <pageMargins left="0.78740157499999996" right="0.78740157499999996" top="0.984251969" bottom="0.984251969" header="0.4921259845" footer="0.4921259845"/>
  <pageSetup paperSize="9" scale="80"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7">
    <pageSetUpPr fitToPage="1"/>
  </sheetPr>
  <dimension ref="A1:F35"/>
  <sheetViews>
    <sheetView workbookViewId="0"/>
  </sheetViews>
  <sheetFormatPr baseColWidth="10" defaultColWidth="12" defaultRowHeight="12.75" x14ac:dyDescent="0.2"/>
  <cols>
    <col min="1" max="1" width="33.6640625" style="12" customWidth="1"/>
    <col min="2" max="2" width="18.33203125" style="12" bestFit="1" customWidth="1"/>
    <col min="3" max="3" width="11.33203125" style="12" bestFit="1" customWidth="1"/>
    <col min="4" max="4" width="14" style="12" bestFit="1" customWidth="1"/>
    <col min="5" max="5" width="28.1640625" style="12" bestFit="1" customWidth="1"/>
    <col min="6" max="6" width="33.6640625" style="12" bestFit="1" customWidth="1"/>
    <col min="7" max="16384" width="12" style="12"/>
  </cols>
  <sheetData>
    <row r="1" spans="1:6" x14ac:dyDescent="0.2">
      <c r="A1" s="11"/>
      <c r="B1" s="10"/>
      <c r="C1" s="10"/>
      <c r="D1" s="10"/>
      <c r="E1" s="10"/>
      <c r="F1" s="11" t="s">
        <v>66</v>
      </c>
    </row>
    <row r="2" spans="1:6" x14ac:dyDescent="0.2">
      <c r="A2" s="10"/>
      <c r="B2" s="10"/>
      <c r="C2" s="10"/>
      <c r="D2" s="10"/>
      <c r="E2" s="10"/>
      <c r="F2" s="10"/>
    </row>
    <row r="3" spans="1:6" x14ac:dyDescent="0.2">
      <c r="A3" s="164" t="s">
        <v>67</v>
      </c>
      <c r="B3" s="165"/>
      <c r="C3" s="165"/>
      <c r="D3" s="165"/>
      <c r="E3" s="165"/>
      <c r="F3" s="10"/>
    </row>
    <row r="4" spans="1:6" x14ac:dyDescent="0.2">
      <c r="A4" s="10"/>
      <c r="B4" s="10"/>
      <c r="C4" s="10"/>
      <c r="D4" s="10"/>
      <c r="E4" s="10"/>
      <c r="F4" s="10"/>
    </row>
    <row r="5" spans="1:6" x14ac:dyDescent="0.2">
      <c r="A5" s="10"/>
      <c r="B5" s="10"/>
      <c r="C5" s="10"/>
      <c r="D5" s="10"/>
      <c r="E5" s="10" t="str">
        <f>+'B7-dettes'!G5</f>
        <v>Exercice clos le :</v>
      </c>
      <c r="F5" s="284" t="str">
        <f>'T5 ESG'!$G$3</f>
        <v>31/12/2015</v>
      </c>
    </row>
    <row r="6" spans="1:6" x14ac:dyDescent="0.2">
      <c r="A6" s="10"/>
      <c r="B6" s="10"/>
      <c r="C6" s="10"/>
      <c r="D6" s="10"/>
      <c r="E6" s="10"/>
      <c r="F6" s="10"/>
    </row>
    <row r="7" spans="1:6" s="227" customFormat="1" x14ac:dyDescent="0.2">
      <c r="A7" s="226" t="s">
        <v>68</v>
      </c>
      <c r="B7" s="226" t="s">
        <v>69</v>
      </c>
      <c r="C7" s="226" t="s">
        <v>70</v>
      </c>
      <c r="D7" s="226" t="s">
        <v>71</v>
      </c>
      <c r="E7" s="226" t="s">
        <v>72</v>
      </c>
      <c r="F7" s="226" t="s">
        <v>73</v>
      </c>
    </row>
    <row r="8" spans="1:6" s="227" customFormat="1" x14ac:dyDescent="0.2">
      <c r="A8" s="228" t="s">
        <v>76</v>
      </c>
      <c r="B8" s="229" t="s">
        <v>77</v>
      </c>
      <c r="C8" s="229"/>
      <c r="D8" s="229" t="s">
        <v>78</v>
      </c>
      <c r="E8" s="229" t="s">
        <v>79</v>
      </c>
      <c r="F8" s="229" t="s">
        <v>80</v>
      </c>
    </row>
    <row r="9" spans="1:6" s="227" customFormat="1" x14ac:dyDescent="0.2">
      <c r="A9" s="230"/>
      <c r="B9" s="230" t="s">
        <v>81</v>
      </c>
      <c r="C9" s="230"/>
      <c r="D9" s="230"/>
      <c r="E9" s="230"/>
      <c r="F9" s="230" t="s">
        <v>82</v>
      </c>
    </row>
    <row r="10" spans="1:6" x14ac:dyDescent="0.2">
      <c r="A10" s="182"/>
      <c r="B10" s="652"/>
      <c r="C10" s="652"/>
      <c r="D10" s="652"/>
      <c r="E10" s="652"/>
      <c r="F10" s="652"/>
    </row>
    <row r="11" spans="1:6" x14ac:dyDescent="0.2">
      <c r="A11" s="182"/>
      <c r="B11" s="652"/>
      <c r="C11" s="652"/>
      <c r="D11" s="652"/>
      <c r="E11" s="652"/>
      <c r="F11" s="652"/>
    </row>
    <row r="12" spans="1:6" x14ac:dyDescent="0.2">
      <c r="A12" s="182"/>
      <c r="B12" s="652"/>
      <c r="C12" s="652"/>
      <c r="D12" s="652"/>
      <c r="E12" s="652"/>
      <c r="F12" s="652"/>
    </row>
    <row r="13" spans="1:6" x14ac:dyDescent="0.2">
      <c r="A13" s="182"/>
      <c r="B13" s="652"/>
      <c r="C13" s="652"/>
      <c r="D13" s="652"/>
      <c r="E13" s="652"/>
      <c r="F13" s="652"/>
    </row>
    <row r="14" spans="1:6" x14ac:dyDescent="0.2">
      <c r="A14" s="182"/>
      <c r="B14" s="652"/>
      <c r="C14" s="652"/>
      <c r="D14" s="652"/>
      <c r="E14" s="652"/>
      <c r="F14" s="652"/>
    </row>
    <row r="15" spans="1:6" x14ac:dyDescent="0.2">
      <c r="A15" s="182" t="s">
        <v>83</v>
      </c>
      <c r="B15" s="652"/>
      <c r="C15" s="652"/>
      <c r="D15" s="652"/>
      <c r="E15" s="652"/>
      <c r="F15" s="653"/>
    </row>
    <row r="16" spans="1:6" x14ac:dyDescent="0.2">
      <c r="A16" s="182"/>
      <c r="B16" s="656"/>
      <c r="C16" s="652"/>
      <c r="D16" s="727"/>
      <c r="E16" s="652"/>
      <c r="F16" s="653"/>
    </row>
    <row r="17" spans="1:6" x14ac:dyDescent="0.2">
      <c r="A17" s="182"/>
      <c r="B17" s="656"/>
      <c r="C17" s="652"/>
      <c r="D17" s="727"/>
      <c r="E17" s="652"/>
      <c r="F17" s="653"/>
    </row>
    <row r="18" spans="1:6" x14ac:dyDescent="0.2">
      <c r="A18" s="182"/>
      <c r="B18" s="656"/>
      <c r="C18" s="652"/>
      <c r="D18" s="727"/>
      <c r="E18" s="652"/>
      <c r="F18" s="653"/>
    </row>
    <row r="19" spans="1:6" x14ac:dyDescent="0.2">
      <c r="A19" s="182"/>
      <c r="B19" s="656"/>
      <c r="C19" s="652"/>
      <c r="D19" s="727"/>
      <c r="E19" s="652"/>
      <c r="F19" s="653"/>
    </row>
    <row r="20" spans="1:6" x14ac:dyDescent="0.2">
      <c r="A20" s="182"/>
      <c r="B20" s="656"/>
      <c r="C20" s="652"/>
      <c r="D20" s="727"/>
      <c r="E20" s="652"/>
      <c r="F20" s="653"/>
    </row>
    <row r="21" spans="1:6" x14ac:dyDescent="0.2">
      <c r="A21" s="182"/>
      <c r="B21" s="653"/>
      <c r="C21" s="652"/>
      <c r="D21" s="654"/>
      <c r="E21" s="652"/>
      <c r="F21" s="653"/>
    </row>
    <row r="22" spans="1:6" x14ac:dyDescent="0.2">
      <c r="A22" s="182"/>
      <c r="B22" s="652"/>
      <c r="C22" s="652"/>
      <c r="D22" s="652"/>
      <c r="E22" s="652"/>
      <c r="F22" s="652"/>
    </row>
    <row r="23" spans="1:6" x14ac:dyDescent="0.2">
      <c r="A23" s="182" t="s">
        <v>84</v>
      </c>
      <c r="B23" s="652"/>
      <c r="C23" s="652"/>
      <c r="D23" s="652"/>
      <c r="E23" s="652"/>
      <c r="F23" s="231"/>
    </row>
    <row r="24" spans="1:6" x14ac:dyDescent="0.2">
      <c r="A24" s="182"/>
      <c r="B24" s="652"/>
      <c r="C24" s="652"/>
      <c r="D24" s="652"/>
      <c r="E24" s="652"/>
      <c r="F24" s="232"/>
    </row>
    <row r="25" spans="1:6" x14ac:dyDescent="0.2">
      <c r="A25" s="182"/>
      <c r="B25" s="652"/>
      <c r="C25" s="652"/>
      <c r="D25" s="652"/>
      <c r="E25" s="652"/>
      <c r="F25" s="232"/>
    </row>
    <row r="26" spans="1:6" x14ac:dyDescent="0.2">
      <c r="A26" s="182"/>
      <c r="B26" s="652"/>
      <c r="C26" s="652"/>
      <c r="D26" s="652"/>
      <c r="E26" s="652"/>
      <c r="F26" s="232"/>
    </row>
    <row r="27" spans="1:6" x14ac:dyDescent="0.2">
      <c r="A27" s="182"/>
      <c r="B27" s="652"/>
      <c r="C27" s="652"/>
      <c r="D27" s="652"/>
      <c r="E27" s="652"/>
      <c r="F27" s="232"/>
    </row>
    <row r="28" spans="1:6" x14ac:dyDescent="0.2">
      <c r="A28" s="183"/>
      <c r="B28" s="655"/>
      <c r="C28" s="655"/>
      <c r="D28" s="655"/>
      <c r="E28" s="655"/>
      <c r="F28" s="233"/>
    </row>
    <row r="29" spans="1:6" x14ac:dyDescent="0.2">
      <c r="A29" s="10"/>
      <c r="B29" s="10"/>
      <c r="C29" s="10"/>
      <c r="D29" s="10"/>
      <c r="E29" s="10"/>
      <c r="F29" s="10"/>
    </row>
    <row r="30" spans="1:6" x14ac:dyDescent="0.2">
      <c r="A30" s="10" t="s">
        <v>85</v>
      </c>
      <c r="B30" s="10"/>
      <c r="C30" s="10"/>
      <c r="D30" s="10"/>
      <c r="E30" s="10"/>
      <c r="F30" s="10"/>
    </row>
    <row r="31" spans="1:6" x14ac:dyDescent="0.2">
      <c r="A31" s="10"/>
      <c r="B31" s="10"/>
      <c r="C31" s="10"/>
      <c r="D31" s="10"/>
      <c r="E31" s="10"/>
      <c r="F31" s="10"/>
    </row>
    <row r="32" spans="1:6" x14ac:dyDescent="0.2">
      <c r="A32" s="10" t="s">
        <v>86</v>
      </c>
      <c r="B32" s="10"/>
      <c r="C32" s="10"/>
      <c r="D32" s="10"/>
      <c r="E32" s="10"/>
      <c r="F32" s="10"/>
    </row>
    <row r="33" spans="1:6" x14ac:dyDescent="0.2">
      <c r="A33" s="10" t="s">
        <v>87</v>
      </c>
      <c r="B33" s="10"/>
      <c r="C33" s="10"/>
      <c r="D33" s="10"/>
      <c r="E33" s="10"/>
      <c r="F33" s="10"/>
    </row>
    <row r="34" spans="1:6" x14ac:dyDescent="0.2">
      <c r="A34" s="10"/>
      <c r="B34" s="10"/>
      <c r="C34" s="10"/>
      <c r="D34" s="10"/>
      <c r="E34" s="10"/>
      <c r="F34" s="10"/>
    </row>
    <row r="35" spans="1:6" x14ac:dyDescent="0.2">
      <c r="A35" s="10" t="s">
        <v>89</v>
      </c>
      <c r="B35" s="10"/>
      <c r="C35" s="10"/>
      <c r="D35" s="10"/>
      <c r="E35" s="10"/>
      <c r="F35" s="10"/>
    </row>
  </sheetData>
  <phoneticPr fontId="0" type="noConversion"/>
  <pageMargins left="0.78740157499999996" right="0.78740157499999996" top="0.984251969" bottom="0.984251969" header="0.4921259845" footer="0.4921259845"/>
  <pageSetup paperSize="9" scale="98" orientation="landscape" horizontalDpi="300" verticalDpi="300" r:id="rId1"/>
  <headerFooter alignWithMargins="0">
    <oddHeader>&amp;L&amp;"Times New Roman,Gras italique"&amp;12Sté : ...............................</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38">
    <pageSetUpPr fitToPage="1"/>
  </sheetPr>
  <dimension ref="B1:D39"/>
  <sheetViews>
    <sheetView workbookViewId="0"/>
  </sheetViews>
  <sheetFormatPr baseColWidth="10" defaultColWidth="11.83203125" defaultRowHeight="12.75" x14ac:dyDescent="0.2"/>
  <cols>
    <col min="1" max="1" width="8" style="10" customWidth="1"/>
    <col min="2" max="2" width="50" style="10" customWidth="1"/>
    <col min="3" max="3" width="19.33203125" style="10" customWidth="1"/>
    <col min="4" max="4" width="20" style="10" customWidth="1"/>
    <col min="5" max="16384" width="11.83203125" style="10"/>
  </cols>
  <sheetData>
    <row r="1" spans="2:4" ht="15.75" x14ac:dyDescent="0.25">
      <c r="B1" s="8"/>
      <c r="D1" s="11" t="s">
        <v>90</v>
      </c>
    </row>
    <row r="3" spans="2:4" x14ac:dyDescent="0.2">
      <c r="D3" s="11"/>
    </row>
    <row r="4" spans="2:4" x14ac:dyDescent="0.2">
      <c r="D4" s="11"/>
    </row>
    <row r="5" spans="2:4" x14ac:dyDescent="0.2">
      <c r="B5" s="164" t="s">
        <v>91</v>
      </c>
      <c r="C5" s="164"/>
      <c r="D5" s="165"/>
    </row>
    <row r="6" spans="2:4" x14ac:dyDescent="0.2">
      <c r="B6" s="164" t="s">
        <v>92</v>
      </c>
      <c r="C6" s="164"/>
      <c r="D6" s="165"/>
    </row>
    <row r="7" spans="2:4" x14ac:dyDescent="0.2">
      <c r="B7" s="165"/>
      <c r="C7" s="165"/>
      <c r="D7" s="165"/>
    </row>
    <row r="8" spans="2:4" x14ac:dyDescent="0.2">
      <c r="C8" s="10" t="str">
        <f>+'B8-SURETES-01'!E5</f>
        <v>Exercice clos le :</v>
      </c>
      <c r="D8" s="284" t="str">
        <f>'T5 ESG'!$G$3</f>
        <v>31/12/2015</v>
      </c>
    </row>
    <row r="9" spans="2:4" x14ac:dyDescent="0.2">
      <c r="B9" s="222"/>
      <c r="C9" s="223" t="s">
        <v>492</v>
      </c>
      <c r="D9" s="223" t="s">
        <v>492</v>
      </c>
    </row>
    <row r="10" spans="2:4" x14ac:dyDescent="0.2">
      <c r="B10" s="180" t="s">
        <v>93</v>
      </c>
      <c r="C10" s="224" t="s">
        <v>248</v>
      </c>
      <c r="D10" s="224" t="s">
        <v>248</v>
      </c>
    </row>
    <row r="11" spans="2:4" x14ac:dyDescent="0.2">
      <c r="B11" s="225"/>
      <c r="C11" s="170"/>
      <c r="D11" s="170" t="s">
        <v>532</v>
      </c>
    </row>
    <row r="12" spans="2:4" x14ac:dyDescent="0.2">
      <c r="B12" s="182"/>
      <c r="C12" s="174"/>
      <c r="D12" s="174"/>
    </row>
    <row r="13" spans="2:4" x14ac:dyDescent="0.2">
      <c r="B13" s="182" t="s">
        <v>94</v>
      </c>
      <c r="C13" s="656">
        <v>0</v>
      </c>
      <c r="D13" s="656">
        <v>0</v>
      </c>
    </row>
    <row r="14" spans="2:4" x14ac:dyDescent="0.2">
      <c r="B14" s="182" t="s">
        <v>95</v>
      </c>
      <c r="C14" s="656">
        <v>0</v>
      </c>
      <c r="D14" s="656">
        <v>0</v>
      </c>
    </row>
    <row r="15" spans="2:4" x14ac:dyDescent="0.2">
      <c r="B15" s="182" t="s">
        <v>96</v>
      </c>
      <c r="C15" s="656"/>
      <c r="D15" s="656"/>
    </row>
    <row r="16" spans="2:4" x14ac:dyDescent="0.2">
      <c r="B16" s="182"/>
      <c r="C16" s="656"/>
      <c r="D16" s="656"/>
    </row>
    <row r="17" spans="2:4" x14ac:dyDescent="0.2">
      <c r="B17" s="182" t="s">
        <v>97</v>
      </c>
      <c r="C17" s="656">
        <v>0</v>
      </c>
      <c r="D17" s="656">
        <v>0</v>
      </c>
    </row>
    <row r="18" spans="2:4" x14ac:dyDescent="0.2">
      <c r="B18" s="182" t="s">
        <v>302</v>
      </c>
      <c r="C18" s="656">
        <v>0</v>
      </c>
      <c r="D18" s="656">
        <v>0</v>
      </c>
    </row>
    <row r="19" spans="2:4" x14ac:dyDescent="0.2">
      <c r="B19" s="752" t="s">
        <v>74</v>
      </c>
      <c r="C19" s="656"/>
      <c r="D19" s="656"/>
    </row>
    <row r="20" spans="2:4" x14ac:dyDescent="0.2">
      <c r="B20" s="752"/>
      <c r="C20" s="656"/>
      <c r="D20" s="656"/>
    </row>
    <row r="21" spans="2:4" x14ac:dyDescent="0.2">
      <c r="B21" s="182"/>
      <c r="C21" s="656"/>
      <c r="D21" s="656"/>
    </row>
    <row r="22" spans="2:4" x14ac:dyDescent="0.2">
      <c r="B22" s="182"/>
      <c r="C22" s="656"/>
      <c r="D22" s="656"/>
    </row>
    <row r="23" spans="2:4" x14ac:dyDescent="0.2">
      <c r="B23" s="182"/>
      <c r="C23" s="657"/>
      <c r="D23" s="657"/>
    </row>
    <row r="24" spans="2:4" x14ac:dyDescent="0.2">
      <c r="B24" s="180" t="s">
        <v>98</v>
      </c>
      <c r="C24" s="174">
        <f>SUM(C17:C23)</f>
        <v>0</v>
      </c>
      <c r="D24" s="174">
        <f>SUM(D17:D23)</f>
        <v>0</v>
      </c>
    </row>
    <row r="25" spans="2:4" x14ac:dyDescent="0.2">
      <c r="B25" s="182" t="s">
        <v>99</v>
      </c>
      <c r="C25" s="174"/>
      <c r="D25" s="174"/>
    </row>
    <row r="26" spans="2:4" x14ac:dyDescent="0.2">
      <c r="B26" s="182" t="s">
        <v>100</v>
      </c>
      <c r="C26" s="590">
        <f>C24</f>
        <v>0</v>
      </c>
      <c r="D26" s="590">
        <f>D24</f>
        <v>0</v>
      </c>
    </row>
    <row r="27" spans="2:4" x14ac:dyDescent="0.2">
      <c r="B27" s="182"/>
      <c r="C27" s="174"/>
      <c r="D27" s="174"/>
    </row>
    <row r="28" spans="2:4" x14ac:dyDescent="0.2">
      <c r="B28" s="183"/>
      <c r="C28" s="590"/>
      <c r="D28" s="590"/>
    </row>
    <row r="31" spans="2:4" x14ac:dyDescent="0.2">
      <c r="B31" s="222"/>
      <c r="C31" s="223" t="s">
        <v>492</v>
      </c>
      <c r="D31" s="223" t="s">
        <v>492</v>
      </c>
    </row>
    <row r="32" spans="2:4" x14ac:dyDescent="0.2">
      <c r="B32" s="180" t="s">
        <v>101</v>
      </c>
      <c r="C32" s="224" t="s">
        <v>248</v>
      </c>
      <c r="D32" s="224" t="s">
        <v>248</v>
      </c>
    </row>
    <row r="33" spans="2:4" x14ac:dyDescent="0.2">
      <c r="B33" s="225"/>
      <c r="C33" s="170"/>
      <c r="D33" s="170" t="s">
        <v>532</v>
      </c>
    </row>
    <row r="34" spans="2:4" x14ac:dyDescent="0.2">
      <c r="B34" s="167"/>
      <c r="C34" s="601"/>
      <c r="D34" s="601"/>
    </row>
    <row r="35" spans="2:4" x14ac:dyDescent="0.2">
      <c r="B35" s="752" t="s">
        <v>74</v>
      </c>
      <c r="C35" s="174" t="s">
        <v>620</v>
      </c>
      <c r="D35" s="174" t="s">
        <v>620</v>
      </c>
    </row>
    <row r="36" spans="2:4" x14ac:dyDescent="0.2">
      <c r="B36" s="182"/>
      <c r="C36" s="174"/>
      <c r="D36" s="174"/>
    </row>
    <row r="37" spans="2:4" x14ac:dyDescent="0.2">
      <c r="B37" s="182"/>
      <c r="C37" s="174"/>
      <c r="D37" s="174"/>
    </row>
    <row r="38" spans="2:4" x14ac:dyDescent="0.2">
      <c r="B38" s="182"/>
      <c r="C38" s="590"/>
      <c r="D38" s="590"/>
    </row>
    <row r="39" spans="2:4" x14ac:dyDescent="0.2">
      <c r="B39" s="225" t="s">
        <v>829</v>
      </c>
      <c r="C39" s="590">
        <f>SUM(C34:C38)</f>
        <v>0</v>
      </c>
      <c r="D39" s="590">
        <f>SUM(D34:D38)</f>
        <v>0</v>
      </c>
    </row>
  </sheetData>
  <phoneticPr fontId="28" type="noConversion"/>
  <pageMargins left="0.78740157499999996" right="0.78740157499999996" top="0.984251969" bottom="0.984251969" header="0.4921259845" footer="0.4921259845"/>
  <pageSetup paperSize="9" orientation="portrait" horizontalDpi="300" verticalDpi="300" r:id="rId1"/>
  <headerFooter alignWithMargins="0">
    <oddHeader>&amp;L&amp;"Times New Roman,Gras italique"&amp;12Sté : ...............................</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39">
    <pageSetUpPr fitToPage="1"/>
  </sheetPr>
  <dimension ref="A1:C31"/>
  <sheetViews>
    <sheetView workbookViewId="0"/>
  </sheetViews>
  <sheetFormatPr baseColWidth="10" defaultColWidth="12" defaultRowHeight="12.75" x14ac:dyDescent="0.2"/>
  <cols>
    <col min="1" max="1" width="93.33203125" style="12" bestFit="1" customWidth="1"/>
    <col min="2" max="2" width="18.33203125" style="12" bestFit="1" customWidth="1"/>
    <col min="3" max="16384" width="12" style="12"/>
  </cols>
  <sheetData>
    <row r="1" spans="1:3" ht="15.75" x14ac:dyDescent="0.25">
      <c r="A1" s="8"/>
      <c r="B1" s="11" t="s">
        <v>108</v>
      </c>
      <c r="C1" s="10"/>
    </row>
    <row r="2" spans="1:3" x14ac:dyDescent="0.2">
      <c r="A2" s="11"/>
      <c r="B2" s="11"/>
      <c r="C2" s="10"/>
    </row>
    <row r="3" spans="1:3" x14ac:dyDescent="0.2">
      <c r="A3" s="11"/>
      <c r="B3" s="10"/>
      <c r="C3" s="10"/>
    </row>
    <row r="4" spans="1:3" x14ac:dyDescent="0.2">
      <c r="A4" s="11"/>
      <c r="B4" s="70"/>
      <c r="C4" s="10"/>
    </row>
    <row r="5" spans="1:3" x14ac:dyDescent="0.2">
      <c r="A5" s="11"/>
      <c r="B5" s="11"/>
      <c r="C5" s="10"/>
    </row>
    <row r="6" spans="1:3" x14ac:dyDescent="0.2">
      <c r="A6" s="177" t="s">
        <v>109</v>
      </c>
      <c r="B6" s="11"/>
      <c r="C6" s="10"/>
    </row>
    <row r="7" spans="1:3" x14ac:dyDescent="0.2">
      <c r="A7" s="10"/>
      <c r="B7" s="284" t="str">
        <f>'T5 ESG'!$G$3</f>
        <v>31/12/2015</v>
      </c>
      <c r="C7" s="10"/>
    </row>
    <row r="8" spans="1:3" x14ac:dyDescent="0.2">
      <c r="A8" s="178" t="s">
        <v>110</v>
      </c>
      <c r="B8" s="179" t="s">
        <v>483</v>
      </c>
      <c r="C8" s="10"/>
    </row>
    <row r="9" spans="1:3" x14ac:dyDescent="0.2">
      <c r="A9" s="180"/>
      <c r="B9" s="181"/>
      <c r="C9" s="10"/>
    </row>
    <row r="10" spans="1:3" x14ac:dyDescent="0.2">
      <c r="A10" s="182" t="s">
        <v>111</v>
      </c>
      <c r="B10" s="174">
        <f>'T2 CPC'!F43</f>
        <v>0</v>
      </c>
      <c r="C10" s="10"/>
    </row>
    <row r="11" spans="1:3" x14ac:dyDescent="0.2">
      <c r="A11" s="182" t="s">
        <v>112</v>
      </c>
      <c r="B11" s="174">
        <f>+'T3 B12-res fis'!B21</f>
        <v>0</v>
      </c>
      <c r="C11" s="10"/>
    </row>
    <row r="12" spans="1:3" x14ac:dyDescent="0.2">
      <c r="A12" s="182" t="s">
        <v>113</v>
      </c>
      <c r="B12" s="174">
        <f>-'T3 B12-res fis'!C26</f>
        <v>0</v>
      </c>
      <c r="C12" s="10"/>
    </row>
    <row r="13" spans="1:3" x14ac:dyDescent="0.2">
      <c r="A13" s="182"/>
      <c r="B13" s="174"/>
      <c r="C13" s="10"/>
    </row>
    <row r="14" spans="1:3" x14ac:dyDescent="0.2">
      <c r="A14" s="182" t="s">
        <v>114</v>
      </c>
      <c r="B14" s="174">
        <f>SUM(B10:B13)</f>
        <v>0</v>
      </c>
      <c r="C14" s="10"/>
    </row>
    <row r="15" spans="1:3" x14ac:dyDescent="0.2">
      <c r="A15" s="182" t="s">
        <v>115</v>
      </c>
      <c r="B15" s="174">
        <f>B14*30%</f>
        <v>0</v>
      </c>
      <c r="C15" s="10"/>
    </row>
    <row r="16" spans="1:3" x14ac:dyDescent="0.2">
      <c r="A16" s="183" t="s">
        <v>116</v>
      </c>
      <c r="B16" s="590">
        <f>+B14-B15</f>
        <v>0</v>
      </c>
      <c r="C16" s="10"/>
    </row>
    <row r="17" spans="1:3" x14ac:dyDescent="0.2">
      <c r="A17" s="184"/>
      <c r="B17" s="10"/>
      <c r="C17" s="10"/>
    </row>
    <row r="18" spans="1:3" x14ac:dyDescent="0.2">
      <c r="A18" s="10"/>
      <c r="B18" s="10"/>
      <c r="C18" s="10"/>
    </row>
    <row r="19" spans="1:3" x14ac:dyDescent="0.2">
      <c r="A19" s="10"/>
      <c r="B19" s="10"/>
      <c r="C19" s="10"/>
    </row>
    <row r="20" spans="1:3" x14ac:dyDescent="0.2">
      <c r="A20" s="185" t="s">
        <v>117</v>
      </c>
      <c r="B20" s="166"/>
      <c r="C20" s="10"/>
    </row>
    <row r="21" spans="1:3" x14ac:dyDescent="0.2">
      <c r="A21" s="168" t="s">
        <v>118</v>
      </c>
      <c r="B21" s="169"/>
      <c r="C21" s="10"/>
    </row>
    <row r="22" spans="1:3" x14ac:dyDescent="0.2">
      <c r="A22" s="703"/>
      <c r="B22" s="704"/>
      <c r="C22" s="10"/>
    </row>
    <row r="23" spans="1:3" x14ac:dyDescent="0.2">
      <c r="A23" s="705" t="s">
        <v>895</v>
      </c>
      <c r="B23" s="652"/>
      <c r="C23" s="10"/>
    </row>
    <row r="24" spans="1:3" x14ac:dyDescent="0.2">
      <c r="A24" s="705" t="s">
        <v>895</v>
      </c>
      <c r="B24" s="652"/>
      <c r="C24" s="10"/>
    </row>
    <row r="25" spans="1:3" x14ac:dyDescent="0.2">
      <c r="A25" s="705" t="s">
        <v>895</v>
      </c>
      <c r="B25" s="652"/>
      <c r="C25" s="10"/>
    </row>
    <row r="26" spans="1:3" x14ac:dyDescent="0.2">
      <c r="A26" s="705" t="s">
        <v>895</v>
      </c>
      <c r="B26" s="652"/>
      <c r="C26" s="10"/>
    </row>
    <row r="27" spans="1:3" x14ac:dyDescent="0.2">
      <c r="A27" s="705" t="s">
        <v>895</v>
      </c>
      <c r="B27" s="652"/>
      <c r="C27" s="10"/>
    </row>
    <row r="28" spans="1:3" x14ac:dyDescent="0.2">
      <c r="A28" s="705" t="s">
        <v>895</v>
      </c>
      <c r="B28" s="652"/>
      <c r="C28" s="10"/>
    </row>
    <row r="29" spans="1:3" x14ac:dyDescent="0.2">
      <c r="A29" s="705" t="s">
        <v>895</v>
      </c>
      <c r="B29" s="652"/>
      <c r="C29" s="10"/>
    </row>
    <row r="30" spans="1:3" x14ac:dyDescent="0.2">
      <c r="A30" s="705"/>
      <c r="B30" s="652"/>
      <c r="C30" s="10"/>
    </row>
    <row r="31" spans="1:3" x14ac:dyDescent="0.2">
      <c r="A31" s="706"/>
      <c r="B31" s="655"/>
      <c r="C31" s="10"/>
    </row>
  </sheetData>
  <phoneticPr fontId="28" type="noConversion"/>
  <pageMargins left="0.78740157499999996" right="0.78740157499999996" top="0.984251969" bottom="0.984251969" header="0.4921259845" footer="0.4921259845"/>
  <pageSetup paperSize="9" orientation="landscape" horizontalDpi="300" verticalDpi="300" r:id="rId1"/>
  <headerFooter alignWithMargins="0">
    <oddHeader>&amp;L&amp;"Times New Roman,Gras italique"&amp;12Sté : ...............................</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0"/>
  <dimension ref="A2:B4"/>
  <sheetViews>
    <sheetView workbookViewId="0"/>
  </sheetViews>
  <sheetFormatPr baseColWidth="10" defaultColWidth="12" defaultRowHeight="12.75" x14ac:dyDescent="0.2"/>
  <cols>
    <col min="1" max="16384" width="12" style="2"/>
  </cols>
  <sheetData>
    <row r="2" spans="1:2" x14ac:dyDescent="0.2">
      <c r="A2" s="729"/>
    </row>
    <row r="4" spans="1:2" ht="14.25" x14ac:dyDescent="0.2">
      <c r="A4" s="730" t="s">
        <v>706</v>
      </c>
      <c r="B4" s="730" t="s">
        <v>707</v>
      </c>
    </row>
  </sheetData>
  <phoneticPr fontId="0" type="noConversion"/>
  <pageMargins left="0.78740157499999996" right="0.78740157499999996" top="0.984251969" bottom="0.984251969" header="0.4921259845" footer="0.4921259845"/>
  <pageSetup paperSize="9" scale="80" orientation="portrait" horizontalDpi="300" verticalDpi="300" r:id="rId1"/>
  <headerFooter alignWithMargins="0">
    <oddHeader>&amp;L&amp;"Times New Roman,Gras italique"&amp;12Sté : ...............................</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1">
    <pageSetUpPr fitToPage="1"/>
  </sheetPr>
  <dimension ref="A1:E28"/>
  <sheetViews>
    <sheetView zoomScale="90" zoomScaleNormal="90" workbookViewId="0"/>
  </sheetViews>
  <sheetFormatPr baseColWidth="10" defaultColWidth="13.33203125" defaultRowHeight="12.75" x14ac:dyDescent="0.2"/>
  <cols>
    <col min="1" max="1" width="81" style="4" customWidth="1"/>
    <col min="2" max="2" width="20.6640625" style="4" customWidth="1"/>
    <col min="3" max="4" width="20.1640625" style="4" customWidth="1"/>
    <col min="5" max="16384" width="13.33203125" style="4"/>
  </cols>
  <sheetData>
    <row r="1" spans="1:5" ht="15.75" x14ac:dyDescent="0.25">
      <c r="A1" s="7"/>
      <c r="D1" s="140" t="s">
        <v>132</v>
      </c>
    </row>
    <row r="2" spans="1:5" x14ac:dyDescent="0.2">
      <c r="A2" s="126" t="s">
        <v>133</v>
      </c>
      <c r="B2" s="126"/>
      <c r="C2" s="126"/>
      <c r="D2" s="126"/>
      <c r="E2" s="126"/>
    </row>
    <row r="3" spans="1:5" x14ac:dyDescent="0.2">
      <c r="A3" s="126" t="s">
        <v>134</v>
      </c>
      <c r="B3" s="126"/>
      <c r="C3" s="126"/>
      <c r="D3" s="126"/>
      <c r="E3" s="126"/>
    </row>
    <row r="4" spans="1:5" x14ac:dyDescent="0.2">
      <c r="C4" s="4" t="str">
        <f>+'T14 C2-affec resu'!C6</f>
        <v>Exercice clos le :</v>
      </c>
      <c r="D4" s="284" t="str">
        <f>'T5 ESG'!$G$3</f>
        <v>31/12/2015</v>
      </c>
    </row>
    <row r="5" spans="1:5" s="143" customFormat="1" ht="12" x14ac:dyDescent="0.2">
      <c r="A5" s="141" t="s">
        <v>135</v>
      </c>
      <c r="B5" s="142" t="s">
        <v>136</v>
      </c>
      <c r="C5" s="142" t="s">
        <v>136</v>
      </c>
      <c r="D5" s="142" t="s">
        <v>136</v>
      </c>
    </row>
    <row r="6" spans="1:5" s="9" customFormat="1" x14ac:dyDescent="0.2">
      <c r="A6" s="144"/>
      <c r="B6" s="135" t="s">
        <v>137</v>
      </c>
      <c r="C6" s="135" t="s">
        <v>138</v>
      </c>
      <c r="D6" s="135" t="s">
        <v>139</v>
      </c>
    </row>
    <row r="7" spans="1:5" x14ac:dyDescent="0.2">
      <c r="A7" s="145" t="s">
        <v>140</v>
      </c>
      <c r="B7" s="137"/>
      <c r="C7" s="137"/>
      <c r="D7" s="137"/>
    </row>
    <row r="8" spans="1:5" x14ac:dyDescent="0.2">
      <c r="A8" s="146"/>
      <c r="C8" s="137"/>
      <c r="D8" s="137"/>
    </row>
    <row r="9" spans="1:5" ht="15" customHeight="1" x14ac:dyDescent="0.2">
      <c r="A9" s="147" t="s">
        <v>141</v>
      </c>
      <c r="B9" s="688"/>
      <c r="C9" s="712">
        <f>'T1 Bilan'!G79+'T1 Bilan'!G80-'T1 Bilan'!G8</f>
        <v>0</v>
      </c>
      <c r="D9" s="595">
        <f>'T1 Bilan'!E79+'T1 Bilan'!E80-'T1 Bilan'!E8</f>
        <v>0</v>
      </c>
    </row>
    <row r="10" spans="1:5" x14ac:dyDescent="0.2">
      <c r="A10" s="137" t="s">
        <v>142</v>
      </c>
      <c r="B10" s="688"/>
      <c r="C10" s="712"/>
      <c r="D10" s="595"/>
    </row>
    <row r="11" spans="1:5" x14ac:dyDescent="0.2">
      <c r="A11" s="137"/>
      <c r="B11" s="688"/>
      <c r="C11" s="712"/>
      <c r="D11" s="595"/>
    </row>
    <row r="12" spans="1:5" x14ac:dyDescent="0.2">
      <c r="A12" s="146" t="s">
        <v>143</v>
      </c>
      <c r="B12" s="688"/>
      <c r="C12" s="712"/>
      <c r="D12" s="595"/>
    </row>
    <row r="13" spans="1:5" x14ac:dyDescent="0.2">
      <c r="A13" s="137"/>
      <c r="B13" s="688"/>
      <c r="C13" s="712"/>
      <c r="D13" s="595"/>
    </row>
    <row r="14" spans="1:5" x14ac:dyDescent="0.2">
      <c r="A14" s="137" t="s">
        <v>144</v>
      </c>
      <c r="B14" s="688"/>
      <c r="C14" s="595">
        <f>+'T2 CPC'!G12+'T2 CPC'!G13</f>
        <v>0</v>
      </c>
      <c r="D14" s="595">
        <f>'T2 CPC'!F12+'T2 CPC'!F13</f>
        <v>0</v>
      </c>
    </row>
    <row r="15" spans="1:5" x14ac:dyDescent="0.2">
      <c r="A15" s="137" t="s">
        <v>145</v>
      </c>
      <c r="B15" s="688"/>
      <c r="C15" s="595">
        <f>+'T2 CPC'!G70</f>
        <v>0</v>
      </c>
      <c r="D15" s="595">
        <f>+'T2 CPC'!F70</f>
        <v>0</v>
      </c>
    </row>
    <row r="16" spans="1:5" x14ac:dyDescent="0.2">
      <c r="A16" s="148" t="s">
        <v>152</v>
      </c>
      <c r="B16" s="688"/>
      <c r="C16" s="595">
        <f>+'T2 CPC'!G71</f>
        <v>0</v>
      </c>
      <c r="D16" s="595">
        <f>+'T2 CPC'!F71</f>
        <v>0</v>
      </c>
    </row>
    <row r="17" spans="1:4" s="150" customFormat="1" x14ac:dyDescent="0.2">
      <c r="A17" s="149" t="s">
        <v>153</v>
      </c>
      <c r="B17" s="688"/>
      <c r="C17" s="688"/>
      <c r="D17" s="688"/>
    </row>
    <row r="18" spans="1:4" x14ac:dyDescent="0.2">
      <c r="A18" s="137" t="s">
        <v>154</v>
      </c>
      <c r="B18" s="688"/>
      <c r="C18" s="688">
        <f>+C15-C16-C17</f>
        <v>0</v>
      </c>
      <c r="D18" s="688">
        <f>+D15-D16-D17</f>
        <v>0</v>
      </c>
    </row>
    <row r="19" spans="1:4" x14ac:dyDescent="0.2">
      <c r="A19" s="137"/>
      <c r="B19" s="688"/>
      <c r="C19" s="595"/>
      <c r="D19" s="595"/>
    </row>
    <row r="20" spans="1:4" x14ac:dyDescent="0.2">
      <c r="A20" s="151" t="s">
        <v>155</v>
      </c>
      <c r="B20" s="688"/>
      <c r="C20" s="595"/>
      <c r="D20" s="595"/>
    </row>
    <row r="21" spans="1:4" x14ac:dyDescent="0.2">
      <c r="A21" s="148"/>
      <c r="B21" s="688"/>
      <c r="C21" s="595"/>
      <c r="D21" s="595"/>
    </row>
    <row r="22" spans="1:4" x14ac:dyDescent="0.2">
      <c r="A22" s="137" t="s">
        <v>156</v>
      </c>
      <c r="B22" s="688"/>
      <c r="C22" s="595">
        <f>IFERROR('T2 CPC'!G77/'T13 C1-rép cap'!E18,0)</f>
        <v>0</v>
      </c>
      <c r="D22" s="595">
        <f>IFERROR('T2 CPC'!F77/'T13 C1-rép cap'!F18,0)</f>
        <v>0</v>
      </c>
    </row>
    <row r="23" spans="1:4" x14ac:dyDescent="0.2">
      <c r="A23" s="137" t="s">
        <v>157</v>
      </c>
      <c r="B23" s="688"/>
      <c r="C23" s="595">
        <f>IFERROR(C17/'T13 C1-rép cap'!E18,0)</f>
        <v>0</v>
      </c>
      <c r="D23" s="595">
        <f>IFERROR(D17/'T13 C1-rép cap'!F18,0)</f>
        <v>0</v>
      </c>
    </row>
    <row r="24" spans="1:4" x14ac:dyDescent="0.2">
      <c r="A24" s="137"/>
      <c r="B24" s="688"/>
      <c r="C24" s="595"/>
      <c r="D24" s="595"/>
    </row>
    <row r="25" spans="1:4" x14ac:dyDescent="0.2">
      <c r="A25" s="146" t="s">
        <v>158</v>
      </c>
      <c r="B25" s="688"/>
      <c r="C25" s="595"/>
      <c r="D25" s="595"/>
    </row>
    <row r="26" spans="1:4" x14ac:dyDescent="0.2">
      <c r="A26" s="137"/>
      <c r="B26" s="688"/>
      <c r="C26" s="595"/>
      <c r="D26" s="595"/>
    </row>
    <row r="27" spans="1:4" x14ac:dyDescent="0.2">
      <c r="A27" s="137" t="s">
        <v>159</v>
      </c>
      <c r="B27" s="688"/>
      <c r="C27" s="595">
        <f>'T6 TB11'!D36</f>
        <v>0</v>
      </c>
      <c r="D27" s="595">
        <f>'T6 TB11'!C36</f>
        <v>0</v>
      </c>
    </row>
    <row r="28" spans="1:4" x14ac:dyDescent="0.2">
      <c r="A28" s="152" t="s">
        <v>160</v>
      </c>
      <c r="B28" s="723"/>
      <c r="C28" s="723"/>
      <c r="D28" s="751">
        <v>0</v>
      </c>
    </row>
  </sheetData>
  <phoneticPr fontId="28" type="noConversion"/>
  <pageMargins left="0.78740157499999996" right="0.78740157499999996" top="0.984251969" bottom="0.984251969" header="0.4921259845" footer="0.4921259845"/>
  <pageSetup paperSize="9" orientation="landscape" horizontalDpi="300" verticalDpi="300" r:id="rId1"/>
  <headerFooter alignWithMargins="0">
    <oddHeader>&amp;L&amp;"Times New Roman,Gras italique"&amp;12Sté :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3">
    <pageSetUpPr fitToPage="1"/>
  </sheetPr>
  <dimension ref="B1:D42"/>
  <sheetViews>
    <sheetView workbookViewId="0"/>
  </sheetViews>
  <sheetFormatPr baseColWidth="10" defaultColWidth="13.33203125" defaultRowHeight="12.75" x14ac:dyDescent="0.2"/>
  <cols>
    <col min="1" max="1" width="9" style="4" customWidth="1"/>
    <col min="2" max="2" width="13" style="4" customWidth="1"/>
    <col min="3" max="3" width="52" style="4" customWidth="1"/>
    <col min="4" max="4" width="17" style="4" customWidth="1"/>
    <col min="5" max="16384" width="13.33203125" style="4"/>
  </cols>
  <sheetData>
    <row r="1" spans="2:4" ht="15.75" x14ac:dyDescent="0.25">
      <c r="B1" s="7"/>
    </row>
    <row r="2" spans="2:4" s="9" customFormat="1" x14ac:dyDescent="0.2">
      <c r="B2" s="4"/>
      <c r="C2" s="4"/>
      <c r="D2" s="55"/>
    </row>
    <row r="3" spans="2:4" s="9" customFormat="1" x14ac:dyDescent="0.2">
      <c r="B3" s="4"/>
    </row>
    <row r="4" spans="2:4" x14ac:dyDescent="0.2">
      <c r="B4" s="56"/>
      <c r="C4" s="126" t="s">
        <v>178</v>
      </c>
      <c r="D4" s="57"/>
    </row>
    <row r="5" spans="2:4" x14ac:dyDescent="0.2">
      <c r="B5" s="55"/>
    </row>
    <row r="6" spans="2:4" x14ac:dyDescent="0.2">
      <c r="B6" s="9"/>
    </row>
    <row r="7" spans="2:4" x14ac:dyDescent="0.2">
      <c r="B7" s="58"/>
      <c r="C7" s="59"/>
      <c r="D7" s="60"/>
    </row>
    <row r="8" spans="2:4" x14ac:dyDescent="0.2">
      <c r="B8" s="61" t="s">
        <v>179</v>
      </c>
      <c r="D8" s="781" t="str">
        <f>'T5 ESG'!$G$3</f>
        <v>31/12/2015</v>
      </c>
    </row>
    <row r="9" spans="2:4" x14ac:dyDescent="0.2">
      <c r="B9" s="61"/>
      <c r="D9" s="62"/>
    </row>
    <row r="10" spans="2:4" x14ac:dyDescent="0.2">
      <c r="B10" s="61"/>
      <c r="D10" s="62"/>
    </row>
    <row r="11" spans="2:4" x14ac:dyDescent="0.2">
      <c r="B11" s="61"/>
      <c r="D11" s="62"/>
    </row>
    <row r="12" spans="2:4" x14ac:dyDescent="0.2">
      <c r="B12" s="61"/>
      <c r="D12" s="62"/>
    </row>
    <row r="13" spans="2:4" x14ac:dyDescent="0.2">
      <c r="B13" s="61" t="s">
        <v>180</v>
      </c>
      <c r="D13" s="728" t="s">
        <v>75</v>
      </c>
    </row>
    <row r="14" spans="2:4" x14ac:dyDescent="0.2">
      <c r="B14" s="61"/>
      <c r="D14" s="62"/>
    </row>
    <row r="15" spans="2:4" x14ac:dyDescent="0.2">
      <c r="B15" s="61"/>
      <c r="D15" s="62"/>
    </row>
    <row r="16" spans="2:4" x14ac:dyDescent="0.2">
      <c r="B16" s="61"/>
      <c r="D16" s="62"/>
    </row>
    <row r="17" spans="2:4" x14ac:dyDescent="0.2">
      <c r="B17" s="61"/>
      <c r="D17" s="62"/>
    </row>
    <row r="18" spans="2:4" x14ac:dyDescent="0.2">
      <c r="B18" s="61" t="s">
        <v>181</v>
      </c>
      <c r="D18" s="62"/>
    </row>
    <row r="19" spans="2:4" x14ac:dyDescent="0.2">
      <c r="B19" s="61" t="s">
        <v>182</v>
      </c>
      <c r="D19" s="62"/>
    </row>
    <row r="20" spans="2:4" x14ac:dyDescent="0.2">
      <c r="B20" s="61"/>
      <c r="D20" s="62"/>
    </row>
    <row r="21" spans="2:4" x14ac:dyDescent="0.2">
      <c r="B21" s="63"/>
      <c r="C21" s="64"/>
      <c r="D21" s="65"/>
    </row>
    <row r="23" spans="2:4" x14ac:dyDescent="0.2">
      <c r="B23" s="9" t="s">
        <v>183</v>
      </c>
      <c r="C23" s="9"/>
    </row>
    <row r="24" spans="2:4" x14ac:dyDescent="0.2">
      <c r="B24" s="66" t="s">
        <v>184</v>
      </c>
      <c r="C24" s="9"/>
    </row>
    <row r="25" spans="2:4" x14ac:dyDescent="0.2">
      <c r="B25" s="67" t="s">
        <v>185</v>
      </c>
      <c r="C25" s="9"/>
    </row>
    <row r="27" spans="2:4" ht="13.5" thickBot="1" x14ac:dyDescent="0.25"/>
    <row r="28" spans="2:4" ht="13.5" thickBot="1" x14ac:dyDescent="0.25">
      <c r="B28" s="127" t="s">
        <v>186</v>
      </c>
      <c r="C28" s="128" t="s">
        <v>187</v>
      </c>
      <c r="D28" s="77"/>
    </row>
    <row r="29" spans="2:4" x14ac:dyDescent="0.2">
      <c r="B29" s="658"/>
      <c r="C29" s="600" t="s">
        <v>188</v>
      </c>
      <c r="D29" s="659"/>
    </row>
    <row r="30" spans="2:4" x14ac:dyDescent="0.2">
      <c r="B30" s="658"/>
      <c r="C30" s="600"/>
      <c r="D30" s="659"/>
    </row>
    <row r="31" spans="2:4" x14ac:dyDescent="0.2">
      <c r="B31" s="658"/>
      <c r="C31" s="660"/>
      <c r="D31" s="659"/>
    </row>
    <row r="32" spans="2:4" x14ac:dyDescent="0.2">
      <c r="B32" s="658"/>
      <c r="C32" s="600"/>
      <c r="D32" s="659"/>
    </row>
    <row r="33" spans="2:4" x14ac:dyDescent="0.2">
      <c r="B33" s="658"/>
      <c r="C33" s="600"/>
      <c r="D33" s="659"/>
    </row>
    <row r="34" spans="2:4" x14ac:dyDescent="0.2">
      <c r="B34" s="658"/>
      <c r="C34" s="600"/>
      <c r="D34" s="659"/>
    </row>
    <row r="35" spans="2:4" ht="13.5" thickBot="1" x14ac:dyDescent="0.25">
      <c r="B35" s="661"/>
      <c r="C35" s="662"/>
      <c r="D35" s="663"/>
    </row>
    <row r="36" spans="2:4" x14ac:dyDescent="0.2">
      <c r="B36" s="658"/>
      <c r="C36" s="600" t="s">
        <v>189</v>
      </c>
      <c r="D36" s="659"/>
    </row>
    <row r="37" spans="2:4" x14ac:dyDescent="0.2">
      <c r="B37" s="658"/>
      <c r="C37" s="600"/>
      <c r="D37" s="659"/>
    </row>
    <row r="38" spans="2:4" x14ac:dyDescent="0.2">
      <c r="B38" s="658"/>
      <c r="C38" s="664"/>
      <c r="D38" s="659"/>
    </row>
    <row r="39" spans="2:4" x14ac:dyDescent="0.2">
      <c r="B39" s="658"/>
      <c r="C39" s="600"/>
      <c r="D39" s="659"/>
    </row>
    <row r="40" spans="2:4" x14ac:dyDescent="0.2">
      <c r="B40" s="658"/>
      <c r="C40" s="665"/>
      <c r="D40" s="659"/>
    </row>
    <row r="41" spans="2:4" x14ac:dyDescent="0.2">
      <c r="B41" s="658"/>
      <c r="C41" s="600"/>
      <c r="D41" s="659"/>
    </row>
    <row r="42" spans="2:4" ht="13.5" thickBot="1" x14ac:dyDescent="0.25">
      <c r="B42" s="661"/>
      <c r="C42" s="662"/>
      <c r="D42" s="663"/>
    </row>
  </sheetData>
  <phoneticPr fontId="28" type="noConversion"/>
  <pageMargins left="0.78740157499999996" right="0.78740157499999996" top="0.984251969" bottom="0.984251969" header="0.4921259845" footer="0.4921259845"/>
  <pageSetup paperSize="9" orientation="portrait" horizontalDpi="300" verticalDpi="300" r:id="rId1"/>
  <headerFooter alignWithMargins="0">
    <oddHeader>&amp;L&amp;"Times New Roman,Gras italique"&amp;12Sté :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5"/>
  <dimension ref="A1:L38"/>
  <sheetViews>
    <sheetView zoomScale="90" zoomScaleNormal="90" workbookViewId="0"/>
  </sheetViews>
  <sheetFormatPr baseColWidth="10" defaultColWidth="12" defaultRowHeight="12" x14ac:dyDescent="0.2"/>
  <cols>
    <col min="1" max="1" width="2.33203125" style="20" customWidth="1"/>
    <col min="2" max="2" width="48" style="20" customWidth="1"/>
    <col min="3" max="3" width="29.1640625" style="1" bestFit="1" customWidth="1"/>
    <col min="4" max="4" width="15.1640625" style="1" customWidth="1"/>
    <col min="5" max="5" width="19.33203125" style="1" customWidth="1"/>
    <col min="6" max="6" width="22" style="1" bestFit="1" customWidth="1"/>
    <col min="7" max="8" width="12" style="20"/>
    <col min="9" max="9" width="19.6640625" style="20" bestFit="1" customWidth="1"/>
    <col min="10" max="10" width="12" style="20"/>
    <col min="11" max="11" width="19.83203125" style="20" bestFit="1" customWidth="1"/>
    <col min="12" max="12" width="19.6640625" style="20" bestFit="1" customWidth="1"/>
    <col min="13" max="16384" width="12" style="20"/>
  </cols>
  <sheetData>
    <row r="1" spans="2:12" ht="15.75" x14ac:dyDescent="0.25">
      <c r="B1" s="17"/>
      <c r="C1" s="18" t="s">
        <v>246</v>
      </c>
      <c r="D1" s="19"/>
      <c r="E1" s="19"/>
      <c r="F1" s="19"/>
    </row>
    <row r="2" spans="2:12" ht="5.25" customHeight="1" x14ac:dyDescent="0.25">
      <c r="B2" s="17"/>
      <c r="C2" s="19"/>
      <c r="D2" s="19"/>
      <c r="E2" s="19"/>
      <c r="F2" s="19"/>
    </row>
    <row r="3" spans="2:12" ht="16.5" thickBot="1" x14ac:dyDescent="0.3">
      <c r="B3" s="21"/>
      <c r="C3" s="22" t="s">
        <v>774</v>
      </c>
      <c r="D3" s="22"/>
      <c r="E3" s="284" t="str">
        <f>'T5 ESG'!$G$3</f>
        <v>31/12/2015</v>
      </c>
      <c r="F3" s="23"/>
    </row>
    <row r="4" spans="2:12" s="24" customFormat="1" ht="15.75" x14ac:dyDescent="0.2">
      <c r="B4" s="25" t="s">
        <v>246</v>
      </c>
      <c r="C4" s="1196" t="s">
        <v>931</v>
      </c>
      <c r="D4" s="1197"/>
      <c r="E4" s="1196" t="s">
        <v>775</v>
      </c>
      <c r="F4" s="1198"/>
    </row>
    <row r="5" spans="2:12" ht="18.75" customHeight="1" x14ac:dyDescent="0.25">
      <c r="B5" s="27" t="s">
        <v>250</v>
      </c>
      <c r="C5" s="28"/>
      <c r="D5" s="29" t="s">
        <v>935</v>
      </c>
      <c r="E5" s="30"/>
      <c r="F5" s="30" t="s">
        <v>935</v>
      </c>
    </row>
    <row r="6" spans="2:12" ht="13.5" customHeight="1" x14ac:dyDescent="0.25">
      <c r="B6" s="31"/>
      <c r="C6" s="29" t="s">
        <v>254</v>
      </c>
      <c r="D6" s="32"/>
      <c r="E6" s="33" t="s">
        <v>254</v>
      </c>
      <c r="F6" s="33"/>
    </row>
    <row r="7" spans="2:12" ht="14.25" customHeight="1" thickBot="1" x14ac:dyDescent="0.3">
      <c r="B7" s="34"/>
      <c r="C7" s="35"/>
      <c r="D7" s="35" t="s">
        <v>854</v>
      </c>
      <c r="E7" s="36"/>
      <c r="F7" s="36" t="s">
        <v>932</v>
      </c>
    </row>
    <row r="8" spans="2:12" ht="8.25" customHeight="1" thickBot="1" x14ac:dyDescent="0.3">
      <c r="B8" s="37"/>
      <c r="C8" s="38"/>
      <c r="D8" s="39"/>
      <c r="E8" s="38"/>
      <c r="F8" s="40"/>
      <c r="I8" s="483"/>
      <c r="J8" s="483"/>
      <c r="K8" s="483"/>
      <c r="L8" s="483"/>
    </row>
    <row r="9" spans="2:12" ht="15.75" customHeight="1" thickBot="1" x14ac:dyDescent="0.3">
      <c r="B9" s="41" t="s">
        <v>936</v>
      </c>
      <c r="C9" s="821">
        <f>+'T1 Bilan'!E33</f>
        <v>0</v>
      </c>
      <c r="D9" s="42">
        <f>IFERROR(C9/E9-1,0)</f>
        <v>0</v>
      </c>
      <c r="E9" s="821">
        <f>+'T1 Bilan'!G33</f>
        <v>0</v>
      </c>
      <c r="F9" s="824">
        <f>+C9-E9</f>
        <v>0</v>
      </c>
    </row>
    <row r="10" spans="2:12" ht="6" customHeight="1" thickBot="1" x14ac:dyDescent="0.3">
      <c r="B10" s="37"/>
      <c r="C10" s="822"/>
      <c r="D10" s="39"/>
      <c r="E10" s="822"/>
      <c r="F10" s="825"/>
    </row>
    <row r="11" spans="2:12" ht="18" customHeight="1" thickBot="1" x14ac:dyDescent="0.3">
      <c r="B11" s="41" t="s">
        <v>937</v>
      </c>
      <c r="C11" s="821">
        <f>+C29-C9</f>
        <v>0</v>
      </c>
      <c r="D11" s="42">
        <f>IFERROR(C11/E11-1,0)</f>
        <v>0</v>
      </c>
      <c r="E11" s="821">
        <f>+E29-E9</f>
        <v>0</v>
      </c>
      <c r="F11" s="826">
        <f>+C11-E11</f>
        <v>0</v>
      </c>
    </row>
    <row r="12" spans="2:12" ht="4.5" customHeight="1" thickBot="1" x14ac:dyDescent="0.3">
      <c r="B12" s="37"/>
      <c r="C12" s="822"/>
      <c r="D12" s="43"/>
      <c r="E12" s="822"/>
      <c r="F12" s="825"/>
    </row>
    <row r="13" spans="2:12" ht="18" customHeight="1" thickBot="1" x14ac:dyDescent="0.3">
      <c r="B13" s="41" t="s">
        <v>938</v>
      </c>
      <c r="C13" s="821">
        <f>+'T1 Bilan'!E52</f>
        <v>0</v>
      </c>
      <c r="D13" s="42">
        <f>IFERROR(C13/E13-1,0)</f>
        <v>0</v>
      </c>
      <c r="E13" s="821">
        <f>+'T1 Bilan'!G52</f>
        <v>0</v>
      </c>
      <c r="F13" s="826">
        <f>+C13-E13</f>
        <v>0</v>
      </c>
    </row>
    <row r="14" spans="2:12" ht="5.25" customHeight="1" thickBot="1" x14ac:dyDescent="0.3">
      <c r="B14" s="37"/>
      <c r="C14" s="822"/>
      <c r="D14" s="39"/>
      <c r="E14" s="822"/>
      <c r="F14" s="825"/>
    </row>
    <row r="15" spans="2:12" ht="18" customHeight="1" thickBot="1" x14ac:dyDescent="0.3">
      <c r="B15" s="41" t="s">
        <v>0</v>
      </c>
      <c r="C15" s="821">
        <f>+'T1 Bilan'!E58</f>
        <v>0</v>
      </c>
      <c r="D15" s="42">
        <f>IFERROR(C15/E15-1,0)</f>
        <v>0</v>
      </c>
      <c r="E15" s="821">
        <f>+'T1 Bilan'!G58</f>
        <v>0</v>
      </c>
      <c r="F15" s="826">
        <f>+C15-E15</f>
        <v>0</v>
      </c>
    </row>
    <row r="16" spans="2:12" ht="5.25" customHeight="1" thickBot="1" x14ac:dyDescent="0.3">
      <c r="B16" s="37"/>
      <c r="C16" s="822"/>
      <c r="D16" s="39"/>
      <c r="E16" s="822"/>
      <c r="F16" s="825"/>
    </row>
    <row r="17" spans="1:6" ht="18" customHeight="1" thickBot="1" x14ac:dyDescent="0.3">
      <c r="B17" s="37" t="s">
        <v>479</v>
      </c>
      <c r="C17" s="823">
        <f>C15-C35</f>
        <v>0</v>
      </c>
      <c r="D17" s="42">
        <f>IFERROR(C17/E17-1,0)</f>
        <v>0</v>
      </c>
      <c r="E17" s="823">
        <f>E15-E35</f>
        <v>0</v>
      </c>
      <c r="F17" s="826">
        <f>+C17-E17</f>
        <v>0</v>
      </c>
    </row>
    <row r="18" spans="1:6" ht="18" customHeight="1" thickBot="1" x14ac:dyDescent="0.3">
      <c r="B18" s="37"/>
      <c r="C18" s="822"/>
      <c r="D18" s="39"/>
      <c r="E18" s="822"/>
      <c r="F18" s="825"/>
    </row>
    <row r="19" spans="1:6" ht="18" customHeight="1" thickBot="1" x14ac:dyDescent="0.3">
      <c r="B19" s="37" t="s">
        <v>1</v>
      </c>
      <c r="C19" s="823">
        <f>+C9+C13+C15</f>
        <v>0</v>
      </c>
      <c r="D19" s="42">
        <f>IFERROR(C19/E19-1,0)</f>
        <v>0</v>
      </c>
      <c r="E19" s="823">
        <f>+E9+E13+E15</f>
        <v>0</v>
      </c>
      <c r="F19" s="824">
        <f>+C19-E19</f>
        <v>0</v>
      </c>
    </row>
    <row r="20" spans="1:6" ht="15.75" x14ac:dyDescent="0.25">
      <c r="B20" s="17"/>
      <c r="C20" s="19"/>
      <c r="D20" s="19"/>
      <c r="E20" s="19"/>
      <c r="F20" s="19"/>
    </row>
    <row r="21" spans="1:6" ht="15.75" x14ac:dyDescent="0.25">
      <c r="A21" s="3"/>
      <c r="B21" s="17"/>
      <c r="C21" s="18" t="s">
        <v>311</v>
      </c>
      <c r="D21" s="19"/>
      <c r="E21" s="19"/>
      <c r="F21" s="19"/>
    </row>
    <row r="22" spans="1:6" ht="6.75" customHeight="1" x14ac:dyDescent="0.25">
      <c r="B22" s="17"/>
      <c r="C22" s="19"/>
      <c r="D22" s="19"/>
      <c r="E22" s="19"/>
      <c r="F22" s="19"/>
    </row>
    <row r="23" spans="1:6" ht="16.5" thickBot="1" x14ac:dyDescent="0.3">
      <c r="B23" s="21"/>
      <c r="C23" s="22" t="s">
        <v>245</v>
      </c>
      <c r="D23" s="22"/>
      <c r="E23" s="284" t="str">
        <f>'T5 ESG'!$G$3</f>
        <v>31/12/2015</v>
      </c>
      <c r="F23" s="23"/>
    </row>
    <row r="24" spans="1:6" ht="18" customHeight="1" thickBot="1" x14ac:dyDescent="0.3">
      <c r="A24" s="24"/>
      <c r="B24" s="44" t="s">
        <v>311</v>
      </c>
      <c r="C24" s="26" t="s">
        <v>931</v>
      </c>
      <c r="D24" s="26"/>
      <c r="E24" s="45" t="s">
        <v>775</v>
      </c>
      <c r="F24" s="46"/>
    </row>
    <row r="25" spans="1:6" ht="14.25" customHeight="1" x14ac:dyDescent="0.25">
      <c r="B25" s="27" t="s">
        <v>250</v>
      </c>
      <c r="C25" s="29" t="s">
        <v>254</v>
      </c>
      <c r="D25" s="29" t="s">
        <v>935</v>
      </c>
      <c r="E25" s="29" t="s">
        <v>254</v>
      </c>
      <c r="F25" s="33" t="s">
        <v>935</v>
      </c>
    </row>
    <row r="26" spans="1:6" ht="15.75" x14ac:dyDescent="0.25">
      <c r="B26" s="31"/>
      <c r="C26" s="47" t="str">
        <f>E3</f>
        <v>31/12/2015</v>
      </c>
      <c r="D26" s="32" t="s">
        <v>854</v>
      </c>
      <c r="E26" s="47" t="s">
        <v>855</v>
      </c>
      <c r="F26" s="33"/>
    </row>
    <row r="27" spans="1:6" ht="16.5" thickBot="1" x14ac:dyDescent="0.3">
      <c r="B27" s="34"/>
      <c r="C27" s="48">
        <v>1</v>
      </c>
      <c r="D27" s="49" t="s">
        <v>6</v>
      </c>
      <c r="E27" s="48">
        <v>2</v>
      </c>
      <c r="F27" s="36" t="s">
        <v>932</v>
      </c>
    </row>
    <row r="28" spans="1:6" ht="9" customHeight="1" thickBot="1" x14ac:dyDescent="0.3">
      <c r="B28" s="50"/>
      <c r="C28" s="19"/>
      <c r="D28" s="19"/>
      <c r="E28" s="19"/>
      <c r="F28" s="51"/>
    </row>
    <row r="29" spans="1:6" ht="18" customHeight="1" thickBot="1" x14ac:dyDescent="0.3">
      <c r="A29" s="52"/>
      <c r="B29" s="53" t="s">
        <v>2</v>
      </c>
      <c r="C29" s="821">
        <f>+'T1 Bilan'!E102</f>
        <v>0</v>
      </c>
      <c r="D29" s="42">
        <f>IFERROR(C29/E29-1,0)</f>
        <v>0</v>
      </c>
      <c r="E29" s="821">
        <f>+'T1 Bilan'!G102</f>
        <v>0</v>
      </c>
      <c r="F29" s="824">
        <f>+C29-E29</f>
        <v>0</v>
      </c>
    </row>
    <row r="30" spans="1:6" ht="4.5" customHeight="1" thickBot="1" x14ac:dyDescent="0.3">
      <c r="B30" s="37"/>
      <c r="C30" s="822"/>
      <c r="D30" s="39"/>
      <c r="E30" s="822"/>
      <c r="F30" s="825"/>
    </row>
    <row r="31" spans="1:6" ht="18" customHeight="1" thickBot="1" x14ac:dyDescent="0.3">
      <c r="A31" s="52"/>
      <c r="B31" s="53" t="s">
        <v>3</v>
      </c>
      <c r="C31" s="821">
        <f>+'T1 Bilan'!E115</f>
        <v>0</v>
      </c>
      <c r="D31" s="42">
        <f>IFERROR(C31/E31-1,0)</f>
        <v>0</v>
      </c>
      <c r="E31" s="821">
        <f>+'T1 Bilan'!G115</f>
        <v>0</v>
      </c>
      <c r="F31" s="826">
        <f>+C31-E31</f>
        <v>0</v>
      </c>
    </row>
    <row r="32" spans="1:6" ht="3" customHeight="1" thickBot="1" x14ac:dyDescent="0.3">
      <c r="B32" s="37"/>
      <c r="C32" s="822"/>
      <c r="D32" s="39"/>
      <c r="E32" s="822"/>
      <c r="F32" s="825"/>
    </row>
    <row r="33" spans="1:6" ht="18" customHeight="1" thickBot="1" x14ac:dyDescent="0.3">
      <c r="A33" s="52"/>
      <c r="B33" s="53" t="s">
        <v>4</v>
      </c>
      <c r="C33" s="821">
        <f>+C13-C31</f>
        <v>0</v>
      </c>
      <c r="D33" s="42">
        <f>IFERROR(C33/E33-1,0)</f>
        <v>0</v>
      </c>
      <c r="E33" s="821">
        <f>+E13-E31</f>
        <v>0</v>
      </c>
      <c r="F33" s="824">
        <f>+C33-E33</f>
        <v>0</v>
      </c>
    </row>
    <row r="34" spans="1:6" ht="3" customHeight="1" thickBot="1" x14ac:dyDescent="0.3">
      <c r="B34" s="53"/>
      <c r="C34" s="821"/>
      <c r="D34" s="39"/>
      <c r="E34" s="822"/>
      <c r="F34" s="825"/>
    </row>
    <row r="35" spans="1:6" ht="18" customHeight="1" thickBot="1" x14ac:dyDescent="0.3">
      <c r="A35" s="52"/>
      <c r="B35" s="53" t="s">
        <v>355</v>
      </c>
      <c r="C35" s="821">
        <f>+'T1 Bilan'!E121</f>
        <v>0</v>
      </c>
      <c r="D35" s="42">
        <f>IFERROR(C35/E35-1,0)</f>
        <v>0</v>
      </c>
      <c r="E35" s="821">
        <f>+'T1 Bilan'!G121</f>
        <v>0</v>
      </c>
      <c r="F35" s="824">
        <f>+C35-E35</f>
        <v>0</v>
      </c>
    </row>
    <row r="36" spans="1:6" ht="18" customHeight="1" thickBot="1" x14ac:dyDescent="0.3">
      <c r="B36" s="37"/>
      <c r="C36" s="822"/>
      <c r="D36" s="39"/>
      <c r="E36" s="822"/>
      <c r="F36" s="825"/>
    </row>
    <row r="37" spans="1:6" ht="18" customHeight="1" thickBot="1" x14ac:dyDescent="0.3">
      <c r="A37" s="52"/>
      <c r="B37" s="53" t="s">
        <v>5</v>
      </c>
      <c r="C37" s="821">
        <f>+C29+C31+C35</f>
        <v>0</v>
      </c>
      <c r="D37" s="42">
        <f>IFERROR(C37/E37-1,0)</f>
        <v>0</v>
      </c>
      <c r="E37" s="821">
        <f>+E29+E31+E35</f>
        <v>0</v>
      </c>
      <c r="F37" s="826">
        <f>+C37-E37</f>
        <v>0</v>
      </c>
    </row>
    <row r="38" spans="1:6" x14ac:dyDescent="0.2">
      <c r="C38" s="54"/>
    </row>
  </sheetData>
  <mergeCells count="2">
    <mergeCell ref="C4:D4"/>
    <mergeCell ref="E4:F4"/>
  </mergeCells>
  <phoneticPr fontId="0" type="noConversion"/>
  <pageMargins left="0.78740157499999996" right="0.78740157499999996" top="0.984251969" bottom="0.984251969" header="0.4921259845" footer="0.4921259845"/>
  <pageSetup paperSize="9" scale="78" orientation="portrait" horizontalDpi="300" verticalDpi="300" r:id="rId1"/>
  <headerFooter alignWithMargins="0">
    <oddHeader>&amp;L&amp;"Times New Roman,Gras italique"&amp;12Sté :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1">
    <tabColor rgb="FFFF0000"/>
  </sheetPr>
  <dimension ref="A1:N21416"/>
  <sheetViews>
    <sheetView workbookViewId="0"/>
  </sheetViews>
  <sheetFormatPr baseColWidth="10" defaultColWidth="12" defaultRowHeight="12.75" x14ac:dyDescent="0.2"/>
  <cols>
    <col min="1" max="3" width="12" style="845"/>
    <col min="4" max="4" width="13.6640625" style="845" customWidth="1"/>
    <col min="5" max="5" width="23.6640625" style="845" customWidth="1"/>
    <col min="6" max="7" width="18.33203125" style="845" customWidth="1"/>
    <col min="8" max="8" width="11" style="845" customWidth="1"/>
    <col min="9" max="9" width="12" style="845"/>
    <col min="10" max="10" width="26.1640625" style="845" bestFit="1" customWidth="1"/>
    <col min="11" max="11" width="24.1640625" style="845" bestFit="1" customWidth="1"/>
    <col min="12" max="16384" width="12" style="845"/>
  </cols>
  <sheetData>
    <row r="1" spans="1:14" x14ac:dyDescent="0.2">
      <c r="A1" s="859" t="s">
        <v>2569</v>
      </c>
      <c r="B1" s="859" t="s">
        <v>2570</v>
      </c>
      <c r="C1" s="848" t="s">
        <v>2656</v>
      </c>
      <c r="D1" s="859" t="s">
        <v>383</v>
      </c>
      <c r="E1" s="859" t="s">
        <v>2571</v>
      </c>
      <c r="F1" s="859" t="s">
        <v>409</v>
      </c>
      <c r="G1" s="859" t="s">
        <v>2572</v>
      </c>
      <c r="H1" s="859" t="s">
        <v>374</v>
      </c>
      <c r="I1" s="859" t="s">
        <v>404</v>
      </c>
      <c r="J1" s="859" t="s">
        <v>2573</v>
      </c>
      <c r="K1" s="859"/>
      <c r="L1" s="859"/>
      <c r="M1" s="859"/>
      <c r="N1" s="859"/>
    </row>
    <row r="2" spans="1:14" x14ac:dyDescent="0.2">
      <c r="A2" s="859">
        <v>1</v>
      </c>
      <c r="B2" s="845" t="s">
        <v>2575</v>
      </c>
      <c r="D2" s="847" t="s">
        <v>2590</v>
      </c>
    </row>
    <row r="3" spans="1:14" x14ac:dyDescent="0.2">
      <c r="A3" s="859">
        <f>+A2+1</f>
        <v>2</v>
      </c>
      <c r="B3" s="845" t="s">
        <v>2575</v>
      </c>
      <c r="D3" s="951" t="s">
        <v>997</v>
      </c>
    </row>
    <row r="4" spans="1:14" x14ac:dyDescent="0.2">
      <c r="A4" s="859">
        <f t="shared" ref="A4:A67" si="0">+A3+1</f>
        <v>3</v>
      </c>
      <c r="B4" s="845" t="s">
        <v>2575</v>
      </c>
      <c r="D4" s="856"/>
      <c r="E4" s="845" t="s">
        <v>998</v>
      </c>
    </row>
    <row r="5" spans="1:14" x14ac:dyDescent="0.2">
      <c r="A5" s="859">
        <f t="shared" si="0"/>
        <v>4</v>
      </c>
      <c r="B5" s="845" t="s">
        <v>2575</v>
      </c>
      <c r="D5" s="857"/>
      <c r="F5" s="845" t="s">
        <v>1024</v>
      </c>
    </row>
    <row r="6" spans="1:14" x14ac:dyDescent="0.2">
      <c r="A6" s="859">
        <f t="shared" si="0"/>
        <v>5</v>
      </c>
      <c r="B6" s="845" t="s">
        <v>2575</v>
      </c>
      <c r="D6" s="858"/>
      <c r="E6" s="845" t="s">
        <v>999</v>
      </c>
    </row>
    <row r="7" spans="1:14" x14ac:dyDescent="0.2">
      <c r="A7" s="859">
        <f t="shared" si="0"/>
        <v>6</v>
      </c>
      <c r="B7" s="845" t="s">
        <v>2575</v>
      </c>
      <c r="D7" s="856"/>
      <c r="E7" s="845" t="s">
        <v>1000</v>
      </c>
    </row>
    <row r="8" spans="1:14" x14ac:dyDescent="0.2">
      <c r="A8" s="859">
        <f t="shared" si="0"/>
        <v>7</v>
      </c>
      <c r="B8" s="845" t="s">
        <v>2575</v>
      </c>
      <c r="D8" s="856"/>
      <c r="E8" s="847" t="str">
        <f>CONCATENATE("&lt;identifiantFiscal&gt;",Identification!C13,"&lt;/identifiantFiscal&gt;")</f>
        <v>&lt;identifiantFiscal&gt;1087240&lt;/identifiantFiscal&gt;</v>
      </c>
    </row>
    <row r="9" spans="1:14" x14ac:dyDescent="0.2">
      <c r="A9" s="859">
        <f t="shared" si="0"/>
        <v>8</v>
      </c>
      <c r="B9" s="845" t="s">
        <v>2575</v>
      </c>
      <c r="D9" s="857"/>
      <c r="F9" s="847" t="str">
        <f>CONCATENATE("&lt;exerciceFiscalDu&gt;",CONCATENATE(YEAR(Identification!C11),"-0",MONTH(Identification!C11),"-0",DAY(Identification!C11)),"&lt;/exerciceFiscalDu&gt;")</f>
        <v>&lt;exerciceFiscalDu&gt;2015-01-01&lt;/exerciceFiscalDu&gt;</v>
      </c>
      <c r="H9" s="859"/>
    </row>
    <row r="10" spans="1:14" x14ac:dyDescent="0.2">
      <c r="A10" s="859">
        <f t="shared" si="0"/>
        <v>9</v>
      </c>
      <c r="B10" s="845" t="s">
        <v>2575</v>
      </c>
      <c r="D10" s="860"/>
      <c r="F10" s="845" t="str">
        <f>CONCATENATE("&lt;exerciceFiscalAu&gt;",CONCATENATE(YEAR(Identification!E11),"-",MONTH(Identification!E11),"-",DAY(Identification!E11)),"&lt;/exerciceFiscalAu&gt;")</f>
        <v>&lt;exerciceFiscalAu&gt;2015-12-31&lt;/exerciceFiscalAu&gt;</v>
      </c>
    </row>
    <row r="11" spans="1:14" x14ac:dyDescent="0.2">
      <c r="A11" s="859">
        <f t="shared" si="0"/>
        <v>10</v>
      </c>
      <c r="B11" s="845" t="s">
        <v>2575</v>
      </c>
      <c r="D11" s="861"/>
      <c r="E11" s="845" t="s">
        <v>1001</v>
      </c>
    </row>
    <row r="12" spans="1:14" x14ac:dyDescent="0.2">
      <c r="A12" s="859">
        <f t="shared" si="0"/>
        <v>11</v>
      </c>
      <c r="B12" s="845" t="s">
        <v>2575</v>
      </c>
      <c r="D12" s="860"/>
      <c r="E12" s="845" t="s">
        <v>1002</v>
      </c>
    </row>
    <row r="13" spans="1:14" x14ac:dyDescent="0.2">
      <c r="A13" s="859">
        <f t="shared" si="0"/>
        <v>12</v>
      </c>
      <c r="B13" s="845" t="s">
        <v>2575</v>
      </c>
      <c r="D13" s="860"/>
      <c r="E13" s="845" t="s">
        <v>1003</v>
      </c>
    </row>
    <row r="14" spans="1:14" x14ac:dyDescent="0.2">
      <c r="A14" s="859">
        <f t="shared" si="0"/>
        <v>13</v>
      </c>
      <c r="B14" s="845" t="s">
        <v>2575</v>
      </c>
      <c r="D14" s="861"/>
      <c r="E14" s="845" t="s">
        <v>1004</v>
      </c>
    </row>
    <row r="15" spans="1:14" x14ac:dyDescent="0.2">
      <c r="A15" s="859">
        <f t="shared" si="0"/>
        <v>14</v>
      </c>
      <c r="B15" s="845" t="s">
        <v>2575</v>
      </c>
      <c r="D15" s="862"/>
      <c r="F15" s="845" t="s">
        <v>1005</v>
      </c>
    </row>
    <row r="16" spans="1:14" x14ac:dyDescent="0.2">
      <c r="A16" s="859">
        <f t="shared" si="0"/>
        <v>15</v>
      </c>
      <c r="B16" s="845" t="s">
        <v>2552</v>
      </c>
      <c r="D16" s="863"/>
      <c r="G16" s="845" t="s">
        <v>1025</v>
      </c>
    </row>
    <row r="17" spans="1:10" x14ac:dyDescent="0.2">
      <c r="A17" s="859">
        <f t="shared" si="0"/>
        <v>16</v>
      </c>
      <c r="B17" s="845" t="s">
        <v>2552</v>
      </c>
      <c r="D17" s="862"/>
      <c r="G17" s="845" t="s">
        <v>1006</v>
      </c>
    </row>
    <row r="18" spans="1:10" x14ac:dyDescent="0.2">
      <c r="A18" s="859">
        <f t="shared" si="0"/>
        <v>17</v>
      </c>
      <c r="B18" s="845" t="s">
        <v>2552</v>
      </c>
      <c r="D18" s="862"/>
      <c r="H18" s="845" t="s">
        <v>1007</v>
      </c>
    </row>
    <row r="19" spans="1:10" x14ac:dyDescent="0.2">
      <c r="A19" s="859">
        <f t="shared" si="0"/>
        <v>18</v>
      </c>
      <c r="B19" s="845" t="s">
        <v>2552</v>
      </c>
      <c r="D19" s="861"/>
      <c r="H19" s="864"/>
      <c r="I19" s="845" t="s">
        <v>1008</v>
      </c>
    </row>
    <row r="20" spans="1:10" x14ac:dyDescent="0.2">
      <c r="A20" s="859">
        <f t="shared" si="0"/>
        <v>19</v>
      </c>
      <c r="B20" s="845" t="s">
        <v>2552</v>
      </c>
      <c r="D20" s="861"/>
      <c r="J20" s="845" t="s">
        <v>1021</v>
      </c>
    </row>
    <row r="21" spans="1:10" x14ac:dyDescent="0.2">
      <c r="A21" s="859">
        <f t="shared" si="0"/>
        <v>20</v>
      </c>
      <c r="B21" s="845" t="s">
        <v>2552</v>
      </c>
      <c r="D21" s="862"/>
      <c r="H21" s="864"/>
      <c r="I21" s="845" t="s">
        <v>1009</v>
      </c>
    </row>
    <row r="22" spans="1:10" x14ac:dyDescent="0.2">
      <c r="A22" s="859">
        <f t="shared" si="0"/>
        <v>21</v>
      </c>
      <c r="B22" s="845" t="s">
        <v>2552</v>
      </c>
      <c r="D22" s="863"/>
      <c r="I22" s="845" t="str">
        <f>CONCATENATE("&lt;valeur&gt;",Cellule_238,"&lt;/valeur&gt;")</f>
        <v>&lt;valeur&gt;0&lt;/valeur&gt;</v>
      </c>
    </row>
    <row r="23" spans="1:10" x14ac:dyDescent="0.2">
      <c r="A23" s="859">
        <f t="shared" si="0"/>
        <v>22</v>
      </c>
      <c r="B23" s="845" t="s">
        <v>2552</v>
      </c>
      <c r="D23" s="862"/>
      <c r="H23" s="845" t="s">
        <v>1010</v>
      </c>
    </row>
    <row r="24" spans="1:10" x14ac:dyDescent="0.2">
      <c r="A24" s="859">
        <f t="shared" si="0"/>
        <v>23</v>
      </c>
      <c r="B24" s="845" t="s">
        <v>2552</v>
      </c>
      <c r="D24" s="862"/>
      <c r="H24" s="845" t="s">
        <v>1007</v>
      </c>
    </row>
    <row r="25" spans="1:10" x14ac:dyDescent="0.2">
      <c r="A25" s="859">
        <f t="shared" si="0"/>
        <v>24</v>
      </c>
      <c r="B25" s="845" t="s">
        <v>2552</v>
      </c>
      <c r="D25" s="861"/>
      <c r="I25" s="845" t="s">
        <v>1008</v>
      </c>
    </row>
    <row r="26" spans="1:10" x14ac:dyDescent="0.2">
      <c r="A26" s="859">
        <f t="shared" si="0"/>
        <v>25</v>
      </c>
      <c r="B26" s="845" t="s">
        <v>2552</v>
      </c>
      <c r="D26" s="861"/>
      <c r="J26" s="845" t="s">
        <v>1022</v>
      </c>
    </row>
    <row r="27" spans="1:10" x14ac:dyDescent="0.2">
      <c r="A27" s="859">
        <f t="shared" si="0"/>
        <v>26</v>
      </c>
      <c r="B27" s="845" t="s">
        <v>2552</v>
      </c>
      <c r="D27" s="862"/>
      <c r="I27" s="845" t="s">
        <v>1009</v>
      </c>
    </row>
    <row r="28" spans="1:10" x14ac:dyDescent="0.2">
      <c r="A28" s="859">
        <f t="shared" si="0"/>
        <v>27</v>
      </c>
      <c r="B28" s="845" t="s">
        <v>2552</v>
      </c>
      <c r="D28" s="863"/>
      <c r="I28" s="845" t="str">
        <f>CONCATENATE("&lt;valeur&gt;",Cellule_239,"&lt;/valeur&gt;")</f>
        <v>&lt;valeur&gt;0&lt;/valeur&gt;</v>
      </c>
    </row>
    <row r="29" spans="1:10" x14ac:dyDescent="0.2">
      <c r="A29" s="859">
        <f t="shared" si="0"/>
        <v>28</v>
      </c>
      <c r="B29" s="845" t="s">
        <v>2552</v>
      </c>
      <c r="D29" s="862"/>
      <c r="H29" s="845" t="s">
        <v>1010</v>
      </c>
    </row>
    <row r="30" spans="1:10" x14ac:dyDescent="0.2">
      <c r="A30" s="859">
        <f t="shared" si="0"/>
        <v>29</v>
      </c>
      <c r="B30" s="845" t="s">
        <v>2552</v>
      </c>
      <c r="D30" s="862"/>
      <c r="H30" s="845" t="s">
        <v>1007</v>
      </c>
    </row>
    <row r="31" spans="1:10" x14ac:dyDescent="0.2">
      <c r="A31" s="859">
        <f t="shared" si="0"/>
        <v>30</v>
      </c>
      <c r="B31" s="845" t="s">
        <v>2552</v>
      </c>
      <c r="D31" s="861"/>
      <c r="I31" s="845" t="s">
        <v>1008</v>
      </c>
    </row>
    <row r="32" spans="1:10" x14ac:dyDescent="0.2">
      <c r="A32" s="859">
        <f t="shared" si="0"/>
        <v>31</v>
      </c>
      <c r="B32" s="845" t="s">
        <v>2552</v>
      </c>
      <c r="D32" s="861"/>
      <c r="J32" s="845" t="s">
        <v>1023</v>
      </c>
    </row>
    <row r="33" spans="1:10" x14ac:dyDescent="0.2">
      <c r="A33" s="859">
        <f t="shared" si="0"/>
        <v>32</v>
      </c>
      <c r="B33" s="845" t="s">
        <v>2552</v>
      </c>
      <c r="D33" s="862"/>
      <c r="I33" s="845" t="s">
        <v>1009</v>
      </c>
    </row>
    <row r="34" spans="1:10" x14ac:dyDescent="0.2">
      <c r="A34" s="859">
        <f t="shared" si="0"/>
        <v>33</v>
      </c>
      <c r="B34" s="845" t="s">
        <v>2552</v>
      </c>
      <c r="D34" s="863"/>
      <c r="I34" s="845" t="str">
        <f>CONCATENATE("&lt;valeur&gt;",Cellule_240,"&lt;/valeur&gt;")</f>
        <v>&lt;valeur&gt;0&lt;/valeur&gt;</v>
      </c>
    </row>
    <row r="35" spans="1:10" x14ac:dyDescent="0.2">
      <c r="A35" s="859">
        <f t="shared" si="0"/>
        <v>34</v>
      </c>
      <c r="B35" s="845" t="s">
        <v>2552</v>
      </c>
      <c r="D35" s="862"/>
      <c r="H35" s="845" t="s">
        <v>1010</v>
      </c>
    </row>
    <row r="36" spans="1:10" x14ac:dyDescent="0.2">
      <c r="A36" s="859">
        <f t="shared" si="0"/>
        <v>35</v>
      </c>
      <c r="B36" s="845" t="s">
        <v>2552</v>
      </c>
      <c r="D36" s="862"/>
      <c r="H36" s="845" t="s">
        <v>1007</v>
      </c>
    </row>
    <row r="37" spans="1:10" x14ac:dyDescent="0.2">
      <c r="A37" s="859">
        <f t="shared" si="0"/>
        <v>36</v>
      </c>
      <c r="B37" s="845" t="s">
        <v>2552</v>
      </c>
      <c r="D37" s="861"/>
      <c r="I37" s="845" t="s">
        <v>1008</v>
      </c>
    </row>
    <row r="38" spans="1:10" x14ac:dyDescent="0.2">
      <c r="A38" s="859">
        <f t="shared" si="0"/>
        <v>37</v>
      </c>
      <c r="B38" s="845" t="s">
        <v>2552</v>
      </c>
      <c r="D38" s="861"/>
      <c r="J38" s="845" t="s">
        <v>1026</v>
      </c>
    </row>
    <row r="39" spans="1:10" x14ac:dyDescent="0.2">
      <c r="A39" s="859">
        <f t="shared" si="0"/>
        <v>38</v>
      </c>
      <c r="B39" s="845" t="s">
        <v>2552</v>
      </c>
      <c r="D39" s="862"/>
      <c r="I39" s="845" t="s">
        <v>1009</v>
      </c>
    </row>
    <row r="40" spans="1:10" x14ac:dyDescent="0.2">
      <c r="A40" s="859">
        <f t="shared" si="0"/>
        <v>39</v>
      </c>
      <c r="B40" s="845" t="s">
        <v>2552</v>
      </c>
      <c r="D40" s="863"/>
      <c r="I40" s="845" t="str">
        <f>CONCATENATE("&lt;valeur&gt;",Cellule_497,"&lt;/valeur&gt;")</f>
        <v>&lt;valeur&gt;0&lt;/valeur&gt;</v>
      </c>
    </row>
    <row r="41" spans="1:10" x14ac:dyDescent="0.2">
      <c r="A41" s="859">
        <f t="shared" si="0"/>
        <v>40</v>
      </c>
      <c r="B41" s="845" t="s">
        <v>2552</v>
      </c>
      <c r="D41" s="862"/>
      <c r="H41" s="845" t="s">
        <v>1010</v>
      </c>
    </row>
    <row r="42" spans="1:10" x14ac:dyDescent="0.2">
      <c r="A42" s="859">
        <f t="shared" si="0"/>
        <v>41</v>
      </c>
      <c r="B42" s="845" t="s">
        <v>2552</v>
      </c>
      <c r="D42" s="862"/>
      <c r="H42" s="845" t="s">
        <v>1007</v>
      </c>
    </row>
    <row r="43" spans="1:10" x14ac:dyDescent="0.2">
      <c r="A43" s="859">
        <f t="shared" si="0"/>
        <v>42</v>
      </c>
      <c r="B43" s="845" t="s">
        <v>2552</v>
      </c>
      <c r="D43" s="861"/>
      <c r="I43" s="845" t="s">
        <v>1008</v>
      </c>
    </row>
    <row r="44" spans="1:10" x14ac:dyDescent="0.2">
      <c r="A44" s="859">
        <f t="shared" si="0"/>
        <v>43</v>
      </c>
      <c r="B44" s="845" t="s">
        <v>2552</v>
      </c>
      <c r="D44" s="861"/>
      <c r="J44" s="845" t="s">
        <v>1027</v>
      </c>
    </row>
    <row r="45" spans="1:10" x14ac:dyDescent="0.2">
      <c r="A45" s="859">
        <f t="shared" si="0"/>
        <v>44</v>
      </c>
      <c r="B45" s="845" t="s">
        <v>2552</v>
      </c>
      <c r="D45" s="862"/>
      <c r="I45" s="845" t="s">
        <v>1009</v>
      </c>
    </row>
    <row r="46" spans="1:10" x14ac:dyDescent="0.2">
      <c r="A46" s="859">
        <f t="shared" si="0"/>
        <v>45</v>
      </c>
      <c r="B46" s="845" t="s">
        <v>2552</v>
      </c>
      <c r="D46" s="863"/>
      <c r="I46" s="845" t="str">
        <f>CONCATENATE("&lt;valeur&gt;",Cellule_241,"&lt;/valeur&gt;")</f>
        <v>&lt;valeur&gt;0&lt;/valeur&gt;</v>
      </c>
    </row>
    <row r="47" spans="1:10" x14ac:dyDescent="0.2">
      <c r="A47" s="859">
        <f t="shared" si="0"/>
        <v>46</v>
      </c>
      <c r="B47" s="845" t="s">
        <v>2552</v>
      </c>
      <c r="D47" s="862"/>
      <c r="H47" s="845" t="s">
        <v>1010</v>
      </c>
    </row>
    <row r="48" spans="1:10" x14ac:dyDescent="0.2">
      <c r="A48" s="859">
        <f t="shared" si="0"/>
        <v>47</v>
      </c>
      <c r="B48" s="845" t="s">
        <v>2552</v>
      </c>
      <c r="D48" s="862"/>
      <c r="H48" s="845" t="s">
        <v>1007</v>
      </c>
    </row>
    <row r="49" spans="1:10" x14ac:dyDescent="0.2">
      <c r="A49" s="859">
        <f t="shared" si="0"/>
        <v>48</v>
      </c>
      <c r="B49" s="845" t="s">
        <v>2552</v>
      </c>
      <c r="D49" s="861"/>
      <c r="I49" s="845" t="s">
        <v>1008</v>
      </c>
    </row>
    <row r="50" spans="1:10" x14ac:dyDescent="0.2">
      <c r="A50" s="859">
        <f t="shared" si="0"/>
        <v>49</v>
      </c>
      <c r="B50" s="845" t="s">
        <v>2552</v>
      </c>
      <c r="D50" s="861"/>
      <c r="J50" s="845" t="s">
        <v>1028</v>
      </c>
    </row>
    <row r="51" spans="1:10" x14ac:dyDescent="0.2">
      <c r="A51" s="859">
        <f t="shared" si="0"/>
        <v>50</v>
      </c>
      <c r="B51" s="845" t="s">
        <v>2552</v>
      </c>
      <c r="D51" s="862"/>
      <c r="I51" s="845" t="s">
        <v>1009</v>
      </c>
    </row>
    <row r="52" spans="1:10" x14ac:dyDescent="0.2">
      <c r="A52" s="859">
        <f t="shared" si="0"/>
        <v>51</v>
      </c>
      <c r="B52" s="845" t="s">
        <v>2552</v>
      </c>
      <c r="D52" s="863"/>
      <c r="I52" s="845" t="str">
        <f>CONCATENATE("&lt;valeur&gt;",Cellule_242,"&lt;/valeur&gt;")</f>
        <v>&lt;valeur&gt;0&lt;/valeur&gt;</v>
      </c>
    </row>
    <row r="53" spans="1:10" x14ac:dyDescent="0.2">
      <c r="A53" s="859">
        <f t="shared" si="0"/>
        <v>52</v>
      </c>
      <c r="B53" s="845" t="s">
        <v>2552</v>
      </c>
      <c r="D53" s="862"/>
      <c r="H53" s="845" t="s">
        <v>1010</v>
      </c>
    </row>
    <row r="54" spans="1:10" x14ac:dyDescent="0.2">
      <c r="A54" s="859">
        <f t="shared" si="0"/>
        <v>53</v>
      </c>
      <c r="B54" s="845" t="s">
        <v>2552</v>
      </c>
      <c r="D54" s="862"/>
      <c r="H54" s="845" t="s">
        <v>1007</v>
      </c>
    </row>
    <row r="55" spans="1:10" x14ac:dyDescent="0.2">
      <c r="A55" s="859">
        <f t="shared" si="0"/>
        <v>54</v>
      </c>
      <c r="B55" s="845" t="s">
        <v>2552</v>
      </c>
      <c r="D55" s="861"/>
      <c r="I55" s="845" t="s">
        <v>1008</v>
      </c>
    </row>
    <row r="56" spans="1:10" x14ac:dyDescent="0.2">
      <c r="A56" s="859">
        <f t="shared" si="0"/>
        <v>55</v>
      </c>
      <c r="B56" s="845" t="s">
        <v>2552</v>
      </c>
      <c r="D56" s="861"/>
      <c r="J56" s="845" t="s">
        <v>1029</v>
      </c>
    </row>
    <row r="57" spans="1:10" x14ac:dyDescent="0.2">
      <c r="A57" s="859">
        <f t="shared" si="0"/>
        <v>56</v>
      </c>
      <c r="B57" s="845" t="s">
        <v>2552</v>
      </c>
      <c r="D57" s="862"/>
      <c r="I57" s="845" t="s">
        <v>1009</v>
      </c>
    </row>
    <row r="58" spans="1:10" x14ac:dyDescent="0.2">
      <c r="A58" s="859">
        <f t="shared" si="0"/>
        <v>57</v>
      </c>
      <c r="B58" s="845" t="s">
        <v>2552</v>
      </c>
      <c r="D58" s="863"/>
      <c r="I58" s="845" t="str">
        <f>CONCATENATE("&lt;valeur&gt;",Cellule_243,"&lt;/valeur&gt;")</f>
        <v>&lt;valeur&gt;0&lt;/valeur&gt;</v>
      </c>
    </row>
    <row r="59" spans="1:10" x14ac:dyDescent="0.2">
      <c r="A59" s="859">
        <f t="shared" si="0"/>
        <v>58</v>
      </c>
      <c r="B59" s="845" t="s">
        <v>2552</v>
      </c>
      <c r="D59" s="862"/>
      <c r="H59" s="845" t="s">
        <v>1010</v>
      </c>
    </row>
    <row r="60" spans="1:10" x14ac:dyDescent="0.2">
      <c r="A60" s="859">
        <f t="shared" si="0"/>
        <v>59</v>
      </c>
      <c r="B60" s="845" t="s">
        <v>2552</v>
      </c>
      <c r="D60" s="862"/>
      <c r="H60" s="845" t="s">
        <v>1007</v>
      </c>
    </row>
    <row r="61" spans="1:10" x14ac:dyDescent="0.2">
      <c r="A61" s="859">
        <f t="shared" si="0"/>
        <v>60</v>
      </c>
      <c r="B61" s="845" t="s">
        <v>2552</v>
      </c>
      <c r="D61" s="861"/>
      <c r="I61" s="845" t="s">
        <v>1008</v>
      </c>
    </row>
    <row r="62" spans="1:10" x14ac:dyDescent="0.2">
      <c r="A62" s="859">
        <f t="shared" si="0"/>
        <v>61</v>
      </c>
      <c r="B62" s="845" t="s">
        <v>2552</v>
      </c>
      <c r="D62" s="861"/>
      <c r="J62" s="845" t="s">
        <v>1030</v>
      </c>
    </row>
    <row r="63" spans="1:10" x14ac:dyDescent="0.2">
      <c r="A63" s="859">
        <f t="shared" si="0"/>
        <v>62</v>
      </c>
      <c r="B63" s="845" t="s">
        <v>2552</v>
      </c>
      <c r="D63" s="862"/>
      <c r="I63" s="845" t="s">
        <v>1009</v>
      </c>
    </row>
    <row r="64" spans="1:10" x14ac:dyDescent="0.2">
      <c r="A64" s="859">
        <f t="shared" si="0"/>
        <v>63</v>
      </c>
      <c r="B64" s="845" t="s">
        <v>2552</v>
      </c>
      <c r="D64" s="863"/>
      <c r="I64" s="845" t="str">
        <f>CONCATENATE("&lt;valeur&gt;",Cellule_498,"&lt;/valeur&gt;")</f>
        <v>&lt;valeur&gt;0&lt;/valeur&gt;</v>
      </c>
    </row>
    <row r="65" spans="1:10" x14ac:dyDescent="0.2">
      <c r="A65" s="859">
        <f t="shared" si="0"/>
        <v>64</v>
      </c>
      <c r="B65" s="845" t="s">
        <v>2552</v>
      </c>
      <c r="D65" s="862"/>
      <c r="H65" s="845" t="s">
        <v>1010</v>
      </c>
    </row>
    <row r="66" spans="1:10" x14ac:dyDescent="0.2">
      <c r="A66" s="859">
        <f t="shared" si="0"/>
        <v>65</v>
      </c>
      <c r="B66" s="845" t="s">
        <v>2552</v>
      </c>
      <c r="D66" s="862"/>
      <c r="H66" s="845" t="s">
        <v>1007</v>
      </c>
    </row>
    <row r="67" spans="1:10" x14ac:dyDescent="0.2">
      <c r="A67" s="859">
        <f t="shared" si="0"/>
        <v>66</v>
      </c>
      <c r="B67" s="845" t="s">
        <v>2552</v>
      </c>
      <c r="D67" s="861"/>
      <c r="I67" s="845" t="s">
        <v>1008</v>
      </c>
    </row>
    <row r="68" spans="1:10" x14ac:dyDescent="0.2">
      <c r="A68" s="859">
        <f t="shared" ref="A68:A131" si="1">+A67+1</f>
        <v>67</v>
      </c>
      <c r="B68" s="845" t="s">
        <v>2552</v>
      </c>
      <c r="D68" s="861"/>
      <c r="J68" s="845" t="s">
        <v>1031</v>
      </c>
    </row>
    <row r="69" spans="1:10" x14ac:dyDescent="0.2">
      <c r="A69" s="859">
        <f t="shared" si="1"/>
        <v>68</v>
      </c>
      <c r="B69" s="845" t="s">
        <v>2552</v>
      </c>
      <c r="D69" s="862"/>
      <c r="I69" s="845" t="s">
        <v>1009</v>
      </c>
    </row>
    <row r="70" spans="1:10" x14ac:dyDescent="0.2">
      <c r="A70" s="859">
        <f t="shared" si="1"/>
        <v>69</v>
      </c>
      <c r="B70" s="845" t="s">
        <v>2552</v>
      </c>
      <c r="D70" s="863"/>
      <c r="I70" s="845" t="str">
        <f>CONCATENATE("&lt;valeur&gt;",Cellule_244,"&lt;/valeur&gt;")</f>
        <v>&lt;valeur&gt;0&lt;/valeur&gt;</v>
      </c>
    </row>
    <row r="71" spans="1:10" x14ac:dyDescent="0.2">
      <c r="A71" s="859">
        <f t="shared" si="1"/>
        <v>70</v>
      </c>
      <c r="B71" s="845" t="s">
        <v>2552</v>
      </c>
      <c r="D71" s="862"/>
      <c r="H71" s="845" t="s">
        <v>1010</v>
      </c>
    </row>
    <row r="72" spans="1:10" x14ac:dyDescent="0.2">
      <c r="A72" s="859">
        <f t="shared" si="1"/>
        <v>71</v>
      </c>
      <c r="B72" s="845" t="s">
        <v>2552</v>
      </c>
      <c r="D72" s="862"/>
      <c r="H72" s="845" t="s">
        <v>1007</v>
      </c>
    </row>
    <row r="73" spans="1:10" x14ac:dyDescent="0.2">
      <c r="A73" s="859">
        <f t="shared" si="1"/>
        <v>72</v>
      </c>
      <c r="B73" s="845" t="s">
        <v>2552</v>
      </c>
      <c r="D73" s="861"/>
      <c r="I73" s="845" t="s">
        <v>1008</v>
      </c>
    </row>
    <row r="74" spans="1:10" x14ac:dyDescent="0.2">
      <c r="A74" s="859">
        <f t="shared" si="1"/>
        <v>73</v>
      </c>
      <c r="B74" s="845" t="s">
        <v>2552</v>
      </c>
      <c r="D74" s="861"/>
      <c r="J74" s="845" t="s">
        <v>1032</v>
      </c>
    </row>
    <row r="75" spans="1:10" x14ac:dyDescent="0.2">
      <c r="A75" s="859">
        <f t="shared" si="1"/>
        <v>74</v>
      </c>
      <c r="B75" s="845" t="s">
        <v>2552</v>
      </c>
      <c r="D75" s="862"/>
      <c r="I75" s="845" t="s">
        <v>1009</v>
      </c>
    </row>
    <row r="76" spans="1:10" x14ac:dyDescent="0.2">
      <c r="A76" s="859">
        <f t="shared" si="1"/>
        <v>75</v>
      </c>
      <c r="B76" s="845" t="s">
        <v>2552</v>
      </c>
      <c r="D76" s="863"/>
      <c r="I76" s="845" t="str">
        <f>CONCATENATE("&lt;valeur&gt;",Cellule_245,"&lt;/valeur&gt;")</f>
        <v>&lt;valeur&gt;0&lt;/valeur&gt;</v>
      </c>
    </row>
    <row r="77" spans="1:10" x14ac:dyDescent="0.2">
      <c r="A77" s="859">
        <f t="shared" si="1"/>
        <v>76</v>
      </c>
      <c r="B77" s="845" t="s">
        <v>2552</v>
      </c>
      <c r="D77" s="862"/>
      <c r="H77" s="845" t="s">
        <v>1010</v>
      </c>
    </row>
    <row r="78" spans="1:10" x14ac:dyDescent="0.2">
      <c r="A78" s="859">
        <f t="shared" si="1"/>
        <v>77</v>
      </c>
      <c r="B78" s="845" t="s">
        <v>2552</v>
      </c>
      <c r="D78" s="862"/>
      <c r="H78" s="845" t="s">
        <v>1007</v>
      </c>
    </row>
    <row r="79" spans="1:10" x14ac:dyDescent="0.2">
      <c r="A79" s="859">
        <f t="shared" si="1"/>
        <v>78</v>
      </c>
      <c r="B79" s="845" t="s">
        <v>2552</v>
      </c>
      <c r="D79" s="861"/>
      <c r="I79" s="845" t="s">
        <v>1008</v>
      </c>
    </row>
    <row r="80" spans="1:10" x14ac:dyDescent="0.2">
      <c r="A80" s="859">
        <f t="shared" si="1"/>
        <v>79</v>
      </c>
      <c r="B80" s="845" t="s">
        <v>2552</v>
      </c>
      <c r="D80" s="861"/>
      <c r="J80" s="845" t="s">
        <v>1033</v>
      </c>
    </row>
    <row r="81" spans="1:10" x14ac:dyDescent="0.2">
      <c r="A81" s="859">
        <f t="shared" si="1"/>
        <v>80</v>
      </c>
      <c r="B81" s="845" t="s">
        <v>2552</v>
      </c>
      <c r="D81" s="862"/>
      <c r="I81" s="845" t="s">
        <v>1009</v>
      </c>
    </row>
    <row r="82" spans="1:10" x14ac:dyDescent="0.2">
      <c r="A82" s="859">
        <f t="shared" si="1"/>
        <v>81</v>
      </c>
      <c r="B82" s="845" t="s">
        <v>2552</v>
      </c>
      <c r="D82" s="863"/>
      <c r="I82" s="845" t="str">
        <f>CONCATENATE("&lt;valeur&gt;",Cellule_246,"&lt;/valeur&gt;")</f>
        <v>&lt;valeur&gt;0&lt;/valeur&gt;</v>
      </c>
    </row>
    <row r="83" spans="1:10" x14ac:dyDescent="0.2">
      <c r="A83" s="859">
        <f t="shared" si="1"/>
        <v>82</v>
      </c>
      <c r="B83" s="845" t="s">
        <v>2552</v>
      </c>
      <c r="D83" s="862"/>
      <c r="H83" s="845" t="s">
        <v>1010</v>
      </c>
    </row>
    <row r="84" spans="1:10" x14ac:dyDescent="0.2">
      <c r="A84" s="859">
        <f t="shared" si="1"/>
        <v>83</v>
      </c>
      <c r="B84" s="845" t="s">
        <v>2552</v>
      </c>
      <c r="D84" s="862"/>
      <c r="H84" s="845" t="s">
        <v>1007</v>
      </c>
    </row>
    <row r="85" spans="1:10" x14ac:dyDescent="0.2">
      <c r="A85" s="859">
        <f t="shared" si="1"/>
        <v>84</v>
      </c>
      <c r="B85" s="845" t="s">
        <v>2552</v>
      </c>
      <c r="D85" s="861"/>
      <c r="I85" s="845" t="s">
        <v>1008</v>
      </c>
    </row>
    <row r="86" spans="1:10" x14ac:dyDescent="0.2">
      <c r="A86" s="859">
        <f t="shared" si="1"/>
        <v>85</v>
      </c>
      <c r="B86" s="845" t="s">
        <v>2552</v>
      </c>
      <c r="D86" s="861"/>
      <c r="J86" s="845" t="s">
        <v>1034</v>
      </c>
    </row>
    <row r="87" spans="1:10" x14ac:dyDescent="0.2">
      <c r="A87" s="859">
        <f t="shared" si="1"/>
        <v>86</v>
      </c>
      <c r="B87" s="845" t="s">
        <v>2552</v>
      </c>
      <c r="D87" s="862"/>
      <c r="I87" s="845" t="s">
        <v>1009</v>
      </c>
    </row>
    <row r="88" spans="1:10" x14ac:dyDescent="0.2">
      <c r="A88" s="859">
        <f t="shared" si="1"/>
        <v>87</v>
      </c>
      <c r="B88" s="845" t="s">
        <v>2552</v>
      </c>
      <c r="D88" s="863"/>
      <c r="I88" s="845" t="str">
        <f>CONCATENATE("&lt;valeur&gt;",Cellule_499,"&lt;/valeur&gt;")</f>
        <v>&lt;valeur&gt;0&lt;/valeur&gt;</v>
      </c>
    </row>
    <row r="89" spans="1:10" x14ac:dyDescent="0.2">
      <c r="A89" s="859">
        <f t="shared" si="1"/>
        <v>88</v>
      </c>
      <c r="B89" s="845" t="s">
        <v>2552</v>
      </c>
      <c r="D89" s="862"/>
      <c r="H89" s="845" t="s">
        <v>1010</v>
      </c>
    </row>
    <row r="90" spans="1:10" x14ac:dyDescent="0.2">
      <c r="A90" s="859">
        <f t="shared" si="1"/>
        <v>89</v>
      </c>
      <c r="B90" s="845" t="s">
        <v>2552</v>
      </c>
      <c r="D90" s="862"/>
      <c r="H90" s="845" t="s">
        <v>1007</v>
      </c>
    </row>
    <row r="91" spans="1:10" x14ac:dyDescent="0.2">
      <c r="A91" s="859">
        <f t="shared" si="1"/>
        <v>90</v>
      </c>
      <c r="B91" s="845" t="s">
        <v>2552</v>
      </c>
      <c r="D91" s="861"/>
      <c r="I91" s="845" t="s">
        <v>1008</v>
      </c>
    </row>
    <row r="92" spans="1:10" x14ac:dyDescent="0.2">
      <c r="A92" s="859">
        <f t="shared" si="1"/>
        <v>91</v>
      </c>
      <c r="B92" s="845" t="s">
        <v>2552</v>
      </c>
      <c r="D92" s="861"/>
      <c r="J92" s="845" t="s">
        <v>1035</v>
      </c>
    </row>
    <row r="93" spans="1:10" x14ac:dyDescent="0.2">
      <c r="A93" s="859">
        <f t="shared" si="1"/>
        <v>92</v>
      </c>
      <c r="B93" s="845" t="s">
        <v>2552</v>
      </c>
      <c r="D93" s="862"/>
      <c r="I93" s="845" t="s">
        <v>1009</v>
      </c>
    </row>
    <row r="94" spans="1:10" x14ac:dyDescent="0.2">
      <c r="A94" s="859">
        <f t="shared" si="1"/>
        <v>93</v>
      </c>
      <c r="B94" s="845" t="s">
        <v>2552</v>
      </c>
      <c r="D94" s="863"/>
      <c r="I94" s="845" t="str">
        <f>CONCATENATE("&lt;valeur&gt;",Cellule_247,"&lt;/valeur&gt;")</f>
        <v>&lt;valeur&gt;0&lt;/valeur&gt;</v>
      </c>
    </row>
    <row r="95" spans="1:10" x14ac:dyDescent="0.2">
      <c r="A95" s="859">
        <f t="shared" si="1"/>
        <v>94</v>
      </c>
      <c r="B95" s="845" t="s">
        <v>2552</v>
      </c>
      <c r="D95" s="862"/>
      <c r="H95" s="845" t="s">
        <v>1010</v>
      </c>
    </row>
    <row r="96" spans="1:10" x14ac:dyDescent="0.2">
      <c r="A96" s="859">
        <f t="shared" si="1"/>
        <v>95</v>
      </c>
      <c r="B96" s="845" t="s">
        <v>2552</v>
      </c>
      <c r="D96" s="862"/>
      <c r="H96" s="845" t="s">
        <v>1007</v>
      </c>
    </row>
    <row r="97" spans="1:10" x14ac:dyDescent="0.2">
      <c r="A97" s="859">
        <f t="shared" si="1"/>
        <v>96</v>
      </c>
      <c r="B97" s="845" t="s">
        <v>2552</v>
      </c>
      <c r="D97" s="861"/>
      <c r="I97" s="845" t="s">
        <v>1008</v>
      </c>
    </row>
    <row r="98" spans="1:10" x14ac:dyDescent="0.2">
      <c r="A98" s="859">
        <f t="shared" si="1"/>
        <v>97</v>
      </c>
      <c r="B98" s="845" t="s">
        <v>2552</v>
      </c>
      <c r="D98" s="861"/>
      <c r="J98" s="845" t="s">
        <v>1036</v>
      </c>
    </row>
    <row r="99" spans="1:10" x14ac:dyDescent="0.2">
      <c r="A99" s="859">
        <f t="shared" si="1"/>
        <v>98</v>
      </c>
      <c r="B99" s="845" t="s">
        <v>2552</v>
      </c>
      <c r="D99" s="862"/>
      <c r="I99" s="845" t="s">
        <v>1009</v>
      </c>
    </row>
    <row r="100" spans="1:10" x14ac:dyDescent="0.2">
      <c r="A100" s="859">
        <f t="shared" si="1"/>
        <v>99</v>
      </c>
      <c r="B100" s="845" t="s">
        <v>2552</v>
      </c>
      <c r="D100" s="863"/>
      <c r="I100" s="845" t="str">
        <f>CONCATENATE("&lt;valeur&gt;",Cellule_248,"&lt;/valeur&gt;")</f>
        <v>&lt;valeur&gt;0&lt;/valeur&gt;</v>
      </c>
    </row>
    <row r="101" spans="1:10" x14ac:dyDescent="0.2">
      <c r="A101" s="859">
        <f t="shared" si="1"/>
        <v>100</v>
      </c>
      <c r="B101" s="845" t="s">
        <v>2552</v>
      </c>
      <c r="D101" s="862"/>
      <c r="H101" s="845" t="s">
        <v>1010</v>
      </c>
    </row>
    <row r="102" spans="1:10" x14ac:dyDescent="0.2">
      <c r="A102" s="859">
        <f t="shared" si="1"/>
        <v>101</v>
      </c>
      <c r="B102" s="845" t="s">
        <v>2552</v>
      </c>
      <c r="D102" s="862"/>
      <c r="H102" s="845" t="s">
        <v>1007</v>
      </c>
    </row>
    <row r="103" spans="1:10" x14ac:dyDescent="0.2">
      <c r="A103" s="859">
        <f t="shared" si="1"/>
        <v>102</v>
      </c>
      <c r="B103" s="845" t="s">
        <v>2552</v>
      </c>
      <c r="D103" s="861"/>
      <c r="I103" s="845" t="s">
        <v>1008</v>
      </c>
    </row>
    <row r="104" spans="1:10" x14ac:dyDescent="0.2">
      <c r="A104" s="859">
        <f t="shared" si="1"/>
        <v>103</v>
      </c>
      <c r="B104" s="845" t="s">
        <v>2552</v>
      </c>
      <c r="D104" s="861"/>
      <c r="J104" s="845" t="s">
        <v>1037</v>
      </c>
    </row>
    <row r="105" spans="1:10" x14ac:dyDescent="0.2">
      <c r="A105" s="859">
        <f t="shared" si="1"/>
        <v>104</v>
      </c>
      <c r="B105" s="845" t="s">
        <v>2552</v>
      </c>
      <c r="D105" s="862"/>
      <c r="I105" s="845" t="s">
        <v>1009</v>
      </c>
    </row>
    <row r="106" spans="1:10" x14ac:dyDescent="0.2">
      <c r="A106" s="859">
        <f t="shared" si="1"/>
        <v>105</v>
      </c>
      <c r="B106" s="845" t="s">
        <v>2552</v>
      </c>
      <c r="D106" s="863"/>
      <c r="I106" s="845" t="str">
        <f>CONCATENATE("&lt;valeur&gt;",Cellule_249,"&lt;/valeur&gt;")</f>
        <v>&lt;valeur&gt;0&lt;/valeur&gt;</v>
      </c>
    </row>
    <row r="107" spans="1:10" x14ac:dyDescent="0.2">
      <c r="A107" s="859">
        <f t="shared" si="1"/>
        <v>106</v>
      </c>
      <c r="B107" s="845" t="s">
        <v>2552</v>
      </c>
      <c r="D107" s="862"/>
      <c r="H107" s="845" t="s">
        <v>1010</v>
      </c>
    </row>
    <row r="108" spans="1:10" x14ac:dyDescent="0.2">
      <c r="A108" s="859">
        <f t="shared" si="1"/>
        <v>107</v>
      </c>
      <c r="B108" s="845" t="s">
        <v>2552</v>
      </c>
      <c r="D108" s="862"/>
      <c r="H108" s="845" t="s">
        <v>1007</v>
      </c>
    </row>
    <row r="109" spans="1:10" x14ac:dyDescent="0.2">
      <c r="A109" s="859">
        <f t="shared" si="1"/>
        <v>108</v>
      </c>
      <c r="B109" s="845" t="s">
        <v>2552</v>
      </c>
      <c r="D109" s="861"/>
      <c r="I109" s="845" t="s">
        <v>1008</v>
      </c>
    </row>
    <row r="110" spans="1:10" x14ac:dyDescent="0.2">
      <c r="A110" s="859">
        <f t="shared" si="1"/>
        <v>109</v>
      </c>
      <c r="B110" s="845" t="s">
        <v>2552</v>
      </c>
      <c r="D110" s="861"/>
      <c r="J110" s="845" t="s">
        <v>1038</v>
      </c>
    </row>
    <row r="111" spans="1:10" x14ac:dyDescent="0.2">
      <c r="A111" s="859">
        <f t="shared" si="1"/>
        <v>110</v>
      </c>
      <c r="B111" s="845" t="s">
        <v>2552</v>
      </c>
      <c r="D111" s="862"/>
      <c r="I111" s="845" t="s">
        <v>1009</v>
      </c>
    </row>
    <row r="112" spans="1:10" x14ac:dyDescent="0.2">
      <c r="A112" s="859">
        <f t="shared" si="1"/>
        <v>111</v>
      </c>
      <c r="B112" s="845" t="s">
        <v>2552</v>
      </c>
      <c r="D112" s="863"/>
      <c r="I112" s="845" t="str">
        <f>CONCATENATE("&lt;valeur&gt;",Cellule_500,"&lt;/valeur&gt;")</f>
        <v>&lt;valeur&gt;0&lt;/valeur&gt;</v>
      </c>
    </row>
    <row r="113" spans="1:10" x14ac:dyDescent="0.2">
      <c r="A113" s="859">
        <f t="shared" si="1"/>
        <v>112</v>
      </c>
      <c r="B113" s="845" t="s">
        <v>2552</v>
      </c>
      <c r="D113" s="862"/>
      <c r="H113" s="845" t="s">
        <v>1010</v>
      </c>
    </row>
    <row r="114" spans="1:10" x14ac:dyDescent="0.2">
      <c r="A114" s="859">
        <f t="shared" si="1"/>
        <v>113</v>
      </c>
      <c r="B114" s="845" t="s">
        <v>2552</v>
      </c>
      <c r="D114" s="862"/>
      <c r="H114" s="845" t="s">
        <v>1007</v>
      </c>
    </row>
    <row r="115" spans="1:10" x14ac:dyDescent="0.2">
      <c r="A115" s="859">
        <f t="shared" si="1"/>
        <v>114</v>
      </c>
      <c r="B115" s="845" t="s">
        <v>2552</v>
      </c>
      <c r="D115" s="861"/>
      <c r="I115" s="845" t="s">
        <v>1008</v>
      </c>
    </row>
    <row r="116" spans="1:10" x14ac:dyDescent="0.2">
      <c r="A116" s="859">
        <f t="shared" si="1"/>
        <v>115</v>
      </c>
      <c r="B116" s="845" t="s">
        <v>2552</v>
      </c>
      <c r="D116" s="861"/>
      <c r="J116" s="845" t="s">
        <v>1039</v>
      </c>
    </row>
    <row r="117" spans="1:10" x14ac:dyDescent="0.2">
      <c r="A117" s="859">
        <f t="shared" si="1"/>
        <v>116</v>
      </c>
      <c r="B117" s="845" t="s">
        <v>2552</v>
      </c>
      <c r="D117" s="862"/>
      <c r="I117" s="845" t="s">
        <v>1009</v>
      </c>
    </row>
    <row r="118" spans="1:10" x14ac:dyDescent="0.2">
      <c r="A118" s="859">
        <f t="shared" si="1"/>
        <v>117</v>
      </c>
      <c r="B118" s="845" t="s">
        <v>2552</v>
      </c>
      <c r="D118" s="863"/>
      <c r="I118" s="845" t="str">
        <f>CONCATENATE("&lt;valeur&gt;",Cellule_274,"&lt;/valeur&gt;")</f>
        <v>&lt;valeur&gt;0&lt;/valeur&gt;</v>
      </c>
    </row>
    <row r="119" spans="1:10" x14ac:dyDescent="0.2">
      <c r="A119" s="859">
        <f t="shared" si="1"/>
        <v>118</v>
      </c>
      <c r="B119" s="845" t="s">
        <v>2552</v>
      </c>
      <c r="D119" s="862"/>
      <c r="H119" s="845" t="s">
        <v>1010</v>
      </c>
    </row>
    <row r="120" spans="1:10" x14ac:dyDescent="0.2">
      <c r="A120" s="859">
        <f t="shared" si="1"/>
        <v>119</v>
      </c>
      <c r="B120" s="845" t="s">
        <v>2552</v>
      </c>
      <c r="D120" s="862"/>
      <c r="H120" s="845" t="s">
        <v>1007</v>
      </c>
    </row>
    <row r="121" spans="1:10" x14ac:dyDescent="0.2">
      <c r="A121" s="859">
        <f t="shared" si="1"/>
        <v>120</v>
      </c>
      <c r="B121" s="845" t="s">
        <v>2552</v>
      </c>
      <c r="D121" s="861"/>
      <c r="I121" s="845" t="s">
        <v>1008</v>
      </c>
    </row>
    <row r="122" spans="1:10" x14ac:dyDescent="0.2">
      <c r="A122" s="859">
        <f t="shared" si="1"/>
        <v>121</v>
      </c>
      <c r="B122" s="845" t="s">
        <v>2552</v>
      </c>
      <c r="D122" s="861"/>
      <c r="J122" s="845" t="s">
        <v>1040</v>
      </c>
    </row>
    <row r="123" spans="1:10" x14ac:dyDescent="0.2">
      <c r="A123" s="859">
        <f t="shared" si="1"/>
        <v>122</v>
      </c>
      <c r="B123" s="845" t="s">
        <v>2552</v>
      </c>
      <c r="D123" s="862"/>
      <c r="I123" s="845" t="s">
        <v>1009</v>
      </c>
    </row>
    <row r="124" spans="1:10" x14ac:dyDescent="0.2">
      <c r="A124" s="859">
        <f t="shared" si="1"/>
        <v>123</v>
      </c>
      <c r="B124" s="845" t="s">
        <v>2552</v>
      </c>
      <c r="D124" s="863"/>
      <c r="I124" s="845" t="str">
        <f>CONCATENATE("&lt;valeur&gt;",Cellule_275,"&lt;/valeur&gt;")</f>
        <v>&lt;valeur&gt;0&lt;/valeur&gt;</v>
      </c>
    </row>
    <row r="125" spans="1:10" x14ac:dyDescent="0.2">
      <c r="A125" s="859">
        <f t="shared" si="1"/>
        <v>124</v>
      </c>
      <c r="B125" s="845" t="s">
        <v>2552</v>
      </c>
      <c r="D125" s="862"/>
      <c r="H125" s="845" t="s">
        <v>1010</v>
      </c>
    </row>
    <row r="126" spans="1:10" x14ac:dyDescent="0.2">
      <c r="A126" s="859">
        <f t="shared" si="1"/>
        <v>125</v>
      </c>
      <c r="B126" s="845" t="s">
        <v>2552</v>
      </c>
      <c r="D126" s="862"/>
      <c r="H126" s="845" t="s">
        <v>1007</v>
      </c>
    </row>
    <row r="127" spans="1:10" x14ac:dyDescent="0.2">
      <c r="A127" s="859">
        <f t="shared" si="1"/>
        <v>126</v>
      </c>
      <c r="B127" s="845" t="s">
        <v>2552</v>
      </c>
      <c r="D127" s="861"/>
      <c r="I127" s="845" t="s">
        <v>1008</v>
      </c>
    </row>
    <row r="128" spans="1:10" x14ac:dyDescent="0.2">
      <c r="A128" s="859">
        <f t="shared" si="1"/>
        <v>127</v>
      </c>
      <c r="B128" s="845" t="s">
        <v>2552</v>
      </c>
      <c r="D128" s="861"/>
      <c r="J128" s="845" t="s">
        <v>1041</v>
      </c>
    </row>
    <row r="129" spans="1:10" x14ac:dyDescent="0.2">
      <c r="A129" s="859">
        <f t="shared" si="1"/>
        <v>128</v>
      </c>
      <c r="B129" s="845" t="s">
        <v>2552</v>
      </c>
      <c r="D129" s="862"/>
      <c r="I129" s="845" t="s">
        <v>1009</v>
      </c>
    </row>
    <row r="130" spans="1:10" x14ac:dyDescent="0.2">
      <c r="A130" s="859">
        <f t="shared" si="1"/>
        <v>129</v>
      </c>
      <c r="B130" s="845" t="s">
        <v>2552</v>
      </c>
      <c r="D130" s="863"/>
      <c r="I130" s="845" t="str">
        <f>CONCATENATE("&lt;valeur&gt;",Cellule_276,"&lt;/valeur&gt;")</f>
        <v>&lt;valeur&gt;0&lt;/valeur&gt;</v>
      </c>
    </row>
    <row r="131" spans="1:10" x14ac:dyDescent="0.2">
      <c r="A131" s="859">
        <f t="shared" si="1"/>
        <v>130</v>
      </c>
      <c r="B131" s="845" t="s">
        <v>2552</v>
      </c>
      <c r="D131" s="862"/>
      <c r="H131" s="845" t="s">
        <v>1010</v>
      </c>
    </row>
    <row r="132" spans="1:10" x14ac:dyDescent="0.2">
      <c r="A132" s="859">
        <f t="shared" ref="A132:A195" si="2">+A131+1</f>
        <v>131</v>
      </c>
      <c r="B132" s="845" t="s">
        <v>2552</v>
      </c>
      <c r="D132" s="862"/>
      <c r="H132" s="845" t="s">
        <v>1007</v>
      </c>
    </row>
    <row r="133" spans="1:10" x14ac:dyDescent="0.2">
      <c r="A133" s="859">
        <f t="shared" si="2"/>
        <v>132</v>
      </c>
      <c r="B133" s="845" t="s">
        <v>2552</v>
      </c>
      <c r="D133" s="861"/>
      <c r="I133" s="845" t="s">
        <v>1008</v>
      </c>
    </row>
    <row r="134" spans="1:10" x14ac:dyDescent="0.2">
      <c r="A134" s="859">
        <f t="shared" si="2"/>
        <v>133</v>
      </c>
      <c r="B134" s="845" t="s">
        <v>2552</v>
      </c>
      <c r="D134" s="861"/>
      <c r="J134" s="845" t="s">
        <v>1042</v>
      </c>
    </row>
    <row r="135" spans="1:10" x14ac:dyDescent="0.2">
      <c r="A135" s="859">
        <f t="shared" si="2"/>
        <v>134</v>
      </c>
      <c r="B135" s="845" t="s">
        <v>2552</v>
      </c>
      <c r="D135" s="862"/>
      <c r="I135" s="845" t="s">
        <v>1009</v>
      </c>
    </row>
    <row r="136" spans="1:10" x14ac:dyDescent="0.2">
      <c r="A136" s="859">
        <f t="shared" si="2"/>
        <v>135</v>
      </c>
      <c r="B136" s="845" t="s">
        <v>2552</v>
      </c>
      <c r="D136" s="863"/>
      <c r="I136" s="845" t="str">
        <f>CONCATENATE("&lt;valeur&gt;",Cellule_277,"&lt;/valeur&gt;")</f>
        <v>&lt;valeur&gt;0&lt;/valeur&gt;</v>
      </c>
    </row>
    <row r="137" spans="1:10" x14ac:dyDescent="0.2">
      <c r="A137" s="859">
        <f t="shared" si="2"/>
        <v>136</v>
      </c>
      <c r="B137" s="845" t="s">
        <v>2552</v>
      </c>
      <c r="D137" s="862"/>
      <c r="H137" s="845" t="s">
        <v>1010</v>
      </c>
    </row>
    <row r="138" spans="1:10" x14ac:dyDescent="0.2">
      <c r="A138" s="859">
        <f t="shared" si="2"/>
        <v>137</v>
      </c>
      <c r="B138" s="845" t="s">
        <v>2552</v>
      </c>
      <c r="D138" s="862"/>
      <c r="H138" s="845" t="s">
        <v>1007</v>
      </c>
    </row>
    <row r="139" spans="1:10" x14ac:dyDescent="0.2">
      <c r="A139" s="859">
        <f t="shared" si="2"/>
        <v>138</v>
      </c>
      <c r="B139" s="845" t="s">
        <v>2552</v>
      </c>
      <c r="D139" s="861"/>
      <c r="I139" s="845" t="s">
        <v>1008</v>
      </c>
    </row>
    <row r="140" spans="1:10" x14ac:dyDescent="0.2">
      <c r="A140" s="859">
        <f t="shared" si="2"/>
        <v>139</v>
      </c>
      <c r="B140" s="845" t="s">
        <v>2552</v>
      </c>
      <c r="D140" s="861"/>
      <c r="J140" s="845" t="s">
        <v>1043</v>
      </c>
    </row>
    <row r="141" spans="1:10" x14ac:dyDescent="0.2">
      <c r="A141" s="859">
        <f t="shared" si="2"/>
        <v>140</v>
      </c>
      <c r="B141" s="845" t="s">
        <v>2552</v>
      </c>
      <c r="D141" s="862"/>
      <c r="I141" s="845" t="s">
        <v>1009</v>
      </c>
    </row>
    <row r="142" spans="1:10" x14ac:dyDescent="0.2">
      <c r="A142" s="859">
        <f t="shared" si="2"/>
        <v>141</v>
      </c>
      <c r="B142" s="845" t="s">
        <v>2552</v>
      </c>
      <c r="D142" s="863"/>
      <c r="I142" s="845" t="str">
        <f>CONCATENATE("&lt;valeur&gt;",Cellule_502,"&lt;/valeur&gt;")</f>
        <v>&lt;valeur&gt;0&lt;/valeur&gt;</v>
      </c>
    </row>
    <row r="143" spans="1:10" x14ac:dyDescent="0.2">
      <c r="A143" s="859">
        <f t="shared" si="2"/>
        <v>142</v>
      </c>
      <c r="B143" s="845" t="s">
        <v>2552</v>
      </c>
      <c r="D143" s="862"/>
      <c r="H143" s="845" t="s">
        <v>1010</v>
      </c>
    </row>
    <row r="144" spans="1:10" x14ac:dyDescent="0.2">
      <c r="A144" s="859">
        <f t="shared" si="2"/>
        <v>143</v>
      </c>
      <c r="B144" s="845" t="s">
        <v>2552</v>
      </c>
      <c r="D144" s="862"/>
      <c r="H144" s="845" t="s">
        <v>1007</v>
      </c>
    </row>
    <row r="145" spans="1:10" x14ac:dyDescent="0.2">
      <c r="A145" s="859">
        <f t="shared" si="2"/>
        <v>144</v>
      </c>
      <c r="B145" s="845" t="s">
        <v>2552</v>
      </c>
      <c r="D145" s="861"/>
      <c r="I145" s="845" t="s">
        <v>1008</v>
      </c>
    </row>
    <row r="146" spans="1:10" x14ac:dyDescent="0.2">
      <c r="A146" s="859">
        <f t="shared" si="2"/>
        <v>145</v>
      </c>
      <c r="B146" s="845" t="s">
        <v>2552</v>
      </c>
      <c r="D146" s="861"/>
      <c r="J146" s="845" t="s">
        <v>1044</v>
      </c>
    </row>
    <row r="147" spans="1:10" x14ac:dyDescent="0.2">
      <c r="A147" s="859">
        <f t="shared" si="2"/>
        <v>146</v>
      </c>
      <c r="B147" s="845" t="s">
        <v>2552</v>
      </c>
      <c r="D147" s="862"/>
      <c r="I147" s="845" t="s">
        <v>1009</v>
      </c>
    </row>
    <row r="148" spans="1:10" x14ac:dyDescent="0.2">
      <c r="A148" s="859">
        <f t="shared" si="2"/>
        <v>147</v>
      </c>
      <c r="B148" s="845" t="s">
        <v>2552</v>
      </c>
      <c r="D148" s="863"/>
      <c r="I148" s="845" t="str">
        <f>CONCATENATE("&lt;valeur&gt;",Cellule_278,"&lt;/valeur&gt;")</f>
        <v>&lt;valeur&gt;0&lt;/valeur&gt;</v>
      </c>
    </row>
    <row r="149" spans="1:10" x14ac:dyDescent="0.2">
      <c r="A149" s="859">
        <f t="shared" si="2"/>
        <v>148</v>
      </c>
      <c r="B149" s="845" t="s">
        <v>2552</v>
      </c>
      <c r="D149" s="862"/>
      <c r="H149" s="845" t="s">
        <v>1010</v>
      </c>
    </row>
    <row r="150" spans="1:10" x14ac:dyDescent="0.2">
      <c r="A150" s="859">
        <f t="shared" si="2"/>
        <v>149</v>
      </c>
      <c r="B150" s="845" t="s">
        <v>2552</v>
      </c>
      <c r="D150" s="862"/>
      <c r="H150" s="845" t="s">
        <v>1007</v>
      </c>
    </row>
    <row r="151" spans="1:10" x14ac:dyDescent="0.2">
      <c r="A151" s="859">
        <f t="shared" si="2"/>
        <v>150</v>
      </c>
      <c r="B151" s="845" t="s">
        <v>2552</v>
      </c>
      <c r="D151" s="861"/>
      <c r="I151" s="845" t="s">
        <v>1008</v>
      </c>
    </row>
    <row r="152" spans="1:10" x14ac:dyDescent="0.2">
      <c r="A152" s="859">
        <f t="shared" si="2"/>
        <v>151</v>
      </c>
      <c r="B152" s="845" t="s">
        <v>2552</v>
      </c>
      <c r="D152" s="861"/>
      <c r="J152" s="845" t="s">
        <v>1045</v>
      </c>
    </row>
    <row r="153" spans="1:10" x14ac:dyDescent="0.2">
      <c r="A153" s="859">
        <f t="shared" si="2"/>
        <v>152</v>
      </c>
      <c r="B153" s="845" t="s">
        <v>2552</v>
      </c>
      <c r="D153" s="862"/>
      <c r="I153" s="845" t="s">
        <v>1009</v>
      </c>
    </row>
    <row r="154" spans="1:10" x14ac:dyDescent="0.2">
      <c r="A154" s="859">
        <f t="shared" si="2"/>
        <v>153</v>
      </c>
      <c r="B154" s="845" t="s">
        <v>2552</v>
      </c>
      <c r="D154" s="863"/>
      <c r="I154" s="845" t="str">
        <f>CONCATENATE("&lt;valeur&gt;",Cellule_279,"&lt;/valeur&gt;")</f>
        <v>&lt;valeur&gt;0&lt;/valeur&gt;</v>
      </c>
    </row>
    <row r="155" spans="1:10" x14ac:dyDescent="0.2">
      <c r="A155" s="859">
        <f t="shared" si="2"/>
        <v>154</v>
      </c>
      <c r="B155" s="845" t="s">
        <v>2552</v>
      </c>
      <c r="D155" s="862"/>
      <c r="H155" s="845" t="s">
        <v>1010</v>
      </c>
    </row>
    <row r="156" spans="1:10" x14ac:dyDescent="0.2">
      <c r="A156" s="859">
        <f t="shared" si="2"/>
        <v>155</v>
      </c>
      <c r="B156" s="845" t="s">
        <v>2552</v>
      </c>
      <c r="D156" s="862"/>
      <c r="H156" s="845" t="s">
        <v>1007</v>
      </c>
    </row>
    <row r="157" spans="1:10" x14ac:dyDescent="0.2">
      <c r="A157" s="859">
        <f t="shared" si="2"/>
        <v>156</v>
      </c>
      <c r="B157" s="845" t="s">
        <v>2552</v>
      </c>
      <c r="D157" s="861"/>
      <c r="I157" s="845" t="s">
        <v>1008</v>
      </c>
    </row>
    <row r="158" spans="1:10" x14ac:dyDescent="0.2">
      <c r="A158" s="859">
        <f t="shared" si="2"/>
        <v>157</v>
      </c>
      <c r="B158" s="845" t="s">
        <v>2552</v>
      </c>
      <c r="D158" s="861"/>
      <c r="J158" s="845" t="s">
        <v>1046</v>
      </c>
    </row>
    <row r="159" spans="1:10" x14ac:dyDescent="0.2">
      <c r="A159" s="859">
        <f t="shared" si="2"/>
        <v>158</v>
      </c>
      <c r="B159" s="845" t="s">
        <v>2552</v>
      </c>
      <c r="D159" s="862"/>
      <c r="I159" s="845" t="s">
        <v>1009</v>
      </c>
    </row>
    <row r="160" spans="1:10" x14ac:dyDescent="0.2">
      <c r="A160" s="859">
        <f t="shared" si="2"/>
        <v>159</v>
      </c>
      <c r="B160" s="845" t="s">
        <v>2552</v>
      </c>
      <c r="D160" s="863"/>
      <c r="I160" s="845" t="str">
        <f>CONCATENATE("&lt;valeur&gt;",Cellule_280,"&lt;/valeur&gt;")</f>
        <v>&lt;valeur&gt;0&lt;/valeur&gt;</v>
      </c>
    </row>
    <row r="161" spans="1:10" x14ac:dyDescent="0.2">
      <c r="A161" s="859">
        <f t="shared" si="2"/>
        <v>160</v>
      </c>
      <c r="B161" s="845" t="s">
        <v>2552</v>
      </c>
      <c r="D161" s="862"/>
      <c r="H161" s="845" t="s">
        <v>1010</v>
      </c>
    </row>
    <row r="162" spans="1:10" x14ac:dyDescent="0.2">
      <c r="A162" s="859">
        <f t="shared" si="2"/>
        <v>161</v>
      </c>
      <c r="B162" s="845" t="s">
        <v>2552</v>
      </c>
      <c r="D162" s="862"/>
      <c r="H162" s="845" t="s">
        <v>1007</v>
      </c>
    </row>
    <row r="163" spans="1:10" x14ac:dyDescent="0.2">
      <c r="A163" s="859">
        <f t="shared" si="2"/>
        <v>162</v>
      </c>
      <c r="B163" s="845" t="s">
        <v>2552</v>
      </c>
      <c r="D163" s="861"/>
      <c r="I163" s="845" t="s">
        <v>1008</v>
      </c>
    </row>
    <row r="164" spans="1:10" x14ac:dyDescent="0.2">
      <c r="A164" s="859">
        <f t="shared" si="2"/>
        <v>163</v>
      </c>
      <c r="B164" s="845" t="s">
        <v>2552</v>
      </c>
      <c r="D164" s="861"/>
      <c r="J164" s="845" t="s">
        <v>1047</v>
      </c>
    </row>
    <row r="165" spans="1:10" x14ac:dyDescent="0.2">
      <c r="A165" s="859">
        <f t="shared" si="2"/>
        <v>164</v>
      </c>
      <c r="B165" s="845" t="s">
        <v>2552</v>
      </c>
      <c r="D165" s="862"/>
      <c r="I165" s="845" t="s">
        <v>1009</v>
      </c>
    </row>
    <row r="166" spans="1:10" x14ac:dyDescent="0.2">
      <c r="A166" s="859">
        <f t="shared" si="2"/>
        <v>165</v>
      </c>
      <c r="B166" s="845" t="s">
        <v>2552</v>
      </c>
      <c r="D166" s="863"/>
      <c r="I166" s="845" t="str">
        <f>CONCATENATE("&lt;valeur&gt;",Cellule_281,"&lt;/valeur&gt;")</f>
        <v>&lt;valeur&gt;0&lt;/valeur&gt;</v>
      </c>
    </row>
    <row r="167" spans="1:10" x14ac:dyDescent="0.2">
      <c r="A167" s="859">
        <f t="shared" si="2"/>
        <v>166</v>
      </c>
      <c r="B167" s="845" t="s">
        <v>2552</v>
      </c>
      <c r="D167" s="862"/>
      <c r="H167" s="845" t="s">
        <v>1010</v>
      </c>
    </row>
    <row r="168" spans="1:10" x14ac:dyDescent="0.2">
      <c r="A168" s="859">
        <f t="shared" si="2"/>
        <v>167</v>
      </c>
      <c r="B168" s="845" t="s">
        <v>2552</v>
      </c>
      <c r="D168" s="862"/>
      <c r="H168" s="845" t="s">
        <v>1007</v>
      </c>
    </row>
    <row r="169" spans="1:10" x14ac:dyDescent="0.2">
      <c r="A169" s="859">
        <f t="shared" si="2"/>
        <v>168</v>
      </c>
      <c r="B169" s="845" t="s">
        <v>2552</v>
      </c>
      <c r="D169" s="861"/>
      <c r="I169" s="845" t="s">
        <v>1008</v>
      </c>
    </row>
    <row r="170" spans="1:10" x14ac:dyDescent="0.2">
      <c r="A170" s="859">
        <f t="shared" si="2"/>
        <v>169</v>
      </c>
      <c r="B170" s="845" t="s">
        <v>2552</v>
      </c>
      <c r="D170" s="861"/>
      <c r="J170" s="845" t="s">
        <v>1048</v>
      </c>
    </row>
    <row r="171" spans="1:10" x14ac:dyDescent="0.2">
      <c r="A171" s="859">
        <f t="shared" si="2"/>
        <v>170</v>
      </c>
      <c r="B171" s="845" t="s">
        <v>2552</v>
      </c>
      <c r="D171" s="862"/>
      <c r="I171" s="845" t="s">
        <v>1009</v>
      </c>
    </row>
    <row r="172" spans="1:10" x14ac:dyDescent="0.2">
      <c r="A172" s="859">
        <f t="shared" si="2"/>
        <v>171</v>
      </c>
      <c r="B172" s="845" t="s">
        <v>2552</v>
      </c>
      <c r="D172" s="863"/>
      <c r="I172" s="845" t="str">
        <f>CONCATENATE("&lt;valeur&gt;",Cellule_503,"&lt;/valeur&gt;")</f>
        <v>&lt;valeur&gt;0&lt;/valeur&gt;</v>
      </c>
    </row>
    <row r="173" spans="1:10" x14ac:dyDescent="0.2">
      <c r="A173" s="859">
        <f t="shared" si="2"/>
        <v>172</v>
      </c>
      <c r="B173" s="845" t="s">
        <v>2552</v>
      </c>
      <c r="D173" s="862"/>
      <c r="H173" s="845" t="s">
        <v>1010</v>
      </c>
    </row>
    <row r="174" spans="1:10" x14ac:dyDescent="0.2">
      <c r="A174" s="859">
        <f t="shared" si="2"/>
        <v>173</v>
      </c>
      <c r="B174" s="845" t="s">
        <v>2552</v>
      </c>
      <c r="D174" s="862"/>
      <c r="H174" s="845" t="s">
        <v>1007</v>
      </c>
    </row>
    <row r="175" spans="1:10" x14ac:dyDescent="0.2">
      <c r="A175" s="859">
        <f t="shared" si="2"/>
        <v>174</v>
      </c>
      <c r="B175" s="845" t="s">
        <v>2552</v>
      </c>
      <c r="D175" s="861"/>
      <c r="I175" s="845" t="s">
        <v>1008</v>
      </c>
    </row>
    <row r="176" spans="1:10" x14ac:dyDescent="0.2">
      <c r="A176" s="859">
        <f t="shared" si="2"/>
        <v>175</v>
      </c>
      <c r="B176" s="845" t="s">
        <v>2552</v>
      </c>
      <c r="D176" s="861"/>
      <c r="J176" s="845" t="s">
        <v>1049</v>
      </c>
    </row>
    <row r="177" spans="1:10" x14ac:dyDescent="0.2">
      <c r="A177" s="859">
        <f t="shared" si="2"/>
        <v>176</v>
      </c>
      <c r="B177" s="845" t="s">
        <v>2552</v>
      </c>
      <c r="D177" s="862"/>
      <c r="I177" s="845" t="s">
        <v>1009</v>
      </c>
    </row>
    <row r="178" spans="1:10" x14ac:dyDescent="0.2">
      <c r="A178" s="859">
        <f t="shared" si="2"/>
        <v>177</v>
      </c>
      <c r="B178" s="845" t="s">
        <v>2552</v>
      </c>
      <c r="D178" s="863"/>
      <c r="I178" s="845" t="str">
        <f>CONCATENATE("&lt;valeur&gt;",Cellule_282,"&lt;/valeur&gt;")</f>
        <v>&lt;valeur&gt;0&lt;/valeur&gt;</v>
      </c>
    </row>
    <row r="179" spans="1:10" x14ac:dyDescent="0.2">
      <c r="A179" s="859">
        <f t="shared" si="2"/>
        <v>178</v>
      </c>
      <c r="B179" s="845" t="s">
        <v>2552</v>
      </c>
      <c r="D179" s="862"/>
      <c r="H179" s="845" t="s">
        <v>1010</v>
      </c>
    </row>
    <row r="180" spans="1:10" x14ac:dyDescent="0.2">
      <c r="A180" s="859">
        <f t="shared" si="2"/>
        <v>179</v>
      </c>
      <c r="B180" s="845" t="s">
        <v>2552</v>
      </c>
      <c r="D180" s="862"/>
      <c r="H180" s="845" t="s">
        <v>1007</v>
      </c>
    </row>
    <row r="181" spans="1:10" x14ac:dyDescent="0.2">
      <c r="A181" s="859">
        <f t="shared" si="2"/>
        <v>180</v>
      </c>
      <c r="B181" s="845" t="s">
        <v>2552</v>
      </c>
      <c r="D181" s="861"/>
      <c r="I181" s="845" t="s">
        <v>1008</v>
      </c>
    </row>
    <row r="182" spans="1:10" x14ac:dyDescent="0.2">
      <c r="A182" s="859">
        <f t="shared" si="2"/>
        <v>181</v>
      </c>
      <c r="B182" s="845" t="s">
        <v>2552</v>
      </c>
      <c r="D182" s="861"/>
      <c r="J182" s="845" t="s">
        <v>1050</v>
      </c>
    </row>
    <row r="183" spans="1:10" x14ac:dyDescent="0.2">
      <c r="A183" s="859">
        <f t="shared" si="2"/>
        <v>182</v>
      </c>
      <c r="B183" s="845" t="s">
        <v>2552</v>
      </c>
      <c r="D183" s="862"/>
      <c r="I183" s="845" t="s">
        <v>1009</v>
      </c>
    </row>
    <row r="184" spans="1:10" x14ac:dyDescent="0.2">
      <c r="A184" s="859">
        <f t="shared" si="2"/>
        <v>183</v>
      </c>
      <c r="B184" s="845" t="s">
        <v>2552</v>
      </c>
      <c r="D184" s="863"/>
      <c r="I184" s="845" t="str">
        <f>CONCATENATE("&lt;valeur&gt;",Cellule_283,"&lt;/valeur&gt;")</f>
        <v>&lt;valeur&gt;0&lt;/valeur&gt;</v>
      </c>
    </row>
    <row r="185" spans="1:10" x14ac:dyDescent="0.2">
      <c r="A185" s="859">
        <f t="shared" si="2"/>
        <v>184</v>
      </c>
      <c r="B185" s="845" t="s">
        <v>2552</v>
      </c>
      <c r="D185" s="862"/>
      <c r="H185" s="845" t="s">
        <v>1010</v>
      </c>
    </row>
    <row r="186" spans="1:10" x14ac:dyDescent="0.2">
      <c r="A186" s="859">
        <f t="shared" si="2"/>
        <v>185</v>
      </c>
      <c r="B186" s="845" t="s">
        <v>2552</v>
      </c>
      <c r="D186" s="862"/>
      <c r="H186" s="845" t="s">
        <v>1007</v>
      </c>
    </row>
    <row r="187" spans="1:10" x14ac:dyDescent="0.2">
      <c r="A187" s="859">
        <f t="shared" si="2"/>
        <v>186</v>
      </c>
      <c r="B187" s="845" t="s">
        <v>2552</v>
      </c>
      <c r="D187" s="861"/>
      <c r="I187" s="845" t="s">
        <v>1008</v>
      </c>
    </row>
    <row r="188" spans="1:10" x14ac:dyDescent="0.2">
      <c r="A188" s="859">
        <f t="shared" si="2"/>
        <v>187</v>
      </c>
      <c r="B188" s="845" t="s">
        <v>2552</v>
      </c>
      <c r="D188" s="861"/>
      <c r="J188" s="845" t="s">
        <v>1051</v>
      </c>
    </row>
    <row r="189" spans="1:10" x14ac:dyDescent="0.2">
      <c r="A189" s="859">
        <f t="shared" si="2"/>
        <v>188</v>
      </c>
      <c r="B189" s="845" t="s">
        <v>2552</v>
      </c>
      <c r="D189" s="862"/>
      <c r="I189" s="845" t="s">
        <v>1009</v>
      </c>
    </row>
    <row r="190" spans="1:10" x14ac:dyDescent="0.2">
      <c r="A190" s="859">
        <f t="shared" si="2"/>
        <v>189</v>
      </c>
      <c r="B190" s="845" t="s">
        <v>2552</v>
      </c>
      <c r="D190" s="863"/>
      <c r="I190" s="845" t="str">
        <f>CONCATENATE("&lt;valeur&gt;",Cellule_284,"&lt;/valeur&gt;")</f>
        <v>&lt;valeur&gt;0&lt;/valeur&gt;</v>
      </c>
    </row>
    <row r="191" spans="1:10" x14ac:dyDescent="0.2">
      <c r="A191" s="859">
        <f t="shared" si="2"/>
        <v>190</v>
      </c>
      <c r="B191" s="845" t="s">
        <v>2552</v>
      </c>
      <c r="D191" s="862"/>
      <c r="H191" s="845" t="s">
        <v>1010</v>
      </c>
    </row>
    <row r="192" spans="1:10" x14ac:dyDescent="0.2">
      <c r="A192" s="859">
        <f t="shared" si="2"/>
        <v>191</v>
      </c>
      <c r="B192" s="845" t="s">
        <v>2552</v>
      </c>
      <c r="D192" s="862"/>
      <c r="H192" s="845" t="s">
        <v>1007</v>
      </c>
    </row>
    <row r="193" spans="1:10" x14ac:dyDescent="0.2">
      <c r="A193" s="859">
        <f t="shared" si="2"/>
        <v>192</v>
      </c>
      <c r="B193" s="845" t="s">
        <v>2552</v>
      </c>
      <c r="D193" s="861"/>
      <c r="I193" s="845" t="s">
        <v>1008</v>
      </c>
    </row>
    <row r="194" spans="1:10" x14ac:dyDescent="0.2">
      <c r="A194" s="859">
        <f t="shared" si="2"/>
        <v>193</v>
      </c>
      <c r="B194" s="845" t="s">
        <v>2552</v>
      </c>
      <c r="D194" s="861"/>
      <c r="J194" s="845" t="s">
        <v>1052</v>
      </c>
    </row>
    <row r="195" spans="1:10" x14ac:dyDescent="0.2">
      <c r="A195" s="859">
        <f t="shared" si="2"/>
        <v>194</v>
      </c>
      <c r="B195" s="845" t="s">
        <v>2552</v>
      </c>
      <c r="D195" s="862"/>
      <c r="I195" s="845" t="s">
        <v>1009</v>
      </c>
    </row>
    <row r="196" spans="1:10" x14ac:dyDescent="0.2">
      <c r="A196" s="859">
        <f t="shared" ref="A196:A259" si="3">+A195+1</f>
        <v>195</v>
      </c>
      <c r="B196" s="845" t="s">
        <v>2552</v>
      </c>
      <c r="D196" s="863"/>
      <c r="I196" s="845" t="str">
        <f>CONCATENATE("&lt;valeur&gt;",Cellule_285,"&lt;/valeur&gt;")</f>
        <v>&lt;valeur&gt;0&lt;/valeur&gt;</v>
      </c>
    </row>
    <row r="197" spans="1:10" x14ac:dyDescent="0.2">
      <c r="A197" s="859">
        <f t="shared" si="3"/>
        <v>196</v>
      </c>
      <c r="B197" s="845" t="s">
        <v>2552</v>
      </c>
      <c r="D197" s="862"/>
      <c r="H197" s="845" t="s">
        <v>1010</v>
      </c>
    </row>
    <row r="198" spans="1:10" x14ac:dyDescent="0.2">
      <c r="A198" s="859">
        <f t="shared" si="3"/>
        <v>197</v>
      </c>
      <c r="B198" s="845" t="s">
        <v>2552</v>
      </c>
      <c r="D198" s="862"/>
      <c r="H198" s="845" t="s">
        <v>1007</v>
      </c>
    </row>
    <row r="199" spans="1:10" x14ac:dyDescent="0.2">
      <c r="A199" s="859">
        <f t="shared" si="3"/>
        <v>198</v>
      </c>
      <c r="B199" s="845" t="s">
        <v>2552</v>
      </c>
      <c r="D199" s="861"/>
      <c r="I199" s="845" t="s">
        <v>1008</v>
      </c>
    </row>
    <row r="200" spans="1:10" x14ac:dyDescent="0.2">
      <c r="A200" s="859">
        <f t="shared" si="3"/>
        <v>199</v>
      </c>
      <c r="B200" s="845" t="s">
        <v>2552</v>
      </c>
      <c r="D200" s="861"/>
      <c r="J200" s="845" t="s">
        <v>1053</v>
      </c>
    </row>
    <row r="201" spans="1:10" x14ac:dyDescent="0.2">
      <c r="A201" s="859">
        <f t="shared" si="3"/>
        <v>200</v>
      </c>
      <c r="B201" s="845" t="s">
        <v>2552</v>
      </c>
      <c r="D201" s="862"/>
      <c r="I201" s="845" t="s">
        <v>1009</v>
      </c>
    </row>
    <row r="202" spans="1:10" x14ac:dyDescent="0.2">
      <c r="A202" s="859">
        <f t="shared" si="3"/>
        <v>201</v>
      </c>
      <c r="B202" s="845" t="s">
        <v>2552</v>
      </c>
      <c r="D202" s="863"/>
      <c r="I202" s="845" t="str">
        <f>CONCATENATE("&lt;valeur&gt;",Cellule_504,"&lt;/valeur&gt;")</f>
        <v>&lt;valeur&gt;0&lt;/valeur&gt;</v>
      </c>
    </row>
    <row r="203" spans="1:10" x14ac:dyDescent="0.2">
      <c r="A203" s="859">
        <f t="shared" si="3"/>
        <v>202</v>
      </c>
      <c r="B203" s="845" t="s">
        <v>2552</v>
      </c>
      <c r="D203" s="862"/>
      <c r="H203" s="845" t="s">
        <v>1010</v>
      </c>
    </row>
    <row r="204" spans="1:10" x14ac:dyDescent="0.2">
      <c r="A204" s="859">
        <f t="shared" si="3"/>
        <v>203</v>
      </c>
      <c r="B204" s="845" t="s">
        <v>2552</v>
      </c>
      <c r="D204" s="862"/>
      <c r="H204" s="845" t="s">
        <v>1007</v>
      </c>
    </row>
    <row r="205" spans="1:10" x14ac:dyDescent="0.2">
      <c r="A205" s="859">
        <f t="shared" si="3"/>
        <v>204</v>
      </c>
      <c r="B205" s="845" t="s">
        <v>2552</v>
      </c>
      <c r="D205" s="861"/>
      <c r="I205" s="845" t="s">
        <v>1008</v>
      </c>
    </row>
    <row r="206" spans="1:10" x14ac:dyDescent="0.2">
      <c r="A206" s="859">
        <f t="shared" si="3"/>
        <v>205</v>
      </c>
      <c r="B206" s="845" t="s">
        <v>2552</v>
      </c>
      <c r="D206" s="861"/>
      <c r="J206" s="845" t="s">
        <v>1054</v>
      </c>
    </row>
    <row r="207" spans="1:10" x14ac:dyDescent="0.2">
      <c r="A207" s="859">
        <f t="shared" si="3"/>
        <v>206</v>
      </c>
      <c r="B207" s="845" t="s">
        <v>2552</v>
      </c>
      <c r="D207" s="862"/>
      <c r="I207" s="845" t="s">
        <v>1009</v>
      </c>
    </row>
    <row r="208" spans="1:10" x14ac:dyDescent="0.2">
      <c r="A208" s="859">
        <f t="shared" si="3"/>
        <v>207</v>
      </c>
      <c r="B208" s="845" t="s">
        <v>2552</v>
      </c>
      <c r="D208" s="863"/>
      <c r="I208" s="845" t="str">
        <f>CONCATENATE("&lt;valeur&gt;",Cellule_286,"&lt;/valeur&gt;")</f>
        <v>&lt;valeur&gt;0&lt;/valeur&gt;</v>
      </c>
    </row>
    <row r="209" spans="1:10" x14ac:dyDescent="0.2">
      <c r="A209" s="859">
        <f t="shared" si="3"/>
        <v>208</v>
      </c>
      <c r="B209" s="845" t="s">
        <v>2552</v>
      </c>
      <c r="D209" s="862"/>
      <c r="H209" s="845" t="s">
        <v>1010</v>
      </c>
    </row>
    <row r="210" spans="1:10" x14ac:dyDescent="0.2">
      <c r="A210" s="859">
        <f t="shared" si="3"/>
        <v>209</v>
      </c>
      <c r="B210" s="845" t="s">
        <v>2552</v>
      </c>
      <c r="D210" s="862"/>
      <c r="H210" s="845" t="s">
        <v>1007</v>
      </c>
    </row>
    <row r="211" spans="1:10" x14ac:dyDescent="0.2">
      <c r="A211" s="859">
        <f t="shared" si="3"/>
        <v>210</v>
      </c>
      <c r="B211" s="845" t="s">
        <v>2552</v>
      </c>
      <c r="D211" s="861"/>
      <c r="I211" s="845" t="s">
        <v>1008</v>
      </c>
    </row>
    <row r="212" spans="1:10" x14ac:dyDescent="0.2">
      <c r="A212" s="859">
        <f t="shared" si="3"/>
        <v>211</v>
      </c>
      <c r="B212" s="845" t="s">
        <v>2552</v>
      </c>
      <c r="D212" s="861"/>
      <c r="J212" s="845" t="s">
        <v>1055</v>
      </c>
    </row>
    <row r="213" spans="1:10" x14ac:dyDescent="0.2">
      <c r="A213" s="859">
        <f t="shared" si="3"/>
        <v>212</v>
      </c>
      <c r="B213" s="845" t="s">
        <v>2552</v>
      </c>
      <c r="D213" s="862"/>
      <c r="I213" s="845" t="s">
        <v>1009</v>
      </c>
    </row>
    <row r="214" spans="1:10" x14ac:dyDescent="0.2">
      <c r="A214" s="859">
        <f t="shared" si="3"/>
        <v>213</v>
      </c>
      <c r="B214" s="845" t="s">
        <v>2552</v>
      </c>
      <c r="D214" s="863"/>
      <c r="I214" s="845" t="str">
        <f>CONCATENATE("&lt;valeur&gt;",Cellule_287,"&lt;/valeur&gt;")</f>
        <v>&lt;valeur&gt;0&lt;/valeur&gt;</v>
      </c>
    </row>
    <row r="215" spans="1:10" x14ac:dyDescent="0.2">
      <c r="A215" s="859">
        <f t="shared" si="3"/>
        <v>214</v>
      </c>
      <c r="B215" s="845" t="s">
        <v>2552</v>
      </c>
      <c r="D215" s="862"/>
      <c r="H215" s="845" t="s">
        <v>1010</v>
      </c>
    </row>
    <row r="216" spans="1:10" x14ac:dyDescent="0.2">
      <c r="A216" s="859">
        <f t="shared" si="3"/>
        <v>215</v>
      </c>
      <c r="B216" s="845" t="s">
        <v>2552</v>
      </c>
      <c r="D216" s="862"/>
      <c r="H216" s="845" t="s">
        <v>1007</v>
      </c>
    </row>
    <row r="217" spans="1:10" x14ac:dyDescent="0.2">
      <c r="A217" s="859">
        <f t="shared" si="3"/>
        <v>216</v>
      </c>
      <c r="B217" s="845" t="s">
        <v>2552</v>
      </c>
      <c r="D217" s="861"/>
      <c r="I217" s="845" t="s">
        <v>1008</v>
      </c>
    </row>
    <row r="218" spans="1:10" x14ac:dyDescent="0.2">
      <c r="A218" s="859">
        <f t="shared" si="3"/>
        <v>217</v>
      </c>
      <c r="B218" s="845" t="s">
        <v>2552</v>
      </c>
      <c r="D218" s="861"/>
      <c r="J218" s="845" t="s">
        <v>1056</v>
      </c>
    </row>
    <row r="219" spans="1:10" x14ac:dyDescent="0.2">
      <c r="A219" s="859">
        <f t="shared" si="3"/>
        <v>218</v>
      </c>
      <c r="B219" s="845" t="s">
        <v>2552</v>
      </c>
      <c r="D219" s="862"/>
      <c r="I219" s="845" t="s">
        <v>1009</v>
      </c>
    </row>
    <row r="220" spans="1:10" x14ac:dyDescent="0.2">
      <c r="A220" s="859">
        <f t="shared" si="3"/>
        <v>219</v>
      </c>
      <c r="B220" s="845" t="s">
        <v>2552</v>
      </c>
      <c r="D220" s="863"/>
      <c r="I220" s="845" t="str">
        <f>CONCATENATE("&lt;valeur&gt;",Cellule_288,"&lt;/valeur&gt;")</f>
        <v>&lt;valeur&gt;0&lt;/valeur&gt;</v>
      </c>
    </row>
    <row r="221" spans="1:10" x14ac:dyDescent="0.2">
      <c r="A221" s="859">
        <f t="shared" si="3"/>
        <v>220</v>
      </c>
      <c r="B221" s="845" t="s">
        <v>2552</v>
      </c>
      <c r="D221" s="862"/>
      <c r="H221" s="845" t="s">
        <v>1010</v>
      </c>
    </row>
    <row r="222" spans="1:10" x14ac:dyDescent="0.2">
      <c r="A222" s="859">
        <f t="shared" si="3"/>
        <v>221</v>
      </c>
      <c r="B222" s="845" t="s">
        <v>2552</v>
      </c>
      <c r="D222" s="862"/>
      <c r="H222" s="845" t="s">
        <v>1007</v>
      </c>
    </row>
    <row r="223" spans="1:10" x14ac:dyDescent="0.2">
      <c r="A223" s="859">
        <f t="shared" si="3"/>
        <v>222</v>
      </c>
      <c r="B223" s="845" t="s">
        <v>2552</v>
      </c>
      <c r="D223" s="861"/>
      <c r="I223" s="845" t="s">
        <v>1008</v>
      </c>
    </row>
    <row r="224" spans="1:10" x14ac:dyDescent="0.2">
      <c r="A224" s="859">
        <f t="shared" si="3"/>
        <v>223</v>
      </c>
      <c r="B224" s="845" t="s">
        <v>2552</v>
      </c>
      <c r="D224" s="861"/>
      <c r="J224" s="845" t="s">
        <v>1057</v>
      </c>
    </row>
    <row r="225" spans="1:10" x14ac:dyDescent="0.2">
      <c r="A225" s="859">
        <f t="shared" si="3"/>
        <v>224</v>
      </c>
      <c r="B225" s="845" t="s">
        <v>2552</v>
      </c>
      <c r="D225" s="862"/>
      <c r="I225" s="845" t="s">
        <v>1009</v>
      </c>
    </row>
    <row r="226" spans="1:10" x14ac:dyDescent="0.2">
      <c r="A226" s="859">
        <f t="shared" si="3"/>
        <v>225</v>
      </c>
      <c r="B226" s="845" t="s">
        <v>2552</v>
      </c>
      <c r="D226" s="863"/>
      <c r="I226" s="845" t="str">
        <f>CONCATENATE("&lt;valeur&gt;",Cellule_289,"&lt;/valeur&gt;")</f>
        <v>&lt;valeur&gt;0&lt;/valeur&gt;</v>
      </c>
    </row>
    <row r="227" spans="1:10" x14ac:dyDescent="0.2">
      <c r="A227" s="859">
        <f t="shared" si="3"/>
        <v>226</v>
      </c>
      <c r="B227" s="845" t="s">
        <v>2552</v>
      </c>
      <c r="D227" s="862"/>
      <c r="H227" s="845" t="s">
        <v>1010</v>
      </c>
    </row>
    <row r="228" spans="1:10" x14ac:dyDescent="0.2">
      <c r="A228" s="859">
        <f t="shared" si="3"/>
        <v>227</v>
      </c>
      <c r="B228" s="845" t="s">
        <v>2552</v>
      </c>
      <c r="D228" s="862"/>
      <c r="H228" s="845" t="s">
        <v>1007</v>
      </c>
    </row>
    <row r="229" spans="1:10" x14ac:dyDescent="0.2">
      <c r="A229" s="859">
        <f t="shared" si="3"/>
        <v>228</v>
      </c>
      <c r="B229" s="845" t="s">
        <v>2552</v>
      </c>
      <c r="D229" s="861"/>
      <c r="I229" s="845" t="s">
        <v>1008</v>
      </c>
    </row>
    <row r="230" spans="1:10" x14ac:dyDescent="0.2">
      <c r="A230" s="859">
        <f t="shared" si="3"/>
        <v>229</v>
      </c>
      <c r="B230" s="845" t="s">
        <v>2552</v>
      </c>
      <c r="D230" s="861"/>
      <c r="J230" s="845" t="s">
        <v>1058</v>
      </c>
    </row>
    <row r="231" spans="1:10" x14ac:dyDescent="0.2">
      <c r="A231" s="859">
        <f t="shared" si="3"/>
        <v>230</v>
      </c>
      <c r="B231" s="845" t="s">
        <v>2552</v>
      </c>
      <c r="D231" s="862"/>
      <c r="I231" s="845" t="s">
        <v>1009</v>
      </c>
    </row>
    <row r="232" spans="1:10" x14ac:dyDescent="0.2">
      <c r="A232" s="859">
        <f t="shared" si="3"/>
        <v>231</v>
      </c>
      <c r="B232" s="845" t="s">
        <v>2552</v>
      </c>
      <c r="D232" s="863"/>
      <c r="I232" s="845" t="str">
        <f>CONCATENATE("&lt;valeur&gt;",Cellule_505,"&lt;/valeur&gt;")</f>
        <v>&lt;valeur&gt;0&lt;/valeur&gt;</v>
      </c>
    </row>
    <row r="233" spans="1:10" x14ac:dyDescent="0.2">
      <c r="A233" s="859">
        <f t="shared" si="3"/>
        <v>232</v>
      </c>
      <c r="B233" s="845" t="s">
        <v>2552</v>
      </c>
      <c r="D233" s="862"/>
      <c r="H233" s="845" t="s">
        <v>1010</v>
      </c>
    </row>
    <row r="234" spans="1:10" x14ac:dyDescent="0.2">
      <c r="A234" s="859">
        <f t="shared" si="3"/>
        <v>233</v>
      </c>
      <c r="B234" s="845" t="s">
        <v>2552</v>
      </c>
      <c r="D234" s="862"/>
      <c r="H234" s="845" t="s">
        <v>1007</v>
      </c>
    </row>
    <row r="235" spans="1:10" x14ac:dyDescent="0.2">
      <c r="A235" s="859">
        <f t="shared" si="3"/>
        <v>234</v>
      </c>
      <c r="B235" s="845" t="s">
        <v>2552</v>
      </c>
      <c r="D235" s="861"/>
      <c r="I235" s="845" t="s">
        <v>1008</v>
      </c>
    </row>
    <row r="236" spans="1:10" x14ac:dyDescent="0.2">
      <c r="A236" s="859">
        <f t="shared" si="3"/>
        <v>235</v>
      </c>
      <c r="B236" s="845" t="s">
        <v>2552</v>
      </c>
      <c r="D236" s="861"/>
      <c r="J236" s="845" t="s">
        <v>1059</v>
      </c>
    </row>
    <row r="237" spans="1:10" x14ac:dyDescent="0.2">
      <c r="A237" s="859">
        <f t="shared" si="3"/>
        <v>236</v>
      </c>
      <c r="B237" s="845" t="s">
        <v>2552</v>
      </c>
      <c r="D237" s="862"/>
      <c r="I237" s="845" t="s">
        <v>1009</v>
      </c>
    </row>
    <row r="238" spans="1:10" x14ac:dyDescent="0.2">
      <c r="A238" s="859">
        <f t="shared" si="3"/>
        <v>237</v>
      </c>
      <c r="B238" s="845" t="s">
        <v>2552</v>
      </c>
      <c r="D238" s="863"/>
      <c r="I238" s="845" t="str">
        <f>CONCATENATE("&lt;valeur&gt;",Cellule_207,"&lt;/valeur&gt;")</f>
        <v>&lt;valeur&gt;0&lt;/valeur&gt;</v>
      </c>
    </row>
    <row r="239" spans="1:10" x14ac:dyDescent="0.2">
      <c r="A239" s="859">
        <f t="shared" si="3"/>
        <v>238</v>
      </c>
      <c r="B239" s="845" t="s">
        <v>2552</v>
      </c>
      <c r="D239" s="862"/>
      <c r="H239" s="845" t="s">
        <v>1010</v>
      </c>
    </row>
    <row r="240" spans="1:10" x14ac:dyDescent="0.2">
      <c r="A240" s="859">
        <f t="shared" si="3"/>
        <v>239</v>
      </c>
      <c r="B240" s="845" t="s">
        <v>2552</v>
      </c>
      <c r="D240" s="862"/>
      <c r="H240" s="845" t="s">
        <v>1007</v>
      </c>
    </row>
    <row r="241" spans="1:10" x14ac:dyDescent="0.2">
      <c r="A241" s="859">
        <f t="shared" si="3"/>
        <v>240</v>
      </c>
      <c r="B241" s="845" t="s">
        <v>2552</v>
      </c>
      <c r="D241" s="861"/>
      <c r="I241" s="845" t="s">
        <v>1008</v>
      </c>
    </row>
    <row r="242" spans="1:10" x14ac:dyDescent="0.2">
      <c r="A242" s="859">
        <f t="shared" si="3"/>
        <v>241</v>
      </c>
      <c r="B242" s="845" t="s">
        <v>2552</v>
      </c>
      <c r="D242" s="861"/>
      <c r="J242" s="845" t="s">
        <v>1060</v>
      </c>
    </row>
    <row r="243" spans="1:10" x14ac:dyDescent="0.2">
      <c r="A243" s="859">
        <f t="shared" si="3"/>
        <v>242</v>
      </c>
      <c r="B243" s="845" t="s">
        <v>2552</v>
      </c>
      <c r="D243" s="862"/>
      <c r="I243" s="845" t="s">
        <v>1009</v>
      </c>
    </row>
    <row r="244" spans="1:10" x14ac:dyDescent="0.2">
      <c r="A244" s="859">
        <f t="shared" si="3"/>
        <v>243</v>
      </c>
      <c r="B244" s="845" t="s">
        <v>2552</v>
      </c>
      <c r="D244" s="863"/>
      <c r="I244" s="845" t="str">
        <f>CONCATENATE("&lt;valeur&gt;",Cellule_208,"&lt;/valeur&gt;")</f>
        <v>&lt;valeur&gt;0&lt;/valeur&gt;</v>
      </c>
    </row>
    <row r="245" spans="1:10" x14ac:dyDescent="0.2">
      <c r="A245" s="859">
        <f t="shared" si="3"/>
        <v>244</v>
      </c>
      <c r="B245" s="845" t="s">
        <v>2552</v>
      </c>
      <c r="D245" s="862"/>
      <c r="H245" s="845" t="s">
        <v>1010</v>
      </c>
    </row>
    <row r="246" spans="1:10" x14ac:dyDescent="0.2">
      <c r="A246" s="859">
        <f t="shared" si="3"/>
        <v>245</v>
      </c>
      <c r="B246" s="845" t="s">
        <v>2552</v>
      </c>
      <c r="D246" s="862"/>
      <c r="H246" s="845" t="s">
        <v>1007</v>
      </c>
    </row>
    <row r="247" spans="1:10" x14ac:dyDescent="0.2">
      <c r="A247" s="859">
        <f t="shared" si="3"/>
        <v>246</v>
      </c>
      <c r="B247" s="845" t="s">
        <v>2552</v>
      </c>
      <c r="D247" s="861"/>
      <c r="I247" s="845" t="s">
        <v>1008</v>
      </c>
    </row>
    <row r="248" spans="1:10" x14ac:dyDescent="0.2">
      <c r="A248" s="859">
        <f t="shared" si="3"/>
        <v>247</v>
      </c>
      <c r="B248" s="845" t="s">
        <v>2552</v>
      </c>
      <c r="D248" s="861"/>
      <c r="J248" s="845" t="s">
        <v>1061</v>
      </c>
    </row>
    <row r="249" spans="1:10" x14ac:dyDescent="0.2">
      <c r="A249" s="859">
        <f t="shared" si="3"/>
        <v>248</v>
      </c>
      <c r="B249" s="845" t="s">
        <v>2552</v>
      </c>
      <c r="D249" s="862"/>
      <c r="I249" s="845" t="s">
        <v>1009</v>
      </c>
    </row>
    <row r="250" spans="1:10" x14ac:dyDescent="0.2">
      <c r="A250" s="859">
        <f t="shared" si="3"/>
        <v>249</v>
      </c>
      <c r="B250" s="845" t="s">
        <v>2552</v>
      </c>
      <c r="D250" s="863"/>
      <c r="I250" s="845" t="str">
        <f>CONCATENATE("&lt;valeur&gt;",Cellule_209,"&lt;/valeur&gt;")</f>
        <v>&lt;valeur&gt;0&lt;/valeur&gt;</v>
      </c>
    </row>
    <row r="251" spans="1:10" x14ac:dyDescent="0.2">
      <c r="A251" s="859">
        <f t="shared" si="3"/>
        <v>250</v>
      </c>
      <c r="B251" s="845" t="s">
        <v>2552</v>
      </c>
      <c r="D251" s="862"/>
      <c r="H251" s="845" t="s">
        <v>1010</v>
      </c>
    </row>
    <row r="252" spans="1:10" x14ac:dyDescent="0.2">
      <c r="A252" s="859">
        <f t="shared" si="3"/>
        <v>251</v>
      </c>
      <c r="B252" s="845" t="s">
        <v>2552</v>
      </c>
      <c r="D252" s="862"/>
      <c r="H252" s="845" t="s">
        <v>1007</v>
      </c>
    </row>
    <row r="253" spans="1:10" x14ac:dyDescent="0.2">
      <c r="A253" s="859">
        <f t="shared" si="3"/>
        <v>252</v>
      </c>
      <c r="B253" s="845" t="s">
        <v>2552</v>
      </c>
      <c r="D253" s="861"/>
      <c r="I253" s="845" t="s">
        <v>1008</v>
      </c>
    </row>
    <row r="254" spans="1:10" x14ac:dyDescent="0.2">
      <c r="A254" s="859">
        <f t="shared" si="3"/>
        <v>253</v>
      </c>
      <c r="B254" s="845" t="s">
        <v>2552</v>
      </c>
      <c r="D254" s="861"/>
      <c r="J254" s="845" t="s">
        <v>1062</v>
      </c>
    </row>
    <row r="255" spans="1:10" x14ac:dyDescent="0.2">
      <c r="A255" s="859">
        <f t="shared" si="3"/>
        <v>254</v>
      </c>
      <c r="B255" s="845" t="s">
        <v>2552</v>
      </c>
      <c r="D255" s="862"/>
      <c r="I255" s="845" t="s">
        <v>1009</v>
      </c>
    </row>
    <row r="256" spans="1:10" x14ac:dyDescent="0.2">
      <c r="A256" s="859">
        <f t="shared" si="3"/>
        <v>255</v>
      </c>
      <c r="B256" s="845" t="s">
        <v>2552</v>
      </c>
      <c r="D256" s="863"/>
      <c r="I256" s="845" t="str">
        <f>CONCATENATE("&lt;valeur&gt;",Cellule_210,"&lt;/valeur&gt;")</f>
        <v>&lt;valeur&gt;0&lt;/valeur&gt;</v>
      </c>
    </row>
    <row r="257" spans="1:10" x14ac:dyDescent="0.2">
      <c r="A257" s="859">
        <f t="shared" si="3"/>
        <v>256</v>
      </c>
      <c r="B257" s="845" t="s">
        <v>2552</v>
      </c>
      <c r="D257" s="862"/>
      <c r="H257" s="845" t="s">
        <v>1010</v>
      </c>
    </row>
    <row r="258" spans="1:10" x14ac:dyDescent="0.2">
      <c r="A258" s="859">
        <f t="shared" si="3"/>
        <v>257</v>
      </c>
      <c r="B258" s="845" t="s">
        <v>2552</v>
      </c>
      <c r="D258" s="862"/>
      <c r="H258" s="845" t="s">
        <v>1007</v>
      </c>
    </row>
    <row r="259" spans="1:10" x14ac:dyDescent="0.2">
      <c r="A259" s="859">
        <f t="shared" si="3"/>
        <v>258</v>
      </c>
      <c r="B259" s="845" t="s">
        <v>2552</v>
      </c>
      <c r="D259" s="861"/>
      <c r="I259" s="845" t="s">
        <v>1008</v>
      </c>
    </row>
    <row r="260" spans="1:10" x14ac:dyDescent="0.2">
      <c r="A260" s="859">
        <f t="shared" ref="A260:A323" si="4">+A259+1</f>
        <v>259</v>
      </c>
      <c r="B260" s="845" t="s">
        <v>2552</v>
      </c>
      <c r="D260" s="861"/>
      <c r="J260" s="845" t="s">
        <v>1063</v>
      </c>
    </row>
    <row r="261" spans="1:10" x14ac:dyDescent="0.2">
      <c r="A261" s="859">
        <f t="shared" si="4"/>
        <v>260</v>
      </c>
      <c r="B261" s="845" t="s">
        <v>2552</v>
      </c>
      <c r="D261" s="862"/>
      <c r="I261" s="845" t="s">
        <v>1009</v>
      </c>
    </row>
    <row r="262" spans="1:10" x14ac:dyDescent="0.2">
      <c r="A262" s="859">
        <f t="shared" si="4"/>
        <v>261</v>
      </c>
      <c r="B262" s="845" t="s">
        <v>2552</v>
      </c>
      <c r="D262" s="863"/>
      <c r="I262" s="845" t="str">
        <f>CONCATENATE("&lt;valeur&gt;",Cellule_211,"&lt;/valeur&gt;")</f>
        <v>&lt;valeur&gt;0&lt;/valeur&gt;</v>
      </c>
    </row>
    <row r="263" spans="1:10" x14ac:dyDescent="0.2">
      <c r="A263" s="859">
        <f t="shared" si="4"/>
        <v>262</v>
      </c>
      <c r="B263" s="845" t="s">
        <v>2552</v>
      </c>
      <c r="D263" s="862"/>
      <c r="H263" s="845" t="s">
        <v>1010</v>
      </c>
    </row>
    <row r="264" spans="1:10" x14ac:dyDescent="0.2">
      <c r="A264" s="859">
        <f t="shared" si="4"/>
        <v>263</v>
      </c>
      <c r="B264" s="845" t="s">
        <v>2552</v>
      </c>
      <c r="D264" s="862"/>
      <c r="H264" s="845" t="s">
        <v>1007</v>
      </c>
    </row>
    <row r="265" spans="1:10" x14ac:dyDescent="0.2">
      <c r="A265" s="859">
        <f t="shared" si="4"/>
        <v>264</v>
      </c>
      <c r="B265" s="845" t="s">
        <v>2552</v>
      </c>
      <c r="D265" s="861"/>
      <c r="I265" s="845" t="s">
        <v>1008</v>
      </c>
    </row>
    <row r="266" spans="1:10" x14ac:dyDescent="0.2">
      <c r="A266" s="859">
        <f t="shared" si="4"/>
        <v>265</v>
      </c>
      <c r="B266" s="845" t="s">
        <v>2552</v>
      </c>
      <c r="D266" s="861"/>
      <c r="J266" s="845" t="s">
        <v>1064</v>
      </c>
    </row>
    <row r="267" spans="1:10" x14ac:dyDescent="0.2">
      <c r="A267" s="859">
        <f t="shared" si="4"/>
        <v>266</v>
      </c>
      <c r="B267" s="845" t="s">
        <v>2552</v>
      </c>
      <c r="D267" s="862"/>
      <c r="I267" s="845" t="s">
        <v>1009</v>
      </c>
    </row>
    <row r="268" spans="1:10" x14ac:dyDescent="0.2">
      <c r="A268" s="859">
        <f t="shared" si="4"/>
        <v>267</v>
      </c>
      <c r="B268" s="845" t="s">
        <v>2552</v>
      </c>
      <c r="D268" s="863"/>
      <c r="I268" s="845" t="str">
        <f>CONCATENATE("&lt;valeur&gt;",Cellule_212,"&lt;/valeur&gt;")</f>
        <v>&lt;valeur&gt;0&lt;/valeur&gt;</v>
      </c>
    </row>
    <row r="269" spans="1:10" x14ac:dyDescent="0.2">
      <c r="A269" s="859">
        <f t="shared" si="4"/>
        <v>268</v>
      </c>
      <c r="B269" s="845" t="s">
        <v>2552</v>
      </c>
      <c r="D269" s="862"/>
      <c r="H269" s="845" t="s">
        <v>1010</v>
      </c>
    </row>
    <row r="270" spans="1:10" x14ac:dyDescent="0.2">
      <c r="A270" s="859">
        <f t="shared" si="4"/>
        <v>269</v>
      </c>
      <c r="B270" s="845" t="s">
        <v>2552</v>
      </c>
      <c r="D270" s="862"/>
      <c r="H270" s="845" t="s">
        <v>1007</v>
      </c>
    </row>
    <row r="271" spans="1:10" x14ac:dyDescent="0.2">
      <c r="A271" s="859">
        <f t="shared" si="4"/>
        <v>270</v>
      </c>
      <c r="B271" s="845" t="s">
        <v>2552</v>
      </c>
      <c r="D271" s="861"/>
      <c r="I271" s="845" t="s">
        <v>1008</v>
      </c>
    </row>
    <row r="272" spans="1:10" x14ac:dyDescent="0.2">
      <c r="A272" s="859">
        <f t="shared" si="4"/>
        <v>271</v>
      </c>
      <c r="B272" s="845" t="s">
        <v>2552</v>
      </c>
      <c r="D272" s="861"/>
      <c r="J272" s="845" t="s">
        <v>1065</v>
      </c>
    </row>
    <row r="273" spans="1:10" x14ac:dyDescent="0.2">
      <c r="A273" s="859">
        <f t="shared" si="4"/>
        <v>272</v>
      </c>
      <c r="B273" s="845" t="s">
        <v>2552</v>
      </c>
      <c r="D273" s="862"/>
      <c r="I273" s="845" t="s">
        <v>1009</v>
      </c>
    </row>
    <row r="274" spans="1:10" x14ac:dyDescent="0.2">
      <c r="A274" s="859">
        <f t="shared" si="4"/>
        <v>273</v>
      </c>
      <c r="B274" s="845" t="s">
        <v>2552</v>
      </c>
      <c r="D274" s="863"/>
      <c r="I274" s="845" t="str">
        <f>CONCATENATE("&lt;valeur&gt;",Cellule_213,"&lt;/valeur&gt;")</f>
        <v>&lt;valeur&gt;0&lt;/valeur&gt;</v>
      </c>
    </row>
    <row r="275" spans="1:10" x14ac:dyDescent="0.2">
      <c r="A275" s="859">
        <f t="shared" si="4"/>
        <v>274</v>
      </c>
      <c r="B275" s="845" t="s">
        <v>2552</v>
      </c>
      <c r="D275" s="862"/>
      <c r="H275" s="845" t="s">
        <v>1010</v>
      </c>
    </row>
    <row r="276" spans="1:10" x14ac:dyDescent="0.2">
      <c r="A276" s="859">
        <f t="shared" si="4"/>
        <v>275</v>
      </c>
      <c r="B276" s="845" t="s">
        <v>2552</v>
      </c>
      <c r="D276" s="862"/>
      <c r="H276" s="845" t="s">
        <v>1007</v>
      </c>
    </row>
    <row r="277" spans="1:10" x14ac:dyDescent="0.2">
      <c r="A277" s="859">
        <f t="shared" si="4"/>
        <v>276</v>
      </c>
      <c r="B277" s="845" t="s">
        <v>2552</v>
      </c>
      <c r="D277" s="861"/>
      <c r="I277" s="845" t="s">
        <v>1008</v>
      </c>
    </row>
    <row r="278" spans="1:10" x14ac:dyDescent="0.2">
      <c r="A278" s="859">
        <f t="shared" si="4"/>
        <v>277</v>
      </c>
      <c r="B278" s="845" t="s">
        <v>2552</v>
      </c>
      <c r="D278" s="861"/>
      <c r="J278" s="845" t="s">
        <v>1066</v>
      </c>
    </row>
    <row r="279" spans="1:10" x14ac:dyDescent="0.2">
      <c r="A279" s="859">
        <f t="shared" si="4"/>
        <v>278</v>
      </c>
      <c r="B279" s="845" t="s">
        <v>2552</v>
      </c>
      <c r="D279" s="862"/>
      <c r="I279" s="845" t="s">
        <v>1009</v>
      </c>
    </row>
    <row r="280" spans="1:10" x14ac:dyDescent="0.2">
      <c r="A280" s="859">
        <f t="shared" si="4"/>
        <v>279</v>
      </c>
      <c r="B280" s="845" t="s">
        <v>2552</v>
      </c>
      <c r="D280" s="863"/>
      <c r="I280" s="845" t="str">
        <f>CONCATENATE("&lt;valeur&gt;",Cellule_507,"&lt;/valeur&gt;")</f>
        <v>&lt;valeur&gt;0&lt;/valeur&gt;</v>
      </c>
    </row>
    <row r="281" spans="1:10" x14ac:dyDescent="0.2">
      <c r="A281" s="859">
        <f t="shared" si="4"/>
        <v>280</v>
      </c>
      <c r="B281" s="845" t="s">
        <v>2552</v>
      </c>
      <c r="D281" s="862"/>
      <c r="H281" s="845" t="s">
        <v>1010</v>
      </c>
    </row>
    <row r="282" spans="1:10" x14ac:dyDescent="0.2">
      <c r="A282" s="859">
        <f t="shared" si="4"/>
        <v>281</v>
      </c>
      <c r="B282" s="845" t="s">
        <v>2552</v>
      </c>
      <c r="D282" s="862"/>
      <c r="H282" s="845" t="s">
        <v>1007</v>
      </c>
    </row>
    <row r="283" spans="1:10" x14ac:dyDescent="0.2">
      <c r="A283" s="859">
        <f t="shared" si="4"/>
        <v>282</v>
      </c>
      <c r="B283" s="845" t="s">
        <v>2552</v>
      </c>
      <c r="D283" s="861"/>
      <c r="I283" s="845" t="s">
        <v>1008</v>
      </c>
    </row>
    <row r="284" spans="1:10" x14ac:dyDescent="0.2">
      <c r="A284" s="859">
        <f t="shared" si="4"/>
        <v>283</v>
      </c>
      <c r="B284" s="845" t="s">
        <v>2552</v>
      </c>
      <c r="D284" s="861"/>
      <c r="J284" s="845" t="s">
        <v>1067</v>
      </c>
    </row>
    <row r="285" spans="1:10" x14ac:dyDescent="0.2">
      <c r="A285" s="859">
        <f t="shared" si="4"/>
        <v>284</v>
      </c>
      <c r="B285" s="845" t="s">
        <v>2552</v>
      </c>
      <c r="D285" s="862"/>
      <c r="I285" s="845" t="s">
        <v>1009</v>
      </c>
    </row>
    <row r="286" spans="1:10" x14ac:dyDescent="0.2">
      <c r="A286" s="859">
        <f t="shared" si="4"/>
        <v>285</v>
      </c>
      <c r="B286" s="845" t="s">
        <v>2552</v>
      </c>
      <c r="D286" s="863"/>
      <c r="I286" s="845" t="str">
        <f>CONCATENATE("&lt;valeur&gt;",Cellule_214,"&lt;/valeur&gt;")</f>
        <v>&lt;valeur&gt;0&lt;/valeur&gt;</v>
      </c>
    </row>
    <row r="287" spans="1:10" x14ac:dyDescent="0.2">
      <c r="A287" s="859">
        <f t="shared" si="4"/>
        <v>286</v>
      </c>
      <c r="B287" s="845" t="s">
        <v>2552</v>
      </c>
      <c r="D287" s="862"/>
      <c r="H287" s="845" t="s">
        <v>1010</v>
      </c>
    </row>
    <row r="288" spans="1:10" x14ac:dyDescent="0.2">
      <c r="A288" s="859">
        <f t="shared" si="4"/>
        <v>287</v>
      </c>
      <c r="B288" s="845" t="s">
        <v>2552</v>
      </c>
      <c r="D288" s="862"/>
      <c r="H288" s="845" t="s">
        <v>1007</v>
      </c>
    </row>
    <row r="289" spans="1:10" x14ac:dyDescent="0.2">
      <c r="A289" s="859">
        <f t="shared" si="4"/>
        <v>288</v>
      </c>
      <c r="B289" s="845" t="s">
        <v>2552</v>
      </c>
      <c r="D289" s="861"/>
      <c r="I289" s="845" t="s">
        <v>1008</v>
      </c>
    </row>
    <row r="290" spans="1:10" x14ac:dyDescent="0.2">
      <c r="A290" s="859">
        <f t="shared" si="4"/>
        <v>289</v>
      </c>
      <c r="B290" s="845" t="s">
        <v>2552</v>
      </c>
      <c r="D290" s="861"/>
      <c r="J290" s="845" t="s">
        <v>1068</v>
      </c>
    </row>
    <row r="291" spans="1:10" x14ac:dyDescent="0.2">
      <c r="A291" s="859">
        <f t="shared" si="4"/>
        <v>290</v>
      </c>
      <c r="B291" s="845" t="s">
        <v>2552</v>
      </c>
      <c r="D291" s="862"/>
      <c r="I291" s="845" t="s">
        <v>1009</v>
      </c>
    </row>
    <row r="292" spans="1:10" x14ac:dyDescent="0.2">
      <c r="A292" s="859">
        <f t="shared" si="4"/>
        <v>291</v>
      </c>
      <c r="B292" s="845" t="s">
        <v>2552</v>
      </c>
      <c r="D292" s="863"/>
      <c r="I292" s="845" t="str">
        <f>CONCATENATE("&lt;valeur&gt;",Cellule_215,"&lt;/valeur&gt;")</f>
        <v>&lt;valeur&gt;0&lt;/valeur&gt;</v>
      </c>
    </row>
    <row r="293" spans="1:10" x14ac:dyDescent="0.2">
      <c r="A293" s="859">
        <f t="shared" si="4"/>
        <v>292</v>
      </c>
      <c r="B293" s="845" t="s">
        <v>2552</v>
      </c>
      <c r="D293" s="862"/>
      <c r="H293" s="845" t="s">
        <v>1010</v>
      </c>
    </row>
    <row r="294" spans="1:10" x14ac:dyDescent="0.2">
      <c r="A294" s="859">
        <f t="shared" si="4"/>
        <v>293</v>
      </c>
      <c r="B294" s="845" t="s">
        <v>2552</v>
      </c>
      <c r="D294" s="862"/>
      <c r="H294" s="845" t="s">
        <v>1007</v>
      </c>
    </row>
    <row r="295" spans="1:10" x14ac:dyDescent="0.2">
      <c r="A295" s="859">
        <f t="shared" si="4"/>
        <v>294</v>
      </c>
      <c r="B295" s="845" t="s">
        <v>2552</v>
      </c>
      <c r="D295" s="861"/>
      <c r="I295" s="845" t="s">
        <v>1008</v>
      </c>
    </row>
    <row r="296" spans="1:10" x14ac:dyDescent="0.2">
      <c r="A296" s="859">
        <f t="shared" si="4"/>
        <v>295</v>
      </c>
      <c r="B296" s="845" t="s">
        <v>2552</v>
      </c>
      <c r="D296" s="861"/>
      <c r="J296" s="845" t="s">
        <v>1069</v>
      </c>
    </row>
    <row r="297" spans="1:10" x14ac:dyDescent="0.2">
      <c r="A297" s="859">
        <f t="shared" si="4"/>
        <v>296</v>
      </c>
      <c r="B297" s="845" t="s">
        <v>2552</v>
      </c>
      <c r="D297" s="862"/>
      <c r="I297" s="845" t="s">
        <v>1009</v>
      </c>
    </row>
    <row r="298" spans="1:10" x14ac:dyDescent="0.2">
      <c r="A298" s="859">
        <f t="shared" si="4"/>
        <v>297</v>
      </c>
      <c r="B298" s="845" t="s">
        <v>2552</v>
      </c>
      <c r="D298" s="863"/>
      <c r="I298" s="845" t="str">
        <f>CONCATENATE("&lt;valeur&gt;",Cellule_216,"&lt;/valeur&gt;")</f>
        <v>&lt;valeur&gt;0&lt;/valeur&gt;</v>
      </c>
    </row>
    <row r="299" spans="1:10" x14ac:dyDescent="0.2">
      <c r="A299" s="859">
        <f t="shared" si="4"/>
        <v>298</v>
      </c>
      <c r="B299" s="845" t="s">
        <v>2552</v>
      </c>
      <c r="D299" s="862"/>
      <c r="H299" s="845" t="s">
        <v>1010</v>
      </c>
    </row>
    <row r="300" spans="1:10" x14ac:dyDescent="0.2">
      <c r="A300" s="859">
        <f t="shared" si="4"/>
        <v>299</v>
      </c>
      <c r="B300" s="845" t="s">
        <v>2552</v>
      </c>
      <c r="D300" s="862"/>
      <c r="H300" s="845" t="s">
        <v>1007</v>
      </c>
    </row>
    <row r="301" spans="1:10" x14ac:dyDescent="0.2">
      <c r="A301" s="859">
        <f t="shared" si="4"/>
        <v>300</v>
      </c>
      <c r="B301" s="845" t="s">
        <v>2552</v>
      </c>
      <c r="D301" s="861"/>
      <c r="I301" s="845" t="s">
        <v>1008</v>
      </c>
    </row>
    <row r="302" spans="1:10" x14ac:dyDescent="0.2">
      <c r="A302" s="859">
        <f t="shared" si="4"/>
        <v>301</v>
      </c>
      <c r="B302" s="845" t="s">
        <v>2552</v>
      </c>
      <c r="D302" s="861"/>
      <c r="J302" s="845" t="s">
        <v>1070</v>
      </c>
    </row>
    <row r="303" spans="1:10" x14ac:dyDescent="0.2">
      <c r="A303" s="859">
        <f t="shared" si="4"/>
        <v>302</v>
      </c>
      <c r="B303" s="845" t="s">
        <v>2552</v>
      </c>
      <c r="D303" s="862"/>
      <c r="I303" s="845" t="s">
        <v>1009</v>
      </c>
    </row>
    <row r="304" spans="1:10" x14ac:dyDescent="0.2">
      <c r="A304" s="859">
        <f t="shared" si="4"/>
        <v>303</v>
      </c>
      <c r="B304" s="845" t="s">
        <v>2552</v>
      </c>
      <c r="D304" s="863"/>
      <c r="I304" s="845" t="str">
        <f>CONCATENATE("&lt;valeur&gt;",Cellule_217,"&lt;/valeur&gt;")</f>
        <v>&lt;valeur&gt;0&lt;/valeur&gt;</v>
      </c>
    </row>
    <row r="305" spans="1:10" x14ac:dyDescent="0.2">
      <c r="A305" s="859">
        <f t="shared" si="4"/>
        <v>304</v>
      </c>
      <c r="B305" s="845" t="s">
        <v>2552</v>
      </c>
      <c r="D305" s="862"/>
      <c r="H305" s="845" t="s">
        <v>1010</v>
      </c>
    </row>
    <row r="306" spans="1:10" x14ac:dyDescent="0.2">
      <c r="A306" s="859">
        <f t="shared" si="4"/>
        <v>305</v>
      </c>
      <c r="B306" s="845" t="s">
        <v>2552</v>
      </c>
      <c r="D306" s="862"/>
      <c r="H306" s="845" t="s">
        <v>1007</v>
      </c>
    </row>
    <row r="307" spans="1:10" x14ac:dyDescent="0.2">
      <c r="A307" s="859">
        <f t="shared" si="4"/>
        <v>306</v>
      </c>
      <c r="B307" s="845" t="s">
        <v>2552</v>
      </c>
      <c r="D307" s="861"/>
      <c r="I307" s="845" t="s">
        <v>1008</v>
      </c>
    </row>
    <row r="308" spans="1:10" x14ac:dyDescent="0.2">
      <c r="A308" s="859">
        <f t="shared" si="4"/>
        <v>307</v>
      </c>
      <c r="B308" s="845" t="s">
        <v>2552</v>
      </c>
      <c r="D308" s="861"/>
      <c r="J308" s="845" t="s">
        <v>1071</v>
      </c>
    </row>
    <row r="309" spans="1:10" x14ac:dyDescent="0.2">
      <c r="A309" s="859">
        <f t="shared" si="4"/>
        <v>308</v>
      </c>
      <c r="B309" s="845" t="s">
        <v>2552</v>
      </c>
      <c r="D309" s="862"/>
      <c r="I309" s="845" t="s">
        <v>1009</v>
      </c>
    </row>
    <row r="310" spans="1:10" x14ac:dyDescent="0.2">
      <c r="A310" s="859">
        <f t="shared" si="4"/>
        <v>309</v>
      </c>
      <c r="B310" s="845" t="s">
        <v>2552</v>
      </c>
      <c r="D310" s="863"/>
      <c r="I310" s="845" t="str">
        <f>CONCATENATE("&lt;valeur&gt;",Cellule_218,"&lt;/valeur&gt;")</f>
        <v>&lt;valeur&gt;0&lt;/valeur&gt;</v>
      </c>
    </row>
    <row r="311" spans="1:10" x14ac:dyDescent="0.2">
      <c r="A311" s="859">
        <f t="shared" si="4"/>
        <v>310</v>
      </c>
      <c r="B311" s="845" t="s">
        <v>2552</v>
      </c>
      <c r="D311" s="862"/>
      <c r="H311" s="845" t="s">
        <v>1010</v>
      </c>
    </row>
    <row r="312" spans="1:10" x14ac:dyDescent="0.2">
      <c r="A312" s="859">
        <f t="shared" si="4"/>
        <v>311</v>
      </c>
      <c r="B312" s="845" t="s">
        <v>2552</v>
      </c>
      <c r="D312" s="862"/>
      <c r="H312" s="845" t="s">
        <v>1007</v>
      </c>
    </row>
    <row r="313" spans="1:10" x14ac:dyDescent="0.2">
      <c r="A313" s="859">
        <f t="shared" si="4"/>
        <v>312</v>
      </c>
      <c r="B313" s="845" t="s">
        <v>2552</v>
      </c>
      <c r="D313" s="861"/>
      <c r="I313" s="845" t="s">
        <v>1008</v>
      </c>
    </row>
    <row r="314" spans="1:10" x14ac:dyDescent="0.2">
      <c r="A314" s="859">
        <f t="shared" si="4"/>
        <v>313</v>
      </c>
      <c r="B314" s="845" t="s">
        <v>2552</v>
      </c>
      <c r="D314" s="861"/>
      <c r="J314" s="845" t="s">
        <v>1072</v>
      </c>
    </row>
    <row r="315" spans="1:10" x14ac:dyDescent="0.2">
      <c r="A315" s="859">
        <f t="shared" si="4"/>
        <v>314</v>
      </c>
      <c r="B315" s="845" t="s">
        <v>2552</v>
      </c>
      <c r="D315" s="862"/>
      <c r="I315" s="845" t="s">
        <v>1009</v>
      </c>
    </row>
    <row r="316" spans="1:10" x14ac:dyDescent="0.2">
      <c r="A316" s="859">
        <f t="shared" si="4"/>
        <v>315</v>
      </c>
      <c r="B316" s="845" t="s">
        <v>2552</v>
      </c>
      <c r="D316" s="863"/>
      <c r="I316" s="845" t="str">
        <f>CONCATENATE("&lt;valeur&gt;",Cellule_219,"&lt;/valeur&gt;")</f>
        <v>&lt;valeur&gt;0&lt;/valeur&gt;</v>
      </c>
    </row>
    <row r="317" spans="1:10" x14ac:dyDescent="0.2">
      <c r="A317" s="859">
        <f t="shared" si="4"/>
        <v>316</v>
      </c>
      <c r="B317" s="845" t="s">
        <v>2552</v>
      </c>
      <c r="D317" s="862"/>
      <c r="H317" s="845" t="s">
        <v>1010</v>
      </c>
    </row>
    <row r="318" spans="1:10" x14ac:dyDescent="0.2">
      <c r="A318" s="859">
        <f t="shared" si="4"/>
        <v>317</v>
      </c>
      <c r="B318" s="845" t="s">
        <v>2552</v>
      </c>
      <c r="D318" s="862"/>
      <c r="H318" s="845" t="s">
        <v>1007</v>
      </c>
    </row>
    <row r="319" spans="1:10" x14ac:dyDescent="0.2">
      <c r="A319" s="859">
        <f t="shared" si="4"/>
        <v>318</v>
      </c>
      <c r="B319" s="845" t="s">
        <v>2552</v>
      </c>
      <c r="D319" s="861"/>
      <c r="I319" s="845" t="s">
        <v>1008</v>
      </c>
    </row>
    <row r="320" spans="1:10" x14ac:dyDescent="0.2">
      <c r="A320" s="859">
        <f t="shared" si="4"/>
        <v>319</v>
      </c>
      <c r="B320" s="845" t="s">
        <v>2552</v>
      </c>
      <c r="D320" s="861"/>
      <c r="J320" s="845" t="s">
        <v>1073</v>
      </c>
    </row>
    <row r="321" spans="1:10" x14ac:dyDescent="0.2">
      <c r="A321" s="859">
        <f t="shared" si="4"/>
        <v>320</v>
      </c>
      <c r="B321" s="845" t="s">
        <v>2552</v>
      </c>
      <c r="D321" s="862"/>
      <c r="I321" s="845" t="s">
        <v>1009</v>
      </c>
    </row>
    <row r="322" spans="1:10" x14ac:dyDescent="0.2">
      <c r="A322" s="859">
        <f t="shared" si="4"/>
        <v>321</v>
      </c>
      <c r="B322" s="845" t="s">
        <v>2552</v>
      </c>
      <c r="D322" s="863"/>
      <c r="I322" s="845" t="str">
        <f>CONCATENATE("&lt;valeur&gt;",Cellule_220,"&lt;/valeur&gt;")</f>
        <v>&lt;valeur&gt;0&lt;/valeur&gt;</v>
      </c>
    </row>
    <row r="323" spans="1:10" x14ac:dyDescent="0.2">
      <c r="A323" s="859">
        <f t="shared" si="4"/>
        <v>322</v>
      </c>
      <c r="B323" s="845" t="s">
        <v>2552</v>
      </c>
      <c r="D323" s="862"/>
      <c r="H323" s="845" t="s">
        <v>1010</v>
      </c>
    </row>
    <row r="324" spans="1:10" x14ac:dyDescent="0.2">
      <c r="A324" s="859">
        <f t="shared" ref="A324:A387" si="5">+A323+1</f>
        <v>323</v>
      </c>
      <c r="B324" s="845" t="s">
        <v>2552</v>
      </c>
      <c r="D324" s="862"/>
      <c r="H324" s="845" t="s">
        <v>1007</v>
      </c>
    </row>
    <row r="325" spans="1:10" x14ac:dyDescent="0.2">
      <c r="A325" s="859">
        <f t="shared" si="5"/>
        <v>324</v>
      </c>
      <c r="B325" s="845" t="s">
        <v>2552</v>
      </c>
      <c r="D325" s="861"/>
      <c r="I325" s="845" t="s">
        <v>1008</v>
      </c>
    </row>
    <row r="326" spans="1:10" x14ac:dyDescent="0.2">
      <c r="A326" s="859">
        <f t="shared" si="5"/>
        <v>325</v>
      </c>
      <c r="B326" s="845" t="s">
        <v>2552</v>
      </c>
      <c r="D326" s="861"/>
      <c r="J326" s="845" t="s">
        <v>1074</v>
      </c>
    </row>
    <row r="327" spans="1:10" x14ac:dyDescent="0.2">
      <c r="A327" s="859">
        <f t="shared" si="5"/>
        <v>326</v>
      </c>
      <c r="B327" s="845" t="s">
        <v>2552</v>
      </c>
      <c r="D327" s="862"/>
      <c r="I327" s="845" t="s">
        <v>1009</v>
      </c>
    </row>
    <row r="328" spans="1:10" x14ac:dyDescent="0.2">
      <c r="A328" s="859">
        <f t="shared" si="5"/>
        <v>327</v>
      </c>
      <c r="B328" s="845" t="s">
        <v>2552</v>
      </c>
      <c r="D328" s="863"/>
      <c r="I328" s="845" t="str">
        <f>CONCATENATE("&lt;valeur&gt;",Cellule_508,"&lt;/valeur&gt;")</f>
        <v>&lt;valeur&gt;0&lt;/valeur&gt;</v>
      </c>
    </row>
    <row r="329" spans="1:10" x14ac:dyDescent="0.2">
      <c r="A329" s="859">
        <f t="shared" si="5"/>
        <v>328</v>
      </c>
      <c r="B329" s="845" t="s">
        <v>2552</v>
      </c>
      <c r="D329" s="862"/>
      <c r="H329" s="845" t="s">
        <v>1010</v>
      </c>
    </row>
    <row r="330" spans="1:10" x14ac:dyDescent="0.2">
      <c r="A330" s="859">
        <f t="shared" si="5"/>
        <v>329</v>
      </c>
      <c r="B330" s="845" t="s">
        <v>2552</v>
      </c>
      <c r="D330" s="862"/>
      <c r="H330" s="845" t="s">
        <v>1007</v>
      </c>
    </row>
    <row r="331" spans="1:10" x14ac:dyDescent="0.2">
      <c r="A331" s="859">
        <f t="shared" si="5"/>
        <v>330</v>
      </c>
      <c r="B331" s="845" t="s">
        <v>2552</v>
      </c>
      <c r="D331" s="861"/>
      <c r="I331" s="845" t="s">
        <v>1008</v>
      </c>
    </row>
    <row r="332" spans="1:10" x14ac:dyDescent="0.2">
      <c r="A332" s="859">
        <f t="shared" si="5"/>
        <v>331</v>
      </c>
      <c r="B332" s="845" t="s">
        <v>2552</v>
      </c>
      <c r="D332" s="861"/>
      <c r="J332" s="845" t="s">
        <v>1075</v>
      </c>
    </row>
    <row r="333" spans="1:10" x14ac:dyDescent="0.2">
      <c r="A333" s="859">
        <f t="shared" si="5"/>
        <v>332</v>
      </c>
      <c r="B333" s="845" t="s">
        <v>2552</v>
      </c>
      <c r="D333" s="862"/>
      <c r="I333" s="845" t="s">
        <v>1009</v>
      </c>
    </row>
    <row r="334" spans="1:10" x14ac:dyDescent="0.2">
      <c r="A334" s="859">
        <f t="shared" si="5"/>
        <v>333</v>
      </c>
      <c r="B334" s="845" t="s">
        <v>2552</v>
      </c>
      <c r="D334" s="863"/>
      <c r="I334" s="845" t="str">
        <f>CONCATENATE("&lt;valeur&gt;",Cellule_221,"&lt;/valeur&gt;")</f>
        <v>&lt;valeur&gt;0&lt;/valeur&gt;</v>
      </c>
    </row>
    <row r="335" spans="1:10" x14ac:dyDescent="0.2">
      <c r="A335" s="859">
        <f t="shared" si="5"/>
        <v>334</v>
      </c>
      <c r="B335" s="845" t="s">
        <v>2552</v>
      </c>
      <c r="D335" s="862"/>
      <c r="H335" s="845" t="s">
        <v>1010</v>
      </c>
    </row>
    <row r="336" spans="1:10" x14ac:dyDescent="0.2">
      <c r="A336" s="859">
        <f t="shared" si="5"/>
        <v>335</v>
      </c>
      <c r="B336" s="845" t="s">
        <v>2552</v>
      </c>
      <c r="D336" s="862"/>
      <c r="H336" s="845" t="s">
        <v>1007</v>
      </c>
    </row>
    <row r="337" spans="1:10" x14ac:dyDescent="0.2">
      <c r="A337" s="859">
        <f t="shared" si="5"/>
        <v>336</v>
      </c>
      <c r="B337" s="845" t="s">
        <v>2552</v>
      </c>
      <c r="D337" s="861"/>
      <c r="I337" s="845" t="s">
        <v>1008</v>
      </c>
    </row>
    <row r="338" spans="1:10" x14ac:dyDescent="0.2">
      <c r="A338" s="859">
        <f t="shared" si="5"/>
        <v>337</v>
      </c>
      <c r="B338" s="845" t="s">
        <v>2552</v>
      </c>
      <c r="D338" s="861"/>
      <c r="J338" s="845" t="s">
        <v>1076</v>
      </c>
    </row>
    <row r="339" spans="1:10" x14ac:dyDescent="0.2">
      <c r="A339" s="859">
        <f t="shared" si="5"/>
        <v>338</v>
      </c>
      <c r="B339" s="845" t="s">
        <v>2552</v>
      </c>
      <c r="D339" s="862"/>
      <c r="I339" s="845" t="s">
        <v>1009</v>
      </c>
    </row>
    <row r="340" spans="1:10" x14ac:dyDescent="0.2">
      <c r="A340" s="859">
        <f t="shared" si="5"/>
        <v>339</v>
      </c>
      <c r="B340" s="845" t="s">
        <v>2552</v>
      </c>
      <c r="D340" s="863"/>
      <c r="I340" s="845" t="str">
        <f>CONCATENATE("&lt;valeur&gt;",Cellule_222,"&lt;/valeur&gt;")</f>
        <v>&lt;valeur&gt;0&lt;/valeur&gt;</v>
      </c>
    </row>
    <row r="341" spans="1:10" x14ac:dyDescent="0.2">
      <c r="A341" s="859">
        <f t="shared" si="5"/>
        <v>340</v>
      </c>
      <c r="B341" s="845" t="s">
        <v>2552</v>
      </c>
      <c r="D341" s="862"/>
      <c r="H341" s="845" t="s">
        <v>1010</v>
      </c>
    </row>
    <row r="342" spans="1:10" x14ac:dyDescent="0.2">
      <c r="A342" s="859">
        <f t="shared" si="5"/>
        <v>341</v>
      </c>
      <c r="B342" s="845" t="s">
        <v>2552</v>
      </c>
      <c r="D342" s="862"/>
      <c r="H342" s="845" t="s">
        <v>1007</v>
      </c>
    </row>
    <row r="343" spans="1:10" x14ac:dyDescent="0.2">
      <c r="A343" s="859">
        <f t="shared" si="5"/>
        <v>342</v>
      </c>
      <c r="B343" s="845" t="s">
        <v>2552</v>
      </c>
      <c r="D343" s="861"/>
      <c r="I343" s="845" t="s">
        <v>1008</v>
      </c>
    </row>
    <row r="344" spans="1:10" x14ac:dyDescent="0.2">
      <c r="A344" s="859">
        <f t="shared" si="5"/>
        <v>343</v>
      </c>
      <c r="B344" s="845" t="s">
        <v>2552</v>
      </c>
      <c r="D344" s="861"/>
      <c r="J344" s="845" t="s">
        <v>1077</v>
      </c>
    </row>
    <row r="345" spans="1:10" x14ac:dyDescent="0.2">
      <c r="A345" s="859">
        <f t="shared" si="5"/>
        <v>344</v>
      </c>
      <c r="B345" s="845" t="s">
        <v>2552</v>
      </c>
      <c r="D345" s="862"/>
      <c r="I345" s="845" t="s">
        <v>1009</v>
      </c>
    </row>
    <row r="346" spans="1:10" x14ac:dyDescent="0.2">
      <c r="A346" s="859">
        <f t="shared" si="5"/>
        <v>345</v>
      </c>
      <c r="B346" s="845" t="s">
        <v>2552</v>
      </c>
      <c r="D346" s="863"/>
      <c r="I346" s="845" t="str">
        <f>CONCATENATE("&lt;valeur&gt;",Cellule_223,"&lt;/valeur&gt;")</f>
        <v>&lt;valeur&gt;0&lt;/valeur&gt;</v>
      </c>
    </row>
    <row r="347" spans="1:10" x14ac:dyDescent="0.2">
      <c r="A347" s="859">
        <f t="shared" si="5"/>
        <v>346</v>
      </c>
      <c r="B347" s="845" t="s">
        <v>2552</v>
      </c>
      <c r="D347" s="862"/>
      <c r="H347" s="845" t="s">
        <v>1010</v>
      </c>
    </row>
    <row r="348" spans="1:10" x14ac:dyDescent="0.2">
      <c r="A348" s="859">
        <f t="shared" si="5"/>
        <v>347</v>
      </c>
      <c r="B348" s="845" t="s">
        <v>2552</v>
      </c>
      <c r="D348" s="862"/>
      <c r="H348" s="845" t="s">
        <v>1007</v>
      </c>
    </row>
    <row r="349" spans="1:10" x14ac:dyDescent="0.2">
      <c r="A349" s="859">
        <f t="shared" si="5"/>
        <v>348</v>
      </c>
      <c r="B349" s="845" t="s">
        <v>2552</v>
      </c>
      <c r="D349" s="861"/>
      <c r="I349" s="845" t="s">
        <v>1008</v>
      </c>
    </row>
    <row r="350" spans="1:10" x14ac:dyDescent="0.2">
      <c r="A350" s="859">
        <f t="shared" si="5"/>
        <v>349</v>
      </c>
      <c r="B350" s="845" t="s">
        <v>2552</v>
      </c>
      <c r="D350" s="861"/>
      <c r="J350" s="845" t="s">
        <v>1078</v>
      </c>
    </row>
    <row r="351" spans="1:10" x14ac:dyDescent="0.2">
      <c r="A351" s="859">
        <f t="shared" si="5"/>
        <v>350</v>
      </c>
      <c r="B351" s="845" t="s">
        <v>2552</v>
      </c>
      <c r="D351" s="862"/>
      <c r="I351" s="845" t="s">
        <v>1009</v>
      </c>
    </row>
    <row r="352" spans="1:10" x14ac:dyDescent="0.2">
      <c r="A352" s="859">
        <f t="shared" si="5"/>
        <v>351</v>
      </c>
      <c r="B352" s="845" t="s">
        <v>2552</v>
      </c>
      <c r="D352" s="863"/>
      <c r="I352" s="845" t="str">
        <f>CONCATENATE("&lt;valeur&gt;",Cellule_224,"&lt;/valeur&gt;")</f>
        <v>&lt;valeur&gt;0&lt;/valeur&gt;</v>
      </c>
    </row>
    <row r="353" spans="1:10" x14ac:dyDescent="0.2">
      <c r="A353" s="859">
        <f t="shared" si="5"/>
        <v>352</v>
      </c>
      <c r="B353" s="845" t="s">
        <v>2552</v>
      </c>
      <c r="D353" s="862"/>
      <c r="H353" s="845" t="s">
        <v>1010</v>
      </c>
    </row>
    <row r="354" spans="1:10" x14ac:dyDescent="0.2">
      <c r="A354" s="859">
        <f t="shared" si="5"/>
        <v>353</v>
      </c>
      <c r="B354" s="845" t="s">
        <v>2552</v>
      </c>
      <c r="D354" s="862"/>
      <c r="H354" s="845" t="s">
        <v>1007</v>
      </c>
    </row>
    <row r="355" spans="1:10" x14ac:dyDescent="0.2">
      <c r="A355" s="859">
        <f t="shared" si="5"/>
        <v>354</v>
      </c>
      <c r="B355" s="845" t="s">
        <v>2552</v>
      </c>
      <c r="D355" s="861"/>
      <c r="I355" s="845" t="s">
        <v>1008</v>
      </c>
    </row>
    <row r="356" spans="1:10" x14ac:dyDescent="0.2">
      <c r="A356" s="859">
        <f t="shared" si="5"/>
        <v>355</v>
      </c>
      <c r="B356" s="845" t="s">
        <v>2552</v>
      </c>
      <c r="D356" s="861"/>
      <c r="J356" s="845" t="s">
        <v>1079</v>
      </c>
    </row>
    <row r="357" spans="1:10" x14ac:dyDescent="0.2">
      <c r="A357" s="859">
        <f t="shared" si="5"/>
        <v>356</v>
      </c>
      <c r="B357" s="845" t="s">
        <v>2552</v>
      </c>
      <c r="D357" s="862"/>
      <c r="I357" s="845" t="s">
        <v>1009</v>
      </c>
    </row>
    <row r="358" spans="1:10" x14ac:dyDescent="0.2">
      <c r="A358" s="859">
        <f t="shared" si="5"/>
        <v>357</v>
      </c>
      <c r="B358" s="845" t="s">
        <v>2552</v>
      </c>
      <c r="D358" s="863"/>
      <c r="I358" s="845" t="str">
        <f>CONCATENATE("&lt;valeur&gt;",Cellule_225,"&lt;/valeur&gt;")</f>
        <v>&lt;valeur&gt;0&lt;/valeur&gt;</v>
      </c>
    </row>
    <row r="359" spans="1:10" x14ac:dyDescent="0.2">
      <c r="A359" s="859">
        <f t="shared" si="5"/>
        <v>358</v>
      </c>
      <c r="B359" s="845" t="s">
        <v>2552</v>
      </c>
      <c r="D359" s="862"/>
      <c r="H359" s="845" t="s">
        <v>1010</v>
      </c>
    </row>
    <row r="360" spans="1:10" x14ac:dyDescent="0.2">
      <c r="A360" s="859">
        <f t="shared" si="5"/>
        <v>359</v>
      </c>
      <c r="B360" s="845" t="s">
        <v>2552</v>
      </c>
      <c r="D360" s="862"/>
      <c r="H360" s="845" t="s">
        <v>1007</v>
      </c>
    </row>
    <row r="361" spans="1:10" x14ac:dyDescent="0.2">
      <c r="A361" s="859">
        <f t="shared" si="5"/>
        <v>360</v>
      </c>
      <c r="B361" s="845" t="s">
        <v>2552</v>
      </c>
      <c r="D361" s="861"/>
      <c r="I361" s="845" t="s">
        <v>1008</v>
      </c>
    </row>
    <row r="362" spans="1:10" x14ac:dyDescent="0.2">
      <c r="A362" s="859">
        <f t="shared" si="5"/>
        <v>361</v>
      </c>
      <c r="B362" s="845" t="s">
        <v>2552</v>
      </c>
      <c r="D362" s="861"/>
      <c r="J362" s="845" t="s">
        <v>1080</v>
      </c>
    </row>
    <row r="363" spans="1:10" x14ac:dyDescent="0.2">
      <c r="A363" s="859">
        <f t="shared" si="5"/>
        <v>362</v>
      </c>
      <c r="B363" s="845" t="s">
        <v>2552</v>
      </c>
      <c r="D363" s="862"/>
      <c r="I363" s="845" t="s">
        <v>1009</v>
      </c>
    </row>
    <row r="364" spans="1:10" x14ac:dyDescent="0.2">
      <c r="A364" s="859">
        <f t="shared" si="5"/>
        <v>363</v>
      </c>
      <c r="B364" s="845" t="s">
        <v>2552</v>
      </c>
      <c r="D364" s="863"/>
      <c r="I364" s="845" t="str">
        <f>CONCATENATE("&lt;valeur&gt;",Cellule_226,"&lt;/valeur&gt;")</f>
        <v>&lt;valeur&gt;0&lt;/valeur&gt;</v>
      </c>
    </row>
    <row r="365" spans="1:10" x14ac:dyDescent="0.2">
      <c r="A365" s="859">
        <f t="shared" si="5"/>
        <v>364</v>
      </c>
      <c r="B365" s="845" t="s">
        <v>2552</v>
      </c>
      <c r="D365" s="862"/>
      <c r="H365" s="845" t="s">
        <v>1010</v>
      </c>
    </row>
    <row r="366" spans="1:10" x14ac:dyDescent="0.2">
      <c r="A366" s="859">
        <f t="shared" si="5"/>
        <v>365</v>
      </c>
      <c r="B366" s="845" t="s">
        <v>2552</v>
      </c>
      <c r="D366" s="862"/>
      <c r="H366" s="845" t="s">
        <v>1007</v>
      </c>
    </row>
    <row r="367" spans="1:10" x14ac:dyDescent="0.2">
      <c r="A367" s="859">
        <f t="shared" si="5"/>
        <v>366</v>
      </c>
      <c r="B367" s="845" t="s">
        <v>2552</v>
      </c>
      <c r="D367" s="861"/>
      <c r="I367" s="845" t="s">
        <v>1008</v>
      </c>
    </row>
    <row r="368" spans="1:10" x14ac:dyDescent="0.2">
      <c r="A368" s="859">
        <f t="shared" si="5"/>
        <v>367</v>
      </c>
      <c r="B368" s="845" t="s">
        <v>2552</v>
      </c>
      <c r="D368" s="861"/>
      <c r="J368" s="845" t="s">
        <v>1081</v>
      </c>
    </row>
    <row r="369" spans="1:10" x14ac:dyDescent="0.2">
      <c r="A369" s="859">
        <f t="shared" si="5"/>
        <v>368</v>
      </c>
      <c r="B369" s="845" t="s">
        <v>2552</v>
      </c>
      <c r="D369" s="862"/>
      <c r="I369" s="845" t="s">
        <v>1009</v>
      </c>
    </row>
    <row r="370" spans="1:10" x14ac:dyDescent="0.2">
      <c r="A370" s="859">
        <f t="shared" si="5"/>
        <v>369</v>
      </c>
      <c r="B370" s="845" t="s">
        <v>2552</v>
      </c>
      <c r="D370" s="863"/>
      <c r="I370" s="845" t="str">
        <f>CONCATENATE("&lt;valeur&gt;",Cellule_227,"&lt;/valeur&gt;")</f>
        <v>&lt;valeur&gt;0&lt;/valeur&gt;</v>
      </c>
    </row>
    <row r="371" spans="1:10" x14ac:dyDescent="0.2">
      <c r="A371" s="859">
        <f t="shared" si="5"/>
        <v>370</v>
      </c>
      <c r="B371" s="845" t="s">
        <v>2552</v>
      </c>
      <c r="D371" s="862"/>
      <c r="H371" s="845" t="s">
        <v>1010</v>
      </c>
    </row>
    <row r="372" spans="1:10" x14ac:dyDescent="0.2">
      <c r="A372" s="859">
        <f t="shared" si="5"/>
        <v>371</v>
      </c>
      <c r="B372" s="845" t="s">
        <v>2552</v>
      </c>
      <c r="D372" s="862"/>
      <c r="H372" s="845" t="s">
        <v>1007</v>
      </c>
    </row>
    <row r="373" spans="1:10" x14ac:dyDescent="0.2">
      <c r="A373" s="859">
        <f t="shared" si="5"/>
        <v>372</v>
      </c>
      <c r="B373" s="845" t="s">
        <v>2552</v>
      </c>
      <c r="D373" s="861"/>
      <c r="I373" s="845" t="s">
        <v>1008</v>
      </c>
    </row>
    <row r="374" spans="1:10" x14ac:dyDescent="0.2">
      <c r="A374" s="859">
        <f t="shared" si="5"/>
        <v>373</v>
      </c>
      <c r="B374" s="845" t="s">
        <v>2552</v>
      </c>
      <c r="D374" s="861"/>
      <c r="J374" s="845" t="s">
        <v>1082</v>
      </c>
    </row>
    <row r="375" spans="1:10" x14ac:dyDescent="0.2">
      <c r="A375" s="859">
        <f t="shared" si="5"/>
        <v>374</v>
      </c>
      <c r="B375" s="845" t="s">
        <v>2552</v>
      </c>
      <c r="D375" s="862"/>
      <c r="I375" s="845" t="s">
        <v>1009</v>
      </c>
    </row>
    <row r="376" spans="1:10" x14ac:dyDescent="0.2">
      <c r="A376" s="859">
        <f t="shared" si="5"/>
        <v>375</v>
      </c>
      <c r="B376" s="845" t="s">
        <v>2552</v>
      </c>
      <c r="D376" s="863"/>
      <c r="I376" s="845" t="str">
        <f>CONCATENATE("&lt;valeur&gt;",Cellule_509,"&lt;/valeur&gt;")</f>
        <v>&lt;valeur&gt;0&lt;/valeur&gt;</v>
      </c>
    </row>
    <row r="377" spans="1:10" x14ac:dyDescent="0.2">
      <c r="A377" s="859">
        <f t="shared" si="5"/>
        <v>376</v>
      </c>
      <c r="B377" s="845" t="s">
        <v>2552</v>
      </c>
      <c r="D377" s="862"/>
      <c r="H377" s="845" t="s">
        <v>1010</v>
      </c>
    </row>
    <row r="378" spans="1:10" x14ac:dyDescent="0.2">
      <c r="A378" s="859">
        <f t="shared" si="5"/>
        <v>377</v>
      </c>
      <c r="B378" s="845" t="s">
        <v>2552</v>
      </c>
      <c r="D378" s="862"/>
      <c r="H378" s="845" t="s">
        <v>1007</v>
      </c>
    </row>
    <row r="379" spans="1:10" x14ac:dyDescent="0.2">
      <c r="A379" s="859">
        <f t="shared" si="5"/>
        <v>378</v>
      </c>
      <c r="B379" s="845" t="s">
        <v>2552</v>
      </c>
      <c r="D379" s="861"/>
      <c r="I379" s="845" t="s">
        <v>1008</v>
      </c>
    </row>
    <row r="380" spans="1:10" x14ac:dyDescent="0.2">
      <c r="A380" s="859">
        <f t="shared" si="5"/>
        <v>379</v>
      </c>
      <c r="B380" s="845" t="s">
        <v>2552</v>
      </c>
      <c r="D380" s="861"/>
      <c r="J380" s="845" t="s">
        <v>1083</v>
      </c>
    </row>
    <row r="381" spans="1:10" x14ac:dyDescent="0.2">
      <c r="A381" s="859">
        <f t="shared" si="5"/>
        <v>380</v>
      </c>
      <c r="B381" s="845" t="s">
        <v>2552</v>
      </c>
      <c r="D381" s="862"/>
      <c r="I381" s="845" t="s">
        <v>1009</v>
      </c>
    </row>
    <row r="382" spans="1:10" x14ac:dyDescent="0.2">
      <c r="A382" s="859">
        <f t="shared" si="5"/>
        <v>381</v>
      </c>
      <c r="B382" s="845" t="s">
        <v>2552</v>
      </c>
      <c r="D382" s="863"/>
      <c r="I382" s="845" t="str">
        <f>CONCATENATE("&lt;valeur&gt;",Cellule_228,"&lt;/valeur&gt;")</f>
        <v>&lt;valeur&gt;0&lt;/valeur&gt;</v>
      </c>
    </row>
    <row r="383" spans="1:10" x14ac:dyDescent="0.2">
      <c r="A383" s="859">
        <f t="shared" si="5"/>
        <v>382</v>
      </c>
      <c r="B383" s="845" t="s">
        <v>2552</v>
      </c>
      <c r="D383" s="862"/>
      <c r="H383" s="845" t="s">
        <v>1010</v>
      </c>
    </row>
    <row r="384" spans="1:10" x14ac:dyDescent="0.2">
      <c r="A384" s="859">
        <f t="shared" si="5"/>
        <v>383</v>
      </c>
      <c r="B384" s="845" t="s">
        <v>2552</v>
      </c>
      <c r="D384" s="862"/>
      <c r="H384" s="845" t="s">
        <v>1007</v>
      </c>
    </row>
    <row r="385" spans="1:10" x14ac:dyDescent="0.2">
      <c r="A385" s="859">
        <f t="shared" si="5"/>
        <v>384</v>
      </c>
      <c r="B385" s="845" t="s">
        <v>2552</v>
      </c>
      <c r="D385" s="861"/>
      <c r="I385" s="845" t="s">
        <v>1008</v>
      </c>
    </row>
    <row r="386" spans="1:10" x14ac:dyDescent="0.2">
      <c r="A386" s="859">
        <f t="shared" si="5"/>
        <v>385</v>
      </c>
      <c r="B386" s="845" t="s">
        <v>2552</v>
      </c>
      <c r="D386" s="861"/>
      <c r="J386" s="845" t="s">
        <v>1084</v>
      </c>
    </row>
    <row r="387" spans="1:10" x14ac:dyDescent="0.2">
      <c r="A387" s="859">
        <f t="shared" si="5"/>
        <v>386</v>
      </c>
      <c r="B387" s="845" t="s">
        <v>2552</v>
      </c>
      <c r="D387" s="862"/>
      <c r="I387" s="845" t="s">
        <v>1009</v>
      </c>
    </row>
    <row r="388" spans="1:10" x14ac:dyDescent="0.2">
      <c r="A388" s="859">
        <f t="shared" ref="A388:A451" si="6">+A387+1</f>
        <v>387</v>
      </c>
      <c r="B388" s="845" t="s">
        <v>2552</v>
      </c>
      <c r="D388" s="863"/>
      <c r="I388" s="845" t="str">
        <f>CONCATENATE("&lt;valeur&gt;",Cellule_229,"&lt;/valeur&gt;")</f>
        <v>&lt;valeur&gt;0&lt;/valeur&gt;</v>
      </c>
    </row>
    <row r="389" spans="1:10" x14ac:dyDescent="0.2">
      <c r="A389" s="859">
        <f t="shared" si="6"/>
        <v>388</v>
      </c>
      <c r="B389" s="845" t="s">
        <v>2552</v>
      </c>
      <c r="D389" s="862"/>
      <c r="H389" s="845" t="s">
        <v>1010</v>
      </c>
    </row>
    <row r="390" spans="1:10" x14ac:dyDescent="0.2">
      <c r="A390" s="859">
        <f t="shared" si="6"/>
        <v>389</v>
      </c>
      <c r="B390" s="845" t="s">
        <v>2552</v>
      </c>
      <c r="D390" s="862"/>
      <c r="H390" s="845" t="s">
        <v>1007</v>
      </c>
    </row>
    <row r="391" spans="1:10" x14ac:dyDescent="0.2">
      <c r="A391" s="859">
        <f t="shared" si="6"/>
        <v>390</v>
      </c>
      <c r="B391" s="845" t="s">
        <v>2552</v>
      </c>
      <c r="D391" s="861"/>
      <c r="I391" s="845" t="s">
        <v>1008</v>
      </c>
    </row>
    <row r="392" spans="1:10" x14ac:dyDescent="0.2">
      <c r="A392" s="859">
        <f t="shared" si="6"/>
        <v>391</v>
      </c>
      <c r="B392" s="845" t="s">
        <v>2552</v>
      </c>
      <c r="D392" s="861"/>
      <c r="J392" s="845" t="s">
        <v>1085</v>
      </c>
    </row>
    <row r="393" spans="1:10" x14ac:dyDescent="0.2">
      <c r="A393" s="859">
        <f t="shared" si="6"/>
        <v>392</v>
      </c>
      <c r="B393" s="845" t="s">
        <v>2552</v>
      </c>
      <c r="D393" s="862"/>
      <c r="I393" s="845" t="s">
        <v>1009</v>
      </c>
    </row>
    <row r="394" spans="1:10" x14ac:dyDescent="0.2">
      <c r="A394" s="859">
        <f t="shared" si="6"/>
        <v>393</v>
      </c>
      <c r="B394" s="845" t="s">
        <v>2552</v>
      </c>
      <c r="D394" s="863"/>
      <c r="I394" s="845" t="str">
        <f>CONCATENATE("&lt;valeur&gt;",Cellule_230,"&lt;/valeur&gt;")</f>
        <v>&lt;valeur&gt;0&lt;/valeur&gt;</v>
      </c>
    </row>
    <row r="395" spans="1:10" x14ac:dyDescent="0.2">
      <c r="A395" s="859">
        <f t="shared" si="6"/>
        <v>394</v>
      </c>
      <c r="B395" s="845" t="s">
        <v>2552</v>
      </c>
      <c r="D395" s="862"/>
      <c r="H395" s="845" t="s">
        <v>1010</v>
      </c>
    </row>
    <row r="396" spans="1:10" x14ac:dyDescent="0.2">
      <c r="A396" s="859">
        <f t="shared" si="6"/>
        <v>395</v>
      </c>
      <c r="B396" s="845" t="s">
        <v>2552</v>
      </c>
      <c r="D396" s="862"/>
      <c r="H396" s="845" t="s">
        <v>1007</v>
      </c>
    </row>
    <row r="397" spans="1:10" x14ac:dyDescent="0.2">
      <c r="A397" s="859">
        <f t="shared" si="6"/>
        <v>396</v>
      </c>
      <c r="B397" s="845" t="s">
        <v>2552</v>
      </c>
      <c r="D397" s="861"/>
      <c r="I397" s="845" t="s">
        <v>1008</v>
      </c>
    </row>
    <row r="398" spans="1:10" x14ac:dyDescent="0.2">
      <c r="A398" s="859">
        <f t="shared" si="6"/>
        <v>397</v>
      </c>
      <c r="B398" s="845" t="s">
        <v>2552</v>
      </c>
      <c r="D398" s="861"/>
      <c r="J398" s="845" t="s">
        <v>1086</v>
      </c>
    </row>
    <row r="399" spans="1:10" x14ac:dyDescent="0.2">
      <c r="A399" s="859">
        <f t="shared" si="6"/>
        <v>398</v>
      </c>
      <c r="B399" s="845" t="s">
        <v>2552</v>
      </c>
      <c r="D399" s="862"/>
      <c r="I399" s="845" t="s">
        <v>1009</v>
      </c>
    </row>
    <row r="400" spans="1:10" x14ac:dyDescent="0.2">
      <c r="A400" s="859">
        <f t="shared" si="6"/>
        <v>399</v>
      </c>
      <c r="B400" s="845" t="s">
        <v>2552</v>
      </c>
      <c r="D400" s="863"/>
      <c r="I400" s="845" t="str">
        <f>CONCATENATE("&lt;valeur&gt;",Cellule_231,"&lt;/valeur&gt;")</f>
        <v>&lt;valeur&gt;0&lt;/valeur&gt;</v>
      </c>
    </row>
    <row r="401" spans="1:10" x14ac:dyDescent="0.2">
      <c r="A401" s="859">
        <f t="shared" si="6"/>
        <v>400</v>
      </c>
      <c r="B401" s="845" t="s">
        <v>2552</v>
      </c>
      <c r="D401" s="862"/>
      <c r="H401" s="845" t="s">
        <v>1010</v>
      </c>
    </row>
    <row r="402" spans="1:10" x14ac:dyDescent="0.2">
      <c r="A402" s="859">
        <f t="shared" si="6"/>
        <v>401</v>
      </c>
      <c r="B402" s="845" t="s">
        <v>2552</v>
      </c>
      <c r="D402" s="862"/>
      <c r="H402" s="845" t="s">
        <v>1007</v>
      </c>
    </row>
    <row r="403" spans="1:10" x14ac:dyDescent="0.2">
      <c r="A403" s="859">
        <f t="shared" si="6"/>
        <v>402</v>
      </c>
      <c r="B403" s="845" t="s">
        <v>2552</v>
      </c>
      <c r="D403" s="861"/>
      <c r="I403" s="845" t="s">
        <v>1008</v>
      </c>
    </row>
    <row r="404" spans="1:10" x14ac:dyDescent="0.2">
      <c r="A404" s="859">
        <f t="shared" si="6"/>
        <v>403</v>
      </c>
      <c r="B404" s="845" t="s">
        <v>2552</v>
      </c>
      <c r="D404" s="861"/>
      <c r="J404" s="845" t="s">
        <v>1087</v>
      </c>
    </row>
    <row r="405" spans="1:10" x14ac:dyDescent="0.2">
      <c r="A405" s="859">
        <f t="shared" si="6"/>
        <v>404</v>
      </c>
      <c r="B405" s="845" t="s">
        <v>2552</v>
      </c>
      <c r="D405" s="862"/>
      <c r="I405" s="845" t="s">
        <v>1009</v>
      </c>
    </row>
    <row r="406" spans="1:10" x14ac:dyDescent="0.2">
      <c r="A406" s="859">
        <f t="shared" si="6"/>
        <v>405</v>
      </c>
      <c r="B406" s="845" t="s">
        <v>2552</v>
      </c>
      <c r="D406" s="863"/>
      <c r="I406" s="845" t="str">
        <f>CONCATENATE("&lt;valeur&gt;",Cellule_232,"&lt;/valeur&gt;")</f>
        <v>&lt;valeur&gt;0&lt;/valeur&gt;</v>
      </c>
    </row>
    <row r="407" spans="1:10" x14ac:dyDescent="0.2">
      <c r="A407" s="859">
        <f t="shared" si="6"/>
        <v>406</v>
      </c>
      <c r="B407" s="845" t="s">
        <v>2552</v>
      </c>
      <c r="D407" s="862"/>
      <c r="H407" s="845" t="s">
        <v>1010</v>
      </c>
    </row>
    <row r="408" spans="1:10" x14ac:dyDescent="0.2">
      <c r="A408" s="859">
        <f t="shared" si="6"/>
        <v>407</v>
      </c>
      <c r="B408" s="845" t="s">
        <v>2552</v>
      </c>
      <c r="D408" s="862"/>
      <c r="H408" s="845" t="s">
        <v>1007</v>
      </c>
    </row>
    <row r="409" spans="1:10" x14ac:dyDescent="0.2">
      <c r="A409" s="859">
        <f t="shared" si="6"/>
        <v>408</v>
      </c>
      <c r="B409" s="845" t="s">
        <v>2552</v>
      </c>
      <c r="D409" s="861"/>
      <c r="I409" s="845" t="s">
        <v>1008</v>
      </c>
    </row>
    <row r="410" spans="1:10" x14ac:dyDescent="0.2">
      <c r="A410" s="859">
        <f t="shared" si="6"/>
        <v>409</v>
      </c>
      <c r="B410" s="845" t="s">
        <v>2552</v>
      </c>
      <c r="D410" s="861"/>
      <c r="J410" s="845" t="s">
        <v>1088</v>
      </c>
    </row>
    <row r="411" spans="1:10" x14ac:dyDescent="0.2">
      <c r="A411" s="859">
        <f t="shared" si="6"/>
        <v>410</v>
      </c>
      <c r="B411" s="845" t="s">
        <v>2552</v>
      </c>
      <c r="D411" s="862"/>
      <c r="I411" s="845" t="s">
        <v>1009</v>
      </c>
    </row>
    <row r="412" spans="1:10" x14ac:dyDescent="0.2">
      <c r="A412" s="859">
        <f t="shared" si="6"/>
        <v>411</v>
      </c>
      <c r="B412" s="845" t="s">
        <v>2552</v>
      </c>
      <c r="D412" s="863"/>
      <c r="I412" s="845" t="str">
        <f>CONCATENATE("&lt;valeur&gt;",Cellule_233,"&lt;/valeur&gt;")</f>
        <v>&lt;valeur&gt;0&lt;/valeur&gt;</v>
      </c>
    </row>
    <row r="413" spans="1:10" x14ac:dyDescent="0.2">
      <c r="A413" s="859">
        <f t="shared" si="6"/>
        <v>412</v>
      </c>
      <c r="B413" s="845" t="s">
        <v>2552</v>
      </c>
      <c r="D413" s="862"/>
      <c r="H413" s="845" t="s">
        <v>1010</v>
      </c>
    </row>
    <row r="414" spans="1:10" x14ac:dyDescent="0.2">
      <c r="A414" s="859">
        <f t="shared" si="6"/>
        <v>413</v>
      </c>
      <c r="B414" s="845" t="s">
        <v>2552</v>
      </c>
      <c r="D414" s="862"/>
      <c r="H414" s="845" t="s">
        <v>1007</v>
      </c>
    </row>
    <row r="415" spans="1:10" x14ac:dyDescent="0.2">
      <c r="A415" s="859">
        <f t="shared" si="6"/>
        <v>414</v>
      </c>
      <c r="B415" s="845" t="s">
        <v>2552</v>
      </c>
      <c r="D415" s="861"/>
      <c r="I415" s="845" t="s">
        <v>1008</v>
      </c>
    </row>
    <row r="416" spans="1:10" x14ac:dyDescent="0.2">
      <c r="A416" s="859">
        <f t="shared" si="6"/>
        <v>415</v>
      </c>
      <c r="B416" s="845" t="s">
        <v>2552</v>
      </c>
      <c r="D416" s="861"/>
      <c r="J416" s="845" t="s">
        <v>1089</v>
      </c>
    </row>
    <row r="417" spans="1:10" x14ac:dyDescent="0.2">
      <c r="A417" s="859">
        <f t="shared" si="6"/>
        <v>416</v>
      </c>
      <c r="B417" s="845" t="s">
        <v>2552</v>
      </c>
      <c r="D417" s="862"/>
      <c r="I417" s="845" t="s">
        <v>1009</v>
      </c>
    </row>
    <row r="418" spans="1:10" x14ac:dyDescent="0.2">
      <c r="A418" s="859">
        <f t="shared" si="6"/>
        <v>417</v>
      </c>
      <c r="B418" s="845" t="s">
        <v>2552</v>
      </c>
      <c r="D418" s="863"/>
      <c r="I418" s="845" t="str">
        <f>CONCATENATE("&lt;valeur&gt;",Cellule_234,"&lt;/valeur&gt;")</f>
        <v>&lt;valeur&gt;0&lt;/valeur&gt;</v>
      </c>
    </row>
    <row r="419" spans="1:10" x14ac:dyDescent="0.2">
      <c r="A419" s="859">
        <f t="shared" si="6"/>
        <v>418</v>
      </c>
      <c r="B419" s="845" t="s">
        <v>2552</v>
      </c>
      <c r="D419" s="862"/>
      <c r="H419" s="845" t="s">
        <v>1010</v>
      </c>
    </row>
    <row r="420" spans="1:10" x14ac:dyDescent="0.2">
      <c r="A420" s="859">
        <f t="shared" si="6"/>
        <v>419</v>
      </c>
      <c r="B420" s="845" t="s">
        <v>2552</v>
      </c>
      <c r="D420" s="862"/>
      <c r="H420" s="845" t="s">
        <v>1007</v>
      </c>
    </row>
    <row r="421" spans="1:10" x14ac:dyDescent="0.2">
      <c r="A421" s="859">
        <f t="shared" si="6"/>
        <v>420</v>
      </c>
      <c r="B421" s="845" t="s">
        <v>2552</v>
      </c>
      <c r="D421" s="861"/>
      <c r="I421" s="845" t="s">
        <v>1008</v>
      </c>
    </row>
    <row r="422" spans="1:10" x14ac:dyDescent="0.2">
      <c r="A422" s="859">
        <f t="shared" si="6"/>
        <v>421</v>
      </c>
      <c r="B422" s="845" t="s">
        <v>2552</v>
      </c>
      <c r="D422" s="861"/>
      <c r="J422" s="845" t="s">
        <v>1090</v>
      </c>
    </row>
    <row r="423" spans="1:10" x14ac:dyDescent="0.2">
      <c r="A423" s="859">
        <f t="shared" si="6"/>
        <v>422</v>
      </c>
      <c r="B423" s="845" t="s">
        <v>2552</v>
      </c>
      <c r="D423" s="862"/>
      <c r="I423" s="845" t="s">
        <v>1009</v>
      </c>
    </row>
    <row r="424" spans="1:10" x14ac:dyDescent="0.2">
      <c r="A424" s="859">
        <f t="shared" si="6"/>
        <v>423</v>
      </c>
      <c r="B424" s="845" t="s">
        <v>2552</v>
      </c>
      <c r="D424" s="863"/>
      <c r="I424" s="845" t="str">
        <f>CONCATENATE("&lt;valeur&gt;",Cellule_510,"&lt;/valeur&gt;")</f>
        <v>&lt;valeur&gt;0&lt;/valeur&gt;</v>
      </c>
    </row>
    <row r="425" spans="1:10" x14ac:dyDescent="0.2">
      <c r="A425" s="859">
        <f t="shared" si="6"/>
        <v>424</v>
      </c>
      <c r="B425" s="845" t="s">
        <v>2552</v>
      </c>
      <c r="D425" s="862"/>
      <c r="H425" s="845" t="s">
        <v>1010</v>
      </c>
    </row>
    <row r="426" spans="1:10" x14ac:dyDescent="0.2">
      <c r="A426" s="859">
        <f t="shared" si="6"/>
        <v>425</v>
      </c>
      <c r="B426" s="845" t="s">
        <v>2552</v>
      </c>
      <c r="D426" s="862"/>
      <c r="H426" s="845" t="s">
        <v>1007</v>
      </c>
    </row>
    <row r="427" spans="1:10" x14ac:dyDescent="0.2">
      <c r="A427" s="859">
        <f t="shared" si="6"/>
        <v>426</v>
      </c>
      <c r="B427" s="845" t="s">
        <v>2552</v>
      </c>
      <c r="D427" s="861"/>
      <c r="I427" s="845" t="s">
        <v>1008</v>
      </c>
    </row>
    <row r="428" spans="1:10" x14ac:dyDescent="0.2">
      <c r="A428" s="859">
        <f t="shared" si="6"/>
        <v>427</v>
      </c>
      <c r="B428" s="845" t="s">
        <v>2552</v>
      </c>
      <c r="D428" s="861"/>
      <c r="J428" s="845" t="s">
        <v>1091</v>
      </c>
    </row>
    <row r="429" spans="1:10" x14ac:dyDescent="0.2">
      <c r="A429" s="859">
        <f t="shared" si="6"/>
        <v>428</v>
      </c>
      <c r="B429" s="845" t="s">
        <v>2552</v>
      </c>
      <c r="D429" s="862"/>
      <c r="I429" s="845" t="s">
        <v>1009</v>
      </c>
    </row>
    <row r="430" spans="1:10" x14ac:dyDescent="0.2">
      <c r="A430" s="859">
        <f t="shared" si="6"/>
        <v>429</v>
      </c>
      <c r="B430" s="845" t="s">
        <v>2552</v>
      </c>
      <c r="D430" s="863"/>
      <c r="I430" s="845" t="str">
        <f>CONCATENATE("&lt;valeur&gt;",Cellule_254,"&lt;/valeur&gt;")</f>
        <v>&lt;valeur&gt;0&lt;/valeur&gt;</v>
      </c>
    </row>
    <row r="431" spans="1:10" x14ac:dyDescent="0.2">
      <c r="A431" s="859">
        <f t="shared" si="6"/>
        <v>430</v>
      </c>
      <c r="B431" s="845" t="s">
        <v>2552</v>
      </c>
      <c r="D431" s="862"/>
      <c r="H431" s="845" t="s">
        <v>1010</v>
      </c>
    </row>
    <row r="432" spans="1:10" x14ac:dyDescent="0.2">
      <c r="A432" s="859">
        <f t="shared" si="6"/>
        <v>431</v>
      </c>
      <c r="B432" s="845" t="s">
        <v>2552</v>
      </c>
      <c r="D432" s="862"/>
      <c r="H432" s="845" t="s">
        <v>1007</v>
      </c>
    </row>
    <row r="433" spans="1:10" x14ac:dyDescent="0.2">
      <c r="A433" s="859">
        <f t="shared" si="6"/>
        <v>432</v>
      </c>
      <c r="B433" s="845" t="s">
        <v>2552</v>
      </c>
      <c r="D433" s="861"/>
      <c r="I433" s="845" t="s">
        <v>1008</v>
      </c>
    </row>
    <row r="434" spans="1:10" x14ac:dyDescent="0.2">
      <c r="A434" s="859">
        <f t="shared" si="6"/>
        <v>433</v>
      </c>
      <c r="B434" s="845" t="s">
        <v>2552</v>
      </c>
      <c r="D434" s="861"/>
      <c r="J434" s="845" t="s">
        <v>1092</v>
      </c>
    </row>
    <row r="435" spans="1:10" x14ac:dyDescent="0.2">
      <c r="A435" s="859">
        <f t="shared" si="6"/>
        <v>434</v>
      </c>
      <c r="B435" s="845" t="s">
        <v>2552</v>
      </c>
      <c r="D435" s="862"/>
      <c r="I435" s="845" t="s">
        <v>1009</v>
      </c>
    </row>
    <row r="436" spans="1:10" x14ac:dyDescent="0.2">
      <c r="A436" s="859">
        <f t="shared" si="6"/>
        <v>435</v>
      </c>
      <c r="B436" s="845" t="s">
        <v>2552</v>
      </c>
      <c r="D436" s="863"/>
      <c r="I436" s="845" t="str">
        <f>CONCATENATE("&lt;valeur&gt;",Cellule_255,"&lt;/valeur&gt;")</f>
        <v>&lt;valeur&gt;0&lt;/valeur&gt;</v>
      </c>
    </row>
    <row r="437" spans="1:10" x14ac:dyDescent="0.2">
      <c r="A437" s="859">
        <f t="shared" si="6"/>
        <v>436</v>
      </c>
      <c r="B437" s="845" t="s">
        <v>2552</v>
      </c>
      <c r="D437" s="862"/>
      <c r="H437" s="845" t="s">
        <v>1010</v>
      </c>
    </row>
    <row r="438" spans="1:10" x14ac:dyDescent="0.2">
      <c r="A438" s="859">
        <f t="shared" si="6"/>
        <v>437</v>
      </c>
      <c r="B438" s="845" t="s">
        <v>2552</v>
      </c>
      <c r="D438" s="862"/>
      <c r="H438" s="845" t="s">
        <v>1007</v>
      </c>
    </row>
    <row r="439" spans="1:10" x14ac:dyDescent="0.2">
      <c r="A439" s="859">
        <f t="shared" si="6"/>
        <v>438</v>
      </c>
      <c r="B439" s="845" t="s">
        <v>2552</v>
      </c>
      <c r="D439" s="861"/>
      <c r="I439" s="845" t="s">
        <v>1008</v>
      </c>
    </row>
    <row r="440" spans="1:10" x14ac:dyDescent="0.2">
      <c r="A440" s="859">
        <f t="shared" si="6"/>
        <v>439</v>
      </c>
      <c r="B440" s="845" t="s">
        <v>2552</v>
      </c>
      <c r="D440" s="861"/>
      <c r="J440" s="845" t="s">
        <v>1093</v>
      </c>
    </row>
    <row r="441" spans="1:10" x14ac:dyDescent="0.2">
      <c r="A441" s="859">
        <f t="shared" si="6"/>
        <v>440</v>
      </c>
      <c r="B441" s="845" t="s">
        <v>2552</v>
      </c>
      <c r="D441" s="862"/>
      <c r="I441" s="845" t="s">
        <v>1009</v>
      </c>
    </row>
    <row r="442" spans="1:10" x14ac:dyDescent="0.2">
      <c r="A442" s="859">
        <f t="shared" si="6"/>
        <v>441</v>
      </c>
      <c r="B442" s="845" t="s">
        <v>2552</v>
      </c>
      <c r="D442" s="863"/>
      <c r="I442" s="845" t="str">
        <f>CONCATENATE("&lt;valeur&gt;",Cellule_256,"&lt;/valeur&gt;")</f>
        <v>&lt;valeur&gt;0&lt;/valeur&gt;</v>
      </c>
    </row>
    <row r="443" spans="1:10" x14ac:dyDescent="0.2">
      <c r="A443" s="859">
        <f t="shared" si="6"/>
        <v>442</v>
      </c>
      <c r="B443" s="845" t="s">
        <v>2552</v>
      </c>
      <c r="D443" s="862"/>
      <c r="H443" s="845" t="s">
        <v>1010</v>
      </c>
    </row>
    <row r="444" spans="1:10" x14ac:dyDescent="0.2">
      <c r="A444" s="859">
        <f t="shared" si="6"/>
        <v>443</v>
      </c>
      <c r="B444" s="845" t="s">
        <v>2552</v>
      </c>
      <c r="D444" s="862"/>
      <c r="H444" s="845" t="s">
        <v>1007</v>
      </c>
    </row>
    <row r="445" spans="1:10" x14ac:dyDescent="0.2">
      <c r="A445" s="859">
        <f t="shared" si="6"/>
        <v>444</v>
      </c>
      <c r="B445" s="845" t="s">
        <v>2552</v>
      </c>
      <c r="D445" s="861"/>
      <c r="I445" s="845" t="s">
        <v>1008</v>
      </c>
    </row>
    <row r="446" spans="1:10" x14ac:dyDescent="0.2">
      <c r="A446" s="859">
        <f t="shared" si="6"/>
        <v>445</v>
      </c>
      <c r="B446" s="845" t="s">
        <v>2552</v>
      </c>
      <c r="D446" s="861"/>
      <c r="J446" s="845" t="s">
        <v>1094</v>
      </c>
    </row>
    <row r="447" spans="1:10" x14ac:dyDescent="0.2">
      <c r="A447" s="859">
        <f t="shared" si="6"/>
        <v>446</v>
      </c>
      <c r="B447" s="845" t="s">
        <v>2552</v>
      </c>
      <c r="D447" s="862"/>
      <c r="I447" s="845" t="s">
        <v>1009</v>
      </c>
    </row>
    <row r="448" spans="1:10" x14ac:dyDescent="0.2">
      <c r="A448" s="859">
        <f t="shared" si="6"/>
        <v>447</v>
      </c>
      <c r="B448" s="845" t="s">
        <v>2552</v>
      </c>
      <c r="D448" s="863"/>
      <c r="I448" s="845" t="str">
        <f>CONCATENATE("&lt;valeur&gt;",Cellule_257,"&lt;/valeur&gt;")</f>
        <v>&lt;valeur&gt;0&lt;/valeur&gt;</v>
      </c>
    </row>
    <row r="449" spans="1:10" x14ac:dyDescent="0.2">
      <c r="A449" s="859">
        <f t="shared" si="6"/>
        <v>448</v>
      </c>
      <c r="B449" s="845" t="s">
        <v>2552</v>
      </c>
      <c r="D449" s="862"/>
      <c r="H449" s="845" t="s">
        <v>1010</v>
      </c>
    </row>
    <row r="450" spans="1:10" x14ac:dyDescent="0.2">
      <c r="A450" s="859">
        <f t="shared" si="6"/>
        <v>449</v>
      </c>
      <c r="B450" s="845" t="s">
        <v>2552</v>
      </c>
      <c r="D450" s="862"/>
      <c r="H450" s="845" t="s">
        <v>1007</v>
      </c>
    </row>
    <row r="451" spans="1:10" x14ac:dyDescent="0.2">
      <c r="A451" s="859">
        <f t="shared" si="6"/>
        <v>450</v>
      </c>
      <c r="B451" s="845" t="s">
        <v>2552</v>
      </c>
      <c r="D451" s="861"/>
      <c r="I451" s="845" t="s">
        <v>1008</v>
      </c>
    </row>
    <row r="452" spans="1:10" x14ac:dyDescent="0.2">
      <c r="A452" s="859">
        <f t="shared" ref="A452:A515" si="7">+A451+1</f>
        <v>451</v>
      </c>
      <c r="B452" s="845" t="s">
        <v>2552</v>
      </c>
      <c r="D452" s="861"/>
      <c r="J452" s="845" t="s">
        <v>1095</v>
      </c>
    </row>
    <row r="453" spans="1:10" x14ac:dyDescent="0.2">
      <c r="A453" s="859">
        <f t="shared" si="7"/>
        <v>452</v>
      </c>
      <c r="B453" s="845" t="s">
        <v>2552</v>
      </c>
      <c r="D453" s="862"/>
      <c r="I453" s="845" t="s">
        <v>1009</v>
      </c>
    </row>
    <row r="454" spans="1:10" x14ac:dyDescent="0.2">
      <c r="A454" s="859">
        <f t="shared" si="7"/>
        <v>453</v>
      </c>
      <c r="B454" s="845" t="s">
        <v>2552</v>
      </c>
      <c r="D454" s="863"/>
      <c r="I454" s="845" t="str">
        <f>CONCATENATE("&lt;valeur&gt;",Cellule_512,"&lt;/valeur&gt;")</f>
        <v>&lt;valeur&gt;0&lt;/valeur&gt;</v>
      </c>
    </row>
    <row r="455" spans="1:10" x14ac:dyDescent="0.2">
      <c r="A455" s="859">
        <f t="shared" si="7"/>
        <v>454</v>
      </c>
      <c r="B455" s="845" t="s">
        <v>2552</v>
      </c>
      <c r="D455" s="862"/>
      <c r="H455" s="845" t="s">
        <v>1010</v>
      </c>
    </row>
    <row r="456" spans="1:10" x14ac:dyDescent="0.2">
      <c r="A456" s="859">
        <f t="shared" si="7"/>
        <v>455</v>
      </c>
      <c r="B456" s="845" t="s">
        <v>2552</v>
      </c>
      <c r="D456" s="862"/>
      <c r="H456" s="845" t="s">
        <v>1007</v>
      </c>
    </row>
    <row r="457" spans="1:10" x14ac:dyDescent="0.2">
      <c r="A457" s="859">
        <f t="shared" si="7"/>
        <v>456</v>
      </c>
      <c r="B457" s="845" t="s">
        <v>2552</v>
      </c>
      <c r="D457" s="861"/>
      <c r="I457" s="845" t="s">
        <v>1008</v>
      </c>
    </row>
    <row r="458" spans="1:10" x14ac:dyDescent="0.2">
      <c r="A458" s="859">
        <f t="shared" si="7"/>
        <v>457</v>
      </c>
      <c r="B458" s="845" t="s">
        <v>2552</v>
      </c>
      <c r="D458" s="861"/>
      <c r="J458" s="845" t="s">
        <v>1096</v>
      </c>
    </row>
    <row r="459" spans="1:10" x14ac:dyDescent="0.2">
      <c r="A459" s="859">
        <f t="shared" si="7"/>
        <v>458</v>
      </c>
      <c r="B459" s="845" t="s">
        <v>2552</v>
      </c>
      <c r="D459" s="862"/>
      <c r="I459" s="845" t="s">
        <v>1009</v>
      </c>
    </row>
    <row r="460" spans="1:10" x14ac:dyDescent="0.2">
      <c r="A460" s="859">
        <f t="shared" si="7"/>
        <v>459</v>
      </c>
      <c r="B460" s="845" t="s">
        <v>2552</v>
      </c>
      <c r="D460" s="863"/>
      <c r="I460" s="845" t="str">
        <f>CONCATENATE("&lt;valeur&gt;",Cellule_258,"&lt;/valeur&gt;")</f>
        <v>&lt;valeur&gt;0&lt;/valeur&gt;</v>
      </c>
    </row>
    <row r="461" spans="1:10" x14ac:dyDescent="0.2">
      <c r="A461" s="859">
        <f t="shared" si="7"/>
        <v>460</v>
      </c>
      <c r="B461" s="845" t="s">
        <v>2552</v>
      </c>
      <c r="D461" s="862"/>
      <c r="H461" s="845" t="s">
        <v>1010</v>
      </c>
    </row>
    <row r="462" spans="1:10" x14ac:dyDescent="0.2">
      <c r="A462" s="859">
        <f t="shared" si="7"/>
        <v>461</v>
      </c>
      <c r="B462" s="845" t="s">
        <v>2552</v>
      </c>
      <c r="D462" s="862"/>
      <c r="H462" s="845" t="s">
        <v>1007</v>
      </c>
    </row>
    <row r="463" spans="1:10" x14ac:dyDescent="0.2">
      <c r="A463" s="859">
        <f t="shared" si="7"/>
        <v>462</v>
      </c>
      <c r="B463" s="845" t="s">
        <v>2552</v>
      </c>
      <c r="D463" s="861"/>
      <c r="I463" s="845" t="s">
        <v>1008</v>
      </c>
    </row>
    <row r="464" spans="1:10" x14ac:dyDescent="0.2">
      <c r="A464" s="859">
        <f t="shared" si="7"/>
        <v>463</v>
      </c>
      <c r="B464" s="845" t="s">
        <v>2552</v>
      </c>
      <c r="D464" s="861"/>
      <c r="J464" s="845" t="s">
        <v>1097</v>
      </c>
    </row>
    <row r="465" spans="1:10" x14ac:dyDescent="0.2">
      <c r="A465" s="859">
        <f t="shared" si="7"/>
        <v>464</v>
      </c>
      <c r="B465" s="845" t="s">
        <v>2552</v>
      </c>
      <c r="D465" s="862"/>
      <c r="I465" s="845" t="s">
        <v>1009</v>
      </c>
    </row>
    <row r="466" spans="1:10" x14ac:dyDescent="0.2">
      <c r="A466" s="859">
        <f t="shared" si="7"/>
        <v>465</v>
      </c>
      <c r="B466" s="845" t="s">
        <v>2552</v>
      </c>
      <c r="D466" s="863"/>
      <c r="I466" s="845" t="str">
        <f>CONCATENATE("&lt;valeur&gt;",Cellule_259,"&lt;/valeur&gt;")</f>
        <v>&lt;valeur&gt;0&lt;/valeur&gt;</v>
      </c>
    </row>
    <row r="467" spans="1:10" x14ac:dyDescent="0.2">
      <c r="A467" s="859">
        <f t="shared" si="7"/>
        <v>466</v>
      </c>
      <c r="B467" s="845" t="s">
        <v>2552</v>
      </c>
      <c r="D467" s="862"/>
      <c r="H467" s="845" t="s">
        <v>1010</v>
      </c>
    </row>
    <row r="468" spans="1:10" x14ac:dyDescent="0.2">
      <c r="A468" s="859">
        <f t="shared" si="7"/>
        <v>467</v>
      </c>
      <c r="B468" s="845" t="s">
        <v>2552</v>
      </c>
      <c r="D468" s="862"/>
      <c r="H468" s="845" t="s">
        <v>1007</v>
      </c>
    </row>
    <row r="469" spans="1:10" x14ac:dyDescent="0.2">
      <c r="A469" s="859">
        <f t="shared" si="7"/>
        <v>468</v>
      </c>
      <c r="B469" s="845" t="s">
        <v>2552</v>
      </c>
      <c r="D469" s="861"/>
      <c r="I469" s="845" t="s">
        <v>1008</v>
      </c>
    </row>
    <row r="470" spans="1:10" x14ac:dyDescent="0.2">
      <c r="A470" s="859">
        <f t="shared" si="7"/>
        <v>469</v>
      </c>
      <c r="B470" s="845" t="s">
        <v>2552</v>
      </c>
      <c r="D470" s="861"/>
      <c r="J470" s="845" t="s">
        <v>1098</v>
      </c>
    </row>
    <row r="471" spans="1:10" x14ac:dyDescent="0.2">
      <c r="A471" s="859">
        <f t="shared" si="7"/>
        <v>470</v>
      </c>
      <c r="B471" s="845" t="s">
        <v>2552</v>
      </c>
      <c r="D471" s="862"/>
      <c r="I471" s="845" t="s">
        <v>1009</v>
      </c>
    </row>
    <row r="472" spans="1:10" x14ac:dyDescent="0.2">
      <c r="A472" s="859">
        <f t="shared" si="7"/>
        <v>471</v>
      </c>
      <c r="B472" s="845" t="s">
        <v>2552</v>
      </c>
      <c r="D472" s="863"/>
      <c r="I472" s="845" t="str">
        <f>CONCATENATE("&lt;valeur&gt;",Cellule_260,"&lt;/valeur&gt;")</f>
        <v>&lt;valeur&gt;0&lt;/valeur&gt;</v>
      </c>
    </row>
    <row r="473" spans="1:10" x14ac:dyDescent="0.2">
      <c r="A473" s="859">
        <f t="shared" si="7"/>
        <v>472</v>
      </c>
      <c r="B473" s="845" t="s">
        <v>2552</v>
      </c>
      <c r="D473" s="862"/>
      <c r="H473" s="845" t="s">
        <v>1010</v>
      </c>
    </row>
    <row r="474" spans="1:10" x14ac:dyDescent="0.2">
      <c r="A474" s="859">
        <f t="shared" si="7"/>
        <v>473</v>
      </c>
      <c r="B474" s="845" t="s">
        <v>2552</v>
      </c>
      <c r="D474" s="862"/>
      <c r="H474" s="845" t="s">
        <v>1007</v>
      </c>
    </row>
    <row r="475" spans="1:10" x14ac:dyDescent="0.2">
      <c r="A475" s="859">
        <f t="shared" si="7"/>
        <v>474</v>
      </c>
      <c r="B475" s="845" t="s">
        <v>2552</v>
      </c>
      <c r="D475" s="861"/>
      <c r="I475" s="845" t="s">
        <v>1008</v>
      </c>
    </row>
    <row r="476" spans="1:10" x14ac:dyDescent="0.2">
      <c r="A476" s="859">
        <f t="shared" si="7"/>
        <v>475</v>
      </c>
      <c r="B476" s="845" t="s">
        <v>2552</v>
      </c>
      <c r="D476" s="861"/>
      <c r="J476" s="845" t="s">
        <v>1099</v>
      </c>
    </row>
    <row r="477" spans="1:10" x14ac:dyDescent="0.2">
      <c r="A477" s="859">
        <f t="shared" si="7"/>
        <v>476</v>
      </c>
      <c r="B477" s="845" t="s">
        <v>2552</v>
      </c>
      <c r="D477" s="862"/>
      <c r="I477" s="845" t="s">
        <v>1009</v>
      </c>
    </row>
    <row r="478" spans="1:10" x14ac:dyDescent="0.2">
      <c r="A478" s="859">
        <f t="shared" si="7"/>
        <v>477</v>
      </c>
      <c r="B478" s="845" t="s">
        <v>2552</v>
      </c>
      <c r="D478" s="863"/>
      <c r="I478" s="845" t="str">
        <f>CONCATENATE("&lt;valeur&gt;",Cellule_261,"&lt;/valeur&gt;")</f>
        <v>&lt;valeur&gt;0&lt;/valeur&gt;</v>
      </c>
    </row>
    <row r="479" spans="1:10" x14ac:dyDescent="0.2">
      <c r="A479" s="859">
        <f t="shared" si="7"/>
        <v>478</v>
      </c>
      <c r="B479" s="845" t="s">
        <v>2552</v>
      </c>
      <c r="D479" s="862"/>
      <c r="H479" s="845" t="s">
        <v>1010</v>
      </c>
    </row>
    <row r="480" spans="1:10" x14ac:dyDescent="0.2">
      <c r="A480" s="859">
        <f t="shared" si="7"/>
        <v>479</v>
      </c>
      <c r="B480" s="845" t="s">
        <v>2552</v>
      </c>
      <c r="D480" s="862"/>
      <c r="H480" s="845" t="s">
        <v>1007</v>
      </c>
    </row>
    <row r="481" spans="1:10" x14ac:dyDescent="0.2">
      <c r="A481" s="859">
        <f t="shared" si="7"/>
        <v>480</v>
      </c>
      <c r="B481" s="845" t="s">
        <v>2552</v>
      </c>
      <c r="D481" s="861"/>
      <c r="I481" s="845" t="s">
        <v>1008</v>
      </c>
    </row>
    <row r="482" spans="1:10" x14ac:dyDescent="0.2">
      <c r="A482" s="859">
        <f t="shared" si="7"/>
        <v>481</v>
      </c>
      <c r="B482" s="845" t="s">
        <v>2552</v>
      </c>
      <c r="D482" s="861"/>
      <c r="J482" s="845" t="s">
        <v>1100</v>
      </c>
    </row>
    <row r="483" spans="1:10" x14ac:dyDescent="0.2">
      <c r="A483" s="859">
        <f t="shared" si="7"/>
        <v>482</v>
      </c>
      <c r="B483" s="845" t="s">
        <v>2552</v>
      </c>
      <c r="D483" s="862"/>
      <c r="I483" s="845" t="s">
        <v>1009</v>
      </c>
    </row>
    <row r="484" spans="1:10" x14ac:dyDescent="0.2">
      <c r="A484" s="859">
        <f t="shared" si="7"/>
        <v>483</v>
      </c>
      <c r="B484" s="845" t="s">
        <v>2552</v>
      </c>
      <c r="D484" s="863"/>
      <c r="I484" s="845" t="str">
        <f>CONCATENATE("&lt;valeur&gt;",Cellule_513,"&lt;/valeur&gt;")</f>
        <v>&lt;valeur&gt;0&lt;/valeur&gt;</v>
      </c>
    </row>
    <row r="485" spans="1:10" x14ac:dyDescent="0.2">
      <c r="A485" s="859">
        <f t="shared" si="7"/>
        <v>484</v>
      </c>
      <c r="B485" s="845" t="s">
        <v>2552</v>
      </c>
      <c r="D485" s="862"/>
      <c r="H485" s="845" t="s">
        <v>1010</v>
      </c>
    </row>
    <row r="486" spans="1:10" x14ac:dyDescent="0.2">
      <c r="A486" s="859">
        <f t="shared" si="7"/>
        <v>485</v>
      </c>
      <c r="B486" s="845" t="s">
        <v>2552</v>
      </c>
      <c r="D486" s="862"/>
      <c r="H486" s="845" t="s">
        <v>1007</v>
      </c>
    </row>
    <row r="487" spans="1:10" x14ac:dyDescent="0.2">
      <c r="A487" s="859">
        <f t="shared" si="7"/>
        <v>486</v>
      </c>
      <c r="B487" s="845" t="s">
        <v>2552</v>
      </c>
      <c r="D487" s="861"/>
      <c r="I487" s="845" t="s">
        <v>1008</v>
      </c>
    </row>
    <row r="488" spans="1:10" x14ac:dyDescent="0.2">
      <c r="A488" s="859">
        <f t="shared" si="7"/>
        <v>487</v>
      </c>
      <c r="B488" s="845" t="s">
        <v>2552</v>
      </c>
      <c r="D488" s="861"/>
      <c r="J488" s="845" t="s">
        <v>1101</v>
      </c>
    </row>
    <row r="489" spans="1:10" x14ac:dyDescent="0.2">
      <c r="A489" s="859">
        <f t="shared" si="7"/>
        <v>488</v>
      </c>
      <c r="B489" s="845" t="s">
        <v>2552</v>
      </c>
      <c r="D489" s="862"/>
      <c r="I489" s="845" t="s">
        <v>1009</v>
      </c>
    </row>
    <row r="490" spans="1:10" x14ac:dyDescent="0.2">
      <c r="A490" s="859">
        <f t="shared" si="7"/>
        <v>489</v>
      </c>
      <c r="B490" s="845" t="s">
        <v>2552</v>
      </c>
      <c r="D490" s="863"/>
      <c r="I490" s="845" t="str">
        <f>CONCATENATE("&lt;valeur&gt;",Cellule_262,"&lt;/valeur&gt;")</f>
        <v>&lt;valeur&gt;0&lt;/valeur&gt;</v>
      </c>
    </row>
    <row r="491" spans="1:10" x14ac:dyDescent="0.2">
      <c r="A491" s="859">
        <f t="shared" si="7"/>
        <v>490</v>
      </c>
      <c r="B491" s="845" t="s">
        <v>2552</v>
      </c>
      <c r="D491" s="862"/>
      <c r="H491" s="845" t="s">
        <v>1010</v>
      </c>
    </row>
    <row r="492" spans="1:10" x14ac:dyDescent="0.2">
      <c r="A492" s="859">
        <f t="shared" si="7"/>
        <v>491</v>
      </c>
      <c r="B492" s="845" t="s">
        <v>2552</v>
      </c>
      <c r="D492" s="862"/>
      <c r="H492" s="845" t="s">
        <v>1007</v>
      </c>
    </row>
    <row r="493" spans="1:10" x14ac:dyDescent="0.2">
      <c r="A493" s="859">
        <f t="shared" si="7"/>
        <v>492</v>
      </c>
      <c r="B493" s="845" t="s">
        <v>2552</v>
      </c>
      <c r="D493" s="861"/>
      <c r="I493" s="845" t="s">
        <v>1008</v>
      </c>
    </row>
    <row r="494" spans="1:10" x14ac:dyDescent="0.2">
      <c r="A494" s="859">
        <f t="shared" si="7"/>
        <v>493</v>
      </c>
      <c r="B494" s="845" t="s">
        <v>2552</v>
      </c>
      <c r="D494" s="861"/>
      <c r="J494" s="845" t="s">
        <v>1102</v>
      </c>
    </row>
    <row r="495" spans="1:10" x14ac:dyDescent="0.2">
      <c r="A495" s="859">
        <f t="shared" si="7"/>
        <v>494</v>
      </c>
      <c r="B495" s="845" t="s">
        <v>2552</v>
      </c>
      <c r="D495" s="862"/>
      <c r="I495" s="845" t="s">
        <v>1009</v>
      </c>
    </row>
    <row r="496" spans="1:10" x14ac:dyDescent="0.2">
      <c r="A496" s="859">
        <f t="shared" si="7"/>
        <v>495</v>
      </c>
      <c r="B496" s="845" t="s">
        <v>2552</v>
      </c>
      <c r="D496" s="863"/>
      <c r="I496" s="845" t="str">
        <f>CONCATENATE("&lt;valeur&gt;",Cellule_263,"&lt;/valeur&gt;")</f>
        <v>&lt;valeur&gt;0&lt;/valeur&gt;</v>
      </c>
    </row>
    <row r="497" spans="1:10" x14ac:dyDescent="0.2">
      <c r="A497" s="859">
        <f t="shared" si="7"/>
        <v>496</v>
      </c>
      <c r="B497" s="845" t="s">
        <v>2552</v>
      </c>
      <c r="D497" s="862"/>
      <c r="H497" s="845" t="s">
        <v>1010</v>
      </c>
    </row>
    <row r="498" spans="1:10" x14ac:dyDescent="0.2">
      <c r="A498" s="859">
        <f t="shared" si="7"/>
        <v>497</v>
      </c>
      <c r="B498" s="845" t="s">
        <v>2552</v>
      </c>
      <c r="D498" s="862"/>
      <c r="H498" s="845" t="s">
        <v>1007</v>
      </c>
    </row>
    <row r="499" spans="1:10" x14ac:dyDescent="0.2">
      <c r="A499" s="859">
        <f t="shared" si="7"/>
        <v>498</v>
      </c>
      <c r="B499" s="845" t="s">
        <v>2552</v>
      </c>
      <c r="D499" s="861"/>
      <c r="I499" s="845" t="s">
        <v>1008</v>
      </c>
    </row>
    <row r="500" spans="1:10" x14ac:dyDescent="0.2">
      <c r="A500" s="859">
        <f t="shared" si="7"/>
        <v>499</v>
      </c>
      <c r="B500" s="845" t="s">
        <v>2552</v>
      </c>
      <c r="D500" s="861"/>
      <c r="J500" s="845" t="s">
        <v>1103</v>
      </c>
    </row>
    <row r="501" spans="1:10" x14ac:dyDescent="0.2">
      <c r="A501" s="859">
        <f t="shared" si="7"/>
        <v>500</v>
      </c>
      <c r="B501" s="845" t="s">
        <v>2552</v>
      </c>
      <c r="D501" s="862"/>
      <c r="I501" s="845" t="s">
        <v>1009</v>
      </c>
    </row>
    <row r="502" spans="1:10" x14ac:dyDescent="0.2">
      <c r="A502" s="859">
        <f t="shared" si="7"/>
        <v>501</v>
      </c>
      <c r="B502" s="845" t="s">
        <v>2552</v>
      </c>
      <c r="D502" s="863"/>
      <c r="I502" s="845" t="str">
        <f>CONCATENATE("&lt;valeur&gt;",Cellule_264,"&lt;/valeur&gt;")</f>
        <v>&lt;valeur&gt;0&lt;/valeur&gt;</v>
      </c>
    </row>
    <row r="503" spans="1:10" x14ac:dyDescent="0.2">
      <c r="A503" s="859">
        <f t="shared" si="7"/>
        <v>502</v>
      </c>
      <c r="B503" s="845" t="s">
        <v>2552</v>
      </c>
      <c r="D503" s="862"/>
      <c r="H503" s="845" t="s">
        <v>1010</v>
      </c>
    </row>
    <row r="504" spans="1:10" x14ac:dyDescent="0.2">
      <c r="A504" s="859">
        <f t="shared" si="7"/>
        <v>503</v>
      </c>
      <c r="B504" s="845" t="s">
        <v>2552</v>
      </c>
      <c r="D504" s="862"/>
      <c r="H504" s="845" t="s">
        <v>1007</v>
      </c>
    </row>
    <row r="505" spans="1:10" x14ac:dyDescent="0.2">
      <c r="A505" s="859">
        <f t="shared" si="7"/>
        <v>504</v>
      </c>
      <c r="B505" s="845" t="s">
        <v>2552</v>
      </c>
      <c r="D505" s="861"/>
      <c r="I505" s="845" t="s">
        <v>1008</v>
      </c>
    </row>
    <row r="506" spans="1:10" x14ac:dyDescent="0.2">
      <c r="A506" s="859">
        <f t="shared" si="7"/>
        <v>505</v>
      </c>
      <c r="B506" s="845" t="s">
        <v>2552</v>
      </c>
      <c r="D506" s="861"/>
      <c r="J506" s="845" t="s">
        <v>1104</v>
      </c>
    </row>
    <row r="507" spans="1:10" x14ac:dyDescent="0.2">
      <c r="A507" s="859">
        <f t="shared" si="7"/>
        <v>506</v>
      </c>
      <c r="B507" s="845" t="s">
        <v>2552</v>
      </c>
      <c r="D507" s="862"/>
      <c r="I507" s="845" t="s">
        <v>1009</v>
      </c>
    </row>
    <row r="508" spans="1:10" x14ac:dyDescent="0.2">
      <c r="A508" s="859">
        <f t="shared" si="7"/>
        <v>507</v>
      </c>
      <c r="B508" s="845" t="s">
        <v>2552</v>
      </c>
      <c r="D508" s="863"/>
      <c r="I508" s="845" t="str">
        <f>CONCATENATE("&lt;valeur&gt;",Cellule_265,"&lt;/valeur&gt;")</f>
        <v>&lt;valeur&gt;0&lt;/valeur&gt;</v>
      </c>
    </row>
    <row r="509" spans="1:10" x14ac:dyDescent="0.2">
      <c r="A509" s="859">
        <f t="shared" si="7"/>
        <v>508</v>
      </c>
      <c r="B509" s="845" t="s">
        <v>2552</v>
      </c>
      <c r="D509" s="862"/>
      <c r="H509" s="845" t="s">
        <v>1010</v>
      </c>
    </row>
    <row r="510" spans="1:10" x14ac:dyDescent="0.2">
      <c r="A510" s="859">
        <f t="shared" si="7"/>
        <v>509</v>
      </c>
      <c r="B510" s="845" t="s">
        <v>2552</v>
      </c>
      <c r="D510" s="862"/>
      <c r="H510" s="845" t="s">
        <v>1007</v>
      </c>
    </row>
    <row r="511" spans="1:10" x14ac:dyDescent="0.2">
      <c r="A511" s="859">
        <f t="shared" si="7"/>
        <v>510</v>
      </c>
      <c r="B511" s="845" t="s">
        <v>2552</v>
      </c>
      <c r="D511" s="861"/>
      <c r="I511" s="845" t="s">
        <v>1008</v>
      </c>
    </row>
    <row r="512" spans="1:10" x14ac:dyDescent="0.2">
      <c r="A512" s="859">
        <f t="shared" si="7"/>
        <v>511</v>
      </c>
      <c r="B512" s="845" t="s">
        <v>2552</v>
      </c>
      <c r="D512" s="861"/>
      <c r="J512" s="845" t="s">
        <v>1105</v>
      </c>
    </row>
    <row r="513" spans="1:10" x14ac:dyDescent="0.2">
      <c r="A513" s="859">
        <f t="shared" si="7"/>
        <v>512</v>
      </c>
      <c r="B513" s="845" t="s">
        <v>2552</v>
      </c>
      <c r="D513" s="862"/>
      <c r="I513" s="845" t="s">
        <v>1009</v>
      </c>
    </row>
    <row r="514" spans="1:10" x14ac:dyDescent="0.2">
      <c r="A514" s="859">
        <f t="shared" si="7"/>
        <v>513</v>
      </c>
      <c r="B514" s="845" t="s">
        <v>2552</v>
      </c>
      <c r="D514" s="863"/>
      <c r="I514" s="845" t="str">
        <f>CONCATENATE("&lt;valeur&gt;",Cellule_514,"&lt;/valeur&gt;")</f>
        <v>&lt;valeur&gt;0&lt;/valeur&gt;</v>
      </c>
    </row>
    <row r="515" spans="1:10" x14ac:dyDescent="0.2">
      <c r="A515" s="859">
        <f t="shared" si="7"/>
        <v>514</v>
      </c>
      <c r="B515" s="845" t="s">
        <v>2552</v>
      </c>
      <c r="D515" s="862"/>
      <c r="H515" s="845" t="s">
        <v>1010</v>
      </c>
    </row>
    <row r="516" spans="1:10" x14ac:dyDescent="0.2">
      <c r="A516" s="859">
        <f t="shared" ref="A516:A579" si="8">+A515+1</f>
        <v>515</v>
      </c>
      <c r="B516" s="845" t="s">
        <v>2552</v>
      </c>
      <c r="D516" s="862"/>
      <c r="H516" s="845" t="s">
        <v>1007</v>
      </c>
    </row>
    <row r="517" spans="1:10" x14ac:dyDescent="0.2">
      <c r="A517" s="859">
        <f t="shared" si="8"/>
        <v>516</v>
      </c>
      <c r="B517" s="845" t="s">
        <v>2552</v>
      </c>
      <c r="D517" s="861"/>
      <c r="I517" s="845" t="s">
        <v>1008</v>
      </c>
    </row>
    <row r="518" spans="1:10" x14ac:dyDescent="0.2">
      <c r="A518" s="859">
        <f t="shared" si="8"/>
        <v>517</v>
      </c>
      <c r="B518" s="845" t="s">
        <v>2552</v>
      </c>
      <c r="D518" s="861"/>
      <c r="J518" s="845" t="s">
        <v>1106</v>
      </c>
    </row>
    <row r="519" spans="1:10" x14ac:dyDescent="0.2">
      <c r="A519" s="859">
        <f t="shared" si="8"/>
        <v>518</v>
      </c>
      <c r="B519" s="845" t="s">
        <v>2552</v>
      </c>
      <c r="D519" s="862"/>
      <c r="I519" s="845" t="s">
        <v>1009</v>
      </c>
    </row>
    <row r="520" spans="1:10" x14ac:dyDescent="0.2">
      <c r="A520" s="859">
        <f t="shared" si="8"/>
        <v>519</v>
      </c>
      <c r="B520" s="845" t="s">
        <v>2552</v>
      </c>
      <c r="D520" s="863"/>
      <c r="I520" s="845" t="str">
        <f>CONCATENATE("&lt;valeur&gt;",Cellule_266,"&lt;/valeur&gt;")</f>
        <v>&lt;valeur&gt;0&lt;/valeur&gt;</v>
      </c>
    </row>
    <row r="521" spans="1:10" x14ac:dyDescent="0.2">
      <c r="A521" s="859">
        <f t="shared" si="8"/>
        <v>520</v>
      </c>
      <c r="B521" s="845" t="s">
        <v>2552</v>
      </c>
      <c r="D521" s="862"/>
      <c r="H521" s="845" t="s">
        <v>1010</v>
      </c>
    </row>
    <row r="522" spans="1:10" x14ac:dyDescent="0.2">
      <c r="A522" s="859">
        <f t="shared" si="8"/>
        <v>521</v>
      </c>
      <c r="B522" s="845" t="s">
        <v>2552</v>
      </c>
      <c r="D522" s="862"/>
      <c r="H522" s="845" t="s">
        <v>1007</v>
      </c>
    </row>
    <row r="523" spans="1:10" x14ac:dyDescent="0.2">
      <c r="A523" s="859">
        <f t="shared" si="8"/>
        <v>522</v>
      </c>
      <c r="B523" s="845" t="s">
        <v>2552</v>
      </c>
      <c r="D523" s="861"/>
      <c r="I523" s="845" t="s">
        <v>1008</v>
      </c>
    </row>
    <row r="524" spans="1:10" x14ac:dyDescent="0.2">
      <c r="A524" s="859">
        <f t="shared" si="8"/>
        <v>523</v>
      </c>
      <c r="B524" s="845" t="s">
        <v>2552</v>
      </c>
      <c r="D524" s="861"/>
      <c r="J524" s="845" t="s">
        <v>1107</v>
      </c>
    </row>
    <row r="525" spans="1:10" x14ac:dyDescent="0.2">
      <c r="A525" s="859">
        <f t="shared" si="8"/>
        <v>524</v>
      </c>
      <c r="B525" s="845" t="s">
        <v>2552</v>
      </c>
      <c r="D525" s="862"/>
      <c r="I525" s="845" t="s">
        <v>1009</v>
      </c>
    </row>
    <row r="526" spans="1:10" x14ac:dyDescent="0.2">
      <c r="A526" s="859">
        <f t="shared" si="8"/>
        <v>525</v>
      </c>
      <c r="B526" s="845" t="s">
        <v>2552</v>
      </c>
      <c r="D526" s="863"/>
      <c r="I526" s="845" t="str">
        <f>CONCATENATE("&lt;valeur&gt;",Cellule_267,"&lt;/valeur&gt;")</f>
        <v>&lt;valeur&gt;0&lt;/valeur&gt;</v>
      </c>
    </row>
    <row r="527" spans="1:10" x14ac:dyDescent="0.2">
      <c r="A527" s="859">
        <f t="shared" si="8"/>
        <v>526</v>
      </c>
      <c r="B527" s="845" t="s">
        <v>2552</v>
      </c>
      <c r="D527" s="862"/>
      <c r="H527" s="845" t="s">
        <v>1010</v>
      </c>
    </row>
    <row r="528" spans="1:10" x14ac:dyDescent="0.2">
      <c r="A528" s="859">
        <f t="shared" si="8"/>
        <v>527</v>
      </c>
      <c r="B528" s="845" t="s">
        <v>2552</v>
      </c>
      <c r="D528" s="862"/>
      <c r="H528" s="845" t="s">
        <v>1007</v>
      </c>
    </row>
    <row r="529" spans="1:10" x14ac:dyDescent="0.2">
      <c r="A529" s="859">
        <f t="shared" si="8"/>
        <v>528</v>
      </c>
      <c r="B529" s="845" t="s">
        <v>2552</v>
      </c>
      <c r="D529" s="861"/>
      <c r="I529" s="845" t="s">
        <v>1008</v>
      </c>
    </row>
    <row r="530" spans="1:10" x14ac:dyDescent="0.2">
      <c r="A530" s="859">
        <f t="shared" si="8"/>
        <v>529</v>
      </c>
      <c r="B530" s="845" t="s">
        <v>2552</v>
      </c>
      <c r="D530" s="861"/>
      <c r="J530" s="845" t="s">
        <v>1108</v>
      </c>
    </row>
    <row r="531" spans="1:10" x14ac:dyDescent="0.2">
      <c r="A531" s="859">
        <f t="shared" si="8"/>
        <v>530</v>
      </c>
      <c r="B531" s="845" t="s">
        <v>2552</v>
      </c>
      <c r="D531" s="862"/>
      <c r="I531" s="845" t="s">
        <v>1009</v>
      </c>
    </row>
    <row r="532" spans="1:10" x14ac:dyDescent="0.2">
      <c r="A532" s="859">
        <f t="shared" si="8"/>
        <v>531</v>
      </c>
      <c r="B532" s="845" t="s">
        <v>2552</v>
      </c>
      <c r="D532" s="863"/>
      <c r="I532" s="845" t="str">
        <f>CONCATENATE("&lt;valeur&gt;",Cellule_268,"&lt;/valeur&gt;")</f>
        <v>&lt;valeur&gt;0&lt;/valeur&gt;</v>
      </c>
    </row>
    <row r="533" spans="1:10" x14ac:dyDescent="0.2">
      <c r="A533" s="859">
        <f t="shared" si="8"/>
        <v>532</v>
      </c>
      <c r="B533" s="845" t="s">
        <v>2552</v>
      </c>
      <c r="D533" s="862"/>
      <c r="H533" s="845" t="s">
        <v>1010</v>
      </c>
    </row>
    <row r="534" spans="1:10" x14ac:dyDescent="0.2">
      <c r="A534" s="859">
        <f t="shared" si="8"/>
        <v>533</v>
      </c>
      <c r="B534" s="845" t="s">
        <v>2552</v>
      </c>
      <c r="D534" s="862"/>
      <c r="H534" s="845" t="s">
        <v>1007</v>
      </c>
    </row>
    <row r="535" spans="1:10" x14ac:dyDescent="0.2">
      <c r="A535" s="859">
        <f t="shared" si="8"/>
        <v>534</v>
      </c>
      <c r="B535" s="845" t="s">
        <v>2552</v>
      </c>
      <c r="D535" s="861"/>
      <c r="I535" s="845" t="s">
        <v>1008</v>
      </c>
    </row>
    <row r="536" spans="1:10" x14ac:dyDescent="0.2">
      <c r="A536" s="859">
        <f t="shared" si="8"/>
        <v>535</v>
      </c>
      <c r="B536" s="845" t="s">
        <v>2552</v>
      </c>
      <c r="D536" s="861"/>
      <c r="J536" s="845" t="s">
        <v>1109</v>
      </c>
    </row>
    <row r="537" spans="1:10" x14ac:dyDescent="0.2">
      <c r="A537" s="859">
        <f t="shared" si="8"/>
        <v>536</v>
      </c>
      <c r="B537" s="845" t="s">
        <v>2552</v>
      </c>
      <c r="D537" s="862"/>
      <c r="I537" s="845" t="s">
        <v>1009</v>
      </c>
    </row>
    <row r="538" spans="1:10" x14ac:dyDescent="0.2">
      <c r="A538" s="859">
        <f t="shared" si="8"/>
        <v>537</v>
      </c>
      <c r="B538" s="845" t="s">
        <v>2552</v>
      </c>
      <c r="D538" s="863"/>
      <c r="I538" s="845" t="str">
        <f>CONCATENATE("&lt;valeur&gt;",Cellule_269,"&lt;/valeur&gt;")</f>
        <v>&lt;valeur&gt;0&lt;/valeur&gt;</v>
      </c>
    </row>
    <row r="539" spans="1:10" x14ac:dyDescent="0.2">
      <c r="A539" s="859">
        <f t="shared" si="8"/>
        <v>538</v>
      </c>
      <c r="B539" s="845" t="s">
        <v>2552</v>
      </c>
      <c r="D539" s="862"/>
      <c r="H539" s="845" t="s">
        <v>1010</v>
      </c>
    </row>
    <row r="540" spans="1:10" x14ac:dyDescent="0.2">
      <c r="A540" s="859">
        <f t="shared" si="8"/>
        <v>539</v>
      </c>
      <c r="B540" s="845" t="s">
        <v>2552</v>
      </c>
      <c r="D540" s="862"/>
      <c r="H540" s="845" t="s">
        <v>1007</v>
      </c>
    </row>
    <row r="541" spans="1:10" x14ac:dyDescent="0.2">
      <c r="A541" s="859">
        <f t="shared" si="8"/>
        <v>540</v>
      </c>
      <c r="B541" s="845" t="s">
        <v>2552</v>
      </c>
      <c r="D541" s="861"/>
      <c r="I541" s="845" t="s">
        <v>1008</v>
      </c>
    </row>
    <row r="542" spans="1:10" x14ac:dyDescent="0.2">
      <c r="A542" s="859">
        <f t="shared" si="8"/>
        <v>541</v>
      </c>
      <c r="B542" s="845" t="s">
        <v>2552</v>
      </c>
      <c r="D542" s="861"/>
      <c r="J542" s="845" t="s">
        <v>1110</v>
      </c>
    </row>
    <row r="543" spans="1:10" x14ac:dyDescent="0.2">
      <c r="A543" s="859">
        <f t="shared" si="8"/>
        <v>542</v>
      </c>
      <c r="B543" s="845" t="s">
        <v>2552</v>
      </c>
      <c r="D543" s="862"/>
      <c r="I543" s="845" t="s">
        <v>1009</v>
      </c>
    </row>
    <row r="544" spans="1:10" x14ac:dyDescent="0.2">
      <c r="A544" s="859">
        <f t="shared" si="8"/>
        <v>543</v>
      </c>
      <c r="B544" s="845" t="s">
        <v>2552</v>
      </c>
      <c r="D544" s="863"/>
      <c r="I544" s="845" t="str">
        <f>CONCATENATE("&lt;valeur&gt;",Cellule_515,"&lt;/valeur&gt;")</f>
        <v>&lt;valeur&gt;0&lt;/valeur&gt;</v>
      </c>
    </row>
    <row r="545" spans="1:10" x14ac:dyDescent="0.2">
      <c r="A545" s="859">
        <f t="shared" si="8"/>
        <v>544</v>
      </c>
      <c r="B545" s="845" t="s">
        <v>2552</v>
      </c>
      <c r="D545" s="862"/>
      <c r="H545" s="845" t="s">
        <v>1010</v>
      </c>
    </row>
    <row r="546" spans="1:10" x14ac:dyDescent="0.2">
      <c r="A546" s="859">
        <f t="shared" si="8"/>
        <v>545</v>
      </c>
      <c r="B546" s="845" t="s">
        <v>2552</v>
      </c>
      <c r="D546" s="862"/>
      <c r="H546" s="845" t="s">
        <v>1007</v>
      </c>
    </row>
    <row r="547" spans="1:10" x14ac:dyDescent="0.2">
      <c r="A547" s="859">
        <f t="shared" si="8"/>
        <v>546</v>
      </c>
      <c r="B547" s="845" t="s">
        <v>2552</v>
      </c>
      <c r="D547" s="861"/>
      <c r="I547" s="845" t="s">
        <v>1008</v>
      </c>
    </row>
    <row r="548" spans="1:10" x14ac:dyDescent="0.2">
      <c r="A548" s="859">
        <f t="shared" si="8"/>
        <v>547</v>
      </c>
      <c r="B548" s="845" t="s">
        <v>2552</v>
      </c>
      <c r="D548" s="861"/>
      <c r="J548" s="845" t="s">
        <v>1111</v>
      </c>
    </row>
    <row r="549" spans="1:10" x14ac:dyDescent="0.2">
      <c r="A549" s="859">
        <f t="shared" si="8"/>
        <v>548</v>
      </c>
      <c r="B549" s="845" t="s">
        <v>2552</v>
      </c>
      <c r="D549" s="862"/>
      <c r="I549" s="845" t="s">
        <v>1009</v>
      </c>
    </row>
    <row r="550" spans="1:10" x14ac:dyDescent="0.2">
      <c r="A550" s="859">
        <f t="shared" si="8"/>
        <v>549</v>
      </c>
      <c r="B550" s="845" t="s">
        <v>2552</v>
      </c>
      <c r="D550" s="863"/>
      <c r="I550" s="845" t="str">
        <f>CONCATENATE("&lt;valeur&gt;",Cellule_192,"&lt;/valeur&gt;")</f>
        <v>&lt;valeur&gt;0&lt;/valeur&gt;</v>
      </c>
    </row>
    <row r="551" spans="1:10" x14ac:dyDescent="0.2">
      <c r="A551" s="859">
        <f t="shared" si="8"/>
        <v>550</v>
      </c>
      <c r="B551" s="845" t="s">
        <v>2552</v>
      </c>
      <c r="D551" s="862"/>
      <c r="H551" s="845" t="s">
        <v>1010</v>
      </c>
    </row>
    <row r="552" spans="1:10" x14ac:dyDescent="0.2">
      <c r="A552" s="859">
        <f t="shared" si="8"/>
        <v>551</v>
      </c>
      <c r="B552" s="845" t="s">
        <v>2552</v>
      </c>
      <c r="D552" s="862"/>
      <c r="H552" s="845" t="s">
        <v>1007</v>
      </c>
    </row>
    <row r="553" spans="1:10" x14ac:dyDescent="0.2">
      <c r="A553" s="859">
        <f t="shared" si="8"/>
        <v>552</v>
      </c>
      <c r="B553" s="845" t="s">
        <v>2552</v>
      </c>
      <c r="D553" s="861"/>
      <c r="I553" s="845" t="s">
        <v>1008</v>
      </c>
    </row>
    <row r="554" spans="1:10" x14ac:dyDescent="0.2">
      <c r="A554" s="859">
        <f t="shared" si="8"/>
        <v>553</v>
      </c>
      <c r="B554" s="845" t="s">
        <v>2552</v>
      </c>
      <c r="D554" s="861"/>
      <c r="J554" s="845" t="s">
        <v>1112</v>
      </c>
    </row>
    <row r="555" spans="1:10" x14ac:dyDescent="0.2">
      <c r="A555" s="859">
        <f t="shared" si="8"/>
        <v>554</v>
      </c>
      <c r="B555" s="845" t="s">
        <v>2552</v>
      </c>
      <c r="D555" s="862"/>
      <c r="I555" s="845" t="s">
        <v>1009</v>
      </c>
    </row>
    <row r="556" spans="1:10" x14ac:dyDescent="0.2">
      <c r="A556" s="859">
        <f t="shared" si="8"/>
        <v>555</v>
      </c>
      <c r="B556" s="845" t="s">
        <v>2552</v>
      </c>
      <c r="D556" s="863"/>
      <c r="I556" s="845" t="str">
        <f>CONCATENATE("&lt;valeur&gt;",Cellule_193,"&lt;/valeur&gt;")</f>
        <v>&lt;valeur&gt;0&lt;/valeur&gt;</v>
      </c>
    </row>
    <row r="557" spans="1:10" x14ac:dyDescent="0.2">
      <c r="A557" s="859">
        <f t="shared" si="8"/>
        <v>556</v>
      </c>
      <c r="B557" s="845" t="s">
        <v>2552</v>
      </c>
      <c r="D557" s="862"/>
      <c r="H557" s="845" t="s">
        <v>1010</v>
      </c>
    </row>
    <row r="558" spans="1:10" x14ac:dyDescent="0.2">
      <c r="A558" s="859">
        <f t="shared" si="8"/>
        <v>557</v>
      </c>
      <c r="B558" s="845" t="s">
        <v>2552</v>
      </c>
      <c r="D558" s="862"/>
      <c r="H558" s="845" t="s">
        <v>1007</v>
      </c>
    </row>
    <row r="559" spans="1:10" x14ac:dyDescent="0.2">
      <c r="A559" s="859">
        <f t="shared" si="8"/>
        <v>558</v>
      </c>
      <c r="B559" s="845" t="s">
        <v>2552</v>
      </c>
      <c r="D559" s="861"/>
      <c r="I559" s="845" t="s">
        <v>1008</v>
      </c>
    </row>
    <row r="560" spans="1:10" x14ac:dyDescent="0.2">
      <c r="A560" s="859">
        <f t="shared" si="8"/>
        <v>559</v>
      </c>
      <c r="B560" s="845" t="s">
        <v>2552</v>
      </c>
      <c r="D560" s="861"/>
      <c r="J560" s="845" t="s">
        <v>1113</v>
      </c>
    </row>
    <row r="561" spans="1:10" x14ac:dyDescent="0.2">
      <c r="A561" s="859">
        <f t="shared" si="8"/>
        <v>560</v>
      </c>
      <c r="B561" s="845" t="s">
        <v>2552</v>
      </c>
      <c r="D561" s="862"/>
      <c r="I561" s="845" t="s">
        <v>1009</v>
      </c>
    </row>
    <row r="562" spans="1:10" x14ac:dyDescent="0.2">
      <c r="A562" s="859">
        <f t="shared" si="8"/>
        <v>561</v>
      </c>
      <c r="B562" s="845" t="s">
        <v>2552</v>
      </c>
      <c r="D562" s="863"/>
      <c r="I562" s="845" t="str">
        <f>CONCATENATE("&lt;valeur&gt;",Cellule_517,"&lt;/valeur&gt;")</f>
        <v>&lt;valeur&gt;0&lt;/valeur&gt;</v>
      </c>
    </row>
    <row r="563" spans="1:10" x14ac:dyDescent="0.2">
      <c r="A563" s="859">
        <f t="shared" si="8"/>
        <v>562</v>
      </c>
      <c r="B563" s="845" t="s">
        <v>2552</v>
      </c>
      <c r="D563" s="862"/>
      <c r="H563" s="845" t="s">
        <v>1010</v>
      </c>
    </row>
    <row r="564" spans="1:10" x14ac:dyDescent="0.2">
      <c r="A564" s="859">
        <f t="shared" si="8"/>
        <v>563</v>
      </c>
      <c r="B564" s="845" t="s">
        <v>2552</v>
      </c>
      <c r="D564" s="862"/>
      <c r="H564" s="845" t="s">
        <v>1007</v>
      </c>
    </row>
    <row r="565" spans="1:10" x14ac:dyDescent="0.2">
      <c r="A565" s="859">
        <f t="shared" si="8"/>
        <v>564</v>
      </c>
      <c r="B565" s="845" t="s">
        <v>2552</v>
      </c>
      <c r="D565" s="861"/>
      <c r="I565" s="845" t="s">
        <v>1008</v>
      </c>
    </row>
    <row r="566" spans="1:10" x14ac:dyDescent="0.2">
      <c r="A566" s="859">
        <f t="shared" si="8"/>
        <v>565</v>
      </c>
      <c r="B566" s="845" t="s">
        <v>2552</v>
      </c>
      <c r="D566" s="861"/>
      <c r="J566" s="845" t="s">
        <v>1114</v>
      </c>
    </row>
    <row r="567" spans="1:10" x14ac:dyDescent="0.2">
      <c r="A567" s="859">
        <f t="shared" si="8"/>
        <v>566</v>
      </c>
      <c r="B567" s="845" t="s">
        <v>2552</v>
      </c>
      <c r="D567" s="862"/>
      <c r="I567" s="845" t="s">
        <v>1009</v>
      </c>
    </row>
    <row r="568" spans="1:10" x14ac:dyDescent="0.2">
      <c r="A568" s="859">
        <f t="shared" si="8"/>
        <v>567</v>
      </c>
      <c r="B568" s="845" t="s">
        <v>2552</v>
      </c>
      <c r="D568" s="863"/>
      <c r="I568" s="845" t="str">
        <f>CONCATENATE("&lt;valeur&gt;",Cellule_194,"&lt;/valeur&gt;")</f>
        <v>&lt;valeur&gt;&lt;/valeur&gt;</v>
      </c>
    </row>
    <row r="569" spans="1:10" x14ac:dyDescent="0.2">
      <c r="A569" s="859">
        <f t="shared" si="8"/>
        <v>568</v>
      </c>
      <c r="B569" s="845" t="s">
        <v>2552</v>
      </c>
      <c r="D569" s="862"/>
      <c r="H569" s="845" t="s">
        <v>1010</v>
      </c>
    </row>
    <row r="570" spans="1:10" x14ac:dyDescent="0.2">
      <c r="A570" s="859">
        <f t="shared" si="8"/>
        <v>569</v>
      </c>
      <c r="B570" s="845" t="s">
        <v>2552</v>
      </c>
      <c r="D570" s="862"/>
      <c r="H570" s="845" t="s">
        <v>1007</v>
      </c>
    </row>
    <row r="571" spans="1:10" x14ac:dyDescent="0.2">
      <c r="A571" s="859">
        <f t="shared" si="8"/>
        <v>570</v>
      </c>
      <c r="B571" s="845" t="s">
        <v>2552</v>
      </c>
      <c r="D571" s="861"/>
      <c r="I571" s="845" t="s">
        <v>1008</v>
      </c>
    </row>
    <row r="572" spans="1:10" x14ac:dyDescent="0.2">
      <c r="A572" s="859">
        <f t="shared" si="8"/>
        <v>571</v>
      </c>
      <c r="B572" s="845" t="s">
        <v>2552</v>
      </c>
      <c r="D572" s="861"/>
      <c r="J572" s="845" t="s">
        <v>1115</v>
      </c>
    </row>
    <row r="573" spans="1:10" x14ac:dyDescent="0.2">
      <c r="A573" s="859">
        <f t="shared" si="8"/>
        <v>572</v>
      </c>
      <c r="B573" s="845" t="s">
        <v>2552</v>
      </c>
      <c r="D573" s="862"/>
      <c r="I573" s="845" t="s">
        <v>1009</v>
      </c>
    </row>
    <row r="574" spans="1:10" x14ac:dyDescent="0.2">
      <c r="A574" s="859">
        <f t="shared" si="8"/>
        <v>573</v>
      </c>
      <c r="B574" s="845" t="s">
        <v>2552</v>
      </c>
      <c r="D574" s="863"/>
      <c r="I574" s="845" t="str">
        <f>CONCATENATE("&lt;valeur&gt;",Cellule_195,"&lt;/valeur&gt;")</f>
        <v>&lt;valeur&gt;&lt;/valeur&gt;</v>
      </c>
    </row>
    <row r="575" spans="1:10" x14ac:dyDescent="0.2">
      <c r="A575" s="859">
        <f t="shared" si="8"/>
        <v>574</v>
      </c>
      <c r="B575" s="845" t="s">
        <v>2552</v>
      </c>
      <c r="D575" s="862"/>
      <c r="H575" s="845" t="s">
        <v>1010</v>
      </c>
    </row>
    <row r="576" spans="1:10" x14ac:dyDescent="0.2">
      <c r="A576" s="859">
        <f t="shared" si="8"/>
        <v>575</v>
      </c>
      <c r="B576" s="845" t="s">
        <v>2552</v>
      </c>
      <c r="D576" s="862"/>
      <c r="H576" s="845" t="s">
        <v>1007</v>
      </c>
    </row>
    <row r="577" spans="1:10" x14ac:dyDescent="0.2">
      <c r="A577" s="859">
        <f t="shared" si="8"/>
        <v>576</v>
      </c>
      <c r="B577" s="845" t="s">
        <v>2552</v>
      </c>
      <c r="D577" s="861"/>
      <c r="I577" s="845" t="s">
        <v>1008</v>
      </c>
    </row>
    <row r="578" spans="1:10" x14ac:dyDescent="0.2">
      <c r="A578" s="859">
        <f t="shared" si="8"/>
        <v>577</v>
      </c>
      <c r="B578" s="845" t="s">
        <v>2552</v>
      </c>
      <c r="D578" s="861"/>
      <c r="J578" s="845" t="s">
        <v>1116</v>
      </c>
    </row>
    <row r="579" spans="1:10" x14ac:dyDescent="0.2">
      <c r="A579" s="859">
        <f t="shared" si="8"/>
        <v>578</v>
      </c>
      <c r="B579" s="845" t="s">
        <v>2552</v>
      </c>
      <c r="D579" s="862"/>
      <c r="I579" s="845" t="s">
        <v>1009</v>
      </c>
    </row>
    <row r="580" spans="1:10" x14ac:dyDescent="0.2">
      <c r="A580" s="859">
        <f t="shared" ref="A580:A643" si="9">+A579+1</f>
        <v>579</v>
      </c>
      <c r="B580" s="845" t="s">
        <v>2552</v>
      </c>
      <c r="D580" s="863"/>
      <c r="I580" s="845" t="str">
        <f>CONCATENATE("&lt;valeur&gt;",Cellule_518,"&lt;/valeur&gt;")</f>
        <v>&lt;valeur&gt;&lt;/valeur&gt;</v>
      </c>
    </row>
    <row r="581" spans="1:10" x14ac:dyDescent="0.2">
      <c r="A581" s="859">
        <f t="shared" si="9"/>
        <v>580</v>
      </c>
      <c r="B581" s="845" t="s">
        <v>2552</v>
      </c>
      <c r="D581" s="862"/>
      <c r="H581" s="845" t="s">
        <v>1010</v>
      </c>
    </row>
    <row r="582" spans="1:10" x14ac:dyDescent="0.2">
      <c r="A582" s="859">
        <f t="shared" si="9"/>
        <v>581</v>
      </c>
      <c r="B582" s="845" t="s">
        <v>2552</v>
      </c>
      <c r="D582" s="862"/>
      <c r="H582" s="845" t="s">
        <v>1007</v>
      </c>
    </row>
    <row r="583" spans="1:10" x14ac:dyDescent="0.2">
      <c r="A583" s="859">
        <f t="shared" si="9"/>
        <v>582</v>
      </c>
      <c r="B583" s="845" t="s">
        <v>2552</v>
      </c>
      <c r="D583" s="861"/>
      <c r="I583" s="845" t="s">
        <v>1008</v>
      </c>
    </row>
    <row r="584" spans="1:10" x14ac:dyDescent="0.2">
      <c r="A584" s="859">
        <f t="shared" si="9"/>
        <v>583</v>
      </c>
      <c r="B584" s="845" t="s">
        <v>2552</v>
      </c>
      <c r="D584" s="861"/>
      <c r="J584" s="845" t="s">
        <v>1117</v>
      </c>
    </row>
    <row r="585" spans="1:10" x14ac:dyDescent="0.2">
      <c r="A585" s="859">
        <f t="shared" si="9"/>
        <v>584</v>
      </c>
      <c r="B585" s="845" t="s">
        <v>2552</v>
      </c>
      <c r="D585" s="862"/>
      <c r="I585" s="845" t="s">
        <v>1009</v>
      </c>
    </row>
    <row r="586" spans="1:10" x14ac:dyDescent="0.2">
      <c r="A586" s="859">
        <f t="shared" si="9"/>
        <v>585</v>
      </c>
      <c r="B586" s="845" t="s">
        <v>2552</v>
      </c>
      <c r="D586" s="863"/>
      <c r="I586" s="845" t="str">
        <f>CONCATENATE("&lt;valeur&gt;",Cellule_196,"&lt;/valeur&gt;")</f>
        <v>&lt;valeur&gt;0&lt;/valeur&gt;</v>
      </c>
    </row>
    <row r="587" spans="1:10" x14ac:dyDescent="0.2">
      <c r="A587" s="859">
        <f t="shared" si="9"/>
        <v>586</v>
      </c>
      <c r="B587" s="845" t="s">
        <v>2552</v>
      </c>
      <c r="D587" s="862"/>
      <c r="H587" s="845" t="s">
        <v>1010</v>
      </c>
    </row>
    <row r="588" spans="1:10" x14ac:dyDescent="0.2">
      <c r="A588" s="859">
        <f t="shared" si="9"/>
        <v>587</v>
      </c>
      <c r="B588" s="845" t="s">
        <v>2552</v>
      </c>
      <c r="D588" s="862"/>
      <c r="H588" s="845" t="s">
        <v>1007</v>
      </c>
    </row>
    <row r="589" spans="1:10" x14ac:dyDescent="0.2">
      <c r="A589" s="859">
        <f t="shared" si="9"/>
        <v>588</v>
      </c>
      <c r="B589" s="845" t="s">
        <v>2552</v>
      </c>
      <c r="D589" s="861"/>
      <c r="I589" s="845" t="s">
        <v>1008</v>
      </c>
    </row>
    <row r="590" spans="1:10" x14ac:dyDescent="0.2">
      <c r="A590" s="859">
        <f t="shared" si="9"/>
        <v>589</v>
      </c>
      <c r="B590" s="845" t="s">
        <v>2552</v>
      </c>
      <c r="D590" s="861"/>
      <c r="J590" s="845" t="s">
        <v>1118</v>
      </c>
    </row>
    <row r="591" spans="1:10" x14ac:dyDescent="0.2">
      <c r="A591" s="859">
        <f t="shared" si="9"/>
        <v>590</v>
      </c>
      <c r="B591" s="845" t="s">
        <v>2552</v>
      </c>
      <c r="D591" s="862"/>
      <c r="I591" s="845" t="s">
        <v>1009</v>
      </c>
    </row>
    <row r="592" spans="1:10" x14ac:dyDescent="0.2">
      <c r="A592" s="859">
        <f t="shared" si="9"/>
        <v>591</v>
      </c>
      <c r="B592" s="845" t="s">
        <v>2552</v>
      </c>
      <c r="D592" s="863"/>
      <c r="I592" s="845" t="str">
        <f>CONCATENATE("&lt;valeur&gt;",Cellule_197,"&lt;/valeur&gt;")</f>
        <v>&lt;valeur&gt;0&lt;/valeur&gt;</v>
      </c>
    </row>
    <row r="593" spans="1:10" x14ac:dyDescent="0.2">
      <c r="A593" s="859">
        <f t="shared" si="9"/>
        <v>592</v>
      </c>
      <c r="B593" s="845" t="s">
        <v>2552</v>
      </c>
      <c r="D593" s="862"/>
      <c r="H593" s="845" t="s">
        <v>1010</v>
      </c>
    </row>
    <row r="594" spans="1:10" x14ac:dyDescent="0.2">
      <c r="A594" s="859">
        <f t="shared" si="9"/>
        <v>593</v>
      </c>
      <c r="B594" s="845" t="s">
        <v>2552</v>
      </c>
      <c r="D594" s="862"/>
      <c r="H594" s="845" t="s">
        <v>1007</v>
      </c>
    </row>
    <row r="595" spans="1:10" x14ac:dyDescent="0.2">
      <c r="A595" s="859">
        <f t="shared" si="9"/>
        <v>594</v>
      </c>
      <c r="B595" s="845" t="s">
        <v>2552</v>
      </c>
      <c r="D595" s="861"/>
      <c r="I595" s="845" t="s">
        <v>1008</v>
      </c>
    </row>
    <row r="596" spans="1:10" x14ac:dyDescent="0.2">
      <c r="A596" s="859">
        <f t="shared" si="9"/>
        <v>595</v>
      </c>
      <c r="B596" s="845" t="s">
        <v>2552</v>
      </c>
      <c r="D596" s="861"/>
      <c r="J596" s="845" t="s">
        <v>1119</v>
      </c>
    </row>
    <row r="597" spans="1:10" x14ac:dyDescent="0.2">
      <c r="A597" s="859">
        <f t="shared" si="9"/>
        <v>596</v>
      </c>
      <c r="B597" s="845" t="s">
        <v>2552</v>
      </c>
      <c r="D597" s="862"/>
      <c r="I597" s="845" t="s">
        <v>1009</v>
      </c>
    </row>
    <row r="598" spans="1:10" x14ac:dyDescent="0.2">
      <c r="A598" s="859">
        <f t="shared" si="9"/>
        <v>597</v>
      </c>
      <c r="B598" s="845" t="s">
        <v>2552</v>
      </c>
      <c r="D598" s="863"/>
      <c r="I598" s="845" t="str">
        <f>CONCATENATE("&lt;valeur&gt;",Cellule_519,"&lt;/valeur&gt;")</f>
        <v>&lt;valeur&gt;0&lt;/valeur&gt;</v>
      </c>
    </row>
    <row r="599" spans="1:10" x14ac:dyDescent="0.2">
      <c r="A599" s="859">
        <f t="shared" si="9"/>
        <v>598</v>
      </c>
      <c r="B599" s="845" t="s">
        <v>2552</v>
      </c>
      <c r="D599" s="862"/>
      <c r="H599" s="845" t="s">
        <v>1010</v>
      </c>
    </row>
    <row r="600" spans="1:10" x14ac:dyDescent="0.2">
      <c r="A600" s="859">
        <f t="shared" si="9"/>
        <v>599</v>
      </c>
      <c r="B600" s="845" t="s">
        <v>2552</v>
      </c>
      <c r="D600" s="862"/>
      <c r="H600" s="845" t="s">
        <v>1007</v>
      </c>
    </row>
    <row r="601" spans="1:10" x14ac:dyDescent="0.2">
      <c r="A601" s="859">
        <f t="shared" si="9"/>
        <v>600</v>
      </c>
      <c r="B601" s="845" t="s">
        <v>2552</v>
      </c>
      <c r="D601" s="861"/>
      <c r="I601" s="845" t="s">
        <v>1008</v>
      </c>
    </row>
    <row r="602" spans="1:10" x14ac:dyDescent="0.2">
      <c r="A602" s="859">
        <f t="shared" si="9"/>
        <v>601</v>
      </c>
      <c r="B602" s="845" t="s">
        <v>2552</v>
      </c>
      <c r="D602" s="861"/>
      <c r="J602" s="845" t="s">
        <v>1120</v>
      </c>
    </row>
    <row r="603" spans="1:10" x14ac:dyDescent="0.2">
      <c r="A603" s="859">
        <f t="shared" si="9"/>
        <v>602</v>
      </c>
      <c r="B603" s="845" t="s">
        <v>2552</v>
      </c>
      <c r="D603" s="862"/>
      <c r="I603" s="845" t="s">
        <v>1009</v>
      </c>
    </row>
    <row r="604" spans="1:10" x14ac:dyDescent="0.2">
      <c r="A604" s="859">
        <f t="shared" si="9"/>
        <v>603</v>
      </c>
      <c r="B604" s="845" t="s">
        <v>2552</v>
      </c>
      <c r="D604" s="863"/>
      <c r="I604" s="845" t="str">
        <f>CONCATENATE("&lt;valeur&gt;",Cellule_198,"&lt;/valeur&gt;")</f>
        <v>&lt;valeur&gt;0&lt;/valeur&gt;</v>
      </c>
    </row>
    <row r="605" spans="1:10" x14ac:dyDescent="0.2">
      <c r="A605" s="859">
        <f t="shared" si="9"/>
        <v>604</v>
      </c>
      <c r="B605" s="845" t="s">
        <v>2552</v>
      </c>
      <c r="D605" s="862"/>
      <c r="H605" s="845" t="s">
        <v>1010</v>
      </c>
    </row>
    <row r="606" spans="1:10" x14ac:dyDescent="0.2">
      <c r="A606" s="859">
        <f t="shared" si="9"/>
        <v>605</v>
      </c>
      <c r="B606" s="845" t="s">
        <v>2552</v>
      </c>
      <c r="D606" s="862"/>
      <c r="H606" s="845" t="s">
        <v>1007</v>
      </c>
    </row>
    <row r="607" spans="1:10" x14ac:dyDescent="0.2">
      <c r="A607" s="859">
        <f t="shared" si="9"/>
        <v>606</v>
      </c>
      <c r="B607" s="845" t="s">
        <v>2552</v>
      </c>
      <c r="D607" s="861"/>
      <c r="I607" s="845" t="s">
        <v>1008</v>
      </c>
    </row>
    <row r="608" spans="1:10" x14ac:dyDescent="0.2">
      <c r="A608" s="859">
        <f t="shared" si="9"/>
        <v>607</v>
      </c>
      <c r="B608" s="845" t="s">
        <v>2552</v>
      </c>
      <c r="D608" s="861"/>
      <c r="J608" s="845" t="s">
        <v>1121</v>
      </c>
    </row>
    <row r="609" spans="1:10" x14ac:dyDescent="0.2">
      <c r="A609" s="859">
        <f t="shared" si="9"/>
        <v>608</v>
      </c>
      <c r="B609" s="845" t="s">
        <v>2552</v>
      </c>
      <c r="D609" s="862"/>
      <c r="I609" s="845" t="s">
        <v>1009</v>
      </c>
    </row>
    <row r="610" spans="1:10" x14ac:dyDescent="0.2">
      <c r="A610" s="859">
        <f t="shared" si="9"/>
        <v>609</v>
      </c>
      <c r="B610" s="845" t="s">
        <v>2552</v>
      </c>
      <c r="D610" s="863"/>
      <c r="I610" s="845" t="str">
        <f>CONCATENATE("&lt;valeur&gt;",Cellule_199,"&lt;/valeur&gt;")</f>
        <v>&lt;valeur&gt;0&lt;/valeur&gt;</v>
      </c>
    </row>
    <row r="611" spans="1:10" x14ac:dyDescent="0.2">
      <c r="A611" s="859">
        <f t="shared" si="9"/>
        <v>610</v>
      </c>
      <c r="B611" s="845" t="s">
        <v>2552</v>
      </c>
      <c r="D611" s="862"/>
      <c r="H611" s="845" t="s">
        <v>1010</v>
      </c>
    </row>
    <row r="612" spans="1:10" x14ac:dyDescent="0.2">
      <c r="A612" s="859">
        <f t="shared" si="9"/>
        <v>611</v>
      </c>
      <c r="B612" s="845" t="s">
        <v>2552</v>
      </c>
      <c r="D612" s="862"/>
      <c r="H612" s="845" t="s">
        <v>1007</v>
      </c>
    </row>
    <row r="613" spans="1:10" x14ac:dyDescent="0.2">
      <c r="A613" s="859">
        <f t="shared" si="9"/>
        <v>612</v>
      </c>
      <c r="B613" s="845" t="s">
        <v>2552</v>
      </c>
      <c r="D613" s="861"/>
      <c r="I613" s="845" t="s">
        <v>1008</v>
      </c>
    </row>
    <row r="614" spans="1:10" x14ac:dyDescent="0.2">
      <c r="A614" s="859">
        <f t="shared" si="9"/>
        <v>613</v>
      </c>
      <c r="B614" s="845" t="s">
        <v>2552</v>
      </c>
      <c r="D614" s="861"/>
      <c r="J614" s="845" t="s">
        <v>1122</v>
      </c>
    </row>
    <row r="615" spans="1:10" x14ac:dyDescent="0.2">
      <c r="A615" s="859">
        <f t="shared" si="9"/>
        <v>614</v>
      </c>
      <c r="B615" s="845" t="s">
        <v>2552</v>
      </c>
      <c r="D615" s="862"/>
      <c r="I615" s="845" t="s">
        <v>1009</v>
      </c>
    </row>
    <row r="616" spans="1:10" x14ac:dyDescent="0.2">
      <c r="A616" s="859">
        <f t="shared" si="9"/>
        <v>615</v>
      </c>
      <c r="B616" s="845" t="s">
        <v>2552</v>
      </c>
      <c r="D616" s="863"/>
      <c r="I616" s="845" t="str">
        <f>CONCATENATE("&lt;valeur&gt;",Cellule_520,"&lt;/valeur&gt;")</f>
        <v>&lt;valeur&gt;0&lt;/valeur&gt;</v>
      </c>
    </row>
    <row r="617" spans="1:10" x14ac:dyDescent="0.2">
      <c r="A617" s="859">
        <f t="shared" si="9"/>
        <v>616</v>
      </c>
      <c r="B617" s="845" t="s">
        <v>2552</v>
      </c>
      <c r="D617" s="862"/>
      <c r="H617" s="845" t="s">
        <v>1010</v>
      </c>
    </row>
    <row r="618" spans="1:10" x14ac:dyDescent="0.2">
      <c r="A618" s="859">
        <f t="shared" si="9"/>
        <v>617</v>
      </c>
      <c r="B618" s="845" t="s">
        <v>2552</v>
      </c>
      <c r="D618" s="862"/>
      <c r="H618" s="845" t="s">
        <v>1007</v>
      </c>
    </row>
    <row r="619" spans="1:10" x14ac:dyDescent="0.2">
      <c r="A619" s="859">
        <f t="shared" si="9"/>
        <v>618</v>
      </c>
      <c r="B619" s="845" t="s">
        <v>2552</v>
      </c>
      <c r="D619" s="861"/>
      <c r="I619" s="845" t="s">
        <v>1008</v>
      </c>
    </row>
    <row r="620" spans="1:10" x14ac:dyDescent="0.2">
      <c r="A620" s="859">
        <f t="shared" si="9"/>
        <v>619</v>
      </c>
      <c r="B620" s="845" t="s">
        <v>2552</v>
      </c>
      <c r="D620" s="861"/>
      <c r="J620" s="845" t="s">
        <v>1123</v>
      </c>
    </row>
    <row r="621" spans="1:10" x14ac:dyDescent="0.2">
      <c r="A621" s="859">
        <f t="shared" si="9"/>
        <v>620</v>
      </c>
      <c r="B621" s="845" t="s">
        <v>2552</v>
      </c>
      <c r="D621" s="862"/>
      <c r="I621" s="845" t="s">
        <v>1009</v>
      </c>
    </row>
    <row r="622" spans="1:10" x14ac:dyDescent="0.2">
      <c r="A622" s="859">
        <f t="shared" si="9"/>
        <v>621</v>
      </c>
      <c r="B622" s="845" t="s">
        <v>2552</v>
      </c>
      <c r="D622" s="863"/>
      <c r="I622" s="845" t="str">
        <f>CONCATENATE("&lt;valeur&gt;",Cellule_291,"&lt;/valeur&gt;")</f>
        <v>&lt;valeur&gt;0&lt;/valeur&gt;</v>
      </c>
    </row>
    <row r="623" spans="1:10" x14ac:dyDescent="0.2">
      <c r="A623" s="859">
        <f t="shared" si="9"/>
        <v>622</v>
      </c>
      <c r="B623" s="845" t="s">
        <v>2552</v>
      </c>
      <c r="D623" s="862"/>
      <c r="H623" s="845" t="s">
        <v>1010</v>
      </c>
    </row>
    <row r="624" spans="1:10" x14ac:dyDescent="0.2">
      <c r="A624" s="859">
        <f t="shared" si="9"/>
        <v>623</v>
      </c>
      <c r="B624" s="845" t="s">
        <v>2552</v>
      </c>
      <c r="D624" s="862"/>
      <c r="H624" s="845" t="s">
        <v>1007</v>
      </c>
    </row>
    <row r="625" spans="1:10" x14ac:dyDescent="0.2">
      <c r="A625" s="859">
        <f t="shared" si="9"/>
        <v>624</v>
      </c>
      <c r="B625" s="845" t="s">
        <v>2552</v>
      </c>
      <c r="D625" s="861"/>
      <c r="I625" s="845" t="s">
        <v>1008</v>
      </c>
    </row>
    <row r="626" spans="1:10" x14ac:dyDescent="0.2">
      <c r="A626" s="859">
        <f t="shared" si="9"/>
        <v>625</v>
      </c>
      <c r="B626" s="845" t="s">
        <v>2552</v>
      </c>
      <c r="D626" s="861"/>
      <c r="J626" s="845" t="s">
        <v>1124</v>
      </c>
    </row>
    <row r="627" spans="1:10" x14ac:dyDescent="0.2">
      <c r="A627" s="859">
        <f t="shared" si="9"/>
        <v>626</v>
      </c>
      <c r="B627" s="845" t="s">
        <v>2552</v>
      </c>
      <c r="D627" s="862"/>
      <c r="I627" s="845" t="s">
        <v>1009</v>
      </c>
    </row>
    <row r="628" spans="1:10" x14ac:dyDescent="0.2">
      <c r="A628" s="859">
        <f t="shared" si="9"/>
        <v>627</v>
      </c>
      <c r="B628" s="845" t="s">
        <v>2552</v>
      </c>
      <c r="D628" s="863"/>
      <c r="I628" s="845" t="str">
        <f>CONCATENATE("&lt;valeur&gt;",Cellule_292,"&lt;/valeur&gt;")</f>
        <v>&lt;valeur&gt;0&lt;/valeur&gt;</v>
      </c>
    </row>
    <row r="629" spans="1:10" x14ac:dyDescent="0.2">
      <c r="A629" s="859">
        <f t="shared" si="9"/>
        <v>628</v>
      </c>
      <c r="B629" s="845" t="s">
        <v>2552</v>
      </c>
      <c r="D629" s="862"/>
      <c r="H629" s="845" t="s">
        <v>1010</v>
      </c>
    </row>
    <row r="630" spans="1:10" x14ac:dyDescent="0.2">
      <c r="A630" s="859">
        <f t="shared" si="9"/>
        <v>629</v>
      </c>
      <c r="B630" s="845" t="s">
        <v>2552</v>
      </c>
      <c r="D630" s="862"/>
      <c r="H630" s="845" t="s">
        <v>1007</v>
      </c>
    </row>
    <row r="631" spans="1:10" x14ac:dyDescent="0.2">
      <c r="A631" s="859">
        <f t="shared" si="9"/>
        <v>630</v>
      </c>
      <c r="B631" s="845" t="s">
        <v>2552</v>
      </c>
      <c r="D631" s="861"/>
      <c r="I631" s="845" t="s">
        <v>1008</v>
      </c>
    </row>
    <row r="632" spans="1:10" x14ac:dyDescent="0.2">
      <c r="A632" s="859">
        <f t="shared" si="9"/>
        <v>631</v>
      </c>
      <c r="B632" s="845" t="s">
        <v>2552</v>
      </c>
      <c r="D632" s="861"/>
      <c r="J632" s="845" t="s">
        <v>1125</v>
      </c>
    </row>
    <row r="633" spans="1:10" x14ac:dyDescent="0.2">
      <c r="A633" s="859">
        <f t="shared" si="9"/>
        <v>632</v>
      </c>
      <c r="B633" s="845" t="s">
        <v>2552</v>
      </c>
      <c r="D633" s="862"/>
      <c r="I633" s="845" t="s">
        <v>1009</v>
      </c>
    </row>
    <row r="634" spans="1:10" x14ac:dyDescent="0.2">
      <c r="A634" s="859">
        <f t="shared" si="9"/>
        <v>633</v>
      </c>
      <c r="B634" s="845" t="s">
        <v>2552</v>
      </c>
      <c r="D634" s="863"/>
      <c r="I634" s="845" t="str">
        <f>CONCATENATE("&lt;valeur&gt;",Cellule_293,"&lt;/valeur&gt;")</f>
        <v>&lt;valeur&gt;0&lt;/valeur&gt;</v>
      </c>
    </row>
    <row r="635" spans="1:10" x14ac:dyDescent="0.2">
      <c r="A635" s="859">
        <f t="shared" si="9"/>
        <v>634</v>
      </c>
      <c r="B635" s="845" t="s">
        <v>2552</v>
      </c>
      <c r="D635" s="862"/>
      <c r="H635" s="845" t="s">
        <v>1010</v>
      </c>
    </row>
    <row r="636" spans="1:10" x14ac:dyDescent="0.2">
      <c r="A636" s="859">
        <f t="shared" si="9"/>
        <v>635</v>
      </c>
      <c r="B636" s="845" t="s">
        <v>2552</v>
      </c>
      <c r="D636" s="862"/>
      <c r="H636" s="845" t="s">
        <v>1007</v>
      </c>
    </row>
    <row r="637" spans="1:10" x14ac:dyDescent="0.2">
      <c r="A637" s="859">
        <f t="shared" si="9"/>
        <v>636</v>
      </c>
      <c r="B637" s="845" t="s">
        <v>2552</v>
      </c>
      <c r="D637" s="861"/>
      <c r="I637" s="845" t="s">
        <v>1008</v>
      </c>
    </row>
    <row r="638" spans="1:10" x14ac:dyDescent="0.2">
      <c r="A638" s="859">
        <f t="shared" si="9"/>
        <v>637</v>
      </c>
      <c r="B638" s="845" t="s">
        <v>2552</v>
      </c>
      <c r="D638" s="861"/>
      <c r="J638" s="845" t="s">
        <v>1126</v>
      </c>
    </row>
    <row r="639" spans="1:10" x14ac:dyDescent="0.2">
      <c r="A639" s="859">
        <f t="shared" si="9"/>
        <v>638</v>
      </c>
      <c r="B639" s="845" t="s">
        <v>2552</v>
      </c>
      <c r="D639" s="862"/>
      <c r="I639" s="845" t="s">
        <v>1009</v>
      </c>
    </row>
    <row r="640" spans="1:10" x14ac:dyDescent="0.2">
      <c r="A640" s="859">
        <f t="shared" si="9"/>
        <v>639</v>
      </c>
      <c r="B640" s="845" t="s">
        <v>2552</v>
      </c>
      <c r="D640" s="863"/>
      <c r="I640" s="845" t="str">
        <f>CONCATENATE("&lt;valeur&gt;",Cellule_294,"&lt;/valeur&gt;")</f>
        <v>&lt;valeur&gt;0&lt;/valeur&gt;</v>
      </c>
    </row>
    <row r="641" spans="1:10" x14ac:dyDescent="0.2">
      <c r="A641" s="859">
        <f t="shared" si="9"/>
        <v>640</v>
      </c>
      <c r="B641" s="845" t="s">
        <v>2552</v>
      </c>
      <c r="D641" s="862"/>
      <c r="H641" s="845" t="s">
        <v>1010</v>
      </c>
    </row>
    <row r="642" spans="1:10" x14ac:dyDescent="0.2">
      <c r="A642" s="859">
        <f t="shared" si="9"/>
        <v>641</v>
      </c>
      <c r="B642" s="845" t="s">
        <v>2552</v>
      </c>
      <c r="D642" s="862"/>
      <c r="H642" s="845" t="s">
        <v>1007</v>
      </c>
    </row>
    <row r="643" spans="1:10" x14ac:dyDescent="0.2">
      <c r="A643" s="859">
        <f t="shared" si="9"/>
        <v>642</v>
      </c>
      <c r="B643" s="845" t="s">
        <v>2552</v>
      </c>
      <c r="D643" s="861"/>
      <c r="I643" s="845" t="s">
        <v>1008</v>
      </c>
    </row>
    <row r="644" spans="1:10" x14ac:dyDescent="0.2">
      <c r="A644" s="859">
        <f t="shared" ref="A644:A707" si="10">+A643+1</f>
        <v>643</v>
      </c>
      <c r="B644" s="845" t="s">
        <v>2552</v>
      </c>
      <c r="D644" s="861"/>
      <c r="J644" s="845" t="s">
        <v>1127</v>
      </c>
    </row>
    <row r="645" spans="1:10" x14ac:dyDescent="0.2">
      <c r="A645" s="859">
        <f t="shared" si="10"/>
        <v>644</v>
      </c>
      <c r="B645" s="845" t="s">
        <v>2552</v>
      </c>
      <c r="D645" s="862"/>
      <c r="I645" s="845" t="s">
        <v>1009</v>
      </c>
    </row>
    <row r="646" spans="1:10" x14ac:dyDescent="0.2">
      <c r="A646" s="859">
        <f t="shared" si="10"/>
        <v>645</v>
      </c>
      <c r="B646" s="845" t="s">
        <v>2552</v>
      </c>
      <c r="D646" s="863"/>
      <c r="I646" s="845" t="str">
        <f>CONCATENATE("&lt;valeur&gt;",Cellule_160,"&lt;/valeur&gt;")</f>
        <v>&lt;valeur&gt;0&lt;/valeur&gt;</v>
      </c>
    </row>
    <row r="647" spans="1:10" x14ac:dyDescent="0.2">
      <c r="A647" s="859">
        <f t="shared" si="10"/>
        <v>646</v>
      </c>
      <c r="B647" s="845" t="s">
        <v>2552</v>
      </c>
      <c r="D647" s="862"/>
      <c r="H647" s="845" t="s">
        <v>1010</v>
      </c>
    </row>
    <row r="648" spans="1:10" x14ac:dyDescent="0.2">
      <c r="A648" s="859">
        <f t="shared" si="10"/>
        <v>647</v>
      </c>
      <c r="B648" s="845" t="s">
        <v>2552</v>
      </c>
      <c r="D648" s="862"/>
      <c r="H648" s="845" t="s">
        <v>1007</v>
      </c>
    </row>
    <row r="649" spans="1:10" x14ac:dyDescent="0.2">
      <c r="A649" s="859">
        <f t="shared" si="10"/>
        <v>648</v>
      </c>
      <c r="B649" s="845" t="s">
        <v>2552</v>
      </c>
      <c r="D649" s="861"/>
      <c r="I649" s="845" t="s">
        <v>1008</v>
      </c>
    </row>
    <row r="650" spans="1:10" x14ac:dyDescent="0.2">
      <c r="A650" s="859">
        <f t="shared" si="10"/>
        <v>649</v>
      </c>
      <c r="B650" s="845" t="s">
        <v>2552</v>
      </c>
      <c r="D650" s="861"/>
      <c r="J650" s="845" t="s">
        <v>1128</v>
      </c>
    </row>
    <row r="651" spans="1:10" x14ac:dyDescent="0.2">
      <c r="A651" s="859">
        <f t="shared" si="10"/>
        <v>650</v>
      </c>
      <c r="B651" s="845" t="s">
        <v>2552</v>
      </c>
      <c r="D651" s="862"/>
      <c r="I651" s="845" t="s">
        <v>1009</v>
      </c>
    </row>
    <row r="652" spans="1:10" x14ac:dyDescent="0.2">
      <c r="A652" s="859">
        <f t="shared" si="10"/>
        <v>651</v>
      </c>
      <c r="B652" s="845" t="s">
        <v>2552</v>
      </c>
      <c r="D652" s="863"/>
      <c r="I652" s="845" t="str">
        <f>CONCATENATE("&lt;valeur&gt;",Cellule_161,"&lt;/valeur&gt;")</f>
        <v>&lt;valeur&gt;0&lt;/valeur&gt;</v>
      </c>
    </row>
    <row r="653" spans="1:10" x14ac:dyDescent="0.2">
      <c r="A653" s="859">
        <f t="shared" si="10"/>
        <v>652</v>
      </c>
      <c r="B653" s="845" t="s">
        <v>2552</v>
      </c>
      <c r="D653" s="862"/>
      <c r="H653" s="845" t="s">
        <v>1010</v>
      </c>
    </row>
    <row r="654" spans="1:10" x14ac:dyDescent="0.2">
      <c r="A654" s="859">
        <f t="shared" si="10"/>
        <v>653</v>
      </c>
      <c r="B654" s="845" t="s">
        <v>2552</v>
      </c>
      <c r="D654" s="862"/>
      <c r="H654" s="845" t="s">
        <v>1007</v>
      </c>
    </row>
    <row r="655" spans="1:10" x14ac:dyDescent="0.2">
      <c r="A655" s="859">
        <f t="shared" si="10"/>
        <v>654</v>
      </c>
      <c r="B655" s="845" t="s">
        <v>2552</v>
      </c>
      <c r="D655" s="861"/>
      <c r="I655" s="845" t="s">
        <v>1008</v>
      </c>
    </row>
    <row r="656" spans="1:10" x14ac:dyDescent="0.2">
      <c r="A656" s="859">
        <f t="shared" si="10"/>
        <v>655</v>
      </c>
      <c r="B656" s="845" t="s">
        <v>2552</v>
      </c>
      <c r="D656" s="861"/>
      <c r="J656" s="845" t="s">
        <v>1129</v>
      </c>
    </row>
    <row r="657" spans="1:10" x14ac:dyDescent="0.2">
      <c r="A657" s="859">
        <f t="shared" si="10"/>
        <v>656</v>
      </c>
      <c r="B657" s="845" t="s">
        <v>2552</v>
      </c>
      <c r="D657" s="862"/>
      <c r="I657" s="845" t="s">
        <v>1009</v>
      </c>
    </row>
    <row r="658" spans="1:10" x14ac:dyDescent="0.2">
      <c r="A658" s="859">
        <f t="shared" si="10"/>
        <v>657</v>
      </c>
      <c r="B658" s="845" t="s">
        <v>2552</v>
      </c>
      <c r="D658" s="863"/>
      <c r="I658" s="845" t="str">
        <f>CONCATENATE("&lt;valeur&gt;",Cellule_162,"&lt;/valeur&gt;")</f>
        <v>&lt;valeur&gt;0&lt;/valeur&gt;</v>
      </c>
    </row>
    <row r="659" spans="1:10" x14ac:dyDescent="0.2">
      <c r="A659" s="859">
        <f t="shared" si="10"/>
        <v>658</v>
      </c>
      <c r="B659" s="845" t="s">
        <v>2552</v>
      </c>
      <c r="D659" s="862"/>
      <c r="H659" s="845" t="s">
        <v>1010</v>
      </c>
    </row>
    <row r="660" spans="1:10" x14ac:dyDescent="0.2">
      <c r="A660" s="859">
        <f t="shared" si="10"/>
        <v>659</v>
      </c>
      <c r="B660" s="845" t="s">
        <v>2552</v>
      </c>
      <c r="D660" s="862"/>
      <c r="H660" s="845" t="s">
        <v>1007</v>
      </c>
    </row>
    <row r="661" spans="1:10" x14ac:dyDescent="0.2">
      <c r="A661" s="859">
        <f t="shared" si="10"/>
        <v>660</v>
      </c>
      <c r="B661" s="845" t="s">
        <v>2552</v>
      </c>
      <c r="D661" s="861"/>
      <c r="I661" s="845" t="s">
        <v>1008</v>
      </c>
    </row>
    <row r="662" spans="1:10" x14ac:dyDescent="0.2">
      <c r="A662" s="859">
        <f t="shared" si="10"/>
        <v>661</v>
      </c>
      <c r="B662" s="845" t="s">
        <v>2552</v>
      </c>
      <c r="D662" s="861"/>
      <c r="J662" s="845" t="s">
        <v>1130</v>
      </c>
    </row>
    <row r="663" spans="1:10" x14ac:dyDescent="0.2">
      <c r="A663" s="859">
        <f t="shared" si="10"/>
        <v>662</v>
      </c>
      <c r="B663" s="845" t="s">
        <v>2552</v>
      </c>
      <c r="D663" s="862"/>
      <c r="I663" s="845" t="s">
        <v>1009</v>
      </c>
    </row>
    <row r="664" spans="1:10" x14ac:dyDescent="0.2">
      <c r="A664" s="859">
        <f t="shared" si="10"/>
        <v>663</v>
      </c>
      <c r="B664" s="845" t="s">
        <v>2552</v>
      </c>
      <c r="D664" s="863"/>
      <c r="I664" s="845" t="str">
        <f>CONCATENATE("&lt;valeur&gt;",Cellule_163,"&lt;/valeur&gt;")</f>
        <v>&lt;valeur&gt;0&lt;/valeur&gt;</v>
      </c>
    </row>
    <row r="665" spans="1:10" x14ac:dyDescent="0.2">
      <c r="A665" s="859">
        <f t="shared" si="10"/>
        <v>664</v>
      </c>
      <c r="B665" s="845" t="s">
        <v>2552</v>
      </c>
      <c r="D665" s="862"/>
      <c r="H665" s="845" t="s">
        <v>1010</v>
      </c>
    </row>
    <row r="666" spans="1:10" x14ac:dyDescent="0.2">
      <c r="A666" s="859">
        <f t="shared" si="10"/>
        <v>665</v>
      </c>
      <c r="B666" s="845" t="s">
        <v>2552</v>
      </c>
      <c r="D666" s="862"/>
      <c r="H666" s="845" t="s">
        <v>1007</v>
      </c>
    </row>
    <row r="667" spans="1:10" x14ac:dyDescent="0.2">
      <c r="A667" s="859">
        <f t="shared" si="10"/>
        <v>666</v>
      </c>
      <c r="B667" s="845" t="s">
        <v>2552</v>
      </c>
      <c r="D667" s="861"/>
      <c r="I667" s="845" t="s">
        <v>1008</v>
      </c>
    </row>
    <row r="668" spans="1:10" x14ac:dyDescent="0.2">
      <c r="A668" s="859">
        <f t="shared" si="10"/>
        <v>667</v>
      </c>
      <c r="B668" s="845" t="s">
        <v>2552</v>
      </c>
      <c r="D668" s="861"/>
      <c r="J668" s="845" t="s">
        <v>1131</v>
      </c>
    </row>
    <row r="669" spans="1:10" x14ac:dyDescent="0.2">
      <c r="A669" s="859">
        <f t="shared" si="10"/>
        <v>668</v>
      </c>
      <c r="B669" s="845" t="s">
        <v>2552</v>
      </c>
      <c r="D669" s="862"/>
      <c r="I669" s="845" t="s">
        <v>1009</v>
      </c>
    </row>
    <row r="670" spans="1:10" x14ac:dyDescent="0.2">
      <c r="A670" s="859">
        <f t="shared" si="10"/>
        <v>669</v>
      </c>
      <c r="B670" s="845" t="s">
        <v>2552</v>
      </c>
      <c r="D670" s="863"/>
      <c r="I670" s="845" t="str">
        <f>CONCATENATE("&lt;valeur&gt;",Cellule_164,"&lt;/valeur&gt;")</f>
        <v>&lt;valeur&gt;0&lt;/valeur&gt;</v>
      </c>
    </row>
    <row r="671" spans="1:10" x14ac:dyDescent="0.2">
      <c r="A671" s="859">
        <f t="shared" si="10"/>
        <v>670</v>
      </c>
      <c r="B671" s="845" t="s">
        <v>2552</v>
      </c>
      <c r="D671" s="862"/>
      <c r="H671" s="845" t="s">
        <v>1010</v>
      </c>
    </row>
    <row r="672" spans="1:10" x14ac:dyDescent="0.2">
      <c r="A672" s="859">
        <f t="shared" si="10"/>
        <v>671</v>
      </c>
      <c r="B672" s="845" t="s">
        <v>2552</v>
      </c>
      <c r="D672" s="862"/>
      <c r="H672" s="845" t="s">
        <v>1007</v>
      </c>
    </row>
    <row r="673" spans="1:10" x14ac:dyDescent="0.2">
      <c r="A673" s="859">
        <f t="shared" si="10"/>
        <v>672</v>
      </c>
      <c r="B673" s="845" t="s">
        <v>2552</v>
      </c>
      <c r="D673" s="861"/>
      <c r="I673" s="845" t="s">
        <v>1008</v>
      </c>
    </row>
    <row r="674" spans="1:10" x14ac:dyDescent="0.2">
      <c r="A674" s="859">
        <f t="shared" si="10"/>
        <v>673</v>
      </c>
      <c r="B674" s="845" t="s">
        <v>2552</v>
      </c>
      <c r="D674" s="861"/>
      <c r="J674" s="845" t="s">
        <v>1132</v>
      </c>
    </row>
    <row r="675" spans="1:10" x14ac:dyDescent="0.2">
      <c r="A675" s="859">
        <f t="shared" si="10"/>
        <v>674</v>
      </c>
      <c r="B675" s="845" t="s">
        <v>2552</v>
      </c>
      <c r="D675" s="862"/>
      <c r="I675" s="845" t="s">
        <v>1009</v>
      </c>
    </row>
    <row r="676" spans="1:10" x14ac:dyDescent="0.2">
      <c r="A676" s="859">
        <f t="shared" si="10"/>
        <v>675</v>
      </c>
      <c r="B676" s="845" t="s">
        <v>2552</v>
      </c>
      <c r="D676" s="863"/>
      <c r="I676" s="845" t="str">
        <f>CONCATENATE("&lt;valeur&gt;",Cellule_522,"&lt;/valeur&gt;")</f>
        <v>&lt;valeur&gt;0&lt;/valeur&gt;</v>
      </c>
    </row>
    <row r="677" spans="1:10" x14ac:dyDescent="0.2">
      <c r="A677" s="859">
        <f t="shared" si="10"/>
        <v>676</v>
      </c>
      <c r="B677" s="845" t="s">
        <v>2552</v>
      </c>
      <c r="D677" s="862"/>
      <c r="H677" s="845" t="s">
        <v>1010</v>
      </c>
    </row>
    <row r="678" spans="1:10" x14ac:dyDescent="0.2">
      <c r="A678" s="859">
        <f t="shared" si="10"/>
        <v>677</v>
      </c>
      <c r="B678" s="845" t="s">
        <v>2552</v>
      </c>
      <c r="D678" s="862"/>
      <c r="H678" s="845" t="s">
        <v>1007</v>
      </c>
    </row>
    <row r="679" spans="1:10" x14ac:dyDescent="0.2">
      <c r="A679" s="859">
        <f t="shared" si="10"/>
        <v>678</v>
      </c>
      <c r="B679" s="845" t="s">
        <v>2552</v>
      </c>
      <c r="D679" s="861"/>
      <c r="I679" s="845" t="s">
        <v>1008</v>
      </c>
    </row>
    <row r="680" spans="1:10" x14ac:dyDescent="0.2">
      <c r="A680" s="859">
        <f t="shared" si="10"/>
        <v>679</v>
      </c>
      <c r="B680" s="845" t="s">
        <v>2552</v>
      </c>
      <c r="D680" s="861"/>
      <c r="J680" s="845" t="s">
        <v>1133</v>
      </c>
    </row>
    <row r="681" spans="1:10" x14ac:dyDescent="0.2">
      <c r="A681" s="859">
        <f t="shared" si="10"/>
        <v>680</v>
      </c>
      <c r="B681" s="845" t="s">
        <v>2552</v>
      </c>
      <c r="D681" s="862"/>
      <c r="I681" s="845" t="s">
        <v>1009</v>
      </c>
    </row>
    <row r="682" spans="1:10" x14ac:dyDescent="0.2">
      <c r="A682" s="859">
        <f t="shared" si="10"/>
        <v>681</v>
      </c>
      <c r="B682" s="845" t="s">
        <v>2552</v>
      </c>
      <c r="D682" s="863"/>
      <c r="I682" s="845" t="str">
        <f>CONCATENATE("&lt;valeur&gt;",Cellule_165,"&lt;/valeur&gt;")</f>
        <v>&lt;valeur&gt;0&lt;/valeur&gt;</v>
      </c>
    </row>
    <row r="683" spans="1:10" x14ac:dyDescent="0.2">
      <c r="A683" s="859">
        <f t="shared" si="10"/>
        <v>682</v>
      </c>
      <c r="B683" s="845" t="s">
        <v>2552</v>
      </c>
      <c r="D683" s="862"/>
      <c r="H683" s="845" t="s">
        <v>1010</v>
      </c>
    </row>
    <row r="684" spans="1:10" x14ac:dyDescent="0.2">
      <c r="A684" s="859">
        <f t="shared" si="10"/>
        <v>683</v>
      </c>
      <c r="B684" s="845" t="s">
        <v>2552</v>
      </c>
      <c r="D684" s="862"/>
      <c r="H684" s="845" t="s">
        <v>1007</v>
      </c>
    </row>
    <row r="685" spans="1:10" x14ac:dyDescent="0.2">
      <c r="A685" s="859">
        <f t="shared" si="10"/>
        <v>684</v>
      </c>
      <c r="B685" s="845" t="s">
        <v>2552</v>
      </c>
      <c r="D685" s="861"/>
      <c r="I685" s="845" t="s">
        <v>1008</v>
      </c>
    </row>
    <row r="686" spans="1:10" x14ac:dyDescent="0.2">
      <c r="A686" s="859">
        <f t="shared" si="10"/>
        <v>685</v>
      </c>
      <c r="B686" s="845" t="s">
        <v>2552</v>
      </c>
      <c r="D686" s="861"/>
      <c r="J686" s="845" t="s">
        <v>1134</v>
      </c>
    </row>
    <row r="687" spans="1:10" x14ac:dyDescent="0.2">
      <c r="A687" s="859">
        <f t="shared" si="10"/>
        <v>686</v>
      </c>
      <c r="B687" s="845" t="s">
        <v>2552</v>
      </c>
      <c r="D687" s="862"/>
      <c r="I687" s="845" t="s">
        <v>1009</v>
      </c>
    </row>
    <row r="688" spans="1:10" x14ac:dyDescent="0.2">
      <c r="A688" s="859">
        <f t="shared" si="10"/>
        <v>687</v>
      </c>
      <c r="B688" s="845" t="s">
        <v>2552</v>
      </c>
      <c r="D688" s="863"/>
      <c r="I688" s="845" t="str">
        <f>CONCATENATE("&lt;valeur&gt;",Cellule_166,"&lt;/valeur&gt;")</f>
        <v>&lt;valeur&gt;0&lt;/valeur&gt;</v>
      </c>
    </row>
    <row r="689" spans="1:10" x14ac:dyDescent="0.2">
      <c r="A689" s="859">
        <f t="shared" si="10"/>
        <v>688</v>
      </c>
      <c r="B689" s="845" t="s">
        <v>2552</v>
      </c>
      <c r="D689" s="862"/>
      <c r="H689" s="845" t="s">
        <v>1010</v>
      </c>
    </row>
    <row r="690" spans="1:10" x14ac:dyDescent="0.2">
      <c r="A690" s="859">
        <f t="shared" si="10"/>
        <v>689</v>
      </c>
      <c r="B690" s="845" t="s">
        <v>2552</v>
      </c>
      <c r="D690" s="862"/>
      <c r="H690" s="845" t="s">
        <v>1007</v>
      </c>
    </row>
    <row r="691" spans="1:10" x14ac:dyDescent="0.2">
      <c r="A691" s="859">
        <f t="shared" si="10"/>
        <v>690</v>
      </c>
      <c r="B691" s="845" t="s">
        <v>2552</v>
      </c>
      <c r="D691" s="861"/>
      <c r="I691" s="845" t="s">
        <v>1008</v>
      </c>
    </row>
    <row r="692" spans="1:10" x14ac:dyDescent="0.2">
      <c r="A692" s="859">
        <f t="shared" si="10"/>
        <v>691</v>
      </c>
      <c r="B692" s="845" t="s">
        <v>2552</v>
      </c>
      <c r="D692" s="861"/>
      <c r="J692" s="845" t="s">
        <v>1135</v>
      </c>
    </row>
    <row r="693" spans="1:10" x14ac:dyDescent="0.2">
      <c r="A693" s="859">
        <f t="shared" si="10"/>
        <v>692</v>
      </c>
      <c r="B693" s="845" t="s">
        <v>2552</v>
      </c>
      <c r="D693" s="862"/>
      <c r="I693" s="845" t="s">
        <v>1009</v>
      </c>
    </row>
    <row r="694" spans="1:10" x14ac:dyDescent="0.2">
      <c r="A694" s="859">
        <f t="shared" si="10"/>
        <v>693</v>
      </c>
      <c r="B694" s="845" t="s">
        <v>2552</v>
      </c>
      <c r="D694" s="863"/>
      <c r="I694" s="845" t="str">
        <f>CONCATENATE("&lt;valeur&gt;",Cellule_167,"&lt;/valeur&gt;")</f>
        <v>&lt;valeur&gt;0&lt;/valeur&gt;</v>
      </c>
    </row>
    <row r="695" spans="1:10" x14ac:dyDescent="0.2">
      <c r="A695" s="859">
        <f t="shared" si="10"/>
        <v>694</v>
      </c>
      <c r="B695" s="845" t="s">
        <v>2552</v>
      </c>
      <c r="D695" s="862"/>
      <c r="H695" s="845" t="s">
        <v>1010</v>
      </c>
    </row>
    <row r="696" spans="1:10" x14ac:dyDescent="0.2">
      <c r="A696" s="859">
        <f t="shared" si="10"/>
        <v>695</v>
      </c>
      <c r="B696" s="845" t="s">
        <v>2552</v>
      </c>
      <c r="D696" s="862"/>
      <c r="H696" s="845" t="s">
        <v>1007</v>
      </c>
    </row>
    <row r="697" spans="1:10" x14ac:dyDescent="0.2">
      <c r="A697" s="859">
        <f t="shared" si="10"/>
        <v>696</v>
      </c>
      <c r="B697" s="845" t="s">
        <v>2552</v>
      </c>
      <c r="D697" s="861"/>
      <c r="I697" s="845" t="s">
        <v>1008</v>
      </c>
    </row>
    <row r="698" spans="1:10" x14ac:dyDescent="0.2">
      <c r="A698" s="859">
        <f t="shared" si="10"/>
        <v>697</v>
      </c>
      <c r="B698" s="845" t="s">
        <v>2552</v>
      </c>
      <c r="D698" s="861"/>
      <c r="J698" s="845" t="s">
        <v>1136</v>
      </c>
    </row>
    <row r="699" spans="1:10" x14ac:dyDescent="0.2">
      <c r="A699" s="859">
        <f t="shared" si="10"/>
        <v>698</v>
      </c>
      <c r="B699" s="845" t="s">
        <v>2552</v>
      </c>
      <c r="D699" s="862"/>
      <c r="I699" s="845" t="s">
        <v>1009</v>
      </c>
    </row>
    <row r="700" spans="1:10" x14ac:dyDescent="0.2">
      <c r="A700" s="859">
        <f t="shared" si="10"/>
        <v>699</v>
      </c>
      <c r="B700" s="845" t="s">
        <v>2552</v>
      </c>
      <c r="D700" s="863"/>
      <c r="I700" s="845" t="str">
        <f>CONCATENATE("&lt;valeur&gt;",Cellule_168,"&lt;/valeur&gt;")</f>
        <v>&lt;valeur&gt;0&lt;/valeur&gt;</v>
      </c>
    </row>
    <row r="701" spans="1:10" x14ac:dyDescent="0.2">
      <c r="A701" s="859">
        <f t="shared" si="10"/>
        <v>700</v>
      </c>
      <c r="B701" s="845" t="s">
        <v>2552</v>
      </c>
      <c r="D701" s="862"/>
      <c r="H701" s="845" t="s">
        <v>1010</v>
      </c>
    </row>
    <row r="702" spans="1:10" x14ac:dyDescent="0.2">
      <c r="A702" s="859">
        <f t="shared" si="10"/>
        <v>701</v>
      </c>
      <c r="B702" s="845" t="s">
        <v>2552</v>
      </c>
      <c r="D702" s="862"/>
      <c r="H702" s="845" t="s">
        <v>1007</v>
      </c>
    </row>
    <row r="703" spans="1:10" x14ac:dyDescent="0.2">
      <c r="A703" s="859">
        <f t="shared" si="10"/>
        <v>702</v>
      </c>
      <c r="B703" s="845" t="s">
        <v>2552</v>
      </c>
      <c r="D703" s="861"/>
      <c r="I703" s="845" t="s">
        <v>1008</v>
      </c>
    </row>
    <row r="704" spans="1:10" x14ac:dyDescent="0.2">
      <c r="A704" s="859">
        <f t="shared" si="10"/>
        <v>703</v>
      </c>
      <c r="B704" s="845" t="s">
        <v>2552</v>
      </c>
      <c r="D704" s="861"/>
      <c r="J704" s="845" t="s">
        <v>1137</v>
      </c>
    </row>
    <row r="705" spans="1:10" x14ac:dyDescent="0.2">
      <c r="A705" s="859">
        <f t="shared" si="10"/>
        <v>704</v>
      </c>
      <c r="B705" s="845" t="s">
        <v>2552</v>
      </c>
      <c r="D705" s="862"/>
      <c r="I705" s="845" t="s">
        <v>1009</v>
      </c>
    </row>
    <row r="706" spans="1:10" x14ac:dyDescent="0.2">
      <c r="A706" s="859">
        <f t="shared" si="10"/>
        <v>705</v>
      </c>
      <c r="B706" s="845" t="s">
        <v>2552</v>
      </c>
      <c r="D706" s="863"/>
      <c r="I706" s="845" t="str">
        <f>CONCATENATE("&lt;valeur&gt;",Cellule_169,"&lt;/valeur&gt;")</f>
        <v>&lt;valeur&gt;0&lt;/valeur&gt;</v>
      </c>
    </row>
    <row r="707" spans="1:10" x14ac:dyDescent="0.2">
      <c r="A707" s="859">
        <f t="shared" si="10"/>
        <v>706</v>
      </c>
      <c r="B707" s="845" t="s">
        <v>2552</v>
      </c>
      <c r="D707" s="862"/>
      <c r="H707" s="845" t="s">
        <v>1010</v>
      </c>
    </row>
    <row r="708" spans="1:10" x14ac:dyDescent="0.2">
      <c r="A708" s="859">
        <f t="shared" ref="A708:A771" si="11">+A707+1</f>
        <v>707</v>
      </c>
      <c r="B708" s="845" t="s">
        <v>2552</v>
      </c>
      <c r="D708" s="862"/>
      <c r="H708" s="845" t="s">
        <v>1007</v>
      </c>
    </row>
    <row r="709" spans="1:10" x14ac:dyDescent="0.2">
      <c r="A709" s="859">
        <f t="shared" si="11"/>
        <v>708</v>
      </c>
      <c r="B709" s="845" t="s">
        <v>2552</v>
      </c>
      <c r="D709" s="861"/>
      <c r="I709" s="845" t="s">
        <v>1008</v>
      </c>
    </row>
    <row r="710" spans="1:10" x14ac:dyDescent="0.2">
      <c r="A710" s="859">
        <f t="shared" si="11"/>
        <v>709</v>
      </c>
      <c r="B710" s="845" t="s">
        <v>2552</v>
      </c>
      <c r="D710" s="861"/>
      <c r="J710" s="845" t="s">
        <v>1138</v>
      </c>
    </row>
    <row r="711" spans="1:10" x14ac:dyDescent="0.2">
      <c r="A711" s="859">
        <f t="shared" si="11"/>
        <v>710</v>
      </c>
      <c r="B711" s="845" t="s">
        <v>2552</v>
      </c>
      <c r="D711" s="862"/>
      <c r="I711" s="845" t="s">
        <v>1009</v>
      </c>
    </row>
    <row r="712" spans="1:10" x14ac:dyDescent="0.2">
      <c r="A712" s="859">
        <f t="shared" si="11"/>
        <v>711</v>
      </c>
      <c r="B712" s="845" t="s">
        <v>2552</v>
      </c>
      <c r="D712" s="863"/>
      <c r="I712" s="845" t="str">
        <f>CONCATENATE("&lt;valeur&gt;",Cellule_523,"&lt;/valeur&gt;")</f>
        <v>&lt;valeur&gt;0&lt;/valeur&gt;</v>
      </c>
    </row>
    <row r="713" spans="1:10" x14ac:dyDescent="0.2">
      <c r="A713" s="859">
        <f t="shared" si="11"/>
        <v>712</v>
      </c>
      <c r="B713" s="845" t="s">
        <v>2552</v>
      </c>
      <c r="D713" s="862"/>
      <c r="H713" s="845" t="s">
        <v>1010</v>
      </c>
    </row>
    <row r="714" spans="1:10" x14ac:dyDescent="0.2">
      <c r="A714" s="859">
        <f t="shared" si="11"/>
        <v>713</v>
      </c>
      <c r="B714" s="845" t="s">
        <v>2552</v>
      </c>
      <c r="D714" s="862"/>
      <c r="H714" s="845" t="s">
        <v>1007</v>
      </c>
    </row>
    <row r="715" spans="1:10" x14ac:dyDescent="0.2">
      <c r="A715" s="859">
        <f t="shared" si="11"/>
        <v>714</v>
      </c>
      <c r="B715" s="845" t="s">
        <v>2552</v>
      </c>
      <c r="D715" s="861"/>
      <c r="I715" s="845" t="s">
        <v>1008</v>
      </c>
    </row>
    <row r="716" spans="1:10" x14ac:dyDescent="0.2">
      <c r="A716" s="859">
        <f t="shared" si="11"/>
        <v>715</v>
      </c>
      <c r="B716" s="845" t="s">
        <v>2552</v>
      </c>
      <c r="D716" s="861"/>
      <c r="J716" s="845" t="s">
        <v>1139</v>
      </c>
    </row>
    <row r="717" spans="1:10" x14ac:dyDescent="0.2">
      <c r="A717" s="859">
        <f t="shared" si="11"/>
        <v>716</v>
      </c>
      <c r="B717" s="845" t="s">
        <v>2552</v>
      </c>
      <c r="D717" s="862"/>
      <c r="I717" s="845" t="s">
        <v>1009</v>
      </c>
    </row>
    <row r="718" spans="1:10" x14ac:dyDescent="0.2">
      <c r="A718" s="859">
        <f t="shared" si="11"/>
        <v>717</v>
      </c>
      <c r="B718" s="845" t="s">
        <v>2552</v>
      </c>
      <c r="D718" s="863"/>
      <c r="I718" s="845" t="str">
        <f>CONCATENATE("&lt;valeur&gt;",Cellule_170,"&lt;/valeur&gt;")</f>
        <v>&lt;valeur&gt;0&lt;/valeur&gt;</v>
      </c>
    </row>
    <row r="719" spans="1:10" x14ac:dyDescent="0.2">
      <c r="A719" s="859">
        <f t="shared" si="11"/>
        <v>718</v>
      </c>
      <c r="B719" s="845" t="s">
        <v>2552</v>
      </c>
      <c r="D719" s="862"/>
      <c r="H719" s="845" t="s">
        <v>1010</v>
      </c>
    </row>
    <row r="720" spans="1:10" x14ac:dyDescent="0.2">
      <c r="A720" s="859">
        <f t="shared" si="11"/>
        <v>719</v>
      </c>
      <c r="B720" s="845" t="s">
        <v>2552</v>
      </c>
      <c r="D720" s="862"/>
      <c r="H720" s="845" t="s">
        <v>1007</v>
      </c>
    </row>
    <row r="721" spans="1:10" x14ac:dyDescent="0.2">
      <c r="A721" s="859">
        <f t="shared" si="11"/>
        <v>720</v>
      </c>
      <c r="B721" s="845" t="s">
        <v>2552</v>
      </c>
      <c r="D721" s="861"/>
      <c r="I721" s="845" t="s">
        <v>1008</v>
      </c>
    </row>
    <row r="722" spans="1:10" x14ac:dyDescent="0.2">
      <c r="A722" s="859">
        <f t="shared" si="11"/>
        <v>721</v>
      </c>
      <c r="B722" s="845" t="s">
        <v>2552</v>
      </c>
      <c r="D722" s="861"/>
      <c r="J722" s="845" t="s">
        <v>1140</v>
      </c>
    </row>
    <row r="723" spans="1:10" x14ac:dyDescent="0.2">
      <c r="A723" s="859">
        <f t="shared" si="11"/>
        <v>722</v>
      </c>
      <c r="B723" s="845" t="s">
        <v>2552</v>
      </c>
      <c r="D723" s="862"/>
      <c r="I723" s="845" t="s">
        <v>1009</v>
      </c>
    </row>
    <row r="724" spans="1:10" x14ac:dyDescent="0.2">
      <c r="A724" s="859">
        <f t="shared" si="11"/>
        <v>723</v>
      </c>
      <c r="B724" s="845" t="s">
        <v>2552</v>
      </c>
      <c r="D724" s="863"/>
      <c r="I724" s="845" t="str">
        <f>CONCATENATE("&lt;valeur&gt;",Cellule_171,"&lt;/valeur&gt;")</f>
        <v>&lt;valeur&gt;0&lt;/valeur&gt;</v>
      </c>
    </row>
    <row r="725" spans="1:10" x14ac:dyDescent="0.2">
      <c r="A725" s="859">
        <f t="shared" si="11"/>
        <v>724</v>
      </c>
      <c r="B725" s="845" t="s">
        <v>2552</v>
      </c>
      <c r="D725" s="862"/>
      <c r="H725" s="845" t="s">
        <v>1010</v>
      </c>
    </row>
    <row r="726" spans="1:10" x14ac:dyDescent="0.2">
      <c r="A726" s="859">
        <f t="shared" si="11"/>
        <v>725</v>
      </c>
      <c r="B726" s="845" t="s">
        <v>2552</v>
      </c>
      <c r="D726" s="862"/>
      <c r="H726" s="845" t="s">
        <v>1007</v>
      </c>
    </row>
    <row r="727" spans="1:10" x14ac:dyDescent="0.2">
      <c r="A727" s="859">
        <f t="shared" si="11"/>
        <v>726</v>
      </c>
      <c r="B727" s="845" t="s">
        <v>2552</v>
      </c>
      <c r="D727" s="861"/>
      <c r="I727" s="845" t="s">
        <v>1008</v>
      </c>
    </row>
    <row r="728" spans="1:10" x14ac:dyDescent="0.2">
      <c r="A728" s="859">
        <f t="shared" si="11"/>
        <v>727</v>
      </c>
      <c r="B728" s="845" t="s">
        <v>2552</v>
      </c>
      <c r="D728" s="861"/>
      <c r="J728" s="845" t="s">
        <v>1141</v>
      </c>
    </row>
    <row r="729" spans="1:10" x14ac:dyDescent="0.2">
      <c r="A729" s="859">
        <f t="shared" si="11"/>
        <v>728</v>
      </c>
      <c r="B729" s="845" t="s">
        <v>2552</v>
      </c>
      <c r="D729" s="862"/>
      <c r="I729" s="845" t="s">
        <v>1009</v>
      </c>
    </row>
    <row r="730" spans="1:10" x14ac:dyDescent="0.2">
      <c r="A730" s="859">
        <f t="shared" si="11"/>
        <v>729</v>
      </c>
      <c r="B730" s="845" t="s">
        <v>2552</v>
      </c>
      <c r="D730" s="863"/>
      <c r="I730" s="845" t="str">
        <f>CONCATENATE("&lt;valeur&gt;",Cellule_172,"&lt;/valeur&gt;")</f>
        <v>&lt;valeur&gt;0&lt;/valeur&gt;</v>
      </c>
    </row>
    <row r="731" spans="1:10" x14ac:dyDescent="0.2">
      <c r="A731" s="859">
        <f t="shared" si="11"/>
        <v>730</v>
      </c>
      <c r="B731" s="845" t="s">
        <v>2552</v>
      </c>
      <c r="D731" s="862"/>
      <c r="H731" s="845" t="s">
        <v>1010</v>
      </c>
    </row>
    <row r="732" spans="1:10" x14ac:dyDescent="0.2">
      <c r="A732" s="859">
        <f t="shared" si="11"/>
        <v>731</v>
      </c>
      <c r="B732" s="845" t="s">
        <v>2552</v>
      </c>
      <c r="D732" s="862"/>
      <c r="H732" s="845" t="s">
        <v>1007</v>
      </c>
    </row>
    <row r="733" spans="1:10" x14ac:dyDescent="0.2">
      <c r="A733" s="859">
        <f t="shared" si="11"/>
        <v>732</v>
      </c>
      <c r="B733" s="845" t="s">
        <v>2552</v>
      </c>
      <c r="D733" s="861"/>
      <c r="I733" s="845" t="s">
        <v>1008</v>
      </c>
    </row>
    <row r="734" spans="1:10" x14ac:dyDescent="0.2">
      <c r="A734" s="859">
        <f t="shared" si="11"/>
        <v>733</v>
      </c>
      <c r="B734" s="845" t="s">
        <v>2552</v>
      </c>
      <c r="D734" s="861"/>
      <c r="J734" s="845" t="s">
        <v>1142</v>
      </c>
    </row>
    <row r="735" spans="1:10" x14ac:dyDescent="0.2">
      <c r="A735" s="859">
        <f t="shared" si="11"/>
        <v>734</v>
      </c>
      <c r="B735" s="845" t="s">
        <v>2552</v>
      </c>
      <c r="D735" s="862"/>
      <c r="I735" s="845" t="s">
        <v>1009</v>
      </c>
    </row>
    <row r="736" spans="1:10" x14ac:dyDescent="0.2">
      <c r="A736" s="859">
        <f t="shared" si="11"/>
        <v>735</v>
      </c>
      <c r="B736" s="845" t="s">
        <v>2552</v>
      </c>
      <c r="D736" s="863"/>
      <c r="I736" s="845" t="str">
        <f>CONCATENATE("&lt;valeur&gt;",Cellule_173,"&lt;/valeur&gt;")</f>
        <v>&lt;valeur&gt;0&lt;/valeur&gt;</v>
      </c>
    </row>
    <row r="737" spans="1:10" x14ac:dyDescent="0.2">
      <c r="A737" s="859">
        <f t="shared" si="11"/>
        <v>736</v>
      </c>
      <c r="B737" s="845" t="s">
        <v>2552</v>
      </c>
      <c r="D737" s="862"/>
      <c r="H737" s="845" t="s">
        <v>1010</v>
      </c>
    </row>
    <row r="738" spans="1:10" x14ac:dyDescent="0.2">
      <c r="A738" s="859">
        <f t="shared" si="11"/>
        <v>737</v>
      </c>
      <c r="B738" s="845" t="s">
        <v>2552</v>
      </c>
      <c r="D738" s="862"/>
      <c r="H738" s="845" t="s">
        <v>1007</v>
      </c>
    </row>
    <row r="739" spans="1:10" x14ac:dyDescent="0.2">
      <c r="A739" s="859">
        <f t="shared" si="11"/>
        <v>738</v>
      </c>
      <c r="B739" s="845" t="s">
        <v>2552</v>
      </c>
      <c r="D739" s="861"/>
      <c r="I739" s="845" t="s">
        <v>1008</v>
      </c>
    </row>
    <row r="740" spans="1:10" x14ac:dyDescent="0.2">
      <c r="A740" s="859">
        <f t="shared" si="11"/>
        <v>739</v>
      </c>
      <c r="B740" s="845" t="s">
        <v>2552</v>
      </c>
      <c r="D740" s="861"/>
      <c r="J740" s="845" t="s">
        <v>1143</v>
      </c>
    </row>
    <row r="741" spans="1:10" x14ac:dyDescent="0.2">
      <c r="A741" s="859">
        <f t="shared" si="11"/>
        <v>740</v>
      </c>
      <c r="B741" s="845" t="s">
        <v>2552</v>
      </c>
      <c r="D741" s="862"/>
      <c r="I741" s="845" t="s">
        <v>1009</v>
      </c>
    </row>
    <row r="742" spans="1:10" x14ac:dyDescent="0.2">
      <c r="A742" s="859">
        <f t="shared" si="11"/>
        <v>741</v>
      </c>
      <c r="B742" s="845" t="s">
        <v>2552</v>
      </c>
      <c r="D742" s="863"/>
      <c r="I742" s="845" t="str">
        <f>CONCATENATE("&lt;valeur&gt;",Cellule_174,"&lt;/valeur&gt;")</f>
        <v>&lt;valeur&gt;0&lt;/valeur&gt;</v>
      </c>
    </row>
    <row r="743" spans="1:10" x14ac:dyDescent="0.2">
      <c r="A743" s="859">
        <f t="shared" si="11"/>
        <v>742</v>
      </c>
      <c r="B743" s="845" t="s">
        <v>2552</v>
      </c>
      <c r="D743" s="862"/>
      <c r="H743" s="845" t="s">
        <v>1010</v>
      </c>
    </row>
    <row r="744" spans="1:10" x14ac:dyDescent="0.2">
      <c r="A744" s="859">
        <f t="shared" si="11"/>
        <v>743</v>
      </c>
      <c r="B744" s="845" t="s">
        <v>2552</v>
      </c>
      <c r="D744" s="862"/>
      <c r="H744" s="845" t="s">
        <v>1007</v>
      </c>
    </row>
    <row r="745" spans="1:10" x14ac:dyDescent="0.2">
      <c r="A745" s="859">
        <f t="shared" si="11"/>
        <v>744</v>
      </c>
      <c r="B745" s="845" t="s">
        <v>2552</v>
      </c>
      <c r="D745" s="861"/>
      <c r="I745" s="845" t="s">
        <v>1008</v>
      </c>
    </row>
    <row r="746" spans="1:10" x14ac:dyDescent="0.2">
      <c r="A746" s="859">
        <f t="shared" si="11"/>
        <v>745</v>
      </c>
      <c r="B746" s="845" t="s">
        <v>2552</v>
      </c>
      <c r="D746" s="861"/>
      <c r="J746" s="845" t="s">
        <v>1144</v>
      </c>
    </row>
    <row r="747" spans="1:10" x14ac:dyDescent="0.2">
      <c r="A747" s="859">
        <f t="shared" si="11"/>
        <v>746</v>
      </c>
      <c r="B747" s="845" t="s">
        <v>2552</v>
      </c>
      <c r="D747" s="862"/>
      <c r="I747" s="845" t="s">
        <v>1009</v>
      </c>
    </row>
    <row r="748" spans="1:10" x14ac:dyDescent="0.2">
      <c r="A748" s="859">
        <f t="shared" si="11"/>
        <v>747</v>
      </c>
      <c r="B748" s="845" t="s">
        <v>2552</v>
      </c>
      <c r="D748" s="863"/>
      <c r="I748" s="845" t="str">
        <f>CONCATENATE("&lt;valeur&gt;",Cellule_524,"&lt;/valeur&gt;")</f>
        <v>&lt;valeur&gt;0&lt;/valeur&gt;</v>
      </c>
    </row>
    <row r="749" spans="1:10" x14ac:dyDescent="0.2">
      <c r="A749" s="859">
        <f t="shared" si="11"/>
        <v>748</v>
      </c>
      <c r="B749" s="845" t="s">
        <v>2552</v>
      </c>
      <c r="D749" s="862"/>
      <c r="H749" s="845" t="s">
        <v>1010</v>
      </c>
    </row>
    <row r="750" spans="1:10" x14ac:dyDescent="0.2">
      <c r="A750" s="859">
        <f t="shared" si="11"/>
        <v>749</v>
      </c>
      <c r="B750" s="845" t="s">
        <v>2552</v>
      </c>
      <c r="D750" s="862"/>
      <c r="H750" s="845" t="s">
        <v>1007</v>
      </c>
    </row>
    <row r="751" spans="1:10" x14ac:dyDescent="0.2">
      <c r="A751" s="859">
        <f t="shared" si="11"/>
        <v>750</v>
      </c>
      <c r="B751" s="845" t="s">
        <v>2552</v>
      </c>
      <c r="D751" s="861"/>
      <c r="I751" s="845" t="s">
        <v>1008</v>
      </c>
    </row>
    <row r="752" spans="1:10" x14ac:dyDescent="0.2">
      <c r="A752" s="859">
        <f t="shared" si="11"/>
        <v>751</v>
      </c>
      <c r="B752" s="845" t="s">
        <v>2552</v>
      </c>
      <c r="D752" s="861"/>
      <c r="J752" s="845" t="s">
        <v>1145</v>
      </c>
    </row>
    <row r="753" spans="1:10" x14ac:dyDescent="0.2">
      <c r="A753" s="859">
        <f t="shared" si="11"/>
        <v>752</v>
      </c>
      <c r="B753" s="845" t="s">
        <v>2552</v>
      </c>
      <c r="D753" s="862"/>
      <c r="I753" s="845" t="s">
        <v>1009</v>
      </c>
    </row>
    <row r="754" spans="1:10" x14ac:dyDescent="0.2">
      <c r="A754" s="859">
        <f t="shared" si="11"/>
        <v>753</v>
      </c>
      <c r="B754" s="845" t="s">
        <v>2552</v>
      </c>
      <c r="D754" s="863"/>
      <c r="I754" s="845" t="str">
        <f>CONCATENATE("&lt;valeur&gt;",Cellule_175,"&lt;/valeur&gt;")</f>
        <v>&lt;valeur&gt;0&lt;/valeur&gt;</v>
      </c>
    </row>
    <row r="755" spans="1:10" x14ac:dyDescent="0.2">
      <c r="A755" s="859">
        <f t="shared" si="11"/>
        <v>754</v>
      </c>
      <c r="B755" s="845" t="s">
        <v>2552</v>
      </c>
      <c r="D755" s="862"/>
      <c r="H755" s="845" t="s">
        <v>1010</v>
      </c>
    </row>
    <row r="756" spans="1:10" x14ac:dyDescent="0.2">
      <c r="A756" s="859">
        <f t="shared" si="11"/>
        <v>755</v>
      </c>
      <c r="B756" s="845" t="s">
        <v>2552</v>
      </c>
      <c r="D756" s="862"/>
      <c r="H756" s="845" t="s">
        <v>1007</v>
      </c>
    </row>
    <row r="757" spans="1:10" x14ac:dyDescent="0.2">
      <c r="A757" s="859">
        <f t="shared" si="11"/>
        <v>756</v>
      </c>
      <c r="B757" s="845" t="s">
        <v>2552</v>
      </c>
      <c r="D757" s="861"/>
      <c r="I757" s="845" t="s">
        <v>1008</v>
      </c>
    </row>
    <row r="758" spans="1:10" x14ac:dyDescent="0.2">
      <c r="A758" s="859">
        <f t="shared" si="11"/>
        <v>757</v>
      </c>
      <c r="B758" s="845" t="s">
        <v>2552</v>
      </c>
      <c r="D758" s="861"/>
      <c r="J758" s="845" t="s">
        <v>1146</v>
      </c>
    </row>
    <row r="759" spans="1:10" x14ac:dyDescent="0.2">
      <c r="A759" s="859">
        <f t="shared" si="11"/>
        <v>758</v>
      </c>
      <c r="B759" s="845" t="s">
        <v>2552</v>
      </c>
      <c r="D759" s="862"/>
      <c r="I759" s="845" t="s">
        <v>1009</v>
      </c>
    </row>
    <row r="760" spans="1:10" x14ac:dyDescent="0.2">
      <c r="A760" s="859">
        <f t="shared" si="11"/>
        <v>759</v>
      </c>
      <c r="B760" s="845" t="s">
        <v>2552</v>
      </c>
      <c r="D760" s="863"/>
      <c r="I760" s="845" t="str">
        <f>CONCATENATE("&lt;valeur&gt;",Cellule_176,"&lt;/valeur&gt;")</f>
        <v>&lt;valeur&gt;0&lt;/valeur&gt;</v>
      </c>
    </row>
    <row r="761" spans="1:10" x14ac:dyDescent="0.2">
      <c r="A761" s="859">
        <f t="shared" si="11"/>
        <v>760</v>
      </c>
      <c r="B761" s="845" t="s">
        <v>2552</v>
      </c>
      <c r="D761" s="862"/>
      <c r="H761" s="845" t="s">
        <v>1010</v>
      </c>
    </row>
    <row r="762" spans="1:10" x14ac:dyDescent="0.2">
      <c r="A762" s="859">
        <f t="shared" si="11"/>
        <v>761</v>
      </c>
      <c r="B762" s="845" t="s">
        <v>2552</v>
      </c>
      <c r="D762" s="862"/>
      <c r="H762" s="845" t="s">
        <v>1007</v>
      </c>
    </row>
    <row r="763" spans="1:10" x14ac:dyDescent="0.2">
      <c r="A763" s="859">
        <f t="shared" si="11"/>
        <v>762</v>
      </c>
      <c r="B763" s="845" t="s">
        <v>2552</v>
      </c>
      <c r="D763" s="861"/>
      <c r="I763" s="845" t="s">
        <v>1008</v>
      </c>
    </row>
    <row r="764" spans="1:10" x14ac:dyDescent="0.2">
      <c r="A764" s="859">
        <f t="shared" si="11"/>
        <v>763</v>
      </c>
      <c r="B764" s="845" t="s">
        <v>2552</v>
      </c>
      <c r="D764" s="861"/>
      <c r="J764" s="845" t="s">
        <v>1147</v>
      </c>
    </row>
    <row r="765" spans="1:10" x14ac:dyDescent="0.2">
      <c r="A765" s="859">
        <f t="shared" si="11"/>
        <v>764</v>
      </c>
      <c r="B765" s="845" t="s">
        <v>2552</v>
      </c>
      <c r="D765" s="862"/>
      <c r="I765" s="845" t="s">
        <v>1009</v>
      </c>
    </row>
    <row r="766" spans="1:10" x14ac:dyDescent="0.2">
      <c r="A766" s="859">
        <f t="shared" si="11"/>
        <v>765</v>
      </c>
      <c r="B766" s="845" t="s">
        <v>2552</v>
      </c>
      <c r="D766" s="863"/>
      <c r="I766" s="845" t="str">
        <f>CONCATENATE("&lt;valeur&gt;",Cellule_177,"&lt;/valeur&gt;")</f>
        <v>&lt;valeur&gt;0&lt;/valeur&gt;</v>
      </c>
    </row>
    <row r="767" spans="1:10" x14ac:dyDescent="0.2">
      <c r="A767" s="859">
        <f t="shared" si="11"/>
        <v>766</v>
      </c>
      <c r="B767" s="845" t="s">
        <v>2552</v>
      </c>
      <c r="D767" s="862"/>
      <c r="H767" s="845" t="s">
        <v>1010</v>
      </c>
    </row>
    <row r="768" spans="1:10" x14ac:dyDescent="0.2">
      <c r="A768" s="859">
        <f t="shared" si="11"/>
        <v>767</v>
      </c>
      <c r="B768" s="845" t="s">
        <v>2552</v>
      </c>
      <c r="D768" s="862"/>
      <c r="H768" s="845" t="s">
        <v>1007</v>
      </c>
    </row>
    <row r="769" spans="1:10" x14ac:dyDescent="0.2">
      <c r="A769" s="859">
        <f t="shared" si="11"/>
        <v>768</v>
      </c>
      <c r="B769" s="845" t="s">
        <v>2552</v>
      </c>
      <c r="D769" s="861"/>
      <c r="I769" s="845" t="s">
        <v>1008</v>
      </c>
    </row>
    <row r="770" spans="1:10" x14ac:dyDescent="0.2">
      <c r="A770" s="859">
        <f t="shared" si="11"/>
        <v>769</v>
      </c>
      <c r="B770" s="845" t="s">
        <v>2552</v>
      </c>
      <c r="D770" s="861"/>
      <c r="J770" s="845" t="s">
        <v>1148</v>
      </c>
    </row>
    <row r="771" spans="1:10" x14ac:dyDescent="0.2">
      <c r="A771" s="859">
        <f t="shared" si="11"/>
        <v>770</v>
      </c>
      <c r="B771" s="845" t="s">
        <v>2552</v>
      </c>
      <c r="D771" s="862"/>
      <c r="I771" s="845" t="s">
        <v>1009</v>
      </c>
    </row>
    <row r="772" spans="1:10" x14ac:dyDescent="0.2">
      <c r="A772" s="859">
        <f t="shared" ref="A772:A835" si="12">+A771+1</f>
        <v>771</v>
      </c>
      <c r="B772" s="845" t="s">
        <v>2552</v>
      </c>
      <c r="D772" s="863"/>
      <c r="I772" s="845" t="str">
        <f>CONCATENATE("&lt;valeur&gt;",Cellule_178,"&lt;/valeur&gt;")</f>
        <v>&lt;valeur&gt;0&lt;/valeur&gt;</v>
      </c>
    </row>
    <row r="773" spans="1:10" x14ac:dyDescent="0.2">
      <c r="A773" s="859">
        <f t="shared" si="12"/>
        <v>772</v>
      </c>
      <c r="B773" s="845" t="s">
        <v>2552</v>
      </c>
      <c r="D773" s="862"/>
      <c r="H773" s="845" t="s">
        <v>1010</v>
      </c>
    </row>
    <row r="774" spans="1:10" x14ac:dyDescent="0.2">
      <c r="A774" s="859">
        <f t="shared" si="12"/>
        <v>773</v>
      </c>
      <c r="B774" s="845" t="s">
        <v>2552</v>
      </c>
      <c r="D774" s="862"/>
      <c r="H774" s="845" t="s">
        <v>1007</v>
      </c>
    </row>
    <row r="775" spans="1:10" x14ac:dyDescent="0.2">
      <c r="A775" s="859">
        <f t="shared" si="12"/>
        <v>774</v>
      </c>
      <c r="B775" s="845" t="s">
        <v>2552</v>
      </c>
      <c r="D775" s="861"/>
      <c r="I775" s="845" t="s">
        <v>1008</v>
      </c>
    </row>
    <row r="776" spans="1:10" x14ac:dyDescent="0.2">
      <c r="A776" s="859">
        <f t="shared" si="12"/>
        <v>775</v>
      </c>
      <c r="B776" s="845" t="s">
        <v>2552</v>
      </c>
      <c r="D776" s="861"/>
      <c r="J776" s="845" t="s">
        <v>1149</v>
      </c>
    </row>
    <row r="777" spans="1:10" x14ac:dyDescent="0.2">
      <c r="A777" s="859">
        <f t="shared" si="12"/>
        <v>776</v>
      </c>
      <c r="B777" s="845" t="s">
        <v>2552</v>
      </c>
      <c r="D777" s="862"/>
      <c r="I777" s="845" t="s">
        <v>1009</v>
      </c>
    </row>
    <row r="778" spans="1:10" x14ac:dyDescent="0.2">
      <c r="A778" s="859">
        <f t="shared" si="12"/>
        <v>777</v>
      </c>
      <c r="B778" s="845" t="s">
        <v>2552</v>
      </c>
      <c r="D778" s="863"/>
      <c r="I778" s="845" t="str">
        <f>CONCATENATE("&lt;valeur&gt;",Cellule_179,"&lt;/valeur&gt;")</f>
        <v>&lt;valeur&gt;0&lt;/valeur&gt;</v>
      </c>
    </row>
    <row r="779" spans="1:10" x14ac:dyDescent="0.2">
      <c r="A779" s="859">
        <f t="shared" si="12"/>
        <v>778</v>
      </c>
      <c r="B779" s="845" t="s">
        <v>2552</v>
      </c>
      <c r="D779" s="862"/>
      <c r="H779" s="845" t="s">
        <v>1010</v>
      </c>
    </row>
    <row r="780" spans="1:10" x14ac:dyDescent="0.2">
      <c r="A780" s="859">
        <f t="shared" si="12"/>
        <v>779</v>
      </c>
      <c r="B780" s="845" t="s">
        <v>2552</v>
      </c>
      <c r="D780" s="862"/>
      <c r="H780" s="845" t="s">
        <v>1007</v>
      </c>
    </row>
    <row r="781" spans="1:10" x14ac:dyDescent="0.2">
      <c r="A781" s="859">
        <f t="shared" si="12"/>
        <v>780</v>
      </c>
      <c r="B781" s="845" t="s">
        <v>2552</v>
      </c>
      <c r="D781" s="861"/>
      <c r="I781" s="845" t="s">
        <v>1008</v>
      </c>
    </row>
    <row r="782" spans="1:10" x14ac:dyDescent="0.2">
      <c r="A782" s="859">
        <f t="shared" si="12"/>
        <v>781</v>
      </c>
      <c r="B782" s="845" t="s">
        <v>2552</v>
      </c>
      <c r="D782" s="861"/>
      <c r="J782" s="845" t="s">
        <v>1150</v>
      </c>
    </row>
    <row r="783" spans="1:10" x14ac:dyDescent="0.2">
      <c r="A783" s="859">
        <f t="shared" si="12"/>
        <v>782</v>
      </c>
      <c r="B783" s="845" t="s">
        <v>2552</v>
      </c>
      <c r="D783" s="862"/>
      <c r="I783" s="845" t="s">
        <v>1009</v>
      </c>
    </row>
    <row r="784" spans="1:10" x14ac:dyDescent="0.2">
      <c r="A784" s="859">
        <f t="shared" si="12"/>
        <v>783</v>
      </c>
      <c r="B784" s="845" t="s">
        <v>2552</v>
      </c>
      <c r="D784" s="863"/>
      <c r="I784" s="845" t="str">
        <f>CONCATENATE("&lt;valeur&gt;",Cellule_525,"&lt;/valeur&gt;")</f>
        <v>&lt;valeur&gt;0&lt;/valeur&gt;</v>
      </c>
    </row>
    <row r="785" spans="1:10" x14ac:dyDescent="0.2">
      <c r="A785" s="859">
        <f t="shared" si="12"/>
        <v>784</v>
      </c>
      <c r="B785" s="845" t="s">
        <v>2552</v>
      </c>
      <c r="D785" s="862"/>
      <c r="H785" s="845" t="s">
        <v>1010</v>
      </c>
    </row>
    <row r="786" spans="1:10" x14ac:dyDescent="0.2">
      <c r="A786" s="859">
        <f t="shared" si="12"/>
        <v>785</v>
      </c>
      <c r="B786" s="845" t="s">
        <v>2552</v>
      </c>
      <c r="D786" s="862"/>
      <c r="H786" s="845" t="s">
        <v>1007</v>
      </c>
    </row>
    <row r="787" spans="1:10" x14ac:dyDescent="0.2">
      <c r="A787" s="859">
        <f t="shared" si="12"/>
        <v>786</v>
      </c>
      <c r="B787" s="845" t="s">
        <v>2552</v>
      </c>
      <c r="D787" s="861"/>
      <c r="I787" s="845" t="s">
        <v>1008</v>
      </c>
    </row>
    <row r="788" spans="1:10" x14ac:dyDescent="0.2">
      <c r="A788" s="859">
        <f t="shared" si="12"/>
        <v>787</v>
      </c>
      <c r="B788" s="845" t="s">
        <v>2552</v>
      </c>
      <c r="D788" s="861"/>
      <c r="J788" s="845" t="s">
        <v>1151</v>
      </c>
    </row>
    <row r="789" spans="1:10" x14ac:dyDescent="0.2">
      <c r="A789" s="859">
        <f t="shared" si="12"/>
        <v>788</v>
      </c>
      <c r="B789" s="845" t="s">
        <v>2552</v>
      </c>
      <c r="D789" s="862"/>
      <c r="I789" s="845" t="s">
        <v>1009</v>
      </c>
    </row>
    <row r="790" spans="1:10" x14ac:dyDescent="0.2">
      <c r="A790" s="859">
        <f t="shared" si="12"/>
        <v>789</v>
      </c>
      <c r="B790" s="845" t="s">
        <v>2552</v>
      </c>
      <c r="D790" s="863"/>
      <c r="I790" s="845" t="str">
        <f>CONCATENATE("&lt;valeur&gt;",Cellule_122,"&lt;/valeur&gt;")</f>
        <v>&lt;valeur&gt;0&lt;/valeur&gt;</v>
      </c>
    </row>
    <row r="791" spans="1:10" x14ac:dyDescent="0.2">
      <c r="A791" s="859">
        <f t="shared" si="12"/>
        <v>790</v>
      </c>
      <c r="B791" s="845" t="s">
        <v>2552</v>
      </c>
      <c r="D791" s="862"/>
      <c r="H791" s="845" t="s">
        <v>1010</v>
      </c>
    </row>
    <row r="792" spans="1:10" x14ac:dyDescent="0.2">
      <c r="A792" s="859">
        <f t="shared" si="12"/>
        <v>791</v>
      </c>
      <c r="B792" s="845" t="s">
        <v>2552</v>
      </c>
      <c r="D792" s="862"/>
      <c r="H792" s="845" t="s">
        <v>1007</v>
      </c>
    </row>
    <row r="793" spans="1:10" x14ac:dyDescent="0.2">
      <c r="A793" s="859">
        <f t="shared" si="12"/>
        <v>792</v>
      </c>
      <c r="B793" s="845" t="s">
        <v>2552</v>
      </c>
      <c r="D793" s="861"/>
      <c r="I793" s="845" t="s">
        <v>1008</v>
      </c>
    </row>
    <row r="794" spans="1:10" x14ac:dyDescent="0.2">
      <c r="A794" s="859">
        <f t="shared" si="12"/>
        <v>793</v>
      </c>
      <c r="B794" s="845" t="s">
        <v>2552</v>
      </c>
      <c r="D794" s="861"/>
      <c r="J794" s="845" t="s">
        <v>1152</v>
      </c>
    </row>
    <row r="795" spans="1:10" x14ac:dyDescent="0.2">
      <c r="A795" s="859">
        <f t="shared" si="12"/>
        <v>794</v>
      </c>
      <c r="B795" s="845" t="s">
        <v>2552</v>
      </c>
      <c r="D795" s="862"/>
      <c r="I795" s="845" t="s">
        <v>1009</v>
      </c>
    </row>
    <row r="796" spans="1:10" x14ac:dyDescent="0.2">
      <c r="A796" s="859">
        <f t="shared" si="12"/>
        <v>795</v>
      </c>
      <c r="B796" s="845" t="s">
        <v>2552</v>
      </c>
      <c r="D796" s="863"/>
      <c r="I796" s="845" t="str">
        <f>CONCATENATE("&lt;valeur&gt;",Cellule_123,"&lt;/valeur&gt;")</f>
        <v>&lt;valeur&gt;0&lt;/valeur&gt;</v>
      </c>
    </row>
    <row r="797" spans="1:10" x14ac:dyDescent="0.2">
      <c r="A797" s="859">
        <f t="shared" si="12"/>
        <v>796</v>
      </c>
      <c r="B797" s="845" t="s">
        <v>2552</v>
      </c>
      <c r="D797" s="862"/>
      <c r="H797" s="845" t="s">
        <v>1010</v>
      </c>
    </row>
    <row r="798" spans="1:10" x14ac:dyDescent="0.2">
      <c r="A798" s="859">
        <f t="shared" si="12"/>
        <v>797</v>
      </c>
      <c r="B798" s="845" t="s">
        <v>2552</v>
      </c>
      <c r="D798" s="862"/>
      <c r="H798" s="845" t="s">
        <v>1007</v>
      </c>
    </row>
    <row r="799" spans="1:10" x14ac:dyDescent="0.2">
      <c r="A799" s="859">
        <f t="shared" si="12"/>
        <v>798</v>
      </c>
      <c r="B799" s="845" t="s">
        <v>2552</v>
      </c>
      <c r="D799" s="861"/>
      <c r="I799" s="845" t="s">
        <v>1008</v>
      </c>
    </row>
    <row r="800" spans="1:10" x14ac:dyDescent="0.2">
      <c r="A800" s="859">
        <f t="shared" si="12"/>
        <v>799</v>
      </c>
      <c r="B800" s="845" t="s">
        <v>2552</v>
      </c>
      <c r="D800" s="861"/>
      <c r="J800" s="845" t="s">
        <v>1153</v>
      </c>
    </row>
    <row r="801" spans="1:10" x14ac:dyDescent="0.2">
      <c r="A801" s="859">
        <f t="shared" si="12"/>
        <v>800</v>
      </c>
      <c r="B801" s="845" t="s">
        <v>2552</v>
      </c>
      <c r="D801" s="862"/>
      <c r="I801" s="845" t="s">
        <v>1009</v>
      </c>
    </row>
    <row r="802" spans="1:10" x14ac:dyDescent="0.2">
      <c r="A802" s="859">
        <f t="shared" si="12"/>
        <v>801</v>
      </c>
      <c r="B802" s="845" t="s">
        <v>2552</v>
      </c>
      <c r="D802" s="863"/>
      <c r="I802" s="845" t="str">
        <f>CONCATENATE("&lt;valeur&gt;",Cellule_124,"&lt;/valeur&gt;")</f>
        <v>&lt;valeur&gt;0&lt;/valeur&gt;</v>
      </c>
    </row>
    <row r="803" spans="1:10" x14ac:dyDescent="0.2">
      <c r="A803" s="859">
        <f t="shared" si="12"/>
        <v>802</v>
      </c>
      <c r="B803" s="845" t="s">
        <v>2552</v>
      </c>
      <c r="D803" s="862"/>
      <c r="H803" s="845" t="s">
        <v>1010</v>
      </c>
    </row>
    <row r="804" spans="1:10" x14ac:dyDescent="0.2">
      <c r="A804" s="859">
        <f t="shared" si="12"/>
        <v>803</v>
      </c>
      <c r="B804" s="845" t="s">
        <v>2552</v>
      </c>
      <c r="D804" s="862"/>
      <c r="H804" s="845" t="s">
        <v>1007</v>
      </c>
    </row>
    <row r="805" spans="1:10" x14ac:dyDescent="0.2">
      <c r="A805" s="859">
        <f t="shared" si="12"/>
        <v>804</v>
      </c>
      <c r="B805" s="845" t="s">
        <v>2552</v>
      </c>
      <c r="D805" s="861"/>
      <c r="I805" s="845" t="s">
        <v>1008</v>
      </c>
    </row>
    <row r="806" spans="1:10" x14ac:dyDescent="0.2">
      <c r="A806" s="859">
        <f t="shared" si="12"/>
        <v>805</v>
      </c>
      <c r="B806" s="845" t="s">
        <v>2552</v>
      </c>
      <c r="D806" s="861"/>
      <c r="J806" s="845" t="s">
        <v>1154</v>
      </c>
    </row>
    <row r="807" spans="1:10" x14ac:dyDescent="0.2">
      <c r="A807" s="859">
        <f t="shared" si="12"/>
        <v>806</v>
      </c>
      <c r="B807" s="845" t="s">
        <v>2552</v>
      </c>
      <c r="D807" s="862"/>
      <c r="I807" s="845" t="s">
        <v>1009</v>
      </c>
    </row>
    <row r="808" spans="1:10" x14ac:dyDescent="0.2">
      <c r="A808" s="859">
        <f t="shared" si="12"/>
        <v>807</v>
      </c>
      <c r="B808" s="845" t="s">
        <v>2552</v>
      </c>
      <c r="D808" s="863"/>
      <c r="I808" s="845" t="str">
        <f>CONCATENATE("&lt;valeur&gt;",Cellule_125,"&lt;/valeur&gt;")</f>
        <v>&lt;valeur&gt;0&lt;/valeur&gt;</v>
      </c>
    </row>
    <row r="809" spans="1:10" x14ac:dyDescent="0.2">
      <c r="A809" s="859">
        <f t="shared" si="12"/>
        <v>808</v>
      </c>
      <c r="B809" s="845" t="s">
        <v>2552</v>
      </c>
      <c r="D809" s="862"/>
      <c r="H809" s="845" t="s">
        <v>1010</v>
      </c>
    </row>
    <row r="810" spans="1:10" x14ac:dyDescent="0.2">
      <c r="A810" s="859">
        <f t="shared" si="12"/>
        <v>809</v>
      </c>
      <c r="B810" s="845" t="s">
        <v>2552</v>
      </c>
      <c r="D810" s="862"/>
      <c r="H810" s="845" t="s">
        <v>1007</v>
      </c>
    </row>
    <row r="811" spans="1:10" x14ac:dyDescent="0.2">
      <c r="A811" s="859">
        <f t="shared" si="12"/>
        <v>810</v>
      </c>
      <c r="B811" s="845" t="s">
        <v>2552</v>
      </c>
      <c r="D811" s="861"/>
      <c r="I811" s="845" t="s">
        <v>1008</v>
      </c>
    </row>
    <row r="812" spans="1:10" x14ac:dyDescent="0.2">
      <c r="A812" s="859">
        <f t="shared" si="12"/>
        <v>811</v>
      </c>
      <c r="B812" s="845" t="s">
        <v>2552</v>
      </c>
      <c r="D812" s="861"/>
      <c r="J812" s="845" t="s">
        <v>1155</v>
      </c>
    </row>
    <row r="813" spans="1:10" x14ac:dyDescent="0.2">
      <c r="A813" s="859">
        <f t="shared" si="12"/>
        <v>812</v>
      </c>
      <c r="B813" s="845" t="s">
        <v>2552</v>
      </c>
      <c r="D813" s="862"/>
      <c r="I813" s="845" t="s">
        <v>1009</v>
      </c>
    </row>
    <row r="814" spans="1:10" x14ac:dyDescent="0.2">
      <c r="A814" s="859">
        <f t="shared" si="12"/>
        <v>813</v>
      </c>
      <c r="B814" s="845" t="s">
        <v>2552</v>
      </c>
      <c r="D814" s="863"/>
      <c r="I814" s="845" t="str">
        <f>CONCATENATE("&lt;valeur&gt;",Cellule_169,"&lt;/valeur&gt;")</f>
        <v>&lt;valeur&gt;0&lt;/valeur&gt;</v>
      </c>
    </row>
    <row r="815" spans="1:10" x14ac:dyDescent="0.2">
      <c r="A815" s="859">
        <f t="shared" si="12"/>
        <v>814</v>
      </c>
      <c r="B815" s="845" t="s">
        <v>2552</v>
      </c>
      <c r="D815" s="862"/>
      <c r="H815" s="845" t="s">
        <v>1010</v>
      </c>
    </row>
    <row r="816" spans="1:10" x14ac:dyDescent="0.2">
      <c r="A816" s="859">
        <f t="shared" si="12"/>
        <v>815</v>
      </c>
      <c r="B816" s="845" t="s">
        <v>2552</v>
      </c>
      <c r="D816" s="862"/>
      <c r="H816" s="845" t="s">
        <v>1007</v>
      </c>
    </row>
    <row r="817" spans="1:10" x14ac:dyDescent="0.2">
      <c r="A817" s="859">
        <f t="shared" si="12"/>
        <v>816</v>
      </c>
      <c r="B817" s="845" t="s">
        <v>2552</v>
      </c>
      <c r="D817" s="861"/>
      <c r="I817" s="845" t="s">
        <v>1008</v>
      </c>
    </row>
    <row r="818" spans="1:10" x14ac:dyDescent="0.2">
      <c r="A818" s="859">
        <f t="shared" si="12"/>
        <v>817</v>
      </c>
      <c r="B818" s="845" t="s">
        <v>2552</v>
      </c>
      <c r="D818" s="861"/>
      <c r="J818" s="845" t="s">
        <v>1156</v>
      </c>
    </row>
    <row r="819" spans="1:10" x14ac:dyDescent="0.2">
      <c r="A819" s="859">
        <f t="shared" si="12"/>
        <v>818</v>
      </c>
      <c r="B819" s="845" t="s">
        <v>2552</v>
      </c>
      <c r="D819" s="862"/>
      <c r="I819" s="845" t="s">
        <v>1009</v>
      </c>
    </row>
    <row r="820" spans="1:10" x14ac:dyDescent="0.2">
      <c r="A820" s="859">
        <f t="shared" si="12"/>
        <v>819</v>
      </c>
      <c r="B820" s="845" t="s">
        <v>2552</v>
      </c>
      <c r="D820" s="863"/>
      <c r="I820" s="845" t="str">
        <f>CONCATENATE("&lt;valeur&gt;",Cellule_127,"&lt;/valeur&gt;")</f>
        <v>&lt;valeur&gt;0&lt;/valeur&gt;</v>
      </c>
    </row>
    <row r="821" spans="1:10" x14ac:dyDescent="0.2">
      <c r="A821" s="859">
        <f t="shared" si="12"/>
        <v>820</v>
      </c>
      <c r="B821" s="845" t="s">
        <v>2552</v>
      </c>
      <c r="D821" s="862"/>
      <c r="H821" s="845" t="s">
        <v>1010</v>
      </c>
    </row>
    <row r="822" spans="1:10" x14ac:dyDescent="0.2">
      <c r="A822" s="859">
        <f t="shared" si="12"/>
        <v>821</v>
      </c>
      <c r="B822" s="845" t="s">
        <v>2552</v>
      </c>
      <c r="D822" s="862"/>
      <c r="H822" s="845" t="s">
        <v>1007</v>
      </c>
    </row>
    <row r="823" spans="1:10" x14ac:dyDescent="0.2">
      <c r="A823" s="859">
        <f t="shared" si="12"/>
        <v>822</v>
      </c>
      <c r="B823" s="845" t="s">
        <v>2552</v>
      </c>
      <c r="D823" s="861"/>
      <c r="I823" s="845" t="s">
        <v>1008</v>
      </c>
    </row>
    <row r="824" spans="1:10" x14ac:dyDescent="0.2">
      <c r="A824" s="859">
        <f t="shared" si="12"/>
        <v>823</v>
      </c>
      <c r="B824" s="845" t="s">
        <v>2552</v>
      </c>
      <c r="D824" s="861"/>
      <c r="J824" s="845" t="s">
        <v>1157</v>
      </c>
    </row>
    <row r="825" spans="1:10" x14ac:dyDescent="0.2">
      <c r="A825" s="859">
        <f t="shared" si="12"/>
        <v>824</v>
      </c>
      <c r="B825" s="845" t="s">
        <v>2552</v>
      </c>
      <c r="D825" s="862"/>
      <c r="I825" s="845" t="s">
        <v>1009</v>
      </c>
    </row>
    <row r="826" spans="1:10" x14ac:dyDescent="0.2">
      <c r="A826" s="859">
        <f t="shared" si="12"/>
        <v>825</v>
      </c>
      <c r="B826" s="845" t="s">
        <v>2552</v>
      </c>
      <c r="D826" s="863"/>
      <c r="I826" s="845" t="str">
        <f>CONCATENATE("&lt;valeur&gt;",Cellule_128,"&lt;/valeur&gt;")</f>
        <v>&lt;valeur&gt;0&lt;/valeur&gt;</v>
      </c>
    </row>
    <row r="827" spans="1:10" x14ac:dyDescent="0.2">
      <c r="A827" s="859">
        <f t="shared" si="12"/>
        <v>826</v>
      </c>
      <c r="B827" s="845" t="s">
        <v>2552</v>
      </c>
      <c r="D827" s="862"/>
      <c r="H827" s="845" t="s">
        <v>1010</v>
      </c>
    </row>
    <row r="828" spans="1:10" x14ac:dyDescent="0.2">
      <c r="A828" s="859">
        <f t="shared" si="12"/>
        <v>827</v>
      </c>
      <c r="B828" s="845" t="s">
        <v>2552</v>
      </c>
      <c r="D828" s="862"/>
      <c r="H828" s="845" t="s">
        <v>1007</v>
      </c>
    </row>
    <row r="829" spans="1:10" x14ac:dyDescent="0.2">
      <c r="A829" s="859">
        <f t="shared" si="12"/>
        <v>828</v>
      </c>
      <c r="B829" s="845" t="s">
        <v>2552</v>
      </c>
      <c r="D829" s="861"/>
      <c r="I829" s="845" t="s">
        <v>1008</v>
      </c>
    </row>
    <row r="830" spans="1:10" x14ac:dyDescent="0.2">
      <c r="A830" s="859">
        <f t="shared" si="12"/>
        <v>829</v>
      </c>
      <c r="B830" s="845" t="s">
        <v>2552</v>
      </c>
      <c r="D830" s="861"/>
      <c r="J830" s="845" t="s">
        <v>1158</v>
      </c>
    </row>
    <row r="831" spans="1:10" x14ac:dyDescent="0.2">
      <c r="A831" s="859">
        <f t="shared" si="12"/>
        <v>830</v>
      </c>
      <c r="B831" s="845" t="s">
        <v>2552</v>
      </c>
      <c r="D831" s="862"/>
      <c r="I831" s="845" t="s">
        <v>1009</v>
      </c>
    </row>
    <row r="832" spans="1:10" x14ac:dyDescent="0.2">
      <c r="A832" s="859">
        <f t="shared" si="12"/>
        <v>831</v>
      </c>
      <c r="B832" s="845" t="s">
        <v>2552</v>
      </c>
      <c r="D832" s="863"/>
      <c r="I832" s="845" t="str">
        <f>CONCATENATE("&lt;valeur&gt;",Cellule_527,"&lt;/valeur&gt;")</f>
        <v>&lt;valeur&gt;0&lt;/valeur&gt;</v>
      </c>
    </row>
    <row r="833" spans="1:10" x14ac:dyDescent="0.2">
      <c r="A833" s="859">
        <f t="shared" si="12"/>
        <v>832</v>
      </c>
      <c r="B833" s="845" t="s">
        <v>2552</v>
      </c>
      <c r="D833" s="862"/>
      <c r="H833" s="845" t="s">
        <v>1010</v>
      </c>
    </row>
    <row r="834" spans="1:10" x14ac:dyDescent="0.2">
      <c r="A834" s="859">
        <f t="shared" si="12"/>
        <v>833</v>
      </c>
      <c r="B834" s="845" t="s">
        <v>2552</v>
      </c>
      <c r="D834" s="862"/>
      <c r="H834" s="845" t="s">
        <v>1007</v>
      </c>
    </row>
    <row r="835" spans="1:10" x14ac:dyDescent="0.2">
      <c r="A835" s="859">
        <f t="shared" si="12"/>
        <v>834</v>
      </c>
      <c r="B835" s="845" t="s">
        <v>2552</v>
      </c>
      <c r="D835" s="861"/>
      <c r="I835" s="845" t="s">
        <v>1008</v>
      </c>
    </row>
    <row r="836" spans="1:10" x14ac:dyDescent="0.2">
      <c r="A836" s="859">
        <f t="shared" ref="A836:A899" si="13">+A835+1</f>
        <v>835</v>
      </c>
      <c r="B836" s="845" t="s">
        <v>2552</v>
      </c>
      <c r="D836" s="861"/>
      <c r="J836" s="845" t="s">
        <v>1159</v>
      </c>
    </row>
    <row r="837" spans="1:10" x14ac:dyDescent="0.2">
      <c r="A837" s="859">
        <f t="shared" si="13"/>
        <v>836</v>
      </c>
      <c r="B837" s="845" t="s">
        <v>2552</v>
      </c>
      <c r="D837" s="862"/>
      <c r="I837" s="845" t="s">
        <v>1009</v>
      </c>
    </row>
    <row r="838" spans="1:10" x14ac:dyDescent="0.2">
      <c r="A838" s="859">
        <f t="shared" si="13"/>
        <v>837</v>
      </c>
      <c r="B838" s="845" t="s">
        <v>2552</v>
      </c>
      <c r="D838" s="863"/>
      <c r="I838" s="845" t="str">
        <f>CONCATENATE("&lt;valeur&gt;",Cellule_129,"&lt;/valeur&gt;")</f>
        <v>&lt;valeur&gt;0&lt;/valeur&gt;</v>
      </c>
    </row>
    <row r="839" spans="1:10" x14ac:dyDescent="0.2">
      <c r="A839" s="859">
        <f t="shared" si="13"/>
        <v>838</v>
      </c>
      <c r="B839" s="845" t="s">
        <v>2552</v>
      </c>
      <c r="D839" s="862"/>
      <c r="H839" s="845" t="s">
        <v>1010</v>
      </c>
    </row>
    <row r="840" spans="1:10" x14ac:dyDescent="0.2">
      <c r="A840" s="859">
        <f t="shared" si="13"/>
        <v>839</v>
      </c>
      <c r="B840" s="845" t="s">
        <v>2552</v>
      </c>
      <c r="D840" s="862"/>
      <c r="H840" s="845" t="s">
        <v>1007</v>
      </c>
    </row>
    <row r="841" spans="1:10" x14ac:dyDescent="0.2">
      <c r="A841" s="859">
        <f t="shared" si="13"/>
        <v>840</v>
      </c>
      <c r="B841" s="845" t="s">
        <v>2552</v>
      </c>
      <c r="D841" s="861"/>
      <c r="I841" s="845" t="s">
        <v>1008</v>
      </c>
    </row>
    <row r="842" spans="1:10" x14ac:dyDescent="0.2">
      <c r="A842" s="859">
        <f t="shared" si="13"/>
        <v>841</v>
      </c>
      <c r="B842" s="845" t="s">
        <v>2552</v>
      </c>
      <c r="D842" s="861"/>
      <c r="J842" s="845" t="s">
        <v>1160</v>
      </c>
    </row>
    <row r="843" spans="1:10" x14ac:dyDescent="0.2">
      <c r="A843" s="859">
        <f t="shared" si="13"/>
        <v>842</v>
      </c>
      <c r="B843" s="845" t="s">
        <v>2552</v>
      </c>
      <c r="D843" s="862"/>
      <c r="I843" s="845" t="s">
        <v>1009</v>
      </c>
    </row>
    <row r="844" spans="1:10" x14ac:dyDescent="0.2">
      <c r="A844" s="859">
        <f t="shared" si="13"/>
        <v>843</v>
      </c>
      <c r="B844" s="845" t="s">
        <v>2552</v>
      </c>
      <c r="D844" s="863"/>
      <c r="I844" s="845" t="str">
        <f>CONCATENATE("&lt;valeur&gt;",Cellule_130,"&lt;/valeur&gt;")</f>
        <v>&lt;valeur&gt;0&lt;/valeur&gt;</v>
      </c>
    </row>
    <row r="845" spans="1:10" x14ac:dyDescent="0.2">
      <c r="A845" s="859">
        <f t="shared" si="13"/>
        <v>844</v>
      </c>
      <c r="B845" s="845" t="s">
        <v>2552</v>
      </c>
      <c r="D845" s="862"/>
      <c r="H845" s="845" t="s">
        <v>1010</v>
      </c>
    </row>
    <row r="846" spans="1:10" x14ac:dyDescent="0.2">
      <c r="A846" s="859">
        <f t="shared" si="13"/>
        <v>845</v>
      </c>
      <c r="B846" s="845" t="s">
        <v>2552</v>
      </c>
      <c r="D846" s="862"/>
      <c r="H846" s="845" t="s">
        <v>1007</v>
      </c>
    </row>
    <row r="847" spans="1:10" x14ac:dyDescent="0.2">
      <c r="A847" s="859">
        <f t="shared" si="13"/>
        <v>846</v>
      </c>
      <c r="B847" s="845" t="s">
        <v>2552</v>
      </c>
      <c r="D847" s="861"/>
      <c r="I847" s="845" t="s">
        <v>1008</v>
      </c>
    </row>
    <row r="848" spans="1:10" x14ac:dyDescent="0.2">
      <c r="A848" s="859">
        <f t="shared" si="13"/>
        <v>847</v>
      </c>
      <c r="B848" s="845" t="s">
        <v>2552</v>
      </c>
      <c r="D848" s="861"/>
      <c r="J848" s="845" t="s">
        <v>1161</v>
      </c>
    </row>
    <row r="849" spans="1:10" x14ac:dyDescent="0.2">
      <c r="A849" s="859">
        <f t="shared" si="13"/>
        <v>848</v>
      </c>
      <c r="B849" s="845" t="s">
        <v>2552</v>
      </c>
      <c r="D849" s="862"/>
      <c r="I849" s="845" t="s">
        <v>1009</v>
      </c>
    </row>
    <row r="850" spans="1:10" x14ac:dyDescent="0.2">
      <c r="A850" s="859">
        <f t="shared" si="13"/>
        <v>849</v>
      </c>
      <c r="B850" s="845" t="s">
        <v>2552</v>
      </c>
      <c r="D850" s="863"/>
      <c r="I850" s="845" t="str">
        <f>CONCATENATE("&lt;valeur&gt;",Cellule_131,"&lt;/valeur&gt;")</f>
        <v>&lt;valeur&gt;0&lt;/valeur&gt;</v>
      </c>
    </row>
    <row r="851" spans="1:10" x14ac:dyDescent="0.2">
      <c r="A851" s="859">
        <f t="shared" si="13"/>
        <v>850</v>
      </c>
      <c r="B851" s="845" t="s">
        <v>2552</v>
      </c>
      <c r="D851" s="862"/>
      <c r="H851" s="845" t="s">
        <v>1010</v>
      </c>
    </row>
    <row r="852" spans="1:10" x14ac:dyDescent="0.2">
      <c r="A852" s="859">
        <f t="shared" si="13"/>
        <v>851</v>
      </c>
      <c r="B852" s="845" t="s">
        <v>2552</v>
      </c>
      <c r="D852" s="862"/>
      <c r="H852" s="845" t="s">
        <v>1007</v>
      </c>
    </row>
    <row r="853" spans="1:10" x14ac:dyDescent="0.2">
      <c r="A853" s="859">
        <f t="shared" si="13"/>
        <v>852</v>
      </c>
      <c r="B853" s="845" t="s">
        <v>2552</v>
      </c>
      <c r="D853" s="861"/>
      <c r="I853" s="845" t="s">
        <v>1008</v>
      </c>
    </row>
    <row r="854" spans="1:10" x14ac:dyDescent="0.2">
      <c r="A854" s="859">
        <f t="shared" si="13"/>
        <v>853</v>
      </c>
      <c r="B854" s="845" t="s">
        <v>2552</v>
      </c>
      <c r="D854" s="861"/>
      <c r="J854" s="845" t="s">
        <v>1162</v>
      </c>
    </row>
    <row r="855" spans="1:10" x14ac:dyDescent="0.2">
      <c r="A855" s="859">
        <f t="shared" si="13"/>
        <v>854</v>
      </c>
      <c r="B855" s="845" t="s">
        <v>2552</v>
      </c>
      <c r="D855" s="862"/>
      <c r="I855" s="845" t="s">
        <v>1009</v>
      </c>
    </row>
    <row r="856" spans="1:10" x14ac:dyDescent="0.2">
      <c r="A856" s="859">
        <f t="shared" si="13"/>
        <v>855</v>
      </c>
      <c r="B856" s="845" t="s">
        <v>2552</v>
      </c>
      <c r="D856" s="863"/>
      <c r="I856" s="845" t="str">
        <f>CONCATENATE("&lt;valeur&gt;",Cellule_132,"&lt;/valeur&gt;")</f>
        <v>&lt;valeur&gt;0&lt;/valeur&gt;</v>
      </c>
    </row>
    <row r="857" spans="1:10" x14ac:dyDescent="0.2">
      <c r="A857" s="859">
        <f t="shared" si="13"/>
        <v>856</v>
      </c>
      <c r="B857" s="845" t="s">
        <v>2552</v>
      </c>
      <c r="D857" s="862"/>
      <c r="H857" s="845" t="s">
        <v>1010</v>
      </c>
    </row>
    <row r="858" spans="1:10" x14ac:dyDescent="0.2">
      <c r="A858" s="859">
        <f t="shared" si="13"/>
        <v>857</v>
      </c>
      <c r="B858" s="845" t="s">
        <v>2552</v>
      </c>
      <c r="D858" s="862"/>
      <c r="H858" s="845" t="s">
        <v>1007</v>
      </c>
    </row>
    <row r="859" spans="1:10" x14ac:dyDescent="0.2">
      <c r="A859" s="859">
        <f t="shared" si="13"/>
        <v>858</v>
      </c>
      <c r="B859" s="845" t="s">
        <v>2552</v>
      </c>
      <c r="D859" s="861"/>
      <c r="I859" s="845" t="s">
        <v>1008</v>
      </c>
    </row>
    <row r="860" spans="1:10" x14ac:dyDescent="0.2">
      <c r="A860" s="859">
        <f t="shared" si="13"/>
        <v>859</v>
      </c>
      <c r="B860" s="845" t="s">
        <v>2552</v>
      </c>
      <c r="D860" s="861"/>
      <c r="J860" s="845" t="s">
        <v>1163</v>
      </c>
    </row>
    <row r="861" spans="1:10" x14ac:dyDescent="0.2">
      <c r="A861" s="859">
        <f t="shared" si="13"/>
        <v>860</v>
      </c>
      <c r="B861" s="845" t="s">
        <v>2552</v>
      </c>
      <c r="D861" s="862"/>
      <c r="I861" s="845" t="s">
        <v>1009</v>
      </c>
    </row>
    <row r="862" spans="1:10" x14ac:dyDescent="0.2">
      <c r="A862" s="859">
        <f t="shared" si="13"/>
        <v>861</v>
      </c>
      <c r="B862" s="845" t="s">
        <v>2552</v>
      </c>
      <c r="D862" s="863"/>
      <c r="I862" s="845" t="str">
        <f>CONCATENATE("&lt;valeur&gt;",Cellule_133,"&lt;/valeur&gt;")</f>
        <v>&lt;valeur&gt;0&lt;/valeur&gt;</v>
      </c>
    </row>
    <row r="863" spans="1:10" x14ac:dyDescent="0.2">
      <c r="A863" s="859">
        <f t="shared" si="13"/>
        <v>862</v>
      </c>
      <c r="B863" s="845" t="s">
        <v>2552</v>
      </c>
      <c r="D863" s="862"/>
      <c r="H863" s="845" t="s">
        <v>1010</v>
      </c>
    </row>
    <row r="864" spans="1:10" x14ac:dyDescent="0.2">
      <c r="A864" s="859">
        <f t="shared" si="13"/>
        <v>863</v>
      </c>
      <c r="B864" s="845" t="s">
        <v>2552</v>
      </c>
      <c r="D864" s="862"/>
      <c r="H864" s="845" t="s">
        <v>1007</v>
      </c>
    </row>
    <row r="865" spans="1:10" x14ac:dyDescent="0.2">
      <c r="A865" s="859">
        <f t="shared" si="13"/>
        <v>864</v>
      </c>
      <c r="B865" s="845" t="s">
        <v>2552</v>
      </c>
      <c r="D865" s="861"/>
      <c r="I865" s="845" t="s">
        <v>1008</v>
      </c>
    </row>
    <row r="866" spans="1:10" x14ac:dyDescent="0.2">
      <c r="A866" s="859">
        <f t="shared" si="13"/>
        <v>865</v>
      </c>
      <c r="B866" s="845" t="s">
        <v>2552</v>
      </c>
      <c r="D866" s="861"/>
      <c r="J866" s="845" t="s">
        <v>1164</v>
      </c>
    </row>
    <row r="867" spans="1:10" x14ac:dyDescent="0.2">
      <c r="A867" s="859">
        <f t="shared" si="13"/>
        <v>866</v>
      </c>
      <c r="B867" s="845" t="s">
        <v>2552</v>
      </c>
      <c r="D867" s="862"/>
      <c r="I867" s="845" t="s">
        <v>1009</v>
      </c>
    </row>
    <row r="868" spans="1:10" x14ac:dyDescent="0.2">
      <c r="A868" s="859">
        <f t="shared" si="13"/>
        <v>867</v>
      </c>
      <c r="B868" s="845" t="s">
        <v>2552</v>
      </c>
      <c r="D868" s="863"/>
      <c r="I868" s="845" t="str">
        <f>CONCATENATE("&lt;valeur&gt;",Cellule_134,"&lt;/valeur&gt;")</f>
        <v>&lt;valeur&gt;0&lt;/valeur&gt;</v>
      </c>
    </row>
    <row r="869" spans="1:10" x14ac:dyDescent="0.2">
      <c r="A869" s="859">
        <f t="shared" si="13"/>
        <v>868</v>
      </c>
      <c r="B869" s="845" t="s">
        <v>2552</v>
      </c>
      <c r="D869" s="862"/>
      <c r="H869" s="845" t="s">
        <v>1010</v>
      </c>
    </row>
    <row r="870" spans="1:10" x14ac:dyDescent="0.2">
      <c r="A870" s="859">
        <f t="shared" si="13"/>
        <v>869</v>
      </c>
      <c r="B870" s="845" t="s">
        <v>2552</v>
      </c>
      <c r="D870" s="862"/>
      <c r="H870" s="845" t="s">
        <v>1007</v>
      </c>
    </row>
    <row r="871" spans="1:10" x14ac:dyDescent="0.2">
      <c r="A871" s="859">
        <f t="shared" si="13"/>
        <v>870</v>
      </c>
      <c r="B871" s="845" t="s">
        <v>2552</v>
      </c>
      <c r="D871" s="861"/>
      <c r="I871" s="845" t="s">
        <v>1008</v>
      </c>
    </row>
    <row r="872" spans="1:10" x14ac:dyDescent="0.2">
      <c r="A872" s="859">
        <f t="shared" si="13"/>
        <v>871</v>
      </c>
      <c r="B872" s="845" t="s">
        <v>2552</v>
      </c>
      <c r="D872" s="861"/>
      <c r="J872" s="845" t="s">
        <v>1165</v>
      </c>
    </row>
    <row r="873" spans="1:10" x14ac:dyDescent="0.2">
      <c r="A873" s="859">
        <f t="shared" si="13"/>
        <v>872</v>
      </c>
      <c r="B873" s="845" t="s">
        <v>2552</v>
      </c>
      <c r="D873" s="862"/>
      <c r="I873" s="845" t="s">
        <v>1009</v>
      </c>
    </row>
    <row r="874" spans="1:10" x14ac:dyDescent="0.2">
      <c r="A874" s="859">
        <f t="shared" si="13"/>
        <v>873</v>
      </c>
      <c r="B874" s="845" t="s">
        <v>2552</v>
      </c>
      <c r="D874" s="863"/>
      <c r="I874" s="845" t="str">
        <f>CONCATENATE("&lt;valeur&gt;",Cellule_135,"&lt;/valeur&gt;")</f>
        <v>&lt;valeur&gt;0&lt;/valeur&gt;</v>
      </c>
    </row>
    <row r="875" spans="1:10" x14ac:dyDescent="0.2">
      <c r="A875" s="859">
        <f t="shared" si="13"/>
        <v>874</v>
      </c>
      <c r="B875" s="845" t="s">
        <v>2552</v>
      </c>
      <c r="D875" s="862"/>
      <c r="H875" s="845" t="s">
        <v>1010</v>
      </c>
    </row>
    <row r="876" spans="1:10" x14ac:dyDescent="0.2">
      <c r="A876" s="859">
        <f t="shared" si="13"/>
        <v>875</v>
      </c>
      <c r="B876" s="845" t="s">
        <v>2552</v>
      </c>
      <c r="D876" s="862"/>
      <c r="H876" s="845" t="s">
        <v>1007</v>
      </c>
    </row>
    <row r="877" spans="1:10" x14ac:dyDescent="0.2">
      <c r="A877" s="859">
        <f t="shared" si="13"/>
        <v>876</v>
      </c>
      <c r="B877" s="845" t="s">
        <v>2552</v>
      </c>
      <c r="D877" s="861"/>
      <c r="I877" s="845" t="s">
        <v>1008</v>
      </c>
    </row>
    <row r="878" spans="1:10" x14ac:dyDescent="0.2">
      <c r="A878" s="859">
        <f t="shared" si="13"/>
        <v>877</v>
      </c>
      <c r="B878" s="845" t="s">
        <v>2552</v>
      </c>
      <c r="D878" s="861"/>
      <c r="J878" s="845" t="s">
        <v>1166</v>
      </c>
    </row>
    <row r="879" spans="1:10" x14ac:dyDescent="0.2">
      <c r="A879" s="859">
        <f t="shared" si="13"/>
        <v>878</v>
      </c>
      <c r="B879" s="845" t="s">
        <v>2552</v>
      </c>
      <c r="D879" s="862"/>
      <c r="I879" s="845" t="s">
        <v>1009</v>
      </c>
    </row>
    <row r="880" spans="1:10" x14ac:dyDescent="0.2">
      <c r="A880" s="859">
        <f t="shared" si="13"/>
        <v>879</v>
      </c>
      <c r="B880" s="845" t="s">
        <v>2552</v>
      </c>
      <c r="D880" s="863"/>
      <c r="I880" s="845" t="str">
        <f>CONCATENATE("&lt;valeur&gt;",Cellule_528,"&lt;/valeur&gt;")</f>
        <v>&lt;valeur&gt;0&lt;/valeur&gt;</v>
      </c>
    </row>
    <row r="881" spans="1:10" x14ac:dyDescent="0.2">
      <c r="A881" s="859">
        <f t="shared" si="13"/>
        <v>880</v>
      </c>
      <c r="B881" s="845" t="s">
        <v>2552</v>
      </c>
      <c r="D881" s="862"/>
      <c r="H881" s="845" t="s">
        <v>1010</v>
      </c>
    </row>
    <row r="882" spans="1:10" x14ac:dyDescent="0.2">
      <c r="A882" s="859">
        <f t="shared" si="13"/>
        <v>881</v>
      </c>
      <c r="B882" s="845" t="s">
        <v>2552</v>
      </c>
      <c r="D882" s="862"/>
      <c r="H882" s="845" t="s">
        <v>1007</v>
      </c>
    </row>
    <row r="883" spans="1:10" x14ac:dyDescent="0.2">
      <c r="A883" s="859">
        <f t="shared" si="13"/>
        <v>882</v>
      </c>
      <c r="B883" s="845" t="s">
        <v>2552</v>
      </c>
      <c r="D883" s="861"/>
      <c r="I883" s="845" t="s">
        <v>1008</v>
      </c>
    </row>
    <row r="884" spans="1:10" x14ac:dyDescent="0.2">
      <c r="A884" s="859">
        <f t="shared" si="13"/>
        <v>883</v>
      </c>
      <c r="B884" s="845" t="s">
        <v>2552</v>
      </c>
      <c r="D884" s="861"/>
      <c r="J884" s="845" t="s">
        <v>1167</v>
      </c>
    </row>
    <row r="885" spans="1:10" x14ac:dyDescent="0.2">
      <c r="A885" s="859">
        <f t="shared" si="13"/>
        <v>884</v>
      </c>
      <c r="B885" s="845" t="s">
        <v>2552</v>
      </c>
      <c r="D885" s="862"/>
      <c r="I885" s="845" t="s">
        <v>1009</v>
      </c>
    </row>
    <row r="886" spans="1:10" x14ac:dyDescent="0.2">
      <c r="A886" s="859">
        <f t="shared" si="13"/>
        <v>885</v>
      </c>
      <c r="B886" s="845" t="s">
        <v>2552</v>
      </c>
      <c r="D886" s="863"/>
      <c r="I886" s="845" t="str">
        <f>CONCATENATE("&lt;valeur&gt;",Cellule_141,"&lt;/valeur&gt;")</f>
        <v>&lt;valeur&gt;0&lt;/valeur&gt;</v>
      </c>
    </row>
    <row r="887" spans="1:10" x14ac:dyDescent="0.2">
      <c r="A887" s="859">
        <f t="shared" si="13"/>
        <v>886</v>
      </c>
      <c r="B887" s="845" t="s">
        <v>2552</v>
      </c>
      <c r="D887" s="862"/>
      <c r="H887" s="845" t="s">
        <v>1010</v>
      </c>
    </row>
    <row r="888" spans="1:10" x14ac:dyDescent="0.2">
      <c r="A888" s="859">
        <f t="shared" si="13"/>
        <v>887</v>
      </c>
      <c r="B888" s="845" t="s">
        <v>2552</v>
      </c>
      <c r="D888" s="862"/>
      <c r="H888" s="845" t="s">
        <v>1007</v>
      </c>
    </row>
    <row r="889" spans="1:10" x14ac:dyDescent="0.2">
      <c r="A889" s="859">
        <f t="shared" si="13"/>
        <v>888</v>
      </c>
      <c r="B889" s="845" t="s">
        <v>2552</v>
      </c>
      <c r="D889" s="861"/>
      <c r="I889" s="845" t="s">
        <v>1008</v>
      </c>
    </row>
    <row r="890" spans="1:10" x14ac:dyDescent="0.2">
      <c r="A890" s="859">
        <f t="shared" si="13"/>
        <v>889</v>
      </c>
      <c r="B890" s="845" t="s">
        <v>2552</v>
      </c>
      <c r="D890" s="861"/>
      <c r="J890" s="845" t="s">
        <v>1168</v>
      </c>
    </row>
    <row r="891" spans="1:10" x14ac:dyDescent="0.2">
      <c r="A891" s="859">
        <f t="shared" si="13"/>
        <v>890</v>
      </c>
      <c r="B891" s="845" t="s">
        <v>2552</v>
      </c>
      <c r="D891" s="862"/>
      <c r="I891" s="845" t="s">
        <v>1009</v>
      </c>
    </row>
    <row r="892" spans="1:10" x14ac:dyDescent="0.2">
      <c r="A892" s="859">
        <f t="shared" si="13"/>
        <v>891</v>
      </c>
      <c r="B892" s="845" t="s">
        <v>2552</v>
      </c>
      <c r="D892" s="863"/>
      <c r="I892" s="845" t="str">
        <f>CONCATENATE("&lt;valeur&gt;",Cellule_142,"&lt;/valeur&gt;")</f>
        <v>&lt;valeur&gt;0&lt;/valeur&gt;</v>
      </c>
    </row>
    <row r="893" spans="1:10" x14ac:dyDescent="0.2">
      <c r="A893" s="859">
        <f t="shared" si="13"/>
        <v>892</v>
      </c>
      <c r="B893" s="845" t="s">
        <v>2552</v>
      </c>
      <c r="D893" s="862"/>
      <c r="H893" s="845" t="s">
        <v>1010</v>
      </c>
    </row>
    <row r="894" spans="1:10" x14ac:dyDescent="0.2">
      <c r="A894" s="859">
        <f t="shared" si="13"/>
        <v>893</v>
      </c>
      <c r="B894" s="845" t="s">
        <v>2552</v>
      </c>
      <c r="D894" s="862"/>
      <c r="H894" s="845" t="s">
        <v>1007</v>
      </c>
    </row>
    <row r="895" spans="1:10" x14ac:dyDescent="0.2">
      <c r="A895" s="859">
        <f t="shared" si="13"/>
        <v>894</v>
      </c>
      <c r="B895" s="845" t="s">
        <v>2552</v>
      </c>
      <c r="D895" s="861"/>
      <c r="I895" s="845" t="s">
        <v>1008</v>
      </c>
    </row>
    <row r="896" spans="1:10" x14ac:dyDescent="0.2">
      <c r="A896" s="859">
        <f t="shared" si="13"/>
        <v>895</v>
      </c>
      <c r="B896" s="845" t="s">
        <v>2552</v>
      </c>
      <c r="D896" s="861"/>
      <c r="J896" s="845" t="s">
        <v>1169</v>
      </c>
    </row>
    <row r="897" spans="1:10" x14ac:dyDescent="0.2">
      <c r="A897" s="859">
        <f t="shared" si="13"/>
        <v>896</v>
      </c>
      <c r="B897" s="845" t="s">
        <v>2552</v>
      </c>
      <c r="D897" s="862"/>
      <c r="I897" s="845" t="s">
        <v>1009</v>
      </c>
    </row>
    <row r="898" spans="1:10" x14ac:dyDescent="0.2">
      <c r="A898" s="859">
        <f t="shared" si="13"/>
        <v>897</v>
      </c>
      <c r="B898" s="845" t="s">
        <v>2552</v>
      </c>
      <c r="D898" s="863"/>
      <c r="I898" s="845" t="str">
        <f>CONCATENATE("&lt;valeur&gt;",Cellule_136,"&lt;/valeur&gt;")</f>
        <v>&lt;valeur&gt;0&lt;/valeur&gt;</v>
      </c>
    </row>
    <row r="899" spans="1:10" x14ac:dyDescent="0.2">
      <c r="A899" s="859">
        <f t="shared" si="13"/>
        <v>898</v>
      </c>
      <c r="B899" s="845" t="s">
        <v>2552</v>
      </c>
      <c r="D899" s="862"/>
      <c r="H899" s="845" t="s">
        <v>1010</v>
      </c>
    </row>
    <row r="900" spans="1:10" x14ac:dyDescent="0.2">
      <c r="A900" s="859">
        <f t="shared" ref="A900:A963" si="14">+A899+1</f>
        <v>899</v>
      </c>
      <c r="B900" s="845" t="s">
        <v>2552</v>
      </c>
      <c r="D900" s="862"/>
      <c r="H900" s="845" t="s">
        <v>1007</v>
      </c>
    </row>
    <row r="901" spans="1:10" x14ac:dyDescent="0.2">
      <c r="A901" s="859">
        <f t="shared" si="14"/>
        <v>900</v>
      </c>
      <c r="B901" s="845" t="s">
        <v>2552</v>
      </c>
      <c r="D901" s="861"/>
      <c r="I901" s="845" t="s">
        <v>1008</v>
      </c>
    </row>
    <row r="902" spans="1:10" x14ac:dyDescent="0.2">
      <c r="A902" s="859">
        <f t="shared" si="14"/>
        <v>901</v>
      </c>
      <c r="B902" s="845" t="s">
        <v>2552</v>
      </c>
      <c r="D902" s="861"/>
      <c r="J902" s="845" t="s">
        <v>1170</v>
      </c>
    </row>
    <row r="903" spans="1:10" x14ac:dyDescent="0.2">
      <c r="A903" s="859">
        <f t="shared" si="14"/>
        <v>902</v>
      </c>
      <c r="B903" s="845" t="s">
        <v>2552</v>
      </c>
      <c r="D903" s="862"/>
      <c r="I903" s="845" t="s">
        <v>1009</v>
      </c>
    </row>
    <row r="904" spans="1:10" x14ac:dyDescent="0.2">
      <c r="A904" s="859">
        <f t="shared" si="14"/>
        <v>903</v>
      </c>
      <c r="B904" s="845" t="s">
        <v>2552</v>
      </c>
      <c r="D904" s="863"/>
      <c r="I904" s="845" t="str">
        <f>CONCATENATE("&lt;valeur&gt;",Cellule_137,"&lt;/valeur&gt;")</f>
        <v>&lt;valeur&gt;0&lt;/valeur&gt;</v>
      </c>
    </row>
    <row r="905" spans="1:10" x14ac:dyDescent="0.2">
      <c r="A905" s="859">
        <f t="shared" si="14"/>
        <v>904</v>
      </c>
      <c r="B905" s="845" t="s">
        <v>2552</v>
      </c>
      <c r="D905" s="862"/>
      <c r="H905" s="845" t="s">
        <v>1010</v>
      </c>
    </row>
    <row r="906" spans="1:10" x14ac:dyDescent="0.2">
      <c r="A906" s="859">
        <f t="shared" si="14"/>
        <v>905</v>
      </c>
      <c r="B906" s="845" t="s">
        <v>2552</v>
      </c>
      <c r="D906" s="862"/>
      <c r="H906" s="845" t="s">
        <v>1007</v>
      </c>
    </row>
    <row r="907" spans="1:10" x14ac:dyDescent="0.2">
      <c r="A907" s="859">
        <f t="shared" si="14"/>
        <v>906</v>
      </c>
      <c r="B907" s="845" t="s">
        <v>2552</v>
      </c>
      <c r="D907" s="861"/>
      <c r="I907" s="845" t="s">
        <v>1008</v>
      </c>
    </row>
    <row r="908" spans="1:10" x14ac:dyDescent="0.2">
      <c r="A908" s="859">
        <f t="shared" si="14"/>
        <v>907</v>
      </c>
      <c r="B908" s="845" t="s">
        <v>2552</v>
      </c>
      <c r="D908" s="861"/>
      <c r="J908" s="845" t="s">
        <v>1171</v>
      </c>
    </row>
    <row r="909" spans="1:10" x14ac:dyDescent="0.2">
      <c r="A909" s="859">
        <f t="shared" si="14"/>
        <v>908</v>
      </c>
      <c r="B909" s="845" t="s">
        <v>2552</v>
      </c>
      <c r="D909" s="862"/>
      <c r="I909" s="845" t="s">
        <v>1009</v>
      </c>
    </row>
    <row r="910" spans="1:10" x14ac:dyDescent="0.2">
      <c r="A910" s="859">
        <f t="shared" si="14"/>
        <v>909</v>
      </c>
      <c r="B910" s="845" t="s">
        <v>2552</v>
      </c>
      <c r="D910" s="863"/>
      <c r="I910" s="845" t="str">
        <f>CONCATENATE("&lt;valeur&gt;",Cellule_138,"&lt;/valeur&gt;")</f>
        <v>&lt;valeur&gt;0&lt;/valeur&gt;</v>
      </c>
    </row>
    <row r="911" spans="1:10" x14ac:dyDescent="0.2">
      <c r="A911" s="859">
        <f t="shared" si="14"/>
        <v>910</v>
      </c>
      <c r="B911" s="845" t="s">
        <v>2552</v>
      </c>
      <c r="D911" s="862"/>
      <c r="H911" s="845" t="s">
        <v>1010</v>
      </c>
    </row>
    <row r="912" spans="1:10" x14ac:dyDescent="0.2">
      <c r="A912" s="859">
        <f t="shared" si="14"/>
        <v>911</v>
      </c>
      <c r="B912" s="845" t="s">
        <v>2552</v>
      </c>
      <c r="D912" s="862"/>
      <c r="H912" s="845" t="s">
        <v>1007</v>
      </c>
    </row>
    <row r="913" spans="1:10" x14ac:dyDescent="0.2">
      <c r="A913" s="859">
        <f t="shared" si="14"/>
        <v>912</v>
      </c>
      <c r="B913" s="845" t="s">
        <v>2552</v>
      </c>
      <c r="D913" s="861"/>
      <c r="I913" s="845" t="s">
        <v>1008</v>
      </c>
    </row>
    <row r="914" spans="1:10" x14ac:dyDescent="0.2">
      <c r="A914" s="859">
        <f t="shared" si="14"/>
        <v>913</v>
      </c>
      <c r="B914" s="845" t="s">
        <v>2552</v>
      </c>
      <c r="D914" s="861"/>
      <c r="J914" s="845" t="s">
        <v>1172</v>
      </c>
    </row>
    <row r="915" spans="1:10" x14ac:dyDescent="0.2">
      <c r="A915" s="859">
        <f t="shared" si="14"/>
        <v>914</v>
      </c>
      <c r="B915" s="845" t="s">
        <v>2552</v>
      </c>
      <c r="D915" s="862"/>
      <c r="I915" s="845" t="s">
        <v>1009</v>
      </c>
    </row>
    <row r="916" spans="1:10" x14ac:dyDescent="0.2">
      <c r="A916" s="859">
        <f t="shared" si="14"/>
        <v>915</v>
      </c>
      <c r="B916" s="845" t="s">
        <v>2552</v>
      </c>
      <c r="D916" s="863"/>
      <c r="I916" s="845" t="str">
        <f>CONCATENATE("&lt;valeur&gt;",Cellule_139,"&lt;/valeur&gt;")</f>
        <v>&lt;valeur&gt;0&lt;/valeur&gt;</v>
      </c>
    </row>
    <row r="917" spans="1:10" x14ac:dyDescent="0.2">
      <c r="A917" s="859">
        <f t="shared" si="14"/>
        <v>916</v>
      </c>
      <c r="B917" s="845" t="s">
        <v>2552</v>
      </c>
      <c r="D917" s="862"/>
      <c r="H917" s="845" t="s">
        <v>1010</v>
      </c>
    </row>
    <row r="918" spans="1:10" x14ac:dyDescent="0.2">
      <c r="A918" s="859">
        <f t="shared" si="14"/>
        <v>917</v>
      </c>
      <c r="B918" s="845" t="s">
        <v>2552</v>
      </c>
      <c r="D918" s="862"/>
      <c r="H918" s="845" t="s">
        <v>1007</v>
      </c>
    </row>
    <row r="919" spans="1:10" x14ac:dyDescent="0.2">
      <c r="A919" s="859">
        <f t="shared" si="14"/>
        <v>918</v>
      </c>
      <c r="B919" s="845" t="s">
        <v>2552</v>
      </c>
      <c r="D919" s="861"/>
      <c r="I919" s="845" t="s">
        <v>1008</v>
      </c>
    </row>
    <row r="920" spans="1:10" x14ac:dyDescent="0.2">
      <c r="A920" s="859">
        <f t="shared" si="14"/>
        <v>919</v>
      </c>
      <c r="B920" s="845" t="s">
        <v>2552</v>
      </c>
      <c r="D920" s="861"/>
      <c r="J920" s="845" t="s">
        <v>1173</v>
      </c>
    </row>
    <row r="921" spans="1:10" x14ac:dyDescent="0.2">
      <c r="A921" s="859">
        <f t="shared" si="14"/>
        <v>920</v>
      </c>
      <c r="B921" s="845" t="s">
        <v>2552</v>
      </c>
      <c r="D921" s="862"/>
      <c r="I921" s="845" t="s">
        <v>1009</v>
      </c>
    </row>
    <row r="922" spans="1:10" x14ac:dyDescent="0.2">
      <c r="A922" s="859">
        <f t="shared" si="14"/>
        <v>921</v>
      </c>
      <c r="B922" s="845" t="s">
        <v>2552</v>
      </c>
      <c r="D922" s="863"/>
      <c r="I922" s="845" t="str">
        <f>CONCATENATE("&lt;valeur&gt;",Cellule_140,"&lt;/valeur&gt;")</f>
        <v>&lt;valeur&gt;0&lt;/valeur&gt;</v>
      </c>
    </row>
    <row r="923" spans="1:10" x14ac:dyDescent="0.2">
      <c r="A923" s="859">
        <f t="shared" si="14"/>
        <v>922</v>
      </c>
      <c r="B923" s="845" t="s">
        <v>2552</v>
      </c>
      <c r="D923" s="862"/>
      <c r="H923" s="845" t="s">
        <v>1010</v>
      </c>
    </row>
    <row r="924" spans="1:10" x14ac:dyDescent="0.2">
      <c r="A924" s="859">
        <f t="shared" si="14"/>
        <v>923</v>
      </c>
      <c r="B924" s="845" t="s">
        <v>2552</v>
      </c>
      <c r="D924" s="862"/>
      <c r="H924" s="845" t="s">
        <v>1007</v>
      </c>
    </row>
    <row r="925" spans="1:10" x14ac:dyDescent="0.2">
      <c r="A925" s="859">
        <f t="shared" si="14"/>
        <v>924</v>
      </c>
      <c r="B925" s="845" t="s">
        <v>2552</v>
      </c>
      <c r="D925" s="861"/>
      <c r="I925" s="845" t="s">
        <v>1008</v>
      </c>
    </row>
    <row r="926" spans="1:10" x14ac:dyDescent="0.2">
      <c r="A926" s="859">
        <f t="shared" si="14"/>
        <v>925</v>
      </c>
      <c r="B926" s="845" t="s">
        <v>2552</v>
      </c>
      <c r="D926" s="861"/>
      <c r="J926" s="845" t="s">
        <v>1174</v>
      </c>
    </row>
    <row r="927" spans="1:10" x14ac:dyDescent="0.2">
      <c r="A927" s="859">
        <f t="shared" si="14"/>
        <v>926</v>
      </c>
      <c r="B927" s="845" t="s">
        <v>2552</v>
      </c>
      <c r="D927" s="862"/>
      <c r="I927" s="845" t="s">
        <v>1009</v>
      </c>
    </row>
    <row r="928" spans="1:10" x14ac:dyDescent="0.2">
      <c r="A928" s="859">
        <f t="shared" si="14"/>
        <v>927</v>
      </c>
      <c r="B928" s="845" t="s">
        <v>2552</v>
      </c>
      <c r="D928" s="863"/>
      <c r="I928" s="845" t="str">
        <f>CONCATENATE("&lt;valeur&gt;",Cellule_529,"&lt;/valeur&gt;")</f>
        <v>&lt;valeur&gt;0&lt;/valeur&gt;</v>
      </c>
    </row>
    <row r="929" spans="1:10" x14ac:dyDescent="0.2">
      <c r="A929" s="859">
        <f t="shared" si="14"/>
        <v>928</v>
      </c>
      <c r="B929" s="845" t="s">
        <v>2552</v>
      </c>
      <c r="D929" s="862"/>
      <c r="H929" s="845" t="s">
        <v>1010</v>
      </c>
    </row>
    <row r="930" spans="1:10" x14ac:dyDescent="0.2">
      <c r="A930" s="859">
        <f t="shared" si="14"/>
        <v>929</v>
      </c>
      <c r="B930" s="845" t="s">
        <v>2552</v>
      </c>
      <c r="D930" s="862"/>
      <c r="H930" s="845" t="s">
        <v>1007</v>
      </c>
    </row>
    <row r="931" spans="1:10" x14ac:dyDescent="0.2">
      <c r="A931" s="859">
        <f t="shared" si="14"/>
        <v>930</v>
      </c>
      <c r="B931" s="845" t="s">
        <v>2552</v>
      </c>
      <c r="D931" s="861"/>
      <c r="I931" s="845" t="s">
        <v>1008</v>
      </c>
    </row>
    <row r="932" spans="1:10" x14ac:dyDescent="0.2">
      <c r="A932" s="859">
        <f t="shared" si="14"/>
        <v>931</v>
      </c>
      <c r="B932" s="845" t="s">
        <v>2552</v>
      </c>
      <c r="D932" s="861"/>
      <c r="J932" s="845" t="s">
        <v>1175</v>
      </c>
    </row>
    <row r="933" spans="1:10" x14ac:dyDescent="0.2">
      <c r="A933" s="859">
        <f t="shared" si="14"/>
        <v>932</v>
      </c>
      <c r="B933" s="845" t="s">
        <v>2552</v>
      </c>
      <c r="D933" s="862"/>
      <c r="I933" s="845" t="s">
        <v>1009</v>
      </c>
    </row>
    <row r="934" spans="1:10" x14ac:dyDescent="0.2">
      <c r="A934" s="859">
        <f t="shared" si="14"/>
        <v>933</v>
      </c>
      <c r="B934" s="845" t="s">
        <v>2552</v>
      </c>
      <c r="D934" s="863"/>
      <c r="I934" s="845" t="str">
        <f>CONCATENATE("&lt;valeur&gt;",Cellule_143,"&lt;/valeur&gt;")</f>
        <v>&lt;valeur&gt;0&lt;/valeur&gt;</v>
      </c>
    </row>
    <row r="935" spans="1:10" x14ac:dyDescent="0.2">
      <c r="A935" s="859">
        <f t="shared" si="14"/>
        <v>934</v>
      </c>
      <c r="B935" s="845" t="s">
        <v>2552</v>
      </c>
      <c r="D935" s="862"/>
      <c r="H935" s="845" t="s">
        <v>1010</v>
      </c>
    </row>
    <row r="936" spans="1:10" x14ac:dyDescent="0.2">
      <c r="A936" s="859">
        <f t="shared" si="14"/>
        <v>935</v>
      </c>
      <c r="B936" s="845" t="s">
        <v>2552</v>
      </c>
      <c r="D936" s="862"/>
      <c r="H936" s="845" t="s">
        <v>1007</v>
      </c>
    </row>
    <row r="937" spans="1:10" x14ac:dyDescent="0.2">
      <c r="A937" s="859">
        <f t="shared" si="14"/>
        <v>936</v>
      </c>
      <c r="B937" s="845" t="s">
        <v>2552</v>
      </c>
      <c r="D937" s="861"/>
      <c r="I937" s="845" t="s">
        <v>1008</v>
      </c>
    </row>
    <row r="938" spans="1:10" x14ac:dyDescent="0.2">
      <c r="A938" s="859">
        <f t="shared" si="14"/>
        <v>937</v>
      </c>
      <c r="B938" s="845" t="s">
        <v>2552</v>
      </c>
      <c r="D938" s="861"/>
      <c r="J938" s="845" t="s">
        <v>1176</v>
      </c>
    </row>
    <row r="939" spans="1:10" x14ac:dyDescent="0.2">
      <c r="A939" s="859">
        <f t="shared" si="14"/>
        <v>938</v>
      </c>
      <c r="B939" s="845" t="s">
        <v>2552</v>
      </c>
      <c r="D939" s="862"/>
      <c r="I939" s="845" t="s">
        <v>1009</v>
      </c>
    </row>
    <row r="940" spans="1:10" x14ac:dyDescent="0.2">
      <c r="A940" s="859">
        <f t="shared" si="14"/>
        <v>939</v>
      </c>
      <c r="B940" s="845" t="s">
        <v>2552</v>
      </c>
      <c r="D940" s="863"/>
      <c r="I940" s="845" t="str">
        <f>CONCATENATE("&lt;valeur&gt;",Cellule_144,"&lt;/valeur&gt;")</f>
        <v>&lt;valeur&gt;0&lt;/valeur&gt;</v>
      </c>
    </row>
    <row r="941" spans="1:10" x14ac:dyDescent="0.2">
      <c r="A941" s="859">
        <f t="shared" si="14"/>
        <v>940</v>
      </c>
      <c r="B941" s="845" t="s">
        <v>2552</v>
      </c>
      <c r="D941" s="862"/>
      <c r="H941" s="845" t="s">
        <v>1010</v>
      </c>
    </row>
    <row r="942" spans="1:10" x14ac:dyDescent="0.2">
      <c r="A942" s="859">
        <f t="shared" si="14"/>
        <v>941</v>
      </c>
      <c r="B942" s="845" t="s">
        <v>2552</v>
      </c>
      <c r="D942" s="862"/>
      <c r="H942" s="845" t="s">
        <v>1007</v>
      </c>
    </row>
    <row r="943" spans="1:10" x14ac:dyDescent="0.2">
      <c r="A943" s="859">
        <f t="shared" si="14"/>
        <v>942</v>
      </c>
      <c r="B943" s="845" t="s">
        <v>2552</v>
      </c>
      <c r="D943" s="861"/>
      <c r="I943" s="845" t="s">
        <v>1008</v>
      </c>
    </row>
    <row r="944" spans="1:10" x14ac:dyDescent="0.2">
      <c r="A944" s="859">
        <f t="shared" si="14"/>
        <v>943</v>
      </c>
      <c r="B944" s="845" t="s">
        <v>2552</v>
      </c>
      <c r="D944" s="861"/>
      <c r="J944" s="845" t="s">
        <v>1177</v>
      </c>
    </row>
    <row r="945" spans="1:10" x14ac:dyDescent="0.2">
      <c r="A945" s="859">
        <f t="shared" si="14"/>
        <v>944</v>
      </c>
      <c r="B945" s="845" t="s">
        <v>2552</v>
      </c>
      <c r="D945" s="862"/>
      <c r="I945" s="845" t="s">
        <v>1009</v>
      </c>
    </row>
    <row r="946" spans="1:10" x14ac:dyDescent="0.2">
      <c r="A946" s="859">
        <f t="shared" si="14"/>
        <v>945</v>
      </c>
      <c r="B946" s="845" t="s">
        <v>2552</v>
      </c>
      <c r="D946" s="863"/>
      <c r="I946" s="845" t="str">
        <f>CONCATENATE("&lt;valeur&gt;",Cellule_145,"&lt;/valeur&gt;")</f>
        <v>&lt;valeur&gt;0&lt;/valeur&gt;</v>
      </c>
    </row>
    <row r="947" spans="1:10" x14ac:dyDescent="0.2">
      <c r="A947" s="859">
        <f t="shared" si="14"/>
        <v>946</v>
      </c>
      <c r="B947" s="845" t="s">
        <v>2552</v>
      </c>
      <c r="D947" s="862"/>
      <c r="H947" s="845" t="s">
        <v>1010</v>
      </c>
    </row>
    <row r="948" spans="1:10" x14ac:dyDescent="0.2">
      <c r="A948" s="859">
        <f t="shared" si="14"/>
        <v>947</v>
      </c>
      <c r="B948" s="845" t="s">
        <v>2552</v>
      </c>
      <c r="D948" s="862"/>
      <c r="H948" s="845" t="s">
        <v>1007</v>
      </c>
    </row>
    <row r="949" spans="1:10" x14ac:dyDescent="0.2">
      <c r="A949" s="859">
        <f t="shared" si="14"/>
        <v>948</v>
      </c>
      <c r="B949" s="845" t="s">
        <v>2552</v>
      </c>
      <c r="D949" s="861"/>
      <c r="I949" s="845" t="s">
        <v>1008</v>
      </c>
    </row>
    <row r="950" spans="1:10" x14ac:dyDescent="0.2">
      <c r="A950" s="859">
        <f t="shared" si="14"/>
        <v>949</v>
      </c>
      <c r="B950" s="845" t="s">
        <v>2552</v>
      </c>
      <c r="D950" s="861"/>
      <c r="J950" s="845" t="s">
        <v>1178</v>
      </c>
    </row>
    <row r="951" spans="1:10" x14ac:dyDescent="0.2">
      <c r="A951" s="859">
        <f t="shared" si="14"/>
        <v>950</v>
      </c>
      <c r="B951" s="845" t="s">
        <v>2552</v>
      </c>
      <c r="D951" s="862"/>
      <c r="I951" s="845" t="s">
        <v>1009</v>
      </c>
    </row>
    <row r="952" spans="1:10" x14ac:dyDescent="0.2">
      <c r="A952" s="859">
        <f t="shared" si="14"/>
        <v>951</v>
      </c>
      <c r="B952" s="845" t="s">
        <v>2552</v>
      </c>
      <c r="D952" s="863"/>
      <c r="I952" s="845" t="str">
        <f>CONCATENATE("&lt;valeur&gt;",Cellule_146,"&lt;/valeur&gt;")</f>
        <v>&lt;valeur&gt;0&lt;/valeur&gt;</v>
      </c>
    </row>
    <row r="953" spans="1:10" x14ac:dyDescent="0.2">
      <c r="A953" s="859">
        <f t="shared" si="14"/>
        <v>952</v>
      </c>
      <c r="B953" s="845" t="s">
        <v>2552</v>
      </c>
      <c r="D953" s="862"/>
      <c r="H953" s="845" t="s">
        <v>1010</v>
      </c>
    </row>
    <row r="954" spans="1:10" x14ac:dyDescent="0.2">
      <c r="A954" s="859">
        <f t="shared" si="14"/>
        <v>953</v>
      </c>
      <c r="B954" s="845" t="s">
        <v>2552</v>
      </c>
      <c r="D954" s="862"/>
      <c r="H954" s="845" t="s">
        <v>1007</v>
      </c>
    </row>
    <row r="955" spans="1:10" x14ac:dyDescent="0.2">
      <c r="A955" s="859">
        <f t="shared" si="14"/>
        <v>954</v>
      </c>
      <c r="B955" s="845" t="s">
        <v>2552</v>
      </c>
      <c r="D955" s="861"/>
      <c r="I955" s="845" t="s">
        <v>1008</v>
      </c>
    </row>
    <row r="956" spans="1:10" x14ac:dyDescent="0.2">
      <c r="A956" s="859">
        <f t="shared" si="14"/>
        <v>955</v>
      </c>
      <c r="B956" s="845" t="s">
        <v>2552</v>
      </c>
      <c r="D956" s="861"/>
      <c r="J956" s="845" t="s">
        <v>1179</v>
      </c>
    </row>
    <row r="957" spans="1:10" x14ac:dyDescent="0.2">
      <c r="A957" s="859">
        <f t="shared" si="14"/>
        <v>956</v>
      </c>
      <c r="B957" s="845" t="s">
        <v>2552</v>
      </c>
      <c r="D957" s="862"/>
      <c r="I957" s="845" t="s">
        <v>1009</v>
      </c>
    </row>
    <row r="958" spans="1:10" x14ac:dyDescent="0.2">
      <c r="A958" s="859">
        <f t="shared" si="14"/>
        <v>957</v>
      </c>
      <c r="B958" s="845" t="s">
        <v>2552</v>
      </c>
      <c r="D958" s="863"/>
      <c r="I958" s="845" t="str">
        <f>CONCATENATE("&lt;valeur&gt;",Cellule_147,"&lt;/valeur&gt;")</f>
        <v>&lt;valeur&gt;0&lt;/valeur&gt;</v>
      </c>
    </row>
    <row r="959" spans="1:10" x14ac:dyDescent="0.2">
      <c r="A959" s="859">
        <f t="shared" si="14"/>
        <v>958</v>
      </c>
      <c r="B959" s="845" t="s">
        <v>2552</v>
      </c>
      <c r="D959" s="862"/>
      <c r="H959" s="845" t="s">
        <v>1010</v>
      </c>
    </row>
    <row r="960" spans="1:10" x14ac:dyDescent="0.2">
      <c r="A960" s="859">
        <f t="shared" si="14"/>
        <v>959</v>
      </c>
      <c r="B960" s="845" t="s">
        <v>2552</v>
      </c>
      <c r="D960" s="862"/>
      <c r="H960" s="845" t="s">
        <v>1007</v>
      </c>
    </row>
    <row r="961" spans="1:10" x14ac:dyDescent="0.2">
      <c r="A961" s="859">
        <f t="shared" si="14"/>
        <v>960</v>
      </c>
      <c r="B961" s="845" t="s">
        <v>2552</v>
      </c>
      <c r="D961" s="861"/>
      <c r="I961" s="845" t="s">
        <v>1008</v>
      </c>
    </row>
    <row r="962" spans="1:10" x14ac:dyDescent="0.2">
      <c r="A962" s="859">
        <f t="shared" si="14"/>
        <v>961</v>
      </c>
      <c r="B962" s="845" t="s">
        <v>2552</v>
      </c>
      <c r="D962" s="861"/>
      <c r="J962" s="845" t="s">
        <v>1180</v>
      </c>
    </row>
    <row r="963" spans="1:10" x14ac:dyDescent="0.2">
      <c r="A963" s="859">
        <f t="shared" si="14"/>
        <v>962</v>
      </c>
      <c r="B963" s="845" t="s">
        <v>2552</v>
      </c>
      <c r="D963" s="862"/>
      <c r="I963" s="845" t="s">
        <v>1009</v>
      </c>
    </row>
    <row r="964" spans="1:10" x14ac:dyDescent="0.2">
      <c r="A964" s="859">
        <f t="shared" ref="A964:A1027" si="15">+A963+1</f>
        <v>963</v>
      </c>
      <c r="B964" s="845" t="s">
        <v>2552</v>
      </c>
      <c r="D964" s="863"/>
      <c r="I964" s="845" t="str">
        <f>CONCATENATE("&lt;valeur&gt;",Cellule_148,"&lt;/valeur&gt;")</f>
        <v>&lt;valeur&gt;0&lt;/valeur&gt;</v>
      </c>
    </row>
    <row r="965" spans="1:10" x14ac:dyDescent="0.2">
      <c r="A965" s="859">
        <f t="shared" si="15"/>
        <v>964</v>
      </c>
      <c r="B965" s="845" t="s">
        <v>2552</v>
      </c>
      <c r="D965" s="862"/>
      <c r="H965" s="845" t="s">
        <v>1010</v>
      </c>
    </row>
    <row r="966" spans="1:10" x14ac:dyDescent="0.2">
      <c r="A966" s="859">
        <f t="shared" si="15"/>
        <v>965</v>
      </c>
      <c r="B966" s="845" t="s">
        <v>2552</v>
      </c>
      <c r="D966" s="862"/>
      <c r="H966" s="845" t="s">
        <v>1007</v>
      </c>
    </row>
    <row r="967" spans="1:10" x14ac:dyDescent="0.2">
      <c r="A967" s="859">
        <f t="shared" si="15"/>
        <v>966</v>
      </c>
      <c r="B967" s="845" t="s">
        <v>2552</v>
      </c>
      <c r="D967" s="861"/>
      <c r="I967" s="845" t="s">
        <v>1008</v>
      </c>
    </row>
    <row r="968" spans="1:10" x14ac:dyDescent="0.2">
      <c r="A968" s="859">
        <f t="shared" si="15"/>
        <v>967</v>
      </c>
      <c r="B968" s="845" t="s">
        <v>2552</v>
      </c>
      <c r="D968" s="861"/>
      <c r="J968" s="845" t="s">
        <v>1181</v>
      </c>
    </row>
    <row r="969" spans="1:10" x14ac:dyDescent="0.2">
      <c r="A969" s="859">
        <f t="shared" si="15"/>
        <v>968</v>
      </c>
      <c r="B969" s="845" t="s">
        <v>2552</v>
      </c>
      <c r="D969" s="862"/>
      <c r="I969" s="845" t="s">
        <v>1009</v>
      </c>
    </row>
    <row r="970" spans="1:10" x14ac:dyDescent="0.2">
      <c r="A970" s="859">
        <f t="shared" si="15"/>
        <v>969</v>
      </c>
      <c r="B970" s="845" t="s">
        <v>2552</v>
      </c>
      <c r="D970" s="863"/>
      <c r="I970" s="845" t="str">
        <f>CONCATENATE("&lt;valeur&gt;",Cellule_149,"&lt;/valeur&gt;")</f>
        <v>&lt;valeur&gt;0&lt;/valeur&gt;</v>
      </c>
    </row>
    <row r="971" spans="1:10" x14ac:dyDescent="0.2">
      <c r="A971" s="859">
        <f t="shared" si="15"/>
        <v>970</v>
      </c>
      <c r="B971" s="845" t="s">
        <v>2552</v>
      </c>
      <c r="D971" s="862"/>
      <c r="H971" s="845" t="s">
        <v>1010</v>
      </c>
    </row>
    <row r="972" spans="1:10" x14ac:dyDescent="0.2">
      <c r="A972" s="859">
        <f t="shared" si="15"/>
        <v>971</v>
      </c>
      <c r="B972" s="845" t="s">
        <v>2552</v>
      </c>
      <c r="D972" s="862"/>
      <c r="H972" s="845" t="s">
        <v>1007</v>
      </c>
    </row>
    <row r="973" spans="1:10" x14ac:dyDescent="0.2">
      <c r="A973" s="859">
        <f t="shared" si="15"/>
        <v>972</v>
      </c>
      <c r="B973" s="845" t="s">
        <v>2552</v>
      </c>
      <c r="D973" s="861"/>
      <c r="I973" s="845" t="s">
        <v>1008</v>
      </c>
    </row>
    <row r="974" spans="1:10" x14ac:dyDescent="0.2">
      <c r="A974" s="859">
        <f t="shared" si="15"/>
        <v>973</v>
      </c>
      <c r="B974" s="845" t="s">
        <v>2552</v>
      </c>
      <c r="D974" s="861"/>
      <c r="J974" s="845" t="s">
        <v>1182</v>
      </c>
    </row>
    <row r="975" spans="1:10" x14ac:dyDescent="0.2">
      <c r="A975" s="859">
        <f t="shared" si="15"/>
        <v>974</v>
      </c>
      <c r="B975" s="845" t="s">
        <v>2552</v>
      </c>
      <c r="D975" s="862"/>
      <c r="I975" s="845" t="s">
        <v>1009</v>
      </c>
    </row>
    <row r="976" spans="1:10" x14ac:dyDescent="0.2">
      <c r="A976" s="859">
        <f t="shared" si="15"/>
        <v>975</v>
      </c>
      <c r="B976" s="845" t="s">
        <v>2552</v>
      </c>
      <c r="D976" s="863"/>
      <c r="I976" s="845" t="str">
        <f>CONCATENATE("&lt;valeur&gt;",Cellule_530,"&lt;/valeur&gt;")</f>
        <v>&lt;valeur&gt;0&lt;/valeur&gt;</v>
      </c>
    </row>
    <row r="977" spans="1:10" x14ac:dyDescent="0.2">
      <c r="A977" s="859">
        <f t="shared" si="15"/>
        <v>976</v>
      </c>
      <c r="B977" s="845" t="s">
        <v>2552</v>
      </c>
      <c r="D977" s="862"/>
      <c r="H977" s="845" t="s">
        <v>1010</v>
      </c>
    </row>
    <row r="978" spans="1:10" x14ac:dyDescent="0.2">
      <c r="A978" s="859">
        <f t="shared" si="15"/>
        <v>977</v>
      </c>
      <c r="B978" s="845" t="s">
        <v>2552</v>
      </c>
      <c r="D978" s="862"/>
      <c r="H978" s="845" t="s">
        <v>1007</v>
      </c>
    </row>
    <row r="979" spans="1:10" x14ac:dyDescent="0.2">
      <c r="A979" s="859">
        <f t="shared" si="15"/>
        <v>978</v>
      </c>
      <c r="B979" s="845" t="s">
        <v>2552</v>
      </c>
      <c r="D979" s="861"/>
      <c r="I979" s="845" t="s">
        <v>1008</v>
      </c>
    </row>
    <row r="980" spans="1:10" x14ac:dyDescent="0.2">
      <c r="A980" s="859">
        <f t="shared" si="15"/>
        <v>979</v>
      </c>
      <c r="B980" s="845" t="s">
        <v>2552</v>
      </c>
      <c r="D980" s="861"/>
      <c r="J980" s="845" t="s">
        <v>1183</v>
      </c>
    </row>
    <row r="981" spans="1:10" x14ac:dyDescent="0.2">
      <c r="A981" s="859">
        <f t="shared" si="15"/>
        <v>980</v>
      </c>
      <c r="B981" s="845" t="s">
        <v>2552</v>
      </c>
      <c r="D981" s="862"/>
      <c r="I981" s="845" t="s">
        <v>1009</v>
      </c>
    </row>
    <row r="982" spans="1:10" x14ac:dyDescent="0.2">
      <c r="A982" s="859">
        <f t="shared" si="15"/>
        <v>981</v>
      </c>
      <c r="B982" s="845" t="s">
        <v>2552</v>
      </c>
      <c r="D982" s="863"/>
      <c r="I982" s="845" t="str">
        <f>CONCATENATE("&lt;valeur&gt;",Cellule_181,"&lt;/valeur&gt;")</f>
        <v>&lt;valeur&gt;0&lt;/valeur&gt;</v>
      </c>
    </row>
    <row r="983" spans="1:10" x14ac:dyDescent="0.2">
      <c r="A983" s="859">
        <f t="shared" si="15"/>
        <v>982</v>
      </c>
      <c r="B983" s="845" t="s">
        <v>2552</v>
      </c>
      <c r="D983" s="862"/>
      <c r="H983" s="845" t="s">
        <v>1010</v>
      </c>
    </row>
    <row r="984" spans="1:10" x14ac:dyDescent="0.2">
      <c r="A984" s="859">
        <f t="shared" si="15"/>
        <v>983</v>
      </c>
      <c r="B984" s="845" t="s">
        <v>2552</v>
      </c>
      <c r="D984" s="862"/>
      <c r="H984" s="845" t="s">
        <v>1007</v>
      </c>
    </row>
    <row r="985" spans="1:10" x14ac:dyDescent="0.2">
      <c r="A985" s="859">
        <f t="shared" si="15"/>
        <v>984</v>
      </c>
      <c r="B985" s="845" t="s">
        <v>2552</v>
      </c>
      <c r="D985" s="861"/>
      <c r="I985" s="845" t="s">
        <v>1008</v>
      </c>
    </row>
    <row r="986" spans="1:10" x14ac:dyDescent="0.2">
      <c r="A986" s="859">
        <f t="shared" si="15"/>
        <v>985</v>
      </c>
      <c r="B986" s="845" t="s">
        <v>2552</v>
      </c>
      <c r="D986" s="861"/>
      <c r="J986" s="845" t="s">
        <v>1184</v>
      </c>
    </row>
    <row r="987" spans="1:10" x14ac:dyDescent="0.2">
      <c r="A987" s="859">
        <f t="shared" si="15"/>
        <v>986</v>
      </c>
      <c r="B987" s="845" t="s">
        <v>2552</v>
      </c>
      <c r="D987" s="862"/>
      <c r="I987" s="845" t="s">
        <v>1009</v>
      </c>
    </row>
    <row r="988" spans="1:10" x14ac:dyDescent="0.2">
      <c r="A988" s="859">
        <f t="shared" si="15"/>
        <v>987</v>
      </c>
      <c r="B988" s="845" t="s">
        <v>2552</v>
      </c>
      <c r="D988" s="863"/>
      <c r="I988" s="845" t="str">
        <f>CONCATENATE("&lt;valeur&gt;",Cellule_182,"&lt;/valeur&gt;")</f>
        <v>&lt;valeur&gt;0&lt;/valeur&gt;</v>
      </c>
    </row>
    <row r="989" spans="1:10" x14ac:dyDescent="0.2">
      <c r="A989" s="859">
        <f t="shared" si="15"/>
        <v>988</v>
      </c>
      <c r="B989" s="845" t="s">
        <v>2552</v>
      </c>
      <c r="D989" s="862"/>
      <c r="H989" s="845" t="s">
        <v>1010</v>
      </c>
    </row>
    <row r="990" spans="1:10" x14ac:dyDescent="0.2">
      <c r="A990" s="859">
        <f t="shared" si="15"/>
        <v>989</v>
      </c>
      <c r="B990" s="845" t="s">
        <v>2552</v>
      </c>
      <c r="D990" s="862"/>
      <c r="H990" s="845" t="s">
        <v>1007</v>
      </c>
    </row>
    <row r="991" spans="1:10" x14ac:dyDescent="0.2">
      <c r="A991" s="859">
        <f t="shared" si="15"/>
        <v>990</v>
      </c>
      <c r="B991" s="845" t="s">
        <v>2552</v>
      </c>
      <c r="D991" s="861"/>
      <c r="I991" s="845" t="s">
        <v>1008</v>
      </c>
    </row>
    <row r="992" spans="1:10" x14ac:dyDescent="0.2">
      <c r="A992" s="859">
        <f t="shared" si="15"/>
        <v>991</v>
      </c>
      <c r="B992" s="845" t="s">
        <v>2552</v>
      </c>
      <c r="D992" s="861"/>
      <c r="J992" s="845" t="s">
        <v>1185</v>
      </c>
    </row>
    <row r="993" spans="1:10" x14ac:dyDescent="0.2">
      <c r="A993" s="859">
        <f t="shared" si="15"/>
        <v>992</v>
      </c>
      <c r="B993" s="845" t="s">
        <v>2552</v>
      </c>
      <c r="D993" s="862"/>
      <c r="I993" s="845" t="s">
        <v>1009</v>
      </c>
    </row>
    <row r="994" spans="1:10" x14ac:dyDescent="0.2">
      <c r="A994" s="859">
        <f t="shared" si="15"/>
        <v>993</v>
      </c>
      <c r="B994" s="845" t="s">
        <v>2552</v>
      </c>
      <c r="D994" s="863"/>
      <c r="I994" s="845" t="str">
        <f>CONCATENATE("&lt;valeur&gt;",Cellule_183,"&lt;/valeur&gt;")</f>
        <v>&lt;valeur&gt;0&lt;/valeur&gt;</v>
      </c>
    </row>
    <row r="995" spans="1:10" x14ac:dyDescent="0.2">
      <c r="A995" s="859">
        <f t="shared" si="15"/>
        <v>994</v>
      </c>
      <c r="B995" s="845" t="s">
        <v>2552</v>
      </c>
      <c r="D995" s="862"/>
      <c r="H995" s="845" t="s">
        <v>1010</v>
      </c>
    </row>
    <row r="996" spans="1:10" x14ac:dyDescent="0.2">
      <c r="A996" s="859">
        <f t="shared" si="15"/>
        <v>995</v>
      </c>
      <c r="B996" s="845" t="s">
        <v>2552</v>
      </c>
      <c r="D996" s="862"/>
      <c r="H996" s="845" t="s">
        <v>1007</v>
      </c>
    </row>
    <row r="997" spans="1:10" x14ac:dyDescent="0.2">
      <c r="A997" s="859">
        <f t="shared" si="15"/>
        <v>996</v>
      </c>
      <c r="B997" s="845" t="s">
        <v>2552</v>
      </c>
      <c r="D997" s="861"/>
      <c r="I997" s="845" t="s">
        <v>1008</v>
      </c>
    </row>
    <row r="998" spans="1:10" x14ac:dyDescent="0.2">
      <c r="A998" s="859">
        <f t="shared" si="15"/>
        <v>997</v>
      </c>
      <c r="B998" s="845" t="s">
        <v>2552</v>
      </c>
      <c r="D998" s="861"/>
      <c r="J998" s="845" t="s">
        <v>1186</v>
      </c>
    </row>
    <row r="999" spans="1:10" x14ac:dyDescent="0.2">
      <c r="A999" s="859">
        <f t="shared" si="15"/>
        <v>998</v>
      </c>
      <c r="B999" s="845" t="s">
        <v>2552</v>
      </c>
      <c r="D999" s="862"/>
      <c r="I999" s="845" t="s">
        <v>1009</v>
      </c>
    </row>
    <row r="1000" spans="1:10" x14ac:dyDescent="0.2">
      <c r="A1000" s="859">
        <f t="shared" si="15"/>
        <v>999</v>
      </c>
      <c r="B1000" s="845" t="s">
        <v>2552</v>
      </c>
      <c r="D1000" s="863"/>
      <c r="I1000" s="845" t="str">
        <f>CONCATENATE("&lt;valeur&gt;",Cellule_184,"&lt;/valeur&gt;")</f>
        <v>&lt;valeur&gt;0&lt;/valeur&gt;</v>
      </c>
    </row>
    <row r="1001" spans="1:10" x14ac:dyDescent="0.2">
      <c r="A1001" s="859">
        <f t="shared" si="15"/>
        <v>1000</v>
      </c>
      <c r="B1001" s="845" t="s">
        <v>2552</v>
      </c>
      <c r="D1001" s="862"/>
      <c r="H1001" s="845" t="s">
        <v>1010</v>
      </c>
    </row>
    <row r="1002" spans="1:10" x14ac:dyDescent="0.2">
      <c r="A1002" s="859">
        <f t="shared" si="15"/>
        <v>1001</v>
      </c>
      <c r="B1002" s="845" t="s">
        <v>2552</v>
      </c>
      <c r="D1002" s="862"/>
      <c r="H1002" s="845" t="s">
        <v>1007</v>
      </c>
    </row>
    <row r="1003" spans="1:10" x14ac:dyDescent="0.2">
      <c r="A1003" s="859">
        <f t="shared" si="15"/>
        <v>1002</v>
      </c>
      <c r="B1003" s="845" t="s">
        <v>2552</v>
      </c>
      <c r="D1003" s="861"/>
      <c r="I1003" s="845" t="s">
        <v>1008</v>
      </c>
    </row>
    <row r="1004" spans="1:10" x14ac:dyDescent="0.2">
      <c r="A1004" s="859">
        <f t="shared" si="15"/>
        <v>1003</v>
      </c>
      <c r="B1004" s="845" t="s">
        <v>2552</v>
      </c>
      <c r="D1004" s="861"/>
      <c r="J1004" s="845" t="s">
        <v>1187</v>
      </c>
    </row>
    <row r="1005" spans="1:10" x14ac:dyDescent="0.2">
      <c r="A1005" s="859">
        <f t="shared" si="15"/>
        <v>1004</v>
      </c>
      <c r="B1005" s="845" t="s">
        <v>2552</v>
      </c>
      <c r="D1005" s="862"/>
      <c r="I1005" s="845" t="s">
        <v>1009</v>
      </c>
    </row>
    <row r="1006" spans="1:10" x14ac:dyDescent="0.2">
      <c r="A1006" s="859">
        <f t="shared" si="15"/>
        <v>1005</v>
      </c>
      <c r="B1006" s="845" t="s">
        <v>2552</v>
      </c>
      <c r="D1006" s="863"/>
      <c r="I1006" s="845" t="str">
        <f>CONCATENATE("&lt;valeur&gt;",Cellule_151,"&lt;/valeur&gt;")</f>
        <v>&lt;valeur&gt;0&lt;/valeur&gt;</v>
      </c>
    </row>
    <row r="1007" spans="1:10" x14ac:dyDescent="0.2">
      <c r="A1007" s="859">
        <f t="shared" si="15"/>
        <v>1006</v>
      </c>
      <c r="B1007" s="845" t="s">
        <v>2552</v>
      </c>
      <c r="D1007" s="862"/>
      <c r="H1007" s="845" t="s">
        <v>1010</v>
      </c>
    </row>
    <row r="1008" spans="1:10" x14ac:dyDescent="0.2">
      <c r="A1008" s="859">
        <f t="shared" si="15"/>
        <v>1007</v>
      </c>
      <c r="B1008" s="845" t="s">
        <v>2552</v>
      </c>
      <c r="D1008" s="862"/>
      <c r="H1008" s="845" t="s">
        <v>1007</v>
      </c>
    </row>
    <row r="1009" spans="1:10" x14ac:dyDescent="0.2">
      <c r="A1009" s="859">
        <f t="shared" si="15"/>
        <v>1008</v>
      </c>
      <c r="B1009" s="845" t="s">
        <v>2552</v>
      </c>
      <c r="D1009" s="861"/>
      <c r="I1009" s="845" t="s">
        <v>1008</v>
      </c>
    </row>
    <row r="1010" spans="1:10" x14ac:dyDescent="0.2">
      <c r="A1010" s="859">
        <f t="shared" si="15"/>
        <v>1009</v>
      </c>
      <c r="B1010" s="845" t="s">
        <v>2552</v>
      </c>
      <c r="D1010" s="861"/>
      <c r="J1010" s="845" t="s">
        <v>1188</v>
      </c>
    </row>
    <row r="1011" spans="1:10" x14ac:dyDescent="0.2">
      <c r="A1011" s="859">
        <f t="shared" si="15"/>
        <v>1010</v>
      </c>
      <c r="B1011" s="845" t="s">
        <v>2552</v>
      </c>
      <c r="D1011" s="862"/>
      <c r="I1011" s="845" t="s">
        <v>1009</v>
      </c>
    </row>
    <row r="1012" spans="1:10" x14ac:dyDescent="0.2">
      <c r="A1012" s="859">
        <f t="shared" si="15"/>
        <v>1011</v>
      </c>
      <c r="B1012" s="845" t="s">
        <v>2552</v>
      </c>
      <c r="D1012" s="863"/>
      <c r="I1012" s="845" t="str">
        <f>CONCATENATE("&lt;valeur&gt;",Cellule_152,"&lt;/valeur&gt;")</f>
        <v>&lt;valeur&gt;&lt;/valeur&gt;</v>
      </c>
    </row>
    <row r="1013" spans="1:10" x14ac:dyDescent="0.2">
      <c r="A1013" s="859">
        <f t="shared" si="15"/>
        <v>1012</v>
      </c>
      <c r="B1013" s="845" t="s">
        <v>2552</v>
      </c>
      <c r="D1013" s="862"/>
      <c r="H1013" s="845" t="s">
        <v>1010</v>
      </c>
    </row>
    <row r="1014" spans="1:10" x14ac:dyDescent="0.2">
      <c r="A1014" s="859">
        <f t="shared" si="15"/>
        <v>1013</v>
      </c>
      <c r="B1014" s="845" t="s">
        <v>2552</v>
      </c>
      <c r="D1014" s="862"/>
      <c r="H1014" s="845" t="s">
        <v>1007</v>
      </c>
    </row>
    <row r="1015" spans="1:10" x14ac:dyDescent="0.2">
      <c r="A1015" s="859">
        <f t="shared" si="15"/>
        <v>1014</v>
      </c>
      <c r="B1015" s="845" t="s">
        <v>2552</v>
      </c>
      <c r="D1015" s="861"/>
      <c r="I1015" s="845" t="s">
        <v>1008</v>
      </c>
    </row>
    <row r="1016" spans="1:10" x14ac:dyDescent="0.2">
      <c r="A1016" s="859">
        <f t="shared" si="15"/>
        <v>1015</v>
      </c>
      <c r="B1016" s="845" t="s">
        <v>2552</v>
      </c>
      <c r="D1016" s="861"/>
      <c r="J1016" s="845" t="s">
        <v>1189</v>
      </c>
    </row>
    <row r="1017" spans="1:10" x14ac:dyDescent="0.2">
      <c r="A1017" s="859">
        <f t="shared" si="15"/>
        <v>1016</v>
      </c>
      <c r="B1017" s="845" t="s">
        <v>2552</v>
      </c>
      <c r="D1017" s="862"/>
      <c r="I1017" s="845" t="s">
        <v>1009</v>
      </c>
    </row>
    <row r="1018" spans="1:10" x14ac:dyDescent="0.2">
      <c r="A1018" s="859">
        <f t="shared" si="15"/>
        <v>1017</v>
      </c>
      <c r="B1018" s="845" t="s">
        <v>2552</v>
      </c>
      <c r="D1018" s="863"/>
      <c r="I1018" s="845" t="str">
        <f>CONCATENATE("&lt;valeur&gt;",Cellule_153,"&lt;/valeur&gt;")</f>
        <v>&lt;valeur&gt;0&lt;/valeur&gt;</v>
      </c>
    </row>
    <row r="1019" spans="1:10" x14ac:dyDescent="0.2">
      <c r="A1019" s="859">
        <f t="shared" si="15"/>
        <v>1018</v>
      </c>
      <c r="B1019" s="845" t="s">
        <v>2552</v>
      </c>
      <c r="D1019" s="862"/>
      <c r="H1019" s="845" t="s">
        <v>1010</v>
      </c>
    </row>
    <row r="1020" spans="1:10" x14ac:dyDescent="0.2">
      <c r="A1020" s="859">
        <f t="shared" si="15"/>
        <v>1019</v>
      </c>
      <c r="B1020" s="845" t="s">
        <v>2552</v>
      </c>
      <c r="D1020" s="862"/>
      <c r="H1020" s="845" t="s">
        <v>1007</v>
      </c>
    </row>
    <row r="1021" spans="1:10" x14ac:dyDescent="0.2">
      <c r="A1021" s="859">
        <f t="shared" si="15"/>
        <v>1020</v>
      </c>
      <c r="B1021" s="845" t="s">
        <v>2552</v>
      </c>
      <c r="D1021" s="861"/>
      <c r="I1021" s="845" t="s">
        <v>1008</v>
      </c>
    </row>
    <row r="1022" spans="1:10" x14ac:dyDescent="0.2">
      <c r="A1022" s="859">
        <f t="shared" si="15"/>
        <v>1021</v>
      </c>
      <c r="B1022" s="845" t="s">
        <v>2552</v>
      </c>
      <c r="D1022" s="861"/>
      <c r="J1022" s="845" t="s">
        <v>1190</v>
      </c>
    </row>
    <row r="1023" spans="1:10" x14ac:dyDescent="0.2">
      <c r="A1023" s="859">
        <f t="shared" si="15"/>
        <v>1022</v>
      </c>
      <c r="B1023" s="845" t="s">
        <v>2552</v>
      </c>
      <c r="D1023" s="862"/>
      <c r="I1023" s="845" t="s">
        <v>1009</v>
      </c>
    </row>
    <row r="1024" spans="1:10" x14ac:dyDescent="0.2">
      <c r="A1024" s="859">
        <f t="shared" si="15"/>
        <v>1023</v>
      </c>
      <c r="B1024" s="845" t="s">
        <v>2552</v>
      </c>
      <c r="D1024" s="863"/>
      <c r="I1024" s="845" t="str">
        <f>CONCATENATE("&lt;valeur&gt;",Cellule_154,"&lt;/valeur&gt;")</f>
        <v>&lt;valeur&gt;0&lt;/valeur&gt;</v>
      </c>
    </row>
    <row r="1025" spans="1:10" x14ac:dyDescent="0.2">
      <c r="A1025" s="859">
        <f t="shared" si="15"/>
        <v>1024</v>
      </c>
      <c r="B1025" s="845" t="s">
        <v>2552</v>
      </c>
      <c r="D1025" s="862"/>
      <c r="H1025" s="845" t="s">
        <v>1010</v>
      </c>
    </row>
    <row r="1026" spans="1:10" x14ac:dyDescent="0.2">
      <c r="A1026" s="859">
        <f t="shared" si="15"/>
        <v>1025</v>
      </c>
      <c r="B1026" s="845" t="s">
        <v>2552</v>
      </c>
      <c r="D1026" s="862"/>
      <c r="H1026" s="845" t="s">
        <v>1007</v>
      </c>
    </row>
    <row r="1027" spans="1:10" x14ac:dyDescent="0.2">
      <c r="A1027" s="859">
        <f t="shared" si="15"/>
        <v>1026</v>
      </c>
      <c r="B1027" s="845" t="s">
        <v>2552</v>
      </c>
      <c r="D1027" s="861"/>
      <c r="I1027" s="845" t="s">
        <v>1008</v>
      </c>
    </row>
    <row r="1028" spans="1:10" x14ac:dyDescent="0.2">
      <c r="A1028" s="859">
        <f t="shared" ref="A1028:A1091" si="16">+A1027+1</f>
        <v>1027</v>
      </c>
      <c r="B1028" s="845" t="s">
        <v>2552</v>
      </c>
      <c r="D1028" s="861"/>
      <c r="J1028" s="845" t="s">
        <v>1191</v>
      </c>
    </row>
    <row r="1029" spans="1:10" x14ac:dyDescent="0.2">
      <c r="A1029" s="859">
        <f t="shared" si="16"/>
        <v>1028</v>
      </c>
      <c r="B1029" s="845" t="s">
        <v>2552</v>
      </c>
      <c r="D1029" s="862"/>
      <c r="I1029" s="845" t="s">
        <v>1009</v>
      </c>
    </row>
    <row r="1030" spans="1:10" x14ac:dyDescent="0.2">
      <c r="A1030" s="859">
        <f t="shared" si="16"/>
        <v>1029</v>
      </c>
      <c r="B1030" s="845" t="s">
        <v>2552</v>
      </c>
      <c r="D1030" s="863"/>
      <c r="I1030" s="845" t="str">
        <f>CONCATENATE("&lt;valeur&gt;",Cellule_296,"&lt;/valeur&gt;")</f>
        <v>&lt;valeur&gt;0&lt;/valeur&gt;</v>
      </c>
    </row>
    <row r="1031" spans="1:10" x14ac:dyDescent="0.2">
      <c r="A1031" s="859">
        <f t="shared" si="16"/>
        <v>1030</v>
      </c>
      <c r="B1031" s="845" t="s">
        <v>2552</v>
      </c>
      <c r="D1031" s="862"/>
      <c r="H1031" s="845" t="s">
        <v>1010</v>
      </c>
    </row>
    <row r="1032" spans="1:10" x14ac:dyDescent="0.2">
      <c r="A1032" s="859">
        <f t="shared" si="16"/>
        <v>1031</v>
      </c>
      <c r="B1032" s="845" t="s">
        <v>2552</v>
      </c>
      <c r="D1032" s="862"/>
      <c r="H1032" s="845" t="s">
        <v>1007</v>
      </c>
    </row>
    <row r="1033" spans="1:10" x14ac:dyDescent="0.2">
      <c r="A1033" s="859">
        <f t="shared" si="16"/>
        <v>1032</v>
      </c>
      <c r="B1033" s="845" t="s">
        <v>2552</v>
      </c>
      <c r="D1033" s="861"/>
      <c r="I1033" s="845" t="s">
        <v>1008</v>
      </c>
    </row>
    <row r="1034" spans="1:10" x14ac:dyDescent="0.2">
      <c r="A1034" s="859">
        <f t="shared" si="16"/>
        <v>1033</v>
      </c>
      <c r="B1034" s="845" t="s">
        <v>2552</v>
      </c>
      <c r="D1034" s="861"/>
      <c r="J1034" s="845" t="s">
        <v>1192</v>
      </c>
    </row>
    <row r="1035" spans="1:10" x14ac:dyDescent="0.2">
      <c r="A1035" s="859">
        <f t="shared" si="16"/>
        <v>1034</v>
      </c>
      <c r="B1035" s="845" t="s">
        <v>2552</v>
      </c>
      <c r="D1035" s="862"/>
      <c r="I1035" s="845" t="s">
        <v>1009</v>
      </c>
    </row>
    <row r="1036" spans="1:10" x14ac:dyDescent="0.2">
      <c r="A1036" s="859">
        <f t="shared" si="16"/>
        <v>1035</v>
      </c>
      <c r="B1036" s="845" t="s">
        <v>2552</v>
      </c>
      <c r="D1036" s="863"/>
      <c r="I1036" s="845" t="str">
        <f>CONCATENATE("&lt;valeur&gt;",Cellule_297,"&lt;/valeur&gt;")</f>
        <v>&lt;valeur&gt;0&lt;/valeur&gt;</v>
      </c>
    </row>
    <row r="1037" spans="1:10" x14ac:dyDescent="0.2">
      <c r="A1037" s="859">
        <f t="shared" si="16"/>
        <v>1036</v>
      </c>
      <c r="B1037" s="845" t="s">
        <v>2552</v>
      </c>
      <c r="D1037" s="862"/>
      <c r="H1037" s="845" t="s">
        <v>1010</v>
      </c>
    </row>
    <row r="1038" spans="1:10" x14ac:dyDescent="0.2">
      <c r="A1038" s="859">
        <f t="shared" si="16"/>
        <v>1037</v>
      </c>
      <c r="B1038" s="845" t="s">
        <v>2552</v>
      </c>
      <c r="D1038" s="862"/>
      <c r="H1038" s="845" t="s">
        <v>1007</v>
      </c>
    </row>
    <row r="1039" spans="1:10" x14ac:dyDescent="0.2">
      <c r="A1039" s="859">
        <f t="shared" si="16"/>
        <v>1038</v>
      </c>
      <c r="B1039" s="845" t="s">
        <v>2552</v>
      </c>
      <c r="D1039" s="861"/>
      <c r="I1039" s="845" t="s">
        <v>1008</v>
      </c>
    </row>
    <row r="1040" spans="1:10" x14ac:dyDescent="0.2">
      <c r="A1040" s="859">
        <f t="shared" si="16"/>
        <v>1039</v>
      </c>
      <c r="B1040" s="845" t="s">
        <v>2552</v>
      </c>
      <c r="D1040" s="861"/>
      <c r="J1040" s="845" t="s">
        <v>1193</v>
      </c>
    </row>
    <row r="1041" spans="1:10" x14ac:dyDescent="0.2">
      <c r="A1041" s="859">
        <f t="shared" si="16"/>
        <v>1040</v>
      </c>
      <c r="B1041" s="845" t="s">
        <v>2552</v>
      </c>
      <c r="D1041" s="862"/>
      <c r="I1041" s="845" t="s">
        <v>1009</v>
      </c>
    </row>
    <row r="1042" spans="1:10" x14ac:dyDescent="0.2">
      <c r="A1042" s="859">
        <f t="shared" si="16"/>
        <v>1041</v>
      </c>
      <c r="B1042" s="845" t="s">
        <v>2552</v>
      </c>
      <c r="D1042" s="863"/>
      <c r="I1042" s="845" t="str">
        <f>CONCATENATE("&lt;valeur&gt;",Cellule_298,"&lt;/valeur&gt;")</f>
        <v>&lt;valeur&gt;0&lt;/valeur&gt;</v>
      </c>
    </row>
    <row r="1043" spans="1:10" x14ac:dyDescent="0.2">
      <c r="A1043" s="859">
        <f t="shared" si="16"/>
        <v>1042</v>
      </c>
      <c r="B1043" s="845" t="s">
        <v>2552</v>
      </c>
      <c r="D1043" s="862"/>
      <c r="H1043" s="845" t="s">
        <v>1010</v>
      </c>
    </row>
    <row r="1044" spans="1:10" x14ac:dyDescent="0.2">
      <c r="A1044" s="859">
        <f t="shared" si="16"/>
        <v>1043</v>
      </c>
      <c r="B1044" s="845" t="s">
        <v>2552</v>
      </c>
      <c r="D1044" s="862"/>
      <c r="H1044" s="845" t="s">
        <v>1007</v>
      </c>
    </row>
    <row r="1045" spans="1:10" x14ac:dyDescent="0.2">
      <c r="A1045" s="859">
        <f t="shared" si="16"/>
        <v>1044</v>
      </c>
      <c r="B1045" s="845" t="s">
        <v>2552</v>
      </c>
      <c r="D1045" s="861"/>
      <c r="I1045" s="845" t="s">
        <v>1008</v>
      </c>
    </row>
    <row r="1046" spans="1:10" x14ac:dyDescent="0.2">
      <c r="A1046" s="859">
        <f t="shared" si="16"/>
        <v>1045</v>
      </c>
      <c r="B1046" s="845" t="s">
        <v>2552</v>
      </c>
      <c r="D1046" s="861"/>
      <c r="J1046" s="845" t="s">
        <v>1194</v>
      </c>
    </row>
    <row r="1047" spans="1:10" x14ac:dyDescent="0.2">
      <c r="A1047" s="859">
        <f t="shared" si="16"/>
        <v>1046</v>
      </c>
      <c r="B1047" s="845" t="s">
        <v>2552</v>
      </c>
      <c r="D1047" s="862"/>
      <c r="I1047" s="845" t="s">
        <v>1009</v>
      </c>
    </row>
    <row r="1048" spans="1:10" x14ac:dyDescent="0.2">
      <c r="A1048" s="859">
        <f t="shared" si="16"/>
        <v>1047</v>
      </c>
      <c r="B1048" s="845" t="s">
        <v>2552</v>
      </c>
      <c r="D1048" s="863"/>
      <c r="I1048" s="845" t="str">
        <f>CONCATENATE("&lt;valeur&gt;",Cellule_299,"&lt;/valeur&gt;")</f>
        <v>&lt;valeur&gt;0&lt;/valeur&gt;</v>
      </c>
    </row>
    <row r="1049" spans="1:10" x14ac:dyDescent="0.2">
      <c r="A1049" s="859">
        <f t="shared" si="16"/>
        <v>1048</v>
      </c>
      <c r="B1049" s="845" t="s">
        <v>2552</v>
      </c>
      <c r="D1049" s="862"/>
      <c r="H1049" s="845" t="s">
        <v>1010</v>
      </c>
    </row>
    <row r="1050" spans="1:10" x14ac:dyDescent="0.2">
      <c r="A1050" s="859">
        <f t="shared" si="16"/>
        <v>1049</v>
      </c>
      <c r="B1050" s="845" t="s">
        <v>2552</v>
      </c>
      <c r="D1050" s="862"/>
      <c r="H1050" s="845" t="s">
        <v>1007</v>
      </c>
    </row>
    <row r="1051" spans="1:10" x14ac:dyDescent="0.2">
      <c r="A1051" s="859">
        <f t="shared" si="16"/>
        <v>1050</v>
      </c>
      <c r="B1051" s="845" t="s">
        <v>2552</v>
      </c>
      <c r="D1051" s="861"/>
      <c r="I1051" s="845" t="s">
        <v>1008</v>
      </c>
    </row>
    <row r="1052" spans="1:10" x14ac:dyDescent="0.2">
      <c r="A1052" s="859">
        <f t="shared" si="16"/>
        <v>1051</v>
      </c>
      <c r="B1052" s="845" t="s">
        <v>2552</v>
      </c>
      <c r="D1052" s="861"/>
      <c r="J1052" s="845" t="s">
        <v>1195</v>
      </c>
    </row>
    <row r="1053" spans="1:10" x14ac:dyDescent="0.2">
      <c r="A1053" s="859">
        <f t="shared" si="16"/>
        <v>1052</v>
      </c>
      <c r="B1053" s="845" t="s">
        <v>2552</v>
      </c>
      <c r="D1053" s="862"/>
      <c r="I1053" s="845" t="s">
        <v>1009</v>
      </c>
    </row>
    <row r="1054" spans="1:10" x14ac:dyDescent="0.2">
      <c r="A1054" s="859">
        <f t="shared" si="16"/>
        <v>1053</v>
      </c>
      <c r="B1054" s="845" t="s">
        <v>2552</v>
      </c>
      <c r="D1054" s="863"/>
      <c r="I1054" s="845" t="str">
        <f>CONCATENATE("&lt;valeur&gt;",Cellule_303,"&lt;/valeur&gt;")</f>
        <v>&lt;valeur&gt;0&lt;/valeur&gt;</v>
      </c>
    </row>
    <row r="1055" spans="1:10" x14ac:dyDescent="0.2">
      <c r="A1055" s="859">
        <f t="shared" si="16"/>
        <v>1054</v>
      </c>
      <c r="B1055" s="845" t="s">
        <v>2552</v>
      </c>
      <c r="D1055" s="862"/>
      <c r="H1055" s="845" t="s">
        <v>1010</v>
      </c>
    </row>
    <row r="1056" spans="1:10" x14ac:dyDescent="0.2">
      <c r="A1056" s="859">
        <f t="shared" si="16"/>
        <v>1055</v>
      </c>
      <c r="B1056" s="845" t="s">
        <v>2552</v>
      </c>
      <c r="D1056" s="862"/>
      <c r="H1056" s="845" t="s">
        <v>1007</v>
      </c>
    </row>
    <row r="1057" spans="1:10" x14ac:dyDescent="0.2">
      <c r="A1057" s="859">
        <f t="shared" si="16"/>
        <v>1056</v>
      </c>
      <c r="B1057" s="845" t="s">
        <v>2552</v>
      </c>
      <c r="D1057" s="861"/>
      <c r="I1057" s="845" t="s">
        <v>1008</v>
      </c>
    </row>
    <row r="1058" spans="1:10" x14ac:dyDescent="0.2">
      <c r="A1058" s="859">
        <f t="shared" si="16"/>
        <v>1057</v>
      </c>
      <c r="B1058" s="845" t="s">
        <v>2552</v>
      </c>
      <c r="D1058" s="861"/>
      <c r="J1058" s="845" t="s">
        <v>1196</v>
      </c>
    </row>
    <row r="1059" spans="1:10" x14ac:dyDescent="0.2">
      <c r="A1059" s="859">
        <f t="shared" si="16"/>
        <v>1058</v>
      </c>
      <c r="B1059" s="845" t="s">
        <v>2552</v>
      </c>
      <c r="D1059" s="862"/>
      <c r="I1059" s="845" t="s">
        <v>1009</v>
      </c>
    </row>
    <row r="1060" spans="1:10" x14ac:dyDescent="0.2">
      <c r="A1060" s="859">
        <f t="shared" si="16"/>
        <v>1059</v>
      </c>
      <c r="B1060" s="845" t="s">
        <v>2552</v>
      </c>
      <c r="D1060" s="863"/>
      <c r="I1060" s="845" t="str">
        <f>CONCATENATE("&lt;valeur&gt;",Cellule_304,"&lt;/valeur&gt;")</f>
        <v>&lt;valeur&gt;0&lt;/valeur&gt;</v>
      </c>
    </row>
    <row r="1061" spans="1:10" x14ac:dyDescent="0.2">
      <c r="A1061" s="859">
        <f t="shared" si="16"/>
        <v>1060</v>
      </c>
      <c r="B1061" s="845" t="s">
        <v>2552</v>
      </c>
      <c r="D1061" s="862"/>
      <c r="H1061" s="845" t="s">
        <v>1010</v>
      </c>
    </row>
    <row r="1062" spans="1:10" x14ac:dyDescent="0.2">
      <c r="A1062" s="859">
        <f t="shared" si="16"/>
        <v>1061</v>
      </c>
      <c r="B1062" s="845" t="s">
        <v>2552</v>
      </c>
      <c r="D1062" s="862"/>
      <c r="H1062" s="845" t="s">
        <v>1007</v>
      </c>
    </row>
    <row r="1063" spans="1:10" x14ac:dyDescent="0.2">
      <c r="A1063" s="859">
        <f t="shared" si="16"/>
        <v>1062</v>
      </c>
      <c r="B1063" s="845" t="s">
        <v>2552</v>
      </c>
      <c r="D1063" s="861"/>
      <c r="I1063" s="845" t="s">
        <v>1008</v>
      </c>
    </row>
    <row r="1064" spans="1:10" x14ac:dyDescent="0.2">
      <c r="A1064" s="859">
        <f t="shared" si="16"/>
        <v>1063</v>
      </c>
      <c r="B1064" s="845" t="s">
        <v>2552</v>
      </c>
      <c r="D1064" s="861"/>
      <c r="J1064" s="845" t="s">
        <v>1197</v>
      </c>
    </row>
    <row r="1065" spans="1:10" x14ac:dyDescent="0.2">
      <c r="A1065" s="859">
        <f t="shared" si="16"/>
        <v>1064</v>
      </c>
      <c r="B1065" s="845" t="s">
        <v>2552</v>
      </c>
      <c r="D1065" s="862"/>
      <c r="I1065" s="845" t="s">
        <v>1009</v>
      </c>
    </row>
    <row r="1066" spans="1:10" x14ac:dyDescent="0.2">
      <c r="A1066" s="859">
        <f t="shared" si="16"/>
        <v>1065</v>
      </c>
      <c r="B1066" s="845" t="s">
        <v>2552</v>
      </c>
      <c r="D1066" s="863"/>
      <c r="I1066" s="845" t="str">
        <f>CONCATENATE("&lt;valeur&gt;",Cellule_305,"&lt;/valeur&gt;")</f>
        <v>&lt;valeur&gt;0&lt;/valeur&gt;</v>
      </c>
    </row>
    <row r="1067" spans="1:10" x14ac:dyDescent="0.2">
      <c r="A1067" s="859">
        <f t="shared" si="16"/>
        <v>1066</v>
      </c>
      <c r="B1067" s="845" t="s">
        <v>2552</v>
      </c>
      <c r="D1067" s="862"/>
      <c r="H1067" s="845" t="s">
        <v>1010</v>
      </c>
    </row>
    <row r="1068" spans="1:10" x14ac:dyDescent="0.2">
      <c r="A1068" s="859">
        <f t="shared" si="16"/>
        <v>1067</v>
      </c>
      <c r="B1068" s="845" t="s">
        <v>2552</v>
      </c>
      <c r="D1068" s="862"/>
      <c r="H1068" s="845" t="s">
        <v>1007</v>
      </c>
    </row>
    <row r="1069" spans="1:10" x14ac:dyDescent="0.2">
      <c r="A1069" s="859">
        <f t="shared" si="16"/>
        <v>1068</v>
      </c>
      <c r="B1069" s="845" t="s">
        <v>2552</v>
      </c>
      <c r="D1069" s="861"/>
      <c r="I1069" s="845" t="s">
        <v>1008</v>
      </c>
    </row>
    <row r="1070" spans="1:10" x14ac:dyDescent="0.2">
      <c r="A1070" s="859">
        <f t="shared" si="16"/>
        <v>1069</v>
      </c>
      <c r="B1070" s="845" t="s">
        <v>2552</v>
      </c>
      <c r="D1070" s="861"/>
      <c r="J1070" s="845" t="s">
        <v>1198</v>
      </c>
    </row>
    <row r="1071" spans="1:10" x14ac:dyDescent="0.2">
      <c r="A1071" s="859">
        <f t="shared" si="16"/>
        <v>1070</v>
      </c>
      <c r="B1071" s="845" t="s">
        <v>2552</v>
      </c>
      <c r="D1071" s="862"/>
      <c r="I1071" s="845" t="s">
        <v>1009</v>
      </c>
    </row>
    <row r="1072" spans="1:10" x14ac:dyDescent="0.2">
      <c r="A1072" s="859">
        <f t="shared" si="16"/>
        <v>1071</v>
      </c>
      <c r="B1072" s="845" t="s">
        <v>2552</v>
      </c>
      <c r="D1072" s="863"/>
      <c r="I1072" s="845" t="str">
        <f>CONCATENATE("&lt;valeur&gt;",Cellule_532,"&lt;/valeur&gt;")</f>
        <v>&lt;valeur&gt;0&lt;/valeur&gt;</v>
      </c>
    </row>
    <row r="1073" spans="1:10" x14ac:dyDescent="0.2">
      <c r="A1073" s="859">
        <f t="shared" si="16"/>
        <v>1072</v>
      </c>
      <c r="B1073" s="845" t="s">
        <v>2552</v>
      </c>
      <c r="D1073" s="862"/>
      <c r="H1073" s="845" t="s">
        <v>1010</v>
      </c>
    </row>
    <row r="1074" spans="1:10" x14ac:dyDescent="0.2">
      <c r="A1074" s="859">
        <f t="shared" si="16"/>
        <v>1073</v>
      </c>
      <c r="B1074" s="845" t="s">
        <v>2552</v>
      </c>
      <c r="D1074" s="862"/>
      <c r="H1074" s="845" t="s">
        <v>1007</v>
      </c>
    </row>
    <row r="1075" spans="1:10" x14ac:dyDescent="0.2">
      <c r="A1075" s="859">
        <f t="shared" si="16"/>
        <v>1074</v>
      </c>
      <c r="B1075" s="845" t="s">
        <v>2552</v>
      </c>
      <c r="D1075" s="861"/>
      <c r="I1075" s="845" t="s">
        <v>1008</v>
      </c>
    </row>
    <row r="1076" spans="1:10" x14ac:dyDescent="0.2">
      <c r="A1076" s="859">
        <f t="shared" si="16"/>
        <v>1075</v>
      </c>
      <c r="B1076" s="845" t="s">
        <v>2552</v>
      </c>
      <c r="D1076" s="861"/>
      <c r="J1076" s="845" t="s">
        <v>1199</v>
      </c>
    </row>
    <row r="1077" spans="1:10" x14ac:dyDescent="0.2">
      <c r="A1077" s="859">
        <f t="shared" si="16"/>
        <v>1076</v>
      </c>
      <c r="B1077" s="845" t="s">
        <v>2552</v>
      </c>
      <c r="D1077" s="862"/>
      <c r="I1077" s="845" t="s">
        <v>1009</v>
      </c>
    </row>
    <row r="1078" spans="1:10" x14ac:dyDescent="0.2">
      <c r="A1078" s="859">
        <f t="shared" si="16"/>
        <v>1077</v>
      </c>
      <c r="B1078" s="845" t="s">
        <v>2552</v>
      </c>
      <c r="D1078" s="863"/>
      <c r="I1078" s="845" t="str">
        <f>CONCATENATE("&lt;valeur&gt;",Cellule_306,"&lt;/valeur&gt;")</f>
        <v>&lt;valeur&gt;0&lt;/valeur&gt;</v>
      </c>
    </row>
    <row r="1079" spans="1:10" x14ac:dyDescent="0.2">
      <c r="A1079" s="859">
        <f t="shared" si="16"/>
        <v>1078</v>
      </c>
      <c r="B1079" s="845" t="s">
        <v>2552</v>
      </c>
      <c r="D1079" s="862"/>
      <c r="H1079" s="845" t="s">
        <v>1010</v>
      </c>
    </row>
    <row r="1080" spans="1:10" x14ac:dyDescent="0.2">
      <c r="A1080" s="859">
        <f t="shared" si="16"/>
        <v>1079</v>
      </c>
      <c r="B1080" s="845" t="s">
        <v>2552</v>
      </c>
      <c r="D1080" s="862"/>
      <c r="H1080" s="845" t="s">
        <v>1007</v>
      </c>
    </row>
    <row r="1081" spans="1:10" x14ac:dyDescent="0.2">
      <c r="A1081" s="859">
        <f t="shared" si="16"/>
        <v>1080</v>
      </c>
      <c r="B1081" s="845" t="s">
        <v>2552</v>
      </c>
      <c r="D1081" s="861"/>
      <c r="I1081" s="845" t="s">
        <v>1008</v>
      </c>
    </row>
    <row r="1082" spans="1:10" x14ac:dyDescent="0.2">
      <c r="A1082" s="859">
        <f t="shared" si="16"/>
        <v>1081</v>
      </c>
      <c r="B1082" s="845" t="s">
        <v>2552</v>
      </c>
      <c r="D1082" s="861"/>
      <c r="J1082" s="845" t="s">
        <v>1200</v>
      </c>
    </row>
    <row r="1083" spans="1:10" x14ac:dyDescent="0.2">
      <c r="A1083" s="859">
        <f t="shared" si="16"/>
        <v>1082</v>
      </c>
      <c r="B1083" s="845" t="s">
        <v>2552</v>
      </c>
      <c r="D1083" s="862"/>
      <c r="I1083" s="845" t="s">
        <v>1009</v>
      </c>
    </row>
    <row r="1084" spans="1:10" x14ac:dyDescent="0.2">
      <c r="A1084" s="859">
        <f t="shared" si="16"/>
        <v>1083</v>
      </c>
      <c r="B1084" s="845" t="s">
        <v>2552</v>
      </c>
      <c r="D1084" s="863"/>
      <c r="I1084" s="845" t="str">
        <f>CONCATENATE("&lt;valeur&gt;",Cellule_307,"&lt;/valeur&gt;")</f>
        <v>&lt;valeur&gt;0&lt;/valeur&gt;</v>
      </c>
    </row>
    <row r="1085" spans="1:10" x14ac:dyDescent="0.2">
      <c r="A1085" s="859">
        <f t="shared" si="16"/>
        <v>1084</v>
      </c>
      <c r="B1085" s="845" t="s">
        <v>2552</v>
      </c>
      <c r="D1085" s="862"/>
      <c r="H1085" s="845" t="s">
        <v>1010</v>
      </c>
    </row>
    <row r="1086" spans="1:10" x14ac:dyDescent="0.2">
      <c r="A1086" s="859">
        <f t="shared" si="16"/>
        <v>1085</v>
      </c>
      <c r="B1086" s="845" t="s">
        <v>2552</v>
      </c>
      <c r="D1086" s="862"/>
      <c r="H1086" s="845" t="s">
        <v>1007</v>
      </c>
    </row>
    <row r="1087" spans="1:10" x14ac:dyDescent="0.2">
      <c r="A1087" s="859">
        <f t="shared" si="16"/>
        <v>1086</v>
      </c>
      <c r="B1087" s="845" t="s">
        <v>2552</v>
      </c>
      <c r="D1087" s="861"/>
      <c r="I1087" s="845" t="s">
        <v>1008</v>
      </c>
    </row>
    <row r="1088" spans="1:10" x14ac:dyDescent="0.2">
      <c r="A1088" s="859">
        <f t="shared" si="16"/>
        <v>1087</v>
      </c>
      <c r="B1088" s="845" t="s">
        <v>2552</v>
      </c>
      <c r="D1088" s="861"/>
      <c r="J1088" s="845" t="s">
        <v>1201</v>
      </c>
    </row>
    <row r="1089" spans="1:10" x14ac:dyDescent="0.2">
      <c r="A1089" s="859">
        <f t="shared" si="16"/>
        <v>1088</v>
      </c>
      <c r="B1089" s="845" t="s">
        <v>2552</v>
      </c>
      <c r="D1089" s="862"/>
      <c r="I1089" s="845" t="s">
        <v>1009</v>
      </c>
    </row>
    <row r="1090" spans="1:10" x14ac:dyDescent="0.2">
      <c r="A1090" s="859">
        <f t="shared" si="16"/>
        <v>1089</v>
      </c>
      <c r="B1090" s="845" t="s">
        <v>2552</v>
      </c>
      <c r="D1090" s="863"/>
      <c r="I1090" s="845" t="str">
        <f>CONCATENATE("&lt;valeur&gt;",Cellule_308,"&lt;/valeur&gt;")</f>
        <v>&lt;valeur&gt;0&lt;/valeur&gt;</v>
      </c>
    </row>
    <row r="1091" spans="1:10" x14ac:dyDescent="0.2">
      <c r="A1091" s="859">
        <f t="shared" si="16"/>
        <v>1090</v>
      </c>
      <c r="B1091" s="845" t="s">
        <v>2552</v>
      </c>
      <c r="D1091" s="862"/>
      <c r="H1091" s="845" t="s">
        <v>1010</v>
      </c>
    </row>
    <row r="1092" spans="1:10" x14ac:dyDescent="0.2">
      <c r="A1092" s="859">
        <f t="shared" ref="A1092:A1155" si="17">+A1091+1</f>
        <v>1091</v>
      </c>
      <c r="B1092" s="845" t="s">
        <v>2552</v>
      </c>
      <c r="D1092" s="862"/>
      <c r="H1092" s="845" t="s">
        <v>1007</v>
      </c>
    </row>
    <row r="1093" spans="1:10" x14ac:dyDescent="0.2">
      <c r="A1093" s="859">
        <f t="shared" si="17"/>
        <v>1092</v>
      </c>
      <c r="B1093" s="845" t="s">
        <v>2552</v>
      </c>
      <c r="D1093" s="861"/>
      <c r="I1093" s="845" t="s">
        <v>1008</v>
      </c>
    </row>
    <row r="1094" spans="1:10" x14ac:dyDescent="0.2">
      <c r="A1094" s="859">
        <f t="shared" si="17"/>
        <v>1093</v>
      </c>
      <c r="B1094" s="845" t="s">
        <v>2552</v>
      </c>
      <c r="D1094" s="861"/>
      <c r="J1094" s="845" t="s">
        <v>1202</v>
      </c>
    </row>
    <row r="1095" spans="1:10" x14ac:dyDescent="0.2">
      <c r="A1095" s="859">
        <f t="shared" si="17"/>
        <v>1094</v>
      </c>
      <c r="B1095" s="845" t="s">
        <v>2552</v>
      </c>
      <c r="D1095" s="862"/>
      <c r="I1095" s="845" t="s">
        <v>1009</v>
      </c>
    </row>
    <row r="1096" spans="1:10" x14ac:dyDescent="0.2">
      <c r="A1096" s="859">
        <f t="shared" si="17"/>
        <v>1095</v>
      </c>
      <c r="B1096" s="845" t="s">
        <v>2552</v>
      </c>
      <c r="D1096" s="863"/>
      <c r="I1096" s="845" t="str">
        <f>CONCATENATE("&lt;valeur&gt;",Cellule_533,"&lt;/valeur&gt;")</f>
        <v>&lt;valeur&gt;0&lt;/valeur&gt;</v>
      </c>
    </row>
    <row r="1097" spans="1:10" x14ac:dyDescent="0.2">
      <c r="A1097" s="859">
        <f t="shared" si="17"/>
        <v>1096</v>
      </c>
      <c r="B1097" s="845" t="s">
        <v>2552</v>
      </c>
      <c r="D1097" s="862"/>
      <c r="H1097" s="845" t="s">
        <v>1010</v>
      </c>
    </row>
    <row r="1098" spans="1:10" x14ac:dyDescent="0.2">
      <c r="A1098" s="859">
        <f t="shared" si="17"/>
        <v>1097</v>
      </c>
      <c r="B1098" s="845" t="s">
        <v>2552</v>
      </c>
      <c r="D1098" s="862"/>
      <c r="H1098" s="845" t="s">
        <v>1007</v>
      </c>
    </row>
    <row r="1099" spans="1:10" x14ac:dyDescent="0.2">
      <c r="A1099" s="859">
        <f t="shared" si="17"/>
        <v>1098</v>
      </c>
      <c r="B1099" s="845" t="s">
        <v>2552</v>
      </c>
      <c r="D1099" s="861"/>
      <c r="I1099" s="845" t="s">
        <v>1008</v>
      </c>
    </row>
    <row r="1100" spans="1:10" x14ac:dyDescent="0.2">
      <c r="A1100" s="859">
        <f t="shared" si="17"/>
        <v>1099</v>
      </c>
      <c r="B1100" s="845" t="s">
        <v>2552</v>
      </c>
      <c r="D1100" s="861"/>
      <c r="J1100" s="845" t="s">
        <v>1203</v>
      </c>
    </row>
    <row r="1101" spans="1:10" x14ac:dyDescent="0.2">
      <c r="A1101" s="859">
        <f t="shared" si="17"/>
        <v>1100</v>
      </c>
      <c r="B1101" s="845" t="s">
        <v>2552</v>
      </c>
      <c r="D1101" s="862"/>
      <c r="I1101" s="845" t="s">
        <v>1009</v>
      </c>
    </row>
    <row r="1102" spans="1:10" x14ac:dyDescent="0.2">
      <c r="A1102" s="859">
        <f t="shared" si="17"/>
        <v>1101</v>
      </c>
      <c r="B1102" s="845" t="s">
        <v>2552</v>
      </c>
      <c r="D1102" s="863"/>
      <c r="I1102" s="845" t="str">
        <f>CONCATENATE("&lt;valeur&gt;",Cellule_309,"&lt;/valeur&gt;")</f>
        <v>&lt;valeur&gt;0&lt;/valeur&gt;</v>
      </c>
    </row>
    <row r="1103" spans="1:10" x14ac:dyDescent="0.2">
      <c r="A1103" s="859">
        <f t="shared" si="17"/>
        <v>1102</v>
      </c>
      <c r="B1103" s="845" t="s">
        <v>2552</v>
      </c>
      <c r="D1103" s="862"/>
      <c r="H1103" s="845" t="s">
        <v>1010</v>
      </c>
    </row>
    <row r="1104" spans="1:10" x14ac:dyDescent="0.2">
      <c r="A1104" s="859">
        <f t="shared" si="17"/>
        <v>1103</v>
      </c>
      <c r="B1104" s="845" t="s">
        <v>2552</v>
      </c>
      <c r="D1104" s="862"/>
      <c r="H1104" s="845" t="s">
        <v>1007</v>
      </c>
    </row>
    <row r="1105" spans="1:10" x14ac:dyDescent="0.2">
      <c r="A1105" s="859">
        <f t="shared" si="17"/>
        <v>1104</v>
      </c>
      <c r="B1105" s="845" t="s">
        <v>2552</v>
      </c>
      <c r="D1105" s="861"/>
      <c r="I1105" s="845" t="s">
        <v>1008</v>
      </c>
    </row>
    <row r="1106" spans="1:10" x14ac:dyDescent="0.2">
      <c r="A1106" s="859">
        <f t="shared" si="17"/>
        <v>1105</v>
      </c>
      <c r="B1106" s="845" t="s">
        <v>2552</v>
      </c>
      <c r="D1106" s="861"/>
      <c r="J1106" s="845" t="s">
        <v>1204</v>
      </c>
    </row>
    <row r="1107" spans="1:10" x14ac:dyDescent="0.2">
      <c r="A1107" s="859">
        <f t="shared" si="17"/>
        <v>1106</v>
      </c>
      <c r="B1107" s="845" t="s">
        <v>2552</v>
      </c>
      <c r="D1107" s="862"/>
      <c r="I1107" s="845" t="s">
        <v>1009</v>
      </c>
    </row>
    <row r="1108" spans="1:10" x14ac:dyDescent="0.2">
      <c r="A1108" s="859">
        <f t="shared" si="17"/>
        <v>1107</v>
      </c>
      <c r="B1108" s="845" t="s">
        <v>2552</v>
      </c>
      <c r="D1108" s="863"/>
      <c r="I1108" s="845" t="str">
        <f>CONCATENATE("&lt;valeur&gt;",Cellule_310,"&lt;/valeur&gt;")</f>
        <v>&lt;valeur&gt;0&lt;/valeur&gt;</v>
      </c>
    </row>
    <row r="1109" spans="1:10" x14ac:dyDescent="0.2">
      <c r="A1109" s="859">
        <f t="shared" si="17"/>
        <v>1108</v>
      </c>
      <c r="B1109" s="845" t="s">
        <v>2552</v>
      </c>
      <c r="D1109" s="862"/>
      <c r="H1109" s="845" t="s">
        <v>1010</v>
      </c>
    </row>
    <row r="1110" spans="1:10" x14ac:dyDescent="0.2">
      <c r="A1110" s="859">
        <f t="shared" si="17"/>
        <v>1109</v>
      </c>
      <c r="B1110" s="845" t="s">
        <v>2552</v>
      </c>
      <c r="D1110" s="862"/>
      <c r="H1110" s="845" t="s">
        <v>1007</v>
      </c>
    </row>
    <row r="1111" spans="1:10" x14ac:dyDescent="0.2">
      <c r="A1111" s="859">
        <f t="shared" si="17"/>
        <v>1110</v>
      </c>
      <c r="B1111" s="845" t="s">
        <v>2552</v>
      </c>
      <c r="D1111" s="861"/>
      <c r="I1111" s="845" t="s">
        <v>1008</v>
      </c>
    </row>
    <row r="1112" spans="1:10" x14ac:dyDescent="0.2">
      <c r="A1112" s="859">
        <f t="shared" si="17"/>
        <v>1111</v>
      </c>
      <c r="B1112" s="845" t="s">
        <v>2552</v>
      </c>
      <c r="D1112" s="861"/>
      <c r="J1112" s="845" t="s">
        <v>1205</v>
      </c>
    </row>
    <row r="1113" spans="1:10" x14ac:dyDescent="0.2">
      <c r="A1113" s="859">
        <f t="shared" si="17"/>
        <v>1112</v>
      </c>
      <c r="B1113" s="845" t="s">
        <v>2552</v>
      </c>
      <c r="D1113" s="862"/>
      <c r="I1113" s="845" t="s">
        <v>1009</v>
      </c>
    </row>
    <row r="1114" spans="1:10" x14ac:dyDescent="0.2">
      <c r="A1114" s="859">
        <f t="shared" si="17"/>
        <v>1113</v>
      </c>
      <c r="B1114" s="845" t="s">
        <v>2552</v>
      </c>
      <c r="D1114" s="863"/>
      <c r="I1114" s="845" t="str">
        <f>CONCATENATE("&lt;valeur&gt;",Cellule_311,"&lt;/valeur&gt;")</f>
        <v>&lt;valeur&gt;0&lt;/valeur&gt;</v>
      </c>
    </row>
    <row r="1115" spans="1:10" x14ac:dyDescent="0.2">
      <c r="A1115" s="859">
        <f t="shared" si="17"/>
        <v>1114</v>
      </c>
      <c r="B1115" s="845" t="s">
        <v>2552</v>
      </c>
      <c r="D1115" s="862"/>
      <c r="H1115" s="845" t="s">
        <v>1010</v>
      </c>
    </row>
    <row r="1116" spans="1:10" x14ac:dyDescent="0.2">
      <c r="A1116" s="859">
        <f t="shared" si="17"/>
        <v>1115</v>
      </c>
      <c r="B1116" s="845" t="s">
        <v>2552</v>
      </c>
      <c r="D1116" s="862"/>
      <c r="H1116" s="845" t="s">
        <v>1007</v>
      </c>
    </row>
    <row r="1117" spans="1:10" x14ac:dyDescent="0.2">
      <c r="A1117" s="859">
        <f t="shared" si="17"/>
        <v>1116</v>
      </c>
      <c r="B1117" s="845" t="s">
        <v>2552</v>
      </c>
      <c r="D1117" s="861"/>
      <c r="I1117" s="845" t="s">
        <v>1008</v>
      </c>
    </row>
    <row r="1118" spans="1:10" x14ac:dyDescent="0.2">
      <c r="A1118" s="859">
        <f t="shared" si="17"/>
        <v>1117</v>
      </c>
      <c r="B1118" s="845" t="s">
        <v>2552</v>
      </c>
      <c r="D1118" s="861"/>
      <c r="J1118" s="845" t="s">
        <v>1206</v>
      </c>
    </row>
    <row r="1119" spans="1:10" x14ac:dyDescent="0.2">
      <c r="A1119" s="859">
        <f t="shared" si="17"/>
        <v>1118</v>
      </c>
      <c r="B1119" s="845" t="s">
        <v>2552</v>
      </c>
      <c r="D1119" s="862"/>
      <c r="I1119" s="845" t="s">
        <v>1009</v>
      </c>
    </row>
    <row r="1120" spans="1:10" x14ac:dyDescent="0.2">
      <c r="A1120" s="859">
        <f t="shared" si="17"/>
        <v>1119</v>
      </c>
      <c r="B1120" s="845" t="s">
        <v>2552</v>
      </c>
      <c r="D1120" s="863"/>
      <c r="I1120" s="845" t="str">
        <f>CONCATENATE("&lt;valeur&gt;",Cellule_534,"&lt;/valeur&gt;")</f>
        <v>&lt;valeur&gt;0&lt;/valeur&gt;</v>
      </c>
    </row>
    <row r="1121" spans="1:10" x14ac:dyDescent="0.2">
      <c r="A1121" s="859">
        <f t="shared" si="17"/>
        <v>1120</v>
      </c>
      <c r="B1121" s="845" t="s">
        <v>2552</v>
      </c>
      <c r="D1121" s="862"/>
      <c r="H1121" s="845" t="s">
        <v>1010</v>
      </c>
    </row>
    <row r="1122" spans="1:10" x14ac:dyDescent="0.2">
      <c r="A1122" s="859">
        <f t="shared" si="17"/>
        <v>1121</v>
      </c>
      <c r="B1122" s="845" t="s">
        <v>2552</v>
      </c>
      <c r="D1122" s="862"/>
      <c r="H1122" s="845" t="s">
        <v>1007</v>
      </c>
    </row>
    <row r="1123" spans="1:10" x14ac:dyDescent="0.2">
      <c r="A1123" s="859">
        <f t="shared" si="17"/>
        <v>1122</v>
      </c>
      <c r="B1123" s="845" t="s">
        <v>2552</v>
      </c>
      <c r="D1123" s="861"/>
      <c r="I1123" s="845" t="s">
        <v>1008</v>
      </c>
    </row>
    <row r="1124" spans="1:10" x14ac:dyDescent="0.2">
      <c r="A1124" s="859">
        <f t="shared" si="17"/>
        <v>1123</v>
      </c>
      <c r="B1124" s="845" t="s">
        <v>2552</v>
      </c>
      <c r="D1124" s="861"/>
      <c r="J1124" s="845" t="s">
        <v>1207</v>
      </c>
    </row>
    <row r="1125" spans="1:10" x14ac:dyDescent="0.2">
      <c r="A1125" s="859">
        <f t="shared" si="17"/>
        <v>1124</v>
      </c>
      <c r="B1125" s="845" t="s">
        <v>2552</v>
      </c>
      <c r="D1125" s="862"/>
      <c r="I1125" s="845" t="s">
        <v>1009</v>
      </c>
    </row>
    <row r="1126" spans="1:10" x14ac:dyDescent="0.2">
      <c r="A1126" s="859">
        <f t="shared" si="17"/>
        <v>1125</v>
      </c>
      <c r="B1126" s="845" t="s">
        <v>2552</v>
      </c>
      <c r="D1126" s="863"/>
      <c r="I1126" s="845" t="str">
        <f>CONCATENATE("&lt;valeur&gt;",Cellule_312,"&lt;/valeur&gt;")</f>
        <v>&lt;valeur&gt;0&lt;/valeur&gt;</v>
      </c>
    </row>
    <row r="1127" spans="1:10" x14ac:dyDescent="0.2">
      <c r="A1127" s="859">
        <f t="shared" si="17"/>
        <v>1126</v>
      </c>
      <c r="B1127" s="845" t="s">
        <v>2552</v>
      </c>
      <c r="D1127" s="862"/>
      <c r="H1127" s="845" t="s">
        <v>1010</v>
      </c>
    </row>
    <row r="1128" spans="1:10" x14ac:dyDescent="0.2">
      <c r="A1128" s="859">
        <f t="shared" si="17"/>
        <v>1127</v>
      </c>
      <c r="B1128" s="845" t="s">
        <v>2552</v>
      </c>
      <c r="D1128" s="862"/>
      <c r="H1128" s="845" t="s">
        <v>1007</v>
      </c>
    </row>
    <row r="1129" spans="1:10" x14ac:dyDescent="0.2">
      <c r="A1129" s="859">
        <f t="shared" si="17"/>
        <v>1128</v>
      </c>
      <c r="B1129" s="845" t="s">
        <v>2552</v>
      </c>
      <c r="D1129" s="861"/>
      <c r="I1129" s="845" t="s">
        <v>1008</v>
      </c>
    </row>
    <row r="1130" spans="1:10" x14ac:dyDescent="0.2">
      <c r="A1130" s="859">
        <f t="shared" si="17"/>
        <v>1129</v>
      </c>
      <c r="B1130" s="845" t="s">
        <v>2552</v>
      </c>
      <c r="D1130" s="861"/>
      <c r="J1130" s="845" t="s">
        <v>1208</v>
      </c>
    </row>
    <row r="1131" spans="1:10" x14ac:dyDescent="0.2">
      <c r="A1131" s="859">
        <f t="shared" si="17"/>
        <v>1130</v>
      </c>
      <c r="B1131" s="845" t="s">
        <v>2552</v>
      </c>
      <c r="D1131" s="862"/>
      <c r="I1131" s="845" t="s">
        <v>1009</v>
      </c>
    </row>
    <row r="1132" spans="1:10" x14ac:dyDescent="0.2">
      <c r="A1132" s="859">
        <f t="shared" si="17"/>
        <v>1131</v>
      </c>
      <c r="B1132" s="845" t="s">
        <v>2552</v>
      </c>
      <c r="D1132" s="863"/>
      <c r="I1132" s="845" t="str">
        <f>CONCATENATE("&lt;valeur&gt;",Cellule_313,"&lt;/valeur&gt;")</f>
        <v>&lt;valeur&gt;0&lt;/valeur&gt;</v>
      </c>
    </row>
    <row r="1133" spans="1:10" x14ac:dyDescent="0.2">
      <c r="A1133" s="859">
        <f t="shared" si="17"/>
        <v>1132</v>
      </c>
      <c r="B1133" s="845" t="s">
        <v>2552</v>
      </c>
      <c r="D1133" s="862"/>
      <c r="H1133" s="845" t="s">
        <v>1010</v>
      </c>
    </row>
    <row r="1134" spans="1:10" x14ac:dyDescent="0.2">
      <c r="A1134" s="859">
        <f t="shared" si="17"/>
        <v>1133</v>
      </c>
      <c r="B1134" s="845" t="s">
        <v>2552</v>
      </c>
      <c r="D1134" s="862"/>
      <c r="H1134" s="845" t="s">
        <v>1007</v>
      </c>
    </row>
    <row r="1135" spans="1:10" x14ac:dyDescent="0.2">
      <c r="A1135" s="859">
        <f t="shared" si="17"/>
        <v>1134</v>
      </c>
      <c r="B1135" s="845" t="s">
        <v>2552</v>
      </c>
      <c r="D1135" s="861"/>
      <c r="I1135" s="845" t="s">
        <v>1008</v>
      </c>
    </row>
    <row r="1136" spans="1:10" x14ac:dyDescent="0.2">
      <c r="A1136" s="859">
        <f t="shared" si="17"/>
        <v>1135</v>
      </c>
      <c r="B1136" s="845" t="s">
        <v>2552</v>
      </c>
      <c r="D1136" s="861"/>
      <c r="J1136" s="845" t="s">
        <v>1209</v>
      </c>
    </row>
    <row r="1137" spans="1:10" x14ac:dyDescent="0.2">
      <c r="A1137" s="859">
        <f t="shared" si="17"/>
        <v>1136</v>
      </c>
      <c r="B1137" s="845" t="s">
        <v>2552</v>
      </c>
      <c r="D1137" s="862"/>
      <c r="I1137" s="845" t="s">
        <v>1009</v>
      </c>
    </row>
    <row r="1138" spans="1:10" x14ac:dyDescent="0.2">
      <c r="A1138" s="859">
        <f t="shared" si="17"/>
        <v>1137</v>
      </c>
      <c r="B1138" s="845" t="s">
        <v>2552</v>
      </c>
      <c r="D1138" s="863"/>
      <c r="I1138" s="845" t="str">
        <f>CONCATENATE("&lt;valeur&gt;",Cellule_314,"&lt;/valeur&gt;")</f>
        <v>&lt;valeur&gt;0&lt;/valeur&gt;</v>
      </c>
    </row>
    <row r="1139" spans="1:10" x14ac:dyDescent="0.2">
      <c r="A1139" s="859">
        <f t="shared" si="17"/>
        <v>1138</v>
      </c>
      <c r="B1139" s="845" t="s">
        <v>2552</v>
      </c>
      <c r="D1139" s="862"/>
      <c r="H1139" s="845" t="s">
        <v>1010</v>
      </c>
    </row>
    <row r="1140" spans="1:10" x14ac:dyDescent="0.2">
      <c r="A1140" s="859">
        <f t="shared" si="17"/>
        <v>1139</v>
      </c>
      <c r="B1140" s="845" t="s">
        <v>2552</v>
      </c>
      <c r="D1140" s="862"/>
      <c r="H1140" s="845" t="s">
        <v>1007</v>
      </c>
    </row>
    <row r="1141" spans="1:10" x14ac:dyDescent="0.2">
      <c r="A1141" s="859">
        <f t="shared" si="17"/>
        <v>1140</v>
      </c>
      <c r="B1141" s="845" t="s">
        <v>2552</v>
      </c>
      <c r="D1141" s="861"/>
      <c r="I1141" s="845" t="s">
        <v>1008</v>
      </c>
    </row>
    <row r="1142" spans="1:10" x14ac:dyDescent="0.2">
      <c r="A1142" s="859">
        <f t="shared" si="17"/>
        <v>1141</v>
      </c>
      <c r="B1142" s="845" t="s">
        <v>2552</v>
      </c>
      <c r="D1142" s="861"/>
      <c r="J1142" s="845" t="s">
        <v>1210</v>
      </c>
    </row>
    <row r="1143" spans="1:10" x14ac:dyDescent="0.2">
      <c r="A1143" s="859">
        <f t="shared" si="17"/>
        <v>1142</v>
      </c>
      <c r="B1143" s="845" t="s">
        <v>2552</v>
      </c>
      <c r="D1143" s="862"/>
      <c r="I1143" s="845" t="s">
        <v>1009</v>
      </c>
    </row>
    <row r="1144" spans="1:10" x14ac:dyDescent="0.2">
      <c r="A1144" s="859">
        <f t="shared" si="17"/>
        <v>1143</v>
      </c>
      <c r="B1144" s="845" t="s">
        <v>2552</v>
      </c>
      <c r="D1144" s="863"/>
      <c r="I1144" s="845" t="str">
        <f>CONCATENATE("&lt;valeur&gt;",Cellule_535,"&lt;/valeur&gt;")</f>
        <v>&lt;valeur&gt;0&lt;/valeur&gt;</v>
      </c>
    </row>
    <row r="1145" spans="1:10" x14ac:dyDescent="0.2">
      <c r="A1145" s="859">
        <f t="shared" si="17"/>
        <v>1144</v>
      </c>
      <c r="B1145" s="845" t="s">
        <v>2552</v>
      </c>
      <c r="D1145" s="862"/>
      <c r="H1145" s="845" t="s">
        <v>1010</v>
      </c>
    </row>
    <row r="1146" spans="1:10" x14ac:dyDescent="0.2">
      <c r="A1146" s="859">
        <f t="shared" si="17"/>
        <v>1145</v>
      </c>
      <c r="B1146" s="845" t="s">
        <v>2552</v>
      </c>
      <c r="D1146" s="862"/>
      <c r="H1146" s="845" t="s">
        <v>1007</v>
      </c>
    </row>
    <row r="1147" spans="1:10" x14ac:dyDescent="0.2">
      <c r="A1147" s="859">
        <f t="shared" si="17"/>
        <v>1146</v>
      </c>
      <c r="B1147" s="845" t="s">
        <v>2552</v>
      </c>
      <c r="D1147" s="861"/>
      <c r="I1147" s="845" t="s">
        <v>1008</v>
      </c>
    </row>
    <row r="1148" spans="1:10" x14ac:dyDescent="0.2">
      <c r="A1148" s="859">
        <f t="shared" si="17"/>
        <v>1147</v>
      </c>
      <c r="B1148" s="845" t="s">
        <v>2552</v>
      </c>
      <c r="D1148" s="861"/>
      <c r="J1148" s="845" t="s">
        <v>1211</v>
      </c>
    </row>
    <row r="1149" spans="1:10" x14ac:dyDescent="0.2">
      <c r="A1149" s="859">
        <f t="shared" si="17"/>
        <v>1148</v>
      </c>
      <c r="B1149" s="845" t="s">
        <v>2552</v>
      </c>
      <c r="D1149" s="862"/>
      <c r="I1149" s="845" t="s">
        <v>1009</v>
      </c>
    </row>
    <row r="1150" spans="1:10" x14ac:dyDescent="0.2">
      <c r="A1150" s="859">
        <f t="shared" si="17"/>
        <v>1149</v>
      </c>
      <c r="B1150" s="845" t="s">
        <v>2552</v>
      </c>
      <c r="D1150" s="863"/>
      <c r="I1150" s="845" t="str">
        <f>CONCATENATE("&lt;valeur&gt;",Cellule_316,"&lt;/valeur&gt;")</f>
        <v>&lt;valeur&gt;0&lt;/valeur&gt;</v>
      </c>
    </row>
    <row r="1151" spans="1:10" x14ac:dyDescent="0.2">
      <c r="A1151" s="859">
        <f t="shared" si="17"/>
        <v>1150</v>
      </c>
      <c r="B1151" s="845" t="s">
        <v>2552</v>
      </c>
      <c r="D1151" s="862"/>
      <c r="H1151" s="845" t="s">
        <v>1010</v>
      </c>
    </row>
    <row r="1152" spans="1:10" x14ac:dyDescent="0.2">
      <c r="A1152" s="859">
        <f t="shared" si="17"/>
        <v>1151</v>
      </c>
      <c r="B1152" s="845" t="s">
        <v>2552</v>
      </c>
      <c r="D1152" s="862"/>
      <c r="H1152" s="845" t="s">
        <v>1007</v>
      </c>
    </row>
    <row r="1153" spans="1:10" x14ac:dyDescent="0.2">
      <c r="A1153" s="859">
        <f t="shared" si="17"/>
        <v>1152</v>
      </c>
      <c r="B1153" s="845" t="s">
        <v>2552</v>
      </c>
      <c r="D1153" s="861"/>
      <c r="I1153" s="845" t="s">
        <v>1008</v>
      </c>
    </row>
    <row r="1154" spans="1:10" x14ac:dyDescent="0.2">
      <c r="A1154" s="859">
        <f t="shared" si="17"/>
        <v>1153</v>
      </c>
      <c r="B1154" s="845" t="s">
        <v>2552</v>
      </c>
      <c r="D1154" s="861"/>
      <c r="J1154" s="845" t="s">
        <v>1212</v>
      </c>
    </row>
    <row r="1155" spans="1:10" x14ac:dyDescent="0.2">
      <c r="A1155" s="859">
        <f t="shared" si="17"/>
        <v>1154</v>
      </c>
      <c r="B1155" s="845" t="s">
        <v>2552</v>
      </c>
      <c r="D1155" s="862"/>
      <c r="I1155" s="845" t="s">
        <v>1009</v>
      </c>
    </row>
    <row r="1156" spans="1:10" x14ac:dyDescent="0.2">
      <c r="A1156" s="859">
        <f t="shared" ref="A1156:A1219" si="18">+A1155+1</f>
        <v>1155</v>
      </c>
      <c r="B1156" s="845" t="s">
        <v>2552</v>
      </c>
      <c r="D1156" s="863"/>
      <c r="I1156" s="845" t="str">
        <f>CONCATENATE("&lt;valeur&gt;",Cellule_317,"&lt;/valeur&gt;")</f>
        <v>&lt;valeur&gt;0&lt;/valeur&gt;</v>
      </c>
    </row>
    <row r="1157" spans="1:10" x14ac:dyDescent="0.2">
      <c r="A1157" s="859">
        <f t="shared" si="18"/>
        <v>1156</v>
      </c>
      <c r="B1157" s="845" t="s">
        <v>2552</v>
      </c>
      <c r="D1157" s="862"/>
      <c r="H1157" s="845" t="s">
        <v>1010</v>
      </c>
    </row>
    <row r="1158" spans="1:10" x14ac:dyDescent="0.2">
      <c r="A1158" s="859">
        <f t="shared" si="18"/>
        <v>1157</v>
      </c>
      <c r="B1158" s="845" t="s">
        <v>2552</v>
      </c>
      <c r="D1158" s="862"/>
      <c r="H1158" s="845" t="s">
        <v>1007</v>
      </c>
    </row>
    <row r="1159" spans="1:10" x14ac:dyDescent="0.2">
      <c r="A1159" s="859">
        <f t="shared" si="18"/>
        <v>1158</v>
      </c>
      <c r="B1159" s="845" t="s">
        <v>2552</v>
      </c>
      <c r="D1159" s="861"/>
      <c r="I1159" s="845" t="s">
        <v>1008</v>
      </c>
    </row>
    <row r="1160" spans="1:10" x14ac:dyDescent="0.2">
      <c r="A1160" s="859">
        <f t="shared" si="18"/>
        <v>1159</v>
      </c>
      <c r="B1160" s="845" t="s">
        <v>2552</v>
      </c>
      <c r="D1160" s="861"/>
      <c r="J1160" s="845" t="s">
        <v>1213</v>
      </c>
    </row>
    <row r="1161" spans="1:10" x14ac:dyDescent="0.2">
      <c r="A1161" s="859">
        <f t="shared" si="18"/>
        <v>1160</v>
      </c>
      <c r="B1161" s="845" t="s">
        <v>2552</v>
      </c>
      <c r="D1161" s="862"/>
      <c r="I1161" s="845" t="s">
        <v>1009</v>
      </c>
    </row>
    <row r="1162" spans="1:10" x14ac:dyDescent="0.2">
      <c r="A1162" s="859">
        <f t="shared" si="18"/>
        <v>1161</v>
      </c>
      <c r="B1162" s="845" t="s">
        <v>2552</v>
      </c>
      <c r="D1162" s="863"/>
      <c r="I1162" s="845" t="str">
        <f>CONCATENATE("&lt;valeur&gt;",Cellule_318,"&lt;/valeur&gt;")</f>
        <v>&lt;valeur&gt;0&lt;/valeur&gt;</v>
      </c>
    </row>
    <row r="1163" spans="1:10" x14ac:dyDescent="0.2">
      <c r="A1163" s="859">
        <f t="shared" si="18"/>
        <v>1162</v>
      </c>
      <c r="B1163" s="845" t="s">
        <v>2552</v>
      </c>
      <c r="D1163" s="862"/>
      <c r="H1163" s="845" t="s">
        <v>1010</v>
      </c>
    </row>
    <row r="1164" spans="1:10" x14ac:dyDescent="0.2">
      <c r="A1164" s="859">
        <f t="shared" si="18"/>
        <v>1163</v>
      </c>
      <c r="B1164" s="845" t="s">
        <v>2552</v>
      </c>
      <c r="D1164" s="862"/>
      <c r="H1164" s="845" t="s">
        <v>1007</v>
      </c>
    </row>
    <row r="1165" spans="1:10" x14ac:dyDescent="0.2">
      <c r="A1165" s="859">
        <f t="shared" si="18"/>
        <v>1164</v>
      </c>
      <c r="B1165" s="845" t="s">
        <v>2552</v>
      </c>
      <c r="D1165" s="861"/>
      <c r="I1165" s="845" t="s">
        <v>1008</v>
      </c>
    </row>
    <row r="1166" spans="1:10" x14ac:dyDescent="0.2">
      <c r="A1166" s="859">
        <f t="shared" si="18"/>
        <v>1165</v>
      </c>
      <c r="B1166" s="845" t="s">
        <v>2552</v>
      </c>
      <c r="D1166" s="861"/>
      <c r="J1166" s="845" t="s">
        <v>1214</v>
      </c>
    </row>
    <row r="1167" spans="1:10" x14ac:dyDescent="0.2">
      <c r="A1167" s="859">
        <f t="shared" si="18"/>
        <v>1166</v>
      </c>
      <c r="B1167" s="845" t="s">
        <v>2552</v>
      </c>
      <c r="D1167" s="862"/>
      <c r="I1167" s="845" t="s">
        <v>1009</v>
      </c>
    </row>
    <row r="1168" spans="1:10" x14ac:dyDescent="0.2">
      <c r="A1168" s="859">
        <f t="shared" si="18"/>
        <v>1167</v>
      </c>
      <c r="B1168" s="845" t="s">
        <v>2552</v>
      </c>
      <c r="D1168" s="863"/>
      <c r="I1168" s="845" t="str">
        <f>CONCATENATE("&lt;valeur&gt;",Cellule_319,"&lt;/valeur&gt;")</f>
        <v>&lt;valeur&gt;0&lt;/valeur&gt;</v>
      </c>
    </row>
    <row r="1169" spans="1:10" x14ac:dyDescent="0.2">
      <c r="A1169" s="859">
        <f t="shared" si="18"/>
        <v>1168</v>
      </c>
      <c r="B1169" s="845" t="s">
        <v>2552</v>
      </c>
      <c r="D1169" s="862"/>
      <c r="H1169" s="845" t="s">
        <v>1010</v>
      </c>
    </row>
    <row r="1170" spans="1:10" x14ac:dyDescent="0.2">
      <c r="A1170" s="859">
        <f t="shared" si="18"/>
        <v>1169</v>
      </c>
      <c r="B1170" s="845" t="s">
        <v>2552</v>
      </c>
      <c r="D1170" s="862"/>
      <c r="H1170" s="845" t="s">
        <v>1007</v>
      </c>
    </row>
    <row r="1171" spans="1:10" x14ac:dyDescent="0.2">
      <c r="A1171" s="859">
        <f t="shared" si="18"/>
        <v>1170</v>
      </c>
      <c r="B1171" s="845" t="s">
        <v>2552</v>
      </c>
      <c r="D1171" s="861"/>
      <c r="I1171" s="845" t="s">
        <v>1008</v>
      </c>
    </row>
    <row r="1172" spans="1:10" x14ac:dyDescent="0.2">
      <c r="A1172" s="859">
        <f t="shared" si="18"/>
        <v>1171</v>
      </c>
      <c r="B1172" s="845" t="s">
        <v>2552</v>
      </c>
      <c r="D1172" s="861"/>
      <c r="J1172" s="845" t="s">
        <v>1215</v>
      </c>
    </row>
    <row r="1173" spans="1:10" x14ac:dyDescent="0.2">
      <c r="A1173" s="859">
        <f t="shared" si="18"/>
        <v>1172</v>
      </c>
      <c r="B1173" s="845" t="s">
        <v>2552</v>
      </c>
      <c r="D1173" s="862"/>
      <c r="I1173" s="845" t="s">
        <v>1009</v>
      </c>
    </row>
    <row r="1174" spans="1:10" x14ac:dyDescent="0.2">
      <c r="A1174" s="859">
        <f t="shared" si="18"/>
        <v>1173</v>
      </c>
      <c r="B1174" s="845" t="s">
        <v>2552</v>
      </c>
      <c r="D1174" s="863"/>
      <c r="I1174" s="845" t="str">
        <f>CONCATENATE("&lt;valeur&gt;",Cellule_186,"&lt;/valeur&gt;")</f>
        <v>&lt;valeur&gt;0&lt;/valeur&gt;</v>
      </c>
    </row>
    <row r="1175" spans="1:10" x14ac:dyDescent="0.2">
      <c r="A1175" s="859">
        <f t="shared" si="18"/>
        <v>1174</v>
      </c>
      <c r="B1175" s="845" t="s">
        <v>2552</v>
      </c>
      <c r="D1175" s="862"/>
      <c r="H1175" s="845" t="s">
        <v>1010</v>
      </c>
    </row>
    <row r="1176" spans="1:10" x14ac:dyDescent="0.2">
      <c r="A1176" s="859">
        <f t="shared" si="18"/>
        <v>1175</v>
      </c>
      <c r="B1176" s="845" t="s">
        <v>2552</v>
      </c>
      <c r="D1176" s="862"/>
      <c r="H1176" s="845" t="s">
        <v>1007</v>
      </c>
    </row>
    <row r="1177" spans="1:10" x14ac:dyDescent="0.2">
      <c r="A1177" s="859">
        <f t="shared" si="18"/>
        <v>1176</v>
      </c>
      <c r="B1177" s="845" t="s">
        <v>2552</v>
      </c>
      <c r="D1177" s="861"/>
      <c r="I1177" s="845" t="s">
        <v>1008</v>
      </c>
    </row>
    <row r="1178" spans="1:10" x14ac:dyDescent="0.2">
      <c r="A1178" s="859">
        <f t="shared" si="18"/>
        <v>1177</v>
      </c>
      <c r="B1178" s="845" t="s">
        <v>2552</v>
      </c>
      <c r="D1178" s="861"/>
      <c r="J1178" s="845" t="s">
        <v>1216</v>
      </c>
    </row>
    <row r="1179" spans="1:10" x14ac:dyDescent="0.2">
      <c r="A1179" s="859">
        <f t="shared" si="18"/>
        <v>1178</v>
      </c>
      <c r="B1179" s="845" t="s">
        <v>2552</v>
      </c>
      <c r="D1179" s="862"/>
      <c r="I1179" s="845" t="s">
        <v>1009</v>
      </c>
    </row>
    <row r="1180" spans="1:10" x14ac:dyDescent="0.2">
      <c r="A1180" s="859">
        <f t="shared" si="18"/>
        <v>1179</v>
      </c>
      <c r="B1180" s="845" t="s">
        <v>2552</v>
      </c>
      <c r="D1180" s="863"/>
      <c r="I1180" s="845" t="str">
        <f>CONCATENATE("&lt;valeur&gt;",Cellule_187,"&lt;/valeur&gt;")</f>
        <v>&lt;valeur&gt;0&lt;/valeur&gt;</v>
      </c>
    </row>
    <row r="1181" spans="1:10" x14ac:dyDescent="0.2">
      <c r="A1181" s="859">
        <f t="shared" si="18"/>
        <v>1180</v>
      </c>
      <c r="B1181" s="845" t="s">
        <v>2552</v>
      </c>
      <c r="D1181" s="862"/>
      <c r="H1181" s="845" t="s">
        <v>1010</v>
      </c>
    </row>
    <row r="1182" spans="1:10" x14ac:dyDescent="0.2">
      <c r="A1182" s="859">
        <f t="shared" si="18"/>
        <v>1181</v>
      </c>
      <c r="B1182" s="845" t="s">
        <v>2552</v>
      </c>
      <c r="D1182" s="862"/>
      <c r="H1182" s="845" t="s">
        <v>1007</v>
      </c>
    </row>
    <row r="1183" spans="1:10" x14ac:dyDescent="0.2">
      <c r="A1183" s="859">
        <f t="shared" si="18"/>
        <v>1182</v>
      </c>
      <c r="B1183" s="845" t="s">
        <v>2552</v>
      </c>
      <c r="D1183" s="861"/>
      <c r="I1183" s="845" t="s">
        <v>1008</v>
      </c>
    </row>
    <row r="1184" spans="1:10" x14ac:dyDescent="0.2">
      <c r="A1184" s="859">
        <f t="shared" si="18"/>
        <v>1183</v>
      </c>
      <c r="B1184" s="845" t="s">
        <v>2552</v>
      </c>
      <c r="D1184" s="861"/>
      <c r="J1184" s="845" t="s">
        <v>1217</v>
      </c>
    </row>
    <row r="1185" spans="1:10" x14ac:dyDescent="0.2">
      <c r="A1185" s="859">
        <f t="shared" si="18"/>
        <v>1184</v>
      </c>
      <c r="B1185" s="845" t="s">
        <v>2552</v>
      </c>
      <c r="D1185" s="862"/>
      <c r="I1185" s="845" t="s">
        <v>1009</v>
      </c>
    </row>
    <row r="1186" spans="1:10" x14ac:dyDescent="0.2">
      <c r="A1186" s="859">
        <f t="shared" si="18"/>
        <v>1185</v>
      </c>
      <c r="B1186" s="845" t="s">
        <v>2552</v>
      </c>
      <c r="D1186" s="863"/>
      <c r="I1186" s="845" t="str">
        <f>CONCATENATE("&lt;valeur&gt;",Cellule_188,"&lt;/valeur&gt;")</f>
        <v>&lt;valeur&gt;0&lt;/valeur&gt;</v>
      </c>
    </row>
    <row r="1187" spans="1:10" x14ac:dyDescent="0.2">
      <c r="A1187" s="859">
        <f t="shared" si="18"/>
        <v>1186</v>
      </c>
      <c r="B1187" s="845" t="s">
        <v>2552</v>
      </c>
      <c r="D1187" s="862"/>
      <c r="H1187" s="845" t="s">
        <v>1010</v>
      </c>
    </row>
    <row r="1188" spans="1:10" x14ac:dyDescent="0.2">
      <c r="A1188" s="859">
        <f t="shared" si="18"/>
        <v>1187</v>
      </c>
      <c r="B1188" s="845" t="s">
        <v>2552</v>
      </c>
      <c r="D1188" s="862"/>
      <c r="H1188" s="845" t="s">
        <v>1007</v>
      </c>
    </row>
    <row r="1189" spans="1:10" x14ac:dyDescent="0.2">
      <c r="A1189" s="859">
        <f t="shared" si="18"/>
        <v>1188</v>
      </c>
      <c r="B1189" s="845" t="s">
        <v>2552</v>
      </c>
      <c r="D1189" s="861"/>
      <c r="I1189" s="845" t="s">
        <v>1008</v>
      </c>
    </row>
    <row r="1190" spans="1:10" x14ac:dyDescent="0.2">
      <c r="A1190" s="859">
        <f t="shared" si="18"/>
        <v>1189</v>
      </c>
      <c r="B1190" s="845" t="s">
        <v>2552</v>
      </c>
      <c r="D1190" s="860"/>
      <c r="J1190" s="845" t="s">
        <v>1218</v>
      </c>
    </row>
    <row r="1191" spans="1:10" x14ac:dyDescent="0.2">
      <c r="A1191" s="859">
        <f t="shared" si="18"/>
        <v>1190</v>
      </c>
      <c r="B1191" s="845" t="s">
        <v>2552</v>
      </c>
      <c r="D1191" s="860"/>
      <c r="I1191" s="845" t="s">
        <v>1009</v>
      </c>
    </row>
    <row r="1192" spans="1:10" x14ac:dyDescent="0.2">
      <c r="A1192" s="859">
        <f t="shared" si="18"/>
        <v>1191</v>
      </c>
      <c r="B1192" s="845" t="s">
        <v>2552</v>
      </c>
      <c r="D1192" s="857"/>
      <c r="I1192" s="845" t="str">
        <f>CONCATENATE("&lt;valeur&gt;",Cellule_189,"&lt;/valeur&gt;")</f>
        <v>&lt;valeur&gt;0&lt;/valeur&gt;</v>
      </c>
    </row>
    <row r="1193" spans="1:10" x14ac:dyDescent="0.2">
      <c r="A1193" s="859">
        <f t="shared" si="18"/>
        <v>1192</v>
      </c>
      <c r="B1193" s="845" t="s">
        <v>2552</v>
      </c>
      <c r="D1193" s="857"/>
      <c r="H1193" s="845" t="s">
        <v>1010</v>
      </c>
    </row>
    <row r="1194" spans="1:10" x14ac:dyDescent="0.2">
      <c r="A1194" s="859">
        <f t="shared" si="18"/>
        <v>1193</v>
      </c>
      <c r="B1194" s="845" t="s">
        <v>2552</v>
      </c>
      <c r="D1194" s="860"/>
      <c r="G1194" s="845" t="s">
        <v>1011</v>
      </c>
    </row>
    <row r="1195" spans="1:10" x14ac:dyDescent="0.2">
      <c r="A1195" s="859">
        <f t="shared" si="18"/>
        <v>1194</v>
      </c>
      <c r="B1195" s="845" t="s">
        <v>2552</v>
      </c>
      <c r="D1195" s="860"/>
      <c r="G1195" s="845" t="s">
        <v>1012</v>
      </c>
    </row>
    <row r="1196" spans="1:10" x14ac:dyDescent="0.2">
      <c r="A1196" s="859">
        <f t="shared" si="18"/>
        <v>1195</v>
      </c>
      <c r="B1196" s="845" t="s">
        <v>2552</v>
      </c>
      <c r="D1196" s="860"/>
      <c r="G1196" s="845" t="s">
        <v>1013</v>
      </c>
    </row>
    <row r="1197" spans="1:10" x14ac:dyDescent="0.2">
      <c r="A1197" s="859">
        <f t="shared" si="18"/>
        <v>1196</v>
      </c>
      <c r="B1197" s="845" t="s">
        <v>2552</v>
      </c>
      <c r="D1197" s="861"/>
      <c r="F1197" s="845" t="s">
        <v>1014</v>
      </c>
    </row>
    <row r="1198" spans="1:10" x14ac:dyDescent="0.2">
      <c r="A1198" s="859">
        <f t="shared" si="18"/>
        <v>1197</v>
      </c>
      <c r="B1198" s="845" t="s">
        <v>2553</v>
      </c>
      <c r="D1198" s="862"/>
      <c r="F1198" s="845" t="s">
        <v>1005</v>
      </c>
    </row>
    <row r="1199" spans="1:10" x14ac:dyDescent="0.2">
      <c r="A1199" s="859">
        <f t="shared" si="18"/>
        <v>1198</v>
      </c>
      <c r="B1199" s="845" t="s">
        <v>2553</v>
      </c>
      <c r="D1199" s="863"/>
      <c r="G1199" s="845" t="s">
        <v>1219</v>
      </c>
    </row>
    <row r="1200" spans="1:10" x14ac:dyDescent="0.2">
      <c r="A1200" s="859">
        <f t="shared" si="18"/>
        <v>1199</v>
      </c>
      <c r="B1200" s="845" t="s">
        <v>2553</v>
      </c>
      <c r="D1200" s="862"/>
      <c r="G1200" s="845" t="s">
        <v>1006</v>
      </c>
    </row>
    <row r="1201" spans="1:10" x14ac:dyDescent="0.2">
      <c r="A1201" s="859">
        <f t="shared" si="18"/>
        <v>1200</v>
      </c>
      <c r="B1201" s="845" t="s">
        <v>2553</v>
      </c>
      <c r="D1201" s="862"/>
      <c r="H1201" s="845" t="s">
        <v>1007</v>
      </c>
    </row>
    <row r="1202" spans="1:10" x14ac:dyDescent="0.2">
      <c r="A1202" s="859">
        <f t="shared" si="18"/>
        <v>1201</v>
      </c>
      <c r="B1202" s="845" t="s">
        <v>2553</v>
      </c>
      <c r="D1202" s="861"/>
      <c r="I1202" s="845" t="s">
        <v>1008</v>
      </c>
    </row>
    <row r="1203" spans="1:10" x14ac:dyDescent="0.2">
      <c r="A1203" s="859">
        <f t="shared" si="18"/>
        <v>1202</v>
      </c>
      <c r="B1203" s="845" t="s">
        <v>2553</v>
      </c>
      <c r="D1203" s="861"/>
      <c r="J1203" s="845" t="s">
        <v>1220</v>
      </c>
    </row>
    <row r="1204" spans="1:10" x14ac:dyDescent="0.2">
      <c r="A1204" s="859">
        <f t="shared" si="18"/>
        <v>1203</v>
      </c>
      <c r="B1204" s="845" t="s">
        <v>2553</v>
      </c>
      <c r="D1204" s="862"/>
      <c r="I1204" s="845" t="s">
        <v>1009</v>
      </c>
    </row>
    <row r="1205" spans="1:10" x14ac:dyDescent="0.2">
      <c r="A1205" s="859">
        <f t="shared" si="18"/>
        <v>1204</v>
      </c>
      <c r="B1205" s="845" t="s">
        <v>2553</v>
      </c>
      <c r="D1205" s="863"/>
      <c r="I1205" s="845" t="str">
        <f>CONCATENATE("&lt;valeur&gt;",Cellule_13406,"&lt;/valeur&gt;")</f>
        <v>&lt;valeur&gt;0&lt;/valeur&gt;</v>
      </c>
    </row>
    <row r="1206" spans="1:10" x14ac:dyDescent="0.2">
      <c r="A1206" s="859">
        <f t="shared" si="18"/>
        <v>1205</v>
      </c>
      <c r="B1206" s="845" t="s">
        <v>2553</v>
      </c>
      <c r="D1206" s="862"/>
      <c r="H1206" s="845" t="s">
        <v>1010</v>
      </c>
    </row>
    <row r="1207" spans="1:10" x14ac:dyDescent="0.2">
      <c r="A1207" s="859">
        <f t="shared" si="18"/>
        <v>1206</v>
      </c>
      <c r="B1207" s="845" t="s">
        <v>2553</v>
      </c>
      <c r="D1207" s="862"/>
      <c r="H1207" s="845" t="s">
        <v>1007</v>
      </c>
    </row>
    <row r="1208" spans="1:10" x14ac:dyDescent="0.2">
      <c r="A1208" s="859">
        <f t="shared" si="18"/>
        <v>1207</v>
      </c>
      <c r="B1208" s="845" t="s">
        <v>2553</v>
      </c>
      <c r="D1208" s="861"/>
      <c r="I1208" s="845" t="s">
        <v>1008</v>
      </c>
    </row>
    <row r="1209" spans="1:10" x14ac:dyDescent="0.2">
      <c r="A1209" s="859">
        <f t="shared" si="18"/>
        <v>1208</v>
      </c>
      <c r="B1209" s="845" t="s">
        <v>2553</v>
      </c>
      <c r="D1209" s="861"/>
      <c r="J1209" s="845" t="s">
        <v>1221</v>
      </c>
    </row>
    <row r="1210" spans="1:10" x14ac:dyDescent="0.2">
      <c r="A1210" s="859">
        <f t="shared" si="18"/>
        <v>1209</v>
      </c>
      <c r="B1210" s="845" t="s">
        <v>2553</v>
      </c>
      <c r="D1210" s="862"/>
      <c r="I1210" s="845" t="s">
        <v>1009</v>
      </c>
    </row>
    <row r="1211" spans="1:10" x14ac:dyDescent="0.2">
      <c r="A1211" s="859">
        <f t="shared" si="18"/>
        <v>1210</v>
      </c>
      <c r="B1211" s="845" t="s">
        <v>2553</v>
      </c>
      <c r="D1211" s="863"/>
      <c r="I1211" s="845" t="str">
        <f>CONCATENATE("&lt;valeur&gt;",Cellule_13407,"&lt;/valeur&gt;")</f>
        <v>&lt;valeur&gt;0&lt;/valeur&gt;</v>
      </c>
    </row>
    <row r="1212" spans="1:10" x14ac:dyDescent="0.2">
      <c r="A1212" s="859">
        <f t="shared" si="18"/>
        <v>1211</v>
      </c>
      <c r="B1212" s="845" t="s">
        <v>2553</v>
      </c>
      <c r="D1212" s="862"/>
      <c r="H1212" s="845" t="s">
        <v>1010</v>
      </c>
    </row>
    <row r="1213" spans="1:10" x14ac:dyDescent="0.2">
      <c r="A1213" s="859">
        <f t="shared" si="18"/>
        <v>1212</v>
      </c>
      <c r="B1213" s="845" t="s">
        <v>2553</v>
      </c>
      <c r="D1213" s="862"/>
      <c r="H1213" s="845" t="s">
        <v>1007</v>
      </c>
    </row>
    <row r="1214" spans="1:10" x14ac:dyDescent="0.2">
      <c r="A1214" s="859">
        <f t="shared" si="18"/>
        <v>1213</v>
      </c>
      <c r="B1214" s="845" t="s">
        <v>2553</v>
      </c>
      <c r="D1214" s="861"/>
      <c r="I1214" s="845" t="s">
        <v>1008</v>
      </c>
    </row>
    <row r="1215" spans="1:10" x14ac:dyDescent="0.2">
      <c r="A1215" s="859">
        <f t="shared" si="18"/>
        <v>1214</v>
      </c>
      <c r="B1215" s="845" t="s">
        <v>2553</v>
      </c>
      <c r="D1215" s="861"/>
      <c r="J1215" s="845" t="s">
        <v>1222</v>
      </c>
    </row>
    <row r="1216" spans="1:10" x14ac:dyDescent="0.2">
      <c r="A1216" s="859">
        <f t="shared" si="18"/>
        <v>1215</v>
      </c>
      <c r="B1216" s="845" t="s">
        <v>2553</v>
      </c>
      <c r="D1216" s="862"/>
      <c r="I1216" s="845" t="s">
        <v>1009</v>
      </c>
    </row>
    <row r="1217" spans="1:10" x14ac:dyDescent="0.2">
      <c r="A1217" s="859">
        <f t="shared" si="18"/>
        <v>1216</v>
      </c>
      <c r="B1217" s="845" t="s">
        <v>2553</v>
      </c>
      <c r="D1217" s="863"/>
      <c r="I1217" s="845" t="str">
        <f>CONCATENATE("&lt;valeur&gt;",Cellule_13408,"&lt;/valeur&gt;")</f>
        <v>&lt;valeur&gt;0&lt;/valeur&gt;</v>
      </c>
    </row>
    <row r="1218" spans="1:10" x14ac:dyDescent="0.2">
      <c r="A1218" s="859">
        <f t="shared" si="18"/>
        <v>1217</v>
      </c>
      <c r="B1218" s="845" t="s">
        <v>2553</v>
      </c>
      <c r="D1218" s="862"/>
      <c r="H1218" s="845" t="s">
        <v>1010</v>
      </c>
    </row>
    <row r="1219" spans="1:10" x14ac:dyDescent="0.2">
      <c r="A1219" s="859">
        <f t="shared" si="18"/>
        <v>1218</v>
      </c>
      <c r="B1219" s="845" t="s">
        <v>2553</v>
      </c>
      <c r="D1219" s="862"/>
      <c r="H1219" s="845" t="s">
        <v>1007</v>
      </c>
    </row>
    <row r="1220" spans="1:10" x14ac:dyDescent="0.2">
      <c r="A1220" s="859">
        <f t="shared" ref="A1220:A1283" si="19">+A1219+1</f>
        <v>1219</v>
      </c>
      <c r="B1220" s="845" t="s">
        <v>2553</v>
      </c>
      <c r="D1220" s="861"/>
      <c r="I1220" s="845" t="s">
        <v>1008</v>
      </c>
    </row>
    <row r="1221" spans="1:10" x14ac:dyDescent="0.2">
      <c r="A1221" s="859">
        <f t="shared" si="19"/>
        <v>1220</v>
      </c>
      <c r="B1221" s="845" t="s">
        <v>2553</v>
      </c>
      <c r="D1221" s="861"/>
      <c r="J1221" s="845" t="s">
        <v>1223</v>
      </c>
    </row>
    <row r="1222" spans="1:10" x14ac:dyDescent="0.2">
      <c r="A1222" s="859">
        <f t="shared" si="19"/>
        <v>1221</v>
      </c>
      <c r="B1222" s="845" t="s">
        <v>2553</v>
      </c>
      <c r="D1222" s="862"/>
      <c r="I1222" s="845" t="s">
        <v>1009</v>
      </c>
    </row>
    <row r="1223" spans="1:10" x14ac:dyDescent="0.2">
      <c r="A1223" s="859">
        <f t="shared" si="19"/>
        <v>1222</v>
      </c>
      <c r="B1223" s="845" t="s">
        <v>2553</v>
      </c>
      <c r="D1223" s="863"/>
      <c r="I1223" s="845" t="str">
        <f>CONCATENATE("&lt;valeur&gt;",Cellule_13409,"&lt;/valeur&gt;")</f>
        <v>&lt;valeur&gt;0&lt;/valeur&gt;</v>
      </c>
    </row>
    <row r="1224" spans="1:10" x14ac:dyDescent="0.2">
      <c r="A1224" s="859">
        <f t="shared" si="19"/>
        <v>1223</v>
      </c>
      <c r="B1224" s="845" t="s">
        <v>2553</v>
      </c>
      <c r="D1224" s="862"/>
      <c r="H1224" s="845" t="s">
        <v>1010</v>
      </c>
    </row>
    <row r="1225" spans="1:10" x14ac:dyDescent="0.2">
      <c r="A1225" s="859">
        <f t="shared" si="19"/>
        <v>1224</v>
      </c>
      <c r="B1225" s="845" t="s">
        <v>2553</v>
      </c>
      <c r="D1225" s="862"/>
      <c r="H1225" s="845" t="s">
        <v>1007</v>
      </c>
    </row>
    <row r="1226" spans="1:10" x14ac:dyDescent="0.2">
      <c r="A1226" s="859">
        <f t="shared" si="19"/>
        <v>1225</v>
      </c>
      <c r="B1226" s="845" t="s">
        <v>2553</v>
      </c>
      <c r="D1226" s="861"/>
      <c r="I1226" s="845" t="s">
        <v>1008</v>
      </c>
    </row>
    <row r="1227" spans="1:10" x14ac:dyDescent="0.2">
      <c r="A1227" s="859">
        <f t="shared" si="19"/>
        <v>1226</v>
      </c>
      <c r="B1227" s="845" t="s">
        <v>2553</v>
      </c>
      <c r="D1227" s="861"/>
      <c r="J1227" s="845" t="s">
        <v>1224</v>
      </c>
    </row>
    <row r="1228" spans="1:10" x14ac:dyDescent="0.2">
      <c r="A1228" s="859">
        <f t="shared" si="19"/>
        <v>1227</v>
      </c>
      <c r="B1228" s="845" t="s">
        <v>2553</v>
      </c>
      <c r="D1228" s="862"/>
      <c r="I1228" s="845" t="s">
        <v>1009</v>
      </c>
    </row>
    <row r="1229" spans="1:10" x14ac:dyDescent="0.2">
      <c r="A1229" s="859">
        <f t="shared" si="19"/>
        <v>1228</v>
      </c>
      <c r="B1229" s="845" t="s">
        <v>2553</v>
      </c>
      <c r="D1229" s="863"/>
      <c r="I1229" s="845" t="str">
        <f>CONCATENATE("&lt;valeur&gt;",Cellule_13410,"&lt;/valeur&gt;")</f>
        <v>&lt;valeur&gt;0&lt;/valeur&gt;</v>
      </c>
    </row>
    <row r="1230" spans="1:10" x14ac:dyDescent="0.2">
      <c r="A1230" s="859">
        <f t="shared" si="19"/>
        <v>1229</v>
      </c>
      <c r="B1230" s="845" t="s">
        <v>2553</v>
      </c>
      <c r="D1230" s="862"/>
      <c r="H1230" s="845" t="s">
        <v>1010</v>
      </c>
    </row>
    <row r="1231" spans="1:10" x14ac:dyDescent="0.2">
      <c r="A1231" s="859">
        <f t="shared" si="19"/>
        <v>1230</v>
      </c>
      <c r="B1231" s="845" t="s">
        <v>2553</v>
      </c>
      <c r="D1231" s="862"/>
      <c r="H1231" s="845" t="s">
        <v>1007</v>
      </c>
    </row>
    <row r="1232" spans="1:10" x14ac:dyDescent="0.2">
      <c r="A1232" s="859">
        <f t="shared" si="19"/>
        <v>1231</v>
      </c>
      <c r="B1232" s="845" t="s">
        <v>2553</v>
      </c>
      <c r="D1232" s="861"/>
      <c r="I1232" s="845" t="s">
        <v>1008</v>
      </c>
    </row>
    <row r="1233" spans="1:10" x14ac:dyDescent="0.2">
      <c r="A1233" s="859">
        <f t="shared" si="19"/>
        <v>1232</v>
      </c>
      <c r="B1233" s="845" t="s">
        <v>2553</v>
      </c>
      <c r="D1233" s="861"/>
      <c r="J1233" s="845" t="s">
        <v>1225</v>
      </c>
    </row>
    <row r="1234" spans="1:10" x14ac:dyDescent="0.2">
      <c r="A1234" s="859">
        <f t="shared" si="19"/>
        <v>1233</v>
      </c>
      <c r="B1234" s="845" t="s">
        <v>2553</v>
      </c>
      <c r="D1234" s="862"/>
      <c r="I1234" s="845" t="s">
        <v>1009</v>
      </c>
    </row>
    <row r="1235" spans="1:10" x14ac:dyDescent="0.2">
      <c r="A1235" s="859">
        <f t="shared" si="19"/>
        <v>1234</v>
      </c>
      <c r="B1235" s="845" t="s">
        <v>2553</v>
      </c>
      <c r="D1235" s="863"/>
      <c r="I1235" s="845" t="str">
        <f>CONCATENATE("&lt;valeur&gt;",Cellule_13400,"&lt;/valeur&gt;")</f>
        <v>&lt;valeur&gt;0&lt;/valeur&gt;</v>
      </c>
    </row>
    <row r="1236" spans="1:10" x14ac:dyDescent="0.2">
      <c r="A1236" s="859">
        <f t="shared" si="19"/>
        <v>1235</v>
      </c>
      <c r="B1236" s="845" t="s">
        <v>2553</v>
      </c>
      <c r="D1236" s="862"/>
      <c r="H1236" s="845" t="s">
        <v>1010</v>
      </c>
    </row>
    <row r="1237" spans="1:10" x14ac:dyDescent="0.2">
      <c r="A1237" s="859">
        <f t="shared" si="19"/>
        <v>1236</v>
      </c>
      <c r="B1237" s="845" t="s">
        <v>2553</v>
      </c>
      <c r="D1237" s="862"/>
      <c r="H1237" s="845" t="s">
        <v>1007</v>
      </c>
    </row>
    <row r="1238" spans="1:10" x14ac:dyDescent="0.2">
      <c r="A1238" s="859">
        <f t="shared" si="19"/>
        <v>1237</v>
      </c>
      <c r="B1238" s="845" t="s">
        <v>2553</v>
      </c>
      <c r="D1238" s="861"/>
      <c r="I1238" s="845" t="s">
        <v>1008</v>
      </c>
    </row>
    <row r="1239" spans="1:10" x14ac:dyDescent="0.2">
      <c r="A1239" s="859">
        <f t="shared" si="19"/>
        <v>1238</v>
      </c>
      <c r="B1239" s="845" t="s">
        <v>2553</v>
      </c>
      <c r="D1239" s="861"/>
      <c r="J1239" s="845" t="s">
        <v>1226</v>
      </c>
    </row>
    <row r="1240" spans="1:10" x14ac:dyDescent="0.2">
      <c r="A1240" s="859">
        <f t="shared" si="19"/>
        <v>1239</v>
      </c>
      <c r="B1240" s="845" t="s">
        <v>2553</v>
      </c>
      <c r="D1240" s="862"/>
      <c r="I1240" s="845" t="s">
        <v>1009</v>
      </c>
    </row>
    <row r="1241" spans="1:10" x14ac:dyDescent="0.2">
      <c r="A1241" s="859">
        <f t="shared" si="19"/>
        <v>1240</v>
      </c>
      <c r="B1241" s="845" t="s">
        <v>2553</v>
      </c>
      <c r="D1241" s="863"/>
      <c r="I1241" s="845" t="str">
        <f>CONCATENATE("&lt;valeur&gt;",Cellule_13401,"&lt;/valeur&gt;")</f>
        <v>&lt;valeur&gt;0&lt;/valeur&gt;</v>
      </c>
    </row>
    <row r="1242" spans="1:10" x14ac:dyDescent="0.2">
      <c r="A1242" s="859">
        <f t="shared" si="19"/>
        <v>1241</v>
      </c>
      <c r="B1242" s="845" t="s">
        <v>2553</v>
      </c>
      <c r="D1242" s="862"/>
      <c r="H1242" s="845" t="s">
        <v>1010</v>
      </c>
    </row>
    <row r="1243" spans="1:10" x14ac:dyDescent="0.2">
      <c r="A1243" s="859">
        <f t="shared" si="19"/>
        <v>1242</v>
      </c>
      <c r="B1243" s="845" t="s">
        <v>2553</v>
      </c>
      <c r="D1243" s="862"/>
      <c r="H1243" s="845" t="s">
        <v>1007</v>
      </c>
    </row>
    <row r="1244" spans="1:10" x14ac:dyDescent="0.2">
      <c r="A1244" s="859">
        <f t="shared" si="19"/>
        <v>1243</v>
      </c>
      <c r="B1244" s="845" t="s">
        <v>2553</v>
      </c>
      <c r="D1244" s="861"/>
      <c r="I1244" s="845" t="s">
        <v>1008</v>
      </c>
    </row>
    <row r="1245" spans="1:10" x14ac:dyDescent="0.2">
      <c r="A1245" s="859">
        <f t="shared" si="19"/>
        <v>1244</v>
      </c>
      <c r="B1245" s="845" t="s">
        <v>2553</v>
      </c>
      <c r="D1245" s="861"/>
      <c r="J1245" s="845" t="s">
        <v>1227</v>
      </c>
    </row>
    <row r="1246" spans="1:10" x14ac:dyDescent="0.2">
      <c r="A1246" s="859">
        <f t="shared" si="19"/>
        <v>1245</v>
      </c>
      <c r="B1246" s="845" t="s">
        <v>2553</v>
      </c>
      <c r="D1246" s="862"/>
      <c r="I1246" s="845" t="s">
        <v>1009</v>
      </c>
    </row>
    <row r="1247" spans="1:10" x14ac:dyDescent="0.2">
      <c r="A1247" s="859">
        <f t="shared" si="19"/>
        <v>1246</v>
      </c>
      <c r="B1247" s="845" t="s">
        <v>2553</v>
      </c>
      <c r="D1247" s="863"/>
      <c r="I1247" s="845" t="str">
        <f>CONCATENATE("&lt;valeur&gt;",Cellule_13402,"&lt;/valeur&gt;")</f>
        <v>&lt;valeur&gt;&lt;/valeur&gt;</v>
      </c>
    </row>
    <row r="1248" spans="1:10" x14ac:dyDescent="0.2">
      <c r="A1248" s="859">
        <f t="shared" si="19"/>
        <v>1247</v>
      </c>
      <c r="B1248" s="845" t="s">
        <v>2553</v>
      </c>
      <c r="D1248" s="862"/>
      <c r="H1248" s="845" t="s">
        <v>1010</v>
      </c>
    </row>
    <row r="1249" spans="1:10" x14ac:dyDescent="0.2">
      <c r="A1249" s="859">
        <f t="shared" si="19"/>
        <v>1248</v>
      </c>
      <c r="B1249" s="845" t="s">
        <v>2553</v>
      </c>
      <c r="D1249" s="862"/>
      <c r="H1249" s="845" t="s">
        <v>1007</v>
      </c>
    </row>
    <row r="1250" spans="1:10" x14ac:dyDescent="0.2">
      <c r="A1250" s="859">
        <f t="shared" si="19"/>
        <v>1249</v>
      </c>
      <c r="B1250" s="845" t="s">
        <v>2553</v>
      </c>
      <c r="D1250" s="861"/>
      <c r="I1250" s="845" t="s">
        <v>1008</v>
      </c>
    </row>
    <row r="1251" spans="1:10" x14ac:dyDescent="0.2">
      <c r="A1251" s="859">
        <f t="shared" si="19"/>
        <v>1250</v>
      </c>
      <c r="B1251" s="845" t="s">
        <v>2553</v>
      </c>
      <c r="D1251" s="861"/>
      <c r="J1251" s="845" t="s">
        <v>1228</v>
      </c>
    </row>
    <row r="1252" spans="1:10" x14ac:dyDescent="0.2">
      <c r="A1252" s="859">
        <f t="shared" si="19"/>
        <v>1251</v>
      </c>
      <c r="B1252" s="845" t="s">
        <v>2553</v>
      </c>
      <c r="D1252" s="862"/>
      <c r="I1252" s="845" t="s">
        <v>1009</v>
      </c>
    </row>
    <row r="1253" spans="1:10" x14ac:dyDescent="0.2">
      <c r="A1253" s="859">
        <f t="shared" si="19"/>
        <v>1252</v>
      </c>
      <c r="B1253" s="845" t="s">
        <v>2553</v>
      </c>
      <c r="D1253" s="863"/>
      <c r="I1253" s="845" t="str">
        <f>CONCATENATE("&lt;valeur&gt;",Cellule_13403,"&lt;/valeur&gt;")</f>
        <v>&lt;valeur&gt;0&lt;/valeur&gt;</v>
      </c>
    </row>
    <row r="1254" spans="1:10" x14ac:dyDescent="0.2">
      <c r="A1254" s="859">
        <f t="shared" si="19"/>
        <v>1253</v>
      </c>
      <c r="B1254" s="845" t="s">
        <v>2553</v>
      </c>
      <c r="D1254" s="862"/>
      <c r="H1254" s="845" t="s">
        <v>1010</v>
      </c>
    </row>
    <row r="1255" spans="1:10" x14ac:dyDescent="0.2">
      <c r="A1255" s="859">
        <f t="shared" si="19"/>
        <v>1254</v>
      </c>
      <c r="B1255" s="845" t="s">
        <v>2553</v>
      </c>
      <c r="D1255" s="862"/>
      <c r="H1255" s="845" t="s">
        <v>1007</v>
      </c>
    </row>
    <row r="1256" spans="1:10" x14ac:dyDescent="0.2">
      <c r="A1256" s="859">
        <f t="shared" si="19"/>
        <v>1255</v>
      </c>
      <c r="B1256" s="845" t="s">
        <v>2553</v>
      </c>
      <c r="D1256" s="861"/>
      <c r="I1256" s="845" t="s">
        <v>1008</v>
      </c>
    </row>
    <row r="1257" spans="1:10" x14ac:dyDescent="0.2">
      <c r="A1257" s="859">
        <f t="shared" si="19"/>
        <v>1256</v>
      </c>
      <c r="B1257" s="845" t="s">
        <v>2553</v>
      </c>
      <c r="D1257" s="861"/>
      <c r="J1257" s="845" t="s">
        <v>1229</v>
      </c>
    </row>
    <row r="1258" spans="1:10" x14ac:dyDescent="0.2">
      <c r="A1258" s="859">
        <f t="shared" si="19"/>
        <v>1257</v>
      </c>
      <c r="B1258" s="845" t="s">
        <v>2553</v>
      </c>
      <c r="D1258" s="862"/>
      <c r="I1258" s="845" t="s">
        <v>1009</v>
      </c>
    </row>
    <row r="1259" spans="1:10" x14ac:dyDescent="0.2">
      <c r="A1259" s="859">
        <f t="shared" si="19"/>
        <v>1258</v>
      </c>
      <c r="B1259" s="845" t="s">
        <v>2553</v>
      </c>
      <c r="D1259" s="863"/>
      <c r="I1259" s="845" t="str">
        <f>CONCATENATE("&lt;valeur&gt;",Cellule_13404,"&lt;/valeur&gt;")</f>
        <v>&lt;valeur&gt;0&lt;/valeur&gt;</v>
      </c>
    </row>
    <row r="1260" spans="1:10" x14ac:dyDescent="0.2">
      <c r="A1260" s="859">
        <f t="shared" si="19"/>
        <v>1259</v>
      </c>
      <c r="B1260" s="845" t="s">
        <v>2553</v>
      </c>
      <c r="D1260" s="862"/>
      <c r="H1260" s="845" t="s">
        <v>1010</v>
      </c>
    </row>
    <row r="1261" spans="1:10" x14ac:dyDescent="0.2">
      <c r="A1261" s="859">
        <f t="shared" si="19"/>
        <v>1260</v>
      </c>
      <c r="B1261" s="845" t="s">
        <v>2553</v>
      </c>
      <c r="D1261" s="862"/>
      <c r="H1261" s="845" t="s">
        <v>1007</v>
      </c>
    </row>
    <row r="1262" spans="1:10" x14ac:dyDescent="0.2">
      <c r="A1262" s="859">
        <f t="shared" si="19"/>
        <v>1261</v>
      </c>
      <c r="B1262" s="845" t="s">
        <v>2553</v>
      </c>
      <c r="D1262" s="861"/>
      <c r="I1262" s="845" t="s">
        <v>1008</v>
      </c>
    </row>
    <row r="1263" spans="1:10" x14ac:dyDescent="0.2">
      <c r="A1263" s="859">
        <f t="shared" si="19"/>
        <v>1262</v>
      </c>
      <c r="B1263" s="845" t="s">
        <v>2553</v>
      </c>
      <c r="D1263" s="861"/>
      <c r="J1263" s="845" t="s">
        <v>1230</v>
      </c>
    </row>
    <row r="1264" spans="1:10" x14ac:dyDescent="0.2">
      <c r="A1264" s="859">
        <f t="shared" si="19"/>
        <v>1263</v>
      </c>
      <c r="B1264" s="845" t="s">
        <v>2553</v>
      </c>
      <c r="D1264" s="862"/>
      <c r="I1264" s="845" t="s">
        <v>1009</v>
      </c>
    </row>
    <row r="1265" spans="1:10" x14ac:dyDescent="0.2">
      <c r="A1265" s="859">
        <f t="shared" si="19"/>
        <v>1264</v>
      </c>
      <c r="B1265" s="845" t="s">
        <v>2553</v>
      </c>
      <c r="D1265" s="863"/>
      <c r="I1265" s="845" t="str">
        <f>CONCATENATE("&lt;valeur&gt;",Cellule_13405,"&lt;/valeur&gt;")</f>
        <v>&lt;valeur&gt;0&lt;/valeur&gt;</v>
      </c>
    </row>
    <row r="1266" spans="1:10" x14ac:dyDescent="0.2">
      <c r="A1266" s="859">
        <f t="shared" si="19"/>
        <v>1265</v>
      </c>
      <c r="B1266" s="845" t="s">
        <v>2553</v>
      </c>
      <c r="D1266" s="862"/>
      <c r="H1266" s="845" t="s">
        <v>1010</v>
      </c>
    </row>
    <row r="1267" spans="1:10" x14ac:dyDescent="0.2">
      <c r="A1267" s="859">
        <f t="shared" si="19"/>
        <v>1266</v>
      </c>
      <c r="B1267" s="845" t="s">
        <v>2553</v>
      </c>
      <c r="D1267" s="862"/>
      <c r="H1267" s="845" t="s">
        <v>1007</v>
      </c>
    </row>
    <row r="1268" spans="1:10" x14ac:dyDescent="0.2">
      <c r="A1268" s="859">
        <f t="shared" si="19"/>
        <v>1267</v>
      </c>
      <c r="B1268" s="845" t="s">
        <v>2553</v>
      </c>
      <c r="D1268" s="861"/>
      <c r="I1268" s="845" t="s">
        <v>1008</v>
      </c>
    </row>
    <row r="1269" spans="1:10" x14ac:dyDescent="0.2">
      <c r="A1269" s="859">
        <f t="shared" si="19"/>
        <v>1268</v>
      </c>
      <c r="B1269" s="845" t="s">
        <v>2553</v>
      </c>
      <c r="D1269" s="861"/>
      <c r="J1269" s="845" t="s">
        <v>1231</v>
      </c>
    </row>
    <row r="1270" spans="1:10" x14ac:dyDescent="0.2">
      <c r="A1270" s="859">
        <f t="shared" si="19"/>
        <v>1269</v>
      </c>
      <c r="B1270" s="845" t="s">
        <v>2553</v>
      </c>
      <c r="D1270" s="862"/>
      <c r="I1270" s="845" t="s">
        <v>1009</v>
      </c>
    </row>
    <row r="1271" spans="1:10" x14ac:dyDescent="0.2">
      <c r="A1271" s="859">
        <f t="shared" si="19"/>
        <v>1270</v>
      </c>
      <c r="B1271" s="845" t="s">
        <v>2553</v>
      </c>
      <c r="D1271" s="863"/>
      <c r="I1271" s="845" t="str">
        <f>CONCATENATE("&lt;valeur&gt;",Cellule_13411,"&lt;/valeur&gt;")</f>
        <v>&lt;valeur&gt;0&lt;/valeur&gt;</v>
      </c>
    </row>
    <row r="1272" spans="1:10" x14ac:dyDescent="0.2">
      <c r="A1272" s="859">
        <f t="shared" si="19"/>
        <v>1271</v>
      </c>
      <c r="B1272" s="845" t="s">
        <v>2553</v>
      </c>
      <c r="D1272" s="862"/>
      <c r="H1272" s="845" t="s">
        <v>1010</v>
      </c>
    </row>
    <row r="1273" spans="1:10" x14ac:dyDescent="0.2">
      <c r="A1273" s="859">
        <f t="shared" si="19"/>
        <v>1272</v>
      </c>
      <c r="B1273" s="845" t="s">
        <v>2553</v>
      </c>
      <c r="D1273" s="862"/>
      <c r="H1273" s="845" t="s">
        <v>1007</v>
      </c>
    </row>
    <row r="1274" spans="1:10" x14ac:dyDescent="0.2">
      <c r="A1274" s="859">
        <f t="shared" si="19"/>
        <v>1273</v>
      </c>
      <c r="B1274" s="845" t="s">
        <v>2553</v>
      </c>
      <c r="D1274" s="861"/>
      <c r="I1274" s="845" t="s">
        <v>1008</v>
      </c>
    </row>
    <row r="1275" spans="1:10" x14ac:dyDescent="0.2">
      <c r="A1275" s="859">
        <f t="shared" si="19"/>
        <v>1274</v>
      </c>
      <c r="B1275" s="845" t="s">
        <v>2553</v>
      </c>
      <c r="D1275" s="861"/>
      <c r="J1275" s="845" t="s">
        <v>1232</v>
      </c>
    </row>
    <row r="1276" spans="1:10" x14ac:dyDescent="0.2">
      <c r="A1276" s="859">
        <f t="shared" si="19"/>
        <v>1275</v>
      </c>
      <c r="B1276" s="845" t="s">
        <v>2553</v>
      </c>
      <c r="D1276" s="862"/>
      <c r="I1276" s="845" t="s">
        <v>1009</v>
      </c>
    </row>
    <row r="1277" spans="1:10" x14ac:dyDescent="0.2">
      <c r="A1277" s="859">
        <f t="shared" si="19"/>
        <v>1276</v>
      </c>
      <c r="B1277" s="845" t="s">
        <v>2553</v>
      </c>
      <c r="D1277" s="863"/>
      <c r="I1277" s="845" t="str">
        <f>CONCATENATE("&lt;valeur&gt;",Cellule_13412,"&lt;/valeur&gt;")</f>
        <v>&lt;valeur&gt;0&lt;/valeur&gt;</v>
      </c>
    </row>
    <row r="1278" spans="1:10" x14ac:dyDescent="0.2">
      <c r="A1278" s="859">
        <f t="shared" si="19"/>
        <v>1277</v>
      </c>
      <c r="B1278" s="845" t="s">
        <v>2553</v>
      </c>
      <c r="D1278" s="862"/>
      <c r="H1278" s="845" t="s">
        <v>1010</v>
      </c>
    </row>
    <row r="1279" spans="1:10" x14ac:dyDescent="0.2">
      <c r="A1279" s="859">
        <f t="shared" si="19"/>
        <v>1278</v>
      </c>
      <c r="B1279" s="845" t="s">
        <v>2553</v>
      </c>
      <c r="D1279" s="862"/>
      <c r="H1279" s="845" t="s">
        <v>1007</v>
      </c>
    </row>
    <row r="1280" spans="1:10" x14ac:dyDescent="0.2">
      <c r="A1280" s="859">
        <f t="shared" si="19"/>
        <v>1279</v>
      </c>
      <c r="B1280" s="845" t="s">
        <v>2553</v>
      </c>
      <c r="D1280" s="861"/>
      <c r="I1280" s="845" t="s">
        <v>1008</v>
      </c>
    </row>
    <row r="1281" spans="1:10" x14ac:dyDescent="0.2">
      <c r="A1281" s="859">
        <f t="shared" si="19"/>
        <v>1280</v>
      </c>
      <c r="B1281" s="845" t="s">
        <v>2553</v>
      </c>
      <c r="D1281" s="861"/>
      <c r="J1281" s="845" t="s">
        <v>1233</v>
      </c>
    </row>
    <row r="1282" spans="1:10" x14ac:dyDescent="0.2">
      <c r="A1282" s="859">
        <f t="shared" si="19"/>
        <v>1281</v>
      </c>
      <c r="B1282" s="845" t="s">
        <v>2553</v>
      </c>
      <c r="D1282" s="862"/>
      <c r="I1282" s="845" t="s">
        <v>1009</v>
      </c>
    </row>
    <row r="1283" spans="1:10" x14ac:dyDescent="0.2">
      <c r="A1283" s="859">
        <f t="shared" si="19"/>
        <v>1282</v>
      </c>
      <c r="B1283" s="845" t="s">
        <v>2553</v>
      </c>
      <c r="D1283" s="863"/>
      <c r="I1283" s="845" t="str">
        <f>CONCATENATE("&lt;valeur&gt;",Cellule_13413,"&lt;/valeur&gt;")</f>
        <v>&lt;valeur&gt;&lt;/valeur&gt;</v>
      </c>
    </row>
    <row r="1284" spans="1:10" x14ac:dyDescent="0.2">
      <c r="A1284" s="859">
        <f t="shared" ref="A1284:A1347" si="20">+A1283+1</f>
        <v>1283</v>
      </c>
      <c r="B1284" s="845" t="s">
        <v>2553</v>
      </c>
      <c r="D1284" s="862"/>
      <c r="H1284" s="845" t="s">
        <v>1010</v>
      </c>
    </row>
    <row r="1285" spans="1:10" x14ac:dyDescent="0.2">
      <c r="A1285" s="859">
        <f t="shared" si="20"/>
        <v>1284</v>
      </c>
      <c r="B1285" s="845" t="s">
        <v>2553</v>
      </c>
      <c r="D1285" s="862"/>
      <c r="H1285" s="845" t="s">
        <v>1007</v>
      </c>
    </row>
    <row r="1286" spans="1:10" x14ac:dyDescent="0.2">
      <c r="A1286" s="859">
        <f t="shared" si="20"/>
        <v>1285</v>
      </c>
      <c r="B1286" s="845" t="s">
        <v>2553</v>
      </c>
      <c r="D1286" s="861"/>
      <c r="I1286" s="845" t="s">
        <v>1008</v>
      </c>
    </row>
    <row r="1287" spans="1:10" x14ac:dyDescent="0.2">
      <c r="A1287" s="859">
        <f t="shared" si="20"/>
        <v>1286</v>
      </c>
      <c r="B1287" s="845" t="s">
        <v>2553</v>
      </c>
      <c r="D1287" s="861"/>
      <c r="J1287" s="845" t="s">
        <v>1234</v>
      </c>
    </row>
    <row r="1288" spans="1:10" x14ac:dyDescent="0.2">
      <c r="A1288" s="859">
        <f t="shared" si="20"/>
        <v>1287</v>
      </c>
      <c r="B1288" s="845" t="s">
        <v>2553</v>
      </c>
      <c r="D1288" s="862"/>
      <c r="I1288" s="845" t="s">
        <v>1009</v>
      </c>
    </row>
    <row r="1289" spans="1:10" x14ac:dyDescent="0.2">
      <c r="A1289" s="859">
        <f t="shared" si="20"/>
        <v>1288</v>
      </c>
      <c r="B1289" s="845" t="s">
        <v>2553</v>
      </c>
      <c r="D1289" s="863"/>
      <c r="I1289" s="845" t="str">
        <f>CONCATENATE("&lt;valeur&gt;",Cellule_13414,"&lt;/valeur&gt;")</f>
        <v>&lt;valeur&gt;0&lt;/valeur&gt;</v>
      </c>
    </row>
    <row r="1290" spans="1:10" x14ac:dyDescent="0.2">
      <c r="A1290" s="859">
        <f t="shared" si="20"/>
        <v>1289</v>
      </c>
      <c r="B1290" s="845" t="s">
        <v>2553</v>
      </c>
      <c r="D1290" s="862"/>
      <c r="H1290" s="845" t="s">
        <v>1010</v>
      </c>
    </row>
    <row r="1291" spans="1:10" x14ac:dyDescent="0.2">
      <c r="A1291" s="859">
        <f t="shared" si="20"/>
        <v>1290</v>
      </c>
      <c r="B1291" s="845" t="s">
        <v>2553</v>
      </c>
      <c r="D1291" s="862"/>
      <c r="H1291" s="845" t="s">
        <v>1007</v>
      </c>
    </row>
    <row r="1292" spans="1:10" x14ac:dyDescent="0.2">
      <c r="A1292" s="859">
        <f t="shared" si="20"/>
        <v>1291</v>
      </c>
      <c r="B1292" s="845" t="s">
        <v>2553</v>
      </c>
      <c r="D1292" s="861"/>
      <c r="I1292" s="845" t="s">
        <v>1008</v>
      </c>
    </row>
    <row r="1293" spans="1:10" x14ac:dyDescent="0.2">
      <c r="A1293" s="859">
        <f t="shared" si="20"/>
        <v>1292</v>
      </c>
      <c r="B1293" s="845" t="s">
        <v>2553</v>
      </c>
      <c r="D1293" s="861"/>
      <c r="J1293" s="845" t="s">
        <v>1235</v>
      </c>
    </row>
    <row r="1294" spans="1:10" x14ac:dyDescent="0.2">
      <c r="A1294" s="859">
        <f t="shared" si="20"/>
        <v>1293</v>
      </c>
      <c r="B1294" s="845" t="s">
        <v>2553</v>
      </c>
      <c r="D1294" s="862"/>
      <c r="I1294" s="845" t="s">
        <v>1009</v>
      </c>
    </row>
    <row r="1295" spans="1:10" x14ac:dyDescent="0.2">
      <c r="A1295" s="859">
        <f t="shared" si="20"/>
        <v>1294</v>
      </c>
      <c r="B1295" s="845" t="s">
        <v>2553</v>
      </c>
      <c r="D1295" s="863"/>
      <c r="I1295" s="845" t="str">
        <f>CONCATENATE("&lt;valeur&gt;",Cellule_13415,"&lt;/valeur&gt;")</f>
        <v>&lt;valeur&gt;0&lt;/valeur&gt;</v>
      </c>
    </row>
    <row r="1296" spans="1:10" x14ac:dyDescent="0.2">
      <c r="A1296" s="859">
        <f t="shared" si="20"/>
        <v>1295</v>
      </c>
      <c r="B1296" s="845" t="s">
        <v>2553</v>
      </c>
      <c r="D1296" s="862"/>
      <c r="H1296" s="845" t="s">
        <v>1010</v>
      </c>
    </row>
    <row r="1297" spans="1:10" x14ac:dyDescent="0.2">
      <c r="A1297" s="859">
        <f t="shared" si="20"/>
        <v>1296</v>
      </c>
      <c r="B1297" s="845" t="s">
        <v>2553</v>
      </c>
      <c r="D1297" s="862"/>
      <c r="H1297" s="845" t="s">
        <v>1007</v>
      </c>
    </row>
    <row r="1298" spans="1:10" x14ac:dyDescent="0.2">
      <c r="A1298" s="859">
        <f t="shared" si="20"/>
        <v>1297</v>
      </c>
      <c r="B1298" s="845" t="s">
        <v>2553</v>
      </c>
      <c r="D1298" s="861"/>
      <c r="I1298" s="845" t="s">
        <v>1008</v>
      </c>
    </row>
    <row r="1299" spans="1:10" x14ac:dyDescent="0.2">
      <c r="A1299" s="859">
        <f t="shared" si="20"/>
        <v>1298</v>
      </c>
      <c r="B1299" s="845" t="s">
        <v>2553</v>
      </c>
      <c r="D1299" s="861"/>
      <c r="J1299" s="845" t="s">
        <v>1236</v>
      </c>
    </row>
    <row r="1300" spans="1:10" x14ac:dyDescent="0.2">
      <c r="A1300" s="859">
        <f t="shared" si="20"/>
        <v>1299</v>
      </c>
      <c r="B1300" s="845" t="s">
        <v>2553</v>
      </c>
      <c r="D1300" s="862"/>
      <c r="I1300" s="845" t="s">
        <v>1009</v>
      </c>
    </row>
    <row r="1301" spans="1:10" x14ac:dyDescent="0.2">
      <c r="A1301" s="859">
        <f t="shared" si="20"/>
        <v>1300</v>
      </c>
      <c r="B1301" s="845" t="s">
        <v>2553</v>
      </c>
      <c r="D1301" s="863"/>
      <c r="I1301" s="845" t="str">
        <f>CONCATENATE("&lt;valeur&gt;",Cellule_13416,"&lt;/valeur&gt;")</f>
        <v>&lt;valeur&gt;0&lt;/valeur&gt;</v>
      </c>
    </row>
    <row r="1302" spans="1:10" x14ac:dyDescent="0.2">
      <c r="A1302" s="859">
        <f t="shared" si="20"/>
        <v>1301</v>
      </c>
      <c r="B1302" s="845" t="s">
        <v>2553</v>
      </c>
      <c r="D1302" s="862"/>
      <c r="H1302" s="845" t="s">
        <v>1010</v>
      </c>
    </row>
    <row r="1303" spans="1:10" x14ac:dyDescent="0.2">
      <c r="A1303" s="859">
        <f t="shared" si="20"/>
        <v>1302</v>
      </c>
      <c r="B1303" s="845" t="s">
        <v>2553</v>
      </c>
      <c r="D1303" s="862"/>
      <c r="H1303" s="845" t="s">
        <v>1007</v>
      </c>
    </row>
    <row r="1304" spans="1:10" x14ac:dyDescent="0.2">
      <c r="A1304" s="859">
        <f t="shared" si="20"/>
        <v>1303</v>
      </c>
      <c r="B1304" s="845" t="s">
        <v>2553</v>
      </c>
      <c r="D1304" s="861"/>
      <c r="I1304" s="845" t="s">
        <v>1008</v>
      </c>
    </row>
    <row r="1305" spans="1:10" x14ac:dyDescent="0.2">
      <c r="A1305" s="859">
        <f t="shared" si="20"/>
        <v>1304</v>
      </c>
      <c r="B1305" s="845" t="s">
        <v>2553</v>
      </c>
      <c r="D1305" s="861"/>
      <c r="J1305" s="845" t="s">
        <v>1237</v>
      </c>
    </row>
    <row r="1306" spans="1:10" x14ac:dyDescent="0.2">
      <c r="A1306" s="859">
        <f t="shared" si="20"/>
        <v>1305</v>
      </c>
      <c r="B1306" s="845" t="s">
        <v>2553</v>
      </c>
      <c r="D1306" s="862"/>
      <c r="I1306" s="845" t="s">
        <v>1009</v>
      </c>
    </row>
    <row r="1307" spans="1:10" x14ac:dyDescent="0.2">
      <c r="A1307" s="859">
        <f t="shared" si="20"/>
        <v>1306</v>
      </c>
      <c r="B1307" s="845" t="s">
        <v>2553</v>
      </c>
      <c r="D1307" s="863"/>
      <c r="I1307" s="845" t="str">
        <f>CONCATENATE("&lt;valeur&gt;",Cellule_13417,"&lt;/valeur&gt;")</f>
        <v>&lt;valeur&gt;0&lt;/valeur&gt;</v>
      </c>
    </row>
    <row r="1308" spans="1:10" x14ac:dyDescent="0.2">
      <c r="A1308" s="859">
        <f t="shared" si="20"/>
        <v>1307</v>
      </c>
      <c r="B1308" s="845" t="s">
        <v>2553</v>
      </c>
      <c r="D1308" s="862"/>
      <c r="H1308" s="845" t="s">
        <v>1010</v>
      </c>
    </row>
    <row r="1309" spans="1:10" x14ac:dyDescent="0.2">
      <c r="A1309" s="859">
        <f t="shared" si="20"/>
        <v>1308</v>
      </c>
      <c r="B1309" s="845" t="s">
        <v>2553</v>
      </c>
      <c r="D1309" s="862"/>
      <c r="H1309" s="845" t="s">
        <v>1007</v>
      </c>
    </row>
    <row r="1310" spans="1:10" x14ac:dyDescent="0.2">
      <c r="A1310" s="859">
        <f t="shared" si="20"/>
        <v>1309</v>
      </c>
      <c r="B1310" s="845" t="s">
        <v>2553</v>
      </c>
      <c r="D1310" s="861"/>
      <c r="I1310" s="845" t="s">
        <v>1008</v>
      </c>
    </row>
    <row r="1311" spans="1:10" x14ac:dyDescent="0.2">
      <c r="A1311" s="859">
        <f t="shared" si="20"/>
        <v>1310</v>
      </c>
      <c r="B1311" s="845" t="s">
        <v>2553</v>
      </c>
      <c r="D1311" s="861"/>
      <c r="J1311" s="845" t="s">
        <v>1238</v>
      </c>
    </row>
    <row r="1312" spans="1:10" x14ac:dyDescent="0.2">
      <c r="A1312" s="859">
        <f t="shared" si="20"/>
        <v>1311</v>
      </c>
      <c r="B1312" s="845" t="s">
        <v>2553</v>
      </c>
      <c r="D1312" s="862"/>
      <c r="I1312" s="845" t="s">
        <v>1009</v>
      </c>
    </row>
    <row r="1313" spans="1:10" x14ac:dyDescent="0.2">
      <c r="A1313" s="859">
        <f t="shared" si="20"/>
        <v>1312</v>
      </c>
      <c r="B1313" s="845" t="s">
        <v>2553</v>
      </c>
      <c r="D1313" s="863"/>
      <c r="I1313" s="845" t="str">
        <f>CONCATENATE("&lt;valeur&gt;",Cellule_13418,"&lt;/valeur&gt;")</f>
        <v>&lt;valeur&gt;0&lt;/valeur&gt;</v>
      </c>
    </row>
    <row r="1314" spans="1:10" x14ac:dyDescent="0.2">
      <c r="A1314" s="859">
        <f t="shared" si="20"/>
        <v>1313</v>
      </c>
      <c r="B1314" s="845" t="s">
        <v>2553</v>
      </c>
      <c r="D1314" s="862"/>
      <c r="H1314" s="845" t="s">
        <v>1010</v>
      </c>
    </row>
    <row r="1315" spans="1:10" x14ac:dyDescent="0.2">
      <c r="A1315" s="859">
        <f t="shared" si="20"/>
        <v>1314</v>
      </c>
      <c r="B1315" s="845" t="s">
        <v>2553</v>
      </c>
      <c r="D1315" s="862"/>
      <c r="H1315" s="845" t="s">
        <v>1007</v>
      </c>
    </row>
    <row r="1316" spans="1:10" x14ac:dyDescent="0.2">
      <c r="A1316" s="859">
        <f t="shared" si="20"/>
        <v>1315</v>
      </c>
      <c r="B1316" s="845" t="s">
        <v>2553</v>
      </c>
      <c r="D1316" s="861"/>
      <c r="I1316" s="845" t="s">
        <v>1008</v>
      </c>
    </row>
    <row r="1317" spans="1:10" x14ac:dyDescent="0.2">
      <c r="A1317" s="859">
        <f t="shared" si="20"/>
        <v>1316</v>
      </c>
      <c r="B1317" s="845" t="s">
        <v>2553</v>
      </c>
      <c r="D1317" s="861"/>
      <c r="J1317" s="845" t="s">
        <v>1239</v>
      </c>
    </row>
    <row r="1318" spans="1:10" x14ac:dyDescent="0.2">
      <c r="A1318" s="859">
        <f t="shared" si="20"/>
        <v>1317</v>
      </c>
      <c r="B1318" s="845" t="s">
        <v>2553</v>
      </c>
      <c r="D1318" s="862"/>
      <c r="I1318" s="845" t="s">
        <v>1009</v>
      </c>
    </row>
    <row r="1319" spans="1:10" x14ac:dyDescent="0.2">
      <c r="A1319" s="859">
        <f t="shared" si="20"/>
        <v>1318</v>
      </c>
      <c r="B1319" s="845" t="s">
        <v>2553</v>
      </c>
      <c r="D1319" s="863"/>
      <c r="I1319" s="845" t="str">
        <f>CONCATENATE("&lt;valeur&gt;",Cellule_13419,"&lt;/valeur&gt;")</f>
        <v>&lt;valeur&gt;0&lt;/valeur&gt;</v>
      </c>
    </row>
    <row r="1320" spans="1:10" x14ac:dyDescent="0.2">
      <c r="A1320" s="859">
        <f t="shared" si="20"/>
        <v>1319</v>
      </c>
      <c r="B1320" s="845" t="s">
        <v>2553</v>
      </c>
      <c r="D1320" s="862"/>
      <c r="H1320" s="845" t="s">
        <v>1010</v>
      </c>
    </row>
    <row r="1321" spans="1:10" x14ac:dyDescent="0.2">
      <c r="A1321" s="859">
        <f t="shared" si="20"/>
        <v>1320</v>
      </c>
      <c r="B1321" s="845" t="s">
        <v>2553</v>
      </c>
      <c r="D1321" s="862"/>
      <c r="H1321" s="845" t="s">
        <v>1007</v>
      </c>
    </row>
    <row r="1322" spans="1:10" x14ac:dyDescent="0.2">
      <c r="A1322" s="859">
        <f t="shared" si="20"/>
        <v>1321</v>
      </c>
      <c r="B1322" s="845" t="s">
        <v>2553</v>
      </c>
      <c r="D1322" s="861"/>
      <c r="I1322" s="845" t="s">
        <v>1008</v>
      </c>
    </row>
    <row r="1323" spans="1:10" x14ac:dyDescent="0.2">
      <c r="A1323" s="859">
        <f t="shared" si="20"/>
        <v>1322</v>
      </c>
      <c r="B1323" s="845" t="s">
        <v>2553</v>
      </c>
      <c r="D1323" s="861"/>
      <c r="J1323" s="845" t="s">
        <v>1240</v>
      </c>
    </row>
    <row r="1324" spans="1:10" x14ac:dyDescent="0.2">
      <c r="A1324" s="859">
        <f t="shared" si="20"/>
        <v>1323</v>
      </c>
      <c r="B1324" s="845" t="s">
        <v>2553</v>
      </c>
      <c r="D1324" s="862"/>
      <c r="I1324" s="845" t="s">
        <v>1009</v>
      </c>
    </row>
    <row r="1325" spans="1:10" x14ac:dyDescent="0.2">
      <c r="A1325" s="859">
        <f t="shared" si="20"/>
        <v>1324</v>
      </c>
      <c r="B1325" s="845" t="s">
        <v>2553</v>
      </c>
      <c r="D1325" s="863"/>
      <c r="I1325" s="845" t="str">
        <f>CONCATENATE("&lt;valeur&gt;",Cellule_13420,"&lt;/valeur&gt;")</f>
        <v>&lt;valeur&gt;0&lt;/valeur&gt;</v>
      </c>
    </row>
    <row r="1326" spans="1:10" x14ac:dyDescent="0.2">
      <c r="A1326" s="859">
        <f t="shared" si="20"/>
        <v>1325</v>
      </c>
      <c r="B1326" s="845" t="s">
        <v>2553</v>
      </c>
      <c r="D1326" s="862"/>
      <c r="H1326" s="845" t="s">
        <v>1010</v>
      </c>
    </row>
    <row r="1327" spans="1:10" x14ac:dyDescent="0.2">
      <c r="A1327" s="859">
        <f t="shared" si="20"/>
        <v>1326</v>
      </c>
      <c r="B1327" s="845" t="s">
        <v>2553</v>
      </c>
      <c r="D1327" s="862"/>
      <c r="H1327" s="845" t="s">
        <v>1007</v>
      </c>
    </row>
    <row r="1328" spans="1:10" x14ac:dyDescent="0.2">
      <c r="A1328" s="859">
        <f t="shared" si="20"/>
        <v>1327</v>
      </c>
      <c r="B1328" s="845" t="s">
        <v>2553</v>
      </c>
      <c r="D1328" s="861"/>
      <c r="I1328" s="845" t="s">
        <v>1008</v>
      </c>
    </row>
    <row r="1329" spans="1:10" x14ac:dyDescent="0.2">
      <c r="A1329" s="859">
        <f t="shared" si="20"/>
        <v>1328</v>
      </c>
      <c r="B1329" s="845" t="s">
        <v>2553</v>
      </c>
      <c r="D1329" s="861"/>
      <c r="J1329" s="845" t="s">
        <v>1241</v>
      </c>
    </row>
    <row r="1330" spans="1:10" x14ac:dyDescent="0.2">
      <c r="A1330" s="859">
        <f t="shared" si="20"/>
        <v>1329</v>
      </c>
      <c r="B1330" s="845" t="s">
        <v>2553</v>
      </c>
      <c r="D1330" s="862"/>
      <c r="I1330" s="845" t="s">
        <v>1009</v>
      </c>
    </row>
    <row r="1331" spans="1:10" x14ac:dyDescent="0.2">
      <c r="A1331" s="859">
        <f t="shared" si="20"/>
        <v>1330</v>
      </c>
      <c r="B1331" s="845" t="s">
        <v>2553</v>
      </c>
      <c r="D1331" s="863"/>
      <c r="I1331" s="845" t="str">
        <f>CONCATENATE("&lt;valeur&gt;",Cellule_13421,"&lt;/valeur&gt;")</f>
        <v>&lt;valeur&gt;0&lt;/valeur&gt;</v>
      </c>
    </row>
    <row r="1332" spans="1:10" x14ac:dyDescent="0.2">
      <c r="A1332" s="859">
        <f t="shared" si="20"/>
        <v>1331</v>
      </c>
      <c r="B1332" s="845" t="s">
        <v>2553</v>
      </c>
      <c r="D1332" s="862"/>
      <c r="H1332" s="845" t="s">
        <v>1010</v>
      </c>
    </row>
    <row r="1333" spans="1:10" x14ac:dyDescent="0.2">
      <c r="A1333" s="859">
        <f t="shared" si="20"/>
        <v>1332</v>
      </c>
      <c r="B1333" s="845" t="s">
        <v>2553</v>
      </c>
      <c r="D1333" s="862"/>
      <c r="H1333" s="845" t="s">
        <v>1007</v>
      </c>
    </row>
    <row r="1334" spans="1:10" x14ac:dyDescent="0.2">
      <c r="A1334" s="859">
        <f t="shared" si="20"/>
        <v>1333</v>
      </c>
      <c r="B1334" s="845" t="s">
        <v>2553</v>
      </c>
      <c r="D1334" s="861"/>
      <c r="I1334" s="845" t="s">
        <v>1008</v>
      </c>
    </row>
    <row r="1335" spans="1:10" x14ac:dyDescent="0.2">
      <c r="A1335" s="859">
        <f t="shared" si="20"/>
        <v>1334</v>
      </c>
      <c r="B1335" s="845" t="s">
        <v>2553</v>
      </c>
      <c r="D1335" s="861"/>
      <c r="J1335" s="845" t="s">
        <v>1242</v>
      </c>
    </row>
    <row r="1336" spans="1:10" x14ac:dyDescent="0.2">
      <c r="A1336" s="859">
        <f t="shared" si="20"/>
        <v>1335</v>
      </c>
      <c r="B1336" s="845" t="s">
        <v>2553</v>
      </c>
      <c r="D1336" s="862"/>
      <c r="I1336" s="845" t="s">
        <v>1009</v>
      </c>
    </row>
    <row r="1337" spans="1:10" x14ac:dyDescent="0.2">
      <c r="A1337" s="859">
        <f t="shared" si="20"/>
        <v>1336</v>
      </c>
      <c r="B1337" s="845" t="s">
        <v>2553</v>
      </c>
      <c r="D1337" s="863"/>
      <c r="I1337" s="845" t="str">
        <f>CONCATENATE("&lt;valeur&gt;",Cellule_13397,"&lt;/valeur&gt;")</f>
        <v>&lt;valeur&gt;0&lt;/valeur&gt;</v>
      </c>
    </row>
    <row r="1338" spans="1:10" x14ac:dyDescent="0.2">
      <c r="A1338" s="859">
        <f t="shared" si="20"/>
        <v>1337</v>
      </c>
      <c r="B1338" s="845" t="s">
        <v>2553</v>
      </c>
      <c r="D1338" s="862"/>
      <c r="H1338" s="845" t="s">
        <v>1010</v>
      </c>
    </row>
    <row r="1339" spans="1:10" x14ac:dyDescent="0.2">
      <c r="A1339" s="859">
        <f t="shared" si="20"/>
        <v>1338</v>
      </c>
      <c r="B1339" s="845" t="s">
        <v>2553</v>
      </c>
      <c r="D1339" s="862"/>
      <c r="H1339" s="845" t="s">
        <v>1007</v>
      </c>
    </row>
    <row r="1340" spans="1:10" x14ac:dyDescent="0.2">
      <c r="A1340" s="859">
        <f t="shared" si="20"/>
        <v>1339</v>
      </c>
      <c r="B1340" s="845" t="s">
        <v>2553</v>
      </c>
      <c r="D1340" s="861"/>
      <c r="I1340" s="845" t="s">
        <v>1008</v>
      </c>
    </row>
    <row r="1341" spans="1:10" x14ac:dyDescent="0.2">
      <c r="A1341" s="859">
        <f t="shared" si="20"/>
        <v>1340</v>
      </c>
      <c r="B1341" s="845" t="s">
        <v>2553</v>
      </c>
      <c r="D1341" s="861"/>
      <c r="J1341" s="845" t="s">
        <v>1243</v>
      </c>
    </row>
    <row r="1342" spans="1:10" x14ac:dyDescent="0.2">
      <c r="A1342" s="859">
        <f t="shared" si="20"/>
        <v>1341</v>
      </c>
      <c r="B1342" s="845" t="s">
        <v>2553</v>
      </c>
      <c r="D1342" s="862"/>
      <c r="I1342" s="845" t="s">
        <v>1009</v>
      </c>
    </row>
    <row r="1343" spans="1:10" x14ac:dyDescent="0.2">
      <c r="A1343" s="859">
        <f t="shared" si="20"/>
        <v>1342</v>
      </c>
      <c r="B1343" s="845" t="s">
        <v>2553</v>
      </c>
      <c r="D1343" s="863"/>
      <c r="I1343" s="845" t="str">
        <f>CONCATENATE("&lt;valeur&gt;",Cellule_13398,"&lt;/valeur&gt;")</f>
        <v>&lt;valeur&gt;0&lt;/valeur&gt;</v>
      </c>
    </row>
    <row r="1344" spans="1:10" x14ac:dyDescent="0.2">
      <c r="A1344" s="859">
        <f t="shared" si="20"/>
        <v>1343</v>
      </c>
      <c r="B1344" s="845" t="s">
        <v>2553</v>
      </c>
      <c r="D1344" s="862"/>
      <c r="H1344" s="845" t="s">
        <v>1010</v>
      </c>
    </row>
    <row r="1345" spans="1:10" x14ac:dyDescent="0.2">
      <c r="A1345" s="859">
        <f t="shared" si="20"/>
        <v>1344</v>
      </c>
      <c r="B1345" s="845" t="s">
        <v>2553</v>
      </c>
      <c r="D1345" s="862"/>
      <c r="H1345" s="845" t="s">
        <v>1007</v>
      </c>
    </row>
    <row r="1346" spans="1:10" x14ac:dyDescent="0.2">
      <c r="A1346" s="859">
        <f t="shared" si="20"/>
        <v>1345</v>
      </c>
      <c r="B1346" s="845" t="s">
        <v>2553</v>
      </c>
      <c r="D1346" s="861"/>
      <c r="I1346" s="845" t="s">
        <v>1008</v>
      </c>
    </row>
    <row r="1347" spans="1:10" x14ac:dyDescent="0.2">
      <c r="A1347" s="859">
        <f t="shared" si="20"/>
        <v>1346</v>
      </c>
      <c r="B1347" s="845" t="s">
        <v>2553</v>
      </c>
      <c r="D1347" s="861"/>
      <c r="J1347" s="845" t="s">
        <v>1244</v>
      </c>
    </row>
    <row r="1348" spans="1:10" x14ac:dyDescent="0.2">
      <c r="A1348" s="859">
        <f t="shared" ref="A1348:A1411" si="21">+A1347+1</f>
        <v>1347</v>
      </c>
      <c r="B1348" s="845" t="s">
        <v>2553</v>
      </c>
      <c r="D1348" s="862"/>
      <c r="I1348" s="845" t="s">
        <v>1009</v>
      </c>
    </row>
    <row r="1349" spans="1:10" x14ac:dyDescent="0.2">
      <c r="A1349" s="859">
        <f t="shared" si="21"/>
        <v>1348</v>
      </c>
      <c r="B1349" s="845" t="s">
        <v>2553</v>
      </c>
      <c r="D1349" s="863"/>
      <c r="I1349" s="845" t="str">
        <f>CONCATENATE("&lt;valeur&gt;",Cellule_13399,"&lt;/valeur&gt;")</f>
        <v>&lt;valeur&gt;0&lt;/valeur&gt;</v>
      </c>
    </row>
    <row r="1350" spans="1:10" x14ac:dyDescent="0.2">
      <c r="A1350" s="859">
        <f t="shared" si="21"/>
        <v>1349</v>
      </c>
      <c r="B1350" s="845" t="s">
        <v>2553</v>
      </c>
      <c r="D1350" s="862"/>
      <c r="H1350" s="845" t="s">
        <v>1010</v>
      </c>
    </row>
    <row r="1351" spans="1:10" x14ac:dyDescent="0.2">
      <c r="A1351" s="859">
        <f t="shared" si="21"/>
        <v>1350</v>
      </c>
      <c r="B1351" s="845" t="s">
        <v>2553</v>
      </c>
      <c r="D1351" s="862"/>
      <c r="H1351" s="845" t="s">
        <v>1007</v>
      </c>
    </row>
    <row r="1352" spans="1:10" x14ac:dyDescent="0.2">
      <c r="A1352" s="859">
        <f t="shared" si="21"/>
        <v>1351</v>
      </c>
      <c r="B1352" s="845" t="s">
        <v>2553</v>
      </c>
      <c r="D1352" s="861"/>
      <c r="I1352" s="845" t="s">
        <v>1008</v>
      </c>
    </row>
    <row r="1353" spans="1:10" x14ac:dyDescent="0.2">
      <c r="A1353" s="859">
        <f t="shared" si="21"/>
        <v>1352</v>
      </c>
      <c r="B1353" s="845" t="s">
        <v>2553</v>
      </c>
      <c r="D1353" s="861"/>
      <c r="J1353" s="845" t="s">
        <v>1245</v>
      </c>
    </row>
    <row r="1354" spans="1:10" x14ac:dyDescent="0.2">
      <c r="A1354" s="859">
        <f t="shared" si="21"/>
        <v>1353</v>
      </c>
      <c r="B1354" s="845" t="s">
        <v>2553</v>
      </c>
      <c r="D1354" s="862"/>
      <c r="I1354" s="845" t="s">
        <v>1009</v>
      </c>
    </row>
    <row r="1355" spans="1:10" x14ac:dyDescent="0.2">
      <c r="A1355" s="859">
        <f t="shared" si="21"/>
        <v>1354</v>
      </c>
      <c r="B1355" s="845" t="s">
        <v>2553</v>
      </c>
      <c r="D1355" s="863"/>
      <c r="I1355" s="845" t="str">
        <f>CONCATENATE("&lt;valeur&gt;",Cellule_13422,"&lt;/valeur&gt;")</f>
        <v>&lt;valeur&gt;0&lt;/valeur&gt;</v>
      </c>
    </row>
    <row r="1356" spans="1:10" x14ac:dyDescent="0.2">
      <c r="A1356" s="859">
        <f t="shared" si="21"/>
        <v>1355</v>
      </c>
      <c r="B1356" s="845" t="s">
        <v>2553</v>
      </c>
      <c r="D1356" s="862"/>
      <c r="H1356" s="845" t="s">
        <v>1010</v>
      </c>
    </row>
    <row r="1357" spans="1:10" x14ac:dyDescent="0.2">
      <c r="A1357" s="859">
        <f t="shared" si="21"/>
        <v>1356</v>
      </c>
      <c r="B1357" s="845" t="s">
        <v>2553</v>
      </c>
      <c r="D1357" s="862"/>
      <c r="H1357" s="845" t="s">
        <v>1007</v>
      </c>
    </row>
    <row r="1358" spans="1:10" x14ac:dyDescent="0.2">
      <c r="A1358" s="859">
        <f t="shared" si="21"/>
        <v>1357</v>
      </c>
      <c r="B1358" s="845" t="s">
        <v>2553</v>
      </c>
      <c r="D1358" s="861"/>
      <c r="I1358" s="845" t="s">
        <v>1008</v>
      </c>
    </row>
    <row r="1359" spans="1:10" x14ac:dyDescent="0.2">
      <c r="A1359" s="859">
        <f t="shared" si="21"/>
        <v>1358</v>
      </c>
      <c r="B1359" s="845" t="s">
        <v>2553</v>
      </c>
      <c r="D1359" s="861"/>
      <c r="J1359" s="845" t="s">
        <v>1246</v>
      </c>
    </row>
    <row r="1360" spans="1:10" x14ac:dyDescent="0.2">
      <c r="A1360" s="859">
        <f t="shared" si="21"/>
        <v>1359</v>
      </c>
      <c r="B1360" s="845" t="s">
        <v>2553</v>
      </c>
      <c r="D1360" s="862"/>
      <c r="I1360" s="845" t="s">
        <v>1009</v>
      </c>
    </row>
    <row r="1361" spans="1:10" x14ac:dyDescent="0.2">
      <c r="A1361" s="859">
        <f t="shared" si="21"/>
        <v>1360</v>
      </c>
      <c r="B1361" s="845" t="s">
        <v>2553</v>
      </c>
      <c r="D1361" s="863"/>
      <c r="I1361" s="845" t="str">
        <f>CONCATENATE("&lt;valeur&gt;",Cellule_13423,"&lt;/valeur&gt;")</f>
        <v>&lt;valeur&gt;0&lt;/valeur&gt;</v>
      </c>
    </row>
    <row r="1362" spans="1:10" x14ac:dyDescent="0.2">
      <c r="A1362" s="859">
        <f t="shared" si="21"/>
        <v>1361</v>
      </c>
      <c r="B1362" s="845" t="s">
        <v>2553</v>
      </c>
      <c r="D1362" s="862"/>
      <c r="H1362" s="845" t="s">
        <v>1010</v>
      </c>
    </row>
    <row r="1363" spans="1:10" x14ac:dyDescent="0.2">
      <c r="A1363" s="859">
        <f t="shared" si="21"/>
        <v>1362</v>
      </c>
      <c r="B1363" s="845" t="s">
        <v>2553</v>
      </c>
      <c r="D1363" s="862"/>
      <c r="H1363" s="845" t="s">
        <v>1007</v>
      </c>
    </row>
    <row r="1364" spans="1:10" x14ac:dyDescent="0.2">
      <c r="A1364" s="859">
        <f t="shared" si="21"/>
        <v>1363</v>
      </c>
      <c r="B1364" s="845" t="s">
        <v>2553</v>
      </c>
      <c r="D1364" s="861"/>
      <c r="I1364" s="845" t="s">
        <v>1008</v>
      </c>
    </row>
    <row r="1365" spans="1:10" x14ac:dyDescent="0.2">
      <c r="A1365" s="859">
        <f t="shared" si="21"/>
        <v>1364</v>
      </c>
      <c r="B1365" s="845" t="s">
        <v>2553</v>
      </c>
      <c r="D1365" s="861"/>
      <c r="J1365" s="845" t="s">
        <v>1247</v>
      </c>
    </row>
    <row r="1366" spans="1:10" x14ac:dyDescent="0.2">
      <c r="A1366" s="859">
        <f t="shared" si="21"/>
        <v>1365</v>
      </c>
      <c r="B1366" s="845" t="s">
        <v>2553</v>
      </c>
      <c r="D1366" s="862"/>
      <c r="I1366" s="845" t="s">
        <v>1009</v>
      </c>
    </row>
    <row r="1367" spans="1:10" x14ac:dyDescent="0.2">
      <c r="A1367" s="859">
        <f t="shared" si="21"/>
        <v>1366</v>
      </c>
      <c r="B1367" s="845" t="s">
        <v>2553</v>
      </c>
      <c r="D1367" s="863"/>
      <c r="I1367" s="845" t="str">
        <f>CONCATENATE("&lt;valeur&gt;",Cellule_13424,"&lt;/valeur&gt;")</f>
        <v>&lt;valeur&gt;0&lt;/valeur&gt;</v>
      </c>
    </row>
    <row r="1368" spans="1:10" x14ac:dyDescent="0.2">
      <c r="A1368" s="859">
        <f t="shared" si="21"/>
        <v>1367</v>
      </c>
      <c r="B1368" s="845" t="s">
        <v>2553</v>
      </c>
      <c r="D1368" s="862"/>
      <c r="H1368" s="845" t="s">
        <v>1010</v>
      </c>
    </row>
    <row r="1369" spans="1:10" x14ac:dyDescent="0.2">
      <c r="A1369" s="859">
        <f t="shared" si="21"/>
        <v>1368</v>
      </c>
      <c r="B1369" s="845" t="s">
        <v>2553</v>
      </c>
      <c r="D1369" s="862"/>
      <c r="H1369" s="845" t="s">
        <v>1007</v>
      </c>
    </row>
    <row r="1370" spans="1:10" x14ac:dyDescent="0.2">
      <c r="A1370" s="859">
        <f t="shared" si="21"/>
        <v>1369</v>
      </c>
      <c r="B1370" s="845" t="s">
        <v>2553</v>
      </c>
      <c r="D1370" s="862"/>
      <c r="I1370" s="845" t="s">
        <v>1248</v>
      </c>
    </row>
    <row r="1371" spans="1:10" x14ac:dyDescent="0.2">
      <c r="A1371" s="859">
        <f t="shared" si="21"/>
        <v>1370</v>
      </c>
      <c r="B1371" s="845" t="s">
        <v>2553</v>
      </c>
      <c r="D1371" s="861"/>
      <c r="I1371" s="845" t="str">
        <f>CONCATENATE("&lt;valeur&gt;",Cellule_13339,"&lt;/valeur&gt;")</f>
        <v>&lt;valeur&gt;&lt;/valeur&gt;</v>
      </c>
    </row>
    <row r="1372" spans="1:10" x14ac:dyDescent="0.2">
      <c r="A1372" s="859">
        <f t="shared" si="21"/>
        <v>1371</v>
      </c>
      <c r="B1372" s="845" t="s">
        <v>2553</v>
      </c>
      <c r="D1372" s="861"/>
      <c r="I1372" s="845" t="s">
        <v>1249</v>
      </c>
    </row>
    <row r="1373" spans="1:10" x14ac:dyDescent="0.2">
      <c r="A1373" s="859">
        <f t="shared" si="21"/>
        <v>1372</v>
      </c>
      <c r="B1373" s="845" t="s">
        <v>2553</v>
      </c>
      <c r="D1373" s="862"/>
      <c r="H1373" s="845" t="s">
        <v>1010</v>
      </c>
    </row>
    <row r="1374" spans="1:10" x14ac:dyDescent="0.2">
      <c r="A1374" s="859">
        <f t="shared" si="21"/>
        <v>1373</v>
      </c>
      <c r="B1374" s="845" t="s">
        <v>2553</v>
      </c>
      <c r="D1374" s="863"/>
      <c r="H1374" s="845" t="s">
        <v>1007</v>
      </c>
    </row>
    <row r="1375" spans="1:10" x14ac:dyDescent="0.2">
      <c r="A1375" s="859">
        <f t="shared" si="21"/>
        <v>1374</v>
      </c>
      <c r="B1375" s="845" t="s">
        <v>2553</v>
      </c>
      <c r="D1375" s="862"/>
      <c r="I1375" s="845" t="s">
        <v>1250</v>
      </c>
    </row>
    <row r="1376" spans="1:10" x14ac:dyDescent="0.2">
      <c r="A1376" s="859">
        <f t="shared" si="21"/>
        <v>1375</v>
      </c>
      <c r="B1376" s="845" t="s">
        <v>2553</v>
      </c>
      <c r="D1376" s="862"/>
      <c r="I1376" s="845" t="str">
        <f>CONCATENATE("&lt;valeur&gt;",Cellule_13396,"&lt;/valeur&gt;")</f>
        <v>&lt;valeur&gt;&lt;/valeur&gt;</v>
      </c>
    </row>
    <row r="1377" spans="1:10" x14ac:dyDescent="0.2">
      <c r="A1377" s="859">
        <f t="shared" si="21"/>
        <v>1376</v>
      </c>
      <c r="B1377" s="845" t="s">
        <v>2553</v>
      </c>
      <c r="D1377" s="862"/>
      <c r="I1377" s="845" t="s">
        <v>1249</v>
      </c>
    </row>
    <row r="1378" spans="1:10" x14ac:dyDescent="0.2">
      <c r="A1378" s="859">
        <f t="shared" si="21"/>
        <v>1377</v>
      </c>
      <c r="B1378" s="845" t="s">
        <v>2553</v>
      </c>
      <c r="D1378" s="861"/>
      <c r="H1378" s="845" t="s">
        <v>1010</v>
      </c>
    </row>
    <row r="1379" spans="1:10" x14ac:dyDescent="0.2">
      <c r="A1379" s="859">
        <f t="shared" si="21"/>
        <v>1378</v>
      </c>
      <c r="B1379" s="845" t="s">
        <v>2553</v>
      </c>
      <c r="D1379" s="861"/>
      <c r="H1379" s="845" t="s">
        <v>1007</v>
      </c>
    </row>
    <row r="1380" spans="1:10" x14ac:dyDescent="0.2">
      <c r="A1380" s="859">
        <f t="shared" si="21"/>
        <v>1379</v>
      </c>
      <c r="B1380" s="845" t="s">
        <v>2553</v>
      </c>
      <c r="D1380" s="862"/>
      <c r="I1380" s="845" t="s">
        <v>1251</v>
      </c>
    </row>
    <row r="1381" spans="1:10" x14ac:dyDescent="0.2">
      <c r="A1381" s="859">
        <f t="shared" si="21"/>
        <v>1380</v>
      </c>
      <c r="B1381" s="845" t="s">
        <v>2553</v>
      </c>
      <c r="D1381" s="863"/>
      <c r="I1381" s="845" t="str">
        <f>CONCATENATE("&lt;valeur&gt;",Cellule_13425,"&lt;/valeur&gt;")</f>
        <v>&lt;valeur&gt;&lt;/valeur&gt;</v>
      </c>
    </row>
    <row r="1382" spans="1:10" x14ac:dyDescent="0.2">
      <c r="A1382" s="859">
        <f t="shared" si="21"/>
        <v>1381</v>
      </c>
      <c r="B1382" s="845" t="s">
        <v>2553</v>
      </c>
      <c r="D1382" s="862"/>
      <c r="I1382" s="845" t="s">
        <v>1249</v>
      </c>
    </row>
    <row r="1383" spans="1:10" x14ac:dyDescent="0.2">
      <c r="A1383" s="859">
        <f t="shared" si="21"/>
        <v>1382</v>
      </c>
      <c r="B1383" s="845" t="s">
        <v>2553</v>
      </c>
      <c r="D1383" s="862"/>
      <c r="H1383" s="845" t="s">
        <v>1010</v>
      </c>
    </row>
    <row r="1384" spans="1:10" x14ac:dyDescent="0.2">
      <c r="A1384" s="859">
        <f t="shared" si="21"/>
        <v>1383</v>
      </c>
      <c r="B1384" s="845" t="s">
        <v>2553</v>
      </c>
      <c r="D1384" s="862"/>
      <c r="H1384" s="845" t="s">
        <v>1007</v>
      </c>
    </row>
    <row r="1385" spans="1:10" x14ac:dyDescent="0.2">
      <c r="A1385" s="859">
        <f t="shared" si="21"/>
        <v>1384</v>
      </c>
      <c r="B1385" s="845" t="s">
        <v>2553</v>
      </c>
      <c r="D1385" s="861"/>
      <c r="I1385" s="845" t="s">
        <v>1008</v>
      </c>
    </row>
    <row r="1386" spans="1:10" x14ac:dyDescent="0.2">
      <c r="A1386" s="859">
        <f t="shared" si="21"/>
        <v>1385</v>
      </c>
      <c r="B1386" s="845" t="s">
        <v>2553</v>
      </c>
      <c r="D1386" s="861"/>
      <c r="J1386" s="845" t="s">
        <v>1252</v>
      </c>
    </row>
    <row r="1387" spans="1:10" x14ac:dyDescent="0.2">
      <c r="A1387" s="859">
        <f t="shared" si="21"/>
        <v>1386</v>
      </c>
      <c r="B1387" s="845" t="s">
        <v>2553</v>
      </c>
      <c r="D1387" s="862"/>
      <c r="I1387" s="845" t="s">
        <v>1009</v>
      </c>
    </row>
    <row r="1388" spans="1:10" x14ac:dyDescent="0.2">
      <c r="A1388" s="859">
        <f t="shared" si="21"/>
        <v>1387</v>
      </c>
      <c r="B1388" s="845" t="s">
        <v>2553</v>
      </c>
      <c r="D1388" s="863"/>
      <c r="I1388" s="845" t="str">
        <f>CONCATENATE("&lt;valeur&gt;",Cellule_13393,"&lt;/valeur&gt;")</f>
        <v>&lt;valeur&gt;0&lt;/valeur&gt;</v>
      </c>
    </row>
    <row r="1389" spans="1:10" x14ac:dyDescent="0.2">
      <c r="A1389" s="859">
        <f t="shared" si="21"/>
        <v>1388</v>
      </c>
      <c r="B1389" s="845" t="s">
        <v>2553</v>
      </c>
      <c r="D1389" s="862"/>
      <c r="H1389" s="845" t="s">
        <v>1010</v>
      </c>
    </row>
    <row r="1390" spans="1:10" x14ac:dyDescent="0.2">
      <c r="A1390" s="859">
        <f t="shared" si="21"/>
        <v>1389</v>
      </c>
      <c r="B1390" s="845" t="s">
        <v>2553</v>
      </c>
      <c r="D1390" s="862"/>
      <c r="H1390" s="845" t="s">
        <v>1007</v>
      </c>
    </row>
    <row r="1391" spans="1:10" x14ac:dyDescent="0.2">
      <c r="A1391" s="859">
        <f t="shared" si="21"/>
        <v>1390</v>
      </c>
      <c r="B1391" s="845" t="s">
        <v>2553</v>
      </c>
      <c r="D1391" s="861"/>
      <c r="I1391" s="845" t="s">
        <v>1008</v>
      </c>
    </row>
    <row r="1392" spans="1:10" x14ac:dyDescent="0.2">
      <c r="A1392" s="859">
        <f t="shared" si="21"/>
        <v>1391</v>
      </c>
      <c r="B1392" s="845" t="s">
        <v>2553</v>
      </c>
      <c r="D1392" s="861"/>
      <c r="J1392" s="845" t="s">
        <v>1253</v>
      </c>
    </row>
    <row r="1393" spans="1:10" x14ac:dyDescent="0.2">
      <c r="A1393" s="859">
        <f t="shared" si="21"/>
        <v>1392</v>
      </c>
      <c r="B1393" s="845" t="s">
        <v>2553</v>
      </c>
      <c r="D1393" s="862"/>
      <c r="I1393" s="845" t="s">
        <v>1009</v>
      </c>
    </row>
    <row r="1394" spans="1:10" x14ac:dyDescent="0.2">
      <c r="A1394" s="859">
        <f t="shared" si="21"/>
        <v>1393</v>
      </c>
      <c r="B1394" s="845" t="s">
        <v>2553</v>
      </c>
      <c r="D1394" s="863"/>
      <c r="I1394" s="845" t="str">
        <f>CONCATENATE("&lt;valeur&gt;",Cellule_13394,"&lt;/valeur&gt;")</f>
        <v>&lt;valeur&gt;0&lt;/valeur&gt;</v>
      </c>
    </row>
    <row r="1395" spans="1:10" x14ac:dyDescent="0.2">
      <c r="A1395" s="859">
        <f t="shared" si="21"/>
        <v>1394</v>
      </c>
      <c r="B1395" s="845" t="s">
        <v>2553</v>
      </c>
      <c r="D1395" s="862"/>
      <c r="H1395" s="845" t="s">
        <v>1010</v>
      </c>
    </row>
    <row r="1396" spans="1:10" x14ac:dyDescent="0.2">
      <c r="A1396" s="859">
        <f t="shared" si="21"/>
        <v>1395</v>
      </c>
      <c r="B1396" s="845" t="s">
        <v>2553</v>
      </c>
      <c r="D1396" s="862"/>
      <c r="H1396" s="845" t="s">
        <v>1007</v>
      </c>
    </row>
    <row r="1397" spans="1:10" x14ac:dyDescent="0.2">
      <c r="A1397" s="859">
        <f t="shared" si="21"/>
        <v>1396</v>
      </c>
      <c r="B1397" s="845" t="s">
        <v>2553</v>
      </c>
      <c r="D1397" s="861"/>
      <c r="I1397" s="845" t="s">
        <v>1008</v>
      </c>
    </row>
    <row r="1398" spans="1:10" x14ac:dyDescent="0.2">
      <c r="A1398" s="859">
        <f t="shared" si="21"/>
        <v>1397</v>
      </c>
      <c r="B1398" s="845" t="s">
        <v>2553</v>
      </c>
      <c r="D1398" s="861"/>
      <c r="J1398" s="845" t="s">
        <v>1254</v>
      </c>
    </row>
    <row r="1399" spans="1:10" x14ac:dyDescent="0.2">
      <c r="A1399" s="859">
        <f t="shared" si="21"/>
        <v>1398</v>
      </c>
      <c r="B1399" s="845" t="s">
        <v>2553</v>
      </c>
      <c r="D1399" s="862"/>
      <c r="I1399" s="845" t="s">
        <v>1009</v>
      </c>
    </row>
    <row r="1400" spans="1:10" x14ac:dyDescent="0.2">
      <c r="A1400" s="859">
        <f t="shared" si="21"/>
        <v>1399</v>
      </c>
      <c r="B1400" s="845" t="s">
        <v>2553</v>
      </c>
      <c r="D1400" s="863"/>
      <c r="I1400" s="845" t="str">
        <f>CONCATENATE("&lt;valeur&gt;",Cellule_13395,"&lt;/valeur&gt;")</f>
        <v>&lt;valeur&gt;0&lt;/valeur&gt;</v>
      </c>
    </row>
    <row r="1401" spans="1:10" x14ac:dyDescent="0.2">
      <c r="A1401" s="859">
        <f t="shared" si="21"/>
        <v>1400</v>
      </c>
      <c r="B1401" s="845" t="s">
        <v>2553</v>
      </c>
      <c r="D1401" s="862"/>
      <c r="H1401" s="845" t="s">
        <v>1010</v>
      </c>
    </row>
    <row r="1402" spans="1:10" x14ac:dyDescent="0.2">
      <c r="A1402" s="859">
        <f t="shared" si="21"/>
        <v>1401</v>
      </c>
      <c r="B1402" s="845" t="s">
        <v>2553</v>
      </c>
      <c r="D1402" s="862"/>
      <c r="H1402" s="845" t="s">
        <v>1007</v>
      </c>
    </row>
    <row r="1403" spans="1:10" x14ac:dyDescent="0.2">
      <c r="A1403" s="859">
        <f t="shared" si="21"/>
        <v>1402</v>
      </c>
      <c r="B1403" s="845" t="s">
        <v>2553</v>
      </c>
      <c r="D1403" s="861"/>
      <c r="I1403" s="845" t="s">
        <v>1008</v>
      </c>
    </row>
    <row r="1404" spans="1:10" x14ac:dyDescent="0.2">
      <c r="A1404" s="859">
        <f t="shared" si="21"/>
        <v>1403</v>
      </c>
      <c r="B1404" s="845" t="s">
        <v>2553</v>
      </c>
      <c r="D1404" s="861"/>
      <c r="J1404" s="845" t="s">
        <v>1255</v>
      </c>
    </row>
    <row r="1405" spans="1:10" x14ac:dyDescent="0.2">
      <c r="A1405" s="859">
        <f t="shared" si="21"/>
        <v>1404</v>
      </c>
      <c r="B1405" s="845" t="s">
        <v>2553</v>
      </c>
      <c r="D1405" s="862"/>
      <c r="I1405" s="845" t="s">
        <v>1009</v>
      </c>
    </row>
    <row r="1406" spans="1:10" x14ac:dyDescent="0.2">
      <c r="A1406" s="859">
        <f t="shared" si="21"/>
        <v>1405</v>
      </c>
      <c r="B1406" s="845" t="s">
        <v>2553</v>
      </c>
      <c r="D1406" s="863"/>
      <c r="I1406" s="845" t="str">
        <f>CONCATENATE("&lt;valeur&gt;",Cellule_13426,"&lt;/valeur&gt;")</f>
        <v>&lt;valeur&gt;0&lt;/valeur&gt;</v>
      </c>
    </row>
    <row r="1407" spans="1:10" x14ac:dyDescent="0.2">
      <c r="A1407" s="859">
        <f t="shared" si="21"/>
        <v>1406</v>
      </c>
      <c r="B1407" s="845" t="s">
        <v>2553</v>
      </c>
      <c r="D1407" s="862"/>
      <c r="H1407" s="845" t="s">
        <v>1010</v>
      </c>
    </row>
    <row r="1408" spans="1:10" x14ac:dyDescent="0.2">
      <c r="A1408" s="859">
        <f t="shared" si="21"/>
        <v>1407</v>
      </c>
      <c r="B1408" s="845" t="s">
        <v>2553</v>
      </c>
      <c r="D1408" s="862"/>
      <c r="H1408" s="845" t="s">
        <v>1007</v>
      </c>
    </row>
    <row r="1409" spans="1:10" x14ac:dyDescent="0.2">
      <c r="A1409" s="859">
        <f t="shared" si="21"/>
        <v>1408</v>
      </c>
      <c r="B1409" s="845" t="s">
        <v>2553</v>
      </c>
      <c r="D1409" s="861"/>
      <c r="I1409" s="845" t="s">
        <v>1008</v>
      </c>
    </row>
    <row r="1410" spans="1:10" x14ac:dyDescent="0.2">
      <c r="A1410" s="859">
        <f t="shared" si="21"/>
        <v>1409</v>
      </c>
      <c r="B1410" s="845" t="s">
        <v>2553</v>
      </c>
      <c r="D1410" s="861"/>
      <c r="J1410" s="845" t="s">
        <v>1256</v>
      </c>
    </row>
    <row r="1411" spans="1:10" x14ac:dyDescent="0.2">
      <c r="A1411" s="859">
        <f t="shared" si="21"/>
        <v>1410</v>
      </c>
      <c r="B1411" s="845" t="s">
        <v>2553</v>
      </c>
      <c r="D1411" s="862"/>
      <c r="I1411" s="845" t="s">
        <v>1009</v>
      </c>
    </row>
    <row r="1412" spans="1:10" x14ac:dyDescent="0.2">
      <c r="A1412" s="859">
        <f t="shared" ref="A1412:A1475" si="22">+A1411+1</f>
        <v>1411</v>
      </c>
      <c r="B1412" s="845" t="s">
        <v>2553</v>
      </c>
      <c r="D1412" s="863"/>
      <c r="I1412" s="845" t="str">
        <f>CONCATENATE("&lt;valeur&gt;",Cellule_13427,"&lt;/valeur&gt;")</f>
        <v>&lt;valeur&gt;0&lt;/valeur&gt;</v>
      </c>
    </row>
    <row r="1413" spans="1:10" x14ac:dyDescent="0.2">
      <c r="A1413" s="859">
        <f t="shared" si="22"/>
        <v>1412</v>
      </c>
      <c r="B1413" s="845" t="s">
        <v>2553</v>
      </c>
      <c r="D1413" s="862"/>
      <c r="H1413" s="845" t="s">
        <v>1010</v>
      </c>
    </row>
    <row r="1414" spans="1:10" x14ac:dyDescent="0.2">
      <c r="A1414" s="859">
        <f t="shared" si="22"/>
        <v>1413</v>
      </c>
      <c r="B1414" s="845" t="s">
        <v>2553</v>
      </c>
      <c r="D1414" s="862"/>
      <c r="H1414" s="845" t="s">
        <v>1007</v>
      </c>
    </row>
    <row r="1415" spans="1:10" x14ac:dyDescent="0.2">
      <c r="A1415" s="859">
        <f t="shared" si="22"/>
        <v>1414</v>
      </c>
      <c r="B1415" s="845" t="s">
        <v>2553</v>
      </c>
      <c r="D1415" s="861"/>
      <c r="I1415" s="845" t="s">
        <v>1008</v>
      </c>
    </row>
    <row r="1416" spans="1:10" x14ac:dyDescent="0.2">
      <c r="A1416" s="859">
        <f t="shared" si="22"/>
        <v>1415</v>
      </c>
      <c r="B1416" s="845" t="s">
        <v>2553</v>
      </c>
      <c r="D1416" s="861"/>
      <c r="J1416" s="845" t="s">
        <v>1257</v>
      </c>
    </row>
    <row r="1417" spans="1:10" x14ac:dyDescent="0.2">
      <c r="A1417" s="859">
        <f t="shared" si="22"/>
        <v>1416</v>
      </c>
      <c r="B1417" s="845" t="s">
        <v>2553</v>
      </c>
      <c r="D1417" s="862"/>
      <c r="I1417" s="845" t="s">
        <v>1009</v>
      </c>
    </row>
    <row r="1418" spans="1:10" x14ac:dyDescent="0.2">
      <c r="A1418" s="859">
        <f t="shared" si="22"/>
        <v>1417</v>
      </c>
      <c r="B1418" s="845" t="s">
        <v>2553</v>
      </c>
      <c r="D1418" s="863"/>
      <c r="I1418" s="845" t="str">
        <f>CONCATENATE("&lt;valeur&gt;",Cellule_13428,"&lt;/valeur&gt;")</f>
        <v>&lt;valeur&gt;0&lt;/valeur&gt;</v>
      </c>
    </row>
    <row r="1419" spans="1:10" x14ac:dyDescent="0.2">
      <c r="A1419" s="859">
        <f t="shared" si="22"/>
        <v>1418</v>
      </c>
      <c r="B1419" s="845" t="s">
        <v>2553</v>
      </c>
      <c r="D1419" s="862"/>
      <c r="H1419" s="845" t="s">
        <v>1010</v>
      </c>
    </row>
    <row r="1420" spans="1:10" x14ac:dyDescent="0.2">
      <c r="A1420" s="859">
        <f t="shared" si="22"/>
        <v>1419</v>
      </c>
      <c r="B1420" s="845" t="s">
        <v>2553</v>
      </c>
      <c r="D1420" s="862"/>
      <c r="H1420" s="845" t="s">
        <v>1007</v>
      </c>
    </row>
    <row r="1421" spans="1:10" x14ac:dyDescent="0.2">
      <c r="A1421" s="859">
        <f t="shared" si="22"/>
        <v>1420</v>
      </c>
      <c r="B1421" s="845" t="s">
        <v>2553</v>
      </c>
      <c r="D1421" s="861"/>
      <c r="I1421" s="845" t="s">
        <v>1258</v>
      </c>
    </row>
    <row r="1422" spans="1:10" x14ac:dyDescent="0.2">
      <c r="A1422" s="859">
        <f t="shared" si="22"/>
        <v>1421</v>
      </c>
      <c r="B1422" s="845" t="s">
        <v>2553</v>
      </c>
      <c r="D1422" s="861"/>
      <c r="I1422" s="845" t="str">
        <f>CONCATENATE("&lt;valeur&gt;",Cellule_13343,"&lt;/valeur&gt;")</f>
        <v>&lt;valeur&gt;&lt;/valeur&gt;</v>
      </c>
    </row>
    <row r="1423" spans="1:10" x14ac:dyDescent="0.2">
      <c r="A1423" s="859">
        <f t="shared" si="22"/>
        <v>1422</v>
      </c>
      <c r="B1423" s="845" t="s">
        <v>2553</v>
      </c>
      <c r="D1423" s="862"/>
      <c r="I1423" s="845" t="s">
        <v>1249</v>
      </c>
    </row>
    <row r="1424" spans="1:10" x14ac:dyDescent="0.2">
      <c r="A1424" s="859">
        <f t="shared" si="22"/>
        <v>1423</v>
      </c>
      <c r="B1424" s="845" t="s">
        <v>2553</v>
      </c>
      <c r="D1424" s="863"/>
      <c r="H1424" s="845" t="s">
        <v>1010</v>
      </c>
    </row>
    <row r="1425" spans="1:10" x14ac:dyDescent="0.2">
      <c r="A1425" s="859">
        <f t="shared" si="22"/>
        <v>1424</v>
      </c>
      <c r="B1425" s="845" t="s">
        <v>2553</v>
      </c>
      <c r="D1425" s="862"/>
      <c r="H1425" s="845" t="s">
        <v>1007</v>
      </c>
    </row>
    <row r="1426" spans="1:10" x14ac:dyDescent="0.2">
      <c r="A1426" s="859">
        <f t="shared" si="22"/>
        <v>1425</v>
      </c>
      <c r="B1426" s="845" t="s">
        <v>2553</v>
      </c>
      <c r="D1426" s="862"/>
      <c r="I1426" s="845" t="s">
        <v>1259</v>
      </c>
    </row>
    <row r="1427" spans="1:10" x14ac:dyDescent="0.2">
      <c r="A1427" s="859">
        <f t="shared" si="22"/>
        <v>1426</v>
      </c>
      <c r="B1427" s="845" t="s">
        <v>2553</v>
      </c>
      <c r="D1427" s="862"/>
      <c r="I1427" s="845" t="str">
        <f>CONCATENATE("&lt;valeur&gt;",Cellule_13392,"&lt;/valeur&gt;")</f>
        <v>&lt;valeur&gt;&lt;/valeur&gt;</v>
      </c>
    </row>
    <row r="1428" spans="1:10" x14ac:dyDescent="0.2">
      <c r="A1428" s="859">
        <f t="shared" si="22"/>
        <v>1427</v>
      </c>
      <c r="B1428" s="845" t="s">
        <v>2553</v>
      </c>
      <c r="D1428" s="861"/>
      <c r="I1428" s="845" t="s">
        <v>1249</v>
      </c>
    </row>
    <row r="1429" spans="1:10" x14ac:dyDescent="0.2">
      <c r="A1429" s="859">
        <f t="shared" si="22"/>
        <v>1428</v>
      </c>
      <c r="B1429" s="845" t="s">
        <v>2553</v>
      </c>
      <c r="D1429" s="861"/>
      <c r="H1429" s="845" t="s">
        <v>1010</v>
      </c>
    </row>
    <row r="1430" spans="1:10" x14ac:dyDescent="0.2">
      <c r="A1430" s="859">
        <f t="shared" si="22"/>
        <v>1429</v>
      </c>
      <c r="B1430" s="845" t="s">
        <v>2553</v>
      </c>
      <c r="D1430" s="862"/>
      <c r="H1430" s="845" t="s">
        <v>1007</v>
      </c>
    </row>
    <row r="1431" spans="1:10" x14ac:dyDescent="0.2">
      <c r="A1431" s="859">
        <f t="shared" si="22"/>
        <v>1430</v>
      </c>
      <c r="B1431" s="845" t="s">
        <v>2553</v>
      </c>
      <c r="D1431" s="863"/>
      <c r="I1431" s="845" t="s">
        <v>1260</v>
      </c>
    </row>
    <row r="1432" spans="1:10" x14ac:dyDescent="0.2">
      <c r="A1432" s="859">
        <f t="shared" si="22"/>
        <v>1431</v>
      </c>
      <c r="B1432" s="845" t="s">
        <v>2553</v>
      </c>
      <c r="D1432" s="862"/>
      <c r="I1432" s="845" t="str">
        <f>CONCATENATE("&lt;valeur&gt;",Cellule_13429,"&lt;/valeur&gt;")</f>
        <v>&lt;valeur&gt;&lt;/valeur&gt;</v>
      </c>
    </row>
    <row r="1433" spans="1:10" x14ac:dyDescent="0.2">
      <c r="A1433" s="859">
        <f t="shared" si="22"/>
        <v>1432</v>
      </c>
      <c r="B1433" s="845" t="s">
        <v>2553</v>
      </c>
      <c r="D1433" s="862"/>
      <c r="I1433" s="845" t="s">
        <v>1249</v>
      </c>
    </row>
    <row r="1434" spans="1:10" x14ac:dyDescent="0.2">
      <c r="A1434" s="859">
        <f t="shared" si="22"/>
        <v>1433</v>
      </c>
      <c r="B1434" s="845" t="s">
        <v>2553</v>
      </c>
      <c r="D1434" s="862"/>
      <c r="H1434" s="845" t="s">
        <v>1010</v>
      </c>
    </row>
    <row r="1435" spans="1:10" x14ac:dyDescent="0.2">
      <c r="A1435" s="859">
        <f t="shared" si="22"/>
        <v>1434</v>
      </c>
      <c r="B1435" s="845" t="s">
        <v>2553</v>
      </c>
      <c r="D1435" s="861"/>
      <c r="H1435" s="845" t="s">
        <v>1007</v>
      </c>
    </row>
    <row r="1436" spans="1:10" x14ac:dyDescent="0.2">
      <c r="A1436" s="859">
        <f t="shared" si="22"/>
        <v>1435</v>
      </c>
      <c r="B1436" s="845" t="s">
        <v>2553</v>
      </c>
      <c r="D1436" s="861"/>
      <c r="I1436" s="845" t="s">
        <v>1008</v>
      </c>
    </row>
    <row r="1437" spans="1:10" x14ac:dyDescent="0.2">
      <c r="A1437" s="859">
        <f t="shared" si="22"/>
        <v>1436</v>
      </c>
      <c r="B1437" s="845" t="s">
        <v>2553</v>
      </c>
      <c r="D1437" s="862"/>
      <c r="J1437" s="845" t="s">
        <v>1261</v>
      </c>
    </row>
    <row r="1438" spans="1:10" x14ac:dyDescent="0.2">
      <c r="A1438" s="859">
        <f t="shared" si="22"/>
        <v>1437</v>
      </c>
      <c r="B1438" s="845" t="s">
        <v>2553</v>
      </c>
      <c r="D1438" s="863"/>
      <c r="I1438" s="845" t="s">
        <v>1009</v>
      </c>
    </row>
    <row r="1439" spans="1:10" x14ac:dyDescent="0.2">
      <c r="A1439" s="859">
        <f t="shared" si="22"/>
        <v>1438</v>
      </c>
      <c r="B1439" s="845" t="s">
        <v>2553</v>
      </c>
      <c r="D1439" s="862"/>
      <c r="I1439" s="845" t="str">
        <f>CONCATENATE("&lt;valeur&gt;",Cellule_13389,"&lt;/valeur&gt;")</f>
        <v>&lt;valeur&gt;0&lt;/valeur&gt;</v>
      </c>
    </row>
    <row r="1440" spans="1:10" x14ac:dyDescent="0.2">
      <c r="A1440" s="859">
        <f t="shared" si="22"/>
        <v>1439</v>
      </c>
      <c r="B1440" s="845" t="s">
        <v>2553</v>
      </c>
      <c r="D1440" s="862"/>
      <c r="H1440" s="845" t="s">
        <v>1010</v>
      </c>
    </row>
    <row r="1441" spans="1:10" x14ac:dyDescent="0.2">
      <c r="A1441" s="859">
        <f t="shared" si="22"/>
        <v>1440</v>
      </c>
      <c r="B1441" s="845" t="s">
        <v>2553</v>
      </c>
      <c r="D1441" s="862"/>
      <c r="H1441" s="845" t="s">
        <v>1007</v>
      </c>
    </row>
    <row r="1442" spans="1:10" x14ac:dyDescent="0.2">
      <c r="A1442" s="859">
        <f t="shared" si="22"/>
        <v>1441</v>
      </c>
      <c r="B1442" s="845" t="s">
        <v>2553</v>
      </c>
      <c r="D1442" s="861"/>
      <c r="I1442" s="845" t="s">
        <v>1008</v>
      </c>
    </row>
    <row r="1443" spans="1:10" x14ac:dyDescent="0.2">
      <c r="A1443" s="859">
        <f t="shared" si="22"/>
        <v>1442</v>
      </c>
      <c r="B1443" s="845" t="s">
        <v>2553</v>
      </c>
      <c r="D1443" s="861"/>
      <c r="J1443" s="845" t="s">
        <v>1262</v>
      </c>
    </row>
    <row r="1444" spans="1:10" x14ac:dyDescent="0.2">
      <c r="A1444" s="859">
        <f t="shared" si="22"/>
        <v>1443</v>
      </c>
      <c r="B1444" s="845" t="s">
        <v>2553</v>
      </c>
      <c r="D1444" s="862"/>
      <c r="I1444" s="845" t="s">
        <v>1009</v>
      </c>
    </row>
    <row r="1445" spans="1:10" x14ac:dyDescent="0.2">
      <c r="A1445" s="859">
        <f t="shared" si="22"/>
        <v>1444</v>
      </c>
      <c r="B1445" s="845" t="s">
        <v>2553</v>
      </c>
      <c r="D1445" s="863"/>
      <c r="I1445" s="845" t="str">
        <f>CONCATENATE("&lt;valeur&gt;",Cellule_13390,"&lt;/valeur&gt;")</f>
        <v>&lt;valeur&gt;0&lt;/valeur&gt;</v>
      </c>
    </row>
    <row r="1446" spans="1:10" x14ac:dyDescent="0.2">
      <c r="A1446" s="859">
        <f t="shared" si="22"/>
        <v>1445</v>
      </c>
      <c r="B1446" s="845" t="s">
        <v>2553</v>
      </c>
      <c r="D1446" s="862"/>
      <c r="H1446" s="845" t="s">
        <v>1010</v>
      </c>
    </row>
    <row r="1447" spans="1:10" x14ac:dyDescent="0.2">
      <c r="A1447" s="859">
        <f t="shared" si="22"/>
        <v>1446</v>
      </c>
      <c r="B1447" s="845" t="s">
        <v>2553</v>
      </c>
      <c r="D1447" s="862"/>
      <c r="H1447" s="845" t="s">
        <v>1007</v>
      </c>
    </row>
    <row r="1448" spans="1:10" x14ac:dyDescent="0.2">
      <c r="A1448" s="859">
        <f t="shared" si="22"/>
        <v>1447</v>
      </c>
      <c r="B1448" s="845" t="s">
        <v>2553</v>
      </c>
      <c r="D1448" s="861"/>
      <c r="I1448" s="845" t="s">
        <v>1008</v>
      </c>
    </row>
    <row r="1449" spans="1:10" x14ac:dyDescent="0.2">
      <c r="A1449" s="859">
        <f t="shared" si="22"/>
        <v>1448</v>
      </c>
      <c r="B1449" s="845" t="s">
        <v>2553</v>
      </c>
      <c r="D1449" s="861"/>
      <c r="J1449" s="845" t="s">
        <v>1263</v>
      </c>
    </row>
    <row r="1450" spans="1:10" x14ac:dyDescent="0.2">
      <c r="A1450" s="859">
        <f t="shared" si="22"/>
        <v>1449</v>
      </c>
      <c r="B1450" s="845" t="s">
        <v>2553</v>
      </c>
      <c r="D1450" s="862"/>
      <c r="I1450" s="845" t="s">
        <v>1009</v>
      </c>
    </row>
    <row r="1451" spans="1:10" x14ac:dyDescent="0.2">
      <c r="A1451" s="859">
        <f t="shared" si="22"/>
        <v>1450</v>
      </c>
      <c r="B1451" s="845" t="s">
        <v>2553</v>
      </c>
      <c r="D1451" s="863"/>
      <c r="I1451" s="845" t="str">
        <f>CONCATENATE("&lt;valeur&gt;",Cellule_13391,"&lt;/valeur&gt;")</f>
        <v>&lt;valeur&gt;0&lt;/valeur&gt;</v>
      </c>
    </row>
    <row r="1452" spans="1:10" x14ac:dyDescent="0.2">
      <c r="A1452" s="859">
        <f t="shared" si="22"/>
        <v>1451</v>
      </c>
      <c r="B1452" s="845" t="s">
        <v>2553</v>
      </c>
      <c r="D1452" s="862"/>
      <c r="H1452" s="845" t="s">
        <v>1010</v>
      </c>
    </row>
    <row r="1453" spans="1:10" x14ac:dyDescent="0.2">
      <c r="A1453" s="859">
        <f t="shared" si="22"/>
        <v>1452</v>
      </c>
      <c r="B1453" s="845" t="s">
        <v>2553</v>
      </c>
      <c r="D1453" s="862"/>
      <c r="H1453" s="845" t="s">
        <v>1007</v>
      </c>
    </row>
    <row r="1454" spans="1:10" x14ac:dyDescent="0.2">
      <c r="A1454" s="859">
        <f t="shared" si="22"/>
        <v>1453</v>
      </c>
      <c r="B1454" s="845" t="s">
        <v>2553</v>
      </c>
      <c r="D1454" s="861"/>
      <c r="I1454" s="845" t="s">
        <v>1008</v>
      </c>
    </row>
    <row r="1455" spans="1:10" x14ac:dyDescent="0.2">
      <c r="A1455" s="859">
        <f t="shared" si="22"/>
        <v>1454</v>
      </c>
      <c r="B1455" s="845" t="s">
        <v>2553</v>
      </c>
      <c r="D1455" s="861"/>
      <c r="J1455" s="845" t="s">
        <v>1264</v>
      </c>
    </row>
    <row r="1456" spans="1:10" x14ac:dyDescent="0.2">
      <c r="A1456" s="859">
        <f t="shared" si="22"/>
        <v>1455</v>
      </c>
      <c r="B1456" s="845" t="s">
        <v>2553</v>
      </c>
      <c r="D1456" s="862"/>
      <c r="I1456" s="845" t="s">
        <v>1009</v>
      </c>
    </row>
    <row r="1457" spans="1:10" x14ac:dyDescent="0.2">
      <c r="A1457" s="859">
        <f t="shared" si="22"/>
        <v>1456</v>
      </c>
      <c r="B1457" s="845" t="s">
        <v>2553</v>
      </c>
      <c r="D1457" s="863"/>
      <c r="I1457" s="845" t="str">
        <f>CONCATENATE("&lt;valeur&gt;",Cellule_13430,"&lt;/valeur&gt;")</f>
        <v>&lt;valeur&gt;0&lt;/valeur&gt;</v>
      </c>
    </row>
    <row r="1458" spans="1:10" x14ac:dyDescent="0.2">
      <c r="A1458" s="859">
        <f t="shared" si="22"/>
        <v>1457</v>
      </c>
      <c r="B1458" s="845" t="s">
        <v>2553</v>
      </c>
      <c r="D1458" s="862"/>
      <c r="H1458" s="845" t="s">
        <v>1010</v>
      </c>
    </row>
    <row r="1459" spans="1:10" x14ac:dyDescent="0.2">
      <c r="A1459" s="859">
        <f t="shared" si="22"/>
        <v>1458</v>
      </c>
      <c r="B1459" s="845" t="s">
        <v>2553</v>
      </c>
      <c r="D1459" s="862"/>
      <c r="H1459" s="845" t="s">
        <v>1007</v>
      </c>
    </row>
    <row r="1460" spans="1:10" x14ac:dyDescent="0.2">
      <c r="A1460" s="859">
        <f t="shared" si="22"/>
        <v>1459</v>
      </c>
      <c r="B1460" s="845" t="s">
        <v>2553</v>
      </c>
      <c r="D1460" s="861"/>
      <c r="I1460" s="845" t="s">
        <v>1008</v>
      </c>
    </row>
    <row r="1461" spans="1:10" x14ac:dyDescent="0.2">
      <c r="A1461" s="859">
        <f t="shared" si="22"/>
        <v>1460</v>
      </c>
      <c r="B1461" s="845" t="s">
        <v>2553</v>
      </c>
      <c r="D1461" s="861"/>
      <c r="J1461" s="845" t="s">
        <v>1265</v>
      </c>
    </row>
    <row r="1462" spans="1:10" x14ac:dyDescent="0.2">
      <c r="A1462" s="859">
        <f t="shared" si="22"/>
        <v>1461</v>
      </c>
      <c r="B1462" s="845" t="s">
        <v>2553</v>
      </c>
      <c r="D1462" s="862"/>
      <c r="I1462" s="845" t="s">
        <v>1009</v>
      </c>
    </row>
    <row r="1463" spans="1:10" x14ac:dyDescent="0.2">
      <c r="A1463" s="859">
        <f t="shared" si="22"/>
        <v>1462</v>
      </c>
      <c r="B1463" s="845" t="s">
        <v>2553</v>
      </c>
      <c r="D1463" s="863"/>
      <c r="I1463" s="845" t="str">
        <f>CONCATENATE("&lt;valeur&gt;",Cellule_13431,"&lt;/valeur&gt;")</f>
        <v>&lt;valeur&gt;0&lt;/valeur&gt;</v>
      </c>
    </row>
    <row r="1464" spans="1:10" x14ac:dyDescent="0.2">
      <c r="A1464" s="859">
        <f t="shared" si="22"/>
        <v>1463</v>
      </c>
      <c r="B1464" s="845" t="s">
        <v>2553</v>
      </c>
      <c r="D1464" s="862"/>
      <c r="H1464" s="845" t="s">
        <v>1010</v>
      </c>
    </row>
    <row r="1465" spans="1:10" x14ac:dyDescent="0.2">
      <c r="A1465" s="859">
        <f t="shared" si="22"/>
        <v>1464</v>
      </c>
      <c r="B1465" s="845" t="s">
        <v>2553</v>
      </c>
      <c r="D1465" s="862"/>
      <c r="H1465" s="845" t="s">
        <v>1007</v>
      </c>
    </row>
    <row r="1466" spans="1:10" x14ac:dyDescent="0.2">
      <c r="A1466" s="859">
        <f t="shared" si="22"/>
        <v>1465</v>
      </c>
      <c r="B1466" s="845" t="s">
        <v>2553</v>
      </c>
      <c r="D1466" s="861"/>
      <c r="I1466" s="845" t="s">
        <v>1008</v>
      </c>
    </row>
    <row r="1467" spans="1:10" x14ac:dyDescent="0.2">
      <c r="A1467" s="859">
        <f t="shared" si="22"/>
        <v>1466</v>
      </c>
      <c r="B1467" s="845" t="s">
        <v>2553</v>
      </c>
      <c r="D1467" s="861"/>
      <c r="J1467" s="845" t="s">
        <v>1266</v>
      </c>
    </row>
    <row r="1468" spans="1:10" x14ac:dyDescent="0.2">
      <c r="A1468" s="859">
        <f t="shared" si="22"/>
        <v>1467</v>
      </c>
      <c r="B1468" s="845" t="s">
        <v>2553</v>
      </c>
      <c r="D1468" s="862"/>
      <c r="I1468" s="845" t="s">
        <v>1009</v>
      </c>
    </row>
    <row r="1469" spans="1:10" x14ac:dyDescent="0.2">
      <c r="A1469" s="859">
        <f t="shared" si="22"/>
        <v>1468</v>
      </c>
      <c r="B1469" s="845" t="s">
        <v>2553</v>
      </c>
      <c r="D1469" s="863"/>
      <c r="I1469" s="845" t="str">
        <f>CONCATENATE("&lt;valeur&gt;",Cellule_13432,"&lt;/valeur&gt;")</f>
        <v>&lt;valeur&gt;0&lt;/valeur&gt;</v>
      </c>
    </row>
    <row r="1470" spans="1:10" x14ac:dyDescent="0.2">
      <c r="A1470" s="859">
        <f t="shared" si="22"/>
        <v>1469</v>
      </c>
      <c r="B1470" s="845" t="s">
        <v>2553</v>
      </c>
      <c r="D1470" s="862"/>
      <c r="H1470" s="845" t="s">
        <v>1010</v>
      </c>
    </row>
    <row r="1471" spans="1:10" x14ac:dyDescent="0.2">
      <c r="A1471" s="859">
        <f t="shared" si="22"/>
        <v>1470</v>
      </c>
      <c r="B1471" s="845" t="s">
        <v>2553</v>
      </c>
      <c r="D1471" s="862"/>
      <c r="H1471" s="845" t="s">
        <v>1007</v>
      </c>
    </row>
    <row r="1472" spans="1:10" x14ac:dyDescent="0.2">
      <c r="A1472" s="859">
        <f t="shared" si="22"/>
        <v>1471</v>
      </c>
      <c r="B1472" s="845" t="s">
        <v>2553</v>
      </c>
      <c r="D1472" s="861"/>
      <c r="I1472" s="845" t="s">
        <v>1008</v>
      </c>
    </row>
    <row r="1473" spans="1:10" x14ac:dyDescent="0.2">
      <c r="A1473" s="859">
        <f t="shared" si="22"/>
        <v>1472</v>
      </c>
      <c r="B1473" s="845" t="s">
        <v>2553</v>
      </c>
      <c r="D1473" s="861"/>
      <c r="J1473" s="845" t="s">
        <v>1267</v>
      </c>
    </row>
    <row r="1474" spans="1:10" x14ac:dyDescent="0.2">
      <c r="A1474" s="859">
        <f t="shared" si="22"/>
        <v>1473</v>
      </c>
      <c r="B1474" s="845" t="s">
        <v>2553</v>
      </c>
      <c r="D1474" s="862"/>
      <c r="I1474" s="845" t="s">
        <v>1009</v>
      </c>
    </row>
    <row r="1475" spans="1:10" x14ac:dyDescent="0.2">
      <c r="A1475" s="859">
        <f t="shared" si="22"/>
        <v>1474</v>
      </c>
      <c r="B1475" s="845" t="s">
        <v>2553</v>
      </c>
      <c r="D1475" s="863"/>
      <c r="I1475" s="845" t="str">
        <f>CONCATENATE("&lt;valeur&gt;",Cellule_13386,"&lt;/valeur&gt;")</f>
        <v>&lt;valeur&gt;0&lt;/valeur&gt;</v>
      </c>
    </row>
    <row r="1476" spans="1:10" x14ac:dyDescent="0.2">
      <c r="A1476" s="859">
        <f t="shared" ref="A1476:A1539" si="23">+A1475+1</f>
        <v>1475</v>
      </c>
      <c r="B1476" s="845" t="s">
        <v>2553</v>
      </c>
      <c r="D1476" s="862"/>
      <c r="H1476" s="845" t="s">
        <v>1010</v>
      </c>
    </row>
    <row r="1477" spans="1:10" x14ac:dyDescent="0.2">
      <c r="A1477" s="859">
        <f t="shared" si="23"/>
        <v>1476</v>
      </c>
      <c r="B1477" s="845" t="s">
        <v>2553</v>
      </c>
      <c r="D1477" s="862"/>
      <c r="H1477" s="845" t="s">
        <v>1007</v>
      </c>
    </row>
    <row r="1478" spans="1:10" x14ac:dyDescent="0.2">
      <c r="A1478" s="859">
        <f t="shared" si="23"/>
        <v>1477</v>
      </c>
      <c r="B1478" s="845" t="s">
        <v>2553</v>
      </c>
      <c r="D1478" s="861"/>
      <c r="I1478" s="845" t="s">
        <v>1008</v>
      </c>
    </row>
    <row r="1479" spans="1:10" x14ac:dyDescent="0.2">
      <c r="A1479" s="859">
        <f t="shared" si="23"/>
        <v>1478</v>
      </c>
      <c r="B1479" s="845" t="s">
        <v>2553</v>
      </c>
      <c r="D1479" s="861"/>
      <c r="J1479" s="845" t="s">
        <v>1268</v>
      </c>
    </row>
    <row r="1480" spans="1:10" x14ac:dyDescent="0.2">
      <c r="A1480" s="859">
        <f t="shared" si="23"/>
        <v>1479</v>
      </c>
      <c r="B1480" s="845" t="s">
        <v>2553</v>
      </c>
      <c r="D1480" s="862"/>
      <c r="I1480" s="845" t="s">
        <v>1009</v>
      </c>
    </row>
    <row r="1481" spans="1:10" x14ac:dyDescent="0.2">
      <c r="A1481" s="859">
        <f t="shared" si="23"/>
        <v>1480</v>
      </c>
      <c r="B1481" s="845" t="s">
        <v>2553</v>
      </c>
      <c r="D1481" s="863"/>
      <c r="I1481" s="845" t="str">
        <f>CONCATENATE("&lt;valeur&gt;",Cellule_13387,"&lt;/valeur&gt;")</f>
        <v>&lt;valeur&gt;0&lt;/valeur&gt;</v>
      </c>
    </row>
    <row r="1482" spans="1:10" x14ac:dyDescent="0.2">
      <c r="A1482" s="859">
        <f t="shared" si="23"/>
        <v>1481</v>
      </c>
      <c r="B1482" s="845" t="s">
        <v>2553</v>
      </c>
      <c r="D1482" s="862"/>
      <c r="H1482" s="845" t="s">
        <v>1010</v>
      </c>
    </row>
    <row r="1483" spans="1:10" x14ac:dyDescent="0.2">
      <c r="A1483" s="859">
        <f t="shared" si="23"/>
        <v>1482</v>
      </c>
      <c r="B1483" s="845" t="s">
        <v>2553</v>
      </c>
      <c r="D1483" s="862"/>
      <c r="H1483" s="845" t="s">
        <v>1007</v>
      </c>
    </row>
    <row r="1484" spans="1:10" x14ac:dyDescent="0.2">
      <c r="A1484" s="859">
        <f t="shared" si="23"/>
        <v>1483</v>
      </c>
      <c r="B1484" s="845" t="s">
        <v>2553</v>
      </c>
      <c r="D1484" s="861"/>
      <c r="I1484" s="845" t="s">
        <v>1008</v>
      </c>
    </row>
    <row r="1485" spans="1:10" x14ac:dyDescent="0.2">
      <c r="A1485" s="859">
        <f t="shared" si="23"/>
        <v>1484</v>
      </c>
      <c r="B1485" s="845" t="s">
        <v>2553</v>
      </c>
      <c r="D1485" s="861"/>
      <c r="J1485" s="845" t="s">
        <v>1269</v>
      </c>
    </row>
    <row r="1486" spans="1:10" x14ac:dyDescent="0.2">
      <c r="A1486" s="859">
        <f t="shared" si="23"/>
        <v>1485</v>
      </c>
      <c r="B1486" s="845" t="s">
        <v>2553</v>
      </c>
      <c r="D1486" s="862"/>
      <c r="I1486" s="845" t="s">
        <v>1009</v>
      </c>
    </row>
    <row r="1487" spans="1:10" x14ac:dyDescent="0.2">
      <c r="A1487" s="859">
        <f t="shared" si="23"/>
        <v>1486</v>
      </c>
      <c r="B1487" s="845" t="s">
        <v>2553</v>
      </c>
      <c r="D1487" s="863"/>
      <c r="I1487" s="845" t="str">
        <f>CONCATENATE("&lt;valeur&gt;",Cellule_13388,"&lt;/valeur&gt;")</f>
        <v>&lt;valeur&gt;0&lt;/valeur&gt;</v>
      </c>
    </row>
    <row r="1488" spans="1:10" x14ac:dyDescent="0.2">
      <c r="A1488" s="859">
        <f t="shared" si="23"/>
        <v>1487</v>
      </c>
      <c r="B1488" s="845" t="s">
        <v>2553</v>
      </c>
      <c r="D1488" s="862"/>
      <c r="H1488" s="845" t="s">
        <v>1010</v>
      </c>
    </row>
    <row r="1489" spans="1:10" x14ac:dyDescent="0.2">
      <c r="A1489" s="859">
        <f t="shared" si="23"/>
        <v>1488</v>
      </c>
      <c r="B1489" s="845" t="s">
        <v>2553</v>
      </c>
      <c r="D1489" s="862"/>
      <c r="H1489" s="845" t="s">
        <v>1007</v>
      </c>
    </row>
    <row r="1490" spans="1:10" x14ac:dyDescent="0.2">
      <c r="A1490" s="859">
        <f t="shared" si="23"/>
        <v>1489</v>
      </c>
      <c r="B1490" s="845" t="s">
        <v>2553</v>
      </c>
      <c r="D1490" s="861"/>
      <c r="I1490" s="845" t="s">
        <v>1008</v>
      </c>
    </row>
    <row r="1491" spans="1:10" x14ac:dyDescent="0.2">
      <c r="A1491" s="859">
        <f t="shared" si="23"/>
        <v>1490</v>
      </c>
      <c r="B1491" s="845" t="s">
        <v>2553</v>
      </c>
      <c r="D1491" s="861"/>
      <c r="J1491" s="845" t="s">
        <v>1270</v>
      </c>
    </row>
    <row r="1492" spans="1:10" x14ac:dyDescent="0.2">
      <c r="A1492" s="859">
        <f t="shared" si="23"/>
        <v>1491</v>
      </c>
      <c r="B1492" s="845" t="s">
        <v>2553</v>
      </c>
      <c r="D1492" s="862"/>
      <c r="I1492" s="845" t="s">
        <v>1009</v>
      </c>
    </row>
    <row r="1493" spans="1:10" x14ac:dyDescent="0.2">
      <c r="A1493" s="859">
        <f t="shared" si="23"/>
        <v>1492</v>
      </c>
      <c r="B1493" s="845" t="s">
        <v>2553</v>
      </c>
      <c r="D1493" s="863"/>
      <c r="I1493" s="845" t="str">
        <f>CONCATENATE("&lt;valeur&gt;",Cellule_13433,"&lt;/valeur&gt;")</f>
        <v>&lt;valeur&gt;0&lt;/valeur&gt;</v>
      </c>
    </row>
    <row r="1494" spans="1:10" x14ac:dyDescent="0.2">
      <c r="A1494" s="859">
        <f t="shared" si="23"/>
        <v>1493</v>
      </c>
      <c r="B1494" s="845" t="s">
        <v>2553</v>
      </c>
      <c r="D1494" s="862"/>
      <c r="H1494" s="845" t="s">
        <v>1010</v>
      </c>
    </row>
    <row r="1495" spans="1:10" x14ac:dyDescent="0.2">
      <c r="A1495" s="859">
        <f t="shared" si="23"/>
        <v>1494</v>
      </c>
      <c r="B1495" s="845" t="s">
        <v>2553</v>
      </c>
      <c r="D1495" s="862"/>
      <c r="H1495" s="845" t="s">
        <v>1007</v>
      </c>
    </row>
    <row r="1496" spans="1:10" x14ac:dyDescent="0.2">
      <c r="A1496" s="859">
        <f t="shared" si="23"/>
        <v>1495</v>
      </c>
      <c r="B1496" s="845" t="s">
        <v>2553</v>
      </c>
      <c r="D1496" s="861"/>
      <c r="I1496" s="845" t="s">
        <v>1008</v>
      </c>
    </row>
    <row r="1497" spans="1:10" x14ac:dyDescent="0.2">
      <c r="A1497" s="859">
        <f t="shared" si="23"/>
        <v>1496</v>
      </c>
      <c r="B1497" s="845" t="s">
        <v>2553</v>
      </c>
      <c r="D1497" s="861"/>
      <c r="J1497" s="845" t="s">
        <v>1271</v>
      </c>
    </row>
    <row r="1498" spans="1:10" x14ac:dyDescent="0.2">
      <c r="A1498" s="859">
        <f t="shared" si="23"/>
        <v>1497</v>
      </c>
      <c r="B1498" s="845" t="s">
        <v>2553</v>
      </c>
      <c r="D1498" s="862"/>
      <c r="I1498" s="845" t="s">
        <v>1009</v>
      </c>
    </row>
    <row r="1499" spans="1:10" x14ac:dyDescent="0.2">
      <c r="A1499" s="859">
        <f t="shared" si="23"/>
        <v>1498</v>
      </c>
      <c r="B1499" s="845" t="s">
        <v>2553</v>
      </c>
      <c r="D1499" s="863"/>
      <c r="I1499" s="845" t="str">
        <f>CONCATENATE("&lt;valeur&gt;",Cellule_13434,"&lt;/valeur&gt;")</f>
        <v>&lt;valeur&gt;0&lt;/valeur&gt;</v>
      </c>
    </row>
    <row r="1500" spans="1:10" x14ac:dyDescent="0.2">
      <c r="A1500" s="859">
        <f t="shared" si="23"/>
        <v>1499</v>
      </c>
      <c r="B1500" s="845" t="s">
        <v>2553</v>
      </c>
      <c r="D1500" s="862"/>
      <c r="H1500" s="845" t="s">
        <v>1010</v>
      </c>
    </row>
    <row r="1501" spans="1:10" x14ac:dyDescent="0.2">
      <c r="A1501" s="859">
        <f t="shared" si="23"/>
        <v>1500</v>
      </c>
      <c r="B1501" s="845" t="s">
        <v>2553</v>
      </c>
      <c r="D1501" s="862"/>
      <c r="H1501" s="845" t="s">
        <v>1007</v>
      </c>
    </row>
    <row r="1502" spans="1:10" x14ac:dyDescent="0.2">
      <c r="A1502" s="859">
        <f t="shared" si="23"/>
        <v>1501</v>
      </c>
      <c r="B1502" s="845" t="s">
        <v>2553</v>
      </c>
      <c r="D1502" s="861"/>
      <c r="I1502" s="845" t="s">
        <v>1008</v>
      </c>
    </row>
    <row r="1503" spans="1:10" x14ac:dyDescent="0.2">
      <c r="A1503" s="859">
        <f t="shared" si="23"/>
        <v>1502</v>
      </c>
      <c r="B1503" s="845" t="s">
        <v>2553</v>
      </c>
      <c r="D1503" s="861"/>
      <c r="J1503" s="845" t="s">
        <v>1272</v>
      </c>
    </row>
    <row r="1504" spans="1:10" x14ac:dyDescent="0.2">
      <c r="A1504" s="859">
        <f t="shared" si="23"/>
        <v>1503</v>
      </c>
      <c r="B1504" s="845" t="s">
        <v>2553</v>
      </c>
      <c r="D1504" s="862"/>
      <c r="I1504" s="845" t="s">
        <v>1009</v>
      </c>
    </row>
    <row r="1505" spans="1:10" x14ac:dyDescent="0.2">
      <c r="A1505" s="859">
        <f t="shared" si="23"/>
        <v>1504</v>
      </c>
      <c r="B1505" s="845" t="s">
        <v>2553</v>
      </c>
      <c r="D1505" s="863"/>
      <c r="I1505" s="845" t="str">
        <f>CONCATENATE("&lt;valeur&gt;",Cellule_13435,"&lt;/valeur&gt;")</f>
        <v>&lt;valeur&gt;0&lt;/valeur&gt;</v>
      </c>
    </row>
    <row r="1506" spans="1:10" x14ac:dyDescent="0.2">
      <c r="A1506" s="859">
        <f t="shared" si="23"/>
        <v>1505</v>
      </c>
      <c r="B1506" s="845" t="s">
        <v>2553</v>
      </c>
      <c r="D1506" s="862"/>
      <c r="H1506" s="845" t="s">
        <v>1010</v>
      </c>
    </row>
    <row r="1507" spans="1:10" x14ac:dyDescent="0.2">
      <c r="A1507" s="859">
        <f t="shared" si="23"/>
        <v>1506</v>
      </c>
      <c r="B1507" s="845" t="s">
        <v>2553</v>
      </c>
      <c r="D1507" s="862"/>
      <c r="H1507" s="845" t="s">
        <v>1007</v>
      </c>
    </row>
    <row r="1508" spans="1:10" x14ac:dyDescent="0.2">
      <c r="A1508" s="859">
        <f t="shared" si="23"/>
        <v>1507</v>
      </c>
      <c r="B1508" s="845" t="s">
        <v>2553</v>
      </c>
      <c r="D1508" s="861"/>
      <c r="I1508" s="845" t="s">
        <v>1008</v>
      </c>
    </row>
    <row r="1509" spans="1:10" x14ac:dyDescent="0.2">
      <c r="A1509" s="859">
        <f t="shared" si="23"/>
        <v>1508</v>
      </c>
      <c r="B1509" s="845" t="s">
        <v>2553</v>
      </c>
      <c r="D1509" s="861"/>
      <c r="J1509" s="845" t="s">
        <v>1273</v>
      </c>
    </row>
    <row r="1510" spans="1:10" x14ac:dyDescent="0.2">
      <c r="A1510" s="859">
        <f t="shared" si="23"/>
        <v>1509</v>
      </c>
      <c r="B1510" s="845" t="s">
        <v>2553</v>
      </c>
      <c r="D1510" s="862"/>
      <c r="I1510" s="845" t="s">
        <v>1009</v>
      </c>
    </row>
    <row r="1511" spans="1:10" x14ac:dyDescent="0.2">
      <c r="A1511" s="859">
        <f t="shared" si="23"/>
        <v>1510</v>
      </c>
      <c r="B1511" s="845" t="s">
        <v>2553</v>
      </c>
      <c r="D1511" s="863"/>
      <c r="I1511" s="845" t="str">
        <f>CONCATENATE("&lt;valeur&gt;",Cellule_13385,"&lt;/valeur&gt;")</f>
        <v>&lt;valeur&gt;0&lt;/valeur&gt;</v>
      </c>
    </row>
    <row r="1512" spans="1:10" x14ac:dyDescent="0.2">
      <c r="A1512" s="859">
        <f t="shared" si="23"/>
        <v>1511</v>
      </c>
      <c r="B1512" s="845" t="s">
        <v>2553</v>
      </c>
      <c r="D1512" s="862"/>
      <c r="H1512" s="845" t="s">
        <v>1010</v>
      </c>
    </row>
    <row r="1513" spans="1:10" x14ac:dyDescent="0.2">
      <c r="A1513" s="859">
        <f t="shared" si="23"/>
        <v>1512</v>
      </c>
      <c r="B1513" s="845" t="s">
        <v>2553</v>
      </c>
      <c r="D1513" s="862"/>
      <c r="H1513" s="845" t="s">
        <v>1007</v>
      </c>
    </row>
    <row r="1514" spans="1:10" x14ac:dyDescent="0.2">
      <c r="A1514" s="859">
        <f t="shared" si="23"/>
        <v>1513</v>
      </c>
      <c r="B1514" s="845" t="s">
        <v>2553</v>
      </c>
      <c r="D1514" s="861"/>
      <c r="I1514" s="845" t="s">
        <v>1008</v>
      </c>
    </row>
    <row r="1515" spans="1:10" x14ac:dyDescent="0.2">
      <c r="A1515" s="859">
        <f t="shared" si="23"/>
        <v>1514</v>
      </c>
      <c r="B1515" s="845" t="s">
        <v>2553</v>
      </c>
      <c r="D1515" s="861"/>
      <c r="J1515" s="845" t="s">
        <v>1274</v>
      </c>
    </row>
    <row r="1516" spans="1:10" x14ac:dyDescent="0.2">
      <c r="A1516" s="859">
        <f t="shared" si="23"/>
        <v>1515</v>
      </c>
      <c r="B1516" s="845" t="s">
        <v>2553</v>
      </c>
      <c r="D1516" s="862"/>
      <c r="I1516" s="845" t="s">
        <v>1009</v>
      </c>
    </row>
    <row r="1517" spans="1:10" x14ac:dyDescent="0.2">
      <c r="A1517" s="859">
        <f t="shared" si="23"/>
        <v>1516</v>
      </c>
      <c r="B1517" s="845" t="s">
        <v>2553</v>
      </c>
      <c r="D1517" s="863"/>
      <c r="I1517" s="845" t="str">
        <f>CONCATENATE("&lt;valeur&gt;",Cellule_13436,"&lt;/valeur&gt;")</f>
        <v>&lt;valeur&gt;0&lt;/valeur&gt;</v>
      </c>
    </row>
    <row r="1518" spans="1:10" x14ac:dyDescent="0.2">
      <c r="A1518" s="859">
        <f t="shared" si="23"/>
        <v>1517</v>
      </c>
      <c r="B1518" s="845" t="s">
        <v>2553</v>
      </c>
      <c r="D1518" s="862"/>
      <c r="H1518" s="845" t="s">
        <v>1010</v>
      </c>
    </row>
    <row r="1519" spans="1:10" x14ac:dyDescent="0.2">
      <c r="A1519" s="859">
        <f t="shared" si="23"/>
        <v>1518</v>
      </c>
      <c r="B1519" s="845" t="s">
        <v>2553</v>
      </c>
      <c r="D1519" s="862"/>
      <c r="H1519" s="845" t="s">
        <v>1007</v>
      </c>
    </row>
    <row r="1520" spans="1:10" x14ac:dyDescent="0.2">
      <c r="A1520" s="859">
        <f t="shared" si="23"/>
        <v>1519</v>
      </c>
      <c r="B1520" s="845" t="s">
        <v>2553</v>
      </c>
      <c r="D1520" s="861"/>
      <c r="I1520" s="845" t="s">
        <v>1008</v>
      </c>
    </row>
    <row r="1521" spans="1:10" x14ac:dyDescent="0.2">
      <c r="A1521" s="859">
        <f t="shared" si="23"/>
        <v>1520</v>
      </c>
      <c r="B1521" s="845" t="s">
        <v>2553</v>
      </c>
      <c r="D1521" s="861"/>
      <c r="J1521" s="845" t="s">
        <v>1275</v>
      </c>
    </row>
    <row r="1522" spans="1:10" x14ac:dyDescent="0.2">
      <c r="A1522" s="859">
        <f t="shared" si="23"/>
        <v>1521</v>
      </c>
      <c r="B1522" s="845" t="s">
        <v>2553</v>
      </c>
      <c r="D1522" s="862"/>
      <c r="I1522" s="845" t="s">
        <v>1009</v>
      </c>
    </row>
    <row r="1523" spans="1:10" x14ac:dyDescent="0.2">
      <c r="A1523" s="859">
        <f t="shared" si="23"/>
        <v>1522</v>
      </c>
      <c r="B1523" s="845" t="s">
        <v>2553</v>
      </c>
      <c r="D1523" s="863"/>
      <c r="I1523" s="845" t="str">
        <f>CONCATENATE("&lt;valeur&gt;",Cellule_13376,"&lt;/valeur&gt;")</f>
        <v>&lt;valeur&gt;0&lt;/valeur&gt;</v>
      </c>
    </row>
    <row r="1524" spans="1:10" x14ac:dyDescent="0.2">
      <c r="A1524" s="859">
        <f t="shared" si="23"/>
        <v>1523</v>
      </c>
      <c r="B1524" s="845" t="s">
        <v>2553</v>
      </c>
      <c r="D1524" s="862"/>
      <c r="H1524" s="845" t="s">
        <v>1010</v>
      </c>
    </row>
    <row r="1525" spans="1:10" x14ac:dyDescent="0.2">
      <c r="A1525" s="859">
        <f t="shared" si="23"/>
        <v>1524</v>
      </c>
      <c r="B1525" s="845" t="s">
        <v>2553</v>
      </c>
      <c r="D1525" s="862"/>
      <c r="H1525" s="845" t="s">
        <v>1007</v>
      </c>
    </row>
    <row r="1526" spans="1:10" x14ac:dyDescent="0.2">
      <c r="A1526" s="859">
        <f t="shared" si="23"/>
        <v>1525</v>
      </c>
      <c r="B1526" s="845" t="s">
        <v>2553</v>
      </c>
      <c r="D1526" s="861"/>
      <c r="I1526" s="845" t="s">
        <v>1008</v>
      </c>
    </row>
    <row r="1527" spans="1:10" x14ac:dyDescent="0.2">
      <c r="A1527" s="859">
        <f t="shared" si="23"/>
        <v>1526</v>
      </c>
      <c r="B1527" s="845" t="s">
        <v>2553</v>
      </c>
      <c r="D1527" s="861"/>
      <c r="J1527" s="845" t="s">
        <v>1276</v>
      </c>
    </row>
    <row r="1528" spans="1:10" x14ac:dyDescent="0.2">
      <c r="A1528" s="859">
        <f t="shared" si="23"/>
        <v>1527</v>
      </c>
      <c r="B1528" s="845" t="s">
        <v>2553</v>
      </c>
      <c r="D1528" s="862"/>
      <c r="I1528" s="845" t="s">
        <v>1009</v>
      </c>
    </row>
    <row r="1529" spans="1:10" x14ac:dyDescent="0.2">
      <c r="A1529" s="859">
        <f t="shared" si="23"/>
        <v>1528</v>
      </c>
      <c r="B1529" s="845" t="s">
        <v>2553</v>
      </c>
      <c r="D1529" s="863"/>
      <c r="I1529" s="845" t="str">
        <f>CONCATENATE("&lt;valeur&gt;",Cellule_13377,"&lt;/valeur&gt;")</f>
        <v>&lt;valeur&gt;0&lt;/valeur&gt;</v>
      </c>
    </row>
    <row r="1530" spans="1:10" x14ac:dyDescent="0.2">
      <c r="A1530" s="859">
        <f t="shared" si="23"/>
        <v>1529</v>
      </c>
      <c r="B1530" s="845" t="s">
        <v>2553</v>
      </c>
      <c r="D1530" s="862"/>
      <c r="H1530" s="845" t="s">
        <v>1010</v>
      </c>
    </row>
    <row r="1531" spans="1:10" x14ac:dyDescent="0.2">
      <c r="A1531" s="859">
        <f t="shared" si="23"/>
        <v>1530</v>
      </c>
      <c r="B1531" s="845" t="s">
        <v>2553</v>
      </c>
      <c r="D1531" s="862"/>
      <c r="H1531" s="845" t="s">
        <v>1007</v>
      </c>
    </row>
    <row r="1532" spans="1:10" x14ac:dyDescent="0.2">
      <c r="A1532" s="859">
        <f t="shared" si="23"/>
        <v>1531</v>
      </c>
      <c r="B1532" s="845" t="s">
        <v>2553</v>
      </c>
      <c r="D1532" s="861"/>
      <c r="I1532" s="845" t="s">
        <v>1008</v>
      </c>
    </row>
    <row r="1533" spans="1:10" x14ac:dyDescent="0.2">
      <c r="A1533" s="859">
        <f t="shared" si="23"/>
        <v>1532</v>
      </c>
      <c r="B1533" s="845" t="s">
        <v>2553</v>
      </c>
      <c r="D1533" s="861"/>
      <c r="J1533" s="845" t="s">
        <v>1277</v>
      </c>
    </row>
    <row r="1534" spans="1:10" x14ac:dyDescent="0.2">
      <c r="A1534" s="859">
        <f t="shared" si="23"/>
        <v>1533</v>
      </c>
      <c r="B1534" s="845" t="s">
        <v>2553</v>
      </c>
      <c r="D1534" s="862"/>
      <c r="I1534" s="845" t="s">
        <v>1009</v>
      </c>
    </row>
    <row r="1535" spans="1:10" x14ac:dyDescent="0.2">
      <c r="A1535" s="859">
        <f t="shared" si="23"/>
        <v>1534</v>
      </c>
      <c r="B1535" s="845" t="s">
        <v>2553</v>
      </c>
      <c r="D1535" s="863"/>
      <c r="I1535" s="845" t="str">
        <f>CONCATENATE("&lt;valeur&gt;",Cellule_13378,"&lt;/valeur&gt;")</f>
        <v>&lt;valeur&gt;0&lt;/valeur&gt;</v>
      </c>
    </row>
    <row r="1536" spans="1:10" x14ac:dyDescent="0.2">
      <c r="A1536" s="859">
        <f t="shared" si="23"/>
        <v>1535</v>
      </c>
      <c r="B1536" s="845" t="s">
        <v>2553</v>
      </c>
      <c r="D1536" s="862"/>
      <c r="H1536" s="845" t="s">
        <v>1010</v>
      </c>
    </row>
    <row r="1537" spans="1:10" x14ac:dyDescent="0.2">
      <c r="A1537" s="859">
        <f t="shared" si="23"/>
        <v>1536</v>
      </c>
      <c r="B1537" s="845" t="s">
        <v>2553</v>
      </c>
      <c r="D1537" s="862"/>
      <c r="H1537" s="845" t="s">
        <v>1007</v>
      </c>
    </row>
    <row r="1538" spans="1:10" x14ac:dyDescent="0.2">
      <c r="A1538" s="859">
        <f t="shared" si="23"/>
        <v>1537</v>
      </c>
      <c r="B1538" s="845" t="s">
        <v>2553</v>
      </c>
      <c r="D1538" s="861"/>
      <c r="I1538" s="845" t="s">
        <v>1008</v>
      </c>
    </row>
    <row r="1539" spans="1:10" x14ac:dyDescent="0.2">
      <c r="A1539" s="859">
        <f t="shared" si="23"/>
        <v>1538</v>
      </c>
      <c r="B1539" s="845" t="s">
        <v>2553</v>
      </c>
      <c r="D1539" s="861"/>
      <c r="J1539" s="845" t="s">
        <v>1278</v>
      </c>
    </row>
    <row r="1540" spans="1:10" x14ac:dyDescent="0.2">
      <c r="A1540" s="859">
        <f t="shared" ref="A1540:A1603" si="24">+A1539+1</f>
        <v>1539</v>
      </c>
      <c r="B1540" s="845" t="s">
        <v>2553</v>
      </c>
      <c r="D1540" s="862"/>
      <c r="I1540" s="845" t="s">
        <v>1009</v>
      </c>
    </row>
    <row r="1541" spans="1:10" x14ac:dyDescent="0.2">
      <c r="A1541" s="859">
        <f t="shared" si="24"/>
        <v>1540</v>
      </c>
      <c r="B1541" s="845" t="s">
        <v>2553</v>
      </c>
      <c r="D1541" s="863"/>
      <c r="I1541" s="845" t="str">
        <f>CONCATENATE("&lt;valeur&gt;",Cellule_13379,"&lt;/valeur&gt;")</f>
        <v>&lt;valeur&gt;0&lt;/valeur&gt;</v>
      </c>
    </row>
    <row r="1542" spans="1:10" x14ac:dyDescent="0.2">
      <c r="A1542" s="859">
        <f t="shared" si="24"/>
        <v>1541</v>
      </c>
      <c r="B1542" s="845" t="s">
        <v>2553</v>
      </c>
      <c r="D1542" s="862"/>
      <c r="H1542" s="845" t="s">
        <v>1010</v>
      </c>
    </row>
    <row r="1543" spans="1:10" x14ac:dyDescent="0.2">
      <c r="A1543" s="859">
        <f t="shared" si="24"/>
        <v>1542</v>
      </c>
      <c r="B1543" s="845" t="s">
        <v>2553</v>
      </c>
      <c r="D1543" s="862"/>
      <c r="H1543" s="845" t="s">
        <v>1007</v>
      </c>
    </row>
    <row r="1544" spans="1:10" x14ac:dyDescent="0.2">
      <c r="A1544" s="859">
        <f t="shared" si="24"/>
        <v>1543</v>
      </c>
      <c r="B1544" s="845" t="s">
        <v>2553</v>
      </c>
      <c r="D1544" s="861"/>
      <c r="I1544" s="845" t="s">
        <v>1008</v>
      </c>
    </row>
    <row r="1545" spans="1:10" x14ac:dyDescent="0.2">
      <c r="A1545" s="859">
        <f t="shared" si="24"/>
        <v>1544</v>
      </c>
      <c r="B1545" s="845" t="s">
        <v>2553</v>
      </c>
      <c r="D1545" s="861"/>
      <c r="J1545" s="845" t="s">
        <v>1279</v>
      </c>
    </row>
    <row r="1546" spans="1:10" x14ac:dyDescent="0.2">
      <c r="A1546" s="859">
        <f t="shared" si="24"/>
        <v>1545</v>
      </c>
      <c r="B1546" s="845" t="s">
        <v>2553</v>
      </c>
      <c r="D1546" s="862"/>
      <c r="I1546" s="845" t="s">
        <v>1009</v>
      </c>
    </row>
    <row r="1547" spans="1:10" x14ac:dyDescent="0.2">
      <c r="A1547" s="859">
        <f t="shared" si="24"/>
        <v>1546</v>
      </c>
      <c r="B1547" s="845" t="s">
        <v>2553</v>
      </c>
      <c r="D1547" s="863"/>
      <c r="I1547" s="845" t="str">
        <f>CONCATENATE("&lt;valeur&gt;",Cellule_13380,"&lt;/valeur&gt;")</f>
        <v>&lt;valeur&gt;0&lt;/valeur&gt;</v>
      </c>
    </row>
    <row r="1548" spans="1:10" x14ac:dyDescent="0.2">
      <c r="A1548" s="859">
        <f t="shared" si="24"/>
        <v>1547</v>
      </c>
      <c r="B1548" s="845" t="s">
        <v>2553</v>
      </c>
      <c r="D1548" s="862"/>
      <c r="H1548" s="845" t="s">
        <v>1010</v>
      </c>
    </row>
    <row r="1549" spans="1:10" x14ac:dyDescent="0.2">
      <c r="A1549" s="859">
        <f t="shared" si="24"/>
        <v>1548</v>
      </c>
      <c r="B1549" s="845" t="s">
        <v>2553</v>
      </c>
      <c r="D1549" s="862"/>
      <c r="H1549" s="845" t="s">
        <v>1007</v>
      </c>
    </row>
    <row r="1550" spans="1:10" x14ac:dyDescent="0.2">
      <c r="A1550" s="859">
        <f t="shared" si="24"/>
        <v>1549</v>
      </c>
      <c r="B1550" s="845" t="s">
        <v>2553</v>
      </c>
      <c r="D1550" s="861"/>
      <c r="I1550" s="845" t="s">
        <v>1008</v>
      </c>
    </row>
    <row r="1551" spans="1:10" x14ac:dyDescent="0.2">
      <c r="A1551" s="859">
        <f t="shared" si="24"/>
        <v>1550</v>
      </c>
      <c r="B1551" s="845" t="s">
        <v>2553</v>
      </c>
      <c r="D1551" s="861"/>
      <c r="J1551" s="845" t="s">
        <v>1280</v>
      </c>
    </row>
    <row r="1552" spans="1:10" x14ac:dyDescent="0.2">
      <c r="A1552" s="859">
        <f t="shared" si="24"/>
        <v>1551</v>
      </c>
      <c r="B1552" s="845" t="s">
        <v>2553</v>
      </c>
      <c r="D1552" s="862"/>
      <c r="I1552" s="845" t="s">
        <v>1009</v>
      </c>
    </row>
    <row r="1553" spans="1:10" x14ac:dyDescent="0.2">
      <c r="A1553" s="859">
        <f t="shared" si="24"/>
        <v>1552</v>
      </c>
      <c r="B1553" s="845" t="s">
        <v>2553</v>
      </c>
      <c r="D1553" s="863"/>
      <c r="I1553" s="845" t="str">
        <f>CONCATENATE("&lt;valeur&gt;",Cellule_13381,"&lt;/valeur&gt;")</f>
        <v>&lt;valeur&gt;0&lt;/valeur&gt;</v>
      </c>
    </row>
    <row r="1554" spans="1:10" x14ac:dyDescent="0.2">
      <c r="A1554" s="859">
        <f t="shared" si="24"/>
        <v>1553</v>
      </c>
      <c r="B1554" s="845" t="s">
        <v>2553</v>
      </c>
      <c r="D1554" s="862"/>
      <c r="H1554" s="845" t="s">
        <v>1010</v>
      </c>
    </row>
    <row r="1555" spans="1:10" x14ac:dyDescent="0.2">
      <c r="A1555" s="859">
        <f t="shared" si="24"/>
        <v>1554</v>
      </c>
      <c r="B1555" s="845" t="s">
        <v>2553</v>
      </c>
      <c r="D1555" s="862"/>
      <c r="H1555" s="845" t="s">
        <v>1007</v>
      </c>
    </row>
    <row r="1556" spans="1:10" x14ac:dyDescent="0.2">
      <c r="A1556" s="859">
        <f t="shared" si="24"/>
        <v>1555</v>
      </c>
      <c r="B1556" s="845" t="s">
        <v>2553</v>
      </c>
      <c r="D1556" s="861"/>
      <c r="I1556" s="845" t="s">
        <v>1008</v>
      </c>
    </row>
    <row r="1557" spans="1:10" x14ac:dyDescent="0.2">
      <c r="A1557" s="859">
        <f t="shared" si="24"/>
        <v>1556</v>
      </c>
      <c r="B1557" s="845" t="s">
        <v>2553</v>
      </c>
      <c r="D1557" s="861"/>
      <c r="J1557" s="845" t="s">
        <v>1281</v>
      </c>
    </row>
    <row r="1558" spans="1:10" x14ac:dyDescent="0.2">
      <c r="A1558" s="859">
        <f t="shared" si="24"/>
        <v>1557</v>
      </c>
      <c r="B1558" s="845" t="s">
        <v>2553</v>
      </c>
      <c r="D1558" s="862"/>
      <c r="I1558" s="845" t="s">
        <v>1009</v>
      </c>
    </row>
    <row r="1559" spans="1:10" x14ac:dyDescent="0.2">
      <c r="A1559" s="859">
        <f t="shared" si="24"/>
        <v>1558</v>
      </c>
      <c r="B1559" s="845" t="s">
        <v>2553</v>
      </c>
      <c r="D1559" s="863"/>
      <c r="I1559" s="845" t="str">
        <f>CONCATENATE("&lt;valeur&gt;",Cellule_13382,"&lt;/valeur&gt;")</f>
        <v>&lt;valeur&gt;0&lt;/valeur&gt;</v>
      </c>
    </row>
    <row r="1560" spans="1:10" x14ac:dyDescent="0.2">
      <c r="A1560" s="859">
        <f t="shared" si="24"/>
        <v>1559</v>
      </c>
      <c r="B1560" s="845" t="s">
        <v>2553</v>
      </c>
      <c r="D1560" s="862"/>
      <c r="H1560" s="845" t="s">
        <v>1010</v>
      </c>
    </row>
    <row r="1561" spans="1:10" x14ac:dyDescent="0.2">
      <c r="A1561" s="859">
        <f t="shared" si="24"/>
        <v>1560</v>
      </c>
      <c r="B1561" s="845" t="s">
        <v>2553</v>
      </c>
      <c r="D1561" s="862"/>
      <c r="H1561" s="845" t="s">
        <v>1007</v>
      </c>
    </row>
    <row r="1562" spans="1:10" x14ac:dyDescent="0.2">
      <c r="A1562" s="859">
        <f t="shared" si="24"/>
        <v>1561</v>
      </c>
      <c r="B1562" s="845" t="s">
        <v>2553</v>
      </c>
      <c r="D1562" s="861"/>
      <c r="I1562" s="845" t="s">
        <v>1008</v>
      </c>
    </row>
    <row r="1563" spans="1:10" x14ac:dyDescent="0.2">
      <c r="A1563" s="859">
        <f t="shared" si="24"/>
        <v>1562</v>
      </c>
      <c r="B1563" s="845" t="s">
        <v>2553</v>
      </c>
      <c r="D1563" s="861"/>
      <c r="J1563" s="845" t="s">
        <v>1282</v>
      </c>
    </row>
    <row r="1564" spans="1:10" x14ac:dyDescent="0.2">
      <c r="A1564" s="859">
        <f t="shared" si="24"/>
        <v>1563</v>
      </c>
      <c r="B1564" s="845" t="s">
        <v>2553</v>
      </c>
      <c r="D1564" s="862"/>
      <c r="I1564" s="845" t="s">
        <v>1009</v>
      </c>
    </row>
    <row r="1565" spans="1:10" x14ac:dyDescent="0.2">
      <c r="A1565" s="859">
        <f t="shared" si="24"/>
        <v>1564</v>
      </c>
      <c r="B1565" s="845" t="s">
        <v>2553</v>
      </c>
      <c r="D1565" s="863"/>
      <c r="I1565" s="845" t="str">
        <f>CONCATENATE("&lt;valeur&gt;",Cellule_13383,"&lt;/valeur&gt;")</f>
        <v>&lt;valeur&gt;0&lt;/valeur&gt;</v>
      </c>
    </row>
    <row r="1566" spans="1:10" x14ac:dyDescent="0.2">
      <c r="A1566" s="859">
        <f t="shared" si="24"/>
        <v>1565</v>
      </c>
      <c r="B1566" s="845" t="s">
        <v>2553</v>
      </c>
      <c r="D1566" s="862"/>
      <c r="H1566" s="845" t="s">
        <v>1010</v>
      </c>
    </row>
    <row r="1567" spans="1:10" x14ac:dyDescent="0.2">
      <c r="A1567" s="859">
        <f t="shared" si="24"/>
        <v>1566</v>
      </c>
      <c r="B1567" s="845" t="s">
        <v>2553</v>
      </c>
      <c r="D1567" s="862"/>
      <c r="H1567" s="845" t="s">
        <v>1007</v>
      </c>
    </row>
    <row r="1568" spans="1:10" x14ac:dyDescent="0.2">
      <c r="A1568" s="859">
        <f t="shared" si="24"/>
        <v>1567</v>
      </c>
      <c r="B1568" s="845" t="s">
        <v>2553</v>
      </c>
      <c r="D1568" s="861"/>
      <c r="I1568" s="845" t="s">
        <v>1008</v>
      </c>
    </row>
    <row r="1569" spans="1:10" x14ac:dyDescent="0.2">
      <c r="A1569" s="859">
        <f t="shared" si="24"/>
        <v>1568</v>
      </c>
      <c r="B1569" s="845" t="s">
        <v>2553</v>
      </c>
      <c r="D1569" s="861"/>
      <c r="J1569" s="845" t="s">
        <v>1283</v>
      </c>
    </row>
    <row r="1570" spans="1:10" x14ac:dyDescent="0.2">
      <c r="A1570" s="859">
        <f t="shared" si="24"/>
        <v>1569</v>
      </c>
      <c r="B1570" s="845" t="s">
        <v>2553</v>
      </c>
      <c r="D1570" s="862"/>
      <c r="I1570" s="845" t="s">
        <v>1009</v>
      </c>
    </row>
    <row r="1571" spans="1:10" x14ac:dyDescent="0.2">
      <c r="A1571" s="859">
        <f t="shared" si="24"/>
        <v>1570</v>
      </c>
      <c r="B1571" s="845" t="s">
        <v>2553</v>
      </c>
      <c r="D1571" s="863"/>
      <c r="I1571" s="845" t="str">
        <f>CONCATENATE("&lt;valeur&gt;",Cellule_13384,"&lt;/valeur&gt;")</f>
        <v>&lt;valeur&gt;0&lt;/valeur&gt;</v>
      </c>
    </row>
    <row r="1572" spans="1:10" x14ac:dyDescent="0.2">
      <c r="A1572" s="859">
        <f t="shared" si="24"/>
        <v>1571</v>
      </c>
      <c r="B1572" s="845" t="s">
        <v>2553</v>
      </c>
      <c r="D1572" s="862"/>
      <c r="H1572" s="845" t="s">
        <v>1010</v>
      </c>
    </row>
    <row r="1573" spans="1:10" x14ac:dyDescent="0.2">
      <c r="A1573" s="859">
        <f t="shared" si="24"/>
        <v>1572</v>
      </c>
      <c r="B1573" s="845" t="s">
        <v>2553</v>
      </c>
      <c r="D1573" s="862"/>
      <c r="H1573" s="845" t="s">
        <v>1007</v>
      </c>
    </row>
    <row r="1574" spans="1:10" x14ac:dyDescent="0.2">
      <c r="A1574" s="859">
        <f t="shared" si="24"/>
        <v>1573</v>
      </c>
      <c r="B1574" s="845" t="s">
        <v>2553</v>
      </c>
      <c r="D1574" s="861"/>
      <c r="I1574" s="845" t="s">
        <v>1008</v>
      </c>
    </row>
    <row r="1575" spans="1:10" x14ac:dyDescent="0.2">
      <c r="A1575" s="859">
        <f t="shared" si="24"/>
        <v>1574</v>
      </c>
      <c r="B1575" s="845" t="s">
        <v>2553</v>
      </c>
      <c r="D1575" s="861"/>
      <c r="J1575" s="845" t="s">
        <v>1284</v>
      </c>
    </row>
    <row r="1576" spans="1:10" x14ac:dyDescent="0.2">
      <c r="A1576" s="859">
        <f t="shared" si="24"/>
        <v>1575</v>
      </c>
      <c r="B1576" s="845" t="s">
        <v>2553</v>
      </c>
      <c r="D1576" s="862"/>
      <c r="I1576" s="845" t="s">
        <v>1009</v>
      </c>
    </row>
    <row r="1577" spans="1:10" x14ac:dyDescent="0.2">
      <c r="A1577" s="859">
        <f t="shared" si="24"/>
        <v>1576</v>
      </c>
      <c r="B1577" s="845" t="s">
        <v>2553</v>
      </c>
      <c r="D1577" s="863"/>
      <c r="I1577" s="845" t="str">
        <f>CONCATENATE("&lt;valeur&gt;",Cellule_13437,"&lt;/valeur&gt;")</f>
        <v>&lt;valeur&gt;0&lt;/valeur&gt;</v>
      </c>
    </row>
    <row r="1578" spans="1:10" x14ac:dyDescent="0.2">
      <c r="A1578" s="859">
        <f t="shared" si="24"/>
        <v>1577</v>
      </c>
      <c r="B1578" s="845" t="s">
        <v>2553</v>
      </c>
      <c r="D1578" s="862"/>
      <c r="H1578" s="845" t="s">
        <v>1010</v>
      </c>
    </row>
    <row r="1579" spans="1:10" x14ac:dyDescent="0.2">
      <c r="A1579" s="859">
        <f t="shared" si="24"/>
        <v>1578</v>
      </c>
      <c r="B1579" s="845" t="s">
        <v>2553</v>
      </c>
      <c r="D1579" s="862"/>
      <c r="H1579" s="845" t="s">
        <v>1007</v>
      </c>
    </row>
    <row r="1580" spans="1:10" x14ac:dyDescent="0.2">
      <c r="A1580" s="859">
        <f t="shared" si="24"/>
        <v>1579</v>
      </c>
      <c r="B1580" s="845" t="s">
        <v>2553</v>
      </c>
      <c r="D1580" s="861"/>
      <c r="I1580" s="845" t="s">
        <v>1008</v>
      </c>
    </row>
    <row r="1581" spans="1:10" x14ac:dyDescent="0.2">
      <c r="A1581" s="859">
        <f t="shared" si="24"/>
        <v>1580</v>
      </c>
      <c r="B1581" s="845" t="s">
        <v>2553</v>
      </c>
      <c r="D1581" s="861"/>
      <c r="J1581" s="845" t="s">
        <v>1285</v>
      </c>
    </row>
    <row r="1582" spans="1:10" x14ac:dyDescent="0.2">
      <c r="A1582" s="859">
        <f t="shared" si="24"/>
        <v>1581</v>
      </c>
      <c r="B1582" s="845" t="s">
        <v>2553</v>
      </c>
      <c r="D1582" s="862"/>
      <c r="I1582" s="845" t="s">
        <v>1009</v>
      </c>
    </row>
    <row r="1583" spans="1:10" x14ac:dyDescent="0.2">
      <c r="A1583" s="859">
        <f t="shared" si="24"/>
        <v>1582</v>
      </c>
      <c r="B1583" s="845" t="s">
        <v>2553</v>
      </c>
      <c r="D1583" s="863"/>
      <c r="I1583" s="845" t="str">
        <f>CONCATENATE("&lt;valeur&gt;",Cellule_13438,"&lt;/valeur&gt;")</f>
        <v>&lt;valeur&gt;0&lt;/valeur&gt;</v>
      </c>
    </row>
    <row r="1584" spans="1:10" x14ac:dyDescent="0.2">
      <c r="A1584" s="859">
        <f t="shared" si="24"/>
        <v>1583</v>
      </c>
      <c r="B1584" s="845" t="s">
        <v>2553</v>
      </c>
      <c r="D1584" s="862"/>
      <c r="H1584" s="845" t="s">
        <v>1010</v>
      </c>
    </row>
    <row r="1585" spans="1:10" x14ac:dyDescent="0.2">
      <c r="A1585" s="859">
        <f t="shared" si="24"/>
        <v>1584</v>
      </c>
      <c r="B1585" s="845" t="s">
        <v>2553</v>
      </c>
      <c r="D1585" s="862"/>
      <c r="H1585" s="845" t="s">
        <v>1007</v>
      </c>
    </row>
    <row r="1586" spans="1:10" x14ac:dyDescent="0.2">
      <c r="A1586" s="859">
        <f t="shared" si="24"/>
        <v>1585</v>
      </c>
      <c r="B1586" s="845" t="s">
        <v>2553</v>
      </c>
      <c r="D1586" s="861"/>
      <c r="I1586" s="845" t="s">
        <v>1008</v>
      </c>
    </row>
    <row r="1587" spans="1:10" x14ac:dyDescent="0.2">
      <c r="A1587" s="859">
        <f t="shared" si="24"/>
        <v>1586</v>
      </c>
      <c r="B1587" s="845" t="s">
        <v>2553</v>
      </c>
      <c r="D1587" s="861"/>
      <c r="J1587" s="845" t="s">
        <v>1286</v>
      </c>
    </row>
    <row r="1588" spans="1:10" x14ac:dyDescent="0.2">
      <c r="A1588" s="859">
        <f t="shared" si="24"/>
        <v>1587</v>
      </c>
      <c r="B1588" s="845" t="s">
        <v>2553</v>
      </c>
      <c r="D1588" s="862"/>
      <c r="I1588" s="845" t="s">
        <v>1009</v>
      </c>
    </row>
    <row r="1589" spans="1:10" x14ac:dyDescent="0.2">
      <c r="A1589" s="859">
        <f t="shared" si="24"/>
        <v>1588</v>
      </c>
      <c r="B1589" s="845" t="s">
        <v>2553</v>
      </c>
      <c r="D1589" s="863"/>
      <c r="I1589" s="845" t="str">
        <f>CONCATENATE("&lt;valeur&gt;",Cellule_13439,"&lt;/valeur&gt;")</f>
        <v>&lt;valeur&gt;0&lt;/valeur&gt;</v>
      </c>
    </row>
    <row r="1590" spans="1:10" x14ac:dyDescent="0.2">
      <c r="A1590" s="859">
        <f t="shared" si="24"/>
        <v>1589</v>
      </c>
      <c r="B1590" s="845" t="s">
        <v>2553</v>
      </c>
      <c r="D1590" s="862"/>
      <c r="H1590" s="845" t="s">
        <v>1010</v>
      </c>
    </row>
    <row r="1591" spans="1:10" x14ac:dyDescent="0.2">
      <c r="A1591" s="859">
        <f t="shared" si="24"/>
        <v>1590</v>
      </c>
      <c r="B1591" s="845" t="s">
        <v>2553</v>
      </c>
      <c r="D1591" s="862"/>
      <c r="H1591" s="845" t="s">
        <v>1007</v>
      </c>
    </row>
    <row r="1592" spans="1:10" x14ac:dyDescent="0.2">
      <c r="A1592" s="859">
        <f t="shared" si="24"/>
        <v>1591</v>
      </c>
      <c r="B1592" s="845" t="s">
        <v>2553</v>
      </c>
      <c r="D1592" s="861"/>
      <c r="I1592" s="845" t="s">
        <v>1008</v>
      </c>
    </row>
    <row r="1593" spans="1:10" x14ac:dyDescent="0.2">
      <c r="A1593" s="859">
        <f t="shared" si="24"/>
        <v>1592</v>
      </c>
      <c r="B1593" s="845" t="s">
        <v>2553</v>
      </c>
      <c r="D1593" s="861"/>
      <c r="J1593" s="845" t="s">
        <v>1287</v>
      </c>
    </row>
    <row r="1594" spans="1:10" x14ac:dyDescent="0.2">
      <c r="A1594" s="859">
        <f t="shared" si="24"/>
        <v>1593</v>
      </c>
      <c r="B1594" s="845" t="s">
        <v>2553</v>
      </c>
      <c r="D1594" s="862"/>
      <c r="I1594" s="845" t="s">
        <v>1009</v>
      </c>
    </row>
    <row r="1595" spans="1:10" x14ac:dyDescent="0.2">
      <c r="A1595" s="859">
        <f t="shared" si="24"/>
        <v>1594</v>
      </c>
      <c r="B1595" s="845" t="s">
        <v>2553</v>
      </c>
      <c r="D1595" s="863"/>
      <c r="I1595" s="845" t="str">
        <f>CONCATENATE("&lt;valeur&gt;",Cellule_13440,"&lt;/valeur&gt;")</f>
        <v>&lt;valeur&gt;0&lt;/valeur&gt;</v>
      </c>
    </row>
    <row r="1596" spans="1:10" x14ac:dyDescent="0.2">
      <c r="A1596" s="859">
        <f t="shared" si="24"/>
        <v>1595</v>
      </c>
      <c r="B1596" s="845" t="s">
        <v>2553</v>
      </c>
      <c r="D1596" s="862"/>
      <c r="H1596" s="845" t="s">
        <v>1010</v>
      </c>
    </row>
    <row r="1597" spans="1:10" x14ac:dyDescent="0.2">
      <c r="A1597" s="859">
        <f t="shared" si="24"/>
        <v>1596</v>
      </c>
      <c r="B1597" s="845" t="s">
        <v>2553</v>
      </c>
      <c r="D1597" s="862"/>
      <c r="H1597" s="845" t="s">
        <v>1007</v>
      </c>
    </row>
    <row r="1598" spans="1:10" x14ac:dyDescent="0.2">
      <c r="A1598" s="859">
        <f t="shared" si="24"/>
        <v>1597</v>
      </c>
      <c r="B1598" s="845" t="s">
        <v>2553</v>
      </c>
      <c r="D1598" s="861"/>
      <c r="I1598" s="845" t="s">
        <v>1008</v>
      </c>
    </row>
    <row r="1599" spans="1:10" x14ac:dyDescent="0.2">
      <c r="A1599" s="859">
        <f t="shared" si="24"/>
        <v>1598</v>
      </c>
      <c r="B1599" s="845" t="s">
        <v>2553</v>
      </c>
      <c r="D1599" s="861"/>
      <c r="J1599" s="845" t="s">
        <v>1288</v>
      </c>
    </row>
    <row r="1600" spans="1:10" x14ac:dyDescent="0.2">
      <c r="A1600" s="859">
        <f t="shared" si="24"/>
        <v>1599</v>
      </c>
      <c r="B1600" s="845" t="s">
        <v>2553</v>
      </c>
      <c r="D1600" s="862"/>
      <c r="I1600" s="845" t="s">
        <v>1009</v>
      </c>
    </row>
    <row r="1601" spans="1:10" x14ac:dyDescent="0.2">
      <c r="A1601" s="859">
        <f t="shared" si="24"/>
        <v>1600</v>
      </c>
      <c r="B1601" s="845" t="s">
        <v>2553</v>
      </c>
      <c r="D1601" s="863"/>
      <c r="I1601" s="845" t="str">
        <f>CONCATENATE("&lt;valeur&gt;",Cellule_13441,"&lt;/valeur&gt;")</f>
        <v>&lt;valeur&gt;0&lt;/valeur&gt;</v>
      </c>
    </row>
    <row r="1602" spans="1:10" x14ac:dyDescent="0.2">
      <c r="A1602" s="859">
        <f t="shared" si="24"/>
        <v>1601</v>
      </c>
      <c r="B1602" s="845" t="s">
        <v>2553</v>
      </c>
      <c r="D1602" s="862"/>
      <c r="H1602" s="845" t="s">
        <v>1010</v>
      </c>
    </row>
    <row r="1603" spans="1:10" x14ac:dyDescent="0.2">
      <c r="A1603" s="859">
        <f t="shared" si="24"/>
        <v>1602</v>
      </c>
      <c r="B1603" s="845" t="s">
        <v>2553</v>
      </c>
      <c r="D1603" s="862"/>
      <c r="H1603" s="845" t="s">
        <v>1007</v>
      </c>
    </row>
    <row r="1604" spans="1:10" x14ac:dyDescent="0.2">
      <c r="A1604" s="859">
        <f t="shared" ref="A1604:A1667" si="25">+A1603+1</f>
        <v>1603</v>
      </c>
      <c r="B1604" s="845" t="s">
        <v>2553</v>
      </c>
      <c r="D1604" s="861"/>
      <c r="I1604" s="845" t="s">
        <v>1008</v>
      </c>
    </row>
    <row r="1605" spans="1:10" x14ac:dyDescent="0.2">
      <c r="A1605" s="859">
        <f t="shared" si="25"/>
        <v>1604</v>
      </c>
      <c r="B1605" s="845" t="s">
        <v>2553</v>
      </c>
      <c r="D1605" s="861"/>
      <c r="J1605" s="845" t="s">
        <v>1289</v>
      </c>
    </row>
    <row r="1606" spans="1:10" x14ac:dyDescent="0.2">
      <c r="A1606" s="859">
        <f t="shared" si="25"/>
        <v>1605</v>
      </c>
      <c r="B1606" s="845" t="s">
        <v>2553</v>
      </c>
      <c r="D1606" s="862"/>
      <c r="I1606" s="845" t="s">
        <v>1009</v>
      </c>
    </row>
    <row r="1607" spans="1:10" x14ac:dyDescent="0.2">
      <c r="A1607" s="859">
        <f t="shared" si="25"/>
        <v>1606</v>
      </c>
      <c r="B1607" s="845" t="s">
        <v>2553</v>
      </c>
      <c r="D1607" s="863"/>
      <c r="I1607" s="845" t="str">
        <f>CONCATENATE("&lt;valeur&gt;",Cellule_13442,"&lt;/valeur&gt;")</f>
        <v>&lt;valeur&gt;0&lt;/valeur&gt;</v>
      </c>
    </row>
    <row r="1608" spans="1:10" x14ac:dyDescent="0.2">
      <c r="A1608" s="859">
        <f t="shared" si="25"/>
        <v>1607</v>
      </c>
      <c r="B1608" s="845" t="s">
        <v>2553</v>
      </c>
      <c r="D1608" s="862"/>
      <c r="H1608" s="845" t="s">
        <v>1010</v>
      </c>
    </row>
    <row r="1609" spans="1:10" x14ac:dyDescent="0.2">
      <c r="A1609" s="859">
        <f t="shared" si="25"/>
        <v>1608</v>
      </c>
      <c r="B1609" s="845" t="s">
        <v>2553</v>
      </c>
      <c r="D1609" s="862"/>
      <c r="H1609" s="845" t="s">
        <v>1007</v>
      </c>
    </row>
    <row r="1610" spans="1:10" x14ac:dyDescent="0.2">
      <c r="A1610" s="859">
        <f t="shared" si="25"/>
        <v>1609</v>
      </c>
      <c r="B1610" s="845" t="s">
        <v>2553</v>
      </c>
      <c r="D1610" s="861"/>
      <c r="I1610" s="845" t="s">
        <v>1008</v>
      </c>
    </row>
    <row r="1611" spans="1:10" x14ac:dyDescent="0.2">
      <c r="A1611" s="859">
        <f t="shared" si="25"/>
        <v>1610</v>
      </c>
      <c r="B1611" s="845" t="s">
        <v>2553</v>
      </c>
      <c r="D1611" s="861"/>
      <c r="J1611" s="845" t="s">
        <v>1290</v>
      </c>
    </row>
    <row r="1612" spans="1:10" x14ac:dyDescent="0.2">
      <c r="A1612" s="859">
        <f t="shared" si="25"/>
        <v>1611</v>
      </c>
      <c r="B1612" s="845" t="s">
        <v>2553</v>
      </c>
      <c r="D1612" s="862"/>
      <c r="I1612" s="845" t="s">
        <v>1009</v>
      </c>
    </row>
    <row r="1613" spans="1:10" x14ac:dyDescent="0.2">
      <c r="A1613" s="859">
        <f t="shared" si="25"/>
        <v>1612</v>
      </c>
      <c r="B1613" s="845" t="s">
        <v>2553</v>
      </c>
      <c r="D1613" s="863"/>
      <c r="I1613" s="845" t="str">
        <f>CONCATENATE("&lt;valeur&gt;",Cellule_13443,"&lt;/valeur&gt;")</f>
        <v>&lt;valeur&gt;0&lt;/valeur&gt;</v>
      </c>
    </row>
    <row r="1614" spans="1:10" x14ac:dyDescent="0.2">
      <c r="A1614" s="859">
        <f t="shared" si="25"/>
        <v>1613</v>
      </c>
      <c r="B1614" s="845" t="s">
        <v>2553</v>
      </c>
      <c r="D1614" s="862"/>
      <c r="H1614" s="845" t="s">
        <v>1010</v>
      </c>
    </row>
    <row r="1615" spans="1:10" x14ac:dyDescent="0.2">
      <c r="A1615" s="859">
        <f t="shared" si="25"/>
        <v>1614</v>
      </c>
      <c r="B1615" s="845" t="s">
        <v>2553</v>
      </c>
      <c r="D1615" s="862"/>
      <c r="H1615" s="845" t="s">
        <v>1007</v>
      </c>
    </row>
    <row r="1616" spans="1:10" x14ac:dyDescent="0.2">
      <c r="A1616" s="859">
        <f t="shared" si="25"/>
        <v>1615</v>
      </c>
      <c r="B1616" s="845" t="s">
        <v>2553</v>
      </c>
      <c r="D1616" s="861"/>
      <c r="I1616" s="845" t="s">
        <v>1008</v>
      </c>
    </row>
    <row r="1617" spans="1:10" x14ac:dyDescent="0.2">
      <c r="A1617" s="859">
        <f t="shared" si="25"/>
        <v>1616</v>
      </c>
      <c r="B1617" s="845" t="s">
        <v>2553</v>
      </c>
      <c r="D1617" s="861"/>
      <c r="J1617" s="845" t="s">
        <v>1291</v>
      </c>
    </row>
    <row r="1618" spans="1:10" x14ac:dyDescent="0.2">
      <c r="A1618" s="859">
        <f t="shared" si="25"/>
        <v>1617</v>
      </c>
      <c r="B1618" s="845" t="s">
        <v>2553</v>
      </c>
      <c r="D1618" s="862"/>
      <c r="I1618" s="845" t="s">
        <v>1009</v>
      </c>
    </row>
    <row r="1619" spans="1:10" x14ac:dyDescent="0.2">
      <c r="A1619" s="859">
        <f t="shared" si="25"/>
        <v>1618</v>
      </c>
      <c r="B1619" s="845" t="s">
        <v>2553</v>
      </c>
      <c r="D1619" s="863"/>
      <c r="I1619" s="845" t="str">
        <f>CONCATENATE("&lt;valeur&gt;",Cellule_13444,"&lt;/valeur&gt;")</f>
        <v>&lt;valeur&gt;0&lt;/valeur&gt;</v>
      </c>
    </row>
    <row r="1620" spans="1:10" x14ac:dyDescent="0.2">
      <c r="A1620" s="859">
        <f t="shared" si="25"/>
        <v>1619</v>
      </c>
      <c r="B1620" s="845" t="s">
        <v>2553</v>
      </c>
      <c r="D1620" s="862"/>
      <c r="H1620" s="845" t="s">
        <v>1010</v>
      </c>
    </row>
    <row r="1621" spans="1:10" x14ac:dyDescent="0.2">
      <c r="A1621" s="859">
        <f t="shared" si="25"/>
        <v>1620</v>
      </c>
      <c r="B1621" s="845" t="s">
        <v>2553</v>
      </c>
      <c r="D1621" s="862"/>
      <c r="H1621" s="845" t="s">
        <v>1007</v>
      </c>
    </row>
    <row r="1622" spans="1:10" x14ac:dyDescent="0.2">
      <c r="A1622" s="859">
        <f t="shared" si="25"/>
        <v>1621</v>
      </c>
      <c r="B1622" s="845" t="s">
        <v>2553</v>
      </c>
      <c r="D1622" s="861"/>
      <c r="I1622" s="845" t="s">
        <v>1008</v>
      </c>
    </row>
    <row r="1623" spans="1:10" x14ac:dyDescent="0.2">
      <c r="A1623" s="859">
        <f t="shared" si="25"/>
        <v>1622</v>
      </c>
      <c r="B1623" s="845" t="s">
        <v>2553</v>
      </c>
      <c r="D1623" s="861"/>
      <c r="J1623" s="845" t="s">
        <v>1292</v>
      </c>
    </row>
    <row r="1624" spans="1:10" x14ac:dyDescent="0.2">
      <c r="A1624" s="859">
        <f t="shared" si="25"/>
        <v>1623</v>
      </c>
      <c r="B1624" s="845" t="s">
        <v>2553</v>
      </c>
      <c r="D1624" s="862"/>
      <c r="I1624" s="845" t="s">
        <v>1009</v>
      </c>
    </row>
    <row r="1625" spans="1:10" x14ac:dyDescent="0.2">
      <c r="A1625" s="859">
        <f t="shared" si="25"/>
        <v>1624</v>
      </c>
      <c r="B1625" s="845" t="s">
        <v>2553</v>
      </c>
      <c r="D1625" s="863"/>
      <c r="I1625" s="845" t="str">
        <f>CONCATENATE("&lt;valeur&gt;",Cellule_13445,"&lt;/valeur&gt;")</f>
        <v>&lt;valeur&gt;0&lt;/valeur&gt;</v>
      </c>
    </row>
    <row r="1626" spans="1:10" x14ac:dyDescent="0.2">
      <c r="A1626" s="859">
        <f t="shared" si="25"/>
        <v>1625</v>
      </c>
      <c r="B1626" s="845" t="s">
        <v>2553</v>
      </c>
      <c r="D1626" s="862"/>
      <c r="H1626" s="845" t="s">
        <v>1010</v>
      </c>
    </row>
    <row r="1627" spans="1:10" x14ac:dyDescent="0.2">
      <c r="A1627" s="859">
        <f t="shared" si="25"/>
        <v>1626</v>
      </c>
      <c r="B1627" s="845" t="s">
        <v>2553</v>
      </c>
      <c r="D1627" s="862"/>
      <c r="H1627" s="845" t="s">
        <v>1007</v>
      </c>
    </row>
    <row r="1628" spans="1:10" x14ac:dyDescent="0.2">
      <c r="A1628" s="859">
        <f t="shared" si="25"/>
        <v>1627</v>
      </c>
      <c r="B1628" s="845" t="s">
        <v>2553</v>
      </c>
      <c r="D1628" s="861"/>
      <c r="I1628" s="845" t="s">
        <v>1008</v>
      </c>
    </row>
    <row r="1629" spans="1:10" x14ac:dyDescent="0.2">
      <c r="A1629" s="859">
        <f t="shared" si="25"/>
        <v>1628</v>
      </c>
      <c r="B1629" s="845" t="s">
        <v>2553</v>
      </c>
      <c r="D1629" s="861"/>
      <c r="J1629" s="845" t="s">
        <v>1293</v>
      </c>
    </row>
    <row r="1630" spans="1:10" x14ac:dyDescent="0.2">
      <c r="A1630" s="859">
        <f t="shared" si="25"/>
        <v>1629</v>
      </c>
      <c r="B1630" s="845" t="s">
        <v>2553</v>
      </c>
      <c r="D1630" s="862"/>
      <c r="I1630" s="845" t="s">
        <v>1009</v>
      </c>
    </row>
    <row r="1631" spans="1:10" x14ac:dyDescent="0.2">
      <c r="A1631" s="859">
        <f t="shared" si="25"/>
        <v>1630</v>
      </c>
      <c r="B1631" s="845" t="s">
        <v>2553</v>
      </c>
      <c r="D1631" s="863"/>
      <c r="I1631" s="845" t="str">
        <f>CONCATENATE("&lt;valeur&gt;",Cellule_13375,"&lt;/valeur&gt;")</f>
        <v>&lt;valeur&gt;0&lt;/valeur&gt;</v>
      </c>
    </row>
    <row r="1632" spans="1:10" x14ac:dyDescent="0.2">
      <c r="A1632" s="859">
        <f t="shared" si="25"/>
        <v>1631</v>
      </c>
      <c r="B1632" s="845" t="s">
        <v>2553</v>
      </c>
      <c r="D1632" s="862"/>
      <c r="H1632" s="845" t="s">
        <v>1010</v>
      </c>
    </row>
    <row r="1633" spans="1:10" x14ac:dyDescent="0.2">
      <c r="A1633" s="859">
        <f t="shared" si="25"/>
        <v>1632</v>
      </c>
      <c r="B1633" s="845" t="s">
        <v>2553</v>
      </c>
      <c r="D1633" s="862"/>
      <c r="H1633" s="845" t="s">
        <v>1007</v>
      </c>
    </row>
    <row r="1634" spans="1:10" x14ac:dyDescent="0.2">
      <c r="A1634" s="859">
        <f t="shared" si="25"/>
        <v>1633</v>
      </c>
      <c r="B1634" s="845" t="s">
        <v>2553</v>
      </c>
      <c r="D1634" s="861"/>
      <c r="I1634" s="845" t="s">
        <v>1008</v>
      </c>
    </row>
    <row r="1635" spans="1:10" x14ac:dyDescent="0.2">
      <c r="A1635" s="859">
        <f t="shared" si="25"/>
        <v>1634</v>
      </c>
      <c r="B1635" s="845" t="s">
        <v>2553</v>
      </c>
      <c r="D1635" s="861"/>
      <c r="J1635" s="845" t="s">
        <v>1294</v>
      </c>
    </row>
    <row r="1636" spans="1:10" x14ac:dyDescent="0.2">
      <c r="A1636" s="859">
        <f t="shared" si="25"/>
        <v>1635</v>
      </c>
      <c r="B1636" s="845" t="s">
        <v>2553</v>
      </c>
      <c r="D1636" s="862"/>
      <c r="I1636" s="845" t="s">
        <v>1009</v>
      </c>
    </row>
    <row r="1637" spans="1:10" x14ac:dyDescent="0.2">
      <c r="A1637" s="859">
        <f t="shared" si="25"/>
        <v>1636</v>
      </c>
      <c r="B1637" s="845" t="s">
        <v>2553</v>
      </c>
      <c r="D1637" s="863"/>
      <c r="I1637" s="845" t="str">
        <f>CONCATENATE("&lt;valeur&gt;",Cellule_13446,"&lt;/valeur&gt;")</f>
        <v>&lt;valeur&gt;0&lt;/valeur&gt;</v>
      </c>
    </row>
    <row r="1638" spans="1:10" x14ac:dyDescent="0.2">
      <c r="A1638" s="859">
        <f t="shared" si="25"/>
        <v>1637</v>
      </c>
      <c r="B1638" s="845" t="s">
        <v>2553</v>
      </c>
      <c r="D1638" s="862"/>
      <c r="H1638" s="845" t="s">
        <v>1010</v>
      </c>
    </row>
    <row r="1639" spans="1:10" x14ac:dyDescent="0.2">
      <c r="A1639" s="859">
        <f t="shared" si="25"/>
        <v>1638</v>
      </c>
      <c r="B1639" s="845" t="s">
        <v>2553</v>
      </c>
      <c r="D1639" s="862"/>
      <c r="H1639" s="845" t="s">
        <v>1007</v>
      </c>
    </row>
    <row r="1640" spans="1:10" x14ac:dyDescent="0.2">
      <c r="A1640" s="859">
        <f t="shared" si="25"/>
        <v>1639</v>
      </c>
      <c r="B1640" s="845" t="s">
        <v>2553</v>
      </c>
      <c r="D1640" s="861"/>
      <c r="I1640" s="845" t="s">
        <v>1008</v>
      </c>
    </row>
    <row r="1641" spans="1:10" x14ac:dyDescent="0.2">
      <c r="A1641" s="859">
        <f t="shared" si="25"/>
        <v>1640</v>
      </c>
      <c r="B1641" s="845" t="s">
        <v>2553</v>
      </c>
      <c r="D1641" s="861"/>
      <c r="J1641" s="845" t="s">
        <v>1295</v>
      </c>
    </row>
    <row r="1642" spans="1:10" x14ac:dyDescent="0.2">
      <c r="A1642" s="859">
        <f t="shared" si="25"/>
        <v>1641</v>
      </c>
      <c r="B1642" s="845" t="s">
        <v>2553</v>
      </c>
      <c r="D1642" s="862"/>
      <c r="I1642" s="845" t="s">
        <v>1009</v>
      </c>
    </row>
    <row r="1643" spans="1:10" x14ac:dyDescent="0.2">
      <c r="A1643" s="859">
        <f t="shared" si="25"/>
        <v>1642</v>
      </c>
      <c r="B1643" s="845" t="s">
        <v>2553</v>
      </c>
      <c r="D1643" s="863"/>
      <c r="I1643" s="845" t="str">
        <f>CONCATENATE("&lt;valeur&gt;",Cellule_13374,"&lt;/valeur&gt;")</f>
        <v>&lt;valeur&gt;0&lt;/valeur&gt;</v>
      </c>
    </row>
    <row r="1644" spans="1:10" x14ac:dyDescent="0.2">
      <c r="A1644" s="859">
        <f t="shared" si="25"/>
        <v>1643</v>
      </c>
      <c r="B1644" s="845" t="s">
        <v>2553</v>
      </c>
      <c r="D1644" s="862"/>
      <c r="H1644" s="845" t="s">
        <v>1010</v>
      </c>
    </row>
    <row r="1645" spans="1:10" x14ac:dyDescent="0.2">
      <c r="A1645" s="859">
        <f t="shared" si="25"/>
        <v>1644</v>
      </c>
      <c r="B1645" s="845" t="s">
        <v>2553</v>
      </c>
      <c r="D1645" s="862"/>
      <c r="H1645" s="845" t="s">
        <v>1007</v>
      </c>
    </row>
    <row r="1646" spans="1:10" x14ac:dyDescent="0.2">
      <c r="A1646" s="859">
        <f t="shared" si="25"/>
        <v>1645</v>
      </c>
      <c r="B1646" s="845" t="s">
        <v>2553</v>
      </c>
      <c r="D1646" s="861"/>
      <c r="I1646" s="845" t="s">
        <v>1008</v>
      </c>
    </row>
    <row r="1647" spans="1:10" x14ac:dyDescent="0.2">
      <c r="A1647" s="859">
        <f t="shared" si="25"/>
        <v>1646</v>
      </c>
      <c r="B1647" s="845" t="s">
        <v>2553</v>
      </c>
      <c r="D1647" s="861"/>
      <c r="J1647" s="845" t="s">
        <v>1296</v>
      </c>
    </row>
    <row r="1648" spans="1:10" x14ac:dyDescent="0.2">
      <c r="A1648" s="859">
        <f t="shared" si="25"/>
        <v>1647</v>
      </c>
      <c r="B1648" s="845" t="s">
        <v>2553</v>
      </c>
      <c r="D1648" s="862"/>
      <c r="I1648" s="845" t="s">
        <v>1009</v>
      </c>
    </row>
    <row r="1649" spans="1:10" x14ac:dyDescent="0.2">
      <c r="A1649" s="859">
        <f t="shared" si="25"/>
        <v>1648</v>
      </c>
      <c r="B1649" s="845" t="s">
        <v>2553</v>
      </c>
      <c r="D1649" s="863"/>
      <c r="I1649" s="845" t="str">
        <f>CONCATENATE("&lt;valeur&gt;",Cellule_13447,"&lt;/valeur&gt;")</f>
        <v>&lt;valeur&gt;0&lt;/valeur&gt;</v>
      </c>
    </row>
    <row r="1650" spans="1:10" x14ac:dyDescent="0.2">
      <c r="A1650" s="859">
        <f t="shared" si="25"/>
        <v>1649</v>
      </c>
      <c r="B1650" s="845" t="s">
        <v>2553</v>
      </c>
      <c r="D1650" s="862"/>
      <c r="H1650" s="845" t="s">
        <v>1010</v>
      </c>
    </row>
    <row r="1651" spans="1:10" x14ac:dyDescent="0.2">
      <c r="A1651" s="859">
        <f t="shared" si="25"/>
        <v>1650</v>
      </c>
      <c r="B1651" s="845" t="s">
        <v>2553</v>
      </c>
      <c r="D1651" s="862"/>
      <c r="H1651" s="845" t="s">
        <v>1007</v>
      </c>
    </row>
    <row r="1652" spans="1:10" x14ac:dyDescent="0.2">
      <c r="A1652" s="859">
        <f t="shared" si="25"/>
        <v>1651</v>
      </c>
      <c r="B1652" s="845" t="s">
        <v>2553</v>
      </c>
      <c r="D1652" s="861"/>
      <c r="I1652" s="845" t="s">
        <v>1008</v>
      </c>
    </row>
    <row r="1653" spans="1:10" x14ac:dyDescent="0.2">
      <c r="A1653" s="859">
        <f t="shared" si="25"/>
        <v>1652</v>
      </c>
      <c r="B1653" s="845" t="s">
        <v>2553</v>
      </c>
      <c r="D1653" s="861"/>
      <c r="J1653" s="845" t="s">
        <v>1297</v>
      </c>
    </row>
    <row r="1654" spans="1:10" x14ac:dyDescent="0.2">
      <c r="A1654" s="859">
        <f t="shared" si="25"/>
        <v>1653</v>
      </c>
      <c r="B1654" s="845" t="s">
        <v>2553</v>
      </c>
      <c r="D1654" s="862"/>
      <c r="I1654" s="845" t="s">
        <v>1009</v>
      </c>
    </row>
    <row r="1655" spans="1:10" x14ac:dyDescent="0.2">
      <c r="A1655" s="859">
        <f t="shared" si="25"/>
        <v>1654</v>
      </c>
      <c r="B1655" s="845" t="s">
        <v>2553</v>
      </c>
      <c r="D1655" s="863"/>
      <c r="I1655" s="845" t="str">
        <f>CONCATENATE("&lt;valeur&gt;",Cellule_13373,"&lt;/valeur&gt;")</f>
        <v>&lt;valeur&gt;0&lt;/valeur&gt;</v>
      </c>
    </row>
    <row r="1656" spans="1:10" x14ac:dyDescent="0.2">
      <c r="A1656" s="859">
        <f t="shared" si="25"/>
        <v>1655</v>
      </c>
      <c r="B1656" s="845" t="s">
        <v>2553</v>
      </c>
      <c r="D1656" s="862"/>
      <c r="H1656" s="845" t="s">
        <v>1010</v>
      </c>
    </row>
    <row r="1657" spans="1:10" x14ac:dyDescent="0.2">
      <c r="A1657" s="859">
        <f t="shared" si="25"/>
        <v>1656</v>
      </c>
      <c r="B1657" s="845" t="s">
        <v>2553</v>
      </c>
      <c r="D1657" s="862"/>
      <c r="H1657" s="845" t="s">
        <v>1007</v>
      </c>
    </row>
    <row r="1658" spans="1:10" x14ac:dyDescent="0.2">
      <c r="A1658" s="859">
        <f t="shared" si="25"/>
        <v>1657</v>
      </c>
      <c r="B1658" s="845" t="s">
        <v>2553</v>
      </c>
      <c r="D1658" s="861"/>
      <c r="I1658" s="845" t="s">
        <v>1008</v>
      </c>
    </row>
    <row r="1659" spans="1:10" x14ac:dyDescent="0.2">
      <c r="A1659" s="859">
        <f t="shared" si="25"/>
        <v>1658</v>
      </c>
      <c r="B1659" s="845" t="s">
        <v>2553</v>
      </c>
      <c r="D1659" s="861"/>
      <c r="J1659" s="845" t="s">
        <v>1298</v>
      </c>
    </row>
    <row r="1660" spans="1:10" x14ac:dyDescent="0.2">
      <c r="A1660" s="859">
        <f t="shared" si="25"/>
        <v>1659</v>
      </c>
      <c r="B1660" s="845" t="s">
        <v>2553</v>
      </c>
      <c r="D1660" s="862"/>
      <c r="I1660" s="845" t="s">
        <v>1009</v>
      </c>
    </row>
    <row r="1661" spans="1:10" x14ac:dyDescent="0.2">
      <c r="A1661" s="859">
        <f t="shared" si="25"/>
        <v>1660</v>
      </c>
      <c r="B1661" s="845" t="s">
        <v>2553</v>
      </c>
      <c r="D1661" s="863"/>
      <c r="I1661" s="845" t="str">
        <f>CONCATENATE("&lt;valeur&gt;",Cellule_13448,"&lt;/valeur&gt;")</f>
        <v>&lt;valeur&gt;0&lt;/valeur&gt;</v>
      </c>
    </row>
    <row r="1662" spans="1:10" x14ac:dyDescent="0.2">
      <c r="A1662" s="859">
        <f t="shared" si="25"/>
        <v>1661</v>
      </c>
      <c r="B1662" s="845" t="s">
        <v>2553</v>
      </c>
      <c r="D1662" s="862"/>
      <c r="H1662" s="845" t="s">
        <v>1010</v>
      </c>
    </row>
    <row r="1663" spans="1:10" x14ac:dyDescent="0.2">
      <c r="A1663" s="859">
        <f t="shared" si="25"/>
        <v>1662</v>
      </c>
      <c r="B1663" s="845" t="s">
        <v>2553</v>
      </c>
      <c r="D1663" s="862"/>
      <c r="H1663" s="845" t="s">
        <v>1007</v>
      </c>
    </row>
    <row r="1664" spans="1:10" x14ac:dyDescent="0.2">
      <c r="A1664" s="859">
        <f t="shared" si="25"/>
        <v>1663</v>
      </c>
      <c r="B1664" s="845" t="s">
        <v>2553</v>
      </c>
      <c r="D1664" s="861"/>
      <c r="I1664" s="845" t="s">
        <v>1008</v>
      </c>
    </row>
    <row r="1665" spans="1:10" x14ac:dyDescent="0.2">
      <c r="A1665" s="859">
        <f t="shared" si="25"/>
        <v>1664</v>
      </c>
      <c r="B1665" s="845" t="s">
        <v>2553</v>
      </c>
      <c r="D1665" s="861"/>
      <c r="J1665" s="845" t="s">
        <v>1299</v>
      </c>
    </row>
    <row r="1666" spans="1:10" x14ac:dyDescent="0.2">
      <c r="A1666" s="859">
        <f t="shared" si="25"/>
        <v>1665</v>
      </c>
      <c r="B1666" s="845" t="s">
        <v>2553</v>
      </c>
      <c r="D1666" s="862"/>
      <c r="I1666" s="845" t="s">
        <v>1009</v>
      </c>
    </row>
    <row r="1667" spans="1:10" x14ac:dyDescent="0.2">
      <c r="A1667" s="859">
        <f t="shared" si="25"/>
        <v>1666</v>
      </c>
      <c r="B1667" s="845" t="s">
        <v>2553</v>
      </c>
      <c r="D1667" s="863"/>
      <c r="I1667" s="845" t="str">
        <f>CONCATENATE("&lt;valeur&gt;",Cellule_13370,"&lt;/valeur&gt;")</f>
        <v>&lt;valeur&gt;0&lt;/valeur&gt;</v>
      </c>
    </row>
    <row r="1668" spans="1:10" x14ac:dyDescent="0.2">
      <c r="A1668" s="859">
        <f t="shared" ref="A1668:A1731" si="26">+A1667+1</f>
        <v>1667</v>
      </c>
      <c r="B1668" s="845" t="s">
        <v>2553</v>
      </c>
      <c r="D1668" s="862"/>
      <c r="H1668" s="845" t="s">
        <v>1010</v>
      </c>
    </row>
    <row r="1669" spans="1:10" x14ac:dyDescent="0.2">
      <c r="A1669" s="859">
        <f t="shared" si="26"/>
        <v>1668</v>
      </c>
      <c r="B1669" s="845" t="s">
        <v>2553</v>
      </c>
      <c r="D1669" s="862"/>
      <c r="H1669" s="845" t="s">
        <v>1007</v>
      </c>
    </row>
    <row r="1670" spans="1:10" x14ac:dyDescent="0.2">
      <c r="A1670" s="859">
        <f t="shared" si="26"/>
        <v>1669</v>
      </c>
      <c r="B1670" s="845" t="s">
        <v>2553</v>
      </c>
      <c r="D1670" s="861"/>
      <c r="I1670" s="845" t="s">
        <v>1008</v>
      </c>
    </row>
    <row r="1671" spans="1:10" x14ac:dyDescent="0.2">
      <c r="A1671" s="859">
        <f t="shared" si="26"/>
        <v>1670</v>
      </c>
      <c r="B1671" s="845" t="s">
        <v>2553</v>
      </c>
      <c r="D1671" s="861"/>
      <c r="J1671" s="845" t="s">
        <v>1300</v>
      </c>
    </row>
    <row r="1672" spans="1:10" x14ac:dyDescent="0.2">
      <c r="A1672" s="859">
        <f t="shared" si="26"/>
        <v>1671</v>
      </c>
      <c r="B1672" s="845" t="s">
        <v>2553</v>
      </c>
      <c r="D1672" s="862"/>
      <c r="I1672" s="845" t="s">
        <v>1009</v>
      </c>
    </row>
    <row r="1673" spans="1:10" x14ac:dyDescent="0.2">
      <c r="A1673" s="859">
        <f t="shared" si="26"/>
        <v>1672</v>
      </c>
      <c r="B1673" s="845" t="s">
        <v>2553</v>
      </c>
      <c r="D1673" s="863"/>
      <c r="I1673" s="845" t="str">
        <f>CONCATENATE("&lt;valeur&gt;",Cellule_13371,"&lt;/valeur&gt;")</f>
        <v>&lt;valeur&gt;0&lt;/valeur&gt;</v>
      </c>
    </row>
    <row r="1674" spans="1:10" x14ac:dyDescent="0.2">
      <c r="A1674" s="859">
        <f t="shared" si="26"/>
        <v>1673</v>
      </c>
      <c r="B1674" s="845" t="s">
        <v>2553</v>
      </c>
      <c r="D1674" s="862"/>
      <c r="H1674" s="845" t="s">
        <v>1010</v>
      </c>
    </row>
    <row r="1675" spans="1:10" x14ac:dyDescent="0.2">
      <c r="A1675" s="859">
        <f t="shared" si="26"/>
        <v>1674</v>
      </c>
      <c r="B1675" s="845" t="s">
        <v>2553</v>
      </c>
      <c r="D1675" s="862"/>
      <c r="H1675" s="845" t="s">
        <v>1007</v>
      </c>
    </row>
    <row r="1676" spans="1:10" x14ac:dyDescent="0.2">
      <c r="A1676" s="859">
        <f t="shared" si="26"/>
        <v>1675</v>
      </c>
      <c r="B1676" s="845" t="s">
        <v>2553</v>
      </c>
      <c r="D1676" s="861"/>
      <c r="I1676" s="845" t="s">
        <v>1008</v>
      </c>
    </row>
    <row r="1677" spans="1:10" x14ac:dyDescent="0.2">
      <c r="A1677" s="859">
        <f t="shared" si="26"/>
        <v>1676</v>
      </c>
      <c r="B1677" s="845" t="s">
        <v>2553</v>
      </c>
      <c r="D1677" s="861"/>
      <c r="J1677" s="845" t="s">
        <v>1301</v>
      </c>
    </row>
    <row r="1678" spans="1:10" x14ac:dyDescent="0.2">
      <c r="A1678" s="859">
        <f t="shared" si="26"/>
        <v>1677</v>
      </c>
      <c r="B1678" s="845" t="s">
        <v>2553</v>
      </c>
      <c r="D1678" s="862"/>
      <c r="I1678" s="845" t="s">
        <v>1009</v>
      </c>
    </row>
    <row r="1679" spans="1:10" x14ac:dyDescent="0.2">
      <c r="A1679" s="859">
        <f t="shared" si="26"/>
        <v>1678</v>
      </c>
      <c r="B1679" s="845" t="s">
        <v>2553</v>
      </c>
      <c r="D1679" s="863"/>
      <c r="I1679" s="845" t="str">
        <f>CONCATENATE("&lt;valeur&gt;",Cellule_13372,"&lt;/valeur&gt;")</f>
        <v>&lt;valeur&gt;0&lt;/valeur&gt;</v>
      </c>
    </row>
    <row r="1680" spans="1:10" x14ac:dyDescent="0.2">
      <c r="A1680" s="859">
        <f t="shared" si="26"/>
        <v>1679</v>
      </c>
      <c r="B1680" s="845" t="s">
        <v>2553</v>
      </c>
      <c r="D1680" s="862"/>
      <c r="H1680" s="845" t="s">
        <v>1010</v>
      </c>
    </row>
    <row r="1681" spans="1:10" x14ac:dyDescent="0.2">
      <c r="A1681" s="859">
        <f t="shared" si="26"/>
        <v>1680</v>
      </c>
      <c r="B1681" s="845" t="s">
        <v>2553</v>
      </c>
      <c r="D1681" s="862"/>
      <c r="H1681" s="845" t="s">
        <v>1007</v>
      </c>
    </row>
    <row r="1682" spans="1:10" x14ac:dyDescent="0.2">
      <c r="A1682" s="859">
        <f t="shared" si="26"/>
        <v>1681</v>
      </c>
      <c r="B1682" s="845" t="s">
        <v>2553</v>
      </c>
      <c r="D1682" s="861"/>
      <c r="I1682" s="845" t="s">
        <v>1008</v>
      </c>
    </row>
    <row r="1683" spans="1:10" x14ac:dyDescent="0.2">
      <c r="A1683" s="859">
        <f t="shared" si="26"/>
        <v>1682</v>
      </c>
      <c r="B1683" s="845" t="s">
        <v>2553</v>
      </c>
      <c r="D1683" s="861"/>
      <c r="J1683" s="845" t="s">
        <v>1302</v>
      </c>
    </row>
    <row r="1684" spans="1:10" x14ac:dyDescent="0.2">
      <c r="A1684" s="859">
        <f t="shared" si="26"/>
        <v>1683</v>
      </c>
      <c r="B1684" s="845" t="s">
        <v>2553</v>
      </c>
      <c r="D1684" s="862"/>
      <c r="I1684" s="845" t="s">
        <v>1009</v>
      </c>
    </row>
    <row r="1685" spans="1:10" x14ac:dyDescent="0.2">
      <c r="A1685" s="859">
        <f t="shared" si="26"/>
        <v>1684</v>
      </c>
      <c r="B1685" s="845" t="s">
        <v>2553</v>
      </c>
      <c r="D1685" s="863"/>
      <c r="I1685" s="845" t="str">
        <f>CONCATENATE("&lt;valeur&gt;",Cellule_13449,"&lt;/valeur&gt;")</f>
        <v>&lt;valeur&gt;0&lt;/valeur&gt;</v>
      </c>
    </row>
    <row r="1686" spans="1:10" x14ac:dyDescent="0.2">
      <c r="A1686" s="859">
        <f t="shared" si="26"/>
        <v>1685</v>
      </c>
      <c r="B1686" s="845" t="s">
        <v>2553</v>
      </c>
      <c r="D1686" s="862"/>
      <c r="H1686" s="845" t="s">
        <v>1010</v>
      </c>
    </row>
    <row r="1687" spans="1:10" x14ac:dyDescent="0.2">
      <c r="A1687" s="859">
        <f t="shared" si="26"/>
        <v>1686</v>
      </c>
      <c r="B1687" s="845" t="s">
        <v>2553</v>
      </c>
      <c r="D1687" s="862"/>
      <c r="H1687" s="845" t="s">
        <v>1007</v>
      </c>
    </row>
    <row r="1688" spans="1:10" x14ac:dyDescent="0.2">
      <c r="A1688" s="859">
        <f t="shared" si="26"/>
        <v>1687</v>
      </c>
      <c r="B1688" s="845" t="s">
        <v>2553</v>
      </c>
      <c r="D1688" s="861"/>
      <c r="I1688" s="845" t="s">
        <v>1008</v>
      </c>
    </row>
    <row r="1689" spans="1:10" x14ac:dyDescent="0.2">
      <c r="A1689" s="859">
        <f t="shared" si="26"/>
        <v>1688</v>
      </c>
      <c r="B1689" s="845" t="s">
        <v>2553</v>
      </c>
      <c r="D1689" s="861"/>
      <c r="J1689" s="845" t="s">
        <v>1303</v>
      </c>
    </row>
    <row r="1690" spans="1:10" x14ac:dyDescent="0.2">
      <c r="A1690" s="859">
        <f t="shared" si="26"/>
        <v>1689</v>
      </c>
      <c r="B1690" s="845" t="s">
        <v>2553</v>
      </c>
      <c r="D1690" s="862"/>
      <c r="I1690" s="845" t="s">
        <v>1009</v>
      </c>
    </row>
    <row r="1691" spans="1:10" x14ac:dyDescent="0.2">
      <c r="A1691" s="859">
        <f t="shared" si="26"/>
        <v>1690</v>
      </c>
      <c r="B1691" s="845" t="s">
        <v>2553</v>
      </c>
      <c r="D1691" s="863"/>
      <c r="I1691" s="845" t="str">
        <f>CONCATENATE("&lt;valeur&gt;",Cellule_13450,"&lt;/valeur&gt;")</f>
        <v>&lt;valeur&gt;0&lt;/valeur&gt;</v>
      </c>
    </row>
    <row r="1692" spans="1:10" x14ac:dyDescent="0.2">
      <c r="A1692" s="859">
        <f t="shared" si="26"/>
        <v>1691</v>
      </c>
      <c r="B1692" s="845" t="s">
        <v>2553</v>
      </c>
      <c r="D1692" s="862"/>
      <c r="H1692" s="845" t="s">
        <v>1010</v>
      </c>
    </row>
    <row r="1693" spans="1:10" x14ac:dyDescent="0.2">
      <c r="A1693" s="859">
        <f t="shared" si="26"/>
        <v>1692</v>
      </c>
      <c r="B1693" s="845" t="s">
        <v>2553</v>
      </c>
      <c r="D1693" s="862"/>
      <c r="H1693" s="845" t="s">
        <v>1007</v>
      </c>
    </row>
    <row r="1694" spans="1:10" x14ac:dyDescent="0.2">
      <c r="A1694" s="859">
        <f t="shared" si="26"/>
        <v>1693</v>
      </c>
      <c r="B1694" s="845" t="s">
        <v>2553</v>
      </c>
      <c r="D1694" s="861"/>
      <c r="I1694" s="845" t="s">
        <v>1008</v>
      </c>
    </row>
    <row r="1695" spans="1:10" x14ac:dyDescent="0.2">
      <c r="A1695" s="859">
        <f t="shared" si="26"/>
        <v>1694</v>
      </c>
      <c r="B1695" s="845" t="s">
        <v>2553</v>
      </c>
      <c r="D1695" s="861"/>
      <c r="J1695" s="845" t="s">
        <v>1304</v>
      </c>
    </row>
    <row r="1696" spans="1:10" x14ac:dyDescent="0.2">
      <c r="A1696" s="859">
        <f t="shared" si="26"/>
        <v>1695</v>
      </c>
      <c r="B1696" s="845" t="s">
        <v>2553</v>
      </c>
      <c r="D1696" s="862"/>
      <c r="I1696" s="845" t="s">
        <v>1009</v>
      </c>
    </row>
    <row r="1697" spans="1:10" x14ac:dyDescent="0.2">
      <c r="A1697" s="859">
        <f t="shared" si="26"/>
        <v>1696</v>
      </c>
      <c r="B1697" s="845" t="s">
        <v>2553</v>
      </c>
      <c r="D1697" s="863"/>
      <c r="I1697" s="845" t="str">
        <f>CONCATENATE("&lt;valeur&gt;",Cellule_13451,"&lt;/valeur&gt;")</f>
        <v>&lt;valeur&gt;0&lt;/valeur&gt;</v>
      </c>
    </row>
    <row r="1698" spans="1:10" x14ac:dyDescent="0.2">
      <c r="A1698" s="859">
        <f t="shared" si="26"/>
        <v>1697</v>
      </c>
      <c r="B1698" s="845" t="s">
        <v>2553</v>
      </c>
      <c r="D1698" s="862"/>
      <c r="H1698" s="845" t="s">
        <v>1010</v>
      </c>
    </row>
    <row r="1699" spans="1:10" x14ac:dyDescent="0.2">
      <c r="A1699" s="859">
        <f t="shared" si="26"/>
        <v>1698</v>
      </c>
      <c r="B1699" s="845" t="s">
        <v>2553</v>
      </c>
      <c r="D1699" s="862"/>
      <c r="H1699" s="845" t="s">
        <v>1007</v>
      </c>
    </row>
    <row r="1700" spans="1:10" x14ac:dyDescent="0.2">
      <c r="A1700" s="859">
        <f t="shared" si="26"/>
        <v>1699</v>
      </c>
      <c r="B1700" s="845" t="s">
        <v>2553</v>
      </c>
      <c r="D1700" s="861"/>
      <c r="I1700" s="845" t="s">
        <v>1008</v>
      </c>
    </row>
    <row r="1701" spans="1:10" x14ac:dyDescent="0.2">
      <c r="A1701" s="859">
        <f t="shared" si="26"/>
        <v>1700</v>
      </c>
      <c r="B1701" s="845" t="s">
        <v>2553</v>
      </c>
      <c r="D1701" s="861"/>
      <c r="J1701" s="845" t="s">
        <v>1305</v>
      </c>
    </row>
    <row r="1702" spans="1:10" x14ac:dyDescent="0.2">
      <c r="A1702" s="859">
        <f t="shared" si="26"/>
        <v>1701</v>
      </c>
      <c r="B1702" s="845" t="s">
        <v>2553</v>
      </c>
      <c r="D1702" s="862"/>
      <c r="I1702" s="845" t="s">
        <v>1009</v>
      </c>
    </row>
    <row r="1703" spans="1:10" x14ac:dyDescent="0.2">
      <c r="A1703" s="859">
        <f t="shared" si="26"/>
        <v>1702</v>
      </c>
      <c r="B1703" s="845" t="s">
        <v>2553</v>
      </c>
      <c r="D1703" s="863"/>
      <c r="I1703" s="845" t="str">
        <f>CONCATENATE("&lt;valeur&gt;",Cellule_13369,"&lt;/valeur&gt;")</f>
        <v>&lt;valeur&gt;0&lt;/valeur&gt;</v>
      </c>
    </row>
    <row r="1704" spans="1:10" x14ac:dyDescent="0.2">
      <c r="A1704" s="859">
        <f t="shared" si="26"/>
        <v>1703</v>
      </c>
      <c r="B1704" s="845" t="s">
        <v>2553</v>
      </c>
      <c r="D1704" s="862"/>
      <c r="H1704" s="845" t="s">
        <v>1010</v>
      </c>
    </row>
    <row r="1705" spans="1:10" x14ac:dyDescent="0.2">
      <c r="A1705" s="859">
        <f t="shared" si="26"/>
        <v>1704</v>
      </c>
      <c r="B1705" s="845" t="s">
        <v>2553</v>
      </c>
      <c r="D1705" s="862"/>
      <c r="H1705" s="845" t="s">
        <v>1007</v>
      </c>
    </row>
    <row r="1706" spans="1:10" x14ac:dyDescent="0.2">
      <c r="A1706" s="859">
        <f t="shared" si="26"/>
        <v>1705</v>
      </c>
      <c r="B1706" s="845" t="s">
        <v>2553</v>
      </c>
      <c r="D1706" s="861"/>
      <c r="I1706" s="845" t="s">
        <v>1008</v>
      </c>
    </row>
    <row r="1707" spans="1:10" x14ac:dyDescent="0.2">
      <c r="A1707" s="859">
        <f t="shared" si="26"/>
        <v>1706</v>
      </c>
      <c r="B1707" s="845" t="s">
        <v>2553</v>
      </c>
      <c r="D1707" s="861"/>
      <c r="J1707" s="845" t="s">
        <v>1306</v>
      </c>
    </row>
    <row r="1708" spans="1:10" x14ac:dyDescent="0.2">
      <c r="A1708" s="859">
        <f t="shared" si="26"/>
        <v>1707</v>
      </c>
      <c r="B1708" s="845" t="s">
        <v>2553</v>
      </c>
      <c r="D1708" s="862"/>
      <c r="I1708" s="845" t="s">
        <v>1009</v>
      </c>
    </row>
    <row r="1709" spans="1:10" x14ac:dyDescent="0.2">
      <c r="A1709" s="859">
        <f t="shared" si="26"/>
        <v>1708</v>
      </c>
      <c r="B1709" s="845" t="s">
        <v>2553</v>
      </c>
      <c r="D1709" s="863"/>
      <c r="I1709" s="845" t="str">
        <f>CONCATENATE("&lt;valeur&gt;",Cellule_13452,"&lt;/valeur&gt;")</f>
        <v>&lt;valeur&gt;0&lt;/valeur&gt;</v>
      </c>
    </row>
    <row r="1710" spans="1:10" x14ac:dyDescent="0.2">
      <c r="A1710" s="859">
        <f t="shared" si="26"/>
        <v>1709</v>
      </c>
      <c r="B1710" s="845" t="s">
        <v>2553</v>
      </c>
      <c r="D1710" s="862"/>
      <c r="H1710" s="845" t="s">
        <v>1010</v>
      </c>
    </row>
    <row r="1711" spans="1:10" x14ac:dyDescent="0.2">
      <c r="A1711" s="859">
        <f t="shared" si="26"/>
        <v>1710</v>
      </c>
      <c r="B1711" s="845" t="s">
        <v>2553</v>
      </c>
      <c r="D1711" s="862"/>
      <c r="H1711" s="845" t="s">
        <v>1007</v>
      </c>
    </row>
    <row r="1712" spans="1:10" x14ac:dyDescent="0.2">
      <c r="A1712" s="859">
        <f t="shared" si="26"/>
        <v>1711</v>
      </c>
      <c r="B1712" s="845" t="s">
        <v>2553</v>
      </c>
      <c r="D1712" s="861"/>
      <c r="I1712" s="845" t="s">
        <v>1008</v>
      </c>
    </row>
    <row r="1713" spans="1:10" x14ac:dyDescent="0.2">
      <c r="A1713" s="859">
        <f t="shared" si="26"/>
        <v>1712</v>
      </c>
      <c r="B1713" s="845" t="s">
        <v>2553</v>
      </c>
      <c r="D1713" s="861"/>
      <c r="J1713" s="845" t="s">
        <v>1307</v>
      </c>
    </row>
    <row r="1714" spans="1:10" x14ac:dyDescent="0.2">
      <c r="A1714" s="859">
        <f t="shared" si="26"/>
        <v>1713</v>
      </c>
      <c r="B1714" s="845" t="s">
        <v>2553</v>
      </c>
      <c r="D1714" s="862"/>
      <c r="I1714" s="845" t="s">
        <v>1009</v>
      </c>
    </row>
    <row r="1715" spans="1:10" x14ac:dyDescent="0.2">
      <c r="A1715" s="859">
        <f t="shared" si="26"/>
        <v>1714</v>
      </c>
      <c r="B1715" s="845" t="s">
        <v>2553</v>
      </c>
      <c r="D1715" s="863"/>
      <c r="I1715" s="845" t="str">
        <f>CONCATENATE("&lt;valeur&gt;",Cellule_13368,"&lt;/valeur&gt;")</f>
        <v>&lt;valeur&gt;0&lt;/valeur&gt;</v>
      </c>
    </row>
    <row r="1716" spans="1:10" x14ac:dyDescent="0.2">
      <c r="A1716" s="859">
        <f t="shared" si="26"/>
        <v>1715</v>
      </c>
      <c r="B1716" s="845" t="s">
        <v>2553</v>
      </c>
      <c r="D1716" s="862"/>
      <c r="H1716" s="845" t="s">
        <v>1010</v>
      </c>
    </row>
    <row r="1717" spans="1:10" x14ac:dyDescent="0.2">
      <c r="A1717" s="859">
        <f t="shared" si="26"/>
        <v>1716</v>
      </c>
      <c r="B1717" s="845" t="s">
        <v>2553</v>
      </c>
      <c r="D1717" s="862"/>
      <c r="H1717" s="845" t="s">
        <v>1007</v>
      </c>
    </row>
    <row r="1718" spans="1:10" x14ac:dyDescent="0.2">
      <c r="A1718" s="859">
        <f t="shared" si="26"/>
        <v>1717</v>
      </c>
      <c r="B1718" s="845" t="s">
        <v>2553</v>
      </c>
      <c r="D1718" s="861"/>
      <c r="I1718" s="845" t="s">
        <v>1008</v>
      </c>
    </row>
    <row r="1719" spans="1:10" x14ac:dyDescent="0.2">
      <c r="A1719" s="859">
        <f t="shared" si="26"/>
        <v>1718</v>
      </c>
      <c r="B1719" s="845" t="s">
        <v>2553</v>
      </c>
      <c r="D1719" s="861"/>
      <c r="J1719" s="845" t="s">
        <v>1308</v>
      </c>
    </row>
    <row r="1720" spans="1:10" x14ac:dyDescent="0.2">
      <c r="A1720" s="859">
        <f t="shared" si="26"/>
        <v>1719</v>
      </c>
      <c r="B1720" s="845" t="s">
        <v>2553</v>
      </c>
      <c r="D1720" s="862"/>
      <c r="I1720" s="845" t="s">
        <v>1009</v>
      </c>
    </row>
    <row r="1721" spans="1:10" x14ac:dyDescent="0.2">
      <c r="A1721" s="859">
        <f t="shared" si="26"/>
        <v>1720</v>
      </c>
      <c r="B1721" s="845" t="s">
        <v>2553</v>
      </c>
      <c r="D1721" s="863"/>
      <c r="I1721" s="845" t="str">
        <f>CONCATENATE("&lt;valeur&gt;",Cellule_13453,"&lt;/valeur&gt;")</f>
        <v>&lt;valeur&gt;0&lt;/valeur&gt;</v>
      </c>
    </row>
    <row r="1722" spans="1:10" x14ac:dyDescent="0.2">
      <c r="A1722" s="859">
        <f t="shared" si="26"/>
        <v>1721</v>
      </c>
      <c r="B1722" s="845" t="s">
        <v>2553</v>
      </c>
      <c r="D1722" s="862"/>
      <c r="H1722" s="845" t="s">
        <v>1010</v>
      </c>
    </row>
    <row r="1723" spans="1:10" x14ac:dyDescent="0.2">
      <c r="A1723" s="859">
        <f t="shared" si="26"/>
        <v>1722</v>
      </c>
      <c r="B1723" s="845" t="s">
        <v>2553</v>
      </c>
      <c r="D1723" s="862"/>
      <c r="G1723" s="845" t="s">
        <v>1011</v>
      </c>
    </row>
    <row r="1724" spans="1:10" x14ac:dyDescent="0.2">
      <c r="A1724" s="859">
        <f t="shared" si="26"/>
        <v>1723</v>
      </c>
      <c r="B1724" s="845" t="s">
        <v>2553</v>
      </c>
      <c r="D1724" s="861"/>
      <c r="G1724" s="845" t="s">
        <v>1012</v>
      </c>
    </row>
    <row r="1725" spans="1:10" x14ac:dyDescent="0.2">
      <c r="A1725" s="859">
        <f t="shared" si="26"/>
        <v>1724</v>
      </c>
      <c r="B1725" s="845" t="s">
        <v>2553</v>
      </c>
      <c r="D1725" s="862"/>
      <c r="G1725" s="845" t="s">
        <v>1013</v>
      </c>
    </row>
    <row r="1726" spans="1:10" x14ac:dyDescent="0.2">
      <c r="A1726" s="859">
        <f t="shared" si="26"/>
        <v>1725</v>
      </c>
      <c r="B1726" s="845" t="s">
        <v>2553</v>
      </c>
      <c r="D1726" s="863"/>
      <c r="F1726" s="845" t="s">
        <v>1014</v>
      </c>
    </row>
    <row r="1727" spans="1:10" x14ac:dyDescent="0.2">
      <c r="A1727" s="859">
        <f t="shared" si="26"/>
        <v>1726</v>
      </c>
      <c r="B1727" s="845" t="s">
        <v>2554</v>
      </c>
      <c r="D1727" s="862"/>
      <c r="F1727" s="845" t="s">
        <v>1005</v>
      </c>
    </row>
    <row r="1728" spans="1:10" x14ac:dyDescent="0.2">
      <c r="A1728" s="859">
        <f t="shared" si="26"/>
        <v>1727</v>
      </c>
      <c r="B1728" s="845" t="s">
        <v>2554</v>
      </c>
      <c r="D1728" s="862"/>
      <c r="G1728" s="845" t="s">
        <v>1309</v>
      </c>
    </row>
    <row r="1729" spans="1:10" x14ac:dyDescent="0.2">
      <c r="A1729" s="859">
        <f t="shared" si="26"/>
        <v>1728</v>
      </c>
      <c r="B1729" s="845" t="s">
        <v>2554</v>
      </c>
      <c r="D1729" s="861"/>
      <c r="G1729" s="845" t="s">
        <v>1006</v>
      </c>
    </row>
    <row r="1730" spans="1:10" x14ac:dyDescent="0.2">
      <c r="A1730" s="859">
        <f t="shared" si="26"/>
        <v>1729</v>
      </c>
      <c r="B1730" s="845" t="s">
        <v>2554</v>
      </c>
      <c r="D1730" s="860"/>
      <c r="H1730" s="845" t="s">
        <v>1007</v>
      </c>
    </row>
    <row r="1731" spans="1:10" x14ac:dyDescent="0.2">
      <c r="A1731" s="859">
        <f t="shared" si="26"/>
        <v>1730</v>
      </c>
      <c r="B1731" s="845" t="s">
        <v>2554</v>
      </c>
      <c r="D1731" s="860"/>
      <c r="I1731" s="845" t="s">
        <v>1008</v>
      </c>
    </row>
    <row r="1732" spans="1:10" x14ac:dyDescent="0.2">
      <c r="A1732" s="859">
        <f t="shared" ref="A1732:A1795" si="27">+A1731+1</f>
        <v>1731</v>
      </c>
      <c r="B1732" s="845" t="s">
        <v>2554</v>
      </c>
      <c r="D1732" s="857"/>
      <c r="J1732" s="845" t="s">
        <v>1310</v>
      </c>
    </row>
    <row r="1733" spans="1:10" x14ac:dyDescent="0.2">
      <c r="A1733" s="859">
        <f t="shared" si="27"/>
        <v>1732</v>
      </c>
      <c r="B1733" s="845" t="s">
        <v>2554</v>
      </c>
      <c r="D1733" s="857"/>
      <c r="I1733" s="845" t="s">
        <v>1009</v>
      </c>
    </row>
    <row r="1734" spans="1:10" x14ac:dyDescent="0.2">
      <c r="A1734" s="859">
        <f t="shared" si="27"/>
        <v>1733</v>
      </c>
      <c r="B1734" s="845" t="s">
        <v>2554</v>
      </c>
      <c r="D1734" s="860"/>
      <c r="I1734" s="845" t="str">
        <f>CONCATENATE("&lt;valeur&gt;",Cellule_11206,"&lt;/valeur&gt;")</f>
        <v>&lt;valeur&gt;0&lt;/valeur&gt;</v>
      </c>
    </row>
    <row r="1735" spans="1:10" x14ac:dyDescent="0.2">
      <c r="A1735" s="859">
        <f t="shared" si="27"/>
        <v>1734</v>
      </c>
      <c r="B1735" s="845" t="s">
        <v>2554</v>
      </c>
      <c r="D1735" s="861"/>
      <c r="H1735" s="845" t="s">
        <v>1010</v>
      </c>
    </row>
    <row r="1736" spans="1:10" x14ac:dyDescent="0.2">
      <c r="A1736" s="859">
        <f t="shared" si="27"/>
        <v>1735</v>
      </c>
      <c r="B1736" s="845" t="s">
        <v>2554</v>
      </c>
      <c r="D1736" s="860"/>
      <c r="H1736" s="845" t="s">
        <v>1007</v>
      </c>
    </row>
    <row r="1737" spans="1:10" x14ac:dyDescent="0.2">
      <c r="A1737" s="859">
        <f t="shared" si="27"/>
        <v>1736</v>
      </c>
      <c r="B1737" s="845" t="s">
        <v>2554</v>
      </c>
      <c r="D1737" s="860"/>
      <c r="I1737" s="845" t="s">
        <v>1008</v>
      </c>
    </row>
    <row r="1738" spans="1:10" x14ac:dyDescent="0.2">
      <c r="A1738" s="859">
        <f t="shared" si="27"/>
        <v>1737</v>
      </c>
      <c r="B1738" s="845" t="s">
        <v>2554</v>
      </c>
      <c r="D1738" s="861"/>
      <c r="J1738" s="845" t="s">
        <v>1311</v>
      </c>
    </row>
    <row r="1739" spans="1:10" x14ac:dyDescent="0.2">
      <c r="A1739" s="859">
        <f t="shared" si="27"/>
        <v>1738</v>
      </c>
      <c r="B1739" s="845" t="s">
        <v>2554</v>
      </c>
      <c r="D1739" s="862"/>
      <c r="I1739" s="845" t="s">
        <v>1009</v>
      </c>
    </row>
    <row r="1740" spans="1:10" x14ac:dyDescent="0.2">
      <c r="A1740" s="859">
        <f t="shared" si="27"/>
        <v>1739</v>
      </c>
      <c r="B1740" s="845" t="s">
        <v>2554</v>
      </c>
      <c r="D1740" s="863"/>
      <c r="I1740" s="845" t="str">
        <f>CONCATENATE("&lt;valeur&gt;",Cellule_11211,"&lt;/valeur&gt;")</f>
        <v>&lt;valeur&gt;0&lt;/valeur&gt;</v>
      </c>
    </row>
    <row r="1741" spans="1:10" x14ac:dyDescent="0.2">
      <c r="A1741" s="859">
        <f t="shared" si="27"/>
        <v>1740</v>
      </c>
      <c r="B1741" s="845" t="s">
        <v>2554</v>
      </c>
      <c r="D1741" s="862"/>
      <c r="H1741" s="845" t="s">
        <v>1010</v>
      </c>
    </row>
    <row r="1742" spans="1:10" x14ac:dyDescent="0.2">
      <c r="A1742" s="859">
        <f t="shared" si="27"/>
        <v>1741</v>
      </c>
      <c r="B1742" s="845" t="s">
        <v>2554</v>
      </c>
      <c r="D1742" s="862"/>
      <c r="H1742" s="845" t="s">
        <v>1007</v>
      </c>
    </row>
    <row r="1743" spans="1:10" x14ac:dyDescent="0.2">
      <c r="A1743" s="859">
        <f t="shared" si="27"/>
        <v>1742</v>
      </c>
      <c r="B1743" s="845" t="s">
        <v>2554</v>
      </c>
      <c r="D1743" s="861"/>
      <c r="I1743" s="845" t="s">
        <v>1008</v>
      </c>
    </row>
    <row r="1744" spans="1:10" x14ac:dyDescent="0.2">
      <c r="A1744" s="859">
        <f t="shared" si="27"/>
        <v>1743</v>
      </c>
      <c r="B1744" s="845" t="s">
        <v>2554</v>
      </c>
      <c r="D1744" s="861"/>
      <c r="J1744" s="845" t="s">
        <v>1312</v>
      </c>
    </row>
    <row r="1745" spans="1:10" x14ac:dyDescent="0.2">
      <c r="A1745" s="859">
        <f t="shared" si="27"/>
        <v>1744</v>
      </c>
      <c r="B1745" s="845" t="s">
        <v>2554</v>
      </c>
      <c r="D1745" s="862"/>
      <c r="I1745" s="845" t="s">
        <v>1009</v>
      </c>
    </row>
    <row r="1746" spans="1:10" x14ac:dyDescent="0.2">
      <c r="A1746" s="859">
        <f t="shared" si="27"/>
        <v>1745</v>
      </c>
      <c r="B1746" s="845" t="s">
        <v>2554</v>
      </c>
      <c r="D1746" s="863"/>
      <c r="I1746" s="845" t="str">
        <f>CONCATENATE("&lt;valeur&gt;",Cellule_11216,"&lt;/valeur&gt;")</f>
        <v>&lt;valeur&gt;0&lt;/valeur&gt;</v>
      </c>
    </row>
    <row r="1747" spans="1:10" x14ac:dyDescent="0.2">
      <c r="A1747" s="859">
        <f t="shared" si="27"/>
        <v>1746</v>
      </c>
      <c r="B1747" s="845" t="s">
        <v>2554</v>
      </c>
      <c r="D1747" s="862"/>
      <c r="H1747" s="845" t="s">
        <v>1010</v>
      </c>
    </row>
    <row r="1748" spans="1:10" x14ac:dyDescent="0.2">
      <c r="A1748" s="859">
        <f t="shared" si="27"/>
        <v>1747</v>
      </c>
      <c r="B1748" s="845" t="s">
        <v>2554</v>
      </c>
      <c r="D1748" s="862"/>
      <c r="H1748" s="845" t="s">
        <v>1007</v>
      </c>
    </row>
    <row r="1749" spans="1:10" x14ac:dyDescent="0.2">
      <c r="A1749" s="859">
        <f t="shared" si="27"/>
        <v>1748</v>
      </c>
      <c r="B1749" s="845" t="s">
        <v>2554</v>
      </c>
      <c r="D1749" s="861"/>
      <c r="I1749" s="845" t="s">
        <v>1008</v>
      </c>
    </row>
    <row r="1750" spans="1:10" x14ac:dyDescent="0.2">
      <c r="A1750" s="859">
        <f t="shared" si="27"/>
        <v>1749</v>
      </c>
      <c r="B1750" s="845" t="s">
        <v>2554</v>
      </c>
      <c r="D1750" s="861"/>
      <c r="J1750" s="845" t="s">
        <v>1313</v>
      </c>
    </row>
    <row r="1751" spans="1:10" x14ac:dyDescent="0.2">
      <c r="A1751" s="859">
        <f t="shared" si="27"/>
        <v>1750</v>
      </c>
      <c r="B1751" s="845" t="s">
        <v>2554</v>
      </c>
      <c r="D1751" s="862"/>
      <c r="I1751" s="845" t="s">
        <v>1009</v>
      </c>
    </row>
    <row r="1752" spans="1:10" x14ac:dyDescent="0.2">
      <c r="A1752" s="859">
        <f t="shared" si="27"/>
        <v>1751</v>
      </c>
      <c r="B1752" s="845" t="s">
        <v>2554</v>
      </c>
      <c r="D1752" s="863"/>
      <c r="I1752" s="845" t="str">
        <f>CONCATENATE("&lt;valeur&gt;",Cellule_11221,"&lt;/valeur&gt;")</f>
        <v>&lt;valeur&gt;0&lt;/valeur&gt;</v>
      </c>
    </row>
    <row r="1753" spans="1:10" x14ac:dyDescent="0.2">
      <c r="A1753" s="859">
        <f t="shared" si="27"/>
        <v>1752</v>
      </c>
      <c r="B1753" s="845" t="s">
        <v>2554</v>
      </c>
      <c r="D1753" s="862"/>
      <c r="H1753" s="845" t="s">
        <v>1010</v>
      </c>
    </row>
    <row r="1754" spans="1:10" x14ac:dyDescent="0.2">
      <c r="A1754" s="859">
        <f t="shared" si="27"/>
        <v>1753</v>
      </c>
      <c r="B1754" s="845" t="s">
        <v>2554</v>
      </c>
      <c r="D1754" s="862"/>
      <c r="H1754" s="845" t="s">
        <v>1007</v>
      </c>
    </row>
    <row r="1755" spans="1:10" x14ac:dyDescent="0.2">
      <c r="A1755" s="859">
        <f t="shared" si="27"/>
        <v>1754</v>
      </c>
      <c r="B1755" s="845" t="s">
        <v>2554</v>
      </c>
      <c r="D1755" s="861"/>
      <c r="I1755" s="845" t="s">
        <v>1008</v>
      </c>
    </row>
    <row r="1756" spans="1:10" x14ac:dyDescent="0.2">
      <c r="A1756" s="859">
        <f t="shared" si="27"/>
        <v>1755</v>
      </c>
      <c r="B1756" s="845" t="s">
        <v>2554</v>
      </c>
      <c r="D1756" s="861"/>
      <c r="J1756" s="845" t="s">
        <v>1314</v>
      </c>
    </row>
    <row r="1757" spans="1:10" x14ac:dyDescent="0.2">
      <c r="A1757" s="859">
        <f t="shared" si="27"/>
        <v>1756</v>
      </c>
      <c r="B1757" s="845" t="s">
        <v>2554</v>
      </c>
      <c r="D1757" s="862"/>
      <c r="I1757" s="845" t="s">
        <v>1009</v>
      </c>
    </row>
    <row r="1758" spans="1:10" x14ac:dyDescent="0.2">
      <c r="A1758" s="859">
        <f t="shared" si="27"/>
        <v>1757</v>
      </c>
      <c r="B1758" s="845" t="s">
        <v>2554</v>
      </c>
      <c r="D1758" s="863"/>
      <c r="I1758" s="845" t="str">
        <f>CONCATENATE("&lt;valeur&gt;",Cellule_11226,"&lt;/valeur&gt;")</f>
        <v>&lt;valeur&gt;0&lt;/valeur&gt;</v>
      </c>
    </row>
    <row r="1759" spans="1:10" x14ac:dyDescent="0.2">
      <c r="A1759" s="859">
        <f t="shared" si="27"/>
        <v>1758</v>
      </c>
      <c r="B1759" s="845" t="s">
        <v>2554</v>
      </c>
      <c r="D1759" s="862"/>
      <c r="H1759" s="845" t="s">
        <v>1010</v>
      </c>
    </row>
    <row r="1760" spans="1:10" x14ac:dyDescent="0.2">
      <c r="A1760" s="859">
        <f t="shared" si="27"/>
        <v>1759</v>
      </c>
      <c r="B1760" s="845" t="s">
        <v>2554</v>
      </c>
      <c r="D1760" s="862"/>
      <c r="H1760" s="845" t="s">
        <v>1007</v>
      </c>
    </row>
    <row r="1761" spans="1:10" x14ac:dyDescent="0.2">
      <c r="A1761" s="859">
        <f t="shared" si="27"/>
        <v>1760</v>
      </c>
      <c r="B1761" s="845" t="s">
        <v>2554</v>
      </c>
      <c r="D1761" s="861"/>
      <c r="I1761" s="845" t="s">
        <v>1008</v>
      </c>
    </row>
    <row r="1762" spans="1:10" x14ac:dyDescent="0.2">
      <c r="A1762" s="859">
        <f t="shared" si="27"/>
        <v>1761</v>
      </c>
      <c r="B1762" s="845" t="s">
        <v>2554</v>
      </c>
      <c r="D1762" s="861"/>
      <c r="J1762" s="845" t="s">
        <v>1315</v>
      </c>
    </row>
    <row r="1763" spans="1:10" x14ac:dyDescent="0.2">
      <c r="A1763" s="859">
        <f t="shared" si="27"/>
        <v>1762</v>
      </c>
      <c r="B1763" s="845" t="s">
        <v>2554</v>
      </c>
      <c r="D1763" s="862"/>
      <c r="I1763" s="845" t="s">
        <v>1009</v>
      </c>
    </row>
    <row r="1764" spans="1:10" x14ac:dyDescent="0.2">
      <c r="A1764" s="859">
        <f t="shared" si="27"/>
        <v>1763</v>
      </c>
      <c r="B1764" s="845" t="s">
        <v>2554</v>
      </c>
      <c r="D1764" s="863"/>
      <c r="I1764" s="845" t="str">
        <f>CONCATENATE("&lt;valeur&gt;",Cellule_11231,"&lt;/valeur&gt;")</f>
        <v>&lt;valeur&gt;0&lt;/valeur&gt;</v>
      </c>
    </row>
    <row r="1765" spans="1:10" x14ac:dyDescent="0.2">
      <c r="A1765" s="859">
        <f t="shared" si="27"/>
        <v>1764</v>
      </c>
      <c r="B1765" s="845" t="s">
        <v>2554</v>
      </c>
      <c r="D1765" s="862"/>
      <c r="H1765" s="845" t="s">
        <v>1010</v>
      </c>
    </row>
    <row r="1766" spans="1:10" x14ac:dyDescent="0.2">
      <c r="A1766" s="859">
        <f t="shared" si="27"/>
        <v>1765</v>
      </c>
      <c r="B1766" s="845" t="s">
        <v>2554</v>
      </c>
      <c r="D1766" s="862"/>
      <c r="H1766" s="845" t="s">
        <v>1007</v>
      </c>
    </row>
    <row r="1767" spans="1:10" x14ac:dyDescent="0.2">
      <c r="A1767" s="859">
        <f t="shared" si="27"/>
        <v>1766</v>
      </c>
      <c r="B1767" s="845" t="s">
        <v>2554</v>
      </c>
      <c r="D1767" s="861"/>
      <c r="I1767" s="845" t="s">
        <v>1008</v>
      </c>
    </row>
    <row r="1768" spans="1:10" x14ac:dyDescent="0.2">
      <c r="A1768" s="859">
        <f t="shared" si="27"/>
        <v>1767</v>
      </c>
      <c r="B1768" s="845" t="s">
        <v>2554</v>
      </c>
      <c r="D1768" s="861"/>
      <c r="J1768" s="845" t="s">
        <v>1316</v>
      </c>
    </row>
    <row r="1769" spans="1:10" x14ac:dyDescent="0.2">
      <c r="A1769" s="859">
        <f t="shared" si="27"/>
        <v>1768</v>
      </c>
      <c r="B1769" s="845" t="s">
        <v>2554</v>
      </c>
      <c r="D1769" s="862"/>
      <c r="I1769" s="845" t="s">
        <v>1009</v>
      </c>
    </row>
    <row r="1770" spans="1:10" x14ac:dyDescent="0.2">
      <c r="A1770" s="859">
        <f t="shared" si="27"/>
        <v>1769</v>
      </c>
      <c r="B1770" s="845" t="s">
        <v>2554</v>
      </c>
      <c r="D1770" s="863"/>
      <c r="I1770" s="845" t="str">
        <f>CONCATENATE("&lt;valeur&gt;",Cellule_11176,"&lt;/valeur&gt;")</f>
        <v>&lt;valeur&gt;0&lt;/valeur&gt;</v>
      </c>
    </row>
    <row r="1771" spans="1:10" x14ac:dyDescent="0.2">
      <c r="A1771" s="859">
        <f t="shared" si="27"/>
        <v>1770</v>
      </c>
      <c r="B1771" s="845" t="s">
        <v>2554</v>
      </c>
      <c r="D1771" s="862"/>
      <c r="H1771" s="845" t="s">
        <v>1010</v>
      </c>
    </row>
    <row r="1772" spans="1:10" x14ac:dyDescent="0.2">
      <c r="A1772" s="859">
        <f t="shared" si="27"/>
        <v>1771</v>
      </c>
      <c r="B1772" s="845" t="s">
        <v>2554</v>
      </c>
      <c r="D1772" s="862"/>
      <c r="H1772" s="845" t="s">
        <v>1007</v>
      </c>
    </row>
    <row r="1773" spans="1:10" x14ac:dyDescent="0.2">
      <c r="A1773" s="859">
        <f t="shared" si="27"/>
        <v>1772</v>
      </c>
      <c r="B1773" s="845" t="s">
        <v>2554</v>
      </c>
      <c r="D1773" s="861"/>
      <c r="I1773" s="845" t="s">
        <v>1008</v>
      </c>
    </row>
    <row r="1774" spans="1:10" x14ac:dyDescent="0.2">
      <c r="A1774" s="859">
        <f t="shared" si="27"/>
        <v>1773</v>
      </c>
      <c r="B1774" s="845" t="s">
        <v>2554</v>
      </c>
      <c r="D1774" s="861"/>
      <c r="J1774" s="845" t="s">
        <v>1317</v>
      </c>
    </row>
    <row r="1775" spans="1:10" x14ac:dyDescent="0.2">
      <c r="A1775" s="859">
        <f t="shared" si="27"/>
        <v>1774</v>
      </c>
      <c r="B1775" s="845" t="s">
        <v>2554</v>
      </c>
      <c r="D1775" s="862"/>
      <c r="I1775" s="845" t="s">
        <v>1009</v>
      </c>
    </row>
    <row r="1776" spans="1:10" x14ac:dyDescent="0.2">
      <c r="A1776" s="859">
        <f t="shared" si="27"/>
        <v>1775</v>
      </c>
      <c r="B1776" s="845" t="s">
        <v>2554</v>
      </c>
      <c r="D1776" s="863"/>
      <c r="I1776" s="845" t="str">
        <f>CONCATENATE("&lt;valeur&gt;",Cellule_11181,"&lt;/valeur&gt;")</f>
        <v>&lt;valeur&gt;0&lt;/valeur&gt;</v>
      </c>
    </row>
    <row r="1777" spans="1:10" x14ac:dyDescent="0.2">
      <c r="A1777" s="859">
        <f t="shared" si="27"/>
        <v>1776</v>
      </c>
      <c r="B1777" s="845" t="s">
        <v>2554</v>
      </c>
      <c r="D1777" s="862"/>
      <c r="H1777" s="845" t="s">
        <v>1010</v>
      </c>
    </row>
    <row r="1778" spans="1:10" x14ac:dyDescent="0.2">
      <c r="A1778" s="859">
        <f t="shared" si="27"/>
        <v>1777</v>
      </c>
      <c r="B1778" s="845" t="s">
        <v>2554</v>
      </c>
      <c r="D1778" s="862"/>
      <c r="H1778" s="845" t="s">
        <v>1007</v>
      </c>
    </row>
    <row r="1779" spans="1:10" x14ac:dyDescent="0.2">
      <c r="A1779" s="859">
        <f t="shared" si="27"/>
        <v>1778</v>
      </c>
      <c r="B1779" s="845" t="s">
        <v>2554</v>
      </c>
      <c r="D1779" s="861"/>
      <c r="I1779" s="845" t="s">
        <v>1008</v>
      </c>
    </row>
    <row r="1780" spans="1:10" x14ac:dyDescent="0.2">
      <c r="A1780" s="859">
        <f t="shared" si="27"/>
        <v>1779</v>
      </c>
      <c r="B1780" s="845" t="s">
        <v>2554</v>
      </c>
      <c r="D1780" s="861"/>
      <c r="J1780" s="845" t="s">
        <v>1318</v>
      </c>
    </row>
    <row r="1781" spans="1:10" x14ac:dyDescent="0.2">
      <c r="A1781" s="859">
        <f t="shared" si="27"/>
        <v>1780</v>
      </c>
      <c r="B1781" s="845" t="s">
        <v>2554</v>
      </c>
      <c r="D1781" s="862"/>
      <c r="I1781" s="845" t="s">
        <v>1009</v>
      </c>
    </row>
    <row r="1782" spans="1:10" x14ac:dyDescent="0.2">
      <c r="A1782" s="859">
        <f t="shared" si="27"/>
        <v>1781</v>
      </c>
      <c r="B1782" s="845" t="s">
        <v>2554</v>
      </c>
      <c r="D1782" s="863"/>
      <c r="I1782" s="845" t="str">
        <f>CONCATENATE("&lt;valeur&gt;",Cellule_11186,"&lt;/valeur&gt;")</f>
        <v>&lt;valeur&gt;0&lt;/valeur&gt;</v>
      </c>
    </row>
    <row r="1783" spans="1:10" x14ac:dyDescent="0.2">
      <c r="A1783" s="859">
        <f t="shared" si="27"/>
        <v>1782</v>
      </c>
      <c r="B1783" s="845" t="s">
        <v>2554</v>
      </c>
      <c r="D1783" s="862"/>
      <c r="H1783" s="845" t="s">
        <v>1010</v>
      </c>
    </row>
    <row r="1784" spans="1:10" x14ac:dyDescent="0.2">
      <c r="A1784" s="859">
        <f t="shared" si="27"/>
        <v>1783</v>
      </c>
      <c r="B1784" s="845" t="s">
        <v>2554</v>
      </c>
      <c r="D1784" s="862"/>
      <c r="H1784" s="845" t="s">
        <v>1007</v>
      </c>
    </row>
    <row r="1785" spans="1:10" x14ac:dyDescent="0.2">
      <c r="A1785" s="859">
        <f t="shared" si="27"/>
        <v>1784</v>
      </c>
      <c r="B1785" s="845" t="s">
        <v>2554</v>
      </c>
      <c r="D1785" s="861"/>
      <c r="I1785" s="845" t="s">
        <v>1008</v>
      </c>
    </row>
    <row r="1786" spans="1:10" x14ac:dyDescent="0.2">
      <c r="A1786" s="859">
        <f t="shared" si="27"/>
        <v>1785</v>
      </c>
      <c r="B1786" s="845" t="s">
        <v>2554</v>
      </c>
      <c r="D1786" s="861"/>
      <c r="J1786" s="845" t="s">
        <v>1319</v>
      </c>
    </row>
    <row r="1787" spans="1:10" x14ac:dyDescent="0.2">
      <c r="A1787" s="859">
        <f t="shared" si="27"/>
        <v>1786</v>
      </c>
      <c r="B1787" s="845" t="s">
        <v>2554</v>
      </c>
      <c r="D1787" s="862"/>
      <c r="I1787" s="845" t="s">
        <v>1009</v>
      </c>
    </row>
    <row r="1788" spans="1:10" x14ac:dyDescent="0.2">
      <c r="A1788" s="859">
        <f t="shared" si="27"/>
        <v>1787</v>
      </c>
      <c r="B1788" s="845" t="s">
        <v>2554</v>
      </c>
      <c r="D1788" s="863"/>
      <c r="I1788" s="845" t="str">
        <f>CONCATENATE("&lt;valeur&gt;",Cellule_11191,"&lt;/valeur&gt;")</f>
        <v>&lt;valeur&gt;0&lt;/valeur&gt;</v>
      </c>
    </row>
    <row r="1789" spans="1:10" x14ac:dyDescent="0.2">
      <c r="A1789" s="859">
        <f t="shared" si="27"/>
        <v>1788</v>
      </c>
      <c r="B1789" s="845" t="s">
        <v>2554</v>
      </c>
      <c r="D1789" s="862"/>
      <c r="H1789" s="845" t="s">
        <v>1010</v>
      </c>
    </row>
    <row r="1790" spans="1:10" x14ac:dyDescent="0.2">
      <c r="A1790" s="859">
        <f t="shared" si="27"/>
        <v>1789</v>
      </c>
      <c r="B1790" s="845" t="s">
        <v>2554</v>
      </c>
      <c r="D1790" s="862"/>
      <c r="H1790" s="845" t="s">
        <v>1007</v>
      </c>
    </row>
    <row r="1791" spans="1:10" x14ac:dyDescent="0.2">
      <c r="A1791" s="859">
        <f t="shared" si="27"/>
        <v>1790</v>
      </c>
      <c r="B1791" s="845" t="s">
        <v>2554</v>
      </c>
      <c r="D1791" s="861"/>
      <c r="I1791" s="845" t="s">
        <v>1008</v>
      </c>
    </row>
    <row r="1792" spans="1:10" x14ac:dyDescent="0.2">
      <c r="A1792" s="859">
        <f t="shared" si="27"/>
        <v>1791</v>
      </c>
      <c r="B1792" s="845" t="s">
        <v>2554</v>
      </c>
      <c r="D1792" s="861"/>
      <c r="J1792" s="845" t="s">
        <v>1320</v>
      </c>
    </row>
    <row r="1793" spans="1:10" x14ac:dyDescent="0.2">
      <c r="A1793" s="859">
        <f t="shared" si="27"/>
        <v>1792</v>
      </c>
      <c r="B1793" s="845" t="s">
        <v>2554</v>
      </c>
      <c r="D1793" s="862"/>
      <c r="I1793" s="845" t="s">
        <v>1009</v>
      </c>
    </row>
    <row r="1794" spans="1:10" x14ac:dyDescent="0.2">
      <c r="A1794" s="859">
        <f t="shared" si="27"/>
        <v>1793</v>
      </c>
      <c r="B1794" s="845" t="s">
        <v>2554</v>
      </c>
      <c r="D1794" s="863"/>
      <c r="I1794" s="845" t="str">
        <f>CONCATENATE("&lt;valeur&gt;",Cellule_11196,"&lt;/valeur&gt;")</f>
        <v>&lt;valeur&gt;0&lt;/valeur&gt;</v>
      </c>
    </row>
    <row r="1795" spans="1:10" x14ac:dyDescent="0.2">
      <c r="A1795" s="859">
        <f t="shared" si="27"/>
        <v>1794</v>
      </c>
      <c r="B1795" s="845" t="s">
        <v>2554</v>
      </c>
      <c r="D1795" s="862"/>
      <c r="H1795" s="845" t="s">
        <v>1010</v>
      </c>
    </row>
    <row r="1796" spans="1:10" x14ac:dyDescent="0.2">
      <c r="A1796" s="859">
        <f t="shared" ref="A1796:A1859" si="28">+A1795+1</f>
        <v>1795</v>
      </c>
      <c r="B1796" s="845" t="s">
        <v>2554</v>
      </c>
      <c r="D1796" s="862"/>
      <c r="H1796" s="845" t="s">
        <v>1007</v>
      </c>
    </row>
    <row r="1797" spans="1:10" x14ac:dyDescent="0.2">
      <c r="A1797" s="859">
        <f t="shared" si="28"/>
        <v>1796</v>
      </c>
      <c r="B1797" s="845" t="s">
        <v>2554</v>
      </c>
      <c r="D1797" s="861"/>
      <c r="I1797" s="845" t="s">
        <v>1008</v>
      </c>
    </row>
    <row r="1798" spans="1:10" x14ac:dyDescent="0.2">
      <c r="A1798" s="859">
        <f t="shared" si="28"/>
        <v>1797</v>
      </c>
      <c r="B1798" s="845" t="s">
        <v>2554</v>
      </c>
      <c r="D1798" s="861"/>
      <c r="J1798" s="845" t="s">
        <v>1321</v>
      </c>
    </row>
    <row r="1799" spans="1:10" x14ac:dyDescent="0.2">
      <c r="A1799" s="859">
        <f t="shared" si="28"/>
        <v>1798</v>
      </c>
      <c r="B1799" s="845" t="s">
        <v>2554</v>
      </c>
      <c r="D1799" s="862"/>
      <c r="I1799" s="845" t="s">
        <v>1009</v>
      </c>
    </row>
    <row r="1800" spans="1:10" x14ac:dyDescent="0.2">
      <c r="A1800" s="859">
        <f t="shared" si="28"/>
        <v>1799</v>
      </c>
      <c r="B1800" s="845" t="s">
        <v>2554</v>
      </c>
      <c r="D1800" s="863"/>
      <c r="I1800" s="845" t="str">
        <f>CONCATENATE("&lt;valeur&gt;",Cellule_11201,"&lt;/valeur&gt;")</f>
        <v>&lt;valeur&gt;0&lt;/valeur&gt;</v>
      </c>
    </row>
    <row r="1801" spans="1:10" x14ac:dyDescent="0.2">
      <c r="A1801" s="859">
        <f t="shared" si="28"/>
        <v>1800</v>
      </c>
      <c r="B1801" s="845" t="s">
        <v>2554</v>
      </c>
      <c r="D1801" s="862"/>
      <c r="H1801" s="845" t="s">
        <v>1010</v>
      </c>
    </row>
    <row r="1802" spans="1:10" x14ac:dyDescent="0.2">
      <c r="A1802" s="859">
        <f t="shared" si="28"/>
        <v>1801</v>
      </c>
      <c r="B1802" s="845" t="s">
        <v>2554</v>
      </c>
      <c r="D1802" s="862"/>
      <c r="H1802" s="845" t="s">
        <v>1007</v>
      </c>
    </row>
    <row r="1803" spans="1:10" x14ac:dyDescent="0.2">
      <c r="A1803" s="859">
        <f t="shared" si="28"/>
        <v>1802</v>
      </c>
      <c r="B1803" s="845" t="s">
        <v>2554</v>
      </c>
      <c r="D1803" s="861"/>
      <c r="I1803" s="845" t="s">
        <v>1008</v>
      </c>
    </row>
    <row r="1804" spans="1:10" x14ac:dyDescent="0.2">
      <c r="A1804" s="859">
        <f t="shared" si="28"/>
        <v>1803</v>
      </c>
      <c r="B1804" s="845" t="s">
        <v>2554</v>
      </c>
      <c r="D1804" s="861"/>
      <c r="J1804" s="845" t="s">
        <v>1322</v>
      </c>
    </row>
    <row r="1805" spans="1:10" x14ac:dyDescent="0.2">
      <c r="A1805" s="859">
        <f t="shared" si="28"/>
        <v>1804</v>
      </c>
      <c r="B1805" s="845" t="s">
        <v>2554</v>
      </c>
      <c r="D1805" s="862"/>
      <c r="I1805" s="845" t="s">
        <v>1009</v>
      </c>
    </row>
    <row r="1806" spans="1:10" x14ac:dyDescent="0.2">
      <c r="A1806" s="859">
        <f t="shared" si="28"/>
        <v>1805</v>
      </c>
      <c r="B1806" s="845" t="s">
        <v>2554</v>
      </c>
      <c r="D1806" s="863"/>
      <c r="I1806" s="845" t="str">
        <f>CONCATENATE("&lt;valeur&gt;",Cellule_11266,"&lt;/valeur&gt;")</f>
        <v>&lt;valeur&gt;0&lt;/valeur&gt;</v>
      </c>
    </row>
    <row r="1807" spans="1:10" x14ac:dyDescent="0.2">
      <c r="A1807" s="859">
        <f t="shared" si="28"/>
        <v>1806</v>
      </c>
      <c r="B1807" s="845" t="s">
        <v>2554</v>
      </c>
      <c r="D1807" s="862"/>
      <c r="H1807" s="845" t="s">
        <v>1010</v>
      </c>
    </row>
    <row r="1808" spans="1:10" x14ac:dyDescent="0.2">
      <c r="A1808" s="859">
        <f t="shared" si="28"/>
        <v>1807</v>
      </c>
      <c r="B1808" s="845" t="s">
        <v>2554</v>
      </c>
      <c r="D1808" s="862"/>
      <c r="H1808" s="845" t="s">
        <v>1007</v>
      </c>
    </row>
    <row r="1809" spans="1:10" x14ac:dyDescent="0.2">
      <c r="A1809" s="859">
        <f t="shared" si="28"/>
        <v>1808</v>
      </c>
      <c r="B1809" s="845" t="s">
        <v>2554</v>
      </c>
      <c r="D1809" s="861"/>
      <c r="I1809" s="845" t="s">
        <v>1008</v>
      </c>
    </row>
    <row r="1810" spans="1:10" x14ac:dyDescent="0.2">
      <c r="A1810" s="859">
        <f t="shared" si="28"/>
        <v>1809</v>
      </c>
      <c r="B1810" s="845" t="s">
        <v>2554</v>
      </c>
      <c r="D1810" s="861"/>
      <c r="J1810" s="845" t="s">
        <v>1323</v>
      </c>
    </row>
    <row r="1811" spans="1:10" x14ac:dyDescent="0.2">
      <c r="A1811" s="859">
        <f t="shared" si="28"/>
        <v>1810</v>
      </c>
      <c r="B1811" s="845" t="s">
        <v>2554</v>
      </c>
      <c r="D1811" s="862"/>
      <c r="I1811" s="845" t="s">
        <v>1009</v>
      </c>
    </row>
    <row r="1812" spans="1:10" x14ac:dyDescent="0.2">
      <c r="A1812" s="859">
        <f t="shared" si="28"/>
        <v>1811</v>
      </c>
      <c r="B1812" s="845" t="s">
        <v>2554</v>
      </c>
      <c r="D1812" s="863"/>
      <c r="I1812" s="845" t="str">
        <f>CONCATENATE("&lt;valeur&gt;",Cellule_11236,"&lt;/valeur&gt;")</f>
        <v>&lt;valeur&gt;0&lt;/valeur&gt;</v>
      </c>
    </row>
    <row r="1813" spans="1:10" x14ac:dyDescent="0.2">
      <c r="A1813" s="859">
        <f t="shared" si="28"/>
        <v>1812</v>
      </c>
      <c r="B1813" s="845" t="s">
        <v>2554</v>
      </c>
      <c r="D1813" s="862"/>
      <c r="H1813" s="845" t="s">
        <v>1010</v>
      </c>
    </row>
    <row r="1814" spans="1:10" x14ac:dyDescent="0.2">
      <c r="A1814" s="859">
        <f t="shared" si="28"/>
        <v>1813</v>
      </c>
      <c r="B1814" s="845" t="s">
        <v>2554</v>
      </c>
      <c r="D1814" s="862"/>
      <c r="H1814" s="845" t="s">
        <v>1007</v>
      </c>
    </row>
    <row r="1815" spans="1:10" x14ac:dyDescent="0.2">
      <c r="A1815" s="859">
        <f t="shared" si="28"/>
        <v>1814</v>
      </c>
      <c r="B1815" s="845" t="s">
        <v>2554</v>
      </c>
      <c r="D1815" s="861"/>
      <c r="I1815" s="845" t="s">
        <v>1008</v>
      </c>
    </row>
    <row r="1816" spans="1:10" x14ac:dyDescent="0.2">
      <c r="A1816" s="859">
        <f t="shared" si="28"/>
        <v>1815</v>
      </c>
      <c r="B1816" s="845" t="s">
        <v>2554</v>
      </c>
      <c r="D1816" s="861"/>
      <c r="J1816" s="845" t="s">
        <v>1324</v>
      </c>
    </row>
    <row r="1817" spans="1:10" x14ac:dyDescent="0.2">
      <c r="A1817" s="859">
        <f t="shared" si="28"/>
        <v>1816</v>
      </c>
      <c r="B1817" s="845" t="s">
        <v>2554</v>
      </c>
      <c r="D1817" s="862"/>
      <c r="I1817" s="845" t="s">
        <v>1009</v>
      </c>
    </row>
    <row r="1818" spans="1:10" x14ac:dyDescent="0.2">
      <c r="A1818" s="859">
        <f t="shared" si="28"/>
        <v>1817</v>
      </c>
      <c r="B1818" s="845" t="s">
        <v>2554</v>
      </c>
      <c r="D1818" s="863"/>
      <c r="I1818" s="845" t="str">
        <f>CONCATENATE("&lt;valeur&gt;",Cellule_11241,"&lt;/valeur&gt;")</f>
        <v>&lt;valeur&gt;0&lt;/valeur&gt;</v>
      </c>
    </row>
    <row r="1819" spans="1:10" x14ac:dyDescent="0.2">
      <c r="A1819" s="859">
        <f t="shared" si="28"/>
        <v>1818</v>
      </c>
      <c r="B1819" s="845" t="s">
        <v>2554</v>
      </c>
      <c r="D1819" s="862"/>
      <c r="H1819" s="845" t="s">
        <v>1010</v>
      </c>
    </row>
    <row r="1820" spans="1:10" x14ac:dyDescent="0.2">
      <c r="A1820" s="859">
        <f t="shared" si="28"/>
        <v>1819</v>
      </c>
      <c r="B1820" s="845" t="s">
        <v>2554</v>
      </c>
      <c r="D1820" s="862"/>
      <c r="H1820" s="845" t="s">
        <v>1007</v>
      </c>
    </row>
    <row r="1821" spans="1:10" x14ac:dyDescent="0.2">
      <c r="A1821" s="859">
        <f t="shared" si="28"/>
        <v>1820</v>
      </c>
      <c r="B1821" s="845" t="s">
        <v>2554</v>
      </c>
      <c r="D1821" s="861"/>
      <c r="I1821" s="845" t="s">
        <v>1008</v>
      </c>
    </row>
    <row r="1822" spans="1:10" x14ac:dyDescent="0.2">
      <c r="A1822" s="859">
        <f t="shared" si="28"/>
        <v>1821</v>
      </c>
      <c r="B1822" s="845" t="s">
        <v>2554</v>
      </c>
      <c r="D1822" s="861"/>
      <c r="J1822" s="845" t="s">
        <v>1325</v>
      </c>
    </row>
    <row r="1823" spans="1:10" x14ac:dyDescent="0.2">
      <c r="A1823" s="859">
        <f t="shared" si="28"/>
        <v>1822</v>
      </c>
      <c r="B1823" s="845" t="s">
        <v>2554</v>
      </c>
      <c r="D1823" s="862"/>
      <c r="I1823" s="845" t="s">
        <v>1009</v>
      </c>
    </row>
    <row r="1824" spans="1:10" x14ac:dyDescent="0.2">
      <c r="A1824" s="859">
        <f t="shared" si="28"/>
        <v>1823</v>
      </c>
      <c r="B1824" s="845" t="s">
        <v>2554</v>
      </c>
      <c r="D1824" s="863"/>
      <c r="I1824" s="845" t="str">
        <f>CONCATENATE("&lt;valeur&gt;",Cellule_11246,"&lt;/valeur&gt;")</f>
        <v>&lt;valeur&gt;0&lt;/valeur&gt;</v>
      </c>
    </row>
    <row r="1825" spans="1:10" x14ac:dyDescent="0.2">
      <c r="A1825" s="859">
        <f t="shared" si="28"/>
        <v>1824</v>
      </c>
      <c r="B1825" s="845" t="s">
        <v>2554</v>
      </c>
      <c r="D1825" s="862"/>
      <c r="H1825" s="845" t="s">
        <v>1010</v>
      </c>
    </row>
    <row r="1826" spans="1:10" x14ac:dyDescent="0.2">
      <c r="A1826" s="859">
        <f t="shared" si="28"/>
        <v>1825</v>
      </c>
      <c r="B1826" s="845" t="s">
        <v>2554</v>
      </c>
      <c r="D1826" s="862"/>
      <c r="H1826" s="845" t="s">
        <v>1007</v>
      </c>
    </row>
    <row r="1827" spans="1:10" x14ac:dyDescent="0.2">
      <c r="A1827" s="859">
        <f t="shared" si="28"/>
        <v>1826</v>
      </c>
      <c r="B1827" s="845" t="s">
        <v>2554</v>
      </c>
      <c r="D1827" s="861"/>
      <c r="I1827" s="845" t="s">
        <v>1008</v>
      </c>
    </row>
    <row r="1828" spans="1:10" x14ac:dyDescent="0.2">
      <c r="A1828" s="859">
        <f t="shared" si="28"/>
        <v>1827</v>
      </c>
      <c r="B1828" s="845" t="s">
        <v>2554</v>
      </c>
      <c r="D1828" s="861"/>
      <c r="J1828" s="845" t="s">
        <v>1326</v>
      </c>
    </row>
    <row r="1829" spans="1:10" x14ac:dyDescent="0.2">
      <c r="A1829" s="859">
        <f t="shared" si="28"/>
        <v>1828</v>
      </c>
      <c r="B1829" s="845" t="s">
        <v>2554</v>
      </c>
      <c r="D1829" s="862"/>
      <c r="I1829" s="845" t="s">
        <v>1009</v>
      </c>
    </row>
    <row r="1830" spans="1:10" x14ac:dyDescent="0.2">
      <c r="A1830" s="859">
        <f t="shared" si="28"/>
        <v>1829</v>
      </c>
      <c r="B1830" s="845" t="s">
        <v>2554</v>
      </c>
      <c r="D1830" s="863"/>
      <c r="I1830" s="845" t="str">
        <f>CONCATENATE("&lt;valeur&gt;",Cellule_11251,"&lt;/valeur&gt;")</f>
        <v>&lt;valeur&gt;0&lt;/valeur&gt;</v>
      </c>
    </row>
    <row r="1831" spans="1:10" x14ac:dyDescent="0.2">
      <c r="A1831" s="859">
        <f t="shared" si="28"/>
        <v>1830</v>
      </c>
      <c r="B1831" s="845" t="s">
        <v>2554</v>
      </c>
      <c r="D1831" s="862"/>
      <c r="H1831" s="845" t="s">
        <v>1010</v>
      </c>
    </row>
    <row r="1832" spans="1:10" x14ac:dyDescent="0.2">
      <c r="A1832" s="859">
        <f t="shared" si="28"/>
        <v>1831</v>
      </c>
      <c r="B1832" s="845" t="s">
        <v>2554</v>
      </c>
      <c r="D1832" s="862"/>
      <c r="H1832" s="845" t="s">
        <v>1007</v>
      </c>
    </row>
    <row r="1833" spans="1:10" x14ac:dyDescent="0.2">
      <c r="A1833" s="859">
        <f t="shared" si="28"/>
        <v>1832</v>
      </c>
      <c r="B1833" s="845" t="s">
        <v>2554</v>
      </c>
      <c r="D1833" s="861"/>
      <c r="I1833" s="845" t="s">
        <v>1008</v>
      </c>
    </row>
    <row r="1834" spans="1:10" x14ac:dyDescent="0.2">
      <c r="A1834" s="859">
        <f t="shared" si="28"/>
        <v>1833</v>
      </c>
      <c r="B1834" s="845" t="s">
        <v>2554</v>
      </c>
      <c r="D1834" s="861"/>
      <c r="J1834" s="845" t="s">
        <v>1327</v>
      </c>
    </row>
    <row r="1835" spans="1:10" x14ac:dyDescent="0.2">
      <c r="A1835" s="859">
        <f t="shared" si="28"/>
        <v>1834</v>
      </c>
      <c r="B1835" s="845" t="s">
        <v>2554</v>
      </c>
      <c r="D1835" s="862"/>
      <c r="I1835" s="845" t="s">
        <v>1009</v>
      </c>
    </row>
    <row r="1836" spans="1:10" x14ac:dyDescent="0.2">
      <c r="A1836" s="859">
        <f t="shared" si="28"/>
        <v>1835</v>
      </c>
      <c r="B1836" s="845" t="s">
        <v>2554</v>
      </c>
      <c r="D1836" s="863"/>
      <c r="I1836" s="845" t="str">
        <f>CONCATENATE("&lt;valeur&gt;",Cellule_11256,"&lt;/valeur&gt;")</f>
        <v>&lt;valeur&gt;0&lt;/valeur&gt;</v>
      </c>
    </row>
    <row r="1837" spans="1:10" x14ac:dyDescent="0.2">
      <c r="A1837" s="859">
        <f t="shared" si="28"/>
        <v>1836</v>
      </c>
      <c r="B1837" s="845" t="s">
        <v>2554</v>
      </c>
      <c r="D1837" s="862"/>
      <c r="H1837" s="845" t="s">
        <v>1010</v>
      </c>
    </row>
    <row r="1838" spans="1:10" x14ac:dyDescent="0.2">
      <c r="A1838" s="859">
        <f t="shared" si="28"/>
        <v>1837</v>
      </c>
      <c r="B1838" s="845" t="s">
        <v>2554</v>
      </c>
      <c r="D1838" s="862"/>
      <c r="H1838" s="845" t="s">
        <v>1007</v>
      </c>
    </row>
    <row r="1839" spans="1:10" x14ac:dyDescent="0.2">
      <c r="A1839" s="859">
        <f t="shared" si="28"/>
        <v>1838</v>
      </c>
      <c r="B1839" s="845" t="s">
        <v>2554</v>
      </c>
      <c r="D1839" s="861"/>
      <c r="I1839" s="845" t="s">
        <v>1008</v>
      </c>
    </row>
    <row r="1840" spans="1:10" x14ac:dyDescent="0.2">
      <c r="A1840" s="859">
        <f t="shared" si="28"/>
        <v>1839</v>
      </c>
      <c r="B1840" s="845" t="s">
        <v>2554</v>
      </c>
      <c r="D1840" s="861"/>
      <c r="J1840" s="845" t="s">
        <v>1328</v>
      </c>
    </row>
    <row r="1841" spans="1:10" x14ac:dyDescent="0.2">
      <c r="A1841" s="859">
        <f t="shared" si="28"/>
        <v>1840</v>
      </c>
      <c r="B1841" s="845" t="s">
        <v>2554</v>
      </c>
      <c r="D1841" s="862"/>
      <c r="I1841" s="845" t="s">
        <v>1009</v>
      </c>
    </row>
    <row r="1842" spans="1:10" x14ac:dyDescent="0.2">
      <c r="A1842" s="859">
        <f t="shared" si="28"/>
        <v>1841</v>
      </c>
      <c r="B1842" s="845" t="s">
        <v>2554</v>
      </c>
      <c r="D1842" s="863"/>
      <c r="I1842" s="845" t="str">
        <f>CONCATENATE("&lt;valeur&gt;",Cellule_11261,"&lt;/valeur&gt;")</f>
        <v>&lt;valeur&gt;0&lt;/valeur&gt;</v>
      </c>
    </row>
    <row r="1843" spans="1:10" x14ac:dyDescent="0.2">
      <c r="A1843" s="859">
        <f t="shared" si="28"/>
        <v>1842</v>
      </c>
      <c r="B1843" s="845" t="s">
        <v>2554</v>
      </c>
      <c r="D1843" s="862"/>
      <c r="H1843" s="845" t="s">
        <v>1010</v>
      </c>
    </row>
    <row r="1844" spans="1:10" x14ac:dyDescent="0.2">
      <c r="A1844" s="859">
        <f t="shared" si="28"/>
        <v>1843</v>
      </c>
      <c r="B1844" s="845" t="s">
        <v>2554</v>
      </c>
      <c r="D1844" s="862"/>
      <c r="H1844" s="845" t="s">
        <v>1007</v>
      </c>
    </row>
    <row r="1845" spans="1:10" x14ac:dyDescent="0.2">
      <c r="A1845" s="859">
        <f t="shared" si="28"/>
        <v>1844</v>
      </c>
      <c r="B1845" s="845" t="s">
        <v>2554</v>
      </c>
      <c r="D1845" s="861"/>
      <c r="I1845" s="845" t="s">
        <v>1008</v>
      </c>
    </row>
    <row r="1846" spans="1:10" x14ac:dyDescent="0.2">
      <c r="A1846" s="859">
        <f t="shared" si="28"/>
        <v>1845</v>
      </c>
      <c r="B1846" s="845" t="s">
        <v>2554</v>
      </c>
      <c r="D1846" s="861"/>
      <c r="J1846" s="845" t="s">
        <v>1329</v>
      </c>
    </row>
    <row r="1847" spans="1:10" x14ac:dyDescent="0.2">
      <c r="A1847" s="859">
        <f t="shared" si="28"/>
        <v>1846</v>
      </c>
      <c r="B1847" s="845" t="s">
        <v>2554</v>
      </c>
      <c r="D1847" s="862"/>
      <c r="I1847" s="845" t="s">
        <v>1009</v>
      </c>
    </row>
    <row r="1848" spans="1:10" x14ac:dyDescent="0.2">
      <c r="A1848" s="859">
        <f t="shared" si="28"/>
        <v>1847</v>
      </c>
      <c r="B1848" s="845" t="s">
        <v>2554</v>
      </c>
      <c r="D1848" s="863"/>
      <c r="I1848" s="845" t="str">
        <f>CONCATENATE("&lt;valeur&gt;",Cellule_11202,"&lt;/valeur&gt;")</f>
        <v>&lt;valeur&gt;0&lt;/valeur&gt;</v>
      </c>
    </row>
    <row r="1849" spans="1:10" x14ac:dyDescent="0.2">
      <c r="A1849" s="859">
        <f t="shared" si="28"/>
        <v>1848</v>
      </c>
      <c r="B1849" s="845" t="s">
        <v>2554</v>
      </c>
      <c r="D1849" s="862"/>
      <c r="H1849" s="845" t="s">
        <v>1010</v>
      </c>
    </row>
    <row r="1850" spans="1:10" x14ac:dyDescent="0.2">
      <c r="A1850" s="859">
        <f t="shared" si="28"/>
        <v>1849</v>
      </c>
      <c r="B1850" s="845" t="s">
        <v>2554</v>
      </c>
      <c r="D1850" s="862"/>
      <c r="H1850" s="845" t="s">
        <v>1007</v>
      </c>
    </row>
    <row r="1851" spans="1:10" x14ac:dyDescent="0.2">
      <c r="A1851" s="859">
        <f t="shared" si="28"/>
        <v>1850</v>
      </c>
      <c r="B1851" s="845" t="s">
        <v>2554</v>
      </c>
      <c r="D1851" s="861"/>
      <c r="I1851" s="845" t="s">
        <v>1008</v>
      </c>
    </row>
    <row r="1852" spans="1:10" x14ac:dyDescent="0.2">
      <c r="A1852" s="859">
        <f t="shared" si="28"/>
        <v>1851</v>
      </c>
      <c r="B1852" s="845" t="s">
        <v>2554</v>
      </c>
      <c r="D1852" s="861"/>
      <c r="J1852" s="845" t="s">
        <v>1330</v>
      </c>
    </row>
    <row r="1853" spans="1:10" x14ac:dyDescent="0.2">
      <c r="A1853" s="859">
        <f t="shared" si="28"/>
        <v>1852</v>
      </c>
      <c r="B1853" s="845" t="s">
        <v>2554</v>
      </c>
      <c r="D1853" s="862"/>
      <c r="I1853" s="845" t="s">
        <v>1009</v>
      </c>
    </row>
    <row r="1854" spans="1:10" x14ac:dyDescent="0.2">
      <c r="A1854" s="859">
        <f t="shared" si="28"/>
        <v>1853</v>
      </c>
      <c r="B1854" s="845" t="s">
        <v>2554</v>
      </c>
      <c r="D1854" s="863"/>
      <c r="I1854" s="845" t="str">
        <f>CONCATENATE("&lt;valeur&gt;",Cellule_11207,"&lt;/valeur&gt;")</f>
        <v>&lt;valeur&gt;0&lt;/valeur&gt;</v>
      </c>
    </row>
    <row r="1855" spans="1:10" x14ac:dyDescent="0.2">
      <c r="A1855" s="859">
        <f t="shared" si="28"/>
        <v>1854</v>
      </c>
      <c r="B1855" s="845" t="s">
        <v>2554</v>
      </c>
      <c r="D1855" s="862"/>
      <c r="H1855" s="845" t="s">
        <v>1010</v>
      </c>
    </row>
    <row r="1856" spans="1:10" x14ac:dyDescent="0.2">
      <c r="A1856" s="859">
        <f t="shared" si="28"/>
        <v>1855</v>
      </c>
      <c r="B1856" s="845" t="s">
        <v>2554</v>
      </c>
      <c r="D1856" s="862"/>
      <c r="H1856" s="845" t="s">
        <v>1007</v>
      </c>
    </row>
    <row r="1857" spans="1:10" x14ac:dyDescent="0.2">
      <c r="A1857" s="859">
        <f t="shared" si="28"/>
        <v>1856</v>
      </c>
      <c r="B1857" s="845" t="s">
        <v>2554</v>
      </c>
      <c r="D1857" s="861"/>
      <c r="I1857" s="845" t="s">
        <v>1008</v>
      </c>
    </row>
    <row r="1858" spans="1:10" x14ac:dyDescent="0.2">
      <c r="A1858" s="859">
        <f t="shared" si="28"/>
        <v>1857</v>
      </c>
      <c r="B1858" s="845" t="s">
        <v>2554</v>
      </c>
      <c r="D1858" s="861"/>
      <c r="J1858" s="845" t="s">
        <v>1331</v>
      </c>
    </row>
    <row r="1859" spans="1:10" x14ac:dyDescent="0.2">
      <c r="A1859" s="859">
        <f t="shared" si="28"/>
        <v>1858</v>
      </c>
      <c r="B1859" s="845" t="s">
        <v>2554</v>
      </c>
      <c r="D1859" s="862"/>
      <c r="I1859" s="845" t="s">
        <v>1009</v>
      </c>
    </row>
    <row r="1860" spans="1:10" x14ac:dyDescent="0.2">
      <c r="A1860" s="859">
        <f t="shared" ref="A1860:A1923" si="29">+A1859+1</f>
        <v>1859</v>
      </c>
      <c r="B1860" s="845" t="s">
        <v>2554</v>
      </c>
      <c r="D1860" s="863"/>
      <c r="I1860" s="845" t="str">
        <f>CONCATENATE("&lt;valeur&gt;",Cellule_11212,"&lt;/valeur&gt;")</f>
        <v>&lt;valeur&gt;0&lt;/valeur&gt;</v>
      </c>
    </row>
    <row r="1861" spans="1:10" x14ac:dyDescent="0.2">
      <c r="A1861" s="859">
        <f t="shared" si="29"/>
        <v>1860</v>
      </c>
      <c r="B1861" s="845" t="s">
        <v>2554</v>
      </c>
      <c r="D1861" s="862"/>
      <c r="H1861" s="845" t="s">
        <v>1010</v>
      </c>
    </row>
    <row r="1862" spans="1:10" x14ac:dyDescent="0.2">
      <c r="A1862" s="859">
        <f t="shared" si="29"/>
        <v>1861</v>
      </c>
      <c r="B1862" s="845" t="s">
        <v>2554</v>
      </c>
      <c r="D1862" s="862"/>
      <c r="H1862" s="845" t="s">
        <v>1007</v>
      </c>
    </row>
    <row r="1863" spans="1:10" x14ac:dyDescent="0.2">
      <c r="A1863" s="859">
        <f t="shared" si="29"/>
        <v>1862</v>
      </c>
      <c r="B1863" s="845" t="s">
        <v>2554</v>
      </c>
      <c r="D1863" s="861"/>
      <c r="I1863" s="845" t="s">
        <v>1008</v>
      </c>
    </row>
    <row r="1864" spans="1:10" x14ac:dyDescent="0.2">
      <c r="A1864" s="859">
        <f t="shared" si="29"/>
        <v>1863</v>
      </c>
      <c r="B1864" s="845" t="s">
        <v>2554</v>
      </c>
      <c r="D1864" s="861"/>
      <c r="J1864" s="845" t="s">
        <v>1332</v>
      </c>
    </row>
    <row r="1865" spans="1:10" x14ac:dyDescent="0.2">
      <c r="A1865" s="859">
        <f t="shared" si="29"/>
        <v>1864</v>
      </c>
      <c r="B1865" s="845" t="s">
        <v>2554</v>
      </c>
      <c r="D1865" s="862"/>
      <c r="I1865" s="845" t="s">
        <v>1009</v>
      </c>
    </row>
    <row r="1866" spans="1:10" x14ac:dyDescent="0.2">
      <c r="A1866" s="859">
        <f t="shared" si="29"/>
        <v>1865</v>
      </c>
      <c r="B1866" s="845" t="s">
        <v>2554</v>
      </c>
      <c r="D1866" s="863"/>
      <c r="I1866" s="845" t="str">
        <f>CONCATENATE("&lt;valeur&gt;",Cellule_11217,"&lt;/valeur&gt;")</f>
        <v>&lt;valeur&gt;0&lt;/valeur&gt;</v>
      </c>
    </row>
    <row r="1867" spans="1:10" x14ac:dyDescent="0.2">
      <c r="A1867" s="859">
        <f t="shared" si="29"/>
        <v>1866</v>
      </c>
      <c r="B1867" s="845" t="s">
        <v>2554</v>
      </c>
      <c r="D1867" s="862"/>
      <c r="H1867" s="845" t="s">
        <v>1010</v>
      </c>
    </row>
    <row r="1868" spans="1:10" x14ac:dyDescent="0.2">
      <c r="A1868" s="859">
        <f t="shared" si="29"/>
        <v>1867</v>
      </c>
      <c r="B1868" s="845" t="s">
        <v>2554</v>
      </c>
      <c r="D1868" s="862"/>
      <c r="H1868" s="845" t="s">
        <v>1007</v>
      </c>
    </row>
    <row r="1869" spans="1:10" x14ac:dyDescent="0.2">
      <c r="A1869" s="859">
        <f t="shared" si="29"/>
        <v>1868</v>
      </c>
      <c r="B1869" s="845" t="s">
        <v>2554</v>
      </c>
      <c r="D1869" s="861"/>
      <c r="I1869" s="845" t="s">
        <v>1008</v>
      </c>
    </row>
    <row r="1870" spans="1:10" x14ac:dyDescent="0.2">
      <c r="A1870" s="859">
        <f t="shared" si="29"/>
        <v>1869</v>
      </c>
      <c r="B1870" s="845" t="s">
        <v>2554</v>
      </c>
      <c r="D1870" s="861"/>
      <c r="J1870" s="845" t="s">
        <v>1333</v>
      </c>
    </row>
    <row r="1871" spans="1:10" x14ac:dyDescent="0.2">
      <c r="A1871" s="859">
        <f t="shared" si="29"/>
        <v>1870</v>
      </c>
      <c r="B1871" s="845" t="s">
        <v>2554</v>
      </c>
      <c r="D1871" s="862"/>
      <c r="I1871" s="845" t="s">
        <v>1009</v>
      </c>
    </row>
    <row r="1872" spans="1:10" x14ac:dyDescent="0.2">
      <c r="A1872" s="859">
        <f t="shared" si="29"/>
        <v>1871</v>
      </c>
      <c r="B1872" s="845" t="s">
        <v>2554</v>
      </c>
      <c r="D1872" s="863"/>
      <c r="I1872" s="845" t="str">
        <f>CONCATENATE("&lt;valeur&gt;",Cellule_11222,"&lt;/valeur&gt;")</f>
        <v>&lt;valeur&gt;0&lt;/valeur&gt;</v>
      </c>
    </row>
    <row r="1873" spans="1:10" x14ac:dyDescent="0.2">
      <c r="A1873" s="859">
        <f t="shared" si="29"/>
        <v>1872</v>
      </c>
      <c r="B1873" s="845" t="s">
        <v>2554</v>
      </c>
      <c r="D1873" s="862"/>
      <c r="H1873" s="845" t="s">
        <v>1010</v>
      </c>
    </row>
    <row r="1874" spans="1:10" x14ac:dyDescent="0.2">
      <c r="A1874" s="859">
        <f t="shared" si="29"/>
        <v>1873</v>
      </c>
      <c r="B1874" s="845" t="s">
        <v>2554</v>
      </c>
      <c r="D1874" s="862"/>
      <c r="H1874" s="845" t="s">
        <v>1007</v>
      </c>
    </row>
    <row r="1875" spans="1:10" x14ac:dyDescent="0.2">
      <c r="A1875" s="859">
        <f t="shared" si="29"/>
        <v>1874</v>
      </c>
      <c r="B1875" s="845" t="s">
        <v>2554</v>
      </c>
      <c r="D1875" s="861"/>
      <c r="I1875" s="845" t="s">
        <v>1008</v>
      </c>
    </row>
    <row r="1876" spans="1:10" x14ac:dyDescent="0.2">
      <c r="A1876" s="859">
        <f t="shared" si="29"/>
        <v>1875</v>
      </c>
      <c r="B1876" s="845" t="s">
        <v>2554</v>
      </c>
      <c r="D1876" s="861"/>
      <c r="J1876" s="845" t="s">
        <v>1334</v>
      </c>
    </row>
    <row r="1877" spans="1:10" x14ac:dyDescent="0.2">
      <c r="A1877" s="859">
        <f t="shared" si="29"/>
        <v>1876</v>
      </c>
      <c r="B1877" s="845" t="s">
        <v>2554</v>
      </c>
      <c r="D1877" s="862"/>
      <c r="I1877" s="845" t="s">
        <v>1009</v>
      </c>
    </row>
    <row r="1878" spans="1:10" x14ac:dyDescent="0.2">
      <c r="A1878" s="859">
        <f t="shared" si="29"/>
        <v>1877</v>
      </c>
      <c r="B1878" s="845" t="s">
        <v>2554</v>
      </c>
      <c r="D1878" s="863"/>
      <c r="I1878" s="845" t="str">
        <f>CONCATENATE("&lt;valeur&gt;",Cellule_11227,"&lt;/valeur&gt;")</f>
        <v>&lt;valeur&gt;0&lt;/valeur&gt;</v>
      </c>
    </row>
    <row r="1879" spans="1:10" x14ac:dyDescent="0.2">
      <c r="A1879" s="859">
        <f t="shared" si="29"/>
        <v>1878</v>
      </c>
      <c r="B1879" s="845" t="s">
        <v>2554</v>
      </c>
      <c r="D1879" s="862"/>
      <c r="H1879" s="845" t="s">
        <v>1010</v>
      </c>
    </row>
    <row r="1880" spans="1:10" x14ac:dyDescent="0.2">
      <c r="A1880" s="859">
        <f t="shared" si="29"/>
        <v>1879</v>
      </c>
      <c r="B1880" s="845" t="s">
        <v>2554</v>
      </c>
      <c r="D1880" s="862"/>
      <c r="H1880" s="845" t="s">
        <v>1007</v>
      </c>
    </row>
    <row r="1881" spans="1:10" x14ac:dyDescent="0.2">
      <c r="A1881" s="859">
        <f t="shared" si="29"/>
        <v>1880</v>
      </c>
      <c r="B1881" s="845" t="s">
        <v>2554</v>
      </c>
      <c r="D1881" s="861"/>
      <c r="I1881" s="845" t="s">
        <v>1008</v>
      </c>
    </row>
    <row r="1882" spans="1:10" x14ac:dyDescent="0.2">
      <c r="A1882" s="859">
        <f t="shared" si="29"/>
        <v>1881</v>
      </c>
      <c r="B1882" s="845" t="s">
        <v>2554</v>
      </c>
      <c r="D1882" s="861"/>
      <c r="J1882" s="845" t="s">
        <v>1335</v>
      </c>
    </row>
    <row r="1883" spans="1:10" x14ac:dyDescent="0.2">
      <c r="A1883" s="859">
        <f t="shared" si="29"/>
        <v>1882</v>
      </c>
      <c r="B1883" s="845" t="s">
        <v>2554</v>
      </c>
      <c r="D1883" s="862"/>
      <c r="I1883" s="845" t="s">
        <v>1009</v>
      </c>
    </row>
    <row r="1884" spans="1:10" x14ac:dyDescent="0.2">
      <c r="A1884" s="859">
        <f t="shared" si="29"/>
        <v>1883</v>
      </c>
      <c r="B1884" s="845" t="s">
        <v>2554</v>
      </c>
      <c r="D1884" s="863"/>
      <c r="I1884" s="845" t="str">
        <f>CONCATENATE("&lt;valeur&gt;",Cellule_11232,"&lt;/valeur&gt;")</f>
        <v>&lt;valeur&gt;0&lt;/valeur&gt;</v>
      </c>
    </row>
    <row r="1885" spans="1:10" x14ac:dyDescent="0.2">
      <c r="A1885" s="859">
        <f t="shared" si="29"/>
        <v>1884</v>
      </c>
      <c r="B1885" s="845" t="s">
        <v>2554</v>
      </c>
      <c r="D1885" s="862"/>
      <c r="H1885" s="845" t="s">
        <v>1010</v>
      </c>
    </row>
    <row r="1886" spans="1:10" x14ac:dyDescent="0.2">
      <c r="A1886" s="859">
        <f t="shared" si="29"/>
        <v>1885</v>
      </c>
      <c r="B1886" s="845" t="s">
        <v>2554</v>
      </c>
      <c r="D1886" s="862"/>
      <c r="H1886" s="845" t="s">
        <v>1007</v>
      </c>
    </row>
    <row r="1887" spans="1:10" x14ac:dyDescent="0.2">
      <c r="A1887" s="859">
        <f t="shared" si="29"/>
        <v>1886</v>
      </c>
      <c r="B1887" s="845" t="s">
        <v>2554</v>
      </c>
      <c r="D1887" s="861"/>
      <c r="I1887" s="845" t="s">
        <v>1008</v>
      </c>
    </row>
    <row r="1888" spans="1:10" x14ac:dyDescent="0.2">
      <c r="A1888" s="859">
        <f t="shared" si="29"/>
        <v>1887</v>
      </c>
      <c r="B1888" s="845" t="s">
        <v>2554</v>
      </c>
      <c r="D1888" s="861"/>
      <c r="J1888" s="845" t="s">
        <v>1336</v>
      </c>
    </row>
    <row r="1889" spans="1:10" x14ac:dyDescent="0.2">
      <c r="A1889" s="859">
        <f t="shared" si="29"/>
        <v>1888</v>
      </c>
      <c r="B1889" s="845" t="s">
        <v>2554</v>
      </c>
      <c r="D1889" s="862"/>
      <c r="I1889" s="845" t="s">
        <v>1009</v>
      </c>
    </row>
    <row r="1890" spans="1:10" x14ac:dyDescent="0.2">
      <c r="A1890" s="859">
        <f t="shared" si="29"/>
        <v>1889</v>
      </c>
      <c r="B1890" s="845" t="s">
        <v>2554</v>
      </c>
      <c r="D1890" s="863"/>
      <c r="I1890" s="845" t="str">
        <f>CONCATENATE("&lt;valeur&gt;",Cellule_11177,"&lt;/valeur&gt;")</f>
        <v>&lt;valeur&gt;0&lt;/valeur&gt;</v>
      </c>
    </row>
    <row r="1891" spans="1:10" x14ac:dyDescent="0.2">
      <c r="A1891" s="859">
        <f t="shared" si="29"/>
        <v>1890</v>
      </c>
      <c r="B1891" s="845" t="s">
        <v>2554</v>
      </c>
      <c r="D1891" s="862"/>
      <c r="H1891" s="845" t="s">
        <v>1010</v>
      </c>
    </row>
    <row r="1892" spans="1:10" x14ac:dyDescent="0.2">
      <c r="A1892" s="859">
        <f t="shared" si="29"/>
        <v>1891</v>
      </c>
      <c r="B1892" s="845" t="s">
        <v>2554</v>
      </c>
      <c r="D1892" s="862"/>
      <c r="H1892" s="845" t="s">
        <v>1007</v>
      </c>
    </row>
    <row r="1893" spans="1:10" x14ac:dyDescent="0.2">
      <c r="A1893" s="859">
        <f t="shared" si="29"/>
        <v>1892</v>
      </c>
      <c r="B1893" s="845" t="s">
        <v>2554</v>
      </c>
      <c r="D1893" s="861"/>
      <c r="I1893" s="845" t="s">
        <v>1008</v>
      </c>
    </row>
    <row r="1894" spans="1:10" x14ac:dyDescent="0.2">
      <c r="A1894" s="859">
        <f t="shared" si="29"/>
        <v>1893</v>
      </c>
      <c r="B1894" s="845" t="s">
        <v>2554</v>
      </c>
      <c r="D1894" s="861"/>
      <c r="J1894" s="845" t="s">
        <v>1337</v>
      </c>
    </row>
    <row r="1895" spans="1:10" x14ac:dyDescent="0.2">
      <c r="A1895" s="859">
        <f t="shared" si="29"/>
        <v>1894</v>
      </c>
      <c r="B1895" s="845" t="s">
        <v>2554</v>
      </c>
      <c r="D1895" s="862"/>
      <c r="I1895" s="845" t="s">
        <v>1009</v>
      </c>
    </row>
    <row r="1896" spans="1:10" x14ac:dyDescent="0.2">
      <c r="A1896" s="859">
        <f t="shared" si="29"/>
        <v>1895</v>
      </c>
      <c r="B1896" s="845" t="s">
        <v>2554</v>
      </c>
      <c r="D1896" s="863"/>
      <c r="I1896" s="845" t="str">
        <f>CONCATENATE("&lt;valeur&gt;",Cellule_11182,"&lt;/valeur&gt;")</f>
        <v>&lt;valeur&gt;0&lt;/valeur&gt;</v>
      </c>
    </row>
    <row r="1897" spans="1:10" x14ac:dyDescent="0.2">
      <c r="A1897" s="859">
        <f t="shared" si="29"/>
        <v>1896</v>
      </c>
      <c r="B1897" s="845" t="s">
        <v>2554</v>
      </c>
      <c r="D1897" s="862"/>
      <c r="H1897" s="845" t="s">
        <v>1010</v>
      </c>
    </row>
    <row r="1898" spans="1:10" x14ac:dyDescent="0.2">
      <c r="A1898" s="859">
        <f t="shared" si="29"/>
        <v>1897</v>
      </c>
      <c r="B1898" s="845" t="s">
        <v>2554</v>
      </c>
      <c r="D1898" s="862"/>
      <c r="H1898" s="845" t="s">
        <v>1007</v>
      </c>
    </row>
    <row r="1899" spans="1:10" x14ac:dyDescent="0.2">
      <c r="A1899" s="859">
        <f t="shared" si="29"/>
        <v>1898</v>
      </c>
      <c r="B1899" s="845" t="s">
        <v>2554</v>
      </c>
      <c r="D1899" s="861"/>
      <c r="I1899" s="845" t="s">
        <v>1008</v>
      </c>
    </row>
    <row r="1900" spans="1:10" x14ac:dyDescent="0.2">
      <c r="A1900" s="859">
        <f t="shared" si="29"/>
        <v>1899</v>
      </c>
      <c r="B1900" s="845" t="s">
        <v>2554</v>
      </c>
      <c r="D1900" s="861"/>
      <c r="J1900" s="845" t="s">
        <v>1338</v>
      </c>
    </row>
    <row r="1901" spans="1:10" x14ac:dyDescent="0.2">
      <c r="A1901" s="859">
        <f t="shared" si="29"/>
        <v>1900</v>
      </c>
      <c r="B1901" s="845" t="s">
        <v>2554</v>
      </c>
      <c r="D1901" s="862"/>
      <c r="I1901" s="845" t="s">
        <v>1009</v>
      </c>
    </row>
    <row r="1902" spans="1:10" x14ac:dyDescent="0.2">
      <c r="A1902" s="859">
        <f t="shared" si="29"/>
        <v>1901</v>
      </c>
      <c r="B1902" s="845" t="s">
        <v>2554</v>
      </c>
      <c r="D1902" s="863"/>
      <c r="I1902" s="845" t="str">
        <f>CONCATENATE("&lt;valeur&gt;",Cellule_11187,"&lt;/valeur&gt;")</f>
        <v>&lt;valeur&gt;0&lt;/valeur&gt;</v>
      </c>
    </row>
    <row r="1903" spans="1:10" x14ac:dyDescent="0.2">
      <c r="A1903" s="859">
        <f t="shared" si="29"/>
        <v>1902</v>
      </c>
      <c r="B1903" s="845" t="s">
        <v>2554</v>
      </c>
      <c r="D1903" s="862"/>
      <c r="H1903" s="845" t="s">
        <v>1010</v>
      </c>
    </row>
    <row r="1904" spans="1:10" x14ac:dyDescent="0.2">
      <c r="A1904" s="859">
        <f t="shared" si="29"/>
        <v>1903</v>
      </c>
      <c r="B1904" s="845" t="s">
        <v>2554</v>
      </c>
      <c r="D1904" s="862"/>
      <c r="H1904" s="845" t="s">
        <v>1007</v>
      </c>
    </row>
    <row r="1905" spans="1:10" x14ac:dyDescent="0.2">
      <c r="A1905" s="859">
        <f t="shared" si="29"/>
        <v>1904</v>
      </c>
      <c r="B1905" s="845" t="s">
        <v>2554</v>
      </c>
      <c r="D1905" s="861"/>
      <c r="I1905" s="845" t="s">
        <v>1008</v>
      </c>
    </row>
    <row r="1906" spans="1:10" x14ac:dyDescent="0.2">
      <c r="A1906" s="859">
        <f t="shared" si="29"/>
        <v>1905</v>
      </c>
      <c r="B1906" s="845" t="s">
        <v>2554</v>
      </c>
      <c r="D1906" s="861"/>
      <c r="J1906" s="845" t="s">
        <v>1339</v>
      </c>
    </row>
    <row r="1907" spans="1:10" x14ac:dyDescent="0.2">
      <c r="A1907" s="859">
        <f t="shared" si="29"/>
        <v>1906</v>
      </c>
      <c r="B1907" s="845" t="s">
        <v>2554</v>
      </c>
      <c r="D1907" s="862"/>
      <c r="I1907" s="845" t="s">
        <v>1009</v>
      </c>
    </row>
    <row r="1908" spans="1:10" x14ac:dyDescent="0.2">
      <c r="A1908" s="859">
        <f t="shared" si="29"/>
        <v>1907</v>
      </c>
      <c r="B1908" s="845" t="s">
        <v>2554</v>
      </c>
      <c r="D1908" s="863"/>
      <c r="I1908" s="845" t="str">
        <f>CONCATENATE("&lt;valeur&gt;",Cellule_11192,"&lt;/valeur&gt;")</f>
        <v>&lt;valeur&gt;&lt;/valeur&gt;</v>
      </c>
    </row>
    <row r="1909" spans="1:10" x14ac:dyDescent="0.2">
      <c r="A1909" s="859">
        <f t="shared" si="29"/>
        <v>1908</v>
      </c>
      <c r="B1909" s="845" t="s">
        <v>2554</v>
      </c>
      <c r="D1909" s="862"/>
      <c r="H1909" s="845" t="s">
        <v>1010</v>
      </c>
    </row>
    <row r="1910" spans="1:10" x14ac:dyDescent="0.2">
      <c r="A1910" s="859">
        <f t="shared" si="29"/>
        <v>1909</v>
      </c>
      <c r="B1910" s="845" t="s">
        <v>2554</v>
      </c>
      <c r="D1910" s="862"/>
      <c r="H1910" s="845" t="s">
        <v>1007</v>
      </c>
    </row>
    <row r="1911" spans="1:10" x14ac:dyDescent="0.2">
      <c r="A1911" s="859">
        <f t="shared" si="29"/>
        <v>1910</v>
      </c>
      <c r="B1911" s="845" t="s">
        <v>2554</v>
      </c>
      <c r="D1911" s="861"/>
      <c r="I1911" s="845" t="s">
        <v>1008</v>
      </c>
    </row>
    <row r="1912" spans="1:10" x14ac:dyDescent="0.2">
      <c r="A1912" s="859">
        <f t="shared" si="29"/>
        <v>1911</v>
      </c>
      <c r="B1912" s="845" t="s">
        <v>2554</v>
      </c>
      <c r="D1912" s="861"/>
      <c r="J1912" s="845" t="s">
        <v>1340</v>
      </c>
    </row>
    <row r="1913" spans="1:10" x14ac:dyDescent="0.2">
      <c r="A1913" s="859">
        <f t="shared" si="29"/>
        <v>1912</v>
      </c>
      <c r="B1913" s="845" t="s">
        <v>2554</v>
      </c>
      <c r="D1913" s="862"/>
      <c r="I1913" s="845" t="s">
        <v>1009</v>
      </c>
    </row>
    <row r="1914" spans="1:10" x14ac:dyDescent="0.2">
      <c r="A1914" s="859">
        <f t="shared" si="29"/>
        <v>1913</v>
      </c>
      <c r="B1914" s="845" t="s">
        <v>2554</v>
      </c>
      <c r="D1914" s="863"/>
      <c r="I1914" s="845" t="str">
        <f>CONCATENATE("&lt;valeur&gt;",Cellule_11197,"&lt;/valeur&gt;")</f>
        <v>&lt;valeur&gt;0&lt;/valeur&gt;</v>
      </c>
    </row>
    <row r="1915" spans="1:10" x14ac:dyDescent="0.2">
      <c r="A1915" s="859">
        <f t="shared" si="29"/>
        <v>1914</v>
      </c>
      <c r="B1915" s="845" t="s">
        <v>2554</v>
      </c>
      <c r="D1915" s="862"/>
      <c r="H1915" s="845" t="s">
        <v>1010</v>
      </c>
    </row>
    <row r="1916" spans="1:10" x14ac:dyDescent="0.2">
      <c r="A1916" s="859">
        <f t="shared" si="29"/>
        <v>1915</v>
      </c>
      <c r="B1916" s="845" t="s">
        <v>2554</v>
      </c>
      <c r="D1916" s="862"/>
      <c r="H1916" s="845" t="s">
        <v>1007</v>
      </c>
    </row>
    <row r="1917" spans="1:10" x14ac:dyDescent="0.2">
      <c r="A1917" s="859">
        <f t="shared" si="29"/>
        <v>1916</v>
      </c>
      <c r="B1917" s="845" t="s">
        <v>2554</v>
      </c>
      <c r="D1917" s="861"/>
      <c r="I1917" s="845" t="s">
        <v>1008</v>
      </c>
    </row>
    <row r="1918" spans="1:10" x14ac:dyDescent="0.2">
      <c r="A1918" s="859">
        <f t="shared" si="29"/>
        <v>1917</v>
      </c>
      <c r="B1918" s="845" t="s">
        <v>2554</v>
      </c>
      <c r="D1918" s="861"/>
      <c r="J1918" s="845" t="s">
        <v>1341</v>
      </c>
    </row>
    <row r="1919" spans="1:10" x14ac:dyDescent="0.2">
      <c r="A1919" s="859">
        <f t="shared" si="29"/>
        <v>1918</v>
      </c>
      <c r="B1919" s="845" t="s">
        <v>2554</v>
      </c>
      <c r="D1919" s="862"/>
      <c r="I1919" s="845" t="s">
        <v>1009</v>
      </c>
    </row>
    <row r="1920" spans="1:10" x14ac:dyDescent="0.2">
      <c r="A1920" s="859">
        <f t="shared" si="29"/>
        <v>1919</v>
      </c>
      <c r="B1920" s="845" t="s">
        <v>2554</v>
      </c>
      <c r="D1920" s="863"/>
      <c r="I1920" s="845" t="str">
        <f>CONCATENATE("&lt;valeur&gt;",Cellule_11267,"&lt;/valeur&gt;")</f>
        <v>&lt;valeur&gt;0&lt;/valeur&gt;</v>
      </c>
    </row>
    <row r="1921" spans="1:10" x14ac:dyDescent="0.2">
      <c r="A1921" s="859">
        <f t="shared" si="29"/>
        <v>1920</v>
      </c>
      <c r="B1921" s="845" t="s">
        <v>2554</v>
      </c>
      <c r="D1921" s="862"/>
      <c r="H1921" s="845" t="s">
        <v>1010</v>
      </c>
    </row>
    <row r="1922" spans="1:10" x14ac:dyDescent="0.2">
      <c r="A1922" s="859">
        <f t="shared" si="29"/>
        <v>1921</v>
      </c>
      <c r="B1922" s="845" t="s">
        <v>2554</v>
      </c>
      <c r="D1922" s="862"/>
      <c r="H1922" s="845" t="s">
        <v>1007</v>
      </c>
    </row>
    <row r="1923" spans="1:10" x14ac:dyDescent="0.2">
      <c r="A1923" s="859">
        <f t="shared" si="29"/>
        <v>1922</v>
      </c>
      <c r="B1923" s="845" t="s">
        <v>2554</v>
      </c>
      <c r="D1923" s="861"/>
      <c r="I1923" s="845" t="s">
        <v>1008</v>
      </c>
    </row>
    <row r="1924" spans="1:10" x14ac:dyDescent="0.2">
      <c r="A1924" s="859">
        <f t="shared" ref="A1924:A1987" si="30">+A1923+1</f>
        <v>1923</v>
      </c>
      <c r="B1924" s="845" t="s">
        <v>2554</v>
      </c>
      <c r="D1924" s="861"/>
      <c r="J1924" s="845" t="s">
        <v>1342</v>
      </c>
    </row>
    <row r="1925" spans="1:10" x14ac:dyDescent="0.2">
      <c r="A1925" s="859">
        <f t="shared" si="30"/>
        <v>1924</v>
      </c>
      <c r="B1925" s="845" t="s">
        <v>2554</v>
      </c>
      <c r="D1925" s="862"/>
      <c r="I1925" s="845" t="s">
        <v>1009</v>
      </c>
    </row>
    <row r="1926" spans="1:10" x14ac:dyDescent="0.2">
      <c r="A1926" s="859">
        <f t="shared" si="30"/>
        <v>1925</v>
      </c>
      <c r="B1926" s="845" t="s">
        <v>2554</v>
      </c>
      <c r="D1926" s="863"/>
      <c r="I1926" s="845" t="str">
        <f>CONCATENATE("&lt;valeur&gt;",Cellule_11237,"&lt;/valeur&gt;")</f>
        <v>&lt;valeur&gt;0&lt;/valeur&gt;</v>
      </c>
    </row>
    <row r="1927" spans="1:10" x14ac:dyDescent="0.2">
      <c r="A1927" s="859">
        <f t="shared" si="30"/>
        <v>1926</v>
      </c>
      <c r="B1927" s="845" t="s">
        <v>2554</v>
      </c>
      <c r="D1927" s="862"/>
      <c r="H1927" s="845" t="s">
        <v>1010</v>
      </c>
    </row>
    <row r="1928" spans="1:10" x14ac:dyDescent="0.2">
      <c r="A1928" s="859">
        <f t="shared" si="30"/>
        <v>1927</v>
      </c>
      <c r="B1928" s="845" t="s">
        <v>2554</v>
      </c>
      <c r="D1928" s="862"/>
      <c r="H1928" s="845" t="s">
        <v>1007</v>
      </c>
    </row>
    <row r="1929" spans="1:10" x14ac:dyDescent="0.2">
      <c r="A1929" s="859">
        <f t="shared" si="30"/>
        <v>1928</v>
      </c>
      <c r="B1929" s="845" t="s">
        <v>2554</v>
      </c>
      <c r="D1929" s="861"/>
      <c r="I1929" s="845" t="s">
        <v>1008</v>
      </c>
    </row>
    <row r="1930" spans="1:10" x14ac:dyDescent="0.2">
      <c r="A1930" s="859">
        <f t="shared" si="30"/>
        <v>1929</v>
      </c>
      <c r="B1930" s="845" t="s">
        <v>2554</v>
      </c>
      <c r="D1930" s="861"/>
      <c r="J1930" s="845" t="s">
        <v>1343</v>
      </c>
    </row>
    <row r="1931" spans="1:10" x14ac:dyDescent="0.2">
      <c r="A1931" s="859">
        <f t="shared" si="30"/>
        <v>1930</v>
      </c>
      <c r="B1931" s="845" t="s">
        <v>2554</v>
      </c>
      <c r="D1931" s="862"/>
      <c r="I1931" s="845" t="s">
        <v>1009</v>
      </c>
    </row>
    <row r="1932" spans="1:10" x14ac:dyDescent="0.2">
      <c r="A1932" s="859">
        <f t="shared" si="30"/>
        <v>1931</v>
      </c>
      <c r="B1932" s="845" t="s">
        <v>2554</v>
      </c>
      <c r="D1932" s="863"/>
      <c r="I1932" s="845" t="str">
        <f>CONCATENATE("&lt;valeur&gt;",Cellule_11242,"&lt;/valeur&gt;")</f>
        <v>&lt;valeur&gt;0&lt;/valeur&gt;</v>
      </c>
    </row>
    <row r="1933" spans="1:10" x14ac:dyDescent="0.2">
      <c r="A1933" s="859">
        <f t="shared" si="30"/>
        <v>1932</v>
      </c>
      <c r="B1933" s="845" t="s">
        <v>2554</v>
      </c>
      <c r="D1933" s="862"/>
      <c r="H1933" s="845" t="s">
        <v>1010</v>
      </c>
    </row>
    <row r="1934" spans="1:10" x14ac:dyDescent="0.2">
      <c r="A1934" s="859">
        <f t="shared" si="30"/>
        <v>1933</v>
      </c>
      <c r="B1934" s="845" t="s">
        <v>2554</v>
      </c>
      <c r="D1934" s="862"/>
      <c r="H1934" s="845" t="s">
        <v>1007</v>
      </c>
    </row>
    <row r="1935" spans="1:10" x14ac:dyDescent="0.2">
      <c r="A1935" s="859">
        <f t="shared" si="30"/>
        <v>1934</v>
      </c>
      <c r="B1935" s="845" t="s">
        <v>2554</v>
      </c>
      <c r="D1935" s="861"/>
      <c r="I1935" s="845" t="s">
        <v>1008</v>
      </c>
    </row>
    <row r="1936" spans="1:10" x14ac:dyDescent="0.2">
      <c r="A1936" s="859">
        <f t="shared" si="30"/>
        <v>1935</v>
      </c>
      <c r="B1936" s="845" t="s">
        <v>2554</v>
      </c>
      <c r="D1936" s="861"/>
      <c r="J1936" s="845" t="s">
        <v>1344</v>
      </c>
    </row>
    <row r="1937" spans="1:10" x14ac:dyDescent="0.2">
      <c r="A1937" s="859">
        <f t="shared" si="30"/>
        <v>1936</v>
      </c>
      <c r="B1937" s="845" t="s">
        <v>2554</v>
      </c>
      <c r="D1937" s="862"/>
      <c r="I1937" s="845" t="s">
        <v>1009</v>
      </c>
    </row>
    <row r="1938" spans="1:10" x14ac:dyDescent="0.2">
      <c r="A1938" s="859">
        <f t="shared" si="30"/>
        <v>1937</v>
      </c>
      <c r="B1938" s="845" t="s">
        <v>2554</v>
      </c>
      <c r="D1938" s="863"/>
      <c r="I1938" s="845" t="str">
        <f>CONCATENATE("&lt;valeur&gt;",Cellule_11247,"&lt;/valeur&gt;")</f>
        <v>&lt;valeur&gt;0&lt;/valeur&gt;</v>
      </c>
    </row>
    <row r="1939" spans="1:10" x14ac:dyDescent="0.2">
      <c r="A1939" s="859">
        <f t="shared" si="30"/>
        <v>1938</v>
      </c>
      <c r="B1939" s="845" t="s">
        <v>2554</v>
      </c>
      <c r="D1939" s="862"/>
      <c r="H1939" s="845" t="s">
        <v>1010</v>
      </c>
    </row>
    <row r="1940" spans="1:10" x14ac:dyDescent="0.2">
      <c r="A1940" s="859">
        <f t="shared" si="30"/>
        <v>1939</v>
      </c>
      <c r="B1940" s="845" t="s">
        <v>2554</v>
      </c>
      <c r="D1940" s="862"/>
      <c r="H1940" s="845" t="s">
        <v>1007</v>
      </c>
    </row>
    <row r="1941" spans="1:10" x14ac:dyDescent="0.2">
      <c r="A1941" s="859">
        <f t="shared" si="30"/>
        <v>1940</v>
      </c>
      <c r="B1941" s="845" t="s">
        <v>2554</v>
      </c>
      <c r="D1941" s="861"/>
      <c r="I1941" s="845" t="s">
        <v>1008</v>
      </c>
    </row>
    <row r="1942" spans="1:10" x14ac:dyDescent="0.2">
      <c r="A1942" s="859">
        <f t="shared" si="30"/>
        <v>1941</v>
      </c>
      <c r="B1942" s="845" t="s">
        <v>2554</v>
      </c>
      <c r="D1942" s="861"/>
      <c r="J1942" s="845" t="s">
        <v>1345</v>
      </c>
    </row>
    <row r="1943" spans="1:10" x14ac:dyDescent="0.2">
      <c r="A1943" s="859">
        <f t="shared" si="30"/>
        <v>1942</v>
      </c>
      <c r="B1943" s="845" t="s">
        <v>2554</v>
      </c>
      <c r="D1943" s="862"/>
      <c r="I1943" s="845" t="s">
        <v>1009</v>
      </c>
    </row>
    <row r="1944" spans="1:10" x14ac:dyDescent="0.2">
      <c r="A1944" s="859">
        <f t="shared" si="30"/>
        <v>1943</v>
      </c>
      <c r="B1944" s="845" t="s">
        <v>2554</v>
      </c>
      <c r="D1944" s="863"/>
      <c r="I1944" s="845" t="str">
        <f>CONCATENATE("&lt;valeur&gt;",Cellule_11252,"&lt;/valeur&gt;")</f>
        <v>&lt;valeur&gt;0&lt;/valeur&gt;</v>
      </c>
    </row>
    <row r="1945" spans="1:10" x14ac:dyDescent="0.2">
      <c r="A1945" s="859">
        <f t="shared" si="30"/>
        <v>1944</v>
      </c>
      <c r="B1945" s="845" t="s">
        <v>2554</v>
      </c>
      <c r="D1945" s="862"/>
      <c r="H1945" s="845" t="s">
        <v>1010</v>
      </c>
    </row>
    <row r="1946" spans="1:10" x14ac:dyDescent="0.2">
      <c r="A1946" s="859">
        <f t="shared" si="30"/>
        <v>1945</v>
      </c>
      <c r="B1946" s="845" t="s">
        <v>2554</v>
      </c>
      <c r="D1946" s="862"/>
      <c r="H1946" s="845" t="s">
        <v>1007</v>
      </c>
    </row>
    <row r="1947" spans="1:10" x14ac:dyDescent="0.2">
      <c r="A1947" s="859">
        <f t="shared" si="30"/>
        <v>1946</v>
      </c>
      <c r="B1947" s="845" t="s">
        <v>2554</v>
      </c>
      <c r="D1947" s="861"/>
      <c r="I1947" s="845" t="s">
        <v>1008</v>
      </c>
    </row>
    <row r="1948" spans="1:10" x14ac:dyDescent="0.2">
      <c r="A1948" s="859">
        <f t="shared" si="30"/>
        <v>1947</v>
      </c>
      <c r="B1948" s="845" t="s">
        <v>2554</v>
      </c>
      <c r="D1948" s="861"/>
      <c r="J1948" s="845" t="s">
        <v>1346</v>
      </c>
    </row>
    <row r="1949" spans="1:10" x14ac:dyDescent="0.2">
      <c r="A1949" s="859">
        <f t="shared" si="30"/>
        <v>1948</v>
      </c>
      <c r="B1949" s="845" t="s">
        <v>2554</v>
      </c>
      <c r="D1949" s="862"/>
      <c r="I1949" s="845" t="s">
        <v>1009</v>
      </c>
    </row>
    <row r="1950" spans="1:10" x14ac:dyDescent="0.2">
      <c r="A1950" s="859">
        <f t="shared" si="30"/>
        <v>1949</v>
      </c>
      <c r="B1950" s="845" t="s">
        <v>2554</v>
      </c>
      <c r="D1950" s="863"/>
      <c r="I1950" s="845" t="str">
        <f>CONCATENATE("&lt;valeur&gt;",Cellule_11257,"&lt;/valeur&gt;")</f>
        <v>&lt;valeur&gt;0&lt;/valeur&gt;</v>
      </c>
    </row>
    <row r="1951" spans="1:10" x14ac:dyDescent="0.2">
      <c r="A1951" s="859">
        <f t="shared" si="30"/>
        <v>1950</v>
      </c>
      <c r="B1951" s="845" t="s">
        <v>2554</v>
      </c>
      <c r="D1951" s="862"/>
      <c r="H1951" s="845" t="s">
        <v>1010</v>
      </c>
    </row>
    <row r="1952" spans="1:10" x14ac:dyDescent="0.2">
      <c r="A1952" s="859">
        <f t="shared" si="30"/>
        <v>1951</v>
      </c>
      <c r="B1952" s="845" t="s">
        <v>2554</v>
      </c>
      <c r="D1952" s="862"/>
      <c r="H1952" s="845" t="s">
        <v>1007</v>
      </c>
    </row>
    <row r="1953" spans="1:10" x14ac:dyDescent="0.2">
      <c r="A1953" s="859">
        <f t="shared" si="30"/>
        <v>1952</v>
      </c>
      <c r="B1953" s="845" t="s">
        <v>2554</v>
      </c>
      <c r="D1953" s="861"/>
      <c r="I1953" s="845" t="s">
        <v>1008</v>
      </c>
    </row>
    <row r="1954" spans="1:10" x14ac:dyDescent="0.2">
      <c r="A1954" s="859">
        <f t="shared" si="30"/>
        <v>1953</v>
      </c>
      <c r="B1954" s="845" t="s">
        <v>2554</v>
      </c>
      <c r="D1954" s="861"/>
      <c r="J1954" s="845" t="s">
        <v>1347</v>
      </c>
    </row>
    <row r="1955" spans="1:10" x14ac:dyDescent="0.2">
      <c r="A1955" s="859">
        <f t="shared" si="30"/>
        <v>1954</v>
      </c>
      <c r="B1955" s="845" t="s">
        <v>2554</v>
      </c>
      <c r="D1955" s="862"/>
      <c r="I1955" s="845" t="s">
        <v>1009</v>
      </c>
    </row>
    <row r="1956" spans="1:10" x14ac:dyDescent="0.2">
      <c r="A1956" s="859">
        <f t="shared" si="30"/>
        <v>1955</v>
      </c>
      <c r="B1956" s="845" t="s">
        <v>2554</v>
      </c>
      <c r="D1956" s="863"/>
      <c r="I1956" s="845" t="str">
        <f>CONCATENATE("&lt;valeur&gt;",Cellule_11262,"&lt;/valeur&gt;")</f>
        <v>&lt;valeur&gt;0&lt;/valeur&gt;</v>
      </c>
    </row>
    <row r="1957" spans="1:10" x14ac:dyDescent="0.2">
      <c r="A1957" s="859">
        <f t="shared" si="30"/>
        <v>1956</v>
      </c>
      <c r="B1957" s="845" t="s">
        <v>2554</v>
      </c>
      <c r="D1957" s="862"/>
      <c r="H1957" s="845" t="s">
        <v>1010</v>
      </c>
    </row>
    <row r="1958" spans="1:10" x14ac:dyDescent="0.2">
      <c r="A1958" s="859">
        <f t="shared" si="30"/>
        <v>1957</v>
      </c>
      <c r="B1958" s="845" t="s">
        <v>2554</v>
      </c>
      <c r="D1958" s="862"/>
      <c r="H1958" s="845" t="s">
        <v>1007</v>
      </c>
    </row>
    <row r="1959" spans="1:10" x14ac:dyDescent="0.2">
      <c r="A1959" s="859">
        <f t="shared" si="30"/>
        <v>1958</v>
      </c>
      <c r="B1959" s="845" t="s">
        <v>2554</v>
      </c>
      <c r="D1959" s="861"/>
      <c r="I1959" s="845" t="s">
        <v>1008</v>
      </c>
    </row>
    <row r="1960" spans="1:10" x14ac:dyDescent="0.2">
      <c r="A1960" s="859">
        <f t="shared" si="30"/>
        <v>1959</v>
      </c>
      <c r="B1960" s="845" t="s">
        <v>2554</v>
      </c>
      <c r="D1960" s="861"/>
      <c r="J1960" s="845" t="s">
        <v>1348</v>
      </c>
    </row>
    <row r="1961" spans="1:10" x14ac:dyDescent="0.2">
      <c r="A1961" s="859">
        <f t="shared" si="30"/>
        <v>1960</v>
      </c>
      <c r="B1961" s="845" t="s">
        <v>2554</v>
      </c>
      <c r="D1961" s="862"/>
      <c r="I1961" s="845" t="s">
        <v>1009</v>
      </c>
    </row>
    <row r="1962" spans="1:10" x14ac:dyDescent="0.2">
      <c r="A1962" s="859">
        <f t="shared" si="30"/>
        <v>1961</v>
      </c>
      <c r="B1962" s="845" t="s">
        <v>2554</v>
      </c>
      <c r="D1962" s="863"/>
      <c r="I1962" s="845" t="str">
        <f>CONCATENATE("&lt;valeur&gt;",Cellule_11203,"&lt;/valeur&gt;")</f>
        <v>&lt;valeur&gt;0&lt;/valeur&gt;</v>
      </c>
    </row>
    <row r="1963" spans="1:10" x14ac:dyDescent="0.2">
      <c r="A1963" s="859">
        <f t="shared" si="30"/>
        <v>1962</v>
      </c>
      <c r="B1963" s="845" t="s">
        <v>2554</v>
      </c>
      <c r="D1963" s="862"/>
      <c r="H1963" s="845" t="s">
        <v>1010</v>
      </c>
    </row>
    <row r="1964" spans="1:10" x14ac:dyDescent="0.2">
      <c r="A1964" s="859">
        <f t="shared" si="30"/>
        <v>1963</v>
      </c>
      <c r="B1964" s="845" t="s">
        <v>2554</v>
      </c>
      <c r="D1964" s="862"/>
      <c r="H1964" s="845" t="s">
        <v>1007</v>
      </c>
    </row>
    <row r="1965" spans="1:10" x14ac:dyDescent="0.2">
      <c r="A1965" s="859">
        <f t="shared" si="30"/>
        <v>1964</v>
      </c>
      <c r="B1965" s="845" t="s">
        <v>2554</v>
      </c>
      <c r="D1965" s="861"/>
      <c r="I1965" s="845" t="s">
        <v>1008</v>
      </c>
    </row>
    <row r="1966" spans="1:10" x14ac:dyDescent="0.2">
      <c r="A1966" s="859">
        <f t="shared" si="30"/>
        <v>1965</v>
      </c>
      <c r="B1966" s="845" t="s">
        <v>2554</v>
      </c>
      <c r="D1966" s="861"/>
      <c r="J1966" s="845" t="s">
        <v>1349</v>
      </c>
    </row>
    <row r="1967" spans="1:10" x14ac:dyDescent="0.2">
      <c r="A1967" s="859">
        <f t="shared" si="30"/>
        <v>1966</v>
      </c>
      <c r="B1967" s="845" t="s">
        <v>2554</v>
      </c>
      <c r="D1967" s="862"/>
      <c r="I1967" s="845" t="s">
        <v>1009</v>
      </c>
    </row>
    <row r="1968" spans="1:10" x14ac:dyDescent="0.2">
      <c r="A1968" s="859">
        <f t="shared" si="30"/>
        <v>1967</v>
      </c>
      <c r="B1968" s="845" t="s">
        <v>2554</v>
      </c>
      <c r="D1968" s="863"/>
      <c r="I1968" s="845" t="str">
        <f>CONCATENATE("&lt;valeur&gt;",Cellule_11208,"&lt;/valeur&gt;")</f>
        <v>&lt;valeur&gt;0&lt;/valeur&gt;</v>
      </c>
    </row>
    <row r="1969" spans="1:10" x14ac:dyDescent="0.2">
      <c r="A1969" s="859">
        <f t="shared" si="30"/>
        <v>1968</v>
      </c>
      <c r="B1969" s="845" t="s">
        <v>2554</v>
      </c>
      <c r="D1969" s="862"/>
      <c r="H1969" s="845" t="s">
        <v>1010</v>
      </c>
    </row>
    <row r="1970" spans="1:10" x14ac:dyDescent="0.2">
      <c r="A1970" s="859">
        <f t="shared" si="30"/>
        <v>1969</v>
      </c>
      <c r="B1970" s="845" t="s">
        <v>2554</v>
      </c>
      <c r="D1970" s="862"/>
      <c r="H1970" s="845" t="s">
        <v>1007</v>
      </c>
    </row>
    <row r="1971" spans="1:10" x14ac:dyDescent="0.2">
      <c r="A1971" s="859">
        <f t="shared" si="30"/>
        <v>1970</v>
      </c>
      <c r="B1971" s="845" t="s">
        <v>2554</v>
      </c>
      <c r="D1971" s="861"/>
      <c r="I1971" s="845" t="s">
        <v>1008</v>
      </c>
    </row>
    <row r="1972" spans="1:10" x14ac:dyDescent="0.2">
      <c r="A1972" s="859">
        <f t="shared" si="30"/>
        <v>1971</v>
      </c>
      <c r="B1972" s="845" t="s">
        <v>2554</v>
      </c>
      <c r="D1972" s="861"/>
      <c r="J1972" s="845" t="s">
        <v>1350</v>
      </c>
    </row>
    <row r="1973" spans="1:10" x14ac:dyDescent="0.2">
      <c r="A1973" s="859">
        <f t="shared" si="30"/>
        <v>1972</v>
      </c>
      <c r="B1973" s="845" t="s">
        <v>2554</v>
      </c>
      <c r="D1973" s="862"/>
      <c r="I1973" s="845" t="s">
        <v>1009</v>
      </c>
    </row>
    <row r="1974" spans="1:10" x14ac:dyDescent="0.2">
      <c r="A1974" s="859">
        <f t="shared" si="30"/>
        <v>1973</v>
      </c>
      <c r="B1974" s="845" t="s">
        <v>2554</v>
      </c>
      <c r="D1974" s="863"/>
      <c r="I1974" s="845" t="str">
        <f>CONCATENATE("&lt;valeur&gt;",Cellule_11213,"&lt;/valeur&gt;")</f>
        <v>&lt;valeur&gt;0&lt;/valeur&gt;</v>
      </c>
    </row>
    <row r="1975" spans="1:10" x14ac:dyDescent="0.2">
      <c r="A1975" s="859">
        <f t="shared" si="30"/>
        <v>1974</v>
      </c>
      <c r="B1975" s="845" t="s">
        <v>2554</v>
      </c>
      <c r="D1975" s="862"/>
      <c r="H1975" s="845" t="s">
        <v>1010</v>
      </c>
    </row>
    <row r="1976" spans="1:10" x14ac:dyDescent="0.2">
      <c r="A1976" s="859">
        <f t="shared" si="30"/>
        <v>1975</v>
      </c>
      <c r="B1976" s="845" t="s">
        <v>2554</v>
      </c>
      <c r="D1976" s="862"/>
      <c r="H1976" s="845" t="s">
        <v>1007</v>
      </c>
    </row>
    <row r="1977" spans="1:10" x14ac:dyDescent="0.2">
      <c r="A1977" s="859">
        <f t="shared" si="30"/>
        <v>1976</v>
      </c>
      <c r="B1977" s="845" t="s">
        <v>2554</v>
      </c>
      <c r="D1977" s="861"/>
      <c r="I1977" s="845" t="s">
        <v>1008</v>
      </c>
    </row>
    <row r="1978" spans="1:10" x14ac:dyDescent="0.2">
      <c r="A1978" s="859">
        <f t="shared" si="30"/>
        <v>1977</v>
      </c>
      <c r="B1978" s="845" t="s">
        <v>2554</v>
      </c>
      <c r="D1978" s="861"/>
      <c r="J1978" s="845" t="s">
        <v>1351</v>
      </c>
    </row>
    <row r="1979" spans="1:10" x14ac:dyDescent="0.2">
      <c r="A1979" s="859">
        <f t="shared" si="30"/>
        <v>1978</v>
      </c>
      <c r="B1979" s="845" t="s">
        <v>2554</v>
      </c>
      <c r="D1979" s="862"/>
      <c r="I1979" s="845" t="s">
        <v>1009</v>
      </c>
    </row>
    <row r="1980" spans="1:10" x14ac:dyDescent="0.2">
      <c r="A1980" s="859">
        <f t="shared" si="30"/>
        <v>1979</v>
      </c>
      <c r="B1980" s="845" t="s">
        <v>2554</v>
      </c>
      <c r="D1980" s="863"/>
      <c r="I1980" s="845" t="str">
        <f>CONCATENATE("&lt;valeur&gt;",Cellule_11218,"&lt;/valeur&gt;")</f>
        <v>&lt;valeur&gt;0&lt;/valeur&gt;</v>
      </c>
    </row>
    <row r="1981" spans="1:10" x14ac:dyDescent="0.2">
      <c r="A1981" s="859">
        <f t="shared" si="30"/>
        <v>1980</v>
      </c>
      <c r="B1981" s="845" t="s">
        <v>2554</v>
      </c>
      <c r="D1981" s="862"/>
      <c r="H1981" s="845" t="s">
        <v>1010</v>
      </c>
    </row>
    <row r="1982" spans="1:10" x14ac:dyDescent="0.2">
      <c r="A1982" s="859">
        <f t="shared" si="30"/>
        <v>1981</v>
      </c>
      <c r="B1982" s="845" t="s">
        <v>2554</v>
      </c>
      <c r="D1982" s="862"/>
      <c r="H1982" s="845" t="s">
        <v>1007</v>
      </c>
    </row>
    <row r="1983" spans="1:10" x14ac:dyDescent="0.2">
      <c r="A1983" s="859">
        <f t="shared" si="30"/>
        <v>1982</v>
      </c>
      <c r="B1983" s="845" t="s">
        <v>2554</v>
      </c>
      <c r="D1983" s="861"/>
      <c r="I1983" s="845" t="s">
        <v>1008</v>
      </c>
    </row>
    <row r="1984" spans="1:10" x14ac:dyDescent="0.2">
      <c r="A1984" s="859">
        <f t="shared" si="30"/>
        <v>1983</v>
      </c>
      <c r="B1984" s="845" t="s">
        <v>2554</v>
      </c>
      <c r="D1984" s="861"/>
      <c r="J1984" s="845" t="s">
        <v>1352</v>
      </c>
    </row>
    <row r="1985" spans="1:10" x14ac:dyDescent="0.2">
      <c r="A1985" s="859">
        <f t="shared" si="30"/>
        <v>1984</v>
      </c>
      <c r="B1985" s="845" t="s">
        <v>2554</v>
      </c>
      <c r="D1985" s="862"/>
      <c r="I1985" s="845" t="s">
        <v>1009</v>
      </c>
    </row>
    <row r="1986" spans="1:10" x14ac:dyDescent="0.2">
      <c r="A1986" s="859">
        <f t="shared" si="30"/>
        <v>1985</v>
      </c>
      <c r="B1986" s="845" t="s">
        <v>2554</v>
      </c>
      <c r="D1986" s="863"/>
      <c r="I1986" s="845" t="str">
        <f>CONCATENATE("&lt;valeur&gt;",Cellule_11223,"&lt;/valeur&gt;")</f>
        <v>&lt;valeur&gt;0&lt;/valeur&gt;</v>
      </c>
    </row>
    <row r="1987" spans="1:10" x14ac:dyDescent="0.2">
      <c r="A1987" s="859">
        <f t="shared" si="30"/>
        <v>1986</v>
      </c>
      <c r="B1987" s="845" t="s">
        <v>2554</v>
      </c>
      <c r="D1987" s="862"/>
      <c r="H1987" s="845" t="s">
        <v>1010</v>
      </c>
    </row>
    <row r="1988" spans="1:10" x14ac:dyDescent="0.2">
      <c r="A1988" s="859">
        <f t="shared" ref="A1988:A2051" si="31">+A1987+1</f>
        <v>1987</v>
      </c>
      <c r="B1988" s="845" t="s">
        <v>2554</v>
      </c>
      <c r="D1988" s="862"/>
      <c r="H1988" s="845" t="s">
        <v>1007</v>
      </c>
    </row>
    <row r="1989" spans="1:10" x14ac:dyDescent="0.2">
      <c r="A1989" s="859">
        <f t="shared" si="31"/>
        <v>1988</v>
      </c>
      <c r="B1989" s="845" t="s">
        <v>2554</v>
      </c>
      <c r="D1989" s="861"/>
      <c r="I1989" s="845" t="s">
        <v>1008</v>
      </c>
    </row>
    <row r="1990" spans="1:10" x14ac:dyDescent="0.2">
      <c r="A1990" s="859">
        <f t="shared" si="31"/>
        <v>1989</v>
      </c>
      <c r="B1990" s="845" t="s">
        <v>2554</v>
      </c>
      <c r="D1990" s="861"/>
      <c r="J1990" s="845" t="s">
        <v>1353</v>
      </c>
    </row>
    <row r="1991" spans="1:10" x14ac:dyDescent="0.2">
      <c r="A1991" s="859">
        <f t="shared" si="31"/>
        <v>1990</v>
      </c>
      <c r="B1991" s="845" t="s">
        <v>2554</v>
      </c>
      <c r="D1991" s="862"/>
      <c r="I1991" s="845" t="s">
        <v>1009</v>
      </c>
    </row>
    <row r="1992" spans="1:10" x14ac:dyDescent="0.2">
      <c r="A1992" s="859">
        <f t="shared" si="31"/>
        <v>1991</v>
      </c>
      <c r="B1992" s="845" t="s">
        <v>2554</v>
      </c>
      <c r="D1992" s="863"/>
      <c r="I1992" s="845" t="str">
        <f>CONCATENATE("&lt;valeur&gt;",Cellule_11228,"&lt;/valeur&gt;")</f>
        <v>&lt;valeur&gt;0&lt;/valeur&gt;</v>
      </c>
    </row>
    <row r="1993" spans="1:10" x14ac:dyDescent="0.2">
      <c r="A1993" s="859">
        <f t="shared" si="31"/>
        <v>1992</v>
      </c>
      <c r="B1993" s="845" t="s">
        <v>2554</v>
      </c>
      <c r="D1993" s="862"/>
      <c r="H1993" s="845" t="s">
        <v>1010</v>
      </c>
    </row>
    <row r="1994" spans="1:10" x14ac:dyDescent="0.2">
      <c r="A1994" s="859">
        <f t="shared" si="31"/>
        <v>1993</v>
      </c>
      <c r="B1994" s="845" t="s">
        <v>2554</v>
      </c>
      <c r="D1994" s="862"/>
      <c r="H1994" s="845" t="s">
        <v>1007</v>
      </c>
    </row>
    <row r="1995" spans="1:10" x14ac:dyDescent="0.2">
      <c r="A1995" s="859">
        <f t="shared" si="31"/>
        <v>1994</v>
      </c>
      <c r="B1995" s="845" t="s">
        <v>2554</v>
      </c>
      <c r="D1995" s="861"/>
      <c r="I1995" s="845" t="s">
        <v>1008</v>
      </c>
    </row>
    <row r="1996" spans="1:10" x14ac:dyDescent="0.2">
      <c r="A1996" s="859">
        <f t="shared" si="31"/>
        <v>1995</v>
      </c>
      <c r="B1996" s="845" t="s">
        <v>2554</v>
      </c>
      <c r="D1996" s="861"/>
      <c r="J1996" s="845" t="s">
        <v>1354</v>
      </c>
    </row>
    <row r="1997" spans="1:10" x14ac:dyDescent="0.2">
      <c r="A1997" s="859">
        <f t="shared" si="31"/>
        <v>1996</v>
      </c>
      <c r="B1997" s="845" t="s">
        <v>2554</v>
      </c>
      <c r="D1997" s="862"/>
      <c r="I1997" s="845" t="s">
        <v>1009</v>
      </c>
    </row>
    <row r="1998" spans="1:10" x14ac:dyDescent="0.2">
      <c r="A1998" s="859">
        <f t="shared" si="31"/>
        <v>1997</v>
      </c>
      <c r="B1998" s="845" t="s">
        <v>2554</v>
      </c>
      <c r="D1998" s="863"/>
      <c r="I1998" s="845" t="str">
        <f>CONCATENATE("&lt;valeur&gt;",Cellule_11233,"&lt;/valeur&gt;")</f>
        <v>&lt;valeur&gt;0&lt;/valeur&gt;</v>
      </c>
    </row>
    <row r="1999" spans="1:10" x14ac:dyDescent="0.2">
      <c r="A1999" s="859">
        <f t="shared" si="31"/>
        <v>1998</v>
      </c>
      <c r="B1999" s="845" t="s">
        <v>2554</v>
      </c>
      <c r="D1999" s="862"/>
      <c r="H1999" s="845" t="s">
        <v>1010</v>
      </c>
    </row>
    <row r="2000" spans="1:10" x14ac:dyDescent="0.2">
      <c r="A2000" s="859">
        <f t="shared" si="31"/>
        <v>1999</v>
      </c>
      <c r="B2000" s="845" t="s">
        <v>2554</v>
      </c>
      <c r="D2000" s="862"/>
      <c r="H2000" s="845" t="s">
        <v>1007</v>
      </c>
    </row>
    <row r="2001" spans="1:10" x14ac:dyDescent="0.2">
      <c r="A2001" s="859">
        <f t="shared" si="31"/>
        <v>2000</v>
      </c>
      <c r="B2001" s="845" t="s">
        <v>2554</v>
      </c>
      <c r="D2001" s="861"/>
      <c r="I2001" s="845" t="s">
        <v>1008</v>
      </c>
    </row>
    <row r="2002" spans="1:10" x14ac:dyDescent="0.2">
      <c r="A2002" s="859">
        <f t="shared" si="31"/>
        <v>2001</v>
      </c>
      <c r="B2002" s="845" t="s">
        <v>2554</v>
      </c>
      <c r="D2002" s="861"/>
      <c r="J2002" s="845" t="s">
        <v>1355</v>
      </c>
    </row>
    <row r="2003" spans="1:10" x14ac:dyDescent="0.2">
      <c r="A2003" s="859">
        <f t="shared" si="31"/>
        <v>2002</v>
      </c>
      <c r="B2003" s="845" t="s">
        <v>2554</v>
      </c>
      <c r="D2003" s="862"/>
      <c r="I2003" s="845" t="s">
        <v>1009</v>
      </c>
    </row>
    <row r="2004" spans="1:10" x14ac:dyDescent="0.2">
      <c r="A2004" s="859">
        <f t="shared" si="31"/>
        <v>2003</v>
      </c>
      <c r="B2004" s="845" t="s">
        <v>2554</v>
      </c>
      <c r="D2004" s="863"/>
      <c r="I2004" s="845" t="str">
        <f>CONCATENATE("&lt;valeur&gt;",Cellule_11178,"&lt;/valeur&gt;")</f>
        <v>&lt;valeur&gt;0&lt;/valeur&gt;</v>
      </c>
    </row>
    <row r="2005" spans="1:10" x14ac:dyDescent="0.2">
      <c r="A2005" s="859">
        <f t="shared" si="31"/>
        <v>2004</v>
      </c>
      <c r="B2005" s="845" t="s">
        <v>2554</v>
      </c>
      <c r="D2005" s="862"/>
      <c r="H2005" s="845" t="s">
        <v>1010</v>
      </c>
    </row>
    <row r="2006" spans="1:10" x14ac:dyDescent="0.2">
      <c r="A2006" s="859">
        <f t="shared" si="31"/>
        <v>2005</v>
      </c>
      <c r="B2006" s="845" t="s">
        <v>2554</v>
      </c>
      <c r="D2006" s="862"/>
      <c r="H2006" s="845" t="s">
        <v>1007</v>
      </c>
    </row>
    <row r="2007" spans="1:10" x14ac:dyDescent="0.2">
      <c r="A2007" s="859">
        <f t="shared" si="31"/>
        <v>2006</v>
      </c>
      <c r="B2007" s="845" t="s">
        <v>2554</v>
      </c>
      <c r="D2007" s="861"/>
      <c r="I2007" s="845" t="s">
        <v>1008</v>
      </c>
    </row>
    <row r="2008" spans="1:10" x14ac:dyDescent="0.2">
      <c r="A2008" s="859">
        <f t="shared" si="31"/>
        <v>2007</v>
      </c>
      <c r="B2008" s="845" t="s">
        <v>2554</v>
      </c>
      <c r="D2008" s="861"/>
      <c r="J2008" s="845" t="s">
        <v>1356</v>
      </c>
    </row>
    <row r="2009" spans="1:10" x14ac:dyDescent="0.2">
      <c r="A2009" s="859">
        <f t="shared" si="31"/>
        <v>2008</v>
      </c>
      <c r="B2009" s="845" t="s">
        <v>2554</v>
      </c>
      <c r="D2009" s="862"/>
      <c r="I2009" s="845" t="s">
        <v>1009</v>
      </c>
    </row>
    <row r="2010" spans="1:10" x14ac:dyDescent="0.2">
      <c r="A2010" s="859">
        <f t="shared" si="31"/>
        <v>2009</v>
      </c>
      <c r="B2010" s="845" t="s">
        <v>2554</v>
      </c>
      <c r="D2010" s="863"/>
      <c r="I2010" s="845" t="str">
        <f>CONCATENATE("&lt;valeur&gt;",Cellule_11183,"&lt;/valeur&gt;")</f>
        <v>&lt;valeur&gt;0&lt;/valeur&gt;</v>
      </c>
    </row>
    <row r="2011" spans="1:10" x14ac:dyDescent="0.2">
      <c r="A2011" s="859">
        <f t="shared" si="31"/>
        <v>2010</v>
      </c>
      <c r="B2011" s="845" t="s">
        <v>2554</v>
      </c>
      <c r="D2011" s="862"/>
      <c r="H2011" s="845" t="s">
        <v>1010</v>
      </c>
    </row>
    <row r="2012" spans="1:10" x14ac:dyDescent="0.2">
      <c r="A2012" s="859">
        <f t="shared" si="31"/>
        <v>2011</v>
      </c>
      <c r="B2012" s="845" t="s">
        <v>2554</v>
      </c>
      <c r="D2012" s="862"/>
      <c r="H2012" s="845" t="s">
        <v>1007</v>
      </c>
    </row>
    <row r="2013" spans="1:10" x14ac:dyDescent="0.2">
      <c r="A2013" s="859">
        <f t="shared" si="31"/>
        <v>2012</v>
      </c>
      <c r="B2013" s="845" t="s">
        <v>2554</v>
      </c>
      <c r="D2013" s="861"/>
      <c r="I2013" s="845" t="s">
        <v>1008</v>
      </c>
    </row>
    <row r="2014" spans="1:10" x14ac:dyDescent="0.2">
      <c r="A2014" s="859">
        <f t="shared" si="31"/>
        <v>2013</v>
      </c>
      <c r="B2014" s="845" t="s">
        <v>2554</v>
      </c>
      <c r="D2014" s="861"/>
      <c r="J2014" s="845" t="s">
        <v>1357</v>
      </c>
    </row>
    <row r="2015" spans="1:10" x14ac:dyDescent="0.2">
      <c r="A2015" s="859">
        <f t="shared" si="31"/>
        <v>2014</v>
      </c>
      <c r="B2015" s="845" t="s">
        <v>2554</v>
      </c>
      <c r="D2015" s="862"/>
      <c r="I2015" s="845" t="s">
        <v>1009</v>
      </c>
    </row>
    <row r="2016" spans="1:10" x14ac:dyDescent="0.2">
      <c r="A2016" s="859">
        <f t="shared" si="31"/>
        <v>2015</v>
      </c>
      <c r="B2016" s="845" t="s">
        <v>2554</v>
      </c>
      <c r="D2016" s="863"/>
      <c r="I2016" s="845" t="str">
        <f>CONCATENATE("&lt;valeur&gt;",Cellule_11188,"&lt;/valeur&gt;")</f>
        <v>&lt;valeur&gt;0&lt;/valeur&gt;</v>
      </c>
    </row>
    <row r="2017" spans="1:10" x14ac:dyDescent="0.2">
      <c r="A2017" s="859">
        <f t="shared" si="31"/>
        <v>2016</v>
      </c>
      <c r="B2017" s="845" t="s">
        <v>2554</v>
      </c>
      <c r="D2017" s="862"/>
      <c r="H2017" s="845" t="s">
        <v>1010</v>
      </c>
    </row>
    <row r="2018" spans="1:10" x14ac:dyDescent="0.2">
      <c r="A2018" s="859">
        <f t="shared" si="31"/>
        <v>2017</v>
      </c>
      <c r="B2018" s="845" t="s">
        <v>2554</v>
      </c>
      <c r="D2018" s="862"/>
      <c r="H2018" s="845" t="s">
        <v>1007</v>
      </c>
    </row>
    <row r="2019" spans="1:10" x14ac:dyDescent="0.2">
      <c r="A2019" s="859">
        <f t="shared" si="31"/>
        <v>2018</v>
      </c>
      <c r="B2019" s="845" t="s">
        <v>2554</v>
      </c>
      <c r="D2019" s="861"/>
      <c r="I2019" s="845" t="s">
        <v>1008</v>
      </c>
    </row>
    <row r="2020" spans="1:10" x14ac:dyDescent="0.2">
      <c r="A2020" s="859">
        <f t="shared" si="31"/>
        <v>2019</v>
      </c>
      <c r="B2020" s="845" t="s">
        <v>2554</v>
      </c>
      <c r="D2020" s="861"/>
      <c r="J2020" s="845" t="s">
        <v>1358</v>
      </c>
    </row>
    <row r="2021" spans="1:10" x14ac:dyDescent="0.2">
      <c r="A2021" s="859">
        <f t="shared" si="31"/>
        <v>2020</v>
      </c>
      <c r="B2021" s="845" t="s">
        <v>2554</v>
      </c>
      <c r="D2021" s="862"/>
      <c r="I2021" s="845" t="s">
        <v>1009</v>
      </c>
    </row>
    <row r="2022" spans="1:10" x14ac:dyDescent="0.2">
      <c r="A2022" s="859">
        <f t="shared" si="31"/>
        <v>2021</v>
      </c>
      <c r="B2022" s="845" t="s">
        <v>2554</v>
      </c>
      <c r="D2022" s="863"/>
      <c r="I2022" s="845" t="str">
        <f>CONCATENATE("&lt;valeur&gt;",Cellule_11193,"&lt;/valeur&gt;")</f>
        <v>&lt;valeur&gt;0&lt;/valeur&gt;</v>
      </c>
    </row>
    <row r="2023" spans="1:10" x14ac:dyDescent="0.2">
      <c r="A2023" s="859">
        <f t="shared" si="31"/>
        <v>2022</v>
      </c>
      <c r="B2023" s="845" t="s">
        <v>2554</v>
      </c>
      <c r="D2023" s="862"/>
      <c r="H2023" s="845" t="s">
        <v>1010</v>
      </c>
    </row>
    <row r="2024" spans="1:10" x14ac:dyDescent="0.2">
      <c r="A2024" s="859">
        <f t="shared" si="31"/>
        <v>2023</v>
      </c>
      <c r="B2024" s="845" t="s">
        <v>2554</v>
      </c>
      <c r="D2024" s="862"/>
      <c r="H2024" s="845" t="s">
        <v>1007</v>
      </c>
    </row>
    <row r="2025" spans="1:10" x14ac:dyDescent="0.2">
      <c r="A2025" s="859">
        <f t="shared" si="31"/>
        <v>2024</v>
      </c>
      <c r="B2025" s="845" t="s">
        <v>2554</v>
      </c>
      <c r="D2025" s="861"/>
      <c r="I2025" s="845" t="s">
        <v>1008</v>
      </c>
    </row>
    <row r="2026" spans="1:10" x14ac:dyDescent="0.2">
      <c r="A2026" s="859">
        <f t="shared" si="31"/>
        <v>2025</v>
      </c>
      <c r="B2026" s="845" t="s">
        <v>2554</v>
      </c>
      <c r="D2026" s="861"/>
      <c r="J2026" s="845" t="s">
        <v>1359</v>
      </c>
    </row>
    <row r="2027" spans="1:10" x14ac:dyDescent="0.2">
      <c r="A2027" s="859">
        <f t="shared" si="31"/>
        <v>2026</v>
      </c>
      <c r="B2027" s="845" t="s">
        <v>2554</v>
      </c>
      <c r="D2027" s="862"/>
      <c r="I2027" s="845" t="s">
        <v>1009</v>
      </c>
    </row>
    <row r="2028" spans="1:10" x14ac:dyDescent="0.2">
      <c r="A2028" s="859">
        <f t="shared" si="31"/>
        <v>2027</v>
      </c>
      <c r="B2028" s="845" t="s">
        <v>2554</v>
      </c>
      <c r="D2028" s="863"/>
      <c r="I2028" s="845" t="str">
        <f>CONCATENATE("&lt;valeur&gt;",Cellule_11198,"&lt;/valeur&gt;")</f>
        <v>&lt;valeur&gt;0&lt;/valeur&gt;</v>
      </c>
    </row>
    <row r="2029" spans="1:10" x14ac:dyDescent="0.2">
      <c r="A2029" s="859">
        <f t="shared" si="31"/>
        <v>2028</v>
      </c>
      <c r="B2029" s="845" t="s">
        <v>2554</v>
      </c>
      <c r="D2029" s="862"/>
      <c r="H2029" s="845" t="s">
        <v>1010</v>
      </c>
    </row>
    <row r="2030" spans="1:10" x14ac:dyDescent="0.2">
      <c r="A2030" s="859">
        <f t="shared" si="31"/>
        <v>2029</v>
      </c>
      <c r="B2030" s="845" t="s">
        <v>2554</v>
      </c>
      <c r="D2030" s="862"/>
      <c r="H2030" s="845" t="s">
        <v>1007</v>
      </c>
    </row>
    <row r="2031" spans="1:10" x14ac:dyDescent="0.2">
      <c r="A2031" s="859">
        <f t="shared" si="31"/>
        <v>2030</v>
      </c>
      <c r="B2031" s="845" t="s">
        <v>2554</v>
      </c>
      <c r="D2031" s="861"/>
      <c r="I2031" s="845" t="s">
        <v>1008</v>
      </c>
    </row>
    <row r="2032" spans="1:10" x14ac:dyDescent="0.2">
      <c r="A2032" s="859">
        <f t="shared" si="31"/>
        <v>2031</v>
      </c>
      <c r="B2032" s="845" t="s">
        <v>2554</v>
      </c>
      <c r="D2032" s="861"/>
      <c r="J2032" s="845" t="s">
        <v>1360</v>
      </c>
    </row>
    <row r="2033" spans="1:10" x14ac:dyDescent="0.2">
      <c r="A2033" s="859">
        <f t="shared" si="31"/>
        <v>2032</v>
      </c>
      <c r="B2033" s="845" t="s">
        <v>2554</v>
      </c>
      <c r="D2033" s="862"/>
      <c r="I2033" s="845" t="s">
        <v>1009</v>
      </c>
    </row>
    <row r="2034" spans="1:10" x14ac:dyDescent="0.2">
      <c r="A2034" s="859">
        <f t="shared" si="31"/>
        <v>2033</v>
      </c>
      <c r="B2034" s="845" t="s">
        <v>2554</v>
      </c>
      <c r="D2034" s="863"/>
      <c r="I2034" s="845" t="str">
        <f>CONCATENATE("&lt;valeur&gt;",Cellule_11268,"&lt;/valeur&gt;")</f>
        <v>&lt;valeur&gt;0&lt;/valeur&gt;</v>
      </c>
    </row>
    <row r="2035" spans="1:10" x14ac:dyDescent="0.2">
      <c r="A2035" s="859">
        <f t="shared" si="31"/>
        <v>2034</v>
      </c>
      <c r="B2035" s="845" t="s">
        <v>2554</v>
      </c>
      <c r="D2035" s="862"/>
      <c r="H2035" s="845" t="s">
        <v>1010</v>
      </c>
    </row>
    <row r="2036" spans="1:10" x14ac:dyDescent="0.2">
      <c r="A2036" s="859">
        <f t="shared" si="31"/>
        <v>2035</v>
      </c>
      <c r="B2036" s="845" t="s">
        <v>2554</v>
      </c>
      <c r="D2036" s="862"/>
      <c r="H2036" s="845" t="s">
        <v>1007</v>
      </c>
    </row>
    <row r="2037" spans="1:10" x14ac:dyDescent="0.2">
      <c r="A2037" s="859">
        <f t="shared" si="31"/>
        <v>2036</v>
      </c>
      <c r="B2037" s="845" t="s">
        <v>2554</v>
      </c>
      <c r="D2037" s="861"/>
      <c r="I2037" s="845" t="s">
        <v>1008</v>
      </c>
    </row>
    <row r="2038" spans="1:10" x14ac:dyDescent="0.2">
      <c r="A2038" s="859">
        <f t="shared" si="31"/>
        <v>2037</v>
      </c>
      <c r="B2038" s="845" t="s">
        <v>2554</v>
      </c>
      <c r="D2038" s="861"/>
      <c r="J2038" s="845" t="s">
        <v>1361</v>
      </c>
    </row>
    <row r="2039" spans="1:10" x14ac:dyDescent="0.2">
      <c r="A2039" s="859">
        <f t="shared" si="31"/>
        <v>2038</v>
      </c>
      <c r="B2039" s="845" t="s">
        <v>2554</v>
      </c>
      <c r="D2039" s="862"/>
      <c r="I2039" s="845" t="s">
        <v>1009</v>
      </c>
    </row>
    <row r="2040" spans="1:10" x14ac:dyDescent="0.2">
      <c r="A2040" s="859">
        <f t="shared" si="31"/>
        <v>2039</v>
      </c>
      <c r="B2040" s="845" t="s">
        <v>2554</v>
      </c>
      <c r="D2040" s="863"/>
      <c r="I2040" s="845" t="str">
        <f>CONCATENATE("&lt;valeur&gt;",Cellule_11238,"&lt;/valeur&gt;")</f>
        <v>&lt;valeur&gt;0&lt;/valeur&gt;</v>
      </c>
    </row>
    <row r="2041" spans="1:10" x14ac:dyDescent="0.2">
      <c r="A2041" s="859">
        <f t="shared" si="31"/>
        <v>2040</v>
      </c>
      <c r="B2041" s="845" t="s">
        <v>2554</v>
      </c>
      <c r="D2041" s="862"/>
      <c r="H2041" s="845" t="s">
        <v>1010</v>
      </c>
    </row>
    <row r="2042" spans="1:10" x14ac:dyDescent="0.2">
      <c r="A2042" s="859">
        <f t="shared" si="31"/>
        <v>2041</v>
      </c>
      <c r="B2042" s="845" t="s">
        <v>2554</v>
      </c>
      <c r="D2042" s="862"/>
      <c r="H2042" s="845" t="s">
        <v>1007</v>
      </c>
    </row>
    <row r="2043" spans="1:10" x14ac:dyDescent="0.2">
      <c r="A2043" s="859">
        <f t="shared" si="31"/>
        <v>2042</v>
      </c>
      <c r="B2043" s="845" t="s">
        <v>2554</v>
      </c>
      <c r="D2043" s="861"/>
      <c r="I2043" s="845" t="s">
        <v>1008</v>
      </c>
    </row>
    <row r="2044" spans="1:10" x14ac:dyDescent="0.2">
      <c r="A2044" s="859">
        <f t="shared" si="31"/>
        <v>2043</v>
      </c>
      <c r="B2044" s="845" t="s">
        <v>2554</v>
      </c>
      <c r="D2044" s="861"/>
      <c r="J2044" s="845" t="s">
        <v>1362</v>
      </c>
    </row>
    <row r="2045" spans="1:10" x14ac:dyDescent="0.2">
      <c r="A2045" s="859">
        <f t="shared" si="31"/>
        <v>2044</v>
      </c>
      <c r="B2045" s="845" t="s">
        <v>2554</v>
      </c>
      <c r="D2045" s="862"/>
      <c r="I2045" s="845" t="s">
        <v>1009</v>
      </c>
    </row>
    <row r="2046" spans="1:10" x14ac:dyDescent="0.2">
      <c r="A2046" s="859">
        <f t="shared" si="31"/>
        <v>2045</v>
      </c>
      <c r="B2046" s="845" t="s">
        <v>2554</v>
      </c>
      <c r="D2046" s="863"/>
      <c r="I2046" s="845" t="str">
        <f>CONCATENATE("&lt;valeur&gt;",Cellule_11243,"&lt;/valeur&gt;")</f>
        <v>&lt;valeur&gt;0&lt;/valeur&gt;</v>
      </c>
    </row>
    <row r="2047" spans="1:10" x14ac:dyDescent="0.2">
      <c r="A2047" s="859">
        <f t="shared" si="31"/>
        <v>2046</v>
      </c>
      <c r="B2047" s="845" t="s">
        <v>2554</v>
      </c>
      <c r="D2047" s="862"/>
      <c r="H2047" s="845" t="s">
        <v>1010</v>
      </c>
    </row>
    <row r="2048" spans="1:10" x14ac:dyDescent="0.2">
      <c r="A2048" s="859">
        <f t="shared" si="31"/>
        <v>2047</v>
      </c>
      <c r="B2048" s="845" t="s">
        <v>2554</v>
      </c>
      <c r="D2048" s="862"/>
      <c r="H2048" s="845" t="s">
        <v>1007</v>
      </c>
    </row>
    <row r="2049" spans="1:10" x14ac:dyDescent="0.2">
      <c r="A2049" s="859">
        <f t="shared" si="31"/>
        <v>2048</v>
      </c>
      <c r="B2049" s="845" t="s">
        <v>2554</v>
      </c>
      <c r="D2049" s="861"/>
      <c r="I2049" s="845" t="s">
        <v>1008</v>
      </c>
    </row>
    <row r="2050" spans="1:10" x14ac:dyDescent="0.2">
      <c r="A2050" s="859">
        <f t="shared" si="31"/>
        <v>2049</v>
      </c>
      <c r="B2050" s="845" t="s">
        <v>2554</v>
      </c>
      <c r="D2050" s="861"/>
      <c r="J2050" s="845" t="s">
        <v>1363</v>
      </c>
    </row>
    <row r="2051" spans="1:10" x14ac:dyDescent="0.2">
      <c r="A2051" s="859">
        <f t="shared" si="31"/>
        <v>2050</v>
      </c>
      <c r="B2051" s="845" t="s">
        <v>2554</v>
      </c>
      <c r="D2051" s="862"/>
      <c r="I2051" s="845" t="s">
        <v>1009</v>
      </c>
    </row>
    <row r="2052" spans="1:10" x14ac:dyDescent="0.2">
      <c r="A2052" s="859">
        <f t="shared" ref="A2052:A2115" si="32">+A2051+1</f>
        <v>2051</v>
      </c>
      <c r="B2052" s="845" t="s">
        <v>2554</v>
      </c>
      <c r="D2052" s="863"/>
      <c r="I2052" s="845" t="str">
        <f>CONCATENATE("&lt;valeur&gt;",Cellule_11248,"&lt;/valeur&gt;")</f>
        <v>&lt;valeur&gt;0&lt;/valeur&gt;</v>
      </c>
    </row>
    <row r="2053" spans="1:10" x14ac:dyDescent="0.2">
      <c r="A2053" s="859">
        <f t="shared" si="32"/>
        <v>2052</v>
      </c>
      <c r="B2053" s="845" t="s">
        <v>2554</v>
      </c>
      <c r="D2053" s="862"/>
      <c r="H2053" s="845" t="s">
        <v>1010</v>
      </c>
    </row>
    <row r="2054" spans="1:10" x14ac:dyDescent="0.2">
      <c r="A2054" s="859">
        <f t="shared" si="32"/>
        <v>2053</v>
      </c>
      <c r="B2054" s="845" t="s">
        <v>2554</v>
      </c>
      <c r="D2054" s="862"/>
      <c r="H2054" s="845" t="s">
        <v>1007</v>
      </c>
    </row>
    <row r="2055" spans="1:10" x14ac:dyDescent="0.2">
      <c r="A2055" s="859">
        <f t="shared" si="32"/>
        <v>2054</v>
      </c>
      <c r="B2055" s="845" t="s">
        <v>2554</v>
      </c>
      <c r="D2055" s="861"/>
      <c r="I2055" s="845" t="s">
        <v>1008</v>
      </c>
    </row>
    <row r="2056" spans="1:10" x14ac:dyDescent="0.2">
      <c r="A2056" s="859">
        <f t="shared" si="32"/>
        <v>2055</v>
      </c>
      <c r="B2056" s="845" t="s">
        <v>2554</v>
      </c>
      <c r="D2056" s="861"/>
      <c r="J2056" s="845" t="s">
        <v>1364</v>
      </c>
    </row>
    <row r="2057" spans="1:10" x14ac:dyDescent="0.2">
      <c r="A2057" s="859">
        <f t="shared" si="32"/>
        <v>2056</v>
      </c>
      <c r="B2057" s="845" t="s">
        <v>2554</v>
      </c>
      <c r="D2057" s="862"/>
      <c r="I2057" s="845" t="s">
        <v>1009</v>
      </c>
    </row>
    <row r="2058" spans="1:10" x14ac:dyDescent="0.2">
      <c r="A2058" s="859">
        <f t="shared" si="32"/>
        <v>2057</v>
      </c>
      <c r="B2058" s="845" t="s">
        <v>2554</v>
      </c>
      <c r="D2058" s="863"/>
      <c r="I2058" s="845" t="str">
        <f>CONCATENATE("&lt;valeur&gt;",Cellule_11253,"&lt;/valeur&gt;")</f>
        <v>&lt;valeur&gt;0&lt;/valeur&gt;</v>
      </c>
    </row>
    <row r="2059" spans="1:10" x14ac:dyDescent="0.2">
      <c r="A2059" s="859">
        <f t="shared" si="32"/>
        <v>2058</v>
      </c>
      <c r="B2059" s="845" t="s">
        <v>2554</v>
      </c>
      <c r="D2059" s="862"/>
      <c r="H2059" s="845" t="s">
        <v>1010</v>
      </c>
    </row>
    <row r="2060" spans="1:10" x14ac:dyDescent="0.2">
      <c r="A2060" s="859">
        <f t="shared" si="32"/>
        <v>2059</v>
      </c>
      <c r="B2060" s="845" t="s">
        <v>2554</v>
      </c>
      <c r="D2060" s="862"/>
      <c r="H2060" s="845" t="s">
        <v>1007</v>
      </c>
    </row>
    <row r="2061" spans="1:10" x14ac:dyDescent="0.2">
      <c r="A2061" s="859">
        <f t="shared" si="32"/>
        <v>2060</v>
      </c>
      <c r="B2061" s="845" t="s">
        <v>2554</v>
      </c>
      <c r="D2061" s="861"/>
      <c r="I2061" s="845" t="s">
        <v>1008</v>
      </c>
    </row>
    <row r="2062" spans="1:10" x14ac:dyDescent="0.2">
      <c r="A2062" s="859">
        <f t="shared" si="32"/>
        <v>2061</v>
      </c>
      <c r="B2062" s="845" t="s">
        <v>2554</v>
      </c>
      <c r="D2062" s="861"/>
      <c r="J2062" s="845" t="s">
        <v>1365</v>
      </c>
    </row>
    <row r="2063" spans="1:10" x14ac:dyDescent="0.2">
      <c r="A2063" s="859">
        <f t="shared" si="32"/>
        <v>2062</v>
      </c>
      <c r="B2063" s="845" t="s">
        <v>2554</v>
      </c>
      <c r="D2063" s="862"/>
      <c r="I2063" s="845" t="s">
        <v>1009</v>
      </c>
    </row>
    <row r="2064" spans="1:10" x14ac:dyDescent="0.2">
      <c r="A2064" s="859">
        <f t="shared" si="32"/>
        <v>2063</v>
      </c>
      <c r="B2064" s="845" t="s">
        <v>2554</v>
      </c>
      <c r="D2064" s="863"/>
      <c r="I2064" s="845" t="str">
        <f>CONCATENATE("&lt;valeur&gt;",Cellule_11258,"&lt;/valeur&gt;")</f>
        <v>&lt;valeur&gt;0&lt;/valeur&gt;</v>
      </c>
    </row>
    <row r="2065" spans="1:10" x14ac:dyDescent="0.2">
      <c r="A2065" s="859">
        <f t="shared" si="32"/>
        <v>2064</v>
      </c>
      <c r="B2065" s="845" t="s">
        <v>2554</v>
      </c>
      <c r="D2065" s="862"/>
      <c r="H2065" s="845" t="s">
        <v>1010</v>
      </c>
    </row>
    <row r="2066" spans="1:10" x14ac:dyDescent="0.2">
      <c r="A2066" s="859">
        <f t="shared" si="32"/>
        <v>2065</v>
      </c>
      <c r="B2066" s="845" t="s">
        <v>2554</v>
      </c>
      <c r="D2066" s="862"/>
      <c r="H2066" s="845" t="s">
        <v>1007</v>
      </c>
    </row>
    <row r="2067" spans="1:10" x14ac:dyDescent="0.2">
      <c r="A2067" s="859">
        <f t="shared" si="32"/>
        <v>2066</v>
      </c>
      <c r="B2067" s="845" t="s">
        <v>2554</v>
      </c>
      <c r="D2067" s="861"/>
      <c r="I2067" s="845" t="s">
        <v>1008</v>
      </c>
    </row>
    <row r="2068" spans="1:10" x14ac:dyDescent="0.2">
      <c r="A2068" s="859">
        <f t="shared" si="32"/>
        <v>2067</v>
      </c>
      <c r="B2068" s="845" t="s">
        <v>2554</v>
      </c>
      <c r="D2068" s="861"/>
      <c r="J2068" s="845" t="s">
        <v>1366</v>
      </c>
    </row>
    <row r="2069" spans="1:10" x14ac:dyDescent="0.2">
      <c r="A2069" s="859">
        <f t="shared" si="32"/>
        <v>2068</v>
      </c>
      <c r="B2069" s="845" t="s">
        <v>2554</v>
      </c>
      <c r="D2069" s="862"/>
      <c r="I2069" s="845" t="s">
        <v>1009</v>
      </c>
    </row>
    <row r="2070" spans="1:10" x14ac:dyDescent="0.2">
      <c r="A2070" s="859">
        <f t="shared" si="32"/>
        <v>2069</v>
      </c>
      <c r="B2070" s="845" t="s">
        <v>2554</v>
      </c>
      <c r="D2070" s="863"/>
      <c r="I2070" s="845" t="str">
        <f>CONCATENATE("&lt;valeur&gt;",Cellule_11263,"&lt;/valeur&gt;")</f>
        <v>&lt;valeur&gt;0&lt;/valeur&gt;</v>
      </c>
    </row>
    <row r="2071" spans="1:10" x14ac:dyDescent="0.2">
      <c r="A2071" s="859">
        <f t="shared" si="32"/>
        <v>2070</v>
      </c>
      <c r="B2071" s="845" t="s">
        <v>2554</v>
      </c>
      <c r="D2071" s="862"/>
      <c r="H2071" s="845" t="s">
        <v>1010</v>
      </c>
    </row>
    <row r="2072" spans="1:10" x14ac:dyDescent="0.2">
      <c r="A2072" s="859">
        <f t="shared" si="32"/>
        <v>2071</v>
      </c>
      <c r="B2072" s="845" t="s">
        <v>2554</v>
      </c>
      <c r="D2072" s="862"/>
      <c r="H2072" s="845" t="s">
        <v>1007</v>
      </c>
    </row>
    <row r="2073" spans="1:10" x14ac:dyDescent="0.2">
      <c r="A2073" s="859">
        <f t="shared" si="32"/>
        <v>2072</v>
      </c>
      <c r="B2073" s="845" t="s">
        <v>2554</v>
      </c>
      <c r="D2073" s="861"/>
      <c r="I2073" s="845" t="s">
        <v>1008</v>
      </c>
    </row>
    <row r="2074" spans="1:10" x14ac:dyDescent="0.2">
      <c r="A2074" s="859">
        <f t="shared" si="32"/>
        <v>2073</v>
      </c>
      <c r="B2074" s="845" t="s">
        <v>2554</v>
      </c>
      <c r="D2074" s="861"/>
      <c r="J2074" s="845" t="s">
        <v>1367</v>
      </c>
    </row>
    <row r="2075" spans="1:10" x14ac:dyDescent="0.2">
      <c r="A2075" s="859">
        <f t="shared" si="32"/>
        <v>2074</v>
      </c>
      <c r="B2075" s="845" t="s">
        <v>2554</v>
      </c>
      <c r="D2075" s="862"/>
      <c r="I2075" s="845" t="s">
        <v>1009</v>
      </c>
    </row>
    <row r="2076" spans="1:10" x14ac:dyDescent="0.2">
      <c r="A2076" s="859">
        <f t="shared" si="32"/>
        <v>2075</v>
      </c>
      <c r="B2076" s="845" t="s">
        <v>2554</v>
      </c>
      <c r="D2076" s="863"/>
      <c r="I2076" s="845" t="str">
        <f>CONCATENATE("&lt;valeur&gt;",Cellule_11204,"&lt;/valeur&gt;")</f>
        <v>&lt;valeur&gt;0&lt;/valeur&gt;</v>
      </c>
    </row>
    <row r="2077" spans="1:10" x14ac:dyDescent="0.2">
      <c r="A2077" s="859">
        <f t="shared" si="32"/>
        <v>2076</v>
      </c>
      <c r="B2077" s="845" t="s">
        <v>2554</v>
      </c>
      <c r="D2077" s="862"/>
      <c r="H2077" s="845" t="s">
        <v>1010</v>
      </c>
    </row>
    <row r="2078" spans="1:10" x14ac:dyDescent="0.2">
      <c r="A2078" s="859">
        <f t="shared" si="32"/>
        <v>2077</v>
      </c>
      <c r="B2078" s="845" t="s">
        <v>2554</v>
      </c>
      <c r="D2078" s="862"/>
      <c r="H2078" s="845" t="s">
        <v>1007</v>
      </c>
    </row>
    <row r="2079" spans="1:10" x14ac:dyDescent="0.2">
      <c r="A2079" s="859">
        <f t="shared" si="32"/>
        <v>2078</v>
      </c>
      <c r="B2079" s="845" t="s">
        <v>2554</v>
      </c>
      <c r="D2079" s="861"/>
      <c r="I2079" s="845" t="s">
        <v>1008</v>
      </c>
    </row>
    <row r="2080" spans="1:10" x14ac:dyDescent="0.2">
      <c r="A2080" s="859">
        <f t="shared" si="32"/>
        <v>2079</v>
      </c>
      <c r="B2080" s="845" t="s">
        <v>2554</v>
      </c>
      <c r="D2080" s="861"/>
      <c r="J2080" s="845" t="s">
        <v>1368</v>
      </c>
    </row>
    <row r="2081" spans="1:10" x14ac:dyDescent="0.2">
      <c r="A2081" s="859">
        <f t="shared" si="32"/>
        <v>2080</v>
      </c>
      <c r="B2081" s="845" t="s">
        <v>2554</v>
      </c>
      <c r="D2081" s="862"/>
      <c r="I2081" s="845" t="s">
        <v>1009</v>
      </c>
    </row>
    <row r="2082" spans="1:10" x14ac:dyDescent="0.2">
      <c r="A2082" s="859">
        <f t="shared" si="32"/>
        <v>2081</v>
      </c>
      <c r="B2082" s="845" t="s">
        <v>2554</v>
      </c>
      <c r="D2082" s="863"/>
      <c r="I2082" s="845" t="str">
        <f>CONCATENATE("&lt;valeur&gt;",Cellule_11209,"&lt;/valeur&gt;")</f>
        <v>&lt;valeur&gt;0&lt;/valeur&gt;</v>
      </c>
    </row>
    <row r="2083" spans="1:10" x14ac:dyDescent="0.2">
      <c r="A2083" s="859">
        <f t="shared" si="32"/>
        <v>2082</v>
      </c>
      <c r="B2083" s="845" t="s">
        <v>2554</v>
      </c>
      <c r="D2083" s="862"/>
      <c r="H2083" s="845" t="s">
        <v>1010</v>
      </c>
    </row>
    <row r="2084" spans="1:10" x14ac:dyDescent="0.2">
      <c r="A2084" s="859">
        <f t="shared" si="32"/>
        <v>2083</v>
      </c>
      <c r="B2084" s="845" t="s">
        <v>2554</v>
      </c>
      <c r="D2084" s="862"/>
      <c r="H2084" s="845" t="s">
        <v>1007</v>
      </c>
    </row>
    <row r="2085" spans="1:10" x14ac:dyDescent="0.2">
      <c r="A2085" s="859">
        <f t="shared" si="32"/>
        <v>2084</v>
      </c>
      <c r="B2085" s="845" t="s">
        <v>2554</v>
      </c>
      <c r="D2085" s="861"/>
      <c r="I2085" s="845" t="s">
        <v>1008</v>
      </c>
    </row>
    <row r="2086" spans="1:10" x14ac:dyDescent="0.2">
      <c r="A2086" s="859">
        <f t="shared" si="32"/>
        <v>2085</v>
      </c>
      <c r="B2086" s="845" t="s">
        <v>2554</v>
      </c>
      <c r="D2086" s="861"/>
      <c r="J2086" s="845" t="s">
        <v>1369</v>
      </c>
    </row>
    <row r="2087" spans="1:10" x14ac:dyDescent="0.2">
      <c r="A2087" s="859">
        <f t="shared" si="32"/>
        <v>2086</v>
      </c>
      <c r="B2087" s="845" t="s">
        <v>2554</v>
      </c>
      <c r="D2087" s="862"/>
      <c r="I2087" s="845" t="s">
        <v>1009</v>
      </c>
    </row>
    <row r="2088" spans="1:10" x14ac:dyDescent="0.2">
      <c r="A2088" s="859">
        <f t="shared" si="32"/>
        <v>2087</v>
      </c>
      <c r="B2088" s="845" t="s">
        <v>2554</v>
      </c>
      <c r="D2088" s="863"/>
      <c r="I2088" s="845" t="str">
        <f>CONCATENATE("&lt;valeur&gt;",Cellule_11214,"&lt;/valeur&gt;")</f>
        <v>&lt;valeur&gt;0&lt;/valeur&gt;</v>
      </c>
    </row>
    <row r="2089" spans="1:10" x14ac:dyDescent="0.2">
      <c r="A2089" s="859">
        <f t="shared" si="32"/>
        <v>2088</v>
      </c>
      <c r="B2089" s="845" t="s">
        <v>2554</v>
      </c>
      <c r="D2089" s="862"/>
      <c r="H2089" s="845" t="s">
        <v>1010</v>
      </c>
    </row>
    <row r="2090" spans="1:10" x14ac:dyDescent="0.2">
      <c r="A2090" s="859">
        <f t="shared" si="32"/>
        <v>2089</v>
      </c>
      <c r="B2090" s="845" t="s">
        <v>2554</v>
      </c>
      <c r="D2090" s="862"/>
      <c r="H2090" s="845" t="s">
        <v>1007</v>
      </c>
    </row>
    <row r="2091" spans="1:10" x14ac:dyDescent="0.2">
      <c r="A2091" s="859">
        <f t="shared" si="32"/>
        <v>2090</v>
      </c>
      <c r="B2091" s="845" t="s">
        <v>2554</v>
      </c>
      <c r="D2091" s="861"/>
      <c r="I2091" s="845" t="s">
        <v>1008</v>
      </c>
    </row>
    <row r="2092" spans="1:10" x14ac:dyDescent="0.2">
      <c r="A2092" s="859">
        <f t="shared" si="32"/>
        <v>2091</v>
      </c>
      <c r="B2092" s="845" t="s">
        <v>2554</v>
      </c>
      <c r="D2092" s="861"/>
      <c r="J2092" s="845" t="s">
        <v>1370</v>
      </c>
    </row>
    <row r="2093" spans="1:10" x14ac:dyDescent="0.2">
      <c r="A2093" s="859">
        <f t="shared" si="32"/>
        <v>2092</v>
      </c>
      <c r="B2093" s="845" t="s">
        <v>2554</v>
      </c>
      <c r="D2093" s="862"/>
      <c r="I2093" s="845" t="s">
        <v>1009</v>
      </c>
    </row>
    <row r="2094" spans="1:10" x14ac:dyDescent="0.2">
      <c r="A2094" s="859">
        <f t="shared" si="32"/>
        <v>2093</v>
      </c>
      <c r="B2094" s="845" t="s">
        <v>2554</v>
      </c>
      <c r="D2094" s="863"/>
      <c r="I2094" s="845" t="str">
        <f>CONCATENATE("&lt;valeur&gt;",Cellule_11219,"&lt;/valeur&gt;")</f>
        <v>&lt;valeur&gt;0&lt;/valeur&gt;</v>
      </c>
    </row>
    <row r="2095" spans="1:10" x14ac:dyDescent="0.2">
      <c r="A2095" s="859">
        <f t="shared" si="32"/>
        <v>2094</v>
      </c>
      <c r="B2095" s="845" t="s">
        <v>2554</v>
      </c>
      <c r="D2095" s="862"/>
      <c r="H2095" s="845" t="s">
        <v>1010</v>
      </c>
    </row>
    <row r="2096" spans="1:10" x14ac:dyDescent="0.2">
      <c r="A2096" s="859">
        <f t="shared" si="32"/>
        <v>2095</v>
      </c>
      <c r="B2096" s="845" t="s">
        <v>2554</v>
      </c>
      <c r="D2096" s="862"/>
      <c r="H2096" s="845" t="s">
        <v>1007</v>
      </c>
    </row>
    <row r="2097" spans="1:10" x14ac:dyDescent="0.2">
      <c r="A2097" s="859">
        <f t="shared" si="32"/>
        <v>2096</v>
      </c>
      <c r="B2097" s="845" t="s">
        <v>2554</v>
      </c>
      <c r="D2097" s="861"/>
      <c r="I2097" s="845" t="s">
        <v>1008</v>
      </c>
    </row>
    <row r="2098" spans="1:10" x14ac:dyDescent="0.2">
      <c r="A2098" s="859">
        <f t="shared" si="32"/>
        <v>2097</v>
      </c>
      <c r="B2098" s="845" t="s">
        <v>2554</v>
      </c>
      <c r="D2098" s="861"/>
      <c r="J2098" s="845" t="s">
        <v>1371</v>
      </c>
    </row>
    <row r="2099" spans="1:10" x14ac:dyDescent="0.2">
      <c r="A2099" s="859">
        <f t="shared" si="32"/>
        <v>2098</v>
      </c>
      <c r="B2099" s="845" t="s">
        <v>2554</v>
      </c>
      <c r="D2099" s="862"/>
      <c r="I2099" s="845" t="s">
        <v>1009</v>
      </c>
    </row>
    <row r="2100" spans="1:10" x14ac:dyDescent="0.2">
      <c r="A2100" s="859">
        <f t="shared" si="32"/>
        <v>2099</v>
      </c>
      <c r="B2100" s="845" t="s">
        <v>2554</v>
      </c>
      <c r="D2100" s="863"/>
      <c r="I2100" s="845" t="str">
        <f>CONCATENATE("&lt;valeur&gt;",Cellule_11224,"&lt;/valeur&gt;")</f>
        <v>&lt;valeur&gt;0&lt;/valeur&gt;</v>
      </c>
    </row>
    <row r="2101" spans="1:10" x14ac:dyDescent="0.2">
      <c r="A2101" s="859">
        <f t="shared" si="32"/>
        <v>2100</v>
      </c>
      <c r="B2101" s="845" t="s">
        <v>2554</v>
      </c>
      <c r="D2101" s="862"/>
      <c r="H2101" s="845" t="s">
        <v>1010</v>
      </c>
    </row>
    <row r="2102" spans="1:10" x14ac:dyDescent="0.2">
      <c r="A2102" s="859">
        <f t="shared" si="32"/>
        <v>2101</v>
      </c>
      <c r="B2102" s="845" t="s">
        <v>2554</v>
      </c>
      <c r="D2102" s="862"/>
      <c r="H2102" s="845" t="s">
        <v>1007</v>
      </c>
    </row>
    <row r="2103" spans="1:10" x14ac:dyDescent="0.2">
      <c r="A2103" s="859">
        <f t="shared" si="32"/>
        <v>2102</v>
      </c>
      <c r="B2103" s="845" t="s">
        <v>2554</v>
      </c>
      <c r="D2103" s="861"/>
      <c r="I2103" s="845" t="s">
        <v>1008</v>
      </c>
    </row>
    <row r="2104" spans="1:10" x14ac:dyDescent="0.2">
      <c r="A2104" s="859">
        <f t="shared" si="32"/>
        <v>2103</v>
      </c>
      <c r="B2104" s="845" t="s">
        <v>2554</v>
      </c>
      <c r="D2104" s="861"/>
      <c r="J2104" s="845" t="s">
        <v>1372</v>
      </c>
    </row>
    <row r="2105" spans="1:10" x14ac:dyDescent="0.2">
      <c r="A2105" s="859">
        <f t="shared" si="32"/>
        <v>2104</v>
      </c>
      <c r="B2105" s="845" t="s">
        <v>2554</v>
      </c>
      <c r="D2105" s="862"/>
      <c r="I2105" s="845" t="s">
        <v>1009</v>
      </c>
    </row>
    <row r="2106" spans="1:10" x14ac:dyDescent="0.2">
      <c r="A2106" s="859">
        <f t="shared" si="32"/>
        <v>2105</v>
      </c>
      <c r="B2106" s="845" t="s">
        <v>2554</v>
      </c>
      <c r="D2106" s="863"/>
      <c r="I2106" s="845" t="str">
        <f>CONCATENATE("&lt;valeur&gt;",Cellule_11229,"&lt;/valeur&gt;")</f>
        <v>&lt;valeur&gt;0&lt;/valeur&gt;</v>
      </c>
    </row>
    <row r="2107" spans="1:10" x14ac:dyDescent="0.2">
      <c r="A2107" s="859">
        <f t="shared" si="32"/>
        <v>2106</v>
      </c>
      <c r="B2107" s="845" t="s">
        <v>2554</v>
      </c>
      <c r="D2107" s="862"/>
      <c r="H2107" s="845" t="s">
        <v>1010</v>
      </c>
    </row>
    <row r="2108" spans="1:10" x14ac:dyDescent="0.2">
      <c r="A2108" s="859">
        <f t="shared" si="32"/>
        <v>2107</v>
      </c>
      <c r="B2108" s="845" t="s">
        <v>2554</v>
      </c>
      <c r="D2108" s="862"/>
      <c r="H2108" s="845" t="s">
        <v>1007</v>
      </c>
    </row>
    <row r="2109" spans="1:10" x14ac:dyDescent="0.2">
      <c r="A2109" s="859">
        <f t="shared" si="32"/>
        <v>2108</v>
      </c>
      <c r="B2109" s="845" t="s">
        <v>2554</v>
      </c>
      <c r="D2109" s="861"/>
      <c r="I2109" s="845" t="s">
        <v>1008</v>
      </c>
    </row>
    <row r="2110" spans="1:10" x14ac:dyDescent="0.2">
      <c r="A2110" s="859">
        <f t="shared" si="32"/>
        <v>2109</v>
      </c>
      <c r="B2110" s="845" t="s">
        <v>2554</v>
      </c>
      <c r="D2110" s="861"/>
      <c r="J2110" s="845" t="s">
        <v>1373</v>
      </c>
    </row>
    <row r="2111" spans="1:10" x14ac:dyDescent="0.2">
      <c r="A2111" s="859">
        <f t="shared" si="32"/>
        <v>2110</v>
      </c>
      <c r="B2111" s="845" t="s">
        <v>2554</v>
      </c>
      <c r="D2111" s="862"/>
      <c r="I2111" s="845" t="s">
        <v>1009</v>
      </c>
    </row>
    <row r="2112" spans="1:10" x14ac:dyDescent="0.2">
      <c r="A2112" s="859">
        <f t="shared" si="32"/>
        <v>2111</v>
      </c>
      <c r="B2112" s="845" t="s">
        <v>2554</v>
      </c>
      <c r="D2112" s="863"/>
      <c r="I2112" s="845" t="str">
        <f>CONCATENATE("&lt;valeur&gt;",Cellule_11234,"&lt;/valeur&gt;")</f>
        <v>&lt;valeur&gt;0&lt;/valeur&gt;</v>
      </c>
    </row>
    <row r="2113" spans="1:10" x14ac:dyDescent="0.2">
      <c r="A2113" s="859">
        <f t="shared" si="32"/>
        <v>2112</v>
      </c>
      <c r="B2113" s="845" t="s">
        <v>2554</v>
      </c>
      <c r="D2113" s="862"/>
      <c r="H2113" s="845" t="s">
        <v>1010</v>
      </c>
    </row>
    <row r="2114" spans="1:10" x14ac:dyDescent="0.2">
      <c r="A2114" s="859">
        <f t="shared" si="32"/>
        <v>2113</v>
      </c>
      <c r="B2114" s="845" t="s">
        <v>2554</v>
      </c>
      <c r="D2114" s="862"/>
      <c r="H2114" s="845" t="s">
        <v>1007</v>
      </c>
    </row>
    <row r="2115" spans="1:10" x14ac:dyDescent="0.2">
      <c r="A2115" s="859">
        <f t="shared" si="32"/>
        <v>2114</v>
      </c>
      <c r="B2115" s="845" t="s">
        <v>2554</v>
      </c>
      <c r="D2115" s="861"/>
      <c r="I2115" s="845" t="s">
        <v>1008</v>
      </c>
    </row>
    <row r="2116" spans="1:10" x14ac:dyDescent="0.2">
      <c r="A2116" s="859">
        <f t="shared" ref="A2116:A2179" si="33">+A2115+1</f>
        <v>2115</v>
      </c>
      <c r="B2116" s="845" t="s">
        <v>2554</v>
      </c>
      <c r="D2116" s="861"/>
      <c r="J2116" s="845" t="s">
        <v>1374</v>
      </c>
    </row>
    <row r="2117" spans="1:10" x14ac:dyDescent="0.2">
      <c r="A2117" s="859">
        <f t="shared" si="33"/>
        <v>2116</v>
      </c>
      <c r="B2117" s="845" t="s">
        <v>2554</v>
      </c>
      <c r="D2117" s="862"/>
      <c r="I2117" s="845" t="s">
        <v>1009</v>
      </c>
    </row>
    <row r="2118" spans="1:10" x14ac:dyDescent="0.2">
      <c r="A2118" s="859">
        <f t="shared" si="33"/>
        <v>2117</v>
      </c>
      <c r="B2118" s="845" t="s">
        <v>2554</v>
      </c>
      <c r="D2118" s="863"/>
      <c r="I2118" s="845" t="str">
        <f>CONCATENATE("&lt;valeur&gt;",Cellule_11179,"&lt;/valeur&gt;")</f>
        <v>&lt;valeur&gt;0&lt;/valeur&gt;</v>
      </c>
    </row>
    <row r="2119" spans="1:10" x14ac:dyDescent="0.2">
      <c r="A2119" s="859">
        <f t="shared" si="33"/>
        <v>2118</v>
      </c>
      <c r="B2119" s="845" t="s">
        <v>2554</v>
      </c>
      <c r="D2119" s="862"/>
      <c r="H2119" s="845" t="s">
        <v>1010</v>
      </c>
    </row>
    <row r="2120" spans="1:10" x14ac:dyDescent="0.2">
      <c r="A2120" s="859">
        <f t="shared" si="33"/>
        <v>2119</v>
      </c>
      <c r="B2120" s="845" t="s">
        <v>2554</v>
      </c>
      <c r="D2120" s="862"/>
      <c r="H2120" s="845" t="s">
        <v>1007</v>
      </c>
    </row>
    <row r="2121" spans="1:10" x14ac:dyDescent="0.2">
      <c r="A2121" s="859">
        <f t="shared" si="33"/>
        <v>2120</v>
      </c>
      <c r="B2121" s="845" t="s">
        <v>2554</v>
      </c>
      <c r="D2121" s="861"/>
      <c r="I2121" s="845" t="s">
        <v>1008</v>
      </c>
    </row>
    <row r="2122" spans="1:10" x14ac:dyDescent="0.2">
      <c r="A2122" s="859">
        <f t="shared" si="33"/>
        <v>2121</v>
      </c>
      <c r="B2122" s="845" t="s">
        <v>2554</v>
      </c>
      <c r="D2122" s="861"/>
      <c r="J2122" s="845" t="s">
        <v>1375</v>
      </c>
    </row>
    <row r="2123" spans="1:10" x14ac:dyDescent="0.2">
      <c r="A2123" s="859">
        <f t="shared" si="33"/>
        <v>2122</v>
      </c>
      <c r="B2123" s="845" t="s">
        <v>2554</v>
      </c>
      <c r="D2123" s="862"/>
      <c r="I2123" s="845" t="s">
        <v>1009</v>
      </c>
    </row>
    <row r="2124" spans="1:10" x14ac:dyDescent="0.2">
      <c r="A2124" s="859">
        <f t="shared" si="33"/>
        <v>2123</v>
      </c>
      <c r="B2124" s="845" t="s">
        <v>2554</v>
      </c>
      <c r="D2124" s="863"/>
      <c r="I2124" s="845" t="str">
        <f>CONCATENATE("&lt;valeur&gt;",Cellule_11184,"&lt;/valeur&gt;")</f>
        <v>&lt;valeur&gt;0&lt;/valeur&gt;</v>
      </c>
    </row>
    <row r="2125" spans="1:10" x14ac:dyDescent="0.2">
      <c r="A2125" s="859">
        <f t="shared" si="33"/>
        <v>2124</v>
      </c>
      <c r="B2125" s="845" t="s">
        <v>2554</v>
      </c>
      <c r="D2125" s="862"/>
      <c r="H2125" s="845" t="s">
        <v>1010</v>
      </c>
    </row>
    <row r="2126" spans="1:10" x14ac:dyDescent="0.2">
      <c r="A2126" s="859">
        <f t="shared" si="33"/>
        <v>2125</v>
      </c>
      <c r="B2126" s="845" t="s">
        <v>2554</v>
      </c>
      <c r="D2126" s="862"/>
      <c r="H2126" s="845" t="s">
        <v>1007</v>
      </c>
    </row>
    <row r="2127" spans="1:10" x14ac:dyDescent="0.2">
      <c r="A2127" s="859">
        <f t="shared" si="33"/>
        <v>2126</v>
      </c>
      <c r="B2127" s="845" t="s">
        <v>2554</v>
      </c>
      <c r="D2127" s="861"/>
      <c r="I2127" s="845" t="s">
        <v>1008</v>
      </c>
    </row>
    <row r="2128" spans="1:10" x14ac:dyDescent="0.2">
      <c r="A2128" s="859">
        <f t="shared" si="33"/>
        <v>2127</v>
      </c>
      <c r="B2128" s="845" t="s">
        <v>2554</v>
      </c>
      <c r="D2128" s="861"/>
      <c r="J2128" s="845" t="s">
        <v>1376</v>
      </c>
    </row>
    <row r="2129" spans="1:10" x14ac:dyDescent="0.2">
      <c r="A2129" s="859">
        <f t="shared" si="33"/>
        <v>2128</v>
      </c>
      <c r="B2129" s="845" t="s">
        <v>2554</v>
      </c>
      <c r="D2129" s="862"/>
      <c r="I2129" s="845" t="s">
        <v>1009</v>
      </c>
    </row>
    <row r="2130" spans="1:10" x14ac:dyDescent="0.2">
      <c r="A2130" s="859">
        <f t="shared" si="33"/>
        <v>2129</v>
      </c>
      <c r="B2130" s="845" t="s">
        <v>2554</v>
      </c>
      <c r="D2130" s="863"/>
      <c r="I2130" s="845" t="str">
        <f>CONCATENATE("&lt;valeur&gt;",Cellule_11189,"&lt;/valeur&gt;")</f>
        <v>&lt;valeur&gt;0&lt;/valeur&gt;</v>
      </c>
    </row>
    <row r="2131" spans="1:10" x14ac:dyDescent="0.2">
      <c r="A2131" s="859">
        <f t="shared" si="33"/>
        <v>2130</v>
      </c>
      <c r="B2131" s="845" t="s">
        <v>2554</v>
      </c>
      <c r="D2131" s="862"/>
      <c r="H2131" s="845" t="s">
        <v>1010</v>
      </c>
    </row>
    <row r="2132" spans="1:10" x14ac:dyDescent="0.2">
      <c r="A2132" s="859">
        <f t="shared" si="33"/>
        <v>2131</v>
      </c>
      <c r="B2132" s="845" t="s">
        <v>2554</v>
      </c>
      <c r="D2132" s="862"/>
      <c r="H2132" s="845" t="s">
        <v>1007</v>
      </c>
    </row>
    <row r="2133" spans="1:10" x14ac:dyDescent="0.2">
      <c r="A2133" s="859">
        <f t="shared" si="33"/>
        <v>2132</v>
      </c>
      <c r="B2133" s="845" t="s">
        <v>2554</v>
      </c>
      <c r="D2133" s="861"/>
      <c r="I2133" s="845" t="s">
        <v>1008</v>
      </c>
    </row>
    <row r="2134" spans="1:10" x14ac:dyDescent="0.2">
      <c r="A2134" s="859">
        <f t="shared" si="33"/>
        <v>2133</v>
      </c>
      <c r="B2134" s="845" t="s">
        <v>2554</v>
      </c>
      <c r="D2134" s="861"/>
      <c r="J2134" s="845" t="s">
        <v>1377</v>
      </c>
    </row>
    <row r="2135" spans="1:10" x14ac:dyDescent="0.2">
      <c r="A2135" s="859">
        <f t="shared" si="33"/>
        <v>2134</v>
      </c>
      <c r="B2135" s="845" t="s">
        <v>2554</v>
      </c>
      <c r="D2135" s="862"/>
      <c r="I2135" s="845" t="s">
        <v>1009</v>
      </c>
    </row>
    <row r="2136" spans="1:10" x14ac:dyDescent="0.2">
      <c r="A2136" s="859">
        <f t="shared" si="33"/>
        <v>2135</v>
      </c>
      <c r="B2136" s="845" t="s">
        <v>2554</v>
      </c>
      <c r="D2136" s="863"/>
      <c r="I2136" s="845" t="str">
        <f>CONCATENATE("&lt;valeur&gt;",Cellule_11194,"&lt;/valeur&gt;")</f>
        <v>&lt;valeur&gt;0&lt;/valeur&gt;</v>
      </c>
    </row>
    <row r="2137" spans="1:10" x14ac:dyDescent="0.2">
      <c r="A2137" s="859">
        <f t="shared" si="33"/>
        <v>2136</v>
      </c>
      <c r="B2137" s="845" t="s">
        <v>2554</v>
      </c>
      <c r="D2137" s="862"/>
      <c r="H2137" s="845" t="s">
        <v>1010</v>
      </c>
    </row>
    <row r="2138" spans="1:10" x14ac:dyDescent="0.2">
      <c r="A2138" s="859">
        <f t="shared" si="33"/>
        <v>2137</v>
      </c>
      <c r="B2138" s="845" t="s">
        <v>2554</v>
      </c>
      <c r="D2138" s="862"/>
      <c r="H2138" s="845" t="s">
        <v>1007</v>
      </c>
    </row>
    <row r="2139" spans="1:10" x14ac:dyDescent="0.2">
      <c r="A2139" s="859">
        <f t="shared" si="33"/>
        <v>2138</v>
      </c>
      <c r="B2139" s="845" t="s">
        <v>2554</v>
      </c>
      <c r="D2139" s="861"/>
      <c r="I2139" s="845" t="s">
        <v>1008</v>
      </c>
    </row>
    <row r="2140" spans="1:10" x14ac:dyDescent="0.2">
      <c r="A2140" s="859">
        <f t="shared" si="33"/>
        <v>2139</v>
      </c>
      <c r="B2140" s="845" t="s">
        <v>2554</v>
      </c>
      <c r="D2140" s="861"/>
      <c r="J2140" s="845" t="s">
        <v>1378</v>
      </c>
    </row>
    <row r="2141" spans="1:10" x14ac:dyDescent="0.2">
      <c r="A2141" s="859">
        <f t="shared" si="33"/>
        <v>2140</v>
      </c>
      <c r="B2141" s="845" t="s">
        <v>2554</v>
      </c>
      <c r="D2141" s="862"/>
      <c r="I2141" s="845" t="s">
        <v>1009</v>
      </c>
    </row>
    <row r="2142" spans="1:10" x14ac:dyDescent="0.2">
      <c r="A2142" s="859">
        <f t="shared" si="33"/>
        <v>2141</v>
      </c>
      <c r="B2142" s="845" t="s">
        <v>2554</v>
      </c>
      <c r="D2142" s="863"/>
      <c r="I2142" s="845" t="str">
        <f>CONCATENATE("&lt;valeur&gt;",Cellule_11199,"&lt;/valeur&gt;")</f>
        <v>&lt;valeur&gt;0&lt;/valeur&gt;</v>
      </c>
    </row>
    <row r="2143" spans="1:10" x14ac:dyDescent="0.2">
      <c r="A2143" s="859">
        <f t="shared" si="33"/>
        <v>2142</v>
      </c>
      <c r="B2143" s="845" t="s">
        <v>2554</v>
      </c>
      <c r="D2143" s="862"/>
      <c r="H2143" s="845" t="s">
        <v>1010</v>
      </c>
    </row>
    <row r="2144" spans="1:10" x14ac:dyDescent="0.2">
      <c r="A2144" s="859">
        <f t="shared" si="33"/>
        <v>2143</v>
      </c>
      <c r="B2144" s="845" t="s">
        <v>2554</v>
      </c>
      <c r="D2144" s="862"/>
      <c r="H2144" s="845" t="s">
        <v>1007</v>
      </c>
    </row>
    <row r="2145" spans="1:10" x14ac:dyDescent="0.2">
      <c r="A2145" s="859">
        <f t="shared" si="33"/>
        <v>2144</v>
      </c>
      <c r="B2145" s="845" t="s">
        <v>2554</v>
      </c>
      <c r="D2145" s="861"/>
      <c r="I2145" s="845" t="s">
        <v>1008</v>
      </c>
    </row>
    <row r="2146" spans="1:10" x14ac:dyDescent="0.2">
      <c r="A2146" s="859">
        <f t="shared" si="33"/>
        <v>2145</v>
      </c>
      <c r="B2146" s="845" t="s">
        <v>2554</v>
      </c>
      <c r="D2146" s="861"/>
      <c r="J2146" s="845" t="s">
        <v>1379</v>
      </c>
    </row>
    <row r="2147" spans="1:10" x14ac:dyDescent="0.2">
      <c r="A2147" s="859">
        <f t="shared" si="33"/>
        <v>2146</v>
      </c>
      <c r="B2147" s="845" t="s">
        <v>2554</v>
      </c>
      <c r="D2147" s="862"/>
      <c r="I2147" s="845" t="s">
        <v>1009</v>
      </c>
    </row>
    <row r="2148" spans="1:10" x14ac:dyDescent="0.2">
      <c r="A2148" s="859">
        <f t="shared" si="33"/>
        <v>2147</v>
      </c>
      <c r="B2148" s="845" t="s">
        <v>2554</v>
      </c>
      <c r="D2148" s="863"/>
      <c r="I2148" s="845" t="str">
        <f>CONCATENATE("&lt;valeur&gt;",Cellule_11269,"&lt;/valeur&gt;")</f>
        <v>&lt;valeur&gt;0&lt;/valeur&gt;</v>
      </c>
    </row>
    <row r="2149" spans="1:10" x14ac:dyDescent="0.2">
      <c r="A2149" s="859">
        <f t="shared" si="33"/>
        <v>2148</v>
      </c>
      <c r="B2149" s="845" t="s">
        <v>2554</v>
      </c>
      <c r="D2149" s="862"/>
      <c r="H2149" s="845" t="s">
        <v>1010</v>
      </c>
    </row>
    <row r="2150" spans="1:10" x14ac:dyDescent="0.2">
      <c r="A2150" s="859">
        <f t="shared" si="33"/>
        <v>2149</v>
      </c>
      <c r="B2150" s="845" t="s">
        <v>2554</v>
      </c>
      <c r="D2150" s="862"/>
      <c r="H2150" s="845" t="s">
        <v>1007</v>
      </c>
    </row>
    <row r="2151" spans="1:10" x14ac:dyDescent="0.2">
      <c r="A2151" s="859">
        <f t="shared" si="33"/>
        <v>2150</v>
      </c>
      <c r="B2151" s="845" t="s">
        <v>2554</v>
      </c>
      <c r="D2151" s="861"/>
      <c r="I2151" s="845" t="s">
        <v>1008</v>
      </c>
    </row>
    <row r="2152" spans="1:10" x14ac:dyDescent="0.2">
      <c r="A2152" s="859">
        <f t="shared" si="33"/>
        <v>2151</v>
      </c>
      <c r="B2152" s="845" t="s">
        <v>2554</v>
      </c>
      <c r="D2152" s="861"/>
      <c r="J2152" s="845" t="s">
        <v>1380</v>
      </c>
    </row>
    <row r="2153" spans="1:10" x14ac:dyDescent="0.2">
      <c r="A2153" s="859">
        <f t="shared" si="33"/>
        <v>2152</v>
      </c>
      <c r="B2153" s="845" t="s">
        <v>2554</v>
      </c>
      <c r="D2153" s="862"/>
      <c r="I2153" s="845" t="s">
        <v>1009</v>
      </c>
    </row>
    <row r="2154" spans="1:10" x14ac:dyDescent="0.2">
      <c r="A2154" s="859">
        <f t="shared" si="33"/>
        <v>2153</v>
      </c>
      <c r="B2154" s="845" t="s">
        <v>2554</v>
      </c>
      <c r="D2154" s="863"/>
      <c r="I2154" s="845" t="str">
        <f>CONCATENATE("&lt;valeur&gt;",Cellule_11239,"&lt;/valeur&gt;")</f>
        <v>&lt;valeur&gt;0&lt;/valeur&gt;</v>
      </c>
    </row>
    <row r="2155" spans="1:10" x14ac:dyDescent="0.2">
      <c r="A2155" s="859">
        <f t="shared" si="33"/>
        <v>2154</v>
      </c>
      <c r="B2155" s="845" t="s">
        <v>2554</v>
      </c>
      <c r="D2155" s="862"/>
      <c r="H2155" s="845" t="s">
        <v>1010</v>
      </c>
    </row>
    <row r="2156" spans="1:10" x14ac:dyDescent="0.2">
      <c r="A2156" s="859">
        <f t="shared" si="33"/>
        <v>2155</v>
      </c>
      <c r="B2156" s="845" t="s">
        <v>2554</v>
      </c>
      <c r="D2156" s="862"/>
      <c r="H2156" s="845" t="s">
        <v>1007</v>
      </c>
    </row>
    <row r="2157" spans="1:10" x14ac:dyDescent="0.2">
      <c r="A2157" s="859">
        <f t="shared" si="33"/>
        <v>2156</v>
      </c>
      <c r="B2157" s="845" t="s">
        <v>2554</v>
      </c>
      <c r="D2157" s="861"/>
      <c r="I2157" s="845" t="s">
        <v>1008</v>
      </c>
    </row>
    <row r="2158" spans="1:10" x14ac:dyDescent="0.2">
      <c r="A2158" s="859">
        <f t="shared" si="33"/>
        <v>2157</v>
      </c>
      <c r="B2158" s="845" t="s">
        <v>2554</v>
      </c>
      <c r="D2158" s="861"/>
      <c r="J2158" s="845" t="s">
        <v>1381</v>
      </c>
    </row>
    <row r="2159" spans="1:10" x14ac:dyDescent="0.2">
      <c r="A2159" s="859">
        <f t="shared" si="33"/>
        <v>2158</v>
      </c>
      <c r="B2159" s="845" t="s">
        <v>2554</v>
      </c>
      <c r="D2159" s="862"/>
      <c r="I2159" s="845" t="s">
        <v>1009</v>
      </c>
    </row>
    <row r="2160" spans="1:10" x14ac:dyDescent="0.2">
      <c r="A2160" s="859">
        <f t="shared" si="33"/>
        <v>2159</v>
      </c>
      <c r="B2160" s="845" t="s">
        <v>2554</v>
      </c>
      <c r="D2160" s="863"/>
      <c r="I2160" s="845" t="str">
        <f>CONCATENATE("&lt;valeur&gt;",Cellule_11244,"&lt;/valeur&gt;")</f>
        <v>&lt;valeur&gt;0&lt;/valeur&gt;</v>
      </c>
    </row>
    <row r="2161" spans="1:10" x14ac:dyDescent="0.2">
      <c r="A2161" s="859">
        <f t="shared" si="33"/>
        <v>2160</v>
      </c>
      <c r="B2161" s="845" t="s">
        <v>2554</v>
      </c>
      <c r="D2161" s="862"/>
      <c r="H2161" s="845" t="s">
        <v>1010</v>
      </c>
    </row>
    <row r="2162" spans="1:10" x14ac:dyDescent="0.2">
      <c r="A2162" s="859">
        <f t="shared" si="33"/>
        <v>2161</v>
      </c>
      <c r="B2162" s="845" t="s">
        <v>2554</v>
      </c>
      <c r="D2162" s="862"/>
      <c r="H2162" s="845" t="s">
        <v>1007</v>
      </c>
    </row>
    <row r="2163" spans="1:10" x14ac:dyDescent="0.2">
      <c r="A2163" s="859">
        <f t="shared" si="33"/>
        <v>2162</v>
      </c>
      <c r="B2163" s="845" t="s">
        <v>2554</v>
      </c>
      <c r="D2163" s="861"/>
      <c r="I2163" s="845" t="s">
        <v>1008</v>
      </c>
    </row>
    <row r="2164" spans="1:10" x14ac:dyDescent="0.2">
      <c r="A2164" s="859">
        <f t="shared" si="33"/>
        <v>2163</v>
      </c>
      <c r="B2164" s="845" t="s">
        <v>2554</v>
      </c>
      <c r="D2164" s="861"/>
      <c r="J2164" s="845" t="s">
        <v>1382</v>
      </c>
    </row>
    <row r="2165" spans="1:10" x14ac:dyDescent="0.2">
      <c r="A2165" s="859">
        <f t="shared" si="33"/>
        <v>2164</v>
      </c>
      <c r="B2165" s="845" t="s">
        <v>2554</v>
      </c>
      <c r="D2165" s="862"/>
      <c r="I2165" s="845" t="s">
        <v>1009</v>
      </c>
    </row>
    <row r="2166" spans="1:10" x14ac:dyDescent="0.2">
      <c r="A2166" s="859">
        <f t="shared" si="33"/>
        <v>2165</v>
      </c>
      <c r="B2166" s="845" t="s">
        <v>2554</v>
      </c>
      <c r="D2166" s="863"/>
      <c r="I2166" s="845" t="str">
        <f>CONCATENATE("&lt;valeur&gt;",Cellule_11249,"&lt;/valeur&gt;")</f>
        <v>&lt;valeur&gt;0&lt;/valeur&gt;</v>
      </c>
    </row>
    <row r="2167" spans="1:10" x14ac:dyDescent="0.2">
      <c r="A2167" s="859">
        <f t="shared" si="33"/>
        <v>2166</v>
      </c>
      <c r="B2167" s="845" t="s">
        <v>2554</v>
      </c>
      <c r="D2167" s="862"/>
      <c r="H2167" s="845" t="s">
        <v>1010</v>
      </c>
    </row>
    <row r="2168" spans="1:10" x14ac:dyDescent="0.2">
      <c r="A2168" s="859">
        <f t="shared" si="33"/>
        <v>2167</v>
      </c>
      <c r="B2168" s="845" t="s">
        <v>2554</v>
      </c>
      <c r="D2168" s="862"/>
      <c r="H2168" s="845" t="s">
        <v>1007</v>
      </c>
    </row>
    <row r="2169" spans="1:10" x14ac:dyDescent="0.2">
      <c r="A2169" s="859">
        <f t="shared" si="33"/>
        <v>2168</v>
      </c>
      <c r="B2169" s="845" t="s">
        <v>2554</v>
      </c>
      <c r="D2169" s="861"/>
      <c r="I2169" s="845" t="s">
        <v>1008</v>
      </c>
    </row>
    <row r="2170" spans="1:10" x14ac:dyDescent="0.2">
      <c r="A2170" s="859">
        <f t="shared" si="33"/>
        <v>2169</v>
      </c>
      <c r="B2170" s="845" t="s">
        <v>2554</v>
      </c>
      <c r="D2170" s="861"/>
      <c r="J2170" s="845" t="s">
        <v>1383</v>
      </c>
    </row>
    <row r="2171" spans="1:10" x14ac:dyDescent="0.2">
      <c r="A2171" s="859">
        <f t="shared" si="33"/>
        <v>2170</v>
      </c>
      <c r="B2171" s="845" t="s">
        <v>2554</v>
      </c>
      <c r="D2171" s="862"/>
      <c r="I2171" s="845" t="s">
        <v>1009</v>
      </c>
    </row>
    <row r="2172" spans="1:10" x14ac:dyDescent="0.2">
      <c r="A2172" s="859">
        <f t="shared" si="33"/>
        <v>2171</v>
      </c>
      <c r="B2172" s="845" t="s">
        <v>2554</v>
      </c>
      <c r="D2172" s="863"/>
      <c r="I2172" s="845" t="str">
        <f>CONCATENATE("&lt;valeur&gt;",Cellule_11254,"&lt;/valeur&gt;")</f>
        <v>&lt;valeur&gt;0&lt;/valeur&gt;</v>
      </c>
    </row>
    <row r="2173" spans="1:10" x14ac:dyDescent="0.2">
      <c r="A2173" s="859">
        <f t="shared" si="33"/>
        <v>2172</v>
      </c>
      <c r="B2173" s="845" t="s">
        <v>2554</v>
      </c>
      <c r="D2173" s="862"/>
      <c r="H2173" s="845" t="s">
        <v>1010</v>
      </c>
    </row>
    <row r="2174" spans="1:10" x14ac:dyDescent="0.2">
      <c r="A2174" s="859">
        <f t="shared" si="33"/>
        <v>2173</v>
      </c>
      <c r="B2174" s="845" t="s">
        <v>2554</v>
      </c>
      <c r="D2174" s="862"/>
      <c r="H2174" s="845" t="s">
        <v>1007</v>
      </c>
    </row>
    <row r="2175" spans="1:10" x14ac:dyDescent="0.2">
      <c r="A2175" s="859">
        <f t="shared" si="33"/>
        <v>2174</v>
      </c>
      <c r="B2175" s="845" t="s">
        <v>2554</v>
      </c>
      <c r="D2175" s="861"/>
      <c r="I2175" s="845" t="s">
        <v>1008</v>
      </c>
    </row>
    <row r="2176" spans="1:10" x14ac:dyDescent="0.2">
      <c r="A2176" s="859">
        <f t="shared" si="33"/>
        <v>2175</v>
      </c>
      <c r="B2176" s="845" t="s">
        <v>2554</v>
      </c>
      <c r="D2176" s="861"/>
      <c r="J2176" s="845" t="s">
        <v>1384</v>
      </c>
    </row>
    <row r="2177" spans="1:10" x14ac:dyDescent="0.2">
      <c r="A2177" s="859">
        <f t="shared" si="33"/>
        <v>2176</v>
      </c>
      <c r="B2177" s="845" t="s">
        <v>2554</v>
      </c>
      <c r="D2177" s="862"/>
      <c r="I2177" s="845" t="s">
        <v>1009</v>
      </c>
    </row>
    <row r="2178" spans="1:10" x14ac:dyDescent="0.2">
      <c r="A2178" s="859">
        <f t="shared" si="33"/>
        <v>2177</v>
      </c>
      <c r="B2178" s="845" t="s">
        <v>2554</v>
      </c>
      <c r="D2178" s="863"/>
      <c r="I2178" s="845" t="str">
        <f>CONCATENATE("&lt;valeur&gt;",Cellule_11259,"&lt;/valeur&gt;")</f>
        <v>&lt;valeur&gt;0&lt;/valeur&gt;</v>
      </c>
    </row>
    <row r="2179" spans="1:10" x14ac:dyDescent="0.2">
      <c r="A2179" s="859">
        <f t="shared" si="33"/>
        <v>2178</v>
      </c>
      <c r="B2179" s="845" t="s">
        <v>2554</v>
      </c>
      <c r="D2179" s="862"/>
      <c r="H2179" s="845" t="s">
        <v>1010</v>
      </c>
    </row>
    <row r="2180" spans="1:10" x14ac:dyDescent="0.2">
      <c r="A2180" s="859">
        <f t="shared" ref="A2180:A2243" si="34">+A2179+1</f>
        <v>2179</v>
      </c>
      <c r="B2180" s="845" t="s">
        <v>2554</v>
      </c>
      <c r="D2180" s="862"/>
      <c r="H2180" s="845" t="s">
        <v>1007</v>
      </c>
    </row>
    <row r="2181" spans="1:10" x14ac:dyDescent="0.2">
      <c r="A2181" s="859">
        <f t="shared" si="34"/>
        <v>2180</v>
      </c>
      <c r="B2181" s="845" t="s">
        <v>2554</v>
      </c>
      <c r="D2181" s="861"/>
      <c r="I2181" s="845" t="s">
        <v>1008</v>
      </c>
    </row>
    <row r="2182" spans="1:10" x14ac:dyDescent="0.2">
      <c r="A2182" s="859">
        <f t="shared" si="34"/>
        <v>2181</v>
      </c>
      <c r="B2182" s="845" t="s">
        <v>2554</v>
      </c>
      <c r="D2182" s="861"/>
      <c r="J2182" s="845" t="s">
        <v>1385</v>
      </c>
    </row>
    <row r="2183" spans="1:10" x14ac:dyDescent="0.2">
      <c r="A2183" s="859">
        <f t="shared" si="34"/>
        <v>2182</v>
      </c>
      <c r="B2183" s="845" t="s">
        <v>2554</v>
      </c>
      <c r="D2183" s="862"/>
      <c r="I2183" s="845" t="s">
        <v>1009</v>
      </c>
    </row>
    <row r="2184" spans="1:10" x14ac:dyDescent="0.2">
      <c r="A2184" s="859">
        <f t="shared" si="34"/>
        <v>2183</v>
      </c>
      <c r="B2184" s="845" t="s">
        <v>2554</v>
      </c>
      <c r="D2184" s="863"/>
      <c r="I2184" s="845" t="str">
        <f>CONCATENATE("&lt;valeur&gt;",Cellule_11264,"&lt;/valeur&gt;")</f>
        <v>&lt;valeur&gt;0&lt;/valeur&gt;</v>
      </c>
    </row>
    <row r="2185" spans="1:10" x14ac:dyDescent="0.2">
      <c r="A2185" s="859">
        <f t="shared" si="34"/>
        <v>2184</v>
      </c>
      <c r="B2185" s="845" t="s">
        <v>2554</v>
      </c>
      <c r="D2185" s="862"/>
      <c r="H2185" s="845" t="s">
        <v>1010</v>
      </c>
    </row>
    <row r="2186" spans="1:10" x14ac:dyDescent="0.2">
      <c r="A2186" s="859">
        <f t="shared" si="34"/>
        <v>2185</v>
      </c>
      <c r="B2186" s="845" t="s">
        <v>2554</v>
      </c>
      <c r="D2186" s="862"/>
      <c r="H2186" s="845" t="s">
        <v>1007</v>
      </c>
    </row>
    <row r="2187" spans="1:10" x14ac:dyDescent="0.2">
      <c r="A2187" s="859">
        <f t="shared" si="34"/>
        <v>2186</v>
      </c>
      <c r="B2187" s="845" t="s">
        <v>2554</v>
      </c>
      <c r="D2187" s="861"/>
      <c r="I2187" s="845" t="s">
        <v>1008</v>
      </c>
    </row>
    <row r="2188" spans="1:10" x14ac:dyDescent="0.2">
      <c r="A2188" s="859">
        <f t="shared" si="34"/>
        <v>2187</v>
      </c>
      <c r="B2188" s="845" t="s">
        <v>2554</v>
      </c>
      <c r="D2188" s="861"/>
      <c r="J2188" s="845" t="s">
        <v>1386</v>
      </c>
    </row>
    <row r="2189" spans="1:10" x14ac:dyDescent="0.2">
      <c r="A2189" s="859">
        <f t="shared" si="34"/>
        <v>2188</v>
      </c>
      <c r="B2189" s="845" t="s">
        <v>2554</v>
      </c>
      <c r="D2189" s="862"/>
      <c r="I2189" s="845" t="s">
        <v>1009</v>
      </c>
    </row>
    <row r="2190" spans="1:10" x14ac:dyDescent="0.2">
      <c r="A2190" s="859">
        <f t="shared" si="34"/>
        <v>2189</v>
      </c>
      <c r="B2190" s="845" t="s">
        <v>2554</v>
      </c>
      <c r="D2190" s="863"/>
      <c r="I2190" s="845" t="str">
        <f>CONCATENATE("&lt;valeur&gt;",Cellule_11271,"&lt;/valeur&gt;")</f>
        <v>&lt;valeur&gt;0&lt;/valeur&gt;</v>
      </c>
    </row>
    <row r="2191" spans="1:10" x14ac:dyDescent="0.2">
      <c r="A2191" s="859">
        <f t="shared" si="34"/>
        <v>2190</v>
      </c>
      <c r="B2191" s="845" t="s">
        <v>2554</v>
      </c>
      <c r="D2191" s="862"/>
      <c r="H2191" s="845" t="s">
        <v>1010</v>
      </c>
    </row>
    <row r="2192" spans="1:10" x14ac:dyDescent="0.2">
      <c r="A2192" s="859">
        <f t="shared" si="34"/>
        <v>2191</v>
      </c>
      <c r="B2192" s="845" t="s">
        <v>2554</v>
      </c>
      <c r="D2192" s="862"/>
      <c r="H2192" s="845" t="s">
        <v>1007</v>
      </c>
    </row>
    <row r="2193" spans="1:10" x14ac:dyDescent="0.2">
      <c r="A2193" s="859">
        <f t="shared" si="34"/>
        <v>2192</v>
      </c>
      <c r="B2193" s="845" t="s">
        <v>2554</v>
      </c>
      <c r="D2193" s="861"/>
      <c r="I2193" s="845" t="s">
        <v>1008</v>
      </c>
    </row>
    <row r="2194" spans="1:10" x14ac:dyDescent="0.2">
      <c r="A2194" s="859">
        <f t="shared" si="34"/>
        <v>2193</v>
      </c>
      <c r="B2194" s="845" t="s">
        <v>2554</v>
      </c>
      <c r="D2194" s="861"/>
      <c r="J2194" s="845" t="s">
        <v>1387</v>
      </c>
    </row>
    <row r="2195" spans="1:10" x14ac:dyDescent="0.2">
      <c r="A2195" s="859">
        <f t="shared" si="34"/>
        <v>2194</v>
      </c>
      <c r="B2195" s="845" t="s">
        <v>2554</v>
      </c>
      <c r="D2195" s="862"/>
      <c r="I2195" s="845" t="s">
        <v>1009</v>
      </c>
    </row>
    <row r="2196" spans="1:10" x14ac:dyDescent="0.2">
      <c r="A2196" s="859">
        <f t="shared" si="34"/>
        <v>2195</v>
      </c>
      <c r="B2196" s="845" t="s">
        <v>2554</v>
      </c>
      <c r="D2196" s="863"/>
      <c r="I2196" s="845" t="str">
        <f>CONCATENATE("&lt;valeur&gt;",Cellule_11276,"&lt;/valeur&gt;")</f>
        <v>&lt;valeur&gt;0&lt;/valeur&gt;</v>
      </c>
    </row>
    <row r="2197" spans="1:10" x14ac:dyDescent="0.2">
      <c r="A2197" s="859">
        <f t="shared" si="34"/>
        <v>2196</v>
      </c>
      <c r="B2197" s="845" t="s">
        <v>2554</v>
      </c>
      <c r="D2197" s="862"/>
      <c r="H2197" s="845" t="s">
        <v>1010</v>
      </c>
    </row>
    <row r="2198" spans="1:10" x14ac:dyDescent="0.2">
      <c r="A2198" s="859">
        <f t="shared" si="34"/>
        <v>2197</v>
      </c>
      <c r="B2198" s="845" t="s">
        <v>2554</v>
      </c>
      <c r="D2198" s="862"/>
      <c r="H2198" s="845" t="s">
        <v>1007</v>
      </c>
    </row>
    <row r="2199" spans="1:10" x14ac:dyDescent="0.2">
      <c r="A2199" s="859">
        <f t="shared" si="34"/>
        <v>2198</v>
      </c>
      <c r="B2199" s="845" t="s">
        <v>2554</v>
      </c>
      <c r="D2199" s="861"/>
      <c r="I2199" s="845" t="s">
        <v>1008</v>
      </c>
    </row>
    <row r="2200" spans="1:10" x14ac:dyDescent="0.2">
      <c r="A2200" s="859">
        <f t="shared" si="34"/>
        <v>2199</v>
      </c>
      <c r="B2200" s="845" t="s">
        <v>2554</v>
      </c>
      <c r="D2200" s="861"/>
      <c r="J2200" s="845" t="s">
        <v>1388</v>
      </c>
    </row>
    <row r="2201" spans="1:10" x14ac:dyDescent="0.2">
      <c r="A2201" s="859">
        <f t="shared" si="34"/>
        <v>2200</v>
      </c>
      <c r="B2201" s="845" t="s">
        <v>2554</v>
      </c>
      <c r="D2201" s="862"/>
      <c r="I2201" s="845" t="s">
        <v>1009</v>
      </c>
    </row>
    <row r="2202" spans="1:10" x14ac:dyDescent="0.2">
      <c r="A2202" s="859">
        <f t="shared" si="34"/>
        <v>2201</v>
      </c>
      <c r="B2202" s="845" t="s">
        <v>2554</v>
      </c>
      <c r="D2202" s="863"/>
      <c r="I2202" s="845" t="str">
        <f>CONCATENATE("&lt;valeur&gt;",Cellule_11281,"&lt;/valeur&gt;")</f>
        <v>&lt;valeur&gt;0&lt;/valeur&gt;</v>
      </c>
    </row>
    <row r="2203" spans="1:10" x14ac:dyDescent="0.2">
      <c r="A2203" s="859">
        <f t="shared" si="34"/>
        <v>2202</v>
      </c>
      <c r="B2203" s="845" t="s">
        <v>2554</v>
      </c>
      <c r="D2203" s="862"/>
      <c r="H2203" s="845" t="s">
        <v>1010</v>
      </c>
    </row>
    <row r="2204" spans="1:10" x14ac:dyDescent="0.2">
      <c r="A2204" s="859">
        <f t="shared" si="34"/>
        <v>2203</v>
      </c>
      <c r="B2204" s="845" t="s">
        <v>2554</v>
      </c>
      <c r="D2204" s="862"/>
      <c r="H2204" s="845" t="s">
        <v>1007</v>
      </c>
    </row>
    <row r="2205" spans="1:10" x14ac:dyDescent="0.2">
      <c r="A2205" s="859">
        <f t="shared" si="34"/>
        <v>2204</v>
      </c>
      <c r="B2205" s="845" t="s">
        <v>2554</v>
      </c>
      <c r="D2205" s="861"/>
      <c r="I2205" s="845" t="s">
        <v>1008</v>
      </c>
    </row>
    <row r="2206" spans="1:10" x14ac:dyDescent="0.2">
      <c r="A2206" s="859">
        <f t="shared" si="34"/>
        <v>2205</v>
      </c>
      <c r="B2206" s="845" t="s">
        <v>2554</v>
      </c>
      <c r="D2206" s="861"/>
      <c r="J2206" s="845" t="s">
        <v>1389</v>
      </c>
    </row>
    <row r="2207" spans="1:10" x14ac:dyDescent="0.2">
      <c r="A2207" s="859">
        <f t="shared" si="34"/>
        <v>2206</v>
      </c>
      <c r="B2207" s="845" t="s">
        <v>2554</v>
      </c>
      <c r="D2207" s="862"/>
      <c r="I2207" s="845" t="s">
        <v>1009</v>
      </c>
    </row>
    <row r="2208" spans="1:10" x14ac:dyDescent="0.2">
      <c r="A2208" s="859">
        <f t="shared" si="34"/>
        <v>2207</v>
      </c>
      <c r="B2208" s="845" t="s">
        <v>2554</v>
      </c>
      <c r="D2208" s="863"/>
      <c r="I2208" s="845" t="str">
        <f>CONCATENATE("&lt;valeur&gt;",Cellule_11286,"&lt;/valeur&gt;")</f>
        <v>&lt;valeur&gt;0&lt;/valeur&gt;</v>
      </c>
    </row>
    <row r="2209" spans="1:10" x14ac:dyDescent="0.2">
      <c r="A2209" s="859">
        <f t="shared" si="34"/>
        <v>2208</v>
      </c>
      <c r="B2209" s="845" t="s">
        <v>2554</v>
      </c>
      <c r="D2209" s="862"/>
      <c r="H2209" s="845" t="s">
        <v>1010</v>
      </c>
    </row>
    <row r="2210" spans="1:10" x14ac:dyDescent="0.2">
      <c r="A2210" s="859">
        <f t="shared" si="34"/>
        <v>2209</v>
      </c>
      <c r="B2210" s="845" t="s">
        <v>2554</v>
      </c>
      <c r="D2210" s="862"/>
      <c r="H2210" s="845" t="s">
        <v>1007</v>
      </c>
    </row>
    <row r="2211" spans="1:10" x14ac:dyDescent="0.2">
      <c r="A2211" s="859">
        <f t="shared" si="34"/>
        <v>2210</v>
      </c>
      <c r="B2211" s="845" t="s">
        <v>2554</v>
      </c>
      <c r="D2211" s="861"/>
      <c r="I2211" s="845" t="s">
        <v>1008</v>
      </c>
    </row>
    <row r="2212" spans="1:10" x14ac:dyDescent="0.2">
      <c r="A2212" s="859">
        <f t="shared" si="34"/>
        <v>2211</v>
      </c>
      <c r="B2212" s="845" t="s">
        <v>2554</v>
      </c>
      <c r="D2212" s="861"/>
      <c r="J2212" s="845" t="s">
        <v>1390</v>
      </c>
    </row>
    <row r="2213" spans="1:10" x14ac:dyDescent="0.2">
      <c r="A2213" s="859">
        <f t="shared" si="34"/>
        <v>2212</v>
      </c>
      <c r="B2213" s="845" t="s">
        <v>2554</v>
      </c>
      <c r="D2213" s="862"/>
      <c r="I2213" s="845" t="s">
        <v>1009</v>
      </c>
    </row>
    <row r="2214" spans="1:10" x14ac:dyDescent="0.2">
      <c r="A2214" s="859">
        <f t="shared" si="34"/>
        <v>2213</v>
      </c>
      <c r="B2214" s="845" t="s">
        <v>2554</v>
      </c>
      <c r="D2214" s="863"/>
      <c r="I2214" s="845" t="str">
        <f>CONCATENATE("&lt;valeur&gt;",Cellule_11291,"&lt;/valeur&gt;")</f>
        <v>&lt;valeur&gt;0&lt;/valeur&gt;</v>
      </c>
    </row>
    <row r="2215" spans="1:10" x14ac:dyDescent="0.2">
      <c r="A2215" s="859">
        <f t="shared" si="34"/>
        <v>2214</v>
      </c>
      <c r="B2215" s="845" t="s">
        <v>2554</v>
      </c>
      <c r="D2215" s="862"/>
      <c r="H2215" s="845" t="s">
        <v>1010</v>
      </c>
    </row>
    <row r="2216" spans="1:10" x14ac:dyDescent="0.2">
      <c r="A2216" s="859">
        <f t="shared" si="34"/>
        <v>2215</v>
      </c>
      <c r="B2216" s="845" t="s">
        <v>2554</v>
      </c>
      <c r="D2216" s="862"/>
      <c r="H2216" s="845" t="s">
        <v>1007</v>
      </c>
    </row>
    <row r="2217" spans="1:10" x14ac:dyDescent="0.2">
      <c r="A2217" s="859">
        <f t="shared" si="34"/>
        <v>2216</v>
      </c>
      <c r="B2217" s="845" t="s">
        <v>2554</v>
      </c>
      <c r="D2217" s="861"/>
      <c r="I2217" s="845" t="s">
        <v>1008</v>
      </c>
    </row>
    <row r="2218" spans="1:10" x14ac:dyDescent="0.2">
      <c r="A2218" s="859">
        <f t="shared" si="34"/>
        <v>2217</v>
      </c>
      <c r="B2218" s="845" t="s">
        <v>2554</v>
      </c>
      <c r="D2218" s="861"/>
      <c r="J2218" s="845" t="s">
        <v>1391</v>
      </c>
    </row>
    <row r="2219" spans="1:10" x14ac:dyDescent="0.2">
      <c r="A2219" s="859">
        <f t="shared" si="34"/>
        <v>2218</v>
      </c>
      <c r="B2219" s="845" t="s">
        <v>2554</v>
      </c>
      <c r="D2219" s="862"/>
      <c r="I2219" s="845" t="s">
        <v>1009</v>
      </c>
    </row>
    <row r="2220" spans="1:10" x14ac:dyDescent="0.2">
      <c r="A2220" s="859">
        <f t="shared" si="34"/>
        <v>2219</v>
      </c>
      <c r="B2220" s="845" t="s">
        <v>2554</v>
      </c>
      <c r="D2220" s="863"/>
      <c r="I2220" s="845" t="str">
        <f>CONCATENATE("&lt;valeur&gt;",Cellule_11331,"&lt;/valeur&gt;")</f>
        <v>&lt;valeur&gt;0&lt;/valeur&gt;</v>
      </c>
    </row>
    <row r="2221" spans="1:10" x14ac:dyDescent="0.2">
      <c r="A2221" s="859">
        <f t="shared" si="34"/>
        <v>2220</v>
      </c>
      <c r="B2221" s="845" t="s">
        <v>2554</v>
      </c>
      <c r="D2221" s="862"/>
      <c r="H2221" s="845" t="s">
        <v>1010</v>
      </c>
    </row>
    <row r="2222" spans="1:10" x14ac:dyDescent="0.2">
      <c r="A2222" s="859">
        <f t="shared" si="34"/>
        <v>2221</v>
      </c>
      <c r="B2222" s="845" t="s">
        <v>2554</v>
      </c>
      <c r="D2222" s="862"/>
      <c r="H2222" s="845" t="s">
        <v>1007</v>
      </c>
    </row>
    <row r="2223" spans="1:10" x14ac:dyDescent="0.2">
      <c r="A2223" s="859">
        <f t="shared" si="34"/>
        <v>2222</v>
      </c>
      <c r="B2223" s="845" t="s">
        <v>2554</v>
      </c>
      <c r="D2223" s="861"/>
      <c r="I2223" s="845" t="s">
        <v>1008</v>
      </c>
    </row>
    <row r="2224" spans="1:10" x14ac:dyDescent="0.2">
      <c r="A2224" s="859">
        <f t="shared" si="34"/>
        <v>2223</v>
      </c>
      <c r="B2224" s="845" t="s">
        <v>2554</v>
      </c>
      <c r="D2224" s="861"/>
      <c r="J2224" s="845" t="s">
        <v>1392</v>
      </c>
    </row>
    <row r="2225" spans="1:10" x14ac:dyDescent="0.2">
      <c r="A2225" s="859">
        <f t="shared" si="34"/>
        <v>2224</v>
      </c>
      <c r="B2225" s="845" t="s">
        <v>2554</v>
      </c>
      <c r="D2225" s="862"/>
      <c r="I2225" s="845" t="s">
        <v>1009</v>
      </c>
    </row>
    <row r="2226" spans="1:10" x14ac:dyDescent="0.2">
      <c r="A2226" s="859">
        <f t="shared" si="34"/>
        <v>2225</v>
      </c>
      <c r="B2226" s="845" t="s">
        <v>2554</v>
      </c>
      <c r="D2226" s="863"/>
      <c r="I2226" s="845" t="str">
        <f>CONCATENATE("&lt;valeur&gt;",Cellule_11296,"&lt;/valeur&gt;")</f>
        <v>&lt;valeur&gt;0&lt;/valeur&gt;</v>
      </c>
    </row>
    <row r="2227" spans="1:10" x14ac:dyDescent="0.2">
      <c r="A2227" s="859">
        <f t="shared" si="34"/>
        <v>2226</v>
      </c>
      <c r="B2227" s="845" t="s">
        <v>2554</v>
      </c>
      <c r="D2227" s="862"/>
      <c r="H2227" s="845" t="s">
        <v>1010</v>
      </c>
    </row>
    <row r="2228" spans="1:10" x14ac:dyDescent="0.2">
      <c r="A2228" s="859">
        <f t="shared" si="34"/>
        <v>2227</v>
      </c>
      <c r="B2228" s="845" t="s">
        <v>2554</v>
      </c>
      <c r="D2228" s="862"/>
      <c r="H2228" s="845" t="s">
        <v>1007</v>
      </c>
    </row>
    <row r="2229" spans="1:10" x14ac:dyDescent="0.2">
      <c r="A2229" s="859">
        <f t="shared" si="34"/>
        <v>2228</v>
      </c>
      <c r="B2229" s="845" t="s">
        <v>2554</v>
      </c>
      <c r="D2229" s="861"/>
      <c r="I2229" s="845" t="s">
        <v>1008</v>
      </c>
    </row>
    <row r="2230" spans="1:10" x14ac:dyDescent="0.2">
      <c r="A2230" s="859">
        <f t="shared" si="34"/>
        <v>2229</v>
      </c>
      <c r="B2230" s="845" t="s">
        <v>2554</v>
      </c>
      <c r="D2230" s="861"/>
      <c r="J2230" s="845" t="s">
        <v>1393</v>
      </c>
    </row>
    <row r="2231" spans="1:10" x14ac:dyDescent="0.2">
      <c r="A2231" s="859">
        <f t="shared" si="34"/>
        <v>2230</v>
      </c>
      <c r="B2231" s="845" t="s">
        <v>2554</v>
      </c>
      <c r="D2231" s="862"/>
      <c r="I2231" s="845" t="s">
        <v>1009</v>
      </c>
    </row>
    <row r="2232" spans="1:10" x14ac:dyDescent="0.2">
      <c r="A2232" s="859">
        <f t="shared" si="34"/>
        <v>2231</v>
      </c>
      <c r="B2232" s="845" t="s">
        <v>2554</v>
      </c>
      <c r="D2232" s="863"/>
      <c r="I2232" s="845" t="str">
        <f>CONCATENATE("&lt;valeur&gt;",Cellule_11301,"&lt;/valeur&gt;")</f>
        <v>&lt;valeur&gt;0&lt;/valeur&gt;</v>
      </c>
    </row>
    <row r="2233" spans="1:10" x14ac:dyDescent="0.2">
      <c r="A2233" s="859">
        <f t="shared" si="34"/>
        <v>2232</v>
      </c>
      <c r="B2233" s="845" t="s">
        <v>2554</v>
      </c>
      <c r="D2233" s="862"/>
      <c r="H2233" s="845" t="s">
        <v>1010</v>
      </c>
    </row>
    <row r="2234" spans="1:10" x14ac:dyDescent="0.2">
      <c r="A2234" s="859">
        <f t="shared" si="34"/>
        <v>2233</v>
      </c>
      <c r="B2234" s="845" t="s">
        <v>2554</v>
      </c>
      <c r="D2234" s="862"/>
      <c r="H2234" s="845" t="s">
        <v>1007</v>
      </c>
    </row>
    <row r="2235" spans="1:10" x14ac:dyDescent="0.2">
      <c r="A2235" s="859">
        <f t="shared" si="34"/>
        <v>2234</v>
      </c>
      <c r="B2235" s="845" t="s">
        <v>2554</v>
      </c>
      <c r="D2235" s="861"/>
      <c r="I2235" s="845" t="s">
        <v>1008</v>
      </c>
    </row>
    <row r="2236" spans="1:10" x14ac:dyDescent="0.2">
      <c r="A2236" s="859">
        <f t="shared" si="34"/>
        <v>2235</v>
      </c>
      <c r="B2236" s="845" t="s">
        <v>2554</v>
      </c>
      <c r="D2236" s="861"/>
      <c r="J2236" s="845" t="s">
        <v>1394</v>
      </c>
    </row>
    <row r="2237" spans="1:10" x14ac:dyDescent="0.2">
      <c r="A2237" s="859">
        <f t="shared" si="34"/>
        <v>2236</v>
      </c>
      <c r="B2237" s="845" t="s">
        <v>2554</v>
      </c>
      <c r="D2237" s="862"/>
      <c r="I2237" s="845" t="s">
        <v>1009</v>
      </c>
    </row>
    <row r="2238" spans="1:10" x14ac:dyDescent="0.2">
      <c r="A2238" s="859">
        <f t="shared" si="34"/>
        <v>2237</v>
      </c>
      <c r="B2238" s="845" t="s">
        <v>2554</v>
      </c>
      <c r="D2238" s="863"/>
      <c r="I2238" s="845" t="str">
        <f>CONCATENATE("&lt;valeur&gt;",Cellule_11306,"&lt;/valeur&gt;")</f>
        <v>&lt;valeur&gt;0&lt;/valeur&gt;</v>
      </c>
    </row>
    <row r="2239" spans="1:10" x14ac:dyDescent="0.2">
      <c r="A2239" s="859">
        <f t="shared" si="34"/>
        <v>2238</v>
      </c>
      <c r="B2239" s="845" t="s">
        <v>2554</v>
      </c>
      <c r="D2239" s="862"/>
      <c r="H2239" s="845" t="s">
        <v>1010</v>
      </c>
    </row>
    <row r="2240" spans="1:10" x14ac:dyDescent="0.2">
      <c r="A2240" s="859">
        <f t="shared" si="34"/>
        <v>2239</v>
      </c>
      <c r="B2240" s="845" t="s">
        <v>2554</v>
      </c>
      <c r="D2240" s="862"/>
      <c r="H2240" s="845" t="s">
        <v>1007</v>
      </c>
    </row>
    <row r="2241" spans="1:10" x14ac:dyDescent="0.2">
      <c r="A2241" s="859">
        <f t="shared" si="34"/>
        <v>2240</v>
      </c>
      <c r="B2241" s="845" t="s">
        <v>2554</v>
      </c>
      <c r="D2241" s="861"/>
      <c r="I2241" s="845" t="s">
        <v>1008</v>
      </c>
    </row>
    <row r="2242" spans="1:10" x14ac:dyDescent="0.2">
      <c r="A2242" s="859">
        <f t="shared" si="34"/>
        <v>2241</v>
      </c>
      <c r="B2242" s="845" t="s">
        <v>2554</v>
      </c>
      <c r="D2242" s="861"/>
      <c r="J2242" s="845" t="s">
        <v>1395</v>
      </c>
    </row>
    <row r="2243" spans="1:10" x14ac:dyDescent="0.2">
      <c r="A2243" s="859">
        <f t="shared" si="34"/>
        <v>2242</v>
      </c>
      <c r="B2243" s="845" t="s">
        <v>2554</v>
      </c>
      <c r="D2243" s="862"/>
      <c r="I2243" s="845" t="s">
        <v>1009</v>
      </c>
    </row>
    <row r="2244" spans="1:10" x14ac:dyDescent="0.2">
      <c r="A2244" s="859">
        <f t="shared" ref="A2244:A2307" si="35">+A2243+1</f>
        <v>2243</v>
      </c>
      <c r="B2244" s="845" t="s">
        <v>2554</v>
      </c>
      <c r="D2244" s="863"/>
      <c r="I2244" s="845" t="str">
        <f>CONCATENATE("&lt;valeur&gt;",Cellule_11311,"&lt;/valeur&gt;")</f>
        <v>&lt;valeur&gt;0&lt;/valeur&gt;</v>
      </c>
    </row>
    <row r="2245" spans="1:10" x14ac:dyDescent="0.2">
      <c r="A2245" s="859">
        <f t="shared" si="35"/>
        <v>2244</v>
      </c>
      <c r="B2245" s="845" t="s">
        <v>2554</v>
      </c>
      <c r="D2245" s="862"/>
      <c r="H2245" s="845" t="s">
        <v>1010</v>
      </c>
    </row>
    <row r="2246" spans="1:10" x14ac:dyDescent="0.2">
      <c r="A2246" s="859">
        <f t="shared" si="35"/>
        <v>2245</v>
      </c>
      <c r="B2246" s="845" t="s">
        <v>2554</v>
      </c>
      <c r="D2246" s="862"/>
      <c r="H2246" s="845" t="s">
        <v>1007</v>
      </c>
    </row>
    <row r="2247" spans="1:10" x14ac:dyDescent="0.2">
      <c r="A2247" s="859">
        <f t="shared" si="35"/>
        <v>2246</v>
      </c>
      <c r="B2247" s="845" t="s">
        <v>2554</v>
      </c>
      <c r="D2247" s="861"/>
      <c r="I2247" s="845" t="s">
        <v>1008</v>
      </c>
    </row>
    <row r="2248" spans="1:10" x14ac:dyDescent="0.2">
      <c r="A2248" s="859">
        <f t="shared" si="35"/>
        <v>2247</v>
      </c>
      <c r="B2248" s="845" t="s">
        <v>2554</v>
      </c>
      <c r="D2248" s="861"/>
      <c r="J2248" s="845" t="s">
        <v>1396</v>
      </c>
    </row>
    <row r="2249" spans="1:10" x14ac:dyDescent="0.2">
      <c r="A2249" s="859">
        <f t="shared" si="35"/>
        <v>2248</v>
      </c>
      <c r="B2249" s="845" t="s">
        <v>2554</v>
      </c>
      <c r="D2249" s="862"/>
      <c r="I2249" s="845" t="s">
        <v>1009</v>
      </c>
    </row>
    <row r="2250" spans="1:10" x14ac:dyDescent="0.2">
      <c r="A2250" s="859">
        <f t="shared" si="35"/>
        <v>2249</v>
      </c>
      <c r="B2250" s="845" t="s">
        <v>2554</v>
      </c>
      <c r="D2250" s="863"/>
      <c r="I2250" s="845" t="str">
        <f>CONCATENATE("&lt;valeur&gt;",Cellule_11316,"&lt;/valeur&gt;")</f>
        <v>&lt;valeur&gt;0&lt;/valeur&gt;</v>
      </c>
    </row>
    <row r="2251" spans="1:10" x14ac:dyDescent="0.2">
      <c r="A2251" s="859">
        <f t="shared" si="35"/>
        <v>2250</v>
      </c>
      <c r="B2251" s="845" t="s">
        <v>2554</v>
      </c>
      <c r="D2251" s="862"/>
      <c r="H2251" s="845" t="s">
        <v>1010</v>
      </c>
    </row>
    <row r="2252" spans="1:10" x14ac:dyDescent="0.2">
      <c r="A2252" s="859">
        <f t="shared" si="35"/>
        <v>2251</v>
      </c>
      <c r="B2252" s="845" t="s">
        <v>2554</v>
      </c>
      <c r="D2252" s="862"/>
      <c r="H2252" s="845" t="s">
        <v>1007</v>
      </c>
    </row>
    <row r="2253" spans="1:10" x14ac:dyDescent="0.2">
      <c r="A2253" s="859">
        <f t="shared" si="35"/>
        <v>2252</v>
      </c>
      <c r="B2253" s="845" t="s">
        <v>2554</v>
      </c>
      <c r="D2253" s="861"/>
      <c r="I2253" s="845" t="s">
        <v>1008</v>
      </c>
    </row>
    <row r="2254" spans="1:10" x14ac:dyDescent="0.2">
      <c r="A2254" s="859">
        <f t="shared" si="35"/>
        <v>2253</v>
      </c>
      <c r="B2254" s="845" t="s">
        <v>2554</v>
      </c>
      <c r="D2254" s="861"/>
      <c r="J2254" s="845" t="s">
        <v>1397</v>
      </c>
    </row>
    <row r="2255" spans="1:10" x14ac:dyDescent="0.2">
      <c r="A2255" s="859">
        <f t="shared" si="35"/>
        <v>2254</v>
      </c>
      <c r="B2255" s="845" t="s">
        <v>2554</v>
      </c>
      <c r="D2255" s="862"/>
      <c r="I2255" s="845" t="s">
        <v>1009</v>
      </c>
    </row>
    <row r="2256" spans="1:10" x14ac:dyDescent="0.2">
      <c r="A2256" s="859">
        <f t="shared" si="35"/>
        <v>2255</v>
      </c>
      <c r="B2256" s="845" t="s">
        <v>2554</v>
      </c>
      <c r="D2256" s="863"/>
      <c r="I2256" s="845" t="str">
        <f>CONCATENATE("&lt;valeur&gt;",Cellule_11321,"&lt;/valeur&gt;")</f>
        <v>&lt;valeur&gt;0&lt;/valeur&gt;</v>
      </c>
    </row>
    <row r="2257" spans="1:10" x14ac:dyDescent="0.2">
      <c r="A2257" s="859">
        <f t="shared" si="35"/>
        <v>2256</v>
      </c>
      <c r="B2257" s="845" t="s">
        <v>2554</v>
      </c>
      <c r="D2257" s="862"/>
      <c r="H2257" s="845" t="s">
        <v>1010</v>
      </c>
    </row>
    <row r="2258" spans="1:10" x14ac:dyDescent="0.2">
      <c r="A2258" s="859">
        <f t="shared" si="35"/>
        <v>2257</v>
      </c>
      <c r="B2258" s="845" t="s">
        <v>2554</v>
      </c>
      <c r="D2258" s="862"/>
      <c r="H2258" s="845" t="s">
        <v>1007</v>
      </c>
    </row>
    <row r="2259" spans="1:10" x14ac:dyDescent="0.2">
      <c r="A2259" s="859">
        <f t="shared" si="35"/>
        <v>2258</v>
      </c>
      <c r="B2259" s="845" t="s">
        <v>2554</v>
      </c>
      <c r="D2259" s="861"/>
      <c r="I2259" s="845" t="s">
        <v>1008</v>
      </c>
    </row>
    <row r="2260" spans="1:10" x14ac:dyDescent="0.2">
      <c r="A2260" s="859">
        <f t="shared" si="35"/>
        <v>2259</v>
      </c>
      <c r="B2260" s="845" t="s">
        <v>2554</v>
      </c>
      <c r="D2260" s="861"/>
      <c r="J2260" s="845" t="s">
        <v>1398</v>
      </c>
    </row>
    <row r="2261" spans="1:10" x14ac:dyDescent="0.2">
      <c r="A2261" s="859">
        <f t="shared" si="35"/>
        <v>2260</v>
      </c>
      <c r="B2261" s="845" t="s">
        <v>2554</v>
      </c>
      <c r="D2261" s="862"/>
      <c r="I2261" s="845" t="s">
        <v>1009</v>
      </c>
    </row>
    <row r="2262" spans="1:10" x14ac:dyDescent="0.2">
      <c r="A2262" s="859">
        <f t="shared" si="35"/>
        <v>2261</v>
      </c>
      <c r="B2262" s="845" t="s">
        <v>2554</v>
      </c>
      <c r="D2262" s="863"/>
      <c r="I2262" s="845" t="str">
        <f>CONCATENATE("&lt;valeur&gt;",Cellule_11326,"&lt;/valeur&gt;")</f>
        <v>&lt;valeur&gt;0&lt;/valeur&gt;</v>
      </c>
    </row>
    <row r="2263" spans="1:10" x14ac:dyDescent="0.2">
      <c r="A2263" s="859">
        <f t="shared" si="35"/>
        <v>2262</v>
      </c>
      <c r="B2263" s="845" t="s">
        <v>2554</v>
      </c>
      <c r="D2263" s="862"/>
      <c r="H2263" s="845" t="s">
        <v>1010</v>
      </c>
    </row>
    <row r="2264" spans="1:10" x14ac:dyDescent="0.2">
      <c r="A2264" s="859">
        <f t="shared" si="35"/>
        <v>2263</v>
      </c>
      <c r="B2264" s="845" t="s">
        <v>2554</v>
      </c>
      <c r="D2264" s="862"/>
      <c r="H2264" s="845" t="s">
        <v>1007</v>
      </c>
    </row>
    <row r="2265" spans="1:10" x14ac:dyDescent="0.2">
      <c r="A2265" s="859">
        <f t="shared" si="35"/>
        <v>2264</v>
      </c>
      <c r="B2265" s="845" t="s">
        <v>2554</v>
      </c>
      <c r="D2265" s="861"/>
      <c r="I2265" s="845" t="s">
        <v>1008</v>
      </c>
    </row>
    <row r="2266" spans="1:10" x14ac:dyDescent="0.2">
      <c r="A2266" s="859">
        <f t="shared" si="35"/>
        <v>2265</v>
      </c>
      <c r="B2266" s="845" t="s">
        <v>2554</v>
      </c>
      <c r="D2266" s="861"/>
      <c r="J2266" s="845" t="s">
        <v>1399</v>
      </c>
    </row>
    <row r="2267" spans="1:10" x14ac:dyDescent="0.2">
      <c r="A2267" s="859">
        <f t="shared" si="35"/>
        <v>2266</v>
      </c>
      <c r="B2267" s="845" t="s">
        <v>2554</v>
      </c>
      <c r="D2267" s="862"/>
      <c r="I2267" s="845" t="s">
        <v>1009</v>
      </c>
    </row>
    <row r="2268" spans="1:10" x14ac:dyDescent="0.2">
      <c r="A2268" s="859">
        <f t="shared" si="35"/>
        <v>2267</v>
      </c>
      <c r="B2268" s="845" t="s">
        <v>2554</v>
      </c>
      <c r="D2268" s="863"/>
      <c r="I2268" s="845" t="str">
        <f>CONCATENATE("&lt;valeur&gt;",Cellule_11272,"&lt;/valeur&gt;")</f>
        <v>&lt;valeur&gt;0&lt;/valeur&gt;</v>
      </c>
    </row>
    <row r="2269" spans="1:10" x14ac:dyDescent="0.2">
      <c r="A2269" s="859">
        <f t="shared" si="35"/>
        <v>2268</v>
      </c>
      <c r="B2269" s="845" t="s">
        <v>2554</v>
      </c>
      <c r="D2269" s="862"/>
      <c r="H2269" s="845" t="s">
        <v>1010</v>
      </c>
    </row>
    <row r="2270" spans="1:10" x14ac:dyDescent="0.2">
      <c r="A2270" s="859">
        <f t="shared" si="35"/>
        <v>2269</v>
      </c>
      <c r="B2270" s="845" t="s">
        <v>2554</v>
      </c>
      <c r="D2270" s="862"/>
      <c r="H2270" s="845" t="s">
        <v>1007</v>
      </c>
    </row>
    <row r="2271" spans="1:10" x14ac:dyDescent="0.2">
      <c r="A2271" s="859">
        <f t="shared" si="35"/>
        <v>2270</v>
      </c>
      <c r="B2271" s="845" t="s">
        <v>2554</v>
      </c>
      <c r="D2271" s="861"/>
      <c r="I2271" s="845" t="s">
        <v>1008</v>
      </c>
    </row>
    <row r="2272" spans="1:10" x14ac:dyDescent="0.2">
      <c r="A2272" s="859">
        <f t="shared" si="35"/>
        <v>2271</v>
      </c>
      <c r="B2272" s="845" t="s">
        <v>2554</v>
      </c>
      <c r="D2272" s="861"/>
      <c r="J2272" s="845" t="s">
        <v>1400</v>
      </c>
    </row>
    <row r="2273" spans="1:10" x14ac:dyDescent="0.2">
      <c r="A2273" s="859">
        <f t="shared" si="35"/>
        <v>2272</v>
      </c>
      <c r="B2273" s="845" t="s">
        <v>2554</v>
      </c>
      <c r="D2273" s="862"/>
      <c r="I2273" s="845" t="s">
        <v>1009</v>
      </c>
    </row>
    <row r="2274" spans="1:10" x14ac:dyDescent="0.2">
      <c r="A2274" s="859">
        <f t="shared" si="35"/>
        <v>2273</v>
      </c>
      <c r="B2274" s="845" t="s">
        <v>2554</v>
      </c>
      <c r="D2274" s="863"/>
      <c r="I2274" s="845" t="str">
        <f>CONCATENATE("&lt;valeur&gt;",Cellule_11277,"&lt;/valeur&gt;")</f>
        <v>&lt;valeur&gt;0&lt;/valeur&gt;</v>
      </c>
    </row>
    <row r="2275" spans="1:10" x14ac:dyDescent="0.2">
      <c r="A2275" s="859">
        <f t="shared" si="35"/>
        <v>2274</v>
      </c>
      <c r="B2275" s="845" t="s">
        <v>2554</v>
      </c>
      <c r="D2275" s="862"/>
      <c r="H2275" s="845" t="s">
        <v>1010</v>
      </c>
    </row>
    <row r="2276" spans="1:10" x14ac:dyDescent="0.2">
      <c r="A2276" s="859">
        <f t="shared" si="35"/>
        <v>2275</v>
      </c>
      <c r="B2276" s="845" t="s">
        <v>2554</v>
      </c>
      <c r="D2276" s="862"/>
      <c r="H2276" s="845" t="s">
        <v>1007</v>
      </c>
    </row>
    <row r="2277" spans="1:10" x14ac:dyDescent="0.2">
      <c r="A2277" s="859">
        <f t="shared" si="35"/>
        <v>2276</v>
      </c>
      <c r="B2277" s="845" t="s">
        <v>2554</v>
      </c>
      <c r="D2277" s="861"/>
      <c r="I2277" s="845" t="s">
        <v>1008</v>
      </c>
    </row>
    <row r="2278" spans="1:10" x14ac:dyDescent="0.2">
      <c r="A2278" s="859">
        <f t="shared" si="35"/>
        <v>2277</v>
      </c>
      <c r="B2278" s="845" t="s">
        <v>2554</v>
      </c>
      <c r="D2278" s="861"/>
      <c r="J2278" s="845" t="s">
        <v>1401</v>
      </c>
    </row>
    <row r="2279" spans="1:10" x14ac:dyDescent="0.2">
      <c r="A2279" s="859">
        <f t="shared" si="35"/>
        <v>2278</v>
      </c>
      <c r="B2279" s="845" t="s">
        <v>2554</v>
      </c>
      <c r="D2279" s="862"/>
      <c r="I2279" s="845" t="s">
        <v>1009</v>
      </c>
    </row>
    <row r="2280" spans="1:10" x14ac:dyDescent="0.2">
      <c r="A2280" s="859">
        <f t="shared" si="35"/>
        <v>2279</v>
      </c>
      <c r="B2280" s="845" t="s">
        <v>2554</v>
      </c>
      <c r="D2280" s="863"/>
      <c r="I2280" s="845" t="str">
        <f>CONCATENATE("&lt;valeur&gt;",Cellule_11282,"&lt;/valeur&gt;")</f>
        <v>&lt;valeur&gt;0&lt;/valeur&gt;</v>
      </c>
    </row>
    <row r="2281" spans="1:10" x14ac:dyDescent="0.2">
      <c r="A2281" s="859">
        <f t="shared" si="35"/>
        <v>2280</v>
      </c>
      <c r="B2281" s="845" t="s">
        <v>2554</v>
      </c>
      <c r="D2281" s="862"/>
      <c r="H2281" s="845" t="s">
        <v>1010</v>
      </c>
    </row>
    <row r="2282" spans="1:10" x14ac:dyDescent="0.2">
      <c r="A2282" s="859">
        <f t="shared" si="35"/>
        <v>2281</v>
      </c>
      <c r="B2282" s="845" t="s">
        <v>2554</v>
      </c>
      <c r="D2282" s="862"/>
      <c r="H2282" s="845" t="s">
        <v>1007</v>
      </c>
    </row>
    <row r="2283" spans="1:10" x14ac:dyDescent="0.2">
      <c r="A2283" s="859">
        <f t="shared" si="35"/>
        <v>2282</v>
      </c>
      <c r="B2283" s="845" t="s">
        <v>2554</v>
      </c>
      <c r="D2283" s="861"/>
      <c r="I2283" s="845" t="s">
        <v>1008</v>
      </c>
    </row>
    <row r="2284" spans="1:10" x14ac:dyDescent="0.2">
      <c r="A2284" s="859">
        <f t="shared" si="35"/>
        <v>2283</v>
      </c>
      <c r="B2284" s="845" t="s">
        <v>2554</v>
      </c>
      <c r="D2284" s="861"/>
      <c r="J2284" s="845" t="s">
        <v>1402</v>
      </c>
    </row>
    <row r="2285" spans="1:10" x14ac:dyDescent="0.2">
      <c r="A2285" s="859">
        <f t="shared" si="35"/>
        <v>2284</v>
      </c>
      <c r="B2285" s="845" t="s">
        <v>2554</v>
      </c>
      <c r="D2285" s="862"/>
      <c r="I2285" s="845" t="s">
        <v>1009</v>
      </c>
    </row>
    <row r="2286" spans="1:10" x14ac:dyDescent="0.2">
      <c r="A2286" s="859">
        <f t="shared" si="35"/>
        <v>2285</v>
      </c>
      <c r="B2286" s="845" t="s">
        <v>2554</v>
      </c>
      <c r="D2286" s="863"/>
      <c r="I2286" s="845" t="str">
        <f>CONCATENATE("&lt;valeur&gt;",Cellule_11287,"&lt;/valeur&gt;")</f>
        <v>&lt;valeur&gt;0&lt;/valeur&gt;</v>
      </c>
    </row>
    <row r="2287" spans="1:10" x14ac:dyDescent="0.2">
      <c r="A2287" s="859">
        <f t="shared" si="35"/>
        <v>2286</v>
      </c>
      <c r="B2287" s="845" t="s">
        <v>2554</v>
      </c>
      <c r="D2287" s="862"/>
      <c r="H2287" s="845" t="s">
        <v>1010</v>
      </c>
    </row>
    <row r="2288" spans="1:10" x14ac:dyDescent="0.2">
      <c r="A2288" s="859">
        <f t="shared" si="35"/>
        <v>2287</v>
      </c>
      <c r="B2288" s="845" t="s">
        <v>2554</v>
      </c>
      <c r="D2288" s="862"/>
      <c r="H2288" s="845" t="s">
        <v>1007</v>
      </c>
    </row>
    <row r="2289" spans="1:10" x14ac:dyDescent="0.2">
      <c r="A2289" s="859">
        <f t="shared" si="35"/>
        <v>2288</v>
      </c>
      <c r="B2289" s="845" t="s">
        <v>2554</v>
      </c>
      <c r="D2289" s="861"/>
      <c r="I2289" s="845" t="s">
        <v>1008</v>
      </c>
    </row>
    <row r="2290" spans="1:10" x14ac:dyDescent="0.2">
      <c r="A2290" s="859">
        <f t="shared" si="35"/>
        <v>2289</v>
      </c>
      <c r="B2290" s="845" t="s">
        <v>2554</v>
      </c>
      <c r="D2290" s="861"/>
      <c r="J2290" s="845" t="s">
        <v>1403</v>
      </c>
    </row>
    <row r="2291" spans="1:10" x14ac:dyDescent="0.2">
      <c r="A2291" s="859">
        <f t="shared" si="35"/>
        <v>2290</v>
      </c>
      <c r="B2291" s="845" t="s">
        <v>2554</v>
      </c>
      <c r="D2291" s="862"/>
      <c r="I2291" s="845" t="s">
        <v>1009</v>
      </c>
    </row>
    <row r="2292" spans="1:10" x14ac:dyDescent="0.2">
      <c r="A2292" s="859">
        <f t="shared" si="35"/>
        <v>2291</v>
      </c>
      <c r="B2292" s="845" t="s">
        <v>2554</v>
      </c>
      <c r="D2292" s="863"/>
      <c r="I2292" s="845" t="str">
        <f>CONCATENATE("&lt;valeur&gt;",Cellule_11292,"&lt;/valeur&gt;")</f>
        <v>&lt;valeur&gt;0&lt;/valeur&gt;</v>
      </c>
    </row>
    <row r="2293" spans="1:10" x14ac:dyDescent="0.2">
      <c r="A2293" s="859">
        <f t="shared" si="35"/>
        <v>2292</v>
      </c>
      <c r="B2293" s="845" t="s">
        <v>2554</v>
      </c>
      <c r="D2293" s="862"/>
      <c r="H2293" s="845" t="s">
        <v>1010</v>
      </c>
    </row>
    <row r="2294" spans="1:10" x14ac:dyDescent="0.2">
      <c r="A2294" s="859">
        <f t="shared" si="35"/>
        <v>2293</v>
      </c>
      <c r="B2294" s="845" t="s">
        <v>2554</v>
      </c>
      <c r="D2294" s="862"/>
      <c r="H2294" s="845" t="s">
        <v>1007</v>
      </c>
    </row>
    <row r="2295" spans="1:10" x14ac:dyDescent="0.2">
      <c r="A2295" s="859">
        <f t="shared" si="35"/>
        <v>2294</v>
      </c>
      <c r="B2295" s="845" t="s">
        <v>2554</v>
      </c>
      <c r="D2295" s="861"/>
      <c r="I2295" s="845" t="s">
        <v>1008</v>
      </c>
    </row>
    <row r="2296" spans="1:10" x14ac:dyDescent="0.2">
      <c r="A2296" s="859">
        <f t="shared" si="35"/>
        <v>2295</v>
      </c>
      <c r="B2296" s="845" t="s">
        <v>2554</v>
      </c>
      <c r="D2296" s="861"/>
      <c r="J2296" s="845" t="s">
        <v>1404</v>
      </c>
    </row>
    <row r="2297" spans="1:10" x14ac:dyDescent="0.2">
      <c r="A2297" s="859">
        <f t="shared" si="35"/>
        <v>2296</v>
      </c>
      <c r="B2297" s="845" t="s">
        <v>2554</v>
      </c>
      <c r="D2297" s="862"/>
      <c r="I2297" s="845" t="s">
        <v>1009</v>
      </c>
    </row>
    <row r="2298" spans="1:10" x14ac:dyDescent="0.2">
      <c r="A2298" s="859">
        <f t="shared" si="35"/>
        <v>2297</v>
      </c>
      <c r="B2298" s="845" t="s">
        <v>2554</v>
      </c>
      <c r="D2298" s="863"/>
      <c r="I2298" s="845" t="str">
        <f>CONCATENATE("&lt;valeur&gt;",Cellule_11332,"&lt;/valeur&gt;")</f>
        <v>&lt;valeur&gt;0&lt;/valeur&gt;</v>
      </c>
    </row>
    <row r="2299" spans="1:10" x14ac:dyDescent="0.2">
      <c r="A2299" s="859">
        <f t="shared" si="35"/>
        <v>2298</v>
      </c>
      <c r="B2299" s="845" t="s">
        <v>2554</v>
      </c>
      <c r="D2299" s="862"/>
      <c r="H2299" s="845" t="s">
        <v>1010</v>
      </c>
    </row>
    <row r="2300" spans="1:10" x14ac:dyDescent="0.2">
      <c r="A2300" s="859">
        <f t="shared" si="35"/>
        <v>2299</v>
      </c>
      <c r="B2300" s="845" t="s">
        <v>2554</v>
      </c>
      <c r="D2300" s="862"/>
      <c r="H2300" s="845" t="s">
        <v>1007</v>
      </c>
    </row>
    <row r="2301" spans="1:10" x14ac:dyDescent="0.2">
      <c r="A2301" s="859">
        <f t="shared" si="35"/>
        <v>2300</v>
      </c>
      <c r="B2301" s="845" t="s">
        <v>2554</v>
      </c>
      <c r="D2301" s="861"/>
      <c r="I2301" s="845" t="s">
        <v>1008</v>
      </c>
    </row>
    <row r="2302" spans="1:10" x14ac:dyDescent="0.2">
      <c r="A2302" s="859">
        <f t="shared" si="35"/>
        <v>2301</v>
      </c>
      <c r="B2302" s="845" t="s">
        <v>2554</v>
      </c>
      <c r="D2302" s="861"/>
      <c r="J2302" s="845" t="s">
        <v>1405</v>
      </c>
    </row>
    <row r="2303" spans="1:10" x14ac:dyDescent="0.2">
      <c r="A2303" s="859">
        <f t="shared" si="35"/>
        <v>2302</v>
      </c>
      <c r="B2303" s="845" t="s">
        <v>2554</v>
      </c>
      <c r="D2303" s="862"/>
      <c r="I2303" s="845" t="s">
        <v>1009</v>
      </c>
    </row>
    <row r="2304" spans="1:10" x14ac:dyDescent="0.2">
      <c r="A2304" s="859">
        <f t="shared" si="35"/>
        <v>2303</v>
      </c>
      <c r="B2304" s="845" t="s">
        <v>2554</v>
      </c>
      <c r="D2304" s="863"/>
      <c r="I2304" s="845" t="str">
        <f>CONCATENATE("&lt;valeur&gt;",Cellule_11297,"&lt;/valeur&gt;")</f>
        <v>&lt;valeur&gt;0&lt;/valeur&gt;</v>
      </c>
    </row>
    <row r="2305" spans="1:10" x14ac:dyDescent="0.2">
      <c r="A2305" s="859">
        <f t="shared" si="35"/>
        <v>2304</v>
      </c>
      <c r="B2305" s="845" t="s">
        <v>2554</v>
      </c>
      <c r="D2305" s="862"/>
      <c r="H2305" s="845" t="s">
        <v>1010</v>
      </c>
    </row>
    <row r="2306" spans="1:10" x14ac:dyDescent="0.2">
      <c r="A2306" s="859">
        <f t="shared" si="35"/>
        <v>2305</v>
      </c>
      <c r="B2306" s="845" t="s">
        <v>2554</v>
      </c>
      <c r="D2306" s="862"/>
      <c r="H2306" s="845" t="s">
        <v>1007</v>
      </c>
    </row>
    <row r="2307" spans="1:10" x14ac:dyDescent="0.2">
      <c r="A2307" s="859">
        <f t="shared" si="35"/>
        <v>2306</v>
      </c>
      <c r="B2307" s="845" t="s">
        <v>2554</v>
      </c>
      <c r="D2307" s="861"/>
      <c r="I2307" s="845" t="s">
        <v>1008</v>
      </c>
    </row>
    <row r="2308" spans="1:10" x14ac:dyDescent="0.2">
      <c r="A2308" s="859">
        <f t="shared" ref="A2308:A2371" si="36">+A2307+1</f>
        <v>2307</v>
      </c>
      <c r="B2308" s="845" t="s">
        <v>2554</v>
      </c>
      <c r="D2308" s="861"/>
      <c r="J2308" s="845" t="s">
        <v>1406</v>
      </c>
    </row>
    <row r="2309" spans="1:10" x14ac:dyDescent="0.2">
      <c r="A2309" s="859">
        <f t="shared" si="36"/>
        <v>2308</v>
      </c>
      <c r="B2309" s="845" t="s">
        <v>2554</v>
      </c>
      <c r="D2309" s="862"/>
      <c r="I2309" s="845" t="s">
        <v>1009</v>
      </c>
    </row>
    <row r="2310" spans="1:10" x14ac:dyDescent="0.2">
      <c r="A2310" s="859">
        <f t="shared" si="36"/>
        <v>2309</v>
      </c>
      <c r="B2310" s="845" t="s">
        <v>2554</v>
      </c>
      <c r="D2310" s="863"/>
      <c r="I2310" s="845" t="str">
        <f>CONCATENATE("&lt;valeur&gt;",Cellule_11302,"&lt;/valeur&gt;")</f>
        <v>&lt;valeur&gt;0&lt;/valeur&gt;</v>
      </c>
    </row>
    <row r="2311" spans="1:10" x14ac:dyDescent="0.2">
      <c r="A2311" s="859">
        <f t="shared" si="36"/>
        <v>2310</v>
      </c>
      <c r="B2311" s="845" t="s">
        <v>2554</v>
      </c>
      <c r="D2311" s="862"/>
      <c r="H2311" s="845" t="s">
        <v>1010</v>
      </c>
    </row>
    <row r="2312" spans="1:10" x14ac:dyDescent="0.2">
      <c r="A2312" s="859">
        <f t="shared" si="36"/>
        <v>2311</v>
      </c>
      <c r="B2312" s="845" t="s">
        <v>2554</v>
      </c>
      <c r="D2312" s="862"/>
      <c r="H2312" s="845" t="s">
        <v>1007</v>
      </c>
    </row>
    <row r="2313" spans="1:10" x14ac:dyDescent="0.2">
      <c r="A2313" s="859">
        <f t="shared" si="36"/>
        <v>2312</v>
      </c>
      <c r="B2313" s="845" t="s">
        <v>2554</v>
      </c>
      <c r="D2313" s="861"/>
      <c r="I2313" s="845" t="s">
        <v>1008</v>
      </c>
    </row>
    <row r="2314" spans="1:10" x14ac:dyDescent="0.2">
      <c r="A2314" s="859">
        <f t="shared" si="36"/>
        <v>2313</v>
      </c>
      <c r="B2314" s="845" t="s">
        <v>2554</v>
      </c>
      <c r="D2314" s="861"/>
      <c r="J2314" s="845" t="s">
        <v>1407</v>
      </c>
    </row>
    <row r="2315" spans="1:10" x14ac:dyDescent="0.2">
      <c r="A2315" s="859">
        <f t="shared" si="36"/>
        <v>2314</v>
      </c>
      <c r="B2315" s="845" t="s">
        <v>2554</v>
      </c>
      <c r="D2315" s="862"/>
      <c r="I2315" s="845" t="s">
        <v>1009</v>
      </c>
    </row>
    <row r="2316" spans="1:10" x14ac:dyDescent="0.2">
      <c r="A2316" s="859">
        <f t="shared" si="36"/>
        <v>2315</v>
      </c>
      <c r="B2316" s="845" t="s">
        <v>2554</v>
      </c>
      <c r="D2316" s="863"/>
      <c r="I2316" s="845" t="str">
        <f>CONCATENATE("&lt;valeur&gt;",Cellule_11307,"&lt;/valeur&gt;")</f>
        <v>&lt;valeur&gt;0&lt;/valeur&gt;</v>
      </c>
    </row>
    <row r="2317" spans="1:10" x14ac:dyDescent="0.2">
      <c r="A2317" s="859">
        <f t="shared" si="36"/>
        <v>2316</v>
      </c>
      <c r="B2317" s="845" t="s">
        <v>2554</v>
      </c>
      <c r="D2317" s="862"/>
      <c r="H2317" s="845" t="s">
        <v>1010</v>
      </c>
    </row>
    <row r="2318" spans="1:10" x14ac:dyDescent="0.2">
      <c r="A2318" s="859">
        <f t="shared" si="36"/>
        <v>2317</v>
      </c>
      <c r="B2318" s="845" t="s">
        <v>2554</v>
      </c>
      <c r="D2318" s="862"/>
      <c r="H2318" s="845" t="s">
        <v>1007</v>
      </c>
    </row>
    <row r="2319" spans="1:10" x14ac:dyDescent="0.2">
      <c r="A2319" s="859">
        <f t="shared" si="36"/>
        <v>2318</v>
      </c>
      <c r="B2319" s="845" t="s">
        <v>2554</v>
      </c>
      <c r="D2319" s="861"/>
      <c r="I2319" s="845" t="s">
        <v>1008</v>
      </c>
    </row>
    <row r="2320" spans="1:10" x14ac:dyDescent="0.2">
      <c r="A2320" s="859">
        <f t="shared" si="36"/>
        <v>2319</v>
      </c>
      <c r="B2320" s="845" t="s">
        <v>2554</v>
      </c>
      <c r="D2320" s="861"/>
      <c r="J2320" s="845" t="s">
        <v>1408</v>
      </c>
    </row>
    <row r="2321" spans="1:10" x14ac:dyDescent="0.2">
      <c r="A2321" s="859">
        <f t="shared" si="36"/>
        <v>2320</v>
      </c>
      <c r="B2321" s="845" t="s">
        <v>2554</v>
      </c>
      <c r="D2321" s="862"/>
      <c r="I2321" s="845" t="s">
        <v>1009</v>
      </c>
    </row>
    <row r="2322" spans="1:10" x14ac:dyDescent="0.2">
      <c r="A2322" s="859">
        <f t="shared" si="36"/>
        <v>2321</v>
      </c>
      <c r="B2322" s="845" t="s">
        <v>2554</v>
      </c>
      <c r="D2322" s="863"/>
      <c r="I2322" s="845" t="str">
        <f>CONCATENATE("&lt;valeur&gt;",Cellule_11312,"&lt;/valeur&gt;")</f>
        <v>&lt;valeur&gt;0&lt;/valeur&gt;</v>
      </c>
    </row>
    <row r="2323" spans="1:10" x14ac:dyDescent="0.2">
      <c r="A2323" s="859">
        <f t="shared" si="36"/>
        <v>2322</v>
      </c>
      <c r="B2323" s="845" t="s">
        <v>2554</v>
      </c>
      <c r="D2323" s="862"/>
      <c r="H2323" s="845" t="s">
        <v>1010</v>
      </c>
    </row>
    <row r="2324" spans="1:10" x14ac:dyDescent="0.2">
      <c r="A2324" s="859">
        <f t="shared" si="36"/>
        <v>2323</v>
      </c>
      <c r="B2324" s="845" t="s">
        <v>2554</v>
      </c>
      <c r="D2324" s="862"/>
      <c r="H2324" s="845" t="s">
        <v>1007</v>
      </c>
    </row>
    <row r="2325" spans="1:10" x14ac:dyDescent="0.2">
      <c r="A2325" s="859">
        <f t="shared" si="36"/>
        <v>2324</v>
      </c>
      <c r="B2325" s="845" t="s">
        <v>2554</v>
      </c>
      <c r="D2325" s="861"/>
      <c r="I2325" s="845" t="s">
        <v>1008</v>
      </c>
    </row>
    <row r="2326" spans="1:10" x14ac:dyDescent="0.2">
      <c r="A2326" s="859">
        <f t="shared" si="36"/>
        <v>2325</v>
      </c>
      <c r="B2326" s="845" t="s">
        <v>2554</v>
      </c>
      <c r="D2326" s="861"/>
      <c r="J2326" s="845" t="s">
        <v>1409</v>
      </c>
    </row>
    <row r="2327" spans="1:10" x14ac:dyDescent="0.2">
      <c r="A2327" s="859">
        <f t="shared" si="36"/>
        <v>2326</v>
      </c>
      <c r="B2327" s="845" t="s">
        <v>2554</v>
      </c>
      <c r="D2327" s="862"/>
      <c r="I2327" s="845" t="s">
        <v>1009</v>
      </c>
    </row>
    <row r="2328" spans="1:10" x14ac:dyDescent="0.2">
      <c r="A2328" s="859">
        <f t="shared" si="36"/>
        <v>2327</v>
      </c>
      <c r="B2328" s="845" t="s">
        <v>2554</v>
      </c>
      <c r="D2328" s="863"/>
      <c r="I2328" s="845" t="str">
        <f>CONCATENATE("&lt;valeur&gt;",Cellule_11317,"&lt;/valeur&gt;")</f>
        <v>&lt;valeur&gt;0&lt;/valeur&gt;</v>
      </c>
    </row>
    <row r="2329" spans="1:10" x14ac:dyDescent="0.2">
      <c r="A2329" s="859">
        <f t="shared" si="36"/>
        <v>2328</v>
      </c>
      <c r="B2329" s="845" t="s">
        <v>2554</v>
      </c>
      <c r="D2329" s="862"/>
      <c r="H2329" s="845" t="s">
        <v>1010</v>
      </c>
    </row>
    <row r="2330" spans="1:10" x14ac:dyDescent="0.2">
      <c r="A2330" s="859">
        <f t="shared" si="36"/>
        <v>2329</v>
      </c>
      <c r="B2330" s="845" t="s">
        <v>2554</v>
      </c>
      <c r="D2330" s="862"/>
      <c r="H2330" s="845" t="s">
        <v>1007</v>
      </c>
    </row>
    <row r="2331" spans="1:10" x14ac:dyDescent="0.2">
      <c r="A2331" s="859">
        <f t="shared" si="36"/>
        <v>2330</v>
      </c>
      <c r="B2331" s="845" t="s">
        <v>2554</v>
      </c>
      <c r="D2331" s="861"/>
      <c r="I2331" s="845" t="s">
        <v>1008</v>
      </c>
    </row>
    <row r="2332" spans="1:10" x14ac:dyDescent="0.2">
      <c r="A2332" s="859">
        <f t="shared" si="36"/>
        <v>2331</v>
      </c>
      <c r="B2332" s="845" t="s">
        <v>2554</v>
      </c>
      <c r="D2332" s="861"/>
      <c r="J2332" s="845" t="s">
        <v>1410</v>
      </c>
    </row>
    <row r="2333" spans="1:10" x14ac:dyDescent="0.2">
      <c r="A2333" s="859">
        <f t="shared" si="36"/>
        <v>2332</v>
      </c>
      <c r="B2333" s="845" t="s">
        <v>2554</v>
      </c>
      <c r="D2333" s="862"/>
      <c r="I2333" s="845" t="s">
        <v>1009</v>
      </c>
    </row>
    <row r="2334" spans="1:10" x14ac:dyDescent="0.2">
      <c r="A2334" s="859">
        <f t="shared" si="36"/>
        <v>2333</v>
      </c>
      <c r="B2334" s="845" t="s">
        <v>2554</v>
      </c>
      <c r="D2334" s="863"/>
      <c r="I2334" s="845" t="str">
        <f>CONCATENATE("&lt;valeur&gt;",Cellule_11322,"&lt;/valeur&gt;")</f>
        <v>&lt;valeur&gt;0&lt;/valeur&gt;</v>
      </c>
    </row>
    <row r="2335" spans="1:10" x14ac:dyDescent="0.2">
      <c r="A2335" s="859">
        <f t="shared" si="36"/>
        <v>2334</v>
      </c>
      <c r="B2335" s="845" t="s">
        <v>2554</v>
      </c>
      <c r="D2335" s="862"/>
      <c r="H2335" s="845" t="s">
        <v>1010</v>
      </c>
    </row>
    <row r="2336" spans="1:10" x14ac:dyDescent="0.2">
      <c r="A2336" s="859">
        <f t="shared" si="36"/>
        <v>2335</v>
      </c>
      <c r="B2336" s="845" t="s">
        <v>2554</v>
      </c>
      <c r="D2336" s="862"/>
      <c r="H2336" s="845" t="s">
        <v>1007</v>
      </c>
    </row>
    <row r="2337" spans="1:10" x14ac:dyDescent="0.2">
      <c r="A2337" s="859">
        <f t="shared" si="36"/>
        <v>2336</v>
      </c>
      <c r="B2337" s="845" t="s">
        <v>2554</v>
      </c>
      <c r="D2337" s="861"/>
      <c r="I2337" s="845" t="s">
        <v>1008</v>
      </c>
    </row>
    <row r="2338" spans="1:10" x14ac:dyDescent="0.2">
      <c r="A2338" s="859">
        <f t="shared" si="36"/>
        <v>2337</v>
      </c>
      <c r="B2338" s="845" t="s">
        <v>2554</v>
      </c>
      <c r="D2338" s="861"/>
      <c r="J2338" s="845" t="s">
        <v>1411</v>
      </c>
    </row>
    <row r="2339" spans="1:10" x14ac:dyDescent="0.2">
      <c r="A2339" s="859">
        <f t="shared" si="36"/>
        <v>2338</v>
      </c>
      <c r="B2339" s="845" t="s">
        <v>2554</v>
      </c>
      <c r="D2339" s="862"/>
      <c r="I2339" s="845" t="s">
        <v>1009</v>
      </c>
    </row>
    <row r="2340" spans="1:10" x14ac:dyDescent="0.2">
      <c r="A2340" s="859">
        <f t="shared" si="36"/>
        <v>2339</v>
      </c>
      <c r="B2340" s="845" t="s">
        <v>2554</v>
      </c>
      <c r="D2340" s="863"/>
      <c r="I2340" s="845" t="str">
        <f>CONCATENATE("&lt;valeur&gt;",Cellule_11327,"&lt;/valeur&gt;")</f>
        <v>&lt;valeur&gt;0&lt;/valeur&gt;</v>
      </c>
    </row>
    <row r="2341" spans="1:10" x14ac:dyDescent="0.2">
      <c r="A2341" s="859">
        <f t="shared" si="36"/>
        <v>2340</v>
      </c>
      <c r="B2341" s="845" t="s">
        <v>2554</v>
      </c>
      <c r="D2341" s="862"/>
      <c r="H2341" s="845" t="s">
        <v>1010</v>
      </c>
    </row>
    <row r="2342" spans="1:10" x14ac:dyDescent="0.2">
      <c r="A2342" s="859">
        <f t="shared" si="36"/>
        <v>2341</v>
      </c>
      <c r="B2342" s="845" t="s">
        <v>2554</v>
      </c>
      <c r="D2342" s="862"/>
      <c r="H2342" s="845" t="s">
        <v>1007</v>
      </c>
    </row>
    <row r="2343" spans="1:10" x14ac:dyDescent="0.2">
      <c r="A2343" s="859">
        <f t="shared" si="36"/>
        <v>2342</v>
      </c>
      <c r="B2343" s="845" t="s">
        <v>2554</v>
      </c>
      <c r="D2343" s="861"/>
      <c r="I2343" s="845" t="s">
        <v>1008</v>
      </c>
    </row>
    <row r="2344" spans="1:10" x14ac:dyDescent="0.2">
      <c r="A2344" s="859">
        <f t="shared" si="36"/>
        <v>2343</v>
      </c>
      <c r="B2344" s="845" t="s">
        <v>2554</v>
      </c>
      <c r="D2344" s="861"/>
      <c r="J2344" s="845" t="s">
        <v>1412</v>
      </c>
    </row>
    <row r="2345" spans="1:10" x14ac:dyDescent="0.2">
      <c r="A2345" s="859">
        <f t="shared" si="36"/>
        <v>2344</v>
      </c>
      <c r="B2345" s="845" t="s">
        <v>2554</v>
      </c>
      <c r="D2345" s="862"/>
      <c r="I2345" s="845" t="s">
        <v>1009</v>
      </c>
    </row>
    <row r="2346" spans="1:10" x14ac:dyDescent="0.2">
      <c r="A2346" s="859">
        <f t="shared" si="36"/>
        <v>2345</v>
      </c>
      <c r="B2346" s="845" t="s">
        <v>2554</v>
      </c>
      <c r="D2346" s="863"/>
      <c r="I2346" s="845" t="str">
        <f>CONCATENATE("&lt;valeur&gt;",Cellule_11273,"&lt;/valeur&gt;")</f>
        <v>&lt;valeur&gt;0&lt;/valeur&gt;</v>
      </c>
    </row>
    <row r="2347" spans="1:10" x14ac:dyDescent="0.2">
      <c r="A2347" s="859">
        <f t="shared" si="36"/>
        <v>2346</v>
      </c>
      <c r="B2347" s="845" t="s">
        <v>2554</v>
      </c>
      <c r="D2347" s="862"/>
      <c r="H2347" s="845" t="s">
        <v>1010</v>
      </c>
    </row>
    <row r="2348" spans="1:10" x14ac:dyDescent="0.2">
      <c r="A2348" s="859">
        <f t="shared" si="36"/>
        <v>2347</v>
      </c>
      <c r="B2348" s="845" t="s">
        <v>2554</v>
      </c>
      <c r="D2348" s="862"/>
      <c r="H2348" s="845" t="s">
        <v>1007</v>
      </c>
    </row>
    <row r="2349" spans="1:10" x14ac:dyDescent="0.2">
      <c r="A2349" s="859">
        <f t="shared" si="36"/>
        <v>2348</v>
      </c>
      <c r="B2349" s="845" t="s">
        <v>2554</v>
      </c>
      <c r="D2349" s="861"/>
      <c r="I2349" s="845" t="s">
        <v>1008</v>
      </c>
    </row>
    <row r="2350" spans="1:10" x14ac:dyDescent="0.2">
      <c r="A2350" s="859">
        <f t="shared" si="36"/>
        <v>2349</v>
      </c>
      <c r="B2350" s="845" t="s">
        <v>2554</v>
      </c>
      <c r="D2350" s="861"/>
      <c r="J2350" s="845" t="s">
        <v>1413</v>
      </c>
    </row>
    <row r="2351" spans="1:10" x14ac:dyDescent="0.2">
      <c r="A2351" s="859">
        <f t="shared" si="36"/>
        <v>2350</v>
      </c>
      <c r="B2351" s="845" t="s">
        <v>2554</v>
      </c>
      <c r="D2351" s="862"/>
      <c r="I2351" s="845" t="s">
        <v>1009</v>
      </c>
    </row>
    <row r="2352" spans="1:10" x14ac:dyDescent="0.2">
      <c r="A2352" s="859">
        <f t="shared" si="36"/>
        <v>2351</v>
      </c>
      <c r="B2352" s="845" t="s">
        <v>2554</v>
      </c>
      <c r="D2352" s="863"/>
      <c r="I2352" s="845" t="str">
        <f>CONCATENATE("&lt;valeur&gt;",Cellule_11278,"&lt;/valeur&gt;")</f>
        <v>&lt;valeur&gt;0&lt;/valeur&gt;</v>
      </c>
    </row>
    <row r="2353" spans="1:10" x14ac:dyDescent="0.2">
      <c r="A2353" s="859">
        <f t="shared" si="36"/>
        <v>2352</v>
      </c>
      <c r="B2353" s="845" t="s">
        <v>2554</v>
      </c>
      <c r="D2353" s="862"/>
      <c r="H2353" s="845" t="s">
        <v>1010</v>
      </c>
    </row>
    <row r="2354" spans="1:10" x14ac:dyDescent="0.2">
      <c r="A2354" s="859">
        <f t="shared" si="36"/>
        <v>2353</v>
      </c>
      <c r="B2354" s="845" t="s">
        <v>2554</v>
      </c>
      <c r="D2354" s="862"/>
      <c r="H2354" s="845" t="s">
        <v>1007</v>
      </c>
    </row>
    <row r="2355" spans="1:10" x14ac:dyDescent="0.2">
      <c r="A2355" s="859">
        <f t="shared" si="36"/>
        <v>2354</v>
      </c>
      <c r="B2355" s="845" t="s">
        <v>2554</v>
      </c>
      <c r="D2355" s="861"/>
      <c r="I2355" s="845" t="s">
        <v>1008</v>
      </c>
    </row>
    <row r="2356" spans="1:10" x14ac:dyDescent="0.2">
      <c r="A2356" s="859">
        <f t="shared" si="36"/>
        <v>2355</v>
      </c>
      <c r="B2356" s="845" t="s">
        <v>2554</v>
      </c>
      <c r="D2356" s="861"/>
      <c r="J2356" s="845" t="s">
        <v>1414</v>
      </c>
    </row>
    <row r="2357" spans="1:10" x14ac:dyDescent="0.2">
      <c r="A2357" s="859">
        <f t="shared" si="36"/>
        <v>2356</v>
      </c>
      <c r="B2357" s="845" t="s">
        <v>2554</v>
      </c>
      <c r="D2357" s="862"/>
      <c r="I2357" s="845" t="s">
        <v>1009</v>
      </c>
    </row>
    <row r="2358" spans="1:10" x14ac:dyDescent="0.2">
      <c r="A2358" s="859">
        <f t="shared" si="36"/>
        <v>2357</v>
      </c>
      <c r="B2358" s="845" t="s">
        <v>2554</v>
      </c>
      <c r="D2358" s="863"/>
      <c r="I2358" s="845" t="str">
        <f>CONCATENATE("&lt;valeur&gt;",Cellule_11283,"&lt;/valeur&gt;")</f>
        <v>&lt;valeur&gt;0&lt;/valeur&gt;</v>
      </c>
    </row>
    <row r="2359" spans="1:10" x14ac:dyDescent="0.2">
      <c r="A2359" s="859">
        <f t="shared" si="36"/>
        <v>2358</v>
      </c>
      <c r="B2359" s="845" t="s">
        <v>2554</v>
      </c>
      <c r="D2359" s="862"/>
      <c r="H2359" s="845" t="s">
        <v>1010</v>
      </c>
    </row>
    <row r="2360" spans="1:10" x14ac:dyDescent="0.2">
      <c r="A2360" s="859">
        <f t="shared" si="36"/>
        <v>2359</v>
      </c>
      <c r="B2360" s="845" t="s">
        <v>2554</v>
      </c>
      <c r="D2360" s="862"/>
      <c r="H2360" s="845" t="s">
        <v>1007</v>
      </c>
    </row>
    <row r="2361" spans="1:10" x14ac:dyDescent="0.2">
      <c r="A2361" s="859">
        <f t="shared" si="36"/>
        <v>2360</v>
      </c>
      <c r="B2361" s="845" t="s">
        <v>2554</v>
      </c>
      <c r="D2361" s="861"/>
      <c r="I2361" s="845" t="s">
        <v>1008</v>
      </c>
    </row>
    <row r="2362" spans="1:10" x14ac:dyDescent="0.2">
      <c r="A2362" s="859">
        <f t="shared" si="36"/>
        <v>2361</v>
      </c>
      <c r="B2362" s="845" t="s">
        <v>2554</v>
      </c>
      <c r="D2362" s="861"/>
      <c r="J2362" s="845" t="s">
        <v>1415</v>
      </c>
    </row>
    <row r="2363" spans="1:10" x14ac:dyDescent="0.2">
      <c r="A2363" s="859">
        <f t="shared" si="36"/>
        <v>2362</v>
      </c>
      <c r="B2363" s="845" t="s">
        <v>2554</v>
      </c>
      <c r="D2363" s="862"/>
      <c r="I2363" s="845" t="s">
        <v>1009</v>
      </c>
    </row>
    <row r="2364" spans="1:10" x14ac:dyDescent="0.2">
      <c r="A2364" s="859">
        <f t="shared" si="36"/>
        <v>2363</v>
      </c>
      <c r="B2364" s="845" t="s">
        <v>2554</v>
      </c>
      <c r="D2364" s="863"/>
      <c r="I2364" s="845" t="str">
        <f>CONCATENATE("&lt;valeur&gt;",Cellule_11288,"&lt;/valeur&gt;")</f>
        <v>&lt;valeur&gt;0&lt;/valeur&gt;</v>
      </c>
    </row>
    <row r="2365" spans="1:10" x14ac:dyDescent="0.2">
      <c r="A2365" s="859">
        <f t="shared" si="36"/>
        <v>2364</v>
      </c>
      <c r="B2365" s="845" t="s">
        <v>2554</v>
      </c>
      <c r="D2365" s="862"/>
      <c r="H2365" s="845" t="s">
        <v>1010</v>
      </c>
    </row>
    <row r="2366" spans="1:10" x14ac:dyDescent="0.2">
      <c r="A2366" s="859">
        <f t="shared" si="36"/>
        <v>2365</v>
      </c>
      <c r="B2366" s="845" t="s">
        <v>2554</v>
      </c>
      <c r="D2366" s="862"/>
      <c r="H2366" s="845" t="s">
        <v>1007</v>
      </c>
    </row>
    <row r="2367" spans="1:10" x14ac:dyDescent="0.2">
      <c r="A2367" s="859">
        <f t="shared" si="36"/>
        <v>2366</v>
      </c>
      <c r="B2367" s="845" t="s">
        <v>2554</v>
      </c>
      <c r="D2367" s="861"/>
      <c r="I2367" s="845" t="s">
        <v>1008</v>
      </c>
    </row>
    <row r="2368" spans="1:10" x14ac:dyDescent="0.2">
      <c r="A2368" s="859">
        <f t="shared" si="36"/>
        <v>2367</v>
      </c>
      <c r="B2368" s="845" t="s">
        <v>2554</v>
      </c>
      <c r="D2368" s="861"/>
      <c r="J2368" s="845" t="s">
        <v>1416</v>
      </c>
    </row>
    <row r="2369" spans="1:10" x14ac:dyDescent="0.2">
      <c r="A2369" s="859">
        <f t="shared" si="36"/>
        <v>2368</v>
      </c>
      <c r="B2369" s="845" t="s">
        <v>2554</v>
      </c>
      <c r="D2369" s="862"/>
      <c r="I2369" s="845" t="s">
        <v>1009</v>
      </c>
    </row>
    <row r="2370" spans="1:10" x14ac:dyDescent="0.2">
      <c r="A2370" s="859">
        <f t="shared" si="36"/>
        <v>2369</v>
      </c>
      <c r="B2370" s="845" t="s">
        <v>2554</v>
      </c>
      <c r="D2370" s="863"/>
      <c r="I2370" s="845" t="str">
        <f>CONCATENATE("&lt;valeur&gt;",Cellule_11293,"&lt;/valeur&gt;")</f>
        <v>&lt;valeur&gt;0&lt;/valeur&gt;</v>
      </c>
    </row>
    <row r="2371" spans="1:10" x14ac:dyDescent="0.2">
      <c r="A2371" s="859">
        <f t="shared" si="36"/>
        <v>2370</v>
      </c>
      <c r="B2371" s="845" t="s">
        <v>2554</v>
      </c>
      <c r="D2371" s="862"/>
      <c r="H2371" s="845" t="s">
        <v>1010</v>
      </c>
    </row>
    <row r="2372" spans="1:10" x14ac:dyDescent="0.2">
      <c r="A2372" s="859">
        <f t="shared" ref="A2372:A2435" si="37">+A2371+1</f>
        <v>2371</v>
      </c>
      <c r="B2372" s="845" t="s">
        <v>2554</v>
      </c>
      <c r="D2372" s="862"/>
      <c r="H2372" s="845" t="s">
        <v>1007</v>
      </c>
    </row>
    <row r="2373" spans="1:10" x14ac:dyDescent="0.2">
      <c r="A2373" s="859">
        <f t="shared" si="37"/>
        <v>2372</v>
      </c>
      <c r="B2373" s="845" t="s">
        <v>2554</v>
      </c>
      <c r="D2373" s="861"/>
      <c r="I2373" s="845" t="s">
        <v>1008</v>
      </c>
    </row>
    <row r="2374" spans="1:10" x14ac:dyDescent="0.2">
      <c r="A2374" s="859">
        <f t="shared" si="37"/>
        <v>2373</v>
      </c>
      <c r="B2374" s="845" t="s">
        <v>2554</v>
      </c>
      <c r="D2374" s="861"/>
      <c r="J2374" s="845" t="s">
        <v>1417</v>
      </c>
    </row>
    <row r="2375" spans="1:10" x14ac:dyDescent="0.2">
      <c r="A2375" s="859">
        <f t="shared" si="37"/>
        <v>2374</v>
      </c>
      <c r="B2375" s="845" t="s">
        <v>2554</v>
      </c>
      <c r="D2375" s="862"/>
      <c r="I2375" s="845" t="s">
        <v>1009</v>
      </c>
    </row>
    <row r="2376" spans="1:10" x14ac:dyDescent="0.2">
      <c r="A2376" s="859">
        <f t="shared" si="37"/>
        <v>2375</v>
      </c>
      <c r="B2376" s="845" t="s">
        <v>2554</v>
      </c>
      <c r="D2376" s="863"/>
      <c r="I2376" s="845" t="str">
        <f>CONCATENATE("&lt;valeur&gt;",Cellule_11333,"&lt;/valeur&gt;")</f>
        <v>&lt;valeur&gt;0&lt;/valeur&gt;</v>
      </c>
    </row>
    <row r="2377" spans="1:10" x14ac:dyDescent="0.2">
      <c r="A2377" s="859">
        <f t="shared" si="37"/>
        <v>2376</v>
      </c>
      <c r="B2377" s="845" t="s">
        <v>2554</v>
      </c>
      <c r="D2377" s="862"/>
      <c r="H2377" s="845" t="s">
        <v>1010</v>
      </c>
    </row>
    <row r="2378" spans="1:10" x14ac:dyDescent="0.2">
      <c r="A2378" s="859">
        <f t="shared" si="37"/>
        <v>2377</v>
      </c>
      <c r="B2378" s="845" t="s">
        <v>2554</v>
      </c>
      <c r="D2378" s="862"/>
      <c r="H2378" s="845" t="s">
        <v>1007</v>
      </c>
    </row>
    <row r="2379" spans="1:10" x14ac:dyDescent="0.2">
      <c r="A2379" s="859">
        <f t="shared" si="37"/>
        <v>2378</v>
      </c>
      <c r="B2379" s="845" t="s">
        <v>2554</v>
      </c>
      <c r="D2379" s="861"/>
      <c r="I2379" s="845" t="s">
        <v>1008</v>
      </c>
    </row>
    <row r="2380" spans="1:10" x14ac:dyDescent="0.2">
      <c r="A2380" s="859">
        <f t="shared" si="37"/>
        <v>2379</v>
      </c>
      <c r="B2380" s="845" t="s">
        <v>2554</v>
      </c>
      <c r="D2380" s="861"/>
      <c r="J2380" s="845" t="s">
        <v>1418</v>
      </c>
    </row>
    <row r="2381" spans="1:10" x14ac:dyDescent="0.2">
      <c r="A2381" s="859">
        <f t="shared" si="37"/>
        <v>2380</v>
      </c>
      <c r="B2381" s="845" t="s">
        <v>2554</v>
      </c>
      <c r="D2381" s="862"/>
      <c r="I2381" s="845" t="s">
        <v>1009</v>
      </c>
    </row>
    <row r="2382" spans="1:10" x14ac:dyDescent="0.2">
      <c r="A2382" s="859">
        <f t="shared" si="37"/>
        <v>2381</v>
      </c>
      <c r="B2382" s="845" t="s">
        <v>2554</v>
      </c>
      <c r="D2382" s="863"/>
      <c r="I2382" s="845" t="str">
        <f>CONCATENATE("&lt;valeur&gt;",Cellule_11298,"&lt;/valeur&gt;")</f>
        <v>&lt;valeur&gt;0&lt;/valeur&gt;</v>
      </c>
    </row>
    <row r="2383" spans="1:10" x14ac:dyDescent="0.2">
      <c r="A2383" s="859">
        <f t="shared" si="37"/>
        <v>2382</v>
      </c>
      <c r="B2383" s="845" t="s">
        <v>2554</v>
      </c>
      <c r="D2383" s="862"/>
      <c r="H2383" s="845" t="s">
        <v>1010</v>
      </c>
    </row>
    <row r="2384" spans="1:10" x14ac:dyDescent="0.2">
      <c r="A2384" s="859">
        <f t="shared" si="37"/>
        <v>2383</v>
      </c>
      <c r="B2384" s="845" t="s">
        <v>2554</v>
      </c>
      <c r="D2384" s="862"/>
      <c r="H2384" s="845" t="s">
        <v>1007</v>
      </c>
    </row>
    <row r="2385" spans="1:10" x14ac:dyDescent="0.2">
      <c r="A2385" s="859">
        <f t="shared" si="37"/>
        <v>2384</v>
      </c>
      <c r="B2385" s="845" t="s">
        <v>2554</v>
      </c>
      <c r="D2385" s="861"/>
      <c r="I2385" s="845" t="s">
        <v>1008</v>
      </c>
    </row>
    <row r="2386" spans="1:10" x14ac:dyDescent="0.2">
      <c r="A2386" s="859">
        <f t="shared" si="37"/>
        <v>2385</v>
      </c>
      <c r="B2386" s="845" t="s">
        <v>2554</v>
      </c>
      <c r="D2386" s="861"/>
      <c r="J2386" s="845" t="s">
        <v>1419</v>
      </c>
    </row>
    <row r="2387" spans="1:10" x14ac:dyDescent="0.2">
      <c r="A2387" s="859">
        <f t="shared" si="37"/>
        <v>2386</v>
      </c>
      <c r="B2387" s="845" t="s">
        <v>2554</v>
      </c>
      <c r="D2387" s="862"/>
      <c r="I2387" s="845" t="s">
        <v>1009</v>
      </c>
    </row>
    <row r="2388" spans="1:10" x14ac:dyDescent="0.2">
      <c r="A2388" s="859">
        <f t="shared" si="37"/>
        <v>2387</v>
      </c>
      <c r="B2388" s="845" t="s">
        <v>2554</v>
      </c>
      <c r="D2388" s="863"/>
      <c r="I2388" s="845" t="str">
        <f>CONCATENATE("&lt;valeur&gt;",Cellule_11303,"&lt;/valeur&gt;")</f>
        <v>&lt;valeur&gt;0&lt;/valeur&gt;</v>
      </c>
    </row>
    <row r="2389" spans="1:10" x14ac:dyDescent="0.2">
      <c r="A2389" s="859">
        <f t="shared" si="37"/>
        <v>2388</v>
      </c>
      <c r="B2389" s="845" t="s">
        <v>2554</v>
      </c>
      <c r="D2389" s="862"/>
      <c r="H2389" s="845" t="s">
        <v>1010</v>
      </c>
    </row>
    <row r="2390" spans="1:10" x14ac:dyDescent="0.2">
      <c r="A2390" s="859">
        <f t="shared" si="37"/>
        <v>2389</v>
      </c>
      <c r="B2390" s="845" t="s">
        <v>2554</v>
      </c>
      <c r="D2390" s="862"/>
      <c r="H2390" s="845" t="s">
        <v>1007</v>
      </c>
    </row>
    <row r="2391" spans="1:10" x14ac:dyDescent="0.2">
      <c r="A2391" s="859">
        <f t="shared" si="37"/>
        <v>2390</v>
      </c>
      <c r="B2391" s="845" t="s">
        <v>2554</v>
      </c>
      <c r="D2391" s="861"/>
      <c r="I2391" s="845" t="s">
        <v>1008</v>
      </c>
    </row>
    <row r="2392" spans="1:10" x14ac:dyDescent="0.2">
      <c r="A2392" s="859">
        <f t="shared" si="37"/>
        <v>2391</v>
      </c>
      <c r="B2392" s="845" t="s">
        <v>2554</v>
      </c>
      <c r="D2392" s="861"/>
      <c r="J2392" s="845" t="s">
        <v>1420</v>
      </c>
    </row>
    <row r="2393" spans="1:10" x14ac:dyDescent="0.2">
      <c r="A2393" s="859">
        <f t="shared" si="37"/>
        <v>2392</v>
      </c>
      <c r="B2393" s="845" t="s">
        <v>2554</v>
      </c>
      <c r="D2393" s="862"/>
      <c r="I2393" s="845" t="s">
        <v>1009</v>
      </c>
    </row>
    <row r="2394" spans="1:10" x14ac:dyDescent="0.2">
      <c r="A2394" s="859">
        <f t="shared" si="37"/>
        <v>2393</v>
      </c>
      <c r="B2394" s="845" t="s">
        <v>2554</v>
      </c>
      <c r="D2394" s="863"/>
      <c r="I2394" s="845" t="str">
        <f>CONCATENATE("&lt;valeur&gt;",Cellule_11308,"&lt;/valeur&gt;")</f>
        <v>&lt;valeur&gt;0&lt;/valeur&gt;</v>
      </c>
    </row>
    <row r="2395" spans="1:10" x14ac:dyDescent="0.2">
      <c r="A2395" s="859">
        <f t="shared" si="37"/>
        <v>2394</v>
      </c>
      <c r="B2395" s="845" t="s">
        <v>2554</v>
      </c>
      <c r="D2395" s="862"/>
      <c r="H2395" s="845" t="s">
        <v>1010</v>
      </c>
    </row>
    <row r="2396" spans="1:10" x14ac:dyDescent="0.2">
      <c r="A2396" s="859">
        <f t="shared" si="37"/>
        <v>2395</v>
      </c>
      <c r="B2396" s="845" t="s">
        <v>2554</v>
      </c>
      <c r="D2396" s="862"/>
      <c r="H2396" s="845" t="s">
        <v>1007</v>
      </c>
    </row>
    <row r="2397" spans="1:10" x14ac:dyDescent="0.2">
      <c r="A2397" s="859">
        <f t="shared" si="37"/>
        <v>2396</v>
      </c>
      <c r="B2397" s="845" t="s">
        <v>2554</v>
      </c>
      <c r="D2397" s="861"/>
      <c r="I2397" s="845" t="s">
        <v>1008</v>
      </c>
    </row>
    <row r="2398" spans="1:10" x14ac:dyDescent="0.2">
      <c r="A2398" s="859">
        <f t="shared" si="37"/>
        <v>2397</v>
      </c>
      <c r="B2398" s="845" t="s">
        <v>2554</v>
      </c>
      <c r="D2398" s="861"/>
      <c r="J2398" s="845" t="s">
        <v>1421</v>
      </c>
    </row>
    <row r="2399" spans="1:10" x14ac:dyDescent="0.2">
      <c r="A2399" s="859">
        <f t="shared" si="37"/>
        <v>2398</v>
      </c>
      <c r="B2399" s="845" t="s">
        <v>2554</v>
      </c>
      <c r="D2399" s="862"/>
      <c r="I2399" s="845" t="s">
        <v>1009</v>
      </c>
    </row>
    <row r="2400" spans="1:10" x14ac:dyDescent="0.2">
      <c r="A2400" s="859">
        <f t="shared" si="37"/>
        <v>2399</v>
      </c>
      <c r="B2400" s="845" t="s">
        <v>2554</v>
      </c>
      <c r="D2400" s="863"/>
      <c r="I2400" s="845" t="str">
        <f>CONCATENATE("&lt;valeur&gt;",Cellule_11313,"&lt;/valeur&gt;")</f>
        <v>&lt;valeur&gt;0&lt;/valeur&gt;</v>
      </c>
    </row>
    <row r="2401" spans="1:10" x14ac:dyDescent="0.2">
      <c r="A2401" s="859">
        <f t="shared" si="37"/>
        <v>2400</v>
      </c>
      <c r="B2401" s="845" t="s">
        <v>2554</v>
      </c>
      <c r="D2401" s="862"/>
      <c r="H2401" s="845" t="s">
        <v>1010</v>
      </c>
    </row>
    <row r="2402" spans="1:10" x14ac:dyDescent="0.2">
      <c r="A2402" s="859">
        <f t="shared" si="37"/>
        <v>2401</v>
      </c>
      <c r="B2402" s="845" t="s">
        <v>2554</v>
      </c>
      <c r="D2402" s="862"/>
      <c r="H2402" s="845" t="s">
        <v>1007</v>
      </c>
    </row>
    <row r="2403" spans="1:10" x14ac:dyDescent="0.2">
      <c r="A2403" s="859">
        <f t="shared" si="37"/>
        <v>2402</v>
      </c>
      <c r="B2403" s="845" t="s">
        <v>2554</v>
      </c>
      <c r="D2403" s="861"/>
      <c r="I2403" s="845" t="s">
        <v>1008</v>
      </c>
    </row>
    <row r="2404" spans="1:10" x14ac:dyDescent="0.2">
      <c r="A2404" s="859">
        <f t="shared" si="37"/>
        <v>2403</v>
      </c>
      <c r="B2404" s="845" t="s">
        <v>2554</v>
      </c>
      <c r="D2404" s="861"/>
      <c r="J2404" s="845" t="s">
        <v>1422</v>
      </c>
    </row>
    <row r="2405" spans="1:10" x14ac:dyDescent="0.2">
      <c r="A2405" s="859">
        <f t="shared" si="37"/>
        <v>2404</v>
      </c>
      <c r="B2405" s="845" t="s">
        <v>2554</v>
      </c>
      <c r="D2405" s="862"/>
      <c r="I2405" s="845" t="s">
        <v>1009</v>
      </c>
    </row>
    <row r="2406" spans="1:10" x14ac:dyDescent="0.2">
      <c r="A2406" s="859">
        <f t="shared" si="37"/>
        <v>2405</v>
      </c>
      <c r="B2406" s="845" t="s">
        <v>2554</v>
      </c>
      <c r="D2406" s="863"/>
      <c r="I2406" s="845" t="str">
        <f>CONCATENATE("&lt;valeur&gt;",Cellule_11318,"&lt;/valeur&gt;")</f>
        <v>&lt;valeur&gt;0&lt;/valeur&gt;</v>
      </c>
    </row>
    <row r="2407" spans="1:10" x14ac:dyDescent="0.2">
      <c r="A2407" s="859">
        <f t="shared" si="37"/>
        <v>2406</v>
      </c>
      <c r="B2407" s="845" t="s">
        <v>2554</v>
      </c>
      <c r="D2407" s="862"/>
      <c r="H2407" s="845" t="s">
        <v>1010</v>
      </c>
    </row>
    <row r="2408" spans="1:10" x14ac:dyDescent="0.2">
      <c r="A2408" s="859">
        <f t="shared" si="37"/>
        <v>2407</v>
      </c>
      <c r="B2408" s="845" t="s">
        <v>2554</v>
      </c>
      <c r="D2408" s="862"/>
      <c r="H2408" s="845" t="s">
        <v>1007</v>
      </c>
    </row>
    <row r="2409" spans="1:10" x14ac:dyDescent="0.2">
      <c r="A2409" s="859">
        <f t="shared" si="37"/>
        <v>2408</v>
      </c>
      <c r="B2409" s="845" t="s">
        <v>2554</v>
      </c>
      <c r="D2409" s="861"/>
      <c r="I2409" s="845" t="s">
        <v>1008</v>
      </c>
    </row>
    <row r="2410" spans="1:10" x14ac:dyDescent="0.2">
      <c r="A2410" s="859">
        <f t="shared" si="37"/>
        <v>2409</v>
      </c>
      <c r="B2410" s="845" t="s">
        <v>2554</v>
      </c>
      <c r="D2410" s="861"/>
      <c r="J2410" s="845" t="s">
        <v>1423</v>
      </c>
    </row>
    <row r="2411" spans="1:10" x14ac:dyDescent="0.2">
      <c r="A2411" s="859">
        <f t="shared" si="37"/>
        <v>2410</v>
      </c>
      <c r="B2411" s="845" t="s">
        <v>2554</v>
      </c>
      <c r="D2411" s="862"/>
      <c r="I2411" s="845" t="s">
        <v>1009</v>
      </c>
    </row>
    <row r="2412" spans="1:10" x14ac:dyDescent="0.2">
      <c r="A2412" s="859">
        <f t="shared" si="37"/>
        <v>2411</v>
      </c>
      <c r="B2412" s="845" t="s">
        <v>2554</v>
      </c>
      <c r="D2412" s="863"/>
      <c r="I2412" s="845" t="str">
        <f>CONCATENATE("&lt;valeur&gt;",Cellule_11323,"&lt;/valeur&gt;")</f>
        <v>&lt;valeur&gt;0&lt;/valeur&gt;</v>
      </c>
    </row>
    <row r="2413" spans="1:10" x14ac:dyDescent="0.2">
      <c r="A2413" s="859">
        <f t="shared" si="37"/>
        <v>2412</v>
      </c>
      <c r="B2413" s="845" t="s">
        <v>2554</v>
      </c>
      <c r="D2413" s="862"/>
      <c r="H2413" s="845" t="s">
        <v>1010</v>
      </c>
    </row>
    <row r="2414" spans="1:10" x14ac:dyDescent="0.2">
      <c r="A2414" s="859">
        <f t="shared" si="37"/>
        <v>2413</v>
      </c>
      <c r="B2414" s="845" t="s">
        <v>2554</v>
      </c>
      <c r="D2414" s="862"/>
      <c r="H2414" s="845" t="s">
        <v>1007</v>
      </c>
    </row>
    <row r="2415" spans="1:10" x14ac:dyDescent="0.2">
      <c r="A2415" s="859">
        <f t="shared" si="37"/>
        <v>2414</v>
      </c>
      <c r="B2415" s="845" t="s">
        <v>2554</v>
      </c>
      <c r="D2415" s="861"/>
      <c r="I2415" s="845" t="s">
        <v>1008</v>
      </c>
    </row>
    <row r="2416" spans="1:10" x14ac:dyDescent="0.2">
      <c r="A2416" s="859">
        <f t="shared" si="37"/>
        <v>2415</v>
      </c>
      <c r="B2416" s="845" t="s">
        <v>2554</v>
      </c>
      <c r="D2416" s="861"/>
      <c r="J2416" s="845" t="s">
        <v>1424</v>
      </c>
    </row>
    <row r="2417" spans="1:10" x14ac:dyDescent="0.2">
      <c r="A2417" s="859">
        <f t="shared" si="37"/>
        <v>2416</v>
      </c>
      <c r="B2417" s="845" t="s">
        <v>2554</v>
      </c>
      <c r="D2417" s="862"/>
      <c r="I2417" s="845" t="s">
        <v>1009</v>
      </c>
    </row>
    <row r="2418" spans="1:10" x14ac:dyDescent="0.2">
      <c r="A2418" s="859">
        <f t="shared" si="37"/>
        <v>2417</v>
      </c>
      <c r="B2418" s="845" t="s">
        <v>2554</v>
      </c>
      <c r="D2418" s="863"/>
      <c r="I2418" s="845" t="str">
        <f>CONCATENATE("&lt;valeur&gt;",Cellule_11328,"&lt;/valeur&gt;")</f>
        <v>&lt;valeur&gt;0&lt;/valeur&gt;</v>
      </c>
    </row>
    <row r="2419" spans="1:10" x14ac:dyDescent="0.2">
      <c r="A2419" s="859">
        <f t="shared" si="37"/>
        <v>2418</v>
      </c>
      <c r="B2419" s="845" t="s">
        <v>2554</v>
      </c>
      <c r="D2419" s="862"/>
      <c r="H2419" s="845" t="s">
        <v>1010</v>
      </c>
    </row>
    <row r="2420" spans="1:10" x14ac:dyDescent="0.2">
      <c r="A2420" s="859">
        <f t="shared" si="37"/>
        <v>2419</v>
      </c>
      <c r="B2420" s="845" t="s">
        <v>2554</v>
      </c>
      <c r="D2420" s="862"/>
      <c r="H2420" s="845" t="s">
        <v>1007</v>
      </c>
    </row>
    <row r="2421" spans="1:10" x14ac:dyDescent="0.2">
      <c r="A2421" s="859">
        <f t="shared" si="37"/>
        <v>2420</v>
      </c>
      <c r="B2421" s="845" t="s">
        <v>2554</v>
      </c>
      <c r="D2421" s="861"/>
      <c r="I2421" s="845" t="s">
        <v>1008</v>
      </c>
    </row>
    <row r="2422" spans="1:10" x14ac:dyDescent="0.2">
      <c r="A2422" s="859">
        <f t="shared" si="37"/>
        <v>2421</v>
      </c>
      <c r="B2422" s="845" t="s">
        <v>2554</v>
      </c>
      <c r="D2422" s="861"/>
      <c r="J2422" s="845" t="s">
        <v>1425</v>
      </c>
    </row>
    <row r="2423" spans="1:10" x14ac:dyDescent="0.2">
      <c r="A2423" s="859">
        <f t="shared" si="37"/>
        <v>2422</v>
      </c>
      <c r="B2423" s="845" t="s">
        <v>2554</v>
      </c>
      <c r="D2423" s="862"/>
      <c r="I2423" s="845" t="s">
        <v>1009</v>
      </c>
    </row>
    <row r="2424" spans="1:10" x14ac:dyDescent="0.2">
      <c r="A2424" s="859">
        <f t="shared" si="37"/>
        <v>2423</v>
      </c>
      <c r="B2424" s="845" t="s">
        <v>2554</v>
      </c>
      <c r="D2424" s="863"/>
      <c r="I2424" s="845" t="str">
        <f>CONCATENATE("&lt;valeur&gt;",Cellule_11274,"&lt;/valeur&gt;")</f>
        <v>&lt;valeur&gt;0&lt;/valeur&gt;</v>
      </c>
    </row>
    <row r="2425" spans="1:10" x14ac:dyDescent="0.2">
      <c r="A2425" s="859">
        <f t="shared" si="37"/>
        <v>2424</v>
      </c>
      <c r="B2425" s="845" t="s">
        <v>2554</v>
      </c>
      <c r="D2425" s="862"/>
      <c r="H2425" s="845" t="s">
        <v>1010</v>
      </c>
    </row>
    <row r="2426" spans="1:10" x14ac:dyDescent="0.2">
      <c r="A2426" s="859">
        <f t="shared" si="37"/>
        <v>2425</v>
      </c>
      <c r="B2426" s="845" t="s">
        <v>2554</v>
      </c>
      <c r="D2426" s="862"/>
      <c r="H2426" s="845" t="s">
        <v>1007</v>
      </c>
    </row>
    <row r="2427" spans="1:10" x14ac:dyDescent="0.2">
      <c r="A2427" s="859">
        <f t="shared" si="37"/>
        <v>2426</v>
      </c>
      <c r="B2427" s="845" t="s">
        <v>2554</v>
      </c>
      <c r="D2427" s="861"/>
      <c r="I2427" s="845" t="s">
        <v>1008</v>
      </c>
    </row>
    <row r="2428" spans="1:10" x14ac:dyDescent="0.2">
      <c r="A2428" s="859">
        <f t="shared" si="37"/>
        <v>2427</v>
      </c>
      <c r="B2428" s="845" t="s">
        <v>2554</v>
      </c>
      <c r="D2428" s="861"/>
      <c r="J2428" s="845" t="s">
        <v>1426</v>
      </c>
    </row>
    <row r="2429" spans="1:10" x14ac:dyDescent="0.2">
      <c r="A2429" s="859">
        <f t="shared" si="37"/>
        <v>2428</v>
      </c>
      <c r="B2429" s="845" t="s">
        <v>2554</v>
      </c>
      <c r="D2429" s="862"/>
      <c r="I2429" s="845" t="s">
        <v>1009</v>
      </c>
    </row>
    <row r="2430" spans="1:10" x14ac:dyDescent="0.2">
      <c r="A2430" s="859">
        <f t="shared" si="37"/>
        <v>2429</v>
      </c>
      <c r="B2430" s="845" t="s">
        <v>2554</v>
      </c>
      <c r="D2430" s="863"/>
      <c r="I2430" s="845" t="str">
        <f>CONCATENATE("&lt;valeur&gt;",Cellule_11279,"&lt;/valeur&gt;")</f>
        <v>&lt;valeur&gt;0&lt;/valeur&gt;</v>
      </c>
    </row>
    <row r="2431" spans="1:10" x14ac:dyDescent="0.2">
      <c r="A2431" s="859">
        <f t="shared" si="37"/>
        <v>2430</v>
      </c>
      <c r="B2431" s="845" t="s">
        <v>2554</v>
      </c>
      <c r="D2431" s="862"/>
      <c r="H2431" s="845" t="s">
        <v>1010</v>
      </c>
    </row>
    <row r="2432" spans="1:10" x14ac:dyDescent="0.2">
      <c r="A2432" s="859">
        <f t="shared" si="37"/>
        <v>2431</v>
      </c>
      <c r="B2432" s="845" t="s">
        <v>2554</v>
      </c>
      <c r="D2432" s="862"/>
      <c r="H2432" s="845" t="s">
        <v>1007</v>
      </c>
    </row>
    <row r="2433" spans="1:10" x14ac:dyDescent="0.2">
      <c r="A2433" s="859">
        <f t="shared" si="37"/>
        <v>2432</v>
      </c>
      <c r="B2433" s="845" t="s">
        <v>2554</v>
      </c>
      <c r="D2433" s="861"/>
      <c r="I2433" s="845" t="s">
        <v>1008</v>
      </c>
    </row>
    <row r="2434" spans="1:10" x14ac:dyDescent="0.2">
      <c r="A2434" s="859">
        <f t="shared" si="37"/>
        <v>2433</v>
      </c>
      <c r="B2434" s="845" t="s">
        <v>2554</v>
      </c>
      <c r="D2434" s="861"/>
      <c r="J2434" s="845" t="s">
        <v>1427</v>
      </c>
    </row>
    <row r="2435" spans="1:10" x14ac:dyDescent="0.2">
      <c r="A2435" s="859">
        <f t="shared" si="37"/>
        <v>2434</v>
      </c>
      <c r="B2435" s="845" t="s">
        <v>2554</v>
      </c>
      <c r="D2435" s="862"/>
      <c r="I2435" s="845" t="s">
        <v>1009</v>
      </c>
    </row>
    <row r="2436" spans="1:10" x14ac:dyDescent="0.2">
      <c r="A2436" s="859">
        <f t="shared" ref="A2436:A2499" si="38">+A2435+1</f>
        <v>2435</v>
      </c>
      <c r="B2436" s="845" t="s">
        <v>2554</v>
      </c>
      <c r="D2436" s="863"/>
      <c r="I2436" s="845" t="str">
        <f>CONCATENATE("&lt;valeur&gt;",Cellule_11284,"&lt;/valeur&gt;")</f>
        <v>&lt;valeur&gt;0&lt;/valeur&gt;</v>
      </c>
    </row>
    <row r="2437" spans="1:10" x14ac:dyDescent="0.2">
      <c r="A2437" s="859">
        <f t="shared" si="38"/>
        <v>2436</v>
      </c>
      <c r="B2437" s="845" t="s">
        <v>2554</v>
      </c>
      <c r="D2437" s="862"/>
      <c r="H2437" s="845" t="s">
        <v>1010</v>
      </c>
    </row>
    <row r="2438" spans="1:10" x14ac:dyDescent="0.2">
      <c r="A2438" s="859">
        <f t="shared" si="38"/>
        <v>2437</v>
      </c>
      <c r="B2438" s="845" t="s">
        <v>2554</v>
      </c>
      <c r="D2438" s="862"/>
      <c r="H2438" s="845" t="s">
        <v>1007</v>
      </c>
    </row>
    <row r="2439" spans="1:10" x14ac:dyDescent="0.2">
      <c r="A2439" s="859">
        <f t="shared" si="38"/>
        <v>2438</v>
      </c>
      <c r="B2439" s="845" t="s">
        <v>2554</v>
      </c>
      <c r="D2439" s="861"/>
      <c r="I2439" s="845" t="s">
        <v>1008</v>
      </c>
    </row>
    <row r="2440" spans="1:10" x14ac:dyDescent="0.2">
      <c r="A2440" s="859">
        <f t="shared" si="38"/>
        <v>2439</v>
      </c>
      <c r="B2440" s="845" t="s">
        <v>2554</v>
      </c>
      <c r="D2440" s="861"/>
      <c r="J2440" s="845" t="s">
        <v>1428</v>
      </c>
    </row>
    <row r="2441" spans="1:10" x14ac:dyDescent="0.2">
      <c r="A2441" s="859">
        <f t="shared" si="38"/>
        <v>2440</v>
      </c>
      <c r="B2441" s="845" t="s">
        <v>2554</v>
      </c>
      <c r="D2441" s="862"/>
      <c r="I2441" s="845" t="s">
        <v>1009</v>
      </c>
    </row>
    <row r="2442" spans="1:10" x14ac:dyDescent="0.2">
      <c r="A2442" s="859">
        <f t="shared" si="38"/>
        <v>2441</v>
      </c>
      <c r="B2442" s="845" t="s">
        <v>2554</v>
      </c>
      <c r="D2442" s="863"/>
      <c r="I2442" s="845" t="str">
        <f>CONCATENATE("&lt;valeur&gt;",Cellule_11289,"&lt;/valeur&gt;")</f>
        <v>&lt;valeur&gt;0&lt;/valeur&gt;</v>
      </c>
    </row>
    <row r="2443" spans="1:10" x14ac:dyDescent="0.2">
      <c r="A2443" s="859">
        <f t="shared" si="38"/>
        <v>2442</v>
      </c>
      <c r="B2443" s="845" t="s">
        <v>2554</v>
      </c>
      <c r="D2443" s="862"/>
      <c r="H2443" s="845" t="s">
        <v>1010</v>
      </c>
    </row>
    <row r="2444" spans="1:10" x14ac:dyDescent="0.2">
      <c r="A2444" s="859">
        <f t="shared" si="38"/>
        <v>2443</v>
      </c>
      <c r="B2444" s="845" t="s">
        <v>2554</v>
      </c>
      <c r="D2444" s="862"/>
      <c r="H2444" s="845" t="s">
        <v>1007</v>
      </c>
    </row>
    <row r="2445" spans="1:10" x14ac:dyDescent="0.2">
      <c r="A2445" s="859">
        <f t="shared" si="38"/>
        <v>2444</v>
      </c>
      <c r="B2445" s="845" t="s">
        <v>2554</v>
      </c>
      <c r="D2445" s="861"/>
      <c r="I2445" s="845" t="s">
        <v>1008</v>
      </c>
    </row>
    <row r="2446" spans="1:10" x14ac:dyDescent="0.2">
      <c r="A2446" s="859">
        <f t="shared" si="38"/>
        <v>2445</v>
      </c>
      <c r="B2446" s="845" t="s">
        <v>2554</v>
      </c>
      <c r="D2446" s="861"/>
      <c r="J2446" s="845" t="s">
        <v>1429</v>
      </c>
    </row>
    <row r="2447" spans="1:10" x14ac:dyDescent="0.2">
      <c r="A2447" s="859">
        <f t="shared" si="38"/>
        <v>2446</v>
      </c>
      <c r="B2447" s="845" t="s">
        <v>2554</v>
      </c>
      <c r="D2447" s="862"/>
      <c r="I2447" s="845" t="s">
        <v>1009</v>
      </c>
    </row>
    <row r="2448" spans="1:10" x14ac:dyDescent="0.2">
      <c r="A2448" s="859">
        <f t="shared" si="38"/>
        <v>2447</v>
      </c>
      <c r="B2448" s="845" t="s">
        <v>2554</v>
      </c>
      <c r="D2448" s="863"/>
      <c r="I2448" s="845" t="str">
        <f>CONCATENATE("&lt;valeur&gt;",Cellule_11294,"&lt;/valeur&gt;")</f>
        <v>&lt;valeur&gt;0&lt;/valeur&gt;</v>
      </c>
    </row>
    <row r="2449" spans="1:10" x14ac:dyDescent="0.2">
      <c r="A2449" s="859">
        <f t="shared" si="38"/>
        <v>2448</v>
      </c>
      <c r="B2449" s="845" t="s">
        <v>2554</v>
      </c>
      <c r="D2449" s="862"/>
      <c r="H2449" s="845" t="s">
        <v>1010</v>
      </c>
    </row>
    <row r="2450" spans="1:10" x14ac:dyDescent="0.2">
      <c r="A2450" s="859">
        <f t="shared" si="38"/>
        <v>2449</v>
      </c>
      <c r="B2450" s="845" t="s">
        <v>2554</v>
      </c>
      <c r="D2450" s="862"/>
      <c r="H2450" s="845" t="s">
        <v>1007</v>
      </c>
    </row>
    <row r="2451" spans="1:10" x14ac:dyDescent="0.2">
      <c r="A2451" s="859">
        <f t="shared" si="38"/>
        <v>2450</v>
      </c>
      <c r="B2451" s="845" t="s">
        <v>2554</v>
      </c>
      <c r="D2451" s="861"/>
      <c r="I2451" s="845" t="s">
        <v>1008</v>
      </c>
    </row>
    <row r="2452" spans="1:10" x14ac:dyDescent="0.2">
      <c r="A2452" s="859">
        <f t="shared" si="38"/>
        <v>2451</v>
      </c>
      <c r="B2452" s="845" t="s">
        <v>2554</v>
      </c>
      <c r="D2452" s="861"/>
      <c r="J2452" s="845" t="s">
        <v>1430</v>
      </c>
    </row>
    <row r="2453" spans="1:10" x14ac:dyDescent="0.2">
      <c r="A2453" s="859">
        <f t="shared" si="38"/>
        <v>2452</v>
      </c>
      <c r="B2453" s="845" t="s">
        <v>2554</v>
      </c>
      <c r="D2453" s="862"/>
      <c r="I2453" s="845" t="s">
        <v>1009</v>
      </c>
    </row>
    <row r="2454" spans="1:10" x14ac:dyDescent="0.2">
      <c r="A2454" s="859">
        <f t="shared" si="38"/>
        <v>2453</v>
      </c>
      <c r="B2454" s="845" t="s">
        <v>2554</v>
      </c>
      <c r="D2454" s="863"/>
      <c r="I2454" s="845" t="str">
        <f>CONCATENATE("&lt;valeur&gt;",Cellule_11329,"&lt;/valeur&gt;")</f>
        <v>&lt;valeur&gt;0&lt;/valeur&gt;</v>
      </c>
    </row>
    <row r="2455" spans="1:10" x14ac:dyDescent="0.2">
      <c r="A2455" s="859">
        <f t="shared" si="38"/>
        <v>2454</v>
      </c>
      <c r="B2455" s="845" t="s">
        <v>2554</v>
      </c>
      <c r="D2455" s="862"/>
      <c r="H2455" s="845" t="s">
        <v>1010</v>
      </c>
    </row>
    <row r="2456" spans="1:10" x14ac:dyDescent="0.2">
      <c r="A2456" s="859">
        <f t="shared" si="38"/>
        <v>2455</v>
      </c>
      <c r="B2456" s="845" t="s">
        <v>2554</v>
      </c>
      <c r="D2456" s="862"/>
      <c r="H2456" s="845" t="s">
        <v>1007</v>
      </c>
    </row>
    <row r="2457" spans="1:10" x14ac:dyDescent="0.2">
      <c r="A2457" s="859">
        <f t="shared" si="38"/>
        <v>2456</v>
      </c>
      <c r="B2457" s="845" t="s">
        <v>2554</v>
      </c>
      <c r="D2457" s="861"/>
      <c r="I2457" s="845" t="s">
        <v>1008</v>
      </c>
    </row>
    <row r="2458" spans="1:10" x14ac:dyDescent="0.2">
      <c r="A2458" s="859">
        <f t="shared" si="38"/>
        <v>2457</v>
      </c>
      <c r="B2458" s="845" t="s">
        <v>2554</v>
      </c>
      <c r="D2458" s="861"/>
      <c r="J2458" s="845" t="s">
        <v>1431</v>
      </c>
    </row>
    <row r="2459" spans="1:10" x14ac:dyDescent="0.2">
      <c r="A2459" s="859">
        <f t="shared" si="38"/>
        <v>2458</v>
      </c>
      <c r="B2459" s="845" t="s">
        <v>2554</v>
      </c>
      <c r="D2459" s="862"/>
      <c r="I2459" s="845" t="s">
        <v>1009</v>
      </c>
    </row>
    <row r="2460" spans="1:10" x14ac:dyDescent="0.2">
      <c r="A2460" s="859">
        <f t="shared" si="38"/>
        <v>2459</v>
      </c>
      <c r="B2460" s="845" t="s">
        <v>2554</v>
      </c>
      <c r="D2460" s="863"/>
      <c r="I2460" s="845" t="str">
        <f>CONCATENATE("&lt;valeur&gt;",Cellule_11334,"&lt;/valeur&gt;")</f>
        <v>&lt;valeur&gt;0&lt;/valeur&gt;</v>
      </c>
    </row>
    <row r="2461" spans="1:10" x14ac:dyDescent="0.2">
      <c r="A2461" s="859">
        <f t="shared" si="38"/>
        <v>2460</v>
      </c>
      <c r="B2461" s="845" t="s">
        <v>2554</v>
      </c>
      <c r="D2461" s="862"/>
      <c r="H2461" s="845" t="s">
        <v>1010</v>
      </c>
    </row>
    <row r="2462" spans="1:10" x14ac:dyDescent="0.2">
      <c r="A2462" s="859">
        <f t="shared" si="38"/>
        <v>2461</v>
      </c>
      <c r="B2462" s="845" t="s">
        <v>2554</v>
      </c>
      <c r="D2462" s="862"/>
      <c r="H2462" s="845" t="s">
        <v>1007</v>
      </c>
    </row>
    <row r="2463" spans="1:10" x14ac:dyDescent="0.2">
      <c r="A2463" s="859">
        <f t="shared" si="38"/>
        <v>2462</v>
      </c>
      <c r="B2463" s="845" t="s">
        <v>2554</v>
      </c>
      <c r="D2463" s="861"/>
      <c r="I2463" s="845" t="s">
        <v>1008</v>
      </c>
    </row>
    <row r="2464" spans="1:10" x14ac:dyDescent="0.2">
      <c r="A2464" s="859">
        <f t="shared" si="38"/>
        <v>2463</v>
      </c>
      <c r="B2464" s="845" t="s">
        <v>2554</v>
      </c>
      <c r="D2464" s="861"/>
      <c r="J2464" s="845" t="s">
        <v>1432</v>
      </c>
    </row>
    <row r="2465" spans="1:10" x14ac:dyDescent="0.2">
      <c r="A2465" s="859">
        <f t="shared" si="38"/>
        <v>2464</v>
      </c>
      <c r="B2465" s="845" t="s">
        <v>2554</v>
      </c>
      <c r="D2465" s="862"/>
      <c r="I2465" s="845" t="s">
        <v>1009</v>
      </c>
    </row>
    <row r="2466" spans="1:10" x14ac:dyDescent="0.2">
      <c r="A2466" s="859">
        <f t="shared" si="38"/>
        <v>2465</v>
      </c>
      <c r="B2466" s="845" t="s">
        <v>2554</v>
      </c>
      <c r="D2466" s="863"/>
      <c r="I2466" s="845" t="str">
        <f>CONCATENATE("&lt;valeur&gt;",Cellule_11299,"&lt;/valeur&gt;")</f>
        <v>&lt;valeur&gt;0&lt;/valeur&gt;</v>
      </c>
    </row>
    <row r="2467" spans="1:10" x14ac:dyDescent="0.2">
      <c r="A2467" s="859">
        <f t="shared" si="38"/>
        <v>2466</v>
      </c>
      <c r="B2467" s="845" t="s">
        <v>2554</v>
      </c>
      <c r="D2467" s="862"/>
      <c r="H2467" s="845" t="s">
        <v>1010</v>
      </c>
    </row>
    <row r="2468" spans="1:10" x14ac:dyDescent="0.2">
      <c r="A2468" s="859">
        <f t="shared" si="38"/>
        <v>2467</v>
      </c>
      <c r="B2468" s="845" t="s">
        <v>2554</v>
      </c>
      <c r="D2468" s="862"/>
      <c r="H2468" s="845" t="s">
        <v>1007</v>
      </c>
    </row>
    <row r="2469" spans="1:10" x14ac:dyDescent="0.2">
      <c r="A2469" s="859">
        <f t="shared" si="38"/>
        <v>2468</v>
      </c>
      <c r="B2469" s="845" t="s">
        <v>2554</v>
      </c>
      <c r="D2469" s="861"/>
      <c r="I2469" s="845" t="s">
        <v>1008</v>
      </c>
    </row>
    <row r="2470" spans="1:10" x14ac:dyDescent="0.2">
      <c r="A2470" s="859">
        <f t="shared" si="38"/>
        <v>2469</v>
      </c>
      <c r="B2470" s="845" t="s">
        <v>2554</v>
      </c>
      <c r="D2470" s="861"/>
      <c r="J2470" s="845" t="s">
        <v>1433</v>
      </c>
    </row>
    <row r="2471" spans="1:10" x14ac:dyDescent="0.2">
      <c r="A2471" s="859">
        <f t="shared" si="38"/>
        <v>2470</v>
      </c>
      <c r="B2471" s="845" t="s">
        <v>2554</v>
      </c>
      <c r="D2471" s="862"/>
      <c r="I2471" s="845" t="s">
        <v>1009</v>
      </c>
    </row>
    <row r="2472" spans="1:10" x14ac:dyDescent="0.2">
      <c r="A2472" s="859">
        <f t="shared" si="38"/>
        <v>2471</v>
      </c>
      <c r="B2472" s="845" t="s">
        <v>2554</v>
      </c>
      <c r="D2472" s="863"/>
      <c r="I2472" s="845" t="str">
        <f>CONCATENATE("&lt;valeur&gt;",Cellule_11304,"&lt;/valeur&gt;")</f>
        <v>&lt;valeur&gt;0&lt;/valeur&gt;</v>
      </c>
    </row>
    <row r="2473" spans="1:10" x14ac:dyDescent="0.2">
      <c r="A2473" s="859">
        <f t="shared" si="38"/>
        <v>2472</v>
      </c>
      <c r="B2473" s="845" t="s">
        <v>2554</v>
      </c>
      <c r="D2473" s="862"/>
      <c r="H2473" s="845" t="s">
        <v>1010</v>
      </c>
    </row>
    <row r="2474" spans="1:10" x14ac:dyDescent="0.2">
      <c r="A2474" s="859">
        <f t="shared" si="38"/>
        <v>2473</v>
      </c>
      <c r="B2474" s="845" t="s">
        <v>2554</v>
      </c>
      <c r="D2474" s="862"/>
      <c r="H2474" s="845" t="s">
        <v>1007</v>
      </c>
    </row>
    <row r="2475" spans="1:10" x14ac:dyDescent="0.2">
      <c r="A2475" s="859">
        <f t="shared" si="38"/>
        <v>2474</v>
      </c>
      <c r="B2475" s="845" t="s">
        <v>2554</v>
      </c>
      <c r="D2475" s="861"/>
      <c r="I2475" s="845" t="s">
        <v>1008</v>
      </c>
    </row>
    <row r="2476" spans="1:10" x14ac:dyDescent="0.2">
      <c r="A2476" s="859">
        <f t="shared" si="38"/>
        <v>2475</v>
      </c>
      <c r="B2476" s="845" t="s">
        <v>2554</v>
      </c>
      <c r="D2476" s="861"/>
      <c r="J2476" s="845" t="s">
        <v>1434</v>
      </c>
    </row>
    <row r="2477" spans="1:10" x14ac:dyDescent="0.2">
      <c r="A2477" s="859">
        <f t="shared" si="38"/>
        <v>2476</v>
      </c>
      <c r="B2477" s="845" t="s">
        <v>2554</v>
      </c>
      <c r="D2477" s="862"/>
      <c r="I2477" s="845" t="s">
        <v>1009</v>
      </c>
    </row>
    <row r="2478" spans="1:10" x14ac:dyDescent="0.2">
      <c r="A2478" s="859">
        <f t="shared" si="38"/>
        <v>2477</v>
      </c>
      <c r="B2478" s="845" t="s">
        <v>2554</v>
      </c>
      <c r="D2478" s="863"/>
      <c r="I2478" s="845" t="str">
        <f>CONCATENATE("&lt;valeur&gt;",Cellule_11309,"&lt;/valeur&gt;")</f>
        <v>&lt;valeur&gt;0&lt;/valeur&gt;</v>
      </c>
    </row>
    <row r="2479" spans="1:10" x14ac:dyDescent="0.2">
      <c r="A2479" s="859">
        <f t="shared" si="38"/>
        <v>2478</v>
      </c>
      <c r="B2479" s="845" t="s">
        <v>2554</v>
      </c>
      <c r="D2479" s="862"/>
      <c r="H2479" s="845" t="s">
        <v>1010</v>
      </c>
    </row>
    <row r="2480" spans="1:10" x14ac:dyDescent="0.2">
      <c r="A2480" s="859">
        <f t="shared" si="38"/>
        <v>2479</v>
      </c>
      <c r="B2480" s="845" t="s">
        <v>2554</v>
      </c>
      <c r="D2480" s="862"/>
      <c r="H2480" s="845" t="s">
        <v>1007</v>
      </c>
    </row>
    <row r="2481" spans="1:10" x14ac:dyDescent="0.2">
      <c r="A2481" s="859">
        <f t="shared" si="38"/>
        <v>2480</v>
      </c>
      <c r="B2481" s="845" t="s">
        <v>2554</v>
      </c>
      <c r="D2481" s="861"/>
      <c r="I2481" s="845" t="s">
        <v>1008</v>
      </c>
    </row>
    <row r="2482" spans="1:10" x14ac:dyDescent="0.2">
      <c r="A2482" s="859">
        <f t="shared" si="38"/>
        <v>2481</v>
      </c>
      <c r="B2482" s="845" t="s">
        <v>2554</v>
      </c>
      <c r="D2482" s="861"/>
      <c r="J2482" s="845" t="s">
        <v>1435</v>
      </c>
    </row>
    <row r="2483" spans="1:10" x14ac:dyDescent="0.2">
      <c r="A2483" s="859">
        <f t="shared" si="38"/>
        <v>2482</v>
      </c>
      <c r="B2483" s="845" t="s">
        <v>2554</v>
      </c>
      <c r="D2483" s="862"/>
      <c r="I2483" s="845" t="s">
        <v>1009</v>
      </c>
    </row>
    <row r="2484" spans="1:10" x14ac:dyDescent="0.2">
      <c r="A2484" s="859">
        <f t="shared" si="38"/>
        <v>2483</v>
      </c>
      <c r="B2484" s="845" t="s">
        <v>2554</v>
      </c>
      <c r="D2484" s="863"/>
      <c r="I2484" s="845" t="str">
        <f>CONCATENATE("&lt;valeur&gt;",Cellule_11314,"&lt;/valeur&gt;")</f>
        <v>&lt;valeur&gt;0&lt;/valeur&gt;</v>
      </c>
    </row>
    <row r="2485" spans="1:10" x14ac:dyDescent="0.2">
      <c r="A2485" s="859">
        <f t="shared" si="38"/>
        <v>2484</v>
      </c>
      <c r="B2485" s="845" t="s">
        <v>2554</v>
      </c>
      <c r="D2485" s="862"/>
      <c r="H2485" s="845" t="s">
        <v>1010</v>
      </c>
    </row>
    <row r="2486" spans="1:10" x14ac:dyDescent="0.2">
      <c r="A2486" s="859">
        <f t="shared" si="38"/>
        <v>2485</v>
      </c>
      <c r="B2486" s="845" t="s">
        <v>2554</v>
      </c>
      <c r="D2486" s="862"/>
      <c r="H2486" s="845" t="s">
        <v>1007</v>
      </c>
    </row>
    <row r="2487" spans="1:10" x14ac:dyDescent="0.2">
      <c r="A2487" s="859">
        <f t="shared" si="38"/>
        <v>2486</v>
      </c>
      <c r="B2487" s="845" t="s">
        <v>2554</v>
      </c>
      <c r="D2487" s="861"/>
      <c r="I2487" s="845" t="s">
        <v>1008</v>
      </c>
    </row>
    <row r="2488" spans="1:10" x14ac:dyDescent="0.2">
      <c r="A2488" s="859">
        <f t="shared" si="38"/>
        <v>2487</v>
      </c>
      <c r="B2488" s="845" t="s">
        <v>2554</v>
      </c>
      <c r="D2488" s="861"/>
      <c r="J2488" s="845" t="s">
        <v>1436</v>
      </c>
    </row>
    <row r="2489" spans="1:10" x14ac:dyDescent="0.2">
      <c r="A2489" s="859">
        <f t="shared" si="38"/>
        <v>2488</v>
      </c>
      <c r="B2489" s="845" t="s">
        <v>2554</v>
      </c>
      <c r="D2489" s="862"/>
      <c r="I2489" s="845" t="s">
        <v>1009</v>
      </c>
    </row>
    <row r="2490" spans="1:10" x14ac:dyDescent="0.2">
      <c r="A2490" s="859">
        <f t="shared" si="38"/>
        <v>2489</v>
      </c>
      <c r="B2490" s="845" t="s">
        <v>2554</v>
      </c>
      <c r="D2490" s="863"/>
      <c r="I2490" s="845" t="str">
        <f>CONCATENATE("&lt;valeur&gt;",Cellule_11319,"&lt;/valeur&gt;")</f>
        <v>&lt;valeur&gt;0&lt;/valeur&gt;</v>
      </c>
    </row>
    <row r="2491" spans="1:10" x14ac:dyDescent="0.2">
      <c r="A2491" s="859">
        <f t="shared" si="38"/>
        <v>2490</v>
      </c>
      <c r="B2491" s="845" t="s">
        <v>2554</v>
      </c>
      <c r="D2491" s="862"/>
      <c r="H2491" s="845" t="s">
        <v>1010</v>
      </c>
    </row>
    <row r="2492" spans="1:10" x14ac:dyDescent="0.2">
      <c r="A2492" s="859">
        <f t="shared" si="38"/>
        <v>2491</v>
      </c>
      <c r="B2492" s="845" t="s">
        <v>2554</v>
      </c>
      <c r="D2492" s="862"/>
      <c r="H2492" s="845" t="s">
        <v>1007</v>
      </c>
    </row>
    <row r="2493" spans="1:10" x14ac:dyDescent="0.2">
      <c r="A2493" s="859">
        <f t="shared" si="38"/>
        <v>2492</v>
      </c>
      <c r="B2493" s="845" t="s">
        <v>2554</v>
      </c>
      <c r="D2493" s="861"/>
      <c r="I2493" s="845" t="s">
        <v>1008</v>
      </c>
    </row>
    <row r="2494" spans="1:10" x14ac:dyDescent="0.2">
      <c r="A2494" s="859">
        <f t="shared" si="38"/>
        <v>2493</v>
      </c>
      <c r="B2494" s="845" t="s">
        <v>2554</v>
      </c>
      <c r="D2494" s="861"/>
      <c r="J2494" s="845" t="s">
        <v>1437</v>
      </c>
    </row>
    <row r="2495" spans="1:10" x14ac:dyDescent="0.2">
      <c r="A2495" s="859">
        <f t="shared" si="38"/>
        <v>2494</v>
      </c>
      <c r="B2495" s="845" t="s">
        <v>2554</v>
      </c>
      <c r="D2495" s="862"/>
      <c r="I2495" s="845" t="s">
        <v>1009</v>
      </c>
    </row>
    <row r="2496" spans="1:10" x14ac:dyDescent="0.2">
      <c r="A2496" s="859">
        <f t="shared" si="38"/>
        <v>2495</v>
      </c>
      <c r="B2496" s="845" t="s">
        <v>2554</v>
      </c>
      <c r="D2496" s="863"/>
      <c r="I2496" s="845" t="str">
        <f>CONCATENATE("&lt;valeur&gt;",Cellule_11324,"&lt;/valeur&gt;")</f>
        <v>&lt;valeur&gt;0&lt;/valeur&gt;</v>
      </c>
    </row>
    <row r="2497" spans="1:10" x14ac:dyDescent="0.2">
      <c r="A2497" s="859">
        <f t="shared" si="38"/>
        <v>2496</v>
      </c>
      <c r="B2497" s="845" t="s">
        <v>2554</v>
      </c>
      <c r="D2497" s="862"/>
      <c r="H2497" s="845" t="s">
        <v>1010</v>
      </c>
    </row>
    <row r="2498" spans="1:10" x14ac:dyDescent="0.2">
      <c r="A2498" s="859">
        <f t="shared" si="38"/>
        <v>2497</v>
      </c>
      <c r="B2498" s="845" t="s">
        <v>2554</v>
      </c>
      <c r="D2498" s="862"/>
      <c r="H2498" s="845" t="s">
        <v>1007</v>
      </c>
    </row>
    <row r="2499" spans="1:10" x14ac:dyDescent="0.2">
      <c r="A2499" s="859">
        <f t="shared" si="38"/>
        <v>2498</v>
      </c>
      <c r="B2499" s="845" t="s">
        <v>2554</v>
      </c>
      <c r="D2499" s="861"/>
      <c r="I2499" s="845" t="s">
        <v>1008</v>
      </c>
    </row>
    <row r="2500" spans="1:10" x14ac:dyDescent="0.2">
      <c r="A2500" s="859">
        <f t="shared" ref="A2500:A2563" si="39">+A2499+1</f>
        <v>2499</v>
      </c>
      <c r="B2500" s="845" t="s">
        <v>2554</v>
      </c>
      <c r="D2500" s="861"/>
      <c r="J2500" s="845" t="s">
        <v>1438</v>
      </c>
    </row>
    <row r="2501" spans="1:10" x14ac:dyDescent="0.2">
      <c r="A2501" s="859">
        <f t="shared" si="39"/>
        <v>2500</v>
      </c>
      <c r="B2501" s="845" t="s">
        <v>2554</v>
      </c>
      <c r="D2501" s="862"/>
      <c r="I2501" s="845" t="s">
        <v>1009</v>
      </c>
    </row>
    <row r="2502" spans="1:10" x14ac:dyDescent="0.2">
      <c r="A2502" s="859">
        <f t="shared" si="39"/>
        <v>2501</v>
      </c>
      <c r="B2502" s="845" t="s">
        <v>2554</v>
      </c>
      <c r="D2502" s="863"/>
      <c r="I2502" s="845" t="str">
        <f>CONCATENATE("&lt;valeur&gt;",Cellule_11336,"&lt;/valeur&gt;")</f>
        <v>&lt;valeur&gt;0&lt;/valeur&gt;</v>
      </c>
    </row>
    <row r="2503" spans="1:10" x14ac:dyDescent="0.2">
      <c r="A2503" s="859">
        <f t="shared" si="39"/>
        <v>2502</v>
      </c>
      <c r="B2503" s="845" t="s">
        <v>2554</v>
      </c>
      <c r="D2503" s="862"/>
      <c r="H2503" s="845" t="s">
        <v>1010</v>
      </c>
    </row>
    <row r="2504" spans="1:10" x14ac:dyDescent="0.2">
      <c r="A2504" s="859">
        <f t="shared" si="39"/>
        <v>2503</v>
      </c>
      <c r="B2504" s="845" t="s">
        <v>2554</v>
      </c>
      <c r="D2504" s="862"/>
      <c r="H2504" s="845" t="s">
        <v>1007</v>
      </c>
    </row>
    <row r="2505" spans="1:10" x14ac:dyDescent="0.2">
      <c r="A2505" s="859">
        <f t="shared" si="39"/>
        <v>2504</v>
      </c>
      <c r="B2505" s="845" t="s">
        <v>2554</v>
      </c>
      <c r="D2505" s="861"/>
      <c r="I2505" s="845" t="s">
        <v>1008</v>
      </c>
    </row>
    <row r="2506" spans="1:10" x14ac:dyDescent="0.2">
      <c r="A2506" s="859">
        <f t="shared" si="39"/>
        <v>2505</v>
      </c>
      <c r="B2506" s="845" t="s">
        <v>2554</v>
      </c>
      <c r="D2506" s="861"/>
      <c r="J2506" s="845" t="s">
        <v>1439</v>
      </c>
    </row>
    <row r="2507" spans="1:10" x14ac:dyDescent="0.2">
      <c r="A2507" s="859">
        <f t="shared" si="39"/>
        <v>2506</v>
      </c>
      <c r="B2507" s="845" t="s">
        <v>2554</v>
      </c>
      <c r="D2507" s="862"/>
      <c r="I2507" s="845" t="s">
        <v>1009</v>
      </c>
    </row>
    <row r="2508" spans="1:10" x14ac:dyDescent="0.2">
      <c r="A2508" s="859">
        <f t="shared" si="39"/>
        <v>2507</v>
      </c>
      <c r="B2508" s="845" t="s">
        <v>2554</v>
      </c>
      <c r="D2508" s="863"/>
      <c r="I2508" s="845" t="str">
        <f>CONCATENATE("&lt;valeur&gt;",Cellule_11337,"&lt;/valeur&gt;")</f>
        <v>&lt;valeur&gt;0&lt;/valeur&gt;</v>
      </c>
    </row>
    <row r="2509" spans="1:10" x14ac:dyDescent="0.2">
      <c r="A2509" s="859">
        <f t="shared" si="39"/>
        <v>2508</v>
      </c>
      <c r="B2509" s="845" t="s">
        <v>2554</v>
      </c>
      <c r="D2509" s="862"/>
      <c r="H2509" s="845" t="s">
        <v>1010</v>
      </c>
    </row>
    <row r="2510" spans="1:10" x14ac:dyDescent="0.2">
      <c r="A2510" s="859">
        <f t="shared" si="39"/>
        <v>2509</v>
      </c>
      <c r="B2510" s="845" t="s">
        <v>2554</v>
      </c>
      <c r="D2510" s="862"/>
      <c r="H2510" s="845" t="s">
        <v>1007</v>
      </c>
    </row>
    <row r="2511" spans="1:10" x14ac:dyDescent="0.2">
      <c r="A2511" s="859">
        <f t="shared" si="39"/>
        <v>2510</v>
      </c>
      <c r="B2511" s="845" t="s">
        <v>2554</v>
      </c>
      <c r="D2511" s="861"/>
      <c r="I2511" s="845" t="s">
        <v>1008</v>
      </c>
    </row>
    <row r="2512" spans="1:10" x14ac:dyDescent="0.2">
      <c r="A2512" s="859">
        <f t="shared" si="39"/>
        <v>2511</v>
      </c>
      <c r="B2512" s="845" t="s">
        <v>2554</v>
      </c>
      <c r="D2512" s="861"/>
      <c r="J2512" s="845" t="s">
        <v>1440</v>
      </c>
    </row>
    <row r="2513" spans="1:10" x14ac:dyDescent="0.2">
      <c r="A2513" s="859">
        <f t="shared" si="39"/>
        <v>2512</v>
      </c>
      <c r="B2513" s="845" t="s">
        <v>2554</v>
      </c>
      <c r="D2513" s="862"/>
      <c r="I2513" s="845" t="s">
        <v>1009</v>
      </c>
    </row>
    <row r="2514" spans="1:10" x14ac:dyDescent="0.2">
      <c r="A2514" s="859">
        <f t="shared" si="39"/>
        <v>2513</v>
      </c>
      <c r="B2514" s="845" t="s">
        <v>2554</v>
      </c>
      <c r="D2514" s="863"/>
      <c r="I2514" s="845" t="str">
        <f>CONCATENATE("&lt;valeur&gt;",Cellule_11338,"&lt;/valeur&gt;")</f>
        <v>&lt;valeur&gt;0&lt;/valeur&gt;</v>
      </c>
    </row>
    <row r="2515" spans="1:10" x14ac:dyDescent="0.2">
      <c r="A2515" s="859">
        <f t="shared" si="39"/>
        <v>2514</v>
      </c>
      <c r="B2515" s="845" t="s">
        <v>2554</v>
      </c>
      <c r="D2515" s="862"/>
      <c r="H2515" s="845" t="s">
        <v>1010</v>
      </c>
    </row>
    <row r="2516" spans="1:10" x14ac:dyDescent="0.2">
      <c r="A2516" s="859">
        <f t="shared" si="39"/>
        <v>2515</v>
      </c>
      <c r="B2516" s="845" t="s">
        <v>2554</v>
      </c>
      <c r="D2516" s="862"/>
      <c r="H2516" s="845" t="s">
        <v>1007</v>
      </c>
    </row>
    <row r="2517" spans="1:10" x14ac:dyDescent="0.2">
      <c r="A2517" s="859">
        <f t="shared" si="39"/>
        <v>2516</v>
      </c>
      <c r="B2517" s="845" t="s">
        <v>2554</v>
      </c>
      <c r="D2517" s="861"/>
      <c r="I2517" s="845" t="s">
        <v>1008</v>
      </c>
    </row>
    <row r="2518" spans="1:10" x14ac:dyDescent="0.2">
      <c r="A2518" s="859">
        <f t="shared" si="39"/>
        <v>2517</v>
      </c>
      <c r="B2518" s="845" t="s">
        <v>2554</v>
      </c>
      <c r="D2518" s="861"/>
      <c r="J2518" s="845" t="s">
        <v>1441</v>
      </c>
    </row>
    <row r="2519" spans="1:10" x14ac:dyDescent="0.2">
      <c r="A2519" s="859">
        <f t="shared" si="39"/>
        <v>2518</v>
      </c>
      <c r="B2519" s="845" t="s">
        <v>2554</v>
      </c>
      <c r="D2519" s="862"/>
      <c r="I2519" s="845" t="s">
        <v>1009</v>
      </c>
    </row>
    <row r="2520" spans="1:10" x14ac:dyDescent="0.2">
      <c r="A2520" s="859">
        <f t="shared" si="39"/>
        <v>2519</v>
      </c>
      <c r="B2520" s="845" t="s">
        <v>2554</v>
      </c>
      <c r="D2520" s="863"/>
      <c r="I2520" s="845" t="str">
        <f>CONCATENATE("&lt;valeur&gt;",Cellule_11339,"&lt;/valeur&gt;")</f>
        <v>&lt;valeur&gt;0&lt;/valeur&gt;</v>
      </c>
    </row>
    <row r="2521" spans="1:10" x14ac:dyDescent="0.2">
      <c r="A2521" s="859">
        <f t="shared" si="39"/>
        <v>2520</v>
      </c>
      <c r="B2521" s="845" t="s">
        <v>2554</v>
      </c>
      <c r="D2521" s="862"/>
      <c r="H2521" s="845" t="s">
        <v>1010</v>
      </c>
    </row>
    <row r="2522" spans="1:10" x14ac:dyDescent="0.2">
      <c r="A2522" s="859">
        <f t="shared" si="39"/>
        <v>2521</v>
      </c>
      <c r="B2522" s="845" t="s">
        <v>2554</v>
      </c>
      <c r="D2522" s="862"/>
      <c r="H2522" s="845" t="s">
        <v>1007</v>
      </c>
    </row>
    <row r="2523" spans="1:10" x14ac:dyDescent="0.2">
      <c r="A2523" s="859">
        <f t="shared" si="39"/>
        <v>2522</v>
      </c>
      <c r="B2523" s="845" t="s">
        <v>2554</v>
      </c>
      <c r="D2523" s="861"/>
      <c r="I2523" s="845" t="s">
        <v>1008</v>
      </c>
    </row>
    <row r="2524" spans="1:10" x14ac:dyDescent="0.2">
      <c r="A2524" s="859">
        <f t="shared" si="39"/>
        <v>2523</v>
      </c>
      <c r="B2524" s="845" t="s">
        <v>2554</v>
      </c>
      <c r="D2524" s="861"/>
      <c r="J2524" s="845" t="s">
        <v>1442</v>
      </c>
    </row>
    <row r="2525" spans="1:10" x14ac:dyDescent="0.2">
      <c r="A2525" s="859">
        <f t="shared" si="39"/>
        <v>2524</v>
      </c>
      <c r="B2525" s="845" t="s">
        <v>2554</v>
      </c>
      <c r="D2525" s="862"/>
      <c r="I2525" s="845" t="s">
        <v>1009</v>
      </c>
    </row>
    <row r="2526" spans="1:10" x14ac:dyDescent="0.2">
      <c r="A2526" s="859">
        <f t="shared" si="39"/>
        <v>2525</v>
      </c>
      <c r="B2526" s="845" t="s">
        <v>2554</v>
      </c>
      <c r="D2526" s="863"/>
      <c r="I2526" s="845" t="str">
        <f>CONCATENATE("&lt;valeur&gt;",Cellule_11341,"&lt;/valeur&gt;")</f>
        <v>&lt;valeur&gt;0&lt;/valeur&gt;</v>
      </c>
    </row>
    <row r="2527" spans="1:10" x14ac:dyDescent="0.2">
      <c r="A2527" s="859">
        <f t="shared" si="39"/>
        <v>2526</v>
      </c>
      <c r="B2527" s="845" t="s">
        <v>2554</v>
      </c>
      <c r="D2527" s="862"/>
      <c r="H2527" s="845" t="s">
        <v>1010</v>
      </c>
    </row>
    <row r="2528" spans="1:10" x14ac:dyDescent="0.2">
      <c r="A2528" s="859">
        <f t="shared" si="39"/>
        <v>2527</v>
      </c>
      <c r="B2528" s="845" t="s">
        <v>2554</v>
      </c>
      <c r="D2528" s="862"/>
      <c r="H2528" s="845" t="s">
        <v>1007</v>
      </c>
    </row>
    <row r="2529" spans="1:10" x14ac:dyDescent="0.2">
      <c r="A2529" s="859">
        <f t="shared" si="39"/>
        <v>2528</v>
      </c>
      <c r="B2529" s="845" t="s">
        <v>2554</v>
      </c>
      <c r="D2529" s="861"/>
      <c r="I2529" s="845" t="s">
        <v>1008</v>
      </c>
    </row>
    <row r="2530" spans="1:10" x14ac:dyDescent="0.2">
      <c r="A2530" s="859">
        <f t="shared" si="39"/>
        <v>2529</v>
      </c>
      <c r="B2530" s="845" t="s">
        <v>2554</v>
      </c>
      <c r="D2530" s="861"/>
      <c r="J2530" s="845" t="s">
        <v>1443</v>
      </c>
    </row>
    <row r="2531" spans="1:10" x14ac:dyDescent="0.2">
      <c r="A2531" s="859">
        <f t="shared" si="39"/>
        <v>2530</v>
      </c>
      <c r="B2531" s="845" t="s">
        <v>2554</v>
      </c>
      <c r="D2531" s="862"/>
      <c r="I2531" s="845" t="s">
        <v>1009</v>
      </c>
    </row>
    <row r="2532" spans="1:10" x14ac:dyDescent="0.2">
      <c r="A2532" s="859">
        <f t="shared" si="39"/>
        <v>2531</v>
      </c>
      <c r="B2532" s="845" t="s">
        <v>2554</v>
      </c>
      <c r="D2532" s="863"/>
      <c r="I2532" s="845" t="str">
        <f>CONCATENATE("&lt;valeur&gt;",Cellule_11346,"&lt;/valeur&gt;")</f>
        <v>&lt;valeur&gt;0&lt;/valeur&gt;</v>
      </c>
    </row>
    <row r="2533" spans="1:10" x14ac:dyDescent="0.2">
      <c r="A2533" s="859">
        <f t="shared" si="39"/>
        <v>2532</v>
      </c>
      <c r="B2533" s="845" t="s">
        <v>2554</v>
      </c>
      <c r="D2533" s="862"/>
      <c r="H2533" s="845" t="s">
        <v>1010</v>
      </c>
    </row>
    <row r="2534" spans="1:10" x14ac:dyDescent="0.2">
      <c r="A2534" s="859">
        <f t="shared" si="39"/>
        <v>2533</v>
      </c>
      <c r="B2534" s="845" t="s">
        <v>2554</v>
      </c>
      <c r="D2534" s="862"/>
      <c r="H2534" s="845" t="s">
        <v>1007</v>
      </c>
    </row>
    <row r="2535" spans="1:10" x14ac:dyDescent="0.2">
      <c r="A2535" s="859">
        <f t="shared" si="39"/>
        <v>2534</v>
      </c>
      <c r="B2535" s="845" t="s">
        <v>2554</v>
      </c>
      <c r="D2535" s="861"/>
      <c r="I2535" s="845" t="s">
        <v>1008</v>
      </c>
    </row>
    <row r="2536" spans="1:10" x14ac:dyDescent="0.2">
      <c r="A2536" s="859">
        <f t="shared" si="39"/>
        <v>2535</v>
      </c>
      <c r="B2536" s="845" t="s">
        <v>2554</v>
      </c>
      <c r="D2536" s="861"/>
      <c r="J2536" s="845" t="s">
        <v>1444</v>
      </c>
    </row>
    <row r="2537" spans="1:10" x14ac:dyDescent="0.2">
      <c r="A2537" s="859">
        <f t="shared" si="39"/>
        <v>2536</v>
      </c>
      <c r="B2537" s="845" t="s">
        <v>2554</v>
      </c>
      <c r="D2537" s="862"/>
      <c r="I2537" s="845" t="s">
        <v>1009</v>
      </c>
    </row>
    <row r="2538" spans="1:10" x14ac:dyDescent="0.2">
      <c r="A2538" s="859">
        <f t="shared" si="39"/>
        <v>2537</v>
      </c>
      <c r="B2538" s="845" t="s">
        <v>2554</v>
      </c>
      <c r="D2538" s="863"/>
      <c r="I2538" s="845" t="str">
        <f>CONCATENATE("&lt;valeur&gt;",Cellule_11351,"&lt;/valeur&gt;")</f>
        <v>&lt;valeur&gt;0&lt;/valeur&gt;</v>
      </c>
    </row>
    <row r="2539" spans="1:10" x14ac:dyDescent="0.2">
      <c r="A2539" s="859">
        <f t="shared" si="39"/>
        <v>2538</v>
      </c>
      <c r="B2539" s="845" t="s">
        <v>2554</v>
      </c>
      <c r="D2539" s="862"/>
      <c r="H2539" s="845" t="s">
        <v>1010</v>
      </c>
    </row>
    <row r="2540" spans="1:10" x14ac:dyDescent="0.2">
      <c r="A2540" s="859">
        <f t="shared" si="39"/>
        <v>2539</v>
      </c>
      <c r="B2540" s="845" t="s">
        <v>2554</v>
      </c>
      <c r="D2540" s="862"/>
      <c r="H2540" s="845" t="s">
        <v>1007</v>
      </c>
    </row>
    <row r="2541" spans="1:10" x14ac:dyDescent="0.2">
      <c r="A2541" s="859">
        <f t="shared" si="39"/>
        <v>2540</v>
      </c>
      <c r="B2541" s="845" t="s">
        <v>2554</v>
      </c>
      <c r="D2541" s="861"/>
      <c r="I2541" s="845" t="s">
        <v>1008</v>
      </c>
    </row>
    <row r="2542" spans="1:10" x14ac:dyDescent="0.2">
      <c r="A2542" s="859">
        <f t="shared" si="39"/>
        <v>2541</v>
      </c>
      <c r="B2542" s="845" t="s">
        <v>2554</v>
      </c>
      <c r="D2542" s="861"/>
      <c r="J2542" s="845" t="s">
        <v>1445</v>
      </c>
    </row>
    <row r="2543" spans="1:10" x14ac:dyDescent="0.2">
      <c r="A2543" s="859">
        <f t="shared" si="39"/>
        <v>2542</v>
      </c>
      <c r="B2543" s="845" t="s">
        <v>2554</v>
      </c>
      <c r="D2543" s="862"/>
      <c r="I2543" s="845" t="s">
        <v>1009</v>
      </c>
    </row>
    <row r="2544" spans="1:10" x14ac:dyDescent="0.2">
      <c r="A2544" s="859">
        <f t="shared" si="39"/>
        <v>2543</v>
      </c>
      <c r="B2544" s="845" t="s">
        <v>2554</v>
      </c>
      <c r="D2544" s="863"/>
      <c r="I2544" s="845" t="str">
        <f>CONCATENATE("&lt;valeur&gt;",Cellule_11396,"&lt;/valeur&gt;")</f>
        <v>&lt;valeur&gt;0&lt;/valeur&gt;</v>
      </c>
    </row>
    <row r="2545" spans="1:10" x14ac:dyDescent="0.2">
      <c r="A2545" s="859">
        <f t="shared" si="39"/>
        <v>2544</v>
      </c>
      <c r="B2545" s="845" t="s">
        <v>2554</v>
      </c>
      <c r="D2545" s="862"/>
      <c r="H2545" s="845" t="s">
        <v>1010</v>
      </c>
    </row>
    <row r="2546" spans="1:10" x14ac:dyDescent="0.2">
      <c r="A2546" s="859">
        <f t="shared" si="39"/>
        <v>2545</v>
      </c>
      <c r="B2546" s="845" t="s">
        <v>2554</v>
      </c>
      <c r="D2546" s="862"/>
      <c r="H2546" s="845" t="s">
        <v>1007</v>
      </c>
    </row>
    <row r="2547" spans="1:10" x14ac:dyDescent="0.2">
      <c r="A2547" s="859">
        <f t="shared" si="39"/>
        <v>2546</v>
      </c>
      <c r="B2547" s="845" t="s">
        <v>2554</v>
      </c>
      <c r="D2547" s="861"/>
      <c r="I2547" s="845" t="s">
        <v>1008</v>
      </c>
    </row>
    <row r="2548" spans="1:10" x14ac:dyDescent="0.2">
      <c r="A2548" s="859">
        <f t="shared" si="39"/>
        <v>2547</v>
      </c>
      <c r="B2548" s="845" t="s">
        <v>2554</v>
      </c>
      <c r="D2548" s="861"/>
      <c r="J2548" s="845" t="s">
        <v>1446</v>
      </c>
    </row>
    <row r="2549" spans="1:10" x14ac:dyDescent="0.2">
      <c r="A2549" s="859">
        <f t="shared" si="39"/>
        <v>2548</v>
      </c>
      <c r="B2549" s="845" t="s">
        <v>2554</v>
      </c>
      <c r="D2549" s="862"/>
      <c r="I2549" s="845" t="s">
        <v>1009</v>
      </c>
    </row>
    <row r="2550" spans="1:10" x14ac:dyDescent="0.2">
      <c r="A2550" s="859">
        <f t="shared" si="39"/>
        <v>2549</v>
      </c>
      <c r="B2550" s="845" t="s">
        <v>2554</v>
      </c>
      <c r="D2550" s="863"/>
      <c r="I2550" s="845" t="str">
        <f>CONCATENATE("&lt;valeur&gt;",Cellule_11401,"&lt;/valeur&gt;")</f>
        <v>&lt;valeur&gt;0&lt;/valeur&gt;</v>
      </c>
    </row>
    <row r="2551" spans="1:10" x14ac:dyDescent="0.2">
      <c r="A2551" s="859">
        <f t="shared" si="39"/>
        <v>2550</v>
      </c>
      <c r="B2551" s="845" t="s">
        <v>2554</v>
      </c>
      <c r="D2551" s="862"/>
      <c r="H2551" s="845" t="s">
        <v>1010</v>
      </c>
    </row>
    <row r="2552" spans="1:10" x14ac:dyDescent="0.2">
      <c r="A2552" s="859">
        <f t="shared" si="39"/>
        <v>2551</v>
      </c>
      <c r="B2552" s="845" t="s">
        <v>2554</v>
      </c>
      <c r="D2552" s="862"/>
      <c r="H2552" s="845" t="s">
        <v>1007</v>
      </c>
    </row>
    <row r="2553" spans="1:10" x14ac:dyDescent="0.2">
      <c r="A2553" s="859">
        <f t="shared" si="39"/>
        <v>2552</v>
      </c>
      <c r="B2553" s="845" t="s">
        <v>2554</v>
      </c>
      <c r="D2553" s="861"/>
      <c r="I2553" s="845" t="s">
        <v>1008</v>
      </c>
    </row>
    <row r="2554" spans="1:10" x14ac:dyDescent="0.2">
      <c r="A2554" s="859">
        <f t="shared" si="39"/>
        <v>2553</v>
      </c>
      <c r="B2554" s="845" t="s">
        <v>2554</v>
      </c>
      <c r="D2554" s="861"/>
      <c r="J2554" s="845" t="s">
        <v>1447</v>
      </c>
    </row>
    <row r="2555" spans="1:10" x14ac:dyDescent="0.2">
      <c r="A2555" s="859">
        <f t="shared" si="39"/>
        <v>2554</v>
      </c>
      <c r="B2555" s="845" t="s">
        <v>2554</v>
      </c>
      <c r="D2555" s="862"/>
      <c r="I2555" s="845" t="s">
        <v>1009</v>
      </c>
    </row>
    <row r="2556" spans="1:10" x14ac:dyDescent="0.2">
      <c r="A2556" s="859">
        <f t="shared" si="39"/>
        <v>2555</v>
      </c>
      <c r="B2556" s="845" t="s">
        <v>2554</v>
      </c>
      <c r="D2556" s="863"/>
      <c r="I2556" s="845" t="str">
        <f>CONCATENATE("&lt;valeur&gt;",Cellule_11406,"&lt;/valeur&gt;")</f>
        <v>&lt;valeur&gt;0&lt;/valeur&gt;</v>
      </c>
    </row>
    <row r="2557" spans="1:10" x14ac:dyDescent="0.2">
      <c r="A2557" s="859">
        <f t="shared" si="39"/>
        <v>2556</v>
      </c>
      <c r="B2557" s="845" t="s">
        <v>2554</v>
      </c>
      <c r="D2557" s="862"/>
      <c r="H2557" s="845" t="s">
        <v>1010</v>
      </c>
    </row>
    <row r="2558" spans="1:10" x14ac:dyDescent="0.2">
      <c r="A2558" s="859">
        <f t="shared" si="39"/>
        <v>2557</v>
      </c>
      <c r="B2558" s="845" t="s">
        <v>2554</v>
      </c>
      <c r="D2558" s="862"/>
      <c r="H2558" s="845" t="s">
        <v>1007</v>
      </c>
    </row>
    <row r="2559" spans="1:10" x14ac:dyDescent="0.2">
      <c r="A2559" s="859">
        <f t="shared" si="39"/>
        <v>2558</v>
      </c>
      <c r="B2559" s="845" t="s">
        <v>2554</v>
      </c>
      <c r="D2559" s="861"/>
      <c r="I2559" s="845" t="s">
        <v>1008</v>
      </c>
    </row>
    <row r="2560" spans="1:10" x14ac:dyDescent="0.2">
      <c r="A2560" s="859">
        <f t="shared" si="39"/>
        <v>2559</v>
      </c>
      <c r="B2560" s="845" t="s">
        <v>2554</v>
      </c>
      <c r="D2560" s="861"/>
      <c r="J2560" s="845" t="s">
        <v>1448</v>
      </c>
    </row>
    <row r="2561" spans="1:10" x14ac:dyDescent="0.2">
      <c r="A2561" s="859">
        <f t="shared" si="39"/>
        <v>2560</v>
      </c>
      <c r="B2561" s="845" t="s">
        <v>2554</v>
      </c>
      <c r="D2561" s="862"/>
      <c r="I2561" s="845" t="s">
        <v>1009</v>
      </c>
    </row>
    <row r="2562" spans="1:10" x14ac:dyDescent="0.2">
      <c r="A2562" s="859">
        <f t="shared" si="39"/>
        <v>2561</v>
      </c>
      <c r="B2562" s="845" t="s">
        <v>2554</v>
      </c>
      <c r="D2562" s="863"/>
      <c r="I2562" s="845" t="str">
        <f>CONCATENATE("&lt;valeur&gt;",Cellule_11356,"&lt;/valeur&gt;")</f>
        <v>&lt;valeur&gt;0&lt;/valeur&gt;</v>
      </c>
    </row>
    <row r="2563" spans="1:10" x14ac:dyDescent="0.2">
      <c r="A2563" s="859">
        <f t="shared" si="39"/>
        <v>2562</v>
      </c>
      <c r="B2563" s="845" t="s">
        <v>2554</v>
      </c>
      <c r="D2563" s="862"/>
      <c r="H2563" s="845" t="s">
        <v>1010</v>
      </c>
    </row>
    <row r="2564" spans="1:10" x14ac:dyDescent="0.2">
      <c r="A2564" s="859">
        <f t="shared" ref="A2564:A2627" si="40">+A2563+1</f>
        <v>2563</v>
      </c>
      <c r="B2564" s="845" t="s">
        <v>2554</v>
      </c>
      <c r="D2564" s="862"/>
      <c r="H2564" s="845" t="s">
        <v>1007</v>
      </c>
    </row>
    <row r="2565" spans="1:10" x14ac:dyDescent="0.2">
      <c r="A2565" s="859">
        <f t="shared" si="40"/>
        <v>2564</v>
      </c>
      <c r="B2565" s="845" t="s">
        <v>2554</v>
      </c>
      <c r="D2565" s="861"/>
      <c r="I2565" s="845" t="s">
        <v>1008</v>
      </c>
    </row>
    <row r="2566" spans="1:10" x14ac:dyDescent="0.2">
      <c r="A2566" s="859">
        <f t="shared" si="40"/>
        <v>2565</v>
      </c>
      <c r="B2566" s="845" t="s">
        <v>2554</v>
      </c>
      <c r="D2566" s="861"/>
      <c r="J2566" s="845" t="s">
        <v>1449</v>
      </c>
    </row>
    <row r="2567" spans="1:10" x14ac:dyDescent="0.2">
      <c r="A2567" s="859">
        <f t="shared" si="40"/>
        <v>2566</v>
      </c>
      <c r="B2567" s="845" t="s">
        <v>2554</v>
      </c>
      <c r="D2567" s="862"/>
      <c r="I2567" s="845" t="s">
        <v>1009</v>
      </c>
    </row>
    <row r="2568" spans="1:10" x14ac:dyDescent="0.2">
      <c r="A2568" s="859">
        <f t="shared" si="40"/>
        <v>2567</v>
      </c>
      <c r="B2568" s="845" t="s">
        <v>2554</v>
      </c>
      <c r="D2568" s="863"/>
      <c r="I2568" s="845" t="str">
        <f>CONCATENATE("&lt;valeur&gt;",Cellule_11361,"&lt;/valeur&gt;")</f>
        <v>&lt;valeur&gt;0&lt;/valeur&gt;</v>
      </c>
    </row>
    <row r="2569" spans="1:10" x14ac:dyDescent="0.2">
      <c r="A2569" s="859">
        <f t="shared" si="40"/>
        <v>2568</v>
      </c>
      <c r="B2569" s="845" t="s">
        <v>2554</v>
      </c>
      <c r="D2569" s="862"/>
      <c r="H2569" s="845" t="s">
        <v>1010</v>
      </c>
    </row>
    <row r="2570" spans="1:10" x14ac:dyDescent="0.2">
      <c r="A2570" s="859">
        <f t="shared" si="40"/>
        <v>2569</v>
      </c>
      <c r="B2570" s="845" t="s">
        <v>2554</v>
      </c>
      <c r="D2570" s="862"/>
      <c r="H2570" s="845" t="s">
        <v>1007</v>
      </c>
    </row>
    <row r="2571" spans="1:10" x14ac:dyDescent="0.2">
      <c r="A2571" s="859">
        <f t="shared" si="40"/>
        <v>2570</v>
      </c>
      <c r="B2571" s="845" t="s">
        <v>2554</v>
      </c>
      <c r="D2571" s="861"/>
      <c r="I2571" s="845" t="s">
        <v>1008</v>
      </c>
    </row>
    <row r="2572" spans="1:10" x14ac:dyDescent="0.2">
      <c r="A2572" s="859">
        <f t="shared" si="40"/>
        <v>2571</v>
      </c>
      <c r="B2572" s="845" t="s">
        <v>2554</v>
      </c>
      <c r="D2572" s="861"/>
      <c r="J2572" s="845" t="s">
        <v>1450</v>
      </c>
    </row>
    <row r="2573" spans="1:10" x14ac:dyDescent="0.2">
      <c r="A2573" s="859">
        <f t="shared" si="40"/>
        <v>2572</v>
      </c>
      <c r="B2573" s="845" t="s">
        <v>2554</v>
      </c>
      <c r="D2573" s="862"/>
      <c r="I2573" s="845" t="s">
        <v>1009</v>
      </c>
    </row>
    <row r="2574" spans="1:10" x14ac:dyDescent="0.2">
      <c r="A2574" s="859">
        <f t="shared" si="40"/>
        <v>2573</v>
      </c>
      <c r="B2574" s="845" t="s">
        <v>2554</v>
      </c>
      <c r="D2574" s="863"/>
      <c r="I2574" s="845" t="str">
        <f>CONCATENATE("&lt;valeur&gt;",Cellule_11366,"&lt;/valeur&gt;")</f>
        <v>&lt;valeur&gt;0&lt;/valeur&gt;</v>
      </c>
    </row>
    <row r="2575" spans="1:10" x14ac:dyDescent="0.2">
      <c r="A2575" s="859">
        <f t="shared" si="40"/>
        <v>2574</v>
      </c>
      <c r="B2575" s="845" t="s">
        <v>2554</v>
      </c>
      <c r="D2575" s="862"/>
      <c r="H2575" s="845" t="s">
        <v>1010</v>
      </c>
    </row>
    <row r="2576" spans="1:10" x14ac:dyDescent="0.2">
      <c r="A2576" s="859">
        <f t="shared" si="40"/>
        <v>2575</v>
      </c>
      <c r="B2576" s="845" t="s">
        <v>2554</v>
      </c>
      <c r="D2576" s="862"/>
      <c r="H2576" s="845" t="s">
        <v>1007</v>
      </c>
    </row>
    <row r="2577" spans="1:10" x14ac:dyDescent="0.2">
      <c r="A2577" s="859">
        <f t="shared" si="40"/>
        <v>2576</v>
      </c>
      <c r="B2577" s="845" t="s">
        <v>2554</v>
      </c>
      <c r="D2577" s="861"/>
      <c r="I2577" s="845" t="s">
        <v>1008</v>
      </c>
    </row>
    <row r="2578" spans="1:10" x14ac:dyDescent="0.2">
      <c r="A2578" s="859">
        <f t="shared" si="40"/>
        <v>2577</v>
      </c>
      <c r="B2578" s="845" t="s">
        <v>2554</v>
      </c>
      <c r="D2578" s="861"/>
      <c r="J2578" s="845" t="s">
        <v>1451</v>
      </c>
    </row>
    <row r="2579" spans="1:10" x14ac:dyDescent="0.2">
      <c r="A2579" s="859">
        <f t="shared" si="40"/>
        <v>2578</v>
      </c>
      <c r="B2579" s="845" t="s">
        <v>2554</v>
      </c>
      <c r="D2579" s="862"/>
      <c r="I2579" s="845" t="s">
        <v>1009</v>
      </c>
    </row>
    <row r="2580" spans="1:10" x14ac:dyDescent="0.2">
      <c r="A2580" s="859">
        <f t="shared" si="40"/>
        <v>2579</v>
      </c>
      <c r="B2580" s="845" t="s">
        <v>2554</v>
      </c>
      <c r="D2580" s="863"/>
      <c r="I2580" s="845" t="str">
        <f>CONCATENATE("&lt;valeur&gt;",Cellule_11371,"&lt;/valeur&gt;")</f>
        <v>&lt;valeur&gt;0&lt;/valeur&gt;</v>
      </c>
    </row>
    <row r="2581" spans="1:10" x14ac:dyDescent="0.2">
      <c r="A2581" s="859">
        <f t="shared" si="40"/>
        <v>2580</v>
      </c>
      <c r="B2581" s="845" t="s">
        <v>2554</v>
      </c>
      <c r="D2581" s="862"/>
      <c r="H2581" s="845" t="s">
        <v>1010</v>
      </c>
    </row>
    <row r="2582" spans="1:10" x14ac:dyDescent="0.2">
      <c r="A2582" s="859">
        <f t="shared" si="40"/>
        <v>2581</v>
      </c>
      <c r="B2582" s="845" t="s">
        <v>2554</v>
      </c>
      <c r="D2582" s="862"/>
      <c r="H2582" s="845" t="s">
        <v>1007</v>
      </c>
    </row>
    <row r="2583" spans="1:10" x14ac:dyDescent="0.2">
      <c r="A2583" s="859">
        <f t="shared" si="40"/>
        <v>2582</v>
      </c>
      <c r="B2583" s="845" t="s">
        <v>2554</v>
      </c>
      <c r="D2583" s="861"/>
      <c r="I2583" s="845" t="s">
        <v>1008</v>
      </c>
    </row>
    <row r="2584" spans="1:10" x14ac:dyDescent="0.2">
      <c r="A2584" s="859">
        <f t="shared" si="40"/>
        <v>2583</v>
      </c>
      <c r="B2584" s="845" t="s">
        <v>2554</v>
      </c>
      <c r="D2584" s="861"/>
      <c r="J2584" s="845" t="s">
        <v>1452</v>
      </c>
    </row>
    <row r="2585" spans="1:10" x14ac:dyDescent="0.2">
      <c r="A2585" s="859">
        <f t="shared" si="40"/>
        <v>2584</v>
      </c>
      <c r="B2585" s="845" t="s">
        <v>2554</v>
      </c>
      <c r="D2585" s="862"/>
      <c r="I2585" s="845" t="s">
        <v>1009</v>
      </c>
    </row>
    <row r="2586" spans="1:10" x14ac:dyDescent="0.2">
      <c r="A2586" s="859">
        <f t="shared" si="40"/>
        <v>2585</v>
      </c>
      <c r="B2586" s="845" t="s">
        <v>2554</v>
      </c>
      <c r="D2586" s="863"/>
      <c r="I2586" s="845" t="str">
        <f>CONCATENATE("&lt;valeur&gt;",Cellule_11376,"&lt;/valeur&gt;")</f>
        <v>&lt;valeur&gt;0&lt;/valeur&gt;</v>
      </c>
    </row>
    <row r="2587" spans="1:10" x14ac:dyDescent="0.2">
      <c r="A2587" s="859">
        <f t="shared" si="40"/>
        <v>2586</v>
      </c>
      <c r="B2587" s="845" t="s">
        <v>2554</v>
      </c>
      <c r="D2587" s="862"/>
      <c r="H2587" s="845" t="s">
        <v>1010</v>
      </c>
    </row>
    <row r="2588" spans="1:10" x14ac:dyDescent="0.2">
      <c r="A2588" s="859">
        <f t="shared" si="40"/>
        <v>2587</v>
      </c>
      <c r="B2588" s="845" t="s">
        <v>2554</v>
      </c>
      <c r="D2588" s="862"/>
      <c r="H2588" s="845" t="s">
        <v>1007</v>
      </c>
    </row>
    <row r="2589" spans="1:10" x14ac:dyDescent="0.2">
      <c r="A2589" s="859">
        <f t="shared" si="40"/>
        <v>2588</v>
      </c>
      <c r="B2589" s="845" t="s">
        <v>2554</v>
      </c>
      <c r="D2589" s="861"/>
      <c r="I2589" s="845" t="s">
        <v>1008</v>
      </c>
    </row>
    <row r="2590" spans="1:10" x14ac:dyDescent="0.2">
      <c r="A2590" s="859">
        <f t="shared" si="40"/>
        <v>2589</v>
      </c>
      <c r="B2590" s="845" t="s">
        <v>2554</v>
      </c>
      <c r="D2590" s="861"/>
      <c r="J2590" s="845" t="s">
        <v>1453</v>
      </c>
    </row>
    <row r="2591" spans="1:10" x14ac:dyDescent="0.2">
      <c r="A2591" s="859">
        <f t="shared" si="40"/>
        <v>2590</v>
      </c>
      <c r="B2591" s="845" t="s">
        <v>2554</v>
      </c>
      <c r="D2591" s="862"/>
      <c r="I2591" s="845" t="s">
        <v>1009</v>
      </c>
    </row>
    <row r="2592" spans="1:10" x14ac:dyDescent="0.2">
      <c r="A2592" s="859">
        <f t="shared" si="40"/>
        <v>2591</v>
      </c>
      <c r="B2592" s="845" t="s">
        <v>2554</v>
      </c>
      <c r="D2592" s="863"/>
      <c r="I2592" s="845" t="str">
        <f>CONCATENATE("&lt;valeur&gt;",Cellule_11381,"&lt;/valeur&gt;")</f>
        <v>&lt;valeur&gt;0&lt;/valeur&gt;</v>
      </c>
    </row>
    <row r="2593" spans="1:10" x14ac:dyDescent="0.2">
      <c r="A2593" s="859">
        <f t="shared" si="40"/>
        <v>2592</v>
      </c>
      <c r="B2593" s="845" t="s">
        <v>2554</v>
      </c>
      <c r="D2593" s="862"/>
      <c r="H2593" s="845" t="s">
        <v>1010</v>
      </c>
    </row>
    <row r="2594" spans="1:10" x14ac:dyDescent="0.2">
      <c r="A2594" s="859">
        <f t="shared" si="40"/>
        <v>2593</v>
      </c>
      <c r="B2594" s="845" t="s">
        <v>2554</v>
      </c>
      <c r="D2594" s="862"/>
      <c r="H2594" s="845" t="s">
        <v>1007</v>
      </c>
    </row>
    <row r="2595" spans="1:10" x14ac:dyDescent="0.2">
      <c r="A2595" s="859">
        <f t="shared" si="40"/>
        <v>2594</v>
      </c>
      <c r="B2595" s="845" t="s">
        <v>2554</v>
      </c>
      <c r="D2595" s="861"/>
      <c r="I2595" s="845" t="s">
        <v>1008</v>
      </c>
    </row>
    <row r="2596" spans="1:10" x14ac:dyDescent="0.2">
      <c r="A2596" s="859">
        <f t="shared" si="40"/>
        <v>2595</v>
      </c>
      <c r="B2596" s="845" t="s">
        <v>2554</v>
      </c>
      <c r="D2596" s="861"/>
      <c r="J2596" s="845" t="s">
        <v>1454</v>
      </c>
    </row>
    <row r="2597" spans="1:10" x14ac:dyDescent="0.2">
      <c r="A2597" s="859">
        <f t="shared" si="40"/>
        <v>2596</v>
      </c>
      <c r="B2597" s="845" t="s">
        <v>2554</v>
      </c>
      <c r="D2597" s="862"/>
      <c r="I2597" s="845" t="s">
        <v>1009</v>
      </c>
    </row>
    <row r="2598" spans="1:10" x14ac:dyDescent="0.2">
      <c r="A2598" s="859">
        <f t="shared" si="40"/>
        <v>2597</v>
      </c>
      <c r="B2598" s="845" t="s">
        <v>2554</v>
      </c>
      <c r="D2598" s="863"/>
      <c r="I2598" s="845" t="str">
        <f>CONCATENATE("&lt;valeur&gt;",Cellule_11386,"&lt;/valeur&gt;")</f>
        <v>&lt;valeur&gt;0&lt;/valeur&gt;</v>
      </c>
    </row>
    <row r="2599" spans="1:10" x14ac:dyDescent="0.2">
      <c r="A2599" s="859">
        <f t="shared" si="40"/>
        <v>2598</v>
      </c>
      <c r="B2599" s="845" t="s">
        <v>2554</v>
      </c>
      <c r="D2599" s="862"/>
      <c r="H2599" s="845" t="s">
        <v>1010</v>
      </c>
    </row>
    <row r="2600" spans="1:10" x14ac:dyDescent="0.2">
      <c r="A2600" s="859">
        <f t="shared" si="40"/>
        <v>2599</v>
      </c>
      <c r="B2600" s="845" t="s">
        <v>2554</v>
      </c>
      <c r="D2600" s="862"/>
      <c r="H2600" s="845" t="s">
        <v>1007</v>
      </c>
    </row>
    <row r="2601" spans="1:10" x14ac:dyDescent="0.2">
      <c r="A2601" s="859">
        <f t="shared" si="40"/>
        <v>2600</v>
      </c>
      <c r="B2601" s="845" t="s">
        <v>2554</v>
      </c>
      <c r="D2601" s="861"/>
      <c r="I2601" s="845" t="s">
        <v>1008</v>
      </c>
    </row>
    <row r="2602" spans="1:10" x14ac:dyDescent="0.2">
      <c r="A2602" s="859">
        <f t="shared" si="40"/>
        <v>2601</v>
      </c>
      <c r="B2602" s="845" t="s">
        <v>2554</v>
      </c>
      <c r="D2602" s="861"/>
      <c r="J2602" s="845" t="s">
        <v>1455</v>
      </c>
    </row>
    <row r="2603" spans="1:10" x14ac:dyDescent="0.2">
      <c r="A2603" s="859">
        <f t="shared" si="40"/>
        <v>2602</v>
      </c>
      <c r="B2603" s="845" t="s">
        <v>2554</v>
      </c>
      <c r="D2603" s="862"/>
      <c r="I2603" s="845" t="s">
        <v>1009</v>
      </c>
    </row>
    <row r="2604" spans="1:10" x14ac:dyDescent="0.2">
      <c r="A2604" s="859">
        <f t="shared" si="40"/>
        <v>2603</v>
      </c>
      <c r="B2604" s="845" t="s">
        <v>2554</v>
      </c>
      <c r="D2604" s="863"/>
      <c r="I2604" s="845" t="str">
        <f>CONCATENATE("&lt;valeur&gt;",Cellule_11391,"&lt;/valeur&gt;")</f>
        <v>&lt;valeur&gt;0&lt;/valeur&gt;</v>
      </c>
    </row>
    <row r="2605" spans="1:10" x14ac:dyDescent="0.2">
      <c r="A2605" s="859">
        <f t="shared" si="40"/>
        <v>2604</v>
      </c>
      <c r="B2605" s="845" t="s">
        <v>2554</v>
      </c>
      <c r="D2605" s="862"/>
      <c r="H2605" s="845" t="s">
        <v>1010</v>
      </c>
    </row>
    <row r="2606" spans="1:10" x14ac:dyDescent="0.2">
      <c r="A2606" s="859">
        <f t="shared" si="40"/>
        <v>2605</v>
      </c>
      <c r="B2606" s="845" t="s">
        <v>2554</v>
      </c>
      <c r="D2606" s="862"/>
      <c r="H2606" s="845" t="s">
        <v>1007</v>
      </c>
    </row>
    <row r="2607" spans="1:10" x14ac:dyDescent="0.2">
      <c r="A2607" s="859">
        <f t="shared" si="40"/>
        <v>2606</v>
      </c>
      <c r="B2607" s="845" t="s">
        <v>2554</v>
      </c>
      <c r="D2607" s="861"/>
      <c r="I2607" s="845" t="s">
        <v>1008</v>
      </c>
    </row>
    <row r="2608" spans="1:10" x14ac:dyDescent="0.2">
      <c r="A2608" s="859">
        <f t="shared" si="40"/>
        <v>2607</v>
      </c>
      <c r="B2608" s="845" t="s">
        <v>2554</v>
      </c>
      <c r="D2608" s="861"/>
      <c r="J2608" s="845" t="s">
        <v>1456</v>
      </c>
    </row>
    <row r="2609" spans="1:10" x14ac:dyDescent="0.2">
      <c r="A2609" s="859">
        <f t="shared" si="40"/>
        <v>2608</v>
      </c>
      <c r="B2609" s="845" t="s">
        <v>2554</v>
      </c>
      <c r="D2609" s="862"/>
      <c r="I2609" s="845" t="s">
        <v>1009</v>
      </c>
    </row>
    <row r="2610" spans="1:10" x14ac:dyDescent="0.2">
      <c r="A2610" s="859">
        <f t="shared" si="40"/>
        <v>2609</v>
      </c>
      <c r="B2610" s="845" t="s">
        <v>2554</v>
      </c>
      <c r="D2610" s="863"/>
      <c r="I2610" s="845" t="str">
        <f>CONCATENATE("&lt;valeur&gt;",Cellule_11342,"&lt;/valeur&gt;")</f>
        <v>&lt;valeur&gt;0&lt;/valeur&gt;</v>
      </c>
    </row>
    <row r="2611" spans="1:10" x14ac:dyDescent="0.2">
      <c r="A2611" s="859">
        <f t="shared" si="40"/>
        <v>2610</v>
      </c>
      <c r="B2611" s="845" t="s">
        <v>2554</v>
      </c>
      <c r="D2611" s="862"/>
      <c r="H2611" s="845" t="s">
        <v>1010</v>
      </c>
    </row>
    <row r="2612" spans="1:10" x14ac:dyDescent="0.2">
      <c r="A2612" s="859">
        <f t="shared" si="40"/>
        <v>2611</v>
      </c>
      <c r="B2612" s="845" t="s">
        <v>2554</v>
      </c>
      <c r="D2612" s="862"/>
      <c r="H2612" s="845" t="s">
        <v>1007</v>
      </c>
    </row>
    <row r="2613" spans="1:10" x14ac:dyDescent="0.2">
      <c r="A2613" s="859">
        <f t="shared" si="40"/>
        <v>2612</v>
      </c>
      <c r="B2613" s="845" t="s">
        <v>2554</v>
      </c>
      <c r="D2613" s="861"/>
      <c r="I2613" s="845" t="s">
        <v>1008</v>
      </c>
    </row>
    <row r="2614" spans="1:10" x14ac:dyDescent="0.2">
      <c r="A2614" s="859">
        <f t="shared" si="40"/>
        <v>2613</v>
      </c>
      <c r="B2614" s="845" t="s">
        <v>2554</v>
      </c>
      <c r="D2614" s="861"/>
      <c r="J2614" s="845" t="s">
        <v>1457</v>
      </c>
    </row>
    <row r="2615" spans="1:10" x14ac:dyDescent="0.2">
      <c r="A2615" s="859">
        <f t="shared" si="40"/>
        <v>2614</v>
      </c>
      <c r="B2615" s="845" t="s">
        <v>2554</v>
      </c>
      <c r="D2615" s="862"/>
      <c r="I2615" s="845" t="s">
        <v>1009</v>
      </c>
    </row>
    <row r="2616" spans="1:10" x14ac:dyDescent="0.2">
      <c r="A2616" s="859">
        <f t="shared" si="40"/>
        <v>2615</v>
      </c>
      <c r="B2616" s="845" t="s">
        <v>2554</v>
      </c>
      <c r="D2616" s="863"/>
      <c r="I2616" s="845" t="str">
        <f>CONCATENATE("&lt;valeur&gt;",Cellule_11347,"&lt;/valeur&gt;")</f>
        <v>&lt;valeur&gt;0&lt;/valeur&gt;</v>
      </c>
    </row>
    <row r="2617" spans="1:10" x14ac:dyDescent="0.2">
      <c r="A2617" s="859">
        <f t="shared" si="40"/>
        <v>2616</v>
      </c>
      <c r="B2617" s="845" t="s">
        <v>2554</v>
      </c>
      <c r="D2617" s="862"/>
      <c r="H2617" s="845" t="s">
        <v>1010</v>
      </c>
    </row>
    <row r="2618" spans="1:10" x14ac:dyDescent="0.2">
      <c r="A2618" s="859">
        <f t="shared" si="40"/>
        <v>2617</v>
      </c>
      <c r="B2618" s="845" t="s">
        <v>2554</v>
      </c>
      <c r="D2618" s="862"/>
      <c r="H2618" s="845" t="s">
        <v>1007</v>
      </c>
    </row>
    <row r="2619" spans="1:10" x14ac:dyDescent="0.2">
      <c r="A2619" s="859">
        <f t="shared" si="40"/>
        <v>2618</v>
      </c>
      <c r="B2619" s="845" t="s">
        <v>2554</v>
      </c>
      <c r="D2619" s="861"/>
      <c r="I2619" s="845" t="s">
        <v>1008</v>
      </c>
    </row>
    <row r="2620" spans="1:10" x14ac:dyDescent="0.2">
      <c r="A2620" s="859">
        <f t="shared" si="40"/>
        <v>2619</v>
      </c>
      <c r="B2620" s="845" t="s">
        <v>2554</v>
      </c>
      <c r="D2620" s="861"/>
      <c r="J2620" s="845" t="s">
        <v>1458</v>
      </c>
    </row>
    <row r="2621" spans="1:10" x14ac:dyDescent="0.2">
      <c r="A2621" s="859">
        <f t="shared" si="40"/>
        <v>2620</v>
      </c>
      <c r="B2621" s="845" t="s">
        <v>2554</v>
      </c>
      <c r="D2621" s="862"/>
      <c r="I2621" s="845" t="s">
        <v>1009</v>
      </c>
    </row>
    <row r="2622" spans="1:10" x14ac:dyDescent="0.2">
      <c r="A2622" s="859">
        <f t="shared" si="40"/>
        <v>2621</v>
      </c>
      <c r="B2622" s="845" t="s">
        <v>2554</v>
      </c>
      <c r="D2622" s="863"/>
      <c r="I2622" s="845" t="str">
        <f>CONCATENATE("&lt;valeur&gt;",Cellule_11352,"&lt;/valeur&gt;")</f>
        <v>&lt;valeur&gt;0&lt;/valeur&gt;</v>
      </c>
    </row>
    <row r="2623" spans="1:10" x14ac:dyDescent="0.2">
      <c r="A2623" s="859">
        <f t="shared" si="40"/>
        <v>2622</v>
      </c>
      <c r="B2623" s="845" t="s">
        <v>2554</v>
      </c>
      <c r="D2623" s="862"/>
      <c r="H2623" s="845" t="s">
        <v>1010</v>
      </c>
    </row>
    <row r="2624" spans="1:10" x14ac:dyDescent="0.2">
      <c r="A2624" s="859">
        <f t="shared" si="40"/>
        <v>2623</v>
      </c>
      <c r="B2624" s="845" t="s">
        <v>2554</v>
      </c>
      <c r="D2624" s="862"/>
      <c r="H2624" s="845" t="s">
        <v>1007</v>
      </c>
    </row>
    <row r="2625" spans="1:10" x14ac:dyDescent="0.2">
      <c r="A2625" s="859">
        <f t="shared" si="40"/>
        <v>2624</v>
      </c>
      <c r="B2625" s="845" t="s">
        <v>2554</v>
      </c>
      <c r="D2625" s="861"/>
      <c r="I2625" s="845" t="s">
        <v>1008</v>
      </c>
    </row>
    <row r="2626" spans="1:10" x14ac:dyDescent="0.2">
      <c r="A2626" s="859">
        <f t="shared" si="40"/>
        <v>2625</v>
      </c>
      <c r="B2626" s="845" t="s">
        <v>2554</v>
      </c>
      <c r="D2626" s="861"/>
      <c r="J2626" s="845" t="s">
        <v>1459</v>
      </c>
    </row>
    <row r="2627" spans="1:10" x14ac:dyDescent="0.2">
      <c r="A2627" s="859">
        <f t="shared" si="40"/>
        <v>2626</v>
      </c>
      <c r="B2627" s="845" t="s">
        <v>2554</v>
      </c>
      <c r="D2627" s="862"/>
      <c r="I2627" s="845" t="s">
        <v>1009</v>
      </c>
    </row>
    <row r="2628" spans="1:10" x14ac:dyDescent="0.2">
      <c r="A2628" s="859">
        <f t="shared" ref="A2628:A2691" si="41">+A2627+1</f>
        <v>2627</v>
      </c>
      <c r="B2628" s="845" t="s">
        <v>2554</v>
      </c>
      <c r="D2628" s="863"/>
      <c r="I2628" s="845" t="str">
        <f>CONCATENATE("&lt;valeur&gt;",Cellule_11392,"&lt;/valeur&gt;")</f>
        <v>&lt;valeur&gt;0&lt;/valeur&gt;</v>
      </c>
    </row>
    <row r="2629" spans="1:10" x14ac:dyDescent="0.2">
      <c r="A2629" s="859">
        <f t="shared" si="41"/>
        <v>2628</v>
      </c>
      <c r="B2629" s="845" t="s">
        <v>2554</v>
      </c>
      <c r="D2629" s="862"/>
      <c r="H2629" s="845" t="s">
        <v>1010</v>
      </c>
    </row>
    <row r="2630" spans="1:10" x14ac:dyDescent="0.2">
      <c r="A2630" s="859">
        <f t="shared" si="41"/>
        <v>2629</v>
      </c>
      <c r="B2630" s="845" t="s">
        <v>2554</v>
      </c>
      <c r="D2630" s="862"/>
      <c r="H2630" s="845" t="s">
        <v>1007</v>
      </c>
    </row>
    <row r="2631" spans="1:10" x14ac:dyDescent="0.2">
      <c r="A2631" s="859">
        <f t="shared" si="41"/>
        <v>2630</v>
      </c>
      <c r="B2631" s="845" t="s">
        <v>2554</v>
      </c>
      <c r="D2631" s="861"/>
      <c r="I2631" s="845" t="s">
        <v>1008</v>
      </c>
    </row>
    <row r="2632" spans="1:10" x14ac:dyDescent="0.2">
      <c r="A2632" s="859">
        <f t="shared" si="41"/>
        <v>2631</v>
      </c>
      <c r="B2632" s="845" t="s">
        <v>2554</v>
      </c>
      <c r="D2632" s="861"/>
      <c r="J2632" s="845" t="s">
        <v>1460</v>
      </c>
    </row>
    <row r="2633" spans="1:10" x14ac:dyDescent="0.2">
      <c r="A2633" s="859">
        <f t="shared" si="41"/>
        <v>2632</v>
      </c>
      <c r="B2633" s="845" t="s">
        <v>2554</v>
      </c>
      <c r="D2633" s="862"/>
      <c r="I2633" s="845" t="s">
        <v>1009</v>
      </c>
    </row>
    <row r="2634" spans="1:10" x14ac:dyDescent="0.2">
      <c r="A2634" s="859">
        <f t="shared" si="41"/>
        <v>2633</v>
      </c>
      <c r="B2634" s="845" t="s">
        <v>2554</v>
      </c>
      <c r="D2634" s="863"/>
      <c r="I2634" s="845" t="str">
        <f>CONCATENATE("&lt;valeur&gt;",Cellule_11397,"&lt;/valeur&gt;")</f>
        <v>&lt;valeur&gt;0&lt;/valeur&gt;</v>
      </c>
    </row>
    <row r="2635" spans="1:10" x14ac:dyDescent="0.2">
      <c r="A2635" s="859">
        <f t="shared" si="41"/>
        <v>2634</v>
      </c>
      <c r="B2635" s="845" t="s">
        <v>2554</v>
      </c>
      <c r="D2635" s="862"/>
      <c r="H2635" s="845" t="s">
        <v>1010</v>
      </c>
    </row>
    <row r="2636" spans="1:10" x14ac:dyDescent="0.2">
      <c r="A2636" s="859">
        <f t="shared" si="41"/>
        <v>2635</v>
      </c>
      <c r="B2636" s="845" t="s">
        <v>2554</v>
      </c>
      <c r="D2636" s="862"/>
      <c r="H2636" s="845" t="s">
        <v>1007</v>
      </c>
    </row>
    <row r="2637" spans="1:10" x14ac:dyDescent="0.2">
      <c r="A2637" s="859">
        <f t="shared" si="41"/>
        <v>2636</v>
      </c>
      <c r="B2637" s="845" t="s">
        <v>2554</v>
      </c>
      <c r="D2637" s="861"/>
      <c r="I2637" s="845" t="s">
        <v>1008</v>
      </c>
    </row>
    <row r="2638" spans="1:10" x14ac:dyDescent="0.2">
      <c r="A2638" s="859">
        <f t="shared" si="41"/>
        <v>2637</v>
      </c>
      <c r="B2638" s="845" t="s">
        <v>2554</v>
      </c>
      <c r="D2638" s="861"/>
      <c r="J2638" s="845" t="s">
        <v>1461</v>
      </c>
    </row>
    <row r="2639" spans="1:10" x14ac:dyDescent="0.2">
      <c r="A2639" s="859">
        <f t="shared" si="41"/>
        <v>2638</v>
      </c>
      <c r="B2639" s="845" t="s">
        <v>2554</v>
      </c>
      <c r="D2639" s="862"/>
      <c r="I2639" s="845" t="s">
        <v>1009</v>
      </c>
    </row>
    <row r="2640" spans="1:10" x14ac:dyDescent="0.2">
      <c r="A2640" s="859">
        <f t="shared" si="41"/>
        <v>2639</v>
      </c>
      <c r="B2640" s="845" t="s">
        <v>2554</v>
      </c>
      <c r="D2640" s="863"/>
      <c r="I2640" s="845" t="str">
        <f>CONCATENATE("&lt;valeur&gt;",Cellule_11402,"&lt;/valeur&gt;")</f>
        <v>&lt;valeur&gt;0&lt;/valeur&gt;</v>
      </c>
    </row>
    <row r="2641" spans="1:10" x14ac:dyDescent="0.2">
      <c r="A2641" s="859">
        <f t="shared" si="41"/>
        <v>2640</v>
      </c>
      <c r="B2641" s="845" t="s">
        <v>2554</v>
      </c>
      <c r="D2641" s="862"/>
      <c r="H2641" s="845" t="s">
        <v>1010</v>
      </c>
    </row>
    <row r="2642" spans="1:10" x14ac:dyDescent="0.2">
      <c r="A2642" s="859">
        <f t="shared" si="41"/>
        <v>2641</v>
      </c>
      <c r="B2642" s="845" t="s">
        <v>2554</v>
      </c>
      <c r="D2642" s="862"/>
      <c r="H2642" s="845" t="s">
        <v>1007</v>
      </c>
    </row>
    <row r="2643" spans="1:10" x14ac:dyDescent="0.2">
      <c r="A2643" s="859">
        <f t="shared" si="41"/>
        <v>2642</v>
      </c>
      <c r="B2643" s="845" t="s">
        <v>2554</v>
      </c>
      <c r="D2643" s="861"/>
      <c r="I2643" s="845" t="s">
        <v>1008</v>
      </c>
    </row>
    <row r="2644" spans="1:10" x14ac:dyDescent="0.2">
      <c r="A2644" s="859">
        <f t="shared" si="41"/>
        <v>2643</v>
      </c>
      <c r="B2644" s="845" t="s">
        <v>2554</v>
      </c>
      <c r="D2644" s="861"/>
      <c r="J2644" s="845" t="s">
        <v>1462</v>
      </c>
    </row>
    <row r="2645" spans="1:10" x14ac:dyDescent="0.2">
      <c r="A2645" s="859">
        <f t="shared" si="41"/>
        <v>2644</v>
      </c>
      <c r="B2645" s="845" t="s">
        <v>2554</v>
      </c>
      <c r="D2645" s="862"/>
      <c r="I2645" s="845" t="s">
        <v>1009</v>
      </c>
    </row>
    <row r="2646" spans="1:10" x14ac:dyDescent="0.2">
      <c r="A2646" s="859">
        <f t="shared" si="41"/>
        <v>2645</v>
      </c>
      <c r="B2646" s="845" t="s">
        <v>2554</v>
      </c>
      <c r="D2646" s="863"/>
      <c r="I2646" s="845" t="str">
        <f>CONCATENATE("&lt;valeur&gt;",Cellule_11407,"&lt;/valeur&gt;")</f>
        <v>&lt;valeur&gt;0&lt;/valeur&gt;</v>
      </c>
    </row>
    <row r="2647" spans="1:10" x14ac:dyDescent="0.2">
      <c r="A2647" s="859">
        <f t="shared" si="41"/>
        <v>2646</v>
      </c>
      <c r="B2647" s="845" t="s">
        <v>2554</v>
      </c>
      <c r="D2647" s="862"/>
      <c r="H2647" s="845" t="s">
        <v>1010</v>
      </c>
    </row>
    <row r="2648" spans="1:10" x14ac:dyDescent="0.2">
      <c r="A2648" s="859">
        <f t="shared" si="41"/>
        <v>2647</v>
      </c>
      <c r="B2648" s="845" t="s">
        <v>2554</v>
      </c>
      <c r="D2648" s="862"/>
      <c r="H2648" s="845" t="s">
        <v>1007</v>
      </c>
    </row>
    <row r="2649" spans="1:10" x14ac:dyDescent="0.2">
      <c r="A2649" s="859">
        <f t="shared" si="41"/>
        <v>2648</v>
      </c>
      <c r="B2649" s="845" t="s">
        <v>2554</v>
      </c>
      <c r="D2649" s="861"/>
      <c r="I2649" s="845" t="s">
        <v>1008</v>
      </c>
    </row>
    <row r="2650" spans="1:10" x14ac:dyDescent="0.2">
      <c r="A2650" s="859">
        <f t="shared" si="41"/>
        <v>2649</v>
      </c>
      <c r="B2650" s="845" t="s">
        <v>2554</v>
      </c>
      <c r="D2650" s="861"/>
      <c r="J2650" s="845" t="s">
        <v>1463</v>
      </c>
    </row>
    <row r="2651" spans="1:10" x14ac:dyDescent="0.2">
      <c r="A2651" s="859">
        <f t="shared" si="41"/>
        <v>2650</v>
      </c>
      <c r="B2651" s="845" t="s">
        <v>2554</v>
      </c>
      <c r="D2651" s="862"/>
      <c r="I2651" s="845" t="s">
        <v>1009</v>
      </c>
    </row>
    <row r="2652" spans="1:10" x14ac:dyDescent="0.2">
      <c r="A2652" s="859">
        <f t="shared" si="41"/>
        <v>2651</v>
      </c>
      <c r="B2652" s="845" t="s">
        <v>2554</v>
      </c>
      <c r="D2652" s="863"/>
      <c r="I2652" s="845" t="str">
        <f>CONCATENATE("&lt;valeur&gt;",Cellule_11357,"&lt;/valeur&gt;")</f>
        <v>&lt;valeur&gt;0&lt;/valeur&gt;</v>
      </c>
    </row>
    <row r="2653" spans="1:10" x14ac:dyDescent="0.2">
      <c r="A2653" s="859">
        <f t="shared" si="41"/>
        <v>2652</v>
      </c>
      <c r="B2653" s="845" t="s">
        <v>2554</v>
      </c>
      <c r="D2653" s="862"/>
      <c r="H2653" s="845" t="s">
        <v>1010</v>
      </c>
    </row>
    <row r="2654" spans="1:10" x14ac:dyDescent="0.2">
      <c r="A2654" s="859">
        <f t="shared" si="41"/>
        <v>2653</v>
      </c>
      <c r="B2654" s="845" t="s">
        <v>2554</v>
      </c>
      <c r="D2654" s="862"/>
      <c r="H2654" s="845" t="s">
        <v>1007</v>
      </c>
    </row>
    <row r="2655" spans="1:10" x14ac:dyDescent="0.2">
      <c r="A2655" s="859">
        <f t="shared" si="41"/>
        <v>2654</v>
      </c>
      <c r="B2655" s="845" t="s">
        <v>2554</v>
      </c>
      <c r="D2655" s="861"/>
      <c r="I2655" s="845" t="s">
        <v>1008</v>
      </c>
    </row>
    <row r="2656" spans="1:10" x14ac:dyDescent="0.2">
      <c r="A2656" s="859">
        <f t="shared" si="41"/>
        <v>2655</v>
      </c>
      <c r="B2656" s="845" t="s">
        <v>2554</v>
      </c>
      <c r="D2656" s="861"/>
      <c r="J2656" s="845" t="s">
        <v>1464</v>
      </c>
    </row>
    <row r="2657" spans="1:10" x14ac:dyDescent="0.2">
      <c r="A2657" s="859">
        <f t="shared" si="41"/>
        <v>2656</v>
      </c>
      <c r="B2657" s="845" t="s">
        <v>2554</v>
      </c>
      <c r="D2657" s="862"/>
      <c r="I2657" s="845" t="s">
        <v>1009</v>
      </c>
    </row>
    <row r="2658" spans="1:10" x14ac:dyDescent="0.2">
      <c r="A2658" s="859">
        <f t="shared" si="41"/>
        <v>2657</v>
      </c>
      <c r="B2658" s="845" t="s">
        <v>2554</v>
      </c>
      <c r="D2658" s="863"/>
      <c r="I2658" s="845" t="str">
        <f>CONCATENATE("&lt;valeur&gt;",Cellule_11362,"&lt;/valeur&gt;")</f>
        <v>&lt;valeur&gt;0&lt;/valeur&gt;</v>
      </c>
    </row>
    <row r="2659" spans="1:10" x14ac:dyDescent="0.2">
      <c r="A2659" s="859">
        <f t="shared" si="41"/>
        <v>2658</v>
      </c>
      <c r="B2659" s="845" t="s">
        <v>2554</v>
      </c>
      <c r="D2659" s="862"/>
      <c r="H2659" s="845" t="s">
        <v>1010</v>
      </c>
    </row>
    <row r="2660" spans="1:10" x14ac:dyDescent="0.2">
      <c r="A2660" s="859">
        <f t="shared" si="41"/>
        <v>2659</v>
      </c>
      <c r="B2660" s="845" t="s">
        <v>2554</v>
      </c>
      <c r="D2660" s="862"/>
      <c r="H2660" s="845" t="s">
        <v>1007</v>
      </c>
    </row>
    <row r="2661" spans="1:10" x14ac:dyDescent="0.2">
      <c r="A2661" s="859">
        <f t="shared" si="41"/>
        <v>2660</v>
      </c>
      <c r="B2661" s="845" t="s">
        <v>2554</v>
      </c>
      <c r="D2661" s="861"/>
      <c r="I2661" s="845" t="s">
        <v>1008</v>
      </c>
    </row>
    <row r="2662" spans="1:10" x14ac:dyDescent="0.2">
      <c r="A2662" s="859">
        <f t="shared" si="41"/>
        <v>2661</v>
      </c>
      <c r="B2662" s="845" t="s">
        <v>2554</v>
      </c>
      <c r="D2662" s="861"/>
      <c r="J2662" s="845" t="s">
        <v>1465</v>
      </c>
    </row>
    <row r="2663" spans="1:10" x14ac:dyDescent="0.2">
      <c r="A2663" s="859">
        <f t="shared" si="41"/>
        <v>2662</v>
      </c>
      <c r="B2663" s="845" t="s">
        <v>2554</v>
      </c>
      <c r="D2663" s="862"/>
      <c r="I2663" s="845" t="s">
        <v>1009</v>
      </c>
    </row>
    <row r="2664" spans="1:10" x14ac:dyDescent="0.2">
      <c r="A2664" s="859">
        <f t="shared" si="41"/>
        <v>2663</v>
      </c>
      <c r="B2664" s="845" t="s">
        <v>2554</v>
      </c>
      <c r="D2664" s="863"/>
      <c r="I2664" s="845" t="str">
        <f>CONCATENATE("&lt;valeur&gt;",Cellule_11367,"&lt;/valeur&gt;")</f>
        <v>&lt;valeur&gt;0&lt;/valeur&gt;</v>
      </c>
    </row>
    <row r="2665" spans="1:10" x14ac:dyDescent="0.2">
      <c r="A2665" s="859">
        <f t="shared" si="41"/>
        <v>2664</v>
      </c>
      <c r="B2665" s="845" t="s">
        <v>2554</v>
      </c>
      <c r="D2665" s="862"/>
      <c r="H2665" s="845" t="s">
        <v>1010</v>
      </c>
    </row>
    <row r="2666" spans="1:10" x14ac:dyDescent="0.2">
      <c r="A2666" s="859">
        <f t="shared" si="41"/>
        <v>2665</v>
      </c>
      <c r="B2666" s="845" t="s">
        <v>2554</v>
      </c>
      <c r="D2666" s="862"/>
      <c r="H2666" s="845" t="s">
        <v>1007</v>
      </c>
    </row>
    <row r="2667" spans="1:10" x14ac:dyDescent="0.2">
      <c r="A2667" s="859">
        <f t="shared" si="41"/>
        <v>2666</v>
      </c>
      <c r="B2667" s="845" t="s">
        <v>2554</v>
      </c>
      <c r="D2667" s="861"/>
      <c r="I2667" s="845" t="s">
        <v>1008</v>
      </c>
    </row>
    <row r="2668" spans="1:10" x14ac:dyDescent="0.2">
      <c r="A2668" s="859">
        <f t="shared" si="41"/>
        <v>2667</v>
      </c>
      <c r="B2668" s="845" t="s">
        <v>2554</v>
      </c>
      <c r="D2668" s="861"/>
      <c r="J2668" s="845" t="s">
        <v>1466</v>
      </c>
    </row>
    <row r="2669" spans="1:10" x14ac:dyDescent="0.2">
      <c r="A2669" s="859">
        <f t="shared" si="41"/>
        <v>2668</v>
      </c>
      <c r="B2669" s="845" t="s">
        <v>2554</v>
      </c>
      <c r="D2669" s="862"/>
      <c r="I2669" s="845" t="s">
        <v>1009</v>
      </c>
    </row>
    <row r="2670" spans="1:10" x14ac:dyDescent="0.2">
      <c r="A2670" s="859">
        <f t="shared" si="41"/>
        <v>2669</v>
      </c>
      <c r="B2670" s="845" t="s">
        <v>2554</v>
      </c>
      <c r="D2670" s="863"/>
      <c r="I2670" s="845" t="str">
        <f>CONCATENATE("&lt;valeur&gt;",Cellule_11372,"&lt;/valeur&gt;")</f>
        <v>&lt;valeur&gt;0&lt;/valeur&gt;</v>
      </c>
    </row>
    <row r="2671" spans="1:10" x14ac:dyDescent="0.2">
      <c r="A2671" s="859">
        <f t="shared" si="41"/>
        <v>2670</v>
      </c>
      <c r="B2671" s="845" t="s">
        <v>2554</v>
      </c>
      <c r="D2671" s="862"/>
      <c r="H2671" s="845" t="s">
        <v>1010</v>
      </c>
    </row>
    <row r="2672" spans="1:10" x14ac:dyDescent="0.2">
      <c r="A2672" s="859">
        <f t="shared" si="41"/>
        <v>2671</v>
      </c>
      <c r="B2672" s="845" t="s">
        <v>2554</v>
      </c>
      <c r="D2672" s="862"/>
      <c r="H2672" s="845" t="s">
        <v>1007</v>
      </c>
    </row>
    <row r="2673" spans="1:10" x14ac:dyDescent="0.2">
      <c r="A2673" s="859">
        <f t="shared" si="41"/>
        <v>2672</v>
      </c>
      <c r="B2673" s="845" t="s">
        <v>2554</v>
      </c>
      <c r="D2673" s="861"/>
      <c r="I2673" s="845" t="s">
        <v>1008</v>
      </c>
    </row>
    <row r="2674" spans="1:10" x14ac:dyDescent="0.2">
      <c r="A2674" s="859">
        <f t="shared" si="41"/>
        <v>2673</v>
      </c>
      <c r="B2674" s="845" t="s">
        <v>2554</v>
      </c>
      <c r="D2674" s="861"/>
      <c r="J2674" s="845" t="s">
        <v>1467</v>
      </c>
    </row>
    <row r="2675" spans="1:10" x14ac:dyDescent="0.2">
      <c r="A2675" s="859">
        <f t="shared" si="41"/>
        <v>2674</v>
      </c>
      <c r="B2675" s="845" t="s">
        <v>2554</v>
      </c>
      <c r="D2675" s="862"/>
      <c r="I2675" s="845" t="s">
        <v>1009</v>
      </c>
    </row>
    <row r="2676" spans="1:10" x14ac:dyDescent="0.2">
      <c r="A2676" s="859">
        <f t="shared" si="41"/>
        <v>2675</v>
      </c>
      <c r="B2676" s="845" t="s">
        <v>2554</v>
      </c>
      <c r="D2676" s="863"/>
      <c r="I2676" s="845" t="str">
        <f>CONCATENATE("&lt;valeur&gt;",Cellule_11377,"&lt;/valeur&gt;")</f>
        <v>&lt;valeur&gt;0&lt;/valeur&gt;</v>
      </c>
    </row>
    <row r="2677" spans="1:10" x14ac:dyDescent="0.2">
      <c r="A2677" s="859">
        <f t="shared" si="41"/>
        <v>2676</v>
      </c>
      <c r="B2677" s="845" t="s">
        <v>2554</v>
      </c>
      <c r="D2677" s="862"/>
      <c r="H2677" s="845" t="s">
        <v>1010</v>
      </c>
    </row>
    <row r="2678" spans="1:10" x14ac:dyDescent="0.2">
      <c r="A2678" s="859">
        <f t="shared" si="41"/>
        <v>2677</v>
      </c>
      <c r="B2678" s="845" t="s">
        <v>2554</v>
      </c>
      <c r="D2678" s="862"/>
      <c r="H2678" s="845" t="s">
        <v>1007</v>
      </c>
    </row>
    <row r="2679" spans="1:10" x14ac:dyDescent="0.2">
      <c r="A2679" s="859">
        <f t="shared" si="41"/>
        <v>2678</v>
      </c>
      <c r="B2679" s="845" t="s">
        <v>2554</v>
      </c>
      <c r="D2679" s="861"/>
      <c r="I2679" s="845" t="s">
        <v>1008</v>
      </c>
    </row>
    <row r="2680" spans="1:10" x14ac:dyDescent="0.2">
      <c r="A2680" s="859">
        <f t="shared" si="41"/>
        <v>2679</v>
      </c>
      <c r="B2680" s="845" t="s">
        <v>2554</v>
      </c>
      <c r="D2680" s="861"/>
      <c r="J2680" s="845" t="s">
        <v>1468</v>
      </c>
    </row>
    <row r="2681" spans="1:10" x14ac:dyDescent="0.2">
      <c r="A2681" s="859">
        <f t="shared" si="41"/>
        <v>2680</v>
      </c>
      <c r="B2681" s="845" t="s">
        <v>2554</v>
      </c>
      <c r="D2681" s="862"/>
      <c r="I2681" s="845" t="s">
        <v>1009</v>
      </c>
    </row>
    <row r="2682" spans="1:10" x14ac:dyDescent="0.2">
      <c r="A2682" s="859">
        <f t="shared" si="41"/>
        <v>2681</v>
      </c>
      <c r="B2682" s="845" t="s">
        <v>2554</v>
      </c>
      <c r="D2682" s="863"/>
      <c r="I2682" s="845" t="str">
        <f>CONCATENATE("&lt;valeur&gt;",Cellule_11382,"&lt;/valeur&gt;")</f>
        <v>&lt;valeur&gt;0&lt;/valeur&gt;</v>
      </c>
    </row>
    <row r="2683" spans="1:10" x14ac:dyDescent="0.2">
      <c r="A2683" s="859">
        <f t="shared" si="41"/>
        <v>2682</v>
      </c>
      <c r="B2683" s="845" t="s">
        <v>2554</v>
      </c>
      <c r="D2683" s="862"/>
      <c r="H2683" s="845" t="s">
        <v>1010</v>
      </c>
    </row>
    <row r="2684" spans="1:10" x14ac:dyDescent="0.2">
      <c r="A2684" s="859">
        <f t="shared" si="41"/>
        <v>2683</v>
      </c>
      <c r="B2684" s="845" t="s">
        <v>2554</v>
      </c>
      <c r="D2684" s="862"/>
      <c r="H2684" s="845" t="s">
        <v>1007</v>
      </c>
    </row>
    <row r="2685" spans="1:10" x14ac:dyDescent="0.2">
      <c r="A2685" s="859">
        <f t="shared" si="41"/>
        <v>2684</v>
      </c>
      <c r="B2685" s="845" t="s">
        <v>2554</v>
      </c>
      <c r="D2685" s="861"/>
      <c r="I2685" s="845" t="s">
        <v>1008</v>
      </c>
    </row>
    <row r="2686" spans="1:10" x14ac:dyDescent="0.2">
      <c r="A2686" s="859">
        <f t="shared" si="41"/>
        <v>2685</v>
      </c>
      <c r="B2686" s="845" t="s">
        <v>2554</v>
      </c>
      <c r="D2686" s="861"/>
      <c r="J2686" s="845" t="s">
        <v>1469</v>
      </c>
    </row>
    <row r="2687" spans="1:10" x14ac:dyDescent="0.2">
      <c r="A2687" s="859">
        <f t="shared" si="41"/>
        <v>2686</v>
      </c>
      <c r="B2687" s="845" t="s">
        <v>2554</v>
      </c>
      <c r="D2687" s="862"/>
      <c r="I2687" s="845" t="s">
        <v>1009</v>
      </c>
    </row>
    <row r="2688" spans="1:10" x14ac:dyDescent="0.2">
      <c r="A2688" s="859">
        <f t="shared" si="41"/>
        <v>2687</v>
      </c>
      <c r="B2688" s="845" t="s">
        <v>2554</v>
      </c>
      <c r="D2688" s="863"/>
      <c r="I2688" s="845" t="str">
        <f>CONCATENATE("&lt;valeur&gt;",Cellule_11387,"&lt;/valeur&gt;")</f>
        <v>&lt;valeur&gt;0&lt;/valeur&gt;</v>
      </c>
    </row>
    <row r="2689" spans="1:10" x14ac:dyDescent="0.2">
      <c r="A2689" s="859">
        <f t="shared" si="41"/>
        <v>2688</v>
      </c>
      <c r="B2689" s="845" t="s">
        <v>2554</v>
      </c>
      <c r="D2689" s="862"/>
      <c r="H2689" s="845" t="s">
        <v>1010</v>
      </c>
    </row>
    <row r="2690" spans="1:10" x14ac:dyDescent="0.2">
      <c r="A2690" s="859">
        <f t="shared" si="41"/>
        <v>2689</v>
      </c>
      <c r="B2690" s="845" t="s">
        <v>2554</v>
      </c>
      <c r="D2690" s="862"/>
      <c r="H2690" s="845" t="s">
        <v>1007</v>
      </c>
    </row>
    <row r="2691" spans="1:10" x14ac:dyDescent="0.2">
      <c r="A2691" s="859">
        <f t="shared" si="41"/>
        <v>2690</v>
      </c>
      <c r="B2691" s="845" t="s">
        <v>2554</v>
      </c>
      <c r="D2691" s="861"/>
      <c r="I2691" s="845" t="s">
        <v>1008</v>
      </c>
    </row>
    <row r="2692" spans="1:10" x14ac:dyDescent="0.2">
      <c r="A2692" s="859">
        <f t="shared" ref="A2692:A2755" si="42">+A2691+1</f>
        <v>2691</v>
      </c>
      <c r="B2692" s="845" t="s">
        <v>2554</v>
      </c>
      <c r="D2692" s="861"/>
      <c r="J2692" s="845" t="s">
        <v>1470</v>
      </c>
    </row>
    <row r="2693" spans="1:10" x14ac:dyDescent="0.2">
      <c r="A2693" s="859">
        <f t="shared" si="42"/>
        <v>2692</v>
      </c>
      <c r="B2693" s="845" t="s">
        <v>2554</v>
      </c>
      <c r="D2693" s="862"/>
      <c r="I2693" s="845" t="s">
        <v>1009</v>
      </c>
    </row>
    <row r="2694" spans="1:10" x14ac:dyDescent="0.2">
      <c r="A2694" s="859">
        <f t="shared" si="42"/>
        <v>2693</v>
      </c>
      <c r="B2694" s="845" t="s">
        <v>2554</v>
      </c>
      <c r="D2694" s="863"/>
      <c r="I2694" s="845" t="str">
        <f>CONCATENATE("&lt;valeur&gt;",Cellule_11343,"&lt;/valeur&gt;")</f>
        <v>&lt;valeur&gt;0&lt;/valeur&gt;</v>
      </c>
    </row>
    <row r="2695" spans="1:10" x14ac:dyDescent="0.2">
      <c r="A2695" s="859">
        <f t="shared" si="42"/>
        <v>2694</v>
      </c>
      <c r="B2695" s="845" t="s">
        <v>2554</v>
      </c>
      <c r="D2695" s="862"/>
      <c r="H2695" s="845" t="s">
        <v>1010</v>
      </c>
    </row>
    <row r="2696" spans="1:10" x14ac:dyDescent="0.2">
      <c r="A2696" s="859">
        <f t="shared" si="42"/>
        <v>2695</v>
      </c>
      <c r="B2696" s="845" t="s">
        <v>2554</v>
      </c>
      <c r="D2696" s="862"/>
      <c r="H2696" s="845" t="s">
        <v>1007</v>
      </c>
    </row>
    <row r="2697" spans="1:10" x14ac:dyDescent="0.2">
      <c r="A2697" s="859">
        <f t="shared" si="42"/>
        <v>2696</v>
      </c>
      <c r="B2697" s="845" t="s">
        <v>2554</v>
      </c>
      <c r="D2697" s="861"/>
      <c r="I2697" s="845" t="s">
        <v>1008</v>
      </c>
    </row>
    <row r="2698" spans="1:10" x14ac:dyDescent="0.2">
      <c r="A2698" s="859">
        <f t="shared" si="42"/>
        <v>2697</v>
      </c>
      <c r="B2698" s="845" t="s">
        <v>2554</v>
      </c>
      <c r="D2698" s="861"/>
      <c r="J2698" s="845" t="s">
        <v>1471</v>
      </c>
    </row>
    <row r="2699" spans="1:10" x14ac:dyDescent="0.2">
      <c r="A2699" s="859">
        <f t="shared" si="42"/>
        <v>2698</v>
      </c>
      <c r="B2699" s="845" t="s">
        <v>2554</v>
      </c>
      <c r="D2699" s="862"/>
      <c r="I2699" s="845" t="s">
        <v>1009</v>
      </c>
    </row>
    <row r="2700" spans="1:10" x14ac:dyDescent="0.2">
      <c r="A2700" s="859">
        <f t="shared" si="42"/>
        <v>2699</v>
      </c>
      <c r="B2700" s="845" t="s">
        <v>2554</v>
      </c>
      <c r="D2700" s="863"/>
      <c r="I2700" s="845" t="str">
        <f>CONCATENATE("&lt;valeur&gt;",Cellule_11348,"&lt;/valeur&gt;")</f>
        <v>&lt;valeur&gt;0&lt;/valeur&gt;</v>
      </c>
    </row>
    <row r="2701" spans="1:10" x14ac:dyDescent="0.2">
      <c r="A2701" s="859">
        <f t="shared" si="42"/>
        <v>2700</v>
      </c>
      <c r="B2701" s="845" t="s">
        <v>2554</v>
      </c>
      <c r="D2701" s="862"/>
      <c r="H2701" s="845" t="s">
        <v>1010</v>
      </c>
    </row>
    <row r="2702" spans="1:10" x14ac:dyDescent="0.2">
      <c r="A2702" s="859">
        <f t="shared" si="42"/>
        <v>2701</v>
      </c>
      <c r="B2702" s="845" t="s">
        <v>2554</v>
      </c>
      <c r="D2702" s="862"/>
      <c r="H2702" s="845" t="s">
        <v>1007</v>
      </c>
    </row>
    <row r="2703" spans="1:10" x14ac:dyDescent="0.2">
      <c r="A2703" s="859">
        <f t="shared" si="42"/>
        <v>2702</v>
      </c>
      <c r="B2703" s="845" t="s">
        <v>2554</v>
      </c>
      <c r="D2703" s="861"/>
      <c r="I2703" s="845" t="s">
        <v>1008</v>
      </c>
    </row>
    <row r="2704" spans="1:10" x14ac:dyDescent="0.2">
      <c r="A2704" s="859">
        <f t="shared" si="42"/>
        <v>2703</v>
      </c>
      <c r="B2704" s="845" t="s">
        <v>2554</v>
      </c>
      <c r="D2704" s="861"/>
      <c r="J2704" s="845" t="s">
        <v>1472</v>
      </c>
    </row>
    <row r="2705" spans="1:10" x14ac:dyDescent="0.2">
      <c r="A2705" s="859">
        <f t="shared" si="42"/>
        <v>2704</v>
      </c>
      <c r="B2705" s="845" t="s">
        <v>2554</v>
      </c>
      <c r="D2705" s="862"/>
      <c r="I2705" s="845" t="s">
        <v>1009</v>
      </c>
    </row>
    <row r="2706" spans="1:10" x14ac:dyDescent="0.2">
      <c r="A2706" s="859">
        <f t="shared" si="42"/>
        <v>2705</v>
      </c>
      <c r="B2706" s="845" t="s">
        <v>2554</v>
      </c>
      <c r="D2706" s="863"/>
      <c r="I2706" s="845" t="str">
        <f>CONCATENATE("&lt;valeur&gt;",Cellule_11353,"&lt;/valeur&gt;")</f>
        <v>&lt;valeur&gt;0&lt;/valeur&gt;</v>
      </c>
    </row>
    <row r="2707" spans="1:10" x14ac:dyDescent="0.2">
      <c r="A2707" s="859">
        <f t="shared" si="42"/>
        <v>2706</v>
      </c>
      <c r="B2707" s="845" t="s">
        <v>2554</v>
      </c>
      <c r="D2707" s="862"/>
      <c r="H2707" s="845" t="s">
        <v>1010</v>
      </c>
    </row>
    <row r="2708" spans="1:10" x14ac:dyDescent="0.2">
      <c r="A2708" s="859">
        <f t="shared" si="42"/>
        <v>2707</v>
      </c>
      <c r="B2708" s="845" t="s">
        <v>2554</v>
      </c>
      <c r="D2708" s="862"/>
      <c r="H2708" s="845" t="s">
        <v>1007</v>
      </c>
    </row>
    <row r="2709" spans="1:10" x14ac:dyDescent="0.2">
      <c r="A2709" s="859">
        <f t="shared" si="42"/>
        <v>2708</v>
      </c>
      <c r="B2709" s="845" t="s">
        <v>2554</v>
      </c>
      <c r="D2709" s="861"/>
      <c r="I2709" s="845" t="s">
        <v>1008</v>
      </c>
    </row>
    <row r="2710" spans="1:10" x14ac:dyDescent="0.2">
      <c r="A2710" s="859">
        <f t="shared" si="42"/>
        <v>2709</v>
      </c>
      <c r="B2710" s="845" t="s">
        <v>2554</v>
      </c>
      <c r="D2710" s="861"/>
      <c r="J2710" s="845" t="s">
        <v>1473</v>
      </c>
    </row>
    <row r="2711" spans="1:10" x14ac:dyDescent="0.2">
      <c r="A2711" s="859">
        <f t="shared" si="42"/>
        <v>2710</v>
      </c>
      <c r="B2711" s="845" t="s">
        <v>2554</v>
      </c>
      <c r="D2711" s="862"/>
      <c r="I2711" s="845" t="s">
        <v>1009</v>
      </c>
    </row>
    <row r="2712" spans="1:10" x14ac:dyDescent="0.2">
      <c r="A2712" s="859">
        <f t="shared" si="42"/>
        <v>2711</v>
      </c>
      <c r="B2712" s="845" t="s">
        <v>2554</v>
      </c>
      <c r="D2712" s="863"/>
      <c r="I2712" s="845" t="str">
        <f>CONCATENATE("&lt;valeur&gt;",Cellule_11393,"&lt;/valeur&gt;")</f>
        <v>&lt;valeur&gt;0&lt;/valeur&gt;</v>
      </c>
    </row>
    <row r="2713" spans="1:10" x14ac:dyDescent="0.2">
      <c r="A2713" s="859">
        <f t="shared" si="42"/>
        <v>2712</v>
      </c>
      <c r="B2713" s="845" t="s">
        <v>2554</v>
      </c>
      <c r="D2713" s="862"/>
      <c r="H2713" s="845" t="s">
        <v>1010</v>
      </c>
    </row>
    <row r="2714" spans="1:10" x14ac:dyDescent="0.2">
      <c r="A2714" s="859">
        <f t="shared" si="42"/>
        <v>2713</v>
      </c>
      <c r="B2714" s="845" t="s">
        <v>2554</v>
      </c>
      <c r="D2714" s="862"/>
      <c r="H2714" s="845" t="s">
        <v>1007</v>
      </c>
    </row>
    <row r="2715" spans="1:10" x14ac:dyDescent="0.2">
      <c r="A2715" s="859">
        <f t="shared" si="42"/>
        <v>2714</v>
      </c>
      <c r="B2715" s="845" t="s">
        <v>2554</v>
      </c>
      <c r="D2715" s="861"/>
      <c r="I2715" s="845" t="s">
        <v>1008</v>
      </c>
    </row>
    <row r="2716" spans="1:10" x14ac:dyDescent="0.2">
      <c r="A2716" s="859">
        <f t="shared" si="42"/>
        <v>2715</v>
      </c>
      <c r="B2716" s="845" t="s">
        <v>2554</v>
      </c>
      <c r="D2716" s="861"/>
      <c r="J2716" s="845" t="s">
        <v>1474</v>
      </c>
    </row>
    <row r="2717" spans="1:10" x14ac:dyDescent="0.2">
      <c r="A2717" s="859">
        <f t="shared" si="42"/>
        <v>2716</v>
      </c>
      <c r="B2717" s="845" t="s">
        <v>2554</v>
      </c>
      <c r="D2717" s="862"/>
      <c r="I2717" s="845" t="s">
        <v>1009</v>
      </c>
    </row>
    <row r="2718" spans="1:10" x14ac:dyDescent="0.2">
      <c r="A2718" s="859">
        <f t="shared" si="42"/>
        <v>2717</v>
      </c>
      <c r="B2718" s="845" t="s">
        <v>2554</v>
      </c>
      <c r="D2718" s="863"/>
      <c r="I2718" s="845" t="str">
        <f>CONCATENATE("&lt;valeur&gt;",Cellule_11398,"&lt;/valeur&gt;")</f>
        <v>&lt;valeur&gt;0&lt;/valeur&gt;</v>
      </c>
    </row>
    <row r="2719" spans="1:10" x14ac:dyDescent="0.2">
      <c r="A2719" s="859">
        <f t="shared" si="42"/>
        <v>2718</v>
      </c>
      <c r="B2719" s="845" t="s">
        <v>2554</v>
      </c>
      <c r="D2719" s="862"/>
      <c r="H2719" s="845" t="s">
        <v>1010</v>
      </c>
    </row>
    <row r="2720" spans="1:10" x14ac:dyDescent="0.2">
      <c r="A2720" s="859">
        <f t="shared" si="42"/>
        <v>2719</v>
      </c>
      <c r="B2720" s="845" t="s">
        <v>2554</v>
      </c>
      <c r="D2720" s="862"/>
      <c r="H2720" s="845" t="s">
        <v>1007</v>
      </c>
    </row>
    <row r="2721" spans="1:10" x14ac:dyDescent="0.2">
      <c r="A2721" s="859">
        <f t="shared" si="42"/>
        <v>2720</v>
      </c>
      <c r="B2721" s="845" t="s">
        <v>2554</v>
      </c>
      <c r="D2721" s="861"/>
      <c r="I2721" s="845" t="s">
        <v>1008</v>
      </c>
    </row>
    <row r="2722" spans="1:10" x14ac:dyDescent="0.2">
      <c r="A2722" s="859">
        <f t="shared" si="42"/>
        <v>2721</v>
      </c>
      <c r="B2722" s="845" t="s">
        <v>2554</v>
      </c>
      <c r="D2722" s="861"/>
      <c r="J2722" s="845" t="s">
        <v>1475</v>
      </c>
    </row>
    <row r="2723" spans="1:10" x14ac:dyDescent="0.2">
      <c r="A2723" s="859">
        <f t="shared" si="42"/>
        <v>2722</v>
      </c>
      <c r="B2723" s="845" t="s">
        <v>2554</v>
      </c>
      <c r="D2723" s="862"/>
      <c r="I2723" s="845" t="s">
        <v>1009</v>
      </c>
    </row>
    <row r="2724" spans="1:10" x14ac:dyDescent="0.2">
      <c r="A2724" s="859">
        <f t="shared" si="42"/>
        <v>2723</v>
      </c>
      <c r="B2724" s="845" t="s">
        <v>2554</v>
      </c>
      <c r="D2724" s="863"/>
      <c r="I2724" s="845" t="str">
        <f>CONCATENATE("&lt;valeur&gt;",Cellule_11403,"&lt;/valeur&gt;")</f>
        <v>&lt;valeur&gt;0&lt;/valeur&gt;</v>
      </c>
    </row>
    <row r="2725" spans="1:10" x14ac:dyDescent="0.2">
      <c r="A2725" s="859">
        <f t="shared" si="42"/>
        <v>2724</v>
      </c>
      <c r="B2725" s="845" t="s">
        <v>2554</v>
      </c>
      <c r="D2725" s="862"/>
      <c r="H2725" s="845" t="s">
        <v>1010</v>
      </c>
    </row>
    <row r="2726" spans="1:10" x14ac:dyDescent="0.2">
      <c r="A2726" s="859">
        <f t="shared" si="42"/>
        <v>2725</v>
      </c>
      <c r="B2726" s="845" t="s">
        <v>2554</v>
      </c>
      <c r="D2726" s="862"/>
      <c r="H2726" s="845" t="s">
        <v>1007</v>
      </c>
    </row>
    <row r="2727" spans="1:10" x14ac:dyDescent="0.2">
      <c r="A2727" s="859">
        <f t="shared" si="42"/>
        <v>2726</v>
      </c>
      <c r="B2727" s="845" t="s">
        <v>2554</v>
      </c>
      <c r="D2727" s="861"/>
      <c r="I2727" s="845" t="s">
        <v>1008</v>
      </c>
    </row>
    <row r="2728" spans="1:10" x14ac:dyDescent="0.2">
      <c r="A2728" s="859">
        <f t="shared" si="42"/>
        <v>2727</v>
      </c>
      <c r="B2728" s="845" t="s">
        <v>2554</v>
      </c>
      <c r="D2728" s="861"/>
      <c r="J2728" s="845" t="s">
        <v>1476</v>
      </c>
    </row>
    <row r="2729" spans="1:10" x14ac:dyDescent="0.2">
      <c r="A2729" s="859">
        <f t="shared" si="42"/>
        <v>2728</v>
      </c>
      <c r="B2729" s="845" t="s">
        <v>2554</v>
      </c>
      <c r="D2729" s="862"/>
      <c r="I2729" s="845" t="s">
        <v>1009</v>
      </c>
    </row>
    <row r="2730" spans="1:10" x14ac:dyDescent="0.2">
      <c r="A2730" s="859">
        <f t="shared" si="42"/>
        <v>2729</v>
      </c>
      <c r="B2730" s="845" t="s">
        <v>2554</v>
      </c>
      <c r="D2730" s="863"/>
      <c r="I2730" s="845" t="str">
        <f>CONCATENATE("&lt;valeur&gt;",Cellule_11408,"&lt;/valeur&gt;")</f>
        <v>&lt;valeur&gt;0&lt;/valeur&gt;</v>
      </c>
    </row>
    <row r="2731" spans="1:10" x14ac:dyDescent="0.2">
      <c r="A2731" s="859">
        <f t="shared" si="42"/>
        <v>2730</v>
      </c>
      <c r="B2731" s="845" t="s">
        <v>2554</v>
      </c>
      <c r="D2731" s="862"/>
      <c r="H2731" s="845" t="s">
        <v>1010</v>
      </c>
    </row>
    <row r="2732" spans="1:10" x14ac:dyDescent="0.2">
      <c r="A2732" s="859">
        <f t="shared" si="42"/>
        <v>2731</v>
      </c>
      <c r="B2732" s="845" t="s">
        <v>2554</v>
      </c>
      <c r="D2732" s="862"/>
      <c r="H2732" s="845" t="s">
        <v>1007</v>
      </c>
    </row>
    <row r="2733" spans="1:10" x14ac:dyDescent="0.2">
      <c r="A2733" s="859">
        <f t="shared" si="42"/>
        <v>2732</v>
      </c>
      <c r="B2733" s="845" t="s">
        <v>2554</v>
      </c>
      <c r="D2733" s="861"/>
      <c r="I2733" s="845" t="s">
        <v>1008</v>
      </c>
    </row>
    <row r="2734" spans="1:10" x14ac:dyDescent="0.2">
      <c r="A2734" s="859">
        <f t="shared" si="42"/>
        <v>2733</v>
      </c>
      <c r="B2734" s="845" t="s">
        <v>2554</v>
      </c>
      <c r="D2734" s="861"/>
      <c r="J2734" s="845" t="s">
        <v>1477</v>
      </c>
    </row>
    <row r="2735" spans="1:10" x14ac:dyDescent="0.2">
      <c r="A2735" s="859">
        <f t="shared" si="42"/>
        <v>2734</v>
      </c>
      <c r="B2735" s="845" t="s">
        <v>2554</v>
      </c>
      <c r="D2735" s="862"/>
      <c r="I2735" s="845" t="s">
        <v>1009</v>
      </c>
    </row>
    <row r="2736" spans="1:10" x14ac:dyDescent="0.2">
      <c r="A2736" s="859">
        <f t="shared" si="42"/>
        <v>2735</v>
      </c>
      <c r="B2736" s="845" t="s">
        <v>2554</v>
      </c>
      <c r="D2736" s="863"/>
      <c r="I2736" s="845" t="str">
        <f>CONCATENATE("&lt;valeur&gt;",Cellule_11358,"&lt;/valeur&gt;")</f>
        <v>&lt;valeur&gt;0&lt;/valeur&gt;</v>
      </c>
    </row>
    <row r="2737" spans="1:10" x14ac:dyDescent="0.2">
      <c r="A2737" s="859">
        <f t="shared" si="42"/>
        <v>2736</v>
      </c>
      <c r="B2737" s="845" t="s">
        <v>2554</v>
      </c>
      <c r="D2737" s="862"/>
      <c r="H2737" s="845" t="s">
        <v>1010</v>
      </c>
    </row>
    <row r="2738" spans="1:10" x14ac:dyDescent="0.2">
      <c r="A2738" s="859">
        <f t="shared" si="42"/>
        <v>2737</v>
      </c>
      <c r="B2738" s="845" t="s">
        <v>2554</v>
      </c>
      <c r="D2738" s="862"/>
      <c r="H2738" s="845" t="s">
        <v>1007</v>
      </c>
    </row>
    <row r="2739" spans="1:10" x14ac:dyDescent="0.2">
      <c r="A2739" s="859">
        <f t="shared" si="42"/>
        <v>2738</v>
      </c>
      <c r="B2739" s="845" t="s">
        <v>2554</v>
      </c>
      <c r="D2739" s="861"/>
      <c r="I2739" s="845" t="s">
        <v>1008</v>
      </c>
    </row>
    <row r="2740" spans="1:10" x14ac:dyDescent="0.2">
      <c r="A2740" s="859">
        <f t="shared" si="42"/>
        <v>2739</v>
      </c>
      <c r="B2740" s="845" t="s">
        <v>2554</v>
      </c>
      <c r="D2740" s="861"/>
      <c r="J2740" s="845" t="s">
        <v>1478</v>
      </c>
    </row>
    <row r="2741" spans="1:10" x14ac:dyDescent="0.2">
      <c r="A2741" s="859">
        <f t="shared" si="42"/>
        <v>2740</v>
      </c>
      <c r="B2741" s="845" t="s">
        <v>2554</v>
      </c>
      <c r="D2741" s="862"/>
      <c r="I2741" s="845" t="s">
        <v>1009</v>
      </c>
    </row>
    <row r="2742" spans="1:10" x14ac:dyDescent="0.2">
      <c r="A2742" s="859">
        <f t="shared" si="42"/>
        <v>2741</v>
      </c>
      <c r="B2742" s="845" t="s">
        <v>2554</v>
      </c>
      <c r="D2742" s="863"/>
      <c r="I2742" s="845" t="str">
        <f>CONCATENATE("&lt;valeur&gt;",Cellule_11363,"&lt;/valeur&gt;")</f>
        <v>&lt;valeur&gt;0&lt;/valeur&gt;</v>
      </c>
    </row>
    <row r="2743" spans="1:10" x14ac:dyDescent="0.2">
      <c r="A2743" s="859">
        <f t="shared" si="42"/>
        <v>2742</v>
      </c>
      <c r="B2743" s="845" t="s">
        <v>2554</v>
      </c>
      <c r="D2743" s="862"/>
      <c r="H2743" s="845" t="s">
        <v>1010</v>
      </c>
    </row>
    <row r="2744" spans="1:10" x14ac:dyDescent="0.2">
      <c r="A2744" s="859">
        <f t="shared" si="42"/>
        <v>2743</v>
      </c>
      <c r="B2744" s="845" t="s">
        <v>2554</v>
      </c>
      <c r="D2744" s="862"/>
      <c r="H2744" s="845" t="s">
        <v>1007</v>
      </c>
    </row>
    <row r="2745" spans="1:10" x14ac:dyDescent="0.2">
      <c r="A2745" s="859">
        <f t="shared" si="42"/>
        <v>2744</v>
      </c>
      <c r="B2745" s="845" t="s">
        <v>2554</v>
      </c>
      <c r="D2745" s="861"/>
      <c r="I2745" s="845" t="s">
        <v>1008</v>
      </c>
    </row>
    <row r="2746" spans="1:10" x14ac:dyDescent="0.2">
      <c r="A2746" s="859">
        <f t="shared" si="42"/>
        <v>2745</v>
      </c>
      <c r="B2746" s="845" t="s">
        <v>2554</v>
      </c>
      <c r="D2746" s="861"/>
      <c r="J2746" s="845" t="s">
        <v>1479</v>
      </c>
    </row>
    <row r="2747" spans="1:10" x14ac:dyDescent="0.2">
      <c r="A2747" s="859">
        <f t="shared" si="42"/>
        <v>2746</v>
      </c>
      <c r="B2747" s="845" t="s">
        <v>2554</v>
      </c>
      <c r="D2747" s="862"/>
      <c r="I2747" s="845" t="s">
        <v>1009</v>
      </c>
    </row>
    <row r="2748" spans="1:10" x14ac:dyDescent="0.2">
      <c r="A2748" s="859">
        <f t="shared" si="42"/>
        <v>2747</v>
      </c>
      <c r="B2748" s="845" t="s">
        <v>2554</v>
      </c>
      <c r="D2748" s="863"/>
      <c r="I2748" s="845" t="str">
        <f>CONCATENATE("&lt;valeur&gt;",Cellule_11368,"&lt;/valeur&gt;")</f>
        <v>&lt;valeur&gt;0&lt;/valeur&gt;</v>
      </c>
    </row>
    <row r="2749" spans="1:10" x14ac:dyDescent="0.2">
      <c r="A2749" s="859">
        <f t="shared" si="42"/>
        <v>2748</v>
      </c>
      <c r="B2749" s="845" t="s">
        <v>2554</v>
      </c>
      <c r="D2749" s="862"/>
      <c r="H2749" s="845" t="s">
        <v>1010</v>
      </c>
    </row>
    <row r="2750" spans="1:10" x14ac:dyDescent="0.2">
      <c r="A2750" s="859">
        <f t="shared" si="42"/>
        <v>2749</v>
      </c>
      <c r="B2750" s="845" t="s">
        <v>2554</v>
      </c>
      <c r="D2750" s="862"/>
      <c r="H2750" s="845" t="s">
        <v>1007</v>
      </c>
    </row>
    <row r="2751" spans="1:10" x14ac:dyDescent="0.2">
      <c r="A2751" s="859">
        <f t="shared" si="42"/>
        <v>2750</v>
      </c>
      <c r="B2751" s="845" t="s">
        <v>2554</v>
      </c>
      <c r="D2751" s="861"/>
      <c r="I2751" s="845" t="s">
        <v>1008</v>
      </c>
    </row>
    <row r="2752" spans="1:10" x14ac:dyDescent="0.2">
      <c r="A2752" s="859">
        <f t="shared" si="42"/>
        <v>2751</v>
      </c>
      <c r="B2752" s="845" t="s">
        <v>2554</v>
      </c>
      <c r="D2752" s="861"/>
      <c r="J2752" s="845" t="s">
        <v>1480</v>
      </c>
    </row>
    <row r="2753" spans="1:10" x14ac:dyDescent="0.2">
      <c r="A2753" s="859">
        <f t="shared" si="42"/>
        <v>2752</v>
      </c>
      <c r="B2753" s="845" t="s">
        <v>2554</v>
      </c>
      <c r="D2753" s="862"/>
      <c r="I2753" s="845" t="s">
        <v>1009</v>
      </c>
    </row>
    <row r="2754" spans="1:10" x14ac:dyDescent="0.2">
      <c r="A2754" s="859">
        <f t="shared" si="42"/>
        <v>2753</v>
      </c>
      <c r="B2754" s="845" t="s">
        <v>2554</v>
      </c>
      <c r="D2754" s="863"/>
      <c r="I2754" s="845" t="str">
        <f>CONCATENATE("&lt;valeur&gt;",Cellule_11373,"&lt;/valeur&gt;")</f>
        <v>&lt;valeur&gt;0&lt;/valeur&gt;</v>
      </c>
    </row>
    <row r="2755" spans="1:10" x14ac:dyDescent="0.2">
      <c r="A2755" s="859">
        <f t="shared" si="42"/>
        <v>2754</v>
      </c>
      <c r="B2755" s="845" t="s">
        <v>2554</v>
      </c>
      <c r="D2755" s="862"/>
      <c r="H2755" s="845" t="s">
        <v>1010</v>
      </c>
    </row>
    <row r="2756" spans="1:10" x14ac:dyDescent="0.2">
      <c r="A2756" s="859">
        <f t="shared" ref="A2756:A2819" si="43">+A2755+1</f>
        <v>2755</v>
      </c>
      <c r="B2756" s="845" t="s">
        <v>2554</v>
      </c>
      <c r="D2756" s="862"/>
      <c r="H2756" s="845" t="s">
        <v>1007</v>
      </c>
    </row>
    <row r="2757" spans="1:10" x14ac:dyDescent="0.2">
      <c r="A2757" s="859">
        <f t="shared" si="43"/>
        <v>2756</v>
      </c>
      <c r="B2757" s="845" t="s">
        <v>2554</v>
      </c>
      <c r="D2757" s="861"/>
      <c r="I2757" s="845" t="s">
        <v>1008</v>
      </c>
    </row>
    <row r="2758" spans="1:10" x14ac:dyDescent="0.2">
      <c r="A2758" s="859">
        <f t="shared" si="43"/>
        <v>2757</v>
      </c>
      <c r="B2758" s="845" t="s">
        <v>2554</v>
      </c>
      <c r="D2758" s="861"/>
      <c r="J2758" s="845" t="s">
        <v>1481</v>
      </c>
    </row>
    <row r="2759" spans="1:10" x14ac:dyDescent="0.2">
      <c r="A2759" s="859">
        <f t="shared" si="43"/>
        <v>2758</v>
      </c>
      <c r="B2759" s="845" t="s">
        <v>2554</v>
      </c>
      <c r="D2759" s="862"/>
      <c r="I2759" s="845" t="s">
        <v>1009</v>
      </c>
    </row>
    <row r="2760" spans="1:10" x14ac:dyDescent="0.2">
      <c r="A2760" s="859">
        <f t="shared" si="43"/>
        <v>2759</v>
      </c>
      <c r="B2760" s="845" t="s">
        <v>2554</v>
      </c>
      <c r="D2760" s="863"/>
      <c r="I2760" s="845" t="str">
        <f>CONCATENATE("&lt;valeur&gt;",Cellule_11378,"&lt;/valeur&gt;")</f>
        <v>&lt;valeur&gt;0&lt;/valeur&gt;</v>
      </c>
    </row>
    <row r="2761" spans="1:10" x14ac:dyDescent="0.2">
      <c r="A2761" s="859">
        <f t="shared" si="43"/>
        <v>2760</v>
      </c>
      <c r="B2761" s="845" t="s">
        <v>2554</v>
      </c>
      <c r="D2761" s="862"/>
      <c r="H2761" s="845" t="s">
        <v>1010</v>
      </c>
    </row>
    <row r="2762" spans="1:10" x14ac:dyDescent="0.2">
      <c r="A2762" s="859">
        <f t="shared" si="43"/>
        <v>2761</v>
      </c>
      <c r="B2762" s="845" t="s">
        <v>2554</v>
      </c>
      <c r="D2762" s="862"/>
      <c r="H2762" s="845" t="s">
        <v>1007</v>
      </c>
    </row>
    <row r="2763" spans="1:10" x14ac:dyDescent="0.2">
      <c r="A2763" s="859">
        <f t="shared" si="43"/>
        <v>2762</v>
      </c>
      <c r="B2763" s="845" t="s">
        <v>2554</v>
      </c>
      <c r="D2763" s="861"/>
      <c r="I2763" s="845" t="s">
        <v>1008</v>
      </c>
    </row>
    <row r="2764" spans="1:10" x14ac:dyDescent="0.2">
      <c r="A2764" s="859">
        <f t="shared" si="43"/>
        <v>2763</v>
      </c>
      <c r="B2764" s="845" t="s">
        <v>2554</v>
      </c>
      <c r="D2764" s="861"/>
      <c r="J2764" s="845" t="s">
        <v>1482</v>
      </c>
    </row>
    <row r="2765" spans="1:10" x14ac:dyDescent="0.2">
      <c r="A2765" s="859">
        <f t="shared" si="43"/>
        <v>2764</v>
      </c>
      <c r="B2765" s="845" t="s">
        <v>2554</v>
      </c>
      <c r="D2765" s="862"/>
      <c r="I2765" s="845" t="s">
        <v>1009</v>
      </c>
    </row>
    <row r="2766" spans="1:10" x14ac:dyDescent="0.2">
      <c r="A2766" s="859">
        <f t="shared" si="43"/>
        <v>2765</v>
      </c>
      <c r="B2766" s="845" t="s">
        <v>2554</v>
      </c>
      <c r="D2766" s="863"/>
      <c r="I2766" s="845" t="str">
        <f>CONCATENATE("&lt;valeur&gt;",Cellule_11383,"&lt;/valeur&gt;")</f>
        <v>&lt;valeur&gt;0&lt;/valeur&gt;</v>
      </c>
    </row>
    <row r="2767" spans="1:10" x14ac:dyDescent="0.2">
      <c r="A2767" s="859">
        <f t="shared" si="43"/>
        <v>2766</v>
      </c>
      <c r="B2767" s="845" t="s">
        <v>2554</v>
      </c>
      <c r="D2767" s="862"/>
      <c r="H2767" s="845" t="s">
        <v>1010</v>
      </c>
    </row>
    <row r="2768" spans="1:10" x14ac:dyDescent="0.2">
      <c r="A2768" s="859">
        <f t="shared" si="43"/>
        <v>2767</v>
      </c>
      <c r="B2768" s="845" t="s">
        <v>2554</v>
      </c>
      <c r="D2768" s="862"/>
      <c r="H2768" s="845" t="s">
        <v>1007</v>
      </c>
    </row>
    <row r="2769" spans="1:10" x14ac:dyDescent="0.2">
      <c r="A2769" s="859">
        <f t="shared" si="43"/>
        <v>2768</v>
      </c>
      <c r="B2769" s="845" t="s">
        <v>2554</v>
      </c>
      <c r="D2769" s="861"/>
      <c r="I2769" s="845" t="s">
        <v>1008</v>
      </c>
    </row>
    <row r="2770" spans="1:10" x14ac:dyDescent="0.2">
      <c r="A2770" s="859">
        <f t="shared" si="43"/>
        <v>2769</v>
      </c>
      <c r="B2770" s="845" t="s">
        <v>2554</v>
      </c>
      <c r="D2770" s="861"/>
      <c r="J2770" s="845" t="s">
        <v>1483</v>
      </c>
    </row>
    <row r="2771" spans="1:10" x14ac:dyDescent="0.2">
      <c r="A2771" s="859">
        <f t="shared" si="43"/>
        <v>2770</v>
      </c>
      <c r="B2771" s="845" t="s">
        <v>2554</v>
      </c>
      <c r="D2771" s="862"/>
      <c r="I2771" s="845" t="s">
        <v>1009</v>
      </c>
    </row>
    <row r="2772" spans="1:10" x14ac:dyDescent="0.2">
      <c r="A2772" s="859">
        <f t="shared" si="43"/>
        <v>2771</v>
      </c>
      <c r="B2772" s="845" t="s">
        <v>2554</v>
      </c>
      <c r="D2772" s="863"/>
      <c r="I2772" s="845" t="str">
        <f>CONCATENATE("&lt;valeur&gt;",Cellule_11388,"&lt;/valeur&gt;")</f>
        <v>&lt;valeur&gt;0&lt;/valeur&gt;</v>
      </c>
    </row>
    <row r="2773" spans="1:10" x14ac:dyDescent="0.2">
      <c r="A2773" s="859">
        <f t="shared" si="43"/>
        <v>2772</v>
      </c>
      <c r="B2773" s="845" t="s">
        <v>2554</v>
      </c>
      <c r="D2773" s="862"/>
      <c r="H2773" s="845" t="s">
        <v>1010</v>
      </c>
    </row>
    <row r="2774" spans="1:10" x14ac:dyDescent="0.2">
      <c r="A2774" s="859">
        <f t="shared" si="43"/>
        <v>2773</v>
      </c>
      <c r="B2774" s="845" t="s">
        <v>2554</v>
      </c>
      <c r="D2774" s="862"/>
      <c r="H2774" s="845" t="s">
        <v>1007</v>
      </c>
    </row>
    <row r="2775" spans="1:10" x14ac:dyDescent="0.2">
      <c r="A2775" s="859">
        <f t="shared" si="43"/>
        <v>2774</v>
      </c>
      <c r="B2775" s="845" t="s">
        <v>2554</v>
      </c>
      <c r="D2775" s="861"/>
      <c r="I2775" s="845" t="s">
        <v>1008</v>
      </c>
    </row>
    <row r="2776" spans="1:10" x14ac:dyDescent="0.2">
      <c r="A2776" s="859">
        <f t="shared" si="43"/>
        <v>2775</v>
      </c>
      <c r="B2776" s="845" t="s">
        <v>2554</v>
      </c>
      <c r="D2776" s="861"/>
      <c r="J2776" s="845" t="s">
        <v>1484</v>
      </c>
    </row>
    <row r="2777" spans="1:10" x14ac:dyDescent="0.2">
      <c r="A2777" s="859">
        <f t="shared" si="43"/>
        <v>2776</v>
      </c>
      <c r="B2777" s="845" t="s">
        <v>2554</v>
      </c>
      <c r="D2777" s="862"/>
      <c r="I2777" s="845" t="s">
        <v>1009</v>
      </c>
    </row>
    <row r="2778" spans="1:10" x14ac:dyDescent="0.2">
      <c r="A2778" s="859">
        <f t="shared" si="43"/>
        <v>2777</v>
      </c>
      <c r="B2778" s="845" t="s">
        <v>2554</v>
      </c>
      <c r="D2778" s="863"/>
      <c r="I2778" s="845" t="str">
        <f>CONCATENATE("&lt;valeur&gt;",Cellule_11344,"&lt;/valeur&gt;")</f>
        <v>&lt;valeur&gt;0&lt;/valeur&gt;</v>
      </c>
    </row>
    <row r="2779" spans="1:10" x14ac:dyDescent="0.2">
      <c r="A2779" s="859">
        <f t="shared" si="43"/>
        <v>2778</v>
      </c>
      <c r="B2779" s="845" t="s">
        <v>2554</v>
      </c>
      <c r="D2779" s="862"/>
      <c r="H2779" s="845" t="s">
        <v>1010</v>
      </c>
    </row>
    <row r="2780" spans="1:10" x14ac:dyDescent="0.2">
      <c r="A2780" s="859">
        <f t="shared" si="43"/>
        <v>2779</v>
      </c>
      <c r="B2780" s="845" t="s">
        <v>2554</v>
      </c>
      <c r="D2780" s="862"/>
      <c r="H2780" s="845" t="s">
        <v>1007</v>
      </c>
    </row>
    <row r="2781" spans="1:10" x14ac:dyDescent="0.2">
      <c r="A2781" s="859">
        <f t="shared" si="43"/>
        <v>2780</v>
      </c>
      <c r="B2781" s="845" t="s">
        <v>2554</v>
      </c>
      <c r="D2781" s="861"/>
      <c r="I2781" s="845" t="s">
        <v>1008</v>
      </c>
    </row>
    <row r="2782" spans="1:10" x14ac:dyDescent="0.2">
      <c r="A2782" s="859">
        <f t="shared" si="43"/>
        <v>2781</v>
      </c>
      <c r="B2782" s="845" t="s">
        <v>2554</v>
      </c>
      <c r="D2782" s="861"/>
      <c r="J2782" s="845" t="s">
        <v>1485</v>
      </c>
    </row>
    <row r="2783" spans="1:10" x14ac:dyDescent="0.2">
      <c r="A2783" s="859">
        <f t="shared" si="43"/>
        <v>2782</v>
      </c>
      <c r="B2783" s="845" t="s">
        <v>2554</v>
      </c>
      <c r="D2783" s="862"/>
      <c r="I2783" s="845" t="s">
        <v>1009</v>
      </c>
    </row>
    <row r="2784" spans="1:10" x14ac:dyDescent="0.2">
      <c r="A2784" s="859">
        <f t="shared" si="43"/>
        <v>2783</v>
      </c>
      <c r="B2784" s="845" t="s">
        <v>2554</v>
      </c>
      <c r="D2784" s="863"/>
      <c r="I2784" s="845" t="str">
        <f>CONCATENATE("&lt;valeur&gt;",Cellule_11349,"&lt;/valeur&gt;")</f>
        <v>&lt;valeur&gt;0&lt;/valeur&gt;</v>
      </c>
    </row>
    <row r="2785" spans="1:10" x14ac:dyDescent="0.2">
      <c r="A2785" s="859">
        <f t="shared" si="43"/>
        <v>2784</v>
      </c>
      <c r="B2785" s="845" t="s">
        <v>2554</v>
      </c>
      <c r="D2785" s="862"/>
      <c r="H2785" s="845" t="s">
        <v>1010</v>
      </c>
    </row>
    <row r="2786" spans="1:10" x14ac:dyDescent="0.2">
      <c r="A2786" s="859">
        <f t="shared" si="43"/>
        <v>2785</v>
      </c>
      <c r="B2786" s="845" t="s">
        <v>2554</v>
      </c>
      <c r="D2786" s="862"/>
      <c r="H2786" s="845" t="s">
        <v>1007</v>
      </c>
    </row>
    <row r="2787" spans="1:10" x14ac:dyDescent="0.2">
      <c r="A2787" s="859">
        <f t="shared" si="43"/>
        <v>2786</v>
      </c>
      <c r="B2787" s="845" t="s">
        <v>2554</v>
      </c>
      <c r="D2787" s="861"/>
      <c r="I2787" s="845" t="s">
        <v>1008</v>
      </c>
    </row>
    <row r="2788" spans="1:10" x14ac:dyDescent="0.2">
      <c r="A2788" s="859">
        <f t="shared" si="43"/>
        <v>2787</v>
      </c>
      <c r="B2788" s="845" t="s">
        <v>2554</v>
      </c>
      <c r="D2788" s="861"/>
      <c r="J2788" s="845" t="s">
        <v>1486</v>
      </c>
    </row>
    <row r="2789" spans="1:10" x14ac:dyDescent="0.2">
      <c r="A2789" s="859">
        <f t="shared" si="43"/>
        <v>2788</v>
      </c>
      <c r="B2789" s="845" t="s">
        <v>2554</v>
      </c>
      <c r="D2789" s="862"/>
      <c r="I2789" s="845" t="s">
        <v>1009</v>
      </c>
    </row>
    <row r="2790" spans="1:10" x14ac:dyDescent="0.2">
      <c r="A2790" s="859">
        <f t="shared" si="43"/>
        <v>2789</v>
      </c>
      <c r="B2790" s="845" t="s">
        <v>2554</v>
      </c>
      <c r="D2790" s="863"/>
      <c r="I2790" s="845" t="str">
        <f>CONCATENATE("&lt;valeur&gt;",Cellule_11354,"&lt;/valeur&gt;")</f>
        <v>&lt;valeur&gt;0&lt;/valeur&gt;</v>
      </c>
    </row>
    <row r="2791" spans="1:10" x14ac:dyDescent="0.2">
      <c r="A2791" s="859">
        <f t="shared" si="43"/>
        <v>2790</v>
      </c>
      <c r="B2791" s="845" t="s">
        <v>2554</v>
      </c>
      <c r="D2791" s="862"/>
      <c r="H2791" s="845" t="s">
        <v>1010</v>
      </c>
    </row>
    <row r="2792" spans="1:10" x14ac:dyDescent="0.2">
      <c r="A2792" s="859">
        <f t="shared" si="43"/>
        <v>2791</v>
      </c>
      <c r="B2792" s="845" t="s">
        <v>2554</v>
      </c>
      <c r="D2792" s="862"/>
      <c r="H2792" s="845" t="s">
        <v>1007</v>
      </c>
    </row>
    <row r="2793" spans="1:10" x14ac:dyDescent="0.2">
      <c r="A2793" s="859">
        <f t="shared" si="43"/>
        <v>2792</v>
      </c>
      <c r="B2793" s="845" t="s">
        <v>2554</v>
      </c>
      <c r="D2793" s="861"/>
      <c r="I2793" s="845" t="s">
        <v>1008</v>
      </c>
    </row>
    <row r="2794" spans="1:10" x14ac:dyDescent="0.2">
      <c r="A2794" s="859">
        <f t="shared" si="43"/>
        <v>2793</v>
      </c>
      <c r="B2794" s="845" t="s">
        <v>2554</v>
      </c>
      <c r="D2794" s="861"/>
      <c r="J2794" s="845" t="s">
        <v>1487</v>
      </c>
    </row>
    <row r="2795" spans="1:10" x14ac:dyDescent="0.2">
      <c r="A2795" s="859">
        <f t="shared" si="43"/>
        <v>2794</v>
      </c>
      <c r="B2795" s="845" t="s">
        <v>2554</v>
      </c>
      <c r="D2795" s="862"/>
      <c r="I2795" s="845" t="s">
        <v>1009</v>
      </c>
    </row>
    <row r="2796" spans="1:10" x14ac:dyDescent="0.2">
      <c r="A2796" s="859">
        <f t="shared" si="43"/>
        <v>2795</v>
      </c>
      <c r="B2796" s="845" t="s">
        <v>2554</v>
      </c>
      <c r="D2796" s="863"/>
      <c r="I2796" s="845" t="str">
        <f>CONCATENATE("&lt;valeur&gt;",Cellule_11394,"&lt;/valeur&gt;")</f>
        <v>&lt;valeur&gt;0&lt;/valeur&gt;</v>
      </c>
    </row>
    <row r="2797" spans="1:10" x14ac:dyDescent="0.2">
      <c r="A2797" s="859">
        <f t="shared" si="43"/>
        <v>2796</v>
      </c>
      <c r="B2797" s="845" t="s">
        <v>2554</v>
      </c>
      <c r="D2797" s="862"/>
      <c r="H2797" s="845" t="s">
        <v>1010</v>
      </c>
    </row>
    <row r="2798" spans="1:10" x14ac:dyDescent="0.2">
      <c r="A2798" s="859">
        <f t="shared" si="43"/>
        <v>2797</v>
      </c>
      <c r="B2798" s="845" t="s">
        <v>2554</v>
      </c>
      <c r="D2798" s="862"/>
      <c r="H2798" s="845" t="s">
        <v>1007</v>
      </c>
    </row>
    <row r="2799" spans="1:10" x14ac:dyDescent="0.2">
      <c r="A2799" s="859">
        <f t="shared" si="43"/>
        <v>2798</v>
      </c>
      <c r="B2799" s="845" t="s">
        <v>2554</v>
      </c>
      <c r="D2799" s="861"/>
      <c r="I2799" s="845" t="s">
        <v>1008</v>
      </c>
    </row>
    <row r="2800" spans="1:10" x14ac:dyDescent="0.2">
      <c r="A2800" s="859">
        <f t="shared" si="43"/>
        <v>2799</v>
      </c>
      <c r="B2800" s="845" t="s">
        <v>2554</v>
      </c>
      <c r="D2800" s="861"/>
      <c r="J2800" s="845" t="s">
        <v>1488</v>
      </c>
    </row>
    <row r="2801" spans="1:10" x14ac:dyDescent="0.2">
      <c r="A2801" s="859">
        <f t="shared" si="43"/>
        <v>2800</v>
      </c>
      <c r="B2801" s="845" t="s">
        <v>2554</v>
      </c>
      <c r="D2801" s="862"/>
      <c r="I2801" s="845" t="s">
        <v>1009</v>
      </c>
    </row>
    <row r="2802" spans="1:10" x14ac:dyDescent="0.2">
      <c r="A2802" s="859">
        <f t="shared" si="43"/>
        <v>2801</v>
      </c>
      <c r="B2802" s="845" t="s">
        <v>2554</v>
      </c>
      <c r="D2802" s="863"/>
      <c r="I2802" s="845" t="str">
        <f>CONCATENATE("&lt;valeur&gt;",Cellule_11399,"&lt;/valeur&gt;")</f>
        <v>&lt;valeur&gt;0&lt;/valeur&gt;</v>
      </c>
    </row>
    <row r="2803" spans="1:10" x14ac:dyDescent="0.2">
      <c r="A2803" s="859">
        <f t="shared" si="43"/>
        <v>2802</v>
      </c>
      <c r="B2803" s="845" t="s">
        <v>2554</v>
      </c>
      <c r="D2803" s="862"/>
      <c r="H2803" s="845" t="s">
        <v>1010</v>
      </c>
    </row>
    <row r="2804" spans="1:10" x14ac:dyDescent="0.2">
      <c r="A2804" s="859">
        <f t="shared" si="43"/>
        <v>2803</v>
      </c>
      <c r="B2804" s="845" t="s">
        <v>2554</v>
      </c>
      <c r="D2804" s="862"/>
      <c r="H2804" s="845" t="s">
        <v>1007</v>
      </c>
    </row>
    <row r="2805" spans="1:10" x14ac:dyDescent="0.2">
      <c r="A2805" s="859">
        <f t="shared" si="43"/>
        <v>2804</v>
      </c>
      <c r="B2805" s="845" t="s">
        <v>2554</v>
      </c>
      <c r="D2805" s="861"/>
      <c r="I2805" s="845" t="s">
        <v>1008</v>
      </c>
    </row>
    <row r="2806" spans="1:10" x14ac:dyDescent="0.2">
      <c r="A2806" s="859">
        <f t="shared" si="43"/>
        <v>2805</v>
      </c>
      <c r="B2806" s="845" t="s">
        <v>2554</v>
      </c>
      <c r="D2806" s="861"/>
      <c r="J2806" s="845" t="s">
        <v>1489</v>
      </c>
    </row>
    <row r="2807" spans="1:10" x14ac:dyDescent="0.2">
      <c r="A2807" s="859">
        <f t="shared" si="43"/>
        <v>2806</v>
      </c>
      <c r="B2807" s="845" t="s">
        <v>2554</v>
      </c>
      <c r="D2807" s="862"/>
      <c r="I2807" s="845" t="s">
        <v>1009</v>
      </c>
    </row>
    <row r="2808" spans="1:10" x14ac:dyDescent="0.2">
      <c r="A2808" s="859">
        <f t="shared" si="43"/>
        <v>2807</v>
      </c>
      <c r="B2808" s="845" t="s">
        <v>2554</v>
      </c>
      <c r="D2808" s="863"/>
      <c r="I2808" s="845" t="str">
        <f>CONCATENATE("&lt;valeur&gt;",Cellule_11404,"&lt;/valeur&gt;")</f>
        <v>&lt;valeur&gt;0&lt;/valeur&gt;</v>
      </c>
    </row>
    <row r="2809" spans="1:10" x14ac:dyDescent="0.2">
      <c r="A2809" s="859">
        <f t="shared" si="43"/>
        <v>2808</v>
      </c>
      <c r="B2809" s="845" t="s">
        <v>2554</v>
      </c>
      <c r="D2809" s="862"/>
      <c r="H2809" s="845" t="s">
        <v>1010</v>
      </c>
    </row>
    <row r="2810" spans="1:10" x14ac:dyDescent="0.2">
      <c r="A2810" s="859">
        <f t="shared" si="43"/>
        <v>2809</v>
      </c>
      <c r="B2810" s="845" t="s">
        <v>2554</v>
      </c>
      <c r="D2810" s="862"/>
      <c r="H2810" s="845" t="s">
        <v>1007</v>
      </c>
    </row>
    <row r="2811" spans="1:10" x14ac:dyDescent="0.2">
      <c r="A2811" s="859">
        <f t="shared" si="43"/>
        <v>2810</v>
      </c>
      <c r="B2811" s="845" t="s">
        <v>2554</v>
      </c>
      <c r="D2811" s="861"/>
      <c r="I2811" s="845" t="s">
        <v>1008</v>
      </c>
    </row>
    <row r="2812" spans="1:10" x14ac:dyDescent="0.2">
      <c r="A2812" s="859">
        <f t="shared" si="43"/>
        <v>2811</v>
      </c>
      <c r="B2812" s="845" t="s">
        <v>2554</v>
      </c>
      <c r="D2812" s="861"/>
      <c r="J2812" s="845" t="s">
        <v>1490</v>
      </c>
    </row>
    <row r="2813" spans="1:10" x14ac:dyDescent="0.2">
      <c r="A2813" s="859">
        <f t="shared" si="43"/>
        <v>2812</v>
      </c>
      <c r="B2813" s="845" t="s">
        <v>2554</v>
      </c>
      <c r="D2813" s="862"/>
      <c r="I2813" s="845" t="s">
        <v>1009</v>
      </c>
    </row>
    <row r="2814" spans="1:10" x14ac:dyDescent="0.2">
      <c r="A2814" s="859">
        <f t="shared" si="43"/>
        <v>2813</v>
      </c>
      <c r="B2814" s="845" t="s">
        <v>2554</v>
      </c>
      <c r="D2814" s="863"/>
      <c r="I2814" s="845" t="str">
        <f>CONCATENATE("&lt;valeur&gt;",Cellule_11409,"&lt;/valeur&gt;")</f>
        <v>&lt;valeur&gt;0&lt;/valeur&gt;</v>
      </c>
    </row>
    <row r="2815" spans="1:10" x14ac:dyDescent="0.2">
      <c r="A2815" s="859">
        <f t="shared" si="43"/>
        <v>2814</v>
      </c>
      <c r="B2815" s="845" t="s">
        <v>2554</v>
      </c>
      <c r="D2815" s="862"/>
      <c r="H2815" s="845" t="s">
        <v>1010</v>
      </c>
    </row>
    <row r="2816" spans="1:10" x14ac:dyDescent="0.2">
      <c r="A2816" s="859">
        <f t="shared" si="43"/>
        <v>2815</v>
      </c>
      <c r="B2816" s="845" t="s">
        <v>2554</v>
      </c>
      <c r="D2816" s="862"/>
      <c r="H2816" s="845" t="s">
        <v>1007</v>
      </c>
    </row>
    <row r="2817" spans="1:10" x14ac:dyDescent="0.2">
      <c r="A2817" s="859">
        <f t="shared" si="43"/>
        <v>2816</v>
      </c>
      <c r="B2817" s="845" t="s">
        <v>2554</v>
      </c>
      <c r="D2817" s="861"/>
      <c r="I2817" s="845" t="s">
        <v>1008</v>
      </c>
    </row>
    <row r="2818" spans="1:10" x14ac:dyDescent="0.2">
      <c r="A2818" s="859">
        <f t="shared" si="43"/>
        <v>2817</v>
      </c>
      <c r="B2818" s="845" t="s">
        <v>2554</v>
      </c>
      <c r="D2818" s="861"/>
      <c r="J2818" s="845" t="s">
        <v>1491</v>
      </c>
    </row>
    <row r="2819" spans="1:10" x14ac:dyDescent="0.2">
      <c r="A2819" s="859">
        <f t="shared" si="43"/>
        <v>2818</v>
      </c>
      <c r="B2819" s="845" t="s">
        <v>2554</v>
      </c>
      <c r="D2819" s="862"/>
      <c r="I2819" s="845" t="s">
        <v>1009</v>
      </c>
    </row>
    <row r="2820" spans="1:10" x14ac:dyDescent="0.2">
      <c r="A2820" s="859">
        <f t="shared" ref="A2820:A2883" si="44">+A2819+1</f>
        <v>2819</v>
      </c>
      <c r="B2820" s="845" t="s">
        <v>2554</v>
      </c>
      <c r="D2820" s="863"/>
      <c r="I2820" s="845" t="str">
        <f>CONCATENATE("&lt;valeur&gt;",Cellule_11359,"&lt;/valeur&gt;")</f>
        <v>&lt;valeur&gt;0&lt;/valeur&gt;</v>
      </c>
    </row>
    <row r="2821" spans="1:10" x14ac:dyDescent="0.2">
      <c r="A2821" s="859">
        <f t="shared" si="44"/>
        <v>2820</v>
      </c>
      <c r="B2821" s="845" t="s">
        <v>2554</v>
      </c>
      <c r="D2821" s="862"/>
      <c r="H2821" s="845" t="s">
        <v>1010</v>
      </c>
    </row>
    <row r="2822" spans="1:10" x14ac:dyDescent="0.2">
      <c r="A2822" s="859">
        <f t="shared" si="44"/>
        <v>2821</v>
      </c>
      <c r="B2822" s="845" t="s">
        <v>2554</v>
      </c>
      <c r="D2822" s="862"/>
      <c r="H2822" s="845" t="s">
        <v>1007</v>
      </c>
    </row>
    <row r="2823" spans="1:10" x14ac:dyDescent="0.2">
      <c r="A2823" s="859">
        <f t="shared" si="44"/>
        <v>2822</v>
      </c>
      <c r="B2823" s="845" t="s">
        <v>2554</v>
      </c>
      <c r="D2823" s="861"/>
      <c r="I2823" s="845" t="s">
        <v>1008</v>
      </c>
    </row>
    <row r="2824" spans="1:10" x14ac:dyDescent="0.2">
      <c r="A2824" s="859">
        <f t="shared" si="44"/>
        <v>2823</v>
      </c>
      <c r="B2824" s="845" t="s">
        <v>2554</v>
      </c>
      <c r="D2824" s="861"/>
      <c r="J2824" s="845" t="s">
        <v>1492</v>
      </c>
    </row>
    <row r="2825" spans="1:10" x14ac:dyDescent="0.2">
      <c r="A2825" s="859">
        <f t="shared" si="44"/>
        <v>2824</v>
      </c>
      <c r="B2825" s="845" t="s">
        <v>2554</v>
      </c>
      <c r="D2825" s="862"/>
      <c r="I2825" s="845" t="s">
        <v>1009</v>
      </c>
    </row>
    <row r="2826" spans="1:10" x14ac:dyDescent="0.2">
      <c r="A2826" s="859">
        <f t="shared" si="44"/>
        <v>2825</v>
      </c>
      <c r="B2826" s="845" t="s">
        <v>2554</v>
      </c>
      <c r="D2826" s="863"/>
      <c r="I2826" s="845" t="str">
        <f>CONCATENATE("&lt;valeur&gt;",Cellule_11364,"&lt;/valeur&gt;")</f>
        <v>&lt;valeur&gt;0&lt;/valeur&gt;</v>
      </c>
    </row>
    <row r="2827" spans="1:10" x14ac:dyDescent="0.2">
      <c r="A2827" s="859">
        <f t="shared" si="44"/>
        <v>2826</v>
      </c>
      <c r="B2827" s="845" t="s">
        <v>2554</v>
      </c>
      <c r="D2827" s="862"/>
      <c r="H2827" s="845" t="s">
        <v>1010</v>
      </c>
    </row>
    <row r="2828" spans="1:10" x14ac:dyDescent="0.2">
      <c r="A2828" s="859">
        <f t="shared" si="44"/>
        <v>2827</v>
      </c>
      <c r="B2828" s="845" t="s">
        <v>2554</v>
      </c>
      <c r="D2828" s="862"/>
      <c r="H2828" s="845" t="s">
        <v>1007</v>
      </c>
    </row>
    <row r="2829" spans="1:10" x14ac:dyDescent="0.2">
      <c r="A2829" s="859">
        <f t="shared" si="44"/>
        <v>2828</v>
      </c>
      <c r="B2829" s="845" t="s">
        <v>2554</v>
      </c>
      <c r="D2829" s="861"/>
      <c r="I2829" s="845" t="s">
        <v>1008</v>
      </c>
    </row>
    <row r="2830" spans="1:10" x14ac:dyDescent="0.2">
      <c r="A2830" s="859">
        <f t="shared" si="44"/>
        <v>2829</v>
      </c>
      <c r="B2830" s="845" t="s">
        <v>2554</v>
      </c>
      <c r="D2830" s="861"/>
      <c r="J2830" s="845" t="s">
        <v>1493</v>
      </c>
    </row>
    <row r="2831" spans="1:10" x14ac:dyDescent="0.2">
      <c r="A2831" s="859">
        <f t="shared" si="44"/>
        <v>2830</v>
      </c>
      <c r="B2831" s="845" t="s">
        <v>2554</v>
      </c>
      <c r="D2831" s="862"/>
      <c r="I2831" s="845" t="s">
        <v>1009</v>
      </c>
    </row>
    <row r="2832" spans="1:10" x14ac:dyDescent="0.2">
      <c r="A2832" s="859">
        <f t="shared" si="44"/>
        <v>2831</v>
      </c>
      <c r="B2832" s="845" t="s">
        <v>2554</v>
      </c>
      <c r="D2832" s="863"/>
      <c r="I2832" s="845" t="str">
        <f>CONCATENATE("&lt;valeur&gt;",Cellule_11369,"&lt;/valeur&gt;")</f>
        <v>&lt;valeur&gt;0&lt;/valeur&gt;</v>
      </c>
    </row>
    <row r="2833" spans="1:10" x14ac:dyDescent="0.2">
      <c r="A2833" s="859">
        <f t="shared" si="44"/>
        <v>2832</v>
      </c>
      <c r="B2833" s="845" t="s">
        <v>2554</v>
      </c>
      <c r="D2833" s="862"/>
      <c r="H2833" s="845" t="s">
        <v>1010</v>
      </c>
    </row>
    <row r="2834" spans="1:10" x14ac:dyDescent="0.2">
      <c r="A2834" s="859">
        <f t="shared" si="44"/>
        <v>2833</v>
      </c>
      <c r="B2834" s="845" t="s">
        <v>2554</v>
      </c>
      <c r="D2834" s="862"/>
      <c r="H2834" s="845" t="s">
        <v>1007</v>
      </c>
    </row>
    <row r="2835" spans="1:10" x14ac:dyDescent="0.2">
      <c r="A2835" s="859">
        <f t="shared" si="44"/>
        <v>2834</v>
      </c>
      <c r="B2835" s="845" t="s">
        <v>2554</v>
      </c>
      <c r="D2835" s="861"/>
      <c r="I2835" s="845" t="s">
        <v>1008</v>
      </c>
    </row>
    <row r="2836" spans="1:10" x14ac:dyDescent="0.2">
      <c r="A2836" s="859">
        <f t="shared" si="44"/>
        <v>2835</v>
      </c>
      <c r="B2836" s="845" t="s">
        <v>2554</v>
      </c>
      <c r="D2836" s="861"/>
      <c r="J2836" s="845" t="s">
        <v>1494</v>
      </c>
    </row>
    <row r="2837" spans="1:10" x14ac:dyDescent="0.2">
      <c r="A2837" s="859">
        <f t="shared" si="44"/>
        <v>2836</v>
      </c>
      <c r="B2837" s="845" t="s">
        <v>2554</v>
      </c>
      <c r="D2837" s="862"/>
      <c r="I2837" s="845" t="s">
        <v>1009</v>
      </c>
    </row>
    <row r="2838" spans="1:10" x14ac:dyDescent="0.2">
      <c r="A2838" s="859">
        <f t="shared" si="44"/>
        <v>2837</v>
      </c>
      <c r="B2838" s="845" t="s">
        <v>2554</v>
      </c>
      <c r="D2838" s="863"/>
      <c r="I2838" s="845" t="str">
        <f>CONCATENATE("&lt;valeur&gt;",Cellule_11374,"&lt;/valeur&gt;")</f>
        <v>&lt;valeur&gt;0&lt;/valeur&gt;</v>
      </c>
    </row>
    <row r="2839" spans="1:10" x14ac:dyDescent="0.2">
      <c r="A2839" s="859">
        <f t="shared" si="44"/>
        <v>2838</v>
      </c>
      <c r="B2839" s="845" t="s">
        <v>2554</v>
      </c>
      <c r="D2839" s="862"/>
      <c r="H2839" s="845" t="s">
        <v>1010</v>
      </c>
    </row>
    <row r="2840" spans="1:10" x14ac:dyDescent="0.2">
      <c r="A2840" s="859">
        <f t="shared" si="44"/>
        <v>2839</v>
      </c>
      <c r="B2840" s="845" t="s">
        <v>2554</v>
      </c>
      <c r="D2840" s="862"/>
      <c r="H2840" s="845" t="s">
        <v>1007</v>
      </c>
    </row>
    <row r="2841" spans="1:10" x14ac:dyDescent="0.2">
      <c r="A2841" s="859">
        <f t="shared" si="44"/>
        <v>2840</v>
      </c>
      <c r="B2841" s="845" t="s">
        <v>2554</v>
      </c>
      <c r="D2841" s="861"/>
      <c r="I2841" s="845" t="s">
        <v>1008</v>
      </c>
    </row>
    <row r="2842" spans="1:10" x14ac:dyDescent="0.2">
      <c r="A2842" s="859">
        <f t="shared" si="44"/>
        <v>2841</v>
      </c>
      <c r="B2842" s="845" t="s">
        <v>2554</v>
      </c>
      <c r="D2842" s="861"/>
      <c r="J2842" s="845" t="s">
        <v>1495</v>
      </c>
    </row>
    <row r="2843" spans="1:10" x14ac:dyDescent="0.2">
      <c r="A2843" s="859">
        <f t="shared" si="44"/>
        <v>2842</v>
      </c>
      <c r="B2843" s="845" t="s">
        <v>2554</v>
      </c>
      <c r="D2843" s="862"/>
      <c r="I2843" s="845" t="s">
        <v>1009</v>
      </c>
    </row>
    <row r="2844" spans="1:10" x14ac:dyDescent="0.2">
      <c r="A2844" s="859">
        <f t="shared" si="44"/>
        <v>2843</v>
      </c>
      <c r="B2844" s="845" t="s">
        <v>2554</v>
      </c>
      <c r="D2844" s="863"/>
      <c r="I2844" s="845" t="str">
        <f>CONCATENATE("&lt;valeur&gt;",Cellule_11379,"&lt;/valeur&gt;")</f>
        <v>&lt;valeur&gt;0&lt;/valeur&gt;</v>
      </c>
    </row>
    <row r="2845" spans="1:10" x14ac:dyDescent="0.2">
      <c r="A2845" s="859">
        <f t="shared" si="44"/>
        <v>2844</v>
      </c>
      <c r="B2845" s="845" t="s">
        <v>2554</v>
      </c>
      <c r="D2845" s="862"/>
      <c r="H2845" s="845" t="s">
        <v>1010</v>
      </c>
    </row>
    <row r="2846" spans="1:10" x14ac:dyDescent="0.2">
      <c r="A2846" s="859">
        <f t="shared" si="44"/>
        <v>2845</v>
      </c>
      <c r="B2846" s="845" t="s">
        <v>2554</v>
      </c>
      <c r="D2846" s="862"/>
      <c r="H2846" s="845" t="s">
        <v>1007</v>
      </c>
    </row>
    <row r="2847" spans="1:10" x14ac:dyDescent="0.2">
      <c r="A2847" s="859">
        <f t="shared" si="44"/>
        <v>2846</v>
      </c>
      <c r="B2847" s="845" t="s">
        <v>2554</v>
      </c>
      <c r="D2847" s="861"/>
      <c r="I2847" s="845" t="s">
        <v>1008</v>
      </c>
    </row>
    <row r="2848" spans="1:10" x14ac:dyDescent="0.2">
      <c r="A2848" s="859">
        <f t="shared" si="44"/>
        <v>2847</v>
      </c>
      <c r="B2848" s="845" t="s">
        <v>2554</v>
      </c>
      <c r="D2848" s="861"/>
      <c r="J2848" s="845" t="s">
        <v>1496</v>
      </c>
    </row>
    <row r="2849" spans="1:10" x14ac:dyDescent="0.2">
      <c r="A2849" s="859">
        <f t="shared" si="44"/>
        <v>2848</v>
      </c>
      <c r="B2849" s="845" t="s">
        <v>2554</v>
      </c>
      <c r="D2849" s="862"/>
      <c r="I2849" s="845" t="s">
        <v>1009</v>
      </c>
    </row>
    <row r="2850" spans="1:10" x14ac:dyDescent="0.2">
      <c r="A2850" s="859">
        <f t="shared" si="44"/>
        <v>2849</v>
      </c>
      <c r="B2850" s="845" t="s">
        <v>2554</v>
      </c>
      <c r="D2850" s="863"/>
      <c r="I2850" s="845" t="str">
        <f>CONCATENATE("&lt;valeur&gt;",Cellule_11384,"&lt;/valeur&gt;")</f>
        <v>&lt;valeur&gt;0&lt;/valeur&gt;</v>
      </c>
    </row>
    <row r="2851" spans="1:10" x14ac:dyDescent="0.2">
      <c r="A2851" s="859">
        <f t="shared" si="44"/>
        <v>2850</v>
      </c>
      <c r="B2851" s="845" t="s">
        <v>2554</v>
      </c>
      <c r="D2851" s="862"/>
      <c r="H2851" s="845" t="s">
        <v>1010</v>
      </c>
    </row>
    <row r="2852" spans="1:10" x14ac:dyDescent="0.2">
      <c r="A2852" s="859">
        <f t="shared" si="44"/>
        <v>2851</v>
      </c>
      <c r="B2852" s="845" t="s">
        <v>2554</v>
      </c>
      <c r="D2852" s="862"/>
      <c r="H2852" s="845" t="s">
        <v>1007</v>
      </c>
    </row>
    <row r="2853" spans="1:10" x14ac:dyDescent="0.2">
      <c r="A2853" s="859">
        <f t="shared" si="44"/>
        <v>2852</v>
      </c>
      <c r="B2853" s="845" t="s">
        <v>2554</v>
      </c>
      <c r="D2853" s="861"/>
      <c r="I2853" s="845" t="s">
        <v>1008</v>
      </c>
    </row>
    <row r="2854" spans="1:10" x14ac:dyDescent="0.2">
      <c r="A2854" s="859">
        <f t="shared" si="44"/>
        <v>2853</v>
      </c>
      <c r="B2854" s="845" t="s">
        <v>2554</v>
      </c>
      <c r="D2854" s="861"/>
      <c r="J2854" s="845" t="s">
        <v>1497</v>
      </c>
    </row>
    <row r="2855" spans="1:10" x14ac:dyDescent="0.2">
      <c r="A2855" s="859">
        <f t="shared" si="44"/>
        <v>2854</v>
      </c>
      <c r="B2855" s="845" t="s">
        <v>2554</v>
      </c>
      <c r="D2855" s="862"/>
      <c r="I2855" s="845" t="s">
        <v>1009</v>
      </c>
    </row>
    <row r="2856" spans="1:10" x14ac:dyDescent="0.2">
      <c r="A2856" s="859">
        <f t="shared" si="44"/>
        <v>2855</v>
      </c>
      <c r="B2856" s="845" t="s">
        <v>2554</v>
      </c>
      <c r="D2856" s="863"/>
      <c r="I2856" s="845" t="str">
        <f>CONCATENATE("&lt;valeur&gt;",Cellule_11389,"&lt;/valeur&gt;")</f>
        <v>&lt;valeur&gt;0&lt;/valeur&gt;</v>
      </c>
    </row>
    <row r="2857" spans="1:10" x14ac:dyDescent="0.2">
      <c r="A2857" s="859">
        <f t="shared" si="44"/>
        <v>2856</v>
      </c>
      <c r="B2857" s="845" t="s">
        <v>2554</v>
      </c>
      <c r="D2857" s="862"/>
      <c r="H2857" s="845" t="s">
        <v>1010</v>
      </c>
    </row>
    <row r="2858" spans="1:10" x14ac:dyDescent="0.2">
      <c r="A2858" s="859">
        <f t="shared" si="44"/>
        <v>2857</v>
      </c>
      <c r="B2858" s="845" t="s">
        <v>2554</v>
      </c>
      <c r="D2858" s="862"/>
      <c r="H2858" s="845" t="s">
        <v>1007</v>
      </c>
    </row>
    <row r="2859" spans="1:10" x14ac:dyDescent="0.2">
      <c r="A2859" s="859">
        <f t="shared" si="44"/>
        <v>2858</v>
      </c>
      <c r="B2859" s="845" t="s">
        <v>2554</v>
      </c>
      <c r="D2859" s="861"/>
      <c r="I2859" s="845" t="s">
        <v>1008</v>
      </c>
    </row>
    <row r="2860" spans="1:10" x14ac:dyDescent="0.2">
      <c r="A2860" s="859">
        <f t="shared" si="44"/>
        <v>2859</v>
      </c>
      <c r="B2860" s="845" t="s">
        <v>2554</v>
      </c>
      <c r="D2860" s="861"/>
      <c r="J2860" s="845" t="s">
        <v>1498</v>
      </c>
    </row>
    <row r="2861" spans="1:10" x14ac:dyDescent="0.2">
      <c r="A2861" s="859">
        <f t="shared" si="44"/>
        <v>2860</v>
      </c>
      <c r="B2861" s="845" t="s">
        <v>2554</v>
      </c>
      <c r="D2861" s="862"/>
      <c r="I2861" s="845" t="s">
        <v>1009</v>
      </c>
    </row>
    <row r="2862" spans="1:10" x14ac:dyDescent="0.2">
      <c r="A2862" s="859">
        <f t="shared" si="44"/>
        <v>2861</v>
      </c>
      <c r="B2862" s="845" t="s">
        <v>2554</v>
      </c>
      <c r="D2862" s="863"/>
      <c r="I2862" s="845" t="str">
        <f>CONCATENATE("&lt;valeur&gt;",Cellule_11411,"&lt;/valeur&gt;")</f>
        <v>&lt;valeur&gt;0&lt;/valeur&gt;</v>
      </c>
    </row>
    <row r="2863" spans="1:10" x14ac:dyDescent="0.2">
      <c r="A2863" s="859">
        <f t="shared" si="44"/>
        <v>2862</v>
      </c>
      <c r="B2863" s="845" t="s">
        <v>2554</v>
      </c>
      <c r="D2863" s="862"/>
      <c r="H2863" s="845" t="s">
        <v>1010</v>
      </c>
    </row>
    <row r="2864" spans="1:10" x14ac:dyDescent="0.2">
      <c r="A2864" s="859">
        <f t="shared" si="44"/>
        <v>2863</v>
      </c>
      <c r="B2864" s="845" t="s">
        <v>2554</v>
      </c>
      <c r="D2864" s="862"/>
      <c r="H2864" s="845" t="s">
        <v>1007</v>
      </c>
    </row>
    <row r="2865" spans="1:10" x14ac:dyDescent="0.2">
      <c r="A2865" s="859">
        <f t="shared" si="44"/>
        <v>2864</v>
      </c>
      <c r="B2865" s="845" t="s">
        <v>2554</v>
      </c>
      <c r="D2865" s="861"/>
      <c r="I2865" s="845" t="s">
        <v>1008</v>
      </c>
    </row>
    <row r="2866" spans="1:10" x14ac:dyDescent="0.2">
      <c r="A2866" s="859">
        <f t="shared" si="44"/>
        <v>2865</v>
      </c>
      <c r="B2866" s="845" t="s">
        <v>2554</v>
      </c>
      <c r="D2866" s="861"/>
      <c r="J2866" s="845" t="s">
        <v>1499</v>
      </c>
    </row>
    <row r="2867" spans="1:10" x14ac:dyDescent="0.2">
      <c r="A2867" s="859">
        <f t="shared" si="44"/>
        <v>2866</v>
      </c>
      <c r="B2867" s="845" t="s">
        <v>2554</v>
      </c>
      <c r="D2867" s="862"/>
      <c r="I2867" s="845" t="s">
        <v>1009</v>
      </c>
    </row>
    <row r="2868" spans="1:10" x14ac:dyDescent="0.2">
      <c r="A2868" s="859">
        <f t="shared" si="44"/>
        <v>2867</v>
      </c>
      <c r="B2868" s="845" t="s">
        <v>2554</v>
      </c>
      <c r="D2868" s="863"/>
      <c r="I2868" s="845" t="str">
        <f>CONCATENATE("&lt;valeur&gt;",Cellule_11412,"&lt;/valeur&gt;")</f>
        <v>&lt;valeur&gt;0&lt;/valeur&gt;</v>
      </c>
    </row>
    <row r="2869" spans="1:10" x14ac:dyDescent="0.2">
      <c r="A2869" s="859">
        <f t="shared" si="44"/>
        <v>2868</v>
      </c>
      <c r="B2869" s="845" t="s">
        <v>2554</v>
      </c>
      <c r="D2869" s="862"/>
      <c r="H2869" s="845" t="s">
        <v>1010</v>
      </c>
    </row>
    <row r="2870" spans="1:10" x14ac:dyDescent="0.2">
      <c r="A2870" s="859">
        <f t="shared" si="44"/>
        <v>2869</v>
      </c>
      <c r="B2870" s="845" t="s">
        <v>2554</v>
      </c>
      <c r="D2870" s="862"/>
      <c r="H2870" s="845" t="s">
        <v>1007</v>
      </c>
    </row>
    <row r="2871" spans="1:10" x14ac:dyDescent="0.2">
      <c r="A2871" s="859">
        <f t="shared" si="44"/>
        <v>2870</v>
      </c>
      <c r="B2871" s="845" t="s">
        <v>2554</v>
      </c>
      <c r="D2871" s="861"/>
      <c r="I2871" s="845" t="s">
        <v>1008</v>
      </c>
    </row>
    <row r="2872" spans="1:10" x14ac:dyDescent="0.2">
      <c r="A2872" s="859">
        <f t="shared" si="44"/>
        <v>2871</v>
      </c>
      <c r="B2872" s="845" t="s">
        <v>2554</v>
      </c>
      <c r="D2872" s="861"/>
      <c r="J2872" s="845" t="s">
        <v>1500</v>
      </c>
    </row>
    <row r="2873" spans="1:10" x14ac:dyDescent="0.2">
      <c r="A2873" s="859">
        <f t="shared" si="44"/>
        <v>2872</v>
      </c>
      <c r="B2873" s="845" t="s">
        <v>2554</v>
      </c>
      <c r="D2873" s="862"/>
      <c r="I2873" s="845" t="s">
        <v>1009</v>
      </c>
    </row>
    <row r="2874" spans="1:10" x14ac:dyDescent="0.2">
      <c r="A2874" s="859">
        <f t="shared" si="44"/>
        <v>2873</v>
      </c>
      <c r="B2874" s="845" t="s">
        <v>2554</v>
      </c>
      <c r="D2874" s="863"/>
      <c r="I2874" s="845" t="str">
        <f>CONCATENATE("&lt;valeur&gt;",Cellule_11413,"&lt;/valeur&gt;")</f>
        <v>&lt;valeur&gt;0&lt;/valeur&gt;</v>
      </c>
    </row>
    <row r="2875" spans="1:10" x14ac:dyDescent="0.2">
      <c r="A2875" s="859">
        <f t="shared" si="44"/>
        <v>2874</v>
      </c>
      <c r="B2875" s="845" t="s">
        <v>2554</v>
      </c>
      <c r="D2875" s="862"/>
      <c r="H2875" s="845" t="s">
        <v>1010</v>
      </c>
    </row>
    <row r="2876" spans="1:10" x14ac:dyDescent="0.2">
      <c r="A2876" s="859">
        <f t="shared" si="44"/>
        <v>2875</v>
      </c>
      <c r="B2876" s="845" t="s">
        <v>2554</v>
      </c>
      <c r="D2876" s="862"/>
      <c r="H2876" s="845" t="s">
        <v>1007</v>
      </c>
    </row>
    <row r="2877" spans="1:10" x14ac:dyDescent="0.2">
      <c r="A2877" s="859">
        <f t="shared" si="44"/>
        <v>2876</v>
      </c>
      <c r="B2877" s="845" t="s">
        <v>2554</v>
      </c>
      <c r="D2877" s="861"/>
      <c r="I2877" s="845" t="s">
        <v>1008</v>
      </c>
    </row>
    <row r="2878" spans="1:10" x14ac:dyDescent="0.2">
      <c r="A2878" s="859">
        <f t="shared" si="44"/>
        <v>2877</v>
      </c>
      <c r="B2878" s="845" t="s">
        <v>2554</v>
      </c>
      <c r="D2878" s="861"/>
      <c r="J2878" s="845" t="s">
        <v>1501</v>
      </c>
    </row>
    <row r="2879" spans="1:10" x14ac:dyDescent="0.2">
      <c r="A2879" s="859">
        <f t="shared" si="44"/>
        <v>2878</v>
      </c>
      <c r="B2879" s="845" t="s">
        <v>2554</v>
      </c>
      <c r="D2879" s="862"/>
      <c r="I2879" s="845" t="s">
        <v>1009</v>
      </c>
    </row>
    <row r="2880" spans="1:10" x14ac:dyDescent="0.2">
      <c r="A2880" s="859">
        <f t="shared" si="44"/>
        <v>2879</v>
      </c>
      <c r="B2880" s="845" t="s">
        <v>2554</v>
      </c>
      <c r="D2880" s="863"/>
      <c r="I2880" s="845" t="str">
        <f>CONCATENATE("&lt;valeur&gt;",Cellule_11414,"&lt;/valeur&gt;")</f>
        <v>&lt;valeur&gt;0&lt;/valeur&gt;</v>
      </c>
    </row>
    <row r="2881" spans="1:10" x14ac:dyDescent="0.2">
      <c r="A2881" s="859">
        <f t="shared" si="44"/>
        <v>2880</v>
      </c>
      <c r="B2881" s="845" t="s">
        <v>2554</v>
      </c>
      <c r="D2881" s="862"/>
      <c r="H2881" s="845" t="s">
        <v>1010</v>
      </c>
    </row>
    <row r="2882" spans="1:10" x14ac:dyDescent="0.2">
      <c r="A2882" s="859">
        <f t="shared" si="44"/>
        <v>2881</v>
      </c>
      <c r="B2882" s="845" t="s">
        <v>2554</v>
      </c>
      <c r="D2882" s="862"/>
      <c r="H2882" s="845" t="s">
        <v>1007</v>
      </c>
    </row>
    <row r="2883" spans="1:10" x14ac:dyDescent="0.2">
      <c r="A2883" s="859">
        <f t="shared" si="44"/>
        <v>2882</v>
      </c>
      <c r="B2883" s="845" t="s">
        <v>2554</v>
      </c>
      <c r="D2883" s="861"/>
      <c r="I2883" s="845" t="s">
        <v>1008</v>
      </c>
    </row>
    <row r="2884" spans="1:10" x14ac:dyDescent="0.2">
      <c r="A2884" s="859">
        <f t="shared" ref="A2884:A2947" si="45">+A2883+1</f>
        <v>2883</v>
      </c>
      <c r="B2884" s="845" t="s">
        <v>2554</v>
      </c>
      <c r="D2884" s="861"/>
      <c r="J2884" s="845" t="s">
        <v>1502</v>
      </c>
    </row>
    <row r="2885" spans="1:10" x14ac:dyDescent="0.2">
      <c r="A2885" s="859">
        <f t="shared" si="45"/>
        <v>2884</v>
      </c>
      <c r="B2885" s="845" t="s">
        <v>2554</v>
      </c>
      <c r="D2885" s="862"/>
      <c r="I2885" s="845" t="s">
        <v>1009</v>
      </c>
    </row>
    <row r="2886" spans="1:10" x14ac:dyDescent="0.2">
      <c r="A2886" s="859">
        <f t="shared" si="45"/>
        <v>2885</v>
      </c>
      <c r="B2886" s="845" t="s">
        <v>2554</v>
      </c>
      <c r="D2886" s="863"/>
      <c r="I2886" s="845" t="str">
        <f>CONCATENATE("&lt;valeur&gt;",Cellule_11416,"&lt;/valeur&gt;")</f>
        <v>&lt;valeur&gt;0&lt;/valeur&gt;</v>
      </c>
    </row>
    <row r="2887" spans="1:10" x14ac:dyDescent="0.2">
      <c r="A2887" s="859">
        <f t="shared" si="45"/>
        <v>2886</v>
      </c>
      <c r="B2887" s="845" t="s">
        <v>2554</v>
      </c>
      <c r="D2887" s="862"/>
      <c r="H2887" s="845" t="s">
        <v>1010</v>
      </c>
    </row>
    <row r="2888" spans="1:10" x14ac:dyDescent="0.2">
      <c r="A2888" s="859">
        <f t="shared" si="45"/>
        <v>2887</v>
      </c>
      <c r="B2888" s="845" t="s">
        <v>2554</v>
      </c>
      <c r="D2888" s="862"/>
      <c r="H2888" s="845" t="s">
        <v>1007</v>
      </c>
    </row>
    <row r="2889" spans="1:10" x14ac:dyDescent="0.2">
      <c r="A2889" s="859">
        <f t="shared" si="45"/>
        <v>2888</v>
      </c>
      <c r="B2889" s="845" t="s">
        <v>2554</v>
      </c>
      <c r="D2889" s="861"/>
      <c r="I2889" s="845" t="s">
        <v>1008</v>
      </c>
    </row>
    <row r="2890" spans="1:10" x14ac:dyDescent="0.2">
      <c r="A2890" s="859">
        <f t="shared" si="45"/>
        <v>2889</v>
      </c>
      <c r="B2890" s="845" t="s">
        <v>2554</v>
      </c>
      <c r="D2890" s="861"/>
      <c r="J2890" s="845" t="s">
        <v>1503</v>
      </c>
    </row>
    <row r="2891" spans="1:10" x14ac:dyDescent="0.2">
      <c r="A2891" s="859">
        <f t="shared" si="45"/>
        <v>2890</v>
      </c>
      <c r="B2891" s="845" t="s">
        <v>2554</v>
      </c>
      <c r="D2891" s="862"/>
      <c r="I2891" s="845" t="s">
        <v>1009</v>
      </c>
    </row>
    <row r="2892" spans="1:10" x14ac:dyDescent="0.2">
      <c r="A2892" s="859">
        <f t="shared" si="45"/>
        <v>2891</v>
      </c>
      <c r="B2892" s="845" t="s">
        <v>2554</v>
      </c>
      <c r="D2892" s="863"/>
      <c r="I2892" s="845" t="str">
        <f>CONCATENATE("&lt;valeur&gt;",Cellule_11417,"&lt;/valeur&gt;")</f>
        <v>&lt;valeur&gt;0&lt;/valeur&gt;</v>
      </c>
    </row>
    <row r="2893" spans="1:10" x14ac:dyDescent="0.2">
      <c r="A2893" s="859">
        <f t="shared" si="45"/>
        <v>2892</v>
      </c>
      <c r="B2893" s="845" t="s">
        <v>2554</v>
      </c>
      <c r="D2893" s="862"/>
      <c r="H2893" s="845" t="s">
        <v>1010</v>
      </c>
    </row>
    <row r="2894" spans="1:10" x14ac:dyDescent="0.2">
      <c r="A2894" s="859">
        <f t="shared" si="45"/>
        <v>2893</v>
      </c>
      <c r="B2894" s="845" t="s">
        <v>2554</v>
      </c>
      <c r="D2894" s="862"/>
      <c r="H2894" s="845" t="s">
        <v>1007</v>
      </c>
    </row>
    <row r="2895" spans="1:10" x14ac:dyDescent="0.2">
      <c r="A2895" s="859">
        <f t="shared" si="45"/>
        <v>2894</v>
      </c>
      <c r="B2895" s="845" t="s">
        <v>2554</v>
      </c>
      <c r="D2895" s="861"/>
      <c r="I2895" s="845" t="s">
        <v>1008</v>
      </c>
    </row>
    <row r="2896" spans="1:10" x14ac:dyDescent="0.2">
      <c r="A2896" s="859">
        <f t="shared" si="45"/>
        <v>2895</v>
      </c>
      <c r="B2896" s="845" t="s">
        <v>2554</v>
      </c>
      <c r="D2896" s="861"/>
      <c r="J2896" s="845" t="s">
        <v>1504</v>
      </c>
    </row>
    <row r="2897" spans="1:10" x14ac:dyDescent="0.2">
      <c r="A2897" s="859">
        <f t="shared" si="45"/>
        <v>2896</v>
      </c>
      <c r="B2897" s="845" t="s">
        <v>2554</v>
      </c>
      <c r="D2897" s="862"/>
      <c r="I2897" s="845" t="s">
        <v>1009</v>
      </c>
    </row>
    <row r="2898" spans="1:10" x14ac:dyDescent="0.2">
      <c r="A2898" s="859">
        <f t="shared" si="45"/>
        <v>2897</v>
      </c>
      <c r="B2898" s="845" t="s">
        <v>2554</v>
      </c>
      <c r="D2898" s="863"/>
      <c r="I2898" s="845" t="str">
        <f>CONCATENATE("&lt;valeur&gt;",Cellule_11418,"&lt;/valeur&gt;")</f>
        <v>&lt;valeur&gt;0&lt;/valeur&gt;</v>
      </c>
    </row>
    <row r="2899" spans="1:10" x14ac:dyDescent="0.2">
      <c r="A2899" s="859">
        <f t="shared" si="45"/>
        <v>2898</v>
      </c>
      <c r="B2899" s="845" t="s">
        <v>2554</v>
      </c>
      <c r="D2899" s="862"/>
      <c r="H2899" s="845" t="s">
        <v>1010</v>
      </c>
    </row>
    <row r="2900" spans="1:10" x14ac:dyDescent="0.2">
      <c r="A2900" s="859">
        <f t="shared" si="45"/>
        <v>2899</v>
      </c>
      <c r="B2900" s="845" t="s">
        <v>2554</v>
      </c>
      <c r="D2900" s="862"/>
      <c r="H2900" s="845" t="s">
        <v>1007</v>
      </c>
    </row>
    <row r="2901" spans="1:10" x14ac:dyDescent="0.2">
      <c r="A2901" s="859">
        <f t="shared" si="45"/>
        <v>2900</v>
      </c>
      <c r="B2901" s="845" t="s">
        <v>2554</v>
      </c>
      <c r="D2901" s="861"/>
      <c r="I2901" s="845" t="s">
        <v>1008</v>
      </c>
    </row>
    <row r="2902" spans="1:10" x14ac:dyDescent="0.2">
      <c r="A2902" s="859">
        <f t="shared" si="45"/>
        <v>2901</v>
      </c>
      <c r="B2902" s="845" t="s">
        <v>2554</v>
      </c>
      <c r="D2902" s="861"/>
      <c r="J2902" s="845" t="s">
        <v>1505</v>
      </c>
    </row>
    <row r="2903" spans="1:10" x14ac:dyDescent="0.2">
      <c r="A2903" s="859">
        <f t="shared" si="45"/>
        <v>2902</v>
      </c>
      <c r="B2903" s="845" t="s">
        <v>2554</v>
      </c>
      <c r="D2903" s="862"/>
      <c r="I2903" s="845" t="s">
        <v>1009</v>
      </c>
    </row>
    <row r="2904" spans="1:10" x14ac:dyDescent="0.2">
      <c r="A2904" s="859">
        <f t="shared" si="45"/>
        <v>2903</v>
      </c>
      <c r="B2904" s="845" t="s">
        <v>2554</v>
      </c>
      <c r="D2904" s="863"/>
      <c r="I2904" s="845" t="str">
        <f>CONCATENATE("&lt;valeur&gt;",Cellule_11419,"&lt;/valeur&gt;")</f>
        <v>&lt;valeur&gt;0&lt;/valeur&gt;</v>
      </c>
    </row>
    <row r="2905" spans="1:10" x14ac:dyDescent="0.2">
      <c r="A2905" s="859">
        <f t="shared" si="45"/>
        <v>2904</v>
      </c>
      <c r="B2905" s="845" t="s">
        <v>2554</v>
      </c>
      <c r="D2905" s="862"/>
      <c r="H2905" s="845" t="s">
        <v>1010</v>
      </c>
    </row>
    <row r="2906" spans="1:10" x14ac:dyDescent="0.2">
      <c r="A2906" s="859">
        <f t="shared" si="45"/>
        <v>2905</v>
      </c>
      <c r="B2906" s="845" t="s">
        <v>2554</v>
      </c>
      <c r="D2906" s="862"/>
      <c r="H2906" s="845" t="s">
        <v>1007</v>
      </c>
    </row>
    <row r="2907" spans="1:10" x14ac:dyDescent="0.2">
      <c r="A2907" s="859">
        <f t="shared" si="45"/>
        <v>2906</v>
      </c>
      <c r="B2907" s="845" t="s">
        <v>2554</v>
      </c>
      <c r="D2907" s="861"/>
      <c r="I2907" s="845" t="s">
        <v>1008</v>
      </c>
    </row>
    <row r="2908" spans="1:10" x14ac:dyDescent="0.2">
      <c r="A2908" s="859">
        <f t="shared" si="45"/>
        <v>2907</v>
      </c>
      <c r="B2908" s="845" t="s">
        <v>2554</v>
      </c>
      <c r="D2908" s="861"/>
      <c r="J2908" s="845" t="s">
        <v>1506</v>
      </c>
    </row>
    <row r="2909" spans="1:10" x14ac:dyDescent="0.2">
      <c r="A2909" s="859">
        <f t="shared" si="45"/>
        <v>2908</v>
      </c>
      <c r="B2909" s="845" t="s">
        <v>2554</v>
      </c>
      <c r="D2909" s="862"/>
      <c r="I2909" s="845" t="s">
        <v>1009</v>
      </c>
    </row>
    <row r="2910" spans="1:10" x14ac:dyDescent="0.2">
      <c r="A2910" s="859">
        <f t="shared" si="45"/>
        <v>2909</v>
      </c>
      <c r="B2910" s="845" t="s">
        <v>2554</v>
      </c>
      <c r="D2910" s="863"/>
      <c r="I2910" s="845" t="str">
        <f>CONCATENATE("&lt;valeur&gt;",Cellule_11421,"&lt;/valeur&gt;")</f>
        <v>&lt;valeur&gt;0&lt;/valeur&gt;</v>
      </c>
    </row>
    <row r="2911" spans="1:10" x14ac:dyDescent="0.2">
      <c r="A2911" s="859">
        <f t="shared" si="45"/>
        <v>2910</v>
      </c>
      <c r="B2911" s="845" t="s">
        <v>2554</v>
      </c>
      <c r="D2911" s="862"/>
      <c r="H2911" s="845" t="s">
        <v>1010</v>
      </c>
    </row>
    <row r="2912" spans="1:10" x14ac:dyDescent="0.2">
      <c r="A2912" s="859">
        <f t="shared" si="45"/>
        <v>2911</v>
      </c>
      <c r="B2912" s="845" t="s">
        <v>2554</v>
      </c>
      <c r="D2912" s="862"/>
      <c r="H2912" s="845" t="s">
        <v>1007</v>
      </c>
    </row>
    <row r="2913" spans="1:10" x14ac:dyDescent="0.2">
      <c r="A2913" s="859">
        <f t="shared" si="45"/>
        <v>2912</v>
      </c>
      <c r="B2913" s="845" t="s">
        <v>2554</v>
      </c>
      <c r="D2913" s="861"/>
      <c r="I2913" s="845" t="s">
        <v>1008</v>
      </c>
    </row>
    <row r="2914" spans="1:10" x14ac:dyDescent="0.2">
      <c r="A2914" s="859">
        <f t="shared" si="45"/>
        <v>2913</v>
      </c>
      <c r="B2914" s="845" t="s">
        <v>2554</v>
      </c>
      <c r="D2914" s="861"/>
      <c r="J2914" s="845" t="s">
        <v>1507</v>
      </c>
    </row>
    <row r="2915" spans="1:10" x14ac:dyDescent="0.2">
      <c r="A2915" s="859">
        <f t="shared" si="45"/>
        <v>2914</v>
      </c>
      <c r="B2915" s="845" t="s">
        <v>2554</v>
      </c>
      <c r="D2915" s="862"/>
      <c r="I2915" s="845" t="s">
        <v>1009</v>
      </c>
    </row>
    <row r="2916" spans="1:10" x14ac:dyDescent="0.2">
      <c r="A2916" s="859">
        <f t="shared" si="45"/>
        <v>2915</v>
      </c>
      <c r="B2916" s="845" t="s">
        <v>2554</v>
      </c>
      <c r="D2916" s="863"/>
      <c r="I2916" s="845" t="str">
        <f>CONCATENATE("&lt;valeur&gt;",Cellule_11422,"&lt;/valeur&gt;")</f>
        <v>&lt;valeur&gt;0&lt;/valeur&gt;</v>
      </c>
    </row>
    <row r="2917" spans="1:10" x14ac:dyDescent="0.2">
      <c r="A2917" s="859">
        <f t="shared" si="45"/>
        <v>2916</v>
      </c>
      <c r="B2917" s="845" t="s">
        <v>2554</v>
      </c>
      <c r="D2917" s="862"/>
      <c r="H2917" s="845" t="s">
        <v>1010</v>
      </c>
    </row>
    <row r="2918" spans="1:10" x14ac:dyDescent="0.2">
      <c r="A2918" s="859">
        <f t="shared" si="45"/>
        <v>2917</v>
      </c>
      <c r="B2918" s="845" t="s">
        <v>2554</v>
      </c>
      <c r="D2918" s="862"/>
      <c r="H2918" s="845" t="s">
        <v>1007</v>
      </c>
    </row>
    <row r="2919" spans="1:10" x14ac:dyDescent="0.2">
      <c r="A2919" s="859">
        <f t="shared" si="45"/>
        <v>2918</v>
      </c>
      <c r="B2919" s="845" t="s">
        <v>2554</v>
      </c>
      <c r="D2919" s="861"/>
      <c r="I2919" s="845" t="s">
        <v>1008</v>
      </c>
    </row>
    <row r="2920" spans="1:10" x14ac:dyDescent="0.2">
      <c r="A2920" s="859">
        <f t="shared" si="45"/>
        <v>2919</v>
      </c>
      <c r="B2920" s="845" t="s">
        <v>2554</v>
      </c>
      <c r="D2920" s="861"/>
      <c r="J2920" s="845" t="s">
        <v>1508</v>
      </c>
    </row>
    <row r="2921" spans="1:10" x14ac:dyDescent="0.2">
      <c r="A2921" s="859">
        <f t="shared" si="45"/>
        <v>2920</v>
      </c>
      <c r="B2921" s="845" t="s">
        <v>2554</v>
      </c>
      <c r="D2921" s="862"/>
      <c r="I2921" s="845" t="s">
        <v>1009</v>
      </c>
    </row>
    <row r="2922" spans="1:10" x14ac:dyDescent="0.2">
      <c r="A2922" s="859">
        <f t="shared" si="45"/>
        <v>2921</v>
      </c>
      <c r="B2922" s="845" t="s">
        <v>2554</v>
      </c>
      <c r="D2922" s="863"/>
      <c r="I2922" s="845" t="str">
        <f>CONCATENATE("&lt;valeur&gt;",Cellule_11423,"&lt;/valeur&gt;")</f>
        <v>&lt;valeur&gt;0&lt;/valeur&gt;</v>
      </c>
    </row>
    <row r="2923" spans="1:10" x14ac:dyDescent="0.2">
      <c r="A2923" s="859">
        <f t="shared" si="45"/>
        <v>2922</v>
      </c>
      <c r="B2923" s="845" t="s">
        <v>2554</v>
      </c>
      <c r="D2923" s="862"/>
      <c r="H2923" s="845" t="s">
        <v>1010</v>
      </c>
    </row>
    <row r="2924" spans="1:10" x14ac:dyDescent="0.2">
      <c r="A2924" s="859">
        <f t="shared" si="45"/>
        <v>2923</v>
      </c>
      <c r="B2924" s="845" t="s">
        <v>2554</v>
      </c>
      <c r="D2924" s="862"/>
      <c r="H2924" s="845" t="s">
        <v>1007</v>
      </c>
    </row>
    <row r="2925" spans="1:10" x14ac:dyDescent="0.2">
      <c r="A2925" s="859">
        <f t="shared" si="45"/>
        <v>2924</v>
      </c>
      <c r="B2925" s="845" t="s">
        <v>2554</v>
      </c>
      <c r="D2925" s="861"/>
      <c r="I2925" s="845" t="s">
        <v>1008</v>
      </c>
    </row>
    <row r="2926" spans="1:10" x14ac:dyDescent="0.2">
      <c r="A2926" s="859">
        <f t="shared" si="45"/>
        <v>2925</v>
      </c>
      <c r="B2926" s="845" t="s">
        <v>2554</v>
      </c>
      <c r="D2926" s="861"/>
      <c r="J2926" s="845" t="s">
        <v>1509</v>
      </c>
    </row>
    <row r="2927" spans="1:10" x14ac:dyDescent="0.2">
      <c r="A2927" s="859">
        <f t="shared" si="45"/>
        <v>2926</v>
      </c>
      <c r="B2927" s="845" t="s">
        <v>2554</v>
      </c>
      <c r="D2927" s="862"/>
      <c r="I2927" s="845" t="s">
        <v>1009</v>
      </c>
    </row>
    <row r="2928" spans="1:10" x14ac:dyDescent="0.2">
      <c r="A2928" s="859">
        <f t="shared" si="45"/>
        <v>2927</v>
      </c>
      <c r="B2928" s="845" t="s">
        <v>2554</v>
      </c>
      <c r="D2928" s="863"/>
      <c r="I2928" s="845" t="str">
        <f>CONCATENATE("&lt;valeur&gt;",Cellule_11424,"&lt;/valeur&gt;")</f>
        <v>&lt;valeur&gt;0&lt;/valeur&gt;</v>
      </c>
    </row>
    <row r="2929" spans="1:10" x14ac:dyDescent="0.2">
      <c r="A2929" s="859">
        <f t="shared" si="45"/>
        <v>2928</v>
      </c>
      <c r="B2929" s="845" t="s">
        <v>2554</v>
      </c>
      <c r="D2929" s="862"/>
      <c r="H2929" s="845" t="s">
        <v>1010</v>
      </c>
    </row>
    <row r="2930" spans="1:10" x14ac:dyDescent="0.2">
      <c r="A2930" s="859">
        <f t="shared" si="45"/>
        <v>2929</v>
      </c>
      <c r="B2930" s="845" t="s">
        <v>2554</v>
      </c>
      <c r="D2930" s="862"/>
      <c r="H2930" s="845" t="s">
        <v>1007</v>
      </c>
    </row>
    <row r="2931" spans="1:10" x14ac:dyDescent="0.2">
      <c r="A2931" s="859">
        <f t="shared" si="45"/>
        <v>2930</v>
      </c>
      <c r="B2931" s="845" t="s">
        <v>2554</v>
      </c>
      <c r="D2931" s="861"/>
      <c r="I2931" s="845" t="s">
        <v>1008</v>
      </c>
    </row>
    <row r="2932" spans="1:10" x14ac:dyDescent="0.2">
      <c r="A2932" s="859">
        <f t="shared" si="45"/>
        <v>2931</v>
      </c>
      <c r="B2932" s="845" t="s">
        <v>2554</v>
      </c>
      <c r="D2932" s="861"/>
      <c r="J2932" s="845" t="s">
        <v>1510</v>
      </c>
    </row>
    <row r="2933" spans="1:10" x14ac:dyDescent="0.2">
      <c r="A2933" s="859">
        <f t="shared" si="45"/>
        <v>2932</v>
      </c>
      <c r="B2933" s="845" t="s">
        <v>2554</v>
      </c>
      <c r="D2933" s="862"/>
      <c r="I2933" s="845" t="s">
        <v>1009</v>
      </c>
    </row>
    <row r="2934" spans="1:10" x14ac:dyDescent="0.2">
      <c r="A2934" s="859">
        <f t="shared" si="45"/>
        <v>2933</v>
      </c>
      <c r="B2934" s="845" t="s">
        <v>2554</v>
      </c>
      <c r="D2934" s="863"/>
      <c r="I2934" s="845" t="str">
        <f>CONCATENATE("&lt;valeur&gt;",Cellule_11426,"&lt;/valeur&gt;")</f>
        <v>&lt;valeur&gt;0&lt;/valeur&gt;</v>
      </c>
    </row>
    <row r="2935" spans="1:10" x14ac:dyDescent="0.2">
      <c r="A2935" s="859">
        <f t="shared" si="45"/>
        <v>2934</v>
      </c>
      <c r="B2935" s="845" t="s">
        <v>2554</v>
      </c>
      <c r="D2935" s="862"/>
      <c r="H2935" s="845" t="s">
        <v>1010</v>
      </c>
    </row>
    <row r="2936" spans="1:10" x14ac:dyDescent="0.2">
      <c r="A2936" s="859">
        <f t="shared" si="45"/>
        <v>2935</v>
      </c>
      <c r="B2936" s="845" t="s">
        <v>2554</v>
      </c>
      <c r="D2936" s="862"/>
      <c r="H2936" s="845" t="s">
        <v>1007</v>
      </c>
    </row>
    <row r="2937" spans="1:10" x14ac:dyDescent="0.2">
      <c r="A2937" s="859">
        <f t="shared" si="45"/>
        <v>2936</v>
      </c>
      <c r="B2937" s="845" t="s">
        <v>2554</v>
      </c>
      <c r="D2937" s="861"/>
      <c r="I2937" s="845" t="s">
        <v>1008</v>
      </c>
    </row>
    <row r="2938" spans="1:10" x14ac:dyDescent="0.2">
      <c r="A2938" s="859">
        <f t="shared" si="45"/>
        <v>2937</v>
      </c>
      <c r="B2938" s="845" t="s">
        <v>2554</v>
      </c>
      <c r="D2938" s="861"/>
      <c r="J2938" s="845" t="s">
        <v>1511</v>
      </c>
    </row>
    <row r="2939" spans="1:10" x14ac:dyDescent="0.2">
      <c r="A2939" s="859">
        <f t="shared" si="45"/>
        <v>2938</v>
      </c>
      <c r="B2939" s="845" t="s">
        <v>2554</v>
      </c>
      <c r="D2939" s="862"/>
      <c r="I2939" s="845" t="s">
        <v>1009</v>
      </c>
    </row>
    <row r="2940" spans="1:10" x14ac:dyDescent="0.2">
      <c r="A2940" s="859">
        <f t="shared" si="45"/>
        <v>2939</v>
      </c>
      <c r="B2940" s="845" t="s">
        <v>2554</v>
      </c>
      <c r="D2940" s="863"/>
      <c r="I2940" s="845" t="str">
        <f>CONCATENATE("&lt;valeur&gt;",Cellule_11427,"&lt;/valeur&gt;")</f>
        <v>&lt;valeur&gt;0&lt;/valeur&gt;</v>
      </c>
    </row>
    <row r="2941" spans="1:10" x14ac:dyDescent="0.2">
      <c r="A2941" s="859">
        <f t="shared" si="45"/>
        <v>2940</v>
      </c>
      <c r="B2941" s="845" t="s">
        <v>2554</v>
      </c>
      <c r="D2941" s="862"/>
      <c r="H2941" s="845" t="s">
        <v>1010</v>
      </c>
    </row>
    <row r="2942" spans="1:10" x14ac:dyDescent="0.2">
      <c r="A2942" s="859">
        <f t="shared" si="45"/>
        <v>2941</v>
      </c>
      <c r="B2942" s="845" t="s">
        <v>2554</v>
      </c>
      <c r="D2942" s="862"/>
      <c r="H2942" s="845" t="s">
        <v>1007</v>
      </c>
    </row>
    <row r="2943" spans="1:10" x14ac:dyDescent="0.2">
      <c r="A2943" s="859">
        <f t="shared" si="45"/>
        <v>2942</v>
      </c>
      <c r="B2943" s="845" t="s">
        <v>2554</v>
      </c>
      <c r="D2943" s="861"/>
      <c r="I2943" s="845" t="s">
        <v>1008</v>
      </c>
    </row>
    <row r="2944" spans="1:10" x14ac:dyDescent="0.2">
      <c r="A2944" s="859">
        <f t="shared" si="45"/>
        <v>2943</v>
      </c>
      <c r="B2944" s="845" t="s">
        <v>2554</v>
      </c>
      <c r="D2944" s="861"/>
      <c r="J2944" s="845" t="s">
        <v>1512</v>
      </c>
    </row>
    <row r="2945" spans="1:10" x14ac:dyDescent="0.2">
      <c r="A2945" s="859">
        <f t="shared" si="45"/>
        <v>2944</v>
      </c>
      <c r="B2945" s="845" t="s">
        <v>2554</v>
      </c>
      <c r="D2945" s="862"/>
      <c r="I2945" s="845" t="s">
        <v>1009</v>
      </c>
    </row>
    <row r="2946" spans="1:10" x14ac:dyDescent="0.2">
      <c r="A2946" s="859">
        <f t="shared" si="45"/>
        <v>2945</v>
      </c>
      <c r="B2946" s="845" t="s">
        <v>2554</v>
      </c>
      <c r="D2946" s="863"/>
      <c r="I2946" s="845" t="str">
        <f>CONCATENATE("&lt;valeur&gt;",Cellule_11428,"&lt;/valeur&gt;")</f>
        <v>&lt;valeur&gt;0&lt;/valeur&gt;</v>
      </c>
    </row>
    <row r="2947" spans="1:10" x14ac:dyDescent="0.2">
      <c r="A2947" s="859">
        <f t="shared" si="45"/>
        <v>2946</v>
      </c>
      <c r="B2947" s="845" t="s">
        <v>2554</v>
      </c>
      <c r="D2947" s="862"/>
      <c r="H2947" s="845" t="s">
        <v>1010</v>
      </c>
    </row>
    <row r="2948" spans="1:10" x14ac:dyDescent="0.2">
      <c r="A2948" s="859">
        <f t="shared" ref="A2948:A3011" si="46">+A2947+1</f>
        <v>2947</v>
      </c>
      <c r="B2948" s="845" t="s">
        <v>2554</v>
      </c>
      <c r="D2948" s="862"/>
      <c r="H2948" s="845" t="s">
        <v>1007</v>
      </c>
    </row>
    <row r="2949" spans="1:10" x14ac:dyDescent="0.2">
      <c r="A2949" s="859">
        <f t="shared" si="46"/>
        <v>2948</v>
      </c>
      <c r="B2949" s="845" t="s">
        <v>2554</v>
      </c>
      <c r="D2949" s="861"/>
      <c r="I2949" s="845" t="s">
        <v>1008</v>
      </c>
    </row>
    <row r="2950" spans="1:10" x14ac:dyDescent="0.2">
      <c r="A2950" s="859">
        <f t="shared" si="46"/>
        <v>2949</v>
      </c>
      <c r="B2950" s="845" t="s">
        <v>2554</v>
      </c>
      <c r="D2950" s="861"/>
      <c r="J2950" s="845" t="s">
        <v>1513</v>
      </c>
    </row>
    <row r="2951" spans="1:10" x14ac:dyDescent="0.2">
      <c r="A2951" s="859">
        <f t="shared" si="46"/>
        <v>2950</v>
      </c>
      <c r="B2951" s="845" t="s">
        <v>2554</v>
      </c>
      <c r="D2951" s="862"/>
      <c r="I2951" s="845" t="s">
        <v>1009</v>
      </c>
    </row>
    <row r="2952" spans="1:10" x14ac:dyDescent="0.2">
      <c r="A2952" s="859">
        <f t="shared" si="46"/>
        <v>2951</v>
      </c>
      <c r="B2952" s="845" t="s">
        <v>2554</v>
      </c>
      <c r="D2952" s="863"/>
      <c r="I2952" s="845" t="str">
        <f>CONCATENATE("&lt;valeur&gt;",Cellule_11429,"&lt;/valeur&gt;")</f>
        <v>&lt;valeur&gt;0&lt;/valeur&gt;</v>
      </c>
    </row>
    <row r="2953" spans="1:10" x14ac:dyDescent="0.2">
      <c r="A2953" s="859">
        <f t="shared" si="46"/>
        <v>2952</v>
      </c>
      <c r="B2953" s="845" t="s">
        <v>2554</v>
      </c>
      <c r="D2953" s="862"/>
      <c r="H2953" s="845" t="s">
        <v>1010</v>
      </c>
    </row>
    <row r="2954" spans="1:10" x14ac:dyDescent="0.2">
      <c r="A2954" s="859">
        <f t="shared" si="46"/>
        <v>2953</v>
      </c>
      <c r="B2954" s="845" t="s">
        <v>2554</v>
      </c>
      <c r="D2954" s="862"/>
      <c r="H2954" s="845" t="s">
        <v>1007</v>
      </c>
    </row>
    <row r="2955" spans="1:10" x14ac:dyDescent="0.2">
      <c r="A2955" s="859">
        <f t="shared" si="46"/>
        <v>2954</v>
      </c>
      <c r="B2955" s="845" t="s">
        <v>2554</v>
      </c>
      <c r="D2955" s="861"/>
      <c r="I2955" s="845" t="s">
        <v>1008</v>
      </c>
    </row>
    <row r="2956" spans="1:10" x14ac:dyDescent="0.2">
      <c r="A2956" s="859">
        <f t="shared" si="46"/>
        <v>2955</v>
      </c>
      <c r="B2956" s="845" t="s">
        <v>2554</v>
      </c>
      <c r="D2956" s="861"/>
      <c r="J2956" s="845" t="s">
        <v>1514</v>
      </c>
    </row>
    <row r="2957" spans="1:10" x14ac:dyDescent="0.2">
      <c r="A2957" s="859">
        <f t="shared" si="46"/>
        <v>2956</v>
      </c>
      <c r="B2957" s="845" t="s">
        <v>2554</v>
      </c>
      <c r="D2957" s="862"/>
      <c r="I2957" s="845" t="s">
        <v>1009</v>
      </c>
    </row>
    <row r="2958" spans="1:10" x14ac:dyDescent="0.2">
      <c r="A2958" s="859">
        <f t="shared" si="46"/>
        <v>2957</v>
      </c>
      <c r="B2958" s="845" t="s">
        <v>2554</v>
      </c>
      <c r="D2958" s="863"/>
      <c r="I2958" s="845" t="str">
        <f>CONCATENATE("&lt;valeur&gt;",Cellule_11431,"&lt;/valeur&gt;")</f>
        <v>&lt;valeur&gt;0&lt;/valeur&gt;</v>
      </c>
    </row>
    <row r="2959" spans="1:10" x14ac:dyDescent="0.2">
      <c r="A2959" s="859">
        <f t="shared" si="46"/>
        <v>2958</v>
      </c>
      <c r="B2959" s="845" t="s">
        <v>2554</v>
      </c>
      <c r="D2959" s="862"/>
      <c r="H2959" s="845" t="s">
        <v>1010</v>
      </c>
    </row>
    <row r="2960" spans="1:10" x14ac:dyDescent="0.2">
      <c r="A2960" s="859">
        <f t="shared" si="46"/>
        <v>2959</v>
      </c>
      <c r="B2960" s="845" t="s">
        <v>2554</v>
      </c>
      <c r="D2960" s="862"/>
      <c r="H2960" s="845" t="s">
        <v>1007</v>
      </c>
    </row>
    <row r="2961" spans="1:10" x14ac:dyDescent="0.2">
      <c r="A2961" s="859">
        <f t="shared" si="46"/>
        <v>2960</v>
      </c>
      <c r="B2961" s="845" t="s">
        <v>2554</v>
      </c>
      <c r="D2961" s="861"/>
      <c r="I2961" s="845" t="s">
        <v>1008</v>
      </c>
    </row>
    <row r="2962" spans="1:10" x14ac:dyDescent="0.2">
      <c r="A2962" s="859">
        <f t="shared" si="46"/>
        <v>2961</v>
      </c>
      <c r="B2962" s="845" t="s">
        <v>2554</v>
      </c>
      <c r="D2962" s="861"/>
      <c r="J2962" s="845" t="s">
        <v>1515</v>
      </c>
    </row>
    <row r="2963" spans="1:10" x14ac:dyDescent="0.2">
      <c r="A2963" s="859">
        <f t="shared" si="46"/>
        <v>2962</v>
      </c>
      <c r="B2963" s="845" t="s">
        <v>2554</v>
      </c>
      <c r="D2963" s="862"/>
      <c r="I2963" s="845" t="s">
        <v>1009</v>
      </c>
    </row>
    <row r="2964" spans="1:10" x14ac:dyDescent="0.2">
      <c r="A2964" s="859">
        <f t="shared" si="46"/>
        <v>2963</v>
      </c>
      <c r="B2964" s="845" t="s">
        <v>2554</v>
      </c>
      <c r="D2964" s="863"/>
      <c r="I2964" s="845" t="str">
        <f>CONCATENATE("&lt;valeur&gt;",Cellule_11432,"&lt;/valeur&gt;")</f>
        <v>&lt;valeur&gt;0&lt;/valeur&gt;</v>
      </c>
    </row>
    <row r="2965" spans="1:10" x14ac:dyDescent="0.2">
      <c r="A2965" s="859">
        <f t="shared" si="46"/>
        <v>2964</v>
      </c>
      <c r="B2965" s="845" t="s">
        <v>2554</v>
      </c>
      <c r="D2965" s="862"/>
      <c r="H2965" s="845" t="s">
        <v>1010</v>
      </c>
    </row>
    <row r="2966" spans="1:10" x14ac:dyDescent="0.2">
      <c r="A2966" s="859">
        <f t="shared" si="46"/>
        <v>2965</v>
      </c>
      <c r="B2966" s="845" t="s">
        <v>2554</v>
      </c>
      <c r="D2966" s="862"/>
      <c r="H2966" s="845" t="s">
        <v>1007</v>
      </c>
    </row>
    <row r="2967" spans="1:10" x14ac:dyDescent="0.2">
      <c r="A2967" s="859">
        <f t="shared" si="46"/>
        <v>2966</v>
      </c>
      <c r="B2967" s="845" t="s">
        <v>2554</v>
      </c>
      <c r="D2967" s="861"/>
      <c r="I2967" s="845" t="s">
        <v>1008</v>
      </c>
    </row>
    <row r="2968" spans="1:10" x14ac:dyDescent="0.2">
      <c r="A2968" s="859">
        <f t="shared" si="46"/>
        <v>2967</v>
      </c>
      <c r="B2968" s="845" t="s">
        <v>2554</v>
      </c>
      <c r="D2968" s="861"/>
      <c r="J2968" s="845" t="s">
        <v>1516</v>
      </c>
    </row>
    <row r="2969" spans="1:10" x14ac:dyDescent="0.2">
      <c r="A2969" s="859">
        <f t="shared" si="46"/>
        <v>2968</v>
      </c>
      <c r="B2969" s="845" t="s">
        <v>2554</v>
      </c>
      <c r="D2969" s="862"/>
      <c r="I2969" s="845" t="s">
        <v>1009</v>
      </c>
    </row>
    <row r="2970" spans="1:10" x14ac:dyDescent="0.2">
      <c r="A2970" s="859">
        <f t="shared" si="46"/>
        <v>2969</v>
      </c>
      <c r="B2970" s="845" t="s">
        <v>2554</v>
      </c>
      <c r="D2970" s="863"/>
      <c r="I2970" s="845" t="str">
        <f>CONCATENATE("&lt;valeur&gt;",Cellule_11433,"&lt;/valeur&gt;")</f>
        <v>&lt;valeur&gt;0&lt;/valeur&gt;</v>
      </c>
    </row>
    <row r="2971" spans="1:10" x14ac:dyDescent="0.2">
      <c r="A2971" s="859">
        <f t="shared" si="46"/>
        <v>2970</v>
      </c>
      <c r="B2971" s="845" t="s">
        <v>2554</v>
      </c>
      <c r="D2971" s="862"/>
      <c r="H2971" s="845" t="s">
        <v>1010</v>
      </c>
    </row>
    <row r="2972" spans="1:10" x14ac:dyDescent="0.2">
      <c r="A2972" s="859">
        <f t="shared" si="46"/>
        <v>2971</v>
      </c>
      <c r="B2972" s="845" t="s">
        <v>2554</v>
      </c>
      <c r="D2972" s="862"/>
      <c r="H2972" s="845" t="s">
        <v>1007</v>
      </c>
    </row>
    <row r="2973" spans="1:10" x14ac:dyDescent="0.2">
      <c r="A2973" s="859">
        <f t="shared" si="46"/>
        <v>2972</v>
      </c>
      <c r="B2973" s="845" t="s">
        <v>2554</v>
      </c>
      <c r="D2973" s="861"/>
      <c r="I2973" s="845" t="s">
        <v>1008</v>
      </c>
    </row>
    <row r="2974" spans="1:10" x14ac:dyDescent="0.2">
      <c r="A2974" s="859">
        <f t="shared" si="46"/>
        <v>2973</v>
      </c>
      <c r="B2974" s="845" t="s">
        <v>2554</v>
      </c>
      <c r="D2974" s="861"/>
      <c r="J2974" s="845" t="s">
        <v>1517</v>
      </c>
    </row>
    <row r="2975" spans="1:10" x14ac:dyDescent="0.2">
      <c r="A2975" s="859">
        <f t="shared" si="46"/>
        <v>2974</v>
      </c>
      <c r="B2975" s="845" t="s">
        <v>2554</v>
      </c>
      <c r="D2975" s="862"/>
      <c r="I2975" s="845" t="s">
        <v>1009</v>
      </c>
    </row>
    <row r="2976" spans="1:10" x14ac:dyDescent="0.2">
      <c r="A2976" s="859">
        <f t="shared" si="46"/>
        <v>2975</v>
      </c>
      <c r="B2976" s="845" t="s">
        <v>2554</v>
      </c>
      <c r="D2976" s="863"/>
      <c r="I2976" s="845" t="str">
        <f>CONCATENATE("&lt;valeur&gt;",Cellule_11434,"&lt;/valeur&gt;")</f>
        <v>&lt;valeur&gt;0&lt;/valeur&gt;</v>
      </c>
    </row>
    <row r="2977" spans="1:10" x14ac:dyDescent="0.2">
      <c r="A2977" s="859">
        <f t="shared" si="46"/>
        <v>2976</v>
      </c>
      <c r="B2977" s="845" t="s">
        <v>2554</v>
      </c>
      <c r="D2977" s="862"/>
      <c r="H2977" s="845" t="s">
        <v>1010</v>
      </c>
    </row>
    <row r="2978" spans="1:10" x14ac:dyDescent="0.2">
      <c r="A2978" s="859">
        <f t="shared" si="46"/>
        <v>2977</v>
      </c>
      <c r="B2978" s="845" t="s">
        <v>2554</v>
      </c>
      <c r="D2978" s="862"/>
      <c r="H2978" s="845" t="s">
        <v>1007</v>
      </c>
    </row>
    <row r="2979" spans="1:10" x14ac:dyDescent="0.2">
      <c r="A2979" s="859">
        <f t="shared" si="46"/>
        <v>2978</v>
      </c>
      <c r="B2979" s="845" t="s">
        <v>2554</v>
      </c>
      <c r="D2979" s="861"/>
      <c r="I2979" s="845" t="s">
        <v>1008</v>
      </c>
    </row>
    <row r="2980" spans="1:10" x14ac:dyDescent="0.2">
      <c r="A2980" s="859">
        <f t="shared" si="46"/>
        <v>2979</v>
      </c>
      <c r="B2980" s="845" t="s">
        <v>2554</v>
      </c>
      <c r="D2980" s="861"/>
      <c r="J2980" s="845" t="s">
        <v>1518</v>
      </c>
    </row>
    <row r="2981" spans="1:10" x14ac:dyDescent="0.2">
      <c r="A2981" s="859">
        <f t="shared" si="46"/>
        <v>2980</v>
      </c>
      <c r="B2981" s="845" t="s">
        <v>2554</v>
      </c>
      <c r="D2981" s="862"/>
      <c r="I2981" s="845" t="s">
        <v>1009</v>
      </c>
    </row>
    <row r="2982" spans="1:10" x14ac:dyDescent="0.2">
      <c r="A2982" s="859">
        <f t="shared" si="46"/>
        <v>2981</v>
      </c>
      <c r="B2982" s="845" t="s">
        <v>2554</v>
      </c>
      <c r="D2982" s="863"/>
      <c r="I2982" s="845" t="str">
        <f>CONCATENATE("&lt;valeur&gt;",Cellule_11436,"&lt;/valeur&gt;")</f>
        <v>&lt;valeur&gt;0&lt;/valeur&gt;</v>
      </c>
    </row>
    <row r="2983" spans="1:10" x14ac:dyDescent="0.2">
      <c r="A2983" s="859">
        <f t="shared" si="46"/>
        <v>2982</v>
      </c>
      <c r="B2983" s="845" t="s">
        <v>2554</v>
      </c>
      <c r="D2983" s="862"/>
      <c r="H2983" s="845" t="s">
        <v>1010</v>
      </c>
    </row>
    <row r="2984" spans="1:10" x14ac:dyDescent="0.2">
      <c r="A2984" s="859">
        <f t="shared" si="46"/>
        <v>2983</v>
      </c>
      <c r="B2984" s="845" t="s">
        <v>2554</v>
      </c>
      <c r="D2984" s="862"/>
      <c r="H2984" s="845" t="s">
        <v>1007</v>
      </c>
    </row>
    <row r="2985" spans="1:10" x14ac:dyDescent="0.2">
      <c r="A2985" s="859">
        <f t="shared" si="46"/>
        <v>2984</v>
      </c>
      <c r="B2985" s="845" t="s">
        <v>2554</v>
      </c>
      <c r="D2985" s="861"/>
      <c r="I2985" s="845" t="s">
        <v>1008</v>
      </c>
    </row>
    <row r="2986" spans="1:10" x14ac:dyDescent="0.2">
      <c r="A2986" s="859">
        <f t="shared" si="46"/>
        <v>2985</v>
      </c>
      <c r="B2986" s="845" t="s">
        <v>2554</v>
      </c>
      <c r="D2986" s="861"/>
      <c r="J2986" s="845" t="s">
        <v>1519</v>
      </c>
    </row>
    <row r="2987" spans="1:10" x14ac:dyDescent="0.2">
      <c r="A2987" s="859">
        <f t="shared" si="46"/>
        <v>2986</v>
      </c>
      <c r="B2987" s="845" t="s">
        <v>2554</v>
      </c>
      <c r="D2987" s="862"/>
      <c r="I2987" s="845" t="s">
        <v>1009</v>
      </c>
    </row>
    <row r="2988" spans="1:10" x14ac:dyDescent="0.2">
      <c r="A2988" s="859">
        <f t="shared" si="46"/>
        <v>2987</v>
      </c>
      <c r="B2988" s="845" t="s">
        <v>2554</v>
      </c>
      <c r="D2988" s="863"/>
      <c r="I2988" s="845" t="str">
        <f>CONCATENATE("&lt;valeur&gt;",Cellule_11437,"&lt;/valeur&gt;")</f>
        <v>&lt;valeur&gt;0&lt;/valeur&gt;</v>
      </c>
    </row>
    <row r="2989" spans="1:10" x14ac:dyDescent="0.2">
      <c r="A2989" s="859">
        <f t="shared" si="46"/>
        <v>2988</v>
      </c>
      <c r="B2989" s="845" t="s">
        <v>2554</v>
      </c>
      <c r="D2989" s="862"/>
      <c r="H2989" s="845" t="s">
        <v>1010</v>
      </c>
    </row>
    <row r="2990" spans="1:10" x14ac:dyDescent="0.2">
      <c r="A2990" s="859">
        <f t="shared" si="46"/>
        <v>2989</v>
      </c>
      <c r="B2990" s="845" t="s">
        <v>2554</v>
      </c>
      <c r="D2990" s="862"/>
      <c r="H2990" s="845" t="s">
        <v>1007</v>
      </c>
    </row>
    <row r="2991" spans="1:10" x14ac:dyDescent="0.2">
      <c r="A2991" s="859">
        <f t="shared" si="46"/>
        <v>2990</v>
      </c>
      <c r="B2991" s="845" t="s">
        <v>2554</v>
      </c>
      <c r="D2991" s="861"/>
      <c r="I2991" s="845" t="s">
        <v>1008</v>
      </c>
    </row>
    <row r="2992" spans="1:10" x14ac:dyDescent="0.2">
      <c r="A2992" s="859">
        <f t="shared" si="46"/>
        <v>2991</v>
      </c>
      <c r="B2992" s="845" t="s">
        <v>2554</v>
      </c>
      <c r="D2992" s="861"/>
      <c r="J2992" s="845" t="s">
        <v>1520</v>
      </c>
    </row>
    <row r="2993" spans="1:10" x14ac:dyDescent="0.2">
      <c r="A2993" s="859">
        <f t="shared" si="46"/>
        <v>2992</v>
      </c>
      <c r="B2993" s="845" t="s">
        <v>2554</v>
      </c>
      <c r="D2993" s="862"/>
      <c r="I2993" s="845" t="s">
        <v>1009</v>
      </c>
    </row>
    <row r="2994" spans="1:10" x14ac:dyDescent="0.2">
      <c r="A2994" s="859">
        <f t="shared" si="46"/>
        <v>2993</v>
      </c>
      <c r="B2994" s="845" t="s">
        <v>2554</v>
      </c>
      <c r="D2994" s="863"/>
      <c r="I2994" s="845" t="str">
        <f>CONCATENATE("&lt;valeur&gt;",Cellule_11438,"&lt;/valeur&gt;")</f>
        <v>&lt;valeur&gt;0&lt;/valeur&gt;</v>
      </c>
    </row>
    <row r="2995" spans="1:10" x14ac:dyDescent="0.2">
      <c r="A2995" s="859">
        <f t="shared" si="46"/>
        <v>2994</v>
      </c>
      <c r="B2995" s="845" t="s">
        <v>2554</v>
      </c>
      <c r="D2995" s="862"/>
      <c r="H2995" s="845" t="s">
        <v>1010</v>
      </c>
    </row>
    <row r="2996" spans="1:10" x14ac:dyDescent="0.2">
      <c r="A2996" s="859">
        <f t="shared" si="46"/>
        <v>2995</v>
      </c>
      <c r="B2996" s="845" t="s">
        <v>2554</v>
      </c>
      <c r="D2996" s="862"/>
      <c r="H2996" s="845" t="s">
        <v>1007</v>
      </c>
    </row>
    <row r="2997" spans="1:10" x14ac:dyDescent="0.2">
      <c r="A2997" s="859">
        <f t="shared" si="46"/>
        <v>2996</v>
      </c>
      <c r="B2997" s="845" t="s">
        <v>2554</v>
      </c>
      <c r="D2997" s="861"/>
      <c r="I2997" s="845" t="s">
        <v>1008</v>
      </c>
    </row>
    <row r="2998" spans="1:10" x14ac:dyDescent="0.2">
      <c r="A2998" s="859">
        <f t="shared" si="46"/>
        <v>2997</v>
      </c>
      <c r="B2998" s="845" t="s">
        <v>2554</v>
      </c>
      <c r="D2998" s="861"/>
      <c r="J2998" s="845" t="s">
        <v>1521</v>
      </c>
    </row>
    <row r="2999" spans="1:10" x14ac:dyDescent="0.2">
      <c r="A2999" s="859">
        <f t="shared" si="46"/>
        <v>2998</v>
      </c>
      <c r="B2999" s="845" t="s">
        <v>2554</v>
      </c>
      <c r="D2999" s="862"/>
      <c r="I2999" s="845" t="s">
        <v>1009</v>
      </c>
    </row>
    <row r="3000" spans="1:10" x14ac:dyDescent="0.2">
      <c r="A3000" s="859">
        <f t="shared" si="46"/>
        <v>2999</v>
      </c>
      <c r="B3000" s="845" t="s">
        <v>2554</v>
      </c>
      <c r="D3000" s="863"/>
      <c r="I3000" s="845" t="str">
        <f>CONCATENATE("&lt;valeur&gt;",Cellule_11439,"&lt;/valeur&gt;")</f>
        <v>&lt;valeur&gt;0&lt;/valeur&gt;</v>
      </c>
    </row>
    <row r="3001" spans="1:10" x14ac:dyDescent="0.2">
      <c r="A3001" s="859">
        <f t="shared" si="46"/>
        <v>3000</v>
      </c>
      <c r="B3001" s="845" t="s">
        <v>2554</v>
      </c>
      <c r="D3001" s="862"/>
      <c r="H3001" s="845" t="s">
        <v>1010</v>
      </c>
    </row>
    <row r="3002" spans="1:10" x14ac:dyDescent="0.2">
      <c r="A3002" s="859">
        <f t="shared" si="46"/>
        <v>3001</v>
      </c>
      <c r="B3002" s="845" t="s">
        <v>2554</v>
      </c>
      <c r="D3002" s="862"/>
      <c r="G3002" s="845" t="s">
        <v>1011</v>
      </c>
    </row>
    <row r="3003" spans="1:10" x14ac:dyDescent="0.2">
      <c r="A3003" s="859">
        <f t="shared" si="46"/>
        <v>3002</v>
      </c>
      <c r="B3003" s="845" t="s">
        <v>2554</v>
      </c>
      <c r="D3003" s="861"/>
      <c r="G3003" s="845" t="s">
        <v>1012</v>
      </c>
    </row>
    <row r="3004" spans="1:10" x14ac:dyDescent="0.2">
      <c r="A3004" s="859">
        <f t="shared" si="46"/>
        <v>3003</v>
      </c>
      <c r="B3004" s="845" t="s">
        <v>2554</v>
      </c>
      <c r="D3004" s="862"/>
      <c r="G3004" s="845" t="s">
        <v>1013</v>
      </c>
    </row>
    <row r="3005" spans="1:10" x14ac:dyDescent="0.2">
      <c r="A3005" s="859">
        <f t="shared" si="46"/>
        <v>3004</v>
      </c>
      <c r="B3005" s="845" t="s">
        <v>2554</v>
      </c>
      <c r="D3005" s="863"/>
      <c r="F3005" s="845" t="s">
        <v>1014</v>
      </c>
    </row>
    <row r="3006" spans="1:10" x14ac:dyDescent="0.2">
      <c r="A3006" s="859">
        <f t="shared" si="46"/>
        <v>3005</v>
      </c>
      <c r="B3006" s="845" t="s">
        <v>2555</v>
      </c>
      <c r="D3006" s="862"/>
      <c r="F3006" s="845" t="s">
        <v>1005</v>
      </c>
    </row>
    <row r="3007" spans="1:10" x14ac:dyDescent="0.2">
      <c r="A3007" s="859">
        <f t="shared" si="46"/>
        <v>3006</v>
      </c>
      <c r="B3007" s="845" t="s">
        <v>2555</v>
      </c>
      <c r="D3007" s="862"/>
      <c r="G3007" s="845" t="s">
        <v>1522</v>
      </c>
    </row>
    <row r="3008" spans="1:10" x14ac:dyDescent="0.2">
      <c r="A3008" s="859">
        <f t="shared" si="46"/>
        <v>3007</v>
      </c>
      <c r="B3008" s="845" t="s">
        <v>2555</v>
      </c>
      <c r="D3008" s="861"/>
      <c r="G3008" s="845" t="s">
        <v>1006</v>
      </c>
    </row>
    <row r="3009" spans="1:10" x14ac:dyDescent="0.2">
      <c r="A3009" s="859">
        <f t="shared" si="46"/>
        <v>3008</v>
      </c>
      <c r="B3009" s="845" t="s">
        <v>2555</v>
      </c>
      <c r="D3009" s="860"/>
      <c r="H3009" s="845" t="s">
        <v>1007</v>
      </c>
    </row>
    <row r="3010" spans="1:10" x14ac:dyDescent="0.2">
      <c r="A3010" s="859">
        <f t="shared" si="46"/>
        <v>3009</v>
      </c>
      <c r="B3010" s="845" t="s">
        <v>2555</v>
      </c>
      <c r="D3010" s="860"/>
      <c r="I3010" s="845" t="s">
        <v>1008</v>
      </c>
    </row>
    <row r="3011" spans="1:10" x14ac:dyDescent="0.2">
      <c r="A3011" s="859">
        <f t="shared" si="46"/>
        <v>3010</v>
      </c>
      <c r="B3011" s="845" t="s">
        <v>2555</v>
      </c>
      <c r="D3011" s="857"/>
      <c r="J3011" s="845" t="s">
        <v>1523</v>
      </c>
    </row>
    <row r="3012" spans="1:10" x14ac:dyDescent="0.2">
      <c r="A3012" s="859">
        <f t="shared" ref="A3012:A3075" si="47">+A3011+1</f>
        <v>3011</v>
      </c>
      <c r="B3012" s="845" t="s">
        <v>2555</v>
      </c>
      <c r="D3012" s="857"/>
      <c r="I3012" s="845" t="s">
        <v>1009</v>
      </c>
    </row>
    <row r="3013" spans="1:10" x14ac:dyDescent="0.2">
      <c r="A3013" s="859">
        <f t="shared" si="47"/>
        <v>3012</v>
      </c>
      <c r="B3013" s="845" t="s">
        <v>2555</v>
      </c>
      <c r="D3013" s="860"/>
      <c r="I3013" s="845" t="str">
        <f>CONCATENATE("&lt;valeur&gt;",Cellule_817,"&lt;/valeur&gt;")</f>
        <v>&lt;valeur&gt;0&lt;/valeur&gt;</v>
      </c>
    </row>
    <row r="3014" spans="1:10" x14ac:dyDescent="0.2">
      <c r="A3014" s="859">
        <f t="shared" si="47"/>
        <v>3013</v>
      </c>
      <c r="B3014" s="845" t="s">
        <v>2555</v>
      </c>
      <c r="D3014" s="861"/>
      <c r="H3014" s="845" t="s">
        <v>1010</v>
      </c>
    </row>
    <row r="3015" spans="1:10" x14ac:dyDescent="0.2">
      <c r="A3015" s="859">
        <f t="shared" si="47"/>
        <v>3014</v>
      </c>
      <c r="B3015" s="845" t="s">
        <v>2555</v>
      </c>
      <c r="D3015" s="860"/>
      <c r="H3015" s="845" t="s">
        <v>1007</v>
      </c>
    </row>
    <row r="3016" spans="1:10" x14ac:dyDescent="0.2">
      <c r="A3016" s="859">
        <f t="shared" si="47"/>
        <v>3015</v>
      </c>
      <c r="B3016" s="845" t="s">
        <v>2555</v>
      </c>
      <c r="D3016" s="860"/>
      <c r="I3016" s="845" t="s">
        <v>1008</v>
      </c>
    </row>
    <row r="3017" spans="1:10" x14ac:dyDescent="0.2">
      <c r="A3017" s="859">
        <f t="shared" si="47"/>
        <v>3016</v>
      </c>
      <c r="B3017" s="845" t="s">
        <v>2555</v>
      </c>
      <c r="D3017" s="861"/>
      <c r="J3017" s="845" t="s">
        <v>1524</v>
      </c>
    </row>
    <row r="3018" spans="1:10" x14ac:dyDescent="0.2">
      <c r="A3018" s="859">
        <f t="shared" si="47"/>
        <v>3017</v>
      </c>
      <c r="B3018" s="845" t="s">
        <v>2555</v>
      </c>
      <c r="D3018" s="862"/>
      <c r="I3018" s="845" t="s">
        <v>1009</v>
      </c>
    </row>
    <row r="3019" spans="1:10" x14ac:dyDescent="0.2">
      <c r="A3019" s="859">
        <f t="shared" si="47"/>
        <v>3018</v>
      </c>
      <c r="B3019" s="845" t="s">
        <v>2555</v>
      </c>
      <c r="D3019" s="863"/>
      <c r="I3019" s="845" t="str">
        <f>CONCATENATE("&lt;valeur&gt;",Cellule_818,"&lt;/valeur&gt;")</f>
        <v>&lt;valeur&gt;&lt;/valeur&gt;</v>
      </c>
    </row>
    <row r="3020" spans="1:10" x14ac:dyDescent="0.2">
      <c r="A3020" s="859">
        <f t="shared" si="47"/>
        <v>3019</v>
      </c>
      <c r="B3020" s="845" t="s">
        <v>2555</v>
      </c>
      <c r="D3020" s="862"/>
      <c r="H3020" s="845" t="s">
        <v>1010</v>
      </c>
    </row>
    <row r="3021" spans="1:10" x14ac:dyDescent="0.2">
      <c r="A3021" s="859">
        <f t="shared" si="47"/>
        <v>3020</v>
      </c>
      <c r="B3021" s="845" t="s">
        <v>2555</v>
      </c>
      <c r="D3021" s="862"/>
      <c r="H3021" s="845" t="s">
        <v>1007</v>
      </c>
    </row>
    <row r="3022" spans="1:10" x14ac:dyDescent="0.2">
      <c r="A3022" s="859">
        <f t="shared" si="47"/>
        <v>3021</v>
      </c>
      <c r="B3022" s="845" t="s">
        <v>2555</v>
      </c>
      <c r="D3022" s="861"/>
      <c r="I3022" s="845" t="s">
        <v>1008</v>
      </c>
    </row>
    <row r="3023" spans="1:10" x14ac:dyDescent="0.2">
      <c r="A3023" s="859">
        <f t="shared" si="47"/>
        <v>3022</v>
      </c>
      <c r="B3023" s="845" t="s">
        <v>2555</v>
      </c>
      <c r="D3023" s="861"/>
      <c r="J3023" s="845" t="s">
        <v>1525</v>
      </c>
    </row>
    <row r="3024" spans="1:10" x14ac:dyDescent="0.2">
      <c r="A3024" s="859">
        <f t="shared" si="47"/>
        <v>3023</v>
      </c>
      <c r="B3024" s="845" t="s">
        <v>2555</v>
      </c>
      <c r="D3024" s="862"/>
      <c r="I3024" s="845" t="s">
        <v>1009</v>
      </c>
    </row>
    <row r="3025" spans="1:10" x14ac:dyDescent="0.2">
      <c r="A3025" s="859">
        <f t="shared" si="47"/>
        <v>3024</v>
      </c>
      <c r="B3025" s="845" t="s">
        <v>2555</v>
      </c>
      <c r="D3025" s="863"/>
      <c r="I3025" s="845" t="str">
        <f>CONCATENATE("&lt;valeur&gt;",Cellule_819,"&lt;/valeur&gt;")</f>
        <v>&lt;valeur&gt;&lt;/valeur&gt;</v>
      </c>
    </row>
    <row r="3026" spans="1:10" x14ac:dyDescent="0.2">
      <c r="A3026" s="859">
        <f t="shared" si="47"/>
        <v>3025</v>
      </c>
      <c r="B3026" s="845" t="s">
        <v>2555</v>
      </c>
      <c r="D3026" s="862"/>
      <c r="H3026" s="845" t="s">
        <v>1010</v>
      </c>
    </row>
    <row r="3027" spans="1:10" x14ac:dyDescent="0.2">
      <c r="A3027" s="859">
        <f t="shared" si="47"/>
        <v>3026</v>
      </c>
      <c r="B3027" s="845" t="s">
        <v>2555</v>
      </c>
      <c r="D3027" s="862"/>
      <c r="H3027" s="845" t="s">
        <v>1007</v>
      </c>
    </row>
    <row r="3028" spans="1:10" x14ac:dyDescent="0.2">
      <c r="A3028" s="859">
        <f t="shared" si="47"/>
        <v>3027</v>
      </c>
      <c r="B3028" s="845" t="s">
        <v>2555</v>
      </c>
      <c r="D3028" s="861"/>
      <c r="I3028" s="845" t="s">
        <v>1008</v>
      </c>
    </row>
    <row r="3029" spans="1:10" x14ac:dyDescent="0.2">
      <c r="A3029" s="859">
        <f t="shared" si="47"/>
        <v>3028</v>
      </c>
      <c r="B3029" s="845" t="s">
        <v>2555</v>
      </c>
      <c r="D3029" s="861"/>
      <c r="J3029" s="845" t="s">
        <v>1526</v>
      </c>
    </row>
    <row r="3030" spans="1:10" x14ac:dyDescent="0.2">
      <c r="A3030" s="859">
        <f t="shared" si="47"/>
        <v>3029</v>
      </c>
      <c r="B3030" s="845" t="s">
        <v>2555</v>
      </c>
      <c r="D3030" s="862"/>
      <c r="I3030" s="845" t="s">
        <v>1009</v>
      </c>
    </row>
    <row r="3031" spans="1:10" x14ac:dyDescent="0.2">
      <c r="A3031" s="859">
        <f t="shared" si="47"/>
        <v>3030</v>
      </c>
      <c r="B3031" s="845" t="s">
        <v>2555</v>
      </c>
      <c r="D3031" s="863"/>
      <c r="I3031" s="845" t="str">
        <f>CONCATENATE("&lt;valeur&gt;",Cellule_820,"&lt;/valeur&gt;")</f>
        <v>&lt;valeur&gt;0&lt;/valeur&gt;</v>
      </c>
    </row>
    <row r="3032" spans="1:10" x14ac:dyDescent="0.2">
      <c r="A3032" s="859">
        <f t="shared" si="47"/>
        <v>3031</v>
      </c>
      <c r="B3032" s="845" t="s">
        <v>2555</v>
      </c>
      <c r="D3032" s="862"/>
      <c r="H3032" s="845" t="s">
        <v>1010</v>
      </c>
    </row>
    <row r="3033" spans="1:10" x14ac:dyDescent="0.2">
      <c r="A3033" s="859">
        <f t="shared" si="47"/>
        <v>3032</v>
      </c>
      <c r="B3033" s="845" t="s">
        <v>2555</v>
      </c>
      <c r="D3033" s="862"/>
      <c r="H3033" s="845" t="s">
        <v>1007</v>
      </c>
    </row>
    <row r="3034" spans="1:10" x14ac:dyDescent="0.2">
      <c r="A3034" s="859">
        <f t="shared" si="47"/>
        <v>3033</v>
      </c>
      <c r="B3034" s="845" t="s">
        <v>2555</v>
      </c>
      <c r="D3034" s="861"/>
      <c r="I3034" s="845" t="s">
        <v>1527</v>
      </c>
    </row>
    <row r="3035" spans="1:10" x14ac:dyDescent="0.2">
      <c r="A3035" s="859">
        <f t="shared" si="47"/>
        <v>3034</v>
      </c>
      <c r="B3035" s="845" t="s">
        <v>2555</v>
      </c>
      <c r="D3035" s="861"/>
      <c r="I3035" s="845" t="str">
        <f>CONCATENATE("&lt;valeur&gt;",Cellule_821_1,"&lt;/valeur&gt;")</f>
        <v>&lt;valeur&gt;&lt;/valeur&gt;</v>
      </c>
    </row>
    <row r="3036" spans="1:10" x14ac:dyDescent="0.2">
      <c r="A3036" s="859">
        <f t="shared" si="47"/>
        <v>3035</v>
      </c>
      <c r="B3036" s="845" t="s">
        <v>2555</v>
      </c>
      <c r="D3036" s="862"/>
      <c r="I3036" s="845" t="s">
        <v>1249</v>
      </c>
    </row>
    <row r="3037" spans="1:10" x14ac:dyDescent="0.2">
      <c r="A3037" s="859">
        <f t="shared" si="47"/>
        <v>3036</v>
      </c>
      <c r="B3037" s="845" t="s">
        <v>2555</v>
      </c>
      <c r="D3037" s="863"/>
      <c r="H3037" s="845" t="s">
        <v>1010</v>
      </c>
    </row>
    <row r="3038" spans="1:10" x14ac:dyDescent="0.2">
      <c r="A3038" s="859">
        <f t="shared" si="47"/>
        <v>3037</v>
      </c>
      <c r="B3038" s="845" t="s">
        <v>2555</v>
      </c>
      <c r="D3038" s="862"/>
      <c r="H3038" s="845" t="s">
        <v>1007</v>
      </c>
    </row>
    <row r="3039" spans="1:10" x14ac:dyDescent="0.2">
      <c r="A3039" s="859">
        <f t="shared" si="47"/>
        <v>3038</v>
      </c>
      <c r="B3039" s="845" t="s">
        <v>2555</v>
      </c>
      <c r="D3039" s="862"/>
      <c r="I3039" s="845" t="s">
        <v>1528</v>
      </c>
    </row>
    <row r="3040" spans="1:10" x14ac:dyDescent="0.2">
      <c r="A3040" s="859">
        <f t="shared" si="47"/>
        <v>3039</v>
      </c>
      <c r="B3040" s="845" t="s">
        <v>2555</v>
      </c>
      <c r="D3040" s="861"/>
      <c r="I3040" s="845" t="str">
        <f>CONCATENATE("&lt;valeur&gt;",Cellule_822_1,"&lt;/valeur&gt;")</f>
        <v>&lt;valeur&gt;&lt;/valeur&gt;</v>
      </c>
    </row>
    <row r="3041" spans="1:9" x14ac:dyDescent="0.2">
      <c r="A3041" s="859">
        <f t="shared" si="47"/>
        <v>3040</v>
      </c>
      <c r="B3041" s="845" t="s">
        <v>2555</v>
      </c>
      <c r="D3041" s="861"/>
      <c r="I3041" s="845" t="s">
        <v>1249</v>
      </c>
    </row>
    <row r="3042" spans="1:9" x14ac:dyDescent="0.2">
      <c r="A3042" s="859">
        <f t="shared" si="47"/>
        <v>3041</v>
      </c>
      <c r="B3042" s="845" t="s">
        <v>2555</v>
      </c>
      <c r="D3042" s="862"/>
      <c r="H3042" s="845" t="s">
        <v>1010</v>
      </c>
    </row>
    <row r="3043" spans="1:9" x14ac:dyDescent="0.2">
      <c r="A3043" s="859">
        <f t="shared" si="47"/>
        <v>3042</v>
      </c>
      <c r="B3043" s="845" t="s">
        <v>2555</v>
      </c>
      <c r="D3043" s="863"/>
      <c r="H3043" s="845" t="s">
        <v>1007</v>
      </c>
    </row>
    <row r="3044" spans="1:9" x14ac:dyDescent="0.2">
      <c r="A3044" s="859">
        <f t="shared" si="47"/>
        <v>3043</v>
      </c>
      <c r="B3044" s="845" t="s">
        <v>2555</v>
      </c>
      <c r="D3044" s="862"/>
      <c r="I3044" s="845" t="s">
        <v>1529</v>
      </c>
    </row>
    <row r="3045" spans="1:9" x14ac:dyDescent="0.2">
      <c r="A3045" s="859">
        <f t="shared" si="47"/>
        <v>3044</v>
      </c>
      <c r="B3045" s="845" t="s">
        <v>2555</v>
      </c>
      <c r="D3045" s="862"/>
      <c r="I3045" s="845" t="str">
        <f>CONCATENATE("&lt;valeur&gt;",Cellule_823_1,"&lt;/valeur&gt;")</f>
        <v>&lt;valeur&gt;0&lt;/valeur&gt;</v>
      </c>
    </row>
    <row r="3046" spans="1:9" x14ac:dyDescent="0.2">
      <c r="A3046" s="859">
        <f t="shared" si="47"/>
        <v>3045</v>
      </c>
      <c r="B3046" s="845" t="s">
        <v>2555</v>
      </c>
      <c r="D3046" s="862"/>
      <c r="I3046" s="845" t="s">
        <v>1249</v>
      </c>
    </row>
    <row r="3047" spans="1:9" x14ac:dyDescent="0.2">
      <c r="A3047" s="859">
        <f t="shared" si="47"/>
        <v>3046</v>
      </c>
      <c r="B3047" s="845" t="s">
        <v>2555</v>
      </c>
      <c r="D3047" s="861"/>
      <c r="H3047" s="845" t="s">
        <v>1010</v>
      </c>
    </row>
    <row r="3048" spans="1:9" x14ac:dyDescent="0.2">
      <c r="A3048" s="859">
        <f t="shared" si="47"/>
        <v>3047</v>
      </c>
      <c r="B3048" s="845" t="s">
        <v>2555</v>
      </c>
      <c r="D3048" s="862"/>
      <c r="H3048" s="845" t="s">
        <v>1007</v>
      </c>
    </row>
    <row r="3049" spans="1:9" x14ac:dyDescent="0.2">
      <c r="A3049" s="859">
        <f t="shared" si="47"/>
        <v>3048</v>
      </c>
      <c r="B3049" s="845" t="s">
        <v>2555</v>
      </c>
      <c r="D3049" s="861"/>
      <c r="I3049" s="845" t="s">
        <v>1527</v>
      </c>
    </row>
    <row r="3050" spans="1:9" x14ac:dyDescent="0.2">
      <c r="A3050" s="859">
        <f t="shared" si="47"/>
        <v>3049</v>
      </c>
      <c r="B3050" s="845" t="s">
        <v>2555</v>
      </c>
      <c r="D3050" s="861"/>
      <c r="I3050" s="845" t="str">
        <f>CONCATENATE("&lt;valeur&gt;",Cellule_821_2,"&lt;/valeur&gt;")</f>
        <v>&lt;valeur&gt;&lt;/valeur&gt;</v>
      </c>
    </row>
    <row r="3051" spans="1:9" x14ac:dyDescent="0.2">
      <c r="A3051" s="859">
        <f t="shared" si="47"/>
        <v>3050</v>
      </c>
      <c r="B3051" s="845" t="s">
        <v>2555</v>
      </c>
      <c r="D3051" s="862"/>
      <c r="I3051" s="845" t="s">
        <v>2577</v>
      </c>
    </row>
    <row r="3052" spans="1:9" x14ac:dyDescent="0.2">
      <c r="A3052" s="859">
        <f t="shared" si="47"/>
        <v>3051</v>
      </c>
      <c r="B3052" s="845" t="s">
        <v>2555</v>
      </c>
      <c r="D3052" s="863"/>
      <c r="H3052" s="845" t="s">
        <v>1010</v>
      </c>
    </row>
    <row r="3053" spans="1:9" x14ac:dyDescent="0.2">
      <c r="A3053" s="859">
        <f t="shared" si="47"/>
        <v>3052</v>
      </c>
      <c r="B3053" s="845" t="s">
        <v>2555</v>
      </c>
      <c r="D3053" s="862"/>
      <c r="H3053" s="845" t="s">
        <v>1007</v>
      </c>
    </row>
    <row r="3054" spans="1:9" x14ac:dyDescent="0.2">
      <c r="A3054" s="859">
        <f t="shared" si="47"/>
        <v>3053</v>
      </c>
      <c r="B3054" s="845" t="s">
        <v>2555</v>
      </c>
      <c r="D3054" s="862"/>
      <c r="I3054" s="845" t="s">
        <v>1528</v>
      </c>
    </row>
    <row r="3055" spans="1:9" x14ac:dyDescent="0.2">
      <c r="A3055" s="859">
        <f t="shared" si="47"/>
        <v>3054</v>
      </c>
      <c r="B3055" s="845" t="s">
        <v>2555</v>
      </c>
      <c r="D3055" s="861"/>
      <c r="I3055" s="845" t="str">
        <f>CONCATENATE("&lt;valeur&gt;",Cellule_822_2,"&lt;/valeur&gt;")</f>
        <v>&lt;valeur&gt;&lt;/valeur&gt;</v>
      </c>
    </row>
    <row r="3056" spans="1:9" x14ac:dyDescent="0.2">
      <c r="A3056" s="859">
        <f t="shared" si="47"/>
        <v>3055</v>
      </c>
      <c r="B3056" s="845" t="s">
        <v>2555</v>
      </c>
      <c r="D3056" s="861"/>
      <c r="I3056" s="845" t="s">
        <v>2577</v>
      </c>
    </row>
    <row r="3057" spans="1:9" x14ac:dyDescent="0.2">
      <c r="A3057" s="859">
        <f t="shared" si="47"/>
        <v>3056</v>
      </c>
      <c r="B3057" s="845" t="s">
        <v>2555</v>
      </c>
      <c r="D3057" s="862"/>
      <c r="H3057" s="845" t="s">
        <v>1010</v>
      </c>
    </row>
    <row r="3058" spans="1:9" x14ac:dyDescent="0.2">
      <c r="A3058" s="859">
        <f t="shared" si="47"/>
        <v>3057</v>
      </c>
      <c r="B3058" s="845" t="s">
        <v>2555</v>
      </c>
      <c r="D3058" s="863"/>
      <c r="H3058" s="845" t="s">
        <v>1007</v>
      </c>
    </row>
    <row r="3059" spans="1:9" x14ac:dyDescent="0.2">
      <c r="A3059" s="859">
        <f t="shared" si="47"/>
        <v>3058</v>
      </c>
      <c r="B3059" s="845" t="s">
        <v>2555</v>
      </c>
      <c r="D3059" s="862"/>
      <c r="I3059" s="845" t="s">
        <v>1529</v>
      </c>
    </row>
    <row r="3060" spans="1:9" x14ac:dyDescent="0.2">
      <c r="A3060" s="859">
        <f t="shared" si="47"/>
        <v>3059</v>
      </c>
      <c r="B3060" s="845" t="s">
        <v>2555</v>
      </c>
      <c r="D3060" s="862"/>
      <c r="I3060" s="845" t="str">
        <f>CONCATENATE("&lt;valeur&gt;",Cellule_823_2,"&lt;/valeur&gt;")</f>
        <v>&lt;valeur&gt;0&lt;/valeur&gt;</v>
      </c>
    </row>
    <row r="3061" spans="1:9" x14ac:dyDescent="0.2">
      <c r="A3061" s="859">
        <f t="shared" si="47"/>
        <v>3060</v>
      </c>
      <c r="B3061" s="845" t="s">
        <v>2555</v>
      </c>
      <c r="D3061" s="862"/>
      <c r="I3061" s="845" t="s">
        <v>2577</v>
      </c>
    </row>
    <row r="3062" spans="1:9" x14ac:dyDescent="0.2">
      <c r="A3062" s="859">
        <f t="shared" si="47"/>
        <v>3061</v>
      </c>
      <c r="B3062" s="845" t="s">
        <v>2555</v>
      </c>
      <c r="D3062" s="861"/>
      <c r="H3062" s="845" t="s">
        <v>1010</v>
      </c>
    </row>
    <row r="3063" spans="1:9" x14ac:dyDescent="0.2">
      <c r="A3063" s="859">
        <f t="shared" si="47"/>
        <v>3062</v>
      </c>
      <c r="B3063" s="845" t="s">
        <v>2555</v>
      </c>
      <c r="D3063" s="862"/>
      <c r="H3063" s="845" t="s">
        <v>1007</v>
      </c>
    </row>
    <row r="3064" spans="1:9" x14ac:dyDescent="0.2">
      <c r="A3064" s="859">
        <f t="shared" si="47"/>
        <v>3063</v>
      </c>
      <c r="B3064" s="845" t="s">
        <v>2555</v>
      </c>
      <c r="D3064" s="861"/>
      <c r="I3064" s="845" t="s">
        <v>1527</v>
      </c>
    </row>
    <row r="3065" spans="1:9" x14ac:dyDescent="0.2">
      <c r="A3065" s="859">
        <f t="shared" si="47"/>
        <v>3064</v>
      </c>
      <c r="B3065" s="845" t="s">
        <v>2555</v>
      </c>
      <c r="D3065" s="861"/>
      <c r="I3065" s="845" t="str">
        <f>CONCATENATE("&lt;valeur&gt;",Cellule_821_3,"&lt;/valeur&gt;")</f>
        <v>&lt;valeur&gt;&lt;/valeur&gt;</v>
      </c>
    </row>
    <row r="3066" spans="1:9" x14ac:dyDescent="0.2">
      <c r="A3066" s="859">
        <f t="shared" si="47"/>
        <v>3065</v>
      </c>
      <c r="B3066" s="845" t="s">
        <v>2555</v>
      </c>
      <c r="D3066" s="862"/>
      <c r="I3066" s="845" t="s">
        <v>2578</v>
      </c>
    </row>
    <row r="3067" spans="1:9" x14ac:dyDescent="0.2">
      <c r="A3067" s="859">
        <f t="shared" si="47"/>
        <v>3066</v>
      </c>
      <c r="B3067" s="845" t="s">
        <v>2555</v>
      </c>
      <c r="D3067" s="863"/>
      <c r="H3067" s="845" t="s">
        <v>1010</v>
      </c>
    </row>
    <row r="3068" spans="1:9" x14ac:dyDescent="0.2">
      <c r="A3068" s="859">
        <f t="shared" si="47"/>
        <v>3067</v>
      </c>
      <c r="B3068" s="845" t="s">
        <v>2555</v>
      </c>
      <c r="D3068" s="862"/>
      <c r="H3068" s="845" t="s">
        <v>1007</v>
      </c>
    </row>
    <row r="3069" spans="1:9" x14ac:dyDescent="0.2">
      <c r="A3069" s="859">
        <f t="shared" si="47"/>
        <v>3068</v>
      </c>
      <c r="B3069" s="845" t="s">
        <v>2555</v>
      </c>
      <c r="D3069" s="862"/>
      <c r="I3069" s="845" t="s">
        <v>1528</v>
      </c>
    </row>
    <row r="3070" spans="1:9" x14ac:dyDescent="0.2">
      <c r="A3070" s="859">
        <f t="shared" si="47"/>
        <v>3069</v>
      </c>
      <c r="B3070" s="845" t="s">
        <v>2555</v>
      </c>
      <c r="D3070" s="861"/>
      <c r="I3070" s="845" t="str">
        <f>CONCATENATE("&lt;valeur&gt;",Cellule_822_3,"&lt;/valeur&gt;")</f>
        <v>&lt;valeur&gt;0&lt;/valeur&gt;</v>
      </c>
    </row>
    <row r="3071" spans="1:9" x14ac:dyDescent="0.2">
      <c r="A3071" s="859">
        <f t="shared" si="47"/>
        <v>3070</v>
      </c>
      <c r="B3071" s="845" t="s">
        <v>2555</v>
      </c>
      <c r="D3071" s="861"/>
      <c r="I3071" s="845" t="s">
        <v>2578</v>
      </c>
    </row>
    <row r="3072" spans="1:9" x14ac:dyDescent="0.2">
      <c r="A3072" s="859">
        <f t="shared" si="47"/>
        <v>3071</v>
      </c>
      <c r="B3072" s="845" t="s">
        <v>2555</v>
      </c>
      <c r="D3072" s="862"/>
      <c r="H3072" s="845" t="s">
        <v>1010</v>
      </c>
    </row>
    <row r="3073" spans="1:9" x14ac:dyDescent="0.2">
      <c r="A3073" s="859">
        <f t="shared" si="47"/>
        <v>3072</v>
      </c>
      <c r="B3073" s="845" t="s">
        <v>2555</v>
      </c>
      <c r="D3073" s="863"/>
      <c r="H3073" s="845" t="s">
        <v>1007</v>
      </c>
    </row>
    <row r="3074" spans="1:9" x14ac:dyDescent="0.2">
      <c r="A3074" s="859">
        <f t="shared" si="47"/>
        <v>3073</v>
      </c>
      <c r="B3074" s="845" t="s">
        <v>2555</v>
      </c>
      <c r="D3074" s="862"/>
      <c r="I3074" s="845" t="s">
        <v>1529</v>
      </c>
    </row>
    <row r="3075" spans="1:9" x14ac:dyDescent="0.2">
      <c r="A3075" s="859">
        <f t="shared" si="47"/>
        <v>3074</v>
      </c>
      <c r="B3075" s="845" t="s">
        <v>2555</v>
      </c>
      <c r="D3075" s="862"/>
      <c r="I3075" s="845" t="str">
        <f>CONCATENATE("&lt;valeur&gt;",Cellule_823_3,"&lt;/valeur&gt;")</f>
        <v>&lt;valeur&gt;0&lt;/valeur&gt;</v>
      </c>
    </row>
    <row r="3076" spans="1:9" x14ac:dyDescent="0.2">
      <c r="A3076" s="859">
        <f t="shared" ref="A3076:A3139" si="48">+A3075+1</f>
        <v>3075</v>
      </c>
      <c r="B3076" s="845" t="s">
        <v>2555</v>
      </c>
      <c r="D3076" s="862"/>
      <c r="I3076" s="845" t="s">
        <v>2578</v>
      </c>
    </row>
    <row r="3077" spans="1:9" x14ac:dyDescent="0.2">
      <c r="A3077" s="859">
        <f t="shared" si="48"/>
        <v>3076</v>
      </c>
      <c r="B3077" s="845" t="s">
        <v>2555</v>
      </c>
      <c r="D3077" s="861"/>
      <c r="H3077" s="845" t="s">
        <v>1010</v>
      </c>
    </row>
    <row r="3078" spans="1:9" x14ac:dyDescent="0.2">
      <c r="A3078" s="859">
        <f t="shared" si="48"/>
        <v>3077</v>
      </c>
      <c r="B3078" s="845" t="s">
        <v>2555</v>
      </c>
      <c r="D3078" s="862"/>
      <c r="H3078" s="845" t="s">
        <v>1007</v>
      </c>
    </row>
    <row r="3079" spans="1:9" x14ac:dyDescent="0.2">
      <c r="A3079" s="859">
        <f t="shared" si="48"/>
        <v>3078</v>
      </c>
      <c r="B3079" s="845" t="s">
        <v>2555</v>
      </c>
      <c r="D3079" s="861"/>
      <c r="I3079" s="845" t="s">
        <v>1527</v>
      </c>
    </row>
    <row r="3080" spans="1:9" x14ac:dyDescent="0.2">
      <c r="A3080" s="859">
        <f t="shared" si="48"/>
        <v>3079</v>
      </c>
      <c r="B3080" s="845" t="s">
        <v>2555</v>
      </c>
      <c r="D3080" s="861"/>
      <c r="I3080" s="845" t="str">
        <f>CONCATENATE("&lt;valeur&gt;",Cellule_821_4,"&lt;/valeur&gt;")</f>
        <v>&lt;valeur&gt;&lt;/valeur&gt;</v>
      </c>
    </row>
    <row r="3081" spans="1:9" x14ac:dyDescent="0.2">
      <c r="A3081" s="859">
        <f t="shared" si="48"/>
        <v>3080</v>
      </c>
      <c r="B3081" s="845" t="s">
        <v>2555</v>
      </c>
      <c r="D3081" s="862"/>
      <c r="I3081" s="845" t="s">
        <v>2579</v>
      </c>
    </row>
    <row r="3082" spans="1:9" x14ac:dyDescent="0.2">
      <c r="A3082" s="859">
        <f t="shared" si="48"/>
        <v>3081</v>
      </c>
      <c r="B3082" s="845" t="s">
        <v>2555</v>
      </c>
      <c r="D3082" s="863"/>
      <c r="H3082" s="845" t="s">
        <v>1010</v>
      </c>
    </row>
    <row r="3083" spans="1:9" x14ac:dyDescent="0.2">
      <c r="A3083" s="859">
        <f t="shared" si="48"/>
        <v>3082</v>
      </c>
      <c r="B3083" s="845" t="s">
        <v>2555</v>
      </c>
      <c r="D3083" s="862"/>
      <c r="H3083" s="845" t="s">
        <v>1007</v>
      </c>
    </row>
    <row r="3084" spans="1:9" x14ac:dyDescent="0.2">
      <c r="A3084" s="859">
        <f t="shared" si="48"/>
        <v>3083</v>
      </c>
      <c r="B3084" s="845" t="s">
        <v>2555</v>
      </c>
      <c r="D3084" s="862"/>
      <c r="I3084" s="845" t="s">
        <v>1528</v>
      </c>
    </row>
    <row r="3085" spans="1:9" x14ac:dyDescent="0.2">
      <c r="A3085" s="859">
        <f t="shared" si="48"/>
        <v>3084</v>
      </c>
      <c r="B3085" s="845" t="s">
        <v>2555</v>
      </c>
      <c r="D3085" s="861"/>
      <c r="I3085" s="845" t="str">
        <f>CONCATENATE("&lt;valeur&gt;",Cellule_822_4,"&lt;/valeur&gt;")</f>
        <v>&lt;valeur&gt;0&lt;/valeur&gt;</v>
      </c>
    </row>
    <row r="3086" spans="1:9" x14ac:dyDescent="0.2">
      <c r="A3086" s="859">
        <f t="shared" si="48"/>
        <v>3085</v>
      </c>
      <c r="B3086" s="845" t="s">
        <v>2555</v>
      </c>
      <c r="D3086" s="861"/>
      <c r="I3086" s="845" t="s">
        <v>2579</v>
      </c>
    </row>
    <row r="3087" spans="1:9" x14ac:dyDescent="0.2">
      <c r="A3087" s="859">
        <f t="shared" si="48"/>
        <v>3086</v>
      </c>
      <c r="B3087" s="845" t="s">
        <v>2555</v>
      </c>
      <c r="D3087" s="862"/>
      <c r="H3087" s="845" t="s">
        <v>1010</v>
      </c>
    </row>
    <row r="3088" spans="1:9" x14ac:dyDescent="0.2">
      <c r="A3088" s="859">
        <f t="shared" si="48"/>
        <v>3087</v>
      </c>
      <c r="B3088" s="845" t="s">
        <v>2555</v>
      </c>
      <c r="D3088" s="863"/>
      <c r="H3088" s="845" t="s">
        <v>1007</v>
      </c>
    </row>
    <row r="3089" spans="1:9" x14ac:dyDescent="0.2">
      <c r="A3089" s="859">
        <f t="shared" si="48"/>
        <v>3088</v>
      </c>
      <c r="B3089" s="845" t="s">
        <v>2555</v>
      </c>
      <c r="D3089" s="862"/>
      <c r="I3089" s="845" t="s">
        <v>1529</v>
      </c>
    </row>
    <row r="3090" spans="1:9" x14ac:dyDescent="0.2">
      <c r="A3090" s="859">
        <f t="shared" si="48"/>
        <v>3089</v>
      </c>
      <c r="B3090" s="845" t="s">
        <v>2555</v>
      </c>
      <c r="D3090" s="862"/>
      <c r="I3090" s="845" t="str">
        <f>CONCATENATE("&lt;valeur&gt;",Cellule_823_4,"&lt;/valeur&gt;")</f>
        <v>&lt;valeur&gt;0&lt;/valeur&gt;</v>
      </c>
    </row>
    <row r="3091" spans="1:9" x14ac:dyDescent="0.2">
      <c r="A3091" s="859">
        <f t="shared" si="48"/>
        <v>3090</v>
      </c>
      <c r="B3091" s="845" t="s">
        <v>2555</v>
      </c>
      <c r="D3091" s="862"/>
      <c r="I3091" s="845" t="s">
        <v>2579</v>
      </c>
    </row>
    <row r="3092" spans="1:9" x14ac:dyDescent="0.2">
      <c r="A3092" s="859">
        <f t="shared" si="48"/>
        <v>3091</v>
      </c>
      <c r="B3092" s="845" t="s">
        <v>2555</v>
      </c>
      <c r="D3092" s="861"/>
      <c r="H3092" s="845" t="s">
        <v>1010</v>
      </c>
    </row>
    <row r="3093" spans="1:9" x14ac:dyDescent="0.2">
      <c r="A3093" s="859">
        <f t="shared" si="48"/>
        <v>3092</v>
      </c>
      <c r="B3093" s="845" t="s">
        <v>2555</v>
      </c>
      <c r="D3093" s="862"/>
      <c r="H3093" s="845" t="s">
        <v>1007</v>
      </c>
    </row>
    <row r="3094" spans="1:9" x14ac:dyDescent="0.2">
      <c r="A3094" s="859">
        <f t="shared" si="48"/>
        <v>3093</v>
      </c>
      <c r="B3094" s="845" t="s">
        <v>2555</v>
      </c>
      <c r="D3094" s="861"/>
      <c r="I3094" s="845" t="s">
        <v>1527</v>
      </c>
    </row>
    <row r="3095" spans="1:9" x14ac:dyDescent="0.2">
      <c r="A3095" s="859">
        <f t="shared" si="48"/>
        <v>3094</v>
      </c>
      <c r="B3095" s="845" t="s">
        <v>2555</v>
      </c>
      <c r="D3095" s="861"/>
      <c r="I3095" s="845" t="str">
        <f>CONCATENATE("&lt;valeur&gt;",Cellule_821_5,"&lt;/valeur&gt;")</f>
        <v>&lt;valeur&gt;&lt;/valeur&gt;</v>
      </c>
    </row>
    <row r="3096" spans="1:9" x14ac:dyDescent="0.2">
      <c r="A3096" s="859">
        <f t="shared" si="48"/>
        <v>3095</v>
      </c>
      <c r="B3096" s="845" t="s">
        <v>2555</v>
      </c>
      <c r="D3096" s="862"/>
      <c r="I3096" s="845" t="s">
        <v>2580</v>
      </c>
    </row>
    <row r="3097" spans="1:9" x14ac:dyDescent="0.2">
      <c r="A3097" s="859">
        <f t="shared" si="48"/>
        <v>3096</v>
      </c>
      <c r="B3097" s="845" t="s">
        <v>2555</v>
      </c>
      <c r="D3097" s="863"/>
      <c r="H3097" s="845" t="s">
        <v>1010</v>
      </c>
    </row>
    <row r="3098" spans="1:9" x14ac:dyDescent="0.2">
      <c r="A3098" s="859">
        <f t="shared" si="48"/>
        <v>3097</v>
      </c>
      <c r="B3098" s="845" t="s">
        <v>2555</v>
      </c>
      <c r="D3098" s="862"/>
      <c r="H3098" s="845" t="s">
        <v>1007</v>
      </c>
    </row>
    <row r="3099" spans="1:9" x14ac:dyDescent="0.2">
      <c r="A3099" s="859">
        <f t="shared" si="48"/>
        <v>3098</v>
      </c>
      <c r="B3099" s="845" t="s">
        <v>2555</v>
      </c>
      <c r="D3099" s="862"/>
      <c r="I3099" s="845" t="s">
        <v>1528</v>
      </c>
    </row>
    <row r="3100" spans="1:9" x14ac:dyDescent="0.2">
      <c r="A3100" s="859">
        <f t="shared" si="48"/>
        <v>3099</v>
      </c>
      <c r="B3100" s="845" t="s">
        <v>2555</v>
      </c>
      <c r="D3100" s="861"/>
      <c r="I3100" s="845" t="str">
        <f>CONCATENATE("&lt;valeur&gt;",Cellule_822_5,"&lt;/valeur&gt;")</f>
        <v>&lt;valeur&gt;0&lt;/valeur&gt;</v>
      </c>
    </row>
    <row r="3101" spans="1:9" x14ac:dyDescent="0.2">
      <c r="A3101" s="859">
        <f t="shared" si="48"/>
        <v>3100</v>
      </c>
      <c r="B3101" s="845" t="s">
        <v>2555</v>
      </c>
      <c r="D3101" s="861"/>
      <c r="I3101" s="845" t="s">
        <v>2580</v>
      </c>
    </row>
    <row r="3102" spans="1:9" x14ac:dyDescent="0.2">
      <c r="A3102" s="859">
        <f t="shared" si="48"/>
        <v>3101</v>
      </c>
      <c r="B3102" s="845" t="s">
        <v>2555</v>
      </c>
      <c r="D3102" s="862"/>
      <c r="H3102" s="845" t="s">
        <v>1010</v>
      </c>
    </row>
    <row r="3103" spans="1:9" x14ac:dyDescent="0.2">
      <c r="A3103" s="859">
        <f t="shared" si="48"/>
        <v>3102</v>
      </c>
      <c r="B3103" s="845" t="s">
        <v>2555</v>
      </c>
      <c r="D3103" s="863"/>
      <c r="H3103" s="845" t="s">
        <v>1007</v>
      </c>
    </row>
    <row r="3104" spans="1:9" x14ac:dyDescent="0.2">
      <c r="A3104" s="859">
        <f t="shared" si="48"/>
        <v>3103</v>
      </c>
      <c r="B3104" s="845" t="s">
        <v>2555</v>
      </c>
      <c r="D3104" s="862"/>
      <c r="I3104" s="845" t="s">
        <v>1529</v>
      </c>
    </row>
    <row r="3105" spans="1:9" x14ac:dyDescent="0.2">
      <c r="A3105" s="859">
        <f t="shared" si="48"/>
        <v>3104</v>
      </c>
      <c r="B3105" s="845" t="s">
        <v>2555</v>
      </c>
      <c r="D3105" s="862"/>
      <c r="I3105" s="845" t="str">
        <f>CONCATENATE("&lt;valeur&gt;",Cellule_823_5,"&lt;/valeur&gt;")</f>
        <v>&lt;valeur&gt;0&lt;/valeur&gt;</v>
      </c>
    </row>
    <row r="3106" spans="1:9" x14ac:dyDescent="0.2">
      <c r="A3106" s="859">
        <f t="shared" si="48"/>
        <v>3105</v>
      </c>
      <c r="B3106" s="845" t="s">
        <v>2555</v>
      </c>
      <c r="D3106" s="862"/>
      <c r="I3106" s="845" t="s">
        <v>2580</v>
      </c>
    </row>
    <row r="3107" spans="1:9" x14ac:dyDescent="0.2">
      <c r="A3107" s="859">
        <f t="shared" si="48"/>
        <v>3106</v>
      </c>
      <c r="B3107" s="845" t="s">
        <v>2555</v>
      </c>
      <c r="D3107" s="861"/>
      <c r="H3107" s="845" t="s">
        <v>1010</v>
      </c>
    </row>
    <row r="3108" spans="1:9" x14ac:dyDescent="0.2">
      <c r="A3108" s="859">
        <f t="shared" si="48"/>
        <v>3107</v>
      </c>
      <c r="B3108" s="845" t="s">
        <v>2555</v>
      </c>
      <c r="D3108" s="862"/>
      <c r="H3108" s="845" t="s">
        <v>1007</v>
      </c>
    </row>
    <row r="3109" spans="1:9" x14ac:dyDescent="0.2">
      <c r="A3109" s="859">
        <f t="shared" si="48"/>
        <v>3108</v>
      </c>
      <c r="B3109" s="845" t="s">
        <v>2555</v>
      </c>
      <c r="D3109" s="861"/>
      <c r="I3109" s="845" t="s">
        <v>1527</v>
      </c>
    </row>
    <row r="3110" spans="1:9" x14ac:dyDescent="0.2">
      <c r="A3110" s="859">
        <f t="shared" si="48"/>
        <v>3109</v>
      </c>
      <c r="B3110" s="845" t="s">
        <v>2555</v>
      </c>
      <c r="D3110" s="861"/>
      <c r="I3110" s="845" t="str">
        <f>CONCATENATE("&lt;valeur&gt;",Cellule_821_6,"&lt;/valeur&gt;")</f>
        <v>&lt;valeur&gt;&lt;/valeur&gt;</v>
      </c>
    </row>
    <row r="3111" spans="1:9" x14ac:dyDescent="0.2">
      <c r="A3111" s="859">
        <f t="shared" si="48"/>
        <v>3110</v>
      </c>
      <c r="B3111" s="845" t="s">
        <v>2555</v>
      </c>
      <c r="D3111" s="862"/>
      <c r="I3111" s="845" t="s">
        <v>2581</v>
      </c>
    </row>
    <row r="3112" spans="1:9" x14ac:dyDescent="0.2">
      <c r="A3112" s="859">
        <f t="shared" si="48"/>
        <v>3111</v>
      </c>
      <c r="B3112" s="845" t="s">
        <v>2555</v>
      </c>
      <c r="D3112" s="863"/>
      <c r="H3112" s="845" t="s">
        <v>1010</v>
      </c>
    </row>
    <row r="3113" spans="1:9" x14ac:dyDescent="0.2">
      <c r="A3113" s="859">
        <f t="shared" si="48"/>
        <v>3112</v>
      </c>
      <c r="B3113" s="845" t="s">
        <v>2555</v>
      </c>
      <c r="D3113" s="862"/>
      <c r="H3113" s="845" t="s">
        <v>1007</v>
      </c>
    </row>
    <row r="3114" spans="1:9" x14ac:dyDescent="0.2">
      <c r="A3114" s="859">
        <f t="shared" si="48"/>
        <v>3113</v>
      </c>
      <c r="B3114" s="845" t="s">
        <v>2555</v>
      </c>
      <c r="D3114" s="862"/>
      <c r="I3114" s="845" t="s">
        <v>1528</v>
      </c>
    </row>
    <row r="3115" spans="1:9" x14ac:dyDescent="0.2">
      <c r="A3115" s="859">
        <f t="shared" si="48"/>
        <v>3114</v>
      </c>
      <c r="B3115" s="845" t="s">
        <v>2555</v>
      </c>
      <c r="D3115" s="861"/>
      <c r="I3115" s="845" t="str">
        <f>CONCATENATE("&lt;valeur&gt;",Cellule_822_6,"&lt;/valeur&gt;")</f>
        <v>&lt;valeur&gt;0&lt;/valeur&gt;</v>
      </c>
    </row>
    <row r="3116" spans="1:9" x14ac:dyDescent="0.2">
      <c r="A3116" s="859">
        <f t="shared" si="48"/>
        <v>3115</v>
      </c>
      <c r="B3116" s="845" t="s">
        <v>2555</v>
      </c>
      <c r="D3116" s="861"/>
      <c r="I3116" s="845" t="s">
        <v>2581</v>
      </c>
    </row>
    <row r="3117" spans="1:9" x14ac:dyDescent="0.2">
      <c r="A3117" s="859">
        <f t="shared" si="48"/>
        <v>3116</v>
      </c>
      <c r="B3117" s="845" t="s">
        <v>2555</v>
      </c>
      <c r="D3117" s="862"/>
      <c r="H3117" s="845" t="s">
        <v>1010</v>
      </c>
    </row>
    <row r="3118" spans="1:9" x14ac:dyDescent="0.2">
      <c r="A3118" s="859">
        <f t="shared" si="48"/>
        <v>3117</v>
      </c>
      <c r="B3118" s="845" t="s">
        <v>2555</v>
      </c>
      <c r="D3118" s="863"/>
      <c r="H3118" s="845" t="s">
        <v>1007</v>
      </c>
    </row>
    <row r="3119" spans="1:9" x14ac:dyDescent="0.2">
      <c r="A3119" s="859">
        <f t="shared" si="48"/>
        <v>3118</v>
      </c>
      <c r="B3119" s="845" t="s">
        <v>2555</v>
      </c>
      <c r="D3119" s="862"/>
      <c r="I3119" s="845" t="s">
        <v>1529</v>
      </c>
    </row>
    <row r="3120" spans="1:9" x14ac:dyDescent="0.2">
      <c r="A3120" s="859">
        <f t="shared" si="48"/>
        <v>3119</v>
      </c>
      <c r="B3120" s="845" t="s">
        <v>2555</v>
      </c>
      <c r="D3120" s="862"/>
      <c r="I3120" s="845" t="str">
        <f>CONCATENATE("&lt;valeur&gt;",Cellule_823_6,"&lt;/valeur&gt;")</f>
        <v>&lt;valeur&gt;0&lt;/valeur&gt;</v>
      </c>
    </row>
    <row r="3121" spans="1:9" x14ac:dyDescent="0.2">
      <c r="A3121" s="859">
        <f t="shared" si="48"/>
        <v>3120</v>
      </c>
      <c r="B3121" s="845" t="s">
        <v>2555</v>
      </c>
      <c r="D3121" s="862"/>
      <c r="I3121" s="845" t="s">
        <v>2581</v>
      </c>
    </row>
    <row r="3122" spans="1:9" x14ac:dyDescent="0.2">
      <c r="A3122" s="859">
        <f t="shared" si="48"/>
        <v>3121</v>
      </c>
      <c r="B3122" s="845" t="s">
        <v>2555</v>
      </c>
      <c r="D3122" s="861"/>
      <c r="H3122" s="845" t="s">
        <v>1010</v>
      </c>
    </row>
    <row r="3123" spans="1:9" x14ac:dyDescent="0.2">
      <c r="A3123" s="859">
        <f t="shared" si="48"/>
        <v>3122</v>
      </c>
      <c r="B3123" s="845" t="s">
        <v>2555</v>
      </c>
      <c r="D3123" s="861"/>
      <c r="H3123" s="845" t="s">
        <v>1007</v>
      </c>
    </row>
    <row r="3124" spans="1:9" x14ac:dyDescent="0.2">
      <c r="A3124" s="859">
        <f t="shared" si="48"/>
        <v>3123</v>
      </c>
      <c r="B3124" s="845" t="s">
        <v>2555</v>
      </c>
      <c r="D3124" s="862"/>
      <c r="I3124" s="845" t="s">
        <v>1530</v>
      </c>
    </row>
    <row r="3125" spans="1:9" x14ac:dyDescent="0.2">
      <c r="A3125" s="859">
        <f t="shared" si="48"/>
        <v>3124</v>
      </c>
      <c r="B3125" s="845" t="s">
        <v>2555</v>
      </c>
      <c r="D3125" s="863"/>
      <c r="I3125" s="845" t="str">
        <f>CONCATENATE("&lt;valeur&gt;",Cellule_824_1,"&lt;/valeur&gt;")</f>
        <v>&lt;valeur&gt;Impôt sur les sociétés&lt;/valeur&gt;</v>
      </c>
    </row>
    <row r="3126" spans="1:9" x14ac:dyDescent="0.2">
      <c r="A3126" s="859">
        <f t="shared" si="48"/>
        <v>3125</v>
      </c>
      <c r="B3126" s="845" t="s">
        <v>2555</v>
      </c>
      <c r="D3126" s="862"/>
      <c r="I3126" s="845" t="s">
        <v>1249</v>
      </c>
    </row>
    <row r="3127" spans="1:9" x14ac:dyDescent="0.2">
      <c r="A3127" s="859">
        <f t="shared" si="48"/>
        <v>3126</v>
      </c>
      <c r="B3127" s="845" t="s">
        <v>2555</v>
      </c>
      <c r="D3127" s="862"/>
      <c r="H3127" s="845" t="s">
        <v>1010</v>
      </c>
    </row>
    <row r="3128" spans="1:9" x14ac:dyDescent="0.2">
      <c r="A3128" s="859">
        <f t="shared" si="48"/>
        <v>3127</v>
      </c>
      <c r="B3128" s="845" t="s">
        <v>2555</v>
      </c>
      <c r="D3128" s="862"/>
      <c r="H3128" s="845" t="s">
        <v>1007</v>
      </c>
    </row>
    <row r="3129" spans="1:9" x14ac:dyDescent="0.2">
      <c r="A3129" s="859">
        <f t="shared" si="48"/>
        <v>3128</v>
      </c>
      <c r="B3129" s="845" t="s">
        <v>2555</v>
      </c>
      <c r="D3129" s="861"/>
      <c r="I3129" s="845" t="s">
        <v>1531</v>
      </c>
    </row>
    <row r="3130" spans="1:9" x14ac:dyDescent="0.2">
      <c r="A3130" s="859">
        <f t="shared" si="48"/>
        <v>3129</v>
      </c>
      <c r="B3130" s="845" t="s">
        <v>2555</v>
      </c>
      <c r="D3130" s="861"/>
      <c r="I3130" s="845" t="str">
        <f>CONCATENATE("&lt;valeur&gt;",Cellule_825_1,"&lt;/valeur&gt;")</f>
        <v>&lt;valeur&gt;0&lt;/valeur&gt;</v>
      </c>
    </row>
    <row r="3131" spans="1:9" x14ac:dyDescent="0.2">
      <c r="A3131" s="859">
        <f t="shared" si="48"/>
        <v>3130</v>
      </c>
      <c r="B3131" s="845" t="s">
        <v>2555</v>
      </c>
      <c r="D3131" s="862"/>
      <c r="I3131" s="845" t="s">
        <v>1249</v>
      </c>
    </row>
    <row r="3132" spans="1:9" x14ac:dyDescent="0.2">
      <c r="A3132" s="859">
        <f t="shared" si="48"/>
        <v>3131</v>
      </c>
      <c r="B3132" s="845" t="s">
        <v>2555</v>
      </c>
      <c r="D3132" s="863"/>
      <c r="H3132" s="845" t="s">
        <v>1010</v>
      </c>
    </row>
    <row r="3133" spans="1:9" x14ac:dyDescent="0.2">
      <c r="A3133" s="859">
        <f t="shared" si="48"/>
        <v>3132</v>
      </c>
      <c r="B3133" s="845" t="s">
        <v>2555</v>
      </c>
      <c r="D3133" s="862"/>
      <c r="H3133" s="845" t="s">
        <v>1007</v>
      </c>
    </row>
    <row r="3134" spans="1:9" x14ac:dyDescent="0.2">
      <c r="A3134" s="859">
        <f t="shared" si="48"/>
        <v>3133</v>
      </c>
      <c r="B3134" s="845" t="s">
        <v>2555</v>
      </c>
      <c r="D3134" s="862"/>
      <c r="I3134" s="845" t="s">
        <v>1532</v>
      </c>
    </row>
    <row r="3135" spans="1:9" x14ac:dyDescent="0.2">
      <c r="A3135" s="859">
        <f t="shared" si="48"/>
        <v>3134</v>
      </c>
      <c r="B3135" s="845" t="s">
        <v>2555</v>
      </c>
      <c r="D3135" s="862"/>
      <c r="I3135" s="845" t="str">
        <f>CONCATENATE("&lt;valeur&gt;",Cellule_826_1,"&lt;/valeur&gt;")</f>
        <v>&lt;valeur&gt;0&lt;/valeur&gt;</v>
      </c>
    </row>
    <row r="3136" spans="1:9" x14ac:dyDescent="0.2">
      <c r="A3136" s="859">
        <f t="shared" si="48"/>
        <v>3135</v>
      </c>
      <c r="B3136" s="845" t="s">
        <v>2555</v>
      </c>
      <c r="D3136" s="861"/>
      <c r="I3136" s="845" t="s">
        <v>1249</v>
      </c>
    </row>
    <row r="3137" spans="1:9" x14ac:dyDescent="0.2">
      <c r="A3137" s="859">
        <f t="shared" si="48"/>
        <v>3136</v>
      </c>
      <c r="B3137" s="845" t="s">
        <v>2555</v>
      </c>
      <c r="D3137" s="861"/>
      <c r="H3137" s="845" t="s">
        <v>1010</v>
      </c>
    </row>
    <row r="3138" spans="1:9" x14ac:dyDescent="0.2">
      <c r="A3138" s="859">
        <f t="shared" si="48"/>
        <v>3137</v>
      </c>
      <c r="B3138" s="845" t="s">
        <v>2555</v>
      </c>
      <c r="D3138" s="861"/>
      <c r="H3138" s="845" t="s">
        <v>1007</v>
      </c>
    </row>
    <row r="3139" spans="1:9" x14ac:dyDescent="0.2">
      <c r="A3139" s="859">
        <f t="shared" si="48"/>
        <v>3138</v>
      </c>
      <c r="B3139" s="845" t="s">
        <v>2555</v>
      </c>
      <c r="D3139" s="862"/>
      <c r="I3139" s="845" t="s">
        <v>1530</v>
      </c>
    </row>
    <row r="3140" spans="1:9" x14ac:dyDescent="0.2">
      <c r="A3140" s="859">
        <f t="shared" ref="A3140:A3203" si="49">+A3139+1</f>
        <v>3139</v>
      </c>
      <c r="B3140" s="845" t="s">
        <v>2555</v>
      </c>
      <c r="D3140" s="863"/>
      <c r="I3140" s="845" t="str">
        <f>CONCATENATE("&lt;valeur&gt;",Cellule_824_2,"&lt;/valeur&gt;")</f>
        <v>&lt;valeur&gt;Pénalités&lt;/valeur&gt;</v>
      </c>
    </row>
    <row r="3141" spans="1:9" x14ac:dyDescent="0.2">
      <c r="A3141" s="859">
        <f t="shared" si="49"/>
        <v>3140</v>
      </c>
      <c r="B3141" s="845" t="s">
        <v>2555</v>
      </c>
      <c r="D3141" s="862"/>
      <c r="I3141" s="845" t="s">
        <v>2577</v>
      </c>
    </row>
    <row r="3142" spans="1:9" x14ac:dyDescent="0.2">
      <c r="A3142" s="859">
        <f t="shared" si="49"/>
        <v>3141</v>
      </c>
      <c r="B3142" s="845" t="s">
        <v>2555</v>
      </c>
      <c r="D3142" s="862"/>
      <c r="H3142" s="845" t="s">
        <v>1010</v>
      </c>
    </row>
    <row r="3143" spans="1:9" x14ac:dyDescent="0.2">
      <c r="A3143" s="859">
        <f t="shared" si="49"/>
        <v>3142</v>
      </c>
      <c r="B3143" s="845" t="s">
        <v>2555</v>
      </c>
      <c r="D3143" s="862"/>
      <c r="H3143" s="845" t="s">
        <v>1007</v>
      </c>
    </row>
    <row r="3144" spans="1:9" x14ac:dyDescent="0.2">
      <c r="A3144" s="859">
        <f t="shared" si="49"/>
        <v>3143</v>
      </c>
      <c r="B3144" s="845" t="s">
        <v>2555</v>
      </c>
      <c r="D3144" s="861"/>
      <c r="I3144" s="845" t="s">
        <v>1531</v>
      </c>
    </row>
    <row r="3145" spans="1:9" x14ac:dyDescent="0.2">
      <c r="A3145" s="859">
        <f t="shared" si="49"/>
        <v>3144</v>
      </c>
      <c r="B3145" s="845" t="s">
        <v>2555</v>
      </c>
      <c r="D3145" s="861"/>
      <c r="I3145" s="845" t="str">
        <f>CONCATENATE("&lt;valeur&gt;",Cellule_825_2,"&lt;/valeur&gt;")</f>
        <v>&lt;valeur&gt;&lt;/valeur&gt;</v>
      </c>
    </row>
    <row r="3146" spans="1:9" x14ac:dyDescent="0.2">
      <c r="A3146" s="859">
        <f t="shared" si="49"/>
        <v>3145</v>
      </c>
      <c r="B3146" s="845" t="s">
        <v>2555</v>
      </c>
      <c r="D3146" s="862"/>
      <c r="I3146" s="845" t="s">
        <v>2577</v>
      </c>
    </row>
    <row r="3147" spans="1:9" x14ac:dyDescent="0.2">
      <c r="A3147" s="859">
        <f t="shared" si="49"/>
        <v>3146</v>
      </c>
      <c r="B3147" s="845" t="s">
        <v>2555</v>
      </c>
      <c r="D3147" s="863"/>
      <c r="H3147" s="845" t="s">
        <v>1010</v>
      </c>
    </row>
    <row r="3148" spans="1:9" x14ac:dyDescent="0.2">
      <c r="A3148" s="859">
        <f t="shared" si="49"/>
        <v>3147</v>
      </c>
      <c r="B3148" s="845" t="s">
        <v>2555</v>
      </c>
      <c r="D3148" s="862"/>
      <c r="H3148" s="845" t="s">
        <v>1007</v>
      </c>
    </row>
    <row r="3149" spans="1:9" x14ac:dyDescent="0.2">
      <c r="A3149" s="859">
        <f t="shared" si="49"/>
        <v>3148</v>
      </c>
      <c r="B3149" s="845" t="s">
        <v>2555</v>
      </c>
      <c r="D3149" s="862"/>
      <c r="I3149" s="845" t="s">
        <v>1532</v>
      </c>
    </row>
    <row r="3150" spans="1:9" x14ac:dyDescent="0.2">
      <c r="A3150" s="859">
        <f t="shared" si="49"/>
        <v>3149</v>
      </c>
      <c r="B3150" s="845" t="s">
        <v>2555</v>
      </c>
      <c r="D3150" s="862"/>
      <c r="I3150" s="845" t="str">
        <f>CONCATENATE("&lt;valeur&gt;",Cellule_826_2,"&lt;/valeur&gt;")</f>
        <v>&lt;valeur&gt;0&lt;/valeur&gt;</v>
      </c>
    </row>
    <row r="3151" spans="1:9" x14ac:dyDescent="0.2">
      <c r="A3151" s="859">
        <f t="shared" si="49"/>
        <v>3150</v>
      </c>
      <c r="B3151" s="845" t="s">
        <v>2555</v>
      </c>
      <c r="D3151" s="861"/>
      <c r="I3151" s="845" t="s">
        <v>2577</v>
      </c>
    </row>
    <row r="3152" spans="1:9" x14ac:dyDescent="0.2">
      <c r="A3152" s="859">
        <f t="shared" si="49"/>
        <v>3151</v>
      </c>
      <c r="B3152" s="845" t="s">
        <v>2555</v>
      </c>
      <c r="D3152" s="861"/>
      <c r="H3152" s="845" t="s">
        <v>1010</v>
      </c>
    </row>
    <row r="3153" spans="1:9" x14ac:dyDescent="0.2">
      <c r="A3153" s="859">
        <f t="shared" si="49"/>
        <v>3152</v>
      </c>
      <c r="B3153" s="845" t="s">
        <v>2555</v>
      </c>
      <c r="D3153" s="861"/>
      <c r="H3153" s="845" t="s">
        <v>1007</v>
      </c>
    </row>
    <row r="3154" spans="1:9" x14ac:dyDescent="0.2">
      <c r="A3154" s="859">
        <f t="shared" si="49"/>
        <v>3153</v>
      </c>
      <c r="B3154" s="845" t="s">
        <v>2555</v>
      </c>
      <c r="D3154" s="862"/>
      <c r="I3154" s="845" t="s">
        <v>1530</v>
      </c>
    </row>
    <row r="3155" spans="1:9" x14ac:dyDescent="0.2">
      <c r="A3155" s="859">
        <f t="shared" si="49"/>
        <v>3154</v>
      </c>
      <c r="B3155" s="845" t="s">
        <v>2555</v>
      </c>
      <c r="D3155" s="863"/>
      <c r="I3155" s="845" t="str">
        <f>CONCATENATE("&lt;valeur&gt;",Cellule_824_3,"&lt;/valeur&gt;")</f>
        <v>&lt;valeur&gt;Autres charges non courantes&lt;/valeur&gt;</v>
      </c>
    </row>
    <row r="3156" spans="1:9" x14ac:dyDescent="0.2">
      <c r="A3156" s="859">
        <f t="shared" si="49"/>
        <v>3155</v>
      </c>
      <c r="B3156" s="845" t="s">
        <v>2555</v>
      </c>
      <c r="D3156" s="862"/>
      <c r="I3156" s="845" t="s">
        <v>2578</v>
      </c>
    </row>
    <row r="3157" spans="1:9" x14ac:dyDescent="0.2">
      <c r="A3157" s="859">
        <f t="shared" si="49"/>
        <v>3156</v>
      </c>
      <c r="B3157" s="845" t="s">
        <v>2555</v>
      </c>
      <c r="D3157" s="862"/>
      <c r="H3157" s="845" t="s">
        <v>1010</v>
      </c>
    </row>
    <row r="3158" spans="1:9" x14ac:dyDescent="0.2">
      <c r="A3158" s="859">
        <f t="shared" si="49"/>
        <v>3157</v>
      </c>
      <c r="B3158" s="845" t="s">
        <v>2555</v>
      </c>
      <c r="D3158" s="862"/>
      <c r="H3158" s="845" t="s">
        <v>1007</v>
      </c>
    </row>
    <row r="3159" spans="1:9" x14ac:dyDescent="0.2">
      <c r="A3159" s="859">
        <f t="shared" si="49"/>
        <v>3158</v>
      </c>
      <c r="B3159" s="845" t="s">
        <v>2555</v>
      </c>
      <c r="D3159" s="861"/>
      <c r="I3159" s="845" t="s">
        <v>1531</v>
      </c>
    </row>
    <row r="3160" spans="1:9" x14ac:dyDescent="0.2">
      <c r="A3160" s="859">
        <f t="shared" si="49"/>
        <v>3159</v>
      </c>
      <c r="B3160" s="845" t="s">
        <v>2555</v>
      </c>
      <c r="D3160" s="861"/>
      <c r="I3160" s="845" t="str">
        <f>CONCATENATE("&lt;valeur&gt;",Cellule_825_3,"&lt;/valeur&gt;")</f>
        <v>&lt;valeur&gt;&lt;/valeur&gt;</v>
      </c>
    </row>
    <row r="3161" spans="1:9" x14ac:dyDescent="0.2">
      <c r="A3161" s="859">
        <f t="shared" si="49"/>
        <v>3160</v>
      </c>
      <c r="B3161" s="845" t="s">
        <v>2555</v>
      </c>
      <c r="D3161" s="862"/>
      <c r="I3161" s="845" t="s">
        <v>2578</v>
      </c>
    </row>
    <row r="3162" spans="1:9" x14ac:dyDescent="0.2">
      <c r="A3162" s="859">
        <f t="shared" si="49"/>
        <v>3161</v>
      </c>
      <c r="B3162" s="845" t="s">
        <v>2555</v>
      </c>
      <c r="D3162" s="863"/>
      <c r="H3162" s="845" t="s">
        <v>1010</v>
      </c>
    </row>
    <row r="3163" spans="1:9" x14ac:dyDescent="0.2">
      <c r="A3163" s="859">
        <f t="shared" si="49"/>
        <v>3162</v>
      </c>
      <c r="B3163" s="845" t="s">
        <v>2555</v>
      </c>
      <c r="D3163" s="862"/>
      <c r="H3163" s="845" t="s">
        <v>1007</v>
      </c>
    </row>
    <row r="3164" spans="1:9" x14ac:dyDescent="0.2">
      <c r="A3164" s="859">
        <f t="shared" si="49"/>
        <v>3163</v>
      </c>
      <c r="B3164" s="845" t="s">
        <v>2555</v>
      </c>
      <c r="D3164" s="862"/>
      <c r="I3164" s="845" t="s">
        <v>1532</v>
      </c>
    </row>
    <row r="3165" spans="1:9" x14ac:dyDescent="0.2">
      <c r="A3165" s="859">
        <f t="shared" si="49"/>
        <v>3164</v>
      </c>
      <c r="B3165" s="845" t="s">
        <v>2555</v>
      </c>
      <c r="D3165" s="862"/>
      <c r="I3165" s="845" t="str">
        <f>CONCATENATE("&lt;valeur&gt;",Cellule_826_3,"&lt;/valeur&gt;")</f>
        <v>&lt;valeur&gt;0&lt;/valeur&gt;</v>
      </c>
    </row>
    <row r="3166" spans="1:9" x14ac:dyDescent="0.2">
      <c r="A3166" s="859">
        <f t="shared" si="49"/>
        <v>3165</v>
      </c>
      <c r="B3166" s="845" t="s">
        <v>2555</v>
      </c>
      <c r="D3166" s="861"/>
      <c r="I3166" s="845" t="s">
        <v>2578</v>
      </c>
    </row>
    <row r="3167" spans="1:9" x14ac:dyDescent="0.2">
      <c r="A3167" s="859">
        <f t="shared" si="49"/>
        <v>3166</v>
      </c>
      <c r="B3167" s="845" t="s">
        <v>2555</v>
      </c>
      <c r="D3167" s="861"/>
      <c r="H3167" s="845" t="s">
        <v>1010</v>
      </c>
    </row>
    <row r="3168" spans="1:9" x14ac:dyDescent="0.2">
      <c r="A3168" s="859">
        <f t="shared" si="49"/>
        <v>3167</v>
      </c>
      <c r="B3168" s="845" t="s">
        <v>2555</v>
      </c>
      <c r="D3168" s="861"/>
      <c r="H3168" s="845" t="s">
        <v>1007</v>
      </c>
    </row>
    <row r="3169" spans="1:9" x14ac:dyDescent="0.2">
      <c r="A3169" s="859">
        <f t="shared" si="49"/>
        <v>3168</v>
      </c>
      <c r="B3169" s="845" t="s">
        <v>2555</v>
      </c>
      <c r="D3169" s="862"/>
      <c r="I3169" s="845" t="s">
        <v>1530</v>
      </c>
    </row>
    <row r="3170" spans="1:9" x14ac:dyDescent="0.2">
      <c r="A3170" s="859">
        <f t="shared" si="49"/>
        <v>3169</v>
      </c>
      <c r="B3170" s="845" t="s">
        <v>2555</v>
      </c>
      <c r="D3170" s="863"/>
      <c r="I3170" s="845" t="str">
        <f>CONCATENATE("&lt;valeur&gt;",Cellule_824_4,"&lt;/valeur&gt;")</f>
        <v>&lt;valeur&gt;&lt;/valeur&gt;</v>
      </c>
    </row>
    <row r="3171" spans="1:9" x14ac:dyDescent="0.2">
      <c r="A3171" s="859">
        <f t="shared" si="49"/>
        <v>3170</v>
      </c>
      <c r="B3171" s="845" t="s">
        <v>2555</v>
      </c>
      <c r="D3171" s="862"/>
      <c r="I3171" s="845" t="s">
        <v>2579</v>
      </c>
    </row>
    <row r="3172" spans="1:9" x14ac:dyDescent="0.2">
      <c r="A3172" s="859">
        <f t="shared" si="49"/>
        <v>3171</v>
      </c>
      <c r="B3172" s="845" t="s">
        <v>2555</v>
      </c>
      <c r="D3172" s="862"/>
      <c r="H3172" s="845" t="s">
        <v>1010</v>
      </c>
    </row>
    <row r="3173" spans="1:9" x14ac:dyDescent="0.2">
      <c r="A3173" s="859">
        <f t="shared" si="49"/>
        <v>3172</v>
      </c>
      <c r="B3173" s="845" t="s">
        <v>2555</v>
      </c>
      <c r="D3173" s="862"/>
      <c r="H3173" s="845" t="s">
        <v>1007</v>
      </c>
    </row>
    <row r="3174" spans="1:9" x14ac:dyDescent="0.2">
      <c r="A3174" s="859">
        <f t="shared" si="49"/>
        <v>3173</v>
      </c>
      <c r="B3174" s="845" t="s">
        <v>2555</v>
      </c>
      <c r="D3174" s="861"/>
      <c r="I3174" s="845" t="s">
        <v>1531</v>
      </c>
    </row>
    <row r="3175" spans="1:9" x14ac:dyDescent="0.2">
      <c r="A3175" s="859">
        <f t="shared" si="49"/>
        <v>3174</v>
      </c>
      <c r="B3175" s="845" t="s">
        <v>2555</v>
      </c>
      <c r="D3175" s="861"/>
      <c r="I3175" s="845" t="str">
        <f>CONCATENATE("&lt;valeur&gt;",Cellule_825_4,"&lt;/valeur&gt;")</f>
        <v>&lt;valeur&gt;0&lt;/valeur&gt;</v>
      </c>
    </row>
    <row r="3176" spans="1:9" x14ac:dyDescent="0.2">
      <c r="A3176" s="859">
        <f t="shared" si="49"/>
        <v>3175</v>
      </c>
      <c r="B3176" s="845" t="s">
        <v>2555</v>
      </c>
      <c r="D3176" s="862"/>
      <c r="I3176" s="845" t="s">
        <v>2579</v>
      </c>
    </row>
    <row r="3177" spans="1:9" x14ac:dyDescent="0.2">
      <c r="A3177" s="859">
        <f t="shared" si="49"/>
        <v>3176</v>
      </c>
      <c r="B3177" s="845" t="s">
        <v>2555</v>
      </c>
      <c r="D3177" s="863"/>
      <c r="H3177" s="845" t="s">
        <v>1010</v>
      </c>
    </row>
    <row r="3178" spans="1:9" x14ac:dyDescent="0.2">
      <c r="A3178" s="859">
        <f t="shared" si="49"/>
        <v>3177</v>
      </c>
      <c r="B3178" s="845" t="s">
        <v>2555</v>
      </c>
      <c r="D3178" s="862"/>
      <c r="H3178" s="845" t="s">
        <v>1007</v>
      </c>
    </row>
    <row r="3179" spans="1:9" x14ac:dyDescent="0.2">
      <c r="A3179" s="859">
        <f t="shared" si="49"/>
        <v>3178</v>
      </c>
      <c r="B3179" s="845" t="s">
        <v>2555</v>
      </c>
      <c r="D3179" s="862"/>
      <c r="I3179" s="845" t="s">
        <v>1532</v>
      </c>
    </row>
    <row r="3180" spans="1:9" x14ac:dyDescent="0.2">
      <c r="A3180" s="859">
        <f t="shared" si="49"/>
        <v>3179</v>
      </c>
      <c r="B3180" s="845" t="s">
        <v>2555</v>
      </c>
      <c r="D3180" s="862"/>
      <c r="I3180" s="845" t="str">
        <f>CONCATENATE("&lt;valeur&gt;",Cellule_826_4,"&lt;/valeur&gt;")</f>
        <v>&lt;valeur&gt;0&lt;/valeur&gt;</v>
      </c>
    </row>
    <row r="3181" spans="1:9" x14ac:dyDescent="0.2">
      <c r="A3181" s="859">
        <f t="shared" si="49"/>
        <v>3180</v>
      </c>
      <c r="B3181" s="845" t="s">
        <v>2555</v>
      </c>
      <c r="D3181" s="861"/>
      <c r="I3181" s="845" t="s">
        <v>2579</v>
      </c>
    </row>
    <row r="3182" spans="1:9" x14ac:dyDescent="0.2">
      <c r="A3182" s="859">
        <f t="shared" si="49"/>
        <v>3181</v>
      </c>
      <c r="B3182" s="845" t="s">
        <v>2555</v>
      </c>
      <c r="D3182" s="861"/>
      <c r="H3182" s="845" t="s">
        <v>1010</v>
      </c>
    </row>
    <row r="3183" spans="1:9" x14ac:dyDescent="0.2">
      <c r="A3183" s="859">
        <f t="shared" si="49"/>
        <v>3182</v>
      </c>
      <c r="B3183" s="845" t="s">
        <v>2555</v>
      </c>
      <c r="D3183" s="861"/>
      <c r="H3183" s="845" t="s">
        <v>1007</v>
      </c>
    </row>
    <row r="3184" spans="1:9" x14ac:dyDescent="0.2">
      <c r="A3184" s="859">
        <f t="shared" si="49"/>
        <v>3183</v>
      </c>
      <c r="B3184" s="845" t="s">
        <v>2555</v>
      </c>
      <c r="D3184" s="862"/>
      <c r="I3184" s="845" t="s">
        <v>1530</v>
      </c>
    </row>
    <row r="3185" spans="1:9" x14ac:dyDescent="0.2">
      <c r="A3185" s="859">
        <f t="shared" si="49"/>
        <v>3184</v>
      </c>
      <c r="B3185" s="845" t="s">
        <v>2555</v>
      </c>
      <c r="D3185" s="863"/>
      <c r="I3185" s="845" t="str">
        <f>CONCATENATE("&lt;valeur&gt;",Cellule_824_5,"&lt;/valeur&gt;")</f>
        <v>&lt;valeur&gt;&lt;/valeur&gt;</v>
      </c>
    </row>
    <row r="3186" spans="1:9" x14ac:dyDescent="0.2">
      <c r="A3186" s="859">
        <f t="shared" si="49"/>
        <v>3185</v>
      </c>
      <c r="B3186" s="845" t="s">
        <v>2555</v>
      </c>
      <c r="D3186" s="862"/>
      <c r="I3186" s="845" t="s">
        <v>2580</v>
      </c>
    </row>
    <row r="3187" spans="1:9" x14ac:dyDescent="0.2">
      <c r="A3187" s="859">
        <f t="shared" si="49"/>
        <v>3186</v>
      </c>
      <c r="B3187" s="845" t="s">
        <v>2555</v>
      </c>
      <c r="D3187" s="862"/>
      <c r="H3187" s="845" t="s">
        <v>1010</v>
      </c>
    </row>
    <row r="3188" spans="1:9" x14ac:dyDescent="0.2">
      <c r="A3188" s="859">
        <f t="shared" si="49"/>
        <v>3187</v>
      </c>
      <c r="B3188" s="845" t="s">
        <v>2555</v>
      </c>
      <c r="D3188" s="862"/>
      <c r="H3188" s="845" t="s">
        <v>1007</v>
      </c>
    </row>
    <row r="3189" spans="1:9" x14ac:dyDescent="0.2">
      <c r="A3189" s="859">
        <f t="shared" si="49"/>
        <v>3188</v>
      </c>
      <c r="B3189" s="845" t="s">
        <v>2555</v>
      </c>
      <c r="D3189" s="861"/>
      <c r="I3189" s="845" t="s">
        <v>1531</v>
      </c>
    </row>
    <row r="3190" spans="1:9" x14ac:dyDescent="0.2">
      <c r="A3190" s="859">
        <f t="shared" si="49"/>
        <v>3189</v>
      </c>
      <c r="B3190" s="845" t="s">
        <v>2555</v>
      </c>
      <c r="D3190" s="861"/>
      <c r="I3190" s="845" t="str">
        <f>CONCATENATE("&lt;valeur&gt;",Cellule_825_5,"&lt;/valeur&gt;")</f>
        <v>&lt;valeur&gt;0&lt;/valeur&gt;</v>
      </c>
    </row>
    <row r="3191" spans="1:9" x14ac:dyDescent="0.2">
      <c r="A3191" s="859">
        <f t="shared" si="49"/>
        <v>3190</v>
      </c>
      <c r="B3191" s="845" t="s">
        <v>2555</v>
      </c>
      <c r="D3191" s="862"/>
      <c r="I3191" s="845" t="s">
        <v>2580</v>
      </c>
    </row>
    <row r="3192" spans="1:9" x14ac:dyDescent="0.2">
      <c r="A3192" s="859">
        <f t="shared" si="49"/>
        <v>3191</v>
      </c>
      <c r="B3192" s="845" t="s">
        <v>2555</v>
      </c>
      <c r="D3192" s="863"/>
      <c r="H3192" s="845" t="s">
        <v>1010</v>
      </c>
    </row>
    <row r="3193" spans="1:9" x14ac:dyDescent="0.2">
      <c r="A3193" s="859">
        <f t="shared" si="49"/>
        <v>3192</v>
      </c>
      <c r="B3193" s="845" t="s">
        <v>2555</v>
      </c>
      <c r="D3193" s="862"/>
      <c r="H3193" s="845" t="s">
        <v>1007</v>
      </c>
    </row>
    <row r="3194" spans="1:9" x14ac:dyDescent="0.2">
      <c r="A3194" s="859">
        <f t="shared" si="49"/>
        <v>3193</v>
      </c>
      <c r="B3194" s="845" t="s">
        <v>2555</v>
      </c>
      <c r="D3194" s="862"/>
      <c r="I3194" s="845" t="s">
        <v>1532</v>
      </c>
    </row>
    <row r="3195" spans="1:9" x14ac:dyDescent="0.2">
      <c r="A3195" s="859">
        <f t="shared" si="49"/>
        <v>3194</v>
      </c>
      <c r="B3195" s="845" t="s">
        <v>2555</v>
      </c>
      <c r="D3195" s="862"/>
      <c r="I3195" s="845" t="str">
        <f>CONCATENATE("&lt;valeur&gt;",Cellule_826_5,"&lt;/valeur&gt;")</f>
        <v>&lt;valeur&gt;0&lt;/valeur&gt;</v>
      </c>
    </row>
    <row r="3196" spans="1:9" x14ac:dyDescent="0.2">
      <c r="A3196" s="859">
        <f t="shared" si="49"/>
        <v>3195</v>
      </c>
      <c r="B3196" s="845" t="s">
        <v>2555</v>
      </c>
      <c r="D3196" s="861"/>
      <c r="I3196" s="845" t="s">
        <v>2580</v>
      </c>
    </row>
    <row r="3197" spans="1:9" x14ac:dyDescent="0.2">
      <c r="A3197" s="859">
        <f t="shared" si="49"/>
        <v>3196</v>
      </c>
      <c r="B3197" s="845" t="s">
        <v>2555</v>
      </c>
      <c r="D3197" s="861"/>
      <c r="H3197" s="845" t="s">
        <v>1010</v>
      </c>
    </row>
    <row r="3198" spans="1:9" x14ac:dyDescent="0.2">
      <c r="A3198" s="859">
        <f t="shared" si="49"/>
        <v>3197</v>
      </c>
      <c r="B3198" s="845" t="s">
        <v>2555</v>
      </c>
      <c r="D3198" s="861"/>
      <c r="H3198" s="845" t="s">
        <v>1007</v>
      </c>
    </row>
    <row r="3199" spans="1:9" x14ac:dyDescent="0.2">
      <c r="A3199" s="859">
        <f t="shared" si="49"/>
        <v>3198</v>
      </c>
      <c r="B3199" s="845" t="s">
        <v>2555</v>
      </c>
      <c r="D3199" s="862"/>
      <c r="I3199" s="845" t="s">
        <v>1530</v>
      </c>
    </row>
    <row r="3200" spans="1:9" x14ac:dyDescent="0.2">
      <c r="A3200" s="859">
        <f t="shared" si="49"/>
        <v>3199</v>
      </c>
      <c r="B3200" s="845" t="s">
        <v>2555</v>
      </c>
      <c r="D3200" s="863"/>
      <c r="I3200" s="845" t="str">
        <f>CONCATENATE("&lt;valeur&gt;",Cellule_824_6,"&lt;/valeur&gt;")</f>
        <v>&lt;valeur&gt;&lt;/valeur&gt;</v>
      </c>
    </row>
    <row r="3201" spans="1:9" x14ac:dyDescent="0.2">
      <c r="A3201" s="859">
        <f t="shared" si="49"/>
        <v>3200</v>
      </c>
      <c r="B3201" s="845" t="s">
        <v>2555</v>
      </c>
      <c r="D3201" s="862"/>
      <c r="I3201" s="845" t="s">
        <v>2581</v>
      </c>
    </row>
    <row r="3202" spans="1:9" x14ac:dyDescent="0.2">
      <c r="A3202" s="859">
        <f t="shared" si="49"/>
        <v>3201</v>
      </c>
      <c r="B3202" s="845" t="s">
        <v>2555</v>
      </c>
      <c r="D3202" s="862"/>
      <c r="H3202" s="845" t="s">
        <v>1010</v>
      </c>
    </row>
    <row r="3203" spans="1:9" x14ac:dyDescent="0.2">
      <c r="A3203" s="859">
        <f t="shared" si="49"/>
        <v>3202</v>
      </c>
      <c r="B3203" s="845" t="s">
        <v>2555</v>
      </c>
      <c r="D3203" s="862"/>
      <c r="H3203" s="845" t="s">
        <v>1007</v>
      </c>
    </row>
    <row r="3204" spans="1:9" x14ac:dyDescent="0.2">
      <c r="A3204" s="859">
        <f t="shared" ref="A3204:A3267" si="50">+A3203+1</f>
        <v>3203</v>
      </c>
      <c r="B3204" s="845" t="s">
        <v>2555</v>
      </c>
      <c r="D3204" s="861"/>
      <c r="I3204" s="845" t="s">
        <v>1531</v>
      </c>
    </row>
    <row r="3205" spans="1:9" x14ac:dyDescent="0.2">
      <c r="A3205" s="859">
        <f t="shared" si="50"/>
        <v>3204</v>
      </c>
      <c r="B3205" s="845" t="s">
        <v>2555</v>
      </c>
      <c r="D3205" s="861"/>
      <c r="I3205" s="845" t="str">
        <f>CONCATENATE("&lt;valeur&gt;",Cellule_825_6,"&lt;/valeur&gt;")</f>
        <v>&lt;valeur&gt;0&lt;/valeur&gt;</v>
      </c>
    </row>
    <row r="3206" spans="1:9" x14ac:dyDescent="0.2">
      <c r="A3206" s="859">
        <f t="shared" si="50"/>
        <v>3205</v>
      </c>
      <c r="B3206" s="845" t="s">
        <v>2555</v>
      </c>
      <c r="D3206" s="862"/>
      <c r="I3206" s="845" t="s">
        <v>2581</v>
      </c>
    </row>
    <row r="3207" spans="1:9" x14ac:dyDescent="0.2">
      <c r="A3207" s="859">
        <f t="shared" si="50"/>
        <v>3206</v>
      </c>
      <c r="B3207" s="845" t="s">
        <v>2555</v>
      </c>
      <c r="D3207" s="863"/>
      <c r="H3207" s="845" t="s">
        <v>1010</v>
      </c>
    </row>
    <row r="3208" spans="1:9" x14ac:dyDescent="0.2">
      <c r="A3208" s="859">
        <f t="shared" si="50"/>
        <v>3207</v>
      </c>
      <c r="B3208" s="845" t="s">
        <v>2555</v>
      </c>
      <c r="D3208" s="862"/>
      <c r="H3208" s="845" t="s">
        <v>1007</v>
      </c>
    </row>
    <row r="3209" spans="1:9" x14ac:dyDescent="0.2">
      <c r="A3209" s="859">
        <f t="shared" si="50"/>
        <v>3208</v>
      </c>
      <c r="B3209" s="845" t="s">
        <v>2555</v>
      </c>
      <c r="D3209" s="862"/>
      <c r="I3209" s="845" t="s">
        <v>1532</v>
      </c>
    </row>
    <row r="3210" spans="1:9" x14ac:dyDescent="0.2">
      <c r="A3210" s="859">
        <f t="shared" si="50"/>
        <v>3209</v>
      </c>
      <c r="B3210" s="845" t="s">
        <v>2555</v>
      </c>
      <c r="D3210" s="862"/>
      <c r="I3210" s="845" t="str">
        <f>CONCATENATE("&lt;valeur&gt;",Cellule_826_6,"&lt;/valeur&gt;")</f>
        <v>&lt;valeur&gt;0&lt;/valeur&gt;</v>
      </c>
    </row>
    <row r="3211" spans="1:9" x14ac:dyDescent="0.2">
      <c r="A3211" s="859">
        <f t="shared" si="50"/>
        <v>3210</v>
      </c>
      <c r="B3211" s="845" t="s">
        <v>2555</v>
      </c>
      <c r="D3211" s="861"/>
      <c r="I3211" s="845" t="s">
        <v>2581</v>
      </c>
    </row>
    <row r="3212" spans="1:9" x14ac:dyDescent="0.2">
      <c r="A3212" s="859">
        <f t="shared" si="50"/>
        <v>3211</v>
      </c>
      <c r="B3212" s="845" t="s">
        <v>2555</v>
      </c>
      <c r="D3212" s="861"/>
      <c r="H3212" s="845" t="s">
        <v>1010</v>
      </c>
    </row>
    <row r="3213" spans="1:9" x14ac:dyDescent="0.2">
      <c r="A3213" s="859">
        <f t="shared" si="50"/>
        <v>3212</v>
      </c>
      <c r="B3213" s="845" t="s">
        <v>2555</v>
      </c>
      <c r="D3213" s="862"/>
      <c r="H3213" s="845" t="s">
        <v>1007</v>
      </c>
    </row>
    <row r="3214" spans="1:9" x14ac:dyDescent="0.2">
      <c r="A3214" s="859">
        <f t="shared" si="50"/>
        <v>3213</v>
      </c>
      <c r="B3214" s="845" t="s">
        <v>2555</v>
      </c>
      <c r="D3214" s="863"/>
      <c r="I3214" s="845" t="s">
        <v>1533</v>
      </c>
    </row>
    <row r="3215" spans="1:9" x14ac:dyDescent="0.2">
      <c r="A3215" s="859">
        <f t="shared" si="50"/>
        <v>3214</v>
      </c>
      <c r="B3215" s="845" t="s">
        <v>2555</v>
      </c>
      <c r="D3215" s="862"/>
      <c r="I3215" s="845" t="str">
        <f>CONCATENATE("&lt;valeur&gt;",Cellule_827_1,"&lt;/valeur&gt;")</f>
        <v>&lt;valeur&gt;Abattement sur dividendes&lt;/valeur&gt;</v>
      </c>
    </row>
    <row r="3216" spans="1:9" x14ac:dyDescent="0.2">
      <c r="A3216" s="859">
        <f t="shared" si="50"/>
        <v>3215</v>
      </c>
      <c r="B3216" s="845" t="s">
        <v>2555</v>
      </c>
      <c r="D3216" s="862"/>
      <c r="I3216" s="845" t="s">
        <v>1249</v>
      </c>
    </row>
    <row r="3217" spans="1:9" x14ac:dyDescent="0.2">
      <c r="A3217" s="859">
        <f t="shared" si="50"/>
        <v>3216</v>
      </c>
      <c r="B3217" s="845" t="s">
        <v>2555</v>
      </c>
      <c r="D3217" s="862"/>
      <c r="H3217" s="845" t="s">
        <v>1010</v>
      </c>
    </row>
    <row r="3218" spans="1:9" x14ac:dyDescent="0.2">
      <c r="A3218" s="859">
        <f t="shared" si="50"/>
        <v>3217</v>
      </c>
      <c r="B3218" s="845" t="s">
        <v>2555</v>
      </c>
      <c r="D3218" s="861"/>
      <c r="H3218" s="845" t="s">
        <v>1007</v>
      </c>
    </row>
    <row r="3219" spans="1:9" x14ac:dyDescent="0.2">
      <c r="A3219" s="859">
        <f t="shared" si="50"/>
        <v>3218</v>
      </c>
      <c r="B3219" s="845" t="s">
        <v>2555</v>
      </c>
      <c r="D3219" s="861"/>
      <c r="I3219" s="845" t="s">
        <v>1534</v>
      </c>
    </row>
    <row r="3220" spans="1:9" x14ac:dyDescent="0.2">
      <c r="A3220" s="859">
        <f t="shared" si="50"/>
        <v>3219</v>
      </c>
      <c r="B3220" s="845" t="s">
        <v>2555</v>
      </c>
      <c r="D3220" s="862"/>
      <c r="I3220" s="845" t="str">
        <f>CONCATENATE("&lt;valeur&gt;",Cellule_828_1,"&lt;/valeur&gt;")</f>
        <v>&lt;valeur&gt;0&lt;/valeur&gt;</v>
      </c>
    </row>
    <row r="3221" spans="1:9" x14ac:dyDescent="0.2">
      <c r="A3221" s="859">
        <f t="shared" si="50"/>
        <v>3220</v>
      </c>
      <c r="B3221" s="845" t="s">
        <v>2555</v>
      </c>
      <c r="D3221" s="863"/>
      <c r="I3221" s="845" t="s">
        <v>1249</v>
      </c>
    </row>
    <row r="3222" spans="1:9" x14ac:dyDescent="0.2">
      <c r="A3222" s="859">
        <f t="shared" si="50"/>
        <v>3221</v>
      </c>
      <c r="B3222" s="845" t="s">
        <v>2555</v>
      </c>
      <c r="D3222" s="862"/>
      <c r="H3222" s="845" t="s">
        <v>1010</v>
      </c>
    </row>
    <row r="3223" spans="1:9" x14ac:dyDescent="0.2">
      <c r="A3223" s="859">
        <f t="shared" si="50"/>
        <v>3222</v>
      </c>
      <c r="B3223" s="845" t="s">
        <v>2555</v>
      </c>
      <c r="D3223" s="862"/>
      <c r="H3223" s="845" t="s">
        <v>1007</v>
      </c>
    </row>
    <row r="3224" spans="1:9" x14ac:dyDescent="0.2">
      <c r="A3224" s="859">
        <f t="shared" si="50"/>
        <v>3223</v>
      </c>
      <c r="B3224" s="845" t="s">
        <v>2555</v>
      </c>
      <c r="D3224" s="862"/>
      <c r="I3224" s="845" t="s">
        <v>1535</v>
      </c>
    </row>
    <row r="3225" spans="1:9" x14ac:dyDescent="0.2">
      <c r="A3225" s="859">
        <f t="shared" si="50"/>
        <v>3224</v>
      </c>
      <c r="B3225" s="845" t="s">
        <v>2555</v>
      </c>
      <c r="D3225" s="861"/>
      <c r="I3225" s="845" t="str">
        <f>CONCATENATE("&lt;valeur&gt;",Cellule_830_1,"&lt;/valeur&gt;")</f>
        <v>&lt;valeur&gt;0&lt;/valeur&gt;</v>
      </c>
    </row>
    <row r="3226" spans="1:9" x14ac:dyDescent="0.2">
      <c r="A3226" s="859">
        <f t="shared" si="50"/>
        <v>3225</v>
      </c>
      <c r="B3226" s="845" t="s">
        <v>2555</v>
      </c>
      <c r="D3226" s="861"/>
      <c r="I3226" s="845" t="s">
        <v>1249</v>
      </c>
    </row>
    <row r="3227" spans="1:9" x14ac:dyDescent="0.2">
      <c r="A3227" s="859">
        <f t="shared" si="50"/>
        <v>3226</v>
      </c>
      <c r="B3227" s="845" t="s">
        <v>2555</v>
      </c>
      <c r="D3227" s="862"/>
      <c r="H3227" s="845" t="s">
        <v>1010</v>
      </c>
    </row>
    <row r="3228" spans="1:9" x14ac:dyDescent="0.2">
      <c r="A3228" s="859">
        <f t="shared" si="50"/>
        <v>3227</v>
      </c>
      <c r="B3228" s="845" t="s">
        <v>2555</v>
      </c>
      <c r="D3228" s="862"/>
      <c r="H3228" s="845" t="s">
        <v>1007</v>
      </c>
    </row>
    <row r="3229" spans="1:9" x14ac:dyDescent="0.2">
      <c r="A3229" s="859">
        <f t="shared" si="50"/>
        <v>3228</v>
      </c>
      <c r="B3229" s="845" t="s">
        <v>2555</v>
      </c>
      <c r="D3229" s="863"/>
      <c r="I3229" s="845" t="s">
        <v>1533</v>
      </c>
    </row>
    <row r="3230" spans="1:9" x14ac:dyDescent="0.2">
      <c r="A3230" s="859">
        <f t="shared" si="50"/>
        <v>3229</v>
      </c>
      <c r="B3230" s="845" t="s">
        <v>2555</v>
      </c>
      <c r="D3230" s="862"/>
      <c r="I3230" s="845" t="str">
        <f>CONCATENATE("&lt;valeur&gt;",Cellule_827_2,"&lt;/valeur&gt;")</f>
        <v>&lt;valeur&gt;Abattement sur cession de titres&lt;/valeur&gt;</v>
      </c>
    </row>
    <row r="3231" spans="1:9" x14ac:dyDescent="0.2">
      <c r="A3231" s="859">
        <f t="shared" si="50"/>
        <v>3230</v>
      </c>
      <c r="B3231" s="845" t="s">
        <v>2555</v>
      </c>
      <c r="D3231" s="862"/>
      <c r="I3231" s="845" t="s">
        <v>2577</v>
      </c>
    </row>
    <row r="3232" spans="1:9" x14ac:dyDescent="0.2">
      <c r="A3232" s="859">
        <f t="shared" si="50"/>
        <v>3231</v>
      </c>
      <c r="B3232" s="845" t="s">
        <v>2555</v>
      </c>
      <c r="D3232" s="862"/>
      <c r="H3232" s="845" t="s">
        <v>1010</v>
      </c>
    </row>
    <row r="3233" spans="1:9" x14ac:dyDescent="0.2">
      <c r="A3233" s="859">
        <f t="shared" si="50"/>
        <v>3232</v>
      </c>
      <c r="B3233" s="845" t="s">
        <v>2555</v>
      </c>
      <c r="D3233" s="861"/>
      <c r="H3233" s="845" t="s">
        <v>1007</v>
      </c>
    </row>
    <row r="3234" spans="1:9" x14ac:dyDescent="0.2">
      <c r="A3234" s="859">
        <f t="shared" si="50"/>
        <v>3233</v>
      </c>
      <c r="B3234" s="845" t="s">
        <v>2555</v>
      </c>
      <c r="D3234" s="861"/>
      <c r="I3234" s="845" t="s">
        <v>1534</v>
      </c>
    </row>
    <row r="3235" spans="1:9" x14ac:dyDescent="0.2">
      <c r="A3235" s="859">
        <f t="shared" si="50"/>
        <v>3234</v>
      </c>
      <c r="B3235" s="845" t="s">
        <v>2555</v>
      </c>
      <c r="D3235" s="862"/>
      <c r="I3235" s="845" t="str">
        <f>CONCATENATE("&lt;valeur&gt;",Cellule_828_2,"&lt;/valeur&gt;")</f>
        <v>&lt;valeur&gt;0&lt;/valeur&gt;</v>
      </c>
    </row>
    <row r="3236" spans="1:9" x14ac:dyDescent="0.2">
      <c r="A3236" s="859">
        <f t="shared" si="50"/>
        <v>3235</v>
      </c>
      <c r="B3236" s="845" t="s">
        <v>2555</v>
      </c>
      <c r="D3236" s="863"/>
      <c r="I3236" s="845" t="s">
        <v>2577</v>
      </c>
    </row>
    <row r="3237" spans="1:9" x14ac:dyDescent="0.2">
      <c r="A3237" s="859">
        <f t="shared" si="50"/>
        <v>3236</v>
      </c>
      <c r="B3237" s="845" t="s">
        <v>2555</v>
      </c>
      <c r="D3237" s="862"/>
      <c r="H3237" s="845" t="s">
        <v>1010</v>
      </c>
    </row>
    <row r="3238" spans="1:9" x14ac:dyDescent="0.2">
      <c r="A3238" s="859">
        <f t="shared" si="50"/>
        <v>3237</v>
      </c>
      <c r="B3238" s="845" t="s">
        <v>2555</v>
      </c>
      <c r="D3238" s="862"/>
      <c r="H3238" s="845" t="s">
        <v>1007</v>
      </c>
    </row>
    <row r="3239" spans="1:9" x14ac:dyDescent="0.2">
      <c r="A3239" s="859">
        <f t="shared" si="50"/>
        <v>3238</v>
      </c>
      <c r="B3239" s="845" t="s">
        <v>2555</v>
      </c>
      <c r="D3239" s="862"/>
      <c r="I3239" s="845" t="s">
        <v>1535</v>
      </c>
    </row>
    <row r="3240" spans="1:9" x14ac:dyDescent="0.2">
      <c r="A3240" s="859">
        <f t="shared" si="50"/>
        <v>3239</v>
      </c>
      <c r="B3240" s="845" t="s">
        <v>2555</v>
      </c>
      <c r="D3240" s="861"/>
      <c r="I3240" s="845" t="str">
        <f>CONCATENATE("&lt;valeur&gt;",Cellule_830_2,"&lt;/valeur&gt;")</f>
        <v>&lt;valeur&gt;0&lt;/valeur&gt;</v>
      </c>
    </row>
    <row r="3241" spans="1:9" x14ac:dyDescent="0.2">
      <c r="A3241" s="859">
        <f t="shared" si="50"/>
        <v>3240</v>
      </c>
      <c r="B3241" s="845" t="s">
        <v>2555</v>
      </c>
      <c r="D3241" s="861"/>
      <c r="I3241" s="845" t="s">
        <v>2577</v>
      </c>
    </row>
    <row r="3242" spans="1:9" x14ac:dyDescent="0.2">
      <c r="A3242" s="859">
        <f t="shared" si="50"/>
        <v>3241</v>
      </c>
      <c r="B3242" s="845" t="s">
        <v>2555</v>
      </c>
      <c r="D3242" s="862"/>
      <c r="H3242" s="845" t="s">
        <v>1010</v>
      </c>
    </row>
    <row r="3243" spans="1:9" x14ac:dyDescent="0.2">
      <c r="A3243" s="859">
        <f t="shared" si="50"/>
        <v>3242</v>
      </c>
      <c r="B3243" s="845" t="s">
        <v>2555</v>
      </c>
      <c r="D3243" s="862"/>
      <c r="H3243" s="845" t="s">
        <v>1007</v>
      </c>
    </row>
    <row r="3244" spans="1:9" x14ac:dyDescent="0.2">
      <c r="A3244" s="859">
        <f t="shared" si="50"/>
        <v>3243</v>
      </c>
      <c r="B3244" s="845" t="s">
        <v>2555</v>
      </c>
      <c r="D3244" s="863"/>
      <c r="I3244" s="845" t="s">
        <v>1533</v>
      </c>
    </row>
    <row r="3245" spans="1:9" x14ac:dyDescent="0.2">
      <c r="A3245" s="859">
        <f t="shared" si="50"/>
        <v>3244</v>
      </c>
      <c r="B3245" s="845" t="s">
        <v>2555</v>
      </c>
      <c r="D3245" s="862"/>
      <c r="I3245" s="845" t="str">
        <f>CONCATENATE("&lt;valeur&gt;",Cellule_827_3,"&lt;/valeur&gt;")</f>
        <v>&lt;valeur&gt;&lt;/valeur&gt;</v>
      </c>
    </row>
    <row r="3246" spans="1:9" x14ac:dyDescent="0.2">
      <c r="A3246" s="859">
        <f t="shared" si="50"/>
        <v>3245</v>
      </c>
      <c r="B3246" s="845" t="s">
        <v>2555</v>
      </c>
      <c r="D3246" s="862"/>
      <c r="I3246" s="845" t="s">
        <v>2578</v>
      </c>
    </row>
    <row r="3247" spans="1:9" x14ac:dyDescent="0.2">
      <c r="A3247" s="859">
        <f t="shared" si="50"/>
        <v>3246</v>
      </c>
      <c r="B3247" s="845" t="s">
        <v>2555</v>
      </c>
      <c r="D3247" s="862"/>
      <c r="H3247" s="845" t="s">
        <v>1010</v>
      </c>
    </row>
    <row r="3248" spans="1:9" x14ac:dyDescent="0.2">
      <c r="A3248" s="859">
        <f t="shared" si="50"/>
        <v>3247</v>
      </c>
      <c r="B3248" s="845" t="s">
        <v>2555</v>
      </c>
      <c r="D3248" s="861"/>
      <c r="H3248" s="845" t="s">
        <v>1007</v>
      </c>
    </row>
    <row r="3249" spans="1:9" x14ac:dyDescent="0.2">
      <c r="A3249" s="859">
        <f t="shared" si="50"/>
        <v>3248</v>
      </c>
      <c r="B3249" s="845" t="s">
        <v>2555</v>
      </c>
      <c r="D3249" s="861"/>
      <c r="I3249" s="845" t="s">
        <v>1534</v>
      </c>
    </row>
    <row r="3250" spans="1:9" x14ac:dyDescent="0.2">
      <c r="A3250" s="859">
        <f t="shared" si="50"/>
        <v>3249</v>
      </c>
      <c r="B3250" s="845" t="s">
        <v>2555</v>
      </c>
      <c r="D3250" s="862"/>
      <c r="I3250" s="845" t="str">
        <f>CONCATENATE("&lt;valeur&gt;",Cellule_828_3,"&lt;/valeur&gt;")</f>
        <v>&lt;valeur&gt;0&lt;/valeur&gt;</v>
      </c>
    </row>
    <row r="3251" spans="1:9" x14ac:dyDescent="0.2">
      <c r="A3251" s="859">
        <f t="shared" si="50"/>
        <v>3250</v>
      </c>
      <c r="B3251" s="845" t="s">
        <v>2555</v>
      </c>
      <c r="D3251" s="863"/>
      <c r="I3251" s="845" t="s">
        <v>2578</v>
      </c>
    </row>
    <row r="3252" spans="1:9" x14ac:dyDescent="0.2">
      <c r="A3252" s="859">
        <f t="shared" si="50"/>
        <v>3251</v>
      </c>
      <c r="B3252" s="845" t="s">
        <v>2555</v>
      </c>
      <c r="D3252" s="862"/>
      <c r="H3252" s="845" t="s">
        <v>1010</v>
      </c>
    </row>
    <row r="3253" spans="1:9" x14ac:dyDescent="0.2">
      <c r="A3253" s="859">
        <f t="shared" si="50"/>
        <v>3252</v>
      </c>
      <c r="B3253" s="845" t="s">
        <v>2555</v>
      </c>
      <c r="D3253" s="862"/>
      <c r="H3253" s="845" t="s">
        <v>1007</v>
      </c>
    </row>
    <row r="3254" spans="1:9" x14ac:dyDescent="0.2">
      <c r="A3254" s="859">
        <f t="shared" si="50"/>
        <v>3253</v>
      </c>
      <c r="B3254" s="845" t="s">
        <v>2555</v>
      </c>
      <c r="D3254" s="862"/>
      <c r="I3254" s="845" t="s">
        <v>1535</v>
      </c>
    </row>
    <row r="3255" spans="1:9" x14ac:dyDescent="0.2">
      <c r="A3255" s="859">
        <f t="shared" si="50"/>
        <v>3254</v>
      </c>
      <c r="B3255" s="845" t="s">
        <v>2555</v>
      </c>
      <c r="D3255" s="861"/>
      <c r="I3255" s="845" t="str">
        <f>CONCATENATE("&lt;valeur&gt;",Cellule_830_3,"&lt;/valeur&gt;")</f>
        <v>&lt;valeur&gt;0&lt;/valeur&gt;</v>
      </c>
    </row>
    <row r="3256" spans="1:9" x14ac:dyDescent="0.2">
      <c r="A3256" s="859">
        <f t="shared" si="50"/>
        <v>3255</v>
      </c>
      <c r="B3256" s="845" t="s">
        <v>2555</v>
      </c>
      <c r="D3256" s="861"/>
      <c r="I3256" s="845" t="s">
        <v>2578</v>
      </c>
    </row>
    <row r="3257" spans="1:9" x14ac:dyDescent="0.2">
      <c r="A3257" s="859">
        <f t="shared" si="50"/>
        <v>3256</v>
      </c>
      <c r="B3257" s="845" t="s">
        <v>2555</v>
      </c>
      <c r="D3257" s="862"/>
      <c r="H3257" s="845" t="s">
        <v>1010</v>
      </c>
    </row>
    <row r="3258" spans="1:9" x14ac:dyDescent="0.2">
      <c r="A3258" s="859">
        <f t="shared" si="50"/>
        <v>3257</v>
      </c>
      <c r="B3258" s="845" t="s">
        <v>2555</v>
      </c>
      <c r="D3258" s="862"/>
      <c r="H3258" s="845" t="s">
        <v>1007</v>
      </c>
    </row>
    <row r="3259" spans="1:9" x14ac:dyDescent="0.2">
      <c r="A3259" s="859">
        <f t="shared" si="50"/>
        <v>3258</v>
      </c>
      <c r="B3259" s="845" t="s">
        <v>2555</v>
      </c>
      <c r="D3259" s="863"/>
      <c r="I3259" s="845" t="s">
        <v>1533</v>
      </c>
    </row>
    <row r="3260" spans="1:9" x14ac:dyDescent="0.2">
      <c r="A3260" s="859">
        <f t="shared" si="50"/>
        <v>3259</v>
      </c>
      <c r="B3260" s="845" t="s">
        <v>2555</v>
      </c>
      <c r="D3260" s="862"/>
      <c r="I3260" s="845" t="str">
        <f>CONCATENATE("&lt;valeur&gt;",Cellule_827_4,"&lt;/valeur&gt;")</f>
        <v>&lt;valeur&gt;&lt;/valeur&gt;</v>
      </c>
    </row>
    <row r="3261" spans="1:9" x14ac:dyDescent="0.2">
      <c r="A3261" s="859">
        <f t="shared" si="50"/>
        <v>3260</v>
      </c>
      <c r="B3261" s="845" t="s">
        <v>2555</v>
      </c>
      <c r="D3261" s="862"/>
      <c r="I3261" s="845" t="s">
        <v>2579</v>
      </c>
    </row>
    <row r="3262" spans="1:9" x14ac:dyDescent="0.2">
      <c r="A3262" s="859">
        <f t="shared" si="50"/>
        <v>3261</v>
      </c>
      <c r="B3262" s="845" t="s">
        <v>2555</v>
      </c>
      <c r="D3262" s="862"/>
      <c r="H3262" s="845" t="s">
        <v>1010</v>
      </c>
    </row>
    <row r="3263" spans="1:9" x14ac:dyDescent="0.2">
      <c r="A3263" s="859">
        <f t="shared" si="50"/>
        <v>3262</v>
      </c>
      <c r="B3263" s="845" t="s">
        <v>2555</v>
      </c>
      <c r="D3263" s="861"/>
      <c r="H3263" s="845" t="s">
        <v>1007</v>
      </c>
    </row>
    <row r="3264" spans="1:9" x14ac:dyDescent="0.2">
      <c r="A3264" s="859">
        <f t="shared" si="50"/>
        <v>3263</v>
      </c>
      <c r="B3264" s="845" t="s">
        <v>2555</v>
      </c>
      <c r="D3264" s="861"/>
      <c r="I3264" s="845" t="s">
        <v>1534</v>
      </c>
    </row>
    <row r="3265" spans="1:9" x14ac:dyDescent="0.2">
      <c r="A3265" s="859">
        <f t="shared" si="50"/>
        <v>3264</v>
      </c>
      <c r="B3265" s="845" t="s">
        <v>2555</v>
      </c>
      <c r="D3265" s="862"/>
      <c r="I3265" s="845" t="str">
        <f>CONCATENATE("&lt;valeur&gt;",Cellule_828_4,"&lt;/valeur&gt;")</f>
        <v>&lt;valeur&gt;0&lt;/valeur&gt;</v>
      </c>
    </row>
    <row r="3266" spans="1:9" x14ac:dyDescent="0.2">
      <c r="A3266" s="859">
        <f t="shared" si="50"/>
        <v>3265</v>
      </c>
      <c r="B3266" s="845" t="s">
        <v>2555</v>
      </c>
      <c r="D3266" s="863"/>
      <c r="I3266" s="845" t="s">
        <v>2579</v>
      </c>
    </row>
    <row r="3267" spans="1:9" x14ac:dyDescent="0.2">
      <c r="A3267" s="859">
        <f t="shared" si="50"/>
        <v>3266</v>
      </c>
      <c r="B3267" s="845" t="s">
        <v>2555</v>
      </c>
      <c r="D3267" s="862"/>
      <c r="H3267" s="845" t="s">
        <v>1010</v>
      </c>
    </row>
    <row r="3268" spans="1:9" x14ac:dyDescent="0.2">
      <c r="A3268" s="859">
        <f t="shared" ref="A3268:A3331" si="51">+A3267+1</f>
        <v>3267</v>
      </c>
      <c r="B3268" s="845" t="s">
        <v>2555</v>
      </c>
      <c r="D3268" s="862"/>
      <c r="H3268" s="845" t="s">
        <v>1007</v>
      </c>
    </row>
    <row r="3269" spans="1:9" x14ac:dyDescent="0.2">
      <c r="A3269" s="859">
        <f t="shared" si="51"/>
        <v>3268</v>
      </c>
      <c r="B3269" s="845" t="s">
        <v>2555</v>
      </c>
      <c r="D3269" s="862"/>
      <c r="I3269" s="845" t="s">
        <v>1535</v>
      </c>
    </row>
    <row r="3270" spans="1:9" x14ac:dyDescent="0.2">
      <c r="A3270" s="859">
        <f t="shared" si="51"/>
        <v>3269</v>
      </c>
      <c r="B3270" s="845" t="s">
        <v>2555</v>
      </c>
      <c r="D3270" s="861"/>
      <c r="I3270" s="845" t="str">
        <f>CONCATENATE("&lt;valeur&gt;",Cellule_830_4,"&lt;/valeur&gt;")</f>
        <v>&lt;valeur&gt;0&lt;/valeur&gt;</v>
      </c>
    </row>
    <row r="3271" spans="1:9" x14ac:dyDescent="0.2">
      <c r="A3271" s="859">
        <f t="shared" si="51"/>
        <v>3270</v>
      </c>
      <c r="B3271" s="845" t="s">
        <v>2555</v>
      </c>
      <c r="D3271" s="861"/>
      <c r="I3271" s="845" t="s">
        <v>2579</v>
      </c>
    </row>
    <row r="3272" spans="1:9" x14ac:dyDescent="0.2">
      <c r="A3272" s="859">
        <f t="shared" si="51"/>
        <v>3271</v>
      </c>
      <c r="B3272" s="845" t="s">
        <v>2555</v>
      </c>
      <c r="D3272" s="862"/>
      <c r="H3272" s="845" t="s">
        <v>1010</v>
      </c>
    </row>
    <row r="3273" spans="1:9" x14ac:dyDescent="0.2">
      <c r="A3273" s="859">
        <f t="shared" si="51"/>
        <v>3272</v>
      </c>
      <c r="B3273" s="845" t="s">
        <v>2555</v>
      </c>
      <c r="D3273" s="863"/>
      <c r="H3273" s="845" t="s">
        <v>1007</v>
      </c>
    </row>
    <row r="3274" spans="1:9" x14ac:dyDescent="0.2">
      <c r="A3274" s="859">
        <f t="shared" si="51"/>
        <v>3273</v>
      </c>
      <c r="B3274" s="845" t="s">
        <v>2555</v>
      </c>
      <c r="D3274" s="863"/>
      <c r="I3274" s="845" t="s">
        <v>1533</v>
      </c>
    </row>
    <row r="3275" spans="1:9" x14ac:dyDescent="0.2">
      <c r="A3275" s="859">
        <f t="shared" si="51"/>
        <v>3274</v>
      </c>
      <c r="B3275" s="845" t="s">
        <v>2555</v>
      </c>
      <c r="D3275" s="862"/>
      <c r="I3275" s="845" t="str">
        <f>CONCATENATE("&lt;valeur&gt;",Cellule_827_5,"&lt;/valeur&gt;")</f>
        <v>&lt;valeur&gt;&lt;/valeur&gt;</v>
      </c>
    </row>
    <row r="3276" spans="1:9" x14ac:dyDescent="0.2">
      <c r="A3276" s="859">
        <f t="shared" si="51"/>
        <v>3275</v>
      </c>
      <c r="B3276" s="845" t="s">
        <v>2555</v>
      </c>
      <c r="D3276" s="862"/>
      <c r="I3276" s="845" t="s">
        <v>2580</v>
      </c>
    </row>
    <row r="3277" spans="1:9" x14ac:dyDescent="0.2">
      <c r="A3277" s="859">
        <f t="shared" si="51"/>
        <v>3276</v>
      </c>
      <c r="B3277" s="845" t="s">
        <v>2555</v>
      </c>
      <c r="D3277" s="862"/>
      <c r="H3277" s="845" t="s">
        <v>1010</v>
      </c>
    </row>
    <row r="3278" spans="1:9" x14ac:dyDescent="0.2">
      <c r="A3278" s="859">
        <f t="shared" si="51"/>
        <v>3277</v>
      </c>
      <c r="B3278" s="845" t="s">
        <v>2555</v>
      </c>
      <c r="D3278" s="861"/>
      <c r="H3278" s="845" t="s">
        <v>1007</v>
      </c>
    </row>
    <row r="3279" spans="1:9" x14ac:dyDescent="0.2">
      <c r="A3279" s="859">
        <f t="shared" si="51"/>
        <v>3278</v>
      </c>
      <c r="B3279" s="845" t="s">
        <v>2555</v>
      </c>
      <c r="D3279" s="861"/>
      <c r="I3279" s="845" t="s">
        <v>1534</v>
      </c>
    </row>
    <row r="3280" spans="1:9" x14ac:dyDescent="0.2">
      <c r="A3280" s="859">
        <f t="shared" si="51"/>
        <v>3279</v>
      </c>
      <c r="B3280" s="845" t="s">
        <v>2555</v>
      </c>
      <c r="D3280" s="862"/>
      <c r="I3280" s="845" t="str">
        <f>CONCATENATE("&lt;valeur&gt;",Cellule_828_5,"&lt;/valeur&gt;")</f>
        <v>&lt;valeur&gt;0&lt;/valeur&gt;</v>
      </c>
    </row>
    <row r="3281" spans="1:9" x14ac:dyDescent="0.2">
      <c r="A3281" s="859">
        <f t="shared" si="51"/>
        <v>3280</v>
      </c>
      <c r="B3281" s="845" t="s">
        <v>2555</v>
      </c>
      <c r="D3281" s="863"/>
      <c r="I3281" s="845" t="s">
        <v>2580</v>
      </c>
    </row>
    <row r="3282" spans="1:9" x14ac:dyDescent="0.2">
      <c r="A3282" s="859">
        <f t="shared" si="51"/>
        <v>3281</v>
      </c>
      <c r="B3282" s="845" t="s">
        <v>2555</v>
      </c>
      <c r="D3282" s="862"/>
      <c r="H3282" s="845" t="s">
        <v>1010</v>
      </c>
    </row>
    <row r="3283" spans="1:9" x14ac:dyDescent="0.2">
      <c r="A3283" s="859">
        <f t="shared" si="51"/>
        <v>3282</v>
      </c>
      <c r="B3283" s="845" t="s">
        <v>2555</v>
      </c>
      <c r="D3283" s="862"/>
      <c r="H3283" s="845" t="s">
        <v>1007</v>
      </c>
    </row>
    <row r="3284" spans="1:9" x14ac:dyDescent="0.2">
      <c r="A3284" s="859">
        <f t="shared" si="51"/>
        <v>3283</v>
      </c>
      <c r="B3284" s="845" t="s">
        <v>2555</v>
      </c>
      <c r="D3284" s="862"/>
      <c r="I3284" s="845" t="s">
        <v>1535</v>
      </c>
    </row>
    <row r="3285" spans="1:9" x14ac:dyDescent="0.2">
      <c r="A3285" s="859">
        <f t="shared" si="51"/>
        <v>3284</v>
      </c>
      <c r="B3285" s="845" t="s">
        <v>2555</v>
      </c>
      <c r="D3285" s="861"/>
      <c r="I3285" s="845" t="str">
        <f>CONCATENATE("&lt;valeur&gt;",Cellule_830_5,"&lt;/valeur&gt;")</f>
        <v>&lt;valeur&gt;0&lt;/valeur&gt;</v>
      </c>
    </row>
    <row r="3286" spans="1:9" x14ac:dyDescent="0.2">
      <c r="A3286" s="859">
        <f t="shared" si="51"/>
        <v>3285</v>
      </c>
      <c r="B3286" s="845" t="s">
        <v>2555</v>
      </c>
      <c r="D3286" s="861"/>
      <c r="I3286" s="845" t="s">
        <v>2580</v>
      </c>
    </row>
    <row r="3287" spans="1:9" x14ac:dyDescent="0.2">
      <c r="A3287" s="859">
        <f t="shared" si="51"/>
        <v>3286</v>
      </c>
      <c r="B3287" s="845" t="s">
        <v>2555</v>
      </c>
      <c r="D3287" s="862"/>
      <c r="H3287" s="845" t="s">
        <v>1010</v>
      </c>
    </row>
    <row r="3288" spans="1:9" x14ac:dyDescent="0.2">
      <c r="A3288" s="859">
        <f t="shared" si="51"/>
        <v>3287</v>
      </c>
      <c r="B3288" s="845" t="s">
        <v>2555</v>
      </c>
      <c r="D3288" s="863"/>
      <c r="H3288" s="845" t="s">
        <v>1007</v>
      </c>
    </row>
    <row r="3289" spans="1:9" x14ac:dyDescent="0.2">
      <c r="A3289" s="859">
        <f t="shared" si="51"/>
        <v>3288</v>
      </c>
      <c r="B3289" s="845" t="s">
        <v>2555</v>
      </c>
      <c r="D3289" s="863"/>
      <c r="I3289" s="845" t="s">
        <v>1533</v>
      </c>
    </row>
    <row r="3290" spans="1:9" x14ac:dyDescent="0.2">
      <c r="A3290" s="859">
        <f t="shared" si="51"/>
        <v>3289</v>
      </c>
      <c r="B3290" s="845" t="s">
        <v>2555</v>
      </c>
      <c r="D3290" s="862"/>
      <c r="I3290" s="845" t="str">
        <f>CONCATENATE("&lt;valeur&gt;",Cellule_827_6,"&lt;/valeur&gt;")</f>
        <v>&lt;valeur&gt;&lt;/valeur&gt;</v>
      </c>
    </row>
    <row r="3291" spans="1:9" x14ac:dyDescent="0.2">
      <c r="A3291" s="859">
        <f t="shared" si="51"/>
        <v>3290</v>
      </c>
      <c r="B3291" s="845" t="s">
        <v>2555</v>
      </c>
      <c r="D3291" s="862"/>
      <c r="I3291" s="845" t="s">
        <v>2581</v>
      </c>
    </row>
    <row r="3292" spans="1:9" x14ac:dyDescent="0.2">
      <c r="A3292" s="859">
        <f t="shared" si="51"/>
        <v>3291</v>
      </c>
      <c r="B3292" s="845" t="s">
        <v>2555</v>
      </c>
      <c r="D3292" s="862"/>
      <c r="H3292" s="845" t="s">
        <v>1010</v>
      </c>
    </row>
    <row r="3293" spans="1:9" x14ac:dyDescent="0.2">
      <c r="A3293" s="859">
        <f t="shared" si="51"/>
        <v>3292</v>
      </c>
      <c r="B3293" s="845" t="s">
        <v>2555</v>
      </c>
      <c r="D3293" s="861"/>
      <c r="H3293" s="845" t="s">
        <v>1007</v>
      </c>
    </row>
    <row r="3294" spans="1:9" x14ac:dyDescent="0.2">
      <c r="A3294" s="859">
        <f t="shared" si="51"/>
        <v>3293</v>
      </c>
      <c r="B3294" s="845" t="s">
        <v>2555</v>
      </c>
      <c r="D3294" s="861"/>
      <c r="I3294" s="845" t="s">
        <v>1534</v>
      </c>
    </row>
    <row r="3295" spans="1:9" x14ac:dyDescent="0.2">
      <c r="A3295" s="859">
        <f t="shared" si="51"/>
        <v>3294</v>
      </c>
      <c r="B3295" s="845" t="s">
        <v>2555</v>
      </c>
      <c r="D3295" s="862"/>
      <c r="I3295" s="845" t="str">
        <f>CONCATENATE("&lt;valeur&gt;",Cellule_828_6,"&lt;/valeur&gt;")</f>
        <v>&lt;valeur&gt;0&lt;/valeur&gt;</v>
      </c>
    </row>
    <row r="3296" spans="1:9" x14ac:dyDescent="0.2">
      <c r="A3296" s="859">
        <f t="shared" si="51"/>
        <v>3295</v>
      </c>
      <c r="B3296" s="845" t="s">
        <v>2555</v>
      </c>
      <c r="D3296" s="863"/>
      <c r="I3296" s="845" t="s">
        <v>2581</v>
      </c>
    </row>
    <row r="3297" spans="1:9" x14ac:dyDescent="0.2">
      <c r="A3297" s="859">
        <f t="shared" si="51"/>
        <v>3296</v>
      </c>
      <c r="B3297" s="845" t="s">
        <v>2555</v>
      </c>
      <c r="D3297" s="862"/>
      <c r="H3297" s="845" t="s">
        <v>1010</v>
      </c>
    </row>
    <row r="3298" spans="1:9" x14ac:dyDescent="0.2">
      <c r="A3298" s="859">
        <f t="shared" si="51"/>
        <v>3297</v>
      </c>
      <c r="B3298" s="845" t="s">
        <v>2555</v>
      </c>
      <c r="D3298" s="862"/>
      <c r="H3298" s="845" t="s">
        <v>1007</v>
      </c>
    </row>
    <row r="3299" spans="1:9" x14ac:dyDescent="0.2">
      <c r="A3299" s="859">
        <f t="shared" si="51"/>
        <v>3298</v>
      </c>
      <c r="B3299" s="845" t="s">
        <v>2555</v>
      </c>
      <c r="D3299" s="862"/>
      <c r="I3299" s="845" t="s">
        <v>1535</v>
      </c>
    </row>
    <row r="3300" spans="1:9" x14ac:dyDescent="0.2">
      <c r="A3300" s="859">
        <f t="shared" si="51"/>
        <v>3299</v>
      </c>
      <c r="B3300" s="845" t="s">
        <v>2555</v>
      </c>
      <c r="D3300" s="861"/>
      <c r="I3300" s="845" t="str">
        <f>CONCATENATE("&lt;valeur&gt;",Cellule_830_6,"&lt;/valeur&gt;")</f>
        <v>&lt;valeur&gt;0&lt;/valeur&gt;</v>
      </c>
    </row>
    <row r="3301" spans="1:9" x14ac:dyDescent="0.2">
      <c r="A3301" s="859">
        <f t="shared" si="51"/>
        <v>3300</v>
      </c>
      <c r="B3301" s="845" t="s">
        <v>2555</v>
      </c>
      <c r="D3301" s="861"/>
      <c r="I3301" s="845" t="s">
        <v>2581</v>
      </c>
    </row>
    <row r="3302" spans="1:9" x14ac:dyDescent="0.2">
      <c r="A3302" s="859">
        <f t="shared" si="51"/>
        <v>3301</v>
      </c>
      <c r="B3302" s="845" t="s">
        <v>2555</v>
      </c>
      <c r="D3302" s="862"/>
      <c r="H3302" s="845" t="s">
        <v>1010</v>
      </c>
    </row>
    <row r="3303" spans="1:9" x14ac:dyDescent="0.2">
      <c r="A3303" s="859">
        <f t="shared" si="51"/>
        <v>3302</v>
      </c>
      <c r="B3303" s="845" t="s">
        <v>2555</v>
      </c>
      <c r="D3303" s="861"/>
      <c r="H3303" s="845" t="s">
        <v>1007</v>
      </c>
    </row>
    <row r="3304" spans="1:9" x14ac:dyDescent="0.2">
      <c r="A3304" s="859">
        <f t="shared" si="51"/>
        <v>3303</v>
      </c>
      <c r="B3304" s="845" t="s">
        <v>2555</v>
      </c>
      <c r="D3304" s="862"/>
      <c r="I3304" s="845" t="s">
        <v>1536</v>
      </c>
    </row>
    <row r="3305" spans="1:9" x14ac:dyDescent="0.2">
      <c r="A3305" s="859">
        <f t="shared" si="51"/>
        <v>3304</v>
      </c>
      <c r="B3305" s="845" t="s">
        <v>2555</v>
      </c>
      <c r="D3305" s="862"/>
      <c r="I3305" s="845" t="str">
        <f>CONCATENATE("&lt;valeur&gt;",Cellule_829_1,"&lt;/valeur&gt;")</f>
        <v>&lt;valeur&gt;Reprise sur autres Provisions&lt;/valeur&gt;</v>
      </c>
    </row>
    <row r="3306" spans="1:9" x14ac:dyDescent="0.2">
      <c r="A3306" s="859">
        <f t="shared" si="51"/>
        <v>3305</v>
      </c>
      <c r="B3306" s="845" t="s">
        <v>2555</v>
      </c>
      <c r="D3306" s="862"/>
      <c r="I3306" s="845" t="s">
        <v>1249</v>
      </c>
    </row>
    <row r="3307" spans="1:9" x14ac:dyDescent="0.2">
      <c r="A3307" s="859">
        <f t="shared" si="51"/>
        <v>3306</v>
      </c>
      <c r="B3307" s="845" t="s">
        <v>2555</v>
      </c>
      <c r="D3307" s="861"/>
      <c r="H3307" s="845" t="s">
        <v>1010</v>
      </c>
    </row>
    <row r="3308" spans="1:9" x14ac:dyDescent="0.2">
      <c r="A3308" s="859">
        <f t="shared" si="51"/>
        <v>3307</v>
      </c>
      <c r="B3308" s="845" t="s">
        <v>2555</v>
      </c>
      <c r="D3308" s="861"/>
      <c r="H3308" s="845" t="s">
        <v>1007</v>
      </c>
    </row>
    <row r="3309" spans="1:9" x14ac:dyDescent="0.2">
      <c r="A3309" s="859">
        <f t="shared" si="51"/>
        <v>3308</v>
      </c>
      <c r="B3309" s="845" t="s">
        <v>2555</v>
      </c>
      <c r="D3309" s="862"/>
      <c r="I3309" s="845" t="s">
        <v>1537</v>
      </c>
    </row>
    <row r="3310" spans="1:9" x14ac:dyDescent="0.2">
      <c r="A3310" s="859">
        <f t="shared" si="51"/>
        <v>3309</v>
      </c>
      <c r="B3310" s="845" t="s">
        <v>2555</v>
      </c>
      <c r="D3310" s="863"/>
      <c r="I3310" s="845" t="str">
        <f>CONCATENATE("&lt;valeur&gt;",Cellule_831_1,"&lt;/valeur&gt;")</f>
        <v>&lt;valeur&gt;0&lt;/valeur&gt;</v>
      </c>
    </row>
    <row r="3311" spans="1:9" x14ac:dyDescent="0.2">
      <c r="A3311" s="859">
        <f t="shared" si="51"/>
        <v>3310</v>
      </c>
      <c r="B3311" s="845" t="s">
        <v>2555</v>
      </c>
      <c r="D3311" s="862"/>
      <c r="I3311" s="845" t="s">
        <v>1249</v>
      </c>
    </row>
    <row r="3312" spans="1:9" x14ac:dyDescent="0.2">
      <c r="A3312" s="859">
        <f t="shared" si="51"/>
        <v>3311</v>
      </c>
      <c r="B3312" s="845" t="s">
        <v>2555</v>
      </c>
      <c r="D3312" s="862"/>
      <c r="H3312" s="845" t="s">
        <v>1010</v>
      </c>
    </row>
    <row r="3313" spans="1:9" x14ac:dyDescent="0.2">
      <c r="A3313" s="859">
        <f t="shared" si="51"/>
        <v>3312</v>
      </c>
      <c r="B3313" s="845" t="s">
        <v>2555</v>
      </c>
      <c r="D3313" s="862"/>
      <c r="H3313" s="845" t="s">
        <v>1007</v>
      </c>
    </row>
    <row r="3314" spans="1:9" x14ac:dyDescent="0.2">
      <c r="A3314" s="859">
        <f t="shared" si="51"/>
        <v>3313</v>
      </c>
      <c r="B3314" s="845" t="s">
        <v>2555</v>
      </c>
      <c r="D3314" s="861"/>
      <c r="I3314" s="845" t="s">
        <v>1538</v>
      </c>
    </row>
    <row r="3315" spans="1:9" x14ac:dyDescent="0.2">
      <c r="A3315" s="859">
        <f t="shared" si="51"/>
        <v>3314</v>
      </c>
      <c r="B3315" s="845" t="s">
        <v>2555</v>
      </c>
      <c r="D3315" s="861"/>
      <c r="I3315" s="845" t="str">
        <f>CONCATENATE("&lt;valeur&gt;",Cellule_7830_1,"&lt;/valeur&gt;")</f>
        <v>&lt;valeur&gt;0&lt;/valeur&gt;</v>
      </c>
    </row>
    <row r="3316" spans="1:9" x14ac:dyDescent="0.2">
      <c r="A3316" s="859">
        <f t="shared" si="51"/>
        <v>3315</v>
      </c>
      <c r="B3316" s="845" t="s">
        <v>2555</v>
      </c>
      <c r="D3316" s="862"/>
      <c r="I3316" s="845" t="s">
        <v>1249</v>
      </c>
    </row>
    <row r="3317" spans="1:9" x14ac:dyDescent="0.2">
      <c r="A3317" s="859">
        <f t="shared" si="51"/>
        <v>3316</v>
      </c>
      <c r="B3317" s="845" t="s">
        <v>2555</v>
      </c>
      <c r="D3317" s="863"/>
      <c r="H3317" s="845" t="s">
        <v>1010</v>
      </c>
    </row>
    <row r="3318" spans="1:9" x14ac:dyDescent="0.2">
      <c r="A3318" s="859">
        <f t="shared" si="51"/>
        <v>3317</v>
      </c>
      <c r="B3318" s="845" t="s">
        <v>2555</v>
      </c>
      <c r="D3318" s="861"/>
      <c r="H3318" s="845" t="s">
        <v>1007</v>
      </c>
    </row>
    <row r="3319" spans="1:9" x14ac:dyDescent="0.2">
      <c r="A3319" s="859">
        <f t="shared" si="51"/>
        <v>3318</v>
      </c>
      <c r="B3319" s="845" t="s">
        <v>2555</v>
      </c>
      <c r="D3319" s="862"/>
      <c r="I3319" s="845" t="s">
        <v>1536</v>
      </c>
    </row>
    <row r="3320" spans="1:9" x14ac:dyDescent="0.2">
      <c r="A3320" s="859">
        <f t="shared" si="51"/>
        <v>3319</v>
      </c>
      <c r="B3320" s="845" t="s">
        <v>2555</v>
      </c>
      <c r="D3320" s="862"/>
      <c r="I3320" s="845" t="str">
        <f>CONCATENATE("&lt;valeur&gt;",Cellule_829_2,"&lt;/valeur&gt;")</f>
        <v>&lt;valeur&gt;&lt;/valeur&gt;</v>
      </c>
    </row>
    <row r="3321" spans="1:9" x14ac:dyDescent="0.2">
      <c r="A3321" s="859">
        <f t="shared" si="51"/>
        <v>3320</v>
      </c>
      <c r="B3321" s="845" t="s">
        <v>2555</v>
      </c>
      <c r="D3321" s="862"/>
      <c r="I3321" s="845" t="s">
        <v>2577</v>
      </c>
    </row>
    <row r="3322" spans="1:9" x14ac:dyDescent="0.2">
      <c r="A3322" s="859">
        <f t="shared" si="51"/>
        <v>3321</v>
      </c>
      <c r="B3322" s="845" t="s">
        <v>2555</v>
      </c>
      <c r="D3322" s="861"/>
      <c r="H3322" s="845" t="s">
        <v>1010</v>
      </c>
    </row>
    <row r="3323" spans="1:9" x14ac:dyDescent="0.2">
      <c r="A3323" s="859">
        <f t="shared" si="51"/>
        <v>3322</v>
      </c>
      <c r="B3323" s="845" t="s">
        <v>2555</v>
      </c>
      <c r="D3323" s="861"/>
      <c r="H3323" s="845" t="s">
        <v>1007</v>
      </c>
    </row>
    <row r="3324" spans="1:9" x14ac:dyDescent="0.2">
      <c r="A3324" s="859">
        <f t="shared" si="51"/>
        <v>3323</v>
      </c>
      <c r="B3324" s="845" t="s">
        <v>2555</v>
      </c>
      <c r="D3324" s="862"/>
      <c r="I3324" s="845" t="s">
        <v>1537</v>
      </c>
    </row>
    <row r="3325" spans="1:9" x14ac:dyDescent="0.2">
      <c r="A3325" s="859">
        <f t="shared" si="51"/>
        <v>3324</v>
      </c>
      <c r="B3325" s="845" t="s">
        <v>2555</v>
      </c>
      <c r="D3325" s="863"/>
      <c r="I3325" s="845" t="str">
        <f>CONCATENATE("&lt;valeur&gt;",Cellule_831_2,"&lt;/valeur&gt;")</f>
        <v>&lt;valeur&gt;0&lt;/valeur&gt;</v>
      </c>
    </row>
    <row r="3326" spans="1:9" x14ac:dyDescent="0.2">
      <c r="A3326" s="859">
        <f t="shared" si="51"/>
        <v>3325</v>
      </c>
      <c r="B3326" s="845" t="s">
        <v>2555</v>
      </c>
      <c r="D3326" s="862"/>
      <c r="I3326" s="845" t="s">
        <v>2577</v>
      </c>
    </row>
    <row r="3327" spans="1:9" x14ac:dyDescent="0.2">
      <c r="A3327" s="859">
        <f t="shared" si="51"/>
        <v>3326</v>
      </c>
      <c r="B3327" s="845" t="s">
        <v>2555</v>
      </c>
      <c r="D3327" s="862"/>
      <c r="H3327" s="845" t="s">
        <v>1010</v>
      </c>
    </row>
    <row r="3328" spans="1:9" x14ac:dyDescent="0.2">
      <c r="A3328" s="859">
        <f t="shared" si="51"/>
        <v>3327</v>
      </c>
      <c r="B3328" s="845" t="s">
        <v>2555</v>
      </c>
      <c r="D3328" s="862"/>
      <c r="H3328" s="845" t="s">
        <v>1007</v>
      </c>
    </row>
    <row r="3329" spans="1:9" x14ac:dyDescent="0.2">
      <c r="A3329" s="859">
        <f t="shared" si="51"/>
        <v>3328</v>
      </c>
      <c r="B3329" s="845" t="s">
        <v>2555</v>
      </c>
      <c r="D3329" s="861"/>
      <c r="I3329" s="845" t="s">
        <v>1538</v>
      </c>
    </row>
    <row r="3330" spans="1:9" x14ac:dyDescent="0.2">
      <c r="A3330" s="859">
        <f t="shared" si="51"/>
        <v>3329</v>
      </c>
      <c r="B3330" s="845" t="s">
        <v>2555</v>
      </c>
      <c r="D3330" s="861"/>
      <c r="I3330" s="845" t="str">
        <f>CONCATENATE("&lt;valeur&gt;",Cellule_7830_2,"&lt;/valeur&gt;")</f>
        <v>&lt;valeur&gt;0&lt;/valeur&gt;</v>
      </c>
    </row>
    <row r="3331" spans="1:9" x14ac:dyDescent="0.2">
      <c r="A3331" s="859">
        <f t="shared" si="51"/>
        <v>3330</v>
      </c>
      <c r="B3331" s="845" t="s">
        <v>2555</v>
      </c>
      <c r="D3331" s="862"/>
      <c r="I3331" s="845" t="s">
        <v>2577</v>
      </c>
    </row>
    <row r="3332" spans="1:9" x14ac:dyDescent="0.2">
      <c r="A3332" s="859">
        <f t="shared" ref="A3332:A3395" si="52">+A3331+1</f>
        <v>3331</v>
      </c>
      <c r="B3332" s="845" t="s">
        <v>2555</v>
      </c>
      <c r="D3332" s="863"/>
      <c r="H3332" s="845" t="s">
        <v>1010</v>
      </c>
    </row>
    <row r="3333" spans="1:9" x14ac:dyDescent="0.2">
      <c r="A3333" s="859">
        <f t="shared" si="52"/>
        <v>3332</v>
      </c>
      <c r="B3333" s="845" t="s">
        <v>2555</v>
      </c>
      <c r="D3333" s="861"/>
      <c r="H3333" s="845" t="s">
        <v>1007</v>
      </c>
    </row>
    <row r="3334" spans="1:9" x14ac:dyDescent="0.2">
      <c r="A3334" s="859">
        <f t="shared" si="52"/>
        <v>3333</v>
      </c>
      <c r="B3334" s="845" t="s">
        <v>2555</v>
      </c>
      <c r="D3334" s="862"/>
      <c r="I3334" s="845" t="s">
        <v>1536</v>
      </c>
    </row>
    <row r="3335" spans="1:9" x14ac:dyDescent="0.2">
      <c r="A3335" s="859">
        <f t="shared" si="52"/>
        <v>3334</v>
      </c>
      <c r="B3335" s="845" t="s">
        <v>2555</v>
      </c>
      <c r="D3335" s="862"/>
      <c r="I3335" s="845" t="str">
        <f>CONCATENATE("&lt;valeur&gt;",Cellule_829_3,"&lt;/valeur&gt;")</f>
        <v>&lt;valeur&gt;&lt;/valeur&gt;</v>
      </c>
    </row>
    <row r="3336" spans="1:9" x14ac:dyDescent="0.2">
      <c r="A3336" s="859">
        <f t="shared" si="52"/>
        <v>3335</v>
      </c>
      <c r="B3336" s="845" t="s">
        <v>2555</v>
      </c>
      <c r="D3336" s="862"/>
      <c r="I3336" s="845" t="s">
        <v>2578</v>
      </c>
    </row>
    <row r="3337" spans="1:9" x14ac:dyDescent="0.2">
      <c r="A3337" s="859">
        <f t="shared" si="52"/>
        <v>3336</v>
      </c>
      <c r="B3337" s="845" t="s">
        <v>2555</v>
      </c>
      <c r="D3337" s="861"/>
      <c r="H3337" s="845" t="s">
        <v>1010</v>
      </c>
    </row>
    <row r="3338" spans="1:9" x14ac:dyDescent="0.2">
      <c r="A3338" s="859">
        <f t="shared" si="52"/>
        <v>3337</v>
      </c>
      <c r="B3338" s="845" t="s">
        <v>2555</v>
      </c>
      <c r="D3338" s="861"/>
      <c r="H3338" s="845" t="s">
        <v>1007</v>
      </c>
    </row>
    <row r="3339" spans="1:9" x14ac:dyDescent="0.2">
      <c r="A3339" s="859">
        <f t="shared" si="52"/>
        <v>3338</v>
      </c>
      <c r="B3339" s="845" t="s">
        <v>2555</v>
      </c>
      <c r="D3339" s="862"/>
      <c r="I3339" s="845" t="s">
        <v>1537</v>
      </c>
    </row>
    <row r="3340" spans="1:9" x14ac:dyDescent="0.2">
      <c r="A3340" s="859">
        <f t="shared" si="52"/>
        <v>3339</v>
      </c>
      <c r="B3340" s="845" t="s">
        <v>2555</v>
      </c>
      <c r="D3340" s="863"/>
      <c r="I3340" s="845" t="str">
        <f>CONCATENATE("&lt;valeur&gt;",Cellule_831_3,"&lt;/valeur&gt;")</f>
        <v>&lt;valeur&gt;0&lt;/valeur&gt;</v>
      </c>
    </row>
    <row r="3341" spans="1:9" x14ac:dyDescent="0.2">
      <c r="A3341" s="859">
        <f t="shared" si="52"/>
        <v>3340</v>
      </c>
      <c r="B3341" s="845" t="s">
        <v>2555</v>
      </c>
      <c r="D3341" s="862"/>
      <c r="I3341" s="845" t="s">
        <v>2578</v>
      </c>
    </row>
    <row r="3342" spans="1:9" x14ac:dyDescent="0.2">
      <c r="A3342" s="859">
        <f t="shared" si="52"/>
        <v>3341</v>
      </c>
      <c r="B3342" s="845" t="s">
        <v>2555</v>
      </c>
      <c r="D3342" s="862"/>
      <c r="H3342" s="845" t="s">
        <v>1010</v>
      </c>
    </row>
    <row r="3343" spans="1:9" x14ac:dyDescent="0.2">
      <c r="A3343" s="859">
        <f t="shared" si="52"/>
        <v>3342</v>
      </c>
      <c r="B3343" s="845" t="s">
        <v>2555</v>
      </c>
      <c r="D3343" s="862"/>
      <c r="H3343" s="845" t="s">
        <v>1007</v>
      </c>
    </row>
    <row r="3344" spans="1:9" x14ac:dyDescent="0.2">
      <c r="A3344" s="859">
        <f t="shared" si="52"/>
        <v>3343</v>
      </c>
      <c r="B3344" s="845" t="s">
        <v>2555</v>
      </c>
      <c r="D3344" s="861"/>
      <c r="I3344" s="845" t="s">
        <v>1538</v>
      </c>
    </row>
    <row r="3345" spans="1:9" x14ac:dyDescent="0.2">
      <c r="A3345" s="859">
        <f t="shared" si="52"/>
        <v>3344</v>
      </c>
      <c r="B3345" s="845" t="s">
        <v>2555</v>
      </c>
      <c r="D3345" s="861"/>
      <c r="I3345" s="845" t="str">
        <f>CONCATENATE("&lt;valeur&gt;",Cellule_7830_3,"&lt;/valeur&gt;")</f>
        <v>&lt;valeur&gt;0&lt;/valeur&gt;</v>
      </c>
    </row>
    <row r="3346" spans="1:9" x14ac:dyDescent="0.2">
      <c r="A3346" s="859">
        <f t="shared" si="52"/>
        <v>3345</v>
      </c>
      <c r="B3346" s="845" t="s">
        <v>2555</v>
      </c>
      <c r="D3346" s="862"/>
      <c r="I3346" s="845" t="s">
        <v>2578</v>
      </c>
    </row>
    <row r="3347" spans="1:9" x14ac:dyDescent="0.2">
      <c r="A3347" s="859">
        <f t="shared" si="52"/>
        <v>3346</v>
      </c>
      <c r="B3347" s="845" t="s">
        <v>2555</v>
      </c>
      <c r="D3347" s="863"/>
      <c r="H3347" s="845" t="s">
        <v>1010</v>
      </c>
    </row>
    <row r="3348" spans="1:9" x14ac:dyDescent="0.2">
      <c r="A3348" s="859">
        <f t="shared" si="52"/>
        <v>3347</v>
      </c>
      <c r="B3348" s="845" t="s">
        <v>2555</v>
      </c>
      <c r="D3348" s="861"/>
      <c r="H3348" s="845" t="s">
        <v>1007</v>
      </c>
    </row>
    <row r="3349" spans="1:9" x14ac:dyDescent="0.2">
      <c r="A3349" s="859">
        <f t="shared" si="52"/>
        <v>3348</v>
      </c>
      <c r="B3349" s="845" t="s">
        <v>2555</v>
      </c>
      <c r="D3349" s="862"/>
      <c r="I3349" s="845" t="s">
        <v>1536</v>
      </c>
    </row>
    <row r="3350" spans="1:9" x14ac:dyDescent="0.2">
      <c r="A3350" s="859">
        <f t="shared" si="52"/>
        <v>3349</v>
      </c>
      <c r="B3350" s="845" t="s">
        <v>2555</v>
      </c>
      <c r="D3350" s="862"/>
      <c r="I3350" s="845" t="str">
        <f>CONCATENATE("&lt;valeur&gt;",Cellule_829_4,"&lt;/valeur&gt;")</f>
        <v>&lt;valeur&gt;&lt;/valeur&gt;</v>
      </c>
    </row>
    <row r="3351" spans="1:9" x14ac:dyDescent="0.2">
      <c r="A3351" s="859">
        <f t="shared" si="52"/>
        <v>3350</v>
      </c>
      <c r="B3351" s="845" t="s">
        <v>2555</v>
      </c>
      <c r="D3351" s="862"/>
      <c r="I3351" s="845" t="s">
        <v>2579</v>
      </c>
    </row>
    <row r="3352" spans="1:9" x14ac:dyDescent="0.2">
      <c r="A3352" s="859">
        <f t="shared" si="52"/>
        <v>3351</v>
      </c>
      <c r="B3352" s="845" t="s">
        <v>2555</v>
      </c>
      <c r="D3352" s="861"/>
      <c r="H3352" s="845" t="s">
        <v>1010</v>
      </c>
    </row>
    <row r="3353" spans="1:9" x14ac:dyDescent="0.2">
      <c r="A3353" s="859">
        <f t="shared" si="52"/>
        <v>3352</v>
      </c>
      <c r="B3353" s="845" t="s">
        <v>2555</v>
      </c>
      <c r="D3353" s="861"/>
      <c r="H3353" s="845" t="s">
        <v>1007</v>
      </c>
    </row>
    <row r="3354" spans="1:9" x14ac:dyDescent="0.2">
      <c r="A3354" s="859">
        <f t="shared" si="52"/>
        <v>3353</v>
      </c>
      <c r="B3354" s="845" t="s">
        <v>2555</v>
      </c>
      <c r="D3354" s="862"/>
      <c r="I3354" s="845" t="s">
        <v>1537</v>
      </c>
    </row>
    <row r="3355" spans="1:9" x14ac:dyDescent="0.2">
      <c r="A3355" s="859">
        <f t="shared" si="52"/>
        <v>3354</v>
      </c>
      <c r="B3355" s="845" t="s">
        <v>2555</v>
      </c>
      <c r="D3355" s="863"/>
      <c r="I3355" s="845" t="str">
        <f>CONCATENATE("&lt;valeur&gt;",Cellule_831_4,"&lt;/valeur&gt;")</f>
        <v>&lt;valeur&gt;0&lt;/valeur&gt;</v>
      </c>
    </row>
    <row r="3356" spans="1:9" x14ac:dyDescent="0.2">
      <c r="A3356" s="859">
        <f t="shared" si="52"/>
        <v>3355</v>
      </c>
      <c r="B3356" s="845" t="s">
        <v>2555</v>
      </c>
      <c r="D3356" s="862"/>
      <c r="I3356" s="845" t="s">
        <v>2579</v>
      </c>
    </row>
    <row r="3357" spans="1:9" x14ac:dyDescent="0.2">
      <c r="A3357" s="859">
        <f t="shared" si="52"/>
        <v>3356</v>
      </c>
      <c r="B3357" s="845" t="s">
        <v>2555</v>
      </c>
      <c r="D3357" s="862"/>
      <c r="H3357" s="845" t="s">
        <v>1010</v>
      </c>
    </row>
    <row r="3358" spans="1:9" x14ac:dyDescent="0.2">
      <c r="A3358" s="859">
        <f t="shared" si="52"/>
        <v>3357</v>
      </c>
      <c r="B3358" s="845" t="s">
        <v>2555</v>
      </c>
      <c r="D3358" s="862"/>
      <c r="H3358" s="845" t="s">
        <v>1007</v>
      </c>
    </row>
    <row r="3359" spans="1:9" x14ac:dyDescent="0.2">
      <c r="A3359" s="859">
        <f t="shared" si="52"/>
        <v>3358</v>
      </c>
      <c r="B3359" s="845" t="s">
        <v>2555</v>
      </c>
      <c r="D3359" s="861"/>
      <c r="I3359" s="845" t="s">
        <v>1538</v>
      </c>
    </row>
    <row r="3360" spans="1:9" x14ac:dyDescent="0.2">
      <c r="A3360" s="859">
        <f t="shared" si="52"/>
        <v>3359</v>
      </c>
      <c r="B3360" s="845" t="s">
        <v>2555</v>
      </c>
      <c r="D3360" s="861"/>
      <c r="I3360" s="845" t="str">
        <f>CONCATENATE("&lt;valeur&gt;",Cellule_7830_4,"&lt;/valeur&gt;")</f>
        <v>&lt;valeur&gt;0&lt;/valeur&gt;</v>
      </c>
    </row>
    <row r="3361" spans="1:9" x14ac:dyDescent="0.2">
      <c r="A3361" s="859">
        <f t="shared" si="52"/>
        <v>3360</v>
      </c>
      <c r="B3361" s="845" t="s">
        <v>2555</v>
      </c>
      <c r="D3361" s="862"/>
      <c r="I3361" s="845" t="s">
        <v>2579</v>
      </c>
    </row>
    <row r="3362" spans="1:9" x14ac:dyDescent="0.2">
      <c r="A3362" s="859">
        <f t="shared" si="52"/>
        <v>3361</v>
      </c>
      <c r="B3362" s="845" t="s">
        <v>2555</v>
      </c>
      <c r="D3362" s="863"/>
      <c r="H3362" s="845" t="s">
        <v>1010</v>
      </c>
    </row>
    <row r="3363" spans="1:9" x14ac:dyDescent="0.2">
      <c r="A3363" s="859">
        <f t="shared" si="52"/>
        <v>3362</v>
      </c>
      <c r="B3363" s="845" t="s">
        <v>2555</v>
      </c>
      <c r="D3363" s="861"/>
      <c r="H3363" s="845" t="s">
        <v>1007</v>
      </c>
    </row>
    <row r="3364" spans="1:9" x14ac:dyDescent="0.2">
      <c r="A3364" s="859">
        <f t="shared" si="52"/>
        <v>3363</v>
      </c>
      <c r="B3364" s="845" t="s">
        <v>2555</v>
      </c>
      <c r="D3364" s="862"/>
      <c r="I3364" s="845" t="s">
        <v>1536</v>
      </c>
    </row>
    <row r="3365" spans="1:9" x14ac:dyDescent="0.2">
      <c r="A3365" s="859">
        <f t="shared" si="52"/>
        <v>3364</v>
      </c>
      <c r="B3365" s="845" t="s">
        <v>2555</v>
      </c>
      <c r="D3365" s="862"/>
      <c r="I3365" s="845" t="str">
        <f>CONCATENATE("&lt;valeur&gt;",Cellule_829_5,"&lt;/valeur&gt;")</f>
        <v>&lt;valeur&gt;&lt;/valeur&gt;</v>
      </c>
    </row>
    <row r="3366" spans="1:9" x14ac:dyDescent="0.2">
      <c r="A3366" s="859">
        <f t="shared" si="52"/>
        <v>3365</v>
      </c>
      <c r="B3366" s="845" t="s">
        <v>2555</v>
      </c>
      <c r="D3366" s="862"/>
      <c r="I3366" s="845" t="s">
        <v>2580</v>
      </c>
    </row>
    <row r="3367" spans="1:9" x14ac:dyDescent="0.2">
      <c r="A3367" s="859">
        <f t="shared" si="52"/>
        <v>3366</v>
      </c>
      <c r="B3367" s="845" t="s">
        <v>2555</v>
      </c>
      <c r="D3367" s="861"/>
      <c r="H3367" s="845" t="s">
        <v>1010</v>
      </c>
    </row>
    <row r="3368" spans="1:9" x14ac:dyDescent="0.2">
      <c r="A3368" s="859">
        <f t="shared" si="52"/>
        <v>3367</v>
      </c>
      <c r="B3368" s="845" t="s">
        <v>2555</v>
      </c>
      <c r="D3368" s="861"/>
      <c r="H3368" s="845" t="s">
        <v>1007</v>
      </c>
    </row>
    <row r="3369" spans="1:9" x14ac:dyDescent="0.2">
      <c r="A3369" s="859">
        <f t="shared" si="52"/>
        <v>3368</v>
      </c>
      <c r="B3369" s="845" t="s">
        <v>2555</v>
      </c>
      <c r="D3369" s="862"/>
      <c r="I3369" s="845" t="s">
        <v>1537</v>
      </c>
    </row>
    <row r="3370" spans="1:9" x14ac:dyDescent="0.2">
      <c r="A3370" s="859">
        <f t="shared" si="52"/>
        <v>3369</v>
      </c>
      <c r="B3370" s="845" t="s">
        <v>2555</v>
      </c>
      <c r="D3370" s="863"/>
      <c r="I3370" s="845" t="str">
        <f>CONCATENATE("&lt;valeur&gt;",Cellule_831_5,"&lt;/valeur&gt;")</f>
        <v>&lt;valeur&gt;0&lt;/valeur&gt;</v>
      </c>
    </row>
    <row r="3371" spans="1:9" x14ac:dyDescent="0.2">
      <c r="A3371" s="859">
        <f t="shared" si="52"/>
        <v>3370</v>
      </c>
      <c r="B3371" s="845" t="s">
        <v>2555</v>
      </c>
      <c r="D3371" s="862"/>
      <c r="I3371" s="845" t="s">
        <v>2580</v>
      </c>
    </row>
    <row r="3372" spans="1:9" x14ac:dyDescent="0.2">
      <c r="A3372" s="859">
        <f t="shared" si="52"/>
        <v>3371</v>
      </c>
      <c r="B3372" s="845" t="s">
        <v>2555</v>
      </c>
      <c r="D3372" s="862"/>
      <c r="H3372" s="845" t="s">
        <v>1010</v>
      </c>
    </row>
    <row r="3373" spans="1:9" x14ac:dyDescent="0.2">
      <c r="A3373" s="859">
        <f t="shared" si="52"/>
        <v>3372</v>
      </c>
      <c r="B3373" s="845" t="s">
        <v>2555</v>
      </c>
      <c r="D3373" s="862"/>
      <c r="H3373" s="845" t="s">
        <v>1007</v>
      </c>
    </row>
    <row r="3374" spans="1:9" x14ac:dyDescent="0.2">
      <c r="A3374" s="859">
        <f t="shared" si="52"/>
        <v>3373</v>
      </c>
      <c r="B3374" s="845" t="s">
        <v>2555</v>
      </c>
      <c r="D3374" s="861"/>
      <c r="I3374" s="845" t="s">
        <v>1538</v>
      </c>
    </row>
    <row r="3375" spans="1:9" x14ac:dyDescent="0.2">
      <c r="A3375" s="859">
        <f t="shared" si="52"/>
        <v>3374</v>
      </c>
      <c r="B3375" s="845" t="s">
        <v>2555</v>
      </c>
      <c r="D3375" s="861"/>
      <c r="I3375" s="845" t="str">
        <f>CONCATENATE("&lt;valeur&gt;",Cellule_7830_5,"&lt;/valeur&gt;")</f>
        <v>&lt;valeur&gt;0&lt;/valeur&gt;</v>
      </c>
    </row>
    <row r="3376" spans="1:9" x14ac:dyDescent="0.2">
      <c r="A3376" s="859">
        <f t="shared" si="52"/>
        <v>3375</v>
      </c>
      <c r="B3376" s="845" t="s">
        <v>2555</v>
      </c>
      <c r="D3376" s="862"/>
      <c r="I3376" s="845" t="s">
        <v>2580</v>
      </c>
    </row>
    <row r="3377" spans="1:9" x14ac:dyDescent="0.2">
      <c r="A3377" s="859">
        <f t="shared" si="52"/>
        <v>3376</v>
      </c>
      <c r="B3377" s="845" t="s">
        <v>2555</v>
      </c>
      <c r="D3377" s="863"/>
      <c r="H3377" s="845" t="s">
        <v>1010</v>
      </c>
    </row>
    <row r="3378" spans="1:9" x14ac:dyDescent="0.2">
      <c r="A3378" s="859">
        <f t="shared" si="52"/>
        <v>3377</v>
      </c>
      <c r="B3378" s="845" t="s">
        <v>2555</v>
      </c>
      <c r="D3378" s="861"/>
      <c r="H3378" s="845" t="s">
        <v>1007</v>
      </c>
    </row>
    <row r="3379" spans="1:9" x14ac:dyDescent="0.2">
      <c r="A3379" s="859">
        <f t="shared" si="52"/>
        <v>3378</v>
      </c>
      <c r="B3379" s="845" t="s">
        <v>2555</v>
      </c>
      <c r="D3379" s="862"/>
      <c r="I3379" s="845" t="s">
        <v>1536</v>
      </c>
    </row>
    <row r="3380" spans="1:9" x14ac:dyDescent="0.2">
      <c r="A3380" s="859">
        <f t="shared" si="52"/>
        <v>3379</v>
      </c>
      <c r="B3380" s="845" t="s">
        <v>2555</v>
      </c>
      <c r="D3380" s="862"/>
      <c r="I3380" s="845" t="str">
        <f>CONCATENATE("&lt;valeur&gt;",Cellule_829_6,"&lt;/valeur&gt;")</f>
        <v>&lt;valeur&gt;&lt;/valeur&gt;</v>
      </c>
    </row>
    <row r="3381" spans="1:9" x14ac:dyDescent="0.2">
      <c r="A3381" s="859">
        <f t="shared" si="52"/>
        <v>3380</v>
      </c>
      <c r="B3381" s="845" t="s">
        <v>2555</v>
      </c>
      <c r="D3381" s="862"/>
      <c r="I3381" s="845" t="s">
        <v>2581</v>
      </c>
    </row>
    <row r="3382" spans="1:9" x14ac:dyDescent="0.2">
      <c r="A3382" s="859">
        <f t="shared" si="52"/>
        <v>3381</v>
      </c>
      <c r="B3382" s="845" t="s">
        <v>2555</v>
      </c>
      <c r="D3382" s="861"/>
      <c r="H3382" s="845" t="s">
        <v>1010</v>
      </c>
    </row>
    <row r="3383" spans="1:9" x14ac:dyDescent="0.2">
      <c r="A3383" s="859">
        <f t="shared" si="52"/>
        <v>3382</v>
      </c>
      <c r="B3383" s="845" t="s">
        <v>2555</v>
      </c>
      <c r="D3383" s="861"/>
      <c r="H3383" s="845" t="s">
        <v>1007</v>
      </c>
    </row>
    <row r="3384" spans="1:9" x14ac:dyDescent="0.2">
      <c r="A3384" s="859">
        <f t="shared" si="52"/>
        <v>3383</v>
      </c>
      <c r="B3384" s="845" t="s">
        <v>2555</v>
      </c>
      <c r="D3384" s="862"/>
      <c r="I3384" s="845" t="s">
        <v>1537</v>
      </c>
    </row>
    <row r="3385" spans="1:9" x14ac:dyDescent="0.2">
      <c r="A3385" s="859">
        <f t="shared" si="52"/>
        <v>3384</v>
      </c>
      <c r="B3385" s="845" t="s">
        <v>2555</v>
      </c>
      <c r="D3385" s="863"/>
      <c r="I3385" s="845" t="str">
        <f>CONCATENATE("&lt;valeur&gt;",Cellule_831_6,"&lt;/valeur&gt;")</f>
        <v>&lt;valeur&gt;0&lt;/valeur&gt;</v>
      </c>
    </row>
    <row r="3386" spans="1:9" x14ac:dyDescent="0.2">
      <c r="A3386" s="859">
        <f t="shared" si="52"/>
        <v>3385</v>
      </c>
      <c r="B3386" s="845" t="s">
        <v>2555</v>
      </c>
      <c r="D3386" s="862"/>
      <c r="I3386" s="845" t="s">
        <v>2581</v>
      </c>
    </row>
    <row r="3387" spans="1:9" x14ac:dyDescent="0.2">
      <c r="A3387" s="859">
        <f t="shared" si="52"/>
        <v>3386</v>
      </c>
      <c r="B3387" s="845" t="s">
        <v>2555</v>
      </c>
      <c r="D3387" s="862"/>
      <c r="H3387" s="845" t="s">
        <v>1010</v>
      </c>
    </row>
    <row r="3388" spans="1:9" x14ac:dyDescent="0.2">
      <c r="A3388" s="859">
        <f t="shared" si="52"/>
        <v>3387</v>
      </c>
      <c r="B3388" s="845" t="s">
        <v>2555</v>
      </c>
      <c r="D3388" s="862"/>
      <c r="H3388" s="845" t="s">
        <v>1007</v>
      </c>
    </row>
    <row r="3389" spans="1:9" x14ac:dyDescent="0.2">
      <c r="A3389" s="859">
        <f t="shared" si="52"/>
        <v>3388</v>
      </c>
      <c r="B3389" s="845" t="s">
        <v>2555</v>
      </c>
      <c r="D3389" s="861"/>
      <c r="I3389" s="845" t="s">
        <v>1538</v>
      </c>
    </row>
    <row r="3390" spans="1:9" x14ac:dyDescent="0.2">
      <c r="A3390" s="859">
        <f t="shared" si="52"/>
        <v>3389</v>
      </c>
      <c r="B3390" s="845" t="s">
        <v>2555</v>
      </c>
      <c r="D3390" s="861"/>
      <c r="I3390" s="845" t="str">
        <f>CONCATENATE("&lt;valeur&gt;",Cellule_7830_6,"&lt;/valeur&gt;")</f>
        <v>&lt;valeur&gt;0&lt;/valeur&gt;</v>
      </c>
    </row>
    <row r="3391" spans="1:9" x14ac:dyDescent="0.2">
      <c r="A3391" s="859">
        <f t="shared" si="52"/>
        <v>3390</v>
      </c>
      <c r="B3391" s="845" t="s">
        <v>2555</v>
      </c>
      <c r="D3391" s="862"/>
      <c r="I3391" s="845" t="s">
        <v>2581</v>
      </c>
    </row>
    <row r="3392" spans="1:9" x14ac:dyDescent="0.2">
      <c r="A3392" s="859">
        <f t="shared" si="52"/>
        <v>3391</v>
      </c>
      <c r="B3392" s="845" t="s">
        <v>2555</v>
      </c>
      <c r="D3392" s="863"/>
      <c r="H3392" s="845" t="s">
        <v>1010</v>
      </c>
    </row>
    <row r="3393" spans="1:10" x14ac:dyDescent="0.2">
      <c r="A3393" s="859">
        <f t="shared" si="52"/>
        <v>3392</v>
      </c>
      <c r="B3393" s="845" t="s">
        <v>2555</v>
      </c>
      <c r="D3393" s="862"/>
      <c r="H3393" s="845" t="s">
        <v>1007</v>
      </c>
    </row>
    <row r="3394" spans="1:10" x14ac:dyDescent="0.2">
      <c r="A3394" s="859">
        <f t="shared" si="52"/>
        <v>3393</v>
      </c>
      <c r="B3394" s="845" t="s">
        <v>2555</v>
      </c>
      <c r="D3394" s="862"/>
      <c r="I3394" s="845" t="s">
        <v>1008</v>
      </c>
    </row>
    <row r="3395" spans="1:10" x14ac:dyDescent="0.2">
      <c r="A3395" s="859">
        <f t="shared" si="52"/>
        <v>3394</v>
      </c>
      <c r="B3395" s="845" t="s">
        <v>2555</v>
      </c>
      <c r="D3395" s="862"/>
      <c r="J3395" s="845" t="s">
        <v>1539</v>
      </c>
    </row>
    <row r="3396" spans="1:10" x14ac:dyDescent="0.2">
      <c r="A3396" s="859">
        <f t="shared" ref="A3396:A3459" si="53">+A3395+1</f>
        <v>3395</v>
      </c>
      <c r="B3396" s="845" t="s">
        <v>2555</v>
      </c>
      <c r="D3396" s="861"/>
      <c r="I3396" s="845" t="s">
        <v>1009</v>
      </c>
    </row>
    <row r="3397" spans="1:10" x14ac:dyDescent="0.2">
      <c r="A3397" s="859">
        <f t="shared" si="53"/>
        <v>3396</v>
      </c>
      <c r="B3397" s="845" t="s">
        <v>2555</v>
      </c>
      <c r="D3397" s="861"/>
      <c r="I3397" s="845" t="str">
        <f>CONCATENATE("&lt;valeur&gt;",Cellule_833,"&lt;/valeur&gt;")</f>
        <v>&lt;valeur&gt;0&lt;/valeur&gt;</v>
      </c>
    </row>
    <row r="3398" spans="1:10" x14ac:dyDescent="0.2">
      <c r="A3398" s="859">
        <f t="shared" si="53"/>
        <v>3397</v>
      </c>
      <c r="B3398" s="845" t="s">
        <v>2555</v>
      </c>
      <c r="D3398" s="862"/>
      <c r="H3398" s="845" t="s">
        <v>1010</v>
      </c>
    </row>
    <row r="3399" spans="1:10" x14ac:dyDescent="0.2">
      <c r="A3399" s="859">
        <f t="shared" si="53"/>
        <v>3398</v>
      </c>
      <c r="B3399" s="845" t="s">
        <v>2555</v>
      </c>
      <c r="D3399" s="863"/>
      <c r="H3399" s="845" t="s">
        <v>1007</v>
      </c>
    </row>
    <row r="3400" spans="1:10" x14ac:dyDescent="0.2">
      <c r="A3400" s="859">
        <f t="shared" si="53"/>
        <v>3399</v>
      </c>
      <c r="B3400" s="845" t="s">
        <v>2555</v>
      </c>
      <c r="D3400" s="862"/>
      <c r="I3400" s="845" t="s">
        <v>1008</v>
      </c>
    </row>
    <row r="3401" spans="1:10" x14ac:dyDescent="0.2">
      <c r="A3401" s="859">
        <f t="shared" si="53"/>
        <v>3400</v>
      </c>
      <c r="B3401" s="845" t="s">
        <v>2555</v>
      </c>
      <c r="D3401" s="862"/>
      <c r="J3401" s="845" t="s">
        <v>1540</v>
      </c>
    </row>
    <row r="3402" spans="1:10" x14ac:dyDescent="0.2">
      <c r="A3402" s="859">
        <f t="shared" si="53"/>
        <v>3401</v>
      </c>
      <c r="B3402" s="845" t="s">
        <v>2555</v>
      </c>
      <c r="D3402" s="862"/>
      <c r="I3402" s="845" t="s">
        <v>1009</v>
      </c>
    </row>
    <row r="3403" spans="1:10" x14ac:dyDescent="0.2">
      <c r="A3403" s="859">
        <f t="shared" si="53"/>
        <v>3402</v>
      </c>
      <c r="B3403" s="845" t="s">
        <v>2555</v>
      </c>
      <c r="D3403" s="861"/>
      <c r="I3403" s="845" t="str">
        <f>CONCATENATE("&lt;valeur&gt;",Cellule_834,"&lt;/valeur&gt;")</f>
        <v>&lt;valeur&gt;0&lt;/valeur&gt;</v>
      </c>
    </row>
    <row r="3404" spans="1:10" x14ac:dyDescent="0.2">
      <c r="A3404" s="859">
        <f t="shared" si="53"/>
        <v>3403</v>
      </c>
      <c r="B3404" s="845" t="s">
        <v>2555</v>
      </c>
      <c r="D3404" s="861"/>
      <c r="H3404" s="845" t="s">
        <v>1010</v>
      </c>
    </row>
    <row r="3405" spans="1:10" x14ac:dyDescent="0.2">
      <c r="A3405" s="859">
        <f t="shared" si="53"/>
        <v>3404</v>
      </c>
      <c r="B3405" s="845" t="s">
        <v>2555</v>
      </c>
      <c r="D3405" s="862"/>
      <c r="H3405" s="845" t="s">
        <v>1007</v>
      </c>
    </row>
    <row r="3406" spans="1:10" x14ac:dyDescent="0.2">
      <c r="A3406" s="859">
        <f t="shared" si="53"/>
        <v>3405</v>
      </c>
      <c r="B3406" s="845" t="s">
        <v>2555</v>
      </c>
      <c r="D3406" s="863"/>
      <c r="I3406" s="845" t="s">
        <v>1008</v>
      </c>
    </row>
    <row r="3407" spans="1:10" x14ac:dyDescent="0.2">
      <c r="A3407" s="859">
        <f t="shared" si="53"/>
        <v>3406</v>
      </c>
      <c r="B3407" s="845" t="s">
        <v>2555</v>
      </c>
      <c r="D3407" s="862"/>
      <c r="J3407" s="845" t="s">
        <v>1541</v>
      </c>
    </row>
    <row r="3408" spans="1:10" x14ac:dyDescent="0.2">
      <c r="A3408" s="859">
        <f t="shared" si="53"/>
        <v>3407</v>
      </c>
      <c r="B3408" s="845" t="s">
        <v>2555</v>
      </c>
      <c r="D3408" s="862"/>
      <c r="I3408" s="845" t="s">
        <v>1009</v>
      </c>
    </row>
    <row r="3409" spans="1:10" x14ac:dyDescent="0.2">
      <c r="A3409" s="859">
        <f t="shared" si="53"/>
        <v>3408</v>
      </c>
      <c r="B3409" s="845" t="s">
        <v>2555</v>
      </c>
      <c r="D3409" s="862"/>
      <c r="I3409" s="845" t="str">
        <f>CONCATENATE("&lt;valeur&gt;",Cellule_837,"&lt;/valeur&gt;")</f>
        <v>&lt;valeur&gt;0&lt;/valeur&gt;</v>
      </c>
    </row>
    <row r="3410" spans="1:10" x14ac:dyDescent="0.2">
      <c r="A3410" s="859">
        <f t="shared" si="53"/>
        <v>3409</v>
      </c>
      <c r="B3410" s="845" t="s">
        <v>2555</v>
      </c>
      <c r="D3410" s="861"/>
      <c r="H3410" s="845" t="s">
        <v>1010</v>
      </c>
    </row>
    <row r="3411" spans="1:10" x14ac:dyDescent="0.2">
      <c r="A3411" s="859">
        <f t="shared" si="53"/>
        <v>3410</v>
      </c>
      <c r="B3411" s="845" t="s">
        <v>2555</v>
      </c>
      <c r="D3411" s="861"/>
      <c r="H3411" s="845" t="s">
        <v>1007</v>
      </c>
    </row>
    <row r="3412" spans="1:10" x14ac:dyDescent="0.2">
      <c r="A3412" s="859">
        <f t="shared" si="53"/>
        <v>3411</v>
      </c>
      <c r="B3412" s="845" t="s">
        <v>2555</v>
      </c>
      <c r="D3412" s="862"/>
      <c r="I3412" s="845" t="s">
        <v>1008</v>
      </c>
    </row>
    <row r="3413" spans="1:10" x14ac:dyDescent="0.2">
      <c r="A3413" s="859">
        <f t="shared" si="53"/>
        <v>3412</v>
      </c>
      <c r="B3413" s="845" t="s">
        <v>2555</v>
      </c>
      <c r="D3413" s="863"/>
      <c r="J3413" s="845" t="s">
        <v>1542</v>
      </c>
    </row>
    <row r="3414" spans="1:10" x14ac:dyDescent="0.2">
      <c r="A3414" s="859">
        <f t="shared" si="53"/>
        <v>3413</v>
      </c>
      <c r="B3414" s="845" t="s">
        <v>2555</v>
      </c>
      <c r="D3414" s="862"/>
      <c r="I3414" s="845" t="s">
        <v>1009</v>
      </c>
    </row>
    <row r="3415" spans="1:10" x14ac:dyDescent="0.2">
      <c r="A3415" s="859">
        <f t="shared" si="53"/>
        <v>3414</v>
      </c>
      <c r="B3415" s="845" t="s">
        <v>2555</v>
      </c>
      <c r="D3415" s="862"/>
      <c r="I3415" s="845" t="str">
        <f>CONCATENATE("&lt;valeur&gt;",Cellule_838,"&lt;/valeur&gt;")</f>
        <v>&lt;valeur&gt;&lt;/valeur&gt;</v>
      </c>
    </row>
    <row r="3416" spans="1:10" x14ac:dyDescent="0.2">
      <c r="A3416" s="859">
        <f t="shared" si="53"/>
        <v>3415</v>
      </c>
      <c r="B3416" s="845" t="s">
        <v>2555</v>
      </c>
      <c r="D3416" s="862"/>
      <c r="H3416" s="845" t="s">
        <v>1010</v>
      </c>
    </row>
    <row r="3417" spans="1:10" x14ac:dyDescent="0.2">
      <c r="A3417" s="859">
        <f t="shared" si="53"/>
        <v>3416</v>
      </c>
      <c r="B3417" s="845" t="s">
        <v>2555</v>
      </c>
      <c r="D3417" s="861"/>
      <c r="H3417" s="845" t="s">
        <v>1007</v>
      </c>
    </row>
    <row r="3418" spans="1:10" x14ac:dyDescent="0.2">
      <c r="A3418" s="859">
        <f t="shared" si="53"/>
        <v>3417</v>
      </c>
      <c r="B3418" s="845" t="s">
        <v>2555</v>
      </c>
      <c r="D3418" s="861"/>
      <c r="I3418" s="845" t="s">
        <v>1008</v>
      </c>
    </row>
    <row r="3419" spans="1:10" x14ac:dyDescent="0.2">
      <c r="A3419" s="859">
        <f t="shared" si="53"/>
        <v>3418</v>
      </c>
      <c r="B3419" s="845" t="s">
        <v>2555</v>
      </c>
      <c r="D3419" s="862"/>
      <c r="J3419" s="845" t="s">
        <v>1543</v>
      </c>
    </row>
    <row r="3420" spans="1:10" x14ac:dyDescent="0.2">
      <c r="A3420" s="859">
        <f t="shared" si="53"/>
        <v>3419</v>
      </c>
      <c r="B3420" s="845" t="s">
        <v>2555</v>
      </c>
      <c r="D3420" s="863"/>
      <c r="I3420" s="845" t="s">
        <v>1009</v>
      </c>
    </row>
    <row r="3421" spans="1:10" x14ac:dyDescent="0.2">
      <c r="A3421" s="859">
        <f t="shared" si="53"/>
        <v>3420</v>
      </c>
      <c r="B3421" s="845" t="s">
        <v>2555</v>
      </c>
      <c r="D3421" s="862"/>
      <c r="I3421" s="845" t="str">
        <f>CONCATENATE("&lt;valeur&gt;",Cellule_839,"&lt;/valeur&gt;")</f>
        <v>&lt;valeur&gt;&lt;/valeur&gt;</v>
      </c>
    </row>
    <row r="3422" spans="1:10" x14ac:dyDescent="0.2">
      <c r="A3422" s="859">
        <f t="shared" si="53"/>
        <v>3421</v>
      </c>
      <c r="B3422" s="845" t="s">
        <v>2555</v>
      </c>
      <c r="D3422" s="862"/>
      <c r="H3422" s="845" t="s">
        <v>1010</v>
      </c>
    </row>
    <row r="3423" spans="1:10" x14ac:dyDescent="0.2">
      <c r="A3423" s="859">
        <f t="shared" si="53"/>
        <v>3422</v>
      </c>
      <c r="B3423" s="845" t="s">
        <v>2555</v>
      </c>
      <c r="D3423" s="862"/>
      <c r="H3423" s="845" t="s">
        <v>1007</v>
      </c>
    </row>
    <row r="3424" spans="1:10" x14ac:dyDescent="0.2">
      <c r="A3424" s="859">
        <f t="shared" si="53"/>
        <v>3423</v>
      </c>
      <c r="B3424" s="845" t="s">
        <v>2555</v>
      </c>
      <c r="D3424" s="861"/>
      <c r="I3424" s="845" t="s">
        <v>1008</v>
      </c>
    </row>
    <row r="3425" spans="1:10" x14ac:dyDescent="0.2">
      <c r="A3425" s="859">
        <f t="shared" si="53"/>
        <v>3424</v>
      </c>
      <c r="B3425" s="845" t="s">
        <v>2555</v>
      </c>
      <c r="D3425" s="861"/>
      <c r="J3425" s="845" t="s">
        <v>1544</v>
      </c>
    </row>
    <row r="3426" spans="1:10" x14ac:dyDescent="0.2">
      <c r="A3426" s="859">
        <f t="shared" si="53"/>
        <v>3425</v>
      </c>
      <c r="B3426" s="845" t="s">
        <v>2555</v>
      </c>
      <c r="D3426" s="862"/>
      <c r="I3426" s="845" t="s">
        <v>1009</v>
      </c>
    </row>
    <row r="3427" spans="1:10" x14ac:dyDescent="0.2">
      <c r="A3427" s="859">
        <f t="shared" si="53"/>
        <v>3426</v>
      </c>
      <c r="B3427" s="845" t="s">
        <v>2555</v>
      </c>
      <c r="D3427" s="863"/>
      <c r="I3427" s="845" t="str">
        <f>CONCATENATE("&lt;valeur&gt;",Cellule_840,"&lt;/valeur&gt;")</f>
        <v>&lt;valeur&gt;0&lt;/valeur&gt;</v>
      </c>
    </row>
    <row r="3428" spans="1:10" x14ac:dyDescent="0.2">
      <c r="A3428" s="859">
        <f t="shared" si="53"/>
        <v>3427</v>
      </c>
      <c r="B3428" s="845" t="s">
        <v>2555</v>
      </c>
      <c r="D3428" s="862"/>
      <c r="H3428" s="845" t="s">
        <v>1010</v>
      </c>
    </row>
    <row r="3429" spans="1:10" x14ac:dyDescent="0.2">
      <c r="A3429" s="859">
        <f t="shared" si="53"/>
        <v>3428</v>
      </c>
      <c r="B3429" s="845" t="s">
        <v>2555</v>
      </c>
      <c r="D3429" s="862"/>
      <c r="H3429" s="845" t="s">
        <v>1007</v>
      </c>
    </row>
    <row r="3430" spans="1:10" x14ac:dyDescent="0.2">
      <c r="A3430" s="859">
        <f t="shared" si="53"/>
        <v>3429</v>
      </c>
      <c r="B3430" s="845" t="s">
        <v>2555</v>
      </c>
      <c r="D3430" s="861"/>
      <c r="I3430" s="845" t="s">
        <v>1008</v>
      </c>
    </row>
    <row r="3431" spans="1:10" x14ac:dyDescent="0.2">
      <c r="A3431" s="859">
        <f t="shared" si="53"/>
        <v>3430</v>
      </c>
      <c r="B3431" s="845" t="s">
        <v>2555</v>
      </c>
      <c r="D3431" s="861"/>
      <c r="J3431" s="845" t="s">
        <v>1545</v>
      </c>
    </row>
    <row r="3432" spans="1:10" x14ac:dyDescent="0.2">
      <c r="A3432" s="859">
        <f t="shared" si="53"/>
        <v>3431</v>
      </c>
      <c r="B3432" s="845" t="s">
        <v>2555</v>
      </c>
      <c r="D3432" s="862"/>
      <c r="I3432" s="845" t="s">
        <v>1009</v>
      </c>
    </row>
    <row r="3433" spans="1:10" x14ac:dyDescent="0.2">
      <c r="A3433" s="859">
        <f t="shared" si="53"/>
        <v>3432</v>
      </c>
      <c r="B3433" s="845" t="s">
        <v>2555</v>
      </c>
      <c r="D3433" s="863"/>
      <c r="I3433" s="845" t="str">
        <f>CONCATENATE("&lt;valeur&gt;",Cellule_845,"&lt;/valeur&gt;")</f>
        <v>&lt;valeur&gt;&lt;/valeur&gt;</v>
      </c>
    </row>
    <row r="3434" spans="1:10" x14ac:dyDescent="0.2">
      <c r="A3434" s="859">
        <f t="shared" si="53"/>
        <v>3433</v>
      </c>
      <c r="B3434" s="845" t="s">
        <v>2555</v>
      </c>
      <c r="D3434" s="862"/>
      <c r="H3434" s="845" t="s">
        <v>1010</v>
      </c>
    </row>
    <row r="3435" spans="1:10" x14ac:dyDescent="0.2">
      <c r="A3435" s="859">
        <f t="shared" si="53"/>
        <v>3434</v>
      </c>
      <c r="B3435" s="845" t="s">
        <v>2555</v>
      </c>
      <c r="D3435" s="862"/>
      <c r="H3435" s="845" t="s">
        <v>1007</v>
      </c>
    </row>
    <row r="3436" spans="1:10" x14ac:dyDescent="0.2">
      <c r="A3436" s="859">
        <f t="shared" si="53"/>
        <v>3435</v>
      </c>
      <c r="B3436" s="845" t="s">
        <v>2555</v>
      </c>
      <c r="D3436" s="861"/>
      <c r="I3436" s="845" t="s">
        <v>1008</v>
      </c>
    </row>
    <row r="3437" spans="1:10" x14ac:dyDescent="0.2">
      <c r="A3437" s="859">
        <f t="shared" si="53"/>
        <v>3436</v>
      </c>
      <c r="B3437" s="845" t="s">
        <v>2555</v>
      </c>
      <c r="D3437" s="861"/>
      <c r="J3437" s="845" t="s">
        <v>1546</v>
      </c>
    </row>
    <row r="3438" spans="1:10" x14ac:dyDescent="0.2">
      <c r="A3438" s="859">
        <f t="shared" si="53"/>
        <v>3437</v>
      </c>
      <c r="B3438" s="845" t="s">
        <v>2555</v>
      </c>
      <c r="D3438" s="862"/>
      <c r="I3438" s="845" t="s">
        <v>1009</v>
      </c>
    </row>
    <row r="3439" spans="1:10" x14ac:dyDescent="0.2">
      <c r="A3439" s="859">
        <f t="shared" si="53"/>
        <v>3438</v>
      </c>
      <c r="B3439" s="845" t="s">
        <v>2555</v>
      </c>
      <c r="D3439" s="863"/>
      <c r="I3439" s="845" t="str">
        <f>CONCATENATE("&lt;valeur&gt;",Cellule_846,"&lt;/valeur&gt;")</f>
        <v>&lt;valeur&gt;&lt;/valeur&gt;</v>
      </c>
    </row>
    <row r="3440" spans="1:10" x14ac:dyDescent="0.2">
      <c r="A3440" s="859">
        <f t="shared" si="53"/>
        <v>3439</v>
      </c>
      <c r="B3440" s="845" t="s">
        <v>2555</v>
      </c>
      <c r="D3440" s="862"/>
      <c r="H3440" s="845" t="s">
        <v>1010</v>
      </c>
    </row>
    <row r="3441" spans="1:10" x14ac:dyDescent="0.2">
      <c r="A3441" s="859">
        <f t="shared" si="53"/>
        <v>3440</v>
      </c>
      <c r="B3441" s="845" t="s">
        <v>2555</v>
      </c>
      <c r="D3441" s="862"/>
      <c r="H3441" s="845" t="s">
        <v>1007</v>
      </c>
    </row>
    <row r="3442" spans="1:10" x14ac:dyDescent="0.2">
      <c r="A3442" s="859">
        <f t="shared" si="53"/>
        <v>3441</v>
      </c>
      <c r="B3442" s="845" t="s">
        <v>2555</v>
      </c>
      <c r="D3442" s="861"/>
      <c r="I3442" s="845" t="s">
        <v>1008</v>
      </c>
    </row>
    <row r="3443" spans="1:10" x14ac:dyDescent="0.2">
      <c r="A3443" s="859">
        <f t="shared" si="53"/>
        <v>3442</v>
      </c>
      <c r="B3443" s="845" t="s">
        <v>2555</v>
      </c>
      <c r="D3443" s="861"/>
      <c r="J3443" s="845" t="s">
        <v>1547</v>
      </c>
    </row>
    <row r="3444" spans="1:10" x14ac:dyDescent="0.2">
      <c r="A3444" s="859">
        <f t="shared" si="53"/>
        <v>3443</v>
      </c>
      <c r="B3444" s="845" t="s">
        <v>2555</v>
      </c>
      <c r="D3444" s="862"/>
      <c r="I3444" s="845" t="s">
        <v>1009</v>
      </c>
    </row>
    <row r="3445" spans="1:10" x14ac:dyDescent="0.2">
      <c r="A3445" s="859">
        <f t="shared" si="53"/>
        <v>3444</v>
      </c>
      <c r="B3445" s="845" t="s">
        <v>2555</v>
      </c>
      <c r="D3445" s="863"/>
      <c r="I3445" s="845" t="str">
        <f>CONCATENATE("&lt;valeur&gt;",Cellule_847,"&lt;/valeur&gt;")</f>
        <v>&lt;valeur&gt;&lt;/valeur&gt;</v>
      </c>
    </row>
    <row r="3446" spans="1:10" x14ac:dyDescent="0.2">
      <c r="A3446" s="859">
        <f t="shared" si="53"/>
        <v>3445</v>
      </c>
      <c r="B3446" s="845" t="s">
        <v>2555</v>
      </c>
      <c r="D3446" s="862"/>
      <c r="H3446" s="845" t="s">
        <v>1010</v>
      </c>
    </row>
    <row r="3447" spans="1:10" x14ac:dyDescent="0.2">
      <c r="A3447" s="859">
        <f t="shared" si="53"/>
        <v>3446</v>
      </c>
      <c r="B3447" s="845" t="s">
        <v>2555</v>
      </c>
      <c r="D3447" s="862"/>
      <c r="H3447" s="845" t="s">
        <v>1007</v>
      </c>
    </row>
    <row r="3448" spans="1:10" x14ac:dyDescent="0.2">
      <c r="A3448" s="859">
        <f t="shared" si="53"/>
        <v>3447</v>
      </c>
      <c r="B3448" s="845" t="s">
        <v>2555</v>
      </c>
      <c r="D3448" s="861"/>
      <c r="I3448" s="845" t="s">
        <v>1008</v>
      </c>
    </row>
    <row r="3449" spans="1:10" x14ac:dyDescent="0.2">
      <c r="A3449" s="859">
        <f t="shared" si="53"/>
        <v>3448</v>
      </c>
      <c r="B3449" s="845" t="s">
        <v>2555</v>
      </c>
      <c r="D3449" s="861"/>
      <c r="J3449" s="845" t="s">
        <v>1548</v>
      </c>
    </row>
    <row r="3450" spans="1:10" x14ac:dyDescent="0.2">
      <c r="A3450" s="859">
        <f t="shared" si="53"/>
        <v>3449</v>
      </c>
      <c r="B3450" s="845" t="s">
        <v>2555</v>
      </c>
      <c r="D3450" s="862"/>
      <c r="I3450" s="845" t="s">
        <v>1009</v>
      </c>
    </row>
    <row r="3451" spans="1:10" x14ac:dyDescent="0.2">
      <c r="A3451" s="859">
        <f t="shared" si="53"/>
        <v>3450</v>
      </c>
      <c r="B3451" s="845" t="s">
        <v>2555</v>
      </c>
      <c r="D3451" s="863"/>
      <c r="I3451" s="845" t="str">
        <f>CONCATENATE("&lt;valeur&gt;",Cellule_848,"&lt;/valeur&gt;")</f>
        <v>&lt;valeur&gt;&lt;/valeur&gt;</v>
      </c>
    </row>
    <row r="3452" spans="1:10" x14ac:dyDescent="0.2">
      <c r="A3452" s="859">
        <f t="shared" si="53"/>
        <v>3451</v>
      </c>
      <c r="B3452" s="845" t="s">
        <v>2555</v>
      </c>
      <c r="D3452" s="862"/>
      <c r="H3452" s="845" t="s">
        <v>1010</v>
      </c>
    </row>
    <row r="3453" spans="1:10" x14ac:dyDescent="0.2">
      <c r="A3453" s="859">
        <f t="shared" si="53"/>
        <v>3452</v>
      </c>
      <c r="B3453" s="845" t="s">
        <v>2555</v>
      </c>
      <c r="D3453" s="862"/>
      <c r="H3453" s="845" t="s">
        <v>1007</v>
      </c>
    </row>
    <row r="3454" spans="1:10" x14ac:dyDescent="0.2">
      <c r="A3454" s="859">
        <f t="shared" si="53"/>
        <v>3453</v>
      </c>
      <c r="B3454" s="845" t="s">
        <v>2555</v>
      </c>
      <c r="D3454" s="861"/>
      <c r="I3454" s="845" t="s">
        <v>1008</v>
      </c>
    </row>
    <row r="3455" spans="1:10" x14ac:dyDescent="0.2">
      <c r="A3455" s="859">
        <f t="shared" si="53"/>
        <v>3454</v>
      </c>
      <c r="B3455" s="845" t="s">
        <v>2555</v>
      </c>
      <c r="D3455" s="861"/>
      <c r="J3455" s="845" t="s">
        <v>1549</v>
      </c>
    </row>
    <row r="3456" spans="1:10" x14ac:dyDescent="0.2">
      <c r="A3456" s="859">
        <f t="shared" si="53"/>
        <v>3455</v>
      </c>
      <c r="B3456" s="845" t="s">
        <v>2555</v>
      </c>
      <c r="D3456" s="862"/>
      <c r="I3456" s="845" t="s">
        <v>1009</v>
      </c>
    </row>
    <row r="3457" spans="1:10" x14ac:dyDescent="0.2">
      <c r="A3457" s="859">
        <f t="shared" si="53"/>
        <v>3456</v>
      </c>
      <c r="B3457" s="845" t="s">
        <v>2555</v>
      </c>
      <c r="D3457" s="863"/>
      <c r="I3457" s="845" t="str">
        <f>CONCATENATE("&lt;valeur&gt;",Cellule_849,"&lt;/valeur&gt;")</f>
        <v>&lt;valeur&gt;&lt;/valeur&gt;</v>
      </c>
    </row>
    <row r="3458" spans="1:10" x14ac:dyDescent="0.2">
      <c r="A3458" s="859">
        <f t="shared" si="53"/>
        <v>3457</v>
      </c>
      <c r="B3458" s="845" t="s">
        <v>2555</v>
      </c>
      <c r="D3458" s="862"/>
      <c r="H3458" s="845" t="s">
        <v>1010</v>
      </c>
    </row>
    <row r="3459" spans="1:10" x14ac:dyDescent="0.2">
      <c r="A3459" s="859">
        <f t="shared" si="53"/>
        <v>3458</v>
      </c>
      <c r="B3459" s="845" t="s">
        <v>2555</v>
      </c>
      <c r="D3459" s="862"/>
      <c r="H3459" s="845" t="s">
        <v>1007</v>
      </c>
    </row>
    <row r="3460" spans="1:10" x14ac:dyDescent="0.2">
      <c r="A3460" s="859">
        <f t="shared" ref="A3460:A3523" si="54">+A3459+1</f>
        <v>3459</v>
      </c>
      <c r="B3460" s="845" t="s">
        <v>2555</v>
      </c>
      <c r="D3460" s="861"/>
      <c r="I3460" s="845" t="s">
        <v>1008</v>
      </c>
    </row>
    <row r="3461" spans="1:10" x14ac:dyDescent="0.2">
      <c r="A3461" s="859">
        <f t="shared" si="54"/>
        <v>3460</v>
      </c>
      <c r="B3461" s="845" t="s">
        <v>2555</v>
      </c>
      <c r="D3461" s="861"/>
      <c r="J3461" s="845" t="s">
        <v>1550</v>
      </c>
    </row>
    <row r="3462" spans="1:10" x14ac:dyDescent="0.2">
      <c r="A3462" s="859">
        <f t="shared" si="54"/>
        <v>3461</v>
      </c>
      <c r="B3462" s="845" t="s">
        <v>2555</v>
      </c>
      <c r="D3462" s="862"/>
      <c r="I3462" s="845" t="s">
        <v>1009</v>
      </c>
    </row>
    <row r="3463" spans="1:10" x14ac:dyDescent="0.2">
      <c r="A3463" s="859">
        <f t="shared" si="54"/>
        <v>3462</v>
      </c>
      <c r="B3463" s="845" t="s">
        <v>2555</v>
      </c>
      <c r="D3463" s="863"/>
      <c r="I3463" s="845" t="str">
        <f>CONCATENATE("&lt;valeur&gt;",Cellule_850,"&lt;/valeur&gt;")</f>
        <v>&lt;valeur&gt;&lt;/valeur&gt;</v>
      </c>
    </row>
    <row r="3464" spans="1:10" x14ac:dyDescent="0.2">
      <c r="A3464" s="859">
        <f t="shared" si="54"/>
        <v>3463</v>
      </c>
      <c r="B3464" s="845" t="s">
        <v>2555</v>
      </c>
      <c r="D3464" s="862"/>
      <c r="H3464" s="845" t="s">
        <v>1010</v>
      </c>
    </row>
    <row r="3465" spans="1:10" x14ac:dyDescent="0.2">
      <c r="A3465" s="859">
        <f t="shared" si="54"/>
        <v>3464</v>
      </c>
      <c r="B3465" s="845" t="s">
        <v>2555</v>
      </c>
      <c r="D3465" s="862"/>
      <c r="H3465" s="845" t="s">
        <v>1007</v>
      </c>
    </row>
    <row r="3466" spans="1:10" x14ac:dyDescent="0.2">
      <c r="A3466" s="859">
        <f t="shared" si="54"/>
        <v>3465</v>
      </c>
      <c r="B3466" s="845" t="s">
        <v>2555</v>
      </c>
      <c r="D3466" s="861"/>
      <c r="I3466" s="845" t="s">
        <v>1008</v>
      </c>
    </row>
    <row r="3467" spans="1:10" x14ac:dyDescent="0.2">
      <c r="A3467" s="859">
        <f t="shared" si="54"/>
        <v>3466</v>
      </c>
      <c r="B3467" s="845" t="s">
        <v>2555</v>
      </c>
      <c r="D3467" s="861"/>
      <c r="J3467" s="845" t="s">
        <v>1551</v>
      </c>
    </row>
    <row r="3468" spans="1:10" x14ac:dyDescent="0.2">
      <c r="A3468" s="859">
        <f t="shared" si="54"/>
        <v>3467</v>
      </c>
      <c r="B3468" s="845" t="s">
        <v>2555</v>
      </c>
      <c r="D3468" s="862"/>
      <c r="I3468" s="845" t="s">
        <v>1009</v>
      </c>
    </row>
    <row r="3469" spans="1:10" x14ac:dyDescent="0.2">
      <c r="A3469" s="859">
        <f t="shared" si="54"/>
        <v>3468</v>
      </c>
      <c r="B3469" s="845" t="s">
        <v>2555</v>
      </c>
      <c r="D3469" s="863"/>
      <c r="I3469" s="845" t="str">
        <f>CONCATENATE("&lt;valeur&gt;",Cellule_851,"&lt;/valeur&gt;")</f>
        <v>&lt;valeur&gt;&lt;/valeur&gt;</v>
      </c>
    </row>
    <row r="3470" spans="1:10" x14ac:dyDescent="0.2">
      <c r="A3470" s="859">
        <f t="shared" si="54"/>
        <v>3469</v>
      </c>
      <c r="B3470" s="845" t="s">
        <v>2555</v>
      </c>
      <c r="D3470" s="862"/>
      <c r="H3470" s="845" t="s">
        <v>1010</v>
      </c>
    </row>
    <row r="3471" spans="1:10" x14ac:dyDescent="0.2">
      <c r="A3471" s="859">
        <f t="shared" si="54"/>
        <v>3470</v>
      </c>
      <c r="B3471" s="845" t="s">
        <v>2555</v>
      </c>
      <c r="D3471" s="862"/>
      <c r="H3471" s="845" t="s">
        <v>1007</v>
      </c>
    </row>
    <row r="3472" spans="1:10" x14ac:dyDescent="0.2">
      <c r="A3472" s="859">
        <f t="shared" si="54"/>
        <v>3471</v>
      </c>
      <c r="B3472" s="845" t="s">
        <v>2555</v>
      </c>
      <c r="D3472" s="861"/>
      <c r="I3472" s="845" t="s">
        <v>1008</v>
      </c>
    </row>
    <row r="3473" spans="1:10" x14ac:dyDescent="0.2">
      <c r="A3473" s="859">
        <f t="shared" si="54"/>
        <v>3472</v>
      </c>
      <c r="B3473" s="845" t="s">
        <v>2555</v>
      </c>
      <c r="D3473" s="861"/>
      <c r="J3473" s="845" t="s">
        <v>1552</v>
      </c>
    </row>
    <row r="3474" spans="1:10" x14ac:dyDescent="0.2">
      <c r="A3474" s="859">
        <f t="shared" si="54"/>
        <v>3473</v>
      </c>
      <c r="B3474" s="845" t="s">
        <v>2555</v>
      </c>
      <c r="D3474" s="862"/>
      <c r="I3474" s="845" t="s">
        <v>1009</v>
      </c>
    </row>
    <row r="3475" spans="1:10" x14ac:dyDescent="0.2">
      <c r="A3475" s="859">
        <f t="shared" si="54"/>
        <v>3474</v>
      </c>
      <c r="B3475" s="845" t="s">
        <v>2555</v>
      </c>
      <c r="D3475" s="863"/>
      <c r="I3475" s="845" t="str">
        <f>CONCATENATE("&lt;valeur&gt;",Cellule_852,"&lt;/valeur&gt;")</f>
        <v>&lt;valeur&gt;&lt;/valeur&gt;</v>
      </c>
    </row>
    <row r="3476" spans="1:10" x14ac:dyDescent="0.2">
      <c r="A3476" s="859">
        <f t="shared" si="54"/>
        <v>3475</v>
      </c>
      <c r="B3476" s="845" t="s">
        <v>2555</v>
      </c>
      <c r="D3476" s="862"/>
      <c r="H3476" s="845" t="s">
        <v>1010</v>
      </c>
    </row>
    <row r="3477" spans="1:10" x14ac:dyDescent="0.2">
      <c r="A3477" s="859">
        <f t="shared" si="54"/>
        <v>3476</v>
      </c>
      <c r="B3477" s="845" t="s">
        <v>2555</v>
      </c>
      <c r="D3477" s="862"/>
      <c r="H3477" s="845" t="s">
        <v>1007</v>
      </c>
    </row>
    <row r="3478" spans="1:10" x14ac:dyDescent="0.2">
      <c r="A3478" s="859">
        <f t="shared" si="54"/>
        <v>3477</v>
      </c>
      <c r="B3478" s="845" t="s">
        <v>2555</v>
      </c>
      <c r="D3478" s="861"/>
      <c r="I3478" s="845" t="s">
        <v>1008</v>
      </c>
    </row>
    <row r="3479" spans="1:10" x14ac:dyDescent="0.2">
      <c r="A3479" s="859">
        <f t="shared" si="54"/>
        <v>3478</v>
      </c>
      <c r="B3479" s="845" t="s">
        <v>2555</v>
      </c>
      <c r="D3479" s="861"/>
      <c r="J3479" s="845" t="s">
        <v>1553</v>
      </c>
    </row>
    <row r="3480" spans="1:10" x14ac:dyDescent="0.2">
      <c r="A3480" s="859">
        <f t="shared" si="54"/>
        <v>3479</v>
      </c>
      <c r="B3480" s="845" t="s">
        <v>2555</v>
      </c>
      <c r="D3480" s="862"/>
      <c r="I3480" s="845" t="s">
        <v>1009</v>
      </c>
    </row>
    <row r="3481" spans="1:10" x14ac:dyDescent="0.2">
      <c r="A3481" s="859">
        <f t="shared" si="54"/>
        <v>3480</v>
      </c>
      <c r="B3481" s="845" t="s">
        <v>2555</v>
      </c>
      <c r="D3481" s="863"/>
      <c r="I3481" s="845" t="str">
        <f>CONCATENATE("&lt;valeur&gt;",Cellule_6872,"&lt;/valeur&gt;")</f>
        <v>&lt;valeur&gt;0&lt;/valeur&gt;</v>
      </c>
    </row>
    <row r="3482" spans="1:10" x14ac:dyDescent="0.2">
      <c r="A3482" s="859">
        <f t="shared" si="54"/>
        <v>3481</v>
      </c>
      <c r="B3482" s="845" t="s">
        <v>2555</v>
      </c>
      <c r="D3482" s="862"/>
      <c r="H3482" s="845" t="s">
        <v>1010</v>
      </c>
    </row>
    <row r="3483" spans="1:10" x14ac:dyDescent="0.2">
      <c r="A3483" s="859">
        <f t="shared" si="54"/>
        <v>3482</v>
      </c>
      <c r="B3483" s="845" t="s">
        <v>2555</v>
      </c>
      <c r="D3483" s="862"/>
      <c r="H3483" s="845" t="s">
        <v>1007</v>
      </c>
    </row>
    <row r="3484" spans="1:10" x14ac:dyDescent="0.2">
      <c r="A3484" s="859">
        <f t="shared" si="54"/>
        <v>3483</v>
      </c>
      <c r="B3484" s="845" t="s">
        <v>2555</v>
      </c>
      <c r="D3484" s="861"/>
      <c r="I3484" s="845" t="s">
        <v>1008</v>
      </c>
    </row>
    <row r="3485" spans="1:10" x14ac:dyDescent="0.2">
      <c r="A3485" s="859">
        <f t="shared" si="54"/>
        <v>3484</v>
      </c>
      <c r="B3485" s="845" t="s">
        <v>2555</v>
      </c>
      <c r="D3485" s="861"/>
      <c r="J3485" s="845" t="s">
        <v>1554</v>
      </c>
    </row>
    <row r="3486" spans="1:10" x14ac:dyDescent="0.2">
      <c r="A3486" s="859">
        <f t="shared" si="54"/>
        <v>3485</v>
      </c>
      <c r="B3486" s="845" t="s">
        <v>2555</v>
      </c>
      <c r="D3486" s="862"/>
      <c r="I3486" s="845" t="s">
        <v>1009</v>
      </c>
    </row>
    <row r="3487" spans="1:10" x14ac:dyDescent="0.2">
      <c r="A3487" s="859">
        <f t="shared" si="54"/>
        <v>3486</v>
      </c>
      <c r="B3487" s="845" t="s">
        <v>2555</v>
      </c>
      <c r="D3487" s="863"/>
      <c r="I3487" s="845" t="str">
        <f>CONCATENATE("&lt;valeur&gt;",Cellule_6873,"&lt;/valeur&gt;")</f>
        <v>&lt;valeur&gt;&lt;/valeur&gt;</v>
      </c>
    </row>
    <row r="3488" spans="1:10" x14ac:dyDescent="0.2">
      <c r="A3488" s="859">
        <f t="shared" si="54"/>
        <v>3487</v>
      </c>
      <c r="B3488" s="845" t="s">
        <v>2555</v>
      </c>
      <c r="D3488" s="862"/>
      <c r="H3488" s="845" t="s">
        <v>1010</v>
      </c>
    </row>
    <row r="3489" spans="1:10" x14ac:dyDescent="0.2">
      <c r="A3489" s="859">
        <f t="shared" si="54"/>
        <v>3488</v>
      </c>
      <c r="B3489" s="845" t="s">
        <v>2555</v>
      </c>
      <c r="D3489" s="862"/>
      <c r="H3489" s="845" t="s">
        <v>1007</v>
      </c>
    </row>
    <row r="3490" spans="1:10" x14ac:dyDescent="0.2">
      <c r="A3490" s="859">
        <f t="shared" si="54"/>
        <v>3489</v>
      </c>
      <c r="B3490" s="845" t="s">
        <v>2555</v>
      </c>
      <c r="D3490" s="861"/>
      <c r="I3490" s="845" t="s">
        <v>1008</v>
      </c>
    </row>
    <row r="3491" spans="1:10" x14ac:dyDescent="0.2">
      <c r="A3491" s="859">
        <f t="shared" si="54"/>
        <v>3490</v>
      </c>
      <c r="B3491" s="845" t="s">
        <v>2555</v>
      </c>
      <c r="D3491" s="861"/>
      <c r="J3491" s="845" t="s">
        <v>1555</v>
      </c>
    </row>
    <row r="3492" spans="1:10" x14ac:dyDescent="0.2">
      <c r="A3492" s="859">
        <f t="shared" si="54"/>
        <v>3491</v>
      </c>
      <c r="B3492" s="845" t="s">
        <v>2555</v>
      </c>
      <c r="D3492" s="862"/>
      <c r="I3492" s="845" t="s">
        <v>1009</v>
      </c>
    </row>
    <row r="3493" spans="1:10" x14ac:dyDescent="0.2">
      <c r="A3493" s="859">
        <f t="shared" si="54"/>
        <v>3492</v>
      </c>
      <c r="B3493" s="845" t="s">
        <v>2555</v>
      </c>
      <c r="D3493" s="863"/>
      <c r="I3493" s="845" t="str">
        <f>CONCATENATE("&lt;valeur&gt;",Cellule_6874,"&lt;/valeur&gt;")</f>
        <v>&lt;valeur&gt;&lt;/valeur&gt;</v>
      </c>
    </row>
    <row r="3494" spans="1:10" x14ac:dyDescent="0.2">
      <c r="A3494" s="859">
        <f t="shared" si="54"/>
        <v>3493</v>
      </c>
      <c r="B3494" s="845" t="s">
        <v>2555</v>
      </c>
      <c r="D3494" s="862"/>
      <c r="H3494" s="845" t="s">
        <v>1010</v>
      </c>
    </row>
    <row r="3495" spans="1:10" x14ac:dyDescent="0.2">
      <c r="A3495" s="859">
        <f t="shared" si="54"/>
        <v>3494</v>
      </c>
      <c r="B3495" s="845" t="s">
        <v>2555</v>
      </c>
      <c r="D3495" s="862"/>
      <c r="H3495" s="845" t="s">
        <v>1007</v>
      </c>
    </row>
    <row r="3496" spans="1:10" x14ac:dyDescent="0.2">
      <c r="A3496" s="859">
        <f t="shared" si="54"/>
        <v>3495</v>
      </c>
      <c r="B3496" s="845" t="s">
        <v>2555</v>
      </c>
      <c r="D3496" s="861"/>
      <c r="I3496" s="845" t="s">
        <v>1008</v>
      </c>
    </row>
    <row r="3497" spans="1:10" x14ac:dyDescent="0.2">
      <c r="A3497" s="859">
        <f t="shared" si="54"/>
        <v>3496</v>
      </c>
      <c r="B3497" s="845" t="s">
        <v>2555</v>
      </c>
      <c r="D3497" s="861"/>
      <c r="J3497" s="845" t="s">
        <v>1556</v>
      </c>
    </row>
    <row r="3498" spans="1:10" x14ac:dyDescent="0.2">
      <c r="A3498" s="859">
        <f t="shared" si="54"/>
        <v>3497</v>
      </c>
      <c r="B3498" s="845" t="s">
        <v>2555</v>
      </c>
      <c r="D3498" s="862"/>
      <c r="I3498" s="845" t="s">
        <v>1009</v>
      </c>
    </row>
    <row r="3499" spans="1:10" x14ac:dyDescent="0.2">
      <c r="A3499" s="859">
        <f t="shared" si="54"/>
        <v>3498</v>
      </c>
      <c r="B3499" s="845" t="s">
        <v>2555</v>
      </c>
      <c r="D3499" s="863"/>
      <c r="I3499" s="845" t="str">
        <f>CONCATENATE("&lt;valeur&gt;",Cellule_6875,"&lt;/valeur&gt;")</f>
        <v>&lt;valeur&gt;&lt;/valeur&gt;</v>
      </c>
    </row>
    <row r="3500" spans="1:10" x14ac:dyDescent="0.2">
      <c r="A3500" s="859">
        <f t="shared" si="54"/>
        <v>3499</v>
      </c>
      <c r="B3500" s="845" t="s">
        <v>2555</v>
      </c>
      <c r="D3500" s="862"/>
      <c r="H3500" s="845" t="s">
        <v>1010</v>
      </c>
    </row>
    <row r="3501" spans="1:10" x14ac:dyDescent="0.2">
      <c r="A3501" s="859">
        <f t="shared" si="54"/>
        <v>3500</v>
      </c>
      <c r="B3501" s="845" t="s">
        <v>2555</v>
      </c>
      <c r="D3501" s="862"/>
      <c r="H3501" s="845" t="s">
        <v>1007</v>
      </c>
    </row>
    <row r="3502" spans="1:10" x14ac:dyDescent="0.2">
      <c r="A3502" s="859">
        <f t="shared" si="54"/>
        <v>3501</v>
      </c>
      <c r="B3502" s="845" t="s">
        <v>2555</v>
      </c>
      <c r="D3502" s="861"/>
      <c r="I3502" s="845" t="s">
        <v>1008</v>
      </c>
    </row>
    <row r="3503" spans="1:10" x14ac:dyDescent="0.2">
      <c r="A3503" s="859">
        <f t="shared" si="54"/>
        <v>3502</v>
      </c>
      <c r="B3503" s="845" t="s">
        <v>2555</v>
      </c>
      <c r="D3503" s="861"/>
      <c r="J3503" s="845" t="s">
        <v>1557</v>
      </c>
    </row>
    <row r="3504" spans="1:10" x14ac:dyDescent="0.2">
      <c r="A3504" s="859">
        <f t="shared" si="54"/>
        <v>3503</v>
      </c>
      <c r="B3504" s="845" t="s">
        <v>2555</v>
      </c>
      <c r="D3504" s="862"/>
      <c r="I3504" s="845" t="s">
        <v>1009</v>
      </c>
    </row>
    <row r="3505" spans="1:10" x14ac:dyDescent="0.2">
      <c r="A3505" s="859">
        <f t="shared" si="54"/>
        <v>3504</v>
      </c>
      <c r="B3505" s="845" t="s">
        <v>2555</v>
      </c>
      <c r="D3505" s="863"/>
      <c r="I3505" s="845" t="str">
        <f>CONCATENATE("&lt;valeur&gt;",Cellule_854,"&lt;/valeur&gt;")</f>
        <v>&lt;valeur&gt;&lt;/valeur&gt;</v>
      </c>
    </row>
    <row r="3506" spans="1:10" x14ac:dyDescent="0.2">
      <c r="A3506" s="859">
        <f t="shared" si="54"/>
        <v>3505</v>
      </c>
      <c r="B3506" s="845" t="s">
        <v>2555</v>
      </c>
      <c r="D3506" s="862"/>
      <c r="H3506" s="845" t="s">
        <v>1010</v>
      </c>
    </row>
    <row r="3507" spans="1:10" x14ac:dyDescent="0.2">
      <c r="A3507" s="859">
        <f t="shared" si="54"/>
        <v>3506</v>
      </c>
      <c r="B3507" s="845" t="s">
        <v>2555</v>
      </c>
      <c r="D3507" s="862"/>
      <c r="H3507" s="845" t="s">
        <v>1007</v>
      </c>
    </row>
    <row r="3508" spans="1:10" x14ac:dyDescent="0.2">
      <c r="A3508" s="859">
        <f t="shared" si="54"/>
        <v>3507</v>
      </c>
      <c r="B3508" s="845" t="s">
        <v>2555</v>
      </c>
      <c r="D3508" s="861"/>
      <c r="I3508" s="845" t="s">
        <v>1008</v>
      </c>
    </row>
    <row r="3509" spans="1:10" x14ac:dyDescent="0.2">
      <c r="A3509" s="859">
        <f t="shared" si="54"/>
        <v>3508</v>
      </c>
      <c r="B3509" s="845" t="s">
        <v>2555</v>
      </c>
      <c r="D3509" s="861"/>
      <c r="J3509" s="845" t="s">
        <v>1558</v>
      </c>
    </row>
    <row r="3510" spans="1:10" x14ac:dyDescent="0.2">
      <c r="A3510" s="859">
        <f t="shared" si="54"/>
        <v>3509</v>
      </c>
      <c r="B3510" s="845" t="s">
        <v>2555</v>
      </c>
      <c r="D3510" s="862"/>
      <c r="I3510" s="845" t="s">
        <v>1009</v>
      </c>
    </row>
    <row r="3511" spans="1:10" x14ac:dyDescent="0.2">
      <c r="A3511" s="859">
        <f t="shared" si="54"/>
        <v>3510</v>
      </c>
      <c r="B3511" s="845" t="s">
        <v>2555</v>
      </c>
      <c r="D3511" s="863"/>
      <c r="I3511" s="845" t="str">
        <f>CONCATENATE("&lt;valeur&gt;",Cellule_855,"&lt;/valeur&gt;")</f>
        <v>&lt;valeur&gt;&lt;/valeur&gt;</v>
      </c>
    </row>
    <row r="3512" spans="1:10" x14ac:dyDescent="0.2">
      <c r="A3512" s="859">
        <f t="shared" si="54"/>
        <v>3511</v>
      </c>
      <c r="B3512" s="845" t="s">
        <v>2555</v>
      </c>
      <c r="D3512" s="862"/>
      <c r="H3512" s="845" t="s">
        <v>1010</v>
      </c>
    </row>
    <row r="3513" spans="1:10" x14ac:dyDescent="0.2">
      <c r="A3513" s="859">
        <f t="shared" si="54"/>
        <v>3512</v>
      </c>
      <c r="B3513" s="845" t="s">
        <v>2555</v>
      </c>
      <c r="D3513" s="862"/>
      <c r="H3513" s="845" t="s">
        <v>1007</v>
      </c>
    </row>
    <row r="3514" spans="1:10" x14ac:dyDescent="0.2">
      <c r="A3514" s="859">
        <f t="shared" si="54"/>
        <v>3513</v>
      </c>
      <c r="B3514" s="845" t="s">
        <v>2555</v>
      </c>
      <c r="D3514" s="861"/>
      <c r="I3514" s="845" t="s">
        <v>1008</v>
      </c>
    </row>
    <row r="3515" spans="1:10" x14ac:dyDescent="0.2">
      <c r="A3515" s="859">
        <f t="shared" si="54"/>
        <v>3514</v>
      </c>
      <c r="B3515" s="845" t="s">
        <v>2555</v>
      </c>
      <c r="D3515" s="861"/>
      <c r="J3515" s="845" t="s">
        <v>1559</v>
      </c>
    </row>
    <row r="3516" spans="1:10" x14ac:dyDescent="0.2">
      <c r="A3516" s="859">
        <f t="shared" si="54"/>
        <v>3515</v>
      </c>
      <c r="B3516" s="845" t="s">
        <v>2555</v>
      </c>
      <c r="D3516" s="862"/>
      <c r="I3516" s="845" t="s">
        <v>1009</v>
      </c>
    </row>
    <row r="3517" spans="1:10" x14ac:dyDescent="0.2">
      <c r="A3517" s="859">
        <f t="shared" si="54"/>
        <v>3516</v>
      </c>
      <c r="B3517" s="845" t="s">
        <v>2555</v>
      </c>
      <c r="D3517" s="863"/>
      <c r="I3517" s="845" t="str">
        <f>CONCATENATE("&lt;valeur&gt;",Cellule_860,"&lt;/valeur&gt;")</f>
        <v>&lt;valeur&gt;0&lt;/valeur&gt;</v>
      </c>
    </row>
    <row r="3518" spans="1:10" x14ac:dyDescent="0.2">
      <c r="A3518" s="859">
        <f t="shared" si="54"/>
        <v>3517</v>
      </c>
      <c r="B3518" s="845" t="s">
        <v>2555</v>
      </c>
      <c r="D3518" s="862"/>
      <c r="H3518" s="845" t="s">
        <v>1010</v>
      </c>
    </row>
    <row r="3519" spans="1:10" x14ac:dyDescent="0.2">
      <c r="A3519" s="859">
        <f t="shared" si="54"/>
        <v>3518</v>
      </c>
      <c r="B3519" s="845" t="s">
        <v>2555</v>
      </c>
      <c r="D3519" s="862"/>
      <c r="H3519" s="845" t="s">
        <v>1007</v>
      </c>
    </row>
    <row r="3520" spans="1:10" x14ac:dyDescent="0.2">
      <c r="A3520" s="859">
        <f t="shared" si="54"/>
        <v>3519</v>
      </c>
      <c r="B3520" s="845" t="s">
        <v>2555</v>
      </c>
      <c r="D3520" s="861"/>
      <c r="I3520" s="845" t="s">
        <v>1008</v>
      </c>
    </row>
    <row r="3521" spans="1:10" x14ac:dyDescent="0.2">
      <c r="A3521" s="859">
        <f t="shared" si="54"/>
        <v>3520</v>
      </c>
      <c r="B3521" s="845" t="s">
        <v>2555</v>
      </c>
      <c r="D3521" s="861"/>
      <c r="J3521" s="845" t="s">
        <v>1560</v>
      </c>
    </row>
    <row r="3522" spans="1:10" x14ac:dyDescent="0.2">
      <c r="A3522" s="859">
        <f t="shared" si="54"/>
        <v>3521</v>
      </c>
      <c r="B3522" s="845" t="s">
        <v>2555</v>
      </c>
      <c r="D3522" s="862"/>
      <c r="I3522" s="845" t="s">
        <v>1009</v>
      </c>
    </row>
    <row r="3523" spans="1:10" x14ac:dyDescent="0.2">
      <c r="A3523" s="859">
        <f t="shared" si="54"/>
        <v>3522</v>
      </c>
      <c r="B3523" s="845" t="s">
        <v>2555</v>
      </c>
      <c r="D3523" s="863"/>
      <c r="I3523" s="845" t="str">
        <f>CONCATENATE("&lt;valeur&gt;",Cellule_861,"&lt;/valeur&gt;")</f>
        <v>&lt;valeur&gt;0&lt;/valeur&gt;</v>
      </c>
    </row>
    <row r="3524" spans="1:10" x14ac:dyDescent="0.2">
      <c r="A3524" s="859">
        <f t="shared" ref="A3524:A3587" si="55">+A3523+1</f>
        <v>3523</v>
      </c>
      <c r="B3524" s="845" t="s">
        <v>2555</v>
      </c>
      <c r="D3524" s="862"/>
      <c r="H3524" s="845" t="s">
        <v>1010</v>
      </c>
    </row>
    <row r="3525" spans="1:10" x14ac:dyDescent="0.2">
      <c r="A3525" s="859">
        <f t="shared" si="55"/>
        <v>3524</v>
      </c>
      <c r="B3525" s="845" t="s">
        <v>2555</v>
      </c>
      <c r="D3525" s="862"/>
      <c r="H3525" s="845" t="s">
        <v>1007</v>
      </c>
    </row>
    <row r="3526" spans="1:10" x14ac:dyDescent="0.2">
      <c r="A3526" s="859">
        <f t="shared" si="55"/>
        <v>3525</v>
      </c>
      <c r="B3526" s="845" t="s">
        <v>2555</v>
      </c>
      <c r="D3526" s="861"/>
      <c r="I3526" s="845" t="s">
        <v>1008</v>
      </c>
    </row>
    <row r="3527" spans="1:10" x14ac:dyDescent="0.2">
      <c r="A3527" s="859">
        <f t="shared" si="55"/>
        <v>3526</v>
      </c>
      <c r="B3527" s="845" t="s">
        <v>2555</v>
      </c>
      <c r="D3527" s="861"/>
      <c r="J3527" s="845" t="s">
        <v>1561</v>
      </c>
    </row>
    <row r="3528" spans="1:10" x14ac:dyDescent="0.2">
      <c r="A3528" s="859">
        <f t="shared" si="55"/>
        <v>3527</v>
      </c>
      <c r="B3528" s="845" t="s">
        <v>2555</v>
      </c>
      <c r="D3528" s="862"/>
      <c r="I3528" s="845" t="s">
        <v>1009</v>
      </c>
    </row>
    <row r="3529" spans="1:10" x14ac:dyDescent="0.2">
      <c r="A3529" s="859">
        <f t="shared" si="55"/>
        <v>3528</v>
      </c>
      <c r="B3529" s="845" t="s">
        <v>2555</v>
      </c>
      <c r="D3529" s="863"/>
      <c r="I3529" s="845" t="str">
        <f>CONCATENATE("&lt;valeur&gt;",Cellule_862,"&lt;/valeur&gt;")</f>
        <v>&lt;valeur&gt;0&lt;/valeur&gt;</v>
      </c>
    </row>
    <row r="3530" spans="1:10" x14ac:dyDescent="0.2">
      <c r="A3530" s="859">
        <f t="shared" si="55"/>
        <v>3529</v>
      </c>
      <c r="B3530" s="845" t="s">
        <v>2555</v>
      </c>
      <c r="D3530" s="862"/>
      <c r="H3530" s="845" t="s">
        <v>1010</v>
      </c>
    </row>
    <row r="3531" spans="1:10" x14ac:dyDescent="0.2">
      <c r="A3531" s="859">
        <f t="shared" si="55"/>
        <v>3530</v>
      </c>
      <c r="B3531" s="845" t="s">
        <v>2555</v>
      </c>
      <c r="D3531" s="862"/>
      <c r="H3531" s="845" t="s">
        <v>1007</v>
      </c>
    </row>
    <row r="3532" spans="1:10" x14ac:dyDescent="0.2">
      <c r="A3532" s="859">
        <f t="shared" si="55"/>
        <v>3531</v>
      </c>
      <c r="B3532" s="845" t="s">
        <v>2555</v>
      </c>
      <c r="D3532" s="861"/>
      <c r="I3532" s="845" t="s">
        <v>1008</v>
      </c>
    </row>
    <row r="3533" spans="1:10" x14ac:dyDescent="0.2">
      <c r="A3533" s="859">
        <f t="shared" si="55"/>
        <v>3532</v>
      </c>
      <c r="B3533" s="845" t="s">
        <v>2555</v>
      </c>
      <c r="D3533" s="861"/>
      <c r="J3533" s="845" t="s">
        <v>1562</v>
      </c>
    </row>
    <row r="3534" spans="1:10" x14ac:dyDescent="0.2">
      <c r="A3534" s="859">
        <f t="shared" si="55"/>
        <v>3533</v>
      </c>
      <c r="B3534" s="845" t="s">
        <v>2555</v>
      </c>
      <c r="D3534" s="862"/>
      <c r="I3534" s="845" t="s">
        <v>1009</v>
      </c>
    </row>
    <row r="3535" spans="1:10" x14ac:dyDescent="0.2">
      <c r="A3535" s="859">
        <f t="shared" si="55"/>
        <v>3534</v>
      </c>
      <c r="B3535" s="845" t="s">
        <v>2555</v>
      </c>
      <c r="D3535" s="863"/>
      <c r="I3535" s="845" t="str">
        <f>CONCATENATE("&lt;valeur&gt;",Cellule_863,"&lt;/valeur&gt;")</f>
        <v>&lt;valeur&gt;0&lt;/valeur&gt;</v>
      </c>
    </row>
    <row r="3536" spans="1:10" x14ac:dyDescent="0.2">
      <c r="A3536" s="859">
        <f t="shared" si="55"/>
        <v>3535</v>
      </c>
      <c r="B3536" s="845" t="s">
        <v>2555</v>
      </c>
      <c r="D3536" s="862"/>
      <c r="H3536" s="845" t="s">
        <v>1010</v>
      </c>
    </row>
    <row r="3537" spans="1:10" x14ac:dyDescent="0.2">
      <c r="A3537" s="859">
        <f t="shared" si="55"/>
        <v>3536</v>
      </c>
      <c r="B3537" s="845" t="s">
        <v>2555</v>
      </c>
      <c r="D3537" s="862"/>
      <c r="H3537" s="845" t="s">
        <v>1007</v>
      </c>
    </row>
    <row r="3538" spans="1:10" x14ac:dyDescent="0.2">
      <c r="A3538" s="859">
        <f t="shared" si="55"/>
        <v>3537</v>
      </c>
      <c r="B3538" s="845" t="s">
        <v>2555</v>
      </c>
      <c r="D3538" s="861"/>
      <c r="I3538" s="845" t="s">
        <v>1008</v>
      </c>
    </row>
    <row r="3539" spans="1:10" x14ac:dyDescent="0.2">
      <c r="A3539" s="859">
        <f t="shared" si="55"/>
        <v>3538</v>
      </c>
      <c r="B3539" s="845" t="s">
        <v>2555</v>
      </c>
      <c r="D3539" s="861"/>
      <c r="J3539" s="845" t="s">
        <v>1563</v>
      </c>
    </row>
    <row r="3540" spans="1:10" x14ac:dyDescent="0.2">
      <c r="A3540" s="859">
        <f t="shared" si="55"/>
        <v>3539</v>
      </c>
      <c r="B3540" s="845" t="s">
        <v>2555</v>
      </c>
      <c r="D3540" s="862"/>
      <c r="I3540" s="845" t="s">
        <v>1009</v>
      </c>
    </row>
    <row r="3541" spans="1:10" x14ac:dyDescent="0.2">
      <c r="A3541" s="859">
        <f t="shared" si="55"/>
        <v>3540</v>
      </c>
      <c r="B3541" s="845" t="s">
        <v>2555</v>
      </c>
      <c r="D3541" s="863"/>
      <c r="I3541" s="845" t="str">
        <f>CONCATENATE("&lt;valeur&gt;",Cellule_864,"&lt;/valeur&gt;")</f>
        <v>&lt;valeur&gt;&lt;/valeur&gt;</v>
      </c>
    </row>
    <row r="3542" spans="1:10" x14ac:dyDescent="0.2">
      <c r="A3542" s="859">
        <f t="shared" si="55"/>
        <v>3541</v>
      </c>
      <c r="B3542" s="845" t="s">
        <v>2555</v>
      </c>
      <c r="D3542" s="862"/>
      <c r="H3542" s="845" t="s">
        <v>1010</v>
      </c>
    </row>
    <row r="3543" spans="1:10" x14ac:dyDescent="0.2">
      <c r="A3543" s="859">
        <f t="shared" si="55"/>
        <v>3542</v>
      </c>
      <c r="B3543" s="845" t="s">
        <v>2555</v>
      </c>
      <c r="D3543" s="862"/>
      <c r="H3543" s="845" t="s">
        <v>1007</v>
      </c>
    </row>
    <row r="3544" spans="1:10" x14ac:dyDescent="0.2">
      <c r="A3544" s="859">
        <f t="shared" si="55"/>
        <v>3543</v>
      </c>
      <c r="B3544" s="845" t="s">
        <v>2555</v>
      </c>
      <c r="D3544" s="861"/>
      <c r="I3544" s="845" t="s">
        <v>1008</v>
      </c>
    </row>
    <row r="3545" spans="1:10" x14ac:dyDescent="0.2">
      <c r="A3545" s="859">
        <f t="shared" si="55"/>
        <v>3544</v>
      </c>
      <c r="B3545" s="845" t="s">
        <v>2555</v>
      </c>
      <c r="D3545" s="861"/>
      <c r="J3545" s="845" t="s">
        <v>1564</v>
      </c>
    </row>
    <row r="3546" spans="1:10" x14ac:dyDescent="0.2">
      <c r="A3546" s="859">
        <f t="shared" si="55"/>
        <v>3545</v>
      </c>
      <c r="B3546" s="845" t="s">
        <v>2555</v>
      </c>
      <c r="D3546" s="862"/>
      <c r="I3546" s="845" t="s">
        <v>1009</v>
      </c>
    </row>
    <row r="3547" spans="1:10" x14ac:dyDescent="0.2">
      <c r="A3547" s="859">
        <f t="shared" si="55"/>
        <v>3546</v>
      </c>
      <c r="B3547" s="845" t="s">
        <v>2555</v>
      </c>
      <c r="D3547" s="863"/>
      <c r="I3547" s="845" t="str">
        <f>CONCATENATE("&lt;valeur&gt;",Cellule_865,"&lt;/valeur&gt;")</f>
        <v>&lt;valeur&gt;&lt;/valeur&gt;</v>
      </c>
    </row>
    <row r="3548" spans="1:10" x14ac:dyDescent="0.2">
      <c r="A3548" s="859">
        <f t="shared" si="55"/>
        <v>3547</v>
      </c>
      <c r="B3548" s="845" t="s">
        <v>2555</v>
      </c>
      <c r="D3548" s="862"/>
      <c r="H3548" s="845" t="s">
        <v>1010</v>
      </c>
    </row>
    <row r="3549" spans="1:10" x14ac:dyDescent="0.2">
      <c r="A3549" s="859">
        <f t="shared" si="55"/>
        <v>3548</v>
      </c>
      <c r="B3549" s="845" t="s">
        <v>2555</v>
      </c>
      <c r="D3549" s="862"/>
      <c r="H3549" s="845" t="s">
        <v>1007</v>
      </c>
    </row>
    <row r="3550" spans="1:10" x14ac:dyDescent="0.2">
      <c r="A3550" s="859">
        <f t="shared" si="55"/>
        <v>3549</v>
      </c>
      <c r="B3550" s="845" t="s">
        <v>2555</v>
      </c>
      <c r="D3550" s="861"/>
      <c r="I3550" s="845" t="s">
        <v>1008</v>
      </c>
    </row>
    <row r="3551" spans="1:10" x14ac:dyDescent="0.2">
      <c r="A3551" s="859">
        <f t="shared" si="55"/>
        <v>3550</v>
      </c>
      <c r="B3551" s="845" t="s">
        <v>2555</v>
      </c>
      <c r="D3551" s="861"/>
      <c r="J3551" s="845" t="s">
        <v>1565</v>
      </c>
    </row>
    <row r="3552" spans="1:10" x14ac:dyDescent="0.2">
      <c r="A3552" s="859">
        <f t="shared" si="55"/>
        <v>3551</v>
      </c>
      <c r="B3552" s="845" t="s">
        <v>2555</v>
      </c>
      <c r="D3552" s="862"/>
      <c r="I3552" s="845" t="s">
        <v>1009</v>
      </c>
    </row>
    <row r="3553" spans="1:10" x14ac:dyDescent="0.2">
      <c r="A3553" s="859">
        <f t="shared" si="55"/>
        <v>3552</v>
      </c>
      <c r="B3553" s="845" t="s">
        <v>2555</v>
      </c>
      <c r="D3553" s="863"/>
      <c r="I3553" s="845" t="str">
        <f>CONCATENATE("&lt;valeur&gt;",Cellule_866,"&lt;/valeur&gt;")</f>
        <v>&lt;valeur&gt;&lt;/valeur&gt;</v>
      </c>
    </row>
    <row r="3554" spans="1:10" x14ac:dyDescent="0.2">
      <c r="A3554" s="859">
        <f t="shared" si="55"/>
        <v>3553</v>
      </c>
      <c r="B3554" s="845" t="s">
        <v>2555</v>
      </c>
      <c r="D3554" s="862"/>
      <c r="H3554" s="845" t="s">
        <v>1010</v>
      </c>
    </row>
    <row r="3555" spans="1:10" x14ac:dyDescent="0.2">
      <c r="A3555" s="859">
        <f t="shared" si="55"/>
        <v>3554</v>
      </c>
      <c r="B3555" s="845" t="s">
        <v>2555</v>
      </c>
      <c r="D3555" s="862"/>
      <c r="H3555" s="845" t="s">
        <v>1007</v>
      </c>
    </row>
    <row r="3556" spans="1:10" x14ac:dyDescent="0.2">
      <c r="A3556" s="859">
        <f t="shared" si="55"/>
        <v>3555</v>
      </c>
      <c r="B3556" s="845" t="s">
        <v>2555</v>
      </c>
      <c r="D3556" s="861"/>
      <c r="I3556" s="845" t="s">
        <v>1008</v>
      </c>
    </row>
    <row r="3557" spans="1:10" x14ac:dyDescent="0.2">
      <c r="A3557" s="859">
        <f t="shared" si="55"/>
        <v>3556</v>
      </c>
      <c r="B3557" s="845" t="s">
        <v>2555</v>
      </c>
      <c r="D3557" s="861"/>
      <c r="J3557" s="845" t="s">
        <v>1566</v>
      </c>
    </row>
    <row r="3558" spans="1:10" x14ac:dyDescent="0.2">
      <c r="A3558" s="859">
        <f t="shared" si="55"/>
        <v>3557</v>
      </c>
      <c r="B3558" s="845" t="s">
        <v>2555</v>
      </c>
      <c r="D3558" s="862"/>
      <c r="I3558" s="845" t="s">
        <v>1009</v>
      </c>
    </row>
    <row r="3559" spans="1:10" x14ac:dyDescent="0.2">
      <c r="A3559" s="859">
        <f t="shared" si="55"/>
        <v>3558</v>
      </c>
      <c r="B3559" s="845" t="s">
        <v>2555</v>
      </c>
      <c r="D3559" s="863"/>
      <c r="I3559" s="845" t="str">
        <f>CONCATENATE("&lt;valeur&gt;",Cellule_867,"&lt;/valeur&gt;")</f>
        <v>&lt;valeur&gt;&lt;/valeur&gt;</v>
      </c>
    </row>
    <row r="3560" spans="1:10" x14ac:dyDescent="0.2">
      <c r="A3560" s="859">
        <f t="shared" si="55"/>
        <v>3559</v>
      </c>
      <c r="B3560" s="845" t="s">
        <v>2555</v>
      </c>
      <c r="D3560" s="862"/>
      <c r="H3560" s="845" t="s">
        <v>1010</v>
      </c>
    </row>
    <row r="3561" spans="1:10" x14ac:dyDescent="0.2">
      <c r="A3561" s="859">
        <f t="shared" si="55"/>
        <v>3560</v>
      </c>
      <c r="B3561" s="845" t="s">
        <v>2555</v>
      </c>
      <c r="D3561" s="862"/>
      <c r="G3561" s="845" t="s">
        <v>1011</v>
      </c>
    </row>
    <row r="3562" spans="1:10" x14ac:dyDescent="0.2">
      <c r="A3562" s="859">
        <f t="shared" si="55"/>
        <v>3561</v>
      </c>
      <c r="B3562" s="845" t="s">
        <v>2555</v>
      </c>
      <c r="D3562" s="861"/>
      <c r="G3562" s="845" t="s">
        <v>1012</v>
      </c>
    </row>
    <row r="3563" spans="1:10" x14ac:dyDescent="0.2">
      <c r="A3563" s="859">
        <f t="shared" si="55"/>
        <v>3562</v>
      </c>
      <c r="B3563" s="845" t="s">
        <v>2555</v>
      </c>
      <c r="D3563" s="862"/>
      <c r="G3563" s="845" t="s">
        <v>1013</v>
      </c>
    </row>
    <row r="3564" spans="1:10" x14ac:dyDescent="0.2">
      <c r="A3564" s="859">
        <f t="shared" si="55"/>
        <v>3563</v>
      </c>
      <c r="B3564" s="845" t="s">
        <v>2555</v>
      </c>
      <c r="D3564" s="863"/>
      <c r="F3564" s="845" t="s">
        <v>1014</v>
      </c>
    </row>
    <row r="3565" spans="1:10" x14ac:dyDescent="0.2">
      <c r="A3565" s="859">
        <f t="shared" si="55"/>
        <v>3564</v>
      </c>
      <c r="B3565" s="845" t="s">
        <v>2556</v>
      </c>
      <c r="D3565" s="862"/>
      <c r="F3565" s="845" t="s">
        <v>1005</v>
      </c>
    </row>
    <row r="3566" spans="1:10" x14ac:dyDescent="0.2">
      <c r="A3566" s="859">
        <f t="shared" si="55"/>
        <v>3565</v>
      </c>
      <c r="B3566" s="845" t="s">
        <v>2556</v>
      </c>
      <c r="D3566" s="862"/>
      <c r="G3566" s="845" t="s">
        <v>1567</v>
      </c>
    </row>
    <row r="3567" spans="1:10" x14ac:dyDescent="0.2">
      <c r="A3567" s="859">
        <f t="shared" si="55"/>
        <v>3566</v>
      </c>
      <c r="B3567" s="845" t="s">
        <v>2556</v>
      </c>
      <c r="D3567" s="861"/>
      <c r="G3567" s="845" t="s">
        <v>1006</v>
      </c>
    </row>
    <row r="3568" spans="1:10" x14ac:dyDescent="0.2">
      <c r="A3568" s="859">
        <f t="shared" si="55"/>
        <v>3567</v>
      </c>
      <c r="B3568" s="845" t="s">
        <v>2556</v>
      </c>
      <c r="D3568" s="861"/>
      <c r="H3568" s="845" t="s">
        <v>1007</v>
      </c>
    </row>
    <row r="3569" spans="1:10" x14ac:dyDescent="0.2">
      <c r="A3569" s="859">
        <f t="shared" si="55"/>
        <v>3568</v>
      </c>
      <c r="B3569" s="845" t="s">
        <v>2556</v>
      </c>
      <c r="D3569" s="862"/>
      <c r="I3569" s="845" t="s">
        <v>1008</v>
      </c>
    </row>
    <row r="3570" spans="1:10" x14ac:dyDescent="0.2">
      <c r="A3570" s="859">
        <f t="shared" si="55"/>
        <v>3569</v>
      </c>
      <c r="B3570" s="845" t="s">
        <v>2556</v>
      </c>
      <c r="D3570" s="863"/>
      <c r="J3570" s="845" t="s">
        <v>1568</v>
      </c>
    </row>
    <row r="3571" spans="1:10" x14ac:dyDescent="0.2">
      <c r="A3571" s="859">
        <f t="shared" si="55"/>
        <v>3570</v>
      </c>
      <c r="B3571" s="845" t="s">
        <v>2556</v>
      </c>
      <c r="D3571" s="862"/>
      <c r="I3571" s="845" t="s">
        <v>1009</v>
      </c>
    </row>
    <row r="3572" spans="1:10" x14ac:dyDescent="0.2">
      <c r="A3572" s="859">
        <f t="shared" si="55"/>
        <v>3571</v>
      </c>
      <c r="B3572" s="845" t="s">
        <v>2556</v>
      </c>
      <c r="D3572" s="862"/>
      <c r="I3572" s="845" t="str">
        <f>CONCATENATE("&lt;valeur&gt;",Cellule_966,"&lt;/valeur&gt;")</f>
        <v>&lt;valeur&gt;0&lt;/valeur&gt;</v>
      </c>
    </row>
    <row r="3573" spans="1:10" x14ac:dyDescent="0.2">
      <c r="A3573" s="859">
        <f t="shared" si="55"/>
        <v>3572</v>
      </c>
      <c r="B3573" s="845" t="s">
        <v>2556</v>
      </c>
      <c r="D3573" s="861"/>
      <c r="H3573" s="845" t="s">
        <v>1010</v>
      </c>
    </row>
    <row r="3574" spans="1:10" x14ac:dyDescent="0.2">
      <c r="A3574" s="859">
        <f t="shared" si="55"/>
        <v>3573</v>
      </c>
      <c r="B3574" s="845" t="s">
        <v>2556</v>
      </c>
      <c r="D3574" s="861"/>
      <c r="H3574" s="845" t="s">
        <v>1007</v>
      </c>
    </row>
    <row r="3575" spans="1:10" x14ac:dyDescent="0.2">
      <c r="A3575" s="859">
        <f t="shared" si="55"/>
        <v>3574</v>
      </c>
      <c r="B3575" s="845" t="s">
        <v>2556</v>
      </c>
      <c r="D3575" s="862"/>
      <c r="I3575" s="845" t="s">
        <v>1008</v>
      </c>
    </row>
    <row r="3576" spans="1:10" x14ac:dyDescent="0.2">
      <c r="A3576" s="859">
        <f t="shared" si="55"/>
        <v>3575</v>
      </c>
      <c r="B3576" s="845" t="s">
        <v>2556</v>
      </c>
      <c r="D3576" s="863"/>
      <c r="J3576" s="845" t="s">
        <v>1569</v>
      </c>
    </row>
    <row r="3577" spans="1:10" x14ac:dyDescent="0.2">
      <c r="A3577" s="859">
        <f t="shared" si="55"/>
        <v>3576</v>
      </c>
      <c r="B3577" s="845" t="s">
        <v>2556</v>
      </c>
      <c r="D3577" s="862"/>
      <c r="I3577" s="845" t="s">
        <v>1009</v>
      </c>
    </row>
    <row r="3578" spans="1:10" x14ac:dyDescent="0.2">
      <c r="A3578" s="859">
        <f t="shared" si="55"/>
        <v>3577</v>
      </c>
      <c r="B3578" s="845" t="s">
        <v>2556</v>
      </c>
      <c r="D3578" s="862"/>
      <c r="I3578" s="845" t="str">
        <f>CONCATENATE("&lt;valeur&gt;",Cellule_967,"&lt;/valeur&gt;")</f>
        <v>&lt;valeur&gt;0&lt;/valeur&gt;</v>
      </c>
    </row>
    <row r="3579" spans="1:10" x14ac:dyDescent="0.2">
      <c r="A3579" s="859">
        <f t="shared" si="55"/>
        <v>3578</v>
      </c>
      <c r="B3579" s="845" t="s">
        <v>2556</v>
      </c>
      <c r="D3579" s="861"/>
      <c r="H3579" s="845" t="s">
        <v>1010</v>
      </c>
    </row>
    <row r="3580" spans="1:10" x14ac:dyDescent="0.2">
      <c r="A3580" s="859">
        <f t="shared" si="55"/>
        <v>3579</v>
      </c>
      <c r="B3580" s="845" t="s">
        <v>2556</v>
      </c>
      <c r="D3580" s="861"/>
      <c r="H3580" s="845" t="s">
        <v>1007</v>
      </c>
    </row>
    <row r="3581" spans="1:10" x14ac:dyDescent="0.2">
      <c r="A3581" s="859">
        <f t="shared" si="55"/>
        <v>3580</v>
      </c>
      <c r="B3581" s="845" t="s">
        <v>2556</v>
      </c>
      <c r="D3581" s="862"/>
      <c r="I3581" s="845" t="s">
        <v>1008</v>
      </c>
    </row>
    <row r="3582" spans="1:10" x14ac:dyDescent="0.2">
      <c r="A3582" s="859">
        <f t="shared" si="55"/>
        <v>3581</v>
      </c>
      <c r="B3582" s="845" t="s">
        <v>2556</v>
      </c>
      <c r="D3582" s="863"/>
      <c r="J3582" s="845" t="s">
        <v>1570</v>
      </c>
    </row>
    <row r="3583" spans="1:10" x14ac:dyDescent="0.2">
      <c r="A3583" s="859">
        <f t="shared" si="55"/>
        <v>3582</v>
      </c>
      <c r="B3583" s="845" t="s">
        <v>2556</v>
      </c>
      <c r="D3583" s="862"/>
      <c r="I3583" s="845" t="s">
        <v>1009</v>
      </c>
    </row>
    <row r="3584" spans="1:10" x14ac:dyDescent="0.2">
      <c r="A3584" s="859">
        <f t="shared" si="55"/>
        <v>3583</v>
      </c>
      <c r="B3584" s="845" t="s">
        <v>2556</v>
      </c>
      <c r="D3584" s="862"/>
      <c r="I3584" s="845" t="str">
        <f>CONCATENATE("&lt;valeur&gt;",Cellule_968,"&lt;/valeur&gt;")</f>
        <v>&lt;valeur&gt;0&lt;/valeur&gt;</v>
      </c>
    </row>
    <row r="3585" spans="1:10" x14ac:dyDescent="0.2">
      <c r="A3585" s="859">
        <f t="shared" si="55"/>
        <v>3584</v>
      </c>
      <c r="B3585" s="845" t="s">
        <v>2556</v>
      </c>
      <c r="D3585" s="861"/>
      <c r="H3585" s="845" t="s">
        <v>1010</v>
      </c>
    </row>
    <row r="3586" spans="1:10" x14ac:dyDescent="0.2">
      <c r="A3586" s="859">
        <f t="shared" si="55"/>
        <v>3585</v>
      </c>
      <c r="B3586" s="845" t="s">
        <v>2556</v>
      </c>
      <c r="D3586" s="861"/>
      <c r="H3586" s="845" t="s">
        <v>1007</v>
      </c>
    </row>
    <row r="3587" spans="1:10" x14ac:dyDescent="0.2">
      <c r="A3587" s="859">
        <f t="shared" si="55"/>
        <v>3586</v>
      </c>
      <c r="B3587" s="845" t="s">
        <v>2556</v>
      </c>
      <c r="D3587" s="862"/>
      <c r="I3587" s="845" t="s">
        <v>1008</v>
      </c>
    </row>
    <row r="3588" spans="1:10" x14ac:dyDescent="0.2">
      <c r="A3588" s="859">
        <f t="shared" ref="A3588:A3651" si="56">+A3587+1</f>
        <v>3587</v>
      </c>
      <c r="B3588" s="845" t="s">
        <v>2556</v>
      </c>
      <c r="D3588" s="863"/>
      <c r="J3588" s="845" t="s">
        <v>1571</v>
      </c>
    </row>
    <row r="3589" spans="1:10" x14ac:dyDescent="0.2">
      <c r="A3589" s="859">
        <f t="shared" si="56"/>
        <v>3588</v>
      </c>
      <c r="B3589" s="845" t="s">
        <v>2556</v>
      </c>
      <c r="D3589" s="862"/>
      <c r="I3589" s="845" t="s">
        <v>1009</v>
      </c>
    </row>
    <row r="3590" spans="1:10" x14ac:dyDescent="0.2">
      <c r="A3590" s="859">
        <f t="shared" si="56"/>
        <v>3589</v>
      </c>
      <c r="B3590" s="845" t="s">
        <v>2556</v>
      </c>
      <c r="D3590" s="862"/>
      <c r="I3590" s="845" t="str">
        <f>CONCATENATE("&lt;valeur&gt;",Cellule_10064,"&lt;/valeur&gt;")</f>
        <v>&lt;valeur&gt;0&lt;/valeur&gt;</v>
      </c>
    </row>
    <row r="3591" spans="1:10" x14ac:dyDescent="0.2">
      <c r="A3591" s="859">
        <f t="shared" si="56"/>
        <v>3590</v>
      </c>
      <c r="B3591" s="845" t="s">
        <v>2556</v>
      </c>
      <c r="D3591" s="861"/>
      <c r="H3591" s="845" t="s">
        <v>1010</v>
      </c>
    </row>
    <row r="3592" spans="1:10" x14ac:dyDescent="0.2">
      <c r="A3592" s="859">
        <f t="shared" si="56"/>
        <v>3591</v>
      </c>
      <c r="B3592" s="845" t="s">
        <v>2556</v>
      </c>
      <c r="D3592" s="860"/>
      <c r="H3592" s="845" t="s">
        <v>1007</v>
      </c>
    </row>
    <row r="3593" spans="1:10" x14ac:dyDescent="0.2">
      <c r="A3593" s="859">
        <f t="shared" si="56"/>
        <v>3592</v>
      </c>
      <c r="B3593" s="845" t="s">
        <v>2556</v>
      </c>
      <c r="D3593" s="860"/>
      <c r="I3593" s="845" t="s">
        <v>1008</v>
      </c>
    </row>
    <row r="3594" spans="1:10" x14ac:dyDescent="0.2">
      <c r="A3594" s="859">
        <f t="shared" si="56"/>
        <v>3593</v>
      </c>
      <c r="B3594" s="845" t="s">
        <v>2556</v>
      </c>
      <c r="D3594" s="857"/>
      <c r="J3594" s="845" t="s">
        <v>1572</v>
      </c>
    </row>
    <row r="3595" spans="1:10" x14ac:dyDescent="0.2">
      <c r="A3595" s="859">
        <f t="shared" si="56"/>
        <v>3594</v>
      </c>
      <c r="B3595" s="845" t="s">
        <v>2556</v>
      </c>
      <c r="D3595" s="857"/>
      <c r="I3595" s="845" t="s">
        <v>1009</v>
      </c>
    </row>
    <row r="3596" spans="1:10" x14ac:dyDescent="0.2">
      <c r="A3596" s="859">
        <f t="shared" si="56"/>
        <v>3595</v>
      </c>
      <c r="B3596" s="845" t="s">
        <v>2556</v>
      </c>
      <c r="D3596" s="860"/>
      <c r="I3596" s="845" t="str">
        <f>CONCATENATE("&lt;valeur&gt;",Cellule_980,"&lt;/valeur&gt;")</f>
        <v>&lt;valeur&gt;0&lt;/valeur&gt;</v>
      </c>
    </row>
    <row r="3597" spans="1:10" x14ac:dyDescent="0.2">
      <c r="A3597" s="859">
        <f t="shared" si="56"/>
        <v>3596</v>
      </c>
      <c r="B3597" s="845" t="s">
        <v>2556</v>
      </c>
      <c r="D3597" s="861"/>
      <c r="H3597" s="845" t="s">
        <v>1010</v>
      </c>
    </row>
    <row r="3598" spans="1:10" x14ac:dyDescent="0.2">
      <c r="A3598" s="859">
        <f t="shared" si="56"/>
        <v>3597</v>
      </c>
      <c r="B3598" s="845" t="s">
        <v>2556</v>
      </c>
      <c r="D3598" s="860"/>
      <c r="H3598" s="845" t="s">
        <v>1007</v>
      </c>
    </row>
    <row r="3599" spans="1:10" x14ac:dyDescent="0.2">
      <c r="A3599" s="859">
        <f t="shared" si="56"/>
        <v>3598</v>
      </c>
      <c r="B3599" s="845" t="s">
        <v>2556</v>
      </c>
      <c r="D3599" s="860"/>
      <c r="I3599" s="845" t="s">
        <v>1008</v>
      </c>
    </row>
    <row r="3600" spans="1:10" x14ac:dyDescent="0.2">
      <c r="A3600" s="859">
        <f t="shared" si="56"/>
        <v>3599</v>
      </c>
      <c r="B3600" s="845" t="s">
        <v>2556</v>
      </c>
      <c r="D3600" s="861"/>
      <c r="J3600" s="845" t="s">
        <v>1573</v>
      </c>
    </row>
    <row r="3601" spans="1:10" x14ac:dyDescent="0.2">
      <c r="A3601" s="859">
        <f t="shared" si="56"/>
        <v>3600</v>
      </c>
      <c r="B3601" s="845" t="s">
        <v>2556</v>
      </c>
      <c r="D3601" s="862"/>
      <c r="I3601" s="845" t="s">
        <v>1009</v>
      </c>
    </row>
    <row r="3602" spans="1:10" x14ac:dyDescent="0.2">
      <c r="A3602" s="859">
        <f t="shared" si="56"/>
        <v>3601</v>
      </c>
      <c r="B3602" s="845" t="s">
        <v>2556</v>
      </c>
      <c r="D3602" s="863"/>
      <c r="I3602" s="845" t="str">
        <f>CONCATENATE("&lt;valeur&gt;",Cellule_981,"&lt;/valeur&gt;")</f>
        <v>&lt;valeur&gt;0&lt;/valeur&gt;</v>
      </c>
    </row>
    <row r="3603" spans="1:10" x14ac:dyDescent="0.2">
      <c r="A3603" s="859">
        <f t="shared" si="56"/>
        <v>3602</v>
      </c>
      <c r="B3603" s="845" t="s">
        <v>2556</v>
      </c>
      <c r="D3603" s="862"/>
      <c r="H3603" s="845" t="s">
        <v>1010</v>
      </c>
    </row>
    <row r="3604" spans="1:10" x14ac:dyDescent="0.2">
      <c r="A3604" s="859">
        <f t="shared" si="56"/>
        <v>3603</v>
      </c>
      <c r="B3604" s="845" t="s">
        <v>2556</v>
      </c>
      <c r="D3604" s="862"/>
      <c r="H3604" s="845" t="s">
        <v>1007</v>
      </c>
    </row>
    <row r="3605" spans="1:10" x14ac:dyDescent="0.2">
      <c r="A3605" s="859">
        <f t="shared" si="56"/>
        <v>3604</v>
      </c>
      <c r="B3605" s="845" t="s">
        <v>2556</v>
      </c>
      <c r="D3605" s="861"/>
      <c r="I3605" s="845" t="s">
        <v>1008</v>
      </c>
    </row>
    <row r="3606" spans="1:10" x14ac:dyDescent="0.2">
      <c r="A3606" s="859">
        <f t="shared" si="56"/>
        <v>3605</v>
      </c>
      <c r="B3606" s="845" t="s">
        <v>2556</v>
      </c>
      <c r="D3606" s="861"/>
      <c r="J3606" s="845" t="s">
        <v>1574</v>
      </c>
    </row>
    <row r="3607" spans="1:10" x14ac:dyDescent="0.2">
      <c r="A3607" s="859">
        <f t="shared" si="56"/>
        <v>3606</v>
      </c>
      <c r="B3607" s="845" t="s">
        <v>2556</v>
      </c>
      <c r="D3607" s="862"/>
      <c r="I3607" s="845" t="s">
        <v>1009</v>
      </c>
    </row>
    <row r="3608" spans="1:10" x14ac:dyDescent="0.2">
      <c r="A3608" s="859">
        <f t="shared" si="56"/>
        <v>3607</v>
      </c>
      <c r="B3608" s="845" t="s">
        <v>2556</v>
      </c>
      <c r="D3608" s="863"/>
      <c r="I3608" s="845" t="str">
        <f>CONCATENATE("&lt;valeur&gt;",Cellule_982,"&lt;/valeur&gt;")</f>
        <v>&lt;valeur&gt;0&lt;/valeur&gt;</v>
      </c>
    </row>
    <row r="3609" spans="1:10" x14ac:dyDescent="0.2">
      <c r="A3609" s="859">
        <f t="shared" si="56"/>
        <v>3608</v>
      </c>
      <c r="B3609" s="845" t="s">
        <v>2556</v>
      </c>
      <c r="D3609" s="862"/>
      <c r="H3609" s="845" t="s">
        <v>1010</v>
      </c>
    </row>
    <row r="3610" spans="1:10" x14ac:dyDescent="0.2">
      <c r="A3610" s="859">
        <f t="shared" si="56"/>
        <v>3609</v>
      </c>
      <c r="B3610" s="845" t="s">
        <v>2556</v>
      </c>
      <c r="D3610" s="862"/>
      <c r="H3610" s="845" t="s">
        <v>1007</v>
      </c>
    </row>
    <row r="3611" spans="1:10" x14ac:dyDescent="0.2">
      <c r="A3611" s="859">
        <f t="shared" si="56"/>
        <v>3610</v>
      </c>
      <c r="B3611" s="845" t="s">
        <v>2556</v>
      </c>
      <c r="D3611" s="861"/>
      <c r="I3611" s="845" t="s">
        <v>1008</v>
      </c>
    </row>
    <row r="3612" spans="1:10" x14ac:dyDescent="0.2">
      <c r="A3612" s="859">
        <f t="shared" si="56"/>
        <v>3611</v>
      </c>
      <c r="B3612" s="845" t="s">
        <v>2556</v>
      </c>
      <c r="D3612" s="861"/>
      <c r="J3612" s="845" t="s">
        <v>1575</v>
      </c>
    </row>
    <row r="3613" spans="1:10" x14ac:dyDescent="0.2">
      <c r="A3613" s="859">
        <f t="shared" si="56"/>
        <v>3612</v>
      </c>
      <c r="B3613" s="845" t="s">
        <v>2556</v>
      </c>
      <c r="D3613" s="862"/>
      <c r="I3613" s="845" t="s">
        <v>1009</v>
      </c>
    </row>
    <row r="3614" spans="1:10" x14ac:dyDescent="0.2">
      <c r="A3614" s="859">
        <f t="shared" si="56"/>
        <v>3613</v>
      </c>
      <c r="B3614" s="845" t="s">
        <v>2556</v>
      </c>
      <c r="D3614" s="863"/>
      <c r="I3614" s="845" t="str">
        <f>CONCATENATE("&lt;valeur&gt;",Cellule_10065,"&lt;/valeur&gt;")</f>
        <v>&lt;valeur&gt;0&lt;/valeur&gt;</v>
      </c>
    </row>
    <row r="3615" spans="1:10" x14ac:dyDescent="0.2">
      <c r="A3615" s="859">
        <f t="shared" si="56"/>
        <v>3614</v>
      </c>
      <c r="B3615" s="845" t="s">
        <v>2556</v>
      </c>
      <c r="D3615" s="862"/>
      <c r="H3615" s="845" t="s">
        <v>1010</v>
      </c>
    </row>
    <row r="3616" spans="1:10" x14ac:dyDescent="0.2">
      <c r="A3616" s="859">
        <f t="shared" si="56"/>
        <v>3615</v>
      </c>
      <c r="B3616" s="845" t="s">
        <v>2556</v>
      </c>
      <c r="D3616" s="862"/>
      <c r="H3616" s="845" t="s">
        <v>1007</v>
      </c>
    </row>
    <row r="3617" spans="1:10" x14ac:dyDescent="0.2">
      <c r="A3617" s="859">
        <f t="shared" si="56"/>
        <v>3616</v>
      </c>
      <c r="B3617" s="845" t="s">
        <v>2556</v>
      </c>
      <c r="D3617" s="861"/>
      <c r="I3617" s="845" t="s">
        <v>1008</v>
      </c>
    </row>
    <row r="3618" spans="1:10" x14ac:dyDescent="0.2">
      <c r="A3618" s="859">
        <f t="shared" si="56"/>
        <v>3617</v>
      </c>
      <c r="B3618" s="845" t="s">
        <v>2556</v>
      </c>
      <c r="D3618" s="861"/>
      <c r="J3618" s="845" t="s">
        <v>1576</v>
      </c>
    </row>
    <row r="3619" spans="1:10" x14ac:dyDescent="0.2">
      <c r="A3619" s="859">
        <f t="shared" si="56"/>
        <v>3618</v>
      </c>
      <c r="B3619" s="845" t="s">
        <v>2556</v>
      </c>
      <c r="D3619" s="862"/>
      <c r="I3619" s="845" t="s">
        <v>1009</v>
      </c>
    </row>
    <row r="3620" spans="1:10" x14ac:dyDescent="0.2">
      <c r="A3620" s="859">
        <f t="shared" si="56"/>
        <v>3619</v>
      </c>
      <c r="B3620" s="845" t="s">
        <v>2556</v>
      </c>
      <c r="D3620" s="863"/>
      <c r="I3620" s="845" t="str">
        <f>CONCATENATE("&lt;valeur&gt;",Cellule_994,"&lt;/valeur&gt;")</f>
        <v>&lt;valeur&gt;0&lt;/valeur&gt;</v>
      </c>
    </row>
    <row r="3621" spans="1:10" x14ac:dyDescent="0.2">
      <c r="A3621" s="859">
        <f t="shared" si="56"/>
        <v>3620</v>
      </c>
      <c r="B3621" s="845" t="s">
        <v>2556</v>
      </c>
      <c r="D3621" s="862"/>
      <c r="H3621" s="845" t="s">
        <v>1010</v>
      </c>
    </row>
    <row r="3622" spans="1:10" x14ac:dyDescent="0.2">
      <c r="A3622" s="859">
        <f t="shared" si="56"/>
        <v>3621</v>
      </c>
      <c r="B3622" s="845" t="s">
        <v>2556</v>
      </c>
      <c r="D3622" s="862"/>
      <c r="H3622" s="845" t="s">
        <v>1007</v>
      </c>
    </row>
    <row r="3623" spans="1:10" x14ac:dyDescent="0.2">
      <c r="A3623" s="859">
        <f t="shared" si="56"/>
        <v>3622</v>
      </c>
      <c r="B3623" s="845" t="s">
        <v>2556</v>
      </c>
      <c r="D3623" s="861"/>
      <c r="I3623" s="845" t="s">
        <v>1008</v>
      </c>
    </row>
    <row r="3624" spans="1:10" x14ac:dyDescent="0.2">
      <c r="A3624" s="859">
        <f t="shared" si="56"/>
        <v>3623</v>
      </c>
      <c r="B3624" s="845" t="s">
        <v>2556</v>
      </c>
      <c r="D3624" s="861"/>
      <c r="J3624" s="845" t="s">
        <v>1577</v>
      </c>
    </row>
    <row r="3625" spans="1:10" x14ac:dyDescent="0.2">
      <c r="A3625" s="859">
        <f t="shared" si="56"/>
        <v>3624</v>
      </c>
      <c r="B3625" s="845" t="s">
        <v>2556</v>
      </c>
      <c r="D3625" s="862"/>
      <c r="I3625" s="845" t="s">
        <v>1009</v>
      </c>
    </row>
    <row r="3626" spans="1:10" x14ac:dyDescent="0.2">
      <c r="A3626" s="859">
        <f t="shared" si="56"/>
        <v>3625</v>
      </c>
      <c r="B3626" s="845" t="s">
        <v>2556</v>
      </c>
      <c r="D3626" s="863"/>
      <c r="I3626" s="845" t="str">
        <f>CONCATENATE("&lt;valeur&gt;",Cellule_995,"&lt;/valeur&gt;")</f>
        <v>&lt;valeur&gt;0&lt;/valeur&gt;</v>
      </c>
    </row>
    <row r="3627" spans="1:10" x14ac:dyDescent="0.2">
      <c r="A3627" s="859">
        <f t="shared" si="56"/>
        <v>3626</v>
      </c>
      <c r="B3627" s="845" t="s">
        <v>2556</v>
      </c>
      <c r="D3627" s="862"/>
      <c r="H3627" s="845" t="s">
        <v>1010</v>
      </c>
    </row>
    <row r="3628" spans="1:10" x14ac:dyDescent="0.2">
      <c r="A3628" s="859">
        <f t="shared" si="56"/>
        <v>3627</v>
      </c>
      <c r="B3628" s="845" t="s">
        <v>2556</v>
      </c>
      <c r="D3628" s="862"/>
      <c r="H3628" s="845" t="s">
        <v>1007</v>
      </c>
    </row>
    <row r="3629" spans="1:10" x14ac:dyDescent="0.2">
      <c r="A3629" s="859">
        <f t="shared" si="56"/>
        <v>3628</v>
      </c>
      <c r="B3629" s="845" t="s">
        <v>2556</v>
      </c>
      <c r="D3629" s="861"/>
      <c r="I3629" s="845" t="s">
        <v>1008</v>
      </c>
    </row>
    <row r="3630" spans="1:10" x14ac:dyDescent="0.2">
      <c r="A3630" s="859">
        <f t="shared" si="56"/>
        <v>3629</v>
      </c>
      <c r="B3630" s="845" t="s">
        <v>2556</v>
      </c>
      <c r="D3630" s="861"/>
      <c r="J3630" s="845" t="s">
        <v>1578</v>
      </c>
    </row>
    <row r="3631" spans="1:10" x14ac:dyDescent="0.2">
      <c r="A3631" s="859">
        <f t="shared" si="56"/>
        <v>3630</v>
      </c>
      <c r="B3631" s="845" t="s">
        <v>2556</v>
      </c>
      <c r="D3631" s="862"/>
      <c r="I3631" s="845" t="s">
        <v>1009</v>
      </c>
    </row>
    <row r="3632" spans="1:10" x14ac:dyDescent="0.2">
      <c r="A3632" s="859">
        <f t="shared" si="56"/>
        <v>3631</v>
      </c>
      <c r="B3632" s="845" t="s">
        <v>2556</v>
      </c>
      <c r="D3632" s="863"/>
      <c r="I3632" s="845" t="str">
        <f>CONCATENATE("&lt;valeur&gt;",Cellule_996,"&lt;/valeur&gt;")</f>
        <v>&lt;valeur&gt;0&lt;/valeur&gt;</v>
      </c>
    </row>
    <row r="3633" spans="1:10" x14ac:dyDescent="0.2">
      <c r="A3633" s="859">
        <f t="shared" si="56"/>
        <v>3632</v>
      </c>
      <c r="B3633" s="845" t="s">
        <v>2556</v>
      </c>
      <c r="D3633" s="862"/>
      <c r="H3633" s="845" t="s">
        <v>1010</v>
      </c>
    </row>
    <row r="3634" spans="1:10" x14ac:dyDescent="0.2">
      <c r="A3634" s="859">
        <f t="shared" si="56"/>
        <v>3633</v>
      </c>
      <c r="B3634" s="845" t="s">
        <v>2556</v>
      </c>
      <c r="D3634" s="862"/>
      <c r="H3634" s="845" t="s">
        <v>1007</v>
      </c>
    </row>
    <row r="3635" spans="1:10" x14ac:dyDescent="0.2">
      <c r="A3635" s="859">
        <f t="shared" si="56"/>
        <v>3634</v>
      </c>
      <c r="B3635" s="845" t="s">
        <v>2556</v>
      </c>
      <c r="D3635" s="861"/>
      <c r="I3635" s="845" t="s">
        <v>1008</v>
      </c>
    </row>
    <row r="3636" spans="1:10" x14ac:dyDescent="0.2">
      <c r="A3636" s="859">
        <f t="shared" si="56"/>
        <v>3635</v>
      </c>
      <c r="B3636" s="845" t="s">
        <v>2556</v>
      </c>
      <c r="D3636" s="861"/>
      <c r="J3636" s="845" t="s">
        <v>1579</v>
      </c>
    </row>
    <row r="3637" spans="1:10" x14ac:dyDescent="0.2">
      <c r="A3637" s="859">
        <f t="shared" si="56"/>
        <v>3636</v>
      </c>
      <c r="B3637" s="845" t="s">
        <v>2556</v>
      </c>
      <c r="D3637" s="862"/>
      <c r="I3637" s="845" t="s">
        <v>1009</v>
      </c>
    </row>
    <row r="3638" spans="1:10" x14ac:dyDescent="0.2">
      <c r="A3638" s="859">
        <f t="shared" si="56"/>
        <v>3637</v>
      </c>
      <c r="B3638" s="845" t="s">
        <v>2556</v>
      </c>
      <c r="D3638" s="863"/>
      <c r="I3638" s="845" t="str">
        <f>CONCATENATE("&lt;valeur&gt;",Cellule_10066,"&lt;/valeur&gt;")</f>
        <v>&lt;valeur&gt;0&lt;/valeur&gt;</v>
      </c>
    </row>
    <row r="3639" spans="1:10" x14ac:dyDescent="0.2">
      <c r="A3639" s="859">
        <f t="shared" si="56"/>
        <v>3638</v>
      </c>
      <c r="B3639" s="845" t="s">
        <v>2556</v>
      </c>
      <c r="D3639" s="862"/>
      <c r="H3639" s="845" t="s">
        <v>1010</v>
      </c>
    </row>
    <row r="3640" spans="1:10" x14ac:dyDescent="0.2">
      <c r="A3640" s="859">
        <f t="shared" si="56"/>
        <v>3639</v>
      </c>
      <c r="B3640" s="845" t="s">
        <v>2556</v>
      </c>
      <c r="D3640" s="862"/>
      <c r="H3640" s="845" t="s">
        <v>1007</v>
      </c>
    </row>
    <row r="3641" spans="1:10" x14ac:dyDescent="0.2">
      <c r="A3641" s="859">
        <f t="shared" si="56"/>
        <v>3640</v>
      </c>
      <c r="B3641" s="845" t="s">
        <v>2556</v>
      </c>
      <c r="D3641" s="861"/>
      <c r="I3641" s="845" t="s">
        <v>1008</v>
      </c>
    </row>
    <row r="3642" spans="1:10" x14ac:dyDescent="0.2">
      <c r="A3642" s="859">
        <f t="shared" si="56"/>
        <v>3641</v>
      </c>
      <c r="B3642" s="845" t="s">
        <v>2556</v>
      </c>
      <c r="D3642" s="861"/>
      <c r="J3642" s="845" t="s">
        <v>1580</v>
      </c>
    </row>
    <row r="3643" spans="1:10" x14ac:dyDescent="0.2">
      <c r="A3643" s="859">
        <f t="shared" si="56"/>
        <v>3642</v>
      </c>
      <c r="B3643" s="845" t="s">
        <v>2556</v>
      </c>
      <c r="D3643" s="862"/>
      <c r="I3643" s="845" t="s">
        <v>1009</v>
      </c>
    </row>
    <row r="3644" spans="1:10" x14ac:dyDescent="0.2">
      <c r="A3644" s="859">
        <f t="shared" si="56"/>
        <v>3643</v>
      </c>
      <c r="B3644" s="845" t="s">
        <v>2556</v>
      </c>
      <c r="D3644" s="863"/>
      <c r="I3644" s="845" t="str">
        <f>CONCATENATE("&lt;valeur&gt;",Cellule_1008,"&lt;/valeur&gt;")</f>
        <v>&lt;valeur&gt;0&lt;/valeur&gt;</v>
      </c>
    </row>
    <row r="3645" spans="1:10" x14ac:dyDescent="0.2">
      <c r="A3645" s="859">
        <f t="shared" si="56"/>
        <v>3644</v>
      </c>
      <c r="B3645" s="845" t="s">
        <v>2556</v>
      </c>
      <c r="D3645" s="862"/>
      <c r="H3645" s="845" t="s">
        <v>1010</v>
      </c>
    </row>
    <row r="3646" spans="1:10" x14ac:dyDescent="0.2">
      <c r="A3646" s="859">
        <f t="shared" si="56"/>
        <v>3645</v>
      </c>
      <c r="B3646" s="845" t="s">
        <v>2556</v>
      </c>
      <c r="D3646" s="862"/>
      <c r="H3646" s="845" t="s">
        <v>1007</v>
      </c>
    </row>
    <row r="3647" spans="1:10" x14ac:dyDescent="0.2">
      <c r="A3647" s="859">
        <f t="shared" si="56"/>
        <v>3646</v>
      </c>
      <c r="B3647" s="845" t="s">
        <v>2556</v>
      </c>
      <c r="D3647" s="861"/>
      <c r="I3647" s="845" t="s">
        <v>1008</v>
      </c>
    </row>
    <row r="3648" spans="1:10" x14ac:dyDescent="0.2">
      <c r="A3648" s="859">
        <f t="shared" si="56"/>
        <v>3647</v>
      </c>
      <c r="B3648" s="845" t="s">
        <v>2556</v>
      </c>
      <c r="D3648" s="861"/>
      <c r="J3648" s="845" t="s">
        <v>1581</v>
      </c>
    </row>
    <row r="3649" spans="1:10" x14ac:dyDescent="0.2">
      <c r="A3649" s="859">
        <f t="shared" si="56"/>
        <v>3648</v>
      </c>
      <c r="B3649" s="845" t="s">
        <v>2556</v>
      </c>
      <c r="D3649" s="862"/>
      <c r="I3649" s="845" t="s">
        <v>1009</v>
      </c>
    </row>
    <row r="3650" spans="1:10" x14ac:dyDescent="0.2">
      <c r="A3650" s="859">
        <f t="shared" si="56"/>
        <v>3649</v>
      </c>
      <c r="B3650" s="845" t="s">
        <v>2556</v>
      </c>
      <c r="D3650" s="863"/>
      <c r="I3650" s="845" t="str">
        <f>CONCATENATE("&lt;valeur&gt;",Cellule_1009,"&lt;/valeur&gt;")</f>
        <v>&lt;valeur&gt;0&lt;/valeur&gt;</v>
      </c>
    </row>
    <row r="3651" spans="1:10" x14ac:dyDescent="0.2">
      <c r="A3651" s="859">
        <f t="shared" si="56"/>
        <v>3650</v>
      </c>
      <c r="B3651" s="845" t="s">
        <v>2556</v>
      </c>
      <c r="D3651" s="862"/>
      <c r="H3651" s="845" t="s">
        <v>1010</v>
      </c>
    </row>
    <row r="3652" spans="1:10" x14ac:dyDescent="0.2">
      <c r="A3652" s="859">
        <f t="shared" ref="A3652:A3715" si="57">+A3651+1</f>
        <v>3651</v>
      </c>
      <c r="B3652" s="845" t="s">
        <v>2556</v>
      </c>
      <c r="D3652" s="862"/>
      <c r="H3652" s="845" t="s">
        <v>1007</v>
      </c>
    </row>
    <row r="3653" spans="1:10" x14ac:dyDescent="0.2">
      <c r="A3653" s="859">
        <f t="shared" si="57"/>
        <v>3652</v>
      </c>
      <c r="B3653" s="845" t="s">
        <v>2556</v>
      </c>
      <c r="D3653" s="861"/>
      <c r="I3653" s="845" t="s">
        <v>1008</v>
      </c>
    </row>
    <row r="3654" spans="1:10" x14ac:dyDescent="0.2">
      <c r="A3654" s="859">
        <f t="shared" si="57"/>
        <v>3653</v>
      </c>
      <c r="B3654" s="845" t="s">
        <v>2556</v>
      </c>
      <c r="D3654" s="861"/>
      <c r="J3654" s="845" t="s">
        <v>1582</v>
      </c>
    </row>
    <row r="3655" spans="1:10" x14ac:dyDescent="0.2">
      <c r="A3655" s="859">
        <f t="shared" si="57"/>
        <v>3654</v>
      </c>
      <c r="B3655" s="845" t="s">
        <v>2556</v>
      </c>
      <c r="D3655" s="862"/>
      <c r="I3655" s="845" t="s">
        <v>1009</v>
      </c>
    </row>
    <row r="3656" spans="1:10" x14ac:dyDescent="0.2">
      <c r="A3656" s="859">
        <f t="shared" si="57"/>
        <v>3655</v>
      </c>
      <c r="B3656" s="845" t="s">
        <v>2556</v>
      </c>
      <c r="D3656" s="863"/>
      <c r="I3656" s="845" t="str">
        <f>CONCATENATE("&lt;valeur&gt;",Cellule_1010,"&lt;/valeur&gt;")</f>
        <v>&lt;valeur&gt;0&lt;/valeur&gt;</v>
      </c>
    </row>
    <row r="3657" spans="1:10" x14ac:dyDescent="0.2">
      <c r="A3657" s="859">
        <f t="shared" si="57"/>
        <v>3656</v>
      </c>
      <c r="B3657" s="845" t="s">
        <v>2556</v>
      </c>
      <c r="D3657" s="862"/>
      <c r="H3657" s="845" t="s">
        <v>1010</v>
      </c>
    </row>
    <row r="3658" spans="1:10" x14ac:dyDescent="0.2">
      <c r="A3658" s="859">
        <f t="shared" si="57"/>
        <v>3657</v>
      </c>
      <c r="B3658" s="845" t="s">
        <v>2556</v>
      </c>
      <c r="D3658" s="862"/>
      <c r="H3658" s="845" t="s">
        <v>1007</v>
      </c>
    </row>
    <row r="3659" spans="1:10" x14ac:dyDescent="0.2">
      <c r="A3659" s="859">
        <f t="shared" si="57"/>
        <v>3658</v>
      </c>
      <c r="B3659" s="845" t="s">
        <v>2556</v>
      </c>
      <c r="D3659" s="861"/>
      <c r="I3659" s="845" t="s">
        <v>1008</v>
      </c>
    </row>
    <row r="3660" spans="1:10" x14ac:dyDescent="0.2">
      <c r="A3660" s="859">
        <f t="shared" si="57"/>
        <v>3659</v>
      </c>
      <c r="B3660" s="845" t="s">
        <v>2556</v>
      </c>
      <c r="D3660" s="861"/>
      <c r="J3660" s="845" t="s">
        <v>1583</v>
      </c>
    </row>
    <row r="3661" spans="1:10" x14ac:dyDescent="0.2">
      <c r="A3661" s="859">
        <f t="shared" si="57"/>
        <v>3660</v>
      </c>
      <c r="B3661" s="845" t="s">
        <v>2556</v>
      </c>
      <c r="D3661" s="862"/>
      <c r="I3661" s="845" t="s">
        <v>1009</v>
      </c>
    </row>
    <row r="3662" spans="1:10" x14ac:dyDescent="0.2">
      <c r="A3662" s="859">
        <f t="shared" si="57"/>
        <v>3661</v>
      </c>
      <c r="B3662" s="845" t="s">
        <v>2556</v>
      </c>
      <c r="D3662" s="863"/>
      <c r="I3662" s="845" t="str">
        <f>CONCATENATE("&lt;valeur&gt;",Cellule_10067,"&lt;/valeur&gt;")</f>
        <v>&lt;valeur&gt;0&lt;/valeur&gt;</v>
      </c>
    </row>
    <row r="3663" spans="1:10" x14ac:dyDescent="0.2">
      <c r="A3663" s="859">
        <f t="shared" si="57"/>
        <v>3662</v>
      </c>
      <c r="B3663" s="845" t="s">
        <v>2556</v>
      </c>
      <c r="D3663" s="862"/>
      <c r="H3663" s="845" t="s">
        <v>1010</v>
      </c>
    </row>
    <row r="3664" spans="1:10" x14ac:dyDescent="0.2">
      <c r="A3664" s="859">
        <f t="shared" si="57"/>
        <v>3663</v>
      </c>
      <c r="B3664" s="845" t="s">
        <v>2556</v>
      </c>
      <c r="D3664" s="862"/>
      <c r="H3664" s="845" t="s">
        <v>1007</v>
      </c>
    </row>
    <row r="3665" spans="1:10" x14ac:dyDescent="0.2">
      <c r="A3665" s="859">
        <f t="shared" si="57"/>
        <v>3664</v>
      </c>
      <c r="B3665" s="845" t="s">
        <v>2556</v>
      </c>
      <c r="D3665" s="861"/>
      <c r="I3665" s="845" t="s">
        <v>1008</v>
      </c>
    </row>
    <row r="3666" spans="1:10" x14ac:dyDescent="0.2">
      <c r="A3666" s="859">
        <f t="shared" si="57"/>
        <v>3665</v>
      </c>
      <c r="B3666" s="845" t="s">
        <v>2556</v>
      </c>
      <c r="D3666" s="861"/>
      <c r="J3666" s="845" t="s">
        <v>1584</v>
      </c>
    </row>
    <row r="3667" spans="1:10" x14ac:dyDescent="0.2">
      <c r="A3667" s="859">
        <f t="shared" si="57"/>
        <v>3666</v>
      </c>
      <c r="B3667" s="845" t="s">
        <v>2556</v>
      </c>
      <c r="D3667" s="862"/>
      <c r="I3667" s="845" t="s">
        <v>1009</v>
      </c>
    </row>
    <row r="3668" spans="1:10" x14ac:dyDescent="0.2">
      <c r="A3668" s="859">
        <f t="shared" si="57"/>
        <v>3667</v>
      </c>
      <c r="B3668" s="845" t="s">
        <v>2556</v>
      </c>
      <c r="D3668" s="863"/>
      <c r="I3668" s="845" t="str">
        <f>CONCATENATE("&lt;valeur&gt;",Cellule_1022,"&lt;/valeur&gt;")</f>
        <v>&lt;valeur&gt;0&lt;/valeur&gt;</v>
      </c>
    </row>
    <row r="3669" spans="1:10" x14ac:dyDescent="0.2">
      <c r="A3669" s="859">
        <f t="shared" si="57"/>
        <v>3668</v>
      </c>
      <c r="B3669" s="845" t="s">
        <v>2556</v>
      </c>
      <c r="D3669" s="862"/>
      <c r="H3669" s="845" t="s">
        <v>1010</v>
      </c>
    </row>
    <row r="3670" spans="1:10" x14ac:dyDescent="0.2">
      <c r="A3670" s="859">
        <f t="shared" si="57"/>
        <v>3669</v>
      </c>
      <c r="B3670" s="845" t="s">
        <v>2556</v>
      </c>
      <c r="D3670" s="862"/>
      <c r="H3670" s="845" t="s">
        <v>1007</v>
      </c>
    </row>
    <row r="3671" spans="1:10" x14ac:dyDescent="0.2">
      <c r="A3671" s="859">
        <f t="shared" si="57"/>
        <v>3670</v>
      </c>
      <c r="B3671" s="845" t="s">
        <v>2556</v>
      </c>
      <c r="D3671" s="861"/>
      <c r="I3671" s="845" t="s">
        <v>1008</v>
      </c>
    </row>
    <row r="3672" spans="1:10" x14ac:dyDescent="0.2">
      <c r="A3672" s="859">
        <f t="shared" si="57"/>
        <v>3671</v>
      </c>
      <c r="B3672" s="845" t="s">
        <v>2556</v>
      </c>
      <c r="D3672" s="861"/>
      <c r="J3672" s="845" t="s">
        <v>1585</v>
      </c>
    </row>
    <row r="3673" spans="1:10" x14ac:dyDescent="0.2">
      <c r="A3673" s="859">
        <f t="shared" si="57"/>
        <v>3672</v>
      </c>
      <c r="B3673" s="845" t="s">
        <v>2556</v>
      </c>
      <c r="D3673" s="862"/>
      <c r="I3673" s="845" t="s">
        <v>1009</v>
      </c>
    </row>
    <row r="3674" spans="1:10" x14ac:dyDescent="0.2">
      <c r="A3674" s="859">
        <f t="shared" si="57"/>
        <v>3673</v>
      </c>
      <c r="B3674" s="845" t="s">
        <v>2556</v>
      </c>
      <c r="D3674" s="863"/>
      <c r="I3674" s="845" t="str">
        <f>CONCATENATE("&lt;valeur&gt;",Cellule_1023,"&lt;/valeur&gt;")</f>
        <v>&lt;valeur&gt;0&lt;/valeur&gt;</v>
      </c>
    </row>
    <row r="3675" spans="1:10" x14ac:dyDescent="0.2">
      <c r="A3675" s="859">
        <f t="shared" si="57"/>
        <v>3674</v>
      </c>
      <c r="B3675" s="845" t="s">
        <v>2556</v>
      </c>
      <c r="D3675" s="862"/>
      <c r="H3675" s="845" t="s">
        <v>1010</v>
      </c>
    </row>
    <row r="3676" spans="1:10" x14ac:dyDescent="0.2">
      <c r="A3676" s="859">
        <f t="shared" si="57"/>
        <v>3675</v>
      </c>
      <c r="B3676" s="845" t="s">
        <v>2556</v>
      </c>
      <c r="D3676" s="862"/>
      <c r="H3676" s="845" t="s">
        <v>1007</v>
      </c>
    </row>
    <row r="3677" spans="1:10" x14ac:dyDescent="0.2">
      <c r="A3677" s="859">
        <f t="shared" si="57"/>
        <v>3676</v>
      </c>
      <c r="B3677" s="845" t="s">
        <v>2556</v>
      </c>
      <c r="D3677" s="861"/>
      <c r="I3677" s="845" t="s">
        <v>1008</v>
      </c>
    </row>
    <row r="3678" spans="1:10" x14ac:dyDescent="0.2">
      <c r="A3678" s="859">
        <f t="shared" si="57"/>
        <v>3677</v>
      </c>
      <c r="B3678" s="845" t="s">
        <v>2556</v>
      </c>
      <c r="D3678" s="861"/>
      <c r="J3678" s="845" t="s">
        <v>1586</v>
      </c>
    </row>
    <row r="3679" spans="1:10" x14ac:dyDescent="0.2">
      <c r="A3679" s="859">
        <f t="shared" si="57"/>
        <v>3678</v>
      </c>
      <c r="B3679" s="845" t="s">
        <v>2556</v>
      </c>
      <c r="D3679" s="862"/>
      <c r="I3679" s="845" t="s">
        <v>1009</v>
      </c>
    </row>
    <row r="3680" spans="1:10" x14ac:dyDescent="0.2">
      <c r="A3680" s="859">
        <f t="shared" si="57"/>
        <v>3679</v>
      </c>
      <c r="B3680" s="845" t="s">
        <v>2556</v>
      </c>
      <c r="D3680" s="863"/>
      <c r="I3680" s="845" t="str">
        <f>CONCATENATE("&lt;valeur&gt;",Cellule_1024,"&lt;/valeur&gt;")</f>
        <v>&lt;valeur&gt;0&lt;/valeur&gt;</v>
      </c>
    </row>
    <row r="3681" spans="1:10" x14ac:dyDescent="0.2">
      <c r="A3681" s="859">
        <f t="shared" si="57"/>
        <v>3680</v>
      </c>
      <c r="B3681" s="845" t="s">
        <v>2556</v>
      </c>
      <c r="D3681" s="862"/>
      <c r="H3681" s="845" t="s">
        <v>1010</v>
      </c>
    </row>
    <row r="3682" spans="1:10" x14ac:dyDescent="0.2">
      <c r="A3682" s="859">
        <f t="shared" si="57"/>
        <v>3681</v>
      </c>
      <c r="B3682" s="845" t="s">
        <v>2556</v>
      </c>
      <c r="D3682" s="862"/>
      <c r="H3682" s="845" t="s">
        <v>1007</v>
      </c>
    </row>
    <row r="3683" spans="1:10" x14ac:dyDescent="0.2">
      <c r="A3683" s="859">
        <f t="shared" si="57"/>
        <v>3682</v>
      </c>
      <c r="B3683" s="845" t="s">
        <v>2556</v>
      </c>
      <c r="D3683" s="861"/>
      <c r="I3683" s="845" t="s">
        <v>1008</v>
      </c>
    </row>
    <row r="3684" spans="1:10" x14ac:dyDescent="0.2">
      <c r="A3684" s="859">
        <f t="shared" si="57"/>
        <v>3683</v>
      </c>
      <c r="B3684" s="845" t="s">
        <v>2556</v>
      </c>
      <c r="D3684" s="861"/>
      <c r="J3684" s="845" t="s">
        <v>1587</v>
      </c>
    </row>
    <row r="3685" spans="1:10" x14ac:dyDescent="0.2">
      <c r="A3685" s="859">
        <f t="shared" si="57"/>
        <v>3684</v>
      </c>
      <c r="B3685" s="845" t="s">
        <v>2556</v>
      </c>
      <c r="D3685" s="862"/>
      <c r="I3685" s="845" t="s">
        <v>1009</v>
      </c>
    </row>
    <row r="3686" spans="1:10" x14ac:dyDescent="0.2">
      <c r="A3686" s="859">
        <f t="shared" si="57"/>
        <v>3685</v>
      </c>
      <c r="B3686" s="845" t="s">
        <v>2556</v>
      </c>
      <c r="D3686" s="863"/>
      <c r="I3686" s="845" t="str">
        <f>CONCATENATE("&lt;valeur&gt;",Cellule_10068,"&lt;/valeur&gt;")</f>
        <v>&lt;valeur&gt;0&lt;/valeur&gt;</v>
      </c>
    </row>
    <row r="3687" spans="1:10" x14ac:dyDescent="0.2">
      <c r="A3687" s="859">
        <f t="shared" si="57"/>
        <v>3686</v>
      </c>
      <c r="B3687" s="845" t="s">
        <v>2556</v>
      </c>
      <c r="D3687" s="862"/>
      <c r="H3687" s="845" t="s">
        <v>1010</v>
      </c>
    </row>
    <row r="3688" spans="1:10" x14ac:dyDescent="0.2">
      <c r="A3688" s="859">
        <f t="shared" si="57"/>
        <v>3687</v>
      </c>
      <c r="B3688" s="845" t="s">
        <v>2556</v>
      </c>
      <c r="D3688" s="862"/>
      <c r="H3688" s="845" t="s">
        <v>1007</v>
      </c>
    </row>
    <row r="3689" spans="1:10" x14ac:dyDescent="0.2">
      <c r="A3689" s="859">
        <f t="shared" si="57"/>
        <v>3688</v>
      </c>
      <c r="B3689" s="845" t="s">
        <v>2556</v>
      </c>
      <c r="D3689" s="861"/>
      <c r="I3689" s="845" t="s">
        <v>1008</v>
      </c>
    </row>
    <row r="3690" spans="1:10" x14ac:dyDescent="0.2">
      <c r="A3690" s="859">
        <f t="shared" si="57"/>
        <v>3689</v>
      </c>
      <c r="B3690" s="845" t="s">
        <v>2556</v>
      </c>
      <c r="D3690" s="861"/>
      <c r="J3690" s="845" t="s">
        <v>1588</v>
      </c>
    </row>
    <row r="3691" spans="1:10" x14ac:dyDescent="0.2">
      <c r="A3691" s="859">
        <f t="shared" si="57"/>
        <v>3690</v>
      </c>
      <c r="B3691" s="845" t="s">
        <v>2556</v>
      </c>
      <c r="D3691" s="862"/>
      <c r="I3691" s="845" t="s">
        <v>1009</v>
      </c>
    </row>
    <row r="3692" spans="1:10" x14ac:dyDescent="0.2">
      <c r="A3692" s="859">
        <f t="shared" si="57"/>
        <v>3691</v>
      </c>
      <c r="B3692" s="845" t="s">
        <v>2556</v>
      </c>
      <c r="D3692" s="863"/>
      <c r="I3692" s="845" t="str">
        <f>CONCATENATE("&lt;valeur&gt;",Cellule_1036,"&lt;/valeur&gt;")</f>
        <v>&lt;valeur&gt;0&lt;/valeur&gt;</v>
      </c>
    </row>
    <row r="3693" spans="1:10" x14ac:dyDescent="0.2">
      <c r="A3693" s="859">
        <f t="shared" si="57"/>
        <v>3692</v>
      </c>
      <c r="B3693" s="845" t="s">
        <v>2556</v>
      </c>
      <c r="D3693" s="862"/>
      <c r="H3693" s="845" t="s">
        <v>1010</v>
      </c>
    </row>
    <row r="3694" spans="1:10" x14ac:dyDescent="0.2">
      <c r="A3694" s="859">
        <f t="shared" si="57"/>
        <v>3693</v>
      </c>
      <c r="B3694" s="845" t="s">
        <v>2556</v>
      </c>
      <c r="D3694" s="862"/>
      <c r="H3694" s="845" t="s">
        <v>1007</v>
      </c>
    </row>
    <row r="3695" spans="1:10" x14ac:dyDescent="0.2">
      <c r="A3695" s="859">
        <f t="shared" si="57"/>
        <v>3694</v>
      </c>
      <c r="B3695" s="845" t="s">
        <v>2556</v>
      </c>
      <c r="D3695" s="861"/>
      <c r="I3695" s="845" t="s">
        <v>1008</v>
      </c>
    </row>
    <row r="3696" spans="1:10" x14ac:dyDescent="0.2">
      <c r="A3696" s="859">
        <f t="shared" si="57"/>
        <v>3695</v>
      </c>
      <c r="B3696" s="845" t="s">
        <v>2556</v>
      </c>
      <c r="D3696" s="861"/>
      <c r="J3696" s="845" t="s">
        <v>1589</v>
      </c>
    </row>
    <row r="3697" spans="1:10" x14ac:dyDescent="0.2">
      <c r="A3697" s="859">
        <f t="shared" si="57"/>
        <v>3696</v>
      </c>
      <c r="B3697" s="845" t="s">
        <v>2556</v>
      </c>
      <c r="D3697" s="862"/>
      <c r="I3697" s="845" t="s">
        <v>1009</v>
      </c>
    </row>
    <row r="3698" spans="1:10" x14ac:dyDescent="0.2">
      <c r="A3698" s="859">
        <f t="shared" si="57"/>
        <v>3697</v>
      </c>
      <c r="B3698" s="845" t="s">
        <v>2556</v>
      </c>
      <c r="D3698" s="863"/>
      <c r="I3698" s="845" t="str">
        <f>CONCATENATE("&lt;valeur&gt;",Cellule_1037,"&lt;/valeur&gt;")</f>
        <v>&lt;valeur&gt;0&lt;/valeur&gt;</v>
      </c>
    </row>
    <row r="3699" spans="1:10" x14ac:dyDescent="0.2">
      <c r="A3699" s="859">
        <f t="shared" si="57"/>
        <v>3698</v>
      </c>
      <c r="B3699" s="845" t="s">
        <v>2556</v>
      </c>
      <c r="D3699" s="862"/>
      <c r="H3699" s="845" t="s">
        <v>1010</v>
      </c>
    </row>
    <row r="3700" spans="1:10" x14ac:dyDescent="0.2">
      <c r="A3700" s="859">
        <f t="shared" si="57"/>
        <v>3699</v>
      </c>
      <c r="B3700" s="845" t="s">
        <v>2556</v>
      </c>
      <c r="D3700" s="862"/>
      <c r="H3700" s="845" t="s">
        <v>1007</v>
      </c>
    </row>
    <row r="3701" spans="1:10" x14ac:dyDescent="0.2">
      <c r="A3701" s="859">
        <f t="shared" si="57"/>
        <v>3700</v>
      </c>
      <c r="B3701" s="845" t="s">
        <v>2556</v>
      </c>
      <c r="D3701" s="861"/>
      <c r="I3701" s="845" t="s">
        <v>1008</v>
      </c>
    </row>
    <row r="3702" spans="1:10" x14ac:dyDescent="0.2">
      <c r="A3702" s="859">
        <f t="shared" si="57"/>
        <v>3701</v>
      </c>
      <c r="B3702" s="845" t="s">
        <v>2556</v>
      </c>
      <c r="D3702" s="861"/>
      <c r="J3702" s="845" t="s">
        <v>1590</v>
      </c>
    </row>
    <row r="3703" spans="1:10" x14ac:dyDescent="0.2">
      <c r="A3703" s="859">
        <f t="shared" si="57"/>
        <v>3702</v>
      </c>
      <c r="B3703" s="845" t="s">
        <v>2556</v>
      </c>
      <c r="D3703" s="862"/>
      <c r="I3703" s="845" t="s">
        <v>1009</v>
      </c>
    </row>
    <row r="3704" spans="1:10" x14ac:dyDescent="0.2">
      <c r="A3704" s="859">
        <f t="shared" si="57"/>
        <v>3703</v>
      </c>
      <c r="B3704" s="845" t="s">
        <v>2556</v>
      </c>
      <c r="D3704" s="863"/>
      <c r="I3704" s="845" t="str">
        <f>CONCATENATE("&lt;valeur&gt;",Cellule_1038,"&lt;/valeur&gt;")</f>
        <v>&lt;valeur&gt;0&lt;/valeur&gt;</v>
      </c>
    </row>
    <row r="3705" spans="1:10" x14ac:dyDescent="0.2">
      <c r="A3705" s="859">
        <f t="shared" si="57"/>
        <v>3704</v>
      </c>
      <c r="B3705" s="845" t="s">
        <v>2556</v>
      </c>
      <c r="D3705" s="862"/>
      <c r="H3705" s="845" t="s">
        <v>1010</v>
      </c>
    </row>
    <row r="3706" spans="1:10" x14ac:dyDescent="0.2">
      <c r="A3706" s="859">
        <f t="shared" si="57"/>
        <v>3705</v>
      </c>
      <c r="B3706" s="845" t="s">
        <v>2556</v>
      </c>
      <c r="D3706" s="862"/>
      <c r="H3706" s="845" t="s">
        <v>1007</v>
      </c>
    </row>
    <row r="3707" spans="1:10" x14ac:dyDescent="0.2">
      <c r="A3707" s="859">
        <f t="shared" si="57"/>
        <v>3706</v>
      </c>
      <c r="B3707" s="845" t="s">
        <v>2556</v>
      </c>
      <c r="D3707" s="861"/>
      <c r="I3707" s="845" t="s">
        <v>1008</v>
      </c>
    </row>
    <row r="3708" spans="1:10" x14ac:dyDescent="0.2">
      <c r="A3708" s="859">
        <f t="shared" si="57"/>
        <v>3707</v>
      </c>
      <c r="B3708" s="845" t="s">
        <v>2556</v>
      </c>
      <c r="D3708" s="861"/>
      <c r="J3708" s="845" t="s">
        <v>1591</v>
      </c>
    </row>
    <row r="3709" spans="1:10" x14ac:dyDescent="0.2">
      <c r="A3709" s="859">
        <f t="shared" si="57"/>
        <v>3708</v>
      </c>
      <c r="B3709" s="845" t="s">
        <v>2556</v>
      </c>
      <c r="D3709" s="862"/>
      <c r="I3709" s="845" t="s">
        <v>1009</v>
      </c>
    </row>
    <row r="3710" spans="1:10" x14ac:dyDescent="0.2">
      <c r="A3710" s="859">
        <f t="shared" si="57"/>
        <v>3709</v>
      </c>
      <c r="B3710" s="845" t="s">
        <v>2556</v>
      </c>
      <c r="D3710" s="863"/>
      <c r="I3710" s="845" t="str">
        <f>CONCATENATE("&lt;valeur&gt;",Cellule_10069,"&lt;/valeur&gt;")</f>
        <v>&lt;valeur&gt;0&lt;/valeur&gt;</v>
      </c>
    </row>
    <row r="3711" spans="1:10" x14ac:dyDescent="0.2">
      <c r="A3711" s="859">
        <f t="shared" si="57"/>
        <v>3710</v>
      </c>
      <c r="B3711" s="845" t="s">
        <v>2556</v>
      </c>
      <c r="D3711" s="862"/>
      <c r="H3711" s="845" t="s">
        <v>1010</v>
      </c>
    </row>
    <row r="3712" spans="1:10" x14ac:dyDescent="0.2">
      <c r="A3712" s="859">
        <f t="shared" si="57"/>
        <v>3711</v>
      </c>
      <c r="B3712" s="845" t="s">
        <v>2556</v>
      </c>
      <c r="D3712" s="862"/>
      <c r="H3712" s="845" t="s">
        <v>1007</v>
      </c>
    </row>
    <row r="3713" spans="1:10" x14ac:dyDescent="0.2">
      <c r="A3713" s="859">
        <f t="shared" si="57"/>
        <v>3712</v>
      </c>
      <c r="B3713" s="845" t="s">
        <v>2556</v>
      </c>
      <c r="D3713" s="861"/>
      <c r="I3713" s="845" t="s">
        <v>1008</v>
      </c>
    </row>
    <row r="3714" spans="1:10" x14ac:dyDescent="0.2">
      <c r="A3714" s="859">
        <f t="shared" si="57"/>
        <v>3713</v>
      </c>
      <c r="B3714" s="845" t="s">
        <v>2556</v>
      </c>
      <c r="D3714" s="861"/>
      <c r="J3714" s="845" t="s">
        <v>1592</v>
      </c>
    </row>
    <row r="3715" spans="1:10" x14ac:dyDescent="0.2">
      <c r="A3715" s="859">
        <f t="shared" si="57"/>
        <v>3714</v>
      </c>
      <c r="B3715" s="845" t="s">
        <v>2556</v>
      </c>
      <c r="D3715" s="862"/>
      <c r="I3715" s="845" t="s">
        <v>1009</v>
      </c>
    </row>
    <row r="3716" spans="1:10" x14ac:dyDescent="0.2">
      <c r="A3716" s="859">
        <f t="shared" ref="A3716:A3779" si="58">+A3715+1</f>
        <v>3715</v>
      </c>
      <c r="B3716" s="845" t="s">
        <v>2556</v>
      </c>
      <c r="D3716" s="863"/>
      <c r="I3716" s="845" t="str">
        <f>CONCATENATE("&lt;valeur&gt;",Cellule_1050,"&lt;/valeur&gt;")</f>
        <v>&lt;valeur&gt;0&lt;/valeur&gt;</v>
      </c>
    </row>
    <row r="3717" spans="1:10" x14ac:dyDescent="0.2">
      <c r="A3717" s="859">
        <f t="shared" si="58"/>
        <v>3716</v>
      </c>
      <c r="B3717" s="845" t="s">
        <v>2556</v>
      </c>
      <c r="D3717" s="862"/>
      <c r="H3717" s="845" t="s">
        <v>1010</v>
      </c>
    </row>
    <row r="3718" spans="1:10" x14ac:dyDescent="0.2">
      <c r="A3718" s="859">
        <f t="shared" si="58"/>
        <v>3717</v>
      </c>
      <c r="B3718" s="845" t="s">
        <v>2556</v>
      </c>
      <c r="D3718" s="862"/>
      <c r="H3718" s="845" t="s">
        <v>1007</v>
      </c>
    </row>
    <row r="3719" spans="1:10" x14ac:dyDescent="0.2">
      <c r="A3719" s="859">
        <f t="shared" si="58"/>
        <v>3718</v>
      </c>
      <c r="B3719" s="845" t="s">
        <v>2556</v>
      </c>
      <c r="D3719" s="861"/>
      <c r="I3719" s="845" t="s">
        <v>1008</v>
      </c>
    </row>
    <row r="3720" spans="1:10" x14ac:dyDescent="0.2">
      <c r="A3720" s="859">
        <f t="shared" si="58"/>
        <v>3719</v>
      </c>
      <c r="B3720" s="845" t="s">
        <v>2556</v>
      </c>
      <c r="D3720" s="861"/>
      <c r="J3720" s="845" t="s">
        <v>1593</v>
      </c>
    </row>
    <row r="3721" spans="1:10" x14ac:dyDescent="0.2">
      <c r="A3721" s="859">
        <f t="shared" si="58"/>
        <v>3720</v>
      </c>
      <c r="B3721" s="845" t="s">
        <v>2556</v>
      </c>
      <c r="D3721" s="862"/>
      <c r="I3721" s="845" t="s">
        <v>1009</v>
      </c>
    </row>
    <row r="3722" spans="1:10" x14ac:dyDescent="0.2">
      <c r="A3722" s="859">
        <f t="shared" si="58"/>
        <v>3721</v>
      </c>
      <c r="B3722" s="845" t="s">
        <v>2556</v>
      </c>
      <c r="D3722" s="863"/>
      <c r="I3722" s="845" t="str">
        <f>CONCATENATE("&lt;valeur&gt;",Cellule_1051,"&lt;/valeur&gt;")</f>
        <v>&lt;valeur&gt;0&lt;/valeur&gt;</v>
      </c>
    </row>
    <row r="3723" spans="1:10" x14ac:dyDescent="0.2">
      <c r="A3723" s="859">
        <f t="shared" si="58"/>
        <v>3722</v>
      </c>
      <c r="B3723" s="845" t="s">
        <v>2556</v>
      </c>
      <c r="D3723" s="862"/>
      <c r="H3723" s="845" t="s">
        <v>1010</v>
      </c>
    </row>
    <row r="3724" spans="1:10" x14ac:dyDescent="0.2">
      <c r="A3724" s="859">
        <f t="shared" si="58"/>
        <v>3723</v>
      </c>
      <c r="B3724" s="845" t="s">
        <v>2556</v>
      </c>
      <c r="D3724" s="862"/>
      <c r="H3724" s="845" t="s">
        <v>1007</v>
      </c>
    </row>
    <row r="3725" spans="1:10" x14ac:dyDescent="0.2">
      <c r="A3725" s="859">
        <f t="shared" si="58"/>
        <v>3724</v>
      </c>
      <c r="B3725" s="845" t="s">
        <v>2556</v>
      </c>
      <c r="D3725" s="861"/>
      <c r="I3725" s="845" t="s">
        <v>1008</v>
      </c>
    </row>
    <row r="3726" spans="1:10" x14ac:dyDescent="0.2">
      <c r="A3726" s="859">
        <f t="shared" si="58"/>
        <v>3725</v>
      </c>
      <c r="B3726" s="845" t="s">
        <v>2556</v>
      </c>
      <c r="D3726" s="861"/>
      <c r="J3726" s="845" t="s">
        <v>1594</v>
      </c>
    </row>
    <row r="3727" spans="1:10" x14ac:dyDescent="0.2">
      <c r="A3727" s="859">
        <f t="shared" si="58"/>
        <v>3726</v>
      </c>
      <c r="B3727" s="845" t="s">
        <v>2556</v>
      </c>
      <c r="D3727" s="862"/>
      <c r="I3727" s="845" t="s">
        <v>1009</v>
      </c>
    </row>
    <row r="3728" spans="1:10" x14ac:dyDescent="0.2">
      <c r="A3728" s="859">
        <f t="shared" si="58"/>
        <v>3727</v>
      </c>
      <c r="B3728" s="845" t="s">
        <v>2556</v>
      </c>
      <c r="D3728" s="863"/>
      <c r="I3728" s="845" t="str">
        <f>CONCATENATE("&lt;valeur&gt;",Cellule_1052,"&lt;/valeur&gt;")</f>
        <v>&lt;valeur&gt;0&lt;/valeur&gt;</v>
      </c>
    </row>
    <row r="3729" spans="1:10" x14ac:dyDescent="0.2">
      <c r="A3729" s="859">
        <f t="shared" si="58"/>
        <v>3728</v>
      </c>
      <c r="B3729" s="845" t="s">
        <v>2556</v>
      </c>
      <c r="D3729" s="862"/>
      <c r="H3729" s="845" t="s">
        <v>1010</v>
      </c>
    </row>
    <row r="3730" spans="1:10" x14ac:dyDescent="0.2">
      <c r="A3730" s="859">
        <f t="shared" si="58"/>
        <v>3729</v>
      </c>
      <c r="B3730" s="845" t="s">
        <v>2556</v>
      </c>
      <c r="D3730" s="862"/>
      <c r="H3730" s="845" t="s">
        <v>1007</v>
      </c>
    </row>
    <row r="3731" spans="1:10" x14ac:dyDescent="0.2">
      <c r="A3731" s="859">
        <f t="shared" si="58"/>
        <v>3730</v>
      </c>
      <c r="B3731" s="845" t="s">
        <v>2556</v>
      </c>
      <c r="D3731" s="861"/>
      <c r="I3731" s="845" t="s">
        <v>1008</v>
      </c>
    </row>
    <row r="3732" spans="1:10" x14ac:dyDescent="0.2">
      <c r="A3732" s="859">
        <f t="shared" si="58"/>
        <v>3731</v>
      </c>
      <c r="B3732" s="845" t="s">
        <v>2556</v>
      </c>
      <c r="D3732" s="861"/>
      <c r="J3732" s="845" t="s">
        <v>1595</v>
      </c>
    </row>
    <row r="3733" spans="1:10" x14ac:dyDescent="0.2">
      <c r="A3733" s="859">
        <f t="shared" si="58"/>
        <v>3732</v>
      </c>
      <c r="B3733" s="845" t="s">
        <v>2556</v>
      </c>
      <c r="D3733" s="862"/>
      <c r="I3733" s="845" t="s">
        <v>1009</v>
      </c>
    </row>
    <row r="3734" spans="1:10" x14ac:dyDescent="0.2">
      <c r="A3734" s="859">
        <f t="shared" si="58"/>
        <v>3733</v>
      </c>
      <c r="B3734" s="845" t="s">
        <v>2556</v>
      </c>
      <c r="D3734" s="863"/>
      <c r="I3734" s="845" t="str">
        <f>CONCATENATE("&lt;valeur&gt;",Cellule_10070,"&lt;/valeur&gt;")</f>
        <v>&lt;valeur&gt;0&lt;/valeur&gt;</v>
      </c>
    </row>
    <row r="3735" spans="1:10" x14ac:dyDescent="0.2">
      <c r="A3735" s="859">
        <f t="shared" si="58"/>
        <v>3734</v>
      </c>
      <c r="B3735" s="845" t="s">
        <v>2556</v>
      </c>
      <c r="D3735" s="862"/>
      <c r="H3735" s="845" t="s">
        <v>1010</v>
      </c>
    </row>
    <row r="3736" spans="1:10" x14ac:dyDescent="0.2">
      <c r="A3736" s="859">
        <f t="shared" si="58"/>
        <v>3735</v>
      </c>
      <c r="B3736" s="845" t="s">
        <v>2556</v>
      </c>
      <c r="D3736" s="862"/>
      <c r="H3736" s="845" t="s">
        <v>1007</v>
      </c>
    </row>
    <row r="3737" spans="1:10" x14ac:dyDescent="0.2">
      <c r="A3737" s="859">
        <f t="shared" si="58"/>
        <v>3736</v>
      </c>
      <c r="B3737" s="845" t="s">
        <v>2556</v>
      </c>
      <c r="D3737" s="861"/>
      <c r="I3737" s="845" t="s">
        <v>1008</v>
      </c>
    </row>
    <row r="3738" spans="1:10" x14ac:dyDescent="0.2">
      <c r="A3738" s="859">
        <f t="shared" si="58"/>
        <v>3737</v>
      </c>
      <c r="B3738" s="845" t="s">
        <v>2556</v>
      </c>
      <c r="D3738" s="861"/>
      <c r="J3738" s="845" t="s">
        <v>1596</v>
      </c>
    </row>
    <row r="3739" spans="1:10" x14ac:dyDescent="0.2">
      <c r="A3739" s="859">
        <f t="shared" si="58"/>
        <v>3738</v>
      </c>
      <c r="B3739" s="845" t="s">
        <v>2556</v>
      </c>
      <c r="D3739" s="862"/>
      <c r="I3739" s="845" t="s">
        <v>1009</v>
      </c>
    </row>
    <row r="3740" spans="1:10" x14ac:dyDescent="0.2">
      <c r="A3740" s="859">
        <f t="shared" si="58"/>
        <v>3739</v>
      </c>
      <c r="B3740" s="845" t="s">
        <v>2556</v>
      </c>
      <c r="D3740" s="863"/>
      <c r="I3740" s="845" t="str">
        <f>CONCATENATE("&lt;valeur&gt;",Cellule_1064,"&lt;/valeur&gt;")</f>
        <v>&lt;valeur&gt;0&lt;/valeur&gt;</v>
      </c>
    </row>
    <row r="3741" spans="1:10" x14ac:dyDescent="0.2">
      <c r="A3741" s="859">
        <f t="shared" si="58"/>
        <v>3740</v>
      </c>
      <c r="B3741" s="845" t="s">
        <v>2556</v>
      </c>
      <c r="D3741" s="862"/>
      <c r="H3741" s="845" t="s">
        <v>1010</v>
      </c>
    </row>
    <row r="3742" spans="1:10" x14ac:dyDescent="0.2">
      <c r="A3742" s="859">
        <f t="shared" si="58"/>
        <v>3741</v>
      </c>
      <c r="B3742" s="845" t="s">
        <v>2556</v>
      </c>
      <c r="D3742" s="862"/>
      <c r="H3742" s="845" t="s">
        <v>1007</v>
      </c>
    </row>
    <row r="3743" spans="1:10" x14ac:dyDescent="0.2">
      <c r="A3743" s="859">
        <f t="shared" si="58"/>
        <v>3742</v>
      </c>
      <c r="B3743" s="845" t="s">
        <v>2556</v>
      </c>
      <c r="D3743" s="861"/>
      <c r="I3743" s="845" t="s">
        <v>1008</v>
      </c>
    </row>
    <row r="3744" spans="1:10" x14ac:dyDescent="0.2">
      <c r="A3744" s="859">
        <f t="shared" si="58"/>
        <v>3743</v>
      </c>
      <c r="B3744" s="845" t="s">
        <v>2556</v>
      </c>
      <c r="D3744" s="861"/>
      <c r="J3744" s="845" t="s">
        <v>1597</v>
      </c>
    </row>
    <row r="3745" spans="1:11" x14ac:dyDescent="0.2">
      <c r="A3745" s="859">
        <f t="shared" si="58"/>
        <v>3744</v>
      </c>
      <c r="B3745" s="845" t="s">
        <v>2556</v>
      </c>
      <c r="D3745" s="862"/>
      <c r="I3745" s="845" t="s">
        <v>1009</v>
      </c>
    </row>
    <row r="3746" spans="1:11" x14ac:dyDescent="0.2">
      <c r="A3746" s="859">
        <f t="shared" si="58"/>
        <v>3745</v>
      </c>
      <c r="B3746" s="845" t="s">
        <v>2556</v>
      </c>
      <c r="D3746" s="863"/>
      <c r="I3746" s="845" t="str">
        <f>CONCATENATE("&lt;valeur&gt;",Cellule_1065,"&lt;/valeur&gt;")</f>
        <v>&lt;valeur&gt;0&lt;/valeur&gt;</v>
      </c>
    </row>
    <row r="3747" spans="1:11" x14ac:dyDescent="0.2">
      <c r="A3747" s="859">
        <f t="shared" si="58"/>
        <v>3746</v>
      </c>
      <c r="B3747" s="845" t="s">
        <v>2556</v>
      </c>
      <c r="D3747" s="862"/>
      <c r="H3747" s="845" t="s">
        <v>1010</v>
      </c>
    </row>
    <row r="3748" spans="1:11" x14ac:dyDescent="0.2">
      <c r="A3748" s="859">
        <f t="shared" si="58"/>
        <v>3747</v>
      </c>
      <c r="B3748" s="845" t="s">
        <v>2556</v>
      </c>
      <c r="D3748" s="862"/>
      <c r="H3748" s="845" t="s">
        <v>1007</v>
      </c>
    </row>
    <row r="3749" spans="1:11" x14ac:dyDescent="0.2">
      <c r="A3749" s="859">
        <f t="shared" si="58"/>
        <v>3748</v>
      </c>
      <c r="B3749" s="845" t="s">
        <v>2556</v>
      </c>
      <c r="D3749" s="861"/>
      <c r="I3749" s="845" t="s">
        <v>1008</v>
      </c>
    </row>
    <row r="3750" spans="1:11" x14ac:dyDescent="0.2">
      <c r="A3750" s="859">
        <f t="shared" si="58"/>
        <v>3749</v>
      </c>
      <c r="B3750" s="845" t="s">
        <v>2556</v>
      </c>
      <c r="D3750" s="861"/>
      <c r="J3750" s="845" t="s">
        <v>1598</v>
      </c>
    </row>
    <row r="3751" spans="1:11" x14ac:dyDescent="0.2">
      <c r="A3751" s="859">
        <f t="shared" si="58"/>
        <v>3750</v>
      </c>
      <c r="B3751" s="845" t="s">
        <v>2556</v>
      </c>
      <c r="D3751" s="862"/>
      <c r="I3751" s="845" t="s">
        <v>1009</v>
      </c>
    </row>
    <row r="3752" spans="1:11" x14ac:dyDescent="0.2">
      <c r="A3752" s="859">
        <f t="shared" si="58"/>
        <v>3751</v>
      </c>
      <c r="B3752" s="845" t="s">
        <v>2556</v>
      </c>
      <c r="D3752" s="863"/>
      <c r="I3752" s="845" t="str">
        <f>CONCATENATE("&lt;valeur&gt;",Cellule_1066,"&lt;/valeur&gt;")</f>
        <v>&lt;valeur&gt;0&lt;/valeur&gt;</v>
      </c>
    </row>
    <row r="3753" spans="1:11" x14ac:dyDescent="0.2">
      <c r="A3753" s="859">
        <f t="shared" si="58"/>
        <v>3752</v>
      </c>
      <c r="B3753" s="845" t="s">
        <v>2556</v>
      </c>
      <c r="D3753" s="862"/>
      <c r="H3753" s="845" t="s">
        <v>1010</v>
      </c>
    </row>
    <row r="3754" spans="1:11" x14ac:dyDescent="0.2">
      <c r="A3754" s="859">
        <f t="shared" si="58"/>
        <v>3753</v>
      </c>
      <c r="B3754" s="845" t="s">
        <v>2556</v>
      </c>
      <c r="D3754" s="862"/>
      <c r="H3754" s="845" t="s">
        <v>1007</v>
      </c>
      <c r="K3754" s="923"/>
    </row>
    <row r="3755" spans="1:11" x14ac:dyDescent="0.2">
      <c r="A3755" s="859">
        <f t="shared" si="58"/>
        <v>3754</v>
      </c>
      <c r="B3755" s="845" t="s">
        <v>2556</v>
      </c>
      <c r="D3755" s="861"/>
      <c r="I3755" s="845" t="s">
        <v>1008</v>
      </c>
    </row>
    <row r="3756" spans="1:11" x14ac:dyDescent="0.2">
      <c r="A3756" s="859">
        <f t="shared" si="58"/>
        <v>3755</v>
      </c>
      <c r="B3756" s="845" t="s">
        <v>2556</v>
      </c>
      <c r="D3756" s="861"/>
      <c r="J3756" s="845" t="s">
        <v>1599</v>
      </c>
      <c r="K3756" s="923"/>
    </row>
    <row r="3757" spans="1:11" x14ac:dyDescent="0.2">
      <c r="A3757" s="859">
        <f t="shared" si="58"/>
        <v>3756</v>
      </c>
      <c r="B3757" s="845" t="s">
        <v>2556</v>
      </c>
      <c r="D3757" s="862"/>
      <c r="I3757" s="845" t="s">
        <v>1009</v>
      </c>
    </row>
    <row r="3758" spans="1:11" x14ac:dyDescent="0.2">
      <c r="A3758" s="859">
        <f t="shared" si="58"/>
        <v>3757</v>
      </c>
      <c r="B3758" s="845" t="s">
        <v>2556</v>
      </c>
      <c r="D3758" s="863"/>
      <c r="I3758" s="845" t="str">
        <f>CONCATENATE("&lt;valeur&gt;",Cellule_10071,"&lt;/valeur&gt;")</f>
        <v>&lt;valeur&gt;0&lt;/valeur&gt;</v>
      </c>
      <c r="K3758" s="923"/>
    </row>
    <row r="3759" spans="1:11" x14ac:dyDescent="0.2">
      <c r="A3759" s="859">
        <f t="shared" si="58"/>
        <v>3758</v>
      </c>
      <c r="B3759" s="845" t="s">
        <v>2556</v>
      </c>
      <c r="D3759" s="862"/>
      <c r="H3759" s="845" t="s">
        <v>1010</v>
      </c>
    </row>
    <row r="3760" spans="1:11" x14ac:dyDescent="0.2">
      <c r="A3760" s="859">
        <f t="shared" si="58"/>
        <v>3759</v>
      </c>
      <c r="B3760" s="845" t="s">
        <v>2556</v>
      </c>
      <c r="D3760" s="862"/>
      <c r="H3760" s="845" t="s">
        <v>1007</v>
      </c>
      <c r="K3760" s="923"/>
    </row>
    <row r="3761" spans="1:11" x14ac:dyDescent="0.2">
      <c r="A3761" s="859">
        <f t="shared" si="58"/>
        <v>3760</v>
      </c>
      <c r="B3761" s="845" t="s">
        <v>2556</v>
      </c>
      <c r="D3761" s="861"/>
      <c r="I3761" s="845" t="s">
        <v>1600</v>
      </c>
    </row>
    <row r="3762" spans="1:11" x14ac:dyDescent="0.2">
      <c r="A3762" s="859">
        <f t="shared" si="58"/>
        <v>3761</v>
      </c>
      <c r="B3762" s="845" t="s">
        <v>2556</v>
      </c>
      <c r="D3762" s="861"/>
      <c r="I3762" s="845" t="str">
        <f>CONCATENATE("&lt;valeur&gt;",Cellule_13506,"&lt;/valeur&gt;")</f>
        <v>&lt;valeur&gt;0&lt;/valeur&gt;</v>
      </c>
      <c r="K3762" s="923"/>
    </row>
    <row r="3763" spans="1:11" x14ac:dyDescent="0.2">
      <c r="A3763" s="859">
        <f t="shared" si="58"/>
        <v>3762</v>
      </c>
      <c r="B3763" s="845" t="s">
        <v>2556</v>
      </c>
      <c r="D3763" s="862"/>
      <c r="I3763" s="845" t="s">
        <v>1249</v>
      </c>
    </row>
    <row r="3764" spans="1:11" x14ac:dyDescent="0.2">
      <c r="A3764" s="859">
        <f t="shared" si="58"/>
        <v>3763</v>
      </c>
      <c r="B3764" s="845" t="s">
        <v>2556</v>
      </c>
      <c r="D3764" s="863"/>
      <c r="H3764" s="845" t="s">
        <v>1010</v>
      </c>
      <c r="K3764" s="923"/>
    </row>
    <row r="3765" spans="1:11" x14ac:dyDescent="0.2">
      <c r="A3765" s="859">
        <f t="shared" si="58"/>
        <v>3764</v>
      </c>
      <c r="B3765" s="845" t="s">
        <v>2556</v>
      </c>
      <c r="D3765" s="862"/>
      <c r="H3765" s="845" t="s">
        <v>1007</v>
      </c>
    </row>
    <row r="3766" spans="1:11" x14ac:dyDescent="0.2">
      <c r="A3766" s="859">
        <f t="shared" si="58"/>
        <v>3765</v>
      </c>
      <c r="B3766" s="845" t="s">
        <v>2556</v>
      </c>
      <c r="D3766" s="862"/>
      <c r="I3766" s="845" t="s">
        <v>1601</v>
      </c>
      <c r="K3766" s="923"/>
    </row>
    <row r="3767" spans="1:11" x14ac:dyDescent="0.2">
      <c r="A3767" s="859">
        <f t="shared" si="58"/>
        <v>3766</v>
      </c>
      <c r="B3767" s="845" t="s">
        <v>2556</v>
      </c>
      <c r="D3767" s="861"/>
      <c r="I3767" s="845" t="str">
        <f>CONCATENATE("&lt;valeur&gt;",Cellule_13506,"&lt;/valeur&gt;")</f>
        <v>&lt;valeur&gt;0&lt;/valeur&gt;</v>
      </c>
    </row>
    <row r="3768" spans="1:11" x14ac:dyDescent="0.2">
      <c r="A3768" s="859">
        <f t="shared" si="58"/>
        <v>3767</v>
      </c>
      <c r="B3768" s="845" t="s">
        <v>2556</v>
      </c>
      <c r="D3768" s="861"/>
      <c r="I3768" s="845" t="s">
        <v>1249</v>
      </c>
    </row>
    <row r="3769" spans="1:11" x14ac:dyDescent="0.2">
      <c r="A3769" s="859">
        <f t="shared" si="58"/>
        <v>3768</v>
      </c>
      <c r="B3769" s="845" t="s">
        <v>2556</v>
      </c>
      <c r="D3769" s="862"/>
      <c r="H3769" s="845" t="s">
        <v>1010</v>
      </c>
    </row>
    <row r="3770" spans="1:11" x14ac:dyDescent="0.2">
      <c r="A3770" s="859">
        <f t="shared" si="58"/>
        <v>3769</v>
      </c>
      <c r="B3770" s="845" t="s">
        <v>2556</v>
      </c>
      <c r="D3770" s="863"/>
      <c r="H3770" s="845" t="s">
        <v>1007</v>
      </c>
    </row>
    <row r="3771" spans="1:11" x14ac:dyDescent="0.2">
      <c r="A3771" s="859">
        <f t="shared" si="58"/>
        <v>3770</v>
      </c>
      <c r="B3771" s="845" t="s">
        <v>2556</v>
      </c>
      <c r="D3771" s="862"/>
      <c r="I3771" s="845" t="s">
        <v>1602</v>
      </c>
    </row>
    <row r="3772" spans="1:11" x14ac:dyDescent="0.2">
      <c r="A3772" s="859">
        <f t="shared" si="58"/>
        <v>3771</v>
      </c>
      <c r="B3772" s="845" t="s">
        <v>2556</v>
      </c>
      <c r="D3772" s="862"/>
      <c r="I3772" s="845" t="str">
        <f>CONCATENATE("&lt;valeur&gt;",Cellule_13508,"&lt;/valeur&gt;")</f>
        <v>&lt;valeur&gt;0&lt;/valeur&gt;</v>
      </c>
    </row>
    <row r="3773" spans="1:11" x14ac:dyDescent="0.2">
      <c r="A3773" s="859">
        <f t="shared" si="58"/>
        <v>3772</v>
      </c>
      <c r="B3773" s="845" t="s">
        <v>2556</v>
      </c>
      <c r="D3773" s="861"/>
      <c r="I3773" s="845" t="s">
        <v>1249</v>
      </c>
    </row>
    <row r="3774" spans="1:11" x14ac:dyDescent="0.2">
      <c r="A3774" s="859">
        <f t="shared" si="58"/>
        <v>3773</v>
      </c>
      <c r="B3774" s="845" t="s">
        <v>2556</v>
      </c>
      <c r="D3774" s="861"/>
      <c r="H3774" s="845" t="s">
        <v>1010</v>
      </c>
    </row>
    <row r="3775" spans="1:11" x14ac:dyDescent="0.2">
      <c r="A3775" s="859">
        <f t="shared" si="58"/>
        <v>3774</v>
      </c>
      <c r="B3775" s="845" t="s">
        <v>2556</v>
      </c>
      <c r="D3775" s="862"/>
      <c r="H3775" s="845" t="s">
        <v>1007</v>
      </c>
    </row>
    <row r="3776" spans="1:11" x14ac:dyDescent="0.2">
      <c r="A3776" s="859">
        <f t="shared" si="58"/>
        <v>3775</v>
      </c>
      <c r="B3776" s="845" t="s">
        <v>2556</v>
      </c>
      <c r="D3776" s="863"/>
      <c r="I3776" s="845" t="s">
        <v>1603</v>
      </c>
    </row>
    <row r="3777" spans="1:9" x14ac:dyDescent="0.2">
      <c r="A3777" s="859">
        <f t="shared" si="58"/>
        <v>3776</v>
      </c>
      <c r="B3777" s="845" t="s">
        <v>2556</v>
      </c>
      <c r="D3777" s="862"/>
      <c r="I3777" s="845" t="str">
        <f>CONCATENATE("&lt;valeur&gt;",Cellule_13509,"&lt;/valeur&gt;")</f>
        <v>&lt;valeur&gt;0&lt;/valeur&gt;</v>
      </c>
    </row>
    <row r="3778" spans="1:9" x14ac:dyDescent="0.2">
      <c r="A3778" s="859">
        <f t="shared" si="58"/>
        <v>3777</v>
      </c>
      <c r="B3778" s="845" t="s">
        <v>2556</v>
      </c>
      <c r="D3778" s="862"/>
      <c r="I3778" s="845" t="s">
        <v>1249</v>
      </c>
    </row>
    <row r="3779" spans="1:9" x14ac:dyDescent="0.2">
      <c r="A3779" s="859">
        <f t="shared" si="58"/>
        <v>3778</v>
      </c>
      <c r="B3779" s="845" t="s">
        <v>2556</v>
      </c>
      <c r="D3779" s="861"/>
      <c r="H3779" s="845" t="s">
        <v>1010</v>
      </c>
    </row>
    <row r="3780" spans="1:9" x14ac:dyDescent="0.2">
      <c r="A3780" s="859">
        <f t="shared" ref="A3780:A3843" si="59">+A3779+1</f>
        <v>3779</v>
      </c>
      <c r="B3780" s="845" t="s">
        <v>2556</v>
      </c>
      <c r="D3780" s="861"/>
      <c r="H3780" s="845" t="s">
        <v>1007</v>
      </c>
    </row>
    <row r="3781" spans="1:9" x14ac:dyDescent="0.2">
      <c r="A3781" s="859">
        <f t="shared" si="59"/>
        <v>3780</v>
      </c>
      <c r="B3781" s="845" t="s">
        <v>2556</v>
      </c>
      <c r="D3781" s="862"/>
      <c r="I3781" s="845" t="s">
        <v>1604</v>
      </c>
    </row>
    <row r="3782" spans="1:9" x14ac:dyDescent="0.2">
      <c r="A3782" s="859">
        <f t="shared" si="59"/>
        <v>3781</v>
      </c>
      <c r="B3782" s="845" t="s">
        <v>2556</v>
      </c>
      <c r="D3782" s="863"/>
      <c r="I3782" s="845" t="str">
        <f>CONCATENATE("&lt;valeur&gt;",Cellule_13510,"&lt;/valeur&gt;")</f>
        <v>&lt;valeur&gt;0&lt;/valeur&gt;</v>
      </c>
    </row>
    <row r="3783" spans="1:9" x14ac:dyDescent="0.2">
      <c r="A3783" s="859">
        <f t="shared" si="59"/>
        <v>3782</v>
      </c>
      <c r="B3783" s="845" t="s">
        <v>2556</v>
      </c>
      <c r="D3783" s="862"/>
      <c r="I3783" s="845" t="s">
        <v>1249</v>
      </c>
    </row>
    <row r="3784" spans="1:9" x14ac:dyDescent="0.2">
      <c r="A3784" s="859">
        <f t="shared" si="59"/>
        <v>3783</v>
      </c>
      <c r="B3784" s="845" t="s">
        <v>2556</v>
      </c>
      <c r="D3784" s="862"/>
      <c r="H3784" s="845" t="s">
        <v>1010</v>
      </c>
    </row>
    <row r="3785" spans="1:9" x14ac:dyDescent="0.2">
      <c r="A3785" s="859">
        <f t="shared" si="59"/>
        <v>3784</v>
      </c>
      <c r="B3785" s="845" t="s">
        <v>2556</v>
      </c>
      <c r="D3785" s="861"/>
      <c r="H3785" s="845" t="s">
        <v>1007</v>
      </c>
    </row>
    <row r="3786" spans="1:9" x14ac:dyDescent="0.2">
      <c r="A3786" s="859">
        <f t="shared" si="59"/>
        <v>3785</v>
      </c>
      <c r="B3786" s="845" t="s">
        <v>2556</v>
      </c>
      <c r="D3786" s="861"/>
      <c r="I3786" s="845" t="s">
        <v>1605</v>
      </c>
    </row>
    <row r="3787" spans="1:9" x14ac:dyDescent="0.2">
      <c r="A3787" s="859">
        <f t="shared" si="59"/>
        <v>3786</v>
      </c>
      <c r="B3787" s="845" t="s">
        <v>2556</v>
      </c>
      <c r="D3787" s="862"/>
      <c r="I3787" s="845" t="str">
        <f>CONCATENATE("&lt;valeur&gt;",Cellule_13511,"&lt;/valeur&gt;")</f>
        <v>&lt;valeur&gt;0&lt;/valeur&gt;</v>
      </c>
    </row>
    <row r="3788" spans="1:9" x14ac:dyDescent="0.2">
      <c r="A3788" s="859">
        <f t="shared" si="59"/>
        <v>3787</v>
      </c>
      <c r="B3788" s="845" t="s">
        <v>2556</v>
      </c>
      <c r="D3788" s="863"/>
      <c r="I3788" s="845" t="s">
        <v>1249</v>
      </c>
    </row>
    <row r="3789" spans="1:9" x14ac:dyDescent="0.2">
      <c r="A3789" s="859">
        <f t="shared" si="59"/>
        <v>3788</v>
      </c>
      <c r="B3789" s="845" t="s">
        <v>2556</v>
      </c>
      <c r="D3789" s="862"/>
      <c r="H3789" s="845" t="s">
        <v>1010</v>
      </c>
    </row>
    <row r="3790" spans="1:9" x14ac:dyDescent="0.2">
      <c r="A3790" s="859">
        <f t="shared" si="59"/>
        <v>3789</v>
      </c>
      <c r="B3790" s="845" t="s">
        <v>2556</v>
      </c>
      <c r="D3790" s="862"/>
      <c r="H3790" s="845" t="s">
        <v>1007</v>
      </c>
    </row>
    <row r="3791" spans="1:9" x14ac:dyDescent="0.2">
      <c r="A3791" s="859">
        <f t="shared" si="59"/>
        <v>3790</v>
      </c>
      <c r="B3791" s="845" t="s">
        <v>2556</v>
      </c>
      <c r="D3791" s="861"/>
      <c r="I3791" s="845" t="s">
        <v>1606</v>
      </c>
    </row>
    <row r="3792" spans="1:9" x14ac:dyDescent="0.2">
      <c r="A3792" s="859">
        <f t="shared" si="59"/>
        <v>3791</v>
      </c>
      <c r="B3792" s="845" t="s">
        <v>2556</v>
      </c>
      <c r="D3792" s="861"/>
      <c r="I3792" s="845" t="str">
        <f>CONCATENATE("&lt;valeur&gt;",Cellule_13512,"&lt;/valeur&gt;")</f>
        <v>&lt;valeur&gt;0&lt;/valeur&gt;</v>
      </c>
    </row>
    <row r="3793" spans="1:10" x14ac:dyDescent="0.2">
      <c r="A3793" s="859">
        <f t="shared" si="59"/>
        <v>3792</v>
      </c>
      <c r="B3793" s="845" t="s">
        <v>2556</v>
      </c>
      <c r="D3793" s="862"/>
      <c r="I3793" s="845" t="s">
        <v>1249</v>
      </c>
    </row>
    <row r="3794" spans="1:10" x14ac:dyDescent="0.2">
      <c r="A3794" s="859">
        <f t="shared" si="59"/>
        <v>3793</v>
      </c>
      <c r="B3794" s="845" t="s">
        <v>2556</v>
      </c>
      <c r="D3794" s="863"/>
      <c r="H3794" s="845" t="s">
        <v>1010</v>
      </c>
    </row>
    <row r="3795" spans="1:10" x14ac:dyDescent="0.2">
      <c r="A3795" s="859">
        <f t="shared" si="59"/>
        <v>3794</v>
      </c>
      <c r="B3795" s="845" t="s">
        <v>2556</v>
      </c>
      <c r="D3795" s="862"/>
      <c r="H3795" s="845" t="s">
        <v>1007</v>
      </c>
    </row>
    <row r="3796" spans="1:10" x14ac:dyDescent="0.2">
      <c r="A3796" s="859">
        <f t="shared" si="59"/>
        <v>3795</v>
      </c>
      <c r="B3796" s="845" t="s">
        <v>2556</v>
      </c>
      <c r="D3796" s="862"/>
      <c r="I3796" s="845" t="s">
        <v>1607</v>
      </c>
    </row>
    <row r="3797" spans="1:10" x14ac:dyDescent="0.2">
      <c r="A3797" s="859">
        <f t="shared" si="59"/>
        <v>3796</v>
      </c>
      <c r="B3797" s="845" t="s">
        <v>2556</v>
      </c>
      <c r="D3797" s="862"/>
      <c r="I3797" s="845" t="str">
        <f>CONCATENATE("&lt;valeur&gt;",Cellule_13513,"&lt;/valeur&gt;")</f>
        <v>&lt;valeur&gt;0&lt;/valeur&gt;</v>
      </c>
    </row>
    <row r="3798" spans="1:10" x14ac:dyDescent="0.2">
      <c r="A3798" s="859">
        <f t="shared" si="59"/>
        <v>3797</v>
      </c>
      <c r="B3798" s="845" t="s">
        <v>2556</v>
      </c>
      <c r="D3798" s="861"/>
      <c r="I3798" s="845" t="s">
        <v>1249</v>
      </c>
    </row>
    <row r="3799" spans="1:10" x14ac:dyDescent="0.2">
      <c r="A3799" s="859">
        <f t="shared" si="59"/>
        <v>3798</v>
      </c>
      <c r="B3799" s="845" t="s">
        <v>2556</v>
      </c>
      <c r="D3799" s="861"/>
      <c r="H3799" s="845" t="s">
        <v>1010</v>
      </c>
    </row>
    <row r="3800" spans="1:10" x14ac:dyDescent="0.2">
      <c r="A3800" s="859">
        <f t="shared" si="59"/>
        <v>3799</v>
      </c>
      <c r="B3800" s="845" t="s">
        <v>2556</v>
      </c>
      <c r="D3800" s="862"/>
      <c r="H3800" s="845" t="s">
        <v>1007</v>
      </c>
    </row>
    <row r="3801" spans="1:10" x14ac:dyDescent="0.2">
      <c r="A3801" s="859">
        <f t="shared" si="59"/>
        <v>3800</v>
      </c>
      <c r="B3801" s="845" t="s">
        <v>2556</v>
      </c>
      <c r="D3801" s="863"/>
      <c r="I3801" s="845" t="s">
        <v>1008</v>
      </c>
    </row>
    <row r="3802" spans="1:10" x14ac:dyDescent="0.2">
      <c r="A3802" s="859">
        <f t="shared" si="59"/>
        <v>3801</v>
      </c>
      <c r="B3802" s="845" t="s">
        <v>2556</v>
      </c>
      <c r="D3802" s="862"/>
      <c r="J3802" s="845" t="s">
        <v>1608</v>
      </c>
    </row>
    <row r="3803" spans="1:10" x14ac:dyDescent="0.2">
      <c r="A3803" s="859">
        <f t="shared" si="59"/>
        <v>3802</v>
      </c>
      <c r="B3803" s="845" t="s">
        <v>2556</v>
      </c>
      <c r="D3803" s="862"/>
      <c r="I3803" s="845" t="s">
        <v>1009</v>
      </c>
    </row>
    <row r="3804" spans="1:10" x14ac:dyDescent="0.2">
      <c r="A3804" s="859">
        <f t="shared" si="59"/>
        <v>3803</v>
      </c>
      <c r="B3804" s="845" t="s">
        <v>2556</v>
      </c>
      <c r="D3804" s="862"/>
      <c r="I3804" s="845" t="str">
        <f>CONCATENATE("&lt;valeur&gt;",Cellule_969,"&lt;/valeur&gt;")</f>
        <v>&lt;valeur&gt;0&lt;/valeur&gt;</v>
      </c>
    </row>
    <row r="3805" spans="1:10" x14ac:dyDescent="0.2">
      <c r="A3805" s="859">
        <f t="shared" si="59"/>
        <v>3804</v>
      </c>
      <c r="B3805" s="845" t="s">
        <v>2556</v>
      </c>
      <c r="D3805" s="861"/>
      <c r="H3805" s="845" t="s">
        <v>1010</v>
      </c>
    </row>
    <row r="3806" spans="1:10" x14ac:dyDescent="0.2">
      <c r="A3806" s="859">
        <f t="shared" si="59"/>
        <v>3805</v>
      </c>
      <c r="B3806" s="845" t="s">
        <v>2556</v>
      </c>
      <c r="D3806" s="861"/>
      <c r="H3806" s="845" t="s">
        <v>1007</v>
      </c>
    </row>
    <row r="3807" spans="1:10" x14ac:dyDescent="0.2">
      <c r="A3807" s="859">
        <f t="shared" si="59"/>
        <v>3806</v>
      </c>
      <c r="B3807" s="845" t="s">
        <v>2556</v>
      </c>
      <c r="D3807" s="862"/>
      <c r="I3807" s="845" t="s">
        <v>1008</v>
      </c>
    </row>
    <row r="3808" spans="1:10" x14ac:dyDescent="0.2">
      <c r="A3808" s="859">
        <f t="shared" si="59"/>
        <v>3807</v>
      </c>
      <c r="B3808" s="845" t="s">
        <v>2556</v>
      </c>
      <c r="D3808" s="863"/>
      <c r="J3808" s="845" t="s">
        <v>1609</v>
      </c>
    </row>
    <row r="3809" spans="1:10" x14ac:dyDescent="0.2">
      <c r="A3809" s="859">
        <f t="shared" si="59"/>
        <v>3808</v>
      </c>
      <c r="B3809" s="845" t="s">
        <v>2556</v>
      </c>
      <c r="D3809" s="862"/>
      <c r="I3809" s="845" t="s">
        <v>1009</v>
      </c>
    </row>
    <row r="3810" spans="1:10" x14ac:dyDescent="0.2">
      <c r="A3810" s="859">
        <f t="shared" si="59"/>
        <v>3809</v>
      </c>
      <c r="B3810" s="845" t="s">
        <v>2556</v>
      </c>
      <c r="D3810" s="862"/>
      <c r="I3810" s="845" t="str">
        <f>CONCATENATE("&lt;valeur&gt;",Cellule_970,"&lt;/valeur&gt;")</f>
        <v>&lt;valeur&gt;0&lt;/valeur&gt;</v>
      </c>
    </row>
    <row r="3811" spans="1:10" x14ac:dyDescent="0.2">
      <c r="A3811" s="859">
        <f t="shared" si="59"/>
        <v>3810</v>
      </c>
      <c r="B3811" s="845" t="s">
        <v>2556</v>
      </c>
      <c r="D3811" s="862"/>
      <c r="H3811" s="845" t="s">
        <v>1010</v>
      </c>
    </row>
    <row r="3812" spans="1:10" x14ac:dyDescent="0.2">
      <c r="A3812" s="859">
        <f t="shared" si="59"/>
        <v>3811</v>
      </c>
      <c r="B3812" s="845" t="s">
        <v>2556</v>
      </c>
      <c r="D3812" s="861"/>
      <c r="H3812" s="845" t="s">
        <v>1007</v>
      </c>
    </row>
    <row r="3813" spans="1:10" x14ac:dyDescent="0.2">
      <c r="A3813" s="859">
        <f t="shared" si="59"/>
        <v>3812</v>
      </c>
      <c r="B3813" s="845" t="s">
        <v>2556</v>
      </c>
      <c r="D3813" s="861"/>
      <c r="I3813" s="845" t="s">
        <v>1008</v>
      </c>
    </row>
    <row r="3814" spans="1:10" x14ac:dyDescent="0.2">
      <c r="A3814" s="859">
        <f t="shared" si="59"/>
        <v>3813</v>
      </c>
      <c r="B3814" s="845" t="s">
        <v>2556</v>
      </c>
      <c r="D3814" s="862"/>
      <c r="J3814" s="845" t="s">
        <v>1610</v>
      </c>
    </row>
    <row r="3815" spans="1:10" x14ac:dyDescent="0.2">
      <c r="A3815" s="859">
        <f t="shared" si="59"/>
        <v>3814</v>
      </c>
      <c r="B3815" s="845" t="s">
        <v>2556</v>
      </c>
      <c r="D3815" s="863"/>
      <c r="I3815" s="845" t="s">
        <v>1009</v>
      </c>
    </row>
    <row r="3816" spans="1:10" x14ac:dyDescent="0.2">
      <c r="A3816" s="859">
        <f t="shared" si="59"/>
        <v>3815</v>
      </c>
      <c r="B3816" s="845" t="s">
        <v>2556</v>
      </c>
      <c r="D3816" s="862"/>
      <c r="I3816" s="845" t="str">
        <f>CONCATENATE("&lt;valeur&gt;",Cellule_971,"&lt;/valeur&gt;")</f>
        <v>&lt;valeur&gt;0&lt;/valeur&gt;</v>
      </c>
    </row>
    <row r="3817" spans="1:10" x14ac:dyDescent="0.2">
      <c r="A3817" s="859">
        <f t="shared" si="59"/>
        <v>3816</v>
      </c>
      <c r="B3817" s="845" t="s">
        <v>2556</v>
      </c>
      <c r="D3817" s="862"/>
      <c r="H3817" s="845" t="s">
        <v>1010</v>
      </c>
    </row>
    <row r="3818" spans="1:10" x14ac:dyDescent="0.2">
      <c r="A3818" s="859">
        <f t="shared" si="59"/>
        <v>3817</v>
      </c>
      <c r="B3818" s="845" t="s">
        <v>2556</v>
      </c>
      <c r="D3818" s="862"/>
      <c r="H3818" s="845" t="s">
        <v>1007</v>
      </c>
    </row>
    <row r="3819" spans="1:10" x14ac:dyDescent="0.2">
      <c r="A3819" s="859">
        <f t="shared" si="59"/>
        <v>3818</v>
      </c>
      <c r="B3819" s="845" t="s">
        <v>2556</v>
      </c>
      <c r="D3819" s="861"/>
      <c r="I3819" s="845" t="s">
        <v>1008</v>
      </c>
    </row>
    <row r="3820" spans="1:10" x14ac:dyDescent="0.2">
      <c r="A3820" s="859">
        <f t="shared" si="59"/>
        <v>3819</v>
      </c>
      <c r="B3820" s="845" t="s">
        <v>2556</v>
      </c>
      <c r="D3820" s="861"/>
      <c r="J3820" s="845" t="s">
        <v>1611</v>
      </c>
    </row>
    <row r="3821" spans="1:10" x14ac:dyDescent="0.2">
      <c r="A3821" s="859">
        <f t="shared" si="59"/>
        <v>3820</v>
      </c>
      <c r="B3821" s="845" t="s">
        <v>2556</v>
      </c>
      <c r="D3821" s="862"/>
      <c r="I3821" s="845" t="s">
        <v>1009</v>
      </c>
    </row>
    <row r="3822" spans="1:10" x14ac:dyDescent="0.2">
      <c r="A3822" s="859">
        <f t="shared" si="59"/>
        <v>3821</v>
      </c>
      <c r="B3822" s="845" t="s">
        <v>2556</v>
      </c>
      <c r="D3822" s="863"/>
      <c r="I3822" s="845" t="str">
        <f>CONCATENATE("&lt;valeur&gt;",Cellule_972,"&lt;/valeur&gt;")</f>
        <v>&lt;valeur&gt;0&lt;/valeur&gt;</v>
      </c>
    </row>
    <row r="3823" spans="1:10" x14ac:dyDescent="0.2">
      <c r="A3823" s="859">
        <f t="shared" si="59"/>
        <v>3822</v>
      </c>
      <c r="B3823" s="845" t="s">
        <v>2556</v>
      </c>
      <c r="D3823" s="862"/>
      <c r="H3823" s="845" t="s">
        <v>1010</v>
      </c>
    </row>
    <row r="3824" spans="1:10" x14ac:dyDescent="0.2">
      <c r="A3824" s="859">
        <f t="shared" si="59"/>
        <v>3823</v>
      </c>
      <c r="B3824" s="845" t="s">
        <v>2556</v>
      </c>
      <c r="D3824" s="862"/>
      <c r="H3824" s="845" t="s">
        <v>1007</v>
      </c>
    </row>
    <row r="3825" spans="1:10" x14ac:dyDescent="0.2">
      <c r="A3825" s="859">
        <f t="shared" si="59"/>
        <v>3824</v>
      </c>
      <c r="B3825" s="845" t="s">
        <v>2556</v>
      </c>
      <c r="D3825" s="862"/>
      <c r="I3825" s="845" t="s">
        <v>1008</v>
      </c>
    </row>
    <row r="3826" spans="1:10" x14ac:dyDescent="0.2">
      <c r="A3826" s="859">
        <f t="shared" si="59"/>
        <v>3825</v>
      </c>
      <c r="B3826" s="845" t="s">
        <v>2556</v>
      </c>
      <c r="D3826" s="861"/>
      <c r="J3826" s="845" t="s">
        <v>1612</v>
      </c>
    </row>
    <row r="3827" spans="1:10" x14ac:dyDescent="0.2">
      <c r="A3827" s="859">
        <f t="shared" si="59"/>
        <v>3826</v>
      </c>
      <c r="B3827" s="845" t="s">
        <v>2556</v>
      </c>
      <c r="D3827" s="861"/>
      <c r="I3827" s="845" t="s">
        <v>1009</v>
      </c>
    </row>
    <row r="3828" spans="1:10" x14ac:dyDescent="0.2">
      <c r="A3828" s="859">
        <f t="shared" si="59"/>
        <v>3827</v>
      </c>
      <c r="B3828" s="845" t="s">
        <v>2556</v>
      </c>
      <c r="D3828" s="862"/>
      <c r="I3828" s="845" t="str">
        <f>CONCATENATE("&lt;valeur&gt;",Cellule_10073,"&lt;/valeur&gt;")</f>
        <v>&lt;valeur&gt;0&lt;/valeur&gt;</v>
      </c>
    </row>
    <row r="3829" spans="1:10" x14ac:dyDescent="0.2">
      <c r="A3829" s="859">
        <f t="shared" si="59"/>
        <v>3828</v>
      </c>
      <c r="B3829" s="845" t="s">
        <v>2556</v>
      </c>
      <c r="D3829" s="863"/>
      <c r="H3829" s="845" t="s">
        <v>1010</v>
      </c>
    </row>
    <row r="3830" spans="1:10" x14ac:dyDescent="0.2">
      <c r="A3830" s="859">
        <f t="shared" si="59"/>
        <v>3829</v>
      </c>
      <c r="B3830" s="845" t="s">
        <v>2556</v>
      </c>
      <c r="D3830" s="862"/>
      <c r="H3830" s="845" t="s">
        <v>1007</v>
      </c>
    </row>
    <row r="3831" spans="1:10" x14ac:dyDescent="0.2">
      <c r="A3831" s="859">
        <f t="shared" si="59"/>
        <v>3830</v>
      </c>
      <c r="B3831" s="845" t="s">
        <v>2556</v>
      </c>
      <c r="D3831" s="862"/>
      <c r="I3831" s="845" t="s">
        <v>1008</v>
      </c>
    </row>
    <row r="3832" spans="1:10" x14ac:dyDescent="0.2">
      <c r="A3832" s="859">
        <f t="shared" si="59"/>
        <v>3831</v>
      </c>
      <c r="B3832" s="845" t="s">
        <v>2556</v>
      </c>
      <c r="D3832" s="862"/>
      <c r="J3832" s="845" t="s">
        <v>1613</v>
      </c>
    </row>
    <row r="3833" spans="1:10" x14ac:dyDescent="0.2">
      <c r="A3833" s="859">
        <f t="shared" si="59"/>
        <v>3832</v>
      </c>
      <c r="B3833" s="845" t="s">
        <v>2556</v>
      </c>
      <c r="D3833" s="861"/>
      <c r="I3833" s="845" t="s">
        <v>1009</v>
      </c>
    </row>
    <row r="3834" spans="1:10" x14ac:dyDescent="0.2">
      <c r="A3834" s="859">
        <f t="shared" si="59"/>
        <v>3833</v>
      </c>
      <c r="B3834" s="845" t="s">
        <v>2556</v>
      </c>
      <c r="D3834" s="861"/>
      <c r="I3834" s="845" t="str">
        <f>CONCATENATE("&lt;valeur&gt;",Cellule_983,"&lt;/valeur&gt;")</f>
        <v>&lt;valeur&gt;0&lt;/valeur&gt;</v>
      </c>
    </row>
    <row r="3835" spans="1:10" x14ac:dyDescent="0.2">
      <c r="A3835" s="859">
        <f t="shared" si="59"/>
        <v>3834</v>
      </c>
      <c r="B3835" s="845" t="s">
        <v>2556</v>
      </c>
      <c r="D3835" s="862"/>
      <c r="H3835" s="845" t="s">
        <v>1010</v>
      </c>
    </row>
    <row r="3836" spans="1:10" x14ac:dyDescent="0.2">
      <c r="A3836" s="859">
        <f t="shared" si="59"/>
        <v>3835</v>
      </c>
      <c r="B3836" s="845" t="s">
        <v>2556</v>
      </c>
      <c r="D3836" s="863"/>
      <c r="H3836" s="845" t="s">
        <v>1007</v>
      </c>
    </row>
    <row r="3837" spans="1:10" x14ac:dyDescent="0.2">
      <c r="A3837" s="859">
        <f t="shared" si="59"/>
        <v>3836</v>
      </c>
      <c r="B3837" s="845" t="s">
        <v>2556</v>
      </c>
      <c r="D3837" s="862"/>
      <c r="I3837" s="845" t="s">
        <v>1008</v>
      </c>
    </row>
    <row r="3838" spans="1:10" x14ac:dyDescent="0.2">
      <c r="A3838" s="859">
        <f t="shared" si="59"/>
        <v>3837</v>
      </c>
      <c r="B3838" s="845" t="s">
        <v>2556</v>
      </c>
      <c r="D3838" s="862"/>
      <c r="J3838" s="845" t="s">
        <v>1614</v>
      </c>
    </row>
    <row r="3839" spans="1:10" x14ac:dyDescent="0.2">
      <c r="A3839" s="859">
        <f t="shared" si="59"/>
        <v>3838</v>
      </c>
      <c r="B3839" s="845" t="s">
        <v>2556</v>
      </c>
      <c r="D3839" s="862"/>
      <c r="I3839" s="845" t="s">
        <v>1009</v>
      </c>
    </row>
    <row r="3840" spans="1:10" x14ac:dyDescent="0.2">
      <c r="A3840" s="859">
        <f t="shared" si="59"/>
        <v>3839</v>
      </c>
      <c r="B3840" s="845" t="s">
        <v>2556</v>
      </c>
      <c r="D3840" s="861"/>
      <c r="I3840" s="845" t="str">
        <f>CONCATENATE("&lt;valeur&gt;",Cellule_984,"&lt;/valeur&gt;")</f>
        <v>&lt;valeur&gt;0&lt;/valeur&gt;</v>
      </c>
    </row>
    <row r="3841" spans="1:10" x14ac:dyDescent="0.2">
      <c r="A3841" s="859">
        <f t="shared" si="59"/>
        <v>3840</v>
      </c>
      <c r="B3841" s="845" t="s">
        <v>2556</v>
      </c>
      <c r="D3841" s="861"/>
      <c r="H3841" s="845" t="s">
        <v>1010</v>
      </c>
    </row>
    <row r="3842" spans="1:10" x14ac:dyDescent="0.2">
      <c r="A3842" s="859">
        <f t="shared" si="59"/>
        <v>3841</v>
      </c>
      <c r="B3842" s="845" t="s">
        <v>2556</v>
      </c>
      <c r="D3842" s="862"/>
      <c r="H3842" s="845" t="s">
        <v>1007</v>
      </c>
    </row>
    <row r="3843" spans="1:10" x14ac:dyDescent="0.2">
      <c r="A3843" s="859">
        <f t="shared" si="59"/>
        <v>3842</v>
      </c>
      <c r="B3843" s="845" t="s">
        <v>2556</v>
      </c>
      <c r="D3843" s="863"/>
      <c r="I3843" s="845" t="s">
        <v>1008</v>
      </c>
    </row>
    <row r="3844" spans="1:10" x14ac:dyDescent="0.2">
      <c r="A3844" s="859">
        <f t="shared" ref="A3844:A3907" si="60">+A3843+1</f>
        <v>3843</v>
      </c>
      <c r="B3844" s="845" t="s">
        <v>2556</v>
      </c>
      <c r="D3844" s="862"/>
      <c r="J3844" s="845" t="s">
        <v>1615</v>
      </c>
    </row>
    <row r="3845" spans="1:10" x14ac:dyDescent="0.2">
      <c r="A3845" s="859">
        <f t="shared" si="60"/>
        <v>3844</v>
      </c>
      <c r="B3845" s="845" t="s">
        <v>2556</v>
      </c>
      <c r="D3845" s="862"/>
      <c r="I3845" s="845" t="s">
        <v>1009</v>
      </c>
    </row>
    <row r="3846" spans="1:10" x14ac:dyDescent="0.2">
      <c r="A3846" s="859">
        <f t="shared" si="60"/>
        <v>3845</v>
      </c>
      <c r="B3846" s="845" t="s">
        <v>2556</v>
      </c>
      <c r="D3846" s="862"/>
      <c r="I3846" s="845" t="str">
        <f>CONCATENATE("&lt;valeur&gt;",Cellule_985,"&lt;/valeur&gt;")</f>
        <v>&lt;valeur&gt;0&lt;/valeur&gt;</v>
      </c>
    </row>
    <row r="3847" spans="1:10" x14ac:dyDescent="0.2">
      <c r="A3847" s="859">
        <f t="shared" si="60"/>
        <v>3846</v>
      </c>
      <c r="B3847" s="845" t="s">
        <v>2556</v>
      </c>
      <c r="D3847" s="861"/>
      <c r="H3847" s="845" t="s">
        <v>1010</v>
      </c>
    </row>
    <row r="3848" spans="1:10" x14ac:dyDescent="0.2">
      <c r="A3848" s="859">
        <f t="shared" si="60"/>
        <v>3847</v>
      </c>
      <c r="B3848" s="845" t="s">
        <v>2556</v>
      </c>
      <c r="D3848" s="861"/>
      <c r="H3848" s="845" t="s">
        <v>1007</v>
      </c>
    </row>
    <row r="3849" spans="1:10" x14ac:dyDescent="0.2">
      <c r="A3849" s="859">
        <f t="shared" si="60"/>
        <v>3848</v>
      </c>
      <c r="B3849" s="845" t="s">
        <v>2556</v>
      </c>
      <c r="D3849" s="862"/>
      <c r="I3849" s="845" t="s">
        <v>1008</v>
      </c>
    </row>
    <row r="3850" spans="1:10" x14ac:dyDescent="0.2">
      <c r="A3850" s="859">
        <f t="shared" si="60"/>
        <v>3849</v>
      </c>
      <c r="B3850" s="845" t="s">
        <v>2556</v>
      </c>
      <c r="D3850" s="863"/>
      <c r="J3850" s="845" t="s">
        <v>1616</v>
      </c>
    </row>
    <row r="3851" spans="1:10" x14ac:dyDescent="0.2">
      <c r="A3851" s="859">
        <f t="shared" si="60"/>
        <v>3850</v>
      </c>
      <c r="B3851" s="845" t="s">
        <v>2556</v>
      </c>
      <c r="D3851" s="862"/>
      <c r="I3851" s="845" t="s">
        <v>1009</v>
      </c>
    </row>
    <row r="3852" spans="1:10" x14ac:dyDescent="0.2">
      <c r="A3852" s="859">
        <f t="shared" si="60"/>
        <v>3851</v>
      </c>
      <c r="B3852" s="845" t="s">
        <v>2556</v>
      </c>
      <c r="D3852" s="862"/>
      <c r="I3852" s="845" t="str">
        <f>CONCATENATE("&lt;valeur&gt;",Cellule_986,"&lt;/valeur&gt;")</f>
        <v>&lt;valeur&gt;0&lt;/valeur&gt;</v>
      </c>
    </row>
    <row r="3853" spans="1:10" x14ac:dyDescent="0.2">
      <c r="A3853" s="859">
        <f t="shared" si="60"/>
        <v>3852</v>
      </c>
      <c r="B3853" s="845" t="s">
        <v>2556</v>
      </c>
      <c r="D3853" s="861"/>
      <c r="H3853" s="845" t="s">
        <v>1010</v>
      </c>
    </row>
    <row r="3854" spans="1:10" x14ac:dyDescent="0.2">
      <c r="A3854" s="859">
        <f t="shared" si="60"/>
        <v>3853</v>
      </c>
      <c r="B3854" s="845" t="s">
        <v>2556</v>
      </c>
      <c r="D3854" s="861"/>
      <c r="H3854" s="845" t="s">
        <v>1007</v>
      </c>
    </row>
    <row r="3855" spans="1:10" x14ac:dyDescent="0.2">
      <c r="A3855" s="859">
        <f t="shared" si="60"/>
        <v>3854</v>
      </c>
      <c r="B3855" s="845" t="s">
        <v>2556</v>
      </c>
      <c r="D3855" s="862"/>
      <c r="I3855" s="845" t="s">
        <v>1008</v>
      </c>
    </row>
    <row r="3856" spans="1:10" x14ac:dyDescent="0.2">
      <c r="A3856" s="859">
        <f t="shared" si="60"/>
        <v>3855</v>
      </c>
      <c r="B3856" s="845" t="s">
        <v>2556</v>
      </c>
      <c r="D3856" s="863"/>
      <c r="J3856" s="845" t="s">
        <v>1617</v>
      </c>
    </row>
    <row r="3857" spans="1:10" x14ac:dyDescent="0.2">
      <c r="A3857" s="859">
        <f t="shared" si="60"/>
        <v>3856</v>
      </c>
      <c r="B3857" s="845" t="s">
        <v>2556</v>
      </c>
      <c r="D3857" s="862"/>
      <c r="I3857" s="845" t="s">
        <v>1009</v>
      </c>
    </row>
    <row r="3858" spans="1:10" x14ac:dyDescent="0.2">
      <c r="A3858" s="859">
        <f t="shared" si="60"/>
        <v>3857</v>
      </c>
      <c r="B3858" s="845" t="s">
        <v>2556</v>
      </c>
      <c r="D3858" s="862"/>
      <c r="I3858" s="845" t="str">
        <f>CONCATENATE("&lt;valeur&gt;",Cellule_10074,"&lt;/valeur&gt;")</f>
        <v>&lt;valeur&gt;0&lt;/valeur&gt;</v>
      </c>
    </row>
    <row r="3859" spans="1:10" x14ac:dyDescent="0.2">
      <c r="A3859" s="859">
        <f t="shared" si="60"/>
        <v>3858</v>
      </c>
      <c r="B3859" s="845" t="s">
        <v>2556</v>
      </c>
      <c r="D3859" s="861"/>
      <c r="H3859" s="845" t="s">
        <v>1010</v>
      </c>
    </row>
    <row r="3860" spans="1:10" x14ac:dyDescent="0.2">
      <c r="A3860" s="859">
        <f t="shared" si="60"/>
        <v>3859</v>
      </c>
      <c r="B3860" s="845" t="s">
        <v>2556</v>
      </c>
      <c r="D3860" s="861"/>
      <c r="H3860" s="845" t="s">
        <v>1007</v>
      </c>
    </row>
    <row r="3861" spans="1:10" x14ac:dyDescent="0.2">
      <c r="A3861" s="859">
        <f t="shared" si="60"/>
        <v>3860</v>
      </c>
      <c r="B3861" s="845" t="s">
        <v>2556</v>
      </c>
      <c r="D3861" s="862"/>
      <c r="I3861" s="845" t="s">
        <v>1008</v>
      </c>
    </row>
    <row r="3862" spans="1:10" x14ac:dyDescent="0.2">
      <c r="A3862" s="859">
        <f t="shared" si="60"/>
        <v>3861</v>
      </c>
      <c r="B3862" s="845" t="s">
        <v>2556</v>
      </c>
      <c r="D3862" s="863"/>
      <c r="J3862" s="845" t="s">
        <v>1618</v>
      </c>
    </row>
    <row r="3863" spans="1:10" x14ac:dyDescent="0.2">
      <c r="A3863" s="859">
        <f t="shared" si="60"/>
        <v>3862</v>
      </c>
      <c r="B3863" s="845" t="s">
        <v>2556</v>
      </c>
      <c r="D3863" s="862"/>
      <c r="I3863" s="845" t="s">
        <v>1009</v>
      </c>
    </row>
    <row r="3864" spans="1:10" x14ac:dyDescent="0.2">
      <c r="A3864" s="859">
        <f t="shared" si="60"/>
        <v>3863</v>
      </c>
      <c r="B3864" s="845" t="s">
        <v>2556</v>
      </c>
      <c r="D3864" s="862"/>
      <c r="I3864" s="845" t="str">
        <f>CONCATENATE("&lt;valeur&gt;",Cellule_997,"&lt;/valeur&gt;")</f>
        <v>&lt;valeur&gt;0&lt;/valeur&gt;</v>
      </c>
    </row>
    <row r="3865" spans="1:10" x14ac:dyDescent="0.2">
      <c r="A3865" s="859">
        <f t="shared" si="60"/>
        <v>3864</v>
      </c>
      <c r="B3865" s="845" t="s">
        <v>2556</v>
      </c>
      <c r="D3865" s="861"/>
      <c r="H3865" s="845" t="s">
        <v>1010</v>
      </c>
    </row>
    <row r="3866" spans="1:10" x14ac:dyDescent="0.2">
      <c r="A3866" s="859">
        <f t="shared" si="60"/>
        <v>3865</v>
      </c>
      <c r="B3866" s="845" t="s">
        <v>2556</v>
      </c>
      <c r="D3866" s="861"/>
      <c r="H3866" s="845" t="s">
        <v>1007</v>
      </c>
    </row>
    <row r="3867" spans="1:10" x14ac:dyDescent="0.2">
      <c r="A3867" s="859">
        <f t="shared" si="60"/>
        <v>3866</v>
      </c>
      <c r="B3867" s="845" t="s">
        <v>2556</v>
      </c>
      <c r="D3867" s="862"/>
      <c r="I3867" s="845" t="s">
        <v>1008</v>
      </c>
    </row>
    <row r="3868" spans="1:10" x14ac:dyDescent="0.2">
      <c r="A3868" s="859">
        <f t="shared" si="60"/>
        <v>3867</v>
      </c>
      <c r="B3868" s="845" t="s">
        <v>2556</v>
      </c>
      <c r="D3868" s="863"/>
      <c r="J3868" s="845" t="s">
        <v>1619</v>
      </c>
    </row>
    <row r="3869" spans="1:10" x14ac:dyDescent="0.2">
      <c r="A3869" s="859">
        <f t="shared" si="60"/>
        <v>3868</v>
      </c>
      <c r="B3869" s="845" t="s">
        <v>2556</v>
      </c>
      <c r="D3869" s="862"/>
      <c r="I3869" s="845" t="s">
        <v>1009</v>
      </c>
    </row>
    <row r="3870" spans="1:10" x14ac:dyDescent="0.2">
      <c r="A3870" s="859">
        <f t="shared" si="60"/>
        <v>3869</v>
      </c>
      <c r="B3870" s="845" t="s">
        <v>2556</v>
      </c>
      <c r="D3870" s="862"/>
      <c r="I3870" s="845" t="str">
        <f>CONCATENATE("&lt;valeur&gt;",Cellule_998,"&lt;/valeur&gt;")</f>
        <v>&lt;valeur&gt;0&lt;/valeur&gt;</v>
      </c>
    </row>
    <row r="3871" spans="1:10" x14ac:dyDescent="0.2">
      <c r="A3871" s="859">
        <f t="shared" si="60"/>
        <v>3870</v>
      </c>
      <c r="B3871" s="845" t="s">
        <v>2556</v>
      </c>
      <c r="D3871" s="861"/>
      <c r="H3871" s="845" t="s">
        <v>1010</v>
      </c>
    </row>
    <row r="3872" spans="1:10" x14ac:dyDescent="0.2">
      <c r="A3872" s="859">
        <f t="shared" si="60"/>
        <v>3871</v>
      </c>
      <c r="B3872" s="845" t="s">
        <v>2556</v>
      </c>
      <c r="D3872" s="861"/>
      <c r="H3872" s="845" t="s">
        <v>1007</v>
      </c>
    </row>
    <row r="3873" spans="1:10" x14ac:dyDescent="0.2">
      <c r="A3873" s="859">
        <f t="shared" si="60"/>
        <v>3872</v>
      </c>
      <c r="B3873" s="845" t="s">
        <v>2556</v>
      </c>
      <c r="D3873" s="862"/>
      <c r="I3873" s="845" t="s">
        <v>1008</v>
      </c>
    </row>
    <row r="3874" spans="1:10" x14ac:dyDescent="0.2">
      <c r="A3874" s="859">
        <f t="shared" si="60"/>
        <v>3873</v>
      </c>
      <c r="B3874" s="845" t="s">
        <v>2556</v>
      </c>
      <c r="D3874" s="863"/>
      <c r="J3874" s="845" t="s">
        <v>1620</v>
      </c>
    </row>
    <row r="3875" spans="1:10" x14ac:dyDescent="0.2">
      <c r="A3875" s="859">
        <f t="shared" si="60"/>
        <v>3874</v>
      </c>
      <c r="B3875" s="845" t="s">
        <v>2556</v>
      </c>
      <c r="D3875" s="862"/>
      <c r="I3875" s="845" t="s">
        <v>1009</v>
      </c>
    </row>
    <row r="3876" spans="1:10" x14ac:dyDescent="0.2">
      <c r="A3876" s="859">
        <f t="shared" si="60"/>
        <v>3875</v>
      </c>
      <c r="B3876" s="845" t="s">
        <v>2556</v>
      </c>
      <c r="D3876" s="862"/>
      <c r="I3876" s="845" t="str">
        <f>CONCATENATE("&lt;valeur&gt;",Cellule_999,"&lt;/valeur&gt;")</f>
        <v>&lt;valeur&gt;0&lt;/valeur&gt;</v>
      </c>
    </row>
    <row r="3877" spans="1:10" x14ac:dyDescent="0.2">
      <c r="A3877" s="859">
        <f t="shared" si="60"/>
        <v>3876</v>
      </c>
      <c r="B3877" s="845" t="s">
        <v>2556</v>
      </c>
      <c r="D3877" s="861"/>
      <c r="H3877" s="845" t="s">
        <v>1010</v>
      </c>
    </row>
    <row r="3878" spans="1:10" x14ac:dyDescent="0.2">
      <c r="A3878" s="859">
        <f t="shared" si="60"/>
        <v>3877</v>
      </c>
      <c r="B3878" s="845" t="s">
        <v>2556</v>
      </c>
      <c r="D3878" s="861"/>
      <c r="H3878" s="845" t="s">
        <v>1007</v>
      </c>
    </row>
    <row r="3879" spans="1:10" x14ac:dyDescent="0.2">
      <c r="A3879" s="859">
        <f t="shared" si="60"/>
        <v>3878</v>
      </c>
      <c r="B3879" s="845" t="s">
        <v>2556</v>
      </c>
      <c r="D3879" s="862"/>
      <c r="I3879" s="845" t="s">
        <v>1008</v>
      </c>
    </row>
    <row r="3880" spans="1:10" x14ac:dyDescent="0.2">
      <c r="A3880" s="859">
        <f t="shared" si="60"/>
        <v>3879</v>
      </c>
      <c r="B3880" s="845" t="s">
        <v>2556</v>
      </c>
      <c r="D3880" s="863"/>
      <c r="J3880" s="845" t="s">
        <v>1621</v>
      </c>
    </row>
    <row r="3881" spans="1:10" x14ac:dyDescent="0.2">
      <c r="A3881" s="859">
        <f t="shared" si="60"/>
        <v>3880</v>
      </c>
      <c r="B3881" s="845" t="s">
        <v>2556</v>
      </c>
      <c r="D3881" s="862"/>
      <c r="I3881" s="845" t="s">
        <v>1009</v>
      </c>
    </row>
    <row r="3882" spans="1:10" x14ac:dyDescent="0.2">
      <c r="A3882" s="859">
        <f t="shared" si="60"/>
        <v>3881</v>
      </c>
      <c r="B3882" s="845" t="s">
        <v>2556</v>
      </c>
      <c r="D3882" s="862"/>
      <c r="I3882" s="845" t="str">
        <f>CONCATENATE("&lt;valeur&gt;",Cellule_1000,"&lt;/valeur&gt;")</f>
        <v>&lt;valeur&gt;0&lt;/valeur&gt;</v>
      </c>
    </row>
    <row r="3883" spans="1:10" x14ac:dyDescent="0.2">
      <c r="A3883" s="859">
        <f t="shared" si="60"/>
        <v>3882</v>
      </c>
      <c r="B3883" s="845" t="s">
        <v>2556</v>
      </c>
      <c r="D3883" s="861"/>
      <c r="H3883" s="845" t="s">
        <v>1010</v>
      </c>
    </row>
    <row r="3884" spans="1:10" x14ac:dyDescent="0.2">
      <c r="A3884" s="859">
        <f t="shared" si="60"/>
        <v>3883</v>
      </c>
      <c r="B3884" s="845" t="s">
        <v>2556</v>
      </c>
      <c r="D3884" s="861"/>
      <c r="H3884" s="845" t="s">
        <v>1007</v>
      </c>
    </row>
    <row r="3885" spans="1:10" x14ac:dyDescent="0.2">
      <c r="A3885" s="859">
        <f t="shared" si="60"/>
        <v>3884</v>
      </c>
      <c r="B3885" s="845" t="s">
        <v>2556</v>
      </c>
      <c r="D3885" s="862"/>
      <c r="I3885" s="845" t="s">
        <v>1008</v>
      </c>
    </row>
    <row r="3886" spans="1:10" x14ac:dyDescent="0.2">
      <c r="A3886" s="859">
        <f t="shared" si="60"/>
        <v>3885</v>
      </c>
      <c r="B3886" s="845" t="s">
        <v>2556</v>
      </c>
      <c r="D3886" s="863"/>
      <c r="J3886" s="845" t="s">
        <v>1622</v>
      </c>
    </row>
    <row r="3887" spans="1:10" x14ac:dyDescent="0.2">
      <c r="A3887" s="859">
        <f t="shared" si="60"/>
        <v>3886</v>
      </c>
      <c r="B3887" s="845" t="s">
        <v>2556</v>
      </c>
      <c r="D3887" s="862"/>
      <c r="I3887" s="845" t="s">
        <v>1009</v>
      </c>
    </row>
    <row r="3888" spans="1:10" x14ac:dyDescent="0.2">
      <c r="A3888" s="859">
        <f t="shared" si="60"/>
        <v>3887</v>
      </c>
      <c r="B3888" s="845" t="s">
        <v>2556</v>
      </c>
      <c r="D3888" s="862"/>
      <c r="I3888" s="845" t="str">
        <f>CONCATENATE("&lt;valeur&gt;",Cellule_10075,"&lt;/valeur&gt;")</f>
        <v>&lt;valeur&gt;0&lt;/valeur&gt;</v>
      </c>
    </row>
    <row r="3889" spans="1:10" x14ac:dyDescent="0.2">
      <c r="A3889" s="859">
        <f t="shared" si="60"/>
        <v>3888</v>
      </c>
      <c r="B3889" s="845" t="s">
        <v>2556</v>
      </c>
      <c r="D3889" s="861"/>
      <c r="H3889" s="845" t="s">
        <v>1010</v>
      </c>
    </row>
    <row r="3890" spans="1:10" x14ac:dyDescent="0.2">
      <c r="A3890" s="859">
        <f t="shared" si="60"/>
        <v>3889</v>
      </c>
      <c r="B3890" s="845" t="s">
        <v>2556</v>
      </c>
      <c r="D3890" s="861"/>
      <c r="H3890" s="845" t="s">
        <v>1007</v>
      </c>
    </row>
    <row r="3891" spans="1:10" x14ac:dyDescent="0.2">
      <c r="A3891" s="859">
        <f t="shared" si="60"/>
        <v>3890</v>
      </c>
      <c r="B3891" s="845" t="s">
        <v>2556</v>
      </c>
      <c r="D3891" s="862"/>
      <c r="I3891" s="845" t="s">
        <v>1008</v>
      </c>
    </row>
    <row r="3892" spans="1:10" x14ac:dyDescent="0.2">
      <c r="A3892" s="859">
        <f t="shared" si="60"/>
        <v>3891</v>
      </c>
      <c r="B3892" s="845" t="s">
        <v>2556</v>
      </c>
      <c r="D3892" s="863"/>
      <c r="J3892" s="845" t="s">
        <v>1623</v>
      </c>
    </row>
    <row r="3893" spans="1:10" x14ac:dyDescent="0.2">
      <c r="A3893" s="859">
        <f t="shared" si="60"/>
        <v>3892</v>
      </c>
      <c r="B3893" s="845" t="s">
        <v>2556</v>
      </c>
      <c r="D3893" s="862"/>
      <c r="I3893" s="845" t="s">
        <v>1009</v>
      </c>
    </row>
    <row r="3894" spans="1:10" x14ac:dyDescent="0.2">
      <c r="A3894" s="859">
        <f t="shared" si="60"/>
        <v>3893</v>
      </c>
      <c r="B3894" s="845" t="s">
        <v>2556</v>
      </c>
      <c r="D3894" s="862"/>
      <c r="I3894" s="845" t="str">
        <f>CONCATENATE("&lt;valeur&gt;",Cellule_1011,"&lt;/valeur&gt;")</f>
        <v>&lt;valeur&gt;0&lt;/valeur&gt;</v>
      </c>
    </row>
    <row r="3895" spans="1:10" x14ac:dyDescent="0.2">
      <c r="A3895" s="859">
        <f t="shared" si="60"/>
        <v>3894</v>
      </c>
      <c r="B3895" s="845" t="s">
        <v>2556</v>
      </c>
      <c r="D3895" s="861"/>
      <c r="H3895" s="845" t="s">
        <v>1010</v>
      </c>
    </row>
    <row r="3896" spans="1:10" x14ac:dyDescent="0.2">
      <c r="A3896" s="859">
        <f t="shared" si="60"/>
        <v>3895</v>
      </c>
      <c r="B3896" s="845" t="s">
        <v>2556</v>
      </c>
      <c r="D3896" s="861"/>
      <c r="H3896" s="845" t="s">
        <v>1007</v>
      </c>
    </row>
    <row r="3897" spans="1:10" x14ac:dyDescent="0.2">
      <c r="A3897" s="859">
        <f t="shared" si="60"/>
        <v>3896</v>
      </c>
      <c r="B3897" s="845" t="s">
        <v>2556</v>
      </c>
      <c r="D3897" s="862"/>
      <c r="I3897" s="845" t="s">
        <v>1008</v>
      </c>
    </row>
    <row r="3898" spans="1:10" x14ac:dyDescent="0.2">
      <c r="A3898" s="859">
        <f t="shared" si="60"/>
        <v>3897</v>
      </c>
      <c r="B3898" s="845" t="s">
        <v>2556</v>
      </c>
      <c r="D3898" s="863"/>
      <c r="J3898" s="845" t="s">
        <v>1624</v>
      </c>
    </row>
    <row r="3899" spans="1:10" x14ac:dyDescent="0.2">
      <c r="A3899" s="859">
        <f t="shared" si="60"/>
        <v>3898</v>
      </c>
      <c r="B3899" s="845" t="s">
        <v>2556</v>
      </c>
      <c r="D3899" s="862"/>
      <c r="I3899" s="845" t="s">
        <v>1009</v>
      </c>
    </row>
    <row r="3900" spans="1:10" x14ac:dyDescent="0.2">
      <c r="A3900" s="859">
        <f t="shared" si="60"/>
        <v>3899</v>
      </c>
      <c r="B3900" s="845" t="s">
        <v>2556</v>
      </c>
      <c r="D3900" s="862"/>
      <c r="I3900" s="845" t="str">
        <f>CONCATENATE("&lt;valeur&gt;",Cellule_1012,"&lt;/valeur&gt;")</f>
        <v>&lt;valeur&gt;0&lt;/valeur&gt;</v>
      </c>
    </row>
    <row r="3901" spans="1:10" x14ac:dyDescent="0.2">
      <c r="A3901" s="859">
        <f t="shared" si="60"/>
        <v>3900</v>
      </c>
      <c r="B3901" s="845" t="s">
        <v>2556</v>
      </c>
      <c r="D3901" s="861"/>
      <c r="H3901" s="845" t="s">
        <v>1010</v>
      </c>
    </row>
    <row r="3902" spans="1:10" x14ac:dyDescent="0.2">
      <c r="A3902" s="859">
        <f t="shared" si="60"/>
        <v>3901</v>
      </c>
      <c r="B3902" s="845" t="s">
        <v>2556</v>
      </c>
      <c r="D3902" s="861"/>
      <c r="H3902" s="845" t="s">
        <v>1007</v>
      </c>
    </row>
    <row r="3903" spans="1:10" x14ac:dyDescent="0.2">
      <c r="A3903" s="859">
        <f t="shared" si="60"/>
        <v>3902</v>
      </c>
      <c r="B3903" s="845" t="s">
        <v>2556</v>
      </c>
      <c r="D3903" s="862"/>
      <c r="I3903" s="845" t="s">
        <v>1008</v>
      </c>
    </row>
    <row r="3904" spans="1:10" x14ac:dyDescent="0.2">
      <c r="A3904" s="859">
        <f t="shared" si="60"/>
        <v>3903</v>
      </c>
      <c r="B3904" s="845" t="s">
        <v>2556</v>
      </c>
      <c r="D3904" s="863"/>
      <c r="J3904" s="845" t="s">
        <v>1625</v>
      </c>
    </row>
    <row r="3905" spans="1:10" x14ac:dyDescent="0.2">
      <c r="A3905" s="859">
        <f t="shared" si="60"/>
        <v>3904</v>
      </c>
      <c r="B3905" s="845" t="s">
        <v>2556</v>
      </c>
      <c r="D3905" s="862"/>
      <c r="I3905" s="845" t="s">
        <v>1009</v>
      </c>
    </row>
    <row r="3906" spans="1:10" x14ac:dyDescent="0.2">
      <c r="A3906" s="859">
        <f t="shared" si="60"/>
        <v>3905</v>
      </c>
      <c r="B3906" s="845" t="s">
        <v>2556</v>
      </c>
      <c r="D3906" s="862"/>
      <c r="I3906" s="845" t="str">
        <f>CONCATENATE("&lt;valeur&gt;",Cellule_1013,"&lt;/valeur&gt;")</f>
        <v>&lt;valeur&gt;0&lt;/valeur&gt;</v>
      </c>
    </row>
    <row r="3907" spans="1:10" x14ac:dyDescent="0.2">
      <c r="A3907" s="859">
        <f t="shared" si="60"/>
        <v>3906</v>
      </c>
      <c r="B3907" s="845" t="s">
        <v>2556</v>
      </c>
      <c r="D3907" s="861"/>
      <c r="H3907" s="845" t="s">
        <v>1010</v>
      </c>
    </row>
    <row r="3908" spans="1:10" x14ac:dyDescent="0.2">
      <c r="A3908" s="859">
        <f t="shared" ref="A3908:A3971" si="61">+A3907+1</f>
        <v>3907</v>
      </c>
      <c r="B3908" s="845" t="s">
        <v>2556</v>
      </c>
      <c r="D3908" s="861"/>
      <c r="H3908" s="845" t="s">
        <v>1007</v>
      </c>
    </row>
    <row r="3909" spans="1:10" x14ac:dyDescent="0.2">
      <c r="A3909" s="859">
        <f t="shared" si="61"/>
        <v>3908</v>
      </c>
      <c r="B3909" s="845" t="s">
        <v>2556</v>
      </c>
      <c r="D3909" s="862"/>
      <c r="I3909" s="845" t="s">
        <v>1008</v>
      </c>
    </row>
    <row r="3910" spans="1:10" x14ac:dyDescent="0.2">
      <c r="A3910" s="859">
        <f t="shared" si="61"/>
        <v>3909</v>
      </c>
      <c r="B3910" s="845" t="s">
        <v>2556</v>
      </c>
      <c r="D3910" s="863"/>
      <c r="J3910" s="845" t="s">
        <v>1626</v>
      </c>
    </row>
    <row r="3911" spans="1:10" x14ac:dyDescent="0.2">
      <c r="A3911" s="859">
        <f t="shared" si="61"/>
        <v>3910</v>
      </c>
      <c r="B3911" s="845" t="s">
        <v>2556</v>
      </c>
      <c r="D3911" s="862"/>
      <c r="I3911" s="845" t="s">
        <v>1009</v>
      </c>
    </row>
    <row r="3912" spans="1:10" x14ac:dyDescent="0.2">
      <c r="A3912" s="859">
        <f t="shared" si="61"/>
        <v>3911</v>
      </c>
      <c r="B3912" s="845" t="s">
        <v>2556</v>
      </c>
      <c r="D3912" s="862"/>
      <c r="I3912" s="845" t="str">
        <f>CONCATENATE("&lt;valeur&gt;",Cellule_1014,"&lt;/valeur&gt;")</f>
        <v>&lt;valeur&gt;0&lt;/valeur&gt;</v>
      </c>
    </row>
    <row r="3913" spans="1:10" x14ac:dyDescent="0.2">
      <c r="A3913" s="859">
        <f t="shared" si="61"/>
        <v>3912</v>
      </c>
      <c r="B3913" s="845" t="s">
        <v>2556</v>
      </c>
      <c r="D3913" s="861"/>
      <c r="H3913" s="845" t="s">
        <v>1010</v>
      </c>
    </row>
    <row r="3914" spans="1:10" x14ac:dyDescent="0.2">
      <c r="A3914" s="859">
        <f t="shared" si="61"/>
        <v>3913</v>
      </c>
      <c r="B3914" s="845" t="s">
        <v>2556</v>
      </c>
      <c r="D3914" s="861"/>
      <c r="H3914" s="845" t="s">
        <v>1007</v>
      </c>
    </row>
    <row r="3915" spans="1:10" x14ac:dyDescent="0.2">
      <c r="A3915" s="859">
        <f t="shared" si="61"/>
        <v>3914</v>
      </c>
      <c r="B3915" s="845" t="s">
        <v>2556</v>
      </c>
      <c r="D3915" s="862"/>
      <c r="I3915" s="845" t="s">
        <v>1008</v>
      </c>
    </row>
    <row r="3916" spans="1:10" x14ac:dyDescent="0.2">
      <c r="A3916" s="859">
        <f t="shared" si="61"/>
        <v>3915</v>
      </c>
      <c r="B3916" s="845" t="s">
        <v>2556</v>
      </c>
      <c r="D3916" s="863"/>
      <c r="J3916" s="845" t="s">
        <v>1627</v>
      </c>
    </row>
    <row r="3917" spans="1:10" x14ac:dyDescent="0.2">
      <c r="A3917" s="859">
        <f t="shared" si="61"/>
        <v>3916</v>
      </c>
      <c r="B3917" s="845" t="s">
        <v>2556</v>
      </c>
      <c r="D3917" s="862"/>
      <c r="I3917" s="845" t="s">
        <v>1009</v>
      </c>
    </row>
    <row r="3918" spans="1:10" x14ac:dyDescent="0.2">
      <c r="A3918" s="859">
        <f t="shared" si="61"/>
        <v>3917</v>
      </c>
      <c r="B3918" s="845" t="s">
        <v>2556</v>
      </c>
      <c r="D3918" s="862"/>
      <c r="I3918" s="845" t="str">
        <f>CONCATENATE("&lt;valeur&gt;",Cellule_10076,"&lt;/valeur&gt;")</f>
        <v>&lt;valeur&gt;0&lt;/valeur&gt;</v>
      </c>
    </row>
    <row r="3919" spans="1:10" x14ac:dyDescent="0.2">
      <c r="A3919" s="859">
        <f t="shared" si="61"/>
        <v>3918</v>
      </c>
      <c r="B3919" s="845" t="s">
        <v>2556</v>
      </c>
      <c r="D3919" s="861"/>
      <c r="H3919" s="845" t="s">
        <v>1010</v>
      </c>
    </row>
    <row r="3920" spans="1:10" x14ac:dyDescent="0.2">
      <c r="A3920" s="859">
        <f t="shared" si="61"/>
        <v>3919</v>
      </c>
      <c r="B3920" s="845" t="s">
        <v>2556</v>
      </c>
      <c r="D3920" s="861"/>
      <c r="H3920" s="845" t="s">
        <v>1007</v>
      </c>
    </row>
    <row r="3921" spans="1:10" x14ac:dyDescent="0.2">
      <c r="A3921" s="859">
        <f t="shared" si="61"/>
        <v>3920</v>
      </c>
      <c r="B3921" s="845" t="s">
        <v>2556</v>
      </c>
      <c r="D3921" s="862"/>
      <c r="I3921" s="845" t="s">
        <v>1008</v>
      </c>
    </row>
    <row r="3922" spans="1:10" x14ac:dyDescent="0.2">
      <c r="A3922" s="859">
        <f t="shared" si="61"/>
        <v>3921</v>
      </c>
      <c r="B3922" s="845" t="s">
        <v>2556</v>
      </c>
      <c r="D3922" s="863"/>
      <c r="J3922" s="845" t="s">
        <v>1628</v>
      </c>
    </row>
    <row r="3923" spans="1:10" x14ac:dyDescent="0.2">
      <c r="A3923" s="859">
        <f t="shared" si="61"/>
        <v>3922</v>
      </c>
      <c r="B3923" s="845" t="s">
        <v>2556</v>
      </c>
      <c r="D3923" s="862"/>
      <c r="I3923" s="845" t="s">
        <v>1009</v>
      </c>
    </row>
    <row r="3924" spans="1:10" x14ac:dyDescent="0.2">
      <c r="A3924" s="859">
        <f t="shared" si="61"/>
        <v>3923</v>
      </c>
      <c r="B3924" s="845" t="s">
        <v>2556</v>
      </c>
      <c r="D3924" s="862"/>
      <c r="I3924" s="845" t="str">
        <f>CONCATENATE("&lt;valeur&gt;",Cellule_1025,"&lt;/valeur&gt;")</f>
        <v>&lt;valeur&gt;0&lt;/valeur&gt;</v>
      </c>
    </row>
    <row r="3925" spans="1:10" x14ac:dyDescent="0.2">
      <c r="A3925" s="859">
        <f t="shared" si="61"/>
        <v>3924</v>
      </c>
      <c r="B3925" s="845" t="s">
        <v>2556</v>
      </c>
      <c r="D3925" s="861"/>
      <c r="H3925" s="845" t="s">
        <v>1010</v>
      </c>
    </row>
    <row r="3926" spans="1:10" x14ac:dyDescent="0.2">
      <c r="A3926" s="859">
        <f t="shared" si="61"/>
        <v>3925</v>
      </c>
      <c r="B3926" s="845" t="s">
        <v>2556</v>
      </c>
      <c r="D3926" s="861"/>
      <c r="H3926" s="845" t="s">
        <v>1007</v>
      </c>
    </row>
    <row r="3927" spans="1:10" x14ac:dyDescent="0.2">
      <c r="A3927" s="859">
        <f t="shared" si="61"/>
        <v>3926</v>
      </c>
      <c r="B3927" s="845" t="s">
        <v>2556</v>
      </c>
      <c r="D3927" s="862"/>
      <c r="I3927" s="845" t="s">
        <v>1008</v>
      </c>
    </row>
    <row r="3928" spans="1:10" x14ac:dyDescent="0.2">
      <c r="A3928" s="859">
        <f t="shared" si="61"/>
        <v>3927</v>
      </c>
      <c r="B3928" s="845" t="s">
        <v>2556</v>
      </c>
      <c r="D3928" s="863"/>
      <c r="J3928" s="845" t="s">
        <v>1629</v>
      </c>
    </row>
    <row r="3929" spans="1:10" x14ac:dyDescent="0.2">
      <c r="A3929" s="859">
        <f t="shared" si="61"/>
        <v>3928</v>
      </c>
      <c r="B3929" s="845" t="s">
        <v>2556</v>
      </c>
      <c r="D3929" s="862"/>
      <c r="I3929" s="845" t="s">
        <v>1009</v>
      </c>
    </row>
    <row r="3930" spans="1:10" x14ac:dyDescent="0.2">
      <c r="A3930" s="859">
        <f t="shared" si="61"/>
        <v>3929</v>
      </c>
      <c r="B3930" s="845" t="s">
        <v>2556</v>
      </c>
      <c r="D3930" s="862"/>
      <c r="I3930" s="845" t="str">
        <f>CONCATENATE("&lt;valeur&gt;",Cellule_1026,"&lt;/valeur&gt;")</f>
        <v>&lt;valeur&gt;0&lt;/valeur&gt;</v>
      </c>
    </row>
    <row r="3931" spans="1:10" x14ac:dyDescent="0.2">
      <c r="A3931" s="859">
        <f t="shared" si="61"/>
        <v>3930</v>
      </c>
      <c r="B3931" s="845" t="s">
        <v>2556</v>
      </c>
      <c r="D3931" s="861"/>
      <c r="H3931" s="845" t="s">
        <v>1010</v>
      </c>
    </row>
    <row r="3932" spans="1:10" x14ac:dyDescent="0.2">
      <c r="A3932" s="859">
        <f t="shared" si="61"/>
        <v>3931</v>
      </c>
      <c r="B3932" s="845" t="s">
        <v>2556</v>
      </c>
      <c r="D3932" s="861"/>
      <c r="H3932" s="845" t="s">
        <v>1007</v>
      </c>
    </row>
    <row r="3933" spans="1:10" x14ac:dyDescent="0.2">
      <c r="A3933" s="859">
        <f t="shared" si="61"/>
        <v>3932</v>
      </c>
      <c r="B3933" s="845" t="s">
        <v>2556</v>
      </c>
      <c r="D3933" s="862"/>
      <c r="I3933" s="845" t="s">
        <v>1008</v>
      </c>
    </row>
    <row r="3934" spans="1:10" x14ac:dyDescent="0.2">
      <c r="A3934" s="859">
        <f t="shared" si="61"/>
        <v>3933</v>
      </c>
      <c r="B3934" s="845" t="s">
        <v>2556</v>
      </c>
      <c r="D3934" s="863"/>
      <c r="J3934" s="845" t="s">
        <v>1630</v>
      </c>
    </row>
    <row r="3935" spans="1:10" x14ac:dyDescent="0.2">
      <c r="A3935" s="859">
        <f t="shared" si="61"/>
        <v>3934</v>
      </c>
      <c r="B3935" s="845" t="s">
        <v>2556</v>
      </c>
      <c r="D3935" s="862"/>
      <c r="I3935" s="845" t="s">
        <v>1009</v>
      </c>
    </row>
    <row r="3936" spans="1:10" x14ac:dyDescent="0.2">
      <c r="A3936" s="859">
        <f t="shared" si="61"/>
        <v>3935</v>
      </c>
      <c r="B3936" s="845" t="s">
        <v>2556</v>
      </c>
      <c r="D3936" s="862"/>
      <c r="I3936" s="845" t="str">
        <f>CONCATENATE("&lt;valeur&gt;",Cellule_1027,"&lt;/valeur&gt;")</f>
        <v>&lt;valeur&gt;0&lt;/valeur&gt;</v>
      </c>
    </row>
    <row r="3937" spans="1:10" x14ac:dyDescent="0.2">
      <c r="A3937" s="859">
        <f t="shared" si="61"/>
        <v>3936</v>
      </c>
      <c r="B3937" s="845" t="s">
        <v>2556</v>
      </c>
      <c r="D3937" s="861"/>
      <c r="H3937" s="845" t="s">
        <v>1010</v>
      </c>
    </row>
    <row r="3938" spans="1:10" x14ac:dyDescent="0.2">
      <c r="A3938" s="859">
        <f t="shared" si="61"/>
        <v>3937</v>
      </c>
      <c r="B3938" s="845" t="s">
        <v>2556</v>
      </c>
      <c r="D3938" s="861"/>
      <c r="H3938" s="845" t="s">
        <v>1007</v>
      </c>
    </row>
    <row r="3939" spans="1:10" x14ac:dyDescent="0.2">
      <c r="A3939" s="859">
        <f t="shared" si="61"/>
        <v>3938</v>
      </c>
      <c r="B3939" s="845" t="s">
        <v>2556</v>
      </c>
      <c r="D3939" s="862"/>
      <c r="I3939" s="845" t="s">
        <v>1008</v>
      </c>
    </row>
    <row r="3940" spans="1:10" x14ac:dyDescent="0.2">
      <c r="A3940" s="859">
        <f t="shared" si="61"/>
        <v>3939</v>
      </c>
      <c r="B3940" s="845" t="s">
        <v>2556</v>
      </c>
      <c r="D3940" s="863"/>
      <c r="J3940" s="845" t="s">
        <v>1631</v>
      </c>
    </row>
    <row r="3941" spans="1:10" x14ac:dyDescent="0.2">
      <c r="A3941" s="859">
        <f t="shared" si="61"/>
        <v>3940</v>
      </c>
      <c r="B3941" s="845" t="s">
        <v>2556</v>
      </c>
      <c r="D3941" s="862"/>
      <c r="I3941" s="845" t="s">
        <v>1009</v>
      </c>
    </row>
    <row r="3942" spans="1:10" x14ac:dyDescent="0.2">
      <c r="A3942" s="859">
        <f t="shared" si="61"/>
        <v>3941</v>
      </c>
      <c r="B3942" s="845" t="s">
        <v>2556</v>
      </c>
      <c r="D3942" s="862"/>
      <c r="I3942" s="845" t="str">
        <f>CONCATENATE("&lt;valeur&gt;",Cellule_1028,"&lt;/valeur&gt;")</f>
        <v>&lt;valeur&gt;0&lt;/valeur&gt;</v>
      </c>
    </row>
    <row r="3943" spans="1:10" x14ac:dyDescent="0.2">
      <c r="A3943" s="859">
        <f t="shared" si="61"/>
        <v>3942</v>
      </c>
      <c r="B3943" s="845" t="s">
        <v>2556</v>
      </c>
      <c r="D3943" s="861"/>
      <c r="H3943" s="845" t="s">
        <v>1010</v>
      </c>
    </row>
    <row r="3944" spans="1:10" x14ac:dyDescent="0.2">
      <c r="A3944" s="859">
        <f t="shared" si="61"/>
        <v>3943</v>
      </c>
      <c r="B3944" s="845" t="s">
        <v>2556</v>
      </c>
      <c r="D3944" s="861"/>
      <c r="H3944" s="845" t="s">
        <v>1007</v>
      </c>
    </row>
    <row r="3945" spans="1:10" x14ac:dyDescent="0.2">
      <c r="A3945" s="859">
        <f t="shared" si="61"/>
        <v>3944</v>
      </c>
      <c r="B3945" s="845" t="s">
        <v>2556</v>
      </c>
      <c r="D3945" s="862"/>
      <c r="I3945" s="845" t="s">
        <v>1008</v>
      </c>
    </row>
    <row r="3946" spans="1:10" x14ac:dyDescent="0.2">
      <c r="A3946" s="859">
        <f t="shared" si="61"/>
        <v>3945</v>
      </c>
      <c r="B3946" s="845" t="s">
        <v>2556</v>
      </c>
      <c r="D3946" s="863"/>
      <c r="J3946" s="845" t="s">
        <v>1632</v>
      </c>
    </row>
    <row r="3947" spans="1:10" x14ac:dyDescent="0.2">
      <c r="A3947" s="859">
        <f t="shared" si="61"/>
        <v>3946</v>
      </c>
      <c r="B3947" s="845" t="s">
        <v>2556</v>
      </c>
      <c r="D3947" s="862"/>
      <c r="I3947" s="845" t="s">
        <v>1009</v>
      </c>
    </row>
    <row r="3948" spans="1:10" x14ac:dyDescent="0.2">
      <c r="A3948" s="859">
        <f t="shared" si="61"/>
        <v>3947</v>
      </c>
      <c r="B3948" s="845" t="s">
        <v>2556</v>
      </c>
      <c r="D3948" s="862"/>
      <c r="I3948" s="845" t="str">
        <f>CONCATENATE("&lt;valeur&gt;",Cellule_10077,"&lt;/valeur&gt;")</f>
        <v>&lt;valeur&gt;0&lt;/valeur&gt;</v>
      </c>
    </row>
    <row r="3949" spans="1:10" x14ac:dyDescent="0.2">
      <c r="A3949" s="859">
        <f t="shared" si="61"/>
        <v>3948</v>
      </c>
      <c r="B3949" s="845" t="s">
        <v>2556</v>
      </c>
      <c r="D3949" s="861"/>
      <c r="H3949" s="845" t="s">
        <v>1010</v>
      </c>
    </row>
    <row r="3950" spans="1:10" x14ac:dyDescent="0.2">
      <c r="A3950" s="859">
        <f t="shared" si="61"/>
        <v>3949</v>
      </c>
      <c r="B3950" s="845" t="s">
        <v>2556</v>
      </c>
      <c r="D3950" s="861"/>
      <c r="H3950" s="845" t="s">
        <v>1007</v>
      </c>
    </row>
    <row r="3951" spans="1:10" x14ac:dyDescent="0.2">
      <c r="A3951" s="859">
        <f t="shared" si="61"/>
        <v>3950</v>
      </c>
      <c r="B3951" s="845" t="s">
        <v>2556</v>
      </c>
      <c r="D3951" s="862"/>
      <c r="I3951" s="845" t="s">
        <v>1008</v>
      </c>
    </row>
    <row r="3952" spans="1:10" x14ac:dyDescent="0.2">
      <c r="A3952" s="859">
        <f t="shared" si="61"/>
        <v>3951</v>
      </c>
      <c r="B3952" s="845" t="s">
        <v>2556</v>
      </c>
      <c r="D3952" s="863"/>
      <c r="J3952" s="845" t="s">
        <v>1633</v>
      </c>
    </row>
    <row r="3953" spans="1:10" x14ac:dyDescent="0.2">
      <c r="A3953" s="859">
        <f t="shared" si="61"/>
        <v>3952</v>
      </c>
      <c r="B3953" s="845" t="s">
        <v>2556</v>
      </c>
      <c r="D3953" s="862"/>
      <c r="I3953" s="845" t="s">
        <v>1009</v>
      </c>
    </row>
    <row r="3954" spans="1:10" x14ac:dyDescent="0.2">
      <c r="A3954" s="859">
        <f t="shared" si="61"/>
        <v>3953</v>
      </c>
      <c r="B3954" s="845" t="s">
        <v>2556</v>
      </c>
      <c r="D3954" s="862"/>
      <c r="I3954" s="845" t="str">
        <f>CONCATENATE("&lt;valeur&gt;",Cellule_1039,"&lt;/valeur&gt;")</f>
        <v>&lt;valeur&gt;0&lt;/valeur&gt;</v>
      </c>
    </row>
    <row r="3955" spans="1:10" x14ac:dyDescent="0.2">
      <c r="A3955" s="859">
        <f t="shared" si="61"/>
        <v>3954</v>
      </c>
      <c r="B3955" s="845" t="s">
        <v>2556</v>
      </c>
      <c r="D3955" s="861"/>
      <c r="H3955" s="845" t="s">
        <v>1010</v>
      </c>
    </row>
    <row r="3956" spans="1:10" x14ac:dyDescent="0.2">
      <c r="A3956" s="859">
        <f t="shared" si="61"/>
        <v>3955</v>
      </c>
      <c r="B3956" s="845" t="s">
        <v>2556</v>
      </c>
      <c r="D3956" s="861"/>
      <c r="H3956" s="845" t="s">
        <v>1007</v>
      </c>
    </row>
    <row r="3957" spans="1:10" x14ac:dyDescent="0.2">
      <c r="A3957" s="859">
        <f t="shared" si="61"/>
        <v>3956</v>
      </c>
      <c r="B3957" s="845" t="s">
        <v>2556</v>
      </c>
      <c r="D3957" s="862"/>
      <c r="I3957" s="845" t="s">
        <v>1008</v>
      </c>
    </row>
    <row r="3958" spans="1:10" x14ac:dyDescent="0.2">
      <c r="A3958" s="859">
        <f t="shared" si="61"/>
        <v>3957</v>
      </c>
      <c r="B3958" s="845" t="s">
        <v>2556</v>
      </c>
      <c r="D3958" s="863"/>
      <c r="J3958" s="845" t="s">
        <v>1634</v>
      </c>
    </row>
    <row r="3959" spans="1:10" x14ac:dyDescent="0.2">
      <c r="A3959" s="859">
        <f t="shared" si="61"/>
        <v>3958</v>
      </c>
      <c r="B3959" s="845" t="s">
        <v>2556</v>
      </c>
      <c r="D3959" s="862"/>
      <c r="I3959" s="845" t="s">
        <v>1009</v>
      </c>
    </row>
    <row r="3960" spans="1:10" x14ac:dyDescent="0.2">
      <c r="A3960" s="859">
        <f t="shared" si="61"/>
        <v>3959</v>
      </c>
      <c r="B3960" s="845" t="s">
        <v>2556</v>
      </c>
      <c r="D3960" s="862"/>
      <c r="I3960" s="845" t="str">
        <f>CONCATENATE("&lt;valeur&gt;",Cellule_1040,"&lt;/valeur&gt;")</f>
        <v>&lt;valeur&gt;0&lt;/valeur&gt;</v>
      </c>
    </row>
    <row r="3961" spans="1:10" x14ac:dyDescent="0.2">
      <c r="A3961" s="859">
        <f t="shared" si="61"/>
        <v>3960</v>
      </c>
      <c r="B3961" s="845" t="s">
        <v>2556</v>
      </c>
      <c r="D3961" s="861"/>
      <c r="H3961" s="845" t="s">
        <v>1010</v>
      </c>
    </row>
    <row r="3962" spans="1:10" x14ac:dyDescent="0.2">
      <c r="A3962" s="859">
        <f t="shared" si="61"/>
        <v>3961</v>
      </c>
      <c r="B3962" s="845" t="s">
        <v>2556</v>
      </c>
      <c r="D3962" s="861"/>
      <c r="H3962" s="845" t="s">
        <v>1007</v>
      </c>
    </row>
    <row r="3963" spans="1:10" x14ac:dyDescent="0.2">
      <c r="A3963" s="859">
        <f t="shared" si="61"/>
        <v>3962</v>
      </c>
      <c r="B3963" s="845" t="s">
        <v>2556</v>
      </c>
      <c r="D3963" s="862"/>
      <c r="I3963" s="845" t="s">
        <v>1008</v>
      </c>
    </row>
    <row r="3964" spans="1:10" x14ac:dyDescent="0.2">
      <c r="A3964" s="859">
        <f t="shared" si="61"/>
        <v>3963</v>
      </c>
      <c r="B3964" s="845" t="s">
        <v>2556</v>
      </c>
      <c r="D3964" s="863"/>
      <c r="J3964" s="845" t="s">
        <v>1635</v>
      </c>
    </row>
    <row r="3965" spans="1:10" x14ac:dyDescent="0.2">
      <c r="A3965" s="859">
        <f t="shared" si="61"/>
        <v>3964</v>
      </c>
      <c r="B3965" s="845" t="s">
        <v>2556</v>
      </c>
      <c r="D3965" s="862"/>
      <c r="I3965" s="845" t="s">
        <v>1009</v>
      </c>
    </row>
    <row r="3966" spans="1:10" x14ac:dyDescent="0.2">
      <c r="A3966" s="859">
        <f t="shared" si="61"/>
        <v>3965</v>
      </c>
      <c r="B3966" s="845" t="s">
        <v>2556</v>
      </c>
      <c r="D3966" s="862"/>
      <c r="I3966" s="845" t="str">
        <f>CONCATENATE("&lt;valeur&gt;",Cellule_1041,"&lt;/valeur&gt;")</f>
        <v>&lt;valeur&gt;0&lt;/valeur&gt;</v>
      </c>
    </row>
    <row r="3967" spans="1:10" x14ac:dyDescent="0.2">
      <c r="A3967" s="859">
        <f t="shared" si="61"/>
        <v>3966</v>
      </c>
      <c r="B3967" s="845" t="s">
        <v>2556</v>
      </c>
      <c r="D3967" s="861"/>
      <c r="H3967" s="845" t="s">
        <v>1010</v>
      </c>
    </row>
    <row r="3968" spans="1:10" x14ac:dyDescent="0.2">
      <c r="A3968" s="859">
        <f t="shared" si="61"/>
        <v>3967</v>
      </c>
      <c r="B3968" s="845" t="s">
        <v>2556</v>
      </c>
      <c r="D3968" s="861"/>
      <c r="H3968" s="845" t="s">
        <v>1007</v>
      </c>
    </row>
    <row r="3969" spans="1:10" x14ac:dyDescent="0.2">
      <c r="A3969" s="859">
        <f t="shared" si="61"/>
        <v>3968</v>
      </c>
      <c r="B3969" s="845" t="s">
        <v>2556</v>
      </c>
      <c r="D3969" s="862"/>
      <c r="I3969" s="845" t="s">
        <v>1008</v>
      </c>
    </row>
    <row r="3970" spans="1:10" x14ac:dyDescent="0.2">
      <c r="A3970" s="859">
        <f t="shared" si="61"/>
        <v>3969</v>
      </c>
      <c r="B3970" s="845" t="s">
        <v>2556</v>
      </c>
      <c r="D3970" s="863"/>
      <c r="J3970" s="845" t="s">
        <v>1636</v>
      </c>
    </row>
    <row r="3971" spans="1:10" x14ac:dyDescent="0.2">
      <c r="A3971" s="859">
        <f t="shared" si="61"/>
        <v>3970</v>
      </c>
      <c r="B3971" s="845" t="s">
        <v>2556</v>
      </c>
      <c r="D3971" s="862"/>
      <c r="I3971" s="845" t="s">
        <v>1009</v>
      </c>
    </row>
    <row r="3972" spans="1:10" x14ac:dyDescent="0.2">
      <c r="A3972" s="859">
        <f t="shared" ref="A3972:A4035" si="62">+A3971+1</f>
        <v>3971</v>
      </c>
      <c r="B3972" s="845" t="s">
        <v>2556</v>
      </c>
      <c r="D3972" s="862"/>
      <c r="I3972" s="845" t="str">
        <f>CONCATENATE("&lt;valeur&gt;",Cellule_1042,"&lt;/valeur&gt;")</f>
        <v>&lt;valeur&gt;0&lt;/valeur&gt;</v>
      </c>
    </row>
    <row r="3973" spans="1:10" x14ac:dyDescent="0.2">
      <c r="A3973" s="859">
        <f t="shared" si="62"/>
        <v>3972</v>
      </c>
      <c r="B3973" s="845" t="s">
        <v>2556</v>
      </c>
      <c r="D3973" s="861"/>
      <c r="H3973" s="845" t="s">
        <v>1010</v>
      </c>
    </row>
    <row r="3974" spans="1:10" x14ac:dyDescent="0.2">
      <c r="A3974" s="859">
        <f t="shared" si="62"/>
        <v>3973</v>
      </c>
      <c r="B3974" s="845" t="s">
        <v>2556</v>
      </c>
      <c r="D3974" s="861"/>
      <c r="H3974" s="845" t="s">
        <v>1007</v>
      </c>
    </row>
    <row r="3975" spans="1:10" x14ac:dyDescent="0.2">
      <c r="A3975" s="859">
        <f t="shared" si="62"/>
        <v>3974</v>
      </c>
      <c r="B3975" s="845" t="s">
        <v>2556</v>
      </c>
      <c r="D3975" s="862"/>
      <c r="I3975" s="845" t="s">
        <v>1008</v>
      </c>
    </row>
    <row r="3976" spans="1:10" x14ac:dyDescent="0.2">
      <c r="A3976" s="859">
        <f t="shared" si="62"/>
        <v>3975</v>
      </c>
      <c r="B3976" s="845" t="s">
        <v>2556</v>
      </c>
      <c r="D3976" s="863"/>
      <c r="J3976" s="845" t="s">
        <v>1637</v>
      </c>
    </row>
    <row r="3977" spans="1:10" x14ac:dyDescent="0.2">
      <c r="A3977" s="859">
        <f t="shared" si="62"/>
        <v>3976</v>
      </c>
      <c r="B3977" s="845" t="s">
        <v>2556</v>
      </c>
      <c r="D3977" s="862"/>
      <c r="I3977" s="845" t="s">
        <v>1009</v>
      </c>
    </row>
    <row r="3978" spans="1:10" x14ac:dyDescent="0.2">
      <c r="A3978" s="859">
        <f t="shared" si="62"/>
        <v>3977</v>
      </c>
      <c r="B3978" s="845" t="s">
        <v>2556</v>
      </c>
      <c r="D3978" s="862"/>
      <c r="I3978" s="845" t="str">
        <f>CONCATENATE("&lt;valeur&gt;",Cellule_10078,"&lt;/valeur&gt;")</f>
        <v>&lt;valeur&gt;0&lt;/valeur&gt;</v>
      </c>
    </row>
    <row r="3979" spans="1:10" x14ac:dyDescent="0.2">
      <c r="A3979" s="859">
        <f t="shared" si="62"/>
        <v>3978</v>
      </c>
      <c r="B3979" s="845" t="s">
        <v>2556</v>
      </c>
      <c r="D3979" s="861"/>
      <c r="H3979" s="845" t="s">
        <v>1010</v>
      </c>
    </row>
    <row r="3980" spans="1:10" x14ac:dyDescent="0.2">
      <c r="A3980" s="859">
        <f t="shared" si="62"/>
        <v>3979</v>
      </c>
      <c r="B3980" s="845" t="s">
        <v>2556</v>
      </c>
      <c r="D3980" s="861"/>
      <c r="H3980" s="845" t="s">
        <v>1007</v>
      </c>
    </row>
    <row r="3981" spans="1:10" x14ac:dyDescent="0.2">
      <c r="A3981" s="859">
        <f t="shared" si="62"/>
        <v>3980</v>
      </c>
      <c r="B3981" s="845" t="s">
        <v>2556</v>
      </c>
      <c r="D3981" s="862"/>
      <c r="I3981" s="845" t="s">
        <v>1008</v>
      </c>
    </row>
    <row r="3982" spans="1:10" x14ac:dyDescent="0.2">
      <c r="A3982" s="859">
        <f t="shared" si="62"/>
        <v>3981</v>
      </c>
      <c r="B3982" s="845" t="s">
        <v>2556</v>
      </c>
      <c r="D3982" s="863"/>
      <c r="J3982" s="845" t="s">
        <v>1638</v>
      </c>
    </row>
    <row r="3983" spans="1:10" x14ac:dyDescent="0.2">
      <c r="A3983" s="859">
        <f t="shared" si="62"/>
        <v>3982</v>
      </c>
      <c r="B3983" s="845" t="s">
        <v>2556</v>
      </c>
      <c r="D3983" s="862"/>
      <c r="I3983" s="845" t="s">
        <v>1009</v>
      </c>
    </row>
    <row r="3984" spans="1:10" x14ac:dyDescent="0.2">
      <c r="A3984" s="859">
        <f t="shared" si="62"/>
        <v>3983</v>
      </c>
      <c r="B3984" s="845" t="s">
        <v>2556</v>
      </c>
      <c r="D3984" s="862"/>
      <c r="I3984" s="845" t="str">
        <f>CONCATENATE("&lt;valeur&gt;",Cellule_1053,"&lt;/valeur&gt;")</f>
        <v>&lt;valeur&gt;0&lt;/valeur&gt;</v>
      </c>
    </row>
    <row r="3985" spans="1:10" x14ac:dyDescent="0.2">
      <c r="A3985" s="859">
        <f t="shared" si="62"/>
        <v>3984</v>
      </c>
      <c r="B3985" s="845" t="s">
        <v>2556</v>
      </c>
      <c r="D3985" s="861"/>
      <c r="H3985" s="845" t="s">
        <v>1010</v>
      </c>
    </row>
    <row r="3986" spans="1:10" x14ac:dyDescent="0.2">
      <c r="A3986" s="859">
        <f t="shared" si="62"/>
        <v>3985</v>
      </c>
      <c r="B3986" s="845" t="s">
        <v>2556</v>
      </c>
      <c r="D3986" s="861"/>
      <c r="H3986" s="845" t="s">
        <v>1007</v>
      </c>
    </row>
    <row r="3987" spans="1:10" x14ac:dyDescent="0.2">
      <c r="A3987" s="859">
        <f t="shared" si="62"/>
        <v>3986</v>
      </c>
      <c r="B3987" s="845" t="s">
        <v>2556</v>
      </c>
      <c r="D3987" s="862"/>
      <c r="I3987" s="845" t="s">
        <v>1008</v>
      </c>
    </row>
    <row r="3988" spans="1:10" x14ac:dyDescent="0.2">
      <c r="A3988" s="859">
        <f t="shared" si="62"/>
        <v>3987</v>
      </c>
      <c r="B3988" s="845" t="s">
        <v>2556</v>
      </c>
      <c r="D3988" s="863"/>
      <c r="J3988" s="845" t="s">
        <v>1639</v>
      </c>
    </row>
    <row r="3989" spans="1:10" x14ac:dyDescent="0.2">
      <c r="A3989" s="859">
        <f t="shared" si="62"/>
        <v>3988</v>
      </c>
      <c r="B3989" s="845" t="s">
        <v>2556</v>
      </c>
      <c r="D3989" s="862"/>
      <c r="I3989" s="845" t="s">
        <v>1009</v>
      </c>
    </row>
    <row r="3990" spans="1:10" x14ac:dyDescent="0.2">
      <c r="A3990" s="859">
        <f t="shared" si="62"/>
        <v>3989</v>
      </c>
      <c r="B3990" s="845" t="s">
        <v>2556</v>
      </c>
      <c r="D3990" s="862"/>
      <c r="I3990" s="845" t="str">
        <f>CONCATENATE("&lt;valeur&gt;",Cellule_1054,"&lt;/valeur&gt;")</f>
        <v>&lt;valeur&gt;0&lt;/valeur&gt;</v>
      </c>
    </row>
    <row r="3991" spans="1:10" x14ac:dyDescent="0.2">
      <c r="A3991" s="859">
        <f t="shared" si="62"/>
        <v>3990</v>
      </c>
      <c r="B3991" s="845" t="s">
        <v>2556</v>
      </c>
      <c r="D3991" s="861"/>
      <c r="H3991" s="845" t="s">
        <v>1010</v>
      </c>
    </row>
    <row r="3992" spans="1:10" x14ac:dyDescent="0.2">
      <c r="A3992" s="859">
        <f t="shared" si="62"/>
        <v>3991</v>
      </c>
      <c r="B3992" s="845" t="s">
        <v>2556</v>
      </c>
      <c r="D3992" s="861"/>
      <c r="H3992" s="845" t="s">
        <v>1007</v>
      </c>
    </row>
    <row r="3993" spans="1:10" x14ac:dyDescent="0.2">
      <c r="A3993" s="859">
        <f t="shared" si="62"/>
        <v>3992</v>
      </c>
      <c r="B3993" s="845" t="s">
        <v>2556</v>
      </c>
      <c r="D3993" s="862"/>
      <c r="I3993" s="845" t="s">
        <v>1008</v>
      </c>
    </row>
    <row r="3994" spans="1:10" x14ac:dyDescent="0.2">
      <c r="A3994" s="859">
        <f t="shared" si="62"/>
        <v>3993</v>
      </c>
      <c r="B3994" s="845" t="s">
        <v>2556</v>
      </c>
      <c r="D3994" s="863"/>
      <c r="J3994" s="845" t="s">
        <v>1640</v>
      </c>
    </row>
    <row r="3995" spans="1:10" x14ac:dyDescent="0.2">
      <c r="A3995" s="859">
        <f t="shared" si="62"/>
        <v>3994</v>
      </c>
      <c r="B3995" s="845" t="s">
        <v>2556</v>
      </c>
      <c r="D3995" s="862"/>
      <c r="I3995" s="845" t="s">
        <v>1009</v>
      </c>
    </row>
    <row r="3996" spans="1:10" x14ac:dyDescent="0.2">
      <c r="A3996" s="859">
        <f t="shared" si="62"/>
        <v>3995</v>
      </c>
      <c r="B3996" s="845" t="s">
        <v>2556</v>
      </c>
      <c r="D3996" s="862"/>
      <c r="I3996" s="845" t="str">
        <f>CONCATENATE("&lt;valeur&gt;",Cellule_1055,"&lt;/valeur&gt;")</f>
        <v>&lt;valeur&gt;0&lt;/valeur&gt;</v>
      </c>
    </row>
    <row r="3997" spans="1:10" x14ac:dyDescent="0.2">
      <c r="A3997" s="859">
        <f t="shared" si="62"/>
        <v>3996</v>
      </c>
      <c r="B3997" s="845" t="s">
        <v>2556</v>
      </c>
      <c r="D3997" s="861"/>
      <c r="H3997" s="845" t="s">
        <v>1010</v>
      </c>
    </row>
    <row r="3998" spans="1:10" x14ac:dyDescent="0.2">
      <c r="A3998" s="859">
        <f t="shared" si="62"/>
        <v>3997</v>
      </c>
      <c r="B3998" s="845" t="s">
        <v>2556</v>
      </c>
      <c r="D3998" s="861"/>
      <c r="H3998" s="845" t="s">
        <v>1007</v>
      </c>
    </row>
    <row r="3999" spans="1:10" x14ac:dyDescent="0.2">
      <c r="A3999" s="859">
        <f t="shared" si="62"/>
        <v>3998</v>
      </c>
      <c r="B3999" s="845" t="s">
        <v>2556</v>
      </c>
      <c r="D3999" s="862"/>
      <c r="I3999" s="845" t="s">
        <v>1008</v>
      </c>
    </row>
    <row r="4000" spans="1:10" x14ac:dyDescent="0.2">
      <c r="A4000" s="859">
        <f t="shared" si="62"/>
        <v>3999</v>
      </c>
      <c r="B4000" s="845" t="s">
        <v>2556</v>
      </c>
      <c r="D4000" s="863"/>
      <c r="J4000" s="845" t="s">
        <v>1641</v>
      </c>
    </row>
    <row r="4001" spans="1:10" x14ac:dyDescent="0.2">
      <c r="A4001" s="859">
        <f t="shared" si="62"/>
        <v>4000</v>
      </c>
      <c r="B4001" s="845" t="s">
        <v>2556</v>
      </c>
      <c r="D4001" s="862"/>
      <c r="I4001" s="845" t="s">
        <v>1009</v>
      </c>
    </row>
    <row r="4002" spans="1:10" x14ac:dyDescent="0.2">
      <c r="A4002" s="859">
        <f t="shared" si="62"/>
        <v>4001</v>
      </c>
      <c r="B4002" s="845" t="s">
        <v>2556</v>
      </c>
      <c r="D4002" s="862"/>
      <c r="I4002" s="845" t="str">
        <f>CONCATENATE("&lt;valeur&gt;",Cellule_1056,"&lt;/valeur&gt;")</f>
        <v>&lt;valeur&gt;0&lt;/valeur&gt;</v>
      </c>
    </row>
    <row r="4003" spans="1:10" x14ac:dyDescent="0.2">
      <c r="A4003" s="859">
        <f t="shared" si="62"/>
        <v>4002</v>
      </c>
      <c r="B4003" s="845" t="s">
        <v>2556</v>
      </c>
      <c r="D4003" s="861"/>
      <c r="H4003" s="845" t="s">
        <v>1010</v>
      </c>
    </row>
    <row r="4004" spans="1:10" x14ac:dyDescent="0.2">
      <c r="A4004" s="859">
        <f t="shared" si="62"/>
        <v>4003</v>
      </c>
      <c r="B4004" s="845" t="s">
        <v>2556</v>
      </c>
      <c r="D4004" s="861"/>
      <c r="H4004" s="845" t="s">
        <v>1007</v>
      </c>
    </row>
    <row r="4005" spans="1:10" x14ac:dyDescent="0.2">
      <c r="A4005" s="859">
        <f t="shared" si="62"/>
        <v>4004</v>
      </c>
      <c r="B4005" s="845" t="s">
        <v>2556</v>
      </c>
      <c r="D4005" s="862"/>
      <c r="I4005" s="845" t="s">
        <v>1008</v>
      </c>
    </row>
    <row r="4006" spans="1:10" x14ac:dyDescent="0.2">
      <c r="A4006" s="859">
        <f t="shared" si="62"/>
        <v>4005</v>
      </c>
      <c r="B4006" s="845" t="s">
        <v>2556</v>
      </c>
      <c r="D4006" s="863"/>
      <c r="J4006" s="845" t="s">
        <v>1642</v>
      </c>
    </row>
    <row r="4007" spans="1:10" x14ac:dyDescent="0.2">
      <c r="A4007" s="859">
        <f t="shared" si="62"/>
        <v>4006</v>
      </c>
      <c r="B4007" s="845" t="s">
        <v>2556</v>
      </c>
      <c r="D4007" s="862"/>
      <c r="I4007" s="845" t="s">
        <v>1009</v>
      </c>
    </row>
    <row r="4008" spans="1:10" x14ac:dyDescent="0.2">
      <c r="A4008" s="859">
        <f t="shared" si="62"/>
        <v>4007</v>
      </c>
      <c r="B4008" s="845" t="s">
        <v>2556</v>
      </c>
      <c r="D4008" s="862"/>
      <c r="I4008" s="845" t="str">
        <f>CONCATENATE("&lt;valeur&gt;",Cellule_10079,"&lt;/valeur&gt;")</f>
        <v>&lt;valeur&gt;0&lt;/valeur&gt;</v>
      </c>
    </row>
    <row r="4009" spans="1:10" x14ac:dyDescent="0.2">
      <c r="A4009" s="859">
        <f t="shared" si="62"/>
        <v>4008</v>
      </c>
      <c r="B4009" s="845" t="s">
        <v>2556</v>
      </c>
      <c r="D4009" s="861"/>
      <c r="H4009" s="845" t="s">
        <v>1010</v>
      </c>
    </row>
    <row r="4010" spans="1:10" x14ac:dyDescent="0.2">
      <c r="A4010" s="859">
        <f t="shared" si="62"/>
        <v>4009</v>
      </c>
      <c r="B4010" s="845" t="s">
        <v>2556</v>
      </c>
      <c r="D4010" s="861"/>
      <c r="H4010" s="845" t="s">
        <v>1007</v>
      </c>
    </row>
    <row r="4011" spans="1:10" x14ac:dyDescent="0.2">
      <c r="A4011" s="859">
        <f t="shared" si="62"/>
        <v>4010</v>
      </c>
      <c r="B4011" s="845" t="s">
        <v>2556</v>
      </c>
      <c r="D4011" s="862"/>
      <c r="I4011" s="845" t="s">
        <v>1008</v>
      </c>
    </row>
    <row r="4012" spans="1:10" x14ac:dyDescent="0.2">
      <c r="A4012" s="859">
        <f t="shared" si="62"/>
        <v>4011</v>
      </c>
      <c r="B4012" s="845" t="s">
        <v>2556</v>
      </c>
      <c r="D4012" s="863"/>
      <c r="J4012" s="845" t="s">
        <v>1643</v>
      </c>
    </row>
    <row r="4013" spans="1:10" x14ac:dyDescent="0.2">
      <c r="A4013" s="859">
        <f t="shared" si="62"/>
        <v>4012</v>
      </c>
      <c r="B4013" s="845" t="s">
        <v>2556</v>
      </c>
      <c r="D4013" s="862"/>
      <c r="I4013" s="845" t="s">
        <v>1009</v>
      </c>
    </row>
    <row r="4014" spans="1:10" x14ac:dyDescent="0.2">
      <c r="A4014" s="859">
        <f t="shared" si="62"/>
        <v>4013</v>
      </c>
      <c r="B4014" s="845" t="s">
        <v>2556</v>
      </c>
      <c r="D4014" s="862"/>
      <c r="I4014" s="845" t="str">
        <f>CONCATENATE("&lt;valeur&gt;",Cellule_1067,"&lt;/valeur&gt;")</f>
        <v>&lt;valeur&gt;0&lt;/valeur&gt;</v>
      </c>
    </row>
    <row r="4015" spans="1:10" x14ac:dyDescent="0.2">
      <c r="A4015" s="859">
        <f t="shared" si="62"/>
        <v>4014</v>
      </c>
      <c r="B4015" s="845" t="s">
        <v>2556</v>
      </c>
      <c r="D4015" s="861"/>
      <c r="H4015" s="845" t="s">
        <v>1010</v>
      </c>
    </row>
    <row r="4016" spans="1:10" x14ac:dyDescent="0.2">
      <c r="A4016" s="859">
        <f t="shared" si="62"/>
        <v>4015</v>
      </c>
      <c r="B4016" s="845" t="s">
        <v>2556</v>
      </c>
      <c r="D4016" s="861"/>
      <c r="H4016" s="845" t="s">
        <v>1007</v>
      </c>
    </row>
    <row r="4017" spans="1:10" x14ac:dyDescent="0.2">
      <c r="A4017" s="859">
        <f t="shared" si="62"/>
        <v>4016</v>
      </c>
      <c r="B4017" s="845" t="s">
        <v>2556</v>
      </c>
      <c r="D4017" s="862"/>
      <c r="I4017" s="845" t="s">
        <v>1008</v>
      </c>
    </row>
    <row r="4018" spans="1:10" x14ac:dyDescent="0.2">
      <c r="A4018" s="859">
        <f t="shared" si="62"/>
        <v>4017</v>
      </c>
      <c r="B4018" s="845" t="s">
        <v>2556</v>
      </c>
      <c r="D4018" s="863"/>
      <c r="J4018" s="845" t="s">
        <v>1644</v>
      </c>
    </row>
    <row r="4019" spans="1:10" x14ac:dyDescent="0.2">
      <c r="A4019" s="859">
        <f t="shared" si="62"/>
        <v>4018</v>
      </c>
      <c r="B4019" s="845" t="s">
        <v>2556</v>
      </c>
      <c r="D4019" s="862"/>
      <c r="I4019" s="845" t="s">
        <v>1009</v>
      </c>
    </row>
    <row r="4020" spans="1:10" x14ac:dyDescent="0.2">
      <c r="A4020" s="859">
        <f t="shared" si="62"/>
        <v>4019</v>
      </c>
      <c r="B4020" s="845" t="s">
        <v>2556</v>
      </c>
      <c r="D4020" s="862"/>
      <c r="I4020" s="845" t="str">
        <f>CONCATENATE("&lt;valeur&gt;",Cellule_1068,"&lt;/valeur&gt;")</f>
        <v>&lt;valeur&gt;0&lt;/valeur&gt;</v>
      </c>
    </row>
    <row r="4021" spans="1:10" x14ac:dyDescent="0.2">
      <c r="A4021" s="859">
        <f t="shared" si="62"/>
        <v>4020</v>
      </c>
      <c r="B4021" s="845" t="s">
        <v>2556</v>
      </c>
      <c r="D4021" s="861"/>
      <c r="H4021" s="845" t="s">
        <v>1010</v>
      </c>
    </row>
    <row r="4022" spans="1:10" x14ac:dyDescent="0.2">
      <c r="A4022" s="859">
        <f t="shared" si="62"/>
        <v>4021</v>
      </c>
      <c r="B4022" s="845" t="s">
        <v>2556</v>
      </c>
      <c r="D4022" s="861"/>
      <c r="H4022" s="845" t="s">
        <v>1007</v>
      </c>
    </row>
    <row r="4023" spans="1:10" x14ac:dyDescent="0.2">
      <c r="A4023" s="859">
        <f t="shared" si="62"/>
        <v>4022</v>
      </c>
      <c r="B4023" s="845" t="s">
        <v>2556</v>
      </c>
      <c r="D4023" s="862"/>
      <c r="I4023" s="845" t="s">
        <v>1008</v>
      </c>
    </row>
    <row r="4024" spans="1:10" x14ac:dyDescent="0.2">
      <c r="A4024" s="859">
        <f t="shared" si="62"/>
        <v>4023</v>
      </c>
      <c r="B4024" s="845" t="s">
        <v>2556</v>
      </c>
      <c r="D4024" s="863"/>
      <c r="J4024" s="845" t="s">
        <v>1645</v>
      </c>
    </row>
    <row r="4025" spans="1:10" x14ac:dyDescent="0.2">
      <c r="A4025" s="859">
        <f t="shared" si="62"/>
        <v>4024</v>
      </c>
      <c r="B4025" s="845" t="s">
        <v>2556</v>
      </c>
      <c r="D4025" s="862"/>
      <c r="I4025" s="845" t="s">
        <v>1009</v>
      </c>
    </row>
    <row r="4026" spans="1:10" x14ac:dyDescent="0.2">
      <c r="A4026" s="859">
        <f t="shared" si="62"/>
        <v>4025</v>
      </c>
      <c r="B4026" s="845" t="s">
        <v>2556</v>
      </c>
      <c r="D4026" s="862"/>
      <c r="I4026" s="845" t="str">
        <f>CONCATENATE("&lt;valeur&gt;",Cellule_1069,"&lt;/valeur&gt;")</f>
        <v>&lt;valeur&gt;0&lt;/valeur&gt;</v>
      </c>
    </row>
    <row r="4027" spans="1:10" x14ac:dyDescent="0.2">
      <c r="A4027" s="859">
        <f t="shared" si="62"/>
        <v>4026</v>
      </c>
      <c r="B4027" s="845" t="s">
        <v>2556</v>
      </c>
      <c r="D4027" s="861"/>
      <c r="H4027" s="845" t="s">
        <v>1010</v>
      </c>
    </row>
    <row r="4028" spans="1:10" x14ac:dyDescent="0.2">
      <c r="A4028" s="859">
        <f t="shared" si="62"/>
        <v>4027</v>
      </c>
      <c r="B4028" s="845" t="s">
        <v>2556</v>
      </c>
      <c r="D4028" s="861"/>
      <c r="H4028" s="845" t="s">
        <v>1007</v>
      </c>
    </row>
    <row r="4029" spans="1:10" x14ac:dyDescent="0.2">
      <c r="A4029" s="859">
        <f t="shared" si="62"/>
        <v>4028</v>
      </c>
      <c r="B4029" s="845" t="s">
        <v>2556</v>
      </c>
      <c r="D4029" s="862"/>
      <c r="I4029" s="845" t="s">
        <v>1008</v>
      </c>
    </row>
    <row r="4030" spans="1:10" x14ac:dyDescent="0.2">
      <c r="A4030" s="859">
        <f t="shared" si="62"/>
        <v>4029</v>
      </c>
      <c r="B4030" s="845" t="s">
        <v>2556</v>
      </c>
      <c r="D4030" s="863"/>
      <c r="J4030" s="845" t="s">
        <v>1646</v>
      </c>
    </row>
    <row r="4031" spans="1:10" x14ac:dyDescent="0.2">
      <c r="A4031" s="859">
        <f t="shared" si="62"/>
        <v>4030</v>
      </c>
      <c r="B4031" s="845" t="s">
        <v>2556</v>
      </c>
      <c r="D4031" s="862"/>
      <c r="I4031" s="845" t="s">
        <v>1009</v>
      </c>
    </row>
    <row r="4032" spans="1:10" x14ac:dyDescent="0.2">
      <c r="A4032" s="859">
        <f t="shared" si="62"/>
        <v>4031</v>
      </c>
      <c r="B4032" s="845" t="s">
        <v>2556</v>
      </c>
      <c r="D4032" s="862"/>
      <c r="I4032" s="845" t="str">
        <f>CONCATENATE("&lt;valeur&gt;",Cellule_1070,"&lt;/valeur&gt;")</f>
        <v>&lt;valeur&gt;0&lt;/valeur&gt;</v>
      </c>
    </row>
    <row r="4033" spans="1:10" x14ac:dyDescent="0.2">
      <c r="A4033" s="859">
        <f t="shared" si="62"/>
        <v>4032</v>
      </c>
      <c r="B4033" s="845" t="s">
        <v>2556</v>
      </c>
      <c r="D4033" s="861"/>
      <c r="H4033" s="845" t="s">
        <v>1010</v>
      </c>
    </row>
    <row r="4034" spans="1:10" x14ac:dyDescent="0.2">
      <c r="A4034" s="859">
        <f t="shared" si="62"/>
        <v>4033</v>
      </c>
      <c r="B4034" s="845" t="s">
        <v>2556</v>
      </c>
      <c r="D4034" s="861"/>
      <c r="H4034" s="845" t="s">
        <v>1007</v>
      </c>
    </row>
    <row r="4035" spans="1:10" x14ac:dyDescent="0.2">
      <c r="A4035" s="859">
        <f t="shared" si="62"/>
        <v>4034</v>
      </c>
      <c r="B4035" s="845" t="s">
        <v>2556</v>
      </c>
      <c r="D4035" s="862"/>
      <c r="I4035" s="845" t="s">
        <v>1008</v>
      </c>
    </row>
    <row r="4036" spans="1:10" x14ac:dyDescent="0.2">
      <c r="A4036" s="859">
        <f t="shared" ref="A4036:A4099" si="63">+A4035+1</f>
        <v>4035</v>
      </c>
      <c r="B4036" s="845" t="s">
        <v>2556</v>
      </c>
      <c r="D4036" s="863"/>
      <c r="J4036" s="845" t="s">
        <v>1647</v>
      </c>
    </row>
    <row r="4037" spans="1:10" x14ac:dyDescent="0.2">
      <c r="A4037" s="859">
        <f t="shared" si="63"/>
        <v>4036</v>
      </c>
      <c r="B4037" s="845" t="s">
        <v>2556</v>
      </c>
      <c r="D4037" s="862"/>
      <c r="I4037" s="845" t="s">
        <v>1009</v>
      </c>
    </row>
    <row r="4038" spans="1:10" x14ac:dyDescent="0.2">
      <c r="A4038" s="859">
        <f t="shared" si="63"/>
        <v>4037</v>
      </c>
      <c r="B4038" s="845" t="s">
        <v>2556</v>
      </c>
      <c r="D4038" s="862"/>
      <c r="I4038" s="845" t="str">
        <f>CONCATENATE("&lt;valeur&gt;",Cellule_10080,"&lt;/valeur&gt;")</f>
        <v>&lt;valeur&gt;0&lt;/valeur&gt;</v>
      </c>
    </row>
    <row r="4039" spans="1:10" x14ac:dyDescent="0.2">
      <c r="A4039" s="859">
        <f t="shared" si="63"/>
        <v>4038</v>
      </c>
      <c r="B4039" s="845" t="s">
        <v>2556</v>
      </c>
      <c r="D4039" s="861"/>
      <c r="H4039" s="845" t="s">
        <v>1010</v>
      </c>
    </row>
    <row r="4040" spans="1:10" x14ac:dyDescent="0.2">
      <c r="A4040" s="859">
        <f t="shared" si="63"/>
        <v>4039</v>
      </c>
      <c r="B4040" s="845" t="s">
        <v>2556</v>
      </c>
      <c r="D4040" s="861"/>
      <c r="H4040" s="845" t="s">
        <v>1007</v>
      </c>
    </row>
    <row r="4041" spans="1:10" x14ac:dyDescent="0.2">
      <c r="A4041" s="859">
        <f t="shared" si="63"/>
        <v>4040</v>
      </c>
      <c r="B4041" s="845" t="s">
        <v>2556</v>
      </c>
      <c r="D4041" s="862"/>
      <c r="I4041" s="845" t="s">
        <v>1008</v>
      </c>
    </row>
    <row r="4042" spans="1:10" x14ac:dyDescent="0.2">
      <c r="A4042" s="859">
        <f t="shared" si="63"/>
        <v>4041</v>
      </c>
      <c r="B4042" s="845" t="s">
        <v>2556</v>
      </c>
      <c r="D4042" s="863"/>
      <c r="J4042" s="845" t="s">
        <v>1648</v>
      </c>
    </row>
    <row r="4043" spans="1:10" x14ac:dyDescent="0.2">
      <c r="A4043" s="859">
        <f t="shared" si="63"/>
        <v>4042</v>
      </c>
      <c r="B4043" s="845" t="s">
        <v>2556</v>
      </c>
      <c r="D4043" s="862"/>
      <c r="I4043" s="845" t="s">
        <v>1009</v>
      </c>
    </row>
    <row r="4044" spans="1:10" x14ac:dyDescent="0.2">
      <c r="A4044" s="859">
        <f t="shared" si="63"/>
        <v>4043</v>
      </c>
      <c r="B4044" s="845" t="s">
        <v>2556</v>
      </c>
      <c r="D4044" s="862"/>
      <c r="I4044" s="845" t="str">
        <f>CONCATENATE("&lt;valeur&gt;",Cellule_973,"&lt;/valeur&gt;")</f>
        <v>&lt;valeur&gt;0&lt;/valeur&gt;</v>
      </c>
    </row>
    <row r="4045" spans="1:10" x14ac:dyDescent="0.2">
      <c r="A4045" s="859">
        <f t="shared" si="63"/>
        <v>4044</v>
      </c>
      <c r="B4045" s="845" t="s">
        <v>2556</v>
      </c>
      <c r="D4045" s="861"/>
      <c r="H4045" s="845" t="s">
        <v>1010</v>
      </c>
    </row>
    <row r="4046" spans="1:10" x14ac:dyDescent="0.2">
      <c r="A4046" s="859">
        <f t="shared" si="63"/>
        <v>4045</v>
      </c>
      <c r="B4046" s="845" t="s">
        <v>2556</v>
      </c>
      <c r="D4046" s="861"/>
      <c r="H4046" s="845" t="s">
        <v>1007</v>
      </c>
    </row>
    <row r="4047" spans="1:10" x14ac:dyDescent="0.2">
      <c r="A4047" s="859">
        <f t="shared" si="63"/>
        <v>4046</v>
      </c>
      <c r="B4047" s="845" t="s">
        <v>2556</v>
      </c>
      <c r="D4047" s="862"/>
      <c r="I4047" s="845" t="s">
        <v>1008</v>
      </c>
    </row>
    <row r="4048" spans="1:10" x14ac:dyDescent="0.2">
      <c r="A4048" s="859">
        <f t="shared" si="63"/>
        <v>4047</v>
      </c>
      <c r="B4048" s="845" t="s">
        <v>2556</v>
      </c>
      <c r="D4048" s="863"/>
      <c r="J4048" s="845" t="s">
        <v>1649</v>
      </c>
    </row>
    <row r="4049" spans="1:10" x14ac:dyDescent="0.2">
      <c r="A4049" s="859">
        <f t="shared" si="63"/>
        <v>4048</v>
      </c>
      <c r="B4049" s="845" t="s">
        <v>2556</v>
      </c>
      <c r="D4049" s="862"/>
      <c r="I4049" s="845" t="s">
        <v>1009</v>
      </c>
    </row>
    <row r="4050" spans="1:10" x14ac:dyDescent="0.2">
      <c r="A4050" s="859">
        <f t="shared" si="63"/>
        <v>4049</v>
      </c>
      <c r="B4050" s="845" t="s">
        <v>2556</v>
      </c>
      <c r="D4050" s="862"/>
      <c r="I4050" s="845" t="str">
        <f>CONCATENATE("&lt;valeur&gt;",Cellule_974,"&lt;/valeur&gt;")</f>
        <v>&lt;valeur&gt;0&lt;/valeur&gt;</v>
      </c>
    </row>
    <row r="4051" spans="1:10" x14ac:dyDescent="0.2">
      <c r="A4051" s="859">
        <f t="shared" si="63"/>
        <v>4050</v>
      </c>
      <c r="B4051" s="845" t="s">
        <v>2556</v>
      </c>
      <c r="D4051" s="861"/>
      <c r="H4051" s="845" t="s">
        <v>1010</v>
      </c>
    </row>
    <row r="4052" spans="1:10" x14ac:dyDescent="0.2">
      <c r="A4052" s="859">
        <f t="shared" si="63"/>
        <v>4051</v>
      </c>
      <c r="B4052" s="845" t="s">
        <v>2556</v>
      </c>
      <c r="D4052" s="861"/>
      <c r="H4052" s="845" t="s">
        <v>1007</v>
      </c>
    </row>
    <row r="4053" spans="1:10" x14ac:dyDescent="0.2">
      <c r="A4053" s="859">
        <f t="shared" si="63"/>
        <v>4052</v>
      </c>
      <c r="B4053" s="845" t="s">
        <v>2556</v>
      </c>
      <c r="D4053" s="862"/>
      <c r="I4053" s="845" t="s">
        <v>1008</v>
      </c>
    </row>
    <row r="4054" spans="1:10" x14ac:dyDescent="0.2">
      <c r="A4054" s="859">
        <f t="shared" si="63"/>
        <v>4053</v>
      </c>
      <c r="B4054" s="845" t="s">
        <v>2556</v>
      </c>
      <c r="D4054" s="863"/>
      <c r="J4054" s="845" t="s">
        <v>1650</v>
      </c>
    </row>
    <row r="4055" spans="1:10" x14ac:dyDescent="0.2">
      <c r="A4055" s="859">
        <f t="shared" si="63"/>
        <v>4054</v>
      </c>
      <c r="B4055" s="845" t="s">
        <v>2556</v>
      </c>
      <c r="D4055" s="862"/>
      <c r="I4055" s="845" t="s">
        <v>1009</v>
      </c>
    </row>
    <row r="4056" spans="1:10" x14ac:dyDescent="0.2">
      <c r="A4056" s="859">
        <f t="shared" si="63"/>
        <v>4055</v>
      </c>
      <c r="B4056" s="845" t="s">
        <v>2556</v>
      </c>
      <c r="D4056" s="862"/>
      <c r="I4056" s="845" t="str">
        <f>CONCATENATE("&lt;valeur&gt;",Cellule_975,"&lt;/valeur&gt;")</f>
        <v>&lt;valeur&gt;0&lt;/valeur&gt;</v>
      </c>
    </row>
    <row r="4057" spans="1:10" x14ac:dyDescent="0.2">
      <c r="A4057" s="859">
        <f t="shared" si="63"/>
        <v>4056</v>
      </c>
      <c r="B4057" s="845" t="s">
        <v>2556</v>
      </c>
      <c r="D4057" s="861"/>
      <c r="H4057" s="845" t="s">
        <v>1010</v>
      </c>
    </row>
    <row r="4058" spans="1:10" x14ac:dyDescent="0.2">
      <c r="A4058" s="859">
        <f t="shared" si="63"/>
        <v>4057</v>
      </c>
      <c r="B4058" s="845" t="s">
        <v>2556</v>
      </c>
      <c r="D4058" s="861"/>
      <c r="H4058" s="845" t="s">
        <v>1007</v>
      </c>
    </row>
    <row r="4059" spans="1:10" x14ac:dyDescent="0.2">
      <c r="A4059" s="859">
        <f t="shared" si="63"/>
        <v>4058</v>
      </c>
      <c r="B4059" s="845" t="s">
        <v>2556</v>
      </c>
      <c r="D4059" s="862"/>
      <c r="I4059" s="845" t="s">
        <v>1008</v>
      </c>
    </row>
    <row r="4060" spans="1:10" x14ac:dyDescent="0.2">
      <c r="A4060" s="859">
        <f t="shared" si="63"/>
        <v>4059</v>
      </c>
      <c r="B4060" s="845" t="s">
        <v>2556</v>
      </c>
      <c r="D4060" s="863"/>
      <c r="J4060" s="845" t="s">
        <v>1651</v>
      </c>
    </row>
    <row r="4061" spans="1:10" x14ac:dyDescent="0.2">
      <c r="A4061" s="859">
        <f t="shared" si="63"/>
        <v>4060</v>
      </c>
      <c r="B4061" s="845" t="s">
        <v>2556</v>
      </c>
      <c r="D4061" s="862"/>
      <c r="I4061" s="845" t="s">
        <v>1009</v>
      </c>
    </row>
    <row r="4062" spans="1:10" x14ac:dyDescent="0.2">
      <c r="A4062" s="859">
        <f t="shared" si="63"/>
        <v>4061</v>
      </c>
      <c r="B4062" s="845" t="s">
        <v>2556</v>
      </c>
      <c r="D4062" s="862"/>
      <c r="I4062" s="845" t="str">
        <f>CONCATENATE("&lt;valeur&gt;",Cellule_976,"&lt;/valeur&gt;")</f>
        <v>&lt;valeur&gt;0&lt;/valeur&gt;</v>
      </c>
    </row>
    <row r="4063" spans="1:10" x14ac:dyDescent="0.2">
      <c r="A4063" s="859">
        <f t="shared" si="63"/>
        <v>4062</v>
      </c>
      <c r="B4063" s="845" t="s">
        <v>2556</v>
      </c>
      <c r="D4063" s="861"/>
      <c r="H4063" s="845" t="s">
        <v>1010</v>
      </c>
    </row>
    <row r="4064" spans="1:10" x14ac:dyDescent="0.2">
      <c r="A4064" s="859">
        <f t="shared" si="63"/>
        <v>4063</v>
      </c>
      <c r="B4064" s="845" t="s">
        <v>2556</v>
      </c>
      <c r="D4064" s="861"/>
      <c r="H4064" s="845" t="s">
        <v>1007</v>
      </c>
    </row>
    <row r="4065" spans="1:10" x14ac:dyDescent="0.2">
      <c r="A4065" s="859">
        <f t="shared" si="63"/>
        <v>4064</v>
      </c>
      <c r="B4065" s="845" t="s">
        <v>2556</v>
      </c>
      <c r="D4065" s="862"/>
      <c r="I4065" s="845" t="s">
        <v>1008</v>
      </c>
    </row>
    <row r="4066" spans="1:10" x14ac:dyDescent="0.2">
      <c r="A4066" s="859">
        <f t="shared" si="63"/>
        <v>4065</v>
      </c>
      <c r="B4066" s="845" t="s">
        <v>2556</v>
      </c>
      <c r="D4066" s="863"/>
      <c r="J4066" s="845" t="s">
        <v>1652</v>
      </c>
    </row>
    <row r="4067" spans="1:10" x14ac:dyDescent="0.2">
      <c r="A4067" s="859">
        <f t="shared" si="63"/>
        <v>4066</v>
      </c>
      <c r="B4067" s="845" t="s">
        <v>2556</v>
      </c>
      <c r="D4067" s="862"/>
      <c r="I4067" s="845" t="s">
        <v>1009</v>
      </c>
    </row>
    <row r="4068" spans="1:10" x14ac:dyDescent="0.2">
      <c r="A4068" s="859">
        <f t="shared" si="63"/>
        <v>4067</v>
      </c>
      <c r="B4068" s="845" t="s">
        <v>2556</v>
      </c>
      <c r="D4068" s="862"/>
      <c r="I4068" s="845" t="str">
        <f>CONCATENATE("&lt;valeur&gt;",Cellule_977,"&lt;/valeur&gt;")</f>
        <v>&lt;valeur&gt;0&lt;/valeur&gt;</v>
      </c>
    </row>
    <row r="4069" spans="1:10" x14ac:dyDescent="0.2">
      <c r="A4069" s="859">
        <f t="shared" si="63"/>
        <v>4068</v>
      </c>
      <c r="B4069" s="845" t="s">
        <v>2556</v>
      </c>
      <c r="D4069" s="861"/>
      <c r="H4069" s="845" t="s">
        <v>1010</v>
      </c>
    </row>
    <row r="4070" spans="1:10" x14ac:dyDescent="0.2">
      <c r="A4070" s="859">
        <f t="shared" si="63"/>
        <v>4069</v>
      </c>
      <c r="B4070" s="845" t="s">
        <v>2556</v>
      </c>
      <c r="D4070" s="861"/>
      <c r="H4070" s="845" t="s">
        <v>1007</v>
      </c>
    </row>
    <row r="4071" spans="1:10" x14ac:dyDescent="0.2">
      <c r="A4071" s="859">
        <f t="shared" si="63"/>
        <v>4070</v>
      </c>
      <c r="B4071" s="845" t="s">
        <v>2556</v>
      </c>
      <c r="D4071" s="862"/>
      <c r="I4071" s="845" t="s">
        <v>1008</v>
      </c>
    </row>
    <row r="4072" spans="1:10" x14ac:dyDescent="0.2">
      <c r="A4072" s="859">
        <f t="shared" si="63"/>
        <v>4071</v>
      </c>
      <c r="B4072" s="845" t="s">
        <v>2556</v>
      </c>
      <c r="D4072" s="863"/>
      <c r="J4072" s="845" t="s">
        <v>1653</v>
      </c>
    </row>
    <row r="4073" spans="1:10" x14ac:dyDescent="0.2">
      <c r="A4073" s="859">
        <f t="shared" si="63"/>
        <v>4072</v>
      </c>
      <c r="B4073" s="845" t="s">
        <v>2556</v>
      </c>
      <c r="D4073" s="862"/>
      <c r="I4073" s="845" t="s">
        <v>1009</v>
      </c>
    </row>
    <row r="4074" spans="1:10" x14ac:dyDescent="0.2">
      <c r="A4074" s="859">
        <f t="shared" si="63"/>
        <v>4073</v>
      </c>
      <c r="B4074" s="845" t="s">
        <v>2556</v>
      </c>
      <c r="D4074" s="862"/>
      <c r="I4074" s="845" t="str">
        <f>CONCATENATE("&lt;valeur&gt;",Cellule_978,"&lt;/valeur&gt;")</f>
        <v>&lt;valeur&gt;0&lt;/valeur&gt;</v>
      </c>
    </row>
    <row r="4075" spans="1:10" x14ac:dyDescent="0.2">
      <c r="A4075" s="859">
        <f t="shared" si="63"/>
        <v>4074</v>
      </c>
      <c r="B4075" s="845" t="s">
        <v>2556</v>
      </c>
      <c r="D4075" s="861"/>
      <c r="H4075" s="845" t="s">
        <v>1010</v>
      </c>
    </row>
    <row r="4076" spans="1:10" x14ac:dyDescent="0.2">
      <c r="A4076" s="859">
        <f t="shared" si="63"/>
        <v>4075</v>
      </c>
      <c r="B4076" s="845" t="s">
        <v>2556</v>
      </c>
      <c r="D4076" s="861"/>
      <c r="H4076" s="845" t="s">
        <v>1007</v>
      </c>
    </row>
    <row r="4077" spans="1:10" x14ac:dyDescent="0.2">
      <c r="A4077" s="859">
        <f t="shared" si="63"/>
        <v>4076</v>
      </c>
      <c r="B4077" s="845" t="s">
        <v>2556</v>
      </c>
      <c r="D4077" s="862"/>
      <c r="I4077" s="845" t="s">
        <v>1008</v>
      </c>
    </row>
    <row r="4078" spans="1:10" x14ac:dyDescent="0.2">
      <c r="A4078" s="859">
        <f t="shared" si="63"/>
        <v>4077</v>
      </c>
      <c r="B4078" s="845" t="s">
        <v>2556</v>
      </c>
      <c r="D4078" s="863"/>
      <c r="J4078" s="845" t="s">
        <v>1654</v>
      </c>
    </row>
    <row r="4079" spans="1:10" x14ac:dyDescent="0.2">
      <c r="A4079" s="859">
        <f t="shared" si="63"/>
        <v>4078</v>
      </c>
      <c r="B4079" s="845" t="s">
        <v>2556</v>
      </c>
      <c r="D4079" s="862"/>
      <c r="I4079" s="845" t="s">
        <v>1009</v>
      </c>
    </row>
    <row r="4080" spans="1:10" x14ac:dyDescent="0.2">
      <c r="A4080" s="859">
        <f t="shared" si="63"/>
        <v>4079</v>
      </c>
      <c r="B4080" s="845" t="s">
        <v>2556</v>
      </c>
      <c r="D4080" s="862"/>
      <c r="I4080" s="845" t="str">
        <f>CONCATENATE("&lt;valeur&gt;",Cellule_979,"&lt;/valeur&gt;")</f>
        <v>&lt;valeur&gt;0&lt;/valeur&gt;</v>
      </c>
    </row>
    <row r="4081" spans="1:10" x14ac:dyDescent="0.2">
      <c r="A4081" s="859">
        <f t="shared" si="63"/>
        <v>4080</v>
      </c>
      <c r="B4081" s="845" t="s">
        <v>2556</v>
      </c>
      <c r="D4081" s="861"/>
      <c r="H4081" s="845" t="s">
        <v>1010</v>
      </c>
    </row>
    <row r="4082" spans="1:10" x14ac:dyDescent="0.2">
      <c r="A4082" s="859">
        <f t="shared" si="63"/>
        <v>4081</v>
      </c>
      <c r="B4082" s="845" t="s">
        <v>2556</v>
      </c>
      <c r="D4082" s="861"/>
      <c r="H4082" s="845" t="s">
        <v>1007</v>
      </c>
    </row>
    <row r="4083" spans="1:10" x14ac:dyDescent="0.2">
      <c r="A4083" s="859">
        <f t="shared" si="63"/>
        <v>4082</v>
      </c>
      <c r="B4083" s="845" t="s">
        <v>2556</v>
      </c>
      <c r="D4083" s="862"/>
      <c r="I4083" s="845" t="s">
        <v>1008</v>
      </c>
    </row>
    <row r="4084" spans="1:10" x14ac:dyDescent="0.2">
      <c r="A4084" s="859">
        <f t="shared" si="63"/>
        <v>4083</v>
      </c>
      <c r="B4084" s="845" t="s">
        <v>2556</v>
      </c>
      <c r="D4084" s="863"/>
      <c r="J4084" s="845" t="s">
        <v>1655</v>
      </c>
    </row>
    <row r="4085" spans="1:10" x14ac:dyDescent="0.2">
      <c r="A4085" s="859">
        <f t="shared" si="63"/>
        <v>4084</v>
      </c>
      <c r="B4085" s="845" t="s">
        <v>2556</v>
      </c>
      <c r="D4085" s="862"/>
      <c r="I4085" s="845" t="s">
        <v>1009</v>
      </c>
    </row>
    <row r="4086" spans="1:10" x14ac:dyDescent="0.2">
      <c r="A4086" s="859">
        <f t="shared" si="63"/>
        <v>4085</v>
      </c>
      <c r="B4086" s="845" t="s">
        <v>2556</v>
      </c>
      <c r="D4086" s="862"/>
      <c r="I4086" s="845" t="str">
        <f>CONCATENATE("&lt;valeur&gt;",Cellule_10082,"&lt;/valeur&gt;")</f>
        <v>&lt;valeur&gt;0&lt;/valeur&gt;</v>
      </c>
    </row>
    <row r="4087" spans="1:10" x14ac:dyDescent="0.2">
      <c r="A4087" s="859">
        <f t="shared" si="63"/>
        <v>4086</v>
      </c>
      <c r="B4087" s="845" t="s">
        <v>2556</v>
      </c>
      <c r="D4087" s="861"/>
      <c r="H4087" s="845" t="s">
        <v>1010</v>
      </c>
    </row>
    <row r="4088" spans="1:10" x14ac:dyDescent="0.2">
      <c r="A4088" s="859">
        <f t="shared" si="63"/>
        <v>4087</v>
      </c>
      <c r="B4088" s="845" t="s">
        <v>2556</v>
      </c>
      <c r="D4088" s="861"/>
      <c r="H4088" s="845" t="s">
        <v>1007</v>
      </c>
    </row>
    <row r="4089" spans="1:10" x14ac:dyDescent="0.2">
      <c r="A4089" s="859">
        <f t="shared" si="63"/>
        <v>4088</v>
      </c>
      <c r="B4089" s="845" t="s">
        <v>2556</v>
      </c>
      <c r="D4089" s="862"/>
      <c r="I4089" s="845" t="s">
        <v>1008</v>
      </c>
    </row>
    <row r="4090" spans="1:10" x14ac:dyDescent="0.2">
      <c r="A4090" s="859">
        <f t="shared" si="63"/>
        <v>4089</v>
      </c>
      <c r="B4090" s="845" t="s">
        <v>2556</v>
      </c>
      <c r="D4090" s="863"/>
      <c r="J4090" s="845" t="s">
        <v>1656</v>
      </c>
    </row>
    <row r="4091" spans="1:10" x14ac:dyDescent="0.2">
      <c r="A4091" s="859">
        <f t="shared" si="63"/>
        <v>4090</v>
      </c>
      <c r="B4091" s="845" t="s">
        <v>2556</v>
      </c>
      <c r="D4091" s="862"/>
      <c r="I4091" s="845" t="s">
        <v>1009</v>
      </c>
    </row>
    <row r="4092" spans="1:10" x14ac:dyDescent="0.2">
      <c r="A4092" s="859">
        <f t="shared" si="63"/>
        <v>4091</v>
      </c>
      <c r="B4092" s="845" t="s">
        <v>2556</v>
      </c>
      <c r="D4092" s="862"/>
      <c r="I4092" s="845" t="str">
        <f>CONCATENATE("&lt;valeur&gt;",Cellule_12597,"&lt;/valeur&gt;")</f>
        <v>&lt;valeur&gt;&lt;/valeur&gt;</v>
      </c>
    </row>
    <row r="4093" spans="1:10" x14ac:dyDescent="0.2">
      <c r="A4093" s="859">
        <f t="shared" si="63"/>
        <v>4092</v>
      </c>
      <c r="B4093" s="845" t="s">
        <v>2556</v>
      </c>
      <c r="D4093" s="861"/>
      <c r="H4093" s="845" t="s">
        <v>1010</v>
      </c>
    </row>
    <row r="4094" spans="1:10" x14ac:dyDescent="0.2">
      <c r="A4094" s="859">
        <f t="shared" si="63"/>
        <v>4093</v>
      </c>
      <c r="B4094" s="845" t="s">
        <v>2556</v>
      </c>
      <c r="D4094" s="861"/>
      <c r="H4094" s="845" t="s">
        <v>1007</v>
      </c>
    </row>
    <row r="4095" spans="1:10" x14ac:dyDescent="0.2">
      <c r="A4095" s="859">
        <f t="shared" si="63"/>
        <v>4094</v>
      </c>
      <c r="B4095" s="845" t="s">
        <v>2556</v>
      </c>
      <c r="D4095" s="862"/>
      <c r="I4095" s="845" t="s">
        <v>1008</v>
      </c>
    </row>
    <row r="4096" spans="1:10" x14ac:dyDescent="0.2">
      <c r="A4096" s="859">
        <f t="shared" si="63"/>
        <v>4095</v>
      </c>
      <c r="B4096" s="845" t="s">
        <v>2556</v>
      </c>
      <c r="D4096" s="863"/>
      <c r="J4096" s="845" t="s">
        <v>1657</v>
      </c>
    </row>
    <row r="4097" spans="1:10" x14ac:dyDescent="0.2">
      <c r="A4097" s="859">
        <f t="shared" si="63"/>
        <v>4096</v>
      </c>
      <c r="B4097" s="845" t="s">
        <v>2556</v>
      </c>
      <c r="D4097" s="862"/>
      <c r="I4097" s="845" t="s">
        <v>1009</v>
      </c>
    </row>
    <row r="4098" spans="1:10" x14ac:dyDescent="0.2">
      <c r="A4098" s="859">
        <f t="shared" si="63"/>
        <v>4097</v>
      </c>
      <c r="B4098" s="845" t="s">
        <v>2556</v>
      </c>
      <c r="D4098" s="862"/>
      <c r="I4098" s="845" t="str">
        <f>CONCATENATE("&lt;valeur&gt;",Cellule_987,"&lt;/valeur&gt;")</f>
        <v>&lt;valeur&gt;0&lt;/valeur&gt;</v>
      </c>
    </row>
    <row r="4099" spans="1:10" x14ac:dyDescent="0.2">
      <c r="A4099" s="859">
        <f t="shared" si="63"/>
        <v>4098</v>
      </c>
      <c r="B4099" s="845" t="s">
        <v>2556</v>
      </c>
      <c r="D4099" s="861"/>
      <c r="H4099" s="845" t="s">
        <v>1010</v>
      </c>
    </row>
    <row r="4100" spans="1:10" x14ac:dyDescent="0.2">
      <c r="A4100" s="859">
        <f t="shared" ref="A4100:A4163" si="64">+A4099+1</f>
        <v>4099</v>
      </c>
      <c r="B4100" s="845" t="s">
        <v>2556</v>
      </c>
      <c r="D4100" s="861"/>
      <c r="H4100" s="845" t="s">
        <v>1007</v>
      </c>
    </row>
    <row r="4101" spans="1:10" x14ac:dyDescent="0.2">
      <c r="A4101" s="859">
        <f t="shared" si="64"/>
        <v>4100</v>
      </c>
      <c r="B4101" s="845" t="s">
        <v>2556</v>
      </c>
      <c r="D4101" s="862"/>
      <c r="I4101" s="845" t="s">
        <v>1008</v>
      </c>
    </row>
    <row r="4102" spans="1:10" x14ac:dyDescent="0.2">
      <c r="A4102" s="859">
        <f t="shared" si="64"/>
        <v>4101</v>
      </c>
      <c r="B4102" s="845" t="s">
        <v>2556</v>
      </c>
      <c r="D4102" s="863"/>
      <c r="J4102" s="845" t="s">
        <v>1658</v>
      </c>
    </row>
    <row r="4103" spans="1:10" x14ac:dyDescent="0.2">
      <c r="A4103" s="859">
        <f t="shared" si="64"/>
        <v>4102</v>
      </c>
      <c r="B4103" s="845" t="s">
        <v>2556</v>
      </c>
      <c r="D4103" s="862"/>
      <c r="I4103" s="845" t="s">
        <v>1009</v>
      </c>
    </row>
    <row r="4104" spans="1:10" x14ac:dyDescent="0.2">
      <c r="A4104" s="859">
        <f t="shared" si="64"/>
        <v>4103</v>
      </c>
      <c r="B4104" s="845" t="s">
        <v>2556</v>
      </c>
      <c r="D4104" s="862"/>
      <c r="I4104" s="845" t="str">
        <f>CONCATENATE("&lt;valeur&gt;",Cellule_988,"&lt;/valeur&gt;")</f>
        <v>&lt;valeur&gt;0&lt;/valeur&gt;</v>
      </c>
    </row>
    <row r="4105" spans="1:10" x14ac:dyDescent="0.2">
      <c r="A4105" s="859">
        <f t="shared" si="64"/>
        <v>4104</v>
      </c>
      <c r="B4105" s="845" t="s">
        <v>2556</v>
      </c>
      <c r="D4105" s="861"/>
      <c r="H4105" s="845" t="s">
        <v>1010</v>
      </c>
    </row>
    <row r="4106" spans="1:10" x14ac:dyDescent="0.2">
      <c r="A4106" s="859">
        <f t="shared" si="64"/>
        <v>4105</v>
      </c>
      <c r="B4106" s="845" t="s">
        <v>2556</v>
      </c>
      <c r="D4106" s="861"/>
      <c r="H4106" s="845" t="s">
        <v>1007</v>
      </c>
    </row>
    <row r="4107" spans="1:10" x14ac:dyDescent="0.2">
      <c r="A4107" s="859">
        <f t="shared" si="64"/>
        <v>4106</v>
      </c>
      <c r="B4107" s="845" t="s">
        <v>2556</v>
      </c>
      <c r="D4107" s="862"/>
      <c r="I4107" s="845" t="s">
        <v>1008</v>
      </c>
    </row>
    <row r="4108" spans="1:10" x14ac:dyDescent="0.2">
      <c r="A4108" s="859">
        <f t="shared" si="64"/>
        <v>4107</v>
      </c>
      <c r="B4108" s="845" t="s">
        <v>2556</v>
      </c>
      <c r="D4108" s="863"/>
      <c r="J4108" s="845" t="s">
        <v>1659</v>
      </c>
    </row>
    <row r="4109" spans="1:10" x14ac:dyDescent="0.2">
      <c r="A4109" s="859">
        <f t="shared" si="64"/>
        <v>4108</v>
      </c>
      <c r="B4109" s="845" t="s">
        <v>2556</v>
      </c>
      <c r="D4109" s="862"/>
      <c r="I4109" s="845" t="s">
        <v>1009</v>
      </c>
    </row>
    <row r="4110" spans="1:10" x14ac:dyDescent="0.2">
      <c r="A4110" s="859">
        <f t="shared" si="64"/>
        <v>4109</v>
      </c>
      <c r="B4110" s="845" t="s">
        <v>2556</v>
      </c>
      <c r="D4110" s="862"/>
      <c r="I4110" s="845" t="str">
        <f>CONCATENATE("&lt;valeur&gt;",Cellule_989,"&lt;/valeur&gt;")</f>
        <v>&lt;valeur&gt;0&lt;/valeur&gt;</v>
      </c>
    </row>
    <row r="4111" spans="1:10" x14ac:dyDescent="0.2">
      <c r="A4111" s="859">
        <f t="shared" si="64"/>
        <v>4110</v>
      </c>
      <c r="B4111" s="845" t="s">
        <v>2556</v>
      </c>
      <c r="D4111" s="861"/>
      <c r="H4111" s="845" t="s">
        <v>1010</v>
      </c>
    </row>
    <row r="4112" spans="1:10" x14ac:dyDescent="0.2">
      <c r="A4112" s="859">
        <f t="shared" si="64"/>
        <v>4111</v>
      </c>
      <c r="B4112" s="845" t="s">
        <v>2556</v>
      </c>
      <c r="D4112" s="861"/>
      <c r="H4112" s="845" t="s">
        <v>1007</v>
      </c>
    </row>
    <row r="4113" spans="1:10" x14ac:dyDescent="0.2">
      <c r="A4113" s="859">
        <f t="shared" si="64"/>
        <v>4112</v>
      </c>
      <c r="B4113" s="845" t="s">
        <v>2556</v>
      </c>
      <c r="D4113" s="862"/>
      <c r="I4113" s="845" t="s">
        <v>1008</v>
      </c>
    </row>
    <row r="4114" spans="1:10" x14ac:dyDescent="0.2">
      <c r="A4114" s="859">
        <f t="shared" si="64"/>
        <v>4113</v>
      </c>
      <c r="B4114" s="845" t="s">
        <v>2556</v>
      </c>
      <c r="D4114" s="863"/>
      <c r="J4114" s="845" t="s">
        <v>1660</v>
      </c>
    </row>
    <row r="4115" spans="1:10" x14ac:dyDescent="0.2">
      <c r="A4115" s="859">
        <f t="shared" si="64"/>
        <v>4114</v>
      </c>
      <c r="B4115" s="845" t="s">
        <v>2556</v>
      </c>
      <c r="D4115" s="862"/>
      <c r="I4115" s="845" t="s">
        <v>1009</v>
      </c>
    </row>
    <row r="4116" spans="1:10" x14ac:dyDescent="0.2">
      <c r="A4116" s="859">
        <f t="shared" si="64"/>
        <v>4115</v>
      </c>
      <c r="B4116" s="845" t="s">
        <v>2556</v>
      </c>
      <c r="D4116" s="862"/>
      <c r="I4116" s="845" t="str">
        <f>CONCATENATE("&lt;valeur&gt;",Cellule_990,"&lt;/valeur&gt;")</f>
        <v>&lt;valeur&gt;0&lt;/valeur&gt;</v>
      </c>
    </row>
    <row r="4117" spans="1:10" x14ac:dyDescent="0.2">
      <c r="A4117" s="859">
        <f t="shared" si="64"/>
        <v>4116</v>
      </c>
      <c r="B4117" s="845" t="s">
        <v>2556</v>
      </c>
      <c r="D4117" s="861"/>
      <c r="H4117" s="845" t="s">
        <v>1010</v>
      </c>
    </row>
    <row r="4118" spans="1:10" x14ac:dyDescent="0.2">
      <c r="A4118" s="859">
        <f t="shared" si="64"/>
        <v>4117</v>
      </c>
      <c r="B4118" s="845" t="s">
        <v>2556</v>
      </c>
      <c r="D4118" s="861"/>
      <c r="H4118" s="845" t="s">
        <v>1007</v>
      </c>
    </row>
    <row r="4119" spans="1:10" x14ac:dyDescent="0.2">
      <c r="A4119" s="859">
        <f t="shared" si="64"/>
        <v>4118</v>
      </c>
      <c r="B4119" s="845" t="s">
        <v>2556</v>
      </c>
      <c r="D4119" s="862"/>
      <c r="I4119" s="845" t="s">
        <v>1008</v>
      </c>
    </row>
    <row r="4120" spans="1:10" x14ac:dyDescent="0.2">
      <c r="A4120" s="859">
        <f t="shared" si="64"/>
        <v>4119</v>
      </c>
      <c r="B4120" s="845" t="s">
        <v>2556</v>
      </c>
      <c r="D4120" s="863"/>
      <c r="J4120" s="845" t="s">
        <v>1661</v>
      </c>
    </row>
    <row r="4121" spans="1:10" x14ac:dyDescent="0.2">
      <c r="A4121" s="859">
        <f t="shared" si="64"/>
        <v>4120</v>
      </c>
      <c r="B4121" s="845" t="s">
        <v>2556</v>
      </c>
      <c r="D4121" s="862"/>
      <c r="I4121" s="845" t="s">
        <v>1009</v>
      </c>
    </row>
    <row r="4122" spans="1:10" x14ac:dyDescent="0.2">
      <c r="A4122" s="859">
        <f t="shared" si="64"/>
        <v>4121</v>
      </c>
      <c r="B4122" s="845" t="s">
        <v>2556</v>
      </c>
      <c r="D4122" s="862"/>
      <c r="I4122" s="845" t="str">
        <f>CONCATENATE("&lt;valeur&gt;",Cellule_991,"&lt;/valeur&gt;")</f>
        <v>&lt;valeur&gt;0&lt;/valeur&gt;</v>
      </c>
    </row>
    <row r="4123" spans="1:10" x14ac:dyDescent="0.2">
      <c r="A4123" s="859">
        <f t="shared" si="64"/>
        <v>4122</v>
      </c>
      <c r="B4123" s="845" t="s">
        <v>2556</v>
      </c>
      <c r="D4123" s="861"/>
      <c r="H4123" s="845" t="s">
        <v>1010</v>
      </c>
    </row>
    <row r="4124" spans="1:10" x14ac:dyDescent="0.2">
      <c r="A4124" s="859">
        <f t="shared" si="64"/>
        <v>4123</v>
      </c>
      <c r="B4124" s="845" t="s">
        <v>2556</v>
      </c>
      <c r="D4124" s="861"/>
      <c r="H4124" s="845" t="s">
        <v>1007</v>
      </c>
    </row>
    <row r="4125" spans="1:10" x14ac:dyDescent="0.2">
      <c r="A4125" s="859">
        <f t="shared" si="64"/>
        <v>4124</v>
      </c>
      <c r="B4125" s="845" t="s">
        <v>2556</v>
      </c>
      <c r="D4125" s="862"/>
      <c r="I4125" s="845" t="s">
        <v>1008</v>
      </c>
    </row>
    <row r="4126" spans="1:10" x14ac:dyDescent="0.2">
      <c r="A4126" s="859">
        <f t="shared" si="64"/>
        <v>4125</v>
      </c>
      <c r="B4126" s="845" t="s">
        <v>2556</v>
      </c>
      <c r="D4126" s="863"/>
      <c r="J4126" s="845" t="s">
        <v>1662</v>
      </c>
    </row>
    <row r="4127" spans="1:10" x14ac:dyDescent="0.2">
      <c r="A4127" s="859">
        <f t="shared" si="64"/>
        <v>4126</v>
      </c>
      <c r="B4127" s="845" t="s">
        <v>2556</v>
      </c>
      <c r="D4127" s="862"/>
      <c r="I4127" s="845" t="s">
        <v>1009</v>
      </c>
    </row>
    <row r="4128" spans="1:10" x14ac:dyDescent="0.2">
      <c r="A4128" s="859">
        <f t="shared" si="64"/>
        <v>4127</v>
      </c>
      <c r="B4128" s="845" t="s">
        <v>2556</v>
      </c>
      <c r="D4128" s="862"/>
      <c r="I4128" s="845" t="str">
        <f>CONCATENATE("&lt;valeur&gt;",Cellule_992,"&lt;/valeur&gt;")</f>
        <v>&lt;valeur&gt;0&lt;/valeur&gt;</v>
      </c>
    </row>
    <row r="4129" spans="1:10" x14ac:dyDescent="0.2">
      <c r="A4129" s="859">
        <f t="shared" si="64"/>
        <v>4128</v>
      </c>
      <c r="B4129" s="845" t="s">
        <v>2556</v>
      </c>
      <c r="D4129" s="861"/>
      <c r="H4129" s="845" t="s">
        <v>1010</v>
      </c>
    </row>
    <row r="4130" spans="1:10" x14ac:dyDescent="0.2">
      <c r="A4130" s="859">
        <f t="shared" si="64"/>
        <v>4129</v>
      </c>
      <c r="B4130" s="845" t="s">
        <v>2556</v>
      </c>
      <c r="D4130" s="861"/>
      <c r="H4130" s="845" t="s">
        <v>1007</v>
      </c>
    </row>
    <row r="4131" spans="1:10" x14ac:dyDescent="0.2">
      <c r="A4131" s="859">
        <f t="shared" si="64"/>
        <v>4130</v>
      </c>
      <c r="B4131" s="845" t="s">
        <v>2556</v>
      </c>
      <c r="D4131" s="862"/>
      <c r="I4131" s="845" t="s">
        <v>1008</v>
      </c>
    </row>
    <row r="4132" spans="1:10" x14ac:dyDescent="0.2">
      <c r="A4132" s="859">
        <f t="shared" si="64"/>
        <v>4131</v>
      </c>
      <c r="B4132" s="845" t="s">
        <v>2556</v>
      </c>
      <c r="D4132" s="863"/>
      <c r="J4132" s="845" t="s">
        <v>1663</v>
      </c>
    </row>
    <row r="4133" spans="1:10" x14ac:dyDescent="0.2">
      <c r="A4133" s="859">
        <f t="shared" si="64"/>
        <v>4132</v>
      </c>
      <c r="B4133" s="845" t="s">
        <v>2556</v>
      </c>
      <c r="D4133" s="862"/>
      <c r="I4133" s="845" t="s">
        <v>1009</v>
      </c>
    </row>
    <row r="4134" spans="1:10" x14ac:dyDescent="0.2">
      <c r="A4134" s="859">
        <f t="shared" si="64"/>
        <v>4133</v>
      </c>
      <c r="B4134" s="845" t="s">
        <v>2556</v>
      </c>
      <c r="D4134" s="862"/>
      <c r="I4134" s="845" t="str">
        <f>CONCATENATE("&lt;valeur&gt;",Cellule_993,"&lt;/valeur&gt;")</f>
        <v>&lt;valeur&gt;0&lt;/valeur&gt;</v>
      </c>
    </row>
    <row r="4135" spans="1:10" x14ac:dyDescent="0.2">
      <c r="A4135" s="859">
        <f t="shared" si="64"/>
        <v>4134</v>
      </c>
      <c r="B4135" s="845" t="s">
        <v>2556</v>
      </c>
      <c r="D4135" s="861"/>
      <c r="H4135" s="845" t="s">
        <v>1010</v>
      </c>
    </row>
    <row r="4136" spans="1:10" x14ac:dyDescent="0.2">
      <c r="A4136" s="859">
        <f t="shared" si="64"/>
        <v>4135</v>
      </c>
      <c r="B4136" s="845" t="s">
        <v>2556</v>
      </c>
      <c r="D4136" s="861"/>
      <c r="H4136" s="845" t="s">
        <v>1007</v>
      </c>
    </row>
    <row r="4137" spans="1:10" x14ac:dyDescent="0.2">
      <c r="A4137" s="859">
        <f t="shared" si="64"/>
        <v>4136</v>
      </c>
      <c r="B4137" s="845" t="s">
        <v>2556</v>
      </c>
      <c r="D4137" s="862"/>
      <c r="I4137" s="845" t="s">
        <v>1008</v>
      </c>
    </row>
    <row r="4138" spans="1:10" x14ac:dyDescent="0.2">
      <c r="A4138" s="859">
        <f t="shared" si="64"/>
        <v>4137</v>
      </c>
      <c r="B4138" s="845" t="s">
        <v>2556</v>
      </c>
      <c r="D4138" s="863"/>
      <c r="J4138" s="845" t="s">
        <v>1664</v>
      </c>
    </row>
    <row r="4139" spans="1:10" x14ac:dyDescent="0.2">
      <c r="A4139" s="859">
        <f t="shared" si="64"/>
        <v>4138</v>
      </c>
      <c r="B4139" s="845" t="s">
        <v>2556</v>
      </c>
      <c r="D4139" s="862"/>
      <c r="I4139" s="845" t="s">
        <v>1009</v>
      </c>
    </row>
    <row r="4140" spans="1:10" x14ac:dyDescent="0.2">
      <c r="A4140" s="859">
        <f t="shared" si="64"/>
        <v>4139</v>
      </c>
      <c r="B4140" s="845" t="s">
        <v>2556</v>
      </c>
      <c r="D4140" s="862"/>
      <c r="I4140" s="845" t="str">
        <f>CONCATENATE("&lt;valeur&gt;",Cellule_10083,"&lt;/valeur&gt;")</f>
        <v>&lt;valeur&gt;0&lt;/valeur&gt;</v>
      </c>
    </row>
    <row r="4141" spans="1:10" x14ac:dyDescent="0.2">
      <c r="A4141" s="859">
        <f t="shared" si="64"/>
        <v>4140</v>
      </c>
      <c r="B4141" s="845" t="s">
        <v>2556</v>
      </c>
      <c r="D4141" s="861"/>
      <c r="H4141" s="845" t="s">
        <v>1010</v>
      </c>
    </row>
    <row r="4142" spans="1:10" x14ac:dyDescent="0.2">
      <c r="A4142" s="859">
        <f t="shared" si="64"/>
        <v>4141</v>
      </c>
      <c r="B4142" s="845" t="s">
        <v>2556</v>
      </c>
      <c r="D4142" s="861"/>
      <c r="H4142" s="845" t="s">
        <v>1007</v>
      </c>
    </row>
    <row r="4143" spans="1:10" x14ac:dyDescent="0.2">
      <c r="A4143" s="859">
        <f t="shared" si="64"/>
        <v>4142</v>
      </c>
      <c r="B4143" s="845" t="s">
        <v>2556</v>
      </c>
      <c r="D4143" s="862"/>
      <c r="I4143" s="845" t="s">
        <v>1008</v>
      </c>
    </row>
    <row r="4144" spans="1:10" x14ac:dyDescent="0.2">
      <c r="A4144" s="859">
        <f t="shared" si="64"/>
        <v>4143</v>
      </c>
      <c r="B4144" s="845" t="s">
        <v>2556</v>
      </c>
      <c r="D4144" s="863"/>
      <c r="J4144" s="845" t="s">
        <v>1665</v>
      </c>
    </row>
    <row r="4145" spans="1:10" x14ac:dyDescent="0.2">
      <c r="A4145" s="859">
        <f t="shared" si="64"/>
        <v>4144</v>
      </c>
      <c r="B4145" s="845" t="s">
        <v>2556</v>
      </c>
      <c r="D4145" s="862"/>
      <c r="I4145" s="845" t="s">
        <v>1009</v>
      </c>
    </row>
    <row r="4146" spans="1:10" x14ac:dyDescent="0.2">
      <c r="A4146" s="859">
        <f t="shared" si="64"/>
        <v>4145</v>
      </c>
      <c r="B4146" s="845" t="s">
        <v>2556</v>
      </c>
      <c r="D4146" s="862"/>
      <c r="I4146" s="845" t="str">
        <f>CONCATENATE("&lt;valeur&gt;",Cellule_12598,"&lt;/valeur&gt;")</f>
        <v>&lt;valeur&gt;&lt;/valeur&gt;</v>
      </c>
    </row>
    <row r="4147" spans="1:10" x14ac:dyDescent="0.2">
      <c r="A4147" s="859">
        <f t="shared" si="64"/>
        <v>4146</v>
      </c>
      <c r="B4147" s="845" t="s">
        <v>2556</v>
      </c>
      <c r="D4147" s="861"/>
      <c r="H4147" s="845" t="s">
        <v>1010</v>
      </c>
    </row>
    <row r="4148" spans="1:10" x14ac:dyDescent="0.2">
      <c r="A4148" s="859">
        <f t="shared" si="64"/>
        <v>4147</v>
      </c>
      <c r="B4148" s="845" t="s">
        <v>2556</v>
      </c>
      <c r="D4148" s="861"/>
      <c r="H4148" s="845" t="s">
        <v>1007</v>
      </c>
    </row>
    <row r="4149" spans="1:10" x14ac:dyDescent="0.2">
      <c r="A4149" s="859">
        <f t="shared" si="64"/>
        <v>4148</v>
      </c>
      <c r="B4149" s="845" t="s">
        <v>2556</v>
      </c>
      <c r="D4149" s="862"/>
      <c r="I4149" s="845" t="s">
        <v>1008</v>
      </c>
    </row>
    <row r="4150" spans="1:10" x14ac:dyDescent="0.2">
      <c r="A4150" s="859">
        <f t="shared" si="64"/>
        <v>4149</v>
      </c>
      <c r="B4150" s="845" t="s">
        <v>2556</v>
      </c>
      <c r="D4150" s="863"/>
      <c r="J4150" s="845" t="s">
        <v>1666</v>
      </c>
    </row>
    <row r="4151" spans="1:10" x14ac:dyDescent="0.2">
      <c r="A4151" s="859">
        <f t="shared" si="64"/>
        <v>4150</v>
      </c>
      <c r="B4151" s="845" t="s">
        <v>2556</v>
      </c>
      <c r="D4151" s="862"/>
      <c r="I4151" s="845" t="s">
        <v>1009</v>
      </c>
    </row>
    <row r="4152" spans="1:10" x14ac:dyDescent="0.2">
      <c r="A4152" s="859">
        <f t="shared" si="64"/>
        <v>4151</v>
      </c>
      <c r="B4152" s="845" t="s">
        <v>2556</v>
      </c>
      <c r="D4152" s="862"/>
      <c r="I4152" s="845" t="str">
        <f>CONCATENATE("&lt;valeur&gt;",Cellule_1001,"&lt;/valeur&gt;")</f>
        <v>&lt;valeur&gt;0&lt;/valeur&gt;</v>
      </c>
    </row>
    <row r="4153" spans="1:10" x14ac:dyDescent="0.2">
      <c r="A4153" s="859">
        <f t="shared" si="64"/>
        <v>4152</v>
      </c>
      <c r="B4153" s="845" t="s">
        <v>2556</v>
      </c>
      <c r="D4153" s="861"/>
      <c r="H4153" s="845" t="s">
        <v>1010</v>
      </c>
    </row>
    <row r="4154" spans="1:10" x14ac:dyDescent="0.2">
      <c r="A4154" s="859">
        <f t="shared" si="64"/>
        <v>4153</v>
      </c>
      <c r="B4154" s="845" t="s">
        <v>2556</v>
      </c>
      <c r="D4154" s="861"/>
      <c r="H4154" s="845" t="s">
        <v>1007</v>
      </c>
    </row>
    <row r="4155" spans="1:10" x14ac:dyDescent="0.2">
      <c r="A4155" s="859">
        <f t="shared" si="64"/>
        <v>4154</v>
      </c>
      <c r="B4155" s="845" t="s">
        <v>2556</v>
      </c>
      <c r="D4155" s="862"/>
      <c r="I4155" s="845" t="s">
        <v>1008</v>
      </c>
    </row>
    <row r="4156" spans="1:10" x14ac:dyDescent="0.2">
      <c r="A4156" s="859">
        <f t="shared" si="64"/>
        <v>4155</v>
      </c>
      <c r="B4156" s="845" t="s">
        <v>2556</v>
      </c>
      <c r="D4156" s="863"/>
      <c r="J4156" s="845" t="s">
        <v>1667</v>
      </c>
    </row>
    <row r="4157" spans="1:10" x14ac:dyDescent="0.2">
      <c r="A4157" s="859">
        <f t="shared" si="64"/>
        <v>4156</v>
      </c>
      <c r="B4157" s="845" t="s">
        <v>2556</v>
      </c>
      <c r="D4157" s="862"/>
      <c r="I4157" s="845" t="s">
        <v>1009</v>
      </c>
    </row>
    <row r="4158" spans="1:10" x14ac:dyDescent="0.2">
      <c r="A4158" s="859">
        <f t="shared" si="64"/>
        <v>4157</v>
      </c>
      <c r="B4158" s="845" t="s">
        <v>2556</v>
      </c>
      <c r="D4158" s="862"/>
      <c r="I4158" s="845" t="str">
        <f>CONCATENATE("&lt;valeur&gt;",Cellule_1002,"&lt;/valeur&gt;")</f>
        <v>&lt;valeur&gt;0&lt;/valeur&gt;</v>
      </c>
    </row>
    <row r="4159" spans="1:10" x14ac:dyDescent="0.2">
      <c r="A4159" s="859">
        <f t="shared" si="64"/>
        <v>4158</v>
      </c>
      <c r="B4159" s="845" t="s">
        <v>2556</v>
      </c>
      <c r="D4159" s="861"/>
      <c r="H4159" s="845" t="s">
        <v>1010</v>
      </c>
    </row>
    <row r="4160" spans="1:10" x14ac:dyDescent="0.2">
      <c r="A4160" s="859">
        <f t="shared" si="64"/>
        <v>4159</v>
      </c>
      <c r="B4160" s="845" t="s">
        <v>2556</v>
      </c>
      <c r="D4160" s="861"/>
      <c r="H4160" s="845" t="s">
        <v>1007</v>
      </c>
    </row>
    <row r="4161" spans="1:10" x14ac:dyDescent="0.2">
      <c r="A4161" s="859">
        <f t="shared" si="64"/>
        <v>4160</v>
      </c>
      <c r="B4161" s="845" t="s">
        <v>2556</v>
      </c>
      <c r="D4161" s="862"/>
      <c r="I4161" s="845" t="s">
        <v>1008</v>
      </c>
    </row>
    <row r="4162" spans="1:10" x14ac:dyDescent="0.2">
      <c r="A4162" s="859">
        <f t="shared" si="64"/>
        <v>4161</v>
      </c>
      <c r="B4162" s="845" t="s">
        <v>2556</v>
      </c>
      <c r="D4162" s="863"/>
      <c r="J4162" s="845" t="s">
        <v>1668</v>
      </c>
    </row>
    <row r="4163" spans="1:10" x14ac:dyDescent="0.2">
      <c r="A4163" s="859">
        <f t="shared" si="64"/>
        <v>4162</v>
      </c>
      <c r="B4163" s="845" t="s">
        <v>2556</v>
      </c>
      <c r="D4163" s="862"/>
      <c r="I4163" s="845" t="s">
        <v>1009</v>
      </c>
    </row>
    <row r="4164" spans="1:10" x14ac:dyDescent="0.2">
      <c r="A4164" s="859">
        <f t="shared" ref="A4164:A4227" si="65">+A4163+1</f>
        <v>4163</v>
      </c>
      <c r="B4164" s="845" t="s">
        <v>2556</v>
      </c>
      <c r="D4164" s="862"/>
      <c r="I4164" s="845" t="str">
        <f>CONCATENATE("&lt;valeur&gt;",Cellule_1003,"&lt;/valeur&gt;")</f>
        <v>&lt;valeur&gt;0&lt;/valeur&gt;</v>
      </c>
    </row>
    <row r="4165" spans="1:10" x14ac:dyDescent="0.2">
      <c r="A4165" s="859">
        <f t="shared" si="65"/>
        <v>4164</v>
      </c>
      <c r="B4165" s="845" t="s">
        <v>2556</v>
      </c>
      <c r="D4165" s="861"/>
      <c r="H4165" s="845" t="s">
        <v>1010</v>
      </c>
    </row>
    <row r="4166" spans="1:10" x14ac:dyDescent="0.2">
      <c r="A4166" s="859">
        <f t="shared" si="65"/>
        <v>4165</v>
      </c>
      <c r="B4166" s="845" t="s">
        <v>2556</v>
      </c>
      <c r="D4166" s="861"/>
      <c r="H4166" s="845" t="s">
        <v>1007</v>
      </c>
    </row>
    <row r="4167" spans="1:10" x14ac:dyDescent="0.2">
      <c r="A4167" s="859">
        <f t="shared" si="65"/>
        <v>4166</v>
      </c>
      <c r="B4167" s="845" t="s">
        <v>2556</v>
      </c>
      <c r="D4167" s="862"/>
      <c r="I4167" s="845" t="s">
        <v>1008</v>
      </c>
    </row>
    <row r="4168" spans="1:10" x14ac:dyDescent="0.2">
      <c r="A4168" s="859">
        <f t="shared" si="65"/>
        <v>4167</v>
      </c>
      <c r="B4168" s="845" t="s">
        <v>2556</v>
      </c>
      <c r="D4168" s="863"/>
      <c r="J4168" s="845" t="s">
        <v>1669</v>
      </c>
    </row>
    <row r="4169" spans="1:10" x14ac:dyDescent="0.2">
      <c r="A4169" s="859">
        <f t="shared" si="65"/>
        <v>4168</v>
      </c>
      <c r="B4169" s="845" t="s">
        <v>2556</v>
      </c>
      <c r="D4169" s="862"/>
      <c r="I4169" s="845" t="s">
        <v>1009</v>
      </c>
    </row>
    <row r="4170" spans="1:10" x14ac:dyDescent="0.2">
      <c r="A4170" s="859">
        <f t="shared" si="65"/>
        <v>4169</v>
      </c>
      <c r="B4170" s="845" t="s">
        <v>2556</v>
      </c>
      <c r="D4170" s="862"/>
      <c r="I4170" s="845" t="str">
        <f>CONCATENATE("&lt;valeur&gt;",Cellule_1004,"&lt;/valeur&gt;")</f>
        <v>&lt;valeur&gt;0&lt;/valeur&gt;</v>
      </c>
    </row>
    <row r="4171" spans="1:10" x14ac:dyDescent="0.2">
      <c r="A4171" s="859">
        <f t="shared" si="65"/>
        <v>4170</v>
      </c>
      <c r="B4171" s="845" t="s">
        <v>2556</v>
      </c>
      <c r="D4171" s="861"/>
      <c r="H4171" s="845" t="s">
        <v>1010</v>
      </c>
    </row>
    <row r="4172" spans="1:10" x14ac:dyDescent="0.2">
      <c r="A4172" s="859">
        <f t="shared" si="65"/>
        <v>4171</v>
      </c>
      <c r="B4172" s="845" t="s">
        <v>2556</v>
      </c>
      <c r="D4172" s="861"/>
      <c r="H4172" s="845" t="s">
        <v>1007</v>
      </c>
    </row>
    <row r="4173" spans="1:10" x14ac:dyDescent="0.2">
      <c r="A4173" s="859">
        <f t="shared" si="65"/>
        <v>4172</v>
      </c>
      <c r="B4173" s="845" t="s">
        <v>2556</v>
      </c>
      <c r="D4173" s="862"/>
      <c r="I4173" s="845" t="s">
        <v>1008</v>
      </c>
    </row>
    <row r="4174" spans="1:10" x14ac:dyDescent="0.2">
      <c r="A4174" s="859">
        <f t="shared" si="65"/>
        <v>4173</v>
      </c>
      <c r="B4174" s="845" t="s">
        <v>2556</v>
      </c>
      <c r="D4174" s="863"/>
      <c r="J4174" s="845" t="s">
        <v>1670</v>
      </c>
    </row>
    <row r="4175" spans="1:10" x14ac:dyDescent="0.2">
      <c r="A4175" s="859">
        <f t="shared" si="65"/>
        <v>4174</v>
      </c>
      <c r="B4175" s="845" t="s">
        <v>2556</v>
      </c>
      <c r="D4175" s="862"/>
      <c r="I4175" s="845" t="s">
        <v>1009</v>
      </c>
    </row>
    <row r="4176" spans="1:10" x14ac:dyDescent="0.2">
      <c r="A4176" s="859">
        <f t="shared" si="65"/>
        <v>4175</v>
      </c>
      <c r="B4176" s="845" t="s">
        <v>2556</v>
      </c>
      <c r="D4176" s="862"/>
      <c r="I4176" s="845" t="str">
        <f>CONCATENATE("&lt;valeur&gt;",Cellule_1005,"&lt;/valeur&gt;")</f>
        <v>&lt;valeur&gt;0&lt;/valeur&gt;</v>
      </c>
    </row>
    <row r="4177" spans="1:10" x14ac:dyDescent="0.2">
      <c r="A4177" s="859">
        <f t="shared" si="65"/>
        <v>4176</v>
      </c>
      <c r="B4177" s="845" t="s">
        <v>2556</v>
      </c>
      <c r="D4177" s="861"/>
      <c r="H4177" s="845" t="s">
        <v>1010</v>
      </c>
    </row>
    <row r="4178" spans="1:10" x14ac:dyDescent="0.2">
      <c r="A4178" s="859">
        <f t="shared" si="65"/>
        <v>4177</v>
      </c>
      <c r="B4178" s="845" t="s">
        <v>2556</v>
      </c>
      <c r="D4178" s="861"/>
      <c r="H4178" s="845" t="s">
        <v>1007</v>
      </c>
    </row>
    <row r="4179" spans="1:10" x14ac:dyDescent="0.2">
      <c r="A4179" s="859">
        <f t="shared" si="65"/>
        <v>4178</v>
      </c>
      <c r="B4179" s="845" t="s">
        <v>2556</v>
      </c>
      <c r="D4179" s="862"/>
      <c r="I4179" s="845" t="s">
        <v>1008</v>
      </c>
    </row>
    <row r="4180" spans="1:10" x14ac:dyDescent="0.2">
      <c r="A4180" s="859">
        <f t="shared" si="65"/>
        <v>4179</v>
      </c>
      <c r="B4180" s="845" t="s">
        <v>2556</v>
      </c>
      <c r="D4180" s="863"/>
      <c r="J4180" s="845" t="s">
        <v>1671</v>
      </c>
    </row>
    <row r="4181" spans="1:10" x14ac:dyDescent="0.2">
      <c r="A4181" s="859">
        <f t="shared" si="65"/>
        <v>4180</v>
      </c>
      <c r="B4181" s="845" t="s">
        <v>2556</v>
      </c>
      <c r="D4181" s="862"/>
      <c r="I4181" s="845" t="s">
        <v>1009</v>
      </c>
    </row>
    <row r="4182" spans="1:10" x14ac:dyDescent="0.2">
      <c r="A4182" s="859">
        <f t="shared" si="65"/>
        <v>4181</v>
      </c>
      <c r="B4182" s="845" t="s">
        <v>2556</v>
      </c>
      <c r="D4182" s="862"/>
      <c r="I4182" s="845" t="str">
        <f>CONCATENATE("&lt;valeur&gt;",Cellule_1006,"&lt;/valeur&gt;")</f>
        <v>&lt;valeur&gt;0&lt;/valeur&gt;</v>
      </c>
    </row>
    <row r="4183" spans="1:10" x14ac:dyDescent="0.2">
      <c r="A4183" s="859">
        <f t="shared" si="65"/>
        <v>4182</v>
      </c>
      <c r="B4183" s="845" t="s">
        <v>2556</v>
      </c>
      <c r="D4183" s="861"/>
      <c r="H4183" s="845" t="s">
        <v>1010</v>
      </c>
    </row>
    <row r="4184" spans="1:10" x14ac:dyDescent="0.2">
      <c r="A4184" s="859">
        <f t="shared" si="65"/>
        <v>4183</v>
      </c>
      <c r="B4184" s="845" t="s">
        <v>2556</v>
      </c>
      <c r="D4184" s="861"/>
      <c r="H4184" s="845" t="s">
        <v>1007</v>
      </c>
    </row>
    <row r="4185" spans="1:10" x14ac:dyDescent="0.2">
      <c r="A4185" s="859">
        <f t="shared" si="65"/>
        <v>4184</v>
      </c>
      <c r="B4185" s="845" t="s">
        <v>2556</v>
      </c>
      <c r="D4185" s="862"/>
      <c r="I4185" s="845" t="s">
        <v>1008</v>
      </c>
    </row>
    <row r="4186" spans="1:10" x14ac:dyDescent="0.2">
      <c r="A4186" s="859">
        <f t="shared" si="65"/>
        <v>4185</v>
      </c>
      <c r="B4186" s="845" t="s">
        <v>2556</v>
      </c>
      <c r="D4186" s="863"/>
      <c r="J4186" s="845" t="s">
        <v>1672</v>
      </c>
    </row>
    <row r="4187" spans="1:10" x14ac:dyDescent="0.2">
      <c r="A4187" s="859">
        <f t="shared" si="65"/>
        <v>4186</v>
      </c>
      <c r="B4187" s="845" t="s">
        <v>2556</v>
      </c>
      <c r="D4187" s="862"/>
      <c r="I4187" s="845" t="s">
        <v>1009</v>
      </c>
    </row>
    <row r="4188" spans="1:10" x14ac:dyDescent="0.2">
      <c r="A4188" s="859">
        <f t="shared" si="65"/>
        <v>4187</v>
      </c>
      <c r="B4188" s="845" t="s">
        <v>2556</v>
      </c>
      <c r="D4188" s="862"/>
      <c r="I4188" s="845" t="str">
        <f>CONCATENATE("&lt;valeur&gt;",Cellule_1007,"&lt;/valeur&gt;")</f>
        <v>&lt;valeur&gt;0&lt;/valeur&gt;</v>
      </c>
    </row>
    <row r="4189" spans="1:10" x14ac:dyDescent="0.2">
      <c r="A4189" s="859">
        <f t="shared" si="65"/>
        <v>4188</v>
      </c>
      <c r="B4189" s="845" t="s">
        <v>2556</v>
      </c>
      <c r="D4189" s="861"/>
      <c r="H4189" s="845" t="s">
        <v>1010</v>
      </c>
    </row>
    <row r="4190" spans="1:10" x14ac:dyDescent="0.2">
      <c r="A4190" s="859">
        <f t="shared" si="65"/>
        <v>4189</v>
      </c>
      <c r="B4190" s="845" t="s">
        <v>2556</v>
      </c>
      <c r="D4190" s="861"/>
      <c r="H4190" s="845" t="s">
        <v>1007</v>
      </c>
    </row>
    <row r="4191" spans="1:10" x14ac:dyDescent="0.2">
      <c r="A4191" s="859">
        <f t="shared" si="65"/>
        <v>4190</v>
      </c>
      <c r="B4191" s="845" t="s">
        <v>2556</v>
      </c>
      <c r="D4191" s="862"/>
      <c r="I4191" s="845" t="s">
        <v>1008</v>
      </c>
    </row>
    <row r="4192" spans="1:10" x14ac:dyDescent="0.2">
      <c r="A4192" s="859">
        <f t="shared" si="65"/>
        <v>4191</v>
      </c>
      <c r="B4192" s="845" t="s">
        <v>2556</v>
      </c>
      <c r="D4192" s="863"/>
      <c r="J4192" s="845" t="s">
        <v>1673</v>
      </c>
    </row>
    <row r="4193" spans="1:10" x14ac:dyDescent="0.2">
      <c r="A4193" s="859">
        <f t="shared" si="65"/>
        <v>4192</v>
      </c>
      <c r="B4193" s="845" t="s">
        <v>2556</v>
      </c>
      <c r="D4193" s="862"/>
      <c r="I4193" s="845" t="s">
        <v>1009</v>
      </c>
    </row>
    <row r="4194" spans="1:10" x14ac:dyDescent="0.2">
      <c r="A4194" s="859">
        <f t="shared" si="65"/>
        <v>4193</v>
      </c>
      <c r="B4194" s="845" t="s">
        <v>2556</v>
      </c>
      <c r="D4194" s="862"/>
      <c r="I4194" s="845" t="str">
        <f>CONCATENATE("&lt;valeur&gt;",Cellule_10084,"&lt;/valeur&gt;")</f>
        <v>&lt;valeur&gt;0&lt;/valeur&gt;</v>
      </c>
    </row>
    <row r="4195" spans="1:10" x14ac:dyDescent="0.2">
      <c r="A4195" s="859">
        <f t="shared" si="65"/>
        <v>4194</v>
      </c>
      <c r="B4195" s="845" t="s">
        <v>2556</v>
      </c>
      <c r="D4195" s="861"/>
      <c r="H4195" s="845" t="s">
        <v>1010</v>
      </c>
    </row>
    <row r="4196" spans="1:10" x14ac:dyDescent="0.2">
      <c r="A4196" s="859">
        <f t="shared" si="65"/>
        <v>4195</v>
      </c>
      <c r="B4196" s="845" t="s">
        <v>2556</v>
      </c>
      <c r="D4196" s="861"/>
      <c r="H4196" s="845" t="s">
        <v>1007</v>
      </c>
    </row>
    <row r="4197" spans="1:10" x14ac:dyDescent="0.2">
      <c r="A4197" s="859">
        <f t="shared" si="65"/>
        <v>4196</v>
      </c>
      <c r="B4197" s="845" t="s">
        <v>2556</v>
      </c>
      <c r="D4197" s="862"/>
      <c r="I4197" s="845" t="s">
        <v>1008</v>
      </c>
    </row>
    <row r="4198" spans="1:10" x14ac:dyDescent="0.2">
      <c r="A4198" s="859">
        <f t="shared" si="65"/>
        <v>4197</v>
      </c>
      <c r="B4198" s="845" t="s">
        <v>2556</v>
      </c>
      <c r="D4198" s="863"/>
      <c r="J4198" s="845" t="s">
        <v>1674</v>
      </c>
    </row>
    <row r="4199" spans="1:10" x14ac:dyDescent="0.2">
      <c r="A4199" s="859">
        <f t="shared" si="65"/>
        <v>4198</v>
      </c>
      <c r="B4199" s="845" t="s">
        <v>2556</v>
      </c>
      <c r="D4199" s="862"/>
      <c r="I4199" s="845" t="s">
        <v>1009</v>
      </c>
    </row>
    <row r="4200" spans="1:10" x14ac:dyDescent="0.2">
      <c r="A4200" s="859">
        <f t="shared" si="65"/>
        <v>4199</v>
      </c>
      <c r="B4200" s="845" t="s">
        <v>2556</v>
      </c>
      <c r="D4200" s="862"/>
      <c r="I4200" s="845" t="str">
        <f>CONCATENATE("&lt;valeur&gt;",Cellule_12599,"&lt;/valeur&gt;")</f>
        <v>&lt;valeur&gt;0&lt;/valeur&gt;</v>
      </c>
    </row>
    <row r="4201" spans="1:10" x14ac:dyDescent="0.2">
      <c r="A4201" s="859">
        <f t="shared" si="65"/>
        <v>4200</v>
      </c>
      <c r="B4201" s="845" t="s">
        <v>2556</v>
      </c>
      <c r="D4201" s="861"/>
      <c r="H4201" s="845" t="s">
        <v>1010</v>
      </c>
    </row>
    <row r="4202" spans="1:10" x14ac:dyDescent="0.2">
      <c r="A4202" s="859">
        <f t="shared" si="65"/>
        <v>4201</v>
      </c>
      <c r="B4202" s="845" t="s">
        <v>2556</v>
      </c>
      <c r="D4202" s="861"/>
      <c r="H4202" s="845" t="s">
        <v>1007</v>
      </c>
    </row>
    <row r="4203" spans="1:10" x14ac:dyDescent="0.2">
      <c r="A4203" s="859">
        <f t="shared" si="65"/>
        <v>4202</v>
      </c>
      <c r="B4203" s="845" t="s">
        <v>2556</v>
      </c>
      <c r="D4203" s="862"/>
      <c r="I4203" s="845" t="s">
        <v>1008</v>
      </c>
    </row>
    <row r="4204" spans="1:10" x14ac:dyDescent="0.2">
      <c r="A4204" s="859">
        <f t="shared" si="65"/>
        <v>4203</v>
      </c>
      <c r="B4204" s="845" t="s">
        <v>2556</v>
      </c>
      <c r="D4204" s="863"/>
      <c r="J4204" s="845" t="s">
        <v>1675</v>
      </c>
    </row>
    <row r="4205" spans="1:10" x14ac:dyDescent="0.2">
      <c r="A4205" s="859">
        <f t="shared" si="65"/>
        <v>4204</v>
      </c>
      <c r="B4205" s="845" t="s">
        <v>2556</v>
      </c>
      <c r="D4205" s="862"/>
      <c r="I4205" s="845" t="s">
        <v>1009</v>
      </c>
    </row>
    <row r="4206" spans="1:10" x14ac:dyDescent="0.2">
      <c r="A4206" s="859">
        <f t="shared" si="65"/>
        <v>4205</v>
      </c>
      <c r="B4206" s="845" t="s">
        <v>2556</v>
      </c>
      <c r="D4206" s="862"/>
      <c r="I4206" s="845" t="str">
        <f>CONCATENATE("&lt;valeur&gt;",Cellule_1015,"&lt;/valeur&gt;")</f>
        <v>&lt;valeur&gt;0&lt;/valeur&gt;</v>
      </c>
    </row>
    <row r="4207" spans="1:10" x14ac:dyDescent="0.2">
      <c r="A4207" s="859">
        <f t="shared" si="65"/>
        <v>4206</v>
      </c>
      <c r="B4207" s="845" t="s">
        <v>2556</v>
      </c>
      <c r="D4207" s="861"/>
      <c r="H4207" s="845" t="s">
        <v>1010</v>
      </c>
    </row>
    <row r="4208" spans="1:10" x14ac:dyDescent="0.2">
      <c r="A4208" s="859">
        <f t="shared" si="65"/>
        <v>4207</v>
      </c>
      <c r="B4208" s="845" t="s">
        <v>2556</v>
      </c>
      <c r="D4208" s="861"/>
      <c r="H4208" s="845" t="s">
        <v>1007</v>
      </c>
    </row>
    <row r="4209" spans="1:10" x14ac:dyDescent="0.2">
      <c r="A4209" s="859">
        <f t="shared" si="65"/>
        <v>4208</v>
      </c>
      <c r="B4209" s="845" t="s">
        <v>2556</v>
      </c>
      <c r="D4209" s="862"/>
      <c r="I4209" s="845" t="s">
        <v>1008</v>
      </c>
    </row>
    <row r="4210" spans="1:10" x14ac:dyDescent="0.2">
      <c r="A4210" s="859">
        <f t="shared" si="65"/>
        <v>4209</v>
      </c>
      <c r="B4210" s="845" t="s">
        <v>2556</v>
      </c>
      <c r="D4210" s="863"/>
      <c r="J4210" s="845" t="s">
        <v>1676</v>
      </c>
    </row>
    <row r="4211" spans="1:10" x14ac:dyDescent="0.2">
      <c r="A4211" s="859">
        <f t="shared" si="65"/>
        <v>4210</v>
      </c>
      <c r="B4211" s="845" t="s">
        <v>2556</v>
      </c>
      <c r="D4211" s="862"/>
      <c r="I4211" s="845" t="s">
        <v>1009</v>
      </c>
    </row>
    <row r="4212" spans="1:10" x14ac:dyDescent="0.2">
      <c r="A4212" s="859">
        <f t="shared" si="65"/>
        <v>4211</v>
      </c>
      <c r="B4212" s="845" t="s">
        <v>2556</v>
      </c>
      <c r="D4212" s="862"/>
      <c r="I4212" s="845" t="str">
        <f>CONCATENATE("&lt;valeur&gt;",Cellule_1016,"&lt;/valeur&gt;")</f>
        <v>&lt;valeur&gt;0&lt;/valeur&gt;</v>
      </c>
    </row>
    <row r="4213" spans="1:10" x14ac:dyDescent="0.2">
      <c r="A4213" s="859">
        <f t="shared" si="65"/>
        <v>4212</v>
      </c>
      <c r="B4213" s="845" t="s">
        <v>2556</v>
      </c>
      <c r="D4213" s="861"/>
      <c r="H4213" s="845" t="s">
        <v>1010</v>
      </c>
    </row>
    <row r="4214" spans="1:10" x14ac:dyDescent="0.2">
      <c r="A4214" s="859">
        <f t="shared" si="65"/>
        <v>4213</v>
      </c>
      <c r="B4214" s="845" t="s">
        <v>2556</v>
      </c>
      <c r="D4214" s="861"/>
      <c r="H4214" s="845" t="s">
        <v>1007</v>
      </c>
    </row>
    <row r="4215" spans="1:10" x14ac:dyDescent="0.2">
      <c r="A4215" s="859">
        <f t="shared" si="65"/>
        <v>4214</v>
      </c>
      <c r="B4215" s="845" t="s">
        <v>2556</v>
      </c>
      <c r="D4215" s="862"/>
      <c r="I4215" s="845" t="s">
        <v>1008</v>
      </c>
    </row>
    <row r="4216" spans="1:10" x14ac:dyDescent="0.2">
      <c r="A4216" s="859">
        <f t="shared" si="65"/>
        <v>4215</v>
      </c>
      <c r="B4216" s="845" t="s">
        <v>2556</v>
      </c>
      <c r="D4216" s="863"/>
      <c r="J4216" s="845" t="s">
        <v>1677</v>
      </c>
    </row>
    <row r="4217" spans="1:10" x14ac:dyDescent="0.2">
      <c r="A4217" s="859">
        <f t="shared" si="65"/>
        <v>4216</v>
      </c>
      <c r="B4217" s="845" t="s">
        <v>2556</v>
      </c>
      <c r="D4217" s="862"/>
      <c r="I4217" s="845" t="s">
        <v>1009</v>
      </c>
    </row>
    <row r="4218" spans="1:10" x14ac:dyDescent="0.2">
      <c r="A4218" s="859">
        <f t="shared" si="65"/>
        <v>4217</v>
      </c>
      <c r="B4218" s="845" t="s">
        <v>2556</v>
      </c>
      <c r="D4218" s="862"/>
      <c r="I4218" s="845" t="str">
        <f>CONCATENATE("&lt;valeur&gt;",Cellule_1017,"&lt;/valeur&gt;")</f>
        <v>&lt;valeur&gt;0&lt;/valeur&gt;</v>
      </c>
    </row>
    <row r="4219" spans="1:10" x14ac:dyDescent="0.2">
      <c r="A4219" s="859">
        <f t="shared" si="65"/>
        <v>4218</v>
      </c>
      <c r="B4219" s="845" t="s">
        <v>2556</v>
      </c>
      <c r="D4219" s="861"/>
      <c r="H4219" s="845" t="s">
        <v>1010</v>
      </c>
    </row>
    <row r="4220" spans="1:10" x14ac:dyDescent="0.2">
      <c r="A4220" s="859">
        <f t="shared" si="65"/>
        <v>4219</v>
      </c>
      <c r="B4220" s="845" t="s">
        <v>2556</v>
      </c>
      <c r="D4220" s="861"/>
      <c r="H4220" s="845" t="s">
        <v>1007</v>
      </c>
    </row>
    <row r="4221" spans="1:10" x14ac:dyDescent="0.2">
      <c r="A4221" s="859">
        <f t="shared" si="65"/>
        <v>4220</v>
      </c>
      <c r="B4221" s="845" t="s">
        <v>2556</v>
      </c>
      <c r="D4221" s="862"/>
      <c r="I4221" s="845" t="s">
        <v>1008</v>
      </c>
    </row>
    <row r="4222" spans="1:10" x14ac:dyDescent="0.2">
      <c r="A4222" s="859">
        <f t="shared" si="65"/>
        <v>4221</v>
      </c>
      <c r="B4222" s="845" t="s">
        <v>2556</v>
      </c>
      <c r="D4222" s="863"/>
      <c r="J4222" s="845" t="s">
        <v>1678</v>
      </c>
    </row>
    <row r="4223" spans="1:10" x14ac:dyDescent="0.2">
      <c r="A4223" s="859">
        <f t="shared" si="65"/>
        <v>4222</v>
      </c>
      <c r="B4223" s="845" t="s">
        <v>2556</v>
      </c>
      <c r="D4223" s="862"/>
      <c r="I4223" s="845" t="s">
        <v>1009</v>
      </c>
    </row>
    <row r="4224" spans="1:10" x14ac:dyDescent="0.2">
      <c r="A4224" s="859">
        <f t="shared" si="65"/>
        <v>4223</v>
      </c>
      <c r="B4224" s="845" t="s">
        <v>2556</v>
      </c>
      <c r="D4224" s="862"/>
      <c r="I4224" s="845" t="str">
        <f>CONCATENATE("&lt;valeur&gt;",Cellule_1018,"&lt;/valeur&gt;")</f>
        <v>&lt;valeur&gt;0&lt;/valeur&gt;</v>
      </c>
    </row>
    <row r="4225" spans="1:10" x14ac:dyDescent="0.2">
      <c r="A4225" s="859">
        <f t="shared" si="65"/>
        <v>4224</v>
      </c>
      <c r="B4225" s="845" t="s">
        <v>2556</v>
      </c>
      <c r="D4225" s="861"/>
      <c r="H4225" s="845" t="s">
        <v>1010</v>
      </c>
    </row>
    <row r="4226" spans="1:10" x14ac:dyDescent="0.2">
      <c r="A4226" s="859">
        <f t="shared" si="65"/>
        <v>4225</v>
      </c>
      <c r="B4226" s="845" t="s">
        <v>2556</v>
      </c>
      <c r="D4226" s="861"/>
      <c r="H4226" s="845" t="s">
        <v>1007</v>
      </c>
    </row>
    <row r="4227" spans="1:10" x14ac:dyDescent="0.2">
      <c r="A4227" s="859">
        <f t="shared" si="65"/>
        <v>4226</v>
      </c>
      <c r="B4227" s="845" t="s">
        <v>2556</v>
      </c>
      <c r="D4227" s="862"/>
      <c r="I4227" s="845" t="s">
        <v>1008</v>
      </c>
    </row>
    <row r="4228" spans="1:10" x14ac:dyDescent="0.2">
      <c r="A4228" s="859">
        <f t="shared" ref="A4228:A4291" si="66">+A4227+1</f>
        <v>4227</v>
      </c>
      <c r="B4228" s="845" t="s">
        <v>2556</v>
      </c>
      <c r="D4228" s="863"/>
      <c r="J4228" s="845" t="s">
        <v>1679</v>
      </c>
    </row>
    <row r="4229" spans="1:10" x14ac:dyDescent="0.2">
      <c r="A4229" s="859">
        <f t="shared" si="66"/>
        <v>4228</v>
      </c>
      <c r="B4229" s="845" t="s">
        <v>2556</v>
      </c>
      <c r="D4229" s="862"/>
      <c r="I4229" s="845" t="s">
        <v>1009</v>
      </c>
    </row>
    <row r="4230" spans="1:10" x14ac:dyDescent="0.2">
      <c r="A4230" s="859">
        <f t="shared" si="66"/>
        <v>4229</v>
      </c>
      <c r="B4230" s="845" t="s">
        <v>2556</v>
      </c>
      <c r="D4230" s="862"/>
      <c r="I4230" s="845" t="str">
        <f>CONCATENATE("&lt;valeur&gt;",Cellule_1019,"&lt;/valeur&gt;")</f>
        <v>&lt;valeur&gt;0&lt;/valeur&gt;</v>
      </c>
    </row>
    <row r="4231" spans="1:10" x14ac:dyDescent="0.2">
      <c r="A4231" s="859">
        <f t="shared" si="66"/>
        <v>4230</v>
      </c>
      <c r="B4231" s="845" t="s">
        <v>2556</v>
      </c>
      <c r="D4231" s="861"/>
      <c r="H4231" s="845" t="s">
        <v>1010</v>
      </c>
    </row>
    <row r="4232" spans="1:10" x14ac:dyDescent="0.2">
      <c r="A4232" s="859">
        <f t="shared" si="66"/>
        <v>4231</v>
      </c>
      <c r="B4232" s="845" t="s">
        <v>2556</v>
      </c>
      <c r="D4232" s="861"/>
      <c r="H4232" s="845" t="s">
        <v>1007</v>
      </c>
    </row>
    <row r="4233" spans="1:10" x14ac:dyDescent="0.2">
      <c r="A4233" s="859">
        <f t="shared" si="66"/>
        <v>4232</v>
      </c>
      <c r="B4233" s="845" t="s">
        <v>2556</v>
      </c>
      <c r="D4233" s="862"/>
      <c r="I4233" s="845" t="s">
        <v>1008</v>
      </c>
    </row>
    <row r="4234" spans="1:10" x14ac:dyDescent="0.2">
      <c r="A4234" s="859">
        <f t="shared" si="66"/>
        <v>4233</v>
      </c>
      <c r="B4234" s="845" t="s">
        <v>2556</v>
      </c>
      <c r="D4234" s="863"/>
      <c r="J4234" s="845" t="s">
        <v>1680</v>
      </c>
    </row>
    <row r="4235" spans="1:10" x14ac:dyDescent="0.2">
      <c r="A4235" s="859">
        <f t="shared" si="66"/>
        <v>4234</v>
      </c>
      <c r="B4235" s="845" t="s">
        <v>2556</v>
      </c>
      <c r="D4235" s="862"/>
      <c r="I4235" s="845" t="s">
        <v>1009</v>
      </c>
    </row>
    <row r="4236" spans="1:10" x14ac:dyDescent="0.2">
      <c r="A4236" s="859">
        <f t="shared" si="66"/>
        <v>4235</v>
      </c>
      <c r="B4236" s="845" t="s">
        <v>2556</v>
      </c>
      <c r="D4236" s="862"/>
      <c r="I4236" s="845" t="str">
        <f>CONCATENATE("&lt;valeur&gt;",Cellule_1020,"&lt;/valeur&gt;")</f>
        <v>&lt;valeur&gt;0&lt;/valeur&gt;</v>
      </c>
    </row>
    <row r="4237" spans="1:10" x14ac:dyDescent="0.2">
      <c r="A4237" s="859">
        <f t="shared" si="66"/>
        <v>4236</v>
      </c>
      <c r="B4237" s="845" t="s">
        <v>2556</v>
      </c>
      <c r="D4237" s="861"/>
      <c r="H4237" s="845" t="s">
        <v>1010</v>
      </c>
    </row>
    <row r="4238" spans="1:10" x14ac:dyDescent="0.2">
      <c r="A4238" s="859">
        <f t="shared" si="66"/>
        <v>4237</v>
      </c>
      <c r="B4238" s="845" t="s">
        <v>2556</v>
      </c>
      <c r="D4238" s="861"/>
      <c r="H4238" s="845" t="s">
        <v>1007</v>
      </c>
    </row>
    <row r="4239" spans="1:10" x14ac:dyDescent="0.2">
      <c r="A4239" s="859">
        <f t="shared" si="66"/>
        <v>4238</v>
      </c>
      <c r="B4239" s="845" t="s">
        <v>2556</v>
      </c>
      <c r="D4239" s="862"/>
      <c r="I4239" s="845" t="s">
        <v>1008</v>
      </c>
    </row>
    <row r="4240" spans="1:10" x14ac:dyDescent="0.2">
      <c r="A4240" s="859">
        <f t="shared" si="66"/>
        <v>4239</v>
      </c>
      <c r="B4240" s="845" t="s">
        <v>2556</v>
      </c>
      <c r="D4240" s="863"/>
      <c r="J4240" s="845" t="s">
        <v>1681</v>
      </c>
    </row>
    <row r="4241" spans="1:10" x14ac:dyDescent="0.2">
      <c r="A4241" s="859">
        <f t="shared" si="66"/>
        <v>4240</v>
      </c>
      <c r="B4241" s="845" t="s">
        <v>2556</v>
      </c>
      <c r="D4241" s="862"/>
      <c r="I4241" s="845" t="s">
        <v>1009</v>
      </c>
    </row>
    <row r="4242" spans="1:10" x14ac:dyDescent="0.2">
      <c r="A4242" s="859">
        <f t="shared" si="66"/>
        <v>4241</v>
      </c>
      <c r="B4242" s="845" t="s">
        <v>2556</v>
      </c>
      <c r="D4242" s="862"/>
      <c r="I4242" s="845" t="str">
        <f>CONCATENATE("&lt;valeur&gt;",Cellule_1021,"&lt;/valeur&gt;")</f>
        <v>&lt;valeur&gt;0&lt;/valeur&gt;</v>
      </c>
    </row>
    <row r="4243" spans="1:10" x14ac:dyDescent="0.2">
      <c r="A4243" s="859">
        <f t="shared" si="66"/>
        <v>4242</v>
      </c>
      <c r="B4243" s="845" t="s">
        <v>2556</v>
      </c>
      <c r="D4243" s="861"/>
      <c r="H4243" s="845" t="s">
        <v>1010</v>
      </c>
    </row>
    <row r="4244" spans="1:10" x14ac:dyDescent="0.2">
      <c r="A4244" s="859">
        <f t="shared" si="66"/>
        <v>4243</v>
      </c>
      <c r="B4244" s="845" t="s">
        <v>2556</v>
      </c>
      <c r="D4244" s="861"/>
      <c r="H4244" s="845" t="s">
        <v>1007</v>
      </c>
    </row>
    <row r="4245" spans="1:10" x14ac:dyDescent="0.2">
      <c r="A4245" s="859">
        <f t="shared" si="66"/>
        <v>4244</v>
      </c>
      <c r="B4245" s="845" t="s">
        <v>2556</v>
      </c>
      <c r="D4245" s="862"/>
      <c r="I4245" s="845" t="s">
        <v>1008</v>
      </c>
    </row>
    <row r="4246" spans="1:10" x14ac:dyDescent="0.2">
      <c r="A4246" s="859">
        <f t="shared" si="66"/>
        <v>4245</v>
      </c>
      <c r="B4246" s="845" t="s">
        <v>2556</v>
      </c>
      <c r="D4246" s="863"/>
      <c r="J4246" s="845" t="s">
        <v>1682</v>
      </c>
    </row>
    <row r="4247" spans="1:10" x14ac:dyDescent="0.2">
      <c r="A4247" s="859">
        <f t="shared" si="66"/>
        <v>4246</v>
      </c>
      <c r="B4247" s="845" t="s">
        <v>2556</v>
      </c>
      <c r="D4247" s="862"/>
      <c r="I4247" s="845" t="s">
        <v>1009</v>
      </c>
    </row>
    <row r="4248" spans="1:10" x14ac:dyDescent="0.2">
      <c r="A4248" s="859">
        <f t="shared" si="66"/>
        <v>4247</v>
      </c>
      <c r="B4248" s="845" t="s">
        <v>2556</v>
      </c>
      <c r="D4248" s="862"/>
      <c r="I4248" s="845" t="str">
        <f>CONCATENATE("&lt;valeur&gt;",Cellule_10085,"&lt;/valeur&gt;")</f>
        <v>&lt;valeur&gt;0&lt;/valeur&gt;</v>
      </c>
    </row>
    <row r="4249" spans="1:10" x14ac:dyDescent="0.2">
      <c r="A4249" s="859">
        <f t="shared" si="66"/>
        <v>4248</v>
      </c>
      <c r="B4249" s="845" t="s">
        <v>2556</v>
      </c>
      <c r="D4249" s="861"/>
      <c r="H4249" s="845" t="s">
        <v>1010</v>
      </c>
    </row>
    <row r="4250" spans="1:10" x14ac:dyDescent="0.2">
      <c r="A4250" s="859">
        <f t="shared" si="66"/>
        <v>4249</v>
      </c>
      <c r="B4250" s="845" t="s">
        <v>2556</v>
      </c>
      <c r="D4250" s="861"/>
      <c r="H4250" s="845" t="s">
        <v>1007</v>
      </c>
    </row>
    <row r="4251" spans="1:10" x14ac:dyDescent="0.2">
      <c r="A4251" s="859">
        <f t="shared" si="66"/>
        <v>4250</v>
      </c>
      <c r="B4251" s="845" t="s">
        <v>2556</v>
      </c>
      <c r="D4251" s="862"/>
      <c r="I4251" s="845" t="s">
        <v>1008</v>
      </c>
    </row>
    <row r="4252" spans="1:10" x14ac:dyDescent="0.2">
      <c r="A4252" s="859">
        <f t="shared" si="66"/>
        <v>4251</v>
      </c>
      <c r="B4252" s="845" t="s">
        <v>2556</v>
      </c>
      <c r="D4252" s="863"/>
      <c r="J4252" s="845" t="s">
        <v>1683</v>
      </c>
    </row>
    <row r="4253" spans="1:10" x14ac:dyDescent="0.2">
      <c r="A4253" s="859">
        <f t="shared" si="66"/>
        <v>4252</v>
      </c>
      <c r="B4253" s="845" t="s">
        <v>2556</v>
      </c>
      <c r="D4253" s="862"/>
      <c r="I4253" s="845" t="s">
        <v>1009</v>
      </c>
    </row>
    <row r="4254" spans="1:10" x14ac:dyDescent="0.2">
      <c r="A4254" s="859">
        <f t="shared" si="66"/>
        <v>4253</v>
      </c>
      <c r="B4254" s="845" t="s">
        <v>2556</v>
      </c>
      <c r="D4254" s="862"/>
      <c r="I4254" s="845" t="str">
        <f>CONCATENATE("&lt;valeur&gt;",Cellule_12600,"&lt;/valeur&gt;")</f>
        <v>&lt;valeur&gt;0&lt;/valeur&gt;</v>
      </c>
    </row>
    <row r="4255" spans="1:10" x14ac:dyDescent="0.2">
      <c r="A4255" s="859">
        <f t="shared" si="66"/>
        <v>4254</v>
      </c>
      <c r="B4255" s="845" t="s">
        <v>2556</v>
      </c>
      <c r="D4255" s="861"/>
      <c r="H4255" s="845" t="s">
        <v>1010</v>
      </c>
    </row>
    <row r="4256" spans="1:10" x14ac:dyDescent="0.2">
      <c r="A4256" s="859">
        <f t="shared" si="66"/>
        <v>4255</v>
      </c>
      <c r="B4256" s="845" t="s">
        <v>2556</v>
      </c>
      <c r="D4256" s="861"/>
      <c r="H4256" s="845" t="s">
        <v>1007</v>
      </c>
    </row>
    <row r="4257" spans="1:10" x14ac:dyDescent="0.2">
      <c r="A4257" s="859">
        <f t="shared" si="66"/>
        <v>4256</v>
      </c>
      <c r="B4257" s="845" t="s">
        <v>2556</v>
      </c>
      <c r="D4257" s="862"/>
      <c r="I4257" s="845" t="s">
        <v>1008</v>
      </c>
    </row>
    <row r="4258" spans="1:10" x14ac:dyDescent="0.2">
      <c r="A4258" s="859">
        <f t="shared" si="66"/>
        <v>4257</v>
      </c>
      <c r="B4258" s="845" t="s">
        <v>2556</v>
      </c>
      <c r="D4258" s="863"/>
      <c r="J4258" s="845" t="s">
        <v>1684</v>
      </c>
    </row>
    <row r="4259" spans="1:10" x14ac:dyDescent="0.2">
      <c r="A4259" s="859">
        <f t="shared" si="66"/>
        <v>4258</v>
      </c>
      <c r="B4259" s="845" t="s">
        <v>2556</v>
      </c>
      <c r="D4259" s="862"/>
      <c r="I4259" s="845" t="s">
        <v>1009</v>
      </c>
    </row>
    <row r="4260" spans="1:10" x14ac:dyDescent="0.2">
      <c r="A4260" s="859">
        <f t="shared" si="66"/>
        <v>4259</v>
      </c>
      <c r="B4260" s="845" t="s">
        <v>2556</v>
      </c>
      <c r="D4260" s="862"/>
      <c r="I4260" s="845" t="str">
        <f>CONCATENATE("&lt;valeur&gt;",Cellule_1029,"&lt;/valeur&gt;")</f>
        <v>&lt;valeur&gt;0&lt;/valeur&gt;</v>
      </c>
    </row>
    <row r="4261" spans="1:10" x14ac:dyDescent="0.2">
      <c r="A4261" s="859">
        <f t="shared" si="66"/>
        <v>4260</v>
      </c>
      <c r="B4261" s="845" t="s">
        <v>2556</v>
      </c>
      <c r="D4261" s="861"/>
      <c r="H4261" s="845" t="s">
        <v>1010</v>
      </c>
    </row>
    <row r="4262" spans="1:10" x14ac:dyDescent="0.2">
      <c r="A4262" s="859">
        <f t="shared" si="66"/>
        <v>4261</v>
      </c>
      <c r="B4262" s="845" t="s">
        <v>2556</v>
      </c>
      <c r="D4262" s="861"/>
      <c r="H4262" s="845" t="s">
        <v>1007</v>
      </c>
    </row>
    <row r="4263" spans="1:10" x14ac:dyDescent="0.2">
      <c r="A4263" s="859">
        <f t="shared" si="66"/>
        <v>4262</v>
      </c>
      <c r="B4263" s="845" t="s">
        <v>2556</v>
      </c>
      <c r="D4263" s="862"/>
      <c r="I4263" s="845" t="s">
        <v>1008</v>
      </c>
    </row>
    <row r="4264" spans="1:10" x14ac:dyDescent="0.2">
      <c r="A4264" s="859">
        <f t="shared" si="66"/>
        <v>4263</v>
      </c>
      <c r="B4264" s="845" t="s">
        <v>2556</v>
      </c>
      <c r="D4264" s="863"/>
      <c r="J4264" s="845" t="s">
        <v>1685</v>
      </c>
    </row>
    <row r="4265" spans="1:10" x14ac:dyDescent="0.2">
      <c r="A4265" s="859">
        <f t="shared" si="66"/>
        <v>4264</v>
      </c>
      <c r="B4265" s="845" t="s">
        <v>2556</v>
      </c>
      <c r="D4265" s="862"/>
      <c r="I4265" s="845" t="s">
        <v>1009</v>
      </c>
    </row>
    <row r="4266" spans="1:10" x14ac:dyDescent="0.2">
      <c r="A4266" s="859">
        <f t="shared" si="66"/>
        <v>4265</v>
      </c>
      <c r="B4266" s="845" t="s">
        <v>2556</v>
      </c>
      <c r="D4266" s="862"/>
      <c r="I4266" s="845" t="str">
        <f>CONCATENATE("&lt;valeur&gt;",Cellule_1030,"&lt;/valeur&gt;")</f>
        <v>&lt;valeur&gt;0&lt;/valeur&gt;</v>
      </c>
    </row>
    <row r="4267" spans="1:10" x14ac:dyDescent="0.2">
      <c r="A4267" s="859">
        <f t="shared" si="66"/>
        <v>4266</v>
      </c>
      <c r="B4267" s="845" t="s">
        <v>2556</v>
      </c>
      <c r="D4267" s="861"/>
      <c r="H4267" s="845" t="s">
        <v>1010</v>
      </c>
    </row>
    <row r="4268" spans="1:10" x14ac:dyDescent="0.2">
      <c r="A4268" s="859">
        <f t="shared" si="66"/>
        <v>4267</v>
      </c>
      <c r="B4268" s="845" t="s">
        <v>2556</v>
      </c>
      <c r="D4268" s="861"/>
      <c r="H4268" s="845" t="s">
        <v>1007</v>
      </c>
    </row>
    <row r="4269" spans="1:10" x14ac:dyDescent="0.2">
      <c r="A4269" s="859">
        <f t="shared" si="66"/>
        <v>4268</v>
      </c>
      <c r="B4269" s="845" t="s">
        <v>2556</v>
      </c>
      <c r="D4269" s="862"/>
      <c r="I4269" s="845" t="s">
        <v>1008</v>
      </c>
    </row>
    <row r="4270" spans="1:10" x14ac:dyDescent="0.2">
      <c r="A4270" s="859">
        <f t="shared" si="66"/>
        <v>4269</v>
      </c>
      <c r="B4270" s="845" t="s">
        <v>2556</v>
      </c>
      <c r="D4270" s="863"/>
      <c r="J4270" s="845" t="s">
        <v>1686</v>
      </c>
    </row>
    <row r="4271" spans="1:10" x14ac:dyDescent="0.2">
      <c r="A4271" s="859">
        <f t="shared" si="66"/>
        <v>4270</v>
      </c>
      <c r="B4271" s="845" t="s">
        <v>2556</v>
      </c>
      <c r="D4271" s="862"/>
      <c r="I4271" s="845" t="s">
        <v>1009</v>
      </c>
    </row>
    <row r="4272" spans="1:10" x14ac:dyDescent="0.2">
      <c r="A4272" s="859">
        <f t="shared" si="66"/>
        <v>4271</v>
      </c>
      <c r="B4272" s="845" t="s">
        <v>2556</v>
      </c>
      <c r="D4272" s="862"/>
      <c r="I4272" s="845" t="str">
        <f>CONCATENATE("&lt;valeur&gt;",Cellule_1031,"&lt;/valeur&gt;")</f>
        <v>&lt;valeur&gt;0&lt;/valeur&gt;</v>
      </c>
    </row>
    <row r="4273" spans="1:10" x14ac:dyDescent="0.2">
      <c r="A4273" s="859">
        <f t="shared" si="66"/>
        <v>4272</v>
      </c>
      <c r="B4273" s="845" t="s">
        <v>2556</v>
      </c>
      <c r="D4273" s="861"/>
      <c r="H4273" s="845" t="s">
        <v>1010</v>
      </c>
    </row>
    <row r="4274" spans="1:10" x14ac:dyDescent="0.2">
      <c r="A4274" s="859">
        <f t="shared" si="66"/>
        <v>4273</v>
      </c>
      <c r="B4274" s="845" t="s">
        <v>2556</v>
      </c>
      <c r="D4274" s="861"/>
      <c r="H4274" s="845" t="s">
        <v>1007</v>
      </c>
    </row>
    <row r="4275" spans="1:10" x14ac:dyDescent="0.2">
      <c r="A4275" s="859">
        <f t="shared" si="66"/>
        <v>4274</v>
      </c>
      <c r="B4275" s="845" t="s">
        <v>2556</v>
      </c>
      <c r="D4275" s="862"/>
      <c r="I4275" s="845" t="s">
        <v>1008</v>
      </c>
    </row>
    <row r="4276" spans="1:10" x14ac:dyDescent="0.2">
      <c r="A4276" s="859">
        <f t="shared" si="66"/>
        <v>4275</v>
      </c>
      <c r="B4276" s="845" t="s">
        <v>2556</v>
      </c>
      <c r="D4276" s="863"/>
      <c r="J4276" s="845" t="s">
        <v>1687</v>
      </c>
    </row>
    <row r="4277" spans="1:10" x14ac:dyDescent="0.2">
      <c r="A4277" s="859">
        <f t="shared" si="66"/>
        <v>4276</v>
      </c>
      <c r="B4277" s="845" t="s">
        <v>2556</v>
      </c>
      <c r="D4277" s="862"/>
      <c r="I4277" s="845" t="s">
        <v>1009</v>
      </c>
    </row>
    <row r="4278" spans="1:10" x14ac:dyDescent="0.2">
      <c r="A4278" s="859">
        <f t="shared" si="66"/>
        <v>4277</v>
      </c>
      <c r="B4278" s="845" t="s">
        <v>2556</v>
      </c>
      <c r="D4278" s="862"/>
      <c r="I4278" s="845" t="str">
        <f>CONCATENATE("&lt;valeur&gt;",Cellule_1032,"&lt;/valeur&gt;")</f>
        <v>&lt;valeur&gt;0&lt;/valeur&gt;</v>
      </c>
    </row>
    <row r="4279" spans="1:10" x14ac:dyDescent="0.2">
      <c r="A4279" s="859">
        <f t="shared" si="66"/>
        <v>4278</v>
      </c>
      <c r="B4279" s="845" t="s">
        <v>2556</v>
      </c>
      <c r="D4279" s="861"/>
      <c r="H4279" s="845" t="s">
        <v>1010</v>
      </c>
    </row>
    <row r="4280" spans="1:10" x14ac:dyDescent="0.2">
      <c r="A4280" s="859">
        <f t="shared" si="66"/>
        <v>4279</v>
      </c>
      <c r="B4280" s="845" t="s">
        <v>2556</v>
      </c>
      <c r="D4280" s="861"/>
      <c r="H4280" s="845" t="s">
        <v>1007</v>
      </c>
    </row>
    <row r="4281" spans="1:10" x14ac:dyDescent="0.2">
      <c r="A4281" s="859">
        <f t="shared" si="66"/>
        <v>4280</v>
      </c>
      <c r="B4281" s="845" t="s">
        <v>2556</v>
      </c>
      <c r="D4281" s="862"/>
      <c r="I4281" s="845" t="s">
        <v>1008</v>
      </c>
    </row>
    <row r="4282" spans="1:10" x14ac:dyDescent="0.2">
      <c r="A4282" s="859">
        <f t="shared" si="66"/>
        <v>4281</v>
      </c>
      <c r="B4282" s="845" t="s">
        <v>2556</v>
      </c>
      <c r="D4282" s="863"/>
      <c r="J4282" s="845" t="s">
        <v>1688</v>
      </c>
    </row>
    <row r="4283" spans="1:10" x14ac:dyDescent="0.2">
      <c r="A4283" s="859">
        <f t="shared" si="66"/>
        <v>4282</v>
      </c>
      <c r="B4283" s="845" t="s">
        <v>2556</v>
      </c>
      <c r="D4283" s="862"/>
      <c r="I4283" s="845" t="s">
        <v>1009</v>
      </c>
    </row>
    <row r="4284" spans="1:10" x14ac:dyDescent="0.2">
      <c r="A4284" s="859">
        <f t="shared" si="66"/>
        <v>4283</v>
      </c>
      <c r="B4284" s="845" t="s">
        <v>2556</v>
      </c>
      <c r="D4284" s="862"/>
      <c r="I4284" s="845" t="str">
        <f>CONCATENATE("&lt;valeur&gt;",Cellule_1033,"&lt;/valeur&gt;")</f>
        <v>&lt;valeur&gt;0&lt;/valeur&gt;</v>
      </c>
    </row>
    <row r="4285" spans="1:10" x14ac:dyDescent="0.2">
      <c r="A4285" s="859">
        <f t="shared" si="66"/>
        <v>4284</v>
      </c>
      <c r="B4285" s="845" t="s">
        <v>2556</v>
      </c>
      <c r="D4285" s="861"/>
      <c r="H4285" s="845" t="s">
        <v>1010</v>
      </c>
    </row>
    <row r="4286" spans="1:10" x14ac:dyDescent="0.2">
      <c r="A4286" s="859">
        <f t="shared" si="66"/>
        <v>4285</v>
      </c>
      <c r="B4286" s="845" t="s">
        <v>2556</v>
      </c>
      <c r="D4286" s="861"/>
      <c r="H4286" s="845" t="s">
        <v>1007</v>
      </c>
    </row>
    <row r="4287" spans="1:10" x14ac:dyDescent="0.2">
      <c r="A4287" s="859">
        <f t="shared" si="66"/>
        <v>4286</v>
      </c>
      <c r="B4287" s="845" t="s">
        <v>2556</v>
      </c>
      <c r="D4287" s="862"/>
      <c r="I4287" s="845" t="s">
        <v>1008</v>
      </c>
    </row>
    <row r="4288" spans="1:10" x14ac:dyDescent="0.2">
      <c r="A4288" s="859">
        <f t="shared" si="66"/>
        <v>4287</v>
      </c>
      <c r="B4288" s="845" t="s">
        <v>2556</v>
      </c>
      <c r="D4288" s="863"/>
      <c r="J4288" s="845" t="s">
        <v>1689</v>
      </c>
    </row>
    <row r="4289" spans="1:10" x14ac:dyDescent="0.2">
      <c r="A4289" s="859">
        <f t="shared" si="66"/>
        <v>4288</v>
      </c>
      <c r="B4289" s="845" t="s">
        <v>2556</v>
      </c>
      <c r="D4289" s="862"/>
      <c r="I4289" s="845" t="s">
        <v>1009</v>
      </c>
    </row>
    <row r="4290" spans="1:10" x14ac:dyDescent="0.2">
      <c r="A4290" s="859">
        <f t="shared" si="66"/>
        <v>4289</v>
      </c>
      <c r="B4290" s="845" t="s">
        <v>2556</v>
      </c>
      <c r="D4290" s="862"/>
      <c r="I4290" s="845" t="str">
        <f>CONCATENATE("&lt;valeur&gt;",Cellule_1034,"&lt;/valeur&gt;")</f>
        <v>&lt;valeur&gt;0&lt;/valeur&gt;</v>
      </c>
    </row>
    <row r="4291" spans="1:10" x14ac:dyDescent="0.2">
      <c r="A4291" s="859">
        <f t="shared" si="66"/>
        <v>4290</v>
      </c>
      <c r="B4291" s="845" t="s">
        <v>2556</v>
      </c>
      <c r="D4291" s="861"/>
      <c r="H4291" s="845" t="s">
        <v>1010</v>
      </c>
    </row>
    <row r="4292" spans="1:10" x14ac:dyDescent="0.2">
      <c r="A4292" s="859">
        <f t="shared" ref="A4292:A4355" si="67">+A4291+1</f>
        <v>4291</v>
      </c>
      <c r="B4292" s="845" t="s">
        <v>2556</v>
      </c>
      <c r="D4292" s="861"/>
      <c r="H4292" s="845" t="s">
        <v>1007</v>
      </c>
    </row>
    <row r="4293" spans="1:10" x14ac:dyDescent="0.2">
      <c r="A4293" s="859">
        <f t="shared" si="67"/>
        <v>4292</v>
      </c>
      <c r="B4293" s="845" t="s">
        <v>2556</v>
      </c>
      <c r="D4293" s="862"/>
      <c r="I4293" s="845" t="s">
        <v>1008</v>
      </c>
    </row>
    <row r="4294" spans="1:10" x14ac:dyDescent="0.2">
      <c r="A4294" s="859">
        <f t="shared" si="67"/>
        <v>4293</v>
      </c>
      <c r="B4294" s="845" t="s">
        <v>2556</v>
      </c>
      <c r="D4294" s="863"/>
      <c r="J4294" s="845" t="s">
        <v>1690</v>
      </c>
    </row>
    <row r="4295" spans="1:10" x14ac:dyDescent="0.2">
      <c r="A4295" s="859">
        <f t="shared" si="67"/>
        <v>4294</v>
      </c>
      <c r="B4295" s="845" t="s">
        <v>2556</v>
      </c>
      <c r="D4295" s="862"/>
      <c r="I4295" s="845" t="s">
        <v>1009</v>
      </c>
    </row>
    <row r="4296" spans="1:10" x14ac:dyDescent="0.2">
      <c r="A4296" s="859">
        <f t="shared" si="67"/>
        <v>4295</v>
      </c>
      <c r="B4296" s="845" t="s">
        <v>2556</v>
      </c>
      <c r="D4296" s="862"/>
      <c r="I4296" s="845" t="str">
        <f>CONCATENATE("&lt;valeur&gt;",Cellule_1035,"&lt;/valeur&gt;")</f>
        <v>&lt;valeur&gt;0&lt;/valeur&gt;</v>
      </c>
    </row>
    <row r="4297" spans="1:10" x14ac:dyDescent="0.2">
      <c r="A4297" s="859">
        <f t="shared" si="67"/>
        <v>4296</v>
      </c>
      <c r="B4297" s="845" t="s">
        <v>2556</v>
      </c>
      <c r="D4297" s="861"/>
      <c r="H4297" s="845" t="s">
        <v>1010</v>
      </c>
    </row>
    <row r="4298" spans="1:10" x14ac:dyDescent="0.2">
      <c r="A4298" s="859">
        <f t="shared" si="67"/>
        <v>4297</v>
      </c>
      <c r="B4298" s="845" t="s">
        <v>2556</v>
      </c>
      <c r="D4298" s="861"/>
      <c r="H4298" s="845" t="s">
        <v>1007</v>
      </c>
    </row>
    <row r="4299" spans="1:10" x14ac:dyDescent="0.2">
      <c r="A4299" s="859">
        <f t="shared" si="67"/>
        <v>4298</v>
      </c>
      <c r="B4299" s="845" t="s">
        <v>2556</v>
      </c>
      <c r="D4299" s="862"/>
      <c r="I4299" s="845" t="s">
        <v>1008</v>
      </c>
    </row>
    <row r="4300" spans="1:10" x14ac:dyDescent="0.2">
      <c r="A4300" s="859">
        <f t="shared" si="67"/>
        <v>4299</v>
      </c>
      <c r="B4300" s="845" t="s">
        <v>2556</v>
      </c>
      <c r="D4300" s="863"/>
      <c r="J4300" s="845" t="s">
        <v>1691</v>
      </c>
    </row>
    <row r="4301" spans="1:10" x14ac:dyDescent="0.2">
      <c r="A4301" s="859">
        <f t="shared" si="67"/>
        <v>4300</v>
      </c>
      <c r="B4301" s="845" t="s">
        <v>2556</v>
      </c>
      <c r="D4301" s="862"/>
      <c r="I4301" s="845" t="s">
        <v>1009</v>
      </c>
    </row>
    <row r="4302" spans="1:10" x14ac:dyDescent="0.2">
      <c r="A4302" s="859">
        <f t="shared" si="67"/>
        <v>4301</v>
      </c>
      <c r="B4302" s="845" t="s">
        <v>2556</v>
      </c>
      <c r="D4302" s="862"/>
      <c r="I4302" s="845" t="str">
        <f>CONCATENATE("&lt;valeur&gt;",Cellule_10086,"&lt;/valeur&gt;")</f>
        <v>&lt;valeur&gt;0&lt;/valeur&gt;</v>
      </c>
    </row>
    <row r="4303" spans="1:10" x14ac:dyDescent="0.2">
      <c r="A4303" s="859">
        <f t="shared" si="67"/>
        <v>4302</v>
      </c>
      <c r="B4303" s="845" t="s">
        <v>2556</v>
      </c>
      <c r="D4303" s="861"/>
      <c r="H4303" s="845" t="s">
        <v>1010</v>
      </c>
    </row>
    <row r="4304" spans="1:10" x14ac:dyDescent="0.2">
      <c r="A4304" s="859">
        <f t="shared" si="67"/>
        <v>4303</v>
      </c>
      <c r="B4304" s="845" t="s">
        <v>2556</v>
      </c>
      <c r="D4304" s="861"/>
      <c r="H4304" s="845" t="s">
        <v>1007</v>
      </c>
    </row>
    <row r="4305" spans="1:10" x14ac:dyDescent="0.2">
      <c r="A4305" s="859">
        <f t="shared" si="67"/>
        <v>4304</v>
      </c>
      <c r="B4305" s="845" t="s">
        <v>2556</v>
      </c>
      <c r="D4305" s="862"/>
      <c r="I4305" s="845" t="s">
        <v>1008</v>
      </c>
    </row>
    <row r="4306" spans="1:10" x14ac:dyDescent="0.2">
      <c r="A4306" s="859">
        <f t="shared" si="67"/>
        <v>4305</v>
      </c>
      <c r="B4306" s="845" t="s">
        <v>2556</v>
      </c>
      <c r="D4306" s="863"/>
      <c r="J4306" s="845" t="s">
        <v>1692</v>
      </c>
    </row>
    <row r="4307" spans="1:10" x14ac:dyDescent="0.2">
      <c r="A4307" s="859">
        <f t="shared" si="67"/>
        <v>4306</v>
      </c>
      <c r="B4307" s="845" t="s">
        <v>2556</v>
      </c>
      <c r="D4307" s="862"/>
      <c r="I4307" s="845" t="s">
        <v>1009</v>
      </c>
    </row>
    <row r="4308" spans="1:10" x14ac:dyDescent="0.2">
      <c r="A4308" s="859">
        <f t="shared" si="67"/>
        <v>4307</v>
      </c>
      <c r="B4308" s="845" t="s">
        <v>2556</v>
      </c>
      <c r="D4308" s="862"/>
      <c r="I4308" s="845" t="str">
        <f>CONCATENATE("&lt;valeur&gt;",Cellule_12601,"&lt;/valeur&gt;")</f>
        <v>&lt;valeur&gt;0&lt;/valeur&gt;</v>
      </c>
    </row>
    <row r="4309" spans="1:10" x14ac:dyDescent="0.2">
      <c r="A4309" s="859">
        <f t="shared" si="67"/>
        <v>4308</v>
      </c>
      <c r="B4309" s="845" t="s">
        <v>2556</v>
      </c>
      <c r="D4309" s="861"/>
      <c r="H4309" s="845" t="s">
        <v>1010</v>
      </c>
    </row>
    <row r="4310" spans="1:10" x14ac:dyDescent="0.2">
      <c r="A4310" s="859">
        <f t="shared" si="67"/>
        <v>4309</v>
      </c>
      <c r="B4310" s="845" t="s">
        <v>2556</v>
      </c>
      <c r="D4310" s="861"/>
      <c r="H4310" s="845" t="s">
        <v>1007</v>
      </c>
    </row>
    <row r="4311" spans="1:10" x14ac:dyDescent="0.2">
      <c r="A4311" s="859">
        <f t="shared" si="67"/>
        <v>4310</v>
      </c>
      <c r="B4311" s="845" t="s">
        <v>2556</v>
      </c>
      <c r="D4311" s="862"/>
      <c r="I4311" s="845" t="s">
        <v>1008</v>
      </c>
    </row>
    <row r="4312" spans="1:10" x14ac:dyDescent="0.2">
      <c r="A4312" s="859">
        <f t="shared" si="67"/>
        <v>4311</v>
      </c>
      <c r="B4312" s="845" t="s">
        <v>2556</v>
      </c>
      <c r="D4312" s="863"/>
      <c r="J4312" s="845" t="s">
        <v>1693</v>
      </c>
    </row>
    <row r="4313" spans="1:10" x14ac:dyDescent="0.2">
      <c r="A4313" s="859">
        <f t="shared" si="67"/>
        <v>4312</v>
      </c>
      <c r="B4313" s="845" t="s">
        <v>2556</v>
      </c>
      <c r="D4313" s="862"/>
      <c r="I4313" s="845" t="s">
        <v>1009</v>
      </c>
    </row>
    <row r="4314" spans="1:10" x14ac:dyDescent="0.2">
      <c r="A4314" s="859">
        <f t="shared" si="67"/>
        <v>4313</v>
      </c>
      <c r="B4314" s="845" t="s">
        <v>2556</v>
      </c>
      <c r="D4314" s="862"/>
      <c r="I4314" s="845" t="str">
        <f>CONCATENATE("&lt;valeur&gt;",Cellule_1043,"&lt;/valeur&gt;")</f>
        <v>&lt;valeur&gt;0&lt;/valeur&gt;</v>
      </c>
    </row>
    <row r="4315" spans="1:10" x14ac:dyDescent="0.2">
      <c r="A4315" s="859">
        <f t="shared" si="67"/>
        <v>4314</v>
      </c>
      <c r="B4315" s="845" t="s">
        <v>2556</v>
      </c>
      <c r="D4315" s="861"/>
      <c r="H4315" s="845" t="s">
        <v>1010</v>
      </c>
    </row>
    <row r="4316" spans="1:10" x14ac:dyDescent="0.2">
      <c r="A4316" s="859">
        <f t="shared" si="67"/>
        <v>4315</v>
      </c>
      <c r="B4316" s="845" t="s">
        <v>2556</v>
      </c>
      <c r="D4316" s="861"/>
      <c r="H4316" s="845" t="s">
        <v>1007</v>
      </c>
    </row>
    <row r="4317" spans="1:10" x14ac:dyDescent="0.2">
      <c r="A4317" s="859">
        <f t="shared" si="67"/>
        <v>4316</v>
      </c>
      <c r="B4317" s="845" t="s">
        <v>2556</v>
      </c>
      <c r="D4317" s="862"/>
      <c r="I4317" s="845" t="s">
        <v>1008</v>
      </c>
    </row>
    <row r="4318" spans="1:10" x14ac:dyDescent="0.2">
      <c r="A4318" s="859">
        <f t="shared" si="67"/>
        <v>4317</v>
      </c>
      <c r="B4318" s="845" t="s">
        <v>2556</v>
      </c>
      <c r="D4318" s="863"/>
      <c r="J4318" s="845" t="s">
        <v>1694</v>
      </c>
    </row>
    <row r="4319" spans="1:10" x14ac:dyDescent="0.2">
      <c r="A4319" s="859">
        <f t="shared" si="67"/>
        <v>4318</v>
      </c>
      <c r="B4319" s="845" t="s">
        <v>2556</v>
      </c>
      <c r="D4319" s="862"/>
      <c r="I4319" s="845" t="s">
        <v>1009</v>
      </c>
    </row>
    <row r="4320" spans="1:10" x14ac:dyDescent="0.2">
      <c r="A4320" s="859">
        <f t="shared" si="67"/>
        <v>4319</v>
      </c>
      <c r="B4320" s="845" t="s">
        <v>2556</v>
      </c>
      <c r="D4320" s="862"/>
      <c r="I4320" s="845" t="str">
        <f>CONCATENATE("&lt;valeur&gt;",Cellule_1044,"&lt;/valeur&gt;")</f>
        <v>&lt;valeur&gt;0&lt;/valeur&gt;</v>
      </c>
    </row>
    <row r="4321" spans="1:10" x14ac:dyDescent="0.2">
      <c r="A4321" s="859">
        <f t="shared" si="67"/>
        <v>4320</v>
      </c>
      <c r="B4321" s="845" t="s">
        <v>2556</v>
      </c>
      <c r="D4321" s="861"/>
      <c r="H4321" s="845" t="s">
        <v>1010</v>
      </c>
    </row>
    <row r="4322" spans="1:10" x14ac:dyDescent="0.2">
      <c r="A4322" s="859">
        <f t="shared" si="67"/>
        <v>4321</v>
      </c>
      <c r="B4322" s="845" t="s">
        <v>2556</v>
      </c>
      <c r="D4322" s="861"/>
      <c r="H4322" s="845" t="s">
        <v>1007</v>
      </c>
    </row>
    <row r="4323" spans="1:10" x14ac:dyDescent="0.2">
      <c r="A4323" s="859">
        <f t="shared" si="67"/>
        <v>4322</v>
      </c>
      <c r="B4323" s="845" t="s">
        <v>2556</v>
      </c>
      <c r="D4323" s="862"/>
      <c r="I4323" s="845" t="s">
        <v>1008</v>
      </c>
    </row>
    <row r="4324" spans="1:10" x14ac:dyDescent="0.2">
      <c r="A4324" s="859">
        <f t="shared" si="67"/>
        <v>4323</v>
      </c>
      <c r="B4324" s="845" t="s">
        <v>2556</v>
      </c>
      <c r="D4324" s="863"/>
      <c r="J4324" s="845" t="s">
        <v>1695</v>
      </c>
    </row>
    <row r="4325" spans="1:10" x14ac:dyDescent="0.2">
      <c r="A4325" s="859">
        <f t="shared" si="67"/>
        <v>4324</v>
      </c>
      <c r="B4325" s="845" t="s">
        <v>2556</v>
      </c>
      <c r="D4325" s="862"/>
      <c r="I4325" s="845" t="s">
        <v>1009</v>
      </c>
    </row>
    <row r="4326" spans="1:10" x14ac:dyDescent="0.2">
      <c r="A4326" s="859">
        <f t="shared" si="67"/>
        <v>4325</v>
      </c>
      <c r="B4326" s="845" t="s">
        <v>2556</v>
      </c>
      <c r="D4326" s="862"/>
      <c r="I4326" s="845" t="str">
        <f>CONCATENATE("&lt;valeur&gt;",Cellule_1045,"&lt;/valeur&gt;")</f>
        <v>&lt;valeur&gt;0&lt;/valeur&gt;</v>
      </c>
    </row>
    <row r="4327" spans="1:10" x14ac:dyDescent="0.2">
      <c r="A4327" s="859">
        <f t="shared" si="67"/>
        <v>4326</v>
      </c>
      <c r="B4327" s="845" t="s">
        <v>2556</v>
      </c>
      <c r="D4327" s="861"/>
      <c r="H4327" s="845" t="s">
        <v>1010</v>
      </c>
    </row>
    <row r="4328" spans="1:10" x14ac:dyDescent="0.2">
      <c r="A4328" s="859">
        <f t="shared" si="67"/>
        <v>4327</v>
      </c>
      <c r="B4328" s="845" t="s">
        <v>2556</v>
      </c>
      <c r="D4328" s="861"/>
      <c r="H4328" s="845" t="s">
        <v>1007</v>
      </c>
    </row>
    <row r="4329" spans="1:10" x14ac:dyDescent="0.2">
      <c r="A4329" s="859">
        <f t="shared" si="67"/>
        <v>4328</v>
      </c>
      <c r="B4329" s="845" t="s">
        <v>2556</v>
      </c>
      <c r="D4329" s="862"/>
      <c r="I4329" s="845" t="s">
        <v>1008</v>
      </c>
    </row>
    <row r="4330" spans="1:10" x14ac:dyDescent="0.2">
      <c r="A4330" s="859">
        <f t="shared" si="67"/>
        <v>4329</v>
      </c>
      <c r="B4330" s="845" t="s">
        <v>2556</v>
      </c>
      <c r="D4330" s="863"/>
      <c r="J4330" s="845" t="s">
        <v>1696</v>
      </c>
    </row>
    <row r="4331" spans="1:10" x14ac:dyDescent="0.2">
      <c r="A4331" s="859">
        <f t="shared" si="67"/>
        <v>4330</v>
      </c>
      <c r="B4331" s="845" t="s">
        <v>2556</v>
      </c>
      <c r="D4331" s="862"/>
      <c r="I4331" s="845" t="s">
        <v>1009</v>
      </c>
    </row>
    <row r="4332" spans="1:10" x14ac:dyDescent="0.2">
      <c r="A4332" s="859">
        <f t="shared" si="67"/>
        <v>4331</v>
      </c>
      <c r="B4332" s="845" t="s">
        <v>2556</v>
      </c>
      <c r="D4332" s="862"/>
      <c r="I4332" s="845" t="str">
        <f>CONCATENATE("&lt;valeur&gt;",Cellule_1046,"&lt;/valeur&gt;")</f>
        <v>&lt;valeur&gt;0&lt;/valeur&gt;</v>
      </c>
    </row>
    <row r="4333" spans="1:10" x14ac:dyDescent="0.2">
      <c r="A4333" s="859">
        <f t="shared" si="67"/>
        <v>4332</v>
      </c>
      <c r="B4333" s="845" t="s">
        <v>2556</v>
      </c>
      <c r="D4333" s="861"/>
      <c r="H4333" s="845" t="s">
        <v>1010</v>
      </c>
    </row>
    <row r="4334" spans="1:10" x14ac:dyDescent="0.2">
      <c r="A4334" s="859">
        <f t="shared" si="67"/>
        <v>4333</v>
      </c>
      <c r="B4334" s="845" t="s">
        <v>2556</v>
      </c>
      <c r="D4334" s="861"/>
      <c r="H4334" s="845" t="s">
        <v>1007</v>
      </c>
    </row>
    <row r="4335" spans="1:10" x14ac:dyDescent="0.2">
      <c r="A4335" s="859">
        <f t="shared" si="67"/>
        <v>4334</v>
      </c>
      <c r="B4335" s="845" t="s">
        <v>2556</v>
      </c>
      <c r="D4335" s="862"/>
      <c r="I4335" s="845" t="s">
        <v>1008</v>
      </c>
    </row>
    <row r="4336" spans="1:10" x14ac:dyDescent="0.2">
      <c r="A4336" s="859">
        <f t="shared" si="67"/>
        <v>4335</v>
      </c>
      <c r="B4336" s="845" t="s">
        <v>2556</v>
      </c>
      <c r="D4336" s="863"/>
      <c r="J4336" s="845" t="s">
        <v>1697</v>
      </c>
    </row>
    <row r="4337" spans="1:10" x14ac:dyDescent="0.2">
      <c r="A4337" s="859">
        <f t="shared" si="67"/>
        <v>4336</v>
      </c>
      <c r="B4337" s="845" t="s">
        <v>2556</v>
      </c>
      <c r="D4337" s="862"/>
      <c r="I4337" s="845" t="s">
        <v>1009</v>
      </c>
    </row>
    <row r="4338" spans="1:10" x14ac:dyDescent="0.2">
      <c r="A4338" s="859">
        <f t="shared" si="67"/>
        <v>4337</v>
      </c>
      <c r="B4338" s="845" t="s">
        <v>2556</v>
      </c>
      <c r="D4338" s="862"/>
      <c r="I4338" s="845" t="str">
        <f>CONCATENATE("&lt;valeur&gt;",Cellule_1047,"&lt;/valeur&gt;")</f>
        <v>&lt;valeur&gt;0&lt;/valeur&gt;</v>
      </c>
    </row>
    <row r="4339" spans="1:10" x14ac:dyDescent="0.2">
      <c r="A4339" s="859">
        <f t="shared" si="67"/>
        <v>4338</v>
      </c>
      <c r="B4339" s="845" t="s">
        <v>2556</v>
      </c>
      <c r="D4339" s="861"/>
      <c r="H4339" s="845" t="s">
        <v>1010</v>
      </c>
    </row>
    <row r="4340" spans="1:10" x14ac:dyDescent="0.2">
      <c r="A4340" s="859">
        <f t="shared" si="67"/>
        <v>4339</v>
      </c>
      <c r="B4340" s="845" t="s">
        <v>2556</v>
      </c>
      <c r="D4340" s="861"/>
      <c r="H4340" s="845" t="s">
        <v>1007</v>
      </c>
    </row>
    <row r="4341" spans="1:10" x14ac:dyDescent="0.2">
      <c r="A4341" s="859">
        <f t="shared" si="67"/>
        <v>4340</v>
      </c>
      <c r="B4341" s="845" t="s">
        <v>2556</v>
      </c>
      <c r="D4341" s="862"/>
      <c r="I4341" s="845" t="s">
        <v>1008</v>
      </c>
    </row>
    <row r="4342" spans="1:10" x14ac:dyDescent="0.2">
      <c r="A4342" s="859">
        <f t="shared" si="67"/>
        <v>4341</v>
      </c>
      <c r="B4342" s="845" t="s">
        <v>2556</v>
      </c>
      <c r="D4342" s="863"/>
      <c r="J4342" s="845" t="s">
        <v>1698</v>
      </c>
    </row>
    <row r="4343" spans="1:10" x14ac:dyDescent="0.2">
      <c r="A4343" s="859">
        <f t="shared" si="67"/>
        <v>4342</v>
      </c>
      <c r="B4343" s="845" t="s">
        <v>2556</v>
      </c>
      <c r="D4343" s="862"/>
      <c r="I4343" s="845" t="s">
        <v>1009</v>
      </c>
    </row>
    <row r="4344" spans="1:10" x14ac:dyDescent="0.2">
      <c r="A4344" s="859">
        <f t="shared" si="67"/>
        <v>4343</v>
      </c>
      <c r="B4344" s="845" t="s">
        <v>2556</v>
      </c>
      <c r="D4344" s="862"/>
      <c r="I4344" s="845" t="str">
        <f>CONCATENATE("&lt;valeur&gt;",Cellule_1048,"&lt;/valeur&gt;")</f>
        <v>&lt;valeur&gt;0&lt;/valeur&gt;</v>
      </c>
    </row>
    <row r="4345" spans="1:10" x14ac:dyDescent="0.2">
      <c r="A4345" s="859">
        <f t="shared" si="67"/>
        <v>4344</v>
      </c>
      <c r="B4345" s="845" t="s">
        <v>2556</v>
      </c>
      <c r="D4345" s="861"/>
      <c r="H4345" s="845" t="s">
        <v>1010</v>
      </c>
    </row>
    <row r="4346" spans="1:10" x14ac:dyDescent="0.2">
      <c r="A4346" s="859">
        <f t="shared" si="67"/>
        <v>4345</v>
      </c>
      <c r="B4346" s="845" t="s">
        <v>2556</v>
      </c>
      <c r="D4346" s="861"/>
      <c r="H4346" s="845" t="s">
        <v>1007</v>
      </c>
    </row>
    <row r="4347" spans="1:10" x14ac:dyDescent="0.2">
      <c r="A4347" s="859">
        <f t="shared" si="67"/>
        <v>4346</v>
      </c>
      <c r="B4347" s="845" t="s">
        <v>2556</v>
      </c>
      <c r="D4347" s="862"/>
      <c r="I4347" s="845" t="s">
        <v>1008</v>
      </c>
    </row>
    <row r="4348" spans="1:10" x14ac:dyDescent="0.2">
      <c r="A4348" s="859">
        <f t="shared" si="67"/>
        <v>4347</v>
      </c>
      <c r="B4348" s="845" t="s">
        <v>2556</v>
      </c>
      <c r="D4348" s="863"/>
      <c r="J4348" s="845" t="s">
        <v>1699</v>
      </c>
    </row>
    <row r="4349" spans="1:10" x14ac:dyDescent="0.2">
      <c r="A4349" s="859">
        <f t="shared" si="67"/>
        <v>4348</v>
      </c>
      <c r="B4349" s="845" t="s">
        <v>2556</v>
      </c>
      <c r="D4349" s="862"/>
      <c r="I4349" s="845" t="s">
        <v>1009</v>
      </c>
    </row>
    <row r="4350" spans="1:10" x14ac:dyDescent="0.2">
      <c r="A4350" s="859">
        <f t="shared" si="67"/>
        <v>4349</v>
      </c>
      <c r="B4350" s="845" t="s">
        <v>2556</v>
      </c>
      <c r="D4350" s="862"/>
      <c r="I4350" s="845" t="str">
        <f>CONCATENATE("&lt;valeur&gt;",Cellule_1049,"&lt;/valeur&gt;")</f>
        <v>&lt;valeur&gt;0&lt;/valeur&gt;</v>
      </c>
    </row>
    <row r="4351" spans="1:10" x14ac:dyDescent="0.2">
      <c r="A4351" s="859">
        <f t="shared" si="67"/>
        <v>4350</v>
      </c>
      <c r="B4351" s="845" t="s">
        <v>2556</v>
      </c>
      <c r="D4351" s="861"/>
      <c r="H4351" s="845" t="s">
        <v>1010</v>
      </c>
    </row>
    <row r="4352" spans="1:10" x14ac:dyDescent="0.2">
      <c r="A4352" s="859">
        <f t="shared" si="67"/>
        <v>4351</v>
      </c>
      <c r="B4352" s="845" t="s">
        <v>2556</v>
      </c>
      <c r="D4352" s="861"/>
      <c r="H4352" s="845" t="s">
        <v>1007</v>
      </c>
    </row>
    <row r="4353" spans="1:10" x14ac:dyDescent="0.2">
      <c r="A4353" s="859">
        <f t="shared" si="67"/>
        <v>4352</v>
      </c>
      <c r="B4353" s="845" t="s">
        <v>2556</v>
      </c>
      <c r="D4353" s="862"/>
      <c r="I4353" s="845" t="s">
        <v>1008</v>
      </c>
    </row>
    <row r="4354" spans="1:10" x14ac:dyDescent="0.2">
      <c r="A4354" s="859">
        <f t="shared" si="67"/>
        <v>4353</v>
      </c>
      <c r="B4354" s="845" t="s">
        <v>2556</v>
      </c>
      <c r="D4354" s="863"/>
      <c r="J4354" s="845" t="s">
        <v>1700</v>
      </c>
    </row>
    <row r="4355" spans="1:10" x14ac:dyDescent="0.2">
      <c r="A4355" s="859">
        <f t="shared" si="67"/>
        <v>4354</v>
      </c>
      <c r="B4355" s="845" t="s">
        <v>2556</v>
      </c>
      <c r="D4355" s="862"/>
      <c r="I4355" s="845" t="s">
        <v>1009</v>
      </c>
    </row>
    <row r="4356" spans="1:10" x14ac:dyDescent="0.2">
      <c r="A4356" s="859">
        <f t="shared" ref="A4356:A4419" si="68">+A4355+1</f>
        <v>4355</v>
      </c>
      <c r="B4356" s="845" t="s">
        <v>2556</v>
      </c>
      <c r="D4356" s="862"/>
      <c r="I4356" s="845" t="str">
        <f>CONCATENATE("&lt;valeur&gt;",Cellule_10087,"&lt;/valeur&gt;")</f>
        <v>&lt;valeur&gt;0&lt;/valeur&gt;</v>
      </c>
    </row>
    <row r="4357" spans="1:10" x14ac:dyDescent="0.2">
      <c r="A4357" s="859">
        <f t="shared" si="68"/>
        <v>4356</v>
      </c>
      <c r="B4357" s="845" t="s">
        <v>2556</v>
      </c>
      <c r="D4357" s="861"/>
      <c r="H4357" s="845" t="s">
        <v>1010</v>
      </c>
    </row>
    <row r="4358" spans="1:10" x14ac:dyDescent="0.2">
      <c r="A4358" s="859">
        <f t="shared" si="68"/>
        <v>4357</v>
      </c>
      <c r="B4358" s="845" t="s">
        <v>2556</v>
      </c>
      <c r="D4358" s="861"/>
      <c r="H4358" s="845" t="s">
        <v>1007</v>
      </c>
    </row>
    <row r="4359" spans="1:10" x14ac:dyDescent="0.2">
      <c r="A4359" s="859">
        <f t="shared" si="68"/>
        <v>4358</v>
      </c>
      <c r="B4359" s="845" t="s">
        <v>2556</v>
      </c>
      <c r="D4359" s="862"/>
      <c r="I4359" s="845" t="s">
        <v>1008</v>
      </c>
    </row>
    <row r="4360" spans="1:10" x14ac:dyDescent="0.2">
      <c r="A4360" s="859">
        <f t="shared" si="68"/>
        <v>4359</v>
      </c>
      <c r="B4360" s="845" t="s">
        <v>2556</v>
      </c>
      <c r="D4360" s="863"/>
      <c r="J4360" s="845" t="s">
        <v>1701</v>
      </c>
    </row>
    <row r="4361" spans="1:10" x14ac:dyDescent="0.2">
      <c r="A4361" s="859">
        <f t="shared" si="68"/>
        <v>4360</v>
      </c>
      <c r="B4361" s="845" t="s">
        <v>2556</v>
      </c>
      <c r="D4361" s="862"/>
      <c r="I4361" s="845" t="s">
        <v>1009</v>
      </c>
    </row>
    <row r="4362" spans="1:10" x14ac:dyDescent="0.2">
      <c r="A4362" s="859">
        <f t="shared" si="68"/>
        <v>4361</v>
      </c>
      <c r="B4362" s="845" t="s">
        <v>2556</v>
      </c>
      <c r="D4362" s="862"/>
      <c r="I4362" s="845" t="str">
        <f>CONCATENATE("&lt;valeur&gt;",Cellule_12602,"&lt;/valeur&gt;")</f>
        <v>&lt;valeur&gt;0&lt;/valeur&gt;</v>
      </c>
    </row>
    <row r="4363" spans="1:10" x14ac:dyDescent="0.2">
      <c r="A4363" s="859">
        <f t="shared" si="68"/>
        <v>4362</v>
      </c>
      <c r="B4363" s="845" t="s">
        <v>2556</v>
      </c>
      <c r="D4363" s="861"/>
      <c r="H4363" s="845" t="s">
        <v>1010</v>
      </c>
    </row>
    <row r="4364" spans="1:10" x14ac:dyDescent="0.2">
      <c r="A4364" s="859">
        <f t="shared" si="68"/>
        <v>4363</v>
      </c>
      <c r="B4364" s="845" t="s">
        <v>2556</v>
      </c>
      <c r="D4364" s="861"/>
      <c r="H4364" s="845" t="s">
        <v>1007</v>
      </c>
    </row>
    <row r="4365" spans="1:10" x14ac:dyDescent="0.2">
      <c r="A4365" s="859">
        <f t="shared" si="68"/>
        <v>4364</v>
      </c>
      <c r="B4365" s="845" t="s">
        <v>2556</v>
      </c>
      <c r="D4365" s="862"/>
      <c r="I4365" s="845" t="s">
        <v>1008</v>
      </c>
    </row>
    <row r="4366" spans="1:10" x14ac:dyDescent="0.2">
      <c r="A4366" s="859">
        <f t="shared" si="68"/>
        <v>4365</v>
      </c>
      <c r="B4366" s="845" t="s">
        <v>2556</v>
      </c>
      <c r="D4366" s="863"/>
      <c r="J4366" s="845" t="s">
        <v>1702</v>
      </c>
    </row>
    <row r="4367" spans="1:10" x14ac:dyDescent="0.2">
      <c r="A4367" s="859">
        <f t="shared" si="68"/>
        <v>4366</v>
      </c>
      <c r="B4367" s="845" t="s">
        <v>2556</v>
      </c>
      <c r="D4367" s="862"/>
      <c r="I4367" s="845" t="s">
        <v>1009</v>
      </c>
    </row>
    <row r="4368" spans="1:10" x14ac:dyDescent="0.2">
      <c r="A4368" s="859">
        <f t="shared" si="68"/>
        <v>4367</v>
      </c>
      <c r="B4368" s="845" t="s">
        <v>2556</v>
      </c>
      <c r="D4368" s="862"/>
      <c r="I4368" s="845" t="str">
        <f>CONCATENATE("&lt;valeur&gt;",Cellule_1057,"&lt;/valeur&gt;")</f>
        <v>&lt;valeur&gt;0&lt;/valeur&gt;</v>
      </c>
    </row>
    <row r="4369" spans="1:10" x14ac:dyDescent="0.2">
      <c r="A4369" s="859">
        <f t="shared" si="68"/>
        <v>4368</v>
      </c>
      <c r="B4369" s="845" t="s">
        <v>2556</v>
      </c>
      <c r="D4369" s="861"/>
      <c r="H4369" s="845" t="s">
        <v>1010</v>
      </c>
    </row>
    <row r="4370" spans="1:10" x14ac:dyDescent="0.2">
      <c r="A4370" s="859">
        <f t="shared" si="68"/>
        <v>4369</v>
      </c>
      <c r="B4370" s="845" t="s">
        <v>2556</v>
      </c>
      <c r="D4370" s="861"/>
      <c r="H4370" s="845" t="s">
        <v>1007</v>
      </c>
    </row>
    <row r="4371" spans="1:10" x14ac:dyDescent="0.2">
      <c r="A4371" s="859">
        <f t="shared" si="68"/>
        <v>4370</v>
      </c>
      <c r="B4371" s="845" t="s">
        <v>2556</v>
      </c>
      <c r="D4371" s="862"/>
      <c r="I4371" s="845" t="s">
        <v>1008</v>
      </c>
    </row>
    <row r="4372" spans="1:10" x14ac:dyDescent="0.2">
      <c r="A4372" s="859">
        <f t="shared" si="68"/>
        <v>4371</v>
      </c>
      <c r="B4372" s="845" t="s">
        <v>2556</v>
      </c>
      <c r="D4372" s="863"/>
      <c r="J4372" s="845" t="s">
        <v>1703</v>
      </c>
    </row>
    <row r="4373" spans="1:10" x14ac:dyDescent="0.2">
      <c r="A4373" s="859">
        <f t="shared" si="68"/>
        <v>4372</v>
      </c>
      <c r="B4373" s="845" t="s">
        <v>2556</v>
      </c>
      <c r="D4373" s="862"/>
      <c r="I4373" s="845" t="s">
        <v>1009</v>
      </c>
    </row>
    <row r="4374" spans="1:10" x14ac:dyDescent="0.2">
      <c r="A4374" s="859">
        <f t="shared" si="68"/>
        <v>4373</v>
      </c>
      <c r="B4374" s="845" t="s">
        <v>2556</v>
      </c>
      <c r="D4374" s="862"/>
      <c r="I4374" s="845" t="str">
        <f>CONCATENATE("&lt;valeur&gt;",Cellule_1058,"&lt;/valeur&gt;")</f>
        <v>&lt;valeur&gt;0&lt;/valeur&gt;</v>
      </c>
    </row>
    <row r="4375" spans="1:10" x14ac:dyDescent="0.2">
      <c r="A4375" s="859">
        <f t="shared" si="68"/>
        <v>4374</v>
      </c>
      <c r="B4375" s="845" t="s">
        <v>2556</v>
      </c>
      <c r="D4375" s="861"/>
      <c r="H4375" s="845" t="s">
        <v>1010</v>
      </c>
    </row>
    <row r="4376" spans="1:10" x14ac:dyDescent="0.2">
      <c r="A4376" s="859">
        <f t="shared" si="68"/>
        <v>4375</v>
      </c>
      <c r="B4376" s="845" t="s">
        <v>2556</v>
      </c>
      <c r="D4376" s="861"/>
      <c r="H4376" s="845" t="s">
        <v>1007</v>
      </c>
    </row>
    <row r="4377" spans="1:10" x14ac:dyDescent="0.2">
      <c r="A4377" s="859">
        <f t="shared" si="68"/>
        <v>4376</v>
      </c>
      <c r="B4377" s="845" t="s">
        <v>2556</v>
      </c>
      <c r="D4377" s="862"/>
      <c r="I4377" s="845" t="s">
        <v>1008</v>
      </c>
    </row>
    <row r="4378" spans="1:10" x14ac:dyDescent="0.2">
      <c r="A4378" s="859">
        <f t="shared" si="68"/>
        <v>4377</v>
      </c>
      <c r="B4378" s="845" t="s">
        <v>2556</v>
      </c>
      <c r="D4378" s="863"/>
      <c r="J4378" s="845" t="s">
        <v>1704</v>
      </c>
    </row>
    <row r="4379" spans="1:10" x14ac:dyDescent="0.2">
      <c r="A4379" s="859">
        <f t="shared" si="68"/>
        <v>4378</v>
      </c>
      <c r="B4379" s="845" t="s">
        <v>2556</v>
      </c>
      <c r="D4379" s="862"/>
      <c r="I4379" s="845" t="s">
        <v>1009</v>
      </c>
    </row>
    <row r="4380" spans="1:10" x14ac:dyDescent="0.2">
      <c r="A4380" s="859">
        <f t="shared" si="68"/>
        <v>4379</v>
      </c>
      <c r="B4380" s="845" t="s">
        <v>2556</v>
      </c>
      <c r="D4380" s="862"/>
      <c r="I4380" s="845" t="str">
        <f>CONCATENATE("&lt;valeur&gt;",Cellule_1059,"&lt;/valeur&gt;")</f>
        <v>&lt;valeur&gt;0&lt;/valeur&gt;</v>
      </c>
    </row>
    <row r="4381" spans="1:10" x14ac:dyDescent="0.2">
      <c r="A4381" s="859">
        <f t="shared" si="68"/>
        <v>4380</v>
      </c>
      <c r="B4381" s="845" t="s">
        <v>2556</v>
      </c>
      <c r="D4381" s="861"/>
      <c r="H4381" s="845" t="s">
        <v>1010</v>
      </c>
    </row>
    <row r="4382" spans="1:10" x14ac:dyDescent="0.2">
      <c r="A4382" s="859">
        <f t="shared" si="68"/>
        <v>4381</v>
      </c>
      <c r="B4382" s="845" t="s">
        <v>2556</v>
      </c>
      <c r="D4382" s="861"/>
      <c r="H4382" s="845" t="s">
        <v>1007</v>
      </c>
    </row>
    <row r="4383" spans="1:10" x14ac:dyDescent="0.2">
      <c r="A4383" s="859">
        <f t="shared" si="68"/>
        <v>4382</v>
      </c>
      <c r="B4383" s="845" t="s">
        <v>2556</v>
      </c>
      <c r="D4383" s="862"/>
      <c r="I4383" s="845" t="s">
        <v>1008</v>
      </c>
    </row>
    <row r="4384" spans="1:10" x14ac:dyDescent="0.2">
      <c r="A4384" s="859">
        <f t="shared" si="68"/>
        <v>4383</v>
      </c>
      <c r="B4384" s="845" t="s">
        <v>2556</v>
      </c>
      <c r="D4384" s="863"/>
      <c r="J4384" s="845" t="s">
        <v>1705</v>
      </c>
    </row>
    <row r="4385" spans="1:10" x14ac:dyDescent="0.2">
      <c r="A4385" s="859">
        <f t="shared" si="68"/>
        <v>4384</v>
      </c>
      <c r="B4385" s="845" t="s">
        <v>2556</v>
      </c>
      <c r="D4385" s="862"/>
      <c r="I4385" s="845" t="s">
        <v>1009</v>
      </c>
    </row>
    <row r="4386" spans="1:10" x14ac:dyDescent="0.2">
      <c r="A4386" s="859">
        <f t="shared" si="68"/>
        <v>4385</v>
      </c>
      <c r="B4386" s="845" t="s">
        <v>2556</v>
      </c>
      <c r="D4386" s="862"/>
      <c r="I4386" s="845" t="str">
        <f>CONCATENATE("&lt;valeur&gt;",Cellule_1060,"&lt;/valeur&gt;")</f>
        <v>&lt;valeur&gt;0&lt;/valeur&gt;</v>
      </c>
    </row>
    <row r="4387" spans="1:10" x14ac:dyDescent="0.2">
      <c r="A4387" s="859">
        <f t="shared" si="68"/>
        <v>4386</v>
      </c>
      <c r="B4387" s="845" t="s">
        <v>2556</v>
      </c>
      <c r="D4387" s="861"/>
      <c r="H4387" s="845" t="s">
        <v>1010</v>
      </c>
    </row>
    <row r="4388" spans="1:10" x14ac:dyDescent="0.2">
      <c r="A4388" s="859">
        <f t="shared" si="68"/>
        <v>4387</v>
      </c>
      <c r="B4388" s="845" t="s">
        <v>2556</v>
      </c>
      <c r="D4388" s="861"/>
      <c r="H4388" s="845" t="s">
        <v>1007</v>
      </c>
    </row>
    <row r="4389" spans="1:10" x14ac:dyDescent="0.2">
      <c r="A4389" s="859">
        <f t="shared" si="68"/>
        <v>4388</v>
      </c>
      <c r="B4389" s="845" t="s">
        <v>2556</v>
      </c>
      <c r="D4389" s="862"/>
      <c r="I4389" s="845" t="s">
        <v>1008</v>
      </c>
    </row>
    <row r="4390" spans="1:10" x14ac:dyDescent="0.2">
      <c r="A4390" s="859">
        <f t="shared" si="68"/>
        <v>4389</v>
      </c>
      <c r="B4390" s="845" t="s">
        <v>2556</v>
      </c>
      <c r="D4390" s="863"/>
      <c r="J4390" s="845" t="s">
        <v>1706</v>
      </c>
    </row>
    <row r="4391" spans="1:10" x14ac:dyDescent="0.2">
      <c r="A4391" s="859">
        <f t="shared" si="68"/>
        <v>4390</v>
      </c>
      <c r="B4391" s="845" t="s">
        <v>2556</v>
      </c>
      <c r="D4391" s="862"/>
      <c r="I4391" s="845" t="s">
        <v>1009</v>
      </c>
    </row>
    <row r="4392" spans="1:10" x14ac:dyDescent="0.2">
      <c r="A4392" s="859">
        <f t="shared" si="68"/>
        <v>4391</v>
      </c>
      <c r="B4392" s="845" t="s">
        <v>2556</v>
      </c>
      <c r="D4392" s="862"/>
      <c r="I4392" s="845" t="str">
        <f>CONCATENATE("&lt;valeur&gt;",Cellule_1061,"&lt;/valeur&gt;")</f>
        <v>&lt;valeur&gt;0&lt;/valeur&gt;</v>
      </c>
    </row>
    <row r="4393" spans="1:10" x14ac:dyDescent="0.2">
      <c r="A4393" s="859">
        <f t="shared" si="68"/>
        <v>4392</v>
      </c>
      <c r="B4393" s="845" t="s">
        <v>2556</v>
      </c>
      <c r="D4393" s="861"/>
      <c r="H4393" s="845" t="s">
        <v>1010</v>
      </c>
    </row>
    <row r="4394" spans="1:10" x14ac:dyDescent="0.2">
      <c r="A4394" s="859">
        <f t="shared" si="68"/>
        <v>4393</v>
      </c>
      <c r="B4394" s="845" t="s">
        <v>2556</v>
      </c>
      <c r="D4394" s="861"/>
      <c r="H4394" s="845" t="s">
        <v>1007</v>
      </c>
    </row>
    <row r="4395" spans="1:10" x14ac:dyDescent="0.2">
      <c r="A4395" s="859">
        <f t="shared" si="68"/>
        <v>4394</v>
      </c>
      <c r="B4395" s="845" t="s">
        <v>2556</v>
      </c>
      <c r="D4395" s="862"/>
      <c r="I4395" s="845" t="s">
        <v>1008</v>
      </c>
    </row>
    <row r="4396" spans="1:10" x14ac:dyDescent="0.2">
      <c r="A4396" s="859">
        <f t="shared" si="68"/>
        <v>4395</v>
      </c>
      <c r="B4396" s="845" t="s">
        <v>2556</v>
      </c>
      <c r="D4396" s="863"/>
      <c r="J4396" s="845" t="s">
        <v>1707</v>
      </c>
    </row>
    <row r="4397" spans="1:10" x14ac:dyDescent="0.2">
      <c r="A4397" s="859">
        <f t="shared" si="68"/>
        <v>4396</v>
      </c>
      <c r="B4397" s="845" t="s">
        <v>2556</v>
      </c>
      <c r="D4397" s="862"/>
      <c r="I4397" s="845" t="s">
        <v>1009</v>
      </c>
    </row>
    <row r="4398" spans="1:10" x14ac:dyDescent="0.2">
      <c r="A4398" s="859">
        <f t="shared" si="68"/>
        <v>4397</v>
      </c>
      <c r="B4398" s="845" t="s">
        <v>2556</v>
      </c>
      <c r="D4398" s="862"/>
      <c r="I4398" s="845" t="str">
        <f>CONCATENATE("&lt;valeur&gt;",Cellule_1062,"&lt;/valeur&gt;")</f>
        <v>&lt;valeur&gt;0&lt;/valeur&gt;</v>
      </c>
    </row>
    <row r="4399" spans="1:10" x14ac:dyDescent="0.2">
      <c r="A4399" s="859">
        <f t="shared" si="68"/>
        <v>4398</v>
      </c>
      <c r="B4399" s="845" t="s">
        <v>2556</v>
      </c>
      <c r="D4399" s="861"/>
      <c r="H4399" s="845" t="s">
        <v>1010</v>
      </c>
    </row>
    <row r="4400" spans="1:10" x14ac:dyDescent="0.2">
      <c r="A4400" s="859">
        <f t="shared" si="68"/>
        <v>4399</v>
      </c>
      <c r="B4400" s="845" t="s">
        <v>2556</v>
      </c>
      <c r="D4400" s="861"/>
      <c r="H4400" s="845" t="s">
        <v>1007</v>
      </c>
    </row>
    <row r="4401" spans="1:10" x14ac:dyDescent="0.2">
      <c r="A4401" s="859">
        <f t="shared" si="68"/>
        <v>4400</v>
      </c>
      <c r="B4401" s="845" t="s">
        <v>2556</v>
      </c>
      <c r="D4401" s="862"/>
      <c r="I4401" s="845" t="s">
        <v>1008</v>
      </c>
    </row>
    <row r="4402" spans="1:10" x14ac:dyDescent="0.2">
      <c r="A4402" s="859">
        <f t="shared" si="68"/>
        <v>4401</v>
      </c>
      <c r="B4402" s="845" t="s">
        <v>2556</v>
      </c>
      <c r="D4402" s="863"/>
      <c r="J4402" s="845" t="s">
        <v>1708</v>
      </c>
    </row>
    <row r="4403" spans="1:10" x14ac:dyDescent="0.2">
      <c r="A4403" s="859">
        <f t="shared" si="68"/>
        <v>4402</v>
      </c>
      <c r="B4403" s="845" t="s">
        <v>2556</v>
      </c>
      <c r="D4403" s="862"/>
      <c r="I4403" s="845" t="s">
        <v>1009</v>
      </c>
    </row>
    <row r="4404" spans="1:10" x14ac:dyDescent="0.2">
      <c r="A4404" s="859">
        <f t="shared" si="68"/>
        <v>4403</v>
      </c>
      <c r="B4404" s="845" t="s">
        <v>2556</v>
      </c>
      <c r="D4404" s="862"/>
      <c r="I4404" s="845" t="str">
        <f>CONCATENATE("&lt;valeur&gt;",Cellule_1063,"&lt;/valeur&gt;")</f>
        <v>&lt;valeur&gt;0&lt;/valeur&gt;</v>
      </c>
    </row>
    <row r="4405" spans="1:10" x14ac:dyDescent="0.2">
      <c r="A4405" s="859">
        <f t="shared" si="68"/>
        <v>4404</v>
      </c>
      <c r="B4405" s="845" t="s">
        <v>2556</v>
      </c>
      <c r="D4405" s="861"/>
      <c r="H4405" s="845" t="s">
        <v>1010</v>
      </c>
    </row>
    <row r="4406" spans="1:10" x14ac:dyDescent="0.2">
      <c r="A4406" s="859">
        <f t="shared" si="68"/>
        <v>4405</v>
      </c>
      <c r="B4406" s="845" t="s">
        <v>2556</v>
      </c>
      <c r="D4406" s="861"/>
      <c r="H4406" s="845" t="s">
        <v>1007</v>
      </c>
    </row>
    <row r="4407" spans="1:10" x14ac:dyDescent="0.2">
      <c r="A4407" s="859">
        <f t="shared" si="68"/>
        <v>4406</v>
      </c>
      <c r="B4407" s="845" t="s">
        <v>2556</v>
      </c>
      <c r="D4407" s="862"/>
      <c r="I4407" s="845" t="s">
        <v>1008</v>
      </c>
    </row>
    <row r="4408" spans="1:10" x14ac:dyDescent="0.2">
      <c r="A4408" s="859">
        <f t="shared" si="68"/>
        <v>4407</v>
      </c>
      <c r="B4408" s="845" t="s">
        <v>2556</v>
      </c>
      <c r="D4408" s="863"/>
      <c r="J4408" s="845" t="s">
        <v>1709</v>
      </c>
    </row>
    <row r="4409" spans="1:10" x14ac:dyDescent="0.2">
      <c r="A4409" s="859">
        <f t="shared" si="68"/>
        <v>4408</v>
      </c>
      <c r="B4409" s="845" t="s">
        <v>2556</v>
      </c>
      <c r="D4409" s="862"/>
      <c r="I4409" s="845" t="s">
        <v>1009</v>
      </c>
    </row>
    <row r="4410" spans="1:10" x14ac:dyDescent="0.2">
      <c r="A4410" s="859">
        <f t="shared" si="68"/>
        <v>4409</v>
      </c>
      <c r="B4410" s="845" t="s">
        <v>2556</v>
      </c>
      <c r="D4410" s="862"/>
      <c r="I4410" s="845" t="str">
        <f>CONCATENATE("&lt;valeur&gt;",Cellule_10088,"&lt;/valeur&gt;")</f>
        <v>&lt;valeur&gt;0&lt;/valeur&gt;</v>
      </c>
    </row>
    <row r="4411" spans="1:10" x14ac:dyDescent="0.2">
      <c r="A4411" s="859">
        <f t="shared" si="68"/>
        <v>4410</v>
      </c>
      <c r="B4411" s="845" t="s">
        <v>2556</v>
      </c>
      <c r="D4411" s="861"/>
      <c r="H4411" s="845" t="s">
        <v>1010</v>
      </c>
    </row>
    <row r="4412" spans="1:10" x14ac:dyDescent="0.2">
      <c r="A4412" s="859">
        <f t="shared" si="68"/>
        <v>4411</v>
      </c>
      <c r="B4412" s="845" t="s">
        <v>2556</v>
      </c>
      <c r="D4412" s="861"/>
      <c r="H4412" s="845" t="s">
        <v>1007</v>
      </c>
    </row>
    <row r="4413" spans="1:10" x14ac:dyDescent="0.2">
      <c r="A4413" s="859">
        <f t="shared" si="68"/>
        <v>4412</v>
      </c>
      <c r="B4413" s="845" t="s">
        <v>2556</v>
      </c>
      <c r="D4413" s="862"/>
      <c r="I4413" s="845" t="s">
        <v>1008</v>
      </c>
    </row>
    <row r="4414" spans="1:10" x14ac:dyDescent="0.2">
      <c r="A4414" s="859">
        <f t="shared" si="68"/>
        <v>4413</v>
      </c>
      <c r="B4414" s="845" t="s">
        <v>2556</v>
      </c>
      <c r="D4414" s="863"/>
      <c r="J4414" s="845" t="s">
        <v>1710</v>
      </c>
    </row>
    <row r="4415" spans="1:10" x14ac:dyDescent="0.2">
      <c r="A4415" s="859">
        <f t="shared" si="68"/>
        <v>4414</v>
      </c>
      <c r="B4415" s="845" t="s">
        <v>2556</v>
      </c>
      <c r="D4415" s="862"/>
      <c r="I4415" s="845" t="s">
        <v>1009</v>
      </c>
    </row>
    <row r="4416" spans="1:10" x14ac:dyDescent="0.2">
      <c r="A4416" s="859">
        <f t="shared" si="68"/>
        <v>4415</v>
      </c>
      <c r="B4416" s="845" t="s">
        <v>2556</v>
      </c>
      <c r="D4416" s="862"/>
      <c r="I4416" s="845" t="str">
        <f>CONCATENATE("&lt;valeur&gt;",Cellule_12603,"&lt;/valeur&gt;")</f>
        <v>&lt;valeur&gt;0&lt;/valeur&gt;</v>
      </c>
    </row>
    <row r="4417" spans="1:10" x14ac:dyDescent="0.2">
      <c r="A4417" s="859">
        <f t="shared" si="68"/>
        <v>4416</v>
      </c>
      <c r="B4417" s="845" t="s">
        <v>2556</v>
      </c>
      <c r="D4417" s="861"/>
      <c r="H4417" s="845" t="s">
        <v>1010</v>
      </c>
    </row>
    <row r="4418" spans="1:10" x14ac:dyDescent="0.2">
      <c r="A4418" s="859">
        <f t="shared" si="68"/>
        <v>4417</v>
      </c>
      <c r="B4418" s="845" t="s">
        <v>2556</v>
      </c>
      <c r="D4418" s="861"/>
      <c r="H4418" s="845" t="s">
        <v>1007</v>
      </c>
    </row>
    <row r="4419" spans="1:10" x14ac:dyDescent="0.2">
      <c r="A4419" s="859">
        <f t="shared" si="68"/>
        <v>4418</v>
      </c>
      <c r="B4419" s="845" t="s">
        <v>2556</v>
      </c>
      <c r="D4419" s="862"/>
      <c r="I4419" s="845" t="s">
        <v>1008</v>
      </c>
    </row>
    <row r="4420" spans="1:10" x14ac:dyDescent="0.2">
      <c r="A4420" s="859">
        <f t="shared" ref="A4420:A4483" si="69">+A4419+1</f>
        <v>4419</v>
      </c>
      <c r="B4420" s="845" t="s">
        <v>2556</v>
      </c>
      <c r="D4420" s="863"/>
      <c r="J4420" s="845" t="s">
        <v>1711</v>
      </c>
    </row>
    <row r="4421" spans="1:10" x14ac:dyDescent="0.2">
      <c r="A4421" s="859">
        <f t="shared" si="69"/>
        <v>4420</v>
      </c>
      <c r="B4421" s="845" t="s">
        <v>2556</v>
      </c>
      <c r="D4421" s="862"/>
      <c r="I4421" s="845" t="s">
        <v>1009</v>
      </c>
    </row>
    <row r="4422" spans="1:10" x14ac:dyDescent="0.2">
      <c r="A4422" s="859">
        <f t="shared" si="69"/>
        <v>4421</v>
      </c>
      <c r="B4422" s="845" t="s">
        <v>2556</v>
      </c>
      <c r="D4422" s="862"/>
      <c r="I4422" s="845" t="str">
        <f>CONCATENATE("&lt;valeur&gt;",Cellule_1071,"&lt;/valeur&gt;")</f>
        <v>&lt;valeur&gt;0&lt;/valeur&gt;</v>
      </c>
    </row>
    <row r="4423" spans="1:10" x14ac:dyDescent="0.2">
      <c r="A4423" s="859">
        <f t="shared" si="69"/>
        <v>4422</v>
      </c>
      <c r="B4423" s="845" t="s">
        <v>2556</v>
      </c>
      <c r="D4423" s="861"/>
      <c r="H4423" s="845" t="s">
        <v>1010</v>
      </c>
    </row>
    <row r="4424" spans="1:10" x14ac:dyDescent="0.2">
      <c r="A4424" s="859">
        <f t="shared" si="69"/>
        <v>4423</v>
      </c>
      <c r="B4424" s="845" t="s">
        <v>2556</v>
      </c>
      <c r="D4424" s="861"/>
      <c r="H4424" s="845" t="s">
        <v>1007</v>
      </c>
    </row>
    <row r="4425" spans="1:10" x14ac:dyDescent="0.2">
      <c r="A4425" s="859">
        <f t="shared" si="69"/>
        <v>4424</v>
      </c>
      <c r="B4425" s="845" t="s">
        <v>2556</v>
      </c>
      <c r="D4425" s="862"/>
      <c r="I4425" s="845" t="s">
        <v>1008</v>
      </c>
    </row>
    <row r="4426" spans="1:10" x14ac:dyDescent="0.2">
      <c r="A4426" s="859">
        <f t="shared" si="69"/>
        <v>4425</v>
      </c>
      <c r="B4426" s="845" t="s">
        <v>2556</v>
      </c>
      <c r="D4426" s="863"/>
      <c r="J4426" s="845" t="s">
        <v>1712</v>
      </c>
    </row>
    <row r="4427" spans="1:10" x14ac:dyDescent="0.2">
      <c r="A4427" s="859">
        <f t="shared" si="69"/>
        <v>4426</v>
      </c>
      <c r="B4427" s="845" t="s">
        <v>2556</v>
      </c>
      <c r="D4427" s="862"/>
      <c r="I4427" s="845" t="s">
        <v>1009</v>
      </c>
    </row>
    <row r="4428" spans="1:10" x14ac:dyDescent="0.2">
      <c r="A4428" s="859">
        <f t="shared" si="69"/>
        <v>4427</v>
      </c>
      <c r="B4428" s="845" t="s">
        <v>2556</v>
      </c>
      <c r="D4428" s="862"/>
      <c r="I4428" s="845" t="str">
        <f>CONCATENATE("&lt;valeur&gt;",Cellule_1072,"&lt;/valeur&gt;")</f>
        <v>&lt;valeur&gt;0&lt;/valeur&gt;</v>
      </c>
    </row>
    <row r="4429" spans="1:10" x14ac:dyDescent="0.2">
      <c r="A4429" s="859">
        <f t="shared" si="69"/>
        <v>4428</v>
      </c>
      <c r="B4429" s="845" t="s">
        <v>2556</v>
      </c>
      <c r="D4429" s="861"/>
      <c r="H4429" s="845" t="s">
        <v>1010</v>
      </c>
    </row>
    <row r="4430" spans="1:10" x14ac:dyDescent="0.2">
      <c r="A4430" s="859">
        <f t="shared" si="69"/>
        <v>4429</v>
      </c>
      <c r="B4430" s="845" t="s">
        <v>2556</v>
      </c>
      <c r="D4430" s="861"/>
      <c r="H4430" s="845" t="s">
        <v>1007</v>
      </c>
    </row>
    <row r="4431" spans="1:10" x14ac:dyDescent="0.2">
      <c r="A4431" s="859">
        <f t="shared" si="69"/>
        <v>4430</v>
      </c>
      <c r="B4431" s="845" t="s">
        <v>2556</v>
      </c>
      <c r="D4431" s="862"/>
      <c r="I4431" s="845" t="s">
        <v>1008</v>
      </c>
    </row>
    <row r="4432" spans="1:10" x14ac:dyDescent="0.2">
      <c r="A4432" s="859">
        <f t="shared" si="69"/>
        <v>4431</v>
      </c>
      <c r="B4432" s="845" t="s">
        <v>2556</v>
      </c>
      <c r="D4432" s="863"/>
      <c r="J4432" s="845" t="s">
        <v>1713</v>
      </c>
    </row>
    <row r="4433" spans="1:10" x14ac:dyDescent="0.2">
      <c r="A4433" s="859">
        <f t="shared" si="69"/>
        <v>4432</v>
      </c>
      <c r="B4433" s="845" t="s">
        <v>2556</v>
      </c>
      <c r="D4433" s="862"/>
      <c r="I4433" s="845" t="s">
        <v>1009</v>
      </c>
    </row>
    <row r="4434" spans="1:10" x14ac:dyDescent="0.2">
      <c r="A4434" s="859">
        <f t="shared" si="69"/>
        <v>4433</v>
      </c>
      <c r="B4434" s="845" t="s">
        <v>2556</v>
      </c>
      <c r="D4434" s="862"/>
      <c r="I4434" s="845" t="str">
        <f>CONCATENATE("&lt;valeur&gt;",Cellule_1073,"&lt;/valeur&gt;")</f>
        <v>&lt;valeur&gt;0&lt;/valeur&gt;</v>
      </c>
    </row>
    <row r="4435" spans="1:10" x14ac:dyDescent="0.2">
      <c r="A4435" s="859">
        <f t="shared" si="69"/>
        <v>4434</v>
      </c>
      <c r="B4435" s="845" t="s">
        <v>2556</v>
      </c>
      <c r="D4435" s="861"/>
      <c r="H4435" s="845" t="s">
        <v>1010</v>
      </c>
    </row>
    <row r="4436" spans="1:10" x14ac:dyDescent="0.2">
      <c r="A4436" s="859">
        <f t="shared" si="69"/>
        <v>4435</v>
      </c>
      <c r="B4436" s="845" t="s">
        <v>2556</v>
      </c>
      <c r="D4436" s="861"/>
      <c r="H4436" s="845" t="s">
        <v>1007</v>
      </c>
    </row>
    <row r="4437" spans="1:10" x14ac:dyDescent="0.2">
      <c r="A4437" s="859">
        <f t="shared" si="69"/>
        <v>4436</v>
      </c>
      <c r="B4437" s="845" t="s">
        <v>2556</v>
      </c>
      <c r="D4437" s="862"/>
      <c r="I4437" s="845" t="s">
        <v>1008</v>
      </c>
    </row>
    <row r="4438" spans="1:10" x14ac:dyDescent="0.2">
      <c r="A4438" s="859">
        <f t="shared" si="69"/>
        <v>4437</v>
      </c>
      <c r="B4438" s="845" t="s">
        <v>2556</v>
      </c>
      <c r="D4438" s="863"/>
      <c r="J4438" s="845" t="s">
        <v>1714</v>
      </c>
    </row>
    <row r="4439" spans="1:10" x14ac:dyDescent="0.2">
      <c r="A4439" s="859">
        <f t="shared" si="69"/>
        <v>4438</v>
      </c>
      <c r="B4439" s="845" t="s">
        <v>2556</v>
      </c>
      <c r="D4439" s="862"/>
      <c r="I4439" s="845" t="s">
        <v>1009</v>
      </c>
    </row>
    <row r="4440" spans="1:10" x14ac:dyDescent="0.2">
      <c r="A4440" s="859">
        <f t="shared" si="69"/>
        <v>4439</v>
      </c>
      <c r="B4440" s="845" t="s">
        <v>2556</v>
      </c>
      <c r="D4440" s="862"/>
      <c r="I4440" s="845" t="str">
        <f>CONCATENATE("&lt;valeur&gt;",Cellule_1074,"&lt;/valeur&gt;")</f>
        <v>&lt;valeur&gt;0&lt;/valeur&gt;</v>
      </c>
    </row>
    <row r="4441" spans="1:10" x14ac:dyDescent="0.2">
      <c r="A4441" s="859">
        <f t="shared" si="69"/>
        <v>4440</v>
      </c>
      <c r="B4441" s="845" t="s">
        <v>2556</v>
      </c>
      <c r="D4441" s="861"/>
      <c r="H4441" s="845" t="s">
        <v>1010</v>
      </c>
    </row>
    <row r="4442" spans="1:10" x14ac:dyDescent="0.2">
      <c r="A4442" s="859">
        <f t="shared" si="69"/>
        <v>4441</v>
      </c>
      <c r="B4442" s="845" t="s">
        <v>2556</v>
      </c>
      <c r="D4442" s="861"/>
      <c r="H4442" s="845" t="s">
        <v>1007</v>
      </c>
    </row>
    <row r="4443" spans="1:10" x14ac:dyDescent="0.2">
      <c r="A4443" s="859">
        <f t="shared" si="69"/>
        <v>4442</v>
      </c>
      <c r="B4443" s="845" t="s">
        <v>2556</v>
      </c>
      <c r="D4443" s="862"/>
      <c r="I4443" s="845" t="s">
        <v>1008</v>
      </c>
    </row>
    <row r="4444" spans="1:10" x14ac:dyDescent="0.2">
      <c r="A4444" s="859">
        <f t="shared" si="69"/>
        <v>4443</v>
      </c>
      <c r="B4444" s="845" t="s">
        <v>2556</v>
      </c>
      <c r="D4444" s="863"/>
      <c r="J4444" s="845" t="s">
        <v>1715</v>
      </c>
    </row>
    <row r="4445" spans="1:10" x14ac:dyDescent="0.2">
      <c r="A4445" s="859">
        <f t="shared" si="69"/>
        <v>4444</v>
      </c>
      <c r="B4445" s="845" t="s">
        <v>2556</v>
      </c>
      <c r="D4445" s="862"/>
      <c r="I4445" s="845" t="s">
        <v>1009</v>
      </c>
    </row>
    <row r="4446" spans="1:10" x14ac:dyDescent="0.2">
      <c r="A4446" s="859">
        <f t="shared" si="69"/>
        <v>4445</v>
      </c>
      <c r="B4446" s="845" t="s">
        <v>2556</v>
      </c>
      <c r="D4446" s="862"/>
      <c r="I4446" s="845" t="str">
        <f>CONCATENATE("&lt;valeur&gt;",Cellule_1075,"&lt;/valeur&gt;")</f>
        <v>&lt;valeur&gt;0&lt;/valeur&gt;</v>
      </c>
    </row>
    <row r="4447" spans="1:10" x14ac:dyDescent="0.2">
      <c r="A4447" s="859">
        <f t="shared" si="69"/>
        <v>4446</v>
      </c>
      <c r="B4447" s="845" t="s">
        <v>2556</v>
      </c>
      <c r="D4447" s="861"/>
      <c r="H4447" s="845" t="s">
        <v>1010</v>
      </c>
    </row>
    <row r="4448" spans="1:10" x14ac:dyDescent="0.2">
      <c r="A4448" s="859">
        <f t="shared" si="69"/>
        <v>4447</v>
      </c>
      <c r="B4448" s="845" t="s">
        <v>2556</v>
      </c>
      <c r="D4448" s="861"/>
      <c r="H4448" s="845" t="s">
        <v>1007</v>
      </c>
    </row>
    <row r="4449" spans="1:10" x14ac:dyDescent="0.2">
      <c r="A4449" s="859">
        <f t="shared" si="69"/>
        <v>4448</v>
      </c>
      <c r="B4449" s="845" t="s">
        <v>2556</v>
      </c>
      <c r="D4449" s="862"/>
      <c r="I4449" s="845" t="s">
        <v>1008</v>
      </c>
    </row>
    <row r="4450" spans="1:10" x14ac:dyDescent="0.2">
      <c r="A4450" s="859">
        <f t="shared" si="69"/>
        <v>4449</v>
      </c>
      <c r="B4450" s="845" t="s">
        <v>2556</v>
      </c>
      <c r="D4450" s="863"/>
      <c r="J4450" s="845" t="s">
        <v>1716</v>
      </c>
    </row>
    <row r="4451" spans="1:10" x14ac:dyDescent="0.2">
      <c r="A4451" s="859">
        <f t="shared" si="69"/>
        <v>4450</v>
      </c>
      <c r="B4451" s="845" t="s">
        <v>2556</v>
      </c>
      <c r="D4451" s="862"/>
      <c r="I4451" s="845" t="s">
        <v>1009</v>
      </c>
    </row>
    <row r="4452" spans="1:10" x14ac:dyDescent="0.2">
      <c r="A4452" s="859">
        <f t="shared" si="69"/>
        <v>4451</v>
      </c>
      <c r="B4452" s="845" t="s">
        <v>2556</v>
      </c>
      <c r="D4452" s="862"/>
      <c r="I4452" s="845" t="str">
        <f>CONCATENATE("&lt;valeur&gt;",Cellule_1076,"&lt;/valeur&gt;")</f>
        <v>&lt;valeur&gt;0&lt;/valeur&gt;</v>
      </c>
    </row>
    <row r="4453" spans="1:10" x14ac:dyDescent="0.2">
      <c r="A4453" s="859">
        <f t="shared" si="69"/>
        <v>4452</v>
      </c>
      <c r="B4453" s="845" t="s">
        <v>2556</v>
      </c>
      <c r="D4453" s="861"/>
      <c r="H4453" s="845" t="s">
        <v>1010</v>
      </c>
    </row>
    <row r="4454" spans="1:10" x14ac:dyDescent="0.2">
      <c r="A4454" s="859">
        <f t="shared" si="69"/>
        <v>4453</v>
      </c>
      <c r="B4454" s="845" t="s">
        <v>2556</v>
      </c>
      <c r="D4454" s="861"/>
      <c r="H4454" s="845" t="s">
        <v>1007</v>
      </c>
    </row>
    <row r="4455" spans="1:10" x14ac:dyDescent="0.2">
      <c r="A4455" s="859">
        <f t="shared" si="69"/>
        <v>4454</v>
      </c>
      <c r="B4455" s="845" t="s">
        <v>2556</v>
      </c>
      <c r="D4455" s="862"/>
      <c r="I4455" s="845" t="s">
        <v>1008</v>
      </c>
    </row>
    <row r="4456" spans="1:10" x14ac:dyDescent="0.2">
      <c r="A4456" s="859">
        <f t="shared" si="69"/>
        <v>4455</v>
      </c>
      <c r="B4456" s="845" t="s">
        <v>2556</v>
      </c>
      <c r="D4456" s="863"/>
      <c r="J4456" s="845" t="s">
        <v>1717</v>
      </c>
    </row>
    <row r="4457" spans="1:10" x14ac:dyDescent="0.2">
      <c r="A4457" s="859">
        <f t="shared" si="69"/>
        <v>4456</v>
      </c>
      <c r="B4457" s="845" t="s">
        <v>2556</v>
      </c>
      <c r="D4457" s="862"/>
      <c r="I4457" s="845" t="s">
        <v>1009</v>
      </c>
    </row>
    <row r="4458" spans="1:10" x14ac:dyDescent="0.2">
      <c r="A4458" s="859">
        <f t="shared" si="69"/>
        <v>4457</v>
      </c>
      <c r="B4458" s="845" t="s">
        <v>2556</v>
      </c>
      <c r="D4458" s="862"/>
      <c r="I4458" s="845" t="str">
        <f>CONCATENATE("&lt;valeur&gt;",Cellule_1077,"&lt;/valeur&gt;")</f>
        <v>&lt;valeur&gt;0&lt;/valeur&gt;</v>
      </c>
    </row>
    <row r="4459" spans="1:10" x14ac:dyDescent="0.2">
      <c r="A4459" s="859">
        <f t="shared" si="69"/>
        <v>4458</v>
      </c>
      <c r="B4459" s="845" t="s">
        <v>2556</v>
      </c>
      <c r="D4459" s="861"/>
      <c r="H4459" s="845" t="s">
        <v>1010</v>
      </c>
    </row>
    <row r="4460" spans="1:10" x14ac:dyDescent="0.2">
      <c r="A4460" s="859">
        <f t="shared" si="69"/>
        <v>4459</v>
      </c>
      <c r="B4460" s="845" t="s">
        <v>2556</v>
      </c>
      <c r="D4460" s="861"/>
      <c r="H4460" s="845" t="s">
        <v>1007</v>
      </c>
    </row>
    <row r="4461" spans="1:10" x14ac:dyDescent="0.2">
      <c r="A4461" s="859">
        <f t="shared" si="69"/>
        <v>4460</v>
      </c>
      <c r="B4461" s="845" t="s">
        <v>2556</v>
      </c>
      <c r="D4461" s="862"/>
      <c r="I4461" s="845" t="s">
        <v>1008</v>
      </c>
    </row>
    <row r="4462" spans="1:10" x14ac:dyDescent="0.2">
      <c r="A4462" s="859">
        <f t="shared" si="69"/>
        <v>4461</v>
      </c>
      <c r="B4462" s="845" t="s">
        <v>2556</v>
      </c>
      <c r="D4462" s="863"/>
      <c r="J4462" s="845" t="s">
        <v>1718</v>
      </c>
    </row>
    <row r="4463" spans="1:10" x14ac:dyDescent="0.2">
      <c r="A4463" s="859">
        <f t="shared" si="69"/>
        <v>4462</v>
      </c>
      <c r="B4463" s="845" t="s">
        <v>2556</v>
      </c>
      <c r="D4463" s="862"/>
      <c r="I4463" s="845" t="s">
        <v>1009</v>
      </c>
    </row>
    <row r="4464" spans="1:10" x14ac:dyDescent="0.2">
      <c r="A4464" s="859">
        <f t="shared" si="69"/>
        <v>4463</v>
      </c>
      <c r="B4464" s="845" t="s">
        <v>2556</v>
      </c>
      <c r="D4464" s="862"/>
      <c r="I4464" s="845" t="str">
        <f>CONCATENATE("&lt;valeur&gt;",Cellule_10089,"&lt;/valeur&gt;")</f>
        <v>&lt;valeur&gt;0&lt;/valeur&gt;</v>
      </c>
    </row>
    <row r="4465" spans="1:10" x14ac:dyDescent="0.2">
      <c r="A4465" s="859">
        <f t="shared" si="69"/>
        <v>4464</v>
      </c>
      <c r="B4465" s="845" t="s">
        <v>2556</v>
      </c>
      <c r="D4465" s="861"/>
      <c r="H4465" s="845" t="s">
        <v>1010</v>
      </c>
    </row>
    <row r="4466" spans="1:10" x14ac:dyDescent="0.2">
      <c r="A4466" s="859">
        <f t="shared" si="69"/>
        <v>4465</v>
      </c>
      <c r="B4466" s="845" t="s">
        <v>2556</v>
      </c>
      <c r="D4466" s="861"/>
      <c r="H4466" s="845" t="s">
        <v>1007</v>
      </c>
    </row>
    <row r="4467" spans="1:10" x14ac:dyDescent="0.2">
      <c r="A4467" s="859">
        <f t="shared" si="69"/>
        <v>4466</v>
      </c>
      <c r="B4467" s="845" t="s">
        <v>2556</v>
      </c>
      <c r="D4467" s="862"/>
      <c r="I4467" s="845" t="s">
        <v>1008</v>
      </c>
    </row>
    <row r="4468" spans="1:10" x14ac:dyDescent="0.2">
      <c r="A4468" s="859">
        <f t="shared" si="69"/>
        <v>4467</v>
      </c>
      <c r="B4468" s="845" t="s">
        <v>2556</v>
      </c>
      <c r="D4468" s="863"/>
      <c r="J4468" s="845" t="s">
        <v>1719</v>
      </c>
    </row>
    <row r="4469" spans="1:10" x14ac:dyDescent="0.2">
      <c r="A4469" s="859">
        <f t="shared" si="69"/>
        <v>4468</v>
      </c>
      <c r="B4469" s="845" t="s">
        <v>2556</v>
      </c>
      <c r="D4469" s="862"/>
      <c r="I4469" s="845" t="s">
        <v>1009</v>
      </c>
    </row>
    <row r="4470" spans="1:10" x14ac:dyDescent="0.2">
      <c r="A4470" s="859">
        <f t="shared" si="69"/>
        <v>4469</v>
      </c>
      <c r="B4470" s="845" t="s">
        <v>2556</v>
      </c>
      <c r="D4470" s="862"/>
      <c r="I4470" s="845" t="str">
        <f>CONCATENATE("&lt;valeur&gt;",Cellule_12604,"&lt;/valeur&gt;")</f>
        <v>&lt;valeur&gt;&lt;/valeur&gt;</v>
      </c>
    </row>
    <row r="4471" spans="1:10" x14ac:dyDescent="0.2">
      <c r="A4471" s="859">
        <f t="shared" si="69"/>
        <v>4470</v>
      </c>
      <c r="B4471" s="845" t="s">
        <v>2556</v>
      </c>
      <c r="D4471" s="861"/>
      <c r="H4471" s="845" t="s">
        <v>1010</v>
      </c>
    </row>
    <row r="4472" spans="1:10" x14ac:dyDescent="0.2">
      <c r="A4472" s="859">
        <f t="shared" si="69"/>
        <v>4471</v>
      </c>
      <c r="B4472" s="845" t="s">
        <v>2556</v>
      </c>
      <c r="D4472" s="861"/>
      <c r="G4472" s="845" t="s">
        <v>1011</v>
      </c>
    </row>
    <row r="4473" spans="1:10" x14ac:dyDescent="0.2">
      <c r="A4473" s="859">
        <f t="shared" si="69"/>
        <v>4472</v>
      </c>
      <c r="B4473" s="845" t="s">
        <v>2556</v>
      </c>
      <c r="D4473" s="863"/>
      <c r="G4473" s="845" t="s">
        <v>1012</v>
      </c>
    </row>
    <row r="4474" spans="1:10" x14ac:dyDescent="0.2">
      <c r="A4474" s="859">
        <f t="shared" si="69"/>
        <v>4473</v>
      </c>
      <c r="B4474" s="845" t="s">
        <v>2556</v>
      </c>
      <c r="D4474" s="862"/>
      <c r="G4474" s="845" t="s">
        <v>1013</v>
      </c>
    </row>
    <row r="4475" spans="1:10" x14ac:dyDescent="0.2">
      <c r="A4475" s="859">
        <f t="shared" si="69"/>
        <v>4474</v>
      </c>
      <c r="B4475" s="845" t="s">
        <v>2556</v>
      </c>
      <c r="D4475" s="862"/>
      <c r="F4475" s="845" t="s">
        <v>1014</v>
      </c>
    </row>
    <row r="4476" spans="1:10" x14ac:dyDescent="0.2">
      <c r="A4476" s="859">
        <f t="shared" si="69"/>
        <v>4475</v>
      </c>
      <c r="B4476" s="845" t="s">
        <v>2557</v>
      </c>
      <c r="D4476" s="861"/>
      <c r="F4476" s="845" t="s">
        <v>1005</v>
      </c>
    </row>
    <row r="4477" spans="1:10" x14ac:dyDescent="0.2">
      <c r="A4477" s="859">
        <f t="shared" si="69"/>
        <v>4476</v>
      </c>
      <c r="B4477" s="845" t="s">
        <v>2557</v>
      </c>
      <c r="D4477" s="861"/>
      <c r="G4477" s="845" t="s">
        <v>1720</v>
      </c>
    </row>
    <row r="4478" spans="1:10" x14ac:dyDescent="0.2">
      <c r="A4478" s="859">
        <f t="shared" si="69"/>
        <v>4477</v>
      </c>
      <c r="B4478" s="845" t="s">
        <v>2557</v>
      </c>
      <c r="D4478" s="862"/>
      <c r="G4478" s="845" t="s">
        <v>1006</v>
      </c>
    </row>
    <row r="4479" spans="1:10" x14ac:dyDescent="0.2">
      <c r="A4479" s="859">
        <f t="shared" si="69"/>
        <v>4478</v>
      </c>
      <c r="B4479" s="845" t="s">
        <v>2557</v>
      </c>
      <c r="D4479" s="863"/>
      <c r="H4479" s="845" t="s">
        <v>1007</v>
      </c>
    </row>
    <row r="4480" spans="1:10" x14ac:dyDescent="0.2">
      <c r="A4480" s="859">
        <f t="shared" si="69"/>
        <v>4479</v>
      </c>
      <c r="B4480" s="845" t="s">
        <v>2557</v>
      </c>
      <c r="D4480" s="862"/>
      <c r="I4480" s="845" t="s">
        <v>1008</v>
      </c>
    </row>
    <row r="4481" spans="1:10" x14ac:dyDescent="0.2">
      <c r="A4481" s="859">
        <f t="shared" si="69"/>
        <v>4480</v>
      </c>
      <c r="B4481" s="845" t="s">
        <v>2557</v>
      </c>
      <c r="D4481" s="862"/>
      <c r="J4481" s="845" t="s">
        <v>1721</v>
      </c>
    </row>
    <row r="4482" spans="1:10" x14ac:dyDescent="0.2">
      <c r="A4482" s="859">
        <f t="shared" si="69"/>
        <v>4481</v>
      </c>
      <c r="B4482" s="845" t="s">
        <v>2557</v>
      </c>
      <c r="D4482" s="861"/>
      <c r="I4482" s="845" t="s">
        <v>1009</v>
      </c>
    </row>
    <row r="4483" spans="1:10" x14ac:dyDescent="0.2">
      <c r="A4483" s="859">
        <f t="shared" si="69"/>
        <v>4482</v>
      </c>
      <c r="B4483" s="845" t="s">
        <v>2557</v>
      </c>
      <c r="D4483" s="861"/>
      <c r="I4483" s="845" t="str">
        <f>CONCATENATE("&lt;valeur&gt;",Cellule_1308,"&lt;/valeur&gt;")</f>
        <v>&lt;valeur&gt;0&lt;/valeur&gt;</v>
      </c>
    </row>
    <row r="4484" spans="1:10" x14ac:dyDescent="0.2">
      <c r="A4484" s="859">
        <f t="shared" ref="A4484:A4547" si="70">+A4483+1</f>
        <v>4483</v>
      </c>
      <c r="B4484" s="845" t="s">
        <v>2557</v>
      </c>
      <c r="D4484" s="862"/>
      <c r="H4484" s="845" t="s">
        <v>1010</v>
      </c>
    </row>
    <row r="4485" spans="1:10" x14ac:dyDescent="0.2">
      <c r="A4485" s="859">
        <f t="shared" si="70"/>
        <v>4484</v>
      </c>
      <c r="B4485" s="845" t="s">
        <v>2557</v>
      </c>
      <c r="D4485" s="863"/>
      <c r="H4485" s="845" t="s">
        <v>1007</v>
      </c>
    </row>
    <row r="4486" spans="1:10" x14ac:dyDescent="0.2">
      <c r="A4486" s="859">
        <f t="shared" si="70"/>
        <v>4485</v>
      </c>
      <c r="B4486" s="845" t="s">
        <v>2557</v>
      </c>
      <c r="D4486" s="862"/>
      <c r="I4486" s="845" t="s">
        <v>1008</v>
      </c>
    </row>
    <row r="4487" spans="1:10" x14ac:dyDescent="0.2">
      <c r="A4487" s="859">
        <f t="shared" si="70"/>
        <v>4486</v>
      </c>
      <c r="B4487" s="845" t="s">
        <v>2557</v>
      </c>
      <c r="D4487" s="862"/>
      <c r="J4487" s="845" t="s">
        <v>1722</v>
      </c>
    </row>
    <row r="4488" spans="1:10" x14ac:dyDescent="0.2">
      <c r="A4488" s="859">
        <f t="shared" si="70"/>
        <v>4487</v>
      </c>
      <c r="B4488" s="845" t="s">
        <v>2557</v>
      </c>
      <c r="D4488" s="861"/>
      <c r="I4488" s="845" t="s">
        <v>1009</v>
      </c>
    </row>
    <row r="4489" spans="1:10" x14ac:dyDescent="0.2">
      <c r="A4489" s="859">
        <f t="shared" si="70"/>
        <v>4488</v>
      </c>
      <c r="B4489" s="845" t="s">
        <v>2557</v>
      </c>
      <c r="D4489" s="861"/>
      <c r="I4489" s="845" t="str">
        <f>CONCATENATE("&lt;valeur&gt;",Cellule_1309,"&lt;/valeur&gt;")</f>
        <v>&lt;valeur&gt;0&lt;/valeur&gt;</v>
      </c>
    </row>
    <row r="4490" spans="1:10" x14ac:dyDescent="0.2">
      <c r="A4490" s="859">
        <f t="shared" si="70"/>
        <v>4489</v>
      </c>
      <c r="B4490" s="845" t="s">
        <v>2557</v>
      </c>
      <c r="D4490" s="862"/>
      <c r="H4490" s="845" t="s">
        <v>1010</v>
      </c>
    </row>
    <row r="4491" spans="1:10" x14ac:dyDescent="0.2">
      <c r="A4491" s="859">
        <f t="shared" si="70"/>
        <v>4490</v>
      </c>
      <c r="B4491" s="845" t="s">
        <v>2557</v>
      </c>
      <c r="D4491" s="863"/>
      <c r="H4491" s="845" t="s">
        <v>1007</v>
      </c>
    </row>
    <row r="4492" spans="1:10" x14ac:dyDescent="0.2">
      <c r="A4492" s="859">
        <f t="shared" si="70"/>
        <v>4491</v>
      </c>
      <c r="B4492" s="845" t="s">
        <v>2557</v>
      </c>
      <c r="D4492" s="862"/>
      <c r="I4492" s="845" t="s">
        <v>1008</v>
      </c>
    </row>
    <row r="4493" spans="1:10" x14ac:dyDescent="0.2">
      <c r="A4493" s="859">
        <f t="shared" si="70"/>
        <v>4492</v>
      </c>
      <c r="B4493" s="845" t="s">
        <v>2557</v>
      </c>
      <c r="D4493" s="862"/>
      <c r="J4493" s="845" t="s">
        <v>1723</v>
      </c>
    </row>
    <row r="4494" spans="1:10" x14ac:dyDescent="0.2">
      <c r="A4494" s="859">
        <f t="shared" si="70"/>
        <v>4493</v>
      </c>
      <c r="B4494" s="845" t="s">
        <v>2557</v>
      </c>
      <c r="D4494" s="861"/>
      <c r="I4494" s="845" t="s">
        <v>1009</v>
      </c>
    </row>
    <row r="4495" spans="1:10" x14ac:dyDescent="0.2">
      <c r="A4495" s="859">
        <f t="shared" si="70"/>
        <v>4494</v>
      </c>
      <c r="B4495" s="845" t="s">
        <v>2557</v>
      </c>
      <c r="D4495" s="861"/>
      <c r="I4495" s="845" t="str">
        <f>CONCATENATE("&lt;valeur&gt;",Cellule_1310,"&lt;/valeur&gt;")</f>
        <v>&lt;valeur&gt;0&lt;/valeur&gt;</v>
      </c>
    </row>
    <row r="4496" spans="1:10" x14ac:dyDescent="0.2">
      <c r="A4496" s="859">
        <f t="shared" si="70"/>
        <v>4495</v>
      </c>
      <c r="B4496" s="845" t="s">
        <v>2557</v>
      </c>
      <c r="D4496" s="862"/>
      <c r="H4496" s="845" t="s">
        <v>1010</v>
      </c>
    </row>
    <row r="4497" spans="1:10" x14ac:dyDescent="0.2">
      <c r="A4497" s="859">
        <f t="shared" si="70"/>
        <v>4496</v>
      </c>
      <c r="B4497" s="845" t="s">
        <v>2557</v>
      </c>
      <c r="D4497" s="863"/>
      <c r="H4497" s="845" t="s">
        <v>1007</v>
      </c>
    </row>
    <row r="4498" spans="1:10" x14ac:dyDescent="0.2">
      <c r="A4498" s="859">
        <f t="shared" si="70"/>
        <v>4497</v>
      </c>
      <c r="B4498" s="845" t="s">
        <v>2557</v>
      </c>
      <c r="D4498" s="862"/>
      <c r="I4498" s="845" t="s">
        <v>1008</v>
      </c>
    </row>
    <row r="4499" spans="1:10" x14ac:dyDescent="0.2">
      <c r="A4499" s="859">
        <f t="shared" si="70"/>
        <v>4498</v>
      </c>
      <c r="B4499" s="845" t="s">
        <v>2557</v>
      </c>
      <c r="D4499" s="862"/>
      <c r="J4499" s="845" t="s">
        <v>1724</v>
      </c>
    </row>
    <row r="4500" spans="1:10" x14ac:dyDescent="0.2">
      <c r="A4500" s="859">
        <f t="shared" si="70"/>
        <v>4499</v>
      </c>
      <c r="B4500" s="845" t="s">
        <v>2557</v>
      </c>
      <c r="D4500" s="861"/>
      <c r="I4500" s="845" t="s">
        <v>1009</v>
      </c>
    </row>
    <row r="4501" spans="1:10" x14ac:dyDescent="0.2">
      <c r="A4501" s="859">
        <f t="shared" si="70"/>
        <v>4500</v>
      </c>
      <c r="B4501" s="845" t="s">
        <v>2557</v>
      </c>
      <c r="D4501" s="861"/>
      <c r="I4501" s="845" t="str">
        <f>CONCATENATE("&lt;valeur&gt;",Cellule_1311,"&lt;/valeur&gt;")</f>
        <v>&lt;valeur&gt;0&lt;/valeur&gt;</v>
      </c>
    </row>
    <row r="4502" spans="1:10" x14ac:dyDescent="0.2">
      <c r="A4502" s="859">
        <f t="shared" si="70"/>
        <v>4501</v>
      </c>
      <c r="B4502" s="845" t="s">
        <v>2557</v>
      </c>
      <c r="D4502" s="862"/>
      <c r="H4502" s="845" t="s">
        <v>1010</v>
      </c>
    </row>
    <row r="4503" spans="1:10" x14ac:dyDescent="0.2">
      <c r="A4503" s="859">
        <f t="shared" si="70"/>
        <v>4502</v>
      </c>
      <c r="B4503" s="845" t="s">
        <v>2557</v>
      </c>
      <c r="D4503" s="863"/>
      <c r="H4503" s="845" t="s">
        <v>1007</v>
      </c>
    </row>
    <row r="4504" spans="1:10" x14ac:dyDescent="0.2">
      <c r="A4504" s="859">
        <f t="shared" si="70"/>
        <v>4503</v>
      </c>
      <c r="B4504" s="845" t="s">
        <v>2557</v>
      </c>
      <c r="D4504" s="862"/>
      <c r="I4504" s="845" t="s">
        <v>1008</v>
      </c>
    </row>
    <row r="4505" spans="1:10" x14ac:dyDescent="0.2">
      <c r="A4505" s="859">
        <f t="shared" si="70"/>
        <v>4504</v>
      </c>
      <c r="B4505" s="845" t="s">
        <v>2557</v>
      </c>
      <c r="D4505" s="862"/>
      <c r="J4505" s="845" t="s">
        <v>1725</v>
      </c>
    </row>
    <row r="4506" spans="1:10" x14ac:dyDescent="0.2">
      <c r="A4506" s="859">
        <f t="shared" si="70"/>
        <v>4505</v>
      </c>
      <c r="B4506" s="845" t="s">
        <v>2557</v>
      </c>
      <c r="D4506" s="861"/>
      <c r="I4506" s="845" t="s">
        <v>1009</v>
      </c>
    </row>
    <row r="4507" spans="1:10" x14ac:dyDescent="0.2">
      <c r="A4507" s="859">
        <f t="shared" si="70"/>
        <v>4506</v>
      </c>
      <c r="B4507" s="845" t="s">
        <v>2557</v>
      </c>
      <c r="D4507" s="861"/>
      <c r="I4507" s="845" t="str">
        <f>CONCATENATE("&lt;valeur&gt;",Cellule_1312,"&lt;/valeur&gt;")</f>
        <v>&lt;valeur&gt;0&lt;/valeur&gt;</v>
      </c>
    </row>
    <row r="4508" spans="1:10" x14ac:dyDescent="0.2">
      <c r="A4508" s="859">
        <f t="shared" si="70"/>
        <v>4507</v>
      </c>
      <c r="B4508" s="845" t="s">
        <v>2557</v>
      </c>
      <c r="D4508" s="862"/>
      <c r="H4508" s="845" t="s">
        <v>1010</v>
      </c>
    </row>
    <row r="4509" spans="1:10" x14ac:dyDescent="0.2">
      <c r="A4509" s="859">
        <f t="shared" si="70"/>
        <v>4508</v>
      </c>
      <c r="B4509" s="845" t="s">
        <v>2557</v>
      </c>
      <c r="D4509" s="863"/>
      <c r="H4509" s="845" t="s">
        <v>1007</v>
      </c>
    </row>
    <row r="4510" spans="1:10" x14ac:dyDescent="0.2">
      <c r="A4510" s="859">
        <f t="shared" si="70"/>
        <v>4509</v>
      </c>
      <c r="B4510" s="845" t="s">
        <v>2557</v>
      </c>
      <c r="D4510" s="862"/>
      <c r="I4510" s="845" t="s">
        <v>1008</v>
      </c>
    </row>
    <row r="4511" spans="1:10" x14ac:dyDescent="0.2">
      <c r="A4511" s="859">
        <f t="shared" si="70"/>
        <v>4510</v>
      </c>
      <c r="B4511" s="845" t="s">
        <v>2557</v>
      </c>
      <c r="D4511" s="862"/>
      <c r="J4511" s="845" t="s">
        <v>1726</v>
      </c>
    </row>
    <row r="4512" spans="1:10" x14ac:dyDescent="0.2">
      <c r="A4512" s="859">
        <f t="shared" si="70"/>
        <v>4511</v>
      </c>
      <c r="B4512" s="845" t="s">
        <v>2557</v>
      </c>
      <c r="D4512" s="861"/>
      <c r="I4512" s="845" t="s">
        <v>1009</v>
      </c>
    </row>
    <row r="4513" spans="1:10" x14ac:dyDescent="0.2">
      <c r="A4513" s="859">
        <f t="shared" si="70"/>
        <v>4512</v>
      </c>
      <c r="B4513" s="845" t="s">
        <v>2557</v>
      </c>
      <c r="D4513" s="861"/>
      <c r="I4513" s="845" t="str">
        <f>CONCATENATE("&lt;valeur&gt;",Cellule_1313,"&lt;/valeur&gt;")</f>
        <v>&lt;valeur&gt;0&lt;/valeur&gt;</v>
      </c>
    </row>
    <row r="4514" spans="1:10" x14ac:dyDescent="0.2">
      <c r="A4514" s="859">
        <f t="shared" si="70"/>
        <v>4513</v>
      </c>
      <c r="B4514" s="845" t="s">
        <v>2557</v>
      </c>
      <c r="D4514" s="862"/>
      <c r="H4514" s="845" t="s">
        <v>1010</v>
      </c>
    </row>
    <row r="4515" spans="1:10" x14ac:dyDescent="0.2">
      <c r="A4515" s="859">
        <f t="shared" si="70"/>
        <v>4514</v>
      </c>
      <c r="B4515" s="845" t="s">
        <v>2557</v>
      </c>
      <c r="D4515" s="863"/>
      <c r="H4515" s="845" t="s">
        <v>1007</v>
      </c>
    </row>
    <row r="4516" spans="1:10" x14ac:dyDescent="0.2">
      <c r="A4516" s="859">
        <f t="shared" si="70"/>
        <v>4515</v>
      </c>
      <c r="B4516" s="845" t="s">
        <v>2557</v>
      </c>
      <c r="D4516" s="862"/>
      <c r="I4516" s="845" t="s">
        <v>1008</v>
      </c>
    </row>
    <row r="4517" spans="1:10" x14ac:dyDescent="0.2">
      <c r="A4517" s="859">
        <f t="shared" si="70"/>
        <v>4516</v>
      </c>
      <c r="B4517" s="845" t="s">
        <v>2557</v>
      </c>
      <c r="D4517" s="862"/>
      <c r="J4517" s="845" t="s">
        <v>1727</v>
      </c>
    </row>
    <row r="4518" spans="1:10" x14ac:dyDescent="0.2">
      <c r="A4518" s="859">
        <f t="shared" si="70"/>
        <v>4517</v>
      </c>
      <c r="B4518" s="845" t="s">
        <v>2557</v>
      </c>
      <c r="D4518" s="861"/>
      <c r="I4518" s="845" t="s">
        <v>1009</v>
      </c>
    </row>
    <row r="4519" spans="1:10" x14ac:dyDescent="0.2">
      <c r="A4519" s="859">
        <f t="shared" si="70"/>
        <v>4518</v>
      </c>
      <c r="B4519" s="845" t="s">
        <v>2557</v>
      </c>
      <c r="D4519" s="860"/>
      <c r="I4519" s="845" t="str">
        <f>CONCATENATE("&lt;valeur&gt;",Cellule_1314,"&lt;/valeur&gt;")</f>
        <v>&lt;valeur&gt;0&lt;/valeur&gt;</v>
      </c>
    </row>
    <row r="4520" spans="1:10" x14ac:dyDescent="0.2">
      <c r="A4520" s="859">
        <f t="shared" si="70"/>
        <v>4519</v>
      </c>
      <c r="B4520" s="845" t="s">
        <v>2557</v>
      </c>
      <c r="D4520" s="860"/>
      <c r="H4520" s="845" t="s">
        <v>1010</v>
      </c>
    </row>
    <row r="4521" spans="1:10" x14ac:dyDescent="0.2">
      <c r="A4521" s="859">
        <f t="shared" si="70"/>
        <v>4520</v>
      </c>
      <c r="B4521" s="845" t="s">
        <v>2557</v>
      </c>
      <c r="D4521" s="857"/>
      <c r="H4521" s="845" t="s">
        <v>1007</v>
      </c>
    </row>
    <row r="4522" spans="1:10" x14ac:dyDescent="0.2">
      <c r="A4522" s="859">
        <f t="shared" si="70"/>
        <v>4521</v>
      </c>
      <c r="B4522" s="845" t="s">
        <v>2557</v>
      </c>
      <c r="D4522" s="857"/>
      <c r="I4522" s="845" t="s">
        <v>1008</v>
      </c>
    </row>
    <row r="4523" spans="1:10" x14ac:dyDescent="0.2">
      <c r="A4523" s="859">
        <f t="shared" si="70"/>
        <v>4522</v>
      </c>
      <c r="B4523" s="845" t="s">
        <v>2557</v>
      </c>
      <c r="D4523" s="860"/>
      <c r="J4523" s="845" t="s">
        <v>1728</v>
      </c>
    </row>
    <row r="4524" spans="1:10" x14ac:dyDescent="0.2">
      <c r="A4524" s="859">
        <f t="shared" si="70"/>
        <v>4523</v>
      </c>
      <c r="B4524" s="845" t="s">
        <v>2557</v>
      </c>
      <c r="D4524" s="861"/>
      <c r="I4524" s="845" t="s">
        <v>1009</v>
      </c>
    </row>
    <row r="4525" spans="1:10" x14ac:dyDescent="0.2">
      <c r="A4525" s="859">
        <f t="shared" si="70"/>
        <v>4524</v>
      </c>
      <c r="B4525" s="845" t="s">
        <v>2557</v>
      </c>
      <c r="D4525" s="860"/>
      <c r="I4525" s="845" t="str">
        <f>CONCATENATE("&lt;valeur&gt;",Cellule_1315,"&lt;/valeur&gt;")</f>
        <v>&lt;valeur&gt;0&lt;/valeur&gt;</v>
      </c>
    </row>
    <row r="4526" spans="1:10" x14ac:dyDescent="0.2">
      <c r="A4526" s="859">
        <f t="shared" si="70"/>
        <v>4525</v>
      </c>
      <c r="B4526" s="845" t="s">
        <v>2557</v>
      </c>
      <c r="D4526" s="860"/>
      <c r="H4526" s="845" t="s">
        <v>1010</v>
      </c>
    </row>
    <row r="4527" spans="1:10" x14ac:dyDescent="0.2">
      <c r="A4527" s="859">
        <f t="shared" si="70"/>
        <v>4526</v>
      </c>
      <c r="B4527" s="845" t="s">
        <v>2557</v>
      </c>
      <c r="D4527" s="861"/>
      <c r="H4527" s="845" t="s">
        <v>1007</v>
      </c>
    </row>
    <row r="4528" spans="1:10" x14ac:dyDescent="0.2">
      <c r="A4528" s="859">
        <f t="shared" si="70"/>
        <v>4527</v>
      </c>
      <c r="B4528" s="845" t="s">
        <v>2557</v>
      </c>
      <c r="D4528" s="862"/>
      <c r="I4528" s="845" t="s">
        <v>1008</v>
      </c>
    </row>
    <row r="4529" spans="1:10" x14ac:dyDescent="0.2">
      <c r="A4529" s="859">
        <f t="shared" si="70"/>
        <v>4528</v>
      </c>
      <c r="B4529" s="845" t="s">
        <v>2557</v>
      </c>
      <c r="D4529" s="863"/>
      <c r="J4529" s="845" t="s">
        <v>1729</v>
      </c>
    </row>
    <row r="4530" spans="1:10" x14ac:dyDescent="0.2">
      <c r="A4530" s="859">
        <f t="shared" si="70"/>
        <v>4529</v>
      </c>
      <c r="B4530" s="845" t="s">
        <v>2557</v>
      </c>
      <c r="D4530" s="862"/>
      <c r="I4530" s="845" t="s">
        <v>1009</v>
      </c>
    </row>
    <row r="4531" spans="1:10" x14ac:dyDescent="0.2">
      <c r="A4531" s="859">
        <f t="shared" si="70"/>
        <v>4530</v>
      </c>
      <c r="B4531" s="845" t="s">
        <v>2557</v>
      </c>
      <c r="D4531" s="862"/>
      <c r="I4531" s="845" t="str">
        <f>CONCATENATE("&lt;valeur&gt;",Cellule_1316,"&lt;/valeur&gt;")</f>
        <v>&lt;valeur&gt;0&lt;/valeur&gt;</v>
      </c>
    </row>
    <row r="4532" spans="1:10" x14ac:dyDescent="0.2">
      <c r="A4532" s="859">
        <f t="shared" si="70"/>
        <v>4531</v>
      </c>
      <c r="B4532" s="845" t="s">
        <v>2557</v>
      </c>
      <c r="D4532" s="861"/>
      <c r="H4532" s="845" t="s">
        <v>1010</v>
      </c>
    </row>
    <row r="4533" spans="1:10" x14ac:dyDescent="0.2">
      <c r="A4533" s="859">
        <f t="shared" si="70"/>
        <v>4532</v>
      </c>
      <c r="B4533" s="845" t="s">
        <v>2557</v>
      </c>
      <c r="D4533" s="861"/>
      <c r="H4533" s="845" t="s">
        <v>1007</v>
      </c>
    </row>
    <row r="4534" spans="1:10" x14ac:dyDescent="0.2">
      <c r="A4534" s="859">
        <f t="shared" si="70"/>
        <v>4533</v>
      </c>
      <c r="B4534" s="845" t="s">
        <v>2557</v>
      </c>
      <c r="D4534" s="862"/>
      <c r="I4534" s="845" t="s">
        <v>1008</v>
      </c>
    </row>
    <row r="4535" spans="1:10" x14ac:dyDescent="0.2">
      <c r="A4535" s="859">
        <f t="shared" si="70"/>
        <v>4534</v>
      </c>
      <c r="B4535" s="845" t="s">
        <v>2557</v>
      </c>
      <c r="D4535" s="863"/>
      <c r="J4535" s="845" t="s">
        <v>1730</v>
      </c>
    </row>
    <row r="4536" spans="1:10" x14ac:dyDescent="0.2">
      <c r="A4536" s="859">
        <f t="shared" si="70"/>
        <v>4535</v>
      </c>
      <c r="B4536" s="845" t="s">
        <v>2557</v>
      </c>
      <c r="D4536" s="862"/>
      <c r="I4536" s="845" t="s">
        <v>1009</v>
      </c>
    </row>
    <row r="4537" spans="1:10" x14ac:dyDescent="0.2">
      <c r="A4537" s="859">
        <f t="shared" si="70"/>
        <v>4536</v>
      </c>
      <c r="B4537" s="845" t="s">
        <v>2557</v>
      </c>
      <c r="D4537" s="862"/>
      <c r="I4537" s="845" t="str">
        <f>CONCATENATE("&lt;valeur&gt;",Cellule_1317,"&lt;/valeur&gt;")</f>
        <v>&lt;valeur&gt;0&lt;/valeur&gt;</v>
      </c>
    </row>
    <row r="4538" spans="1:10" x14ac:dyDescent="0.2">
      <c r="A4538" s="859">
        <f t="shared" si="70"/>
        <v>4537</v>
      </c>
      <c r="B4538" s="845" t="s">
        <v>2557</v>
      </c>
      <c r="D4538" s="861"/>
      <c r="H4538" s="845" t="s">
        <v>1010</v>
      </c>
    </row>
    <row r="4539" spans="1:10" x14ac:dyDescent="0.2">
      <c r="A4539" s="859">
        <f t="shared" si="70"/>
        <v>4538</v>
      </c>
      <c r="B4539" s="845" t="s">
        <v>2557</v>
      </c>
      <c r="D4539" s="861"/>
      <c r="H4539" s="845" t="s">
        <v>1007</v>
      </c>
    </row>
    <row r="4540" spans="1:10" x14ac:dyDescent="0.2">
      <c r="A4540" s="859">
        <f t="shared" si="70"/>
        <v>4539</v>
      </c>
      <c r="B4540" s="845" t="s">
        <v>2557</v>
      </c>
      <c r="D4540" s="862"/>
      <c r="I4540" s="845" t="s">
        <v>1008</v>
      </c>
    </row>
    <row r="4541" spans="1:10" x14ac:dyDescent="0.2">
      <c r="A4541" s="859">
        <f t="shared" si="70"/>
        <v>4540</v>
      </c>
      <c r="B4541" s="845" t="s">
        <v>2557</v>
      </c>
      <c r="D4541" s="863"/>
      <c r="J4541" s="845" t="s">
        <v>1731</v>
      </c>
    </row>
    <row r="4542" spans="1:10" x14ac:dyDescent="0.2">
      <c r="A4542" s="859">
        <f t="shared" si="70"/>
        <v>4541</v>
      </c>
      <c r="B4542" s="845" t="s">
        <v>2557</v>
      </c>
      <c r="D4542" s="862"/>
      <c r="I4542" s="845" t="s">
        <v>1009</v>
      </c>
    </row>
    <row r="4543" spans="1:10" x14ac:dyDescent="0.2">
      <c r="A4543" s="859">
        <f t="shared" si="70"/>
        <v>4542</v>
      </c>
      <c r="B4543" s="845" t="s">
        <v>2557</v>
      </c>
      <c r="D4543" s="862"/>
      <c r="I4543" s="845" t="str">
        <f>CONCATENATE("&lt;valeur&gt;",Cellule_1318,"&lt;/valeur&gt;")</f>
        <v>&lt;valeur&gt;0&lt;/valeur&gt;</v>
      </c>
    </row>
    <row r="4544" spans="1:10" x14ac:dyDescent="0.2">
      <c r="A4544" s="859">
        <f t="shared" si="70"/>
        <v>4543</v>
      </c>
      <c r="B4544" s="845" t="s">
        <v>2557</v>
      </c>
      <c r="D4544" s="861"/>
      <c r="H4544" s="845" t="s">
        <v>1010</v>
      </c>
    </row>
    <row r="4545" spans="1:10" x14ac:dyDescent="0.2">
      <c r="A4545" s="859">
        <f t="shared" si="70"/>
        <v>4544</v>
      </c>
      <c r="B4545" s="845" t="s">
        <v>2557</v>
      </c>
      <c r="D4545" s="861"/>
      <c r="H4545" s="845" t="s">
        <v>1007</v>
      </c>
    </row>
    <row r="4546" spans="1:10" x14ac:dyDescent="0.2">
      <c r="A4546" s="859">
        <f t="shared" si="70"/>
        <v>4545</v>
      </c>
      <c r="B4546" s="845" t="s">
        <v>2557</v>
      </c>
      <c r="D4546" s="862"/>
      <c r="I4546" s="845" t="s">
        <v>1008</v>
      </c>
    </row>
    <row r="4547" spans="1:10" x14ac:dyDescent="0.2">
      <c r="A4547" s="859">
        <f t="shared" si="70"/>
        <v>4546</v>
      </c>
      <c r="B4547" s="845" t="s">
        <v>2557</v>
      </c>
      <c r="D4547" s="863"/>
      <c r="J4547" s="845" t="s">
        <v>1732</v>
      </c>
    </row>
    <row r="4548" spans="1:10" x14ac:dyDescent="0.2">
      <c r="A4548" s="859">
        <f t="shared" ref="A4548:A4611" si="71">+A4547+1</f>
        <v>4547</v>
      </c>
      <c r="B4548" s="845" t="s">
        <v>2557</v>
      </c>
      <c r="D4548" s="862"/>
      <c r="I4548" s="845" t="s">
        <v>1009</v>
      </c>
    </row>
    <row r="4549" spans="1:10" x14ac:dyDescent="0.2">
      <c r="A4549" s="859">
        <f t="shared" si="71"/>
        <v>4548</v>
      </c>
      <c r="B4549" s="845" t="s">
        <v>2557</v>
      </c>
      <c r="D4549" s="862"/>
      <c r="I4549" s="845" t="str">
        <f>CONCATENATE("&lt;valeur&gt;",Cellule_1319,"&lt;/valeur&gt;")</f>
        <v>&lt;valeur&gt;0&lt;/valeur&gt;</v>
      </c>
    </row>
    <row r="4550" spans="1:10" x14ac:dyDescent="0.2">
      <c r="A4550" s="859">
        <f t="shared" si="71"/>
        <v>4549</v>
      </c>
      <c r="B4550" s="845" t="s">
        <v>2557</v>
      </c>
      <c r="D4550" s="861"/>
      <c r="H4550" s="845" t="s">
        <v>1010</v>
      </c>
    </row>
    <row r="4551" spans="1:10" x14ac:dyDescent="0.2">
      <c r="A4551" s="859">
        <f t="shared" si="71"/>
        <v>4550</v>
      </c>
      <c r="B4551" s="845" t="s">
        <v>2557</v>
      </c>
      <c r="D4551" s="861"/>
      <c r="H4551" s="845" t="s">
        <v>1007</v>
      </c>
    </row>
    <row r="4552" spans="1:10" x14ac:dyDescent="0.2">
      <c r="A4552" s="859">
        <f t="shared" si="71"/>
        <v>4551</v>
      </c>
      <c r="B4552" s="845" t="s">
        <v>2557</v>
      </c>
      <c r="D4552" s="862"/>
      <c r="I4552" s="845" t="s">
        <v>1008</v>
      </c>
    </row>
    <row r="4553" spans="1:10" x14ac:dyDescent="0.2">
      <c r="A4553" s="859">
        <f t="shared" si="71"/>
        <v>4552</v>
      </c>
      <c r="B4553" s="845" t="s">
        <v>2557</v>
      </c>
      <c r="D4553" s="863"/>
      <c r="J4553" s="845" t="s">
        <v>1733</v>
      </c>
    </row>
    <row r="4554" spans="1:10" x14ac:dyDescent="0.2">
      <c r="A4554" s="859">
        <f t="shared" si="71"/>
        <v>4553</v>
      </c>
      <c r="B4554" s="845" t="s">
        <v>2557</v>
      </c>
      <c r="D4554" s="862"/>
      <c r="I4554" s="845" t="s">
        <v>1009</v>
      </c>
    </row>
    <row r="4555" spans="1:10" x14ac:dyDescent="0.2">
      <c r="A4555" s="859">
        <f t="shared" si="71"/>
        <v>4554</v>
      </c>
      <c r="B4555" s="845" t="s">
        <v>2557</v>
      </c>
      <c r="D4555" s="862"/>
      <c r="I4555" s="845" t="str">
        <f>CONCATENATE("&lt;valeur&gt;",Cellule_1320,"&lt;/valeur&gt;")</f>
        <v>&lt;valeur&gt;0&lt;/valeur&gt;</v>
      </c>
    </row>
    <row r="4556" spans="1:10" x14ac:dyDescent="0.2">
      <c r="A4556" s="859">
        <f t="shared" si="71"/>
        <v>4555</v>
      </c>
      <c r="B4556" s="845" t="s">
        <v>2557</v>
      </c>
      <c r="D4556" s="861"/>
      <c r="H4556" s="845" t="s">
        <v>1010</v>
      </c>
    </row>
    <row r="4557" spans="1:10" x14ac:dyDescent="0.2">
      <c r="A4557" s="859">
        <f t="shared" si="71"/>
        <v>4556</v>
      </c>
      <c r="B4557" s="845" t="s">
        <v>2557</v>
      </c>
      <c r="D4557" s="861"/>
      <c r="H4557" s="845" t="s">
        <v>1007</v>
      </c>
    </row>
    <row r="4558" spans="1:10" x14ac:dyDescent="0.2">
      <c r="A4558" s="859">
        <f t="shared" si="71"/>
        <v>4557</v>
      </c>
      <c r="B4558" s="845" t="s">
        <v>2557</v>
      </c>
      <c r="D4558" s="862"/>
      <c r="I4558" s="845" t="s">
        <v>1008</v>
      </c>
    </row>
    <row r="4559" spans="1:10" x14ac:dyDescent="0.2">
      <c r="A4559" s="859">
        <f t="shared" si="71"/>
        <v>4558</v>
      </c>
      <c r="B4559" s="845" t="s">
        <v>2557</v>
      </c>
      <c r="D4559" s="863"/>
      <c r="J4559" s="845" t="s">
        <v>1734</v>
      </c>
    </row>
    <row r="4560" spans="1:10" x14ac:dyDescent="0.2">
      <c r="A4560" s="859">
        <f t="shared" si="71"/>
        <v>4559</v>
      </c>
      <c r="B4560" s="845" t="s">
        <v>2557</v>
      </c>
      <c r="D4560" s="862"/>
      <c r="I4560" s="845" t="s">
        <v>1009</v>
      </c>
    </row>
    <row r="4561" spans="1:10" x14ac:dyDescent="0.2">
      <c r="A4561" s="859">
        <f t="shared" si="71"/>
        <v>4560</v>
      </c>
      <c r="B4561" s="845" t="s">
        <v>2557</v>
      </c>
      <c r="D4561" s="862"/>
      <c r="I4561" s="845" t="str">
        <f>CONCATENATE("&lt;valeur&gt;",Cellule_1321,"&lt;/valeur&gt;")</f>
        <v>&lt;valeur&gt;0&lt;/valeur&gt;</v>
      </c>
    </row>
    <row r="4562" spans="1:10" x14ac:dyDescent="0.2">
      <c r="A4562" s="859">
        <f t="shared" si="71"/>
        <v>4561</v>
      </c>
      <c r="B4562" s="845" t="s">
        <v>2557</v>
      </c>
      <c r="D4562" s="861"/>
      <c r="H4562" s="845" t="s">
        <v>1010</v>
      </c>
    </row>
    <row r="4563" spans="1:10" x14ac:dyDescent="0.2">
      <c r="A4563" s="859">
        <f t="shared" si="71"/>
        <v>4562</v>
      </c>
      <c r="B4563" s="845" t="s">
        <v>2557</v>
      </c>
      <c r="D4563" s="861"/>
      <c r="H4563" s="845" t="s">
        <v>1007</v>
      </c>
    </row>
    <row r="4564" spans="1:10" x14ac:dyDescent="0.2">
      <c r="A4564" s="859">
        <f t="shared" si="71"/>
        <v>4563</v>
      </c>
      <c r="B4564" s="845" t="s">
        <v>2557</v>
      </c>
      <c r="D4564" s="862"/>
      <c r="I4564" s="845" t="s">
        <v>1008</v>
      </c>
    </row>
    <row r="4565" spans="1:10" x14ac:dyDescent="0.2">
      <c r="A4565" s="859">
        <f t="shared" si="71"/>
        <v>4564</v>
      </c>
      <c r="B4565" s="845" t="s">
        <v>2557</v>
      </c>
      <c r="D4565" s="863"/>
      <c r="J4565" s="845" t="s">
        <v>1735</v>
      </c>
    </row>
    <row r="4566" spans="1:10" x14ac:dyDescent="0.2">
      <c r="A4566" s="859">
        <f t="shared" si="71"/>
        <v>4565</v>
      </c>
      <c r="B4566" s="845" t="s">
        <v>2557</v>
      </c>
      <c r="D4566" s="862"/>
      <c r="I4566" s="845" t="s">
        <v>1009</v>
      </c>
    </row>
    <row r="4567" spans="1:10" x14ac:dyDescent="0.2">
      <c r="A4567" s="859">
        <f t="shared" si="71"/>
        <v>4566</v>
      </c>
      <c r="B4567" s="845" t="s">
        <v>2557</v>
      </c>
      <c r="D4567" s="862"/>
      <c r="I4567" s="845" t="str">
        <f>CONCATENATE("&lt;valeur&gt;",Cellule_1324,"&lt;/valeur&gt;")</f>
        <v>&lt;valeur&gt;0&lt;/valeur&gt;</v>
      </c>
    </row>
    <row r="4568" spans="1:10" x14ac:dyDescent="0.2">
      <c r="A4568" s="859">
        <f t="shared" si="71"/>
        <v>4567</v>
      </c>
      <c r="B4568" s="845" t="s">
        <v>2557</v>
      </c>
      <c r="D4568" s="861"/>
      <c r="H4568" s="845" t="s">
        <v>1010</v>
      </c>
    </row>
    <row r="4569" spans="1:10" x14ac:dyDescent="0.2">
      <c r="A4569" s="859">
        <f t="shared" si="71"/>
        <v>4568</v>
      </c>
      <c r="B4569" s="845" t="s">
        <v>2557</v>
      </c>
      <c r="D4569" s="861"/>
      <c r="H4569" s="845" t="s">
        <v>1007</v>
      </c>
    </row>
    <row r="4570" spans="1:10" x14ac:dyDescent="0.2">
      <c r="A4570" s="859">
        <f t="shared" si="71"/>
        <v>4569</v>
      </c>
      <c r="B4570" s="845" t="s">
        <v>2557</v>
      </c>
      <c r="D4570" s="862"/>
      <c r="I4570" s="845" t="s">
        <v>1008</v>
      </c>
    </row>
    <row r="4571" spans="1:10" x14ac:dyDescent="0.2">
      <c r="A4571" s="859">
        <f t="shared" si="71"/>
        <v>4570</v>
      </c>
      <c r="B4571" s="845" t="s">
        <v>2557</v>
      </c>
      <c r="D4571" s="863"/>
      <c r="J4571" s="845" t="s">
        <v>1736</v>
      </c>
    </row>
    <row r="4572" spans="1:10" x14ac:dyDescent="0.2">
      <c r="A4572" s="859">
        <f t="shared" si="71"/>
        <v>4571</v>
      </c>
      <c r="B4572" s="845" t="s">
        <v>2557</v>
      </c>
      <c r="D4572" s="862"/>
      <c r="I4572" s="845" t="s">
        <v>1009</v>
      </c>
    </row>
    <row r="4573" spans="1:10" x14ac:dyDescent="0.2">
      <c r="A4573" s="859">
        <f t="shared" si="71"/>
        <v>4572</v>
      </c>
      <c r="B4573" s="845" t="s">
        <v>2557</v>
      </c>
      <c r="D4573" s="862"/>
      <c r="I4573" s="845" t="str">
        <f>CONCATENATE("&lt;valeur&gt;",Cellule_1325,"&lt;/valeur&gt;")</f>
        <v>&lt;valeur&gt;0&lt;/valeur&gt;</v>
      </c>
    </row>
    <row r="4574" spans="1:10" x14ac:dyDescent="0.2">
      <c r="A4574" s="859">
        <f t="shared" si="71"/>
        <v>4573</v>
      </c>
      <c r="B4574" s="845" t="s">
        <v>2557</v>
      </c>
      <c r="D4574" s="861"/>
      <c r="H4574" s="845" t="s">
        <v>1010</v>
      </c>
    </row>
    <row r="4575" spans="1:10" x14ac:dyDescent="0.2">
      <c r="A4575" s="859">
        <f t="shared" si="71"/>
        <v>4574</v>
      </c>
      <c r="B4575" s="845" t="s">
        <v>2557</v>
      </c>
      <c r="D4575" s="861"/>
      <c r="H4575" s="845" t="s">
        <v>1007</v>
      </c>
    </row>
    <row r="4576" spans="1:10" x14ac:dyDescent="0.2">
      <c r="A4576" s="859">
        <f t="shared" si="71"/>
        <v>4575</v>
      </c>
      <c r="B4576" s="845" t="s">
        <v>2557</v>
      </c>
      <c r="D4576" s="862"/>
      <c r="I4576" s="845" t="s">
        <v>1008</v>
      </c>
    </row>
    <row r="4577" spans="1:10" x14ac:dyDescent="0.2">
      <c r="A4577" s="859">
        <f t="shared" si="71"/>
        <v>4576</v>
      </c>
      <c r="B4577" s="845" t="s">
        <v>2557</v>
      </c>
      <c r="D4577" s="863"/>
      <c r="J4577" s="845" t="s">
        <v>1737</v>
      </c>
    </row>
    <row r="4578" spans="1:10" x14ac:dyDescent="0.2">
      <c r="A4578" s="859">
        <f t="shared" si="71"/>
        <v>4577</v>
      </c>
      <c r="B4578" s="845" t="s">
        <v>2557</v>
      </c>
      <c r="D4578" s="862"/>
      <c r="I4578" s="845" t="s">
        <v>1009</v>
      </c>
    </row>
    <row r="4579" spans="1:10" x14ac:dyDescent="0.2">
      <c r="A4579" s="859">
        <f t="shared" si="71"/>
        <v>4578</v>
      </c>
      <c r="B4579" s="845" t="s">
        <v>2557</v>
      </c>
      <c r="D4579" s="862"/>
      <c r="I4579" s="845" t="str">
        <f>CONCATENATE("&lt;valeur&gt;",Cellule_1326,"&lt;/valeur&gt;")</f>
        <v>&lt;valeur&gt;0&lt;/valeur&gt;</v>
      </c>
    </row>
    <row r="4580" spans="1:10" x14ac:dyDescent="0.2">
      <c r="A4580" s="859">
        <f t="shared" si="71"/>
        <v>4579</v>
      </c>
      <c r="B4580" s="845" t="s">
        <v>2557</v>
      </c>
      <c r="D4580" s="861"/>
      <c r="H4580" s="845" t="s">
        <v>1010</v>
      </c>
    </row>
    <row r="4581" spans="1:10" x14ac:dyDescent="0.2">
      <c r="A4581" s="859">
        <f t="shared" si="71"/>
        <v>4580</v>
      </c>
      <c r="B4581" s="845" t="s">
        <v>2557</v>
      </c>
      <c r="D4581" s="861"/>
      <c r="H4581" s="845" t="s">
        <v>1007</v>
      </c>
    </row>
    <row r="4582" spans="1:10" x14ac:dyDescent="0.2">
      <c r="A4582" s="859">
        <f t="shared" si="71"/>
        <v>4581</v>
      </c>
      <c r="B4582" s="845" t="s">
        <v>2557</v>
      </c>
      <c r="D4582" s="862"/>
      <c r="I4582" s="845" t="s">
        <v>1008</v>
      </c>
    </row>
    <row r="4583" spans="1:10" x14ac:dyDescent="0.2">
      <c r="A4583" s="859">
        <f t="shared" si="71"/>
        <v>4582</v>
      </c>
      <c r="B4583" s="845" t="s">
        <v>2557</v>
      </c>
      <c r="D4583" s="863"/>
      <c r="J4583" s="845" t="s">
        <v>1738</v>
      </c>
    </row>
    <row r="4584" spans="1:10" x14ac:dyDescent="0.2">
      <c r="A4584" s="859">
        <f t="shared" si="71"/>
        <v>4583</v>
      </c>
      <c r="B4584" s="845" t="s">
        <v>2557</v>
      </c>
      <c r="D4584" s="862"/>
      <c r="I4584" s="845" t="s">
        <v>1009</v>
      </c>
    </row>
    <row r="4585" spans="1:10" x14ac:dyDescent="0.2">
      <c r="A4585" s="859">
        <f t="shared" si="71"/>
        <v>4584</v>
      </c>
      <c r="B4585" s="845" t="s">
        <v>2557</v>
      </c>
      <c r="D4585" s="862"/>
      <c r="I4585" s="845" t="str">
        <f>CONCATENATE("&lt;valeur&gt;",Cellule_1327,"&lt;/valeur&gt;")</f>
        <v>&lt;valeur&gt;0&lt;/valeur&gt;</v>
      </c>
    </row>
    <row r="4586" spans="1:10" x14ac:dyDescent="0.2">
      <c r="A4586" s="859">
        <f t="shared" si="71"/>
        <v>4585</v>
      </c>
      <c r="B4586" s="845" t="s">
        <v>2557</v>
      </c>
      <c r="D4586" s="861"/>
      <c r="H4586" s="845" t="s">
        <v>1010</v>
      </c>
    </row>
    <row r="4587" spans="1:10" x14ac:dyDescent="0.2">
      <c r="A4587" s="859">
        <f t="shared" si="71"/>
        <v>4586</v>
      </c>
      <c r="B4587" s="845" t="s">
        <v>2557</v>
      </c>
      <c r="D4587" s="861"/>
      <c r="H4587" s="845" t="s">
        <v>1007</v>
      </c>
    </row>
    <row r="4588" spans="1:10" x14ac:dyDescent="0.2">
      <c r="A4588" s="859">
        <f t="shared" si="71"/>
        <v>4587</v>
      </c>
      <c r="B4588" s="845" t="s">
        <v>2557</v>
      </c>
      <c r="D4588" s="862"/>
      <c r="I4588" s="845" t="s">
        <v>1008</v>
      </c>
    </row>
    <row r="4589" spans="1:10" x14ac:dyDescent="0.2">
      <c r="A4589" s="859">
        <f t="shared" si="71"/>
        <v>4588</v>
      </c>
      <c r="B4589" s="845" t="s">
        <v>2557</v>
      </c>
      <c r="D4589" s="863"/>
      <c r="J4589" s="845" t="s">
        <v>1739</v>
      </c>
    </row>
    <row r="4590" spans="1:10" x14ac:dyDescent="0.2">
      <c r="A4590" s="859">
        <f t="shared" si="71"/>
        <v>4589</v>
      </c>
      <c r="B4590" s="845" t="s">
        <v>2557</v>
      </c>
      <c r="D4590" s="862"/>
      <c r="I4590" s="845" t="s">
        <v>1009</v>
      </c>
    </row>
    <row r="4591" spans="1:10" x14ac:dyDescent="0.2">
      <c r="A4591" s="859">
        <f t="shared" si="71"/>
        <v>4590</v>
      </c>
      <c r="B4591" s="845" t="s">
        <v>2557</v>
      </c>
      <c r="D4591" s="862"/>
      <c r="I4591" s="845" t="str">
        <f>CONCATENATE("&lt;valeur&gt;",Cellule_1328,"&lt;/valeur&gt;")</f>
        <v>&lt;valeur&gt;0&lt;/valeur&gt;</v>
      </c>
    </row>
    <row r="4592" spans="1:10" x14ac:dyDescent="0.2">
      <c r="A4592" s="859">
        <f t="shared" si="71"/>
        <v>4591</v>
      </c>
      <c r="B4592" s="845" t="s">
        <v>2557</v>
      </c>
      <c r="D4592" s="861"/>
      <c r="H4592" s="845" t="s">
        <v>1010</v>
      </c>
    </row>
    <row r="4593" spans="1:10" x14ac:dyDescent="0.2">
      <c r="A4593" s="859">
        <f t="shared" si="71"/>
        <v>4592</v>
      </c>
      <c r="B4593" s="845" t="s">
        <v>2557</v>
      </c>
      <c r="D4593" s="861"/>
      <c r="H4593" s="845" t="s">
        <v>1007</v>
      </c>
    </row>
    <row r="4594" spans="1:10" x14ac:dyDescent="0.2">
      <c r="A4594" s="859">
        <f t="shared" si="71"/>
        <v>4593</v>
      </c>
      <c r="B4594" s="845" t="s">
        <v>2557</v>
      </c>
      <c r="D4594" s="862"/>
      <c r="I4594" s="845" t="s">
        <v>1008</v>
      </c>
    </row>
    <row r="4595" spans="1:10" x14ac:dyDescent="0.2">
      <c r="A4595" s="859">
        <f t="shared" si="71"/>
        <v>4594</v>
      </c>
      <c r="B4595" s="845" t="s">
        <v>2557</v>
      </c>
      <c r="D4595" s="863"/>
      <c r="J4595" s="845" t="s">
        <v>1740</v>
      </c>
    </row>
    <row r="4596" spans="1:10" x14ac:dyDescent="0.2">
      <c r="A4596" s="859">
        <f t="shared" si="71"/>
        <v>4595</v>
      </c>
      <c r="B4596" s="845" t="s">
        <v>2557</v>
      </c>
      <c r="D4596" s="862"/>
      <c r="I4596" s="845" t="s">
        <v>1009</v>
      </c>
    </row>
    <row r="4597" spans="1:10" x14ac:dyDescent="0.2">
      <c r="A4597" s="859">
        <f t="shared" si="71"/>
        <v>4596</v>
      </c>
      <c r="B4597" s="845" t="s">
        <v>2557</v>
      </c>
      <c r="D4597" s="862"/>
      <c r="I4597" s="845" t="str">
        <f>CONCATENATE("&lt;valeur&gt;",Cellule_1329,"&lt;/valeur&gt;")</f>
        <v>&lt;valeur&gt;0&lt;/valeur&gt;</v>
      </c>
    </row>
    <row r="4598" spans="1:10" x14ac:dyDescent="0.2">
      <c r="A4598" s="859">
        <f t="shared" si="71"/>
        <v>4597</v>
      </c>
      <c r="B4598" s="845" t="s">
        <v>2557</v>
      </c>
      <c r="D4598" s="861"/>
      <c r="H4598" s="845" t="s">
        <v>1010</v>
      </c>
    </row>
    <row r="4599" spans="1:10" x14ac:dyDescent="0.2">
      <c r="A4599" s="859">
        <f t="shared" si="71"/>
        <v>4598</v>
      </c>
      <c r="B4599" s="845" t="s">
        <v>2557</v>
      </c>
      <c r="D4599" s="861"/>
      <c r="H4599" s="845" t="s">
        <v>1007</v>
      </c>
    </row>
    <row r="4600" spans="1:10" x14ac:dyDescent="0.2">
      <c r="A4600" s="859">
        <f t="shared" si="71"/>
        <v>4599</v>
      </c>
      <c r="B4600" s="845" t="s">
        <v>2557</v>
      </c>
      <c r="D4600" s="862"/>
      <c r="I4600" s="845" t="s">
        <v>1008</v>
      </c>
    </row>
    <row r="4601" spans="1:10" x14ac:dyDescent="0.2">
      <c r="A4601" s="859">
        <f t="shared" si="71"/>
        <v>4600</v>
      </c>
      <c r="B4601" s="845" t="s">
        <v>2557</v>
      </c>
      <c r="D4601" s="863"/>
      <c r="J4601" s="845" t="s">
        <v>1741</v>
      </c>
    </row>
    <row r="4602" spans="1:10" x14ac:dyDescent="0.2">
      <c r="A4602" s="859">
        <f t="shared" si="71"/>
        <v>4601</v>
      </c>
      <c r="B4602" s="845" t="s">
        <v>2557</v>
      </c>
      <c r="D4602" s="862"/>
      <c r="I4602" s="845" t="s">
        <v>1009</v>
      </c>
    </row>
    <row r="4603" spans="1:10" x14ac:dyDescent="0.2">
      <c r="A4603" s="859">
        <f t="shared" si="71"/>
        <v>4602</v>
      </c>
      <c r="B4603" s="845" t="s">
        <v>2557</v>
      </c>
      <c r="D4603" s="862"/>
      <c r="I4603" s="845" t="str">
        <f>CONCATENATE("&lt;valeur&gt;",Cellule_1330,"&lt;/valeur&gt;")</f>
        <v>&lt;valeur&gt;0&lt;/valeur&gt;</v>
      </c>
    </row>
    <row r="4604" spans="1:10" x14ac:dyDescent="0.2">
      <c r="A4604" s="859">
        <f t="shared" si="71"/>
        <v>4603</v>
      </c>
      <c r="B4604" s="845" t="s">
        <v>2557</v>
      </c>
      <c r="D4604" s="861"/>
      <c r="H4604" s="845" t="s">
        <v>1010</v>
      </c>
    </row>
    <row r="4605" spans="1:10" x14ac:dyDescent="0.2">
      <c r="A4605" s="859">
        <f t="shared" si="71"/>
        <v>4604</v>
      </c>
      <c r="B4605" s="845" t="s">
        <v>2557</v>
      </c>
      <c r="D4605" s="861"/>
      <c r="H4605" s="845" t="s">
        <v>1007</v>
      </c>
    </row>
    <row r="4606" spans="1:10" x14ac:dyDescent="0.2">
      <c r="A4606" s="859">
        <f t="shared" si="71"/>
        <v>4605</v>
      </c>
      <c r="B4606" s="845" t="s">
        <v>2557</v>
      </c>
      <c r="D4606" s="862"/>
      <c r="I4606" s="845" t="s">
        <v>1008</v>
      </c>
    </row>
    <row r="4607" spans="1:10" x14ac:dyDescent="0.2">
      <c r="A4607" s="859">
        <f t="shared" si="71"/>
        <v>4606</v>
      </c>
      <c r="B4607" s="845" t="s">
        <v>2557</v>
      </c>
      <c r="D4607" s="863"/>
      <c r="J4607" s="845" t="s">
        <v>1742</v>
      </c>
    </row>
    <row r="4608" spans="1:10" x14ac:dyDescent="0.2">
      <c r="A4608" s="859">
        <f t="shared" si="71"/>
        <v>4607</v>
      </c>
      <c r="B4608" s="845" t="s">
        <v>2557</v>
      </c>
      <c r="D4608" s="862"/>
      <c r="I4608" s="845" t="s">
        <v>1009</v>
      </c>
    </row>
    <row r="4609" spans="1:10" x14ac:dyDescent="0.2">
      <c r="A4609" s="859">
        <f t="shared" si="71"/>
        <v>4608</v>
      </c>
      <c r="B4609" s="845" t="s">
        <v>2557</v>
      </c>
      <c r="D4609" s="862"/>
      <c r="I4609" s="845" t="str">
        <f>CONCATENATE("&lt;valeur&gt;",Cellule_1331,"&lt;/valeur&gt;")</f>
        <v>&lt;valeur&gt;0&lt;/valeur&gt;</v>
      </c>
    </row>
    <row r="4610" spans="1:10" x14ac:dyDescent="0.2">
      <c r="A4610" s="859">
        <f t="shared" si="71"/>
        <v>4609</v>
      </c>
      <c r="B4610" s="845" t="s">
        <v>2557</v>
      </c>
      <c r="D4610" s="861"/>
      <c r="H4610" s="845" t="s">
        <v>1010</v>
      </c>
    </row>
    <row r="4611" spans="1:10" x14ac:dyDescent="0.2">
      <c r="A4611" s="859">
        <f t="shared" si="71"/>
        <v>4610</v>
      </c>
      <c r="B4611" s="845" t="s">
        <v>2557</v>
      </c>
      <c r="D4611" s="861"/>
      <c r="H4611" s="845" t="s">
        <v>1007</v>
      </c>
    </row>
    <row r="4612" spans="1:10" x14ac:dyDescent="0.2">
      <c r="A4612" s="859">
        <f t="shared" ref="A4612:A4675" si="72">+A4611+1</f>
        <v>4611</v>
      </c>
      <c r="B4612" s="845" t="s">
        <v>2557</v>
      </c>
      <c r="D4612" s="862"/>
      <c r="I4612" s="845" t="s">
        <v>1008</v>
      </c>
    </row>
    <row r="4613" spans="1:10" x14ac:dyDescent="0.2">
      <c r="A4613" s="859">
        <f t="shared" si="72"/>
        <v>4612</v>
      </c>
      <c r="B4613" s="845" t="s">
        <v>2557</v>
      </c>
      <c r="D4613" s="863"/>
      <c r="J4613" s="845" t="s">
        <v>1743</v>
      </c>
    </row>
    <row r="4614" spans="1:10" x14ac:dyDescent="0.2">
      <c r="A4614" s="859">
        <f t="shared" si="72"/>
        <v>4613</v>
      </c>
      <c r="B4614" s="845" t="s">
        <v>2557</v>
      </c>
      <c r="D4614" s="862"/>
      <c r="I4614" s="845" t="s">
        <v>1009</v>
      </c>
    </row>
    <row r="4615" spans="1:10" x14ac:dyDescent="0.2">
      <c r="A4615" s="859">
        <f t="shared" si="72"/>
        <v>4614</v>
      </c>
      <c r="B4615" s="845" t="s">
        <v>2557</v>
      </c>
      <c r="D4615" s="862"/>
      <c r="I4615" s="845" t="str">
        <f>CONCATENATE("&lt;valeur&gt;",Cellule_1332,"&lt;/valeur&gt;")</f>
        <v>&lt;valeur&gt;0&lt;/valeur&gt;</v>
      </c>
    </row>
    <row r="4616" spans="1:10" x14ac:dyDescent="0.2">
      <c r="A4616" s="859">
        <f t="shared" si="72"/>
        <v>4615</v>
      </c>
      <c r="B4616" s="845" t="s">
        <v>2557</v>
      </c>
      <c r="D4616" s="861"/>
      <c r="H4616" s="845" t="s">
        <v>1010</v>
      </c>
    </row>
    <row r="4617" spans="1:10" x14ac:dyDescent="0.2">
      <c r="A4617" s="859">
        <f t="shared" si="72"/>
        <v>4616</v>
      </c>
      <c r="B4617" s="845" t="s">
        <v>2557</v>
      </c>
      <c r="D4617" s="861"/>
      <c r="H4617" s="845" t="s">
        <v>1007</v>
      </c>
    </row>
    <row r="4618" spans="1:10" x14ac:dyDescent="0.2">
      <c r="A4618" s="859">
        <f t="shared" si="72"/>
        <v>4617</v>
      </c>
      <c r="B4618" s="845" t="s">
        <v>2557</v>
      </c>
      <c r="D4618" s="862"/>
      <c r="I4618" s="845" t="s">
        <v>1008</v>
      </c>
    </row>
    <row r="4619" spans="1:10" x14ac:dyDescent="0.2">
      <c r="A4619" s="859">
        <f t="shared" si="72"/>
        <v>4618</v>
      </c>
      <c r="B4619" s="845" t="s">
        <v>2557</v>
      </c>
      <c r="D4619" s="863"/>
      <c r="J4619" s="845" t="s">
        <v>1744</v>
      </c>
    </row>
    <row r="4620" spans="1:10" x14ac:dyDescent="0.2">
      <c r="A4620" s="859">
        <f t="shared" si="72"/>
        <v>4619</v>
      </c>
      <c r="B4620" s="845" t="s">
        <v>2557</v>
      </c>
      <c r="D4620" s="862"/>
      <c r="I4620" s="845" t="s">
        <v>1009</v>
      </c>
    </row>
    <row r="4621" spans="1:10" x14ac:dyDescent="0.2">
      <c r="A4621" s="859">
        <f t="shared" si="72"/>
        <v>4620</v>
      </c>
      <c r="B4621" s="845" t="s">
        <v>2557</v>
      </c>
      <c r="D4621" s="862"/>
      <c r="I4621" s="845" t="str">
        <f>CONCATENATE("&lt;valeur&gt;",Cellule_4063,"&lt;/valeur&gt;")</f>
        <v>&lt;valeur&gt;0&lt;/valeur&gt;</v>
      </c>
    </row>
    <row r="4622" spans="1:10" x14ac:dyDescent="0.2">
      <c r="A4622" s="859">
        <f t="shared" si="72"/>
        <v>4621</v>
      </c>
      <c r="B4622" s="845" t="s">
        <v>2557</v>
      </c>
      <c r="D4622" s="861"/>
      <c r="H4622" s="845" t="s">
        <v>1010</v>
      </c>
    </row>
    <row r="4623" spans="1:10" x14ac:dyDescent="0.2">
      <c r="A4623" s="859">
        <f t="shared" si="72"/>
        <v>4622</v>
      </c>
      <c r="B4623" s="845" t="s">
        <v>2557</v>
      </c>
      <c r="D4623" s="861"/>
      <c r="H4623" s="845" t="s">
        <v>1007</v>
      </c>
    </row>
    <row r="4624" spans="1:10" x14ac:dyDescent="0.2">
      <c r="A4624" s="859">
        <f t="shared" si="72"/>
        <v>4623</v>
      </c>
      <c r="B4624" s="845" t="s">
        <v>2557</v>
      </c>
      <c r="D4624" s="862"/>
      <c r="I4624" s="845" t="s">
        <v>1008</v>
      </c>
    </row>
    <row r="4625" spans="1:10" x14ac:dyDescent="0.2">
      <c r="A4625" s="859">
        <f t="shared" si="72"/>
        <v>4624</v>
      </c>
      <c r="B4625" s="845" t="s">
        <v>2557</v>
      </c>
      <c r="D4625" s="863"/>
      <c r="J4625" s="845" t="s">
        <v>1745</v>
      </c>
    </row>
    <row r="4626" spans="1:10" x14ac:dyDescent="0.2">
      <c r="A4626" s="859">
        <f t="shared" si="72"/>
        <v>4625</v>
      </c>
      <c r="B4626" s="845" t="s">
        <v>2557</v>
      </c>
      <c r="D4626" s="862"/>
      <c r="I4626" s="845" t="s">
        <v>1009</v>
      </c>
    </row>
    <row r="4627" spans="1:10" x14ac:dyDescent="0.2">
      <c r="A4627" s="859">
        <f t="shared" si="72"/>
        <v>4626</v>
      </c>
      <c r="B4627" s="845" t="s">
        <v>2557</v>
      </c>
      <c r="D4627" s="862"/>
      <c r="I4627" s="845" t="str">
        <f>CONCATENATE("&lt;valeur&gt;",Cellule_4066,"&lt;/valeur&gt;")</f>
        <v>&lt;valeur&gt;0&lt;/valeur&gt;</v>
      </c>
    </row>
    <row r="4628" spans="1:10" x14ac:dyDescent="0.2">
      <c r="A4628" s="859">
        <f t="shared" si="72"/>
        <v>4627</v>
      </c>
      <c r="B4628" s="845" t="s">
        <v>2557</v>
      </c>
      <c r="D4628" s="861"/>
      <c r="H4628" s="845" t="s">
        <v>1010</v>
      </c>
    </row>
    <row r="4629" spans="1:10" x14ac:dyDescent="0.2">
      <c r="A4629" s="859">
        <f t="shared" si="72"/>
        <v>4628</v>
      </c>
      <c r="B4629" s="845" t="s">
        <v>2557</v>
      </c>
      <c r="D4629" s="861"/>
      <c r="H4629" s="845" t="s">
        <v>1007</v>
      </c>
    </row>
    <row r="4630" spans="1:10" x14ac:dyDescent="0.2">
      <c r="A4630" s="859">
        <f t="shared" si="72"/>
        <v>4629</v>
      </c>
      <c r="B4630" s="845" t="s">
        <v>2557</v>
      </c>
      <c r="D4630" s="862"/>
      <c r="I4630" s="845" t="s">
        <v>1008</v>
      </c>
    </row>
    <row r="4631" spans="1:10" x14ac:dyDescent="0.2">
      <c r="A4631" s="859">
        <f t="shared" si="72"/>
        <v>4630</v>
      </c>
      <c r="B4631" s="845" t="s">
        <v>2557</v>
      </c>
      <c r="D4631" s="863"/>
      <c r="J4631" s="845" t="s">
        <v>1746</v>
      </c>
    </row>
    <row r="4632" spans="1:10" x14ac:dyDescent="0.2">
      <c r="A4632" s="859">
        <f t="shared" si="72"/>
        <v>4631</v>
      </c>
      <c r="B4632" s="845" t="s">
        <v>2557</v>
      </c>
      <c r="D4632" s="862"/>
      <c r="I4632" s="845" t="s">
        <v>1009</v>
      </c>
    </row>
    <row r="4633" spans="1:10" x14ac:dyDescent="0.2">
      <c r="A4633" s="859">
        <f t="shared" si="72"/>
        <v>4632</v>
      </c>
      <c r="B4633" s="845" t="s">
        <v>2557</v>
      </c>
      <c r="D4633" s="862"/>
      <c r="I4633" s="845" t="str">
        <f>CONCATENATE("&lt;valeur&gt;",Cellule_1333,"&lt;/valeur&gt;")</f>
        <v>&lt;valeur&gt;0&lt;/valeur&gt;</v>
      </c>
    </row>
    <row r="4634" spans="1:10" x14ac:dyDescent="0.2">
      <c r="A4634" s="859">
        <f t="shared" si="72"/>
        <v>4633</v>
      </c>
      <c r="B4634" s="845" t="s">
        <v>2557</v>
      </c>
      <c r="D4634" s="861"/>
      <c r="H4634" s="845" t="s">
        <v>1010</v>
      </c>
    </row>
    <row r="4635" spans="1:10" x14ac:dyDescent="0.2">
      <c r="A4635" s="859">
        <f t="shared" si="72"/>
        <v>4634</v>
      </c>
      <c r="B4635" s="845" t="s">
        <v>2557</v>
      </c>
      <c r="D4635" s="861"/>
      <c r="H4635" s="845" t="s">
        <v>1007</v>
      </c>
    </row>
    <row r="4636" spans="1:10" x14ac:dyDescent="0.2">
      <c r="A4636" s="859">
        <f t="shared" si="72"/>
        <v>4635</v>
      </c>
      <c r="B4636" s="845" t="s">
        <v>2557</v>
      </c>
      <c r="D4636" s="862"/>
      <c r="I4636" s="845" t="s">
        <v>1008</v>
      </c>
    </row>
    <row r="4637" spans="1:10" x14ac:dyDescent="0.2">
      <c r="A4637" s="859">
        <f t="shared" si="72"/>
        <v>4636</v>
      </c>
      <c r="B4637" s="845" t="s">
        <v>2557</v>
      </c>
      <c r="D4637" s="863"/>
      <c r="J4637" s="845" t="s">
        <v>1747</v>
      </c>
    </row>
    <row r="4638" spans="1:10" x14ac:dyDescent="0.2">
      <c r="A4638" s="859">
        <f t="shared" si="72"/>
        <v>4637</v>
      </c>
      <c r="B4638" s="845" t="s">
        <v>2557</v>
      </c>
      <c r="D4638" s="862"/>
      <c r="I4638" s="845" t="s">
        <v>1009</v>
      </c>
    </row>
    <row r="4639" spans="1:10" x14ac:dyDescent="0.2">
      <c r="A4639" s="859">
        <f t="shared" si="72"/>
        <v>4638</v>
      </c>
      <c r="B4639" s="845" t="s">
        <v>2557</v>
      </c>
      <c r="D4639" s="862"/>
      <c r="I4639" s="845" t="str">
        <f>CONCATENATE("&lt;valeur&gt;",Cellule_1334,"&lt;/valeur&gt;")</f>
        <v>&lt;valeur&gt;0&lt;/valeur&gt;</v>
      </c>
    </row>
    <row r="4640" spans="1:10" x14ac:dyDescent="0.2">
      <c r="A4640" s="859">
        <f t="shared" si="72"/>
        <v>4639</v>
      </c>
      <c r="B4640" s="845" t="s">
        <v>2557</v>
      </c>
      <c r="D4640" s="861"/>
      <c r="H4640" s="845" t="s">
        <v>1010</v>
      </c>
    </row>
    <row r="4641" spans="1:10" x14ac:dyDescent="0.2">
      <c r="A4641" s="859">
        <f t="shared" si="72"/>
        <v>4640</v>
      </c>
      <c r="B4641" s="845" t="s">
        <v>2557</v>
      </c>
      <c r="D4641" s="861"/>
      <c r="H4641" s="845" t="s">
        <v>1007</v>
      </c>
    </row>
    <row r="4642" spans="1:10" x14ac:dyDescent="0.2">
      <c r="A4642" s="859">
        <f t="shared" si="72"/>
        <v>4641</v>
      </c>
      <c r="B4642" s="845" t="s">
        <v>2557</v>
      </c>
      <c r="D4642" s="862"/>
      <c r="I4642" s="845" t="s">
        <v>1008</v>
      </c>
    </row>
    <row r="4643" spans="1:10" x14ac:dyDescent="0.2">
      <c r="A4643" s="859">
        <f t="shared" si="72"/>
        <v>4642</v>
      </c>
      <c r="B4643" s="845" t="s">
        <v>2557</v>
      </c>
      <c r="D4643" s="863"/>
      <c r="J4643" s="845" t="s">
        <v>1748</v>
      </c>
    </row>
    <row r="4644" spans="1:10" x14ac:dyDescent="0.2">
      <c r="A4644" s="859">
        <f t="shared" si="72"/>
        <v>4643</v>
      </c>
      <c r="B4644" s="845" t="s">
        <v>2557</v>
      </c>
      <c r="D4644" s="862"/>
      <c r="I4644" s="845" t="s">
        <v>1009</v>
      </c>
    </row>
    <row r="4645" spans="1:10" x14ac:dyDescent="0.2">
      <c r="A4645" s="859">
        <f t="shared" si="72"/>
        <v>4644</v>
      </c>
      <c r="B4645" s="845" t="s">
        <v>2557</v>
      </c>
      <c r="D4645" s="862"/>
      <c r="I4645" s="845" t="str">
        <f>CONCATENATE("&lt;valeur&gt;",Cellule_1335,"&lt;/valeur&gt;")</f>
        <v>&lt;valeur&gt;0&lt;/valeur&gt;</v>
      </c>
    </row>
    <row r="4646" spans="1:10" x14ac:dyDescent="0.2">
      <c r="A4646" s="859">
        <f t="shared" si="72"/>
        <v>4645</v>
      </c>
      <c r="B4646" s="845" t="s">
        <v>2557</v>
      </c>
      <c r="D4646" s="861"/>
      <c r="H4646" s="845" t="s">
        <v>1010</v>
      </c>
    </row>
    <row r="4647" spans="1:10" x14ac:dyDescent="0.2">
      <c r="A4647" s="859">
        <f t="shared" si="72"/>
        <v>4646</v>
      </c>
      <c r="B4647" s="845" t="s">
        <v>2557</v>
      </c>
      <c r="D4647" s="861"/>
      <c r="H4647" s="845" t="s">
        <v>1007</v>
      </c>
    </row>
    <row r="4648" spans="1:10" x14ac:dyDescent="0.2">
      <c r="A4648" s="859">
        <f t="shared" si="72"/>
        <v>4647</v>
      </c>
      <c r="B4648" s="845" t="s">
        <v>2557</v>
      </c>
      <c r="D4648" s="862"/>
      <c r="I4648" s="845" t="s">
        <v>1008</v>
      </c>
    </row>
    <row r="4649" spans="1:10" x14ac:dyDescent="0.2">
      <c r="A4649" s="859">
        <f t="shared" si="72"/>
        <v>4648</v>
      </c>
      <c r="B4649" s="845" t="s">
        <v>2557</v>
      </c>
      <c r="D4649" s="863"/>
      <c r="J4649" s="845" t="s">
        <v>1749</v>
      </c>
    </row>
    <row r="4650" spans="1:10" x14ac:dyDescent="0.2">
      <c r="A4650" s="859">
        <f t="shared" si="72"/>
        <v>4649</v>
      </c>
      <c r="B4650" s="845" t="s">
        <v>2557</v>
      </c>
      <c r="D4650" s="862"/>
      <c r="I4650" s="845" t="s">
        <v>1009</v>
      </c>
    </row>
    <row r="4651" spans="1:10" x14ac:dyDescent="0.2">
      <c r="A4651" s="859">
        <f t="shared" si="72"/>
        <v>4650</v>
      </c>
      <c r="B4651" s="845" t="s">
        <v>2557</v>
      </c>
      <c r="D4651" s="862"/>
      <c r="I4651" s="845" t="str">
        <f>CONCATENATE("&lt;valeur&gt;",Cellule_1336,"&lt;/valeur&gt;")</f>
        <v>&lt;valeur&gt;0&lt;/valeur&gt;</v>
      </c>
    </row>
    <row r="4652" spans="1:10" x14ac:dyDescent="0.2">
      <c r="A4652" s="859">
        <f t="shared" si="72"/>
        <v>4651</v>
      </c>
      <c r="B4652" s="845" t="s">
        <v>2557</v>
      </c>
      <c r="D4652" s="861"/>
      <c r="H4652" s="845" t="s">
        <v>1010</v>
      </c>
    </row>
    <row r="4653" spans="1:10" x14ac:dyDescent="0.2">
      <c r="A4653" s="859">
        <f t="shared" si="72"/>
        <v>4652</v>
      </c>
      <c r="B4653" s="845" t="s">
        <v>2557</v>
      </c>
      <c r="D4653" s="861"/>
      <c r="H4653" s="845" t="s">
        <v>1007</v>
      </c>
    </row>
    <row r="4654" spans="1:10" x14ac:dyDescent="0.2">
      <c r="A4654" s="859">
        <f t="shared" si="72"/>
        <v>4653</v>
      </c>
      <c r="B4654" s="845" t="s">
        <v>2557</v>
      </c>
      <c r="D4654" s="862"/>
      <c r="I4654" s="845" t="s">
        <v>1008</v>
      </c>
    </row>
    <row r="4655" spans="1:10" x14ac:dyDescent="0.2">
      <c r="A4655" s="859">
        <f t="shared" si="72"/>
        <v>4654</v>
      </c>
      <c r="B4655" s="845" t="s">
        <v>2557</v>
      </c>
      <c r="D4655" s="863"/>
      <c r="J4655" s="845" t="s">
        <v>1750</v>
      </c>
    </row>
    <row r="4656" spans="1:10" x14ac:dyDescent="0.2">
      <c r="A4656" s="859">
        <f t="shared" si="72"/>
        <v>4655</v>
      </c>
      <c r="B4656" s="845" t="s">
        <v>2557</v>
      </c>
      <c r="D4656" s="862"/>
      <c r="I4656" s="845" t="s">
        <v>1009</v>
      </c>
    </row>
    <row r="4657" spans="1:10" x14ac:dyDescent="0.2">
      <c r="A4657" s="859">
        <f t="shared" si="72"/>
        <v>4656</v>
      </c>
      <c r="B4657" s="845" t="s">
        <v>2557</v>
      </c>
      <c r="D4657" s="862"/>
      <c r="I4657" s="845" t="str">
        <f>CONCATENATE("&lt;valeur&gt;",Cellule_1337,"&lt;/valeur&gt;")</f>
        <v>&lt;valeur&gt;0&lt;/valeur&gt;</v>
      </c>
    </row>
    <row r="4658" spans="1:10" x14ac:dyDescent="0.2">
      <c r="A4658" s="859">
        <f t="shared" si="72"/>
        <v>4657</v>
      </c>
      <c r="B4658" s="845" t="s">
        <v>2557</v>
      </c>
      <c r="D4658" s="861"/>
      <c r="H4658" s="845" t="s">
        <v>1010</v>
      </c>
    </row>
    <row r="4659" spans="1:10" x14ac:dyDescent="0.2">
      <c r="A4659" s="859">
        <f t="shared" si="72"/>
        <v>4658</v>
      </c>
      <c r="B4659" s="845" t="s">
        <v>2557</v>
      </c>
      <c r="D4659" s="861"/>
      <c r="H4659" s="845" t="s">
        <v>1007</v>
      </c>
    </row>
    <row r="4660" spans="1:10" x14ac:dyDescent="0.2">
      <c r="A4660" s="859">
        <f t="shared" si="72"/>
        <v>4659</v>
      </c>
      <c r="B4660" s="845" t="s">
        <v>2557</v>
      </c>
      <c r="D4660" s="862"/>
      <c r="I4660" s="845" t="s">
        <v>1008</v>
      </c>
    </row>
    <row r="4661" spans="1:10" x14ac:dyDescent="0.2">
      <c r="A4661" s="859">
        <f t="shared" si="72"/>
        <v>4660</v>
      </c>
      <c r="B4661" s="845" t="s">
        <v>2557</v>
      </c>
      <c r="D4661" s="863"/>
      <c r="J4661" s="845" t="s">
        <v>1751</v>
      </c>
    </row>
    <row r="4662" spans="1:10" x14ac:dyDescent="0.2">
      <c r="A4662" s="859">
        <f t="shared" si="72"/>
        <v>4661</v>
      </c>
      <c r="B4662" s="845" t="s">
        <v>2557</v>
      </c>
      <c r="D4662" s="862"/>
      <c r="I4662" s="845" t="s">
        <v>1009</v>
      </c>
    </row>
    <row r="4663" spans="1:10" x14ac:dyDescent="0.2">
      <c r="A4663" s="859">
        <f t="shared" si="72"/>
        <v>4662</v>
      </c>
      <c r="B4663" s="845" t="s">
        <v>2557</v>
      </c>
      <c r="D4663" s="862"/>
      <c r="I4663" s="845" t="str">
        <f>CONCATENATE("&lt;valeur&gt;",Cellule_1338,"&lt;/valeur&gt;")</f>
        <v>&lt;valeur&gt;0&lt;/valeur&gt;</v>
      </c>
    </row>
    <row r="4664" spans="1:10" x14ac:dyDescent="0.2">
      <c r="A4664" s="859">
        <f t="shared" si="72"/>
        <v>4663</v>
      </c>
      <c r="B4664" s="845" t="s">
        <v>2557</v>
      </c>
      <c r="D4664" s="861"/>
      <c r="H4664" s="845" t="s">
        <v>1010</v>
      </c>
    </row>
    <row r="4665" spans="1:10" x14ac:dyDescent="0.2">
      <c r="A4665" s="859">
        <f t="shared" si="72"/>
        <v>4664</v>
      </c>
      <c r="B4665" s="845" t="s">
        <v>2557</v>
      </c>
      <c r="D4665" s="861"/>
      <c r="H4665" s="845" t="s">
        <v>1007</v>
      </c>
    </row>
    <row r="4666" spans="1:10" x14ac:dyDescent="0.2">
      <c r="A4666" s="859">
        <f t="shared" si="72"/>
        <v>4665</v>
      </c>
      <c r="B4666" s="845" t="s">
        <v>2557</v>
      </c>
      <c r="D4666" s="862"/>
      <c r="I4666" s="845" t="s">
        <v>1008</v>
      </c>
    </row>
    <row r="4667" spans="1:10" x14ac:dyDescent="0.2">
      <c r="A4667" s="859">
        <f t="shared" si="72"/>
        <v>4666</v>
      </c>
      <c r="B4667" s="845" t="s">
        <v>2557</v>
      </c>
      <c r="D4667" s="863"/>
      <c r="J4667" s="845" t="s">
        <v>1752</v>
      </c>
    </row>
    <row r="4668" spans="1:10" x14ac:dyDescent="0.2">
      <c r="A4668" s="859">
        <f t="shared" si="72"/>
        <v>4667</v>
      </c>
      <c r="B4668" s="845" t="s">
        <v>2557</v>
      </c>
      <c r="D4668" s="862"/>
      <c r="I4668" s="845" t="s">
        <v>1009</v>
      </c>
    </row>
    <row r="4669" spans="1:10" x14ac:dyDescent="0.2">
      <c r="A4669" s="859">
        <f t="shared" si="72"/>
        <v>4668</v>
      </c>
      <c r="B4669" s="845" t="s">
        <v>2557</v>
      </c>
      <c r="D4669" s="862"/>
      <c r="I4669" s="845" t="str">
        <f>CONCATENATE("&lt;valeur&gt;",Cellule_1339,"&lt;/valeur&gt;")</f>
        <v>&lt;valeur&gt;0&lt;/valeur&gt;</v>
      </c>
    </row>
    <row r="4670" spans="1:10" x14ac:dyDescent="0.2">
      <c r="A4670" s="859">
        <f t="shared" si="72"/>
        <v>4669</v>
      </c>
      <c r="B4670" s="845" t="s">
        <v>2557</v>
      </c>
      <c r="D4670" s="861"/>
      <c r="H4670" s="845" t="s">
        <v>1010</v>
      </c>
    </row>
    <row r="4671" spans="1:10" x14ac:dyDescent="0.2">
      <c r="A4671" s="859">
        <f t="shared" si="72"/>
        <v>4670</v>
      </c>
      <c r="B4671" s="845" t="s">
        <v>2557</v>
      </c>
      <c r="D4671" s="861"/>
      <c r="H4671" s="845" t="s">
        <v>1007</v>
      </c>
    </row>
    <row r="4672" spans="1:10" x14ac:dyDescent="0.2">
      <c r="A4672" s="859">
        <f t="shared" si="72"/>
        <v>4671</v>
      </c>
      <c r="B4672" s="845" t="s">
        <v>2557</v>
      </c>
      <c r="D4672" s="862"/>
      <c r="I4672" s="845" t="s">
        <v>1008</v>
      </c>
    </row>
    <row r="4673" spans="1:10" x14ac:dyDescent="0.2">
      <c r="A4673" s="859">
        <f t="shared" si="72"/>
        <v>4672</v>
      </c>
      <c r="B4673" s="845" t="s">
        <v>2557</v>
      </c>
      <c r="D4673" s="863"/>
      <c r="J4673" s="845" t="s">
        <v>1753</v>
      </c>
    </row>
    <row r="4674" spans="1:10" x14ac:dyDescent="0.2">
      <c r="A4674" s="859">
        <f t="shared" si="72"/>
        <v>4673</v>
      </c>
      <c r="B4674" s="845" t="s">
        <v>2557</v>
      </c>
      <c r="D4674" s="862"/>
      <c r="I4674" s="845" t="s">
        <v>1009</v>
      </c>
    </row>
    <row r="4675" spans="1:10" x14ac:dyDescent="0.2">
      <c r="A4675" s="859">
        <f t="shared" si="72"/>
        <v>4674</v>
      </c>
      <c r="B4675" s="845" t="s">
        <v>2557</v>
      </c>
      <c r="D4675" s="862"/>
      <c r="I4675" s="845" t="str">
        <f>CONCATENATE("&lt;valeur&gt;",Cellule_1340,"&lt;/valeur&gt;")</f>
        <v>&lt;valeur&gt;0&lt;/valeur&gt;</v>
      </c>
    </row>
    <row r="4676" spans="1:10" x14ac:dyDescent="0.2">
      <c r="A4676" s="859">
        <f t="shared" ref="A4676:A4739" si="73">+A4675+1</f>
        <v>4675</v>
      </c>
      <c r="B4676" s="845" t="s">
        <v>2557</v>
      </c>
      <c r="D4676" s="861"/>
      <c r="H4676" s="845" t="s">
        <v>1010</v>
      </c>
    </row>
    <row r="4677" spans="1:10" x14ac:dyDescent="0.2">
      <c r="A4677" s="859">
        <f t="shared" si="73"/>
        <v>4676</v>
      </c>
      <c r="B4677" s="845" t="s">
        <v>2557</v>
      </c>
      <c r="D4677" s="861"/>
      <c r="H4677" s="845" t="s">
        <v>1007</v>
      </c>
    </row>
    <row r="4678" spans="1:10" x14ac:dyDescent="0.2">
      <c r="A4678" s="859">
        <f t="shared" si="73"/>
        <v>4677</v>
      </c>
      <c r="B4678" s="845" t="s">
        <v>2557</v>
      </c>
      <c r="D4678" s="862"/>
      <c r="I4678" s="845" t="s">
        <v>1008</v>
      </c>
    </row>
    <row r="4679" spans="1:10" x14ac:dyDescent="0.2">
      <c r="A4679" s="859">
        <f t="shared" si="73"/>
        <v>4678</v>
      </c>
      <c r="B4679" s="845" t="s">
        <v>2557</v>
      </c>
      <c r="D4679" s="863"/>
      <c r="J4679" s="845" t="s">
        <v>1754</v>
      </c>
    </row>
    <row r="4680" spans="1:10" x14ac:dyDescent="0.2">
      <c r="A4680" s="859">
        <f t="shared" si="73"/>
        <v>4679</v>
      </c>
      <c r="B4680" s="845" t="s">
        <v>2557</v>
      </c>
      <c r="D4680" s="862"/>
      <c r="I4680" s="845" t="s">
        <v>1009</v>
      </c>
    </row>
    <row r="4681" spans="1:10" x14ac:dyDescent="0.2">
      <c r="A4681" s="859">
        <f t="shared" si="73"/>
        <v>4680</v>
      </c>
      <c r="B4681" s="845" t="s">
        <v>2557</v>
      </c>
      <c r="D4681" s="862"/>
      <c r="I4681" s="845" t="str">
        <f>CONCATENATE("&lt;valeur&gt;",Cellule_1341,"&lt;/valeur&gt;")</f>
        <v>&lt;valeur&gt;0&lt;/valeur&gt;</v>
      </c>
    </row>
    <row r="4682" spans="1:10" x14ac:dyDescent="0.2">
      <c r="A4682" s="859">
        <f t="shared" si="73"/>
        <v>4681</v>
      </c>
      <c r="B4682" s="845" t="s">
        <v>2557</v>
      </c>
      <c r="D4682" s="861"/>
      <c r="H4682" s="845" t="s">
        <v>1010</v>
      </c>
    </row>
    <row r="4683" spans="1:10" x14ac:dyDescent="0.2">
      <c r="A4683" s="859">
        <f t="shared" si="73"/>
        <v>4682</v>
      </c>
      <c r="B4683" s="845" t="s">
        <v>2557</v>
      </c>
      <c r="D4683" s="861"/>
      <c r="H4683" s="845" t="s">
        <v>1007</v>
      </c>
    </row>
    <row r="4684" spans="1:10" x14ac:dyDescent="0.2">
      <c r="A4684" s="859">
        <f t="shared" si="73"/>
        <v>4683</v>
      </c>
      <c r="B4684" s="845" t="s">
        <v>2557</v>
      </c>
      <c r="D4684" s="862"/>
      <c r="I4684" s="845" t="s">
        <v>1008</v>
      </c>
    </row>
    <row r="4685" spans="1:10" x14ac:dyDescent="0.2">
      <c r="A4685" s="859">
        <f t="shared" si="73"/>
        <v>4684</v>
      </c>
      <c r="B4685" s="845" t="s">
        <v>2557</v>
      </c>
      <c r="D4685" s="863"/>
      <c r="J4685" s="845" t="s">
        <v>1755</v>
      </c>
    </row>
    <row r="4686" spans="1:10" x14ac:dyDescent="0.2">
      <c r="A4686" s="859">
        <f t="shared" si="73"/>
        <v>4685</v>
      </c>
      <c r="B4686" s="845" t="s">
        <v>2557</v>
      </c>
      <c r="D4686" s="862"/>
      <c r="I4686" s="845" t="s">
        <v>1009</v>
      </c>
    </row>
    <row r="4687" spans="1:10" x14ac:dyDescent="0.2">
      <c r="A4687" s="859">
        <f t="shared" si="73"/>
        <v>4686</v>
      </c>
      <c r="B4687" s="845" t="s">
        <v>2557</v>
      </c>
      <c r="D4687" s="862"/>
      <c r="I4687" s="845" t="str">
        <f>CONCATENATE("&lt;valeur&gt;",Cellule_1342,"&lt;/valeur&gt;")</f>
        <v>&lt;valeur&gt;0&lt;/valeur&gt;</v>
      </c>
    </row>
    <row r="4688" spans="1:10" x14ac:dyDescent="0.2">
      <c r="A4688" s="859">
        <f t="shared" si="73"/>
        <v>4687</v>
      </c>
      <c r="B4688" s="845" t="s">
        <v>2557</v>
      </c>
      <c r="D4688" s="861"/>
      <c r="H4688" s="845" t="s">
        <v>1010</v>
      </c>
    </row>
    <row r="4689" spans="1:10" x14ac:dyDescent="0.2">
      <c r="A4689" s="859">
        <f t="shared" si="73"/>
        <v>4688</v>
      </c>
      <c r="B4689" s="845" t="s">
        <v>2557</v>
      </c>
      <c r="D4689" s="861"/>
      <c r="H4689" s="845" t="s">
        <v>1007</v>
      </c>
    </row>
    <row r="4690" spans="1:10" x14ac:dyDescent="0.2">
      <c r="A4690" s="859">
        <f t="shared" si="73"/>
        <v>4689</v>
      </c>
      <c r="B4690" s="845" t="s">
        <v>2557</v>
      </c>
      <c r="D4690" s="862"/>
      <c r="I4690" s="845" t="s">
        <v>1008</v>
      </c>
    </row>
    <row r="4691" spans="1:10" x14ac:dyDescent="0.2">
      <c r="A4691" s="859">
        <f t="shared" si="73"/>
        <v>4690</v>
      </c>
      <c r="B4691" s="845" t="s">
        <v>2557</v>
      </c>
      <c r="D4691" s="863"/>
      <c r="J4691" s="845" t="s">
        <v>1756</v>
      </c>
    </row>
    <row r="4692" spans="1:10" x14ac:dyDescent="0.2">
      <c r="A4692" s="859">
        <f t="shared" si="73"/>
        <v>4691</v>
      </c>
      <c r="B4692" s="845" t="s">
        <v>2557</v>
      </c>
      <c r="D4692" s="862"/>
      <c r="I4692" s="845" t="s">
        <v>1009</v>
      </c>
    </row>
    <row r="4693" spans="1:10" x14ac:dyDescent="0.2">
      <c r="A4693" s="859">
        <f t="shared" si="73"/>
        <v>4692</v>
      </c>
      <c r="B4693" s="845" t="s">
        <v>2557</v>
      </c>
      <c r="D4693" s="862"/>
      <c r="I4693" s="845" t="str">
        <f>CONCATENATE("&lt;valeur&gt;",Cellule_1343,"&lt;/valeur&gt;")</f>
        <v>&lt;valeur&gt;0&lt;/valeur&gt;</v>
      </c>
    </row>
    <row r="4694" spans="1:10" x14ac:dyDescent="0.2">
      <c r="A4694" s="859">
        <f t="shared" si="73"/>
        <v>4693</v>
      </c>
      <c r="B4694" s="845" t="s">
        <v>2557</v>
      </c>
      <c r="D4694" s="861"/>
      <c r="H4694" s="845" t="s">
        <v>1010</v>
      </c>
    </row>
    <row r="4695" spans="1:10" x14ac:dyDescent="0.2">
      <c r="A4695" s="859">
        <f t="shared" si="73"/>
        <v>4694</v>
      </c>
      <c r="B4695" s="845" t="s">
        <v>2557</v>
      </c>
      <c r="D4695" s="861"/>
      <c r="H4695" s="845" t="s">
        <v>1007</v>
      </c>
    </row>
    <row r="4696" spans="1:10" x14ac:dyDescent="0.2">
      <c r="A4696" s="859">
        <f t="shared" si="73"/>
        <v>4695</v>
      </c>
      <c r="B4696" s="845" t="s">
        <v>2557</v>
      </c>
      <c r="D4696" s="862"/>
      <c r="I4696" s="845" t="s">
        <v>1008</v>
      </c>
    </row>
    <row r="4697" spans="1:10" x14ac:dyDescent="0.2">
      <c r="A4697" s="859">
        <f t="shared" si="73"/>
        <v>4696</v>
      </c>
      <c r="B4697" s="845" t="s">
        <v>2557</v>
      </c>
      <c r="D4697" s="863"/>
      <c r="J4697" s="845" t="s">
        <v>1757</v>
      </c>
    </row>
    <row r="4698" spans="1:10" x14ac:dyDescent="0.2">
      <c r="A4698" s="859">
        <f t="shared" si="73"/>
        <v>4697</v>
      </c>
      <c r="B4698" s="845" t="s">
        <v>2557</v>
      </c>
      <c r="D4698" s="862"/>
      <c r="I4698" s="845" t="s">
        <v>1009</v>
      </c>
    </row>
    <row r="4699" spans="1:10" x14ac:dyDescent="0.2">
      <c r="A4699" s="859">
        <f t="shared" si="73"/>
        <v>4698</v>
      </c>
      <c r="B4699" s="845" t="s">
        <v>2557</v>
      </c>
      <c r="D4699" s="862"/>
      <c r="I4699" s="845" t="str">
        <f>CONCATENATE("&lt;valeur&gt;",Cellule_1344,"&lt;/valeur&gt;")</f>
        <v>&lt;valeur&gt;0&lt;/valeur&gt;</v>
      </c>
    </row>
    <row r="4700" spans="1:10" x14ac:dyDescent="0.2">
      <c r="A4700" s="859">
        <f t="shared" si="73"/>
        <v>4699</v>
      </c>
      <c r="B4700" s="845" t="s">
        <v>2557</v>
      </c>
      <c r="D4700" s="861"/>
      <c r="H4700" s="845" t="s">
        <v>1010</v>
      </c>
    </row>
    <row r="4701" spans="1:10" x14ac:dyDescent="0.2">
      <c r="A4701" s="859">
        <f t="shared" si="73"/>
        <v>4700</v>
      </c>
      <c r="B4701" s="845" t="s">
        <v>2557</v>
      </c>
      <c r="D4701" s="861"/>
      <c r="H4701" s="845" t="s">
        <v>1007</v>
      </c>
    </row>
    <row r="4702" spans="1:10" x14ac:dyDescent="0.2">
      <c r="A4702" s="859">
        <f t="shared" si="73"/>
        <v>4701</v>
      </c>
      <c r="B4702" s="845" t="s">
        <v>2557</v>
      </c>
      <c r="D4702" s="862"/>
      <c r="I4702" s="845" t="s">
        <v>1008</v>
      </c>
    </row>
    <row r="4703" spans="1:10" x14ac:dyDescent="0.2">
      <c r="A4703" s="859">
        <f t="shared" si="73"/>
        <v>4702</v>
      </c>
      <c r="B4703" s="845" t="s">
        <v>2557</v>
      </c>
      <c r="D4703" s="863"/>
      <c r="J4703" s="845" t="s">
        <v>1758</v>
      </c>
    </row>
    <row r="4704" spans="1:10" x14ac:dyDescent="0.2">
      <c r="A4704" s="859">
        <f t="shared" si="73"/>
        <v>4703</v>
      </c>
      <c r="B4704" s="845" t="s">
        <v>2557</v>
      </c>
      <c r="D4704" s="862"/>
      <c r="I4704" s="845" t="s">
        <v>1009</v>
      </c>
    </row>
    <row r="4705" spans="1:10" x14ac:dyDescent="0.2">
      <c r="A4705" s="859">
        <f t="shared" si="73"/>
        <v>4704</v>
      </c>
      <c r="B4705" s="845" t="s">
        <v>2557</v>
      </c>
      <c r="D4705" s="862"/>
      <c r="I4705" s="845" t="str">
        <f>CONCATENATE("&lt;valeur&gt;",Cellule_1345,"&lt;/valeur&gt;")</f>
        <v>&lt;valeur&gt;0&lt;/valeur&gt;</v>
      </c>
    </row>
    <row r="4706" spans="1:10" x14ac:dyDescent="0.2">
      <c r="A4706" s="859">
        <f t="shared" si="73"/>
        <v>4705</v>
      </c>
      <c r="B4706" s="845" t="s">
        <v>2557</v>
      </c>
      <c r="D4706" s="861"/>
      <c r="H4706" s="845" t="s">
        <v>1010</v>
      </c>
    </row>
    <row r="4707" spans="1:10" x14ac:dyDescent="0.2">
      <c r="A4707" s="859">
        <f t="shared" si="73"/>
        <v>4706</v>
      </c>
      <c r="B4707" s="845" t="s">
        <v>2557</v>
      </c>
      <c r="D4707" s="861"/>
      <c r="H4707" s="845" t="s">
        <v>1007</v>
      </c>
    </row>
    <row r="4708" spans="1:10" x14ac:dyDescent="0.2">
      <c r="A4708" s="859">
        <f t="shared" si="73"/>
        <v>4707</v>
      </c>
      <c r="B4708" s="845" t="s">
        <v>2557</v>
      </c>
      <c r="D4708" s="862"/>
      <c r="I4708" s="845" t="s">
        <v>1008</v>
      </c>
    </row>
    <row r="4709" spans="1:10" x14ac:dyDescent="0.2">
      <c r="A4709" s="859">
        <f t="shared" si="73"/>
        <v>4708</v>
      </c>
      <c r="B4709" s="845" t="s">
        <v>2557</v>
      </c>
      <c r="D4709" s="863"/>
      <c r="J4709" s="845" t="s">
        <v>1759</v>
      </c>
    </row>
    <row r="4710" spans="1:10" x14ac:dyDescent="0.2">
      <c r="A4710" s="859">
        <f t="shared" si="73"/>
        <v>4709</v>
      </c>
      <c r="B4710" s="845" t="s">
        <v>2557</v>
      </c>
      <c r="D4710" s="862"/>
      <c r="I4710" s="845" t="s">
        <v>1009</v>
      </c>
    </row>
    <row r="4711" spans="1:10" x14ac:dyDescent="0.2">
      <c r="A4711" s="859">
        <f t="shared" si="73"/>
        <v>4710</v>
      </c>
      <c r="B4711" s="845" t="s">
        <v>2557</v>
      </c>
      <c r="D4711" s="862"/>
      <c r="I4711" s="845" t="str">
        <f>CONCATENATE("&lt;valeur&gt;",Cellule_1346,"&lt;/valeur&gt;")</f>
        <v>&lt;valeur&gt;0&lt;/valeur&gt;</v>
      </c>
    </row>
    <row r="4712" spans="1:10" x14ac:dyDescent="0.2">
      <c r="A4712" s="859">
        <f t="shared" si="73"/>
        <v>4711</v>
      </c>
      <c r="B4712" s="845" t="s">
        <v>2557</v>
      </c>
      <c r="D4712" s="861"/>
      <c r="H4712" s="845" t="s">
        <v>1010</v>
      </c>
    </row>
    <row r="4713" spans="1:10" x14ac:dyDescent="0.2">
      <c r="A4713" s="859">
        <f t="shared" si="73"/>
        <v>4712</v>
      </c>
      <c r="B4713" s="845" t="s">
        <v>2557</v>
      </c>
      <c r="D4713" s="861"/>
      <c r="H4713" s="845" t="s">
        <v>1007</v>
      </c>
    </row>
    <row r="4714" spans="1:10" x14ac:dyDescent="0.2">
      <c r="A4714" s="859">
        <f t="shared" si="73"/>
        <v>4713</v>
      </c>
      <c r="B4714" s="845" t="s">
        <v>2557</v>
      </c>
      <c r="D4714" s="862"/>
      <c r="I4714" s="845" t="s">
        <v>1008</v>
      </c>
    </row>
    <row r="4715" spans="1:10" x14ac:dyDescent="0.2">
      <c r="A4715" s="859">
        <f t="shared" si="73"/>
        <v>4714</v>
      </c>
      <c r="B4715" s="845" t="s">
        <v>2557</v>
      </c>
      <c r="D4715" s="863"/>
      <c r="J4715" s="845" t="s">
        <v>1760</v>
      </c>
    </row>
    <row r="4716" spans="1:10" x14ac:dyDescent="0.2">
      <c r="A4716" s="859">
        <f t="shared" si="73"/>
        <v>4715</v>
      </c>
      <c r="B4716" s="845" t="s">
        <v>2557</v>
      </c>
      <c r="D4716" s="862"/>
      <c r="I4716" s="845" t="s">
        <v>1009</v>
      </c>
    </row>
    <row r="4717" spans="1:10" x14ac:dyDescent="0.2">
      <c r="A4717" s="859">
        <f t="shared" si="73"/>
        <v>4716</v>
      </c>
      <c r="B4717" s="845" t="s">
        <v>2557</v>
      </c>
      <c r="D4717" s="862"/>
      <c r="I4717" s="845" t="str">
        <f>CONCATENATE("&lt;valeur&gt;",Cellule_1349,"&lt;/valeur&gt;")</f>
        <v>&lt;valeur&gt;0&lt;/valeur&gt;</v>
      </c>
    </row>
    <row r="4718" spans="1:10" x14ac:dyDescent="0.2">
      <c r="A4718" s="859">
        <f t="shared" si="73"/>
        <v>4717</v>
      </c>
      <c r="B4718" s="845" t="s">
        <v>2557</v>
      </c>
      <c r="D4718" s="861"/>
      <c r="H4718" s="845" t="s">
        <v>1010</v>
      </c>
    </row>
    <row r="4719" spans="1:10" x14ac:dyDescent="0.2">
      <c r="A4719" s="859">
        <f t="shared" si="73"/>
        <v>4718</v>
      </c>
      <c r="B4719" s="845" t="s">
        <v>2557</v>
      </c>
      <c r="D4719" s="861"/>
      <c r="H4719" s="845" t="s">
        <v>1007</v>
      </c>
    </row>
    <row r="4720" spans="1:10" x14ac:dyDescent="0.2">
      <c r="A4720" s="859">
        <f t="shared" si="73"/>
        <v>4719</v>
      </c>
      <c r="B4720" s="845" t="s">
        <v>2557</v>
      </c>
      <c r="D4720" s="862"/>
      <c r="I4720" s="845" t="s">
        <v>1008</v>
      </c>
    </row>
    <row r="4721" spans="1:10" x14ac:dyDescent="0.2">
      <c r="A4721" s="859">
        <f t="shared" si="73"/>
        <v>4720</v>
      </c>
      <c r="B4721" s="845" t="s">
        <v>2557</v>
      </c>
      <c r="D4721" s="863"/>
      <c r="J4721" s="845" t="s">
        <v>1761</v>
      </c>
    </row>
    <row r="4722" spans="1:10" x14ac:dyDescent="0.2">
      <c r="A4722" s="859">
        <f t="shared" si="73"/>
        <v>4721</v>
      </c>
      <c r="B4722" s="845" t="s">
        <v>2557</v>
      </c>
      <c r="D4722" s="862"/>
      <c r="I4722" s="845" t="s">
        <v>1009</v>
      </c>
    </row>
    <row r="4723" spans="1:10" x14ac:dyDescent="0.2">
      <c r="A4723" s="859">
        <f t="shared" si="73"/>
        <v>4722</v>
      </c>
      <c r="B4723" s="845" t="s">
        <v>2557</v>
      </c>
      <c r="D4723" s="862"/>
      <c r="I4723" s="845" t="str">
        <f>CONCATENATE("&lt;valeur&gt;",Cellule_1350,"&lt;/valeur&gt;")</f>
        <v>&lt;valeur&gt;0&lt;/valeur&gt;</v>
      </c>
    </row>
    <row r="4724" spans="1:10" x14ac:dyDescent="0.2">
      <c r="A4724" s="859">
        <f t="shared" si="73"/>
        <v>4723</v>
      </c>
      <c r="B4724" s="845" t="s">
        <v>2557</v>
      </c>
      <c r="D4724" s="861"/>
      <c r="H4724" s="845" t="s">
        <v>1010</v>
      </c>
    </row>
    <row r="4725" spans="1:10" x14ac:dyDescent="0.2">
      <c r="A4725" s="859">
        <f t="shared" si="73"/>
        <v>4724</v>
      </c>
      <c r="B4725" s="845" t="s">
        <v>2557</v>
      </c>
      <c r="D4725" s="861"/>
      <c r="H4725" s="845" t="s">
        <v>1007</v>
      </c>
    </row>
    <row r="4726" spans="1:10" x14ac:dyDescent="0.2">
      <c r="A4726" s="859">
        <f t="shared" si="73"/>
        <v>4725</v>
      </c>
      <c r="B4726" s="845" t="s">
        <v>2557</v>
      </c>
      <c r="D4726" s="862"/>
      <c r="I4726" s="845" t="s">
        <v>1008</v>
      </c>
    </row>
    <row r="4727" spans="1:10" x14ac:dyDescent="0.2">
      <c r="A4727" s="859">
        <f t="shared" si="73"/>
        <v>4726</v>
      </c>
      <c r="B4727" s="845" t="s">
        <v>2557</v>
      </c>
      <c r="D4727" s="863"/>
      <c r="J4727" s="845" t="s">
        <v>1762</v>
      </c>
    </row>
    <row r="4728" spans="1:10" x14ac:dyDescent="0.2">
      <c r="A4728" s="859">
        <f t="shared" si="73"/>
        <v>4727</v>
      </c>
      <c r="B4728" s="845" t="s">
        <v>2557</v>
      </c>
      <c r="D4728" s="862"/>
      <c r="I4728" s="845" t="s">
        <v>1009</v>
      </c>
    </row>
    <row r="4729" spans="1:10" x14ac:dyDescent="0.2">
      <c r="A4729" s="859">
        <f t="shared" si="73"/>
        <v>4728</v>
      </c>
      <c r="B4729" s="845" t="s">
        <v>2557</v>
      </c>
      <c r="D4729" s="862"/>
      <c r="I4729" s="845" t="str">
        <f>CONCATENATE("&lt;valeur&gt;",Cellule_1351,"&lt;/valeur&gt;")</f>
        <v>&lt;valeur&gt;0&lt;/valeur&gt;</v>
      </c>
    </row>
    <row r="4730" spans="1:10" x14ac:dyDescent="0.2">
      <c r="A4730" s="859">
        <f t="shared" si="73"/>
        <v>4729</v>
      </c>
      <c r="B4730" s="845" t="s">
        <v>2557</v>
      </c>
      <c r="D4730" s="861"/>
      <c r="H4730" s="845" t="s">
        <v>1010</v>
      </c>
    </row>
    <row r="4731" spans="1:10" x14ac:dyDescent="0.2">
      <c r="A4731" s="859">
        <f t="shared" si="73"/>
        <v>4730</v>
      </c>
      <c r="B4731" s="845" t="s">
        <v>2557</v>
      </c>
      <c r="D4731" s="861"/>
      <c r="H4731" s="845" t="s">
        <v>1007</v>
      </c>
    </row>
    <row r="4732" spans="1:10" x14ac:dyDescent="0.2">
      <c r="A4732" s="859">
        <f t="shared" si="73"/>
        <v>4731</v>
      </c>
      <c r="B4732" s="845" t="s">
        <v>2557</v>
      </c>
      <c r="D4732" s="862"/>
      <c r="I4732" s="845" t="s">
        <v>1008</v>
      </c>
    </row>
    <row r="4733" spans="1:10" x14ac:dyDescent="0.2">
      <c r="A4733" s="859">
        <f t="shared" si="73"/>
        <v>4732</v>
      </c>
      <c r="B4733" s="845" t="s">
        <v>2557</v>
      </c>
      <c r="D4733" s="863"/>
      <c r="J4733" s="845" t="s">
        <v>1763</v>
      </c>
    </row>
    <row r="4734" spans="1:10" x14ac:dyDescent="0.2">
      <c r="A4734" s="859">
        <f t="shared" si="73"/>
        <v>4733</v>
      </c>
      <c r="B4734" s="845" t="s">
        <v>2557</v>
      </c>
      <c r="D4734" s="862"/>
      <c r="I4734" s="845" t="s">
        <v>1009</v>
      </c>
    </row>
    <row r="4735" spans="1:10" x14ac:dyDescent="0.2">
      <c r="A4735" s="859">
        <f t="shared" si="73"/>
        <v>4734</v>
      </c>
      <c r="B4735" s="845" t="s">
        <v>2557</v>
      </c>
      <c r="D4735" s="862"/>
      <c r="I4735" s="845" t="str">
        <f>CONCATENATE("&lt;valeur&gt;",Cellule_1352,"&lt;/valeur&gt;")</f>
        <v>&lt;valeur&gt;0&lt;/valeur&gt;</v>
      </c>
    </row>
    <row r="4736" spans="1:10" x14ac:dyDescent="0.2">
      <c r="A4736" s="859">
        <f t="shared" si="73"/>
        <v>4735</v>
      </c>
      <c r="B4736" s="845" t="s">
        <v>2557</v>
      </c>
      <c r="D4736" s="861"/>
      <c r="H4736" s="845" t="s">
        <v>1010</v>
      </c>
    </row>
    <row r="4737" spans="1:10" x14ac:dyDescent="0.2">
      <c r="A4737" s="859">
        <f t="shared" si="73"/>
        <v>4736</v>
      </c>
      <c r="B4737" s="845" t="s">
        <v>2557</v>
      </c>
      <c r="D4737" s="861"/>
      <c r="H4737" s="845" t="s">
        <v>1007</v>
      </c>
    </row>
    <row r="4738" spans="1:10" x14ac:dyDescent="0.2">
      <c r="A4738" s="859">
        <f t="shared" si="73"/>
        <v>4737</v>
      </c>
      <c r="B4738" s="845" t="s">
        <v>2557</v>
      </c>
      <c r="D4738" s="862"/>
      <c r="I4738" s="845" t="s">
        <v>1008</v>
      </c>
    </row>
    <row r="4739" spans="1:10" x14ac:dyDescent="0.2">
      <c r="A4739" s="859">
        <f t="shared" si="73"/>
        <v>4738</v>
      </c>
      <c r="B4739" s="845" t="s">
        <v>2557</v>
      </c>
      <c r="D4739" s="863"/>
      <c r="J4739" s="845" t="s">
        <v>1764</v>
      </c>
    </row>
    <row r="4740" spans="1:10" x14ac:dyDescent="0.2">
      <c r="A4740" s="859">
        <f t="shared" ref="A4740:A4803" si="74">+A4739+1</f>
        <v>4739</v>
      </c>
      <c r="B4740" s="845" t="s">
        <v>2557</v>
      </c>
      <c r="D4740" s="862"/>
      <c r="I4740" s="845" t="s">
        <v>1009</v>
      </c>
    </row>
    <row r="4741" spans="1:10" x14ac:dyDescent="0.2">
      <c r="A4741" s="859">
        <f t="shared" si="74"/>
        <v>4740</v>
      </c>
      <c r="B4741" s="845" t="s">
        <v>2557</v>
      </c>
      <c r="D4741" s="862"/>
      <c r="I4741" s="845" t="str">
        <f>CONCATENATE("&lt;valeur&gt;",Cellule_1353,"&lt;/valeur&gt;")</f>
        <v>&lt;valeur&gt;0&lt;/valeur&gt;</v>
      </c>
    </row>
    <row r="4742" spans="1:10" x14ac:dyDescent="0.2">
      <c r="A4742" s="859">
        <f t="shared" si="74"/>
        <v>4741</v>
      </c>
      <c r="B4742" s="845" t="s">
        <v>2557</v>
      </c>
      <c r="D4742" s="861"/>
      <c r="H4742" s="845" t="s">
        <v>1010</v>
      </c>
    </row>
    <row r="4743" spans="1:10" x14ac:dyDescent="0.2">
      <c r="A4743" s="859">
        <f t="shared" si="74"/>
        <v>4742</v>
      </c>
      <c r="B4743" s="845" t="s">
        <v>2557</v>
      </c>
      <c r="D4743" s="861"/>
      <c r="H4743" s="845" t="s">
        <v>1007</v>
      </c>
    </row>
    <row r="4744" spans="1:10" x14ac:dyDescent="0.2">
      <c r="A4744" s="859">
        <f t="shared" si="74"/>
        <v>4743</v>
      </c>
      <c r="B4744" s="845" t="s">
        <v>2557</v>
      </c>
      <c r="D4744" s="862"/>
      <c r="I4744" s="845" t="s">
        <v>1008</v>
      </c>
    </row>
    <row r="4745" spans="1:10" x14ac:dyDescent="0.2">
      <c r="A4745" s="859">
        <f t="shared" si="74"/>
        <v>4744</v>
      </c>
      <c r="B4745" s="845" t="s">
        <v>2557</v>
      </c>
      <c r="D4745" s="863"/>
      <c r="J4745" s="845" t="s">
        <v>1765</v>
      </c>
    </row>
    <row r="4746" spans="1:10" x14ac:dyDescent="0.2">
      <c r="A4746" s="859">
        <f t="shared" si="74"/>
        <v>4745</v>
      </c>
      <c r="B4746" s="845" t="s">
        <v>2557</v>
      </c>
      <c r="D4746" s="862"/>
      <c r="I4746" s="845" t="s">
        <v>1009</v>
      </c>
    </row>
    <row r="4747" spans="1:10" x14ac:dyDescent="0.2">
      <c r="A4747" s="859">
        <f t="shared" si="74"/>
        <v>4746</v>
      </c>
      <c r="B4747" s="845" t="s">
        <v>2557</v>
      </c>
      <c r="D4747" s="862"/>
      <c r="I4747" s="845" t="str">
        <f>CONCATENATE("&lt;valeur&gt;",Cellule_1354,"&lt;/valeur&gt;")</f>
        <v>&lt;valeur&gt;0&lt;/valeur&gt;</v>
      </c>
    </row>
    <row r="4748" spans="1:10" x14ac:dyDescent="0.2">
      <c r="A4748" s="859">
        <f t="shared" si="74"/>
        <v>4747</v>
      </c>
      <c r="B4748" s="845" t="s">
        <v>2557</v>
      </c>
      <c r="D4748" s="861"/>
      <c r="H4748" s="845" t="s">
        <v>1010</v>
      </c>
    </row>
    <row r="4749" spans="1:10" x14ac:dyDescent="0.2">
      <c r="A4749" s="859">
        <f t="shared" si="74"/>
        <v>4748</v>
      </c>
      <c r="B4749" s="845" t="s">
        <v>2557</v>
      </c>
      <c r="D4749" s="861"/>
      <c r="H4749" s="845" t="s">
        <v>1007</v>
      </c>
    </row>
    <row r="4750" spans="1:10" x14ac:dyDescent="0.2">
      <c r="A4750" s="859">
        <f t="shared" si="74"/>
        <v>4749</v>
      </c>
      <c r="B4750" s="845" t="s">
        <v>2557</v>
      </c>
      <c r="D4750" s="862"/>
      <c r="I4750" s="845" t="s">
        <v>1008</v>
      </c>
    </row>
    <row r="4751" spans="1:10" x14ac:dyDescent="0.2">
      <c r="A4751" s="859">
        <f t="shared" si="74"/>
        <v>4750</v>
      </c>
      <c r="B4751" s="845" t="s">
        <v>2557</v>
      </c>
      <c r="D4751" s="863"/>
      <c r="J4751" s="845" t="s">
        <v>1766</v>
      </c>
    </row>
    <row r="4752" spans="1:10" x14ac:dyDescent="0.2">
      <c r="A4752" s="859">
        <f t="shared" si="74"/>
        <v>4751</v>
      </c>
      <c r="B4752" s="845" t="s">
        <v>2557</v>
      </c>
      <c r="D4752" s="862"/>
      <c r="I4752" s="845" t="s">
        <v>1009</v>
      </c>
    </row>
    <row r="4753" spans="1:10" x14ac:dyDescent="0.2">
      <c r="A4753" s="859">
        <f t="shared" si="74"/>
        <v>4752</v>
      </c>
      <c r="B4753" s="845" t="s">
        <v>2557</v>
      </c>
      <c r="D4753" s="862"/>
      <c r="I4753" s="845" t="str">
        <f>CONCATENATE("&lt;valeur&gt;",Cellule_1355,"&lt;/valeur&gt;")</f>
        <v>&lt;valeur&gt;0&lt;/valeur&gt;</v>
      </c>
    </row>
    <row r="4754" spans="1:10" x14ac:dyDescent="0.2">
      <c r="A4754" s="859">
        <f t="shared" si="74"/>
        <v>4753</v>
      </c>
      <c r="B4754" s="845" t="s">
        <v>2557</v>
      </c>
      <c r="D4754" s="861"/>
      <c r="H4754" s="845" t="s">
        <v>1010</v>
      </c>
    </row>
    <row r="4755" spans="1:10" x14ac:dyDescent="0.2">
      <c r="A4755" s="859">
        <f t="shared" si="74"/>
        <v>4754</v>
      </c>
      <c r="B4755" s="845" t="s">
        <v>2557</v>
      </c>
      <c r="D4755" s="861"/>
      <c r="H4755" s="845" t="s">
        <v>1007</v>
      </c>
    </row>
    <row r="4756" spans="1:10" x14ac:dyDescent="0.2">
      <c r="A4756" s="859">
        <f t="shared" si="74"/>
        <v>4755</v>
      </c>
      <c r="B4756" s="845" t="s">
        <v>2557</v>
      </c>
      <c r="D4756" s="862"/>
      <c r="I4756" s="845" t="s">
        <v>1008</v>
      </c>
    </row>
    <row r="4757" spans="1:10" x14ac:dyDescent="0.2">
      <c r="A4757" s="859">
        <f t="shared" si="74"/>
        <v>4756</v>
      </c>
      <c r="B4757" s="845" t="s">
        <v>2557</v>
      </c>
      <c r="D4757" s="863"/>
      <c r="J4757" s="845" t="s">
        <v>1767</v>
      </c>
    </row>
    <row r="4758" spans="1:10" x14ac:dyDescent="0.2">
      <c r="A4758" s="859">
        <f t="shared" si="74"/>
        <v>4757</v>
      </c>
      <c r="B4758" s="845" t="s">
        <v>2557</v>
      </c>
      <c r="D4758" s="862"/>
      <c r="I4758" s="845" t="s">
        <v>1009</v>
      </c>
    </row>
    <row r="4759" spans="1:10" x14ac:dyDescent="0.2">
      <c r="A4759" s="859">
        <f t="shared" si="74"/>
        <v>4758</v>
      </c>
      <c r="B4759" s="845" t="s">
        <v>2557</v>
      </c>
      <c r="D4759" s="862"/>
      <c r="I4759" s="845" t="str">
        <f>CONCATENATE("&lt;valeur&gt;",Cellule_1356,"&lt;/valeur&gt;")</f>
        <v>&lt;valeur&gt;0&lt;/valeur&gt;</v>
      </c>
    </row>
    <row r="4760" spans="1:10" x14ac:dyDescent="0.2">
      <c r="A4760" s="859">
        <f t="shared" si="74"/>
        <v>4759</v>
      </c>
      <c r="B4760" s="845" t="s">
        <v>2557</v>
      </c>
      <c r="D4760" s="861"/>
      <c r="H4760" s="845" t="s">
        <v>1010</v>
      </c>
    </row>
    <row r="4761" spans="1:10" x14ac:dyDescent="0.2">
      <c r="A4761" s="859">
        <f t="shared" si="74"/>
        <v>4760</v>
      </c>
      <c r="B4761" s="845" t="s">
        <v>2557</v>
      </c>
      <c r="D4761" s="861"/>
      <c r="H4761" s="845" t="s">
        <v>1007</v>
      </c>
    </row>
    <row r="4762" spans="1:10" x14ac:dyDescent="0.2">
      <c r="A4762" s="859">
        <f t="shared" si="74"/>
        <v>4761</v>
      </c>
      <c r="B4762" s="845" t="s">
        <v>2557</v>
      </c>
      <c r="D4762" s="862"/>
      <c r="I4762" s="845" t="s">
        <v>1008</v>
      </c>
    </row>
    <row r="4763" spans="1:10" x14ac:dyDescent="0.2">
      <c r="A4763" s="859">
        <f t="shared" si="74"/>
        <v>4762</v>
      </c>
      <c r="B4763" s="845" t="s">
        <v>2557</v>
      </c>
      <c r="D4763" s="863"/>
      <c r="J4763" s="845" t="s">
        <v>1768</v>
      </c>
    </row>
    <row r="4764" spans="1:10" x14ac:dyDescent="0.2">
      <c r="A4764" s="859">
        <f t="shared" si="74"/>
        <v>4763</v>
      </c>
      <c r="B4764" s="845" t="s">
        <v>2557</v>
      </c>
      <c r="D4764" s="862"/>
      <c r="I4764" s="845" t="s">
        <v>1009</v>
      </c>
    </row>
    <row r="4765" spans="1:10" x14ac:dyDescent="0.2">
      <c r="A4765" s="859">
        <f t="shared" si="74"/>
        <v>4764</v>
      </c>
      <c r="B4765" s="845" t="s">
        <v>2557</v>
      </c>
      <c r="D4765" s="862"/>
      <c r="I4765" s="845" t="str">
        <f>CONCATENATE("&lt;valeur&gt;",Cellule_1357,"&lt;/valeur&gt;")</f>
        <v>&lt;valeur&gt;0&lt;/valeur&gt;</v>
      </c>
    </row>
    <row r="4766" spans="1:10" x14ac:dyDescent="0.2">
      <c r="A4766" s="859">
        <f t="shared" si="74"/>
        <v>4765</v>
      </c>
      <c r="B4766" s="845" t="s">
        <v>2557</v>
      </c>
      <c r="D4766" s="861"/>
      <c r="H4766" s="845" t="s">
        <v>1010</v>
      </c>
    </row>
    <row r="4767" spans="1:10" x14ac:dyDescent="0.2">
      <c r="A4767" s="859">
        <f t="shared" si="74"/>
        <v>4766</v>
      </c>
      <c r="B4767" s="845" t="s">
        <v>2557</v>
      </c>
      <c r="D4767" s="861"/>
      <c r="H4767" s="845" t="s">
        <v>1007</v>
      </c>
    </row>
    <row r="4768" spans="1:10" x14ac:dyDescent="0.2">
      <c r="A4768" s="859">
        <f t="shared" si="74"/>
        <v>4767</v>
      </c>
      <c r="B4768" s="845" t="s">
        <v>2557</v>
      </c>
      <c r="D4768" s="862"/>
      <c r="I4768" s="845" t="s">
        <v>1008</v>
      </c>
    </row>
    <row r="4769" spans="1:10" x14ac:dyDescent="0.2">
      <c r="A4769" s="859">
        <f t="shared" si="74"/>
        <v>4768</v>
      </c>
      <c r="B4769" s="845" t="s">
        <v>2557</v>
      </c>
      <c r="D4769" s="863"/>
      <c r="J4769" s="845" t="s">
        <v>1769</v>
      </c>
    </row>
    <row r="4770" spans="1:10" x14ac:dyDescent="0.2">
      <c r="A4770" s="859">
        <f t="shared" si="74"/>
        <v>4769</v>
      </c>
      <c r="B4770" s="845" t="s">
        <v>2557</v>
      </c>
      <c r="D4770" s="862"/>
      <c r="I4770" s="845" t="s">
        <v>1009</v>
      </c>
    </row>
    <row r="4771" spans="1:10" x14ac:dyDescent="0.2">
      <c r="A4771" s="859">
        <f t="shared" si="74"/>
        <v>4770</v>
      </c>
      <c r="B4771" s="845" t="s">
        <v>2557</v>
      </c>
      <c r="D4771" s="862"/>
      <c r="I4771" s="845" t="str">
        <f>CONCATENATE("&lt;valeur&gt;",Cellule_4064,"&lt;/valeur&gt;")</f>
        <v>&lt;valeur&gt;0&lt;/valeur&gt;</v>
      </c>
    </row>
    <row r="4772" spans="1:10" x14ac:dyDescent="0.2">
      <c r="A4772" s="859">
        <f t="shared" si="74"/>
        <v>4771</v>
      </c>
      <c r="B4772" s="845" t="s">
        <v>2557</v>
      </c>
      <c r="D4772" s="861"/>
      <c r="H4772" s="845" t="s">
        <v>1010</v>
      </c>
    </row>
    <row r="4773" spans="1:10" x14ac:dyDescent="0.2">
      <c r="A4773" s="859">
        <f t="shared" si="74"/>
        <v>4772</v>
      </c>
      <c r="B4773" s="845" t="s">
        <v>2557</v>
      </c>
      <c r="D4773" s="861"/>
      <c r="H4773" s="845" t="s">
        <v>1007</v>
      </c>
    </row>
    <row r="4774" spans="1:10" x14ac:dyDescent="0.2">
      <c r="A4774" s="859">
        <f t="shared" si="74"/>
        <v>4773</v>
      </c>
      <c r="B4774" s="845" t="s">
        <v>2557</v>
      </c>
      <c r="D4774" s="862"/>
      <c r="I4774" s="845" t="s">
        <v>1008</v>
      </c>
    </row>
    <row r="4775" spans="1:10" x14ac:dyDescent="0.2">
      <c r="A4775" s="859">
        <f t="shared" si="74"/>
        <v>4774</v>
      </c>
      <c r="B4775" s="845" t="s">
        <v>2557</v>
      </c>
      <c r="D4775" s="863"/>
      <c r="J4775" s="845" t="s">
        <v>1770</v>
      </c>
    </row>
    <row r="4776" spans="1:10" x14ac:dyDescent="0.2">
      <c r="A4776" s="859">
        <f t="shared" si="74"/>
        <v>4775</v>
      </c>
      <c r="B4776" s="845" t="s">
        <v>2557</v>
      </c>
      <c r="D4776" s="862"/>
      <c r="I4776" s="845" t="s">
        <v>1009</v>
      </c>
    </row>
    <row r="4777" spans="1:10" x14ac:dyDescent="0.2">
      <c r="A4777" s="859">
        <f t="shared" si="74"/>
        <v>4776</v>
      </c>
      <c r="B4777" s="845" t="s">
        <v>2557</v>
      </c>
      <c r="D4777" s="862"/>
      <c r="I4777" s="845" t="str">
        <f>CONCATENATE("&lt;valeur&gt;",Cellule_4067,"&lt;/valeur&gt;")</f>
        <v>&lt;valeur&gt;0&lt;/valeur&gt;</v>
      </c>
    </row>
    <row r="4778" spans="1:10" x14ac:dyDescent="0.2">
      <c r="A4778" s="859">
        <f t="shared" si="74"/>
        <v>4777</v>
      </c>
      <c r="B4778" s="845" t="s">
        <v>2557</v>
      </c>
      <c r="D4778" s="861"/>
      <c r="H4778" s="845" t="s">
        <v>1010</v>
      </c>
    </row>
    <row r="4779" spans="1:10" x14ac:dyDescent="0.2">
      <c r="A4779" s="859">
        <f t="shared" si="74"/>
        <v>4778</v>
      </c>
      <c r="B4779" s="845" t="s">
        <v>2557</v>
      </c>
      <c r="D4779" s="861"/>
      <c r="H4779" s="845" t="s">
        <v>1007</v>
      </c>
    </row>
    <row r="4780" spans="1:10" x14ac:dyDescent="0.2">
      <c r="A4780" s="859">
        <f t="shared" si="74"/>
        <v>4779</v>
      </c>
      <c r="B4780" s="845" t="s">
        <v>2557</v>
      </c>
      <c r="D4780" s="862"/>
      <c r="I4780" s="845" t="s">
        <v>1008</v>
      </c>
    </row>
    <row r="4781" spans="1:10" x14ac:dyDescent="0.2">
      <c r="A4781" s="859">
        <f t="shared" si="74"/>
        <v>4780</v>
      </c>
      <c r="B4781" s="845" t="s">
        <v>2557</v>
      </c>
      <c r="D4781" s="863"/>
      <c r="J4781" s="845" t="s">
        <v>1771</v>
      </c>
    </row>
    <row r="4782" spans="1:10" x14ac:dyDescent="0.2">
      <c r="A4782" s="859">
        <f t="shared" si="74"/>
        <v>4781</v>
      </c>
      <c r="B4782" s="845" t="s">
        <v>2557</v>
      </c>
      <c r="D4782" s="862"/>
      <c r="I4782" s="845" t="s">
        <v>1009</v>
      </c>
    </row>
    <row r="4783" spans="1:10" x14ac:dyDescent="0.2">
      <c r="A4783" s="859">
        <f t="shared" si="74"/>
        <v>4782</v>
      </c>
      <c r="B4783" s="845" t="s">
        <v>2557</v>
      </c>
      <c r="D4783" s="862"/>
      <c r="I4783" s="845" t="str">
        <f>CONCATENATE("&lt;valeur&gt;",Cellule_1372,"&lt;/valeur&gt;")</f>
        <v>&lt;valeur&gt;&lt;/valeur&gt;</v>
      </c>
    </row>
    <row r="4784" spans="1:10" x14ac:dyDescent="0.2">
      <c r="A4784" s="859">
        <f t="shared" si="74"/>
        <v>4783</v>
      </c>
      <c r="B4784" s="845" t="s">
        <v>2557</v>
      </c>
      <c r="D4784" s="861"/>
      <c r="H4784" s="845" t="s">
        <v>1010</v>
      </c>
    </row>
    <row r="4785" spans="1:10" x14ac:dyDescent="0.2">
      <c r="A4785" s="859">
        <f t="shared" si="74"/>
        <v>4784</v>
      </c>
      <c r="B4785" s="845" t="s">
        <v>2557</v>
      </c>
      <c r="D4785" s="861"/>
      <c r="H4785" s="845" t="s">
        <v>1007</v>
      </c>
    </row>
    <row r="4786" spans="1:10" x14ac:dyDescent="0.2">
      <c r="A4786" s="859">
        <f t="shared" si="74"/>
        <v>4785</v>
      </c>
      <c r="B4786" s="845" t="s">
        <v>2557</v>
      </c>
      <c r="D4786" s="862"/>
      <c r="I4786" s="845" t="s">
        <v>1008</v>
      </c>
    </row>
    <row r="4787" spans="1:10" x14ac:dyDescent="0.2">
      <c r="A4787" s="859">
        <f t="shared" si="74"/>
        <v>4786</v>
      </c>
      <c r="B4787" s="845" t="s">
        <v>2557</v>
      </c>
      <c r="D4787" s="863"/>
      <c r="J4787" s="845" t="s">
        <v>1772</v>
      </c>
    </row>
    <row r="4788" spans="1:10" x14ac:dyDescent="0.2">
      <c r="A4788" s="859">
        <f t="shared" si="74"/>
        <v>4787</v>
      </c>
      <c r="B4788" s="845" t="s">
        <v>2557</v>
      </c>
      <c r="D4788" s="862"/>
      <c r="I4788" s="845" t="s">
        <v>1009</v>
      </c>
    </row>
    <row r="4789" spans="1:10" x14ac:dyDescent="0.2">
      <c r="A4789" s="859">
        <f t="shared" si="74"/>
        <v>4788</v>
      </c>
      <c r="B4789" s="845" t="s">
        <v>2557</v>
      </c>
      <c r="D4789" s="862"/>
      <c r="I4789" s="845" t="str">
        <f>CONCATENATE("&lt;valeur&gt;",Cellule_1373,"&lt;/valeur&gt;")</f>
        <v>&lt;valeur&gt;0&lt;/valeur&gt;</v>
      </c>
    </row>
    <row r="4790" spans="1:10" x14ac:dyDescent="0.2">
      <c r="A4790" s="859">
        <f t="shared" si="74"/>
        <v>4789</v>
      </c>
      <c r="B4790" s="845" t="s">
        <v>2557</v>
      </c>
      <c r="D4790" s="861"/>
      <c r="H4790" s="845" t="s">
        <v>1010</v>
      </c>
    </row>
    <row r="4791" spans="1:10" x14ac:dyDescent="0.2">
      <c r="A4791" s="859">
        <f t="shared" si="74"/>
        <v>4790</v>
      </c>
      <c r="B4791" s="845" t="s">
        <v>2557</v>
      </c>
      <c r="D4791" s="861"/>
      <c r="H4791" s="845" t="s">
        <v>1007</v>
      </c>
    </row>
    <row r="4792" spans="1:10" x14ac:dyDescent="0.2">
      <c r="A4792" s="859">
        <f t="shared" si="74"/>
        <v>4791</v>
      </c>
      <c r="B4792" s="845" t="s">
        <v>2557</v>
      </c>
      <c r="D4792" s="862"/>
      <c r="I4792" s="845" t="s">
        <v>1008</v>
      </c>
    </row>
    <row r="4793" spans="1:10" x14ac:dyDescent="0.2">
      <c r="A4793" s="859">
        <f t="shared" si="74"/>
        <v>4792</v>
      </c>
      <c r="B4793" s="845" t="s">
        <v>2557</v>
      </c>
      <c r="D4793" s="863"/>
      <c r="J4793" s="845" t="s">
        <v>1773</v>
      </c>
    </row>
    <row r="4794" spans="1:10" x14ac:dyDescent="0.2">
      <c r="A4794" s="859">
        <f t="shared" si="74"/>
        <v>4793</v>
      </c>
      <c r="B4794" s="845" t="s">
        <v>2557</v>
      </c>
      <c r="D4794" s="862"/>
      <c r="I4794" s="845" t="s">
        <v>1009</v>
      </c>
    </row>
    <row r="4795" spans="1:10" x14ac:dyDescent="0.2">
      <c r="A4795" s="859">
        <f t="shared" si="74"/>
        <v>4794</v>
      </c>
      <c r="B4795" s="845" t="s">
        <v>2557</v>
      </c>
      <c r="D4795" s="862"/>
      <c r="I4795" s="845" t="str">
        <f>CONCATENATE("&lt;valeur&gt;",Cellule_1374,"&lt;/valeur&gt;")</f>
        <v>&lt;valeur&gt;0&lt;/valeur&gt;</v>
      </c>
    </row>
    <row r="4796" spans="1:10" x14ac:dyDescent="0.2">
      <c r="A4796" s="859">
        <f t="shared" si="74"/>
        <v>4795</v>
      </c>
      <c r="B4796" s="845" t="s">
        <v>2557</v>
      </c>
      <c r="D4796" s="861"/>
      <c r="H4796" s="845" t="s">
        <v>1010</v>
      </c>
    </row>
    <row r="4797" spans="1:10" x14ac:dyDescent="0.2">
      <c r="A4797" s="859">
        <f t="shared" si="74"/>
        <v>4796</v>
      </c>
      <c r="B4797" s="845" t="s">
        <v>2557</v>
      </c>
      <c r="D4797" s="861"/>
      <c r="H4797" s="845" t="s">
        <v>1007</v>
      </c>
    </row>
    <row r="4798" spans="1:10" x14ac:dyDescent="0.2">
      <c r="A4798" s="859">
        <f t="shared" si="74"/>
        <v>4797</v>
      </c>
      <c r="B4798" s="845" t="s">
        <v>2557</v>
      </c>
      <c r="D4798" s="862"/>
      <c r="I4798" s="845" t="s">
        <v>1008</v>
      </c>
    </row>
    <row r="4799" spans="1:10" x14ac:dyDescent="0.2">
      <c r="A4799" s="859">
        <f t="shared" si="74"/>
        <v>4798</v>
      </c>
      <c r="B4799" s="845" t="s">
        <v>2557</v>
      </c>
      <c r="D4799" s="863"/>
      <c r="J4799" s="845" t="s">
        <v>1774</v>
      </c>
    </row>
    <row r="4800" spans="1:10" x14ac:dyDescent="0.2">
      <c r="A4800" s="859">
        <f t="shared" si="74"/>
        <v>4799</v>
      </c>
      <c r="B4800" s="845" t="s">
        <v>2557</v>
      </c>
      <c r="D4800" s="862"/>
      <c r="I4800" s="845" t="s">
        <v>1009</v>
      </c>
    </row>
    <row r="4801" spans="1:10" x14ac:dyDescent="0.2">
      <c r="A4801" s="859">
        <f t="shared" si="74"/>
        <v>4800</v>
      </c>
      <c r="B4801" s="845" t="s">
        <v>2557</v>
      </c>
      <c r="D4801" s="862"/>
      <c r="I4801" s="845" t="str">
        <f>CONCATENATE("&lt;valeur&gt;",Cellule_1375,"&lt;/valeur&gt;")</f>
        <v>&lt;valeur&gt;0&lt;/valeur&gt;</v>
      </c>
    </row>
    <row r="4802" spans="1:10" x14ac:dyDescent="0.2">
      <c r="A4802" s="859">
        <f t="shared" si="74"/>
        <v>4801</v>
      </c>
      <c r="B4802" s="845" t="s">
        <v>2557</v>
      </c>
      <c r="D4802" s="861"/>
      <c r="H4802" s="845" t="s">
        <v>1010</v>
      </c>
    </row>
    <row r="4803" spans="1:10" x14ac:dyDescent="0.2">
      <c r="A4803" s="859">
        <f t="shared" si="74"/>
        <v>4802</v>
      </c>
      <c r="B4803" s="845" t="s">
        <v>2557</v>
      </c>
      <c r="D4803" s="861"/>
      <c r="H4803" s="845" t="s">
        <v>1007</v>
      </c>
    </row>
    <row r="4804" spans="1:10" x14ac:dyDescent="0.2">
      <c r="A4804" s="859">
        <f t="shared" ref="A4804:A4867" si="75">+A4803+1</f>
        <v>4803</v>
      </c>
      <c r="B4804" s="845" t="s">
        <v>2557</v>
      </c>
      <c r="D4804" s="862"/>
      <c r="I4804" s="845" t="s">
        <v>1008</v>
      </c>
    </row>
    <row r="4805" spans="1:10" x14ac:dyDescent="0.2">
      <c r="A4805" s="859">
        <f t="shared" si="75"/>
        <v>4804</v>
      </c>
      <c r="B4805" s="845" t="s">
        <v>2557</v>
      </c>
      <c r="D4805" s="863"/>
      <c r="J4805" s="845" t="s">
        <v>1775</v>
      </c>
    </row>
    <row r="4806" spans="1:10" x14ac:dyDescent="0.2">
      <c r="A4806" s="859">
        <f t="shared" si="75"/>
        <v>4805</v>
      </c>
      <c r="B4806" s="845" t="s">
        <v>2557</v>
      </c>
      <c r="D4806" s="862"/>
      <c r="I4806" s="845" t="s">
        <v>1009</v>
      </c>
    </row>
    <row r="4807" spans="1:10" x14ac:dyDescent="0.2">
      <c r="A4807" s="859">
        <f t="shared" si="75"/>
        <v>4806</v>
      </c>
      <c r="B4807" s="845" t="s">
        <v>2557</v>
      </c>
      <c r="D4807" s="862"/>
      <c r="I4807" s="845" t="str">
        <f>CONCATENATE("&lt;valeur&gt;",Cellule_1376,"&lt;/valeur&gt;")</f>
        <v>&lt;valeur&gt;0&lt;/valeur&gt;</v>
      </c>
    </row>
    <row r="4808" spans="1:10" x14ac:dyDescent="0.2">
      <c r="A4808" s="859">
        <f t="shared" si="75"/>
        <v>4807</v>
      </c>
      <c r="B4808" s="845" t="s">
        <v>2557</v>
      </c>
      <c r="D4808" s="861"/>
      <c r="H4808" s="845" t="s">
        <v>1010</v>
      </c>
    </row>
    <row r="4809" spans="1:10" x14ac:dyDescent="0.2">
      <c r="A4809" s="859">
        <f t="shared" si="75"/>
        <v>4808</v>
      </c>
      <c r="B4809" s="845" t="s">
        <v>2557</v>
      </c>
      <c r="D4809" s="861"/>
      <c r="H4809" s="845" t="s">
        <v>1007</v>
      </c>
    </row>
    <row r="4810" spans="1:10" x14ac:dyDescent="0.2">
      <c r="A4810" s="859">
        <f t="shared" si="75"/>
        <v>4809</v>
      </c>
      <c r="B4810" s="845" t="s">
        <v>2557</v>
      </c>
      <c r="D4810" s="862"/>
      <c r="I4810" s="845" t="s">
        <v>1008</v>
      </c>
    </row>
    <row r="4811" spans="1:10" x14ac:dyDescent="0.2">
      <c r="A4811" s="859">
        <f t="shared" si="75"/>
        <v>4810</v>
      </c>
      <c r="B4811" s="845" t="s">
        <v>2557</v>
      </c>
      <c r="D4811" s="863"/>
      <c r="J4811" s="845" t="s">
        <v>1776</v>
      </c>
    </row>
    <row r="4812" spans="1:10" x14ac:dyDescent="0.2">
      <c r="A4812" s="859">
        <f t="shared" si="75"/>
        <v>4811</v>
      </c>
      <c r="B4812" s="845" t="s">
        <v>2557</v>
      </c>
      <c r="D4812" s="862"/>
      <c r="I4812" s="845" t="s">
        <v>1009</v>
      </c>
    </row>
    <row r="4813" spans="1:10" x14ac:dyDescent="0.2">
      <c r="A4813" s="859">
        <f t="shared" si="75"/>
        <v>4812</v>
      </c>
      <c r="B4813" s="845" t="s">
        <v>2557</v>
      </c>
      <c r="D4813" s="862"/>
      <c r="I4813" s="845" t="str">
        <f>CONCATENATE("&lt;valeur&gt;",Cellule_1377,"&lt;/valeur&gt;")</f>
        <v>&lt;valeur&gt;0&lt;/valeur&gt;</v>
      </c>
    </row>
    <row r="4814" spans="1:10" x14ac:dyDescent="0.2">
      <c r="A4814" s="859">
        <f t="shared" si="75"/>
        <v>4813</v>
      </c>
      <c r="B4814" s="845" t="s">
        <v>2557</v>
      </c>
      <c r="D4814" s="861"/>
      <c r="H4814" s="845" t="s">
        <v>1010</v>
      </c>
    </row>
    <row r="4815" spans="1:10" x14ac:dyDescent="0.2">
      <c r="A4815" s="859">
        <f t="shared" si="75"/>
        <v>4814</v>
      </c>
      <c r="B4815" s="845" t="s">
        <v>2557</v>
      </c>
      <c r="D4815" s="861"/>
      <c r="H4815" s="845" t="s">
        <v>1007</v>
      </c>
    </row>
    <row r="4816" spans="1:10" x14ac:dyDescent="0.2">
      <c r="A4816" s="859">
        <f t="shared" si="75"/>
        <v>4815</v>
      </c>
      <c r="B4816" s="845" t="s">
        <v>2557</v>
      </c>
      <c r="D4816" s="862"/>
      <c r="I4816" s="845" t="s">
        <v>1008</v>
      </c>
    </row>
    <row r="4817" spans="1:10" x14ac:dyDescent="0.2">
      <c r="A4817" s="859">
        <f t="shared" si="75"/>
        <v>4816</v>
      </c>
      <c r="B4817" s="845" t="s">
        <v>2557</v>
      </c>
      <c r="D4817" s="863"/>
      <c r="J4817" s="845" t="s">
        <v>1777</v>
      </c>
    </row>
    <row r="4818" spans="1:10" x14ac:dyDescent="0.2">
      <c r="A4818" s="859">
        <f t="shared" si="75"/>
        <v>4817</v>
      </c>
      <c r="B4818" s="845" t="s">
        <v>2557</v>
      </c>
      <c r="D4818" s="862"/>
      <c r="I4818" s="845" t="s">
        <v>1009</v>
      </c>
    </row>
    <row r="4819" spans="1:10" x14ac:dyDescent="0.2">
      <c r="A4819" s="859">
        <f t="shared" si="75"/>
        <v>4818</v>
      </c>
      <c r="B4819" s="845" t="s">
        <v>2557</v>
      </c>
      <c r="D4819" s="862"/>
      <c r="I4819" s="845" t="str">
        <f>CONCATENATE("&lt;valeur&gt;",Cellule_1378,"&lt;/valeur&gt;")</f>
        <v>&lt;valeur&gt;0&lt;/valeur&gt;</v>
      </c>
    </row>
    <row r="4820" spans="1:10" x14ac:dyDescent="0.2">
      <c r="A4820" s="859">
        <f t="shared" si="75"/>
        <v>4819</v>
      </c>
      <c r="B4820" s="845" t="s">
        <v>2557</v>
      </c>
      <c r="D4820" s="861"/>
      <c r="H4820" s="845" t="s">
        <v>1010</v>
      </c>
    </row>
    <row r="4821" spans="1:10" x14ac:dyDescent="0.2">
      <c r="A4821" s="859">
        <f t="shared" si="75"/>
        <v>4820</v>
      </c>
      <c r="B4821" s="845" t="s">
        <v>2557</v>
      </c>
      <c r="D4821" s="861"/>
      <c r="H4821" s="845" t="s">
        <v>1007</v>
      </c>
    </row>
    <row r="4822" spans="1:10" x14ac:dyDescent="0.2">
      <c r="A4822" s="859">
        <f t="shared" si="75"/>
        <v>4821</v>
      </c>
      <c r="B4822" s="845" t="s">
        <v>2557</v>
      </c>
      <c r="D4822" s="862"/>
      <c r="I4822" s="845" t="s">
        <v>1008</v>
      </c>
    </row>
    <row r="4823" spans="1:10" x14ac:dyDescent="0.2">
      <c r="A4823" s="859">
        <f t="shared" si="75"/>
        <v>4822</v>
      </c>
      <c r="B4823" s="845" t="s">
        <v>2557</v>
      </c>
      <c r="D4823" s="863"/>
      <c r="J4823" s="845" t="s">
        <v>1778</v>
      </c>
    </row>
    <row r="4824" spans="1:10" x14ac:dyDescent="0.2">
      <c r="A4824" s="859">
        <f t="shared" si="75"/>
        <v>4823</v>
      </c>
      <c r="B4824" s="845" t="s">
        <v>2557</v>
      </c>
      <c r="D4824" s="862"/>
      <c r="I4824" s="845" t="s">
        <v>1009</v>
      </c>
    </row>
    <row r="4825" spans="1:10" x14ac:dyDescent="0.2">
      <c r="A4825" s="859">
        <f t="shared" si="75"/>
        <v>4824</v>
      </c>
      <c r="B4825" s="845" t="s">
        <v>2557</v>
      </c>
      <c r="D4825" s="862"/>
      <c r="I4825" s="845" t="str">
        <f>CONCATENATE("&lt;valeur&gt;",Cellule_1379,"&lt;/valeur&gt;")</f>
        <v>&lt;valeur&gt;0&lt;/valeur&gt;</v>
      </c>
    </row>
    <row r="4826" spans="1:10" x14ac:dyDescent="0.2">
      <c r="A4826" s="859">
        <f t="shared" si="75"/>
        <v>4825</v>
      </c>
      <c r="B4826" s="845" t="s">
        <v>2557</v>
      </c>
      <c r="D4826" s="861"/>
      <c r="H4826" s="845" t="s">
        <v>1010</v>
      </c>
    </row>
    <row r="4827" spans="1:10" x14ac:dyDescent="0.2">
      <c r="A4827" s="859">
        <f t="shared" si="75"/>
        <v>4826</v>
      </c>
      <c r="B4827" s="845" t="s">
        <v>2557</v>
      </c>
      <c r="D4827" s="861"/>
      <c r="H4827" s="845" t="s">
        <v>1007</v>
      </c>
    </row>
    <row r="4828" spans="1:10" x14ac:dyDescent="0.2">
      <c r="A4828" s="859">
        <f t="shared" si="75"/>
        <v>4827</v>
      </c>
      <c r="B4828" s="845" t="s">
        <v>2557</v>
      </c>
      <c r="D4828" s="862"/>
      <c r="I4828" s="845" t="s">
        <v>1008</v>
      </c>
    </row>
    <row r="4829" spans="1:10" x14ac:dyDescent="0.2">
      <c r="A4829" s="859">
        <f t="shared" si="75"/>
        <v>4828</v>
      </c>
      <c r="B4829" s="845" t="s">
        <v>2557</v>
      </c>
      <c r="D4829" s="863"/>
      <c r="J4829" s="845" t="s">
        <v>1779</v>
      </c>
    </row>
    <row r="4830" spans="1:10" x14ac:dyDescent="0.2">
      <c r="A4830" s="859">
        <f t="shared" si="75"/>
        <v>4829</v>
      </c>
      <c r="B4830" s="845" t="s">
        <v>2557</v>
      </c>
      <c r="D4830" s="862"/>
      <c r="I4830" s="845" t="s">
        <v>1009</v>
      </c>
    </row>
    <row r="4831" spans="1:10" x14ac:dyDescent="0.2">
      <c r="A4831" s="859">
        <f t="shared" si="75"/>
        <v>4830</v>
      </c>
      <c r="B4831" s="845" t="s">
        <v>2557</v>
      </c>
      <c r="D4831" s="862"/>
      <c r="I4831" s="845" t="str">
        <f>CONCATENATE("&lt;valeur&gt;",Cellule_1380,"&lt;/valeur&gt;")</f>
        <v>&lt;valeur&gt;0&lt;/valeur&gt;</v>
      </c>
    </row>
    <row r="4832" spans="1:10" x14ac:dyDescent="0.2">
      <c r="A4832" s="859">
        <f t="shared" si="75"/>
        <v>4831</v>
      </c>
      <c r="B4832" s="845" t="s">
        <v>2557</v>
      </c>
      <c r="D4832" s="861"/>
      <c r="H4832" s="845" t="s">
        <v>1010</v>
      </c>
    </row>
    <row r="4833" spans="1:10" x14ac:dyDescent="0.2">
      <c r="A4833" s="859">
        <f t="shared" si="75"/>
        <v>4832</v>
      </c>
      <c r="B4833" s="845" t="s">
        <v>2557</v>
      </c>
      <c r="D4833" s="861"/>
      <c r="H4833" s="845" t="s">
        <v>1007</v>
      </c>
    </row>
    <row r="4834" spans="1:10" x14ac:dyDescent="0.2">
      <c r="A4834" s="859">
        <f t="shared" si="75"/>
        <v>4833</v>
      </c>
      <c r="B4834" s="845" t="s">
        <v>2557</v>
      </c>
      <c r="D4834" s="862"/>
      <c r="I4834" s="845" t="s">
        <v>1008</v>
      </c>
    </row>
    <row r="4835" spans="1:10" x14ac:dyDescent="0.2">
      <c r="A4835" s="859">
        <f t="shared" si="75"/>
        <v>4834</v>
      </c>
      <c r="B4835" s="845" t="s">
        <v>2557</v>
      </c>
      <c r="D4835" s="863"/>
      <c r="J4835" s="845" t="s">
        <v>1780</v>
      </c>
    </row>
    <row r="4836" spans="1:10" x14ac:dyDescent="0.2">
      <c r="A4836" s="859">
        <f t="shared" si="75"/>
        <v>4835</v>
      </c>
      <c r="B4836" s="845" t="s">
        <v>2557</v>
      </c>
      <c r="D4836" s="862"/>
      <c r="I4836" s="845" t="s">
        <v>1009</v>
      </c>
    </row>
    <row r="4837" spans="1:10" x14ac:dyDescent="0.2">
      <c r="A4837" s="859">
        <f t="shared" si="75"/>
        <v>4836</v>
      </c>
      <c r="B4837" s="845" t="s">
        <v>2557</v>
      </c>
      <c r="D4837" s="862"/>
      <c r="I4837" s="845" t="str">
        <f>CONCATENATE("&lt;valeur&gt;",Cellule_1381,"&lt;/valeur&gt;")</f>
        <v>&lt;valeur&gt;0&lt;/valeur&gt;</v>
      </c>
    </row>
    <row r="4838" spans="1:10" x14ac:dyDescent="0.2">
      <c r="A4838" s="859">
        <f t="shared" si="75"/>
        <v>4837</v>
      </c>
      <c r="B4838" s="845" t="s">
        <v>2557</v>
      </c>
      <c r="D4838" s="861"/>
      <c r="H4838" s="845" t="s">
        <v>1010</v>
      </c>
    </row>
    <row r="4839" spans="1:10" x14ac:dyDescent="0.2">
      <c r="A4839" s="859">
        <f t="shared" si="75"/>
        <v>4838</v>
      </c>
      <c r="B4839" s="845" t="s">
        <v>2557</v>
      </c>
      <c r="D4839" s="861"/>
      <c r="H4839" s="845" t="s">
        <v>1007</v>
      </c>
    </row>
    <row r="4840" spans="1:10" x14ac:dyDescent="0.2">
      <c r="A4840" s="859">
        <f t="shared" si="75"/>
        <v>4839</v>
      </c>
      <c r="B4840" s="845" t="s">
        <v>2557</v>
      </c>
      <c r="D4840" s="862"/>
      <c r="I4840" s="845" t="s">
        <v>1008</v>
      </c>
    </row>
    <row r="4841" spans="1:10" x14ac:dyDescent="0.2">
      <c r="A4841" s="859">
        <f t="shared" si="75"/>
        <v>4840</v>
      </c>
      <c r="B4841" s="845" t="s">
        <v>2557</v>
      </c>
      <c r="D4841" s="863"/>
      <c r="J4841" s="845" t="s">
        <v>1781</v>
      </c>
    </row>
    <row r="4842" spans="1:10" x14ac:dyDescent="0.2">
      <c r="A4842" s="859">
        <f t="shared" si="75"/>
        <v>4841</v>
      </c>
      <c r="B4842" s="845" t="s">
        <v>2557</v>
      </c>
      <c r="D4842" s="862"/>
      <c r="I4842" s="845" t="s">
        <v>1009</v>
      </c>
    </row>
    <row r="4843" spans="1:10" x14ac:dyDescent="0.2">
      <c r="A4843" s="859">
        <f t="shared" si="75"/>
        <v>4842</v>
      </c>
      <c r="B4843" s="845" t="s">
        <v>2557</v>
      </c>
      <c r="D4843" s="862"/>
      <c r="I4843" s="845" t="str">
        <f>CONCATENATE("&lt;valeur&gt;",Cellule_1382,"&lt;/valeur&gt;")</f>
        <v>&lt;valeur&gt;0&lt;/valeur&gt;</v>
      </c>
    </row>
    <row r="4844" spans="1:10" x14ac:dyDescent="0.2">
      <c r="A4844" s="859">
        <f t="shared" si="75"/>
        <v>4843</v>
      </c>
      <c r="B4844" s="845" t="s">
        <v>2557</v>
      </c>
      <c r="D4844" s="861"/>
      <c r="H4844" s="845" t="s">
        <v>1010</v>
      </c>
    </row>
    <row r="4845" spans="1:10" x14ac:dyDescent="0.2">
      <c r="A4845" s="859">
        <f t="shared" si="75"/>
        <v>4844</v>
      </c>
      <c r="B4845" s="845" t="s">
        <v>2557</v>
      </c>
      <c r="D4845" s="861"/>
      <c r="H4845" s="845" t="s">
        <v>1007</v>
      </c>
    </row>
    <row r="4846" spans="1:10" x14ac:dyDescent="0.2">
      <c r="A4846" s="859">
        <f t="shared" si="75"/>
        <v>4845</v>
      </c>
      <c r="B4846" s="845" t="s">
        <v>2557</v>
      </c>
      <c r="D4846" s="862"/>
      <c r="I4846" s="845" t="s">
        <v>1008</v>
      </c>
    </row>
    <row r="4847" spans="1:10" x14ac:dyDescent="0.2">
      <c r="A4847" s="859">
        <f t="shared" si="75"/>
        <v>4846</v>
      </c>
      <c r="B4847" s="845" t="s">
        <v>2557</v>
      </c>
      <c r="D4847" s="863"/>
      <c r="J4847" s="845" t="s">
        <v>1782</v>
      </c>
    </row>
    <row r="4848" spans="1:10" x14ac:dyDescent="0.2">
      <c r="A4848" s="859">
        <f t="shared" si="75"/>
        <v>4847</v>
      </c>
      <c r="B4848" s="845" t="s">
        <v>2557</v>
      </c>
      <c r="D4848" s="862"/>
      <c r="I4848" s="845" t="s">
        <v>1009</v>
      </c>
    </row>
    <row r="4849" spans="1:10" x14ac:dyDescent="0.2">
      <c r="A4849" s="859">
        <f t="shared" si="75"/>
        <v>4848</v>
      </c>
      <c r="B4849" s="845" t="s">
        <v>2557</v>
      </c>
      <c r="D4849" s="862"/>
      <c r="I4849" s="845" t="str">
        <f>CONCATENATE("&lt;valeur&gt;",Cellule_1383,"&lt;/valeur&gt;")</f>
        <v>&lt;valeur&gt;0&lt;/valeur&gt;</v>
      </c>
    </row>
    <row r="4850" spans="1:10" x14ac:dyDescent="0.2">
      <c r="A4850" s="859">
        <f t="shared" si="75"/>
        <v>4849</v>
      </c>
      <c r="B4850" s="845" t="s">
        <v>2557</v>
      </c>
      <c r="D4850" s="861"/>
      <c r="H4850" s="845" t="s">
        <v>1010</v>
      </c>
    </row>
    <row r="4851" spans="1:10" x14ac:dyDescent="0.2">
      <c r="A4851" s="859">
        <f t="shared" si="75"/>
        <v>4850</v>
      </c>
      <c r="B4851" s="845" t="s">
        <v>2557</v>
      </c>
      <c r="D4851" s="861"/>
      <c r="H4851" s="845" t="s">
        <v>1007</v>
      </c>
    </row>
    <row r="4852" spans="1:10" x14ac:dyDescent="0.2">
      <c r="A4852" s="859">
        <f t="shared" si="75"/>
        <v>4851</v>
      </c>
      <c r="B4852" s="845" t="s">
        <v>2557</v>
      </c>
      <c r="D4852" s="862"/>
      <c r="I4852" s="845" t="s">
        <v>1008</v>
      </c>
    </row>
    <row r="4853" spans="1:10" x14ac:dyDescent="0.2">
      <c r="A4853" s="859">
        <f t="shared" si="75"/>
        <v>4852</v>
      </c>
      <c r="B4853" s="845" t="s">
        <v>2557</v>
      </c>
      <c r="D4853" s="863"/>
      <c r="J4853" s="845" t="s">
        <v>1783</v>
      </c>
    </row>
    <row r="4854" spans="1:10" x14ac:dyDescent="0.2">
      <c r="A4854" s="859">
        <f t="shared" si="75"/>
        <v>4853</v>
      </c>
      <c r="B4854" s="845" t="s">
        <v>2557</v>
      </c>
      <c r="D4854" s="862"/>
      <c r="I4854" s="845" t="s">
        <v>1009</v>
      </c>
    </row>
    <row r="4855" spans="1:10" x14ac:dyDescent="0.2">
      <c r="A4855" s="859">
        <f t="shared" si="75"/>
        <v>4854</v>
      </c>
      <c r="B4855" s="845" t="s">
        <v>2557</v>
      </c>
      <c r="D4855" s="862"/>
      <c r="I4855" s="845" t="str">
        <f>CONCATENATE("&lt;valeur&gt;",Cellule_1384,"&lt;/valeur&gt;")</f>
        <v>&lt;valeur&gt;&lt;/valeur&gt;</v>
      </c>
    </row>
    <row r="4856" spans="1:10" x14ac:dyDescent="0.2">
      <c r="A4856" s="859">
        <f t="shared" si="75"/>
        <v>4855</v>
      </c>
      <c r="B4856" s="845" t="s">
        <v>2557</v>
      </c>
      <c r="D4856" s="861"/>
      <c r="H4856" s="845" t="s">
        <v>1010</v>
      </c>
    </row>
    <row r="4857" spans="1:10" x14ac:dyDescent="0.2">
      <c r="A4857" s="859">
        <f t="shared" si="75"/>
        <v>4856</v>
      </c>
      <c r="B4857" s="845" t="s">
        <v>2557</v>
      </c>
      <c r="D4857" s="861"/>
      <c r="H4857" s="845" t="s">
        <v>1007</v>
      </c>
    </row>
    <row r="4858" spans="1:10" x14ac:dyDescent="0.2">
      <c r="A4858" s="859">
        <f t="shared" si="75"/>
        <v>4857</v>
      </c>
      <c r="B4858" s="845" t="s">
        <v>2557</v>
      </c>
      <c r="D4858" s="862"/>
      <c r="I4858" s="845" t="s">
        <v>1008</v>
      </c>
    </row>
    <row r="4859" spans="1:10" x14ac:dyDescent="0.2">
      <c r="A4859" s="859">
        <f t="shared" si="75"/>
        <v>4858</v>
      </c>
      <c r="B4859" s="845" t="s">
        <v>2557</v>
      </c>
      <c r="D4859" s="863"/>
      <c r="J4859" s="845" t="s">
        <v>1784</v>
      </c>
    </row>
    <row r="4860" spans="1:10" x14ac:dyDescent="0.2">
      <c r="A4860" s="859">
        <f t="shared" si="75"/>
        <v>4859</v>
      </c>
      <c r="B4860" s="845" t="s">
        <v>2557</v>
      </c>
      <c r="D4860" s="862"/>
      <c r="I4860" s="845" t="s">
        <v>1009</v>
      </c>
    </row>
    <row r="4861" spans="1:10" x14ac:dyDescent="0.2">
      <c r="A4861" s="859">
        <f t="shared" si="75"/>
        <v>4860</v>
      </c>
      <c r="B4861" s="845" t="s">
        <v>2557</v>
      </c>
      <c r="D4861" s="862"/>
      <c r="I4861" s="845" t="str">
        <f>CONCATENATE("&lt;valeur&gt;",Cellule_1385,"&lt;/valeur&gt;")</f>
        <v>&lt;valeur&gt;0&lt;/valeur&gt;</v>
      </c>
    </row>
    <row r="4862" spans="1:10" x14ac:dyDescent="0.2">
      <c r="A4862" s="859">
        <f t="shared" si="75"/>
        <v>4861</v>
      </c>
      <c r="B4862" s="845" t="s">
        <v>2557</v>
      </c>
      <c r="D4862" s="861"/>
      <c r="H4862" s="845" t="s">
        <v>1010</v>
      </c>
    </row>
    <row r="4863" spans="1:10" x14ac:dyDescent="0.2">
      <c r="A4863" s="859">
        <f t="shared" si="75"/>
        <v>4862</v>
      </c>
      <c r="B4863" s="845" t="s">
        <v>2557</v>
      </c>
      <c r="D4863" s="861"/>
      <c r="H4863" s="845" t="s">
        <v>1007</v>
      </c>
    </row>
    <row r="4864" spans="1:10" x14ac:dyDescent="0.2">
      <c r="A4864" s="859">
        <f t="shared" si="75"/>
        <v>4863</v>
      </c>
      <c r="B4864" s="845" t="s">
        <v>2557</v>
      </c>
      <c r="D4864" s="862"/>
      <c r="I4864" s="845" t="s">
        <v>1008</v>
      </c>
    </row>
    <row r="4865" spans="1:10" x14ac:dyDescent="0.2">
      <c r="A4865" s="859">
        <f t="shared" si="75"/>
        <v>4864</v>
      </c>
      <c r="B4865" s="845" t="s">
        <v>2557</v>
      </c>
      <c r="D4865" s="863"/>
      <c r="J4865" s="845" t="s">
        <v>1785</v>
      </c>
    </row>
    <row r="4866" spans="1:10" x14ac:dyDescent="0.2">
      <c r="A4866" s="859">
        <f t="shared" si="75"/>
        <v>4865</v>
      </c>
      <c r="B4866" s="845" t="s">
        <v>2557</v>
      </c>
      <c r="D4866" s="862"/>
      <c r="I4866" s="845" t="s">
        <v>1009</v>
      </c>
    </row>
    <row r="4867" spans="1:10" x14ac:dyDescent="0.2">
      <c r="A4867" s="859">
        <f t="shared" si="75"/>
        <v>4866</v>
      </c>
      <c r="B4867" s="845" t="s">
        <v>2557</v>
      </c>
      <c r="D4867" s="862"/>
      <c r="I4867" s="845" t="str">
        <f>CONCATENATE("&lt;valeur&gt;",Cellule_1386,"&lt;/valeur&gt;")</f>
        <v>&lt;valeur&gt;&lt;/valeur&gt;</v>
      </c>
    </row>
    <row r="4868" spans="1:10" x14ac:dyDescent="0.2">
      <c r="A4868" s="859">
        <f t="shared" ref="A4868:A4931" si="76">+A4867+1</f>
        <v>4867</v>
      </c>
      <c r="B4868" s="845" t="s">
        <v>2557</v>
      </c>
      <c r="D4868" s="861"/>
      <c r="H4868" s="845" t="s">
        <v>1010</v>
      </c>
    </row>
    <row r="4869" spans="1:10" x14ac:dyDescent="0.2">
      <c r="A4869" s="859">
        <f t="shared" si="76"/>
        <v>4868</v>
      </c>
      <c r="B4869" s="845" t="s">
        <v>2557</v>
      </c>
      <c r="D4869" s="861"/>
      <c r="H4869" s="845" t="s">
        <v>1007</v>
      </c>
    </row>
    <row r="4870" spans="1:10" x14ac:dyDescent="0.2">
      <c r="A4870" s="859">
        <f t="shared" si="76"/>
        <v>4869</v>
      </c>
      <c r="B4870" s="845" t="s">
        <v>2557</v>
      </c>
      <c r="D4870" s="862"/>
      <c r="I4870" s="845" t="s">
        <v>1008</v>
      </c>
    </row>
    <row r="4871" spans="1:10" x14ac:dyDescent="0.2">
      <c r="A4871" s="859">
        <f t="shared" si="76"/>
        <v>4870</v>
      </c>
      <c r="B4871" s="845" t="s">
        <v>2557</v>
      </c>
      <c r="D4871" s="863"/>
      <c r="J4871" s="845" t="s">
        <v>1786</v>
      </c>
    </row>
    <row r="4872" spans="1:10" x14ac:dyDescent="0.2">
      <c r="A4872" s="859">
        <f t="shared" si="76"/>
        <v>4871</v>
      </c>
      <c r="B4872" s="845" t="s">
        <v>2557</v>
      </c>
      <c r="D4872" s="862"/>
      <c r="I4872" s="845" t="s">
        <v>1009</v>
      </c>
    </row>
    <row r="4873" spans="1:10" x14ac:dyDescent="0.2">
      <c r="A4873" s="859">
        <f t="shared" si="76"/>
        <v>4872</v>
      </c>
      <c r="B4873" s="845" t="s">
        <v>2557</v>
      </c>
      <c r="D4873" s="862"/>
      <c r="I4873" s="845" t="str">
        <f>CONCATENATE("&lt;valeur&gt;",Cellule_1387,"&lt;/valeur&gt;")</f>
        <v>&lt;valeur&gt;0&lt;/valeur&gt;</v>
      </c>
    </row>
    <row r="4874" spans="1:10" x14ac:dyDescent="0.2">
      <c r="A4874" s="859">
        <f t="shared" si="76"/>
        <v>4873</v>
      </c>
      <c r="B4874" s="845" t="s">
        <v>2557</v>
      </c>
      <c r="D4874" s="861"/>
      <c r="H4874" s="845" t="s">
        <v>1010</v>
      </c>
    </row>
    <row r="4875" spans="1:10" x14ac:dyDescent="0.2">
      <c r="A4875" s="859">
        <f t="shared" si="76"/>
        <v>4874</v>
      </c>
      <c r="B4875" s="845" t="s">
        <v>2557</v>
      </c>
      <c r="D4875" s="861"/>
      <c r="H4875" s="845" t="s">
        <v>1007</v>
      </c>
    </row>
    <row r="4876" spans="1:10" x14ac:dyDescent="0.2">
      <c r="A4876" s="859">
        <f t="shared" si="76"/>
        <v>4875</v>
      </c>
      <c r="B4876" s="845" t="s">
        <v>2557</v>
      </c>
      <c r="D4876" s="862"/>
      <c r="I4876" s="845" t="s">
        <v>1008</v>
      </c>
    </row>
    <row r="4877" spans="1:10" x14ac:dyDescent="0.2">
      <c r="A4877" s="859">
        <f t="shared" si="76"/>
        <v>4876</v>
      </c>
      <c r="B4877" s="845" t="s">
        <v>2557</v>
      </c>
      <c r="D4877" s="863"/>
      <c r="J4877" s="845" t="s">
        <v>1787</v>
      </c>
    </row>
    <row r="4878" spans="1:10" x14ac:dyDescent="0.2">
      <c r="A4878" s="859">
        <f t="shared" si="76"/>
        <v>4877</v>
      </c>
      <c r="B4878" s="845" t="s">
        <v>2557</v>
      </c>
      <c r="D4878" s="862"/>
      <c r="I4878" s="845" t="s">
        <v>1009</v>
      </c>
    </row>
    <row r="4879" spans="1:10" x14ac:dyDescent="0.2">
      <c r="A4879" s="859">
        <f t="shared" si="76"/>
        <v>4878</v>
      </c>
      <c r="B4879" s="845" t="s">
        <v>2557</v>
      </c>
      <c r="D4879" s="862"/>
      <c r="I4879" s="845" t="str">
        <f>CONCATENATE("&lt;valeur&gt;",Cellule_1388,"&lt;/valeur&gt;")</f>
        <v>&lt;valeur&gt;0&lt;/valeur&gt;</v>
      </c>
    </row>
    <row r="4880" spans="1:10" x14ac:dyDescent="0.2">
      <c r="A4880" s="859">
        <f t="shared" si="76"/>
        <v>4879</v>
      </c>
      <c r="B4880" s="845" t="s">
        <v>2557</v>
      </c>
      <c r="D4880" s="861"/>
      <c r="H4880" s="845" t="s">
        <v>1010</v>
      </c>
    </row>
    <row r="4881" spans="1:10" x14ac:dyDescent="0.2">
      <c r="A4881" s="859">
        <f t="shared" si="76"/>
        <v>4880</v>
      </c>
      <c r="B4881" s="845" t="s">
        <v>2557</v>
      </c>
      <c r="D4881" s="861"/>
      <c r="H4881" s="845" t="s">
        <v>1007</v>
      </c>
    </row>
    <row r="4882" spans="1:10" x14ac:dyDescent="0.2">
      <c r="A4882" s="859">
        <f t="shared" si="76"/>
        <v>4881</v>
      </c>
      <c r="B4882" s="845" t="s">
        <v>2557</v>
      </c>
      <c r="D4882" s="862"/>
      <c r="I4882" s="845" t="s">
        <v>1008</v>
      </c>
    </row>
    <row r="4883" spans="1:10" x14ac:dyDescent="0.2">
      <c r="A4883" s="859">
        <f t="shared" si="76"/>
        <v>4882</v>
      </c>
      <c r="B4883" s="845" t="s">
        <v>2557</v>
      </c>
      <c r="D4883" s="863"/>
      <c r="J4883" s="845" t="s">
        <v>1788</v>
      </c>
    </row>
    <row r="4884" spans="1:10" x14ac:dyDescent="0.2">
      <c r="A4884" s="859">
        <f t="shared" si="76"/>
        <v>4883</v>
      </c>
      <c r="B4884" s="845" t="s">
        <v>2557</v>
      </c>
      <c r="D4884" s="862"/>
      <c r="I4884" s="845" t="s">
        <v>1009</v>
      </c>
    </row>
    <row r="4885" spans="1:10" x14ac:dyDescent="0.2">
      <c r="A4885" s="859">
        <f t="shared" si="76"/>
        <v>4884</v>
      </c>
      <c r="B4885" s="845" t="s">
        <v>2557</v>
      </c>
      <c r="D4885" s="862"/>
      <c r="I4885" s="845" t="str">
        <f>CONCATENATE("&lt;valeur&gt;",Cellule_1389,"&lt;/valeur&gt;")</f>
        <v>&lt;valeur&gt;0&lt;/valeur&gt;</v>
      </c>
    </row>
    <row r="4886" spans="1:10" x14ac:dyDescent="0.2">
      <c r="A4886" s="859">
        <f t="shared" si="76"/>
        <v>4885</v>
      </c>
      <c r="B4886" s="845" t="s">
        <v>2557</v>
      </c>
      <c r="D4886" s="861"/>
      <c r="H4886" s="845" t="s">
        <v>1010</v>
      </c>
    </row>
    <row r="4887" spans="1:10" x14ac:dyDescent="0.2">
      <c r="A4887" s="859">
        <f t="shared" si="76"/>
        <v>4886</v>
      </c>
      <c r="B4887" s="845" t="s">
        <v>2557</v>
      </c>
      <c r="D4887" s="861"/>
      <c r="H4887" s="845" t="s">
        <v>1007</v>
      </c>
    </row>
    <row r="4888" spans="1:10" x14ac:dyDescent="0.2">
      <c r="A4888" s="859">
        <f t="shared" si="76"/>
        <v>4887</v>
      </c>
      <c r="B4888" s="845" t="s">
        <v>2557</v>
      </c>
      <c r="D4888" s="862"/>
      <c r="I4888" s="845" t="s">
        <v>1008</v>
      </c>
    </row>
    <row r="4889" spans="1:10" x14ac:dyDescent="0.2">
      <c r="A4889" s="859">
        <f t="shared" si="76"/>
        <v>4888</v>
      </c>
      <c r="B4889" s="845" t="s">
        <v>2557</v>
      </c>
      <c r="D4889" s="863"/>
      <c r="J4889" s="845" t="s">
        <v>1789</v>
      </c>
    </row>
    <row r="4890" spans="1:10" x14ac:dyDescent="0.2">
      <c r="A4890" s="859">
        <f t="shared" si="76"/>
        <v>4889</v>
      </c>
      <c r="B4890" s="845" t="s">
        <v>2557</v>
      </c>
      <c r="D4890" s="862"/>
      <c r="I4890" s="845" t="s">
        <v>1009</v>
      </c>
    </row>
    <row r="4891" spans="1:10" x14ac:dyDescent="0.2">
      <c r="A4891" s="859">
        <f t="shared" si="76"/>
        <v>4890</v>
      </c>
      <c r="B4891" s="845" t="s">
        <v>2557</v>
      </c>
      <c r="D4891" s="862"/>
      <c r="I4891" s="845" t="str">
        <f>CONCATENATE("&lt;valeur&gt;",Cellule_1390,"&lt;/valeur&gt;")</f>
        <v>&lt;valeur&gt;0&lt;/valeur&gt;</v>
      </c>
    </row>
    <row r="4892" spans="1:10" x14ac:dyDescent="0.2">
      <c r="A4892" s="859">
        <f t="shared" si="76"/>
        <v>4891</v>
      </c>
      <c r="B4892" s="845" t="s">
        <v>2557</v>
      </c>
      <c r="D4892" s="861"/>
      <c r="H4892" s="845" t="s">
        <v>1010</v>
      </c>
    </row>
    <row r="4893" spans="1:10" x14ac:dyDescent="0.2">
      <c r="A4893" s="859">
        <f t="shared" si="76"/>
        <v>4892</v>
      </c>
      <c r="B4893" s="845" t="s">
        <v>2557</v>
      </c>
      <c r="D4893" s="861"/>
      <c r="H4893" s="845" t="s">
        <v>1007</v>
      </c>
    </row>
    <row r="4894" spans="1:10" x14ac:dyDescent="0.2">
      <c r="A4894" s="859">
        <f t="shared" si="76"/>
        <v>4893</v>
      </c>
      <c r="B4894" s="845" t="s">
        <v>2557</v>
      </c>
      <c r="D4894" s="862"/>
      <c r="I4894" s="845" t="s">
        <v>1008</v>
      </c>
    </row>
    <row r="4895" spans="1:10" x14ac:dyDescent="0.2">
      <c r="A4895" s="859">
        <f t="shared" si="76"/>
        <v>4894</v>
      </c>
      <c r="B4895" s="845" t="s">
        <v>2557</v>
      </c>
      <c r="D4895" s="863"/>
      <c r="J4895" s="845" t="s">
        <v>1790</v>
      </c>
    </row>
    <row r="4896" spans="1:10" x14ac:dyDescent="0.2">
      <c r="A4896" s="859">
        <f t="shared" si="76"/>
        <v>4895</v>
      </c>
      <c r="B4896" s="845" t="s">
        <v>2557</v>
      </c>
      <c r="D4896" s="862"/>
      <c r="I4896" s="845" t="s">
        <v>1009</v>
      </c>
    </row>
    <row r="4897" spans="1:10" x14ac:dyDescent="0.2">
      <c r="A4897" s="859">
        <f t="shared" si="76"/>
        <v>4896</v>
      </c>
      <c r="B4897" s="845" t="s">
        <v>2557</v>
      </c>
      <c r="D4897" s="862"/>
      <c r="I4897" s="845" t="str">
        <f>CONCATENATE("&lt;valeur&gt;",Cellule_1391,"&lt;/valeur&gt;")</f>
        <v>&lt;valeur&gt;0&lt;/valeur&gt;</v>
      </c>
    </row>
    <row r="4898" spans="1:10" x14ac:dyDescent="0.2">
      <c r="A4898" s="859">
        <f t="shared" si="76"/>
        <v>4897</v>
      </c>
      <c r="B4898" s="845" t="s">
        <v>2557</v>
      </c>
      <c r="D4898" s="861"/>
      <c r="H4898" s="845" t="s">
        <v>1010</v>
      </c>
    </row>
    <row r="4899" spans="1:10" x14ac:dyDescent="0.2">
      <c r="A4899" s="859">
        <f t="shared" si="76"/>
        <v>4898</v>
      </c>
      <c r="B4899" s="845" t="s">
        <v>2557</v>
      </c>
      <c r="D4899" s="861"/>
      <c r="H4899" s="845" t="s">
        <v>1007</v>
      </c>
    </row>
    <row r="4900" spans="1:10" x14ac:dyDescent="0.2">
      <c r="A4900" s="859">
        <f t="shared" si="76"/>
        <v>4899</v>
      </c>
      <c r="B4900" s="845" t="s">
        <v>2557</v>
      </c>
      <c r="D4900" s="862"/>
      <c r="I4900" s="845" t="s">
        <v>1008</v>
      </c>
    </row>
    <row r="4901" spans="1:10" x14ac:dyDescent="0.2">
      <c r="A4901" s="859">
        <f t="shared" si="76"/>
        <v>4900</v>
      </c>
      <c r="B4901" s="845" t="s">
        <v>2557</v>
      </c>
      <c r="D4901" s="863"/>
      <c r="J4901" s="845" t="s">
        <v>1791</v>
      </c>
    </row>
    <row r="4902" spans="1:10" x14ac:dyDescent="0.2">
      <c r="A4902" s="859">
        <f t="shared" si="76"/>
        <v>4901</v>
      </c>
      <c r="B4902" s="845" t="s">
        <v>2557</v>
      </c>
      <c r="D4902" s="862"/>
      <c r="I4902" s="845" t="s">
        <v>1009</v>
      </c>
    </row>
    <row r="4903" spans="1:10" x14ac:dyDescent="0.2">
      <c r="A4903" s="859">
        <f t="shared" si="76"/>
        <v>4902</v>
      </c>
      <c r="B4903" s="845" t="s">
        <v>2557</v>
      </c>
      <c r="D4903" s="862"/>
      <c r="I4903" s="845" t="str">
        <f>CONCATENATE("&lt;valeur&gt;",Cellule_1392,"&lt;/valeur&gt;")</f>
        <v>&lt;valeur&gt;0&lt;/valeur&gt;</v>
      </c>
    </row>
    <row r="4904" spans="1:10" x14ac:dyDescent="0.2">
      <c r="A4904" s="859">
        <f t="shared" si="76"/>
        <v>4903</v>
      </c>
      <c r="B4904" s="845" t="s">
        <v>2557</v>
      </c>
      <c r="D4904" s="861"/>
      <c r="H4904" s="845" t="s">
        <v>1010</v>
      </c>
    </row>
    <row r="4905" spans="1:10" x14ac:dyDescent="0.2">
      <c r="A4905" s="859">
        <f t="shared" si="76"/>
        <v>4904</v>
      </c>
      <c r="B4905" s="845" t="s">
        <v>2557</v>
      </c>
      <c r="D4905" s="861"/>
      <c r="H4905" s="845" t="s">
        <v>1007</v>
      </c>
    </row>
    <row r="4906" spans="1:10" x14ac:dyDescent="0.2">
      <c r="A4906" s="859">
        <f t="shared" si="76"/>
        <v>4905</v>
      </c>
      <c r="B4906" s="845" t="s">
        <v>2557</v>
      </c>
      <c r="D4906" s="862"/>
      <c r="I4906" s="845" t="s">
        <v>1008</v>
      </c>
    </row>
    <row r="4907" spans="1:10" x14ac:dyDescent="0.2">
      <c r="A4907" s="859">
        <f t="shared" si="76"/>
        <v>4906</v>
      </c>
      <c r="B4907" s="845" t="s">
        <v>2557</v>
      </c>
      <c r="D4907" s="863"/>
      <c r="J4907" s="845" t="s">
        <v>1792</v>
      </c>
    </row>
    <row r="4908" spans="1:10" x14ac:dyDescent="0.2">
      <c r="A4908" s="859">
        <f t="shared" si="76"/>
        <v>4907</v>
      </c>
      <c r="B4908" s="845" t="s">
        <v>2557</v>
      </c>
      <c r="D4908" s="862"/>
      <c r="I4908" s="845" t="s">
        <v>1009</v>
      </c>
    </row>
    <row r="4909" spans="1:10" x14ac:dyDescent="0.2">
      <c r="A4909" s="859">
        <f t="shared" si="76"/>
        <v>4908</v>
      </c>
      <c r="B4909" s="845" t="s">
        <v>2557</v>
      </c>
      <c r="D4909" s="862"/>
      <c r="I4909" s="845" t="str">
        <f>CONCATENATE("&lt;valeur&gt;",Cellule_1393,"&lt;/valeur&gt;")</f>
        <v>&lt;valeur&gt;0&lt;/valeur&gt;</v>
      </c>
    </row>
    <row r="4910" spans="1:10" x14ac:dyDescent="0.2">
      <c r="A4910" s="859">
        <f t="shared" si="76"/>
        <v>4909</v>
      </c>
      <c r="B4910" s="845" t="s">
        <v>2557</v>
      </c>
      <c r="D4910" s="861"/>
      <c r="H4910" s="845" t="s">
        <v>1010</v>
      </c>
    </row>
    <row r="4911" spans="1:10" x14ac:dyDescent="0.2">
      <c r="A4911" s="859">
        <f t="shared" si="76"/>
        <v>4910</v>
      </c>
      <c r="B4911" s="845" t="s">
        <v>2557</v>
      </c>
      <c r="D4911" s="861"/>
      <c r="H4911" s="845" t="s">
        <v>1007</v>
      </c>
    </row>
    <row r="4912" spans="1:10" x14ac:dyDescent="0.2">
      <c r="A4912" s="859">
        <f t="shared" si="76"/>
        <v>4911</v>
      </c>
      <c r="B4912" s="845" t="s">
        <v>2557</v>
      </c>
      <c r="D4912" s="862"/>
      <c r="I4912" s="845" t="s">
        <v>1008</v>
      </c>
    </row>
    <row r="4913" spans="1:10" x14ac:dyDescent="0.2">
      <c r="A4913" s="859">
        <f t="shared" si="76"/>
        <v>4912</v>
      </c>
      <c r="B4913" s="845" t="s">
        <v>2557</v>
      </c>
      <c r="D4913" s="863"/>
      <c r="J4913" s="845" t="s">
        <v>1793</v>
      </c>
    </row>
    <row r="4914" spans="1:10" x14ac:dyDescent="0.2">
      <c r="A4914" s="859">
        <f t="shared" si="76"/>
        <v>4913</v>
      </c>
      <c r="B4914" s="845" t="s">
        <v>2557</v>
      </c>
      <c r="D4914" s="862"/>
      <c r="I4914" s="845" t="s">
        <v>1009</v>
      </c>
    </row>
    <row r="4915" spans="1:10" x14ac:dyDescent="0.2">
      <c r="A4915" s="859">
        <f t="shared" si="76"/>
        <v>4914</v>
      </c>
      <c r="B4915" s="845" t="s">
        <v>2557</v>
      </c>
      <c r="D4915" s="862"/>
      <c r="I4915" s="845" t="str">
        <f>CONCATENATE("&lt;valeur&gt;",Cellule_1394,"&lt;/valeur&gt;")</f>
        <v>&lt;valeur&gt;0&lt;/valeur&gt;</v>
      </c>
    </row>
    <row r="4916" spans="1:10" x14ac:dyDescent="0.2">
      <c r="A4916" s="859">
        <f t="shared" si="76"/>
        <v>4915</v>
      </c>
      <c r="B4916" s="845" t="s">
        <v>2557</v>
      </c>
      <c r="D4916" s="861"/>
      <c r="H4916" s="845" t="s">
        <v>1010</v>
      </c>
    </row>
    <row r="4917" spans="1:10" x14ac:dyDescent="0.2">
      <c r="A4917" s="859">
        <f t="shared" si="76"/>
        <v>4916</v>
      </c>
      <c r="B4917" s="845" t="s">
        <v>2557</v>
      </c>
      <c r="D4917" s="861"/>
      <c r="H4917" s="845" t="s">
        <v>1007</v>
      </c>
    </row>
    <row r="4918" spans="1:10" x14ac:dyDescent="0.2">
      <c r="A4918" s="859">
        <f t="shared" si="76"/>
        <v>4917</v>
      </c>
      <c r="B4918" s="845" t="s">
        <v>2557</v>
      </c>
      <c r="D4918" s="862"/>
      <c r="I4918" s="845" t="s">
        <v>1008</v>
      </c>
    </row>
    <row r="4919" spans="1:10" x14ac:dyDescent="0.2">
      <c r="A4919" s="859">
        <f t="shared" si="76"/>
        <v>4918</v>
      </c>
      <c r="B4919" s="845" t="s">
        <v>2557</v>
      </c>
      <c r="D4919" s="863"/>
      <c r="J4919" s="845" t="s">
        <v>1794</v>
      </c>
    </row>
    <row r="4920" spans="1:10" x14ac:dyDescent="0.2">
      <c r="A4920" s="859">
        <f t="shared" si="76"/>
        <v>4919</v>
      </c>
      <c r="B4920" s="845" t="s">
        <v>2557</v>
      </c>
      <c r="D4920" s="862"/>
      <c r="I4920" s="845" t="s">
        <v>1009</v>
      </c>
    </row>
    <row r="4921" spans="1:10" x14ac:dyDescent="0.2">
      <c r="A4921" s="859">
        <f t="shared" si="76"/>
        <v>4920</v>
      </c>
      <c r="B4921" s="845" t="s">
        <v>2557</v>
      </c>
      <c r="D4921" s="862"/>
      <c r="I4921" s="845" t="str">
        <f>CONCATENATE("&lt;valeur&gt;",Cellule_1395,"&lt;/valeur&gt;")</f>
        <v>&lt;valeur&gt;0&lt;/valeur&gt;</v>
      </c>
    </row>
    <row r="4922" spans="1:10" x14ac:dyDescent="0.2">
      <c r="A4922" s="859">
        <f t="shared" si="76"/>
        <v>4921</v>
      </c>
      <c r="B4922" s="845" t="s">
        <v>2557</v>
      </c>
      <c r="D4922" s="861"/>
      <c r="H4922" s="845" t="s">
        <v>1010</v>
      </c>
    </row>
    <row r="4923" spans="1:10" x14ac:dyDescent="0.2">
      <c r="A4923" s="859">
        <f t="shared" si="76"/>
        <v>4922</v>
      </c>
      <c r="B4923" s="845" t="s">
        <v>2557</v>
      </c>
      <c r="D4923" s="861"/>
      <c r="H4923" s="845" t="s">
        <v>1007</v>
      </c>
    </row>
    <row r="4924" spans="1:10" x14ac:dyDescent="0.2">
      <c r="A4924" s="859">
        <f t="shared" si="76"/>
        <v>4923</v>
      </c>
      <c r="B4924" s="845" t="s">
        <v>2557</v>
      </c>
      <c r="D4924" s="862"/>
      <c r="I4924" s="845" t="s">
        <v>1008</v>
      </c>
    </row>
    <row r="4925" spans="1:10" x14ac:dyDescent="0.2">
      <c r="A4925" s="859">
        <f t="shared" si="76"/>
        <v>4924</v>
      </c>
      <c r="B4925" s="845" t="s">
        <v>2557</v>
      </c>
      <c r="D4925" s="863"/>
      <c r="J4925" s="845" t="s">
        <v>1795</v>
      </c>
    </row>
    <row r="4926" spans="1:10" x14ac:dyDescent="0.2">
      <c r="A4926" s="859">
        <f t="shared" si="76"/>
        <v>4925</v>
      </c>
      <c r="B4926" s="845" t="s">
        <v>2557</v>
      </c>
      <c r="D4926" s="862"/>
      <c r="I4926" s="845" t="s">
        <v>1009</v>
      </c>
    </row>
    <row r="4927" spans="1:10" x14ac:dyDescent="0.2">
      <c r="A4927" s="859">
        <f t="shared" si="76"/>
        <v>4926</v>
      </c>
      <c r="B4927" s="845" t="s">
        <v>2557</v>
      </c>
      <c r="D4927" s="862"/>
      <c r="I4927" s="845" t="str">
        <f>CONCATENATE("&lt;valeur&gt;",Cellule_1396,"&lt;/valeur&gt;")</f>
        <v>&lt;valeur&gt;0&lt;/valeur&gt;</v>
      </c>
    </row>
    <row r="4928" spans="1:10" x14ac:dyDescent="0.2">
      <c r="A4928" s="859">
        <f t="shared" si="76"/>
        <v>4927</v>
      </c>
      <c r="B4928" s="845" t="s">
        <v>2557</v>
      </c>
      <c r="D4928" s="861"/>
      <c r="H4928" s="845" t="s">
        <v>1010</v>
      </c>
    </row>
    <row r="4929" spans="1:10" x14ac:dyDescent="0.2">
      <c r="A4929" s="859">
        <f t="shared" si="76"/>
        <v>4928</v>
      </c>
      <c r="B4929" s="845" t="s">
        <v>2557</v>
      </c>
      <c r="D4929" s="861"/>
      <c r="H4929" s="845" t="s">
        <v>1007</v>
      </c>
    </row>
    <row r="4930" spans="1:10" x14ac:dyDescent="0.2">
      <c r="A4930" s="859">
        <f t="shared" si="76"/>
        <v>4929</v>
      </c>
      <c r="B4930" s="845" t="s">
        <v>2557</v>
      </c>
      <c r="D4930" s="862"/>
      <c r="I4930" s="845" t="s">
        <v>1008</v>
      </c>
    </row>
    <row r="4931" spans="1:10" x14ac:dyDescent="0.2">
      <c r="A4931" s="859">
        <f t="shared" si="76"/>
        <v>4930</v>
      </c>
      <c r="B4931" s="845" t="s">
        <v>2557</v>
      </c>
      <c r="D4931" s="863"/>
      <c r="J4931" s="845" t="s">
        <v>1796</v>
      </c>
    </row>
    <row r="4932" spans="1:10" x14ac:dyDescent="0.2">
      <c r="A4932" s="859">
        <f t="shared" ref="A4932:A4995" si="77">+A4931+1</f>
        <v>4931</v>
      </c>
      <c r="B4932" s="845" t="s">
        <v>2557</v>
      </c>
      <c r="D4932" s="862"/>
      <c r="I4932" s="845" t="s">
        <v>1009</v>
      </c>
    </row>
    <row r="4933" spans="1:10" x14ac:dyDescent="0.2">
      <c r="A4933" s="859">
        <f t="shared" si="77"/>
        <v>4932</v>
      </c>
      <c r="B4933" s="845" t="s">
        <v>2557</v>
      </c>
      <c r="D4933" s="862"/>
      <c r="I4933" s="845" t="str">
        <f>CONCATENATE("&lt;valeur&gt;",Cellule_1397,"&lt;/valeur&gt;")</f>
        <v>&lt;valeur&gt;0&lt;/valeur&gt;</v>
      </c>
    </row>
    <row r="4934" spans="1:10" x14ac:dyDescent="0.2">
      <c r="A4934" s="859">
        <f t="shared" si="77"/>
        <v>4933</v>
      </c>
      <c r="B4934" s="845" t="s">
        <v>2557</v>
      </c>
      <c r="D4934" s="861"/>
      <c r="H4934" s="845" t="s">
        <v>1010</v>
      </c>
    </row>
    <row r="4935" spans="1:10" x14ac:dyDescent="0.2">
      <c r="A4935" s="859">
        <f t="shared" si="77"/>
        <v>4934</v>
      </c>
      <c r="B4935" s="845" t="s">
        <v>2557</v>
      </c>
      <c r="D4935" s="861"/>
      <c r="H4935" s="845" t="s">
        <v>1007</v>
      </c>
    </row>
    <row r="4936" spans="1:10" x14ac:dyDescent="0.2">
      <c r="A4936" s="859">
        <f t="shared" si="77"/>
        <v>4935</v>
      </c>
      <c r="B4936" s="845" t="s">
        <v>2557</v>
      </c>
      <c r="D4936" s="862"/>
      <c r="I4936" s="845" t="s">
        <v>1008</v>
      </c>
    </row>
    <row r="4937" spans="1:10" x14ac:dyDescent="0.2">
      <c r="A4937" s="859">
        <f t="shared" si="77"/>
        <v>4936</v>
      </c>
      <c r="B4937" s="845" t="s">
        <v>2557</v>
      </c>
      <c r="D4937" s="863"/>
      <c r="J4937" s="845" t="s">
        <v>1797</v>
      </c>
    </row>
    <row r="4938" spans="1:10" x14ac:dyDescent="0.2">
      <c r="A4938" s="859">
        <f t="shared" si="77"/>
        <v>4937</v>
      </c>
      <c r="B4938" s="845" t="s">
        <v>2557</v>
      </c>
      <c r="D4938" s="862"/>
      <c r="I4938" s="845" t="s">
        <v>1009</v>
      </c>
    </row>
    <row r="4939" spans="1:10" x14ac:dyDescent="0.2">
      <c r="A4939" s="859">
        <f t="shared" si="77"/>
        <v>4938</v>
      </c>
      <c r="B4939" s="845" t="s">
        <v>2557</v>
      </c>
      <c r="D4939" s="862"/>
      <c r="I4939" s="845" t="str">
        <f>CONCATENATE("&lt;valeur&gt;",Cellule_1398,"&lt;/valeur&gt;")</f>
        <v>&lt;valeur&gt;&lt;/valeur&gt;</v>
      </c>
    </row>
    <row r="4940" spans="1:10" x14ac:dyDescent="0.2">
      <c r="A4940" s="859">
        <f t="shared" si="77"/>
        <v>4939</v>
      </c>
      <c r="B4940" s="845" t="s">
        <v>2557</v>
      </c>
      <c r="D4940" s="861"/>
      <c r="H4940" s="845" t="s">
        <v>1010</v>
      </c>
    </row>
    <row r="4941" spans="1:10" x14ac:dyDescent="0.2">
      <c r="A4941" s="859">
        <f t="shared" si="77"/>
        <v>4940</v>
      </c>
      <c r="B4941" s="845" t="s">
        <v>2557</v>
      </c>
      <c r="D4941" s="861"/>
      <c r="H4941" s="845" t="s">
        <v>1007</v>
      </c>
    </row>
    <row r="4942" spans="1:10" x14ac:dyDescent="0.2">
      <c r="A4942" s="859">
        <f t="shared" si="77"/>
        <v>4941</v>
      </c>
      <c r="B4942" s="845" t="s">
        <v>2557</v>
      </c>
      <c r="D4942" s="862"/>
      <c r="I4942" s="845" t="s">
        <v>1008</v>
      </c>
    </row>
    <row r="4943" spans="1:10" x14ac:dyDescent="0.2">
      <c r="A4943" s="859">
        <f t="shared" si="77"/>
        <v>4942</v>
      </c>
      <c r="B4943" s="845" t="s">
        <v>2557</v>
      </c>
      <c r="D4943" s="863"/>
      <c r="J4943" s="845" t="s">
        <v>1798</v>
      </c>
    </row>
    <row r="4944" spans="1:10" x14ac:dyDescent="0.2">
      <c r="A4944" s="859">
        <f t="shared" si="77"/>
        <v>4943</v>
      </c>
      <c r="B4944" s="845" t="s">
        <v>2557</v>
      </c>
      <c r="D4944" s="862"/>
      <c r="I4944" s="845" t="s">
        <v>1009</v>
      </c>
    </row>
    <row r="4945" spans="1:10" x14ac:dyDescent="0.2">
      <c r="A4945" s="859">
        <f t="shared" si="77"/>
        <v>4944</v>
      </c>
      <c r="B4945" s="845" t="s">
        <v>2557</v>
      </c>
      <c r="D4945" s="862"/>
      <c r="I4945" s="845" t="str">
        <f>CONCATENATE("&lt;valeur&gt;",Cellule_1399,"&lt;/valeur&gt;")</f>
        <v>&lt;valeur&gt;0&lt;/valeur&gt;</v>
      </c>
    </row>
    <row r="4946" spans="1:10" x14ac:dyDescent="0.2">
      <c r="A4946" s="859">
        <f t="shared" si="77"/>
        <v>4945</v>
      </c>
      <c r="B4946" s="845" t="s">
        <v>2557</v>
      </c>
      <c r="D4946" s="861"/>
      <c r="H4946" s="845" t="s">
        <v>1010</v>
      </c>
    </row>
    <row r="4947" spans="1:10" x14ac:dyDescent="0.2">
      <c r="A4947" s="859">
        <f t="shared" si="77"/>
        <v>4946</v>
      </c>
      <c r="B4947" s="845" t="s">
        <v>2557</v>
      </c>
      <c r="D4947" s="861"/>
      <c r="G4947" s="845" t="s">
        <v>1011</v>
      </c>
    </row>
    <row r="4948" spans="1:10" x14ac:dyDescent="0.2">
      <c r="A4948" s="859">
        <f t="shared" si="77"/>
        <v>4947</v>
      </c>
      <c r="B4948" s="845" t="s">
        <v>2557</v>
      </c>
      <c r="D4948" s="863"/>
      <c r="G4948" s="845" t="s">
        <v>1012</v>
      </c>
    </row>
    <row r="4949" spans="1:10" x14ac:dyDescent="0.2">
      <c r="A4949" s="859">
        <f t="shared" si="77"/>
        <v>4948</v>
      </c>
      <c r="B4949" s="845" t="s">
        <v>2557</v>
      </c>
      <c r="D4949" s="862"/>
      <c r="G4949" s="845" t="s">
        <v>1013</v>
      </c>
    </row>
    <row r="4950" spans="1:10" x14ac:dyDescent="0.2">
      <c r="A4950" s="859">
        <f t="shared" si="77"/>
        <v>4949</v>
      </c>
      <c r="B4950" s="845" t="s">
        <v>2557</v>
      </c>
      <c r="D4950" s="862"/>
      <c r="F4950" s="845" t="s">
        <v>1014</v>
      </c>
    </row>
    <row r="4951" spans="1:10" x14ac:dyDescent="0.2">
      <c r="A4951" s="859">
        <f t="shared" si="77"/>
        <v>4950</v>
      </c>
      <c r="B4951" s="845" t="s">
        <v>2558</v>
      </c>
      <c r="D4951" s="861"/>
      <c r="F4951" s="845" t="s">
        <v>1005</v>
      </c>
    </row>
    <row r="4952" spans="1:10" x14ac:dyDescent="0.2">
      <c r="A4952" s="859">
        <f t="shared" si="77"/>
        <v>4951</v>
      </c>
      <c r="B4952" s="845" t="s">
        <v>2558</v>
      </c>
      <c r="D4952" s="861"/>
      <c r="G4952" s="845" t="s">
        <v>1799</v>
      </c>
    </row>
    <row r="4953" spans="1:10" x14ac:dyDescent="0.2">
      <c r="A4953" s="859">
        <f t="shared" si="77"/>
        <v>4952</v>
      </c>
      <c r="B4953" s="845" t="s">
        <v>2558</v>
      </c>
      <c r="D4953" s="862"/>
      <c r="G4953" s="845" t="s">
        <v>1006</v>
      </c>
    </row>
    <row r="4954" spans="1:10" x14ac:dyDescent="0.2">
      <c r="A4954" s="859">
        <f t="shared" si="77"/>
        <v>4953</v>
      </c>
      <c r="B4954" s="845" t="s">
        <v>2558</v>
      </c>
      <c r="D4954" s="863"/>
      <c r="H4954" s="845" t="s">
        <v>1007</v>
      </c>
    </row>
    <row r="4955" spans="1:10" x14ac:dyDescent="0.2">
      <c r="A4955" s="859">
        <f t="shared" si="77"/>
        <v>4954</v>
      </c>
      <c r="B4955" s="845" t="s">
        <v>2558</v>
      </c>
      <c r="D4955" s="862"/>
      <c r="I4955" s="845" t="s">
        <v>1008</v>
      </c>
    </row>
    <row r="4956" spans="1:10" x14ac:dyDescent="0.2">
      <c r="A4956" s="859">
        <f t="shared" si="77"/>
        <v>4955</v>
      </c>
      <c r="B4956" s="845" t="s">
        <v>2558</v>
      </c>
      <c r="D4956" s="862"/>
      <c r="J4956" s="845" t="s">
        <v>1800</v>
      </c>
    </row>
    <row r="4957" spans="1:10" x14ac:dyDescent="0.2">
      <c r="A4957" s="859">
        <f t="shared" si="77"/>
        <v>4956</v>
      </c>
      <c r="B4957" s="845" t="s">
        <v>2558</v>
      </c>
      <c r="D4957" s="861"/>
      <c r="I4957" s="845" t="s">
        <v>1009</v>
      </c>
    </row>
    <row r="4958" spans="1:10" x14ac:dyDescent="0.2">
      <c r="A4958" s="859">
        <f t="shared" si="77"/>
        <v>4957</v>
      </c>
      <c r="B4958" s="845" t="s">
        <v>2558</v>
      </c>
      <c r="D4958" s="861"/>
      <c r="I4958" s="845" t="str">
        <f>CONCATENATE("&lt;valeur&gt;",Cellule_1521,"&lt;/valeur&gt;")</f>
        <v>&lt;valeur&gt;&lt;/valeur&gt;</v>
      </c>
    </row>
    <row r="4959" spans="1:10" x14ac:dyDescent="0.2">
      <c r="A4959" s="859">
        <f t="shared" si="77"/>
        <v>4958</v>
      </c>
      <c r="B4959" s="845" t="s">
        <v>2558</v>
      </c>
      <c r="D4959" s="862"/>
      <c r="H4959" s="845" t="s">
        <v>1010</v>
      </c>
    </row>
    <row r="4960" spans="1:10" x14ac:dyDescent="0.2">
      <c r="A4960" s="859">
        <f t="shared" si="77"/>
        <v>4959</v>
      </c>
      <c r="B4960" s="845" t="s">
        <v>2558</v>
      </c>
      <c r="D4960" s="863"/>
      <c r="H4960" s="845" t="s">
        <v>1007</v>
      </c>
    </row>
    <row r="4961" spans="1:10" x14ac:dyDescent="0.2">
      <c r="A4961" s="859">
        <f t="shared" si="77"/>
        <v>4960</v>
      </c>
      <c r="B4961" s="845" t="s">
        <v>2558</v>
      </c>
      <c r="D4961" s="862"/>
      <c r="I4961" s="845" t="s">
        <v>1008</v>
      </c>
    </row>
    <row r="4962" spans="1:10" x14ac:dyDescent="0.2">
      <c r="A4962" s="859">
        <f t="shared" si="77"/>
        <v>4961</v>
      </c>
      <c r="B4962" s="845" t="s">
        <v>2558</v>
      </c>
      <c r="D4962" s="862"/>
      <c r="J4962" s="845" t="s">
        <v>1801</v>
      </c>
    </row>
    <row r="4963" spans="1:10" x14ac:dyDescent="0.2">
      <c r="A4963" s="859">
        <f t="shared" si="77"/>
        <v>4962</v>
      </c>
      <c r="B4963" s="845" t="s">
        <v>2558</v>
      </c>
      <c r="D4963" s="861"/>
      <c r="I4963" s="845" t="s">
        <v>1009</v>
      </c>
    </row>
    <row r="4964" spans="1:10" x14ac:dyDescent="0.2">
      <c r="A4964" s="859">
        <f t="shared" si="77"/>
        <v>4963</v>
      </c>
      <c r="B4964" s="845" t="s">
        <v>2558</v>
      </c>
      <c r="D4964" s="861"/>
      <c r="I4964" s="845" t="str">
        <f>CONCATENATE("&lt;valeur&gt;",Cellule_1522,"&lt;/valeur&gt;")</f>
        <v>&lt;valeur&gt;0&lt;/valeur&gt;</v>
      </c>
    </row>
    <row r="4965" spans="1:10" x14ac:dyDescent="0.2">
      <c r="A4965" s="859">
        <f t="shared" si="77"/>
        <v>4964</v>
      </c>
      <c r="B4965" s="845" t="s">
        <v>2558</v>
      </c>
      <c r="D4965" s="862"/>
      <c r="H4965" s="845" t="s">
        <v>1010</v>
      </c>
    </row>
    <row r="4966" spans="1:10" x14ac:dyDescent="0.2">
      <c r="A4966" s="859">
        <f t="shared" si="77"/>
        <v>4965</v>
      </c>
      <c r="B4966" s="845" t="s">
        <v>2558</v>
      </c>
      <c r="D4966" s="863"/>
      <c r="H4966" s="845" t="s">
        <v>1007</v>
      </c>
    </row>
    <row r="4967" spans="1:10" x14ac:dyDescent="0.2">
      <c r="A4967" s="859">
        <f t="shared" si="77"/>
        <v>4966</v>
      </c>
      <c r="B4967" s="845" t="s">
        <v>2558</v>
      </c>
      <c r="D4967" s="862"/>
      <c r="I4967" s="845" t="s">
        <v>1008</v>
      </c>
    </row>
    <row r="4968" spans="1:10" x14ac:dyDescent="0.2">
      <c r="A4968" s="859">
        <f t="shared" si="77"/>
        <v>4967</v>
      </c>
      <c r="B4968" s="845" t="s">
        <v>2558</v>
      </c>
      <c r="D4968" s="862"/>
      <c r="J4968" s="845" t="s">
        <v>1802</v>
      </c>
    </row>
    <row r="4969" spans="1:10" x14ac:dyDescent="0.2">
      <c r="A4969" s="859">
        <f t="shared" si="77"/>
        <v>4968</v>
      </c>
      <c r="B4969" s="845" t="s">
        <v>2558</v>
      </c>
      <c r="D4969" s="861"/>
      <c r="I4969" s="845" t="s">
        <v>1009</v>
      </c>
    </row>
    <row r="4970" spans="1:10" x14ac:dyDescent="0.2">
      <c r="A4970" s="859">
        <f t="shared" si="77"/>
        <v>4969</v>
      </c>
      <c r="B4970" s="845" t="s">
        <v>2558</v>
      </c>
      <c r="D4970" s="861"/>
      <c r="I4970" s="845" t="str">
        <f>CONCATENATE("&lt;valeur&gt;",Cellule_1523,"&lt;/valeur&gt;")</f>
        <v>&lt;valeur&gt;0&lt;/valeur&gt;</v>
      </c>
    </row>
    <row r="4971" spans="1:10" x14ac:dyDescent="0.2">
      <c r="A4971" s="859">
        <f t="shared" si="77"/>
        <v>4970</v>
      </c>
      <c r="B4971" s="845" t="s">
        <v>2558</v>
      </c>
      <c r="D4971" s="862"/>
      <c r="H4971" s="845" t="s">
        <v>1010</v>
      </c>
    </row>
    <row r="4972" spans="1:10" x14ac:dyDescent="0.2">
      <c r="A4972" s="859">
        <f t="shared" si="77"/>
        <v>4971</v>
      </c>
      <c r="B4972" s="845" t="s">
        <v>2558</v>
      </c>
      <c r="D4972" s="863"/>
      <c r="H4972" s="845" t="s">
        <v>1007</v>
      </c>
    </row>
    <row r="4973" spans="1:10" x14ac:dyDescent="0.2">
      <c r="A4973" s="859">
        <f t="shared" si="77"/>
        <v>4972</v>
      </c>
      <c r="B4973" s="845" t="s">
        <v>2558</v>
      </c>
      <c r="D4973" s="862"/>
      <c r="I4973" s="845" t="s">
        <v>1008</v>
      </c>
    </row>
    <row r="4974" spans="1:10" x14ac:dyDescent="0.2">
      <c r="A4974" s="859">
        <f t="shared" si="77"/>
        <v>4973</v>
      </c>
      <c r="B4974" s="845" t="s">
        <v>2558</v>
      </c>
      <c r="D4974" s="862"/>
      <c r="J4974" s="845" t="s">
        <v>1803</v>
      </c>
    </row>
    <row r="4975" spans="1:10" x14ac:dyDescent="0.2">
      <c r="A4975" s="859">
        <f t="shared" si="77"/>
        <v>4974</v>
      </c>
      <c r="B4975" s="845" t="s">
        <v>2558</v>
      </c>
      <c r="D4975" s="861"/>
      <c r="I4975" s="845" t="s">
        <v>1009</v>
      </c>
    </row>
    <row r="4976" spans="1:10" x14ac:dyDescent="0.2">
      <c r="A4976" s="859">
        <f t="shared" si="77"/>
        <v>4975</v>
      </c>
      <c r="B4976" s="845" t="s">
        <v>2558</v>
      </c>
      <c r="D4976" s="861"/>
      <c r="I4976" s="845" t="str">
        <f>CONCATENATE("&lt;valeur&gt;",Cellule_1524,"&lt;/valeur&gt;")</f>
        <v>&lt;valeur&gt;0&lt;/valeur&gt;</v>
      </c>
    </row>
    <row r="4977" spans="1:10" x14ac:dyDescent="0.2">
      <c r="A4977" s="859">
        <f t="shared" si="77"/>
        <v>4976</v>
      </c>
      <c r="B4977" s="845" t="s">
        <v>2558</v>
      </c>
      <c r="D4977" s="862"/>
      <c r="H4977" s="845" t="s">
        <v>1010</v>
      </c>
    </row>
    <row r="4978" spans="1:10" x14ac:dyDescent="0.2">
      <c r="A4978" s="859">
        <f t="shared" si="77"/>
        <v>4977</v>
      </c>
      <c r="B4978" s="845" t="s">
        <v>2558</v>
      </c>
      <c r="D4978" s="863"/>
      <c r="H4978" s="845" t="s">
        <v>1007</v>
      </c>
    </row>
    <row r="4979" spans="1:10" x14ac:dyDescent="0.2">
      <c r="A4979" s="859">
        <f t="shared" si="77"/>
        <v>4978</v>
      </c>
      <c r="B4979" s="845" t="s">
        <v>2558</v>
      </c>
      <c r="D4979" s="862"/>
      <c r="I4979" s="845" t="s">
        <v>1008</v>
      </c>
    </row>
    <row r="4980" spans="1:10" x14ac:dyDescent="0.2">
      <c r="A4980" s="859">
        <f t="shared" si="77"/>
        <v>4979</v>
      </c>
      <c r="B4980" s="845" t="s">
        <v>2558</v>
      </c>
      <c r="D4980" s="862"/>
      <c r="J4980" s="845" t="s">
        <v>1804</v>
      </c>
    </row>
    <row r="4981" spans="1:10" x14ac:dyDescent="0.2">
      <c r="A4981" s="859">
        <f t="shared" si="77"/>
        <v>4980</v>
      </c>
      <c r="B4981" s="845" t="s">
        <v>2558</v>
      </c>
      <c r="D4981" s="861"/>
      <c r="I4981" s="845" t="s">
        <v>1009</v>
      </c>
    </row>
    <row r="4982" spans="1:10" x14ac:dyDescent="0.2">
      <c r="A4982" s="859">
        <f t="shared" si="77"/>
        <v>4981</v>
      </c>
      <c r="B4982" s="845" t="s">
        <v>2558</v>
      </c>
      <c r="D4982" s="861"/>
      <c r="I4982" s="845" t="str">
        <f>CONCATENATE("&lt;valeur&gt;",Cellule_1525,"&lt;/valeur&gt;")</f>
        <v>&lt;valeur&gt;&lt;/valeur&gt;</v>
      </c>
    </row>
    <row r="4983" spans="1:10" x14ac:dyDescent="0.2">
      <c r="A4983" s="859">
        <f t="shared" si="77"/>
        <v>4982</v>
      </c>
      <c r="B4983" s="845" t="s">
        <v>2558</v>
      </c>
      <c r="D4983" s="862"/>
      <c r="H4983" s="845" t="s">
        <v>1010</v>
      </c>
    </row>
    <row r="4984" spans="1:10" x14ac:dyDescent="0.2">
      <c r="A4984" s="859">
        <f t="shared" si="77"/>
        <v>4983</v>
      </c>
      <c r="B4984" s="845" t="s">
        <v>2558</v>
      </c>
      <c r="D4984" s="863"/>
      <c r="H4984" s="845" t="s">
        <v>1007</v>
      </c>
    </row>
    <row r="4985" spans="1:10" x14ac:dyDescent="0.2">
      <c r="A4985" s="859">
        <f t="shared" si="77"/>
        <v>4984</v>
      </c>
      <c r="B4985" s="845" t="s">
        <v>2558</v>
      </c>
      <c r="D4985" s="862"/>
      <c r="I4985" s="845" t="s">
        <v>1008</v>
      </c>
    </row>
    <row r="4986" spans="1:10" x14ac:dyDescent="0.2">
      <c r="A4986" s="859">
        <f t="shared" si="77"/>
        <v>4985</v>
      </c>
      <c r="B4986" s="845" t="s">
        <v>2558</v>
      </c>
      <c r="D4986" s="862"/>
      <c r="J4986" s="845" t="s">
        <v>1805</v>
      </c>
    </row>
    <row r="4987" spans="1:10" x14ac:dyDescent="0.2">
      <c r="A4987" s="859">
        <f t="shared" si="77"/>
        <v>4986</v>
      </c>
      <c r="B4987" s="845" t="s">
        <v>2558</v>
      </c>
      <c r="D4987" s="861"/>
      <c r="I4987" s="845" t="s">
        <v>1009</v>
      </c>
    </row>
    <row r="4988" spans="1:10" x14ac:dyDescent="0.2">
      <c r="A4988" s="859">
        <f t="shared" si="77"/>
        <v>4987</v>
      </c>
      <c r="B4988" s="845" t="s">
        <v>2558</v>
      </c>
      <c r="D4988" s="861"/>
      <c r="I4988" s="845" t="str">
        <f>CONCATENATE("&lt;valeur&gt;",Cellule_1526,"&lt;/valeur&gt;")</f>
        <v>&lt;valeur&gt;0&lt;/valeur&gt;</v>
      </c>
    </row>
    <row r="4989" spans="1:10" x14ac:dyDescent="0.2">
      <c r="A4989" s="859">
        <f t="shared" si="77"/>
        <v>4988</v>
      </c>
      <c r="B4989" s="845" t="s">
        <v>2558</v>
      </c>
      <c r="D4989" s="862"/>
      <c r="H4989" s="845" t="s">
        <v>1010</v>
      </c>
    </row>
    <row r="4990" spans="1:10" x14ac:dyDescent="0.2">
      <c r="A4990" s="859">
        <f t="shared" si="77"/>
        <v>4989</v>
      </c>
      <c r="B4990" s="845" t="s">
        <v>2558</v>
      </c>
      <c r="D4990" s="863"/>
      <c r="H4990" s="845" t="s">
        <v>1007</v>
      </c>
    </row>
    <row r="4991" spans="1:10" x14ac:dyDescent="0.2">
      <c r="A4991" s="859">
        <f t="shared" si="77"/>
        <v>4990</v>
      </c>
      <c r="B4991" s="845" t="s">
        <v>2558</v>
      </c>
      <c r="D4991" s="862"/>
      <c r="I4991" s="845" t="s">
        <v>1008</v>
      </c>
    </row>
    <row r="4992" spans="1:10" x14ac:dyDescent="0.2">
      <c r="A4992" s="859">
        <f t="shared" si="77"/>
        <v>4991</v>
      </c>
      <c r="B4992" s="845" t="s">
        <v>2558</v>
      </c>
      <c r="D4992" s="862"/>
      <c r="J4992" s="845" t="s">
        <v>1806</v>
      </c>
    </row>
    <row r="4993" spans="1:10" x14ac:dyDescent="0.2">
      <c r="A4993" s="859">
        <f t="shared" si="77"/>
        <v>4992</v>
      </c>
      <c r="B4993" s="845" t="s">
        <v>2558</v>
      </c>
      <c r="D4993" s="861"/>
      <c r="I4993" s="845" t="s">
        <v>1009</v>
      </c>
    </row>
    <row r="4994" spans="1:10" x14ac:dyDescent="0.2">
      <c r="A4994" s="859">
        <f t="shared" si="77"/>
        <v>4993</v>
      </c>
      <c r="B4994" s="845" t="s">
        <v>2558</v>
      </c>
      <c r="D4994" s="860"/>
      <c r="I4994" s="845" t="str">
        <f>CONCATENATE("&lt;valeur&gt;",Cellule_1527,"&lt;/valeur&gt;")</f>
        <v>&lt;valeur&gt;0&lt;/valeur&gt;</v>
      </c>
    </row>
    <row r="4995" spans="1:10" x14ac:dyDescent="0.2">
      <c r="A4995" s="859">
        <f t="shared" si="77"/>
        <v>4994</v>
      </c>
      <c r="B4995" s="845" t="s">
        <v>2558</v>
      </c>
      <c r="D4995" s="860"/>
      <c r="H4995" s="845" t="s">
        <v>1010</v>
      </c>
    </row>
    <row r="4996" spans="1:10" x14ac:dyDescent="0.2">
      <c r="A4996" s="859">
        <f t="shared" ref="A4996:A5059" si="78">+A4995+1</f>
        <v>4995</v>
      </c>
      <c r="B4996" s="845" t="s">
        <v>2558</v>
      </c>
      <c r="D4996" s="857"/>
      <c r="H4996" s="845" t="s">
        <v>1007</v>
      </c>
    </row>
    <row r="4997" spans="1:10" x14ac:dyDescent="0.2">
      <c r="A4997" s="859">
        <f t="shared" si="78"/>
        <v>4996</v>
      </c>
      <c r="B4997" s="845" t="s">
        <v>2558</v>
      </c>
      <c r="D4997" s="857"/>
      <c r="I4997" s="845" t="s">
        <v>1008</v>
      </c>
    </row>
    <row r="4998" spans="1:10" x14ac:dyDescent="0.2">
      <c r="A4998" s="859">
        <f t="shared" si="78"/>
        <v>4997</v>
      </c>
      <c r="B4998" s="845" t="s">
        <v>2558</v>
      </c>
      <c r="D4998" s="860"/>
      <c r="J4998" s="845" t="s">
        <v>1807</v>
      </c>
    </row>
    <row r="4999" spans="1:10" x14ac:dyDescent="0.2">
      <c r="A4999" s="859">
        <f t="shared" si="78"/>
        <v>4998</v>
      </c>
      <c r="B4999" s="845" t="s">
        <v>2558</v>
      </c>
      <c r="D4999" s="861"/>
      <c r="I4999" s="845" t="s">
        <v>1009</v>
      </c>
    </row>
    <row r="5000" spans="1:10" x14ac:dyDescent="0.2">
      <c r="A5000" s="859">
        <f t="shared" si="78"/>
        <v>4999</v>
      </c>
      <c r="B5000" s="845" t="s">
        <v>2558</v>
      </c>
      <c r="D5000" s="860"/>
      <c r="I5000" s="845" t="str">
        <f>CONCATENATE("&lt;valeur&gt;",Cellule_1528,"&lt;/valeur&gt;")</f>
        <v>&lt;valeur&gt;0&lt;/valeur&gt;</v>
      </c>
    </row>
    <row r="5001" spans="1:10" x14ac:dyDescent="0.2">
      <c r="A5001" s="859">
        <f t="shared" si="78"/>
        <v>5000</v>
      </c>
      <c r="B5001" s="845" t="s">
        <v>2558</v>
      </c>
      <c r="D5001" s="860"/>
      <c r="H5001" s="845" t="s">
        <v>1010</v>
      </c>
    </row>
    <row r="5002" spans="1:10" x14ac:dyDescent="0.2">
      <c r="A5002" s="859">
        <f t="shared" si="78"/>
        <v>5001</v>
      </c>
      <c r="B5002" s="845" t="s">
        <v>2558</v>
      </c>
      <c r="D5002" s="861"/>
      <c r="H5002" s="845" t="s">
        <v>1007</v>
      </c>
    </row>
    <row r="5003" spans="1:10" x14ac:dyDescent="0.2">
      <c r="A5003" s="859">
        <f t="shared" si="78"/>
        <v>5002</v>
      </c>
      <c r="B5003" s="845" t="s">
        <v>2558</v>
      </c>
      <c r="D5003" s="862"/>
      <c r="I5003" s="845" t="s">
        <v>1008</v>
      </c>
    </row>
    <row r="5004" spans="1:10" x14ac:dyDescent="0.2">
      <c r="A5004" s="859">
        <f t="shared" si="78"/>
        <v>5003</v>
      </c>
      <c r="B5004" s="845" t="s">
        <v>2558</v>
      </c>
      <c r="D5004" s="863"/>
      <c r="J5004" s="845" t="s">
        <v>1808</v>
      </c>
    </row>
    <row r="5005" spans="1:10" x14ac:dyDescent="0.2">
      <c r="A5005" s="859">
        <f t="shared" si="78"/>
        <v>5004</v>
      </c>
      <c r="B5005" s="845" t="s">
        <v>2558</v>
      </c>
      <c r="D5005" s="862"/>
      <c r="I5005" s="845" t="s">
        <v>1009</v>
      </c>
    </row>
    <row r="5006" spans="1:10" x14ac:dyDescent="0.2">
      <c r="A5006" s="859">
        <f t="shared" si="78"/>
        <v>5005</v>
      </c>
      <c r="B5006" s="845" t="s">
        <v>2558</v>
      </c>
      <c r="D5006" s="862"/>
      <c r="I5006" s="845" t="str">
        <f>CONCATENATE("&lt;valeur&gt;",Cellule_1529,"&lt;/valeur&gt;")</f>
        <v>&lt;valeur&gt;0&lt;/valeur&gt;</v>
      </c>
    </row>
    <row r="5007" spans="1:10" x14ac:dyDescent="0.2">
      <c r="A5007" s="859">
        <f t="shared" si="78"/>
        <v>5006</v>
      </c>
      <c r="B5007" s="845" t="s">
        <v>2558</v>
      </c>
      <c r="D5007" s="861"/>
      <c r="H5007" s="845" t="s">
        <v>1010</v>
      </c>
    </row>
    <row r="5008" spans="1:10" x14ac:dyDescent="0.2">
      <c r="A5008" s="859">
        <f t="shared" si="78"/>
        <v>5007</v>
      </c>
      <c r="B5008" s="845" t="s">
        <v>2558</v>
      </c>
      <c r="D5008" s="861"/>
      <c r="H5008" s="845" t="s">
        <v>1007</v>
      </c>
    </row>
    <row r="5009" spans="1:10" x14ac:dyDescent="0.2">
      <c r="A5009" s="859">
        <f t="shared" si="78"/>
        <v>5008</v>
      </c>
      <c r="B5009" s="845" t="s">
        <v>2558</v>
      </c>
      <c r="D5009" s="862"/>
      <c r="I5009" s="845" t="s">
        <v>1008</v>
      </c>
    </row>
    <row r="5010" spans="1:10" x14ac:dyDescent="0.2">
      <c r="A5010" s="859">
        <f t="shared" si="78"/>
        <v>5009</v>
      </c>
      <c r="B5010" s="845" t="s">
        <v>2558</v>
      </c>
      <c r="D5010" s="863"/>
      <c r="J5010" s="845" t="s">
        <v>1809</v>
      </c>
    </row>
    <row r="5011" spans="1:10" x14ac:dyDescent="0.2">
      <c r="A5011" s="859">
        <f t="shared" si="78"/>
        <v>5010</v>
      </c>
      <c r="B5011" s="845" t="s">
        <v>2558</v>
      </c>
      <c r="D5011" s="862"/>
      <c r="I5011" s="845" t="s">
        <v>1009</v>
      </c>
    </row>
    <row r="5012" spans="1:10" x14ac:dyDescent="0.2">
      <c r="A5012" s="859">
        <f t="shared" si="78"/>
        <v>5011</v>
      </c>
      <c r="B5012" s="845" t="s">
        <v>2558</v>
      </c>
      <c r="D5012" s="862"/>
      <c r="I5012" s="845" t="str">
        <f>CONCATENATE("&lt;valeur&gt;",Cellule_1530,"&lt;/valeur&gt;")</f>
        <v>&lt;valeur&gt;0&lt;/valeur&gt;</v>
      </c>
    </row>
    <row r="5013" spans="1:10" x14ac:dyDescent="0.2">
      <c r="A5013" s="859">
        <f t="shared" si="78"/>
        <v>5012</v>
      </c>
      <c r="B5013" s="845" t="s">
        <v>2558</v>
      </c>
      <c r="D5013" s="861"/>
      <c r="H5013" s="845" t="s">
        <v>1010</v>
      </c>
    </row>
    <row r="5014" spans="1:10" x14ac:dyDescent="0.2">
      <c r="A5014" s="859">
        <f t="shared" si="78"/>
        <v>5013</v>
      </c>
      <c r="B5014" s="845" t="s">
        <v>2558</v>
      </c>
      <c r="D5014" s="861"/>
      <c r="H5014" s="845" t="s">
        <v>1007</v>
      </c>
    </row>
    <row r="5015" spans="1:10" x14ac:dyDescent="0.2">
      <c r="A5015" s="859">
        <f t="shared" si="78"/>
        <v>5014</v>
      </c>
      <c r="B5015" s="845" t="s">
        <v>2558</v>
      </c>
      <c r="D5015" s="862"/>
      <c r="I5015" s="845" t="s">
        <v>1008</v>
      </c>
    </row>
    <row r="5016" spans="1:10" x14ac:dyDescent="0.2">
      <c r="A5016" s="859">
        <f t="shared" si="78"/>
        <v>5015</v>
      </c>
      <c r="B5016" s="845" t="s">
        <v>2558</v>
      </c>
      <c r="D5016" s="863"/>
      <c r="J5016" s="845" t="s">
        <v>1810</v>
      </c>
    </row>
    <row r="5017" spans="1:10" x14ac:dyDescent="0.2">
      <c r="A5017" s="859">
        <f t="shared" si="78"/>
        <v>5016</v>
      </c>
      <c r="B5017" s="845" t="s">
        <v>2558</v>
      </c>
      <c r="D5017" s="862"/>
      <c r="I5017" s="845" t="s">
        <v>1009</v>
      </c>
    </row>
    <row r="5018" spans="1:10" x14ac:dyDescent="0.2">
      <c r="A5018" s="859">
        <f t="shared" si="78"/>
        <v>5017</v>
      </c>
      <c r="B5018" s="845" t="s">
        <v>2558</v>
      </c>
      <c r="D5018" s="862"/>
      <c r="I5018" s="845" t="str">
        <f>CONCATENATE("&lt;valeur&gt;",Cellule_1531,"&lt;/valeur&gt;")</f>
        <v>&lt;valeur&gt;0&lt;/valeur&gt;</v>
      </c>
    </row>
    <row r="5019" spans="1:10" x14ac:dyDescent="0.2">
      <c r="A5019" s="859">
        <f t="shared" si="78"/>
        <v>5018</v>
      </c>
      <c r="B5019" s="845" t="s">
        <v>2558</v>
      </c>
      <c r="D5019" s="861"/>
      <c r="H5019" s="845" t="s">
        <v>1010</v>
      </c>
    </row>
    <row r="5020" spans="1:10" x14ac:dyDescent="0.2">
      <c r="A5020" s="859">
        <f t="shared" si="78"/>
        <v>5019</v>
      </c>
      <c r="B5020" s="845" t="s">
        <v>2558</v>
      </c>
      <c r="D5020" s="861"/>
      <c r="H5020" s="845" t="s">
        <v>1007</v>
      </c>
    </row>
    <row r="5021" spans="1:10" x14ac:dyDescent="0.2">
      <c r="A5021" s="859">
        <f t="shared" si="78"/>
        <v>5020</v>
      </c>
      <c r="B5021" s="845" t="s">
        <v>2558</v>
      </c>
      <c r="D5021" s="862"/>
      <c r="I5021" s="845" t="s">
        <v>1008</v>
      </c>
    </row>
    <row r="5022" spans="1:10" x14ac:dyDescent="0.2">
      <c r="A5022" s="859">
        <f t="shared" si="78"/>
        <v>5021</v>
      </c>
      <c r="B5022" s="845" t="s">
        <v>2558</v>
      </c>
      <c r="D5022" s="863"/>
      <c r="J5022" s="845" t="s">
        <v>1811</v>
      </c>
    </row>
    <row r="5023" spans="1:10" x14ac:dyDescent="0.2">
      <c r="A5023" s="859">
        <f t="shared" si="78"/>
        <v>5022</v>
      </c>
      <c r="B5023" s="845" t="s">
        <v>2558</v>
      </c>
      <c r="D5023" s="862"/>
      <c r="I5023" s="845" t="s">
        <v>1009</v>
      </c>
    </row>
    <row r="5024" spans="1:10" x14ac:dyDescent="0.2">
      <c r="A5024" s="859">
        <f t="shared" si="78"/>
        <v>5023</v>
      </c>
      <c r="B5024" s="845" t="s">
        <v>2558</v>
      </c>
      <c r="D5024" s="862"/>
      <c r="I5024" s="845" t="str">
        <f>CONCATENATE("&lt;valeur&gt;",Cellule_1532,"&lt;/valeur&gt;")</f>
        <v>&lt;valeur&gt;0&lt;/valeur&gt;</v>
      </c>
    </row>
    <row r="5025" spans="1:10" x14ac:dyDescent="0.2">
      <c r="A5025" s="859">
        <f t="shared" si="78"/>
        <v>5024</v>
      </c>
      <c r="B5025" s="845" t="s">
        <v>2558</v>
      </c>
      <c r="D5025" s="861"/>
      <c r="H5025" s="845" t="s">
        <v>1010</v>
      </c>
    </row>
    <row r="5026" spans="1:10" x14ac:dyDescent="0.2">
      <c r="A5026" s="859">
        <f t="shared" si="78"/>
        <v>5025</v>
      </c>
      <c r="B5026" s="845" t="s">
        <v>2558</v>
      </c>
      <c r="D5026" s="861"/>
      <c r="H5026" s="845" t="s">
        <v>1007</v>
      </c>
    </row>
    <row r="5027" spans="1:10" x14ac:dyDescent="0.2">
      <c r="A5027" s="859">
        <f t="shared" si="78"/>
        <v>5026</v>
      </c>
      <c r="B5027" s="845" t="s">
        <v>2558</v>
      </c>
      <c r="D5027" s="862"/>
      <c r="I5027" s="845" t="s">
        <v>1008</v>
      </c>
    </row>
    <row r="5028" spans="1:10" x14ac:dyDescent="0.2">
      <c r="A5028" s="859">
        <f t="shared" si="78"/>
        <v>5027</v>
      </c>
      <c r="B5028" s="845" t="s">
        <v>2558</v>
      </c>
      <c r="D5028" s="863"/>
      <c r="J5028" s="845" t="s">
        <v>1812</v>
      </c>
    </row>
    <row r="5029" spans="1:10" x14ac:dyDescent="0.2">
      <c r="A5029" s="859">
        <f t="shared" si="78"/>
        <v>5028</v>
      </c>
      <c r="B5029" s="845" t="s">
        <v>2558</v>
      </c>
      <c r="D5029" s="862"/>
      <c r="I5029" s="845" t="s">
        <v>1009</v>
      </c>
    </row>
    <row r="5030" spans="1:10" x14ac:dyDescent="0.2">
      <c r="A5030" s="859">
        <f t="shared" si="78"/>
        <v>5029</v>
      </c>
      <c r="B5030" s="845" t="s">
        <v>2558</v>
      </c>
      <c r="D5030" s="862"/>
      <c r="I5030" s="845" t="str">
        <f>CONCATENATE("&lt;valeur&gt;",Cellule_1533,"&lt;/valeur&gt;")</f>
        <v>&lt;valeur&gt;&lt;/valeur&gt;</v>
      </c>
    </row>
    <row r="5031" spans="1:10" x14ac:dyDescent="0.2">
      <c r="A5031" s="859">
        <f t="shared" si="78"/>
        <v>5030</v>
      </c>
      <c r="B5031" s="845" t="s">
        <v>2558</v>
      </c>
      <c r="D5031" s="861"/>
      <c r="H5031" s="845" t="s">
        <v>1010</v>
      </c>
    </row>
    <row r="5032" spans="1:10" x14ac:dyDescent="0.2">
      <c r="A5032" s="859">
        <f t="shared" si="78"/>
        <v>5031</v>
      </c>
      <c r="B5032" s="845" t="s">
        <v>2558</v>
      </c>
      <c r="D5032" s="861"/>
      <c r="H5032" s="845" t="s">
        <v>1007</v>
      </c>
    </row>
    <row r="5033" spans="1:10" x14ac:dyDescent="0.2">
      <c r="A5033" s="859">
        <f t="shared" si="78"/>
        <v>5032</v>
      </c>
      <c r="B5033" s="845" t="s">
        <v>2558</v>
      </c>
      <c r="D5033" s="862"/>
      <c r="I5033" s="845" t="s">
        <v>1008</v>
      </c>
    </row>
    <row r="5034" spans="1:10" x14ac:dyDescent="0.2">
      <c r="A5034" s="859">
        <f t="shared" si="78"/>
        <v>5033</v>
      </c>
      <c r="B5034" s="845" t="s">
        <v>2558</v>
      </c>
      <c r="D5034" s="863"/>
      <c r="J5034" s="845" t="s">
        <v>1813</v>
      </c>
    </row>
    <row r="5035" spans="1:10" x14ac:dyDescent="0.2">
      <c r="A5035" s="859">
        <f t="shared" si="78"/>
        <v>5034</v>
      </c>
      <c r="B5035" s="845" t="s">
        <v>2558</v>
      </c>
      <c r="D5035" s="862"/>
      <c r="I5035" s="845" t="s">
        <v>1009</v>
      </c>
    </row>
    <row r="5036" spans="1:10" x14ac:dyDescent="0.2">
      <c r="A5036" s="859">
        <f t="shared" si="78"/>
        <v>5035</v>
      </c>
      <c r="B5036" s="845" t="s">
        <v>2558</v>
      </c>
      <c r="D5036" s="862"/>
      <c r="I5036" s="845" t="str">
        <f>CONCATENATE("&lt;valeur&gt;",Cellule_1534,"&lt;/valeur&gt;")</f>
        <v>&lt;valeur&gt;0&lt;/valeur&gt;</v>
      </c>
    </row>
    <row r="5037" spans="1:10" x14ac:dyDescent="0.2">
      <c r="A5037" s="859">
        <f t="shared" si="78"/>
        <v>5036</v>
      </c>
      <c r="B5037" s="845" t="s">
        <v>2558</v>
      </c>
      <c r="D5037" s="861"/>
      <c r="H5037" s="845" t="s">
        <v>1010</v>
      </c>
    </row>
    <row r="5038" spans="1:10" x14ac:dyDescent="0.2">
      <c r="A5038" s="859">
        <f t="shared" si="78"/>
        <v>5037</v>
      </c>
      <c r="B5038" s="845" t="s">
        <v>2558</v>
      </c>
      <c r="D5038" s="861"/>
      <c r="H5038" s="845" t="s">
        <v>1007</v>
      </c>
    </row>
    <row r="5039" spans="1:10" x14ac:dyDescent="0.2">
      <c r="A5039" s="859">
        <f t="shared" si="78"/>
        <v>5038</v>
      </c>
      <c r="B5039" s="845" t="s">
        <v>2558</v>
      </c>
      <c r="D5039" s="862"/>
      <c r="I5039" s="845" t="s">
        <v>1008</v>
      </c>
    </row>
    <row r="5040" spans="1:10" x14ac:dyDescent="0.2">
      <c r="A5040" s="859">
        <f t="shared" si="78"/>
        <v>5039</v>
      </c>
      <c r="B5040" s="845" t="s">
        <v>2558</v>
      </c>
      <c r="D5040" s="863"/>
      <c r="J5040" s="845" t="s">
        <v>1814</v>
      </c>
    </row>
    <row r="5041" spans="1:10" x14ac:dyDescent="0.2">
      <c r="A5041" s="859">
        <f t="shared" si="78"/>
        <v>5040</v>
      </c>
      <c r="B5041" s="845" t="s">
        <v>2558</v>
      </c>
      <c r="D5041" s="862"/>
      <c r="I5041" s="845" t="s">
        <v>1009</v>
      </c>
    </row>
    <row r="5042" spans="1:10" x14ac:dyDescent="0.2">
      <c r="A5042" s="859">
        <f t="shared" si="78"/>
        <v>5041</v>
      </c>
      <c r="B5042" s="845" t="s">
        <v>2558</v>
      </c>
      <c r="D5042" s="862"/>
      <c r="I5042" s="845" t="str">
        <f>CONCATENATE("&lt;valeur&gt;",Cellule_1535,"&lt;/valeur&gt;")</f>
        <v>&lt;valeur&gt;0&lt;/valeur&gt;</v>
      </c>
    </row>
    <row r="5043" spans="1:10" x14ac:dyDescent="0.2">
      <c r="A5043" s="859">
        <f t="shared" si="78"/>
        <v>5042</v>
      </c>
      <c r="B5043" s="845" t="s">
        <v>2558</v>
      </c>
      <c r="D5043" s="861"/>
      <c r="H5043" s="845" t="s">
        <v>1010</v>
      </c>
    </row>
    <row r="5044" spans="1:10" x14ac:dyDescent="0.2">
      <c r="A5044" s="859">
        <f t="shared" si="78"/>
        <v>5043</v>
      </c>
      <c r="B5044" s="845" t="s">
        <v>2558</v>
      </c>
      <c r="D5044" s="861"/>
      <c r="H5044" s="845" t="s">
        <v>1007</v>
      </c>
    </row>
    <row r="5045" spans="1:10" x14ac:dyDescent="0.2">
      <c r="A5045" s="859">
        <f t="shared" si="78"/>
        <v>5044</v>
      </c>
      <c r="B5045" s="845" t="s">
        <v>2558</v>
      </c>
      <c r="D5045" s="862"/>
      <c r="I5045" s="845" t="s">
        <v>1008</v>
      </c>
    </row>
    <row r="5046" spans="1:10" x14ac:dyDescent="0.2">
      <c r="A5046" s="859">
        <f t="shared" si="78"/>
        <v>5045</v>
      </c>
      <c r="B5046" s="845" t="s">
        <v>2558</v>
      </c>
      <c r="D5046" s="863"/>
      <c r="J5046" s="845" t="s">
        <v>1815</v>
      </c>
    </row>
    <row r="5047" spans="1:10" x14ac:dyDescent="0.2">
      <c r="A5047" s="859">
        <f t="shared" si="78"/>
        <v>5046</v>
      </c>
      <c r="B5047" s="845" t="s">
        <v>2558</v>
      </c>
      <c r="D5047" s="862"/>
      <c r="I5047" s="845" t="s">
        <v>1009</v>
      </c>
    </row>
    <row r="5048" spans="1:10" x14ac:dyDescent="0.2">
      <c r="A5048" s="859">
        <f t="shared" si="78"/>
        <v>5047</v>
      </c>
      <c r="B5048" s="845" t="s">
        <v>2558</v>
      </c>
      <c r="D5048" s="862"/>
      <c r="I5048" s="845" t="str">
        <f>CONCATENATE("&lt;valeur&gt;",Cellule_1536,"&lt;/valeur&gt;")</f>
        <v>&lt;valeur&gt;0&lt;/valeur&gt;</v>
      </c>
    </row>
    <row r="5049" spans="1:10" x14ac:dyDescent="0.2">
      <c r="A5049" s="859">
        <f t="shared" si="78"/>
        <v>5048</v>
      </c>
      <c r="B5049" s="845" t="s">
        <v>2558</v>
      </c>
      <c r="D5049" s="861"/>
      <c r="H5049" s="845" t="s">
        <v>1010</v>
      </c>
    </row>
    <row r="5050" spans="1:10" x14ac:dyDescent="0.2">
      <c r="A5050" s="859">
        <f t="shared" si="78"/>
        <v>5049</v>
      </c>
      <c r="B5050" s="845" t="s">
        <v>2558</v>
      </c>
      <c r="D5050" s="861"/>
      <c r="H5050" s="845" t="s">
        <v>1007</v>
      </c>
    </row>
    <row r="5051" spans="1:10" x14ac:dyDescent="0.2">
      <c r="A5051" s="859">
        <f t="shared" si="78"/>
        <v>5050</v>
      </c>
      <c r="B5051" s="845" t="s">
        <v>2558</v>
      </c>
      <c r="D5051" s="862"/>
      <c r="I5051" s="845" t="s">
        <v>1008</v>
      </c>
    </row>
    <row r="5052" spans="1:10" x14ac:dyDescent="0.2">
      <c r="A5052" s="859">
        <f t="shared" si="78"/>
        <v>5051</v>
      </c>
      <c r="B5052" s="845" t="s">
        <v>2558</v>
      </c>
      <c r="D5052" s="863"/>
      <c r="J5052" s="845" t="s">
        <v>1816</v>
      </c>
    </row>
    <row r="5053" spans="1:10" x14ac:dyDescent="0.2">
      <c r="A5053" s="859">
        <f t="shared" si="78"/>
        <v>5052</v>
      </c>
      <c r="B5053" s="845" t="s">
        <v>2558</v>
      </c>
      <c r="D5053" s="862"/>
      <c r="I5053" s="845" t="s">
        <v>1009</v>
      </c>
    </row>
    <row r="5054" spans="1:10" x14ac:dyDescent="0.2">
      <c r="A5054" s="859">
        <f t="shared" si="78"/>
        <v>5053</v>
      </c>
      <c r="B5054" s="845" t="s">
        <v>2558</v>
      </c>
      <c r="D5054" s="862"/>
      <c r="I5054" s="845" t="str">
        <f>CONCATENATE("&lt;valeur&gt;",Cellule_1537,"&lt;/valeur&gt;")</f>
        <v>&lt;valeur&gt;0&lt;/valeur&gt;</v>
      </c>
    </row>
    <row r="5055" spans="1:10" x14ac:dyDescent="0.2">
      <c r="A5055" s="859">
        <f t="shared" si="78"/>
        <v>5054</v>
      </c>
      <c r="B5055" s="845" t="s">
        <v>2558</v>
      </c>
      <c r="D5055" s="861"/>
      <c r="H5055" s="845" t="s">
        <v>1010</v>
      </c>
    </row>
    <row r="5056" spans="1:10" x14ac:dyDescent="0.2">
      <c r="A5056" s="859">
        <f t="shared" si="78"/>
        <v>5055</v>
      </c>
      <c r="B5056" s="845" t="s">
        <v>2558</v>
      </c>
      <c r="D5056" s="861"/>
      <c r="H5056" s="845" t="s">
        <v>1007</v>
      </c>
    </row>
    <row r="5057" spans="1:10" x14ac:dyDescent="0.2">
      <c r="A5057" s="859">
        <f t="shared" si="78"/>
        <v>5056</v>
      </c>
      <c r="B5057" s="845" t="s">
        <v>2558</v>
      </c>
      <c r="D5057" s="862"/>
      <c r="I5057" s="845" t="s">
        <v>1008</v>
      </c>
    </row>
    <row r="5058" spans="1:10" x14ac:dyDescent="0.2">
      <c r="A5058" s="859">
        <f t="shared" si="78"/>
        <v>5057</v>
      </c>
      <c r="B5058" s="845" t="s">
        <v>2558</v>
      </c>
      <c r="D5058" s="863"/>
      <c r="J5058" s="845" t="s">
        <v>1817</v>
      </c>
    </row>
    <row r="5059" spans="1:10" x14ac:dyDescent="0.2">
      <c r="A5059" s="859">
        <f t="shared" si="78"/>
        <v>5058</v>
      </c>
      <c r="B5059" s="845" t="s">
        <v>2558</v>
      </c>
      <c r="D5059" s="862"/>
      <c r="I5059" s="845" t="s">
        <v>1009</v>
      </c>
    </row>
    <row r="5060" spans="1:10" x14ac:dyDescent="0.2">
      <c r="A5060" s="859">
        <f t="shared" ref="A5060:A5123" si="79">+A5059+1</f>
        <v>5059</v>
      </c>
      <c r="B5060" s="845" t="s">
        <v>2558</v>
      </c>
      <c r="D5060" s="862"/>
      <c r="I5060" s="845" t="str">
        <f>CONCATENATE("&lt;valeur&gt;",Cellule_1538,"&lt;/valeur&gt;")</f>
        <v>&lt;valeur&gt;0&lt;/valeur&gt;</v>
      </c>
    </row>
    <row r="5061" spans="1:10" x14ac:dyDescent="0.2">
      <c r="A5061" s="859">
        <f t="shared" si="79"/>
        <v>5060</v>
      </c>
      <c r="B5061" s="845" t="s">
        <v>2558</v>
      </c>
      <c r="D5061" s="861"/>
      <c r="H5061" s="845" t="s">
        <v>1010</v>
      </c>
    </row>
    <row r="5062" spans="1:10" x14ac:dyDescent="0.2">
      <c r="A5062" s="859">
        <f t="shared" si="79"/>
        <v>5061</v>
      </c>
      <c r="B5062" s="845" t="s">
        <v>2558</v>
      </c>
      <c r="D5062" s="861"/>
      <c r="H5062" s="845" t="s">
        <v>1007</v>
      </c>
    </row>
    <row r="5063" spans="1:10" x14ac:dyDescent="0.2">
      <c r="A5063" s="859">
        <f t="shared" si="79"/>
        <v>5062</v>
      </c>
      <c r="B5063" s="845" t="s">
        <v>2558</v>
      </c>
      <c r="D5063" s="862"/>
      <c r="I5063" s="845" t="s">
        <v>1008</v>
      </c>
    </row>
    <row r="5064" spans="1:10" x14ac:dyDescent="0.2">
      <c r="A5064" s="859">
        <f t="shared" si="79"/>
        <v>5063</v>
      </c>
      <c r="B5064" s="845" t="s">
        <v>2558</v>
      </c>
      <c r="D5064" s="863"/>
      <c r="J5064" s="845" t="s">
        <v>1818</v>
      </c>
    </row>
    <row r="5065" spans="1:10" x14ac:dyDescent="0.2">
      <c r="A5065" s="859">
        <f t="shared" si="79"/>
        <v>5064</v>
      </c>
      <c r="B5065" s="845" t="s">
        <v>2558</v>
      </c>
      <c r="D5065" s="862"/>
      <c r="I5065" s="845" t="s">
        <v>1009</v>
      </c>
    </row>
    <row r="5066" spans="1:10" x14ac:dyDescent="0.2">
      <c r="A5066" s="859">
        <f t="shared" si="79"/>
        <v>5065</v>
      </c>
      <c r="B5066" s="845" t="s">
        <v>2558</v>
      </c>
      <c r="D5066" s="862"/>
      <c r="I5066" s="845" t="str">
        <f>CONCATENATE("&lt;valeur&gt;",Cellule_1539,"&lt;/valeur&gt;")</f>
        <v>&lt;valeur&gt;0&lt;/valeur&gt;</v>
      </c>
    </row>
    <row r="5067" spans="1:10" x14ac:dyDescent="0.2">
      <c r="A5067" s="859">
        <f t="shared" si="79"/>
        <v>5066</v>
      </c>
      <c r="B5067" s="845" t="s">
        <v>2558</v>
      </c>
      <c r="D5067" s="861"/>
      <c r="H5067" s="845" t="s">
        <v>1010</v>
      </c>
    </row>
    <row r="5068" spans="1:10" x14ac:dyDescent="0.2">
      <c r="A5068" s="859">
        <f t="shared" si="79"/>
        <v>5067</v>
      </c>
      <c r="B5068" s="845" t="s">
        <v>2558</v>
      </c>
      <c r="D5068" s="861"/>
      <c r="H5068" s="845" t="s">
        <v>1007</v>
      </c>
    </row>
    <row r="5069" spans="1:10" x14ac:dyDescent="0.2">
      <c r="A5069" s="859">
        <f t="shared" si="79"/>
        <v>5068</v>
      </c>
      <c r="B5069" s="845" t="s">
        <v>2558</v>
      </c>
      <c r="D5069" s="862"/>
      <c r="I5069" s="845" t="s">
        <v>1008</v>
      </c>
    </row>
    <row r="5070" spans="1:10" x14ac:dyDescent="0.2">
      <c r="A5070" s="859">
        <f t="shared" si="79"/>
        <v>5069</v>
      </c>
      <c r="B5070" s="845" t="s">
        <v>2558</v>
      </c>
      <c r="D5070" s="863"/>
      <c r="J5070" s="845" t="s">
        <v>1819</v>
      </c>
    </row>
    <row r="5071" spans="1:10" x14ac:dyDescent="0.2">
      <c r="A5071" s="859">
        <f t="shared" si="79"/>
        <v>5070</v>
      </c>
      <c r="B5071" s="845" t="s">
        <v>2558</v>
      </c>
      <c r="D5071" s="862"/>
      <c r="I5071" s="845" t="s">
        <v>1009</v>
      </c>
    </row>
    <row r="5072" spans="1:10" x14ac:dyDescent="0.2">
      <c r="A5072" s="859">
        <f t="shared" si="79"/>
        <v>5071</v>
      </c>
      <c r="B5072" s="845" t="s">
        <v>2558</v>
      </c>
      <c r="D5072" s="862"/>
      <c r="I5072" s="845" t="str">
        <f>CONCATENATE("&lt;valeur&gt;",Cellule_1540,"&lt;/valeur&gt;")</f>
        <v>&lt;valeur&gt;0&lt;/valeur&gt;</v>
      </c>
    </row>
    <row r="5073" spans="1:10" x14ac:dyDescent="0.2">
      <c r="A5073" s="859">
        <f t="shared" si="79"/>
        <v>5072</v>
      </c>
      <c r="B5073" s="845" t="s">
        <v>2558</v>
      </c>
      <c r="D5073" s="861"/>
      <c r="H5073" s="845" t="s">
        <v>1010</v>
      </c>
    </row>
    <row r="5074" spans="1:10" x14ac:dyDescent="0.2">
      <c r="A5074" s="859">
        <f t="shared" si="79"/>
        <v>5073</v>
      </c>
      <c r="B5074" s="845" t="s">
        <v>2558</v>
      </c>
      <c r="D5074" s="861"/>
      <c r="H5074" s="845" t="s">
        <v>1007</v>
      </c>
    </row>
    <row r="5075" spans="1:10" x14ac:dyDescent="0.2">
      <c r="A5075" s="859">
        <f t="shared" si="79"/>
        <v>5074</v>
      </c>
      <c r="B5075" s="845" t="s">
        <v>2558</v>
      </c>
      <c r="D5075" s="862"/>
      <c r="I5075" s="845" t="s">
        <v>1008</v>
      </c>
    </row>
    <row r="5076" spans="1:10" x14ac:dyDescent="0.2">
      <c r="A5076" s="859">
        <f t="shared" si="79"/>
        <v>5075</v>
      </c>
      <c r="B5076" s="845" t="s">
        <v>2558</v>
      </c>
      <c r="D5076" s="863"/>
      <c r="J5076" s="845" t="s">
        <v>1820</v>
      </c>
    </row>
    <row r="5077" spans="1:10" x14ac:dyDescent="0.2">
      <c r="A5077" s="859">
        <f t="shared" si="79"/>
        <v>5076</v>
      </c>
      <c r="B5077" s="845" t="s">
        <v>2558</v>
      </c>
      <c r="D5077" s="862"/>
      <c r="I5077" s="845" t="s">
        <v>1009</v>
      </c>
    </row>
    <row r="5078" spans="1:10" x14ac:dyDescent="0.2">
      <c r="A5078" s="859">
        <f t="shared" si="79"/>
        <v>5077</v>
      </c>
      <c r="B5078" s="845" t="s">
        <v>2558</v>
      </c>
      <c r="D5078" s="862"/>
      <c r="I5078" s="845" t="str">
        <f>CONCATENATE("&lt;valeur&gt;",Cellule_1541,"&lt;/valeur&gt;")</f>
        <v>&lt;valeur&gt;0&lt;/valeur&gt;</v>
      </c>
    </row>
    <row r="5079" spans="1:10" x14ac:dyDescent="0.2">
      <c r="A5079" s="859">
        <f t="shared" si="79"/>
        <v>5078</v>
      </c>
      <c r="B5079" s="845" t="s">
        <v>2558</v>
      </c>
      <c r="D5079" s="861"/>
      <c r="H5079" s="845" t="s">
        <v>1010</v>
      </c>
    </row>
    <row r="5080" spans="1:10" x14ac:dyDescent="0.2">
      <c r="A5080" s="859">
        <f t="shared" si="79"/>
        <v>5079</v>
      </c>
      <c r="B5080" s="845" t="s">
        <v>2558</v>
      </c>
      <c r="D5080" s="861"/>
      <c r="H5080" s="845" t="s">
        <v>1007</v>
      </c>
    </row>
    <row r="5081" spans="1:10" x14ac:dyDescent="0.2">
      <c r="A5081" s="859">
        <f t="shared" si="79"/>
        <v>5080</v>
      </c>
      <c r="B5081" s="845" t="s">
        <v>2558</v>
      </c>
      <c r="D5081" s="862"/>
      <c r="I5081" s="845" t="s">
        <v>1008</v>
      </c>
    </row>
    <row r="5082" spans="1:10" x14ac:dyDescent="0.2">
      <c r="A5082" s="859">
        <f t="shared" si="79"/>
        <v>5081</v>
      </c>
      <c r="B5082" s="845" t="s">
        <v>2558</v>
      </c>
      <c r="D5082" s="863"/>
      <c r="J5082" s="845" t="s">
        <v>1821</v>
      </c>
    </row>
    <row r="5083" spans="1:10" x14ac:dyDescent="0.2">
      <c r="A5083" s="859">
        <f t="shared" si="79"/>
        <v>5082</v>
      </c>
      <c r="B5083" s="845" t="s">
        <v>2558</v>
      </c>
      <c r="D5083" s="862"/>
      <c r="I5083" s="845" t="s">
        <v>1009</v>
      </c>
    </row>
    <row r="5084" spans="1:10" x14ac:dyDescent="0.2">
      <c r="A5084" s="859">
        <f t="shared" si="79"/>
        <v>5083</v>
      </c>
      <c r="B5084" s="845" t="s">
        <v>2558</v>
      </c>
      <c r="D5084" s="862"/>
      <c r="I5084" s="845" t="str">
        <f>CONCATENATE("&lt;valeur&gt;",Cellule_1542,"&lt;/valeur&gt;")</f>
        <v>&lt;valeur&gt;0&lt;/valeur&gt;</v>
      </c>
    </row>
    <row r="5085" spans="1:10" x14ac:dyDescent="0.2">
      <c r="A5085" s="859">
        <f t="shared" si="79"/>
        <v>5084</v>
      </c>
      <c r="B5085" s="845" t="s">
        <v>2558</v>
      </c>
      <c r="D5085" s="861"/>
      <c r="H5085" s="845" t="s">
        <v>1010</v>
      </c>
    </row>
    <row r="5086" spans="1:10" x14ac:dyDescent="0.2">
      <c r="A5086" s="859">
        <f t="shared" si="79"/>
        <v>5085</v>
      </c>
      <c r="B5086" s="845" t="s">
        <v>2558</v>
      </c>
      <c r="D5086" s="861"/>
      <c r="H5086" s="845" t="s">
        <v>1007</v>
      </c>
    </row>
    <row r="5087" spans="1:10" x14ac:dyDescent="0.2">
      <c r="A5087" s="859">
        <f t="shared" si="79"/>
        <v>5086</v>
      </c>
      <c r="B5087" s="845" t="s">
        <v>2558</v>
      </c>
      <c r="D5087" s="862"/>
      <c r="I5087" s="845" t="s">
        <v>1008</v>
      </c>
    </row>
    <row r="5088" spans="1:10" x14ac:dyDescent="0.2">
      <c r="A5088" s="859">
        <f t="shared" si="79"/>
        <v>5087</v>
      </c>
      <c r="B5088" s="845" t="s">
        <v>2558</v>
      </c>
      <c r="D5088" s="863"/>
      <c r="J5088" s="845" t="s">
        <v>1822</v>
      </c>
    </row>
    <row r="5089" spans="1:10" x14ac:dyDescent="0.2">
      <c r="A5089" s="859">
        <f t="shared" si="79"/>
        <v>5088</v>
      </c>
      <c r="B5089" s="845" t="s">
        <v>2558</v>
      </c>
      <c r="D5089" s="862"/>
      <c r="I5089" s="845" t="s">
        <v>1009</v>
      </c>
    </row>
    <row r="5090" spans="1:10" x14ac:dyDescent="0.2">
      <c r="A5090" s="859">
        <f t="shared" si="79"/>
        <v>5089</v>
      </c>
      <c r="B5090" s="845" t="s">
        <v>2558</v>
      </c>
      <c r="D5090" s="862"/>
      <c r="I5090" s="845" t="str">
        <f>CONCATENATE("&lt;valeur&gt;",Cellule_1543,"&lt;/valeur&gt;")</f>
        <v>&lt;valeur&gt;0&lt;/valeur&gt;</v>
      </c>
    </row>
    <row r="5091" spans="1:10" x14ac:dyDescent="0.2">
      <c r="A5091" s="859">
        <f t="shared" si="79"/>
        <v>5090</v>
      </c>
      <c r="B5091" s="845" t="s">
        <v>2558</v>
      </c>
      <c r="D5091" s="861"/>
      <c r="H5091" s="845" t="s">
        <v>1010</v>
      </c>
    </row>
    <row r="5092" spans="1:10" x14ac:dyDescent="0.2">
      <c r="A5092" s="859">
        <f t="shared" si="79"/>
        <v>5091</v>
      </c>
      <c r="B5092" s="845" t="s">
        <v>2558</v>
      </c>
      <c r="D5092" s="861"/>
      <c r="H5092" s="845" t="s">
        <v>1007</v>
      </c>
    </row>
    <row r="5093" spans="1:10" x14ac:dyDescent="0.2">
      <c r="A5093" s="859">
        <f t="shared" si="79"/>
        <v>5092</v>
      </c>
      <c r="B5093" s="845" t="s">
        <v>2558</v>
      </c>
      <c r="D5093" s="862"/>
      <c r="I5093" s="845" t="s">
        <v>1008</v>
      </c>
    </row>
    <row r="5094" spans="1:10" x14ac:dyDescent="0.2">
      <c r="A5094" s="859">
        <f t="shared" si="79"/>
        <v>5093</v>
      </c>
      <c r="B5094" s="845" t="s">
        <v>2558</v>
      </c>
      <c r="D5094" s="863"/>
      <c r="J5094" s="845" t="s">
        <v>1823</v>
      </c>
    </row>
    <row r="5095" spans="1:10" x14ac:dyDescent="0.2">
      <c r="A5095" s="859">
        <f t="shared" si="79"/>
        <v>5094</v>
      </c>
      <c r="B5095" s="845" t="s">
        <v>2558</v>
      </c>
      <c r="D5095" s="862"/>
      <c r="I5095" s="845" t="s">
        <v>1009</v>
      </c>
    </row>
    <row r="5096" spans="1:10" x14ac:dyDescent="0.2">
      <c r="A5096" s="859">
        <f t="shared" si="79"/>
        <v>5095</v>
      </c>
      <c r="B5096" s="845" t="s">
        <v>2558</v>
      </c>
      <c r="D5096" s="862"/>
      <c r="I5096" s="845" t="str">
        <f>CONCATENATE("&lt;valeur&gt;",Cellule_1544,"&lt;/valeur&gt;")</f>
        <v>&lt;valeur&gt;0&lt;/valeur&gt;</v>
      </c>
    </row>
    <row r="5097" spans="1:10" x14ac:dyDescent="0.2">
      <c r="A5097" s="859">
        <f t="shared" si="79"/>
        <v>5096</v>
      </c>
      <c r="B5097" s="845" t="s">
        <v>2558</v>
      </c>
      <c r="D5097" s="861"/>
      <c r="H5097" s="845" t="s">
        <v>1010</v>
      </c>
    </row>
    <row r="5098" spans="1:10" x14ac:dyDescent="0.2">
      <c r="A5098" s="859">
        <f t="shared" si="79"/>
        <v>5097</v>
      </c>
      <c r="B5098" s="845" t="s">
        <v>2558</v>
      </c>
      <c r="D5098" s="861"/>
      <c r="H5098" s="845" t="s">
        <v>1007</v>
      </c>
    </row>
    <row r="5099" spans="1:10" x14ac:dyDescent="0.2">
      <c r="A5099" s="859">
        <f t="shared" si="79"/>
        <v>5098</v>
      </c>
      <c r="B5099" s="845" t="s">
        <v>2558</v>
      </c>
      <c r="D5099" s="862"/>
      <c r="I5099" s="845" t="s">
        <v>1008</v>
      </c>
    </row>
    <row r="5100" spans="1:10" x14ac:dyDescent="0.2">
      <c r="A5100" s="859">
        <f t="shared" si="79"/>
        <v>5099</v>
      </c>
      <c r="B5100" s="845" t="s">
        <v>2558</v>
      </c>
      <c r="D5100" s="863"/>
      <c r="J5100" s="845" t="s">
        <v>1824</v>
      </c>
    </row>
    <row r="5101" spans="1:10" x14ac:dyDescent="0.2">
      <c r="A5101" s="859">
        <f t="shared" si="79"/>
        <v>5100</v>
      </c>
      <c r="B5101" s="845" t="s">
        <v>2558</v>
      </c>
      <c r="D5101" s="862"/>
      <c r="I5101" s="845" t="s">
        <v>1009</v>
      </c>
    </row>
    <row r="5102" spans="1:10" x14ac:dyDescent="0.2">
      <c r="A5102" s="859">
        <f t="shared" si="79"/>
        <v>5101</v>
      </c>
      <c r="B5102" s="845" t="s">
        <v>2558</v>
      </c>
      <c r="D5102" s="862"/>
      <c r="I5102" s="845" t="str">
        <f>CONCATENATE("&lt;valeur&gt;",Cellule_1545,"&lt;/valeur&gt;")</f>
        <v>&lt;valeur&gt;&lt;/valeur&gt;</v>
      </c>
    </row>
    <row r="5103" spans="1:10" x14ac:dyDescent="0.2">
      <c r="A5103" s="859">
        <f t="shared" si="79"/>
        <v>5102</v>
      </c>
      <c r="B5103" s="845" t="s">
        <v>2558</v>
      </c>
      <c r="D5103" s="861"/>
      <c r="H5103" s="845" t="s">
        <v>1010</v>
      </c>
    </row>
    <row r="5104" spans="1:10" x14ac:dyDescent="0.2">
      <c r="A5104" s="859">
        <f t="shared" si="79"/>
        <v>5103</v>
      </c>
      <c r="B5104" s="845" t="s">
        <v>2558</v>
      </c>
      <c r="D5104" s="861"/>
      <c r="H5104" s="845" t="s">
        <v>1007</v>
      </c>
    </row>
    <row r="5105" spans="1:10" x14ac:dyDescent="0.2">
      <c r="A5105" s="859">
        <f t="shared" si="79"/>
        <v>5104</v>
      </c>
      <c r="B5105" s="845" t="s">
        <v>2558</v>
      </c>
      <c r="D5105" s="862"/>
      <c r="I5105" s="845" t="s">
        <v>1008</v>
      </c>
    </row>
    <row r="5106" spans="1:10" x14ac:dyDescent="0.2">
      <c r="A5106" s="859">
        <f t="shared" si="79"/>
        <v>5105</v>
      </c>
      <c r="B5106" s="845" t="s">
        <v>2558</v>
      </c>
      <c r="D5106" s="863"/>
      <c r="J5106" s="845" t="s">
        <v>1825</v>
      </c>
    </row>
    <row r="5107" spans="1:10" x14ac:dyDescent="0.2">
      <c r="A5107" s="859">
        <f t="shared" si="79"/>
        <v>5106</v>
      </c>
      <c r="B5107" s="845" t="s">
        <v>2558</v>
      </c>
      <c r="D5107" s="862"/>
      <c r="I5107" s="845" t="s">
        <v>1009</v>
      </c>
    </row>
    <row r="5108" spans="1:10" x14ac:dyDescent="0.2">
      <c r="A5108" s="859">
        <f t="shared" si="79"/>
        <v>5107</v>
      </c>
      <c r="B5108" s="845" t="s">
        <v>2558</v>
      </c>
      <c r="D5108" s="862"/>
      <c r="I5108" s="845" t="str">
        <f>CONCATENATE("&lt;valeur&gt;",Cellule_1546,"&lt;/valeur&gt;")</f>
        <v>&lt;valeur&gt;0&lt;/valeur&gt;</v>
      </c>
    </row>
    <row r="5109" spans="1:10" x14ac:dyDescent="0.2">
      <c r="A5109" s="859">
        <f t="shared" si="79"/>
        <v>5108</v>
      </c>
      <c r="B5109" s="845" t="s">
        <v>2558</v>
      </c>
      <c r="D5109" s="861"/>
      <c r="H5109" s="845" t="s">
        <v>1010</v>
      </c>
    </row>
    <row r="5110" spans="1:10" x14ac:dyDescent="0.2">
      <c r="A5110" s="859">
        <f t="shared" si="79"/>
        <v>5109</v>
      </c>
      <c r="B5110" s="845" t="s">
        <v>2558</v>
      </c>
      <c r="D5110" s="861"/>
      <c r="H5110" s="845" t="s">
        <v>1007</v>
      </c>
    </row>
    <row r="5111" spans="1:10" x14ac:dyDescent="0.2">
      <c r="A5111" s="859">
        <f t="shared" si="79"/>
        <v>5110</v>
      </c>
      <c r="B5111" s="845" t="s">
        <v>2558</v>
      </c>
      <c r="D5111" s="862"/>
      <c r="I5111" s="845" t="s">
        <v>1008</v>
      </c>
    </row>
    <row r="5112" spans="1:10" x14ac:dyDescent="0.2">
      <c r="A5112" s="859">
        <f t="shared" si="79"/>
        <v>5111</v>
      </c>
      <c r="B5112" s="845" t="s">
        <v>2558</v>
      </c>
      <c r="D5112" s="863"/>
      <c r="J5112" s="845" t="s">
        <v>1826</v>
      </c>
    </row>
    <row r="5113" spans="1:10" x14ac:dyDescent="0.2">
      <c r="A5113" s="859">
        <f t="shared" si="79"/>
        <v>5112</v>
      </c>
      <c r="B5113" s="845" t="s">
        <v>2558</v>
      </c>
      <c r="D5113" s="862"/>
      <c r="I5113" s="845" t="s">
        <v>1009</v>
      </c>
    </row>
    <row r="5114" spans="1:10" x14ac:dyDescent="0.2">
      <c r="A5114" s="859">
        <f t="shared" si="79"/>
        <v>5113</v>
      </c>
      <c r="B5114" s="845" t="s">
        <v>2558</v>
      </c>
      <c r="D5114" s="862"/>
      <c r="I5114" s="845" t="str">
        <f>CONCATENATE("&lt;valeur&gt;",Cellule_1547,"&lt;/valeur&gt;")</f>
        <v>&lt;valeur&gt;0&lt;/valeur&gt;</v>
      </c>
    </row>
    <row r="5115" spans="1:10" x14ac:dyDescent="0.2">
      <c r="A5115" s="859">
        <f t="shared" si="79"/>
        <v>5114</v>
      </c>
      <c r="B5115" s="845" t="s">
        <v>2558</v>
      </c>
      <c r="D5115" s="861"/>
      <c r="H5115" s="845" t="s">
        <v>1010</v>
      </c>
    </row>
    <row r="5116" spans="1:10" x14ac:dyDescent="0.2">
      <c r="A5116" s="859">
        <f t="shared" si="79"/>
        <v>5115</v>
      </c>
      <c r="B5116" s="845" t="s">
        <v>2558</v>
      </c>
      <c r="D5116" s="861"/>
      <c r="H5116" s="845" t="s">
        <v>1007</v>
      </c>
    </row>
    <row r="5117" spans="1:10" x14ac:dyDescent="0.2">
      <c r="A5117" s="859">
        <f t="shared" si="79"/>
        <v>5116</v>
      </c>
      <c r="B5117" s="845" t="s">
        <v>2558</v>
      </c>
      <c r="D5117" s="862"/>
      <c r="I5117" s="845" t="s">
        <v>1008</v>
      </c>
    </row>
    <row r="5118" spans="1:10" x14ac:dyDescent="0.2">
      <c r="A5118" s="859">
        <f t="shared" si="79"/>
        <v>5117</v>
      </c>
      <c r="B5118" s="845" t="s">
        <v>2558</v>
      </c>
      <c r="D5118" s="863"/>
      <c r="J5118" s="845" t="s">
        <v>1827</v>
      </c>
    </row>
    <row r="5119" spans="1:10" x14ac:dyDescent="0.2">
      <c r="A5119" s="859">
        <f t="shared" si="79"/>
        <v>5118</v>
      </c>
      <c r="B5119" s="845" t="s">
        <v>2558</v>
      </c>
      <c r="D5119" s="862"/>
      <c r="I5119" s="845" t="s">
        <v>1009</v>
      </c>
    </row>
    <row r="5120" spans="1:10" x14ac:dyDescent="0.2">
      <c r="A5120" s="859">
        <f t="shared" si="79"/>
        <v>5119</v>
      </c>
      <c r="B5120" s="845" t="s">
        <v>2558</v>
      </c>
      <c r="D5120" s="862"/>
      <c r="I5120" s="845" t="str">
        <f>CONCATENATE("&lt;valeur&gt;",Cellule_1548,"&lt;/valeur&gt;")</f>
        <v>&lt;valeur&gt;0&lt;/valeur&gt;</v>
      </c>
    </row>
    <row r="5121" spans="1:10" x14ac:dyDescent="0.2">
      <c r="A5121" s="859">
        <f t="shared" si="79"/>
        <v>5120</v>
      </c>
      <c r="B5121" s="845" t="s">
        <v>2558</v>
      </c>
      <c r="D5121" s="861"/>
      <c r="H5121" s="845" t="s">
        <v>1010</v>
      </c>
    </row>
    <row r="5122" spans="1:10" x14ac:dyDescent="0.2">
      <c r="A5122" s="859">
        <f t="shared" si="79"/>
        <v>5121</v>
      </c>
      <c r="B5122" s="845" t="s">
        <v>2558</v>
      </c>
      <c r="D5122" s="861"/>
      <c r="H5122" s="845" t="s">
        <v>1007</v>
      </c>
    </row>
    <row r="5123" spans="1:10" x14ac:dyDescent="0.2">
      <c r="A5123" s="859">
        <f t="shared" si="79"/>
        <v>5122</v>
      </c>
      <c r="B5123" s="845" t="s">
        <v>2558</v>
      </c>
      <c r="D5123" s="862"/>
      <c r="I5123" s="845" t="s">
        <v>1008</v>
      </c>
    </row>
    <row r="5124" spans="1:10" x14ac:dyDescent="0.2">
      <c r="A5124" s="859">
        <f t="shared" ref="A5124:A5187" si="80">+A5123+1</f>
        <v>5123</v>
      </c>
      <c r="B5124" s="845" t="s">
        <v>2558</v>
      </c>
      <c r="D5124" s="863"/>
      <c r="J5124" s="845" t="s">
        <v>1828</v>
      </c>
    </row>
    <row r="5125" spans="1:10" x14ac:dyDescent="0.2">
      <c r="A5125" s="859">
        <f t="shared" si="80"/>
        <v>5124</v>
      </c>
      <c r="B5125" s="845" t="s">
        <v>2558</v>
      </c>
      <c r="D5125" s="862"/>
      <c r="I5125" s="845" t="s">
        <v>1009</v>
      </c>
    </row>
    <row r="5126" spans="1:10" x14ac:dyDescent="0.2">
      <c r="A5126" s="859">
        <f t="shared" si="80"/>
        <v>5125</v>
      </c>
      <c r="B5126" s="845" t="s">
        <v>2558</v>
      </c>
      <c r="D5126" s="862"/>
      <c r="I5126" s="845" t="str">
        <f>CONCATENATE("&lt;valeur&gt;",Cellule_1549,"&lt;/valeur&gt;")</f>
        <v>&lt;valeur&gt;0&lt;/valeur&gt;</v>
      </c>
    </row>
    <row r="5127" spans="1:10" x14ac:dyDescent="0.2">
      <c r="A5127" s="859">
        <f t="shared" si="80"/>
        <v>5126</v>
      </c>
      <c r="B5127" s="845" t="s">
        <v>2558</v>
      </c>
      <c r="D5127" s="861"/>
      <c r="H5127" s="845" t="s">
        <v>1010</v>
      </c>
    </row>
    <row r="5128" spans="1:10" x14ac:dyDescent="0.2">
      <c r="A5128" s="859">
        <f t="shared" si="80"/>
        <v>5127</v>
      </c>
      <c r="B5128" s="845" t="s">
        <v>2558</v>
      </c>
      <c r="D5128" s="861"/>
      <c r="H5128" s="845" t="s">
        <v>1007</v>
      </c>
    </row>
    <row r="5129" spans="1:10" x14ac:dyDescent="0.2">
      <c r="A5129" s="859">
        <f t="shared" si="80"/>
        <v>5128</v>
      </c>
      <c r="B5129" s="845" t="s">
        <v>2558</v>
      </c>
      <c r="D5129" s="862"/>
      <c r="I5129" s="845" t="s">
        <v>1008</v>
      </c>
    </row>
    <row r="5130" spans="1:10" x14ac:dyDescent="0.2">
      <c r="A5130" s="859">
        <f t="shared" si="80"/>
        <v>5129</v>
      </c>
      <c r="B5130" s="845" t="s">
        <v>2558</v>
      </c>
      <c r="D5130" s="863"/>
      <c r="J5130" s="845" t="s">
        <v>1829</v>
      </c>
    </row>
    <row r="5131" spans="1:10" x14ac:dyDescent="0.2">
      <c r="A5131" s="859">
        <f t="shared" si="80"/>
        <v>5130</v>
      </c>
      <c r="B5131" s="845" t="s">
        <v>2558</v>
      </c>
      <c r="D5131" s="862"/>
      <c r="I5131" s="845" t="s">
        <v>1009</v>
      </c>
    </row>
    <row r="5132" spans="1:10" x14ac:dyDescent="0.2">
      <c r="A5132" s="859">
        <f t="shared" si="80"/>
        <v>5131</v>
      </c>
      <c r="B5132" s="845" t="s">
        <v>2558</v>
      </c>
      <c r="D5132" s="862"/>
      <c r="I5132" s="845" t="str">
        <f>CONCATENATE("&lt;valeur&gt;",Cellule_1552,"&lt;/valeur&gt;")</f>
        <v>&lt;valeur&gt;0&lt;/valeur&gt;</v>
      </c>
    </row>
    <row r="5133" spans="1:10" x14ac:dyDescent="0.2">
      <c r="A5133" s="859">
        <f t="shared" si="80"/>
        <v>5132</v>
      </c>
      <c r="B5133" s="845" t="s">
        <v>2558</v>
      </c>
      <c r="D5133" s="861"/>
      <c r="H5133" s="845" t="s">
        <v>1010</v>
      </c>
    </row>
    <row r="5134" spans="1:10" x14ac:dyDescent="0.2">
      <c r="A5134" s="859">
        <f t="shared" si="80"/>
        <v>5133</v>
      </c>
      <c r="B5134" s="845" t="s">
        <v>2558</v>
      </c>
      <c r="D5134" s="861"/>
      <c r="H5134" s="845" t="s">
        <v>1007</v>
      </c>
    </row>
    <row r="5135" spans="1:10" x14ac:dyDescent="0.2">
      <c r="A5135" s="859">
        <f t="shared" si="80"/>
        <v>5134</v>
      </c>
      <c r="B5135" s="845" t="s">
        <v>2558</v>
      </c>
      <c r="D5135" s="862"/>
      <c r="I5135" s="845" t="s">
        <v>1008</v>
      </c>
    </row>
    <row r="5136" spans="1:10" x14ac:dyDescent="0.2">
      <c r="A5136" s="859">
        <f t="shared" si="80"/>
        <v>5135</v>
      </c>
      <c r="B5136" s="845" t="s">
        <v>2558</v>
      </c>
      <c r="D5136" s="863"/>
      <c r="J5136" s="845" t="s">
        <v>1830</v>
      </c>
    </row>
    <row r="5137" spans="1:10" x14ac:dyDescent="0.2">
      <c r="A5137" s="859">
        <f t="shared" si="80"/>
        <v>5136</v>
      </c>
      <c r="B5137" s="845" t="s">
        <v>2558</v>
      </c>
      <c r="D5137" s="862"/>
      <c r="I5137" s="845" t="s">
        <v>1009</v>
      </c>
    </row>
    <row r="5138" spans="1:10" x14ac:dyDescent="0.2">
      <c r="A5138" s="859">
        <f t="shared" si="80"/>
        <v>5137</v>
      </c>
      <c r="B5138" s="845" t="s">
        <v>2558</v>
      </c>
      <c r="D5138" s="862"/>
      <c r="I5138" s="845" t="str">
        <f>CONCATENATE("&lt;valeur&gt;",Cellule_1553,"&lt;/valeur&gt;")</f>
        <v>&lt;valeur&gt;0&lt;/valeur&gt;</v>
      </c>
    </row>
    <row r="5139" spans="1:10" x14ac:dyDescent="0.2">
      <c r="A5139" s="859">
        <f t="shared" si="80"/>
        <v>5138</v>
      </c>
      <c r="B5139" s="845" t="s">
        <v>2558</v>
      </c>
      <c r="D5139" s="861"/>
      <c r="H5139" s="845" t="s">
        <v>1010</v>
      </c>
    </row>
    <row r="5140" spans="1:10" x14ac:dyDescent="0.2">
      <c r="A5140" s="859">
        <f t="shared" si="80"/>
        <v>5139</v>
      </c>
      <c r="B5140" s="845" t="s">
        <v>2558</v>
      </c>
      <c r="D5140" s="861"/>
      <c r="H5140" s="845" t="s">
        <v>1007</v>
      </c>
    </row>
    <row r="5141" spans="1:10" x14ac:dyDescent="0.2">
      <c r="A5141" s="859">
        <f t="shared" si="80"/>
        <v>5140</v>
      </c>
      <c r="B5141" s="845" t="s">
        <v>2558</v>
      </c>
      <c r="D5141" s="862"/>
      <c r="I5141" s="845" t="s">
        <v>1008</v>
      </c>
    </row>
    <row r="5142" spans="1:10" x14ac:dyDescent="0.2">
      <c r="A5142" s="859">
        <f t="shared" si="80"/>
        <v>5141</v>
      </c>
      <c r="B5142" s="845" t="s">
        <v>2558</v>
      </c>
      <c r="D5142" s="863"/>
      <c r="J5142" s="845" t="s">
        <v>1831</v>
      </c>
    </row>
    <row r="5143" spans="1:10" x14ac:dyDescent="0.2">
      <c r="A5143" s="859">
        <f t="shared" si="80"/>
        <v>5142</v>
      </c>
      <c r="B5143" s="845" t="s">
        <v>2558</v>
      </c>
      <c r="D5143" s="862"/>
      <c r="I5143" s="845" t="s">
        <v>1009</v>
      </c>
    </row>
    <row r="5144" spans="1:10" x14ac:dyDescent="0.2">
      <c r="A5144" s="859">
        <f t="shared" si="80"/>
        <v>5143</v>
      </c>
      <c r="B5144" s="845" t="s">
        <v>2558</v>
      </c>
      <c r="D5144" s="862"/>
      <c r="I5144" s="845" t="str">
        <f>CONCATENATE("&lt;valeur&gt;",Cellule_1550,"&lt;/valeur&gt;")</f>
        <v>&lt;valeur&gt;&lt;/valeur&gt;</v>
      </c>
    </row>
    <row r="5145" spans="1:10" x14ac:dyDescent="0.2">
      <c r="A5145" s="859">
        <f t="shared" si="80"/>
        <v>5144</v>
      </c>
      <c r="B5145" s="845" t="s">
        <v>2558</v>
      </c>
      <c r="D5145" s="861"/>
      <c r="H5145" s="845" t="s">
        <v>1010</v>
      </c>
    </row>
    <row r="5146" spans="1:10" x14ac:dyDescent="0.2">
      <c r="A5146" s="859">
        <f t="shared" si="80"/>
        <v>5145</v>
      </c>
      <c r="B5146" s="845" t="s">
        <v>2558</v>
      </c>
      <c r="D5146" s="861"/>
      <c r="H5146" s="845" t="s">
        <v>1007</v>
      </c>
    </row>
    <row r="5147" spans="1:10" x14ac:dyDescent="0.2">
      <c r="A5147" s="859">
        <f t="shared" si="80"/>
        <v>5146</v>
      </c>
      <c r="B5147" s="845" t="s">
        <v>2558</v>
      </c>
      <c r="D5147" s="862"/>
      <c r="I5147" s="845" t="s">
        <v>1008</v>
      </c>
    </row>
    <row r="5148" spans="1:10" x14ac:dyDescent="0.2">
      <c r="A5148" s="859">
        <f t="shared" si="80"/>
        <v>5147</v>
      </c>
      <c r="B5148" s="845" t="s">
        <v>2558</v>
      </c>
      <c r="D5148" s="863"/>
      <c r="J5148" s="845" t="s">
        <v>1832</v>
      </c>
    </row>
    <row r="5149" spans="1:10" x14ac:dyDescent="0.2">
      <c r="A5149" s="859">
        <f t="shared" si="80"/>
        <v>5148</v>
      </c>
      <c r="B5149" s="845" t="s">
        <v>2558</v>
      </c>
      <c r="D5149" s="862"/>
      <c r="I5149" s="845" t="s">
        <v>1009</v>
      </c>
    </row>
    <row r="5150" spans="1:10" x14ac:dyDescent="0.2">
      <c r="A5150" s="859">
        <f t="shared" si="80"/>
        <v>5149</v>
      </c>
      <c r="B5150" s="845" t="s">
        <v>2558</v>
      </c>
      <c r="D5150" s="862"/>
      <c r="I5150" s="845" t="str">
        <f>CONCATENATE("&lt;valeur&gt;",Cellule_1551,"&lt;/valeur&gt;")</f>
        <v>&lt;valeur&gt;0&lt;/valeur&gt;</v>
      </c>
    </row>
    <row r="5151" spans="1:10" x14ac:dyDescent="0.2">
      <c r="A5151" s="859">
        <f t="shared" si="80"/>
        <v>5150</v>
      </c>
      <c r="B5151" s="845" t="s">
        <v>2558</v>
      </c>
      <c r="D5151" s="861"/>
      <c r="H5151" s="845" t="s">
        <v>1010</v>
      </c>
    </row>
    <row r="5152" spans="1:10" x14ac:dyDescent="0.2">
      <c r="A5152" s="859">
        <f t="shared" si="80"/>
        <v>5151</v>
      </c>
      <c r="B5152" s="845" t="s">
        <v>2558</v>
      </c>
      <c r="D5152" s="861"/>
      <c r="H5152" s="845" t="s">
        <v>1007</v>
      </c>
    </row>
    <row r="5153" spans="1:10" x14ac:dyDescent="0.2">
      <c r="A5153" s="859">
        <f t="shared" si="80"/>
        <v>5152</v>
      </c>
      <c r="B5153" s="845" t="s">
        <v>2558</v>
      </c>
      <c r="D5153" s="862"/>
      <c r="I5153" s="845" t="s">
        <v>1008</v>
      </c>
    </row>
    <row r="5154" spans="1:10" x14ac:dyDescent="0.2">
      <c r="A5154" s="859">
        <f t="shared" si="80"/>
        <v>5153</v>
      </c>
      <c r="B5154" s="845" t="s">
        <v>2558</v>
      </c>
      <c r="D5154" s="863"/>
      <c r="J5154" s="845" t="s">
        <v>1833</v>
      </c>
    </row>
    <row r="5155" spans="1:10" x14ac:dyDescent="0.2">
      <c r="A5155" s="859">
        <f t="shared" si="80"/>
        <v>5154</v>
      </c>
      <c r="B5155" s="845" t="s">
        <v>2558</v>
      </c>
      <c r="D5155" s="862"/>
      <c r="I5155" s="845" t="s">
        <v>1009</v>
      </c>
    </row>
    <row r="5156" spans="1:10" x14ac:dyDescent="0.2">
      <c r="A5156" s="859">
        <f t="shared" si="80"/>
        <v>5155</v>
      </c>
      <c r="B5156" s="845" t="s">
        <v>2558</v>
      </c>
      <c r="D5156" s="862"/>
      <c r="I5156" s="845" t="str">
        <f>CONCATENATE("&lt;valeur&gt;",Cellule_1733,"&lt;/valeur&gt;")</f>
        <v>&lt;valeur&gt;0&lt;/valeur&gt;</v>
      </c>
    </row>
    <row r="5157" spans="1:10" x14ac:dyDescent="0.2">
      <c r="A5157" s="859">
        <f t="shared" si="80"/>
        <v>5156</v>
      </c>
      <c r="B5157" s="845" t="s">
        <v>2558</v>
      </c>
      <c r="D5157" s="861"/>
      <c r="H5157" s="845" t="s">
        <v>1010</v>
      </c>
    </row>
    <row r="5158" spans="1:10" x14ac:dyDescent="0.2">
      <c r="A5158" s="859">
        <f t="shared" si="80"/>
        <v>5157</v>
      </c>
      <c r="B5158" s="845" t="s">
        <v>2558</v>
      </c>
      <c r="D5158" s="861"/>
      <c r="H5158" s="845" t="s">
        <v>1007</v>
      </c>
    </row>
    <row r="5159" spans="1:10" x14ac:dyDescent="0.2">
      <c r="A5159" s="859">
        <f t="shared" si="80"/>
        <v>5158</v>
      </c>
      <c r="B5159" s="845" t="s">
        <v>2558</v>
      </c>
      <c r="D5159" s="862"/>
      <c r="I5159" s="845" t="s">
        <v>1008</v>
      </c>
    </row>
    <row r="5160" spans="1:10" x14ac:dyDescent="0.2">
      <c r="A5160" s="859">
        <f t="shared" si="80"/>
        <v>5159</v>
      </c>
      <c r="B5160" s="845" t="s">
        <v>2558</v>
      </c>
      <c r="D5160" s="863"/>
      <c r="J5160" s="845" t="s">
        <v>1834</v>
      </c>
    </row>
    <row r="5161" spans="1:10" x14ac:dyDescent="0.2">
      <c r="A5161" s="859">
        <f t="shared" si="80"/>
        <v>5160</v>
      </c>
      <c r="B5161" s="845" t="s">
        <v>2558</v>
      </c>
      <c r="D5161" s="862"/>
      <c r="I5161" s="845" t="s">
        <v>1009</v>
      </c>
    </row>
    <row r="5162" spans="1:10" x14ac:dyDescent="0.2">
      <c r="A5162" s="859">
        <f t="shared" si="80"/>
        <v>5161</v>
      </c>
      <c r="B5162" s="845" t="s">
        <v>2558</v>
      </c>
      <c r="D5162" s="862"/>
      <c r="I5162" s="845" t="str">
        <f>CONCATENATE("&lt;valeur&gt;",Cellule_1562,"&lt;/valeur&gt;")</f>
        <v>&lt;valeur&gt;&lt;/valeur&gt;</v>
      </c>
    </row>
    <row r="5163" spans="1:10" x14ac:dyDescent="0.2">
      <c r="A5163" s="859">
        <f t="shared" si="80"/>
        <v>5162</v>
      </c>
      <c r="B5163" s="845" t="s">
        <v>2558</v>
      </c>
      <c r="D5163" s="861"/>
      <c r="H5163" s="845" t="s">
        <v>1010</v>
      </c>
    </row>
    <row r="5164" spans="1:10" x14ac:dyDescent="0.2">
      <c r="A5164" s="859">
        <f t="shared" si="80"/>
        <v>5163</v>
      </c>
      <c r="B5164" s="845" t="s">
        <v>2558</v>
      </c>
      <c r="D5164" s="861"/>
      <c r="H5164" s="845" t="s">
        <v>1007</v>
      </c>
    </row>
    <row r="5165" spans="1:10" x14ac:dyDescent="0.2">
      <c r="A5165" s="859">
        <f t="shared" si="80"/>
        <v>5164</v>
      </c>
      <c r="B5165" s="845" t="s">
        <v>2558</v>
      </c>
      <c r="D5165" s="862"/>
      <c r="I5165" s="845" t="s">
        <v>1008</v>
      </c>
    </row>
    <row r="5166" spans="1:10" x14ac:dyDescent="0.2">
      <c r="A5166" s="859">
        <f t="shared" si="80"/>
        <v>5165</v>
      </c>
      <c r="B5166" s="845" t="s">
        <v>2558</v>
      </c>
      <c r="D5166" s="863"/>
      <c r="J5166" s="845" t="s">
        <v>1835</v>
      </c>
    </row>
    <row r="5167" spans="1:10" x14ac:dyDescent="0.2">
      <c r="A5167" s="859">
        <f t="shared" si="80"/>
        <v>5166</v>
      </c>
      <c r="B5167" s="845" t="s">
        <v>2558</v>
      </c>
      <c r="D5167" s="862"/>
      <c r="I5167" s="845" t="s">
        <v>1009</v>
      </c>
    </row>
    <row r="5168" spans="1:10" x14ac:dyDescent="0.2">
      <c r="A5168" s="859">
        <f t="shared" si="80"/>
        <v>5167</v>
      </c>
      <c r="B5168" s="845" t="s">
        <v>2558</v>
      </c>
      <c r="D5168" s="862"/>
      <c r="I5168" s="845" t="str">
        <f>CONCATENATE("&lt;valeur&gt;",Cellule_1563,"&lt;/valeur&gt;")</f>
        <v>&lt;valeur&gt;0&lt;/valeur&gt;</v>
      </c>
    </row>
    <row r="5169" spans="1:10" x14ac:dyDescent="0.2">
      <c r="A5169" s="859">
        <f t="shared" si="80"/>
        <v>5168</v>
      </c>
      <c r="B5169" s="845" t="s">
        <v>2558</v>
      </c>
      <c r="D5169" s="861"/>
      <c r="H5169" s="845" t="s">
        <v>1010</v>
      </c>
    </row>
    <row r="5170" spans="1:10" x14ac:dyDescent="0.2">
      <c r="A5170" s="859">
        <f t="shared" si="80"/>
        <v>5169</v>
      </c>
      <c r="B5170" s="845" t="s">
        <v>2558</v>
      </c>
      <c r="D5170" s="861"/>
      <c r="H5170" s="845" t="s">
        <v>1007</v>
      </c>
    </row>
    <row r="5171" spans="1:10" x14ac:dyDescent="0.2">
      <c r="A5171" s="859">
        <f t="shared" si="80"/>
        <v>5170</v>
      </c>
      <c r="B5171" s="845" t="s">
        <v>2558</v>
      </c>
      <c r="D5171" s="862"/>
      <c r="I5171" s="845" t="s">
        <v>1008</v>
      </c>
    </row>
    <row r="5172" spans="1:10" x14ac:dyDescent="0.2">
      <c r="A5172" s="859">
        <f t="shared" si="80"/>
        <v>5171</v>
      </c>
      <c r="B5172" s="845" t="s">
        <v>2558</v>
      </c>
      <c r="D5172" s="863"/>
      <c r="J5172" s="845" t="s">
        <v>1836</v>
      </c>
    </row>
    <row r="5173" spans="1:10" x14ac:dyDescent="0.2">
      <c r="A5173" s="859">
        <f t="shared" si="80"/>
        <v>5172</v>
      </c>
      <c r="B5173" s="845" t="s">
        <v>2558</v>
      </c>
      <c r="D5173" s="862"/>
      <c r="I5173" s="845" t="s">
        <v>1009</v>
      </c>
    </row>
    <row r="5174" spans="1:10" x14ac:dyDescent="0.2">
      <c r="A5174" s="859">
        <f t="shared" si="80"/>
        <v>5173</v>
      </c>
      <c r="B5174" s="845" t="s">
        <v>2558</v>
      </c>
      <c r="D5174" s="862"/>
      <c r="I5174" s="845" t="str">
        <f>CONCATENATE("&lt;valeur&gt;",Cellule_1564,"&lt;/valeur&gt;")</f>
        <v>&lt;valeur&gt;0&lt;/valeur&gt;</v>
      </c>
    </row>
    <row r="5175" spans="1:10" x14ac:dyDescent="0.2">
      <c r="A5175" s="859">
        <f t="shared" si="80"/>
        <v>5174</v>
      </c>
      <c r="B5175" s="845" t="s">
        <v>2558</v>
      </c>
      <c r="D5175" s="861"/>
      <c r="H5175" s="845" t="s">
        <v>1010</v>
      </c>
    </row>
    <row r="5176" spans="1:10" x14ac:dyDescent="0.2">
      <c r="A5176" s="859">
        <f t="shared" si="80"/>
        <v>5175</v>
      </c>
      <c r="B5176" s="845" t="s">
        <v>2558</v>
      </c>
      <c r="D5176" s="861"/>
      <c r="H5176" s="845" t="s">
        <v>1007</v>
      </c>
    </row>
    <row r="5177" spans="1:10" x14ac:dyDescent="0.2">
      <c r="A5177" s="859">
        <f t="shared" si="80"/>
        <v>5176</v>
      </c>
      <c r="B5177" s="845" t="s">
        <v>2558</v>
      </c>
      <c r="D5177" s="862"/>
      <c r="I5177" s="845" t="s">
        <v>1008</v>
      </c>
    </row>
    <row r="5178" spans="1:10" x14ac:dyDescent="0.2">
      <c r="A5178" s="859">
        <f t="shared" si="80"/>
        <v>5177</v>
      </c>
      <c r="B5178" s="845" t="s">
        <v>2558</v>
      </c>
      <c r="D5178" s="863"/>
      <c r="J5178" s="845" t="s">
        <v>1837</v>
      </c>
    </row>
    <row r="5179" spans="1:10" x14ac:dyDescent="0.2">
      <c r="A5179" s="859">
        <f t="shared" si="80"/>
        <v>5178</v>
      </c>
      <c r="B5179" s="845" t="s">
        <v>2558</v>
      </c>
      <c r="D5179" s="862"/>
      <c r="I5179" s="845" t="s">
        <v>1009</v>
      </c>
    </row>
    <row r="5180" spans="1:10" x14ac:dyDescent="0.2">
      <c r="A5180" s="859">
        <f t="shared" si="80"/>
        <v>5179</v>
      </c>
      <c r="B5180" s="845" t="s">
        <v>2558</v>
      </c>
      <c r="D5180" s="862"/>
      <c r="I5180" s="845" t="str">
        <f>CONCATENATE("&lt;valeur&gt;",Cellule_1565,"&lt;/valeur&gt;")</f>
        <v>&lt;valeur&gt;0&lt;/valeur&gt;</v>
      </c>
    </row>
    <row r="5181" spans="1:10" x14ac:dyDescent="0.2">
      <c r="A5181" s="859">
        <f t="shared" si="80"/>
        <v>5180</v>
      </c>
      <c r="B5181" s="845" t="s">
        <v>2558</v>
      </c>
      <c r="D5181" s="861"/>
      <c r="H5181" s="845" t="s">
        <v>1010</v>
      </c>
    </row>
    <row r="5182" spans="1:10" x14ac:dyDescent="0.2">
      <c r="A5182" s="859">
        <f t="shared" si="80"/>
        <v>5181</v>
      </c>
      <c r="B5182" s="845" t="s">
        <v>2558</v>
      </c>
      <c r="D5182" s="861"/>
      <c r="H5182" s="845" t="s">
        <v>1007</v>
      </c>
    </row>
    <row r="5183" spans="1:10" x14ac:dyDescent="0.2">
      <c r="A5183" s="859">
        <f t="shared" si="80"/>
        <v>5182</v>
      </c>
      <c r="B5183" s="845" t="s">
        <v>2558</v>
      </c>
      <c r="D5183" s="862"/>
      <c r="I5183" s="845" t="s">
        <v>1008</v>
      </c>
    </row>
    <row r="5184" spans="1:10" x14ac:dyDescent="0.2">
      <c r="A5184" s="859">
        <f t="shared" si="80"/>
        <v>5183</v>
      </c>
      <c r="B5184" s="845" t="s">
        <v>2558</v>
      </c>
      <c r="D5184" s="863"/>
      <c r="J5184" s="845" t="s">
        <v>1838</v>
      </c>
    </row>
    <row r="5185" spans="1:10" x14ac:dyDescent="0.2">
      <c r="A5185" s="859">
        <f t="shared" si="80"/>
        <v>5184</v>
      </c>
      <c r="B5185" s="845" t="s">
        <v>2558</v>
      </c>
      <c r="D5185" s="862"/>
      <c r="I5185" s="845" t="s">
        <v>1009</v>
      </c>
    </row>
    <row r="5186" spans="1:10" x14ac:dyDescent="0.2">
      <c r="A5186" s="859">
        <f t="shared" si="80"/>
        <v>5185</v>
      </c>
      <c r="B5186" s="845" t="s">
        <v>2558</v>
      </c>
      <c r="D5186" s="862"/>
      <c r="I5186" s="845" t="str">
        <f>CONCATENATE("&lt;valeur&gt;",Cellule_1566,"&lt;/valeur&gt;")</f>
        <v>&lt;valeur&gt;&lt;/valeur&gt;</v>
      </c>
    </row>
    <row r="5187" spans="1:10" x14ac:dyDescent="0.2">
      <c r="A5187" s="859">
        <f t="shared" si="80"/>
        <v>5186</v>
      </c>
      <c r="B5187" s="845" t="s">
        <v>2558</v>
      </c>
      <c r="D5187" s="861"/>
      <c r="H5187" s="845" t="s">
        <v>1010</v>
      </c>
    </row>
    <row r="5188" spans="1:10" x14ac:dyDescent="0.2">
      <c r="A5188" s="859">
        <f t="shared" ref="A5188:A5251" si="81">+A5187+1</f>
        <v>5187</v>
      </c>
      <c r="B5188" s="845" t="s">
        <v>2558</v>
      </c>
      <c r="D5188" s="861"/>
      <c r="H5188" s="845" t="s">
        <v>1007</v>
      </c>
    </row>
    <row r="5189" spans="1:10" x14ac:dyDescent="0.2">
      <c r="A5189" s="859">
        <f t="shared" si="81"/>
        <v>5188</v>
      </c>
      <c r="B5189" s="845" t="s">
        <v>2558</v>
      </c>
      <c r="D5189" s="862"/>
      <c r="I5189" s="845" t="s">
        <v>1008</v>
      </c>
    </row>
    <row r="5190" spans="1:10" x14ac:dyDescent="0.2">
      <c r="A5190" s="859">
        <f t="shared" si="81"/>
        <v>5189</v>
      </c>
      <c r="B5190" s="845" t="s">
        <v>2558</v>
      </c>
      <c r="D5190" s="863"/>
      <c r="J5190" s="845" t="s">
        <v>1839</v>
      </c>
    </row>
    <row r="5191" spans="1:10" x14ac:dyDescent="0.2">
      <c r="A5191" s="859">
        <f t="shared" si="81"/>
        <v>5190</v>
      </c>
      <c r="B5191" s="845" t="s">
        <v>2558</v>
      </c>
      <c r="D5191" s="862"/>
      <c r="I5191" s="845" t="s">
        <v>1009</v>
      </c>
    </row>
    <row r="5192" spans="1:10" x14ac:dyDescent="0.2">
      <c r="A5192" s="859">
        <f t="shared" si="81"/>
        <v>5191</v>
      </c>
      <c r="B5192" s="845" t="s">
        <v>2558</v>
      </c>
      <c r="D5192" s="862"/>
      <c r="I5192" s="845" t="str">
        <f>CONCATENATE("&lt;valeur&gt;",Cellule_1567,"&lt;/valeur&gt;")</f>
        <v>&lt;valeur&gt;0&lt;/valeur&gt;</v>
      </c>
    </row>
    <row r="5193" spans="1:10" x14ac:dyDescent="0.2">
      <c r="A5193" s="859">
        <f t="shared" si="81"/>
        <v>5192</v>
      </c>
      <c r="B5193" s="845" t="s">
        <v>2558</v>
      </c>
      <c r="D5193" s="861"/>
      <c r="H5193" s="845" t="s">
        <v>1010</v>
      </c>
    </row>
    <row r="5194" spans="1:10" x14ac:dyDescent="0.2">
      <c r="A5194" s="859">
        <f t="shared" si="81"/>
        <v>5193</v>
      </c>
      <c r="B5194" s="845" t="s">
        <v>2558</v>
      </c>
      <c r="D5194" s="861"/>
      <c r="H5194" s="845" t="s">
        <v>1007</v>
      </c>
    </row>
    <row r="5195" spans="1:10" x14ac:dyDescent="0.2">
      <c r="A5195" s="859">
        <f t="shared" si="81"/>
        <v>5194</v>
      </c>
      <c r="B5195" s="845" t="s">
        <v>2558</v>
      </c>
      <c r="D5195" s="862"/>
      <c r="I5195" s="845" t="s">
        <v>1008</v>
      </c>
    </row>
    <row r="5196" spans="1:10" x14ac:dyDescent="0.2">
      <c r="A5196" s="859">
        <f t="shared" si="81"/>
        <v>5195</v>
      </c>
      <c r="B5196" s="845" t="s">
        <v>2558</v>
      </c>
      <c r="D5196" s="863"/>
      <c r="J5196" s="845" t="s">
        <v>1840</v>
      </c>
    </row>
    <row r="5197" spans="1:10" x14ac:dyDescent="0.2">
      <c r="A5197" s="859">
        <f t="shared" si="81"/>
        <v>5196</v>
      </c>
      <c r="B5197" s="845" t="s">
        <v>2558</v>
      </c>
      <c r="D5197" s="862"/>
      <c r="I5197" s="845" t="s">
        <v>1009</v>
      </c>
    </row>
    <row r="5198" spans="1:10" x14ac:dyDescent="0.2">
      <c r="A5198" s="859">
        <f t="shared" si="81"/>
        <v>5197</v>
      </c>
      <c r="B5198" s="845" t="s">
        <v>2558</v>
      </c>
      <c r="D5198" s="862"/>
      <c r="I5198" s="845" t="str">
        <f>CONCATENATE("&lt;valeur&gt;",Cellule_1568,"&lt;/valeur&gt;")</f>
        <v>&lt;valeur&gt;0&lt;/valeur&gt;</v>
      </c>
    </row>
    <row r="5199" spans="1:10" x14ac:dyDescent="0.2">
      <c r="A5199" s="859">
        <f t="shared" si="81"/>
        <v>5198</v>
      </c>
      <c r="B5199" s="845" t="s">
        <v>2558</v>
      </c>
      <c r="D5199" s="861"/>
      <c r="H5199" s="845" t="s">
        <v>1010</v>
      </c>
    </row>
    <row r="5200" spans="1:10" x14ac:dyDescent="0.2">
      <c r="A5200" s="859">
        <f t="shared" si="81"/>
        <v>5199</v>
      </c>
      <c r="B5200" s="845" t="s">
        <v>2558</v>
      </c>
      <c r="D5200" s="861"/>
      <c r="H5200" s="845" t="s">
        <v>1007</v>
      </c>
    </row>
    <row r="5201" spans="1:10" x14ac:dyDescent="0.2">
      <c r="A5201" s="859">
        <f t="shared" si="81"/>
        <v>5200</v>
      </c>
      <c r="B5201" s="845" t="s">
        <v>2558</v>
      </c>
      <c r="D5201" s="862"/>
      <c r="I5201" s="845" t="s">
        <v>1008</v>
      </c>
    </row>
    <row r="5202" spans="1:10" x14ac:dyDescent="0.2">
      <c r="A5202" s="859">
        <f t="shared" si="81"/>
        <v>5201</v>
      </c>
      <c r="B5202" s="845" t="s">
        <v>2558</v>
      </c>
      <c r="D5202" s="863"/>
      <c r="J5202" s="845" t="s">
        <v>1841</v>
      </c>
    </row>
    <row r="5203" spans="1:10" x14ac:dyDescent="0.2">
      <c r="A5203" s="859">
        <f t="shared" si="81"/>
        <v>5202</v>
      </c>
      <c r="B5203" s="845" t="s">
        <v>2558</v>
      </c>
      <c r="D5203" s="862"/>
      <c r="I5203" s="845" t="s">
        <v>1009</v>
      </c>
    </row>
    <row r="5204" spans="1:10" x14ac:dyDescent="0.2">
      <c r="A5204" s="859">
        <f t="shared" si="81"/>
        <v>5203</v>
      </c>
      <c r="B5204" s="845" t="s">
        <v>2558</v>
      </c>
      <c r="D5204" s="862"/>
      <c r="I5204" s="845" t="str">
        <f>CONCATENATE("&lt;valeur&gt;",Cellule_1569,"&lt;/valeur&gt;")</f>
        <v>&lt;valeur&gt;0&lt;/valeur&gt;</v>
      </c>
    </row>
    <row r="5205" spans="1:10" x14ac:dyDescent="0.2">
      <c r="A5205" s="859">
        <f t="shared" si="81"/>
        <v>5204</v>
      </c>
      <c r="B5205" s="845" t="s">
        <v>2558</v>
      </c>
      <c r="D5205" s="861"/>
      <c r="H5205" s="845" t="s">
        <v>1010</v>
      </c>
    </row>
    <row r="5206" spans="1:10" x14ac:dyDescent="0.2">
      <c r="A5206" s="859">
        <f t="shared" si="81"/>
        <v>5205</v>
      </c>
      <c r="B5206" s="845" t="s">
        <v>2558</v>
      </c>
      <c r="D5206" s="861"/>
      <c r="H5206" s="845" t="s">
        <v>1007</v>
      </c>
    </row>
    <row r="5207" spans="1:10" x14ac:dyDescent="0.2">
      <c r="A5207" s="859">
        <f t="shared" si="81"/>
        <v>5206</v>
      </c>
      <c r="B5207" s="845" t="s">
        <v>2558</v>
      </c>
      <c r="D5207" s="862"/>
      <c r="I5207" s="845" t="s">
        <v>1008</v>
      </c>
    </row>
    <row r="5208" spans="1:10" x14ac:dyDescent="0.2">
      <c r="A5208" s="859">
        <f t="shared" si="81"/>
        <v>5207</v>
      </c>
      <c r="B5208" s="845" t="s">
        <v>2558</v>
      </c>
      <c r="D5208" s="863"/>
      <c r="J5208" s="845" t="s">
        <v>1842</v>
      </c>
    </row>
    <row r="5209" spans="1:10" x14ac:dyDescent="0.2">
      <c r="A5209" s="859">
        <f t="shared" si="81"/>
        <v>5208</v>
      </c>
      <c r="B5209" s="845" t="s">
        <v>2558</v>
      </c>
      <c r="D5209" s="862"/>
      <c r="I5209" s="845" t="s">
        <v>1009</v>
      </c>
    </row>
    <row r="5210" spans="1:10" x14ac:dyDescent="0.2">
      <c r="A5210" s="859">
        <f t="shared" si="81"/>
        <v>5209</v>
      </c>
      <c r="B5210" s="845" t="s">
        <v>2558</v>
      </c>
      <c r="D5210" s="862"/>
      <c r="I5210" s="845" t="str">
        <f>CONCATENATE("&lt;valeur&gt;",Cellule_1570,"&lt;/valeur&gt;")</f>
        <v>&lt;valeur&gt;0&lt;/valeur&gt;</v>
      </c>
    </row>
    <row r="5211" spans="1:10" x14ac:dyDescent="0.2">
      <c r="A5211" s="859">
        <f t="shared" si="81"/>
        <v>5210</v>
      </c>
      <c r="B5211" s="845" t="s">
        <v>2558</v>
      </c>
      <c r="D5211" s="861"/>
      <c r="H5211" s="845" t="s">
        <v>1010</v>
      </c>
    </row>
    <row r="5212" spans="1:10" x14ac:dyDescent="0.2">
      <c r="A5212" s="859">
        <f t="shared" si="81"/>
        <v>5211</v>
      </c>
      <c r="B5212" s="845" t="s">
        <v>2558</v>
      </c>
      <c r="D5212" s="861"/>
      <c r="H5212" s="845" t="s">
        <v>1007</v>
      </c>
    </row>
    <row r="5213" spans="1:10" x14ac:dyDescent="0.2">
      <c r="A5213" s="859">
        <f t="shared" si="81"/>
        <v>5212</v>
      </c>
      <c r="B5213" s="845" t="s">
        <v>2558</v>
      </c>
      <c r="D5213" s="862"/>
      <c r="I5213" s="845" t="s">
        <v>1008</v>
      </c>
    </row>
    <row r="5214" spans="1:10" x14ac:dyDescent="0.2">
      <c r="A5214" s="859">
        <f t="shared" si="81"/>
        <v>5213</v>
      </c>
      <c r="B5214" s="845" t="s">
        <v>2558</v>
      </c>
      <c r="D5214" s="863"/>
      <c r="J5214" s="845" t="s">
        <v>1843</v>
      </c>
    </row>
    <row r="5215" spans="1:10" x14ac:dyDescent="0.2">
      <c r="A5215" s="859">
        <f t="shared" si="81"/>
        <v>5214</v>
      </c>
      <c r="B5215" s="845" t="s">
        <v>2558</v>
      </c>
      <c r="D5215" s="862"/>
      <c r="I5215" s="845" t="s">
        <v>1009</v>
      </c>
    </row>
    <row r="5216" spans="1:10" x14ac:dyDescent="0.2">
      <c r="A5216" s="859">
        <f t="shared" si="81"/>
        <v>5215</v>
      </c>
      <c r="B5216" s="845" t="s">
        <v>2558</v>
      </c>
      <c r="D5216" s="862"/>
      <c r="I5216" s="845" t="str">
        <f>CONCATENATE("&lt;valeur&gt;",Cellule_1571,"&lt;/valeur&gt;")</f>
        <v>&lt;valeur&gt;0&lt;/valeur&gt;</v>
      </c>
    </row>
    <row r="5217" spans="1:10" x14ac:dyDescent="0.2">
      <c r="A5217" s="859">
        <f t="shared" si="81"/>
        <v>5216</v>
      </c>
      <c r="B5217" s="845" t="s">
        <v>2558</v>
      </c>
      <c r="D5217" s="861"/>
      <c r="H5217" s="845" t="s">
        <v>1010</v>
      </c>
    </row>
    <row r="5218" spans="1:10" x14ac:dyDescent="0.2">
      <c r="A5218" s="859">
        <f t="shared" si="81"/>
        <v>5217</v>
      </c>
      <c r="B5218" s="845" t="s">
        <v>2558</v>
      </c>
      <c r="D5218" s="861"/>
      <c r="H5218" s="845" t="s">
        <v>1007</v>
      </c>
    </row>
    <row r="5219" spans="1:10" x14ac:dyDescent="0.2">
      <c r="A5219" s="859">
        <f t="shared" si="81"/>
        <v>5218</v>
      </c>
      <c r="B5219" s="845" t="s">
        <v>2558</v>
      </c>
      <c r="D5219" s="862"/>
      <c r="I5219" s="845" t="s">
        <v>1008</v>
      </c>
    </row>
    <row r="5220" spans="1:10" x14ac:dyDescent="0.2">
      <c r="A5220" s="859">
        <f t="shared" si="81"/>
        <v>5219</v>
      </c>
      <c r="B5220" s="845" t="s">
        <v>2558</v>
      </c>
      <c r="D5220" s="863"/>
      <c r="J5220" s="845" t="s">
        <v>1844</v>
      </c>
    </row>
    <row r="5221" spans="1:10" x14ac:dyDescent="0.2">
      <c r="A5221" s="859">
        <f t="shared" si="81"/>
        <v>5220</v>
      </c>
      <c r="B5221" s="845" t="s">
        <v>2558</v>
      </c>
      <c r="D5221" s="862"/>
      <c r="I5221" s="845" t="s">
        <v>1009</v>
      </c>
    </row>
    <row r="5222" spans="1:10" x14ac:dyDescent="0.2">
      <c r="A5222" s="859">
        <f t="shared" si="81"/>
        <v>5221</v>
      </c>
      <c r="B5222" s="845" t="s">
        <v>2558</v>
      </c>
      <c r="D5222" s="862"/>
      <c r="I5222" s="845" t="str">
        <f>CONCATENATE("&lt;valeur&gt;",Cellule_1572,"&lt;/valeur&gt;")</f>
        <v>&lt;valeur&gt;0&lt;/valeur&gt;</v>
      </c>
    </row>
    <row r="5223" spans="1:10" x14ac:dyDescent="0.2">
      <c r="A5223" s="859">
        <f t="shared" si="81"/>
        <v>5222</v>
      </c>
      <c r="B5223" s="845" t="s">
        <v>2558</v>
      </c>
      <c r="D5223" s="861"/>
      <c r="H5223" s="845" t="s">
        <v>1010</v>
      </c>
    </row>
    <row r="5224" spans="1:10" x14ac:dyDescent="0.2">
      <c r="A5224" s="859">
        <f t="shared" si="81"/>
        <v>5223</v>
      </c>
      <c r="B5224" s="845" t="s">
        <v>2558</v>
      </c>
      <c r="D5224" s="861"/>
      <c r="H5224" s="845" t="s">
        <v>1007</v>
      </c>
    </row>
    <row r="5225" spans="1:10" x14ac:dyDescent="0.2">
      <c r="A5225" s="859">
        <f t="shared" si="81"/>
        <v>5224</v>
      </c>
      <c r="B5225" s="845" t="s">
        <v>2558</v>
      </c>
      <c r="D5225" s="862"/>
      <c r="I5225" s="845" t="s">
        <v>1008</v>
      </c>
    </row>
    <row r="5226" spans="1:10" x14ac:dyDescent="0.2">
      <c r="A5226" s="859">
        <f t="shared" si="81"/>
        <v>5225</v>
      </c>
      <c r="B5226" s="845" t="s">
        <v>2558</v>
      </c>
      <c r="D5226" s="863"/>
      <c r="J5226" s="845" t="s">
        <v>1845</v>
      </c>
    </row>
    <row r="5227" spans="1:10" x14ac:dyDescent="0.2">
      <c r="A5227" s="859">
        <f t="shared" si="81"/>
        <v>5226</v>
      </c>
      <c r="B5227" s="845" t="s">
        <v>2558</v>
      </c>
      <c r="D5227" s="862"/>
      <c r="I5227" s="845" t="s">
        <v>1009</v>
      </c>
    </row>
    <row r="5228" spans="1:10" x14ac:dyDescent="0.2">
      <c r="A5228" s="859">
        <f t="shared" si="81"/>
        <v>5227</v>
      </c>
      <c r="B5228" s="845" t="s">
        <v>2558</v>
      </c>
      <c r="D5228" s="862"/>
      <c r="I5228" s="845" t="str">
        <f>CONCATENATE("&lt;valeur&gt;",Cellule_1573,"&lt;/valeur&gt;")</f>
        <v>&lt;valeur&gt;0&lt;/valeur&gt;</v>
      </c>
    </row>
    <row r="5229" spans="1:10" x14ac:dyDescent="0.2">
      <c r="A5229" s="859">
        <f t="shared" si="81"/>
        <v>5228</v>
      </c>
      <c r="B5229" s="845" t="s">
        <v>2558</v>
      </c>
      <c r="D5229" s="861"/>
      <c r="H5229" s="845" t="s">
        <v>1010</v>
      </c>
    </row>
    <row r="5230" spans="1:10" x14ac:dyDescent="0.2">
      <c r="A5230" s="859">
        <f t="shared" si="81"/>
        <v>5229</v>
      </c>
      <c r="B5230" s="845" t="s">
        <v>2558</v>
      </c>
      <c r="D5230" s="861"/>
      <c r="H5230" s="845" t="s">
        <v>1007</v>
      </c>
    </row>
    <row r="5231" spans="1:10" x14ac:dyDescent="0.2">
      <c r="A5231" s="859">
        <f t="shared" si="81"/>
        <v>5230</v>
      </c>
      <c r="B5231" s="845" t="s">
        <v>2558</v>
      </c>
      <c r="D5231" s="862"/>
      <c r="I5231" s="845" t="s">
        <v>1008</v>
      </c>
    </row>
    <row r="5232" spans="1:10" x14ac:dyDescent="0.2">
      <c r="A5232" s="859">
        <f t="shared" si="81"/>
        <v>5231</v>
      </c>
      <c r="B5232" s="845" t="s">
        <v>2558</v>
      </c>
      <c r="D5232" s="863"/>
      <c r="J5232" s="845" t="s">
        <v>1846</v>
      </c>
    </row>
    <row r="5233" spans="1:10" x14ac:dyDescent="0.2">
      <c r="A5233" s="859">
        <f t="shared" si="81"/>
        <v>5232</v>
      </c>
      <c r="B5233" s="845" t="s">
        <v>2558</v>
      </c>
      <c r="D5233" s="862"/>
      <c r="I5233" s="845" t="s">
        <v>1009</v>
      </c>
    </row>
    <row r="5234" spans="1:10" x14ac:dyDescent="0.2">
      <c r="A5234" s="859">
        <f t="shared" si="81"/>
        <v>5233</v>
      </c>
      <c r="B5234" s="845" t="s">
        <v>2558</v>
      </c>
      <c r="D5234" s="862"/>
      <c r="I5234" s="845" t="str">
        <f>CONCATENATE("&lt;valeur&gt;",Cellule_1574,"&lt;/valeur&gt;")</f>
        <v>&lt;valeur&gt;&lt;/valeur&gt;</v>
      </c>
    </row>
    <row r="5235" spans="1:10" x14ac:dyDescent="0.2">
      <c r="A5235" s="859">
        <f t="shared" si="81"/>
        <v>5234</v>
      </c>
      <c r="B5235" s="845" t="s">
        <v>2558</v>
      </c>
      <c r="D5235" s="861"/>
      <c r="H5235" s="845" t="s">
        <v>1010</v>
      </c>
    </row>
    <row r="5236" spans="1:10" x14ac:dyDescent="0.2">
      <c r="A5236" s="859">
        <f t="shared" si="81"/>
        <v>5235</v>
      </c>
      <c r="B5236" s="845" t="s">
        <v>2558</v>
      </c>
      <c r="D5236" s="861"/>
      <c r="H5236" s="845" t="s">
        <v>1007</v>
      </c>
    </row>
    <row r="5237" spans="1:10" x14ac:dyDescent="0.2">
      <c r="A5237" s="859">
        <f t="shared" si="81"/>
        <v>5236</v>
      </c>
      <c r="B5237" s="845" t="s">
        <v>2558</v>
      </c>
      <c r="D5237" s="862"/>
      <c r="I5237" s="845" t="s">
        <v>1008</v>
      </c>
    </row>
    <row r="5238" spans="1:10" x14ac:dyDescent="0.2">
      <c r="A5238" s="859">
        <f t="shared" si="81"/>
        <v>5237</v>
      </c>
      <c r="B5238" s="845" t="s">
        <v>2558</v>
      </c>
      <c r="D5238" s="863"/>
      <c r="J5238" s="845" t="s">
        <v>1847</v>
      </c>
    </row>
    <row r="5239" spans="1:10" x14ac:dyDescent="0.2">
      <c r="A5239" s="859">
        <f t="shared" si="81"/>
        <v>5238</v>
      </c>
      <c r="B5239" s="845" t="s">
        <v>2558</v>
      </c>
      <c r="D5239" s="862"/>
      <c r="I5239" s="845" t="s">
        <v>1009</v>
      </c>
    </row>
    <row r="5240" spans="1:10" x14ac:dyDescent="0.2">
      <c r="A5240" s="859">
        <f t="shared" si="81"/>
        <v>5239</v>
      </c>
      <c r="B5240" s="845" t="s">
        <v>2558</v>
      </c>
      <c r="D5240" s="862"/>
      <c r="I5240" s="845" t="str">
        <f>CONCATENATE("&lt;valeur&gt;",Cellule_1575,"&lt;/valeur&gt;")</f>
        <v>&lt;valeur&gt;0&lt;/valeur&gt;</v>
      </c>
    </row>
    <row r="5241" spans="1:10" x14ac:dyDescent="0.2">
      <c r="A5241" s="859">
        <f t="shared" si="81"/>
        <v>5240</v>
      </c>
      <c r="B5241" s="845" t="s">
        <v>2558</v>
      </c>
      <c r="D5241" s="861"/>
      <c r="H5241" s="845" t="s">
        <v>1010</v>
      </c>
    </row>
    <row r="5242" spans="1:10" x14ac:dyDescent="0.2">
      <c r="A5242" s="859">
        <f t="shared" si="81"/>
        <v>5241</v>
      </c>
      <c r="B5242" s="845" t="s">
        <v>2558</v>
      </c>
      <c r="D5242" s="861"/>
      <c r="H5242" s="845" t="s">
        <v>1007</v>
      </c>
    </row>
    <row r="5243" spans="1:10" x14ac:dyDescent="0.2">
      <c r="A5243" s="859">
        <f t="shared" si="81"/>
        <v>5242</v>
      </c>
      <c r="B5243" s="845" t="s">
        <v>2558</v>
      </c>
      <c r="D5243" s="862"/>
      <c r="I5243" s="845" t="s">
        <v>1008</v>
      </c>
    </row>
    <row r="5244" spans="1:10" x14ac:dyDescent="0.2">
      <c r="A5244" s="859">
        <f t="shared" si="81"/>
        <v>5243</v>
      </c>
      <c r="B5244" s="845" t="s">
        <v>2558</v>
      </c>
      <c r="D5244" s="863"/>
      <c r="J5244" s="845" t="s">
        <v>1848</v>
      </c>
    </row>
    <row r="5245" spans="1:10" x14ac:dyDescent="0.2">
      <c r="A5245" s="859">
        <f t="shared" si="81"/>
        <v>5244</v>
      </c>
      <c r="B5245" s="845" t="s">
        <v>2558</v>
      </c>
      <c r="D5245" s="862"/>
      <c r="I5245" s="845" t="s">
        <v>1009</v>
      </c>
    </row>
    <row r="5246" spans="1:10" x14ac:dyDescent="0.2">
      <c r="A5246" s="859">
        <f t="shared" si="81"/>
        <v>5245</v>
      </c>
      <c r="B5246" s="845" t="s">
        <v>2558</v>
      </c>
      <c r="D5246" s="862"/>
      <c r="I5246" s="845" t="str">
        <f>CONCATENATE("&lt;valeur&gt;",Cellule_1576,"&lt;/valeur&gt;")</f>
        <v>&lt;valeur&gt;0&lt;/valeur&gt;</v>
      </c>
    </row>
    <row r="5247" spans="1:10" x14ac:dyDescent="0.2">
      <c r="A5247" s="859">
        <f t="shared" si="81"/>
        <v>5246</v>
      </c>
      <c r="B5247" s="845" t="s">
        <v>2558</v>
      </c>
      <c r="D5247" s="861"/>
      <c r="H5247" s="845" t="s">
        <v>1010</v>
      </c>
    </row>
    <row r="5248" spans="1:10" x14ac:dyDescent="0.2">
      <c r="A5248" s="859">
        <f t="shared" si="81"/>
        <v>5247</v>
      </c>
      <c r="B5248" s="845" t="s">
        <v>2558</v>
      </c>
      <c r="D5248" s="861"/>
      <c r="H5248" s="845" t="s">
        <v>1007</v>
      </c>
    </row>
    <row r="5249" spans="1:10" x14ac:dyDescent="0.2">
      <c r="A5249" s="859">
        <f t="shared" si="81"/>
        <v>5248</v>
      </c>
      <c r="B5249" s="845" t="s">
        <v>2558</v>
      </c>
      <c r="D5249" s="862"/>
      <c r="I5249" s="845" t="s">
        <v>1008</v>
      </c>
    </row>
    <row r="5250" spans="1:10" x14ac:dyDescent="0.2">
      <c r="A5250" s="859">
        <f t="shared" si="81"/>
        <v>5249</v>
      </c>
      <c r="B5250" s="845" t="s">
        <v>2558</v>
      </c>
      <c r="D5250" s="863"/>
      <c r="J5250" s="845" t="s">
        <v>1849</v>
      </c>
    </row>
    <row r="5251" spans="1:10" x14ac:dyDescent="0.2">
      <c r="A5251" s="859">
        <f t="shared" si="81"/>
        <v>5250</v>
      </c>
      <c r="B5251" s="845" t="s">
        <v>2558</v>
      </c>
      <c r="D5251" s="862"/>
      <c r="I5251" s="845" t="s">
        <v>1009</v>
      </c>
    </row>
    <row r="5252" spans="1:10" x14ac:dyDescent="0.2">
      <c r="A5252" s="859">
        <f t="shared" ref="A5252:A5315" si="82">+A5251+1</f>
        <v>5251</v>
      </c>
      <c r="B5252" s="845" t="s">
        <v>2558</v>
      </c>
      <c r="D5252" s="862"/>
      <c r="I5252" s="845" t="str">
        <f>CONCATENATE("&lt;valeur&gt;",Cellule_1577,"&lt;/valeur&gt;")</f>
        <v>&lt;valeur&gt;0&lt;/valeur&gt;</v>
      </c>
    </row>
    <row r="5253" spans="1:10" x14ac:dyDescent="0.2">
      <c r="A5253" s="859">
        <f t="shared" si="82"/>
        <v>5252</v>
      </c>
      <c r="B5253" s="845" t="s">
        <v>2558</v>
      </c>
      <c r="D5253" s="861"/>
      <c r="H5253" s="845" t="s">
        <v>1010</v>
      </c>
    </row>
    <row r="5254" spans="1:10" x14ac:dyDescent="0.2">
      <c r="A5254" s="859">
        <f t="shared" si="82"/>
        <v>5253</v>
      </c>
      <c r="B5254" s="845" t="s">
        <v>2558</v>
      </c>
      <c r="D5254" s="861"/>
      <c r="H5254" s="845" t="s">
        <v>1007</v>
      </c>
    </row>
    <row r="5255" spans="1:10" x14ac:dyDescent="0.2">
      <c r="A5255" s="859">
        <f t="shared" si="82"/>
        <v>5254</v>
      </c>
      <c r="B5255" s="845" t="s">
        <v>2558</v>
      </c>
      <c r="D5255" s="862"/>
      <c r="I5255" s="845" t="s">
        <v>1008</v>
      </c>
    </row>
    <row r="5256" spans="1:10" x14ac:dyDescent="0.2">
      <c r="A5256" s="859">
        <f t="shared" si="82"/>
        <v>5255</v>
      </c>
      <c r="B5256" s="845" t="s">
        <v>2558</v>
      </c>
      <c r="D5256" s="863"/>
      <c r="J5256" s="845" t="s">
        <v>1850</v>
      </c>
    </row>
    <row r="5257" spans="1:10" x14ac:dyDescent="0.2">
      <c r="A5257" s="859">
        <f t="shared" si="82"/>
        <v>5256</v>
      </c>
      <c r="B5257" s="845" t="s">
        <v>2558</v>
      </c>
      <c r="D5257" s="862"/>
      <c r="I5257" s="845" t="s">
        <v>1009</v>
      </c>
    </row>
    <row r="5258" spans="1:10" x14ac:dyDescent="0.2">
      <c r="A5258" s="859">
        <f t="shared" si="82"/>
        <v>5257</v>
      </c>
      <c r="B5258" s="845" t="s">
        <v>2558</v>
      </c>
      <c r="D5258" s="862"/>
      <c r="I5258" s="845" t="str">
        <f>CONCATENATE("&lt;valeur&gt;",Cellule_1578,"&lt;/valeur&gt;")</f>
        <v>&lt;valeur&gt;0&lt;/valeur&gt;</v>
      </c>
    </row>
    <row r="5259" spans="1:10" x14ac:dyDescent="0.2">
      <c r="A5259" s="859">
        <f t="shared" si="82"/>
        <v>5258</v>
      </c>
      <c r="B5259" s="845" t="s">
        <v>2558</v>
      </c>
      <c r="D5259" s="861"/>
      <c r="H5259" s="845" t="s">
        <v>1010</v>
      </c>
    </row>
    <row r="5260" spans="1:10" x14ac:dyDescent="0.2">
      <c r="A5260" s="859">
        <f t="shared" si="82"/>
        <v>5259</v>
      </c>
      <c r="B5260" s="845" t="s">
        <v>2558</v>
      </c>
      <c r="D5260" s="861"/>
      <c r="H5260" s="845" t="s">
        <v>1007</v>
      </c>
    </row>
    <row r="5261" spans="1:10" x14ac:dyDescent="0.2">
      <c r="A5261" s="859">
        <f t="shared" si="82"/>
        <v>5260</v>
      </c>
      <c r="B5261" s="845" t="s">
        <v>2558</v>
      </c>
      <c r="D5261" s="862"/>
      <c r="I5261" s="845" t="s">
        <v>1008</v>
      </c>
    </row>
    <row r="5262" spans="1:10" x14ac:dyDescent="0.2">
      <c r="A5262" s="859">
        <f t="shared" si="82"/>
        <v>5261</v>
      </c>
      <c r="B5262" s="845" t="s">
        <v>2558</v>
      </c>
      <c r="D5262" s="863"/>
      <c r="J5262" s="845" t="s">
        <v>1851</v>
      </c>
    </row>
    <row r="5263" spans="1:10" x14ac:dyDescent="0.2">
      <c r="A5263" s="859">
        <f t="shared" si="82"/>
        <v>5262</v>
      </c>
      <c r="B5263" s="845" t="s">
        <v>2558</v>
      </c>
      <c r="D5263" s="862"/>
      <c r="I5263" s="845" t="s">
        <v>1009</v>
      </c>
    </row>
    <row r="5264" spans="1:10" x14ac:dyDescent="0.2">
      <c r="A5264" s="859">
        <f t="shared" si="82"/>
        <v>5263</v>
      </c>
      <c r="B5264" s="845" t="s">
        <v>2558</v>
      </c>
      <c r="D5264" s="862"/>
      <c r="I5264" s="845" t="str">
        <f>CONCATENATE("&lt;valeur&gt;",Cellule_1579,"&lt;/valeur&gt;")</f>
        <v>&lt;valeur&gt;0&lt;/valeur&gt;</v>
      </c>
    </row>
    <row r="5265" spans="1:10" x14ac:dyDescent="0.2">
      <c r="A5265" s="859">
        <f t="shared" si="82"/>
        <v>5264</v>
      </c>
      <c r="B5265" s="845" t="s">
        <v>2558</v>
      </c>
      <c r="D5265" s="861"/>
      <c r="H5265" s="845" t="s">
        <v>1010</v>
      </c>
    </row>
    <row r="5266" spans="1:10" x14ac:dyDescent="0.2">
      <c r="A5266" s="859">
        <f t="shared" si="82"/>
        <v>5265</v>
      </c>
      <c r="B5266" s="845" t="s">
        <v>2558</v>
      </c>
      <c r="D5266" s="861"/>
      <c r="H5266" s="845" t="s">
        <v>1007</v>
      </c>
    </row>
    <row r="5267" spans="1:10" x14ac:dyDescent="0.2">
      <c r="A5267" s="859">
        <f t="shared" si="82"/>
        <v>5266</v>
      </c>
      <c r="B5267" s="845" t="s">
        <v>2558</v>
      </c>
      <c r="D5267" s="862"/>
      <c r="I5267" s="845" t="s">
        <v>1008</v>
      </c>
    </row>
    <row r="5268" spans="1:10" x14ac:dyDescent="0.2">
      <c r="A5268" s="859">
        <f t="shared" si="82"/>
        <v>5267</v>
      </c>
      <c r="B5268" s="845" t="s">
        <v>2558</v>
      </c>
      <c r="D5268" s="863"/>
      <c r="J5268" s="845" t="s">
        <v>1852</v>
      </c>
    </row>
    <row r="5269" spans="1:10" x14ac:dyDescent="0.2">
      <c r="A5269" s="859">
        <f t="shared" si="82"/>
        <v>5268</v>
      </c>
      <c r="B5269" s="845" t="s">
        <v>2558</v>
      </c>
      <c r="D5269" s="862"/>
      <c r="I5269" s="845" t="s">
        <v>1009</v>
      </c>
    </row>
    <row r="5270" spans="1:10" x14ac:dyDescent="0.2">
      <c r="A5270" s="859">
        <f t="shared" si="82"/>
        <v>5269</v>
      </c>
      <c r="B5270" s="845" t="s">
        <v>2558</v>
      </c>
      <c r="D5270" s="862"/>
      <c r="I5270" s="845" t="str">
        <f>CONCATENATE("&lt;valeur&gt;",Cellule_1582,"&lt;/valeur&gt;")</f>
        <v>&lt;valeur&gt;0&lt;/valeur&gt;</v>
      </c>
    </row>
    <row r="5271" spans="1:10" x14ac:dyDescent="0.2">
      <c r="A5271" s="859">
        <f t="shared" si="82"/>
        <v>5270</v>
      </c>
      <c r="B5271" s="845" t="s">
        <v>2558</v>
      </c>
      <c r="D5271" s="861"/>
      <c r="H5271" s="845" t="s">
        <v>1010</v>
      </c>
    </row>
    <row r="5272" spans="1:10" x14ac:dyDescent="0.2">
      <c r="A5272" s="859">
        <f t="shared" si="82"/>
        <v>5271</v>
      </c>
      <c r="B5272" s="845" t="s">
        <v>2558</v>
      </c>
      <c r="D5272" s="861"/>
      <c r="H5272" s="845" t="s">
        <v>1007</v>
      </c>
    </row>
    <row r="5273" spans="1:10" x14ac:dyDescent="0.2">
      <c r="A5273" s="859">
        <f t="shared" si="82"/>
        <v>5272</v>
      </c>
      <c r="B5273" s="845" t="s">
        <v>2558</v>
      </c>
      <c r="D5273" s="862"/>
      <c r="I5273" s="845" t="s">
        <v>1008</v>
      </c>
    </row>
    <row r="5274" spans="1:10" x14ac:dyDescent="0.2">
      <c r="A5274" s="859">
        <f t="shared" si="82"/>
        <v>5273</v>
      </c>
      <c r="B5274" s="845" t="s">
        <v>2558</v>
      </c>
      <c r="D5274" s="863"/>
      <c r="J5274" s="845" t="s">
        <v>1853</v>
      </c>
    </row>
    <row r="5275" spans="1:10" x14ac:dyDescent="0.2">
      <c r="A5275" s="859">
        <f t="shared" si="82"/>
        <v>5274</v>
      </c>
      <c r="B5275" s="845" t="s">
        <v>2558</v>
      </c>
      <c r="D5275" s="862"/>
      <c r="I5275" s="845" t="s">
        <v>1009</v>
      </c>
    </row>
    <row r="5276" spans="1:10" x14ac:dyDescent="0.2">
      <c r="A5276" s="859">
        <f t="shared" si="82"/>
        <v>5275</v>
      </c>
      <c r="B5276" s="845" t="s">
        <v>2558</v>
      </c>
      <c r="D5276" s="862"/>
      <c r="I5276" s="845" t="str">
        <f>CONCATENATE("&lt;valeur&gt;",Cellule_1583,"&lt;/valeur&gt;")</f>
        <v>&lt;valeur&gt;0&lt;/valeur&gt;</v>
      </c>
    </row>
    <row r="5277" spans="1:10" x14ac:dyDescent="0.2">
      <c r="A5277" s="859">
        <f t="shared" si="82"/>
        <v>5276</v>
      </c>
      <c r="B5277" s="845" t="s">
        <v>2558</v>
      </c>
      <c r="D5277" s="861"/>
      <c r="H5277" s="845" t="s">
        <v>1010</v>
      </c>
    </row>
    <row r="5278" spans="1:10" x14ac:dyDescent="0.2">
      <c r="A5278" s="859">
        <f t="shared" si="82"/>
        <v>5277</v>
      </c>
      <c r="B5278" s="845" t="s">
        <v>2558</v>
      </c>
      <c r="D5278" s="861"/>
      <c r="H5278" s="845" t="s">
        <v>1007</v>
      </c>
    </row>
    <row r="5279" spans="1:10" x14ac:dyDescent="0.2">
      <c r="A5279" s="859">
        <f t="shared" si="82"/>
        <v>5278</v>
      </c>
      <c r="B5279" s="845" t="s">
        <v>2558</v>
      </c>
      <c r="D5279" s="862"/>
      <c r="I5279" s="845" t="s">
        <v>1008</v>
      </c>
    </row>
    <row r="5280" spans="1:10" x14ac:dyDescent="0.2">
      <c r="A5280" s="859">
        <f t="shared" si="82"/>
        <v>5279</v>
      </c>
      <c r="B5280" s="845" t="s">
        <v>2558</v>
      </c>
      <c r="D5280" s="863"/>
      <c r="J5280" s="845" t="s">
        <v>1854</v>
      </c>
    </row>
    <row r="5281" spans="1:10" x14ac:dyDescent="0.2">
      <c r="A5281" s="859">
        <f t="shared" si="82"/>
        <v>5280</v>
      </c>
      <c r="B5281" s="845" t="s">
        <v>2558</v>
      </c>
      <c r="D5281" s="862"/>
      <c r="I5281" s="845" t="s">
        <v>1009</v>
      </c>
    </row>
    <row r="5282" spans="1:10" x14ac:dyDescent="0.2">
      <c r="A5282" s="859">
        <f t="shared" si="82"/>
        <v>5281</v>
      </c>
      <c r="B5282" s="845" t="s">
        <v>2558</v>
      </c>
      <c r="D5282" s="862"/>
      <c r="I5282" s="845" t="str">
        <f>CONCATENATE("&lt;valeur&gt;",Cellule_1584,"&lt;/valeur&gt;")</f>
        <v>&lt;valeur&gt;0&lt;/valeur&gt;</v>
      </c>
    </row>
    <row r="5283" spans="1:10" x14ac:dyDescent="0.2">
      <c r="A5283" s="859">
        <f t="shared" si="82"/>
        <v>5282</v>
      </c>
      <c r="B5283" s="845" t="s">
        <v>2558</v>
      </c>
      <c r="D5283" s="861"/>
      <c r="H5283" s="845" t="s">
        <v>1010</v>
      </c>
    </row>
    <row r="5284" spans="1:10" x14ac:dyDescent="0.2">
      <c r="A5284" s="859">
        <f t="shared" si="82"/>
        <v>5283</v>
      </c>
      <c r="B5284" s="845" t="s">
        <v>2558</v>
      </c>
      <c r="D5284" s="861"/>
      <c r="H5284" s="845" t="s">
        <v>1007</v>
      </c>
    </row>
    <row r="5285" spans="1:10" x14ac:dyDescent="0.2">
      <c r="A5285" s="859">
        <f t="shared" si="82"/>
        <v>5284</v>
      </c>
      <c r="B5285" s="845" t="s">
        <v>2558</v>
      </c>
      <c r="D5285" s="862"/>
      <c r="I5285" s="845" t="s">
        <v>1008</v>
      </c>
    </row>
    <row r="5286" spans="1:10" x14ac:dyDescent="0.2">
      <c r="A5286" s="859">
        <f t="shared" si="82"/>
        <v>5285</v>
      </c>
      <c r="B5286" s="845" t="s">
        <v>2558</v>
      </c>
      <c r="D5286" s="863"/>
      <c r="J5286" s="845" t="s">
        <v>1855</v>
      </c>
    </row>
    <row r="5287" spans="1:10" x14ac:dyDescent="0.2">
      <c r="A5287" s="859">
        <f t="shared" si="82"/>
        <v>5286</v>
      </c>
      <c r="B5287" s="845" t="s">
        <v>2558</v>
      </c>
      <c r="D5287" s="862"/>
      <c r="I5287" s="845" t="s">
        <v>1009</v>
      </c>
    </row>
    <row r="5288" spans="1:10" x14ac:dyDescent="0.2">
      <c r="A5288" s="859">
        <f t="shared" si="82"/>
        <v>5287</v>
      </c>
      <c r="B5288" s="845" t="s">
        <v>2558</v>
      </c>
      <c r="D5288" s="862"/>
      <c r="I5288" s="845" t="str">
        <f>CONCATENATE("&lt;valeur&gt;",Cellule_1585,"&lt;/valeur&gt;")</f>
        <v>&lt;valeur&gt;0&lt;/valeur&gt;</v>
      </c>
    </row>
    <row r="5289" spans="1:10" x14ac:dyDescent="0.2">
      <c r="A5289" s="859">
        <f t="shared" si="82"/>
        <v>5288</v>
      </c>
      <c r="B5289" s="845" t="s">
        <v>2558</v>
      </c>
      <c r="D5289" s="861"/>
      <c r="H5289" s="845" t="s">
        <v>1010</v>
      </c>
    </row>
    <row r="5290" spans="1:10" x14ac:dyDescent="0.2">
      <c r="A5290" s="859">
        <f t="shared" si="82"/>
        <v>5289</v>
      </c>
      <c r="B5290" s="845" t="s">
        <v>2558</v>
      </c>
      <c r="D5290" s="861"/>
      <c r="H5290" s="845" t="s">
        <v>1007</v>
      </c>
    </row>
    <row r="5291" spans="1:10" x14ac:dyDescent="0.2">
      <c r="A5291" s="859">
        <f t="shared" si="82"/>
        <v>5290</v>
      </c>
      <c r="B5291" s="845" t="s">
        <v>2558</v>
      </c>
      <c r="D5291" s="862"/>
      <c r="I5291" s="845" t="s">
        <v>1008</v>
      </c>
    </row>
    <row r="5292" spans="1:10" x14ac:dyDescent="0.2">
      <c r="A5292" s="859">
        <f t="shared" si="82"/>
        <v>5291</v>
      </c>
      <c r="B5292" s="845" t="s">
        <v>2558</v>
      </c>
      <c r="D5292" s="863"/>
      <c r="J5292" s="845" t="s">
        <v>1856</v>
      </c>
    </row>
    <row r="5293" spans="1:10" x14ac:dyDescent="0.2">
      <c r="A5293" s="859">
        <f t="shared" si="82"/>
        <v>5292</v>
      </c>
      <c r="B5293" s="845" t="s">
        <v>2558</v>
      </c>
      <c r="D5293" s="862"/>
      <c r="I5293" s="845" t="s">
        <v>1009</v>
      </c>
    </row>
    <row r="5294" spans="1:10" x14ac:dyDescent="0.2">
      <c r="A5294" s="859">
        <f t="shared" si="82"/>
        <v>5293</v>
      </c>
      <c r="B5294" s="845" t="s">
        <v>2558</v>
      </c>
      <c r="D5294" s="862"/>
      <c r="I5294" s="845" t="str">
        <f>CONCATENATE("&lt;valeur&gt;",Cellule_1586,"&lt;/valeur&gt;")</f>
        <v>&lt;valeur&gt;&lt;/valeur&gt;</v>
      </c>
    </row>
    <row r="5295" spans="1:10" x14ac:dyDescent="0.2">
      <c r="A5295" s="859">
        <f t="shared" si="82"/>
        <v>5294</v>
      </c>
      <c r="B5295" s="845" t="s">
        <v>2558</v>
      </c>
      <c r="D5295" s="861"/>
      <c r="H5295" s="845" t="s">
        <v>1010</v>
      </c>
    </row>
    <row r="5296" spans="1:10" x14ac:dyDescent="0.2">
      <c r="A5296" s="859">
        <f t="shared" si="82"/>
        <v>5295</v>
      </c>
      <c r="B5296" s="845" t="s">
        <v>2558</v>
      </c>
      <c r="D5296" s="861"/>
      <c r="H5296" s="845" t="s">
        <v>1007</v>
      </c>
    </row>
    <row r="5297" spans="1:10" x14ac:dyDescent="0.2">
      <c r="A5297" s="859">
        <f t="shared" si="82"/>
        <v>5296</v>
      </c>
      <c r="B5297" s="845" t="s">
        <v>2558</v>
      </c>
      <c r="D5297" s="862"/>
      <c r="I5297" s="845" t="s">
        <v>1008</v>
      </c>
    </row>
    <row r="5298" spans="1:10" x14ac:dyDescent="0.2">
      <c r="A5298" s="859">
        <f t="shared" si="82"/>
        <v>5297</v>
      </c>
      <c r="B5298" s="845" t="s">
        <v>2558</v>
      </c>
      <c r="D5298" s="863"/>
      <c r="J5298" s="845" t="s">
        <v>1857</v>
      </c>
    </row>
    <row r="5299" spans="1:10" x14ac:dyDescent="0.2">
      <c r="A5299" s="859">
        <f t="shared" si="82"/>
        <v>5298</v>
      </c>
      <c r="B5299" s="845" t="s">
        <v>2558</v>
      </c>
      <c r="D5299" s="862"/>
      <c r="I5299" s="845" t="s">
        <v>1009</v>
      </c>
    </row>
    <row r="5300" spans="1:10" x14ac:dyDescent="0.2">
      <c r="A5300" s="859">
        <f t="shared" si="82"/>
        <v>5299</v>
      </c>
      <c r="B5300" s="845" t="s">
        <v>2558</v>
      </c>
      <c r="D5300" s="862"/>
      <c r="I5300" s="845" t="str">
        <f>CONCATENATE("&lt;valeur&gt;",Cellule_1587,"&lt;/valeur&gt;")</f>
        <v>&lt;valeur&gt;0&lt;/valeur&gt;</v>
      </c>
    </row>
    <row r="5301" spans="1:10" x14ac:dyDescent="0.2">
      <c r="A5301" s="859">
        <f t="shared" si="82"/>
        <v>5300</v>
      </c>
      <c r="B5301" s="845" t="s">
        <v>2558</v>
      </c>
      <c r="D5301" s="861"/>
      <c r="H5301" s="845" t="s">
        <v>1010</v>
      </c>
    </row>
    <row r="5302" spans="1:10" x14ac:dyDescent="0.2">
      <c r="A5302" s="859">
        <f t="shared" si="82"/>
        <v>5301</v>
      </c>
      <c r="B5302" s="845" t="s">
        <v>2558</v>
      </c>
      <c r="D5302" s="861"/>
      <c r="H5302" s="845" t="s">
        <v>1007</v>
      </c>
    </row>
    <row r="5303" spans="1:10" x14ac:dyDescent="0.2">
      <c r="A5303" s="859">
        <f t="shared" si="82"/>
        <v>5302</v>
      </c>
      <c r="B5303" s="845" t="s">
        <v>2558</v>
      </c>
      <c r="D5303" s="862"/>
      <c r="I5303" s="845" t="s">
        <v>1008</v>
      </c>
    </row>
    <row r="5304" spans="1:10" x14ac:dyDescent="0.2">
      <c r="A5304" s="859">
        <f t="shared" si="82"/>
        <v>5303</v>
      </c>
      <c r="B5304" s="845" t="s">
        <v>2558</v>
      </c>
      <c r="D5304" s="863"/>
      <c r="J5304" s="845" t="s">
        <v>1858</v>
      </c>
    </row>
    <row r="5305" spans="1:10" x14ac:dyDescent="0.2">
      <c r="A5305" s="859">
        <f t="shared" si="82"/>
        <v>5304</v>
      </c>
      <c r="B5305" s="845" t="s">
        <v>2558</v>
      </c>
      <c r="D5305" s="862"/>
      <c r="I5305" s="845" t="s">
        <v>1009</v>
      </c>
    </row>
    <row r="5306" spans="1:10" x14ac:dyDescent="0.2">
      <c r="A5306" s="859">
        <f t="shared" si="82"/>
        <v>5305</v>
      </c>
      <c r="B5306" s="845" t="s">
        <v>2558</v>
      </c>
      <c r="D5306" s="862"/>
      <c r="I5306" s="845" t="str">
        <f>CONCATENATE("&lt;valeur&gt;",Cellule_1588,"&lt;/valeur&gt;")</f>
        <v>&lt;valeur&gt;0&lt;/valeur&gt;</v>
      </c>
    </row>
    <row r="5307" spans="1:10" x14ac:dyDescent="0.2">
      <c r="A5307" s="859">
        <f t="shared" si="82"/>
        <v>5306</v>
      </c>
      <c r="B5307" s="845" t="s">
        <v>2558</v>
      </c>
      <c r="D5307" s="861"/>
      <c r="H5307" s="845" t="s">
        <v>1010</v>
      </c>
    </row>
    <row r="5308" spans="1:10" x14ac:dyDescent="0.2">
      <c r="A5308" s="859">
        <f t="shared" si="82"/>
        <v>5307</v>
      </c>
      <c r="B5308" s="845" t="s">
        <v>2558</v>
      </c>
      <c r="D5308" s="861"/>
      <c r="H5308" s="845" t="s">
        <v>1007</v>
      </c>
    </row>
    <row r="5309" spans="1:10" x14ac:dyDescent="0.2">
      <c r="A5309" s="859">
        <f t="shared" si="82"/>
        <v>5308</v>
      </c>
      <c r="B5309" s="845" t="s">
        <v>2558</v>
      </c>
      <c r="D5309" s="862"/>
      <c r="I5309" s="845" t="s">
        <v>1008</v>
      </c>
    </row>
    <row r="5310" spans="1:10" x14ac:dyDescent="0.2">
      <c r="A5310" s="859">
        <f t="shared" si="82"/>
        <v>5309</v>
      </c>
      <c r="B5310" s="845" t="s">
        <v>2558</v>
      </c>
      <c r="D5310" s="863"/>
      <c r="J5310" s="845" t="s">
        <v>1859</v>
      </c>
    </row>
    <row r="5311" spans="1:10" x14ac:dyDescent="0.2">
      <c r="A5311" s="859">
        <f t="shared" si="82"/>
        <v>5310</v>
      </c>
      <c r="B5311" s="845" t="s">
        <v>2558</v>
      </c>
      <c r="D5311" s="862"/>
      <c r="I5311" s="845" t="s">
        <v>1009</v>
      </c>
    </row>
    <row r="5312" spans="1:10" x14ac:dyDescent="0.2">
      <c r="A5312" s="859">
        <f t="shared" si="82"/>
        <v>5311</v>
      </c>
      <c r="B5312" s="845" t="s">
        <v>2558</v>
      </c>
      <c r="D5312" s="862"/>
      <c r="I5312" s="845" t="str">
        <f>CONCATENATE("&lt;valeur&gt;",Cellule_1589,"&lt;/valeur&gt;")</f>
        <v>&lt;valeur&gt;0&lt;/valeur&gt;</v>
      </c>
    </row>
    <row r="5313" spans="1:10" x14ac:dyDescent="0.2">
      <c r="A5313" s="859">
        <f t="shared" si="82"/>
        <v>5312</v>
      </c>
      <c r="B5313" s="845" t="s">
        <v>2558</v>
      </c>
      <c r="D5313" s="861"/>
      <c r="H5313" s="845" t="s">
        <v>1010</v>
      </c>
    </row>
    <row r="5314" spans="1:10" x14ac:dyDescent="0.2">
      <c r="A5314" s="859">
        <f t="shared" si="82"/>
        <v>5313</v>
      </c>
      <c r="B5314" s="845" t="s">
        <v>2558</v>
      </c>
      <c r="D5314" s="861"/>
      <c r="H5314" s="845" t="s">
        <v>1007</v>
      </c>
    </row>
    <row r="5315" spans="1:10" x14ac:dyDescent="0.2">
      <c r="A5315" s="859">
        <f t="shared" si="82"/>
        <v>5314</v>
      </c>
      <c r="B5315" s="845" t="s">
        <v>2558</v>
      </c>
      <c r="D5315" s="862"/>
      <c r="I5315" s="845" t="s">
        <v>1008</v>
      </c>
    </row>
    <row r="5316" spans="1:10" x14ac:dyDescent="0.2">
      <c r="A5316" s="859">
        <f t="shared" ref="A5316:A5379" si="83">+A5315+1</f>
        <v>5315</v>
      </c>
      <c r="B5316" s="845" t="s">
        <v>2558</v>
      </c>
      <c r="D5316" s="863"/>
      <c r="J5316" s="845" t="s">
        <v>1860</v>
      </c>
    </row>
    <row r="5317" spans="1:10" x14ac:dyDescent="0.2">
      <c r="A5317" s="859">
        <f t="shared" si="83"/>
        <v>5316</v>
      </c>
      <c r="B5317" s="845" t="s">
        <v>2558</v>
      </c>
      <c r="D5317" s="862"/>
      <c r="I5317" s="845" t="s">
        <v>1009</v>
      </c>
    </row>
    <row r="5318" spans="1:10" x14ac:dyDescent="0.2">
      <c r="A5318" s="859">
        <f t="shared" si="83"/>
        <v>5317</v>
      </c>
      <c r="B5318" s="845" t="s">
        <v>2558</v>
      </c>
      <c r="D5318" s="862"/>
      <c r="I5318" s="845" t="str">
        <f>CONCATENATE("&lt;valeur&gt;",Cellule_1590,"&lt;/valeur&gt;")</f>
        <v>&lt;valeur&gt;0&lt;/valeur&gt;</v>
      </c>
    </row>
    <row r="5319" spans="1:10" x14ac:dyDescent="0.2">
      <c r="A5319" s="859">
        <f t="shared" si="83"/>
        <v>5318</v>
      </c>
      <c r="B5319" s="845" t="s">
        <v>2558</v>
      </c>
      <c r="D5319" s="861"/>
      <c r="H5319" s="845" t="s">
        <v>1010</v>
      </c>
    </row>
    <row r="5320" spans="1:10" x14ac:dyDescent="0.2">
      <c r="A5320" s="859">
        <f t="shared" si="83"/>
        <v>5319</v>
      </c>
      <c r="B5320" s="845" t="s">
        <v>2558</v>
      </c>
      <c r="D5320" s="861"/>
      <c r="H5320" s="845" t="s">
        <v>1007</v>
      </c>
    </row>
    <row r="5321" spans="1:10" x14ac:dyDescent="0.2">
      <c r="A5321" s="859">
        <f t="shared" si="83"/>
        <v>5320</v>
      </c>
      <c r="B5321" s="845" t="s">
        <v>2558</v>
      </c>
      <c r="D5321" s="862"/>
      <c r="I5321" s="845" t="s">
        <v>1008</v>
      </c>
    </row>
    <row r="5322" spans="1:10" x14ac:dyDescent="0.2">
      <c r="A5322" s="859">
        <f t="shared" si="83"/>
        <v>5321</v>
      </c>
      <c r="B5322" s="845" t="s">
        <v>2558</v>
      </c>
      <c r="D5322" s="863"/>
      <c r="J5322" s="845" t="s">
        <v>1861</v>
      </c>
    </row>
    <row r="5323" spans="1:10" x14ac:dyDescent="0.2">
      <c r="A5323" s="859">
        <f t="shared" si="83"/>
        <v>5322</v>
      </c>
      <c r="B5323" s="845" t="s">
        <v>2558</v>
      </c>
      <c r="D5323" s="862"/>
      <c r="I5323" s="845" t="s">
        <v>1009</v>
      </c>
    </row>
    <row r="5324" spans="1:10" x14ac:dyDescent="0.2">
      <c r="A5324" s="859">
        <f t="shared" si="83"/>
        <v>5323</v>
      </c>
      <c r="B5324" s="845" t="s">
        <v>2558</v>
      </c>
      <c r="D5324" s="862"/>
      <c r="I5324" s="845" t="str">
        <f>CONCATENATE("&lt;valeur&gt;",Cellule_1591,"&lt;/valeur&gt;")</f>
        <v>&lt;valeur&gt;&lt;/valeur&gt;</v>
      </c>
    </row>
    <row r="5325" spans="1:10" x14ac:dyDescent="0.2">
      <c r="A5325" s="859">
        <f t="shared" si="83"/>
        <v>5324</v>
      </c>
      <c r="B5325" s="845" t="s">
        <v>2558</v>
      </c>
      <c r="D5325" s="861"/>
      <c r="H5325" s="845" t="s">
        <v>1010</v>
      </c>
    </row>
    <row r="5326" spans="1:10" x14ac:dyDescent="0.2">
      <c r="A5326" s="859">
        <f t="shared" si="83"/>
        <v>5325</v>
      </c>
      <c r="B5326" s="845" t="s">
        <v>2558</v>
      </c>
      <c r="D5326" s="861"/>
      <c r="H5326" s="845" t="s">
        <v>1007</v>
      </c>
    </row>
    <row r="5327" spans="1:10" x14ac:dyDescent="0.2">
      <c r="A5327" s="859">
        <f t="shared" si="83"/>
        <v>5326</v>
      </c>
      <c r="B5327" s="845" t="s">
        <v>2558</v>
      </c>
      <c r="D5327" s="862"/>
      <c r="I5327" s="845" t="s">
        <v>1008</v>
      </c>
    </row>
    <row r="5328" spans="1:10" x14ac:dyDescent="0.2">
      <c r="A5328" s="859">
        <f t="shared" si="83"/>
        <v>5327</v>
      </c>
      <c r="B5328" s="845" t="s">
        <v>2558</v>
      </c>
      <c r="D5328" s="863"/>
      <c r="J5328" s="845" t="s">
        <v>1862</v>
      </c>
    </row>
    <row r="5329" spans="1:10" x14ac:dyDescent="0.2">
      <c r="A5329" s="859">
        <f t="shared" si="83"/>
        <v>5328</v>
      </c>
      <c r="B5329" s="845" t="s">
        <v>2558</v>
      </c>
      <c r="D5329" s="862"/>
      <c r="I5329" s="845" t="s">
        <v>1009</v>
      </c>
    </row>
    <row r="5330" spans="1:10" x14ac:dyDescent="0.2">
      <c r="A5330" s="859">
        <f t="shared" si="83"/>
        <v>5329</v>
      </c>
      <c r="B5330" s="845" t="s">
        <v>2558</v>
      </c>
      <c r="D5330" s="862"/>
      <c r="I5330" s="845" t="str">
        <f>CONCATENATE("&lt;valeur&gt;",Cellule_1592,"&lt;/valeur&gt;")</f>
        <v>&lt;valeur&gt;0&lt;/valeur&gt;</v>
      </c>
    </row>
    <row r="5331" spans="1:10" x14ac:dyDescent="0.2">
      <c r="A5331" s="859">
        <f t="shared" si="83"/>
        <v>5330</v>
      </c>
      <c r="B5331" s="845" t="s">
        <v>2558</v>
      </c>
      <c r="D5331" s="861"/>
      <c r="H5331" s="845" t="s">
        <v>1010</v>
      </c>
    </row>
    <row r="5332" spans="1:10" x14ac:dyDescent="0.2">
      <c r="A5332" s="859">
        <f t="shared" si="83"/>
        <v>5331</v>
      </c>
      <c r="B5332" s="845" t="s">
        <v>2558</v>
      </c>
      <c r="D5332" s="861"/>
      <c r="H5332" s="845" t="s">
        <v>1007</v>
      </c>
    </row>
    <row r="5333" spans="1:10" x14ac:dyDescent="0.2">
      <c r="A5333" s="859">
        <f t="shared" si="83"/>
        <v>5332</v>
      </c>
      <c r="B5333" s="845" t="s">
        <v>2558</v>
      </c>
      <c r="D5333" s="862"/>
      <c r="I5333" s="845" t="s">
        <v>1008</v>
      </c>
    </row>
    <row r="5334" spans="1:10" x14ac:dyDescent="0.2">
      <c r="A5334" s="859">
        <f t="shared" si="83"/>
        <v>5333</v>
      </c>
      <c r="B5334" s="845" t="s">
        <v>2558</v>
      </c>
      <c r="D5334" s="863"/>
      <c r="J5334" s="845" t="s">
        <v>1863</v>
      </c>
    </row>
    <row r="5335" spans="1:10" x14ac:dyDescent="0.2">
      <c r="A5335" s="859">
        <f t="shared" si="83"/>
        <v>5334</v>
      </c>
      <c r="B5335" s="845" t="s">
        <v>2558</v>
      </c>
      <c r="D5335" s="862"/>
      <c r="I5335" s="845" t="s">
        <v>1009</v>
      </c>
    </row>
    <row r="5336" spans="1:10" x14ac:dyDescent="0.2">
      <c r="A5336" s="859">
        <f t="shared" si="83"/>
        <v>5335</v>
      </c>
      <c r="B5336" s="845" t="s">
        <v>2558</v>
      </c>
      <c r="D5336" s="862"/>
      <c r="I5336" s="845" t="str">
        <f>CONCATENATE("&lt;valeur&gt;",Cellule_1593,"&lt;/valeur&gt;")</f>
        <v>&lt;valeur&gt;0&lt;/valeur&gt;</v>
      </c>
    </row>
    <row r="5337" spans="1:10" x14ac:dyDescent="0.2">
      <c r="A5337" s="859">
        <f t="shared" si="83"/>
        <v>5336</v>
      </c>
      <c r="B5337" s="845" t="s">
        <v>2558</v>
      </c>
      <c r="D5337" s="861"/>
      <c r="H5337" s="845" t="s">
        <v>1010</v>
      </c>
    </row>
    <row r="5338" spans="1:10" x14ac:dyDescent="0.2">
      <c r="A5338" s="859">
        <f t="shared" si="83"/>
        <v>5337</v>
      </c>
      <c r="B5338" s="845" t="s">
        <v>2558</v>
      </c>
      <c r="D5338" s="861"/>
      <c r="H5338" s="845" t="s">
        <v>1007</v>
      </c>
    </row>
    <row r="5339" spans="1:10" x14ac:dyDescent="0.2">
      <c r="A5339" s="859">
        <f t="shared" si="83"/>
        <v>5338</v>
      </c>
      <c r="B5339" s="845" t="s">
        <v>2558</v>
      </c>
      <c r="D5339" s="862"/>
      <c r="I5339" s="845" t="s">
        <v>1008</v>
      </c>
    </row>
    <row r="5340" spans="1:10" x14ac:dyDescent="0.2">
      <c r="A5340" s="859">
        <f t="shared" si="83"/>
        <v>5339</v>
      </c>
      <c r="B5340" s="845" t="s">
        <v>2558</v>
      </c>
      <c r="D5340" s="863"/>
      <c r="J5340" s="845" t="s">
        <v>1864</v>
      </c>
    </row>
    <row r="5341" spans="1:10" x14ac:dyDescent="0.2">
      <c r="A5341" s="859">
        <f t="shared" si="83"/>
        <v>5340</v>
      </c>
      <c r="B5341" s="845" t="s">
        <v>2558</v>
      </c>
      <c r="D5341" s="862"/>
      <c r="I5341" s="845" t="s">
        <v>1009</v>
      </c>
    </row>
    <row r="5342" spans="1:10" x14ac:dyDescent="0.2">
      <c r="A5342" s="859">
        <f t="shared" si="83"/>
        <v>5341</v>
      </c>
      <c r="B5342" s="845" t="s">
        <v>2558</v>
      </c>
      <c r="D5342" s="862"/>
      <c r="I5342" s="845" t="str">
        <f>CONCATENATE("&lt;valeur&gt;",Cellule_1594,"&lt;/valeur&gt;")</f>
        <v>&lt;valeur&gt;0&lt;/valeur&gt;</v>
      </c>
    </row>
    <row r="5343" spans="1:10" x14ac:dyDescent="0.2">
      <c r="A5343" s="859">
        <f t="shared" si="83"/>
        <v>5342</v>
      </c>
      <c r="B5343" s="845" t="s">
        <v>2558</v>
      </c>
      <c r="D5343" s="861"/>
      <c r="H5343" s="845" t="s">
        <v>1010</v>
      </c>
    </row>
    <row r="5344" spans="1:10" x14ac:dyDescent="0.2">
      <c r="A5344" s="859">
        <f t="shared" si="83"/>
        <v>5343</v>
      </c>
      <c r="B5344" s="845" t="s">
        <v>2558</v>
      </c>
      <c r="D5344" s="861"/>
      <c r="H5344" s="845" t="s">
        <v>1007</v>
      </c>
    </row>
    <row r="5345" spans="1:10" x14ac:dyDescent="0.2">
      <c r="A5345" s="859">
        <f t="shared" si="83"/>
        <v>5344</v>
      </c>
      <c r="B5345" s="845" t="s">
        <v>2558</v>
      </c>
      <c r="D5345" s="862"/>
      <c r="I5345" s="845" t="s">
        <v>1008</v>
      </c>
    </row>
    <row r="5346" spans="1:10" x14ac:dyDescent="0.2">
      <c r="A5346" s="859">
        <f t="shared" si="83"/>
        <v>5345</v>
      </c>
      <c r="B5346" s="845" t="s">
        <v>2558</v>
      </c>
      <c r="D5346" s="863"/>
      <c r="J5346" s="845" t="s">
        <v>1865</v>
      </c>
    </row>
    <row r="5347" spans="1:10" x14ac:dyDescent="0.2">
      <c r="A5347" s="859">
        <f t="shared" si="83"/>
        <v>5346</v>
      </c>
      <c r="B5347" s="845" t="s">
        <v>2558</v>
      </c>
      <c r="D5347" s="862"/>
      <c r="I5347" s="845" t="s">
        <v>1009</v>
      </c>
    </row>
    <row r="5348" spans="1:10" x14ac:dyDescent="0.2">
      <c r="A5348" s="859">
        <f t="shared" si="83"/>
        <v>5347</v>
      </c>
      <c r="B5348" s="845" t="s">
        <v>2558</v>
      </c>
      <c r="D5348" s="862"/>
      <c r="I5348" s="845" t="str">
        <f>CONCATENATE("&lt;valeur&gt;",Cellule_1734,"&lt;/valeur&gt;")</f>
        <v>&lt;valeur&gt;0&lt;/valeur&gt;</v>
      </c>
    </row>
    <row r="5349" spans="1:10" x14ac:dyDescent="0.2">
      <c r="A5349" s="859">
        <f t="shared" si="83"/>
        <v>5348</v>
      </c>
      <c r="B5349" s="845" t="s">
        <v>2558</v>
      </c>
      <c r="D5349" s="861"/>
      <c r="H5349" s="845" t="s">
        <v>1010</v>
      </c>
    </row>
    <row r="5350" spans="1:10" x14ac:dyDescent="0.2">
      <c r="A5350" s="859">
        <f t="shared" si="83"/>
        <v>5349</v>
      </c>
      <c r="B5350" s="845" t="s">
        <v>2558</v>
      </c>
      <c r="D5350" s="861"/>
      <c r="H5350" s="845" t="s">
        <v>1007</v>
      </c>
    </row>
    <row r="5351" spans="1:10" x14ac:dyDescent="0.2">
      <c r="A5351" s="859">
        <f t="shared" si="83"/>
        <v>5350</v>
      </c>
      <c r="B5351" s="845" t="s">
        <v>2558</v>
      </c>
      <c r="D5351" s="862"/>
      <c r="I5351" s="845" t="s">
        <v>1008</v>
      </c>
    </row>
    <row r="5352" spans="1:10" x14ac:dyDescent="0.2">
      <c r="A5352" s="859">
        <f t="shared" si="83"/>
        <v>5351</v>
      </c>
      <c r="B5352" s="845" t="s">
        <v>2558</v>
      </c>
      <c r="D5352" s="863"/>
      <c r="J5352" s="845" t="s">
        <v>1866</v>
      </c>
    </row>
    <row r="5353" spans="1:10" x14ac:dyDescent="0.2">
      <c r="A5353" s="859">
        <f t="shared" si="83"/>
        <v>5352</v>
      </c>
      <c r="B5353" s="845" t="s">
        <v>2558</v>
      </c>
      <c r="D5353" s="862"/>
      <c r="I5353" s="845" t="s">
        <v>1009</v>
      </c>
    </row>
    <row r="5354" spans="1:10" x14ac:dyDescent="0.2">
      <c r="A5354" s="859">
        <f t="shared" si="83"/>
        <v>5353</v>
      </c>
      <c r="B5354" s="845" t="s">
        <v>2558</v>
      </c>
      <c r="D5354" s="862"/>
      <c r="I5354" s="845" t="str">
        <f>CONCATENATE("&lt;valeur&gt;",Cellule_10091,"&lt;/valeur&gt;")</f>
        <v>&lt;valeur&gt;0&lt;/valeur&gt;</v>
      </c>
    </row>
    <row r="5355" spans="1:10" x14ac:dyDescent="0.2">
      <c r="A5355" s="859">
        <f t="shared" si="83"/>
        <v>5354</v>
      </c>
      <c r="B5355" s="845" t="s">
        <v>2558</v>
      </c>
      <c r="D5355" s="861"/>
      <c r="H5355" s="845" t="s">
        <v>1010</v>
      </c>
    </row>
    <row r="5356" spans="1:10" x14ac:dyDescent="0.2">
      <c r="A5356" s="859">
        <f t="shared" si="83"/>
        <v>5355</v>
      </c>
      <c r="B5356" s="845" t="s">
        <v>2558</v>
      </c>
      <c r="D5356" s="861"/>
      <c r="H5356" s="845" t="s">
        <v>1007</v>
      </c>
    </row>
    <row r="5357" spans="1:10" x14ac:dyDescent="0.2">
      <c r="A5357" s="859">
        <f t="shared" si="83"/>
        <v>5356</v>
      </c>
      <c r="B5357" s="845" t="s">
        <v>2558</v>
      </c>
      <c r="D5357" s="862"/>
      <c r="I5357" s="845" t="s">
        <v>1008</v>
      </c>
    </row>
    <row r="5358" spans="1:10" x14ac:dyDescent="0.2">
      <c r="A5358" s="859">
        <f t="shared" si="83"/>
        <v>5357</v>
      </c>
      <c r="B5358" s="845" t="s">
        <v>2558</v>
      </c>
      <c r="D5358" s="863"/>
      <c r="J5358" s="845" t="s">
        <v>1867</v>
      </c>
    </row>
    <row r="5359" spans="1:10" x14ac:dyDescent="0.2">
      <c r="A5359" s="859">
        <f t="shared" si="83"/>
        <v>5358</v>
      </c>
      <c r="B5359" s="845" t="s">
        <v>2558</v>
      </c>
      <c r="D5359" s="862"/>
      <c r="I5359" s="845" t="s">
        <v>1009</v>
      </c>
    </row>
    <row r="5360" spans="1:10" x14ac:dyDescent="0.2">
      <c r="A5360" s="859">
        <f t="shared" si="83"/>
        <v>5359</v>
      </c>
      <c r="B5360" s="845" t="s">
        <v>2558</v>
      </c>
      <c r="D5360" s="862"/>
      <c r="I5360" s="845" t="str">
        <f>CONCATENATE("&lt;valeur&gt;",Cellule_10420,"&lt;/valeur&gt;")</f>
        <v>&lt;valeur&gt;0&lt;/valeur&gt;</v>
      </c>
    </row>
    <row r="5361" spans="1:10" x14ac:dyDescent="0.2">
      <c r="A5361" s="859">
        <f t="shared" si="83"/>
        <v>5360</v>
      </c>
      <c r="B5361" s="845" t="s">
        <v>2558</v>
      </c>
      <c r="D5361" s="861"/>
      <c r="H5361" s="845" t="s">
        <v>1010</v>
      </c>
    </row>
    <row r="5362" spans="1:10" x14ac:dyDescent="0.2">
      <c r="A5362" s="859">
        <f t="shared" si="83"/>
        <v>5361</v>
      </c>
      <c r="B5362" s="845" t="s">
        <v>2558</v>
      </c>
      <c r="D5362" s="861"/>
      <c r="H5362" s="845" t="s">
        <v>1007</v>
      </c>
    </row>
    <row r="5363" spans="1:10" x14ac:dyDescent="0.2">
      <c r="A5363" s="859">
        <f t="shared" si="83"/>
        <v>5362</v>
      </c>
      <c r="B5363" s="845" t="s">
        <v>2558</v>
      </c>
      <c r="D5363" s="862"/>
      <c r="I5363" s="845" t="s">
        <v>1008</v>
      </c>
    </row>
    <row r="5364" spans="1:10" x14ac:dyDescent="0.2">
      <c r="A5364" s="859">
        <f t="shared" si="83"/>
        <v>5363</v>
      </c>
      <c r="B5364" s="845" t="s">
        <v>2558</v>
      </c>
      <c r="D5364" s="863"/>
      <c r="J5364" s="845" t="s">
        <v>1868</v>
      </c>
    </row>
    <row r="5365" spans="1:10" x14ac:dyDescent="0.2">
      <c r="A5365" s="859">
        <f t="shared" si="83"/>
        <v>5364</v>
      </c>
      <c r="B5365" s="845" t="s">
        <v>2558</v>
      </c>
      <c r="D5365" s="862"/>
      <c r="I5365" s="845" t="s">
        <v>1009</v>
      </c>
    </row>
    <row r="5366" spans="1:10" x14ac:dyDescent="0.2">
      <c r="A5366" s="859">
        <f t="shared" si="83"/>
        <v>5365</v>
      </c>
      <c r="B5366" s="845" t="s">
        <v>2558</v>
      </c>
      <c r="D5366" s="862"/>
      <c r="I5366" s="845" t="str">
        <f>CONCATENATE("&lt;valeur&gt;",Cellule_1764,"&lt;/valeur&gt;")</f>
        <v>&lt;valeur&gt;&lt;/valeur&gt;</v>
      </c>
    </row>
    <row r="5367" spans="1:10" x14ac:dyDescent="0.2">
      <c r="A5367" s="859">
        <f t="shared" si="83"/>
        <v>5366</v>
      </c>
      <c r="B5367" s="845" t="s">
        <v>2558</v>
      </c>
      <c r="D5367" s="861"/>
      <c r="H5367" s="845" t="s">
        <v>1010</v>
      </c>
    </row>
    <row r="5368" spans="1:10" x14ac:dyDescent="0.2">
      <c r="A5368" s="859">
        <f t="shared" si="83"/>
        <v>5367</v>
      </c>
      <c r="B5368" s="845" t="s">
        <v>2558</v>
      </c>
      <c r="D5368" s="861"/>
      <c r="H5368" s="845" t="s">
        <v>1007</v>
      </c>
    </row>
    <row r="5369" spans="1:10" x14ac:dyDescent="0.2">
      <c r="A5369" s="859">
        <f t="shared" si="83"/>
        <v>5368</v>
      </c>
      <c r="B5369" s="845" t="s">
        <v>2558</v>
      </c>
      <c r="D5369" s="862"/>
      <c r="I5369" s="845" t="s">
        <v>1008</v>
      </c>
    </row>
    <row r="5370" spans="1:10" x14ac:dyDescent="0.2">
      <c r="A5370" s="859">
        <f t="shared" si="83"/>
        <v>5369</v>
      </c>
      <c r="B5370" s="845" t="s">
        <v>2558</v>
      </c>
      <c r="D5370" s="863"/>
      <c r="J5370" s="845" t="s">
        <v>1869</v>
      </c>
    </row>
    <row r="5371" spans="1:10" x14ac:dyDescent="0.2">
      <c r="A5371" s="859">
        <f t="shared" si="83"/>
        <v>5370</v>
      </c>
      <c r="B5371" s="845" t="s">
        <v>2558</v>
      </c>
      <c r="D5371" s="862"/>
      <c r="I5371" s="845" t="s">
        <v>1009</v>
      </c>
    </row>
    <row r="5372" spans="1:10" x14ac:dyDescent="0.2">
      <c r="A5372" s="859">
        <f t="shared" si="83"/>
        <v>5371</v>
      </c>
      <c r="B5372" s="845" t="s">
        <v>2558</v>
      </c>
      <c r="D5372" s="862"/>
      <c r="I5372" s="845" t="str">
        <f>CONCATENATE("&lt;valeur&gt;",Cellule_1765,"&lt;/valeur&gt;")</f>
        <v>&lt;valeur&gt;0&lt;/valeur&gt;</v>
      </c>
    </row>
    <row r="5373" spans="1:10" x14ac:dyDescent="0.2">
      <c r="A5373" s="859">
        <f t="shared" si="83"/>
        <v>5372</v>
      </c>
      <c r="B5373" s="845" t="s">
        <v>2558</v>
      </c>
      <c r="D5373" s="861"/>
      <c r="H5373" s="845" t="s">
        <v>1010</v>
      </c>
    </row>
    <row r="5374" spans="1:10" x14ac:dyDescent="0.2">
      <c r="A5374" s="859">
        <f t="shared" si="83"/>
        <v>5373</v>
      </c>
      <c r="B5374" s="845" t="s">
        <v>2558</v>
      </c>
      <c r="D5374" s="861"/>
      <c r="H5374" s="845" t="s">
        <v>1007</v>
      </c>
    </row>
    <row r="5375" spans="1:10" x14ac:dyDescent="0.2">
      <c r="A5375" s="859">
        <f t="shared" si="83"/>
        <v>5374</v>
      </c>
      <c r="B5375" s="845" t="s">
        <v>2558</v>
      </c>
      <c r="D5375" s="862"/>
      <c r="I5375" s="845" t="s">
        <v>1008</v>
      </c>
    </row>
    <row r="5376" spans="1:10" x14ac:dyDescent="0.2">
      <c r="A5376" s="859">
        <f t="shared" si="83"/>
        <v>5375</v>
      </c>
      <c r="B5376" s="845" t="s">
        <v>2558</v>
      </c>
      <c r="D5376" s="863"/>
      <c r="J5376" s="845" t="s">
        <v>1870</v>
      </c>
    </row>
    <row r="5377" spans="1:10" x14ac:dyDescent="0.2">
      <c r="A5377" s="859">
        <f t="shared" si="83"/>
        <v>5376</v>
      </c>
      <c r="B5377" s="845" t="s">
        <v>2558</v>
      </c>
      <c r="D5377" s="862"/>
      <c r="I5377" s="845" t="s">
        <v>1009</v>
      </c>
    </row>
    <row r="5378" spans="1:10" x14ac:dyDescent="0.2">
      <c r="A5378" s="859">
        <f t="shared" si="83"/>
        <v>5377</v>
      </c>
      <c r="B5378" s="845" t="s">
        <v>2558</v>
      </c>
      <c r="D5378" s="862"/>
      <c r="I5378" s="845" t="str">
        <f>CONCATENATE("&lt;valeur&gt;",Cellule_1766,"&lt;/valeur&gt;")</f>
        <v>&lt;valeur&gt;0&lt;/valeur&gt;</v>
      </c>
    </row>
    <row r="5379" spans="1:10" x14ac:dyDescent="0.2">
      <c r="A5379" s="859">
        <f t="shared" si="83"/>
        <v>5378</v>
      </c>
      <c r="B5379" s="845" t="s">
        <v>2558</v>
      </c>
      <c r="D5379" s="861"/>
      <c r="H5379" s="845" t="s">
        <v>1010</v>
      </c>
    </row>
    <row r="5380" spans="1:10" x14ac:dyDescent="0.2">
      <c r="A5380" s="859">
        <f t="shared" ref="A5380:A5443" si="84">+A5379+1</f>
        <v>5379</v>
      </c>
      <c r="B5380" s="845" t="s">
        <v>2558</v>
      </c>
      <c r="D5380" s="861"/>
      <c r="H5380" s="845" t="s">
        <v>1007</v>
      </c>
    </row>
    <row r="5381" spans="1:10" x14ac:dyDescent="0.2">
      <c r="A5381" s="859">
        <f t="shared" si="84"/>
        <v>5380</v>
      </c>
      <c r="B5381" s="845" t="s">
        <v>2558</v>
      </c>
      <c r="D5381" s="862"/>
      <c r="I5381" s="845" t="s">
        <v>1008</v>
      </c>
    </row>
    <row r="5382" spans="1:10" x14ac:dyDescent="0.2">
      <c r="A5382" s="859">
        <f t="shared" si="84"/>
        <v>5381</v>
      </c>
      <c r="B5382" s="845" t="s">
        <v>2558</v>
      </c>
      <c r="D5382" s="863"/>
      <c r="J5382" s="845" t="s">
        <v>1871</v>
      </c>
    </row>
    <row r="5383" spans="1:10" x14ac:dyDescent="0.2">
      <c r="A5383" s="859">
        <f t="shared" si="84"/>
        <v>5382</v>
      </c>
      <c r="B5383" s="845" t="s">
        <v>2558</v>
      </c>
      <c r="D5383" s="862"/>
      <c r="I5383" s="845" t="s">
        <v>1009</v>
      </c>
    </row>
    <row r="5384" spans="1:10" x14ac:dyDescent="0.2">
      <c r="A5384" s="859">
        <f t="shared" si="84"/>
        <v>5383</v>
      </c>
      <c r="B5384" s="845" t="s">
        <v>2558</v>
      </c>
      <c r="D5384" s="862"/>
      <c r="I5384" s="845" t="str">
        <f>CONCATENATE("&lt;valeur&gt;",Cellule_1767,"&lt;/valeur&gt;")</f>
        <v>&lt;valeur&gt;0&lt;/valeur&gt;</v>
      </c>
    </row>
    <row r="5385" spans="1:10" x14ac:dyDescent="0.2">
      <c r="A5385" s="859">
        <f t="shared" si="84"/>
        <v>5384</v>
      </c>
      <c r="B5385" s="845" t="s">
        <v>2558</v>
      </c>
      <c r="D5385" s="861"/>
      <c r="H5385" s="845" t="s">
        <v>1010</v>
      </c>
    </row>
    <row r="5386" spans="1:10" x14ac:dyDescent="0.2">
      <c r="A5386" s="859">
        <f t="shared" si="84"/>
        <v>5385</v>
      </c>
      <c r="B5386" s="845" t="s">
        <v>2558</v>
      </c>
      <c r="D5386" s="861"/>
      <c r="H5386" s="845" t="s">
        <v>1007</v>
      </c>
    </row>
    <row r="5387" spans="1:10" x14ac:dyDescent="0.2">
      <c r="A5387" s="859">
        <f t="shared" si="84"/>
        <v>5386</v>
      </c>
      <c r="B5387" s="845" t="s">
        <v>2558</v>
      </c>
      <c r="D5387" s="862"/>
      <c r="I5387" s="845" t="s">
        <v>1008</v>
      </c>
    </row>
    <row r="5388" spans="1:10" x14ac:dyDescent="0.2">
      <c r="A5388" s="859">
        <f t="shared" si="84"/>
        <v>5387</v>
      </c>
      <c r="B5388" s="845" t="s">
        <v>2558</v>
      </c>
      <c r="D5388" s="863"/>
      <c r="J5388" s="845" t="s">
        <v>1872</v>
      </c>
    </row>
    <row r="5389" spans="1:10" x14ac:dyDescent="0.2">
      <c r="A5389" s="859">
        <f t="shared" si="84"/>
        <v>5388</v>
      </c>
      <c r="B5389" s="845" t="s">
        <v>2558</v>
      </c>
      <c r="D5389" s="862"/>
      <c r="I5389" s="845" t="s">
        <v>1009</v>
      </c>
    </row>
    <row r="5390" spans="1:10" x14ac:dyDescent="0.2">
      <c r="A5390" s="859">
        <f t="shared" si="84"/>
        <v>5389</v>
      </c>
      <c r="B5390" s="845" t="s">
        <v>2558</v>
      </c>
      <c r="D5390" s="862"/>
      <c r="I5390" s="845" t="str">
        <f>CONCATENATE("&lt;valeur&gt;",Cellule_1814,"&lt;/valeur&gt;")</f>
        <v>&lt;valeur&gt;&lt;/valeur&gt;</v>
      </c>
    </row>
    <row r="5391" spans="1:10" x14ac:dyDescent="0.2">
      <c r="A5391" s="859">
        <f t="shared" si="84"/>
        <v>5390</v>
      </c>
      <c r="B5391" s="845" t="s">
        <v>2558</v>
      </c>
      <c r="D5391" s="861"/>
      <c r="H5391" s="845" t="s">
        <v>1010</v>
      </c>
    </row>
    <row r="5392" spans="1:10" x14ac:dyDescent="0.2">
      <c r="A5392" s="859">
        <f t="shared" si="84"/>
        <v>5391</v>
      </c>
      <c r="B5392" s="845" t="s">
        <v>2558</v>
      </c>
      <c r="D5392" s="861"/>
      <c r="H5392" s="845" t="s">
        <v>1007</v>
      </c>
    </row>
    <row r="5393" spans="1:10" x14ac:dyDescent="0.2">
      <c r="A5393" s="859">
        <f t="shared" si="84"/>
        <v>5392</v>
      </c>
      <c r="B5393" s="845" t="s">
        <v>2558</v>
      </c>
      <c r="D5393" s="862"/>
      <c r="I5393" s="845" t="s">
        <v>1008</v>
      </c>
    </row>
    <row r="5394" spans="1:10" x14ac:dyDescent="0.2">
      <c r="A5394" s="859">
        <f t="shared" si="84"/>
        <v>5393</v>
      </c>
      <c r="B5394" s="845" t="s">
        <v>2558</v>
      </c>
      <c r="D5394" s="863"/>
      <c r="J5394" s="845" t="s">
        <v>1873</v>
      </c>
    </row>
    <row r="5395" spans="1:10" x14ac:dyDescent="0.2">
      <c r="A5395" s="859">
        <f t="shared" si="84"/>
        <v>5394</v>
      </c>
      <c r="B5395" s="845" t="s">
        <v>2558</v>
      </c>
      <c r="D5395" s="862"/>
      <c r="I5395" s="845" t="s">
        <v>1009</v>
      </c>
    </row>
    <row r="5396" spans="1:10" x14ac:dyDescent="0.2">
      <c r="A5396" s="859">
        <f t="shared" si="84"/>
        <v>5395</v>
      </c>
      <c r="B5396" s="845" t="s">
        <v>2558</v>
      </c>
      <c r="D5396" s="862"/>
      <c r="I5396" s="845" t="str">
        <f>CONCATENATE("&lt;valeur&gt;",Cellule_1815,"&lt;/valeur&gt;")</f>
        <v>&lt;valeur&gt;0&lt;/valeur&gt;</v>
      </c>
    </row>
    <row r="5397" spans="1:10" x14ac:dyDescent="0.2">
      <c r="A5397" s="859">
        <f t="shared" si="84"/>
        <v>5396</v>
      </c>
      <c r="B5397" s="845" t="s">
        <v>2558</v>
      </c>
      <c r="D5397" s="861"/>
      <c r="H5397" s="845" t="s">
        <v>1010</v>
      </c>
    </row>
    <row r="5398" spans="1:10" x14ac:dyDescent="0.2">
      <c r="A5398" s="859">
        <f t="shared" si="84"/>
        <v>5397</v>
      </c>
      <c r="B5398" s="845" t="s">
        <v>2558</v>
      </c>
      <c r="D5398" s="861"/>
      <c r="H5398" s="845" t="s">
        <v>1007</v>
      </c>
    </row>
    <row r="5399" spans="1:10" x14ac:dyDescent="0.2">
      <c r="A5399" s="859">
        <f t="shared" si="84"/>
        <v>5398</v>
      </c>
      <c r="B5399" s="845" t="s">
        <v>2558</v>
      </c>
      <c r="D5399" s="862"/>
      <c r="I5399" s="845" t="s">
        <v>1008</v>
      </c>
    </row>
    <row r="5400" spans="1:10" x14ac:dyDescent="0.2">
      <c r="A5400" s="859">
        <f t="shared" si="84"/>
        <v>5399</v>
      </c>
      <c r="B5400" s="845" t="s">
        <v>2558</v>
      </c>
      <c r="D5400" s="863"/>
      <c r="J5400" s="845" t="s">
        <v>1874</v>
      </c>
    </row>
    <row r="5401" spans="1:10" x14ac:dyDescent="0.2">
      <c r="A5401" s="859">
        <f t="shared" si="84"/>
        <v>5400</v>
      </c>
      <c r="B5401" s="845" t="s">
        <v>2558</v>
      </c>
      <c r="D5401" s="862"/>
      <c r="I5401" s="845" t="s">
        <v>1009</v>
      </c>
    </row>
    <row r="5402" spans="1:10" x14ac:dyDescent="0.2">
      <c r="A5402" s="859">
        <f t="shared" si="84"/>
        <v>5401</v>
      </c>
      <c r="B5402" s="845" t="s">
        <v>2558</v>
      </c>
      <c r="D5402" s="862"/>
      <c r="I5402" s="845" t="str">
        <f>CONCATENATE("&lt;valeur&gt;",Cellule_1816,"&lt;/valeur&gt;")</f>
        <v>&lt;valeur&gt;0&lt;/valeur&gt;</v>
      </c>
    </row>
    <row r="5403" spans="1:10" x14ac:dyDescent="0.2">
      <c r="A5403" s="859">
        <f t="shared" si="84"/>
        <v>5402</v>
      </c>
      <c r="B5403" s="845" t="s">
        <v>2558</v>
      </c>
      <c r="D5403" s="861"/>
      <c r="H5403" s="845" t="s">
        <v>1010</v>
      </c>
    </row>
    <row r="5404" spans="1:10" x14ac:dyDescent="0.2">
      <c r="A5404" s="859">
        <f t="shared" si="84"/>
        <v>5403</v>
      </c>
      <c r="B5404" s="845" t="s">
        <v>2558</v>
      </c>
      <c r="D5404" s="861"/>
      <c r="H5404" s="845" t="s">
        <v>1007</v>
      </c>
    </row>
    <row r="5405" spans="1:10" x14ac:dyDescent="0.2">
      <c r="A5405" s="859">
        <f t="shared" si="84"/>
        <v>5404</v>
      </c>
      <c r="B5405" s="845" t="s">
        <v>2558</v>
      </c>
      <c r="D5405" s="862"/>
      <c r="I5405" s="845" t="s">
        <v>1008</v>
      </c>
    </row>
    <row r="5406" spans="1:10" x14ac:dyDescent="0.2">
      <c r="A5406" s="859">
        <f t="shared" si="84"/>
        <v>5405</v>
      </c>
      <c r="B5406" s="845" t="s">
        <v>2558</v>
      </c>
      <c r="D5406" s="863"/>
      <c r="J5406" s="845" t="s">
        <v>1875</v>
      </c>
    </row>
    <row r="5407" spans="1:10" x14ac:dyDescent="0.2">
      <c r="A5407" s="859">
        <f t="shared" si="84"/>
        <v>5406</v>
      </c>
      <c r="B5407" s="845" t="s">
        <v>2558</v>
      </c>
      <c r="D5407" s="862"/>
      <c r="I5407" s="845" t="s">
        <v>1009</v>
      </c>
    </row>
    <row r="5408" spans="1:10" x14ac:dyDescent="0.2">
      <c r="A5408" s="859">
        <f t="shared" si="84"/>
        <v>5407</v>
      </c>
      <c r="B5408" s="845" t="s">
        <v>2558</v>
      </c>
      <c r="D5408" s="862"/>
      <c r="I5408" s="845" t="str">
        <f>CONCATENATE("&lt;valeur&gt;",Cellule_1817,"&lt;/valeur&gt;")</f>
        <v>&lt;valeur&gt;0&lt;/valeur&gt;</v>
      </c>
    </row>
    <row r="5409" spans="1:10" x14ac:dyDescent="0.2">
      <c r="A5409" s="859">
        <f t="shared" si="84"/>
        <v>5408</v>
      </c>
      <c r="B5409" s="845" t="s">
        <v>2558</v>
      </c>
      <c r="D5409" s="861"/>
      <c r="H5409" s="845" t="s">
        <v>1010</v>
      </c>
    </row>
    <row r="5410" spans="1:10" x14ac:dyDescent="0.2">
      <c r="A5410" s="859">
        <f t="shared" si="84"/>
        <v>5409</v>
      </c>
      <c r="B5410" s="845" t="s">
        <v>2558</v>
      </c>
      <c r="D5410" s="861"/>
      <c r="H5410" s="845" t="s">
        <v>1007</v>
      </c>
    </row>
    <row r="5411" spans="1:10" x14ac:dyDescent="0.2">
      <c r="A5411" s="859">
        <f t="shared" si="84"/>
        <v>5410</v>
      </c>
      <c r="B5411" s="845" t="s">
        <v>2558</v>
      </c>
      <c r="D5411" s="862"/>
      <c r="I5411" s="845" t="s">
        <v>1008</v>
      </c>
    </row>
    <row r="5412" spans="1:10" x14ac:dyDescent="0.2">
      <c r="A5412" s="859">
        <f t="shared" si="84"/>
        <v>5411</v>
      </c>
      <c r="B5412" s="845" t="s">
        <v>2558</v>
      </c>
      <c r="D5412" s="863"/>
      <c r="J5412" s="845" t="s">
        <v>1876</v>
      </c>
    </row>
    <row r="5413" spans="1:10" x14ac:dyDescent="0.2">
      <c r="A5413" s="859">
        <f t="shared" si="84"/>
        <v>5412</v>
      </c>
      <c r="B5413" s="845" t="s">
        <v>2558</v>
      </c>
      <c r="D5413" s="862"/>
      <c r="I5413" s="845" t="s">
        <v>1009</v>
      </c>
    </row>
    <row r="5414" spans="1:10" x14ac:dyDescent="0.2">
      <c r="A5414" s="859">
        <f t="shared" si="84"/>
        <v>5413</v>
      </c>
      <c r="B5414" s="845" t="s">
        <v>2558</v>
      </c>
      <c r="D5414" s="862"/>
      <c r="I5414" s="845" t="str">
        <f>CONCATENATE("&lt;valeur&gt;",Cellule_1794,"&lt;/valeur&gt;")</f>
        <v>&lt;valeur&gt;0&lt;/valeur&gt;</v>
      </c>
    </row>
    <row r="5415" spans="1:10" x14ac:dyDescent="0.2">
      <c r="A5415" s="859">
        <f t="shared" si="84"/>
        <v>5414</v>
      </c>
      <c r="B5415" s="845" t="s">
        <v>2558</v>
      </c>
      <c r="D5415" s="861"/>
      <c r="H5415" s="845" t="s">
        <v>1010</v>
      </c>
    </row>
    <row r="5416" spans="1:10" x14ac:dyDescent="0.2">
      <c r="A5416" s="859">
        <f t="shared" si="84"/>
        <v>5415</v>
      </c>
      <c r="B5416" s="845" t="s">
        <v>2558</v>
      </c>
      <c r="D5416" s="861"/>
      <c r="H5416" s="845" t="s">
        <v>1007</v>
      </c>
    </row>
    <row r="5417" spans="1:10" x14ac:dyDescent="0.2">
      <c r="A5417" s="859">
        <f t="shared" si="84"/>
        <v>5416</v>
      </c>
      <c r="B5417" s="845" t="s">
        <v>2558</v>
      </c>
      <c r="D5417" s="862"/>
      <c r="I5417" s="845" t="s">
        <v>1008</v>
      </c>
    </row>
    <row r="5418" spans="1:10" x14ac:dyDescent="0.2">
      <c r="A5418" s="859">
        <f t="shared" si="84"/>
        <v>5417</v>
      </c>
      <c r="B5418" s="845" t="s">
        <v>2558</v>
      </c>
      <c r="D5418" s="863"/>
      <c r="J5418" s="845" t="s">
        <v>1877</v>
      </c>
    </row>
    <row r="5419" spans="1:10" x14ac:dyDescent="0.2">
      <c r="A5419" s="859">
        <f t="shared" si="84"/>
        <v>5418</v>
      </c>
      <c r="B5419" s="845" t="s">
        <v>2558</v>
      </c>
      <c r="D5419" s="862"/>
      <c r="I5419" s="845" t="s">
        <v>1009</v>
      </c>
    </row>
    <row r="5420" spans="1:10" x14ac:dyDescent="0.2">
      <c r="A5420" s="859">
        <f t="shared" si="84"/>
        <v>5419</v>
      </c>
      <c r="B5420" s="845" t="s">
        <v>2558</v>
      </c>
      <c r="D5420" s="862"/>
      <c r="I5420" s="845" t="str">
        <f>CONCATENATE("&lt;valeur&gt;",Cellule_1795,"&lt;/valeur&gt;")</f>
        <v>&lt;valeur&gt;0&lt;/valeur&gt;</v>
      </c>
    </row>
    <row r="5421" spans="1:10" x14ac:dyDescent="0.2">
      <c r="A5421" s="859">
        <f t="shared" si="84"/>
        <v>5420</v>
      </c>
      <c r="B5421" s="845" t="s">
        <v>2558</v>
      </c>
      <c r="D5421" s="861"/>
      <c r="H5421" s="845" t="s">
        <v>1010</v>
      </c>
    </row>
    <row r="5422" spans="1:10" x14ac:dyDescent="0.2">
      <c r="A5422" s="859">
        <f t="shared" si="84"/>
        <v>5421</v>
      </c>
      <c r="B5422" s="845" t="s">
        <v>2558</v>
      </c>
      <c r="D5422" s="861"/>
      <c r="H5422" s="845" t="s">
        <v>1007</v>
      </c>
    </row>
    <row r="5423" spans="1:10" x14ac:dyDescent="0.2">
      <c r="A5423" s="859">
        <f t="shared" si="84"/>
        <v>5422</v>
      </c>
      <c r="B5423" s="845" t="s">
        <v>2558</v>
      </c>
      <c r="D5423" s="862"/>
      <c r="I5423" s="845" t="s">
        <v>1008</v>
      </c>
    </row>
    <row r="5424" spans="1:10" x14ac:dyDescent="0.2">
      <c r="A5424" s="859">
        <f t="shared" si="84"/>
        <v>5423</v>
      </c>
      <c r="B5424" s="845" t="s">
        <v>2558</v>
      </c>
      <c r="D5424" s="863"/>
      <c r="J5424" s="845" t="s">
        <v>1878</v>
      </c>
    </row>
    <row r="5425" spans="1:10" x14ac:dyDescent="0.2">
      <c r="A5425" s="859">
        <f t="shared" si="84"/>
        <v>5424</v>
      </c>
      <c r="B5425" s="845" t="s">
        <v>2558</v>
      </c>
      <c r="D5425" s="862"/>
      <c r="I5425" s="845" t="s">
        <v>1009</v>
      </c>
    </row>
    <row r="5426" spans="1:10" x14ac:dyDescent="0.2">
      <c r="A5426" s="859">
        <f t="shared" si="84"/>
        <v>5425</v>
      </c>
      <c r="B5426" s="845" t="s">
        <v>2558</v>
      </c>
      <c r="D5426" s="862"/>
      <c r="I5426" s="845" t="str">
        <f>CONCATENATE("&lt;valeur&gt;",Cellule_1796,"&lt;/valeur&gt;")</f>
        <v>&lt;valeur&gt;0&lt;/valeur&gt;</v>
      </c>
    </row>
    <row r="5427" spans="1:10" x14ac:dyDescent="0.2">
      <c r="A5427" s="859">
        <f t="shared" si="84"/>
        <v>5426</v>
      </c>
      <c r="B5427" s="845" t="s">
        <v>2558</v>
      </c>
      <c r="D5427" s="861"/>
      <c r="H5427" s="845" t="s">
        <v>1010</v>
      </c>
    </row>
    <row r="5428" spans="1:10" x14ac:dyDescent="0.2">
      <c r="A5428" s="859">
        <f t="shared" si="84"/>
        <v>5427</v>
      </c>
      <c r="B5428" s="845" t="s">
        <v>2558</v>
      </c>
      <c r="D5428" s="861"/>
      <c r="H5428" s="845" t="s">
        <v>1007</v>
      </c>
    </row>
    <row r="5429" spans="1:10" x14ac:dyDescent="0.2">
      <c r="A5429" s="859">
        <f t="shared" si="84"/>
        <v>5428</v>
      </c>
      <c r="B5429" s="845" t="s">
        <v>2558</v>
      </c>
      <c r="D5429" s="862"/>
      <c r="I5429" s="845" t="s">
        <v>1008</v>
      </c>
    </row>
    <row r="5430" spans="1:10" x14ac:dyDescent="0.2">
      <c r="A5430" s="859">
        <f t="shared" si="84"/>
        <v>5429</v>
      </c>
      <c r="B5430" s="845" t="s">
        <v>2558</v>
      </c>
      <c r="D5430" s="863"/>
      <c r="J5430" s="845" t="s">
        <v>1879</v>
      </c>
    </row>
    <row r="5431" spans="1:10" x14ac:dyDescent="0.2">
      <c r="A5431" s="859">
        <f t="shared" si="84"/>
        <v>5430</v>
      </c>
      <c r="B5431" s="845" t="s">
        <v>2558</v>
      </c>
      <c r="D5431" s="862"/>
      <c r="I5431" s="845" t="s">
        <v>1009</v>
      </c>
    </row>
    <row r="5432" spans="1:10" x14ac:dyDescent="0.2">
      <c r="A5432" s="859">
        <f t="shared" si="84"/>
        <v>5431</v>
      </c>
      <c r="B5432" s="845" t="s">
        <v>2558</v>
      </c>
      <c r="D5432" s="862"/>
      <c r="I5432" s="845" t="str">
        <f>CONCATENATE("&lt;valeur&gt;",Cellule_1797,"&lt;/valeur&gt;")</f>
        <v>&lt;valeur&gt;0&lt;/valeur&gt;</v>
      </c>
    </row>
    <row r="5433" spans="1:10" x14ac:dyDescent="0.2">
      <c r="A5433" s="859">
        <f t="shared" si="84"/>
        <v>5432</v>
      </c>
      <c r="B5433" s="845" t="s">
        <v>2558</v>
      </c>
      <c r="D5433" s="861"/>
      <c r="H5433" s="845" t="s">
        <v>1010</v>
      </c>
    </row>
    <row r="5434" spans="1:10" x14ac:dyDescent="0.2">
      <c r="A5434" s="859">
        <f t="shared" si="84"/>
        <v>5433</v>
      </c>
      <c r="B5434" s="845" t="s">
        <v>2558</v>
      </c>
      <c r="D5434" s="861"/>
      <c r="H5434" s="845" t="s">
        <v>1007</v>
      </c>
    </row>
    <row r="5435" spans="1:10" x14ac:dyDescent="0.2">
      <c r="A5435" s="859">
        <f t="shared" si="84"/>
        <v>5434</v>
      </c>
      <c r="B5435" s="845" t="s">
        <v>2558</v>
      </c>
      <c r="D5435" s="862"/>
      <c r="I5435" s="845" t="s">
        <v>1008</v>
      </c>
    </row>
    <row r="5436" spans="1:10" x14ac:dyDescent="0.2">
      <c r="A5436" s="859">
        <f t="shared" si="84"/>
        <v>5435</v>
      </c>
      <c r="B5436" s="845" t="s">
        <v>2558</v>
      </c>
      <c r="D5436" s="863"/>
      <c r="J5436" s="845" t="s">
        <v>1880</v>
      </c>
    </row>
    <row r="5437" spans="1:10" x14ac:dyDescent="0.2">
      <c r="A5437" s="859">
        <f t="shared" si="84"/>
        <v>5436</v>
      </c>
      <c r="B5437" s="845" t="s">
        <v>2558</v>
      </c>
      <c r="D5437" s="862"/>
      <c r="I5437" s="845" t="s">
        <v>1009</v>
      </c>
    </row>
    <row r="5438" spans="1:10" x14ac:dyDescent="0.2">
      <c r="A5438" s="859">
        <f t="shared" si="84"/>
        <v>5437</v>
      </c>
      <c r="B5438" s="845" t="s">
        <v>2558</v>
      </c>
      <c r="D5438" s="862"/>
      <c r="I5438" s="845" t="str">
        <f>CONCATENATE("&lt;valeur&gt;",Cellule_1798,"&lt;/valeur&gt;")</f>
        <v>&lt;valeur&gt;0&lt;/valeur&gt;</v>
      </c>
    </row>
    <row r="5439" spans="1:10" x14ac:dyDescent="0.2">
      <c r="A5439" s="859">
        <f t="shared" si="84"/>
        <v>5438</v>
      </c>
      <c r="B5439" s="845" t="s">
        <v>2558</v>
      </c>
      <c r="D5439" s="861"/>
      <c r="H5439" s="845" t="s">
        <v>1010</v>
      </c>
    </row>
    <row r="5440" spans="1:10" x14ac:dyDescent="0.2">
      <c r="A5440" s="859">
        <f t="shared" si="84"/>
        <v>5439</v>
      </c>
      <c r="B5440" s="845" t="s">
        <v>2558</v>
      </c>
      <c r="D5440" s="861"/>
      <c r="H5440" s="845" t="s">
        <v>1007</v>
      </c>
    </row>
    <row r="5441" spans="1:10" x14ac:dyDescent="0.2">
      <c r="A5441" s="859">
        <f t="shared" si="84"/>
        <v>5440</v>
      </c>
      <c r="B5441" s="845" t="s">
        <v>2558</v>
      </c>
      <c r="D5441" s="862"/>
      <c r="I5441" s="845" t="s">
        <v>1008</v>
      </c>
    </row>
    <row r="5442" spans="1:10" x14ac:dyDescent="0.2">
      <c r="A5442" s="859">
        <f t="shared" si="84"/>
        <v>5441</v>
      </c>
      <c r="B5442" s="845" t="s">
        <v>2558</v>
      </c>
      <c r="D5442" s="863"/>
      <c r="J5442" s="845" t="s">
        <v>1881</v>
      </c>
    </row>
    <row r="5443" spans="1:10" x14ac:dyDescent="0.2">
      <c r="A5443" s="859">
        <f t="shared" si="84"/>
        <v>5442</v>
      </c>
      <c r="B5443" s="845" t="s">
        <v>2558</v>
      </c>
      <c r="D5443" s="862"/>
      <c r="I5443" s="845" t="s">
        <v>1009</v>
      </c>
    </row>
    <row r="5444" spans="1:10" x14ac:dyDescent="0.2">
      <c r="A5444" s="859">
        <f t="shared" ref="A5444:A5507" si="85">+A5443+1</f>
        <v>5443</v>
      </c>
      <c r="B5444" s="845" t="s">
        <v>2558</v>
      </c>
      <c r="D5444" s="862"/>
      <c r="I5444" s="845" t="str">
        <f>CONCATENATE("&lt;valeur&gt;",Cellule_1792,"&lt;/valeur&gt;")</f>
        <v>&lt;valeur&gt;&lt;/valeur&gt;</v>
      </c>
    </row>
    <row r="5445" spans="1:10" x14ac:dyDescent="0.2">
      <c r="A5445" s="859">
        <f t="shared" si="85"/>
        <v>5444</v>
      </c>
      <c r="B5445" s="845" t="s">
        <v>2558</v>
      </c>
      <c r="D5445" s="861"/>
      <c r="H5445" s="845" t="s">
        <v>1010</v>
      </c>
    </row>
    <row r="5446" spans="1:10" x14ac:dyDescent="0.2">
      <c r="A5446" s="859">
        <f t="shared" si="85"/>
        <v>5445</v>
      </c>
      <c r="B5446" s="845" t="s">
        <v>2558</v>
      </c>
      <c r="D5446" s="861"/>
      <c r="H5446" s="845" t="s">
        <v>1007</v>
      </c>
    </row>
    <row r="5447" spans="1:10" x14ac:dyDescent="0.2">
      <c r="A5447" s="859">
        <f t="shared" si="85"/>
        <v>5446</v>
      </c>
      <c r="B5447" s="845" t="s">
        <v>2558</v>
      </c>
      <c r="D5447" s="862"/>
      <c r="I5447" s="845" t="s">
        <v>1008</v>
      </c>
    </row>
    <row r="5448" spans="1:10" x14ac:dyDescent="0.2">
      <c r="A5448" s="859">
        <f t="shared" si="85"/>
        <v>5447</v>
      </c>
      <c r="B5448" s="845" t="s">
        <v>2558</v>
      </c>
      <c r="D5448" s="863"/>
      <c r="J5448" s="845" t="s">
        <v>1882</v>
      </c>
    </row>
    <row r="5449" spans="1:10" x14ac:dyDescent="0.2">
      <c r="A5449" s="859">
        <f t="shared" si="85"/>
        <v>5448</v>
      </c>
      <c r="B5449" s="845" t="s">
        <v>2558</v>
      </c>
      <c r="D5449" s="862"/>
      <c r="I5449" s="845" t="s">
        <v>1009</v>
      </c>
    </row>
    <row r="5450" spans="1:10" x14ac:dyDescent="0.2">
      <c r="A5450" s="859">
        <f t="shared" si="85"/>
        <v>5449</v>
      </c>
      <c r="B5450" s="845" t="s">
        <v>2558</v>
      </c>
      <c r="D5450" s="862"/>
      <c r="I5450" s="845" t="str">
        <f>CONCATENATE("&lt;valeur&gt;",Cellule_1793,"&lt;/valeur&gt;")</f>
        <v>&lt;valeur&gt;0&lt;/valeur&gt;</v>
      </c>
    </row>
    <row r="5451" spans="1:10" x14ac:dyDescent="0.2">
      <c r="A5451" s="859">
        <f t="shared" si="85"/>
        <v>5450</v>
      </c>
      <c r="B5451" s="845" t="s">
        <v>2558</v>
      </c>
      <c r="D5451" s="861"/>
      <c r="H5451" s="845" t="s">
        <v>1010</v>
      </c>
    </row>
    <row r="5452" spans="1:10" x14ac:dyDescent="0.2">
      <c r="A5452" s="859">
        <f t="shared" si="85"/>
        <v>5451</v>
      </c>
      <c r="B5452" s="845" t="s">
        <v>2558</v>
      </c>
      <c r="D5452" s="861"/>
      <c r="H5452" s="845" t="s">
        <v>1007</v>
      </c>
    </row>
    <row r="5453" spans="1:10" x14ac:dyDescent="0.2">
      <c r="A5453" s="859">
        <f t="shared" si="85"/>
        <v>5452</v>
      </c>
      <c r="B5453" s="845" t="s">
        <v>2558</v>
      </c>
      <c r="D5453" s="862"/>
      <c r="I5453" s="845" t="s">
        <v>1008</v>
      </c>
    </row>
    <row r="5454" spans="1:10" x14ac:dyDescent="0.2">
      <c r="A5454" s="859">
        <f t="shared" si="85"/>
        <v>5453</v>
      </c>
      <c r="B5454" s="845" t="s">
        <v>2558</v>
      </c>
      <c r="D5454" s="863"/>
      <c r="J5454" s="845" t="s">
        <v>1883</v>
      </c>
    </row>
    <row r="5455" spans="1:10" x14ac:dyDescent="0.2">
      <c r="A5455" s="859">
        <f t="shared" si="85"/>
        <v>5454</v>
      </c>
      <c r="B5455" s="845" t="s">
        <v>2558</v>
      </c>
      <c r="D5455" s="862"/>
      <c r="I5455" s="845" t="s">
        <v>1009</v>
      </c>
    </row>
    <row r="5456" spans="1:10" x14ac:dyDescent="0.2">
      <c r="A5456" s="859">
        <f t="shared" si="85"/>
        <v>5455</v>
      </c>
      <c r="B5456" s="845" t="s">
        <v>2558</v>
      </c>
      <c r="D5456" s="862"/>
      <c r="I5456" s="845" t="str">
        <f>CONCATENATE("&lt;valeur&gt;",Cellule_1807,"&lt;/valeur&gt;")</f>
        <v>&lt;valeur&gt;&lt;/valeur&gt;</v>
      </c>
    </row>
    <row r="5457" spans="1:10" x14ac:dyDescent="0.2">
      <c r="A5457" s="859">
        <f t="shared" si="85"/>
        <v>5456</v>
      </c>
      <c r="B5457" s="845" t="s">
        <v>2558</v>
      </c>
      <c r="D5457" s="861"/>
      <c r="H5457" s="845" t="s">
        <v>1010</v>
      </c>
    </row>
    <row r="5458" spans="1:10" x14ac:dyDescent="0.2">
      <c r="A5458" s="859">
        <f t="shared" si="85"/>
        <v>5457</v>
      </c>
      <c r="B5458" s="845" t="s">
        <v>2558</v>
      </c>
      <c r="D5458" s="861"/>
      <c r="H5458" s="845" t="s">
        <v>1007</v>
      </c>
    </row>
    <row r="5459" spans="1:10" x14ac:dyDescent="0.2">
      <c r="A5459" s="859">
        <f t="shared" si="85"/>
        <v>5458</v>
      </c>
      <c r="B5459" s="845" t="s">
        <v>2558</v>
      </c>
      <c r="D5459" s="862"/>
      <c r="I5459" s="845" t="s">
        <v>1008</v>
      </c>
    </row>
    <row r="5460" spans="1:10" x14ac:dyDescent="0.2">
      <c r="A5460" s="859">
        <f t="shared" si="85"/>
        <v>5459</v>
      </c>
      <c r="B5460" s="845" t="s">
        <v>2558</v>
      </c>
      <c r="D5460" s="863"/>
      <c r="J5460" s="845" t="s">
        <v>1884</v>
      </c>
    </row>
    <row r="5461" spans="1:10" x14ac:dyDescent="0.2">
      <c r="A5461" s="859">
        <f t="shared" si="85"/>
        <v>5460</v>
      </c>
      <c r="B5461" s="845" t="s">
        <v>2558</v>
      </c>
      <c r="D5461" s="862"/>
      <c r="I5461" s="845" t="s">
        <v>1009</v>
      </c>
    </row>
    <row r="5462" spans="1:10" x14ac:dyDescent="0.2">
      <c r="A5462" s="859">
        <f t="shared" si="85"/>
        <v>5461</v>
      </c>
      <c r="B5462" s="845" t="s">
        <v>2558</v>
      </c>
      <c r="D5462" s="862"/>
      <c r="I5462" s="845" t="str">
        <f>CONCATENATE("&lt;valeur&gt;",Cellule_1808,"&lt;/valeur&gt;")</f>
        <v>&lt;valeur&gt;0&lt;/valeur&gt;</v>
      </c>
    </row>
    <row r="5463" spans="1:10" x14ac:dyDescent="0.2">
      <c r="A5463" s="859">
        <f t="shared" si="85"/>
        <v>5462</v>
      </c>
      <c r="B5463" s="845" t="s">
        <v>2558</v>
      </c>
      <c r="D5463" s="861"/>
      <c r="H5463" s="845" t="s">
        <v>1010</v>
      </c>
    </row>
    <row r="5464" spans="1:10" x14ac:dyDescent="0.2">
      <c r="A5464" s="859">
        <f t="shared" si="85"/>
        <v>5463</v>
      </c>
      <c r="B5464" s="845" t="s">
        <v>2558</v>
      </c>
      <c r="D5464" s="861"/>
      <c r="H5464" s="845" t="s">
        <v>1007</v>
      </c>
    </row>
    <row r="5465" spans="1:10" x14ac:dyDescent="0.2">
      <c r="A5465" s="859">
        <f t="shared" si="85"/>
        <v>5464</v>
      </c>
      <c r="B5465" s="845" t="s">
        <v>2558</v>
      </c>
      <c r="D5465" s="862"/>
      <c r="I5465" s="845" t="s">
        <v>1008</v>
      </c>
    </row>
    <row r="5466" spans="1:10" x14ac:dyDescent="0.2">
      <c r="A5466" s="859">
        <f t="shared" si="85"/>
        <v>5465</v>
      </c>
      <c r="B5466" s="845" t="s">
        <v>2558</v>
      </c>
      <c r="D5466" s="863"/>
      <c r="J5466" s="845" t="s">
        <v>1885</v>
      </c>
    </row>
    <row r="5467" spans="1:10" x14ac:dyDescent="0.2">
      <c r="A5467" s="859">
        <f t="shared" si="85"/>
        <v>5466</v>
      </c>
      <c r="B5467" s="845" t="s">
        <v>2558</v>
      </c>
      <c r="D5467" s="862"/>
      <c r="I5467" s="845" t="s">
        <v>1009</v>
      </c>
    </row>
    <row r="5468" spans="1:10" x14ac:dyDescent="0.2">
      <c r="A5468" s="859">
        <f t="shared" si="85"/>
        <v>5467</v>
      </c>
      <c r="B5468" s="845" t="s">
        <v>2558</v>
      </c>
      <c r="D5468" s="862"/>
      <c r="I5468" s="845" t="str">
        <f>CONCATENATE("&lt;valeur&gt;",Cellule_1809,"&lt;/valeur&gt;")</f>
        <v>&lt;valeur&gt;0&lt;/valeur&gt;</v>
      </c>
    </row>
    <row r="5469" spans="1:10" x14ac:dyDescent="0.2">
      <c r="A5469" s="859">
        <f t="shared" si="85"/>
        <v>5468</v>
      </c>
      <c r="B5469" s="845" t="s">
        <v>2558</v>
      </c>
      <c r="D5469" s="861"/>
      <c r="H5469" s="845" t="s">
        <v>1010</v>
      </c>
    </row>
    <row r="5470" spans="1:10" x14ac:dyDescent="0.2">
      <c r="A5470" s="859">
        <f t="shared" si="85"/>
        <v>5469</v>
      </c>
      <c r="B5470" s="845" t="s">
        <v>2558</v>
      </c>
      <c r="D5470" s="861"/>
      <c r="H5470" s="845" t="s">
        <v>1007</v>
      </c>
    </row>
    <row r="5471" spans="1:10" x14ac:dyDescent="0.2">
      <c r="A5471" s="859">
        <f t="shared" si="85"/>
        <v>5470</v>
      </c>
      <c r="B5471" s="845" t="s">
        <v>2558</v>
      </c>
      <c r="D5471" s="862"/>
      <c r="I5471" s="845" t="s">
        <v>1008</v>
      </c>
    </row>
    <row r="5472" spans="1:10" x14ac:dyDescent="0.2">
      <c r="A5472" s="859">
        <f t="shared" si="85"/>
        <v>5471</v>
      </c>
      <c r="B5472" s="845" t="s">
        <v>2558</v>
      </c>
      <c r="D5472" s="863"/>
      <c r="J5472" s="845" t="s">
        <v>1886</v>
      </c>
    </row>
    <row r="5473" spans="1:10" x14ac:dyDescent="0.2">
      <c r="A5473" s="859">
        <f t="shared" si="85"/>
        <v>5472</v>
      </c>
      <c r="B5473" s="845" t="s">
        <v>2558</v>
      </c>
      <c r="D5473" s="862"/>
      <c r="I5473" s="845" t="s">
        <v>1009</v>
      </c>
    </row>
    <row r="5474" spans="1:10" x14ac:dyDescent="0.2">
      <c r="A5474" s="859">
        <f t="shared" si="85"/>
        <v>5473</v>
      </c>
      <c r="B5474" s="845" t="s">
        <v>2558</v>
      </c>
      <c r="D5474" s="862"/>
      <c r="I5474" s="845" t="str">
        <f>CONCATENATE("&lt;valeur&gt;",Cellule_1810,"&lt;/valeur&gt;")</f>
        <v>&lt;valeur&gt;0&lt;/valeur&gt;</v>
      </c>
    </row>
    <row r="5475" spans="1:10" x14ac:dyDescent="0.2">
      <c r="A5475" s="859">
        <f t="shared" si="85"/>
        <v>5474</v>
      </c>
      <c r="B5475" s="845" t="s">
        <v>2558</v>
      </c>
      <c r="D5475" s="861"/>
      <c r="H5475" s="845" t="s">
        <v>1010</v>
      </c>
    </row>
    <row r="5476" spans="1:10" x14ac:dyDescent="0.2">
      <c r="A5476" s="859">
        <f t="shared" si="85"/>
        <v>5475</v>
      </c>
      <c r="B5476" s="845" t="s">
        <v>2558</v>
      </c>
      <c r="D5476" s="861"/>
      <c r="H5476" s="845" t="s">
        <v>1007</v>
      </c>
    </row>
    <row r="5477" spans="1:10" x14ac:dyDescent="0.2">
      <c r="A5477" s="859">
        <f t="shared" si="85"/>
        <v>5476</v>
      </c>
      <c r="B5477" s="845" t="s">
        <v>2558</v>
      </c>
      <c r="D5477" s="862"/>
      <c r="I5477" s="845" t="s">
        <v>1008</v>
      </c>
    </row>
    <row r="5478" spans="1:10" x14ac:dyDescent="0.2">
      <c r="A5478" s="859">
        <f t="shared" si="85"/>
        <v>5477</v>
      </c>
      <c r="B5478" s="845" t="s">
        <v>2558</v>
      </c>
      <c r="D5478" s="863"/>
      <c r="J5478" s="845" t="s">
        <v>1887</v>
      </c>
    </row>
    <row r="5479" spans="1:10" x14ac:dyDescent="0.2">
      <c r="A5479" s="859">
        <f t="shared" si="85"/>
        <v>5478</v>
      </c>
      <c r="B5479" s="845" t="s">
        <v>2558</v>
      </c>
      <c r="D5479" s="862"/>
      <c r="I5479" s="845" t="s">
        <v>1009</v>
      </c>
    </row>
    <row r="5480" spans="1:10" x14ac:dyDescent="0.2">
      <c r="A5480" s="859">
        <f t="shared" si="85"/>
        <v>5479</v>
      </c>
      <c r="B5480" s="845" t="s">
        <v>2558</v>
      </c>
      <c r="D5480" s="862"/>
      <c r="I5480" s="845" t="str">
        <f>CONCATENATE("&lt;valeur&gt;",Cellule_1811,"&lt;/valeur&gt;")</f>
        <v>&lt;valeur&gt;0&lt;/valeur&gt;</v>
      </c>
    </row>
    <row r="5481" spans="1:10" x14ac:dyDescent="0.2">
      <c r="A5481" s="859">
        <f t="shared" si="85"/>
        <v>5480</v>
      </c>
      <c r="B5481" s="845" t="s">
        <v>2558</v>
      </c>
      <c r="D5481" s="861"/>
      <c r="H5481" s="845" t="s">
        <v>1010</v>
      </c>
    </row>
    <row r="5482" spans="1:10" x14ac:dyDescent="0.2">
      <c r="A5482" s="859">
        <f t="shared" si="85"/>
        <v>5481</v>
      </c>
      <c r="B5482" s="845" t="s">
        <v>2558</v>
      </c>
      <c r="D5482" s="861"/>
      <c r="H5482" s="845" t="s">
        <v>1007</v>
      </c>
    </row>
    <row r="5483" spans="1:10" x14ac:dyDescent="0.2">
      <c r="A5483" s="859">
        <f t="shared" si="85"/>
        <v>5482</v>
      </c>
      <c r="B5483" s="845" t="s">
        <v>2558</v>
      </c>
      <c r="D5483" s="862"/>
      <c r="I5483" s="845" t="s">
        <v>1008</v>
      </c>
    </row>
    <row r="5484" spans="1:10" x14ac:dyDescent="0.2">
      <c r="A5484" s="859">
        <f t="shared" si="85"/>
        <v>5483</v>
      </c>
      <c r="B5484" s="845" t="s">
        <v>2558</v>
      </c>
      <c r="D5484" s="863"/>
      <c r="J5484" s="845" t="s">
        <v>1888</v>
      </c>
    </row>
    <row r="5485" spans="1:10" x14ac:dyDescent="0.2">
      <c r="A5485" s="859">
        <f t="shared" si="85"/>
        <v>5484</v>
      </c>
      <c r="B5485" s="845" t="s">
        <v>2558</v>
      </c>
      <c r="D5485" s="862"/>
      <c r="I5485" s="845" t="s">
        <v>1009</v>
      </c>
    </row>
    <row r="5486" spans="1:10" x14ac:dyDescent="0.2">
      <c r="A5486" s="859">
        <f t="shared" si="85"/>
        <v>5485</v>
      </c>
      <c r="B5486" s="845" t="s">
        <v>2558</v>
      </c>
      <c r="D5486" s="862"/>
      <c r="I5486" s="845" t="str">
        <f>CONCATENATE("&lt;valeur&gt;",Cellule_1812,"&lt;/valeur&gt;")</f>
        <v>&lt;valeur&gt;0&lt;/valeur&gt;</v>
      </c>
    </row>
    <row r="5487" spans="1:10" x14ac:dyDescent="0.2">
      <c r="A5487" s="859">
        <f t="shared" si="85"/>
        <v>5486</v>
      </c>
      <c r="B5487" s="845" t="s">
        <v>2558</v>
      </c>
      <c r="D5487" s="861"/>
      <c r="H5487" s="845" t="s">
        <v>1010</v>
      </c>
    </row>
    <row r="5488" spans="1:10" x14ac:dyDescent="0.2">
      <c r="A5488" s="859">
        <f t="shared" si="85"/>
        <v>5487</v>
      </c>
      <c r="B5488" s="845" t="s">
        <v>2558</v>
      </c>
      <c r="D5488" s="861"/>
      <c r="H5488" s="845" t="s">
        <v>1007</v>
      </c>
    </row>
    <row r="5489" spans="1:10" x14ac:dyDescent="0.2">
      <c r="A5489" s="859">
        <f t="shared" si="85"/>
        <v>5488</v>
      </c>
      <c r="B5489" s="845" t="s">
        <v>2558</v>
      </c>
      <c r="D5489" s="862"/>
      <c r="I5489" s="845" t="s">
        <v>1008</v>
      </c>
    </row>
    <row r="5490" spans="1:10" x14ac:dyDescent="0.2">
      <c r="A5490" s="859">
        <f t="shared" si="85"/>
        <v>5489</v>
      </c>
      <c r="B5490" s="845" t="s">
        <v>2558</v>
      </c>
      <c r="D5490" s="863"/>
      <c r="J5490" s="845" t="s">
        <v>1889</v>
      </c>
    </row>
    <row r="5491" spans="1:10" x14ac:dyDescent="0.2">
      <c r="A5491" s="859">
        <f t="shared" si="85"/>
        <v>5490</v>
      </c>
      <c r="B5491" s="845" t="s">
        <v>2558</v>
      </c>
      <c r="D5491" s="862"/>
      <c r="I5491" s="845" t="s">
        <v>1009</v>
      </c>
    </row>
    <row r="5492" spans="1:10" x14ac:dyDescent="0.2">
      <c r="A5492" s="859">
        <f t="shared" si="85"/>
        <v>5491</v>
      </c>
      <c r="B5492" s="845" t="s">
        <v>2558</v>
      </c>
      <c r="D5492" s="862"/>
      <c r="I5492" s="845" t="str">
        <f>CONCATENATE("&lt;valeur&gt;",Cellule_1813,"&lt;/valeur&gt;")</f>
        <v>&lt;valeur&gt;0&lt;/valeur&gt;</v>
      </c>
    </row>
    <row r="5493" spans="1:10" x14ac:dyDescent="0.2">
      <c r="A5493" s="859">
        <f t="shared" si="85"/>
        <v>5492</v>
      </c>
      <c r="B5493" s="845" t="s">
        <v>2558</v>
      </c>
      <c r="D5493" s="861"/>
      <c r="H5493" s="845" t="s">
        <v>1010</v>
      </c>
    </row>
    <row r="5494" spans="1:10" x14ac:dyDescent="0.2">
      <c r="A5494" s="859">
        <f t="shared" si="85"/>
        <v>5493</v>
      </c>
      <c r="B5494" s="845" t="s">
        <v>2558</v>
      </c>
      <c r="D5494" s="861"/>
      <c r="H5494" s="845" t="s">
        <v>1007</v>
      </c>
    </row>
    <row r="5495" spans="1:10" x14ac:dyDescent="0.2">
      <c r="A5495" s="859">
        <f t="shared" si="85"/>
        <v>5494</v>
      </c>
      <c r="B5495" s="845" t="s">
        <v>2558</v>
      </c>
      <c r="D5495" s="862"/>
      <c r="I5495" s="845" t="s">
        <v>1008</v>
      </c>
    </row>
    <row r="5496" spans="1:10" x14ac:dyDescent="0.2">
      <c r="A5496" s="859">
        <f t="shared" si="85"/>
        <v>5495</v>
      </c>
      <c r="B5496" s="845" t="s">
        <v>2558</v>
      </c>
      <c r="D5496" s="863"/>
      <c r="J5496" s="845" t="s">
        <v>1890</v>
      </c>
    </row>
    <row r="5497" spans="1:10" x14ac:dyDescent="0.2">
      <c r="A5497" s="859">
        <f t="shared" si="85"/>
        <v>5496</v>
      </c>
      <c r="B5497" s="845" t="s">
        <v>2558</v>
      </c>
      <c r="D5497" s="862"/>
      <c r="I5497" s="845" t="s">
        <v>1009</v>
      </c>
    </row>
    <row r="5498" spans="1:10" x14ac:dyDescent="0.2">
      <c r="A5498" s="859">
        <f t="shared" si="85"/>
        <v>5497</v>
      </c>
      <c r="B5498" s="845" t="s">
        <v>2558</v>
      </c>
      <c r="D5498" s="862"/>
      <c r="I5498" s="845" t="str">
        <f>CONCATENATE("&lt;valeur&gt;",Cellule_1963,"&lt;/valeur&gt;")</f>
        <v>&lt;valeur&gt;&lt;/valeur&gt;</v>
      </c>
    </row>
    <row r="5499" spans="1:10" x14ac:dyDescent="0.2">
      <c r="A5499" s="859">
        <f t="shared" si="85"/>
        <v>5498</v>
      </c>
      <c r="B5499" s="845" t="s">
        <v>2558</v>
      </c>
      <c r="D5499" s="861"/>
      <c r="H5499" s="845" t="s">
        <v>1010</v>
      </c>
    </row>
    <row r="5500" spans="1:10" x14ac:dyDescent="0.2">
      <c r="A5500" s="859">
        <f t="shared" si="85"/>
        <v>5499</v>
      </c>
      <c r="B5500" s="845" t="s">
        <v>2558</v>
      </c>
      <c r="D5500" s="861"/>
      <c r="H5500" s="845" t="s">
        <v>1007</v>
      </c>
    </row>
    <row r="5501" spans="1:10" x14ac:dyDescent="0.2">
      <c r="A5501" s="859">
        <f t="shared" si="85"/>
        <v>5500</v>
      </c>
      <c r="B5501" s="845" t="s">
        <v>2558</v>
      </c>
      <c r="D5501" s="862"/>
      <c r="I5501" s="845" t="s">
        <v>1008</v>
      </c>
    </row>
    <row r="5502" spans="1:10" x14ac:dyDescent="0.2">
      <c r="A5502" s="859">
        <f t="shared" si="85"/>
        <v>5501</v>
      </c>
      <c r="B5502" s="845" t="s">
        <v>2558</v>
      </c>
      <c r="D5502" s="863"/>
      <c r="J5502" s="845" t="s">
        <v>1891</v>
      </c>
    </row>
    <row r="5503" spans="1:10" x14ac:dyDescent="0.2">
      <c r="A5503" s="859">
        <f t="shared" si="85"/>
        <v>5502</v>
      </c>
      <c r="B5503" s="845" t="s">
        <v>2558</v>
      </c>
      <c r="D5503" s="862"/>
      <c r="I5503" s="845" t="s">
        <v>1009</v>
      </c>
    </row>
    <row r="5504" spans="1:10" x14ac:dyDescent="0.2">
      <c r="A5504" s="859">
        <f t="shared" si="85"/>
        <v>5503</v>
      </c>
      <c r="B5504" s="845" t="s">
        <v>2558</v>
      </c>
      <c r="D5504" s="862"/>
      <c r="I5504" s="845" t="str">
        <f>CONCATENATE("&lt;valeur&gt;",Cellule_1964,"&lt;/valeur&gt;")</f>
        <v>&lt;valeur&gt;0&lt;/valeur&gt;</v>
      </c>
    </row>
    <row r="5505" spans="1:10" x14ac:dyDescent="0.2">
      <c r="A5505" s="859">
        <f t="shared" si="85"/>
        <v>5504</v>
      </c>
      <c r="B5505" s="845" t="s">
        <v>2558</v>
      </c>
      <c r="D5505" s="861"/>
      <c r="H5505" s="845" t="s">
        <v>1010</v>
      </c>
    </row>
    <row r="5506" spans="1:10" x14ac:dyDescent="0.2">
      <c r="A5506" s="859">
        <f t="shared" si="85"/>
        <v>5505</v>
      </c>
      <c r="B5506" s="845" t="s">
        <v>2558</v>
      </c>
      <c r="D5506" s="861"/>
      <c r="H5506" s="845" t="s">
        <v>1007</v>
      </c>
    </row>
    <row r="5507" spans="1:10" x14ac:dyDescent="0.2">
      <c r="A5507" s="859">
        <f t="shared" si="85"/>
        <v>5506</v>
      </c>
      <c r="B5507" s="845" t="s">
        <v>2558</v>
      </c>
      <c r="D5507" s="862"/>
      <c r="I5507" s="845" t="s">
        <v>1008</v>
      </c>
    </row>
    <row r="5508" spans="1:10" x14ac:dyDescent="0.2">
      <c r="A5508" s="859">
        <f t="shared" ref="A5508:A5571" si="86">+A5507+1</f>
        <v>5507</v>
      </c>
      <c r="B5508" s="845" t="s">
        <v>2558</v>
      </c>
      <c r="D5508" s="863"/>
      <c r="J5508" s="845" t="s">
        <v>1892</v>
      </c>
    </row>
    <row r="5509" spans="1:10" x14ac:dyDescent="0.2">
      <c r="A5509" s="859">
        <f t="shared" si="86"/>
        <v>5508</v>
      </c>
      <c r="B5509" s="845" t="s">
        <v>2558</v>
      </c>
      <c r="D5509" s="862"/>
      <c r="I5509" s="845" t="s">
        <v>1009</v>
      </c>
    </row>
    <row r="5510" spans="1:10" x14ac:dyDescent="0.2">
      <c r="A5510" s="859">
        <f t="shared" si="86"/>
        <v>5509</v>
      </c>
      <c r="B5510" s="845" t="s">
        <v>2558</v>
      </c>
      <c r="D5510" s="862"/>
      <c r="I5510" s="845" t="str">
        <f>CONCATENATE("&lt;valeur&gt;",Cellule_1965,"&lt;/valeur&gt;")</f>
        <v>&lt;valeur&gt;0&lt;/valeur&gt;</v>
      </c>
    </row>
    <row r="5511" spans="1:10" x14ac:dyDescent="0.2">
      <c r="A5511" s="859">
        <f t="shared" si="86"/>
        <v>5510</v>
      </c>
      <c r="B5511" s="845" t="s">
        <v>2558</v>
      </c>
      <c r="D5511" s="861"/>
      <c r="H5511" s="845" t="s">
        <v>1010</v>
      </c>
    </row>
    <row r="5512" spans="1:10" x14ac:dyDescent="0.2">
      <c r="A5512" s="859">
        <f t="shared" si="86"/>
        <v>5511</v>
      </c>
      <c r="B5512" s="845" t="s">
        <v>2558</v>
      </c>
      <c r="D5512" s="861"/>
      <c r="H5512" s="845" t="s">
        <v>1007</v>
      </c>
    </row>
    <row r="5513" spans="1:10" x14ac:dyDescent="0.2">
      <c r="A5513" s="859">
        <f t="shared" si="86"/>
        <v>5512</v>
      </c>
      <c r="B5513" s="845" t="s">
        <v>2558</v>
      </c>
      <c r="D5513" s="862"/>
      <c r="I5513" s="845" t="s">
        <v>1008</v>
      </c>
    </row>
    <row r="5514" spans="1:10" x14ac:dyDescent="0.2">
      <c r="A5514" s="859">
        <f t="shared" si="86"/>
        <v>5513</v>
      </c>
      <c r="B5514" s="845" t="s">
        <v>2558</v>
      </c>
      <c r="D5514" s="863"/>
      <c r="J5514" s="845" t="s">
        <v>1893</v>
      </c>
    </row>
    <row r="5515" spans="1:10" x14ac:dyDescent="0.2">
      <c r="A5515" s="859">
        <f t="shared" si="86"/>
        <v>5514</v>
      </c>
      <c r="B5515" s="845" t="s">
        <v>2558</v>
      </c>
      <c r="D5515" s="862"/>
      <c r="I5515" s="845" t="s">
        <v>1009</v>
      </c>
    </row>
    <row r="5516" spans="1:10" x14ac:dyDescent="0.2">
      <c r="A5516" s="859">
        <f t="shared" si="86"/>
        <v>5515</v>
      </c>
      <c r="B5516" s="845" t="s">
        <v>2558</v>
      </c>
      <c r="D5516" s="862"/>
      <c r="I5516" s="845" t="str">
        <f>CONCATENATE("&lt;valeur&gt;",Cellule_1966,"&lt;/valeur&gt;")</f>
        <v>&lt;valeur&gt;0&lt;/valeur&gt;</v>
      </c>
    </row>
    <row r="5517" spans="1:10" x14ac:dyDescent="0.2">
      <c r="A5517" s="859">
        <f t="shared" si="86"/>
        <v>5516</v>
      </c>
      <c r="B5517" s="845" t="s">
        <v>2558</v>
      </c>
      <c r="D5517" s="861"/>
      <c r="H5517" s="845" t="s">
        <v>1010</v>
      </c>
    </row>
    <row r="5518" spans="1:10" x14ac:dyDescent="0.2">
      <c r="A5518" s="859">
        <f t="shared" si="86"/>
        <v>5517</v>
      </c>
      <c r="B5518" s="845" t="s">
        <v>2558</v>
      </c>
      <c r="D5518" s="861"/>
      <c r="H5518" s="845" t="s">
        <v>1007</v>
      </c>
    </row>
    <row r="5519" spans="1:10" x14ac:dyDescent="0.2">
      <c r="A5519" s="859">
        <f t="shared" si="86"/>
        <v>5518</v>
      </c>
      <c r="B5519" s="845" t="s">
        <v>2558</v>
      </c>
      <c r="D5519" s="862"/>
      <c r="I5519" s="845" t="s">
        <v>1008</v>
      </c>
    </row>
    <row r="5520" spans="1:10" x14ac:dyDescent="0.2">
      <c r="A5520" s="859">
        <f t="shared" si="86"/>
        <v>5519</v>
      </c>
      <c r="B5520" s="845" t="s">
        <v>2558</v>
      </c>
      <c r="D5520" s="863"/>
      <c r="J5520" s="845" t="s">
        <v>1894</v>
      </c>
    </row>
    <row r="5521" spans="1:10" x14ac:dyDescent="0.2">
      <c r="A5521" s="859">
        <f t="shared" si="86"/>
        <v>5520</v>
      </c>
      <c r="B5521" s="845" t="s">
        <v>2558</v>
      </c>
      <c r="D5521" s="862"/>
      <c r="I5521" s="845" t="s">
        <v>1009</v>
      </c>
    </row>
    <row r="5522" spans="1:10" x14ac:dyDescent="0.2">
      <c r="A5522" s="859">
        <f t="shared" si="86"/>
        <v>5521</v>
      </c>
      <c r="B5522" s="845" t="s">
        <v>2558</v>
      </c>
      <c r="D5522" s="862"/>
      <c r="I5522" s="845" t="str">
        <f>CONCATENATE("&lt;valeur&gt;",Cellule_1967,"&lt;/valeur&gt;")</f>
        <v>&lt;valeur&gt;0&lt;/valeur&gt;</v>
      </c>
    </row>
    <row r="5523" spans="1:10" x14ac:dyDescent="0.2">
      <c r="A5523" s="859">
        <f t="shared" si="86"/>
        <v>5522</v>
      </c>
      <c r="B5523" s="845" t="s">
        <v>2558</v>
      </c>
      <c r="D5523" s="861"/>
      <c r="H5523" s="845" t="s">
        <v>1010</v>
      </c>
    </row>
    <row r="5524" spans="1:10" x14ac:dyDescent="0.2">
      <c r="A5524" s="859">
        <f t="shared" si="86"/>
        <v>5523</v>
      </c>
      <c r="B5524" s="845" t="s">
        <v>2558</v>
      </c>
      <c r="D5524" s="861"/>
      <c r="H5524" s="845" t="s">
        <v>1007</v>
      </c>
    </row>
    <row r="5525" spans="1:10" x14ac:dyDescent="0.2">
      <c r="A5525" s="859">
        <f t="shared" si="86"/>
        <v>5524</v>
      </c>
      <c r="B5525" s="845" t="s">
        <v>2558</v>
      </c>
      <c r="D5525" s="862"/>
      <c r="I5525" s="845" t="s">
        <v>1008</v>
      </c>
    </row>
    <row r="5526" spans="1:10" x14ac:dyDescent="0.2">
      <c r="A5526" s="859">
        <f t="shared" si="86"/>
        <v>5525</v>
      </c>
      <c r="B5526" s="845" t="s">
        <v>2558</v>
      </c>
      <c r="D5526" s="863"/>
      <c r="J5526" s="845" t="s">
        <v>1895</v>
      </c>
    </row>
    <row r="5527" spans="1:10" x14ac:dyDescent="0.2">
      <c r="A5527" s="859">
        <f t="shared" si="86"/>
        <v>5526</v>
      </c>
      <c r="B5527" s="845" t="s">
        <v>2558</v>
      </c>
      <c r="D5527" s="862"/>
      <c r="I5527" s="845" t="s">
        <v>1009</v>
      </c>
    </row>
    <row r="5528" spans="1:10" x14ac:dyDescent="0.2">
      <c r="A5528" s="859">
        <f t="shared" si="86"/>
        <v>5527</v>
      </c>
      <c r="B5528" s="845" t="s">
        <v>2558</v>
      </c>
      <c r="D5528" s="862"/>
      <c r="I5528" s="845" t="str">
        <f>CONCATENATE("&lt;valeur&gt;",Cellule_1968,"&lt;/valeur&gt;")</f>
        <v>&lt;valeur&gt;&lt;/valeur&gt;</v>
      </c>
    </row>
    <row r="5529" spans="1:10" x14ac:dyDescent="0.2">
      <c r="A5529" s="859">
        <f t="shared" si="86"/>
        <v>5528</v>
      </c>
      <c r="B5529" s="845" t="s">
        <v>2558</v>
      </c>
      <c r="D5529" s="861"/>
      <c r="H5529" s="845" t="s">
        <v>1010</v>
      </c>
    </row>
    <row r="5530" spans="1:10" x14ac:dyDescent="0.2">
      <c r="A5530" s="859">
        <f t="shared" si="86"/>
        <v>5529</v>
      </c>
      <c r="B5530" s="845" t="s">
        <v>2558</v>
      </c>
      <c r="D5530" s="861"/>
      <c r="H5530" s="845" t="s">
        <v>1007</v>
      </c>
    </row>
    <row r="5531" spans="1:10" x14ac:dyDescent="0.2">
      <c r="A5531" s="859">
        <f t="shared" si="86"/>
        <v>5530</v>
      </c>
      <c r="B5531" s="845" t="s">
        <v>2558</v>
      </c>
      <c r="D5531" s="862"/>
      <c r="I5531" s="845" t="s">
        <v>1008</v>
      </c>
    </row>
    <row r="5532" spans="1:10" x14ac:dyDescent="0.2">
      <c r="A5532" s="859">
        <f t="shared" si="86"/>
        <v>5531</v>
      </c>
      <c r="B5532" s="845" t="s">
        <v>2558</v>
      </c>
      <c r="D5532" s="863"/>
      <c r="J5532" s="845" t="s">
        <v>1896</v>
      </c>
    </row>
    <row r="5533" spans="1:10" x14ac:dyDescent="0.2">
      <c r="A5533" s="859">
        <f t="shared" si="86"/>
        <v>5532</v>
      </c>
      <c r="B5533" s="845" t="s">
        <v>2558</v>
      </c>
      <c r="D5533" s="862"/>
      <c r="I5533" s="845" t="s">
        <v>1009</v>
      </c>
    </row>
    <row r="5534" spans="1:10" x14ac:dyDescent="0.2">
      <c r="A5534" s="859">
        <f t="shared" si="86"/>
        <v>5533</v>
      </c>
      <c r="B5534" s="845" t="s">
        <v>2558</v>
      </c>
      <c r="D5534" s="862"/>
      <c r="I5534" s="845" t="str">
        <f>CONCATENATE("&lt;valeur&gt;",Cellule_1969,"&lt;/valeur&gt;")</f>
        <v>&lt;valeur&gt;0&lt;/valeur&gt;</v>
      </c>
    </row>
    <row r="5535" spans="1:10" x14ac:dyDescent="0.2">
      <c r="A5535" s="859">
        <f t="shared" si="86"/>
        <v>5534</v>
      </c>
      <c r="B5535" s="845" t="s">
        <v>2558</v>
      </c>
      <c r="D5535" s="861"/>
      <c r="H5535" s="845" t="s">
        <v>1010</v>
      </c>
    </row>
    <row r="5536" spans="1:10" x14ac:dyDescent="0.2">
      <c r="A5536" s="859">
        <f t="shared" si="86"/>
        <v>5535</v>
      </c>
      <c r="B5536" s="845" t="s">
        <v>2558</v>
      </c>
      <c r="D5536" s="861"/>
      <c r="H5536" s="845" t="s">
        <v>1007</v>
      </c>
    </row>
    <row r="5537" spans="1:10" x14ac:dyDescent="0.2">
      <c r="A5537" s="859">
        <f t="shared" si="86"/>
        <v>5536</v>
      </c>
      <c r="B5537" s="845" t="s">
        <v>2558</v>
      </c>
      <c r="D5537" s="862"/>
      <c r="I5537" s="845" t="s">
        <v>1008</v>
      </c>
    </row>
    <row r="5538" spans="1:10" x14ac:dyDescent="0.2">
      <c r="A5538" s="859">
        <f t="shared" si="86"/>
        <v>5537</v>
      </c>
      <c r="B5538" s="845" t="s">
        <v>2558</v>
      </c>
      <c r="D5538" s="863"/>
      <c r="J5538" s="845" t="s">
        <v>1897</v>
      </c>
    </row>
    <row r="5539" spans="1:10" x14ac:dyDescent="0.2">
      <c r="A5539" s="859">
        <f t="shared" si="86"/>
        <v>5538</v>
      </c>
      <c r="B5539" s="845" t="s">
        <v>2558</v>
      </c>
      <c r="D5539" s="862"/>
      <c r="I5539" s="845" t="s">
        <v>1009</v>
      </c>
    </row>
    <row r="5540" spans="1:10" x14ac:dyDescent="0.2">
      <c r="A5540" s="859">
        <f t="shared" si="86"/>
        <v>5539</v>
      </c>
      <c r="B5540" s="845" t="s">
        <v>2558</v>
      </c>
      <c r="D5540" s="862"/>
      <c r="I5540" s="845" t="str">
        <f>CONCATENATE("&lt;valeur&gt;",Cellule_1970,"&lt;/valeur&gt;")</f>
        <v>&lt;valeur&gt;0&lt;/valeur&gt;</v>
      </c>
    </row>
    <row r="5541" spans="1:10" x14ac:dyDescent="0.2">
      <c r="A5541" s="859">
        <f t="shared" si="86"/>
        <v>5540</v>
      </c>
      <c r="B5541" s="845" t="s">
        <v>2558</v>
      </c>
      <c r="D5541" s="861"/>
      <c r="H5541" s="845" t="s">
        <v>1010</v>
      </c>
    </row>
    <row r="5542" spans="1:10" x14ac:dyDescent="0.2">
      <c r="A5542" s="859">
        <f t="shared" si="86"/>
        <v>5541</v>
      </c>
      <c r="B5542" s="845" t="s">
        <v>2558</v>
      </c>
      <c r="D5542" s="861"/>
      <c r="H5542" s="845" t="s">
        <v>1007</v>
      </c>
    </row>
    <row r="5543" spans="1:10" x14ac:dyDescent="0.2">
      <c r="A5543" s="859">
        <f t="shared" si="86"/>
        <v>5542</v>
      </c>
      <c r="B5543" s="845" t="s">
        <v>2558</v>
      </c>
      <c r="D5543" s="862"/>
      <c r="I5543" s="845" t="s">
        <v>1008</v>
      </c>
    </row>
    <row r="5544" spans="1:10" x14ac:dyDescent="0.2">
      <c r="A5544" s="859">
        <f t="shared" si="86"/>
        <v>5543</v>
      </c>
      <c r="B5544" s="845" t="s">
        <v>2558</v>
      </c>
      <c r="D5544" s="863"/>
      <c r="J5544" s="845" t="s">
        <v>1898</v>
      </c>
    </row>
    <row r="5545" spans="1:10" x14ac:dyDescent="0.2">
      <c r="A5545" s="859">
        <f t="shared" si="86"/>
        <v>5544</v>
      </c>
      <c r="B5545" s="845" t="s">
        <v>2558</v>
      </c>
      <c r="D5545" s="862"/>
      <c r="I5545" s="845" t="s">
        <v>1009</v>
      </c>
    </row>
    <row r="5546" spans="1:10" x14ac:dyDescent="0.2">
      <c r="A5546" s="859">
        <f t="shared" si="86"/>
        <v>5545</v>
      </c>
      <c r="B5546" s="845" t="s">
        <v>2558</v>
      </c>
      <c r="D5546" s="862"/>
      <c r="I5546" s="845" t="str">
        <f>CONCATENATE("&lt;valeur&gt;",Cellule_1971,"&lt;/valeur&gt;")</f>
        <v>&lt;valeur&gt;0&lt;/valeur&gt;</v>
      </c>
    </row>
    <row r="5547" spans="1:10" x14ac:dyDescent="0.2">
      <c r="A5547" s="859">
        <f t="shared" si="86"/>
        <v>5546</v>
      </c>
      <c r="B5547" s="845" t="s">
        <v>2558</v>
      </c>
      <c r="D5547" s="861"/>
      <c r="H5547" s="845" t="s">
        <v>1010</v>
      </c>
    </row>
    <row r="5548" spans="1:10" x14ac:dyDescent="0.2">
      <c r="A5548" s="859">
        <f t="shared" si="86"/>
        <v>5547</v>
      </c>
      <c r="B5548" s="845" t="s">
        <v>2558</v>
      </c>
      <c r="D5548" s="861"/>
      <c r="H5548" s="845" t="s">
        <v>1007</v>
      </c>
    </row>
    <row r="5549" spans="1:10" x14ac:dyDescent="0.2">
      <c r="A5549" s="859">
        <f t="shared" si="86"/>
        <v>5548</v>
      </c>
      <c r="B5549" s="845" t="s">
        <v>2558</v>
      </c>
      <c r="D5549" s="862"/>
      <c r="I5549" s="845" t="s">
        <v>1008</v>
      </c>
    </row>
    <row r="5550" spans="1:10" x14ac:dyDescent="0.2">
      <c r="A5550" s="859">
        <f t="shared" si="86"/>
        <v>5549</v>
      </c>
      <c r="B5550" s="845" t="s">
        <v>2558</v>
      </c>
      <c r="D5550" s="863"/>
      <c r="J5550" s="845" t="s">
        <v>1899</v>
      </c>
    </row>
    <row r="5551" spans="1:10" x14ac:dyDescent="0.2">
      <c r="A5551" s="859">
        <f t="shared" si="86"/>
        <v>5550</v>
      </c>
      <c r="B5551" s="845" t="s">
        <v>2558</v>
      </c>
      <c r="D5551" s="862"/>
      <c r="I5551" s="845" t="s">
        <v>1009</v>
      </c>
    </row>
    <row r="5552" spans="1:10" x14ac:dyDescent="0.2">
      <c r="A5552" s="859">
        <f t="shared" si="86"/>
        <v>5551</v>
      </c>
      <c r="B5552" s="845" t="s">
        <v>2558</v>
      </c>
      <c r="D5552" s="862"/>
      <c r="I5552" s="845" t="str">
        <f>CONCATENATE("&lt;valeur&gt;",Cellule_1974,"&lt;/valeur&gt;")</f>
        <v>&lt;valeur&gt;0&lt;/valeur&gt;</v>
      </c>
    </row>
    <row r="5553" spans="1:10" x14ac:dyDescent="0.2">
      <c r="A5553" s="859">
        <f t="shared" si="86"/>
        <v>5552</v>
      </c>
      <c r="B5553" s="845" t="s">
        <v>2558</v>
      </c>
      <c r="D5553" s="861"/>
      <c r="H5553" s="845" t="s">
        <v>1010</v>
      </c>
    </row>
    <row r="5554" spans="1:10" x14ac:dyDescent="0.2">
      <c r="A5554" s="859">
        <f t="shared" si="86"/>
        <v>5553</v>
      </c>
      <c r="B5554" s="845" t="s">
        <v>2558</v>
      </c>
      <c r="D5554" s="861"/>
      <c r="H5554" s="845" t="s">
        <v>1007</v>
      </c>
    </row>
    <row r="5555" spans="1:10" x14ac:dyDescent="0.2">
      <c r="A5555" s="859">
        <f t="shared" si="86"/>
        <v>5554</v>
      </c>
      <c r="B5555" s="845" t="s">
        <v>2558</v>
      </c>
      <c r="D5555" s="862"/>
      <c r="I5555" s="845" t="s">
        <v>1008</v>
      </c>
    </row>
    <row r="5556" spans="1:10" x14ac:dyDescent="0.2">
      <c r="A5556" s="859">
        <f t="shared" si="86"/>
        <v>5555</v>
      </c>
      <c r="B5556" s="845" t="s">
        <v>2558</v>
      </c>
      <c r="D5556" s="863"/>
      <c r="J5556" s="845" t="s">
        <v>1900</v>
      </c>
    </row>
    <row r="5557" spans="1:10" x14ac:dyDescent="0.2">
      <c r="A5557" s="859">
        <f t="shared" si="86"/>
        <v>5556</v>
      </c>
      <c r="B5557" s="845" t="s">
        <v>2558</v>
      </c>
      <c r="D5557" s="862"/>
      <c r="I5557" s="845" t="s">
        <v>1009</v>
      </c>
    </row>
    <row r="5558" spans="1:10" x14ac:dyDescent="0.2">
      <c r="A5558" s="859">
        <f t="shared" si="86"/>
        <v>5557</v>
      </c>
      <c r="B5558" s="845" t="s">
        <v>2558</v>
      </c>
      <c r="D5558" s="862"/>
      <c r="I5558" s="845" t="str">
        <f>CONCATENATE("&lt;valeur&gt;",Cellule_1975,"&lt;/valeur&gt;")</f>
        <v>&lt;valeur&gt;0&lt;/valeur&gt;</v>
      </c>
    </row>
    <row r="5559" spans="1:10" x14ac:dyDescent="0.2">
      <c r="A5559" s="859">
        <f t="shared" si="86"/>
        <v>5558</v>
      </c>
      <c r="B5559" s="845" t="s">
        <v>2558</v>
      </c>
      <c r="D5559" s="861"/>
      <c r="H5559" s="845" t="s">
        <v>1010</v>
      </c>
    </row>
    <row r="5560" spans="1:10" x14ac:dyDescent="0.2">
      <c r="A5560" s="859">
        <f t="shared" si="86"/>
        <v>5559</v>
      </c>
      <c r="B5560" s="845" t="s">
        <v>2558</v>
      </c>
      <c r="D5560" s="861"/>
      <c r="H5560" s="845" t="s">
        <v>1007</v>
      </c>
    </row>
    <row r="5561" spans="1:10" x14ac:dyDescent="0.2">
      <c r="A5561" s="859">
        <f t="shared" si="86"/>
        <v>5560</v>
      </c>
      <c r="B5561" s="845" t="s">
        <v>2558</v>
      </c>
      <c r="D5561" s="862"/>
      <c r="I5561" s="845" t="s">
        <v>1008</v>
      </c>
    </row>
    <row r="5562" spans="1:10" x14ac:dyDescent="0.2">
      <c r="A5562" s="859">
        <f t="shared" si="86"/>
        <v>5561</v>
      </c>
      <c r="B5562" s="845" t="s">
        <v>2558</v>
      </c>
      <c r="D5562" s="863"/>
      <c r="J5562" s="845" t="s">
        <v>1901</v>
      </c>
    </row>
    <row r="5563" spans="1:10" x14ac:dyDescent="0.2">
      <c r="A5563" s="859">
        <f t="shared" si="86"/>
        <v>5562</v>
      </c>
      <c r="B5563" s="845" t="s">
        <v>2558</v>
      </c>
      <c r="D5563" s="862"/>
      <c r="I5563" s="845" t="s">
        <v>1009</v>
      </c>
    </row>
    <row r="5564" spans="1:10" x14ac:dyDescent="0.2">
      <c r="A5564" s="859">
        <f t="shared" si="86"/>
        <v>5563</v>
      </c>
      <c r="B5564" s="845" t="s">
        <v>2558</v>
      </c>
      <c r="D5564" s="862"/>
      <c r="I5564" s="845" t="str">
        <f>CONCATENATE("&lt;valeur&gt;",Cellule_1976,"&lt;/valeur&gt;")</f>
        <v>&lt;valeur&gt;&lt;/valeur&gt;</v>
      </c>
    </row>
    <row r="5565" spans="1:10" x14ac:dyDescent="0.2">
      <c r="A5565" s="859">
        <f t="shared" si="86"/>
        <v>5564</v>
      </c>
      <c r="B5565" s="845" t="s">
        <v>2558</v>
      </c>
      <c r="D5565" s="861"/>
      <c r="H5565" s="845" t="s">
        <v>1010</v>
      </c>
    </row>
    <row r="5566" spans="1:10" x14ac:dyDescent="0.2">
      <c r="A5566" s="859">
        <f t="shared" si="86"/>
        <v>5565</v>
      </c>
      <c r="B5566" s="845" t="s">
        <v>2558</v>
      </c>
      <c r="D5566" s="861"/>
      <c r="H5566" s="845" t="s">
        <v>1007</v>
      </c>
    </row>
    <row r="5567" spans="1:10" x14ac:dyDescent="0.2">
      <c r="A5567" s="859">
        <f t="shared" si="86"/>
        <v>5566</v>
      </c>
      <c r="B5567" s="845" t="s">
        <v>2558</v>
      </c>
      <c r="D5567" s="862"/>
      <c r="I5567" s="845" t="s">
        <v>1008</v>
      </c>
    </row>
    <row r="5568" spans="1:10" x14ac:dyDescent="0.2">
      <c r="A5568" s="859">
        <f t="shared" si="86"/>
        <v>5567</v>
      </c>
      <c r="B5568" s="845" t="s">
        <v>2558</v>
      </c>
      <c r="D5568" s="863"/>
      <c r="J5568" s="845" t="s">
        <v>1902</v>
      </c>
    </row>
    <row r="5569" spans="1:10" x14ac:dyDescent="0.2">
      <c r="A5569" s="859">
        <f t="shared" si="86"/>
        <v>5568</v>
      </c>
      <c r="B5569" s="845" t="s">
        <v>2558</v>
      </c>
      <c r="D5569" s="862"/>
      <c r="I5569" s="845" t="s">
        <v>1009</v>
      </c>
    </row>
    <row r="5570" spans="1:10" x14ac:dyDescent="0.2">
      <c r="A5570" s="859">
        <f t="shared" si="86"/>
        <v>5569</v>
      </c>
      <c r="B5570" s="845" t="s">
        <v>2558</v>
      </c>
      <c r="D5570" s="862"/>
      <c r="I5570" s="845" t="str">
        <f>CONCATENATE("&lt;valeur&gt;",Cellule_1977,"&lt;/valeur&gt;")</f>
        <v>&lt;valeur&gt;0&lt;/valeur&gt;</v>
      </c>
    </row>
    <row r="5571" spans="1:10" x14ac:dyDescent="0.2">
      <c r="A5571" s="859">
        <f t="shared" si="86"/>
        <v>5570</v>
      </c>
      <c r="B5571" s="845" t="s">
        <v>2558</v>
      </c>
      <c r="D5571" s="861"/>
      <c r="H5571" s="845" t="s">
        <v>1010</v>
      </c>
    </row>
    <row r="5572" spans="1:10" x14ac:dyDescent="0.2">
      <c r="A5572" s="859">
        <f t="shared" ref="A5572:A5635" si="87">+A5571+1</f>
        <v>5571</v>
      </c>
      <c r="B5572" s="845" t="s">
        <v>2558</v>
      </c>
      <c r="D5572" s="861"/>
      <c r="H5572" s="845" t="s">
        <v>1007</v>
      </c>
    </row>
    <row r="5573" spans="1:10" x14ac:dyDescent="0.2">
      <c r="A5573" s="859">
        <f t="shared" si="87"/>
        <v>5572</v>
      </c>
      <c r="B5573" s="845" t="s">
        <v>2558</v>
      </c>
      <c r="D5573" s="862"/>
      <c r="I5573" s="845" t="s">
        <v>1008</v>
      </c>
    </row>
    <row r="5574" spans="1:10" x14ac:dyDescent="0.2">
      <c r="A5574" s="859">
        <f t="shared" si="87"/>
        <v>5573</v>
      </c>
      <c r="B5574" s="845" t="s">
        <v>2558</v>
      </c>
      <c r="D5574" s="863"/>
      <c r="J5574" s="845" t="s">
        <v>1903</v>
      </c>
    </row>
    <row r="5575" spans="1:10" x14ac:dyDescent="0.2">
      <c r="A5575" s="859">
        <f t="shared" si="87"/>
        <v>5574</v>
      </c>
      <c r="B5575" s="845" t="s">
        <v>2558</v>
      </c>
      <c r="D5575" s="862"/>
      <c r="I5575" s="845" t="s">
        <v>1009</v>
      </c>
    </row>
    <row r="5576" spans="1:10" x14ac:dyDescent="0.2">
      <c r="A5576" s="859">
        <f t="shared" si="87"/>
        <v>5575</v>
      </c>
      <c r="B5576" s="845" t="s">
        <v>2558</v>
      </c>
      <c r="D5576" s="862"/>
      <c r="I5576" s="845" t="str">
        <f>CONCATENATE("&lt;valeur&gt;",Cellule_1978,"&lt;/valeur&gt;")</f>
        <v>&lt;valeur&gt;0&lt;/valeur&gt;</v>
      </c>
    </row>
    <row r="5577" spans="1:10" x14ac:dyDescent="0.2">
      <c r="A5577" s="859">
        <f t="shared" si="87"/>
        <v>5576</v>
      </c>
      <c r="B5577" s="845" t="s">
        <v>2558</v>
      </c>
      <c r="D5577" s="861"/>
      <c r="H5577" s="845" t="s">
        <v>1010</v>
      </c>
    </row>
    <row r="5578" spans="1:10" x14ac:dyDescent="0.2">
      <c r="A5578" s="859">
        <f t="shared" si="87"/>
        <v>5577</v>
      </c>
      <c r="B5578" s="845" t="s">
        <v>2558</v>
      </c>
      <c r="D5578" s="861"/>
      <c r="H5578" s="845" t="s">
        <v>1007</v>
      </c>
    </row>
    <row r="5579" spans="1:10" x14ac:dyDescent="0.2">
      <c r="A5579" s="859">
        <f t="shared" si="87"/>
        <v>5578</v>
      </c>
      <c r="B5579" s="845" t="s">
        <v>2558</v>
      </c>
      <c r="D5579" s="862"/>
      <c r="I5579" s="845" t="s">
        <v>1008</v>
      </c>
    </row>
    <row r="5580" spans="1:10" x14ac:dyDescent="0.2">
      <c r="A5580" s="859">
        <f t="shared" si="87"/>
        <v>5579</v>
      </c>
      <c r="B5580" s="845" t="s">
        <v>2558</v>
      </c>
      <c r="D5580" s="863"/>
      <c r="J5580" s="845" t="s">
        <v>1904</v>
      </c>
    </row>
    <row r="5581" spans="1:10" x14ac:dyDescent="0.2">
      <c r="A5581" s="859">
        <f t="shared" si="87"/>
        <v>5580</v>
      </c>
      <c r="B5581" s="845" t="s">
        <v>2558</v>
      </c>
      <c r="D5581" s="862"/>
      <c r="I5581" s="845" t="s">
        <v>1009</v>
      </c>
    </row>
    <row r="5582" spans="1:10" x14ac:dyDescent="0.2">
      <c r="A5582" s="859">
        <f t="shared" si="87"/>
        <v>5581</v>
      </c>
      <c r="B5582" s="845" t="s">
        <v>2558</v>
      </c>
      <c r="D5582" s="862"/>
      <c r="I5582" s="845" t="str">
        <f>CONCATENATE("&lt;valeur&gt;",Cellule_1979,"&lt;/valeur&gt;")</f>
        <v>&lt;valeur&gt;0&lt;/valeur&gt;</v>
      </c>
    </row>
    <row r="5583" spans="1:10" x14ac:dyDescent="0.2">
      <c r="A5583" s="859">
        <f t="shared" si="87"/>
        <v>5582</v>
      </c>
      <c r="B5583" s="845" t="s">
        <v>2558</v>
      </c>
      <c r="D5583" s="861"/>
      <c r="H5583" s="845" t="s">
        <v>1010</v>
      </c>
    </row>
    <row r="5584" spans="1:10" x14ac:dyDescent="0.2">
      <c r="A5584" s="859">
        <f t="shared" si="87"/>
        <v>5583</v>
      </c>
      <c r="B5584" s="845" t="s">
        <v>2558</v>
      </c>
      <c r="D5584" s="861"/>
      <c r="H5584" s="845" t="s">
        <v>1007</v>
      </c>
    </row>
    <row r="5585" spans="1:10" x14ac:dyDescent="0.2">
      <c r="A5585" s="859">
        <f t="shared" si="87"/>
        <v>5584</v>
      </c>
      <c r="B5585" s="845" t="s">
        <v>2558</v>
      </c>
      <c r="D5585" s="862"/>
      <c r="I5585" s="845" t="s">
        <v>1008</v>
      </c>
    </row>
    <row r="5586" spans="1:10" x14ac:dyDescent="0.2">
      <c r="A5586" s="859">
        <f t="shared" si="87"/>
        <v>5585</v>
      </c>
      <c r="B5586" s="845" t="s">
        <v>2558</v>
      </c>
      <c r="D5586" s="863"/>
      <c r="J5586" s="845" t="s">
        <v>1905</v>
      </c>
    </row>
    <row r="5587" spans="1:10" x14ac:dyDescent="0.2">
      <c r="A5587" s="859">
        <f t="shared" si="87"/>
        <v>5586</v>
      </c>
      <c r="B5587" s="845" t="s">
        <v>2558</v>
      </c>
      <c r="D5587" s="862"/>
      <c r="I5587" s="845" t="s">
        <v>1009</v>
      </c>
    </row>
    <row r="5588" spans="1:10" x14ac:dyDescent="0.2">
      <c r="A5588" s="859">
        <f t="shared" si="87"/>
        <v>5587</v>
      </c>
      <c r="B5588" s="845" t="s">
        <v>2558</v>
      </c>
      <c r="D5588" s="862"/>
      <c r="I5588" s="845" t="str">
        <f>CONCATENATE("&lt;valeur&gt;",Cellule_1980,"&lt;/valeur&gt;")</f>
        <v>&lt;valeur&gt;0&lt;/valeur&gt;</v>
      </c>
    </row>
    <row r="5589" spans="1:10" x14ac:dyDescent="0.2">
      <c r="A5589" s="859">
        <f t="shared" si="87"/>
        <v>5588</v>
      </c>
      <c r="B5589" s="845" t="s">
        <v>2558</v>
      </c>
      <c r="D5589" s="861"/>
      <c r="H5589" s="845" t="s">
        <v>1010</v>
      </c>
    </row>
    <row r="5590" spans="1:10" x14ac:dyDescent="0.2">
      <c r="A5590" s="859">
        <f t="shared" si="87"/>
        <v>5589</v>
      </c>
      <c r="B5590" s="845" t="s">
        <v>2558</v>
      </c>
      <c r="D5590" s="861"/>
      <c r="H5590" s="845" t="s">
        <v>1007</v>
      </c>
    </row>
    <row r="5591" spans="1:10" x14ac:dyDescent="0.2">
      <c r="A5591" s="859">
        <f t="shared" si="87"/>
        <v>5590</v>
      </c>
      <c r="B5591" s="845" t="s">
        <v>2558</v>
      </c>
      <c r="D5591" s="862"/>
      <c r="I5591" s="845" t="s">
        <v>1008</v>
      </c>
    </row>
    <row r="5592" spans="1:10" x14ac:dyDescent="0.2">
      <c r="A5592" s="859">
        <f t="shared" si="87"/>
        <v>5591</v>
      </c>
      <c r="B5592" s="845" t="s">
        <v>2558</v>
      </c>
      <c r="D5592" s="863"/>
      <c r="J5592" s="845" t="s">
        <v>1906</v>
      </c>
    </row>
    <row r="5593" spans="1:10" x14ac:dyDescent="0.2">
      <c r="A5593" s="859">
        <f t="shared" si="87"/>
        <v>5592</v>
      </c>
      <c r="B5593" s="845" t="s">
        <v>2558</v>
      </c>
      <c r="D5593" s="862"/>
      <c r="I5593" s="845" t="s">
        <v>1009</v>
      </c>
    </row>
    <row r="5594" spans="1:10" x14ac:dyDescent="0.2">
      <c r="A5594" s="859">
        <f t="shared" si="87"/>
        <v>5593</v>
      </c>
      <c r="B5594" s="845" t="s">
        <v>2558</v>
      </c>
      <c r="D5594" s="862"/>
      <c r="I5594" s="845" t="str">
        <f>CONCATENATE("&lt;valeur&gt;",Cellule_1981,"&lt;/valeur&gt;")</f>
        <v>&lt;valeur&gt;&lt;/valeur&gt;</v>
      </c>
    </row>
    <row r="5595" spans="1:10" x14ac:dyDescent="0.2">
      <c r="A5595" s="859">
        <f t="shared" si="87"/>
        <v>5594</v>
      </c>
      <c r="B5595" s="845" t="s">
        <v>2558</v>
      </c>
      <c r="D5595" s="861"/>
      <c r="H5595" s="845" t="s">
        <v>1010</v>
      </c>
    </row>
    <row r="5596" spans="1:10" x14ac:dyDescent="0.2">
      <c r="A5596" s="859">
        <f t="shared" si="87"/>
        <v>5595</v>
      </c>
      <c r="B5596" s="845" t="s">
        <v>2558</v>
      </c>
      <c r="D5596" s="861"/>
      <c r="H5596" s="845" t="s">
        <v>1007</v>
      </c>
    </row>
    <row r="5597" spans="1:10" x14ac:dyDescent="0.2">
      <c r="A5597" s="859">
        <f t="shared" si="87"/>
        <v>5596</v>
      </c>
      <c r="B5597" s="845" t="s">
        <v>2558</v>
      </c>
      <c r="D5597" s="862"/>
      <c r="I5597" s="845" t="s">
        <v>1008</v>
      </c>
    </row>
    <row r="5598" spans="1:10" x14ac:dyDescent="0.2">
      <c r="A5598" s="859">
        <f t="shared" si="87"/>
        <v>5597</v>
      </c>
      <c r="B5598" s="845" t="s">
        <v>2558</v>
      </c>
      <c r="D5598" s="863"/>
      <c r="J5598" s="845" t="s">
        <v>1907</v>
      </c>
    </row>
    <row r="5599" spans="1:10" x14ac:dyDescent="0.2">
      <c r="A5599" s="859">
        <f t="shared" si="87"/>
        <v>5598</v>
      </c>
      <c r="B5599" s="845" t="s">
        <v>2558</v>
      </c>
      <c r="D5599" s="862"/>
      <c r="I5599" s="845" t="s">
        <v>1009</v>
      </c>
    </row>
    <row r="5600" spans="1:10" x14ac:dyDescent="0.2">
      <c r="A5600" s="859">
        <f t="shared" si="87"/>
        <v>5599</v>
      </c>
      <c r="B5600" s="845" t="s">
        <v>2558</v>
      </c>
      <c r="D5600" s="862"/>
      <c r="I5600" s="845" t="str">
        <f>CONCATENATE("&lt;valeur&gt;",Cellule_1982,"&lt;/valeur&gt;")</f>
        <v>&lt;valeur&gt;0&lt;/valeur&gt;</v>
      </c>
    </row>
    <row r="5601" spans="1:10" x14ac:dyDescent="0.2">
      <c r="A5601" s="859">
        <f t="shared" si="87"/>
        <v>5600</v>
      </c>
      <c r="B5601" s="845" t="s">
        <v>2558</v>
      </c>
      <c r="D5601" s="861"/>
      <c r="H5601" s="845" t="s">
        <v>1010</v>
      </c>
    </row>
    <row r="5602" spans="1:10" x14ac:dyDescent="0.2">
      <c r="A5602" s="859">
        <f t="shared" si="87"/>
        <v>5601</v>
      </c>
      <c r="B5602" s="845" t="s">
        <v>2558</v>
      </c>
      <c r="D5602" s="861"/>
      <c r="H5602" s="845" t="s">
        <v>1007</v>
      </c>
    </row>
    <row r="5603" spans="1:10" x14ac:dyDescent="0.2">
      <c r="A5603" s="859">
        <f t="shared" si="87"/>
        <v>5602</v>
      </c>
      <c r="B5603" s="845" t="s">
        <v>2558</v>
      </c>
      <c r="D5603" s="862"/>
      <c r="I5603" s="845" t="s">
        <v>1008</v>
      </c>
    </row>
    <row r="5604" spans="1:10" x14ac:dyDescent="0.2">
      <c r="A5604" s="859">
        <f t="shared" si="87"/>
        <v>5603</v>
      </c>
      <c r="B5604" s="845" t="s">
        <v>2558</v>
      </c>
      <c r="D5604" s="863"/>
      <c r="J5604" s="845" t="s">
        <v>1908</v>
      </c>
    </row>
    <row r="5605" spans="1:10" x14ac:dyDescent="0.2">
      <c r="A5605" s="859">
        <f t="shared" si="87"/>
        <v>5604</v>
      </c>
      <c r="B5605" s="845" t="s">
        <v>2558</v>
      </c>
      <c r="D5605" s="862"/>
      <c r="I5605" s="845" t="s">
        <v>1009</v>
      </c>
    </row>
    <row r="5606" spans="1:10" x14ac:dyDescent="0.2">
      <c r="A5606" s="859">
        <f t="shared" si="87"/>
        <v>5605</v>
      </c>
      <c r="B5606" s="845" t="s">
        <v>2558</v>
      </c>
      <c r="D5606" s="862"/>
      <c r="I5606" s="845" t="str">
        <f>CONCATENATE("&lt;valeur&gt;",Cellule_1983,"&lt;/valeur&gt;")</f>
        <v>&lt;valeur&gt;0&lt;/valeur&gt;</v>
      </c>
    </row>
    <row r="5607" spans="1:10" x14ac:dyDescent="0.2">
      <c r="A5607" s="859">
        <f t="shared" si="87"/>
        <v>5606</v>
      </c>
      <c r="B5607" s="845" t="s">
        <v>2558</v>
      </c>
      <c r="D5607" s="861"/>
      <c r="H5607" s="845" t="s">
        <v>1010</v>
      </c>
    </row>
    <row r="5608" spans="1:10" x14ac:dyDescent="0.2">
      <c r="A5608" s="859">
        <f t="shared" si="87"/>
        <v>5607</v>
      </c>
      <c r="B5608" s="845" t="s">
        <v>2558</v>
      </c>
      <c r="D5608" s="861"/>
      <c r="H5608" s="845" t="s">
        <v>1007</v>
      </c>
    </row>
    <row r="5609" spans="1:10" x14ac:dyDescent="0.2">
      <c r="A5609" s="859">
        <f t="shared" si="87"/>
        <v>5608</v>
      </c>
      <c r="B5609" s="845" t="s">
        <v>2558</v>
      </c>
      <c r="D5609" s="862"/>
      <c r="I5609" s="845" t="s">
        <v>1008</v>
      </c>
    </row>
    <row r="5610" spans="1:10" x14ac:dyDescent="0.2">
      <c r="A5610" s="859">
        <f t="shared" si="87"/>
        <v>5609</v>
      </c>
      <c r="B5610" s="845" t="s">
        <v>2558</v>
      </c>
      <c r="D5610" s="863"/>
      <c r="J5610" s="845" t="s">
        <v>1909</v>
      </c>
    </row>
    <row r="5611" spans="1:10" x14ac:dyDescent="0.2">
      <c r="A5611" s="859">
        <f t="shared" si="87"/>
        <v>5610</v>
      </c>
      <c r="B5611" s="845" t="s">
        <v>2558</v>
      </c>
      <c r="D5611" s="862"/>
      <c r="I5611" s="845" t="s">
        <v>1009</v>
      </c>
    </row>
    <row r="5612" spans="1:10" x14ac:dyDescent="0.2">
      <c r="A5612" s="859">
        <f t="shared" si="87"/>
        <v>5611</v>
      </c>
      <c r="B5612" s="845" t="s">
        <v>2558</v>
      </c>
      <c r="D5612" s="862"/>
      <c r="I5612" s="845" t="str">
        <f>CONCATENATE("&lt;valeur&gt;",Cellule_1984,"&lt;/valeur&gt;")</f>
        <v>&lt;valeur&gt;0&lt;/valeur&gt;</v>
      </c>
    </row>
    <row r="5613" spans="1:10" x14ac:dyDescent="0.2">
      <c r="A5613" s="859">
        <f t="shared" si="87"/>
        <v>5612</v>
      </c>
      <c r="B5613" s="845" t="s">
        <v>2558</v>
      </c>
      <c r="D5613" s="861"/>
      <c r="H5613" s="845" t="s">
        <v>1010</v>
      </c>
    </row>
    <row r="5614" spans="1:10" x14ac:dyDescent="0.2">
      <c r="A5614" s="859">
        <f t="shared" si="87"/>
        <v>5613</v>
      </c>
      <c r="B5614" s="845" t="s">
        <v>2558</v>
      </c>
      <c r="D5614" s="861"/>
      <c r="H5614" s="845" t="s">
        <v>1007</v>
      </c>
    </row>
    <row r="5615" spans="1:10" x14ac:dyDescent="0.2">
      <c r="A5615" s="859">
        <f t="shared" si="87"/>
        <v>5614</v>
      </c>
      <c r="B5615" s="845" t="s">
        <v>2558</v>
      </c>
      <c r="D5615" s="862"/>
      <c r="I5615" s="845" t="s">
        <v>1008</v>
      </c>
    </row>
    <row r="5616" spans="1:10" x14ac:dyDescent="0.2">
      <c r="A5616" s="859">
        <f t="shared" si="87"/>
        <v>5615</v>
      </c>
      <c r="B5616" s="845" t="s">
        <v>2558</v>
      </c>
      <c r="D5616" s="863"/>
      <c r="J5616" s="845" t="s">
        <v>1910</v>
      </c>
    </row>
    <row r="5617" spans="1:10" x14ac:dyDescent="0.2">
      <c r="A5617" s="859">
        <f t="shared" si="87"/>
        <v>5616</v>
      </c>
      <c r="B5617" s="845" t="s">
        <v>2558</v>
      </c>
      <c r="D5617" s="862"/>
      <c r="I5617" s="845" t="s">
        <v>1009</v>
      </c>
    </row>
    <row r="5618" spans="1:10" x14ac:dyDescent="0.2">
      <c r="A5618" s="859">
        <f t="shared" si="87"/>
        <v>5617</v>
      </c>
      <c r="B5618" s="845" t="s">
        <v>2558</v>
      </c>
      <c r="D5618" s="862"/>
      <c r="I5618" s="845" t="str">
        <f>CONCATENATE("&lt;valeur&gt;",Cellule_1985,"&lt;/valeur&gt;")</f>
        <v>&lt;valeur&gt;&lt;/valeur&gt;</v>
      </c>
    </row>
    <row r="5619" spans="1:10" x14ac:dyDescent="0.2">
      <c r="A5619" s="859">
        <f t="shared" si="87"/>
        <v>5618</v>
      </c>
      <c r="B5619" s="845" t="s">
        <v>2558</v>
      </c>
      <c r="D5619" s="861"/>
      <c r="H5619" s="845" t="s">
        <v>1010</v>
      </c>
    </row>
    <row r="5620" spans="1:10" x14ac:dyDescent="0.2">
      <c r="A5620" s="859">
        <f t="shared" si="87"/>
        <v>5619</v>
      </c>
      <c r="B5620" s="845" t="s">
        <v>2558</v>
      </c>
      <c r="D5620" s="861"/>
      <c r="H5620" s="845" t="s">
        <v>1007</v>
      </c>
    </row>
    <row r="5621" spans="1:10" x14ac:dyDescent="0.2">
      <c r="A5621" s="859">
        <f t="shared" si="87"/>
        <v>5620</v>
      </c>
      <c r="B5621" s="845" t="s">
        <v>2558</v>
      </c>
      <c r="D5621" s="862"/>
      <c r="I5621" s="845" t="s">
        <v>1008</v>
      </c>
    </row>
    <row r="5622" spans="1:10" x14ac:dyDescent="0.2">
      <c r="A5622" s="859">
        <f t="shared" si="87"/>
        <v>5621</v>
      </c>
      <c r="B5622" s="845" t="s">
        <v>2558</v>
      </c>
      <c r="D5622" s="863"/>
      <c r="J5622" s="845" t="s">
        <v>1911</v>
      </c>
    </row>
    <row r="5623" spans="1:10" x14ac:dyDescent="0.2">
      <c r="A5623" s="859">
        <f t="shared" si="87"/>
        <v>5622</v>
      </c>
      <c r="B5623" s="845" t="s">
        <v>2558</v>
      </c>
      <c r="D5623" s="862"/>
      <c r="I5623" s="845" t="s">
        <v>1009</v>
      </c>
    </row>
    <row r="5624" spans="1:10" x14ac:dyDescent="0.2">
      <c r="A5624" s="859">
        <f t="shared" si="87"/>
        <v>5623</v>
      </c>
      <c r="B5624" s="845" t="s">
        <v>2558</v>
      </c>
      <c r="D5624" s="862"/>
      <c r="I5624" s="845" t="str">
        <f>CONCATENATE("&lt;valeur&gt;",Cellule_1986,"&lt;/valeur&gt;")</f>
        <v>&lt;valeur&gt;0&lt;/valeur&gt;</v>
      </c>
    </row>
    <row r="5625" spans="1:10" x14ac:dyDescent="0.2">
      <c r="A5625" s="859">
        <f t="shared" si="87"/>
        <v>5624</v>
      </c>
      <c r="B5625" s="845" t="s">
        <v>2558</v>
      </c>
      <c r="D5625" s="861"/>
      <c r="H5625" s="845" t="s">
        <v>1010</v>
      </c>
    </row>
    <row r="5626" spans="1:10" x14ac:dyDescent="0.2">
      <c r="A5626" s="859">
        <f t="shared" si="87"/>
        <v>5625</v>
      </c>
      <c r="B5626" s="845" t="s">
        <v>2558</v>
      </c>
      <c r="D5626" s="861"/>
      <c r="H5626" s="845" t="s">
        <v>1007</v>
      </c>
    </row>
    <row r="5627" spans="1:10" x14ac:dyDescent="0.2">
      <c r="A5627" s="859">
        <f t="shared" si="87"/>
        <v>5626</v>
      </c>
      <c r="B5627" s="845" t="s">
        <v>2558</v>
      </c>
      <c r="D5627" s="862"/>
      <c r="I5627" s="845" t="s">
        <v>1008</v>
      </c>
    </row>
    <row r="5628" spans="1:10" x14ac:dyDescent="0.2">
      <c r="A5628" s="859">
        <f t="shared" si="87"/>
        <v>5627</v>
      </c>
      <c r="B5628" s="845" t="s">
        <v>2558</v>
      </c>
      <c r="D5628" s="863"/>
      <c r="J5628" s="845" t="s">
        <v>1912</v>
      </c>
    </row>
    <row r="5629" spans="1:10" x14ac:dyDescent="0.2">
      <c r="A5629" s="859">
        <f t="shared" si="87"/>
        <v>5628</v>
      </c>
      <c r="B5629" s="845" t="s">
        <v>2558</v>
      </c>
      <c r="D5629" s="862"/>
      <c r="I5629" s="845" t="s">
        <v>1009</v>
      </c>
    </row>
    <row r="5630" spans="1:10" x14ac:dyDescent="0.2">
      <c r="A5630" s="859">
        <f t="shared" si="87"/>
        <v>5629</v>
      </c>
      <c r="B5630" s="845" t="s">
        <v>2558</v>
      </c>
      <c r="D5630" s="862"/>
      <c r="I5630" s="845" t="str">
        <f>CONCATENATE("&lt;valeur&gt;",Cellule_1987,"&lt;/valeur&gt;")</f>
        <v>&lt;valeur&gt;0&lt;/valeur&gt;</v>
      </c>
    </row>
    <row r="5631" spans="1:10" x14ac:dyDescent="0.2">
      <c r="A5631" s="859">
        <f t="shared" si="87"/>
        <v>5630</v>
      </c>
      <c r="B5631" s="845" t="s">
        <v>2558</v>
      </c>
      <c r="D5631" s="861"/>
      <c r="H5631" s="845" t="s">
        <v>1010</v>
      </c>
    </row>
    <row r="5632" spans="1:10" x14ac:dyDescent="0.2">
      <c r="A5632" s="859">
        <f t="shared" si="87"/>
        <v>5631</v>
      </c>
      <c r="B5632" s="845" t="s">
        <v>2558</v>
      </c>
      <c r="D5632" s="861"/>
      <c r="H5632" s="845" t="s">
        <v>1007</v>
      </c>
    </row>
    <row r="5633" spans="1:10" x14ac:dyDescent="0.2">
      <c r="A5633" s="859">
        <f t="shared" si="87"/>
        <v>5632</v>
      </c>
      <c r="B5633" s="845" t="s">
        <v>2558</v>
      </c>
      <c r="D5633" s="862"/>
      <c r="I5633" s="845" t="s">
        <v>1008</v>
      </c>
    </row>
    <row r="5634" spans="1:10" x14ac:dyDescent="0.2">
      <c r="A5634" s="859">
        <f t="shared" si="87"/>
        <v>5633</v>
      </c>
      <c r="B5634" s="845" t="s">
        <v>2558</v>
      </c>
      <c r="D5634" s="863"/>
      <c r="J5634" s="845" t="s">
        <v>1913</v>
      </c>
    </row>
    <row r="5635" spans="1:10" x14ac:dyDescent="0.2">
      <c r="A5635" s="859">
        <f t="shared" si="87"/>
        <v>5634</v>
      </c>
      <c r="B5635" s="845" t="s">
        <v>2558</v>
      </c>
      <c r="D5635" s="862"/>
      <c r="I5635" s="845" t="s">
        <v>1009</v>
      </c>
    </row>
    <row r="5636" spans="1:10" x14ac:dyDescent="0.2">
      <c r="A5636" s="859">
        <f t="shared" ref="A5636:A5699" si="88">+A5635+1</f>
        <v>5635</v>
      </c>
      <c r="B5636" s="845" t="s">
        <v>2558</v>
      </c>
      <c r="D5636" s="862"/>
      <c r="I5636" s="845" t="str">
        <f>CONCATENATE("&lt;valeur&gt;",Cellule_1988,"&lt;/valeur&gt;")</f>
        <v>&lt;valeur&gt;0&lt;/valeur&gt;</v>
      </c>
    </row>
    <row r="5637" spans="1:10" x14ac:dyDescent="0.2">
      <c r="A5637" s="859">
        <f t="shared" si="88"/>
        <v>5636</v>
      </c>
      <c r="B5637" s="845" t="s">
        <v>2558</v>
      </c>
      <c r="D5637" s="861"/>
      <c r="H5637" s="845" t="s">
        <v>1010</v>
      </c>
    </row>
    <row r="5638" spans="1:10" x14ac:dyDescent="0.2">
      <c r="A5638" s="859">
        <f t="shared" si="88"/>
        <v>5637</v>
      </c>
      <c r="B5638" s="845" t="s">
        <v>2558</v>
      </c>
      <c r="D5638" s="861"/>
      <c r="H5638" s="845" t="s">
        <v>1007</v>
      </c>
    </row>
    <row r="5639" spans="1:10" x14ac:dyDescent="0.2">
      <c r="A5639" s="859">
        <f t="shared" si="88"/>
        <v>5638</v>
      </c>
      <c r="B5639" s="845" t="s">
        <v>2558</v>
      </c>
      <c r="D5639" s="862"/>
      <c r="I5639" s="845" t="s">
        <v>1008</v>
      </c>
    </row>
    <row r="5640" spans="1:10" x14ac:dyDescent="0.2">
      <c r="A5640" s="859">
        <f t="shared" si="88"/>
        <v>5639</v>
      </c>
      <c r="B5640" s="845" t="s">
        <v>2558</v>
      </c>
      <c r="D5640" s="863"/>
      <c r="J5640" s="845" t="s">
        <v>1914</v>
      </c>
    </row>
    <row r="5641" spans="1:10" x14ac:dyDescent="0.2">
      <c r="A5641" s="859">
        <f t="shared" si="88"/>
        <v>5640</v>
      </c>
      <c r="B5641" s="845" t="s">
        <v>2558</v>
      </c>
      <c r="D5641" s="862"/>
      <c r="I5641" s="845" t="s">
        <v>1009</v>
      </c>
    </row>
    <row r="5642" spans="1:10" x14ac:dyDescent="0.2">
      <c r="A5642" s="859">
        <f t="shared" si="88"/>
        <v>5641</v>
      </c>
      <c r="B5642" s="845" t="s">
        <v>2558</v>
      </c>
      <c r="D5642" s="862"/>
      <c r="I5642" s="845" t="str">
        <f>CONCATENATE("&lt;valeur&gt;",Cellule_1972,"&lt;/valeur&gt;")</f>
        <v>&lt;valeur&gt;0&lt;/valeur&gt;</v>
      </c>
    </row>
    <row r="5643" spans="1:10" x14ac:dyDescent="0.2">
      <c r="A5643" s="859">
        <f t="shared" si="88"/>
        <v>5642</v>
      </c>
      <c r="B5643" s="845" t="s">
        <v>2558</v>
      </c>
      <c r="D5643" s="861"/>
      <c r="H5643" s="845" t="s">
        <v>1010</v>
      </c>
    </row>
    <row r="5644" spans="1:10" x14ac:dyDescent="0.2">
      <c r="A5644" s="859">
        <f t="shared" si="88"/>
        <v>5643</v>
      </c>
      <c r="B5644" s="845" t="s">
        <v>2558</v>
      </c>
      <c r="D5644" s="861"/>
      <c r="H5644" s="845" t="s">
        <v>1007</v>
      </c>
    </row>
    <row r="5645" spans="1:10" x14ac:dyDescent="0.2">
      <c r="A5645" s="859">
        <f t="shared" si="88"/>
        <v>5644</v>
      </c>
      <c r="B5645" s="845" t="s">
        <v>2558</v>
      </c>
      <c r="D5645" s="862"/>
      <c r="I5645" s="845" t="s">
        <v>1008</v>
      </c>
    </row>
    <row r="5646" spans="1:10" x14ac:dyDescent="0.2">
      <c r="A5646" s="859">
        <f t="shared" si="88"/>
        <v>5645</v>
      </c>
      <c r="B5646" s="845" t="s">
        <v>2558</v>
      </c>
      <c r="D5646" s="863"/>
      <c r="J5646" s="845" t="s">
        <v>1915</v>
      </c>
    </row>
    <row r="5647" spans="1:10" x14ac:dyDescent="0.2">
      <c r="A5647" s="859">
        <f t="shared" si="88"/>
        <v>5646</v>
      </c>
      <c r="B5647" s="845" t="s">
        <v>2558</v>
      </c>
      <c r="D5647" s="862"/>
      <c r="I5647" s="845" t="s">
        <v>1009</v>
      </c>
    </row>
    <row r="5648" spans="1:10" x14ac:dyDescent="0.2">
      <c r="A5648" s="859">
        <f t="shared" si="88"/>
        <v>5647</v>
      </c>
      <c r="B5648" s="845" t="s">
        <v>2558</v>
      </c>
      <c r="D5648" s="862"/>
      <c r="I5648" s="845" t="str">
        <f>CONCATENATE("&lt;valeur&gt;",Cellule_1973,"&lt;/valeur&gt;")</f>
        <v>&lt;valeur&gt;0&lt;/valeur&gt;</v>
      </c>
    </row>
    <row r="5649" spans="1:10" x14ac:dyDescent="0.2">
      <c r="A5649" s="859">
        <f t="shared" si="88"/>
        <v>5648</v>
      </c>
      <c r="B5649" s="845" t="s">
        <v>2558</v>
      </c>
      <c r="D5649" s="861"/>
      <c r="H5649" s="845" t="s">
        <v>1010</v>
      </c>
    </row>
    <row r="5650" spans="1:10" x14ac:dyDescent="0.2">
      <c r="A5650" s="859">
        <f t="shared" si="88"/>
        <v>5649</v>
      </c>
      <c r="B5650" s="845" t="s">
        <v>2558</v>
      </c>
      <c r="D5650" s="861"/>
      <c r="H5650" s="845" t="s">
        <v>1007</v>
      </c>
    </row>
    <row r="5651" spans="1:10" x14ac:dyDescent="0.2">
      <c r="A5651" s="859">
        <f t="shared" si="88"/>
        <v>5650</v>
      </c>
      <c r="B5651" s="845" t="s">
        <v>2558</v>
      </c>
      <c r="D5651" s="862"/>
      <c r="I5651" s="845" t="s">
        <v>1008</v>
      </c>
    </row>
    <row r="5652" spans="1:10" x14ac:dyDescent="0.2">
      <c r="A5652" s="859">
        <f t="shared" si="88"/>
        <v>5651</v>
      </c>
      <c r="B5652" s="845" t="s">
        <v>2558</v>
      </c>
      <c r="D5652" s="863"/>
      <c r="J5652" s="845" t="s">
        <v>1916</v>
      </c>
    </row>
    <row r="5653" spans="1:10" x14ac:dyDescent="0.2">
      <c r="A5653" s="859">
        <f t="shared" si="88"/>
        <v>5652</v>
      </c>
      <c r="B5653" s="845" t="s">
        <v>2558</v>
      </c>
      <c r="D5653" s="862"/>
      <c r="I5653" s="845" t="s">
        <v>1009</v>
      </c>
    </row>
    <row r="5654" spans="1:10" x14ac:dyDescent="0.2">
      <c r="A5654" s="859">
        <f t="shared" si="88"/>
        <v>5653</v>
      </c>
      <c r="B5654" s="845" t="s">
        <v>2558</v>
      </c>
      <c r="D5654" s="862"/>
      <c r="I5654" s="845" t="str">
        <f>CONCATENATE("&lt;valeur&gt;",Cellule_1989,"&lt;/valeur&gt;")</f>
        <v>&lt;valeur&gt;&lt;/valeur&gt;</v>
      </c>
    </row>
    <row r="5655" spans="1:10" x14ac:dyDescent="0.2">
      <c r="A5655" s="859">
        <f t="shared" si="88"/>
        <v>5654</v>
      </c>
      <c r="B5655" s="845" t="s">
        <v>2558</v>
      </c>
      <c r="D5655" s="861"/>
      <c r="H5655" s="845" t="s">
        <v>1010</v>
      </c>
    </row>
    <row r="5656" spans="1:10" x14ac:dyDescent="0.2">
      <c r="A5656" s="859">
        <f t="shared" si="88"/>
        <v>5655</v>
      </c>
      <c r="B5656" s="845" t="s">
        <v>2558</v>
      </c>
      <c r="D5656" s="861"/>
      <c r="H5656" s="845" t="s">
        <v>1007</v>
      </c>
    </row>
    <row r="5657" spans="1:10" x14ac:dyDescent="0.2">
      <c r="A5657" s="859">
        <f t="shared" si="88"/>
        <v>5656</v>
      </c>
      <c r="B5657" s="845" t="s">
        <v>2558</v>
      </c>
      <c r="D5657" s="862"/>
      <c r="I5657" s="845" t="s">
        <v>1008</v>
      </c>
    </row>
    <row r="5658" spans="1:10" x14ac:dyDescent="0.2">
      <c r="A5658" s="859">
        <f t="shared" si="88"/>
        <v>5657</v>
      </c>
      <c r="B5658" s="845" t="s">
        <v>2558</v>
      </c>
      <c r="D5658" s="863"/>
      <c r="J5658" s="845" t="s">
        <v>1917</v>
      </c>
    </row>
    <row r="5659" spans="1:10" x14ac:dyDescent="0.2">
      <c r="A5659" s="859">
        <f t="shared" si="88"/>
        <v>5658</v>
      </c>
      <c r="B5659" s="845" t="s">
        <v>2558</v>
      </c>
      <c r="D5659" s="862"/>
      <c r="I5659" s="845" t="s">
        <v>1009</v>
      </c>
    </row>
    <row r="5660" spans="1:10" x14ac:dyDescent="0.2">
      <c r="A5660" s="859">
        <f t="shared" si="88"/>
        <v>5659</v>
      </c>
      <c r="B5660" s="845" t="s">
        <v>2558</v>
      </c>
      <c r="D5660" s="862"/>
      <c r="I5660" s="845" t="str">
        <f>CONCATENATE("&lt;valeur&gt;",Cellule_1990,"&lt;/valeur&gt;")</f>
        <v>&lt;valeur&gt;0&lt;/valeur&gt;</v>
      </c>
    </row>
    <row r="5661" spans="1:10" x14ac:dyDescent="0.2">
      <c r="A5661" s="859">
        <f t="shared" si="88"/>
        <v>5660</v>
      </c>
      <c r="B5661" s="845" t="s">
        <v>2558</v>
      </c>
      <c r="D5661" s="861"/>
      <c r="H5661" s="845" t="s">
        <v>1010</v>
      </c>
    </row>
    <row r="5662" spans="1:10" x14ac:dyDescent="0.2">
      <c r="A5662" s="859">
        <f t="shared" si="88"/>
        <v>5661</v>
      </c>
      <c r="B5662" s="845" t="s">
        <v>2558</v>
      </c>
      <c r="D5662" s="861"/>
      <c r="H5662" s="845" t="s">
        <v>1007</v>
      </c>
    </row>
    <row r="5663" spans="1:10" x14ac:dyDescent="0.2">
      <c r="A5663" s="859">
        <f t="shared" si="88"/>
        <v>5662</v>
      </c>
      <c r="B5663" s="845" t="s">
        <v>2558</v>
      </c>
      <c r="D5663" s="862"/>
      <c r="I5663" s="845" t="s">
        <v>1008</v>
      </c>
    </row>
    <row r="5664" spans="1:10" x14ac:dyDescent="0.2">
      <c r="A5664" s="859">
        <f t="shared" si="88"/>
        <v>5663</v>
      </c>
      <c r="B5664" s="845" t="s">
        <v>2558</v>
      </c>
      <c r="D5664" s="863"/>
      <c r="J5664" s="845" t="s">
        <v>1918</v>
      </c>
    </row>
    <row r="5665" spans="1:10" x14ac:dyDescent="0.2">
      <c r="A5665" s="859">
        <f t="shared" si="88"/>
        <v>5664</v>
      </c>
      <c r="B5665" s="845" t="s">
        <v>2558</v>
      </c>
      <c r="D5665" s="862"/>
      <c r="I5665" s="845" t="s">
        <v>1009</v>
      </c>
    </row>
    <row r="5666" spans="1:10" x14ac:dyDescent="0.2">
      <c r="A5666" s="859">
        <f t="shared" si="88"/>
        <v>5665</v>
      </c>
      <c r="B5666" s="845" t="s">
        <v>2558</v>
      </c>
      <c r="D5666" s="862"/>
      <c r="I5666" s="845" t="str">
        <f>CONCATENATE("&lt;valeur&gt;",Cellule_1991,"&lt;/valeur&gt;")</f>
        <v>&lt;valeur&gt;0&lt;/valeur&gt;</v>
      </c>
    </row>
    <row r="5667" spans="1:10" x14ac:dyDescent="0.2">
      <c r="A5667" s="859">
        <f t="shared" si="88"/>
        <v>5666</v>
      </c>
      <c r="B5667" s="845" t="s">
        <v>2558</v>
      </c>
      <c r="D5667" s="861"/>
      <c r="H5667" s="845" t="s">
        <v>1010</v>
      </c>
    </row>
    <row r="5668" spans="1:10" x14ac:dyDescent="0.2">
      <c r="A5668" s="859">
        <f t="shared" si="88"/>
        <v>5667</v>
      </c>
      <c r="B5668" s="845" t="s">
        <v>2558</v>
      </c>
      <c r="D5668" s="861"/>
      <c r="H5668" s="845" t="s">
        <v>1007</v>
      </c>
    </row>
    <row r="5669" spans="1:10" x14ac:dyDescent="0.2">
      <c r="A5669" s="859">
        <f t="shared" si="88"/>
        <v>5668</v>
      </c>
      <c r="B5669" s="845" t="s">
        <v>2558</v>
      </c>
      <c r="D5669" s="862"/>
      <c r="I5669" s="845" t="s">
        <v>1008</v>
      </c>
    </row>
    <row r="5670" spans="1:10" x14ac:dyDescent="0.2">
      <c r="A5670" s="859">
        <f t="shared" si="88"/>
        <v>5669</v>
      </c>
      <c r="B5670" s="845" t="s">
        <v>2558</v>
      </c>
      <c r="D5670" s="863"/>
      <c r="J5670" s="845" t="s">
        <v>1919</v>
      </c>
    </row>
    <row r="5671" spans="1:10" x14ac:dyDescent="0.2">
      <c r="A5671" s="859">
        <f t="shared" si="88"/>
        <v>5670</v>
      </c>
      <c r="B5671" s="845" t="s">
        <v>2558</v>
      </c>
      <c r="D5671" s="862"/>
      <c r="I5671" s="845" t="s">
        <v>1009</v>
      </c>
    </row>
    <row r="5672" spans="1:10" x14ac:dyDescent="0.2">
      <c r="A5672" s="859">
        <f t="shared" si="88"/>
        <v>5671</v>
      </c>
      <c r="B5672" s="845" t="s">
        <v>2558</v>
      </c>
      <c r="D5672" s="862"/>
      <c r="I5672" s="845" t="str">
        <f>CONCATENATE("&lt;valeur&gt;",Cellule_1992,"&lt;/valeur&gt;")</f>
        <v>&lt;valeur&gt;0&lt;/valeur&gt;</v>
      </c>
    </row>
    <row r="5673" spans="1:10" x14ac:dyDescent="0.2">
      <c r="A5673" s="859">
        <f t="shared" si="88"/>
        <v>5672</v>
      </c>
      <c r="B5673" s="845" t="s">
        <v>2558</v>
      </c>
      <c r="D5673" s="861"/>
      <c r="H5673" s="845" t="s">
        <v>1010</v>
      </c>
    </row>
    <row r="5674" spans="1:10" x14ac:dyDescent="0.2">
      <c r="A5674" s="859">
        <f t="shared" si="88"/>
        <v>5673</v>
      </c>
      <c r="B5674" s="845" t="s">
        <v>2558</v>
      </c>
      <c r="D5674" s="861"/>
      <c r="H5674" s="845" t="s">
        <v>1007</v>
      </c>
    </row>
    <row r="5675" spans="1:10" x14ac:dyDescent="0.2">
      <c r="A5675" s="859">
        <f t="shared" si="88"/>
        <v>5674</v>
      </c>
      <c r="B5675" s="845" t="s">
        <v>2558</v>
      </c>
      <c r="D5675" s="862"/>
      <c r="I5675" s="845" t="s">
        <v>1008</v>
      </c>
    </row>
    <row r="5676" spans="1:10" x14ac:dyDescent="0.2">
      <c r="A5676" s="859">
        <f t="shared" si="88"/>
        <v>5675</v>
      </c>
      <c r="B5676" s="845" t="s">
        <v>2558</v>
      </c>
      <c r="D5676" s="863"/>
      <c r="J5676" s="845" t="s">
        <v>1920</v>
      </c>
    </row>
    <row r="5677" spans="1:10" x14ac:dyDescent="0.2">
      <c r="A5677" s="859">
        <f t="shared" si="88"/>
        <v>5676</v>
      </c>
      <c r="B5677" s="845" t="s">
        <v>2558</v>
      </c>
      <c r="D5677" s="862"/>
      <c r="I5677" s="845" t="s">
        <v>1009</v>
      </c>
    </row>
    <row r="5678" spans="1:10" x14ac:dyDescent="0.2">
      <c r="A5678" s="859">
        <f t="shared" si="88"/>
        <v>5677</v>
      </c>
      <c r="B5678" s="845" t="s">
        <v>2558</v>
      </c>
      <c r="D5678" s="862"/>
      <c r="I5678" s="845" t="str">
        <f>CONCATENATE("&lt;valeur&gt;",Cellule_1993,"&lt;/valeur&gt;")</f>
        <v>&lt;valeur&gt;0&lt;/valeur&gt;</v>
      </c>
    </row>
    <row r="5679" spans="1:10" x14ac:dyDescent="0.2">
      <c r="A5679" s="859">
        <f t="shared" si="88"/>
        <v>5678</v>
      </c>
      <c r="B5679" s="845" t="s">
        <v>2558</v>
      </c>
      <c r="D5679" s="861"/>
      <c r="H5679" s="845" t="s">
        <v>1010</v>
      </c>
    </row>
    <row r="5680" spans="1:10" x14ac:dyDescent="0.2">
      <c r="A5680" s="859">
        <f t="shared" si="88"/>
        <v>5679</v>
      </c>
      <c r="B5680" s="845" t="s">
        <v>2558</v>
      </c>
      <c r="D5680" s="861"/>
      <c r="H5680" s="845" t="s">
        <v>1007</v>
      </c>
    </row>
    <row r="5681" spans="1:10" x14ac:dyDescent="0.2">
      <c r="A5681" s="859">
        <f t="shared" si="88"/>
        <v>5680</v>
      </c>
      <c r="B5681" s="845" t="s">
        <v>2558</v>
      </c>
      <c r="D5681" s="862"/>
      <c r="I5681" s="845" t="s">
        <v>1008</v>
      </c>
    </row>
    <row r="5682" spans="1:10" x14ac:dyDescent="0.2">
      <c r="A5682" s="859">
        <f t="shared" si="88"/>
        <v>5681</v>
      </c>
      <c r="B5682" s="845" t="s">
        <v>2558</v>
      </c>
      <c r="D5682" s="863"/>
      <c r="J5682" s="845" t="s">
        <v>1921</v>
      </c>
    </row>
    <row r="5683" spans="1:10" x14ac:dyDescent="0.2">
      <c r="A5683" s="859">
        <f t="shared" si="88"/>
        <v>5682</v>
      </c>
      <c r="B5683" s="845" t="s">
        <v>2558</v>
      </c>
      <c r="D5683" s="862"/>
      <c r="I5683" s="845" t="s">
        <v>1009</v>
      </c>
    </row>
    <row r="5684" spans="1:10" x14ac:dyDescent="0.2">
      <c r="A5684" s="859">
        <f t="shared" si="88"/>
        <v>5683</v>
      </c>
      <c r="B5684" s="845" t="s">
        <v>2558</v>
      </c>
      <c r="D5684" s="862"/>
      <c r="I5684" s="845" t="str">
        <f>CONCATENATE("&lt;valeur&gt;",Cellule_1994,"&lt;/valeur&gt;")</f>
        <v>&lt;valeur&gt;&lt;/valeur&gt;</v>
      </c>
    </row>
    <row r="5685" spans="1:10" x14ac:dyDescent="0.2">
      <c r="A5685" s="859">
        <f t="shared" si="88"/>
        <v>5684</v>
      </c>
      <c r="B5685" s="845" t="s">
        <v>2558</v>
      </c>
      <c r="D5685" s="861"/>
      <c r="H5685" s="845" t="s">
        <v>1010</v>
      </c>
    </row>
    <row r="5686" spans="1:10" x14ac:dyDescent="0.2">
      <c r="A5686" s="859">
        <f t="shared" si="88"/>
        <v>5685</v>
      </c>
      <c r="B5686" s="845" t="s">
        <v>2558</v>
      </c>
      <c r="D5686" s="861"/>
      <c r="H5686" s="845" t="s">
        <v>1007</v>
      </c>
    </row>
    <row r="5687" spans="1:10" x14ac:dyDescent="0.2">
      <c r="A5687" s="859">
        <f t="shared" si="88"/>
        <v>5686</v>
      </c>
      <c r="B5687" s="845" t="s">
        <v>2558</v>
      </c>
      <c r="D5687" s="862"/>
      <c r="I5687" s="845" t="s">
        <v>1008</v>
      </c>
    </row>
    <row r="5688" spans="1:10" x14ac:dyDescent="0.2">
      <c r="A5688" s="859">
        <f t="shared" si="88"/>
        <v>5687</v>
      </c>
      <c r="B5688" s="845" t="s">
        <v>2558</v>
      </c>
      <c r="D5688" s="863"/>
      <c r="J5688" s="845" t="s">
        <v>1922</v>
      </c>
    </row>
    <row r="5689" spans="1:10" x14ac:dyDescent="0.2">
      <c r="A5689" s="859">
        <f t="shared" si="88"/>
        <v>5688</v>
      </c>
      <c r="B5689" s="845" t="s">
        <v>2558</v>
      </c>
      <c r="D5689" s="862"/>
      <c r="I5689" s="845" t="s">
        <v>1009</v>
      </c>
    </row>
    <row r="5690" spans="1:10" x14ac:dyDescent="0.2">
      <c r="A5690" s="859">
        <f t="shared" si="88"/>
        <v>5689</v>
      </c>
      <c r="B5690" s="845" t="s">
        <v>2558</v>
      </c>
      <c r="D5690" s="862"/>
      <c r="I5690" s="845" t="str">
        <f>CONCATENATE("&lt;valeur&gt;",Cellule_1995,"&lt;/valeur&gt;")</f>
        <v>&lt;valeur&gt;0&lt;/valeur&gt;</v>
      </c>
    </row>
    <row r="5691" spans="1:10" x14ac:dyDescent="0.2">
      <c r="A5691" s="859">
        <f t="shared" si="88"/>
        <v>5690</v>
      </c>
      <c r="B5691" s="845" t="s">
        <v>2558</v>
      </c>
      <c r="D5691" s="861"/>
      <c r="H5691" s="845" t="s">
        <v>1010</v>
      </c>
    </row>
    <row r="5692" spans="1:10" x14ac:dyDescent="0.2">
      <c r="A5692" s="859">
        <f t="shared" si="88"/>
        <v>5691</v>
      </c>
      <c r="B5692" s="845" t="s">
        <v>2558</v>
      </c>
      <c r="D5692" s="861"/>
      <c r="H5692" s="845" t="s">
        <v>1007</v>
      </c>
    </row>
    <row r="5693" spans="1:10" x14ac:dyDescent="0.2">
      <c r="A5693" s="859">
        <f t="shared" si="88"/>
        <v>5692</v>
      </c>
      <c r="B5693" s="845" t="s">
        <v>2558</v>
      </c>
      <c r="D5693" s="862"/>
      <c r="I5693" s="845" t="s">
        <v>1008</v>
      </c>
    </row>
    <row r="5694" spans="1:10" x14ac:dyDescent="0.2">
      <c r="A5694" s="859">
        <f t="shared" si="88"/>
        <v>5693</v>
      </c>
      <c r="B5694" s="845" t="s">
        <v>2558</v>
      </c>
      <c r="D5694" s="863"/>
      <c r="J5694" s="845" t="s">
        <v>1923</v>
      </c>
    </row>
    <row r="5695" spans="1:10" x14ac:dyDescent="0.2">
      <c r="A5695" s="859">
        <f t="shared" si="88"/>
        <v>5694</v>
      </c>
      <c r="B5695" s="845" t="s">
        <v>2558</v>
      </c>
      <c r="D5695" s="862"/>
      <c r="I5695" s="845" t="s">
        <v>1009</v>
      </c>
    </row>
    <row r="5696" spans="1:10" x14ac:dyDescent="0.2">
      <c r="A5696" s="859">
        <f t="shared" si="88"/>
        <v>5695</v>
      </c>
      <c r="B5696" s="845" t="s">
        <v>2558</v>
      </c>
      <c r="D5696" s="862"/>
      <c r="I5696" s="845" t="str">
        <f>CONCATENATE("&lt;valeur&gt;",Cellule_1996,"&lt;/valeur&gt;")</f>
        <v>&lt;valeur&gt;0&lt;/valeur&gt;</v>
      </c>
    </row>
    <row r="5697" spans="1:10" x14ac:dyDescent="0.2">
      <c r="A5697" s="859">
        <f t="shared" si="88"/>
        <v>5696</v>
      </c>
      <c r="B5697" s="845" t="s">
        <v>2558</v>
      </c>
      <c r="D5697" s="861"/>
      <c r="H5697" s="845" t="s">
        <v>1010</v>
      </c>
    </row>
    <row r="5698" spans="1:10" x14ac:dyDescent="0.2">
      <c r="A5698" s="859">
        <f t="shared" si="88"/>
        <v>5697</v>
      </c>
      <c r="B5698" s="845" t="s">
        <v>2558</v>
      </c>
      <c r="D5698" s="861"/>
      <c r="H5698" s="845" t="s">
        <v>1007</v>
      </c>
    </row>
    <row r="5699" spans="1:10" x14ac:dyDescent="0.2">
      <c r="A5699" s="859">
        <f t="shared" si="88"/>
        <v>5698</v>
      </c>
      <c r="B5699" s="845" t="s">
        <v>2558</v>
      </c>
      <c r="D5699" s="862"/>
      <c r="I5699" s="845" t="s">
        <v>1008</v>
      </c>
    </row>
    <row r="5700" spans="1:10" x14ac:dyDescent="0.2">
      <c r="A5700" s="859">
        <f t="shared" ref="A5700:A5763" si="89">+A5699+1</f>
        <v>5699</v>
      </c>
      <c r="B5700" s="845" t="s">
        <v>2558</v>
      </c>
      <c r="D5700" s="863"/>
      <c r="J5700" s="845" t="s">
        <v>1924</v>
      </c>
    </row>
    <row r="5701" spans="1:10" x14ac:dyDescent="0.2">
      <c r="A5701" s="859">
        <f t="shared" si="89"/>
        <v>5700</v>
      </c>
      <c r="B5701" s="845" t="s">
        <v>2558</v>
      </c>
      <c r="D5701" s="862"/>
      <c r="I5701" s="845" t="s">
        <v>1009</v>
      </c>
    </row>
    <row r="5702" spans="1:10" x14ac:dyDescent="0.2">
      <c r="A5702" s="859">
        <f t="shared" si="89"/>
        <v>5701</v>
      </c>
      <c r="B5702" s="845" t="s">
        <v>2558</v>
      </c>
      <c r="D5702" s="862"/>
      <c r="I5702" s="845" t="str">
        <f>CONCATENATE("&lt;valeur&gt;",Cellule_1997,"&lt;/valeur&gt;")</f>
        <v>&lt;valeur&gt;0&lt;/valeur&gt;</v>
      </c>
    </row>
    <row r="5703" spans="1:10" x14ac:dyDescent="0.2">
      <c r="A5703" s="859">
        <f t="shared" si="89"/>
        <v>5702</v>
      </c>
      <c r="B5703" s="845" t="s">
        <v>2558</v>
      </c>
      <c r="D5703" s="861"/>
      <c r="H5703" s="845" t="s">
        <v>1010</v>
      </c>
    </row>
    <row r="5704" spans="1:10" x14ac:dyDescent="0.2">
      <c r="A5704" s="859">
        <f t="shared" si="89"/>
        <v>5703</v>
      </c>
      <c r="B5704" s="845" t="s">
        <v>2558</v>
      </c>
      <c r="D5704" s="861"/>
      <c r="H5704" s="845" t="s">
        <v>1007</v>
      </c>
    </row>
    <row r="5705" spans="1:10" x14ac:dyDescent="0.2">
      <c r="A5705" s="859">
        <f t="shared" si="89"/>
        <v>5704</v>
      </c>
      <c r="B5705" s="845" t="s">
        <v>2558</v>
      </c>
      <c r="D5705" s="862"/>
      <c r="I5705" s="845" t="s">
        <v>1008</v>
      </c>
    </row>
    <row r="5706" spans="1:10" x14ac:dyDescent="0.2">
      <c r="A5706" s="859">
        <f t="shared" si="89"/>
        <v>5705</v>
      </c>
      <c r="B5706" s="845" t="s">
        <v>2558</v>
      </c>
      <c r="D5706" s="863"/>
      <c r="J5706" s="845" t="s">
        <v>1925</v>
      </c>
    </row>
    <row r="5707" spans="1:10" x14ac:dyDescent="0.2">
      <c r="A5707" s="859">
        <f t="shared" si="89"/>
        <v>5706</v>
      </c>
      <c r="B5707" s="845" t="s">
        <v>2558</v>
      </c>
      <c r="D5707" s="862"/>
      <c r="I5707" s="845" t="s">
        <v>1009</v>
      </c>
    </row>
    <row r="5708" spans="1:10" x14ac:dyDescent="0.2">
      <c r="A5708" s="859">
        <f t="shared" si="89"/>
        <v>5707</v>
      </c>
      <c r="B5708" s="845" t="s">
        <v>2558</v>
      </c>
      <c r="D5708" s="862"/>
      <c r="I5708" s="845" t="str">
        <f>CONCATENATE("&lt;valeur&gt;",Cellule_1998,"&lt;/valeur&gt;")</f>
        <v>&lt;valeur&gt;0&lt;/valeur&gt;</v>
      </c>
    </row>
    <row r="5709" spans="1:10" x14ac:dyDescent="0.2">
      <c r="A5709" s="859">
        <f t="shared" si="89"/>
        <v>5708</v>
      </c>
      <c r="B5709" s="845" t="s">
        <v>2558</v>
      </c>
      <c r="D5709" s="861"/>
      <c r="H5709" s="845" t="s">
        <v>1010</v>
      </c>
    </row>
    <row r="5710" spans="1:10" x14ac:dyDescent="0.2">
      <c r="A5710" s="859">
        <f t="shared" si="89"/>
        <v>5709</v>
      </c>
      <c r="B5710" s="845" t="s">
        <v>2558</v>
      </c>
      <c r="D5710" s="861"/>
      <c r="H5710" s="845" t="s">
        <v>1007</v>
      </c>
    </row>
    <row r="5711" spans="1:10" x14ac:dyDescent="0.2">
      <c r="A5711" s="859">
        <f t="shared" si="89"/>
        <v>5710</v>
      </c>
      <c r="B5711" s="845" t="s">
        <v>2558</v>
      </c>
      <c r="D5711" s="862"/>
      <c r="I5711" s="845" t="s">
        <v>1008</v>
      </c>
    </row>
    <row r="5712" spans="1:10" x14ac:dyDescent="0.2">
      <c r="A5712" s="859">
        <f t="shared" si="89"/>
        <v>5711</v>
      </c>
      <c r="B5712" s="845" t="s">
        <v>2558</v>
      </c>
      <c r="D5712" s="863"/>
      <c r="J5712" s="845" t="s">
        <v>1926</v>
      </c>
    </row>
    <row r="5713" spans="1:10" x14ac:dyDescent="0.2">
      <c r="A5713" s="859">
        <f t="shared" si="89"/>
        <v>5712</v>
      </c>
      <c r="B5713" s="845" t="s">
        <v>2558</v>
      </c>
      <c r="D5713" s="862"/>
      <c r="I5713" s="845" t="s">
        <v>1009</v>
      </c>
    </row>
    <row r="5714" spans="1:10" x14ac:dyDescent="0.2">
      <c r="A5714" s="859">
        <f t="shared" si="89"/>
        <v>5713</v>
      </c>
      <c r="B5714" s="845" t="s">
        <v>2558</v>
      </c>
      <c r="D5714" s="862"/>
      <c r="I5714" s="845" t="str">
        <f>CONCATENATE("&lt;valeur&gt;",Cellule_1999,"&lt;/valeur&gt;")</f>
        <v>&lt;valeur&gt;0&lt;/valeur&gt;</v>
      </c>
    </row>
    <row r="5715" spans="1:10" x14ac:dyDescent="0.2">
      <c r="A5715" s="859">
        <f t="shared" si="89"/>
        <v>5714</v>
      </c>
      <c r="B5715" s="845" t="s">
        <v>2558</v>
      </c>
      <c r="D5715" s="861"/>
      <c r="H5715" s="845" t="s">
        <v>1010</v>
      </c>
    </row>
    <row r="5716" spans="1:10" x14ac:dyDescent="0.2">
      <c r="A5716" s="859">
        <f t="shared" si="89"/>
        <v>5715</v>
      </c>
      <c r="B5716" s="845" t="s">
        <v>2558</v>
      </c>
      <c r="D5716" s="861"/>
      <c r="H5716" s="845" t="s">
        <v>1007</v>
      </c>
    </row>
    <row r="5717" spans="1:10" x14ac:dyDescent="0.2">
      <c r="A5717" s="859">
        <f t="shared" si="89"/>
        <v>5716</v>
      </c>
      <c r="B5717" s="845" t="s">
        <v>2558</v>
      </c>
      <c r="D5717" s="862"/>
      <c r="I5717" s="845" t="s">
        <v>1008</v>
      </c>
    </row>
    <row r="5718" spans="1:10" x14ac:dyDescent="0.2">
      <c r="A5718" s="859">
        <f t="shared" si="89"/>
        <v>5717</v>
      </c>
      <c r="B5718" s="845" t="s">
        <v>2558</v>
      </c>
      <c r="D5718" s="863"/>
      <c r="J5718" s="845" t="s">
        <v>1927</v>
      </c>
    </row>
    <row r="5719" spans="1:10" x14ac:dyDescent="0.2">
      <c r="A5719" s="859">
        <f t="shared" si="89"/>
        <v>5718</v>
      </c>
      <c r="B5719" s="845" t="s">
        <v>2558</v>
      </c>
      <c r="D5719" s="862"/>
      <c r="I5719" s="845" t="s">
        <v>1009</v>
      </c>
    </row>
    <row r="5720" spans="1:10" x14ac:dyDescent="0.2">
      <c r="A5720" s="859">
        <f t="shared" si="89"/>
        <v>5719</v>
      </c>
      <c r="B5720" s="845" t="s">
        <v>2558</v>
      </c>
      <c r="D5720" s="862"/>
      <c r="I5720" s="845" t="str">
        <f>CONCATENATE("&lt;valeur&gt;",Cellule_2000,"&lt;/valeur&gt;")</f>
        <v>&lt;valeur&gt;0&lt;/valeur&gt;</v>
      </c>
    </row>
    <row r="5721" spans="1:10" x14ac:dyDescent="0.2">
      <c r="A5721" s="859">
        <f t="shared" si="89"/>
        <v>5720</v>
      </c>
      <c r="B5721" s="845" t="s">
        <v>2558</v>
      </c>
      <c r="D5721" s="861"/>
      <c r="H5721" s="845" t="s">
        <v>1010</v>
      </c>
    </row>
    <row r="5722" spans="1:10" x14ac:dyDescent="0.2">
      <c r="A5722" s="859">
        <f t="shared" si="89"/>
        <v>5721</v>
      </c>
      <c r="B5722" s="845" t="s">
        <v>2558</v>
      </c>
      <c r="D5722" s="861"/>
      <c r="H5722" s="845" t="s">
        <v>1007</v>
      </c>
    </row>
    <row r="5723" spans="1:10" x14ac:dyDescent="0.2">
      <c r="A5723" s="859">
        <f t="shared" si="89"/>
        <v>5722</v>
      </c>
      <c r="B5723" s="845" t="s">
        <v>2558</v>
      </c>
      <c r="D5723" s="862"/>
      <c r="I5723" s="845" t="s">
        <v>1008</v>
      </c>
    </row>
    <row r="5724" spans="1:10" x14ac:dyDescent="0.2">
      <c r="A5724" s="859">
        <f t="shared" si="89"/>
        <v>5723</v>
      </c>
      <c r="B5724" s="845" t="s">
        <v>2558</v>
      </c>
      <c r="D5724" s="863"/>
      <c r="J5724" s="845" t="s">
        <v>1928</v>
      </c>
    </row>
    <row r="5725" spans="1:10" x14ac:dyDescent="0.2">
      <c r="A5725" s="859">
        <f t="shared" si="89"/>
        <v>5724</v>
      </c>
      <c r="B5725" s="845" t="s">
        <v>2558</v>
      </c>
      <c r="D5725" s="862"/>
      <c r="I5725" s="845" t="s">
        <v>1009</v>
      </c>
    </row>
    <row r="5726" spans="1:10" x14ac:dyDescent="0.2">
      <c r="A5726" s="859">
        <f t="shared" si="89"/>
        <v>5725</v>
      </c>
      <c r="B5726" s="845" t="s">
        <v>2558</v>
      </c>
      <c r="D5726" s="862"/>
      <c r="I5726" s="845" t="str">
        <f>CONCATENATE("&lt;valeur&gt;",Cellule_2001,"&lt;/valeur&gt;")</f>
        <v>&lt;valeur&gt;0&lt;/valeur&gt;</v>
      </c>
    </row>
    <row r="5727" spans="1:10" x14ac:dyDescent="0.2">
      <c r="A5727" s="859">
        <f t="shared" si="89"/>
        <v>5726</v>
      </c>
      <c r="B5727" s="845" t="s">
        <v>2558</v>
      </c>
      <c r="D5727" s="861"/>
      <c r="H5727" s="845" t="s">
        <v>1010</v>
      </c>
    </row>
    <row r="5728" spans="1:10" x14ac:dyDescent="0.2">
      <c r="A5728" s="859">
        <f t="shared" si="89"/>
        <v>5727</v>
      </c>
      <c r="B5728" s="845" t="s">
        <v>2558</v>
      </c>
      <c r="D5728" s="861"/>
      <c r="H5728" s="845" t="s">
        <v>1007</v>
      </c>
    </row>
    <row r="5729" spans="1:10" x14ac:dyDescent="0.2">
      <c r="A5729" s="859">
        <f t="shared" si="89"/>
        <v>5728</v>
      </c>
      <c r="B5729" s="845" t="s">
        <v>2558</v>
      </c>
      <c r="D5729" s="862"/>
      <c r="I5729" s="845" t="s">
        <v>1008</v>
      </c>
    </row>
    <row r="5730" spans="1:10" x14ac:dyDescent="0.2">
      <c r="A5730" s="859">
        <f t="shared" si="89"/>
        <v>5729</v>
      </c>
      <c r="B5730" s="845" t="s">
        <v>2558</v>
      </c>
      <c r="D5730" s="863"/>
      <c r="J5730" s="845" t="s">
        <v>1929</v>
      </c>
    </row>
    <row r="5731" spans="1:10" x14ac:dyDescent="0.2">
      <c r="A5731" s="859">
        <f t="shared" si="89"/>
        <v>5730</v>
      </c>
      <c r="B5731" s="845" t="s">
        <v>2558</v>
      </c>
      <c r="D5731" s="862"/>
      <c r="I5731" s="845" t="s">
        <v>1009</v>
      </c>
    </row>
    <row r="5732" spans="1:10" x14ac:dyDescent="0.2">
      <c r="A5732" s="859">
        <f t="shared" si="89"/>
        <v>5731</v>
      </c>
      <c r="B5732" s="845" t="s">
        <v>2558</v>
      </c>
      <c r="D5732" s="862"/>
      <c r="I5732" s="845" t="str">
        <f>CONCATENATE("&lt;valeur&gt;",Cellule_2002,"&lt;/valeur&gt;")</f>
        <v>&lt;valeur&gt;&lt;/valeur&gt;</v>
      </c>
    </row>
    <row r="5733" spans="1:10" x14ac:dyDescent="0.2">
      <c r="A5733" s="859">
        <f t="shared" si="89"/>
        <v>5732</v>
      </c>
      <c r="B5733" s="845" t="s">
        <v>2558</v>
      </c>
      <c r="D5733" s="861"/>
      <c r="H5733" s="845" t="s">
        <v>1010</v>
      </c>
    </row>
    <row r="5734" spans="1:10" x14ac:dyDescent="0.2">
      <c r="A5734" s="859">
        <f t="shared" si="89"/>
        <v>5733</v>
      </c>
      <c r="B5734" s="845" t="s">
        <v>2558</v>
      </c>
      <c r="D5734" s="861"/>
      <c r="H5734" s="845" t="s">
        <v>1007</v>
      </c>
    </row>
    <row r="5735" spans="1:10" x14ac:dyDescent="0.2">
      <c r="A5735" s="859">
        <f t="shared" si="89"/>
        <v>5734</v>
      </c>
      <c r="B5735" s="845" t="s">
        <v>2558</v>
      </c>
      <c r="D5735" s="862"/>
      <c r="I5735" s="845" t="s">
        <v>1008</v>
      </c>
    </row>
    <row r="5736" spans="1:10" x14ac:dyDescent="0.2">
      <c r="A5736" s="859">
        <f t="shared" si="89"/>
        <v>5735</v>
      </c>
      <c r="B5736" s="845" t="s">
        <v>2558</v>
      </c>
      <c r="D5736" s="863"/>
      <c r="J5736" s="845" t="s">
        <v>1930</v>
      </c>
    </row>
    <row r="5737" spans="1:10" x14ac:dyDescent="0.2">
      <c r="A5737" s="859">
        <f t="shared" si="89"/>
        <v>5736</v>
      </c>
      <c r="B5737" s="845" t="s">
        <v>2558</v>
      </c>
      <c r="D5737" s="862"/>
      <c r="I5737" s="845" t="s">
        <v>1009</v>
      </c>
    </row>
    <row r="5738" spans="1:10" x14ac:dyDescent="0.2">
      <c r="A5738" s="859">
        <f t="shared" si="89"/>
        <v>5737</v>
      </c>
      <c r="B5738" s="845" t="s">
        <v>2558</v>
      </c>
      <c r="D5738" s="862"/>
      <c r="I5738" s="845" t="str">
        <f>CONCATENATE("&lt;valeur&gt;",Cellule_2003,"&lt;/valeur&gt;")</f>
        <v>&lt;valeur&gt;0&lt;/valeur&gt;</v>
      </c>
    </row>
    <row r="5739" spans="1:10" x14ac:dyDescent="0.2">
      <c r="A5739" s="859">
        <f t="shared" si="89"/>
        <v>5738</v>
      </c>
      <c r="B5739" s="845" t="s">
        <v>2558</v>
      </c>
      <c r="D5739" s="861"/>
      <c r="H5739" s="845" t="s">
        <v>1010</v>
      </c>
    </row>
    <row r="5740" spans="1:10" x14ac:dyDescent="0.2">
      <c r="A5740" s="859">
        <f t="shared" si="89"/>
        <v>5739</v>
      </c>
      <c r="B5740" s="845" t="s">
        <v>2558</v>
      </c>
      <c r="D5740" s="861"/>
      <c r="H5740" s="845" t="s">
        <v>1007</v>
      </c>
    </row>
    <row r="5741" spans="1:10" x14ac:dyDescent="0.2">
      <c r="A5741" s="859">
        <f t="shared" si="89"/>
        <v>5740</v>
      </c>
      <c r="B5741" s="845" t="s">
        <v>2558</v>
      </c>
      <c r="D5741" s="862"/>
      <c r="I5741" s="845" t="s">
        <v>1008</v>
      </c>
    </row>
    <row r="5742" spans="1:10" x14ac:dyDescent="0.2">
      <c r="A5742" s="859">
        <f t="shared" si="89"/>
        <v>5741</v>
      </c>
      <c r="B5742" s="845" t="s">
        <v>2558</v>
      </c>
      <c r="D5742" s="863"/>
      <c r="J5742" s="845" t="s">
        <v>1931</v>
      </c>
    </row>
    <row r="5743" spans="1:10" x14ac:dyDescent="0.2">
      <c r="A5743" s="859">
        <f t="shared" si="89"/>
        <v>5742</v>
      </c>
      <c r="B5743" s="845" t="s">
        <v>2558</v>
      </c>
      <c r="D5743" s="862"/>
      <c r="I5743" s="845" t="s">
        <v>1009</v>
      </c>
    </row>
    <row r="5744" spans="1:10" x14ac:dyDescent="0.2">
      <c r="A5744" s="859">
        <f t="shared" si="89"/>
        <v>5743</v>
      </c>
      <c r="B5744" s="845" t="s">
        <v>2558</v>
      </c>
      <c r="D5744" s="862"/>
      <c r="I5744" s="845" t="str">
        <f>CONCATENATE("&lt;valeur&gt;",Cellule_2004,"&lt;/valeur&gt;")</f>
        <v>&lt;valeur&gt;0&lt;/valeur&gt;</v>
      </c>
    </row>
    <row r="5745" spans="1:10" x14ac:dyDescent="0.2">
      <c r="A5745" s="859">
        <f t="shared" si="89"/>
        <v>5744</v>
      </c>
      <c r="B5745" s="845" t="s">
        <v>2558</v>
      </c>
      <c r="D5745" s="861"/>
      <c r="H5745" s="845" t="s">
        <v>1010</v>
      </c>
    </row>
    <row r="5746" spans="1:10" x14ac:dyDescent="0.2">
      <c r="A5746" s="859">
        <f t="shared" si="89"/>
        <v>5745</v>
      </c>
      <c r="B5746" s="845" t="s">
        <v>2558</v>
      </c>
      <c r="D5746" s="861"/>
      <c r="H5746" s="845" t="s">
        <v>1007</v>
      </c>
    </row>
    <row r="5747" spans="1:10" x14ac:dyDescent="0.2">
      <c r="A5747" s="859">
        <f t="shared" si="89"/>
        <v>5746</v>
      </c>
      <c r="B5747" s="845" t="s">
        <v>2558</v>
      </c>
      <c r="D5747" s="862"/>
      <c r="I5747" s="845" t="s">
        <v>1008</v>
      </c>
    </row>
    <row r="5748" spans="1:10" x14ac:dyDescent="0.2">
      <c r="A5748" s="859">
        <f t="shared" si="89"/>
        <v>5747</v>
      </c>
      <c r="B5748" s="845" t="s">
        <v>2558</v>
      </c>
      <c r="D5748" s="863"/>
      <c r="J5748" s="845" t="s">
        <v>1932</v>
      </c>
    </row>
    <row r="5749" spans="1:10" x14ac:dyDescent="0.2">
      <c r="A5749" s="859">
        <f t="shared" si="89"/>
        <v>5748</v>
      </c>
      <c r="B5749" s="845" t="s">
        <v>2558</v>
      </c>
      <c r="D5749" s="862"/>
      <c r="I5749" s="845" t="s">
        <v>1009</v>
      </c>
    </row>
    <row r="5750" spans="1:10" x14ac:dyDescent="0.2">
      <c r="A5750" s="859">
        <f t="shared" si="89"/>
        <v>5749</v>
      </c>
      <c r="B5750" s="845" t="s">
        <v>2558</v>
      </c>
      <c r="D5750" s="862"/>
      <c r="I5750" s="845" t="str">
        <f>CONCATENATE("&lt;valeur&gt;",Cellule_2005,"&lt;/valeur&gt;")</f>
        <v>&lt;valeur&gt;0&lt;/valeur&gt;</v>
      </c>
    </row>
    <row r="5751" spans="1:10" x14ac:dyDescent="0.2">
      <c r="A5751" s="859">
        <f t="shared" si="89"/>
        <v>5750</v>
      </c>
      <c r="B5751" s="845" t="s">
        <v>2558</v>
      </c>
      <c r="D5751" s="861"/>
      <c r="H5751" s="845" t="s">
        <v>1010</v>
      </c>
    </row>
    <row r="5752" spans="1:10" x14ac:dyDescent="0.2">
      <c r="A5752" s="859">
        <f t="shared" si="89"/>
        <v>5751</v>
      </c>
      <c r="B5752" s="845" t="s">
        <v>2558</v>
      </c>
      <c r="D5752" s="861"/>
      <c r="H5752" s="845" t="s">
        <v>1007</v>
      </c>
    </row>
    <row r="5753" spans="1:10" x14ac:dyDescent="0.2">
      <c r="A5753" s="859">
        <f t="shared" si="89"/>
        <v>5752</v>
      </c>
      <c r="B5753" s="845" t="s">
        <v>2558</v>
      </c>
      <c r="D5753" s="862"/>
      <c r="I5753" s="845" t="s">
        <v>1008</v>
      </c>
    </row>
    <row r="5754" spans="1:10" x14ac:dyDescent="0.2">
      <c r="A5754" s="859">
        <f t="shared" si="89"/>
        <v>5753</v>
      </c>
      <c r="B5754" s="845" t="s">
        <v>2558</v>
      </c>
      <c r="D5754" s="863"/>
      <c r="J5754" s="845" t="s">
        <v>1933</v>
      </c>
    </row>
    <row r="5755" spans="1:10" x14ac:dyDescent="0.2">
      <c r="A5755" s="859">
        <f t="shared" si="89"/>
        <v>5754</v>
      </c>
      <c r="B5755" s="845" t="s">
        <v>2558</v>
      </c>
      <c r="D5755" s="862"/>
      <c r="I5755" s="845" t="s">
        <v>1009</v>
      </c>
    </row>
    <row r="5756" spans="1:10" x14ac:dyDescent="0.2">
      <c r="A5756" s="859">
        <f t="shared" si="89"/>
        <v>5755</v>
      </c>
      <c r="B5756" s="845" t="s">
        <v>2558</v>
      </c>
      <c r="D5756" s="862"/>
      <c r="I5756" s="845" t="str">
        <f>CONCATENATE("&lt;valeur&gt;",Cellule_2006,"&lt;/valeur&gt;")</f>
        <v>&lt;valeur&gt;0&lt;/valeur&gt;</v>
      </c>
    </row>
    <row r="5757" spans="1:10" x14ac:dyDescent="0.2">
      <c r="A5757" s="859">
        <f t="shared" si="89"/>
        <v>5756</v>
      </c>
      <c r="B5757" s="845" t="s">
        <v>2558</v>
      </c>
      <c r="D5757" s="861"/>
      <c r="H5757" s="845" t="s">
        <v>1010</v>
      </c>
    </row>
    <row r="5758" spans="1:10" x14ac:dyDescent="0.2">
      <c r="A5758" s="859">
        <f t="shared" si="89"/>
        <v>5757</v>
      </c>
      <c r="B5758" s="845" t="s">
        <v>2558</v>
      </c>
      <c r="D5758" s="861"/>
      <c r="H5758" s="845" t="s">
        <v>1007</v>
      </c>
    </row>
    <row r="5759" spans="1:10" x14ac:dyDescent="0.2">
      <c r="A5759" s="859">
        <f t="shared" si="89"/>
        <v>5758</v>
      </c>
      <c r="B5759" s="845" t="s">
        <v>2558</v>
      </c>
      <c r="D5759" s="862"/>
      <c r="I5759" s="845" t="s">
        <v>1008</v>
      </c>
    </row>
    <row r="5760" spans="1:10" x14ac:dyDescent="0.2">
      <c r="A5760" s="859">
        <f t="shared" si="89"/>
        <v>5759</v>
      </c>
      <c r="B5760" s="845" t="s">
        <v>2558</v>
      </c>
      <c r="D5760" s="863"/>
      <c r="J5760" s="845" t="s">
        <v>1934</v>
      </c>
    </row>
    <row r="5761" spans="1:10" x14ac:dyDescent="0.2">
      <c r="A5761" s="859">
        <f t="shared" si="89"/>
        <v>5760</v>
      </c>
      <c r="B5761" s="845" t="s">
        <v>2558</v>
      </c>
      <c r="D5761" s="862"/>
      <c r="I5761" s="845" t="s">
        <v>1009</v>
      </c>
    </row>
    <row r="5762" spans="1:10" x14ac:dyDescent="0.2">
      <c r="A5762" s="859">
        <f t="shared" si="89"/>
        <v>5761</v>
      </c>
      <c r="B5762" s="845" t="s">
        <v>2558</v>
      </c>
      <c r="D5762" s="862"/>
      <c r="I5762" s="845" t="str">
        <f>CONCATENATE("&lt;valeur&gt;",Cellule_2007,"&lt;/valeur&gt;")</f>
        <v>&lt;valeur&gt;&lt;/valeur&gt;</v>
      </c>
    </row>
    <row r="5763" spans="1:10" x14ac:dyDescent="0.2">
      <c r="A5763" s="859">
        <f t="shared" si="89"/>
        <v>5762</v>
      </c>
      <c r="B5763" s="845" t="s">
        <v>2558</v>
      </c>
      <c r="D5763" s="861"/>
      <c r="H5763" s="845" t="s">
        <v>1010</v>
      </c>
    </row>
    <row r="5764" spans="1:10" x14ac:dyDescent="0.2">
      <c r="A5764" s="859">
        <f t="shared" ref="A5764:A5827" si="90">+A5763+1</f>
        <v>5763</v>
      </c>
      <c r="B5764" s="845" t="s">
        <v>2558</v>
      </c>
      <c r="D5764" s="861"/>
      <c r="H5764" s="845" t="s">
        <v>1007</v>
      </c>
    </row>
    <row r="5765" spans="1:10" x14ac:dyDescent="0.2">
      <c r="A5765" s="859">
        <f t="shared" si="90"/>
        <v>5764</v>
      </c>
      <c r="B5765" s="845" t="s">
        <v>2558</v>
      </c>
      <c r="D5765" s="862"/>
      <c r="I5765" s="845" t="s">
        <v>1008</v>
      </c>
    </row>
    <row r="5766" spans="1:10" x14ac:dyDescent="0.2">
      <c r="A5766" s="859">
        <f t="shared" si="90"/>
        <v>5765</v>
      </c>
      <c r="B5766" s="845" t="s">
        <v>2558</v>
      </c>
      <c r="D5766" s="863"/>
      <c r="J5766" s="845" t="s">
        <v>1935</v>
      </c>
    </row>
    <row r="5767" spans="1:10" x14ac:dyDescent="0.2">
      <c r="A5767" s="859">
        <f t="shared" si="90"/>
        <v>5766</v>
      </c>
      <c r="B5767" s="845" t="s">
        <v>2558</v>
      </c>
      <c r="D5767" s="862"/>
      <c r="I5767" s="845" t="s">
        <v>1009</v>
      </c>
    </row>
    <row r="5768" spans="1:10" x14ac:dyDescent="0.2">
      <c r="A5768" s="859">
        <f t="shared" si="90"/>
        <v>5767</v>
      </c>
      <c r="B5768" s="845" t="s">
        <v>2558</v>
      </c>
      <c r="D5768" s="862"/>
      <c r="I5768" s="845" t="str">
        <f>CONCATENATE("&lt;valeur&gt;",Cellule_2008,"&lt;/valeur&gt;")</f>
        <v>&lt;valeur&gt;0&lt;/valeur&gt;</v>
      </c>
    </row>
    <row r="5769" spans="1:10" x14ac:dyDescent="0.2">
      <c r="A5769" s="859">
        <f t="shared" si="90"/>
        <v>5768</v>
      </c>
      <c r="B5769" s="845" t="s">
        <v>2558</v>
      </c>
      <c r="D5769" s="861"/>
      <c r="H5769" s="845" t="s">
        <v>1010</v>
      </c>
    </row>
    <row r="5770" spans="1:10" x14ac:dyDescent="0.2">
      <c r="A5770" s="859">
        <f t="shared" si="90"/>
        <v>5769</v>
      </c>
      <c r="B5770" s="845" t="s">
        <v>2558</v>
      </c>
      <c r="D5770" s="861"/>
      <c r="H5770" s="845" t="s">
        <v>1007</v>
      </c>
    </row>
    <row r="5771" spans="1:10" x14ac:dyDescent="0.2">
      <c r="A5771" s="859">
        <f t="shared" si="90"/>
        <v>5770</v>
      </c>
      <c r="B5771" s="845" t="s">
        <v>2558</v>
      </c>
      <c r="D5771" s="862"/>
      <c r="I5771" s="845" t="s">
        <v>1008</v>
      </c>
    </row>
    <row r="5772" spans="1:10" x14ac:dyDescent="0.2">
      <c r="A5772" s="859">
        <f t="shared" si="90"/>
        <v>5771</v>
      </c>
      <c r="B5772" s="845" t="s">
        <v>2558</v>
      </c>
      <c r="D5772" s="863"/>
      <c r="J5772" s="845" t="s">
        <v>1936</v>
      </c>
    </row>
    <row r="5773" spans="1:10" x14ac:dyDescent="0.2">
      <c r="A5773" s="859">
        <f t="shared" si="90"/>
        <v>5772</v>
      </c>
      <c r="B5773" s="845" t="s">
        <v>2558</v>
      </c>
      <c r="D5773" s="862"/>
      <c r="I5773" s="845" t="s">
        <v>1009</v>
      </c>
    </row>
    <row r="5774" spans="1:10" x14ac:dyDescent="0.2">
      <c r="A5774" s="859">
        <f t="shared" si="90"/>
        <v>5773</v>
      </c>
      <c r="B5774" s="845" t="s">
        <v>2558</v>
      </c>
      <c r="D5774" s="862"/>
      <c r="I5774" s="845" t="str">
        <f>CONCATENATE("&lt;valeur&gt;",Cellule_2009,"&lt;/valeur&gt;")</f>
        <v>&lt;valeur&gt;0&lt;/valeur&gt;</v>
      </c>
    </row>
    <row r="5775" spans="1:10" x14ac:dyDescent="0.2">
      <c r="A5775" s="859">
        <f t="shared" si="90"/>
        <v>5774</v>
      </c>
      <c r="B5775" s="845" t="s">
        <v>2558</v>
      </c>
      <c r="D5775" s="861"/>
      <c r="H5775" s="845" t="s">
        <v>1010</v>
      </c>
    </row>
    <row r="5776" spans="1:10" x14ac:dyDescent="0.2">
      <c r="A5776" s="859">
        <f t="shared" si="90"/>
        <v>5775</v>
      </c>
      <c r="B5776" s="845" t="s">
        <v>2558</v>
      </c>
      <c r="D5776" s="861"/>
      <c r="H5776" s="845" t="s">
        <v>1007</v>
      </c>
    </row>
    <row r="5777" spans="1:10" x14ac:dyDescent="0.2">
      <c r="A5777" s="859">
        <f t="shared" si="90"/>
        <v>5776</v>
      </c>
      <c r="B5777" s="845" t="s">
        <v>2558</v>
      </c>
      <c r="D5777" s="862"/>
      <c r="I5777" s="845" t="s">
        <v>1008</v>
      </c>
    </row>
    <row r="5778" spans="1:10" x14ac:dyDescent="0.2">
      <c r="A5778" s="859">
        <f t="shared" si="90"/>
        <v>5777</v>
      </c>
      <c r="B5778" s="845" t="s">
        <v>2558</v>
      </c>
      <c r="D5778" s="863"/>
      <c r="J5778" s="845" t="s">
        <v>1937</v>
      </c>
    </row>
    <row r="5779" spans="1:10" x14ac:dyDescent="0.2">
      <c r="A5779" s="859">
        <f t="shared" si="90"/>
        <v>5778</v>
      </c>
      <c r="B5779" s="845" t="s">
        <v>2558</v>
      </c>
      <c r="D5779" s="862"/>
      <c r="I5779" s="845" t="s">
        <v>1009</v>
      </c>
    </row>
    <row r="5780" spans="1:10" x14ac:dyDescent="0.2">
      <c r="A5780" s="859">
        <f t="shared" si="90"/>
        <v>5779</v>
      </c>
      <c r="B5780" s="845" t="s">
        <v>2558</v>
      </c>
      <c r="D5780" s="862"/>
      <c r="I5780" s="845" t="str">
        <f>CONCATENATE("&lt;valeur&gt;",Cellule_2010,"&lt;/valeur&gt;")</f>
        <v>&lt;valeur&gt;0&lt;/valeur&gt;</v>
      </c>
    </row>
    <row r="5781" spans="1:10" x14ac:dyDescent="0.2">
      <c r="A5781" s="859">
        <f t="shared" si="90"/>
        <v>5780</v>
      </c>
      <c r="B5781" s="845" t="s">
        <v>2558</v>
      </c>
      <c r="D5781" s="861"/>
      <c r="H5781" s="845" t="s">
        <v>1010</v>
      </c>
    </row>
    <row r="5782" spans="1:10" x14ac:dyDescent="0.2">
      <c r="A5782" s="859">
        <f t="shared" si="90"/>
        <v>5781</v>
      </c>
      <c r="B5782" s="845" t="s">
        <v>2558</v>
      </c>
      <c r="D5782" s="861"/>
      <c r="H5782" s="845" t="s">
        <v>1007</v>
      </c>
    </row>
    <row r="5783" spans="1:10" x14ac:dyDescent="0.2">
      <c r="A5783" s="859">
        <f t="shared" si="90"/>
        <v>5782</v>
      </c>
      <c r="B5783" s="845" t="s">
        <v>2558</v>
      </c>
      <c r="D5783" s="862"/>
      <c r="I5783" s="845" t="s">
        <v>1008</v>
      </c>
    </row>
    <row r="5784" spans="1:10" x14ac:dyDescent="0.2">
      <c r="A5784" s="859">
        <f t="shared" si="90"/>
        <v>5783</v>
      </c>
      <c r="B5784" s="845" t="s">
        <v>2558</v>
      </c>
      <c r="D5784" s="863"/>
      <c r="J5784" s="845" t="s">
        <v>1938</v>
      </c>
    </row>
    <row r="5785" spans="1:10" x14ac:dyDescent="0.2">
      <c r="A5785" s="859">
        <f t="shared" si="90"/>
        <v>5784</v>
      </c>
      <c r="B5785" s="845" t="s">
        <v>2558</v>
      </c>
      <c r="D5785" s="862"/>
      <c r="I5785" s="845" t="s">
        <v>1009</v>
      </c>
    </row>
    <row r="5786" spans="1:10" x14ac:dyDescent="0.2">
      <c r="A5786" s="859">
        <f t="shared" si="90"/>
        <v>5785</v>
      </c>
      <c r="B5786" s="845" t="s">
        <v>2558</v>
      </c>
      <c r="D5786" s="862"/>
      <c r="I5786" s="845" t="str">
        <f>CONCATENATE("&lt;valeur&gt;",Cellule_2011,"&lt;/valeur&gt;")</f>
        <v>&lt;valeur&gt;&lt;/valeur&gt;</v>
      </c>
    </row>
    <row r="5787" spans="1:10" x14ac:dyDescent="0.2">
      <c r="A5787" s="859">
        <f t="shared" si="90"/>
        <v>5786</v>
      </c>
      <c r="B5787" s="845" t="s">
        <v>2558</v>
      </c>
      <c r="D5787" s="861"/>
      <c r="H5787" s="845" t="s">
        <v>1010</v>
      </c>
    </row>
    <row r="5788" spans="1:10" x14ac:dyDescent="0.2">
      <c r="A5788" s="859">
        <f t="shared" si="90"/>
        <v>5787</v>
      </c>
      <c r="B5788" s="845" t="s">
        <v>2558</v>
      </c>
      <c r="D5788" s="861"/>
      <c r="H5788" s="845" t="s">
        <v>1007</v>
      </c>
    </row>
    <row r="5789" spans="1:10" x14ac:dyDescent="0.2">
      <c r="A5789" s="859">
        <f t="shared" si="90"/>
        <v>5788</v>
      </c>
      <c r="B5789" s="845" t="s">
        <v>2558</v>
      </c>
      <c r="D5789" s="862"/>
      <c r="I5789" s="845" t="s">
        <v>1008</v>
      </c>
    </row>
    <row r="5790" spans="1:10" x14ac:dyDescent="0.2">
      <c r="A5790" s="859">
        <f t="shared" si="90"/>
        <v>5789</v>
      </c>
      <c r="B5790" s="845" t="s">
        <v>2558</v>
      </c>
      <c r="D5790" s="863"/>
      <c r="J5790" s="845" t="s">
        <v>1939</v>
      </c>
    </row>
    <row r="5791" spans="1:10" x14ac:dyDescent="0.2">
      <c r="A5791" s="859">
        <f t="shared" si="90"/>
        <v>5790</v>
      </c>
      <c r="B5791" s="845" t="s">
        <v>2558</v>
      </c>
      <c r="D5791" s="862"/>
      <c r="I5791" s="845" t="s">
        <v>1009</v>
      </c>
    </row>
    <row r="5792" spans="1:10" x14ac:dyDescent="0.2">
      <c r="A5792" s="859">
        <f t="shared" si="90"/>
        <v>5791</v>
      </c>
      <c r="B5792" s="845" t="s">
        <v>2558</v>
      </c>
      <c r="D5792" s="862"/>
      <c r="I5792" s="845" t="str">
        <f>CONCATENATE("&lt;valeur&gt;",Cellule_2012,"&lt;/valeur&gt;")</f>
        <v>&lt;valeur&gt;0&lt;/valeur&gt;</v>
      </c>
    </row>
    <row r="5793" spans="1:10" x14ac:dyDescent="0.2">
      <c r="A5793" s="859">
        <f t="shared" si="90"/>
        <v>5792</v>
      </c>
      <c r="B5793" s="845" t="s">
        <v>2558</v>
      </c>
      <c r="D5793" s="861"/>
      <c r="H5793" s="845" t="s">
        <v>1010</v>
      </c>
    </row>
    <row r="5794" spans="1:10" x14ac:dyDescent="0.2">
      <c r="A5794" s="859">
        <f t="shared" si="90"/>
        <v>5793</v>
      </c>
      <c r="B5794" s="845" t="s">
        <v>2558</v>
      </c>
      <c r="D5794" s="861"/>
      <c r="H5794" s="845" t="s">
        <v>1007</v>
      </c>
    </row>
    <row r="5795" spans="1:10" x14ac:dyDescent="0.2">
      <c r="A5795" s="859">
        <f t="shared" si="90"/>
        <v>5794</v>
      </c>
      <c r="B5795" s="845" t="s">
        <v>2558</v>
      </c>
      <c r="D5795" s="862"/>
      <c r="I5795" s="845" t="s">
        <v>1008</v>
      </c>
    </row>
    <row r="5796" spans="1:10" x14ac:dyDescent="0.2">
      <c r="A5796" s="859">
        <f t="shared" si="90"/>
        <v>5795</v>
      </c>
      <c r="B5796" s="845" t="s">
        <v>2558</v>
      </c>
      <c r="D5796" s="863"/>
      <c r="J5796" s="845" t="s">
        <v>1940</v>
      </c>
    </row>
    <row r="5797" spans="1:10" x14ac:dyDescent="0.2">
      <c r="A5797" s="859">
        <f t="shared" si="90"/>
        <v>5796</v>
      </c>
      <c r="B5797" s="845" t="s">
        <v>2558</v>
      </c>
      <c r="D5797" s="862"/>
      <c r="I5797" s="845" t="s">
        <v>1009</v>
      </c>
    </row>
    <row r="5798" spans="1:10" x14ac:dyDescent="0.2">
      <c r="A5798" s="859">
        <f t="shared" si="90"/>
        <v>5797</v>
      </c>
      <c r="B5798" s="845" t="s">
        <v>2558</v>
      </c>
      <c r="D5798" s="862"/>
      <c r="I5798" s="845" t="str">
        <f>CONCATENATE("&lt;valeur&gt;",Cellule_2013,"&lt;/valeur&gt;")</f>
        <v>&lt;valeur&gt;0&lt;/valeur&gt;</v>
      </c>
    </row>
    <row r="5799" spans="1:10" x14ac:dyDescent="0.2">
      <c r="A5799" s="859">
        <f t="shared" si="90"/>
        <v>5798</v>
      </c>
      <c r="B5799" s="845" t="s">
        <v>2558</v>
      </c>
      <c r="D5799" s="861"/>
      <c r="H5799" s="845" t="s">
        <v>1010</v>
      </c>
    </row>
    <row r="5800" spans="1:10" x14ac:dyDescent="0.2">
      <c r="A5800" s="859">
        <f t="shared" si="90"/>
        <v>5799</v>
      </c>
      <c r="B5800" s="845" t="s">
        <v>2558</v>
      </c>
      <c r="D5800" s="861"/>
      <c r="H5800" s="845" t="s">
        <v>1007</v>
      </c>
    </row>
    <row r="5801" spans="1:10" x14ac:dyDescent="0.2">
      <c r="A5801" s="859">
        <f t="shared" si="90"/>
        <v>5800</v>
      </c>
      <c r="B5801" s="845" t="s">
        <v>2558</v>
      </c>
      <c r="D5801" s="862"/>
      <c r="I5801" s="845" t="s">
        <v>1008</v>
      </c>
    </row>
    <row r="5802" spans="1:10" x14ac:dyDescent="0.2">
      <c r="A5802" s="859">
        <f t="shared" si="90"/>
        <v>5801</v>
      </c>
      <c r="B5802" s="845" t="s">
        <v>2558</v>
      </c>
      <c r="D5802" s="863"/>
      <c r="J5802" s="845" t="s">
        <v>1941</v>
      </c>
    </row>
    <row r="5803" spans="1:10" x14ac:dyDescent="0.2">
      <c r="A5803" s="859">
        <f t="shared" si="90"/>
        <v>5802</v>
      </c>
      <c r="B5803" s="845" t="s">
        <v>2558</v>
      </c>
      <c r="D5803" s="862"/>
      <c r="I5803" s="845" t="s">
        <v>1009</v>
      </c>
    </row>
    <row r="5804" spans="1:10" x14ac:dyDescent="0.2">
      <c r="A5804" s="859">
        <f t="shared" si="90"/>
        <v>5803</v>
      </c>
      <c r="B5804" s="845" t="s">
        <v>2558</v>
      </c>
      <c r="D5804" s="862"/>
      <c r="I5804" s="845" t="str">
        <f>CONCATENATE("&lt;valeur&gt;",Cellule_2014,"&lt;/valeur&gt;")</f>
        <v>&lt;valeur&gt;0&lt;/valeur&gt;</v>
      </c>
    </row>
    <row r="5805" spans="1:10" x14ac:dyDescent="0.2">
      <c r="A5805" s="859">
        <f t="shared" si="90"/>
        <v>5804</v>
      </c>
      <c r="B5805" s="845" t="s">
        <v>2558</v>
      </c>
      <c r="D5805" s="861"/>
      <c r="H5805" s="845" t="s">
        <v>1010</v>
      </c>
    </row>
    <row r="5806" spans="1:10" x14ac:dyDescent="0.2">
      <c r="A5806" s="859">
        <f t="shared" si="90"/>
        <v>5805</v>
      </c>
      <c r="B5806" s="845" t="s">
        <v>2558</v>
      </c>
      <c r="D5806" s="861"/>
      <c r="H5806" s="845" t="s">
        <v>1007</v>
      </c>
    </row>
    <row r="5807" spans="1:10" x14ac:dyDescent="0.2">
      <c r="A5807" s="859">
        <f t="shared" si="90"/>
        <v>5806</v>
      </c>
      <c r="B5807" s="845" t="s">
        <v>2558</v>
      </c>
      <c r="D5807" s="862"/>
      <c r="I5807" s="845" t="s">
        <v>1008</v>
      </c>
    </row>
    <row r="5808" spans="1:10" x14ac:dyDescent="0.2">
      <c r="A5808" s="859">
        <f t="shared" si="90"/>
        <v>5807</v>
      </c>
      <c r="B5808" s="845" t="s">
        <v>2558</v>
      </c>
      <c r="D5808" s="863"/>
      <c r="J5808" s="845" t="s">
        <v>1942</v>
      </c>
    </row>
    <row r="5809" spans="1:10" x14ac:dyDescent="0.2">
      <c r="A5809" s="859">
        <f t="shared" si="90"/>
        <v>5808</v>
      </c>
      <c r="B5809" s="845" t="s">
        <v>2558</v>
      </c>
      <c r="D5809" s="862"/>
      <c r="I5809" s="845" t="s">
        <v>1009</v>
      </c>
    </row>
    <row r="5810" spans="1:10" x14ac:dyDescent="0.2">
      <c r="A5810" s="859">
        <f t="shared" si="90"/>
        <v>5809</v>
      </c>
      <c r="B5810" s="845" t="s">
        <v>2558</v>
      </c>
      <c r="D5810" s="862"/>
      <c r="I5810" s="845" t="str">
        <f>CONCATENATE("&lt;valeur&gt;",Cellule_2022,"&lt;/valeur&gt;")</f>
        <v>&lt;valeur&gt;&lt;/valeur&gt;</v>
      </c>
    </row>
    <row r="5811" spans="1:10" x14ac:dyDescent="0.2">
      <c r="A5811" s="859">
        <f t="shared" si="90"/>
        <v>5810</v>
      </c>
      <c r="B5811" s="845" t="s">
        <v>2558</v>
      </c>
      <c r="D5811" s="861"/>
      <c r="H5811" s="845" t="s">
        <v>1010</v>
      </c>
    </row>
    <row r="5812" spans="1:10" x14ac:dyDescent="0.2">
      <c r="A5812" s="859">
        <f t="shared" si="90"/>
        <v>5811</v>
      </c>
      <c r="B5812" s="845" t="s">
        <v>2558</v>
      </c>
      <c r="D5812" s="861"/>
      <c r="H5812" s="845" t="s">
        <v>1007</v>
      </c>
    </row>
    <row r="5813" spans="1:10" x14ac:dyDescent="0.2">
      <c r="A5813" s="859">
        <f t="shared" si="90"/>
        <v>5812</v>
      </c>
      <c r="B5813" s="845" t="s">
        <v>2558</v>
      </c>
      <c r="D5813" s="862"/>
      <c r="I5813" s="845" t="s">
        <v>1008</v>
      </c>
    </row>
    <row r="5814" spans="1:10" x14ac:dyDescent="0.2">
      <c r="A5814" s="859">
        <f t="shared" si="90"/>
        <v>5813</v>
      </c>
      <c r="B5814" s="845" t="s">
        <v>2558</v>
      </c>
      <c r="D5814" s="863"/>
      <c r="J5814" s="845" t="s">
        <v>1943</v>
      </c>
    </row>
    <row r="5815" spans="1:10" x14ac:dyDescent="0.2">
      <c r="A5815" s="859">
        <f t="shared" si="90"/>
        <v>5814</v>
      </c>
      <c r="B5815" s="845" t="s">
        <v>2558</v>
      </c>
      <c r="D5815" s="862"/>
      <c r="I5815" s="845" t="s">
        <v>1009</v>
      </c>
    </row>
    <row r="5816" spans="1:10" x14ac:dyDescent="0.2">
      <c r="A5816" s="859">
        <f t="shared" si="90"/>
        <v>5815</v>
      </c>
      <c r="B5816" s="845" t="s">
        <v>2558</v>
      </c>
      <c r="D5816" s="862"/>
      <c r="I5816" s="845" t="str">
        <f>CONCATENATE("&lt;valeur&gt;",Cellule_2024,"&lt;/valeur&gt;")</f>
        <v>&lt;valeur&gt;0&lt;/valeur&gt;</v>
      </c>
    </row>
    <row r="5817" spans="1:10" x14ac:dyDescent="0.2">
      <c r="A5817" s="859">
        <f t="shared" si="90"/>
        <v>5816</v>
      </c>
      <c r="B5817" s="845" t="s">
        <v>2558</v>
      </c>
      <c r="D5817" s="861"/>
      <c r="H5817" s="845" t="s">
        <v>1010</v>
      </c>
    </row>
    <row r="5818" spans="1:10" x14ac:dyDescent="0.2">
      <c r="A5818" s="859">
        <f t="shared" si="90"/>
        <v>5817</v>
      </c>
      <c r="B5818" s="845" t="s">
        <v>2558</v>
      </c>
      <c r="D5818" s="861"/>
      <c r="H5818" s="845" t="s">
        <v>1007</v>
      </c>
    </row>
    <row r="5819" spans="1:10" x14ac:dyDescent="0.2">
      <c r="A5819" s="859">
        <f t="shared" si="90"/>
        <v>5818</v>
      </c>
      <c r="B5819" s="845" t="s">
        <v>2558</v>
      </c>
      <c r="D5819" s="862"/>
      <c r="I5819" s="845" t="s">
        <v>1008</v>
      </c>
    </row>
    <row r="5820" spans="1:10" x14ac:dyDescent="0.2">
      <c r="A5820" s="859">
        <f t="shared" si="90"/>
        <v>5819</v>
      </c>
      <c r="B5820" s="845" t="s">
        <v>2558</v>
      </c>
      <c r="D5820" s="863"/>
      <c r="J5820" s="845" t="s">
        <v>1944</v>
      </c>
    </row>
    <row r="5821" spans="1:10" x14ac:dyDescent="0.2">
      <c r="A5821" s="859">
        <f t="shared" si="90"/>
        <v>5820</v>
      </c>
      <c r="B5821" s="845" t="s">
        <v>2558</v>
      </c>
      <c r="D5821" s="862"/>
      <c r="I5821" s="845" t="s">
        <v>1009</v>
      </c>
    </row>
    <row r="5822" spans="1:10" x14ac:dyDescent="0.2">
      <c r="A5822" s="859">
        <f t="shared" si="90"/>
        <v>5821</v>
      </c>
      <c r="B5822" s="845" t="s">
        <v>2558</v>
      </c>
      <c r="D5822" s="862"/>
      <c r="I5822" s="845" t="str">
        <f>CONCATENATE("&lt;valeur&gt;",Cellule_2025,"&lt;/valeur&gt;")</f>
        <v>&lt;valeur&gt;0&lt;/valeur&gt;</v>
      </c>
    </row>
    <row r="5823" spans="1:10" x14ac:dyDescent="0.2">
      <c r="A5823" s="859">
        <f t="shared" si="90"/>
        <v>5822</v>
      </c>
      <c r="B5823" s="845" t="s">
        <v>2558</v>
      </c>
      <c r="D5823" s="861"/>
      <c r="H5823" s="845" t="s">
        <v>1010</v>
      </c>
    </row>
    <row r="5824" spans="1:10" x14ac:dyDescent="0.2">
      <c r="A5824" s="859">
        <f t="shared" si="90"/>
        <v>5823</v>
      </c>
      <c r="B5824" s="845" t="s">
        <v>2558</v>
      </c>
      <c r="D5824" s="861"/>
      <c r="H5824" s="845" t="s">
        <v>1007</v>
      </c>
    </row>
    <row r="5825" spans="1:10" x14ac:dyDescent="0.2">
      <c r="A5825" s="859">
        <f t="shared" si="90"/>
        <v>5824</v>
      </c>
      <c r="B5825" s="845" t="s">
        <v>2558</v>
      </c>
      <c r="D5825" s="862"/>
      <c r="I5825" s="845" t="s">
        <v>1008</v>
      </c>
    </row>
    <row r="5826" spans="1:10" x14ac:dyDescent="0.2">
      <c r="A5826" s="859">
        <f t="shared" si="90"/>
        <v>5825</v>
      </c>
      <c r="B5826" s="845" t="s">
        <v>2558</v>
      </c>
      <c r="D5826" s="863"/>
      <c r="J5826" s="845" t="s">
        <v>1945</v>
      </c>
    </row>
    <row r="5827" spans="1:10" x14ac:dyDescent="0.2">
      <c r="A5827" s="859">
        <f t="shared" si="90"/>
        <v>5826</v>
      </c>
      <c r="B5827" s="845" t="s">
        <v>2558</v>
      </c>
      <c r="D5827" s="862"/>
      <c r="I5827" s="845" t="s">
        <v>1009</v>
      </c>
    </row>
    <row r="5828" spans="1:10" x14ac:dyDescent="0.2">
      <c r="A5828" s="859">
        <f t="shared" ref="A5828:A5891" si="91">+A5827+1</f>
        <v>5827</v>
      </c>
      <c r="B5828" s="845" t="s">
        <v>2558</v>
      </c>
      <c r="D5828" s="862"/>
      <c r="I5828" s="845" t="str">
        <f>CONCATENATE("&lt;valeur&gt;",Cellule_2026,"&lt;/valeur&gt;")</f>
        <v>&lt;valeur&gt;0&lt;/valeur&gt;</v>
      </c>
    </row>
    <row r="5829" spans="1:10" x14ac:dyDescent="0.2">
      <c r="A5829" s="859">
        <f t="shared" si="91"/>
        <v>5828</v>
      </c>
      <c r="B5829" s="845" t="s">
        <v>2558</v>
      </c>
      <c r="D5829" s="861"/>
      <c r="H5829" s="845" t="s">
        <v>1010</v>
      </c>
    </row>
    <row r="5830" spans="1:10" x14ac:dyDescent="0.2">
      <c r="A5830" s="859">
        <f t="shared" si="91"/>
        <v>5829</v>
      </c>
      <c r="B5830" s="845" t="s">
        <v>2558</v>
      </c>
      <c r="D5830" s="861"/>
      <c r="H5830" s="845" t="s">
        <v>1007</v>
      </c>
    </row>
    <row r="5831" spans="1:10" x14ac:dyDescent="0.2">
      <c r="A5831" s="859">
        <f t="shared" si="91"/>
        <v>5830</v>
      </c>
      <c r="B5831" s="845" t="s">
        <v>2558</v>
      </c>
      <c r="D5831" s="862"/>
      <c r="I5831" s="845" t="s">
        <v>1008</v>
      </c>
    </row>
    <row r="5832" spans="1:10" x14ac:dyDescent="0.2">
      <c r="A5832" s="859">
        <f t="shared" si="91"/>
        <v>5831</v>
      </c>
      <c r="B5832" s="845" t="s">
        <v>2558</v>
      </c>
      <c r="D5832" s="863"/>
      <c r="J5832" s="845" t="s">
        <v>1946</v>
      </c>
    </row>
    <row r="5833" spans="1:10" x14ac:dyDescent="0.2">
      <c r="A5833" s="859">
        <f t="shared" si="91"/>
        <v>5832</v>
      </c>
      <c r="B5833" s="845" t="s">
        <v>2558</v>
      </c>
      <c r="D5833" s="862"/>
      <c r="I5833" s="845" t="s">
        <v>1009</v>
      </c>
    </row>
    <row r="5834" spans="1:10" x14ac:dyDescent="0.2">
      <c r="A5834" s="859">
        <f t="shared" si="91"/>
        <v>5833</v>
      </c>
      <c r="B5834" s="845" t="s">
        <v>2558</v>
      </c>
      <c r="D5834" s="862"/>
      <c r="I5834" s="845" t="str">
        <f>CONCATENATE("&lt;valeur&gt;",Cellule_2027,"&lt;/valeur&gt;")</f>
        <v>&lt;valeur&gt;0&lt;/valeur&gt;</v>
      </c>
    </row>
    <row r="5835" spans="1:10" x14ac:dyDescent="0.2">
      <c r="A5835" s="859">
        <f t="shared" si="91"/>
        <v>5834</v>
      </c>
      <c r="B5835" s="845" t="s">
        <v>2558</v>
      </c>
      <c r="D5835" s="861"/>
      <c r="H5835" s="845" t="s">
        <v>1010</v>
      </c>
    </row>
    <row r="5836" spans="1:10" x14ac:dyDescent="0.2">
      <c r="A5836" s="859">
        <f t="shared" si="91"/>
        <v>5835</v>
      </c>
      <c r="B5836" s="845" t="s">
        <v>2558</v>
      </c>
      <c r="D5836" s="861"/>
      <c r="H5836" s="845" t="s">
        <v>1007</v>
      </c>
    </row>
    <row r="5837" spans="1:10" x14ac:dyDescent="0.2">
      <c r="A5837" s="859">
        <f t="shared" si="91"/>
        <v>5836</v>
      </c>
      <c r="B5837" s="845" t="s">
        <v>2558</v>
      </c>
      <c r="D5837" s="862"/>
      <c r="I5837" s="845" t="s">
        <v>1008</v>
      </c>
    </row>
    <row r="5838" spans="1:10" x14ac:dyDescent="0.2">
      <c r="A5838" s="859">
        <f t="shared" si="91"/>
        <v>5837</v>
      </c>
      <c r="B5838" s="845" t="s">
        <v>2558</v>
      </c>
      <c r="D5838" s="863"/>
      <c r="J5838" s="845" t="s">
        <v>1947</v>
      </c>
    </row>
    <row r="5839" spans="1:10" x14ac:dyDescent="0.2">
      <c r="A5839" s="859">
        <f t="shared" si="91"/>
        <v>5838</v>
      </c>
      <c r="B5839" s="845" t="s">
        <v>2558</v>
      </c>
      <c r="D5839" s="862"/>
      <c r="I5839" s="845" t="s">
        <v>1009</v>
      </c>
    </row>
    <row r="5840" spans="1:10" x14ac:dyDescent="0.2">
      <c r="A5840" s="859">
        <f t="shared" si="91"/>
        <v>5839</v>
      </c>
      <c r="B5840" s="845" t="s">
        <v>2558</v>
      </c>
      <c r="D5840" s="862"/>
      <c r="I5840" s="845" t="str">
        <f>CONCATENATE("&lt;valeur&gt;",Cellule_2028,"&lt;/valeur&gt;")</f>
        <v>&lt;valeur&gt;0&lt;/valeur&gt;</v>
      </c>
    </row>
    <row r="5841" spans="1:10" x14ac:dyDescent="0.2">
      <c r="A5841" s="859">
        <f t="shared" si="91"/>
        <v>5840</v>
      </c>
      <c r="B5841" s="845" t="s">
        <v>2558</v>
      </c>
      <c r="D5841" s="861"/>
      <c r="H5841" s="845" t="s">
        <v>1010</v>
      </c>
    </row>
    <row r="5842" spans="1:10" x14ac:dyDescent="0.2">
      <c r="A5842" s="859">
        <f t="shared" si="91"/>
        <v>5841</v>
      </c>
      <c r="B5842" s="845" t="s">
        <v>2558</v>
      </c>
      <c r="D5842" s="861"/>
      <c r="H5842" s="845" t="s">
        <v>1007</v>
      </c>
    </row>
    <row r="5843" spans="1:10" x14ac:dyDescent="0.2">
      <c r="A5843" s="859">
        <f t="shared" si="91"/>
        <v>5842</v>
      </c>
      <c r="B5843" s="845" t="s">
        <v>2558</v>
      </c>
      <c r="D5843" s="862"/>
      <c r="I5843" s="845" t="s">
        <v>1008</v>
      </c>
    </row>
    <row r="5844" spans="1:10" x14ac:dyDescent="0.2">
      <c r="A5844" s="859">
        <f t="shared" si="91"/>
        <v>5843</v>
      </c>
      <c r="B5844" s="845" t="s">
        <v>2558</v>
      </c>
      <c r="D5844" s="863"/>
      <c r="J5844" s="845" t="s">
        <v>1948</v>
      </c>
    </row>
    <row r="5845" spans="1:10" x14ac:dyDescent="0.2">
      <c r="A5845" s="859">
        <f t="shared" si="91"/>
        <v>5844</v>
      </c>
      <c r="B5845" s="845" t="s">
        <v>2558</v>
      </c>
      <c r="D5845" s="862"/>
      <c r="I5845" s="845" t="s">
        <v>1009</v>
      </c>
    </row>
    <row r="5846" spans="1:10" x14ac:dyDescent="0.2">
      <c r="A5846" s="859">
        <f t="shared" si="91"/>
        <v>5845</v>
      </c>
      <c r="B5846" s="845" t="s">
        <v>2558</v>
      </c>
      <c r="D5846" s="862"/>
      <c r="I5846" s="845" t="str">
        <f>CONCATENATE("&lt;valeur&gt;",Cellule_2029,"&lt;/valeur&gt;")</f>
        <v>&lt;valeur&gt;&lt;/valeur&gt;</v>
      </c>
    </row>
    <row r="5847" spans="1:10" x14ac:dyDescent="0.2">
      <c r="A5847" s="859">
        <f t="shared" si="91"/>
        <v>5846</v>
      </c>
      <c r="B5847" s="845" t="s">
        <v>2558</v>
      </c>
      <c r="D5847" s="861"/>
      <c r="H5847" s="845" t="s">
        <v>1010</v>
      </c>
    </row>
    <row r="5848" spans="1:10" x14ac:dyDescent="0.2">
      <c r="A5848" s="859">
        <f t="shared" si="91"/>
        <v>5847</v>
      </c>
      <c r="B5848" s="845" t="s">
        <v>2558</v>
      </c>
      <c r="D5848" s="861"/>
      <c r="H5848" s="845" t="s">
        <v>1007</v>
      </c>
    </row>
    <row r="5849" spans="1:10" x14ac:dyDescent="0.2">
      <c r="A5849" s="859">
        <f t="shared" si="91"/>
        <v>5848</v>
      </c>
      <c r="B5849" s="845" t="s">
        <v>2558</v>
      </c>
      <c r="D5849" s="862"/>
      <c r="I5849" s="845" t="s">
        <v>1008</v>
      </c>
    </row>
    <row r="5850" spans="1:10" x14ac:dyDescent="0.2">
      <c r="A5850" s="859">
        <f t="shared" si="91"/>
        <v>5849</v>
      </c>
      <c r="B5850" s="845" t="s">
        <v>2558</v>
      </c>
      <c r="D5850" s="863"/>
      <c r="J5850" s="845" t="s">
        <v>1949</v>
      </c>
    </row>
    <row r="5851" spans="1:10" x14ac:dyDescent="0.2">
      <c r="A5851" s="859">
        <f t="shared" si="91"/>
        <v>5850</v>
      </c>
      <c r="B5851" s="845" t="s">
        <v>2558</v>
      </c>
      <c r="D5851" s="862"/>
      <c r="I5851" s="845" t="s">
        <v>1009</v>
      </c>
    </row>
    <row r="5852" spans="1:10" x14ac:dyDescent="0.2">
      <c r="A5852" s="859">
        <f t="shared" si="91"/>
        <v>5851</v>
      </c>
      <c r="B5852" s="845" t="s">
        <v>2558</v>
      </c>
      <c r="D5852" s="862"/>
      <c r="I5852" s="845" t="str">
        <f>CONCATENATE("&lt;valeur&gt;",Cellule_2031,"&lt;/valeur&gt;")</f>
        <v>&lt;valeur&gt;0&lt;/valeur&gt;</v>
      </c>
    </row>
    <row r="5853" spans="1:10" x14ac:dyDescent="0.2">
      <c r="A5853" s="859">
        <f t="shared" si="91"/>
        <v>5852</v>
      </c>
      <c r="B5853" s="845" t="s">
        <v>2558</v>
      </c>
      <c r="D5853" s="861"/>
      <c r="H5853" s="845" t="s">
        <v>1010</v>
      </c>
    </row>
    <row r="5854" spans="1:10" x14ac:dyDescent="0.2">
      <c r="A5854" s="859">
        <f t="shared" si="91"/>
        <v>5853</v>
      </c>
      <c r="B5854" s="845" t="s">
        <v>2558</v>
      </c>
      <c r="D5854" s="861"/>
      <c r="H5854" s="845" t="s">
        <v>1007</v>
      </c>
    </row>
    <row r="5855" spans="1:10" x14ac:dyDescent="0.2">
      <c r="A5855" s="859">
        <f t="shared" si="91"/>
        <v>5854</v>
      </c>
      <c r="B5855" s="845" t="s">
        <v>2558</v>
      </c>
      <c r="D5855" s="862"/>
      <c r="I5855" s="845" t="s">
        <v>1008</v>
      </c>
    </row>
    <row r="5856" spans="1:10" x14ac:dyDescent="0.2">
      <c r="A5856" s="859">
        <f t="shared" si="91"/>
        <v>5855</v>
      </c>
      <c r="B5856" s="845" t="s">
        <v>2558</v>
      </c>
      <c r="D5856" s="863"/>
      <c r="J5856" s="845" t="s">
        <v>1950</v>
      </c>
    </row>
    <row r="5857" spans="1:10" x14ac:dyDescent="0.2">
      <c r="A5857" s="859">
        <f t="shared" si="91"/>
        <v>5856</v>
      </c>
      <c r="B5857" s="845" t="s">
        <v>2558</v>
      </c>
      <c r="D5857" s="862"/>
      <c r="I5857" s="845" t="s">
        <v>1009</v>
      </c>
    </row>
    <row r="5858" spans="1:10" x14ac:dyDescent="0.2">
      <c r="A5858" s="859">
        <f t="shared" si="91"/>
        <v>5857</v>
      </c>
      <c r="B5858" s="845" t="s">
        <v>2558</v>
      </c>
      <c r="D5858" s="862"/>
      <c r="I5858" s="845" t="str">
        <f>CONCATENATE("&lt;valeur&gt;",Cellule_2032,"&lt;/valeur&gt;")</f>
        <v>&lt;valeur&gt;0&lt;/valeur&gt;</v>
      </c>
    </row>
    <row r="5859" spans="1:10" x14ac:dyDescent="0.2">
      <c r="A5859" s="859">
        <f t="shared" si="91"/>
        <v>5858</v>
      </c>
      <c r="B5859" s="845" t="s">
        <v>2558</v>
      </c>
      <c r="D5859" s="861"/>
      <c r="H5859" s="845" t="s">
        <v>1010</v>
      </c>
    </row>
    <row r="5860" spans="1:10" x14ac:dyDescent="0.2">
      <c r="A5860" s="859">
        <f t="shared" si="91"/>
        <v>5859</v>
      </c>
      <c r="B5860" s="845" t="s">
        <v>2558</v>
      </c>
      <c r="D5860" s="861"/>
      <c r="H5860" s="845" t="s">
        <v>1007</v>
      </c>
    </row>
    <row r="5861" spans="1:10" x14ac:dyDescent="0.2">
      <c r="A5861" s="859">
        <f t="shared" si="91"/>
        <v>5860</v>
      </c>
      <c r="B5861" s="845" t="s">
        <v>2558</v>
      </c>
      <c r="D5861" s="862"/>
      <c r="I5861" s="845" t="s">
        <v>1008</v>
      </c>
    </row>
    <row r="5862" spans="1:10" x14ac:dyDescent="0.2">
      <c r="A5862" s="859">
        <f t="shared" si="91"/>
        <v>5861</v>
      </c>
      <c r="B5862" s="845" t="s">
        <v>2558</v>
      </c>
      <c r="D5862" s="863"/>
      <c r="J5862" s="845" t="s">
        <v>1951</v>
      </c>
    </row>
    <row r="5863" spans="1:10" x14ac:dyDescent="0.2">
      <c r="A5863" s="859">
        <f t="shared" si="91"/>
        <v>5862</v>
      </c>
      <c r="B5863" s="845" t="s">
        <v>2558</v>
      </c>
      <c r="D5863" s="862"/>
      <c r="I5863" s="845" t="s">
        <v>1009</v>
      </c>
    </row>
    <row r="5864" spans="1:10" x14ac:dyDescent="0.2">
      <c r="A5864" s="859">
        <f t="shared" si="91"/>
        <v>5863</v>
      </c>
      <c r="B5864" s="845" t="s">
        <v>2558</v>
      </c>
      <c r="D5864" s="862"/>
      <c r="I5864" s="845" t="str">
        <f>CONCATENATE("&lt;valeur&gt;",Cellule_2033,"&lt;/valeur&gt;")</f>
        <v>&lt;valeur&gt;0&lt;/valeur&gt;</v>
      </c>
    </row>
    <row r="5865" spans="1:10" x14ac:dyDescent="0.2">
      <c r="A5865" s="859">
        <f t="shared" si="91"/>
        <v>5864</v>
      </c>
      <c r="B5865" s="845" t="s">
        <v>2558</v>
      </c>
      <c r="D5865" s="861"/>
      <c r="H5865" s="845" t="s">
        <v>1010</v>
      </c>
    </row>
    <row r="5866" spans="1:10" x14ac:dyDescent="0.2">
      <c r="A5866" s="859">
        <f t="shared" si="91"/>
        <v>5865</v>
      </c>
      <c r="B5866" s="845" t="s">
        <v>2558</v>
      </c>
      <c r="D5866" s="861"/>
      <c r="H5866" s="845" t="s">
        <v>1007</v>
      </c>
    </row>
    <row r="5867" spans="1:10" x14ac:dyDescent="0.2">
      <c r="A5867" s="859">
        <f t="shared" si="91"/>
        <v>5866</v>
      </c>
      <c r="B5867" s="845" t="s">
        <v>2558</v>
      </c>
      <c r="D5867" s="862"/>
      <c r="I5867" s="845" t="s">
        <v>1008</v>
      </c>
    </row>
    <row r="5868" spans="1:10" x14ac:dyDescent="0.2">
      <c r="A5868" s="859">
        <f t="shared" si="91"/>
        <v>5867</v>
      </c>
      <c r="B5868" s="845" t="s">
        <v>2558</v>
      </c>
      <c r="D5868" s="863"/>
      <c r="J5868" s="845" t="s">
        <v>1952</v>
      </c>
    </row>
    <row r="5869" spans="1:10" x14ac:dyDescent="0.2">
      <c r="A5869" s="859">
        <f t="shared" si="91"/>
        <v>5868</v>
      </c>
      <c r="B5869" s="845" t="s">
        <v>2558</v>
      </c>
      <c r="D5869" s="862"/>
      <c r="I5869" s="845" t="s">
        <v>1009</v>
      </c>
    </row>
    <row r="5870" spans="1:10" x14ac:dyDescent="0.2">
      <c r="A5870" s="859">
        <f t="shared" si="91"/>
        <v>5869</v>
      </c>
      <c r="B5870" s="845" t="s">
        <v>2558</v>
      </c>
      <c r="D5870" s="862"/>
      <c r="I5870" s="845" t="str">
        <f>CONCATENATE("&lt;valeur&gt;",Cellule_2034,"&lt;/valeur&gt;")</f>
        <v>&lt;valeur&gt;0&lt;/valeur&gt;</v>
      </c>
    </row>
    <row r="5871" spans="1:10" x14ac:dyDescent="0.2">
      <c r="A5871" s="859">
        <f t="shared" si="91"/>
        <v>5870</v>
      </c>
      <c r="B5871" s="845" t="s">
        <v>2558</v>
      </c>
      <c r="D5871" s="861"/>
      <c r="H5871" s="845" t="s">
        <v>1010</v>
      </c>
    </row>
    <row r="5872" spans="1:10" x14ac:dyDescent="0.2">
      <c r="A5872" s="859">
        <f t="shared" si="91"/>
        <v>5871</v>
      </c>
      <c r="B5872" s="845" t="s">
        <v>2558</v>
      </c>
      <c r="D5872" s="861"/>
      <c r="H5872" s="845" t="s">
        <v>1007</v>
      </c>
    </row>
    <row r="5873" spans="1:10" x14ac:dyDescent="0.2">
      <c r="A5873" s="859">
        <f t="shared" si="91"/>
        <v>5872</v>
      </c>
      <c r="B5873" s="845" t="s">
        <v>2558</v>
      </c>
      <c r="D5873" s="862"/>
      <c r="I5873" s="845" t="s">
        <v>1008</v>
      </c>
    </row>
    <row r="5874" spans="1:10" x14ac:dyDescent="0.2">
      <c r="A5874" s="859">
        <f t="shared" si="91"/>
        <v>5873</v>
      </c>
      <c r="B5874" s="845" t="s">
        <v>2558</v>
      </c>
      <c r="D5874" s="863"/>
      <c r="J5874" s="845" t="s">
        <v>1953</v>
      </c>
    </row>
    <row r="5875" spans="1:10" x14ac:dyDescent="0.2">
      <c r="A5875" s="859">
        <f t="shared" si="91"/>
        <v>5874</v>
      </c>
      <c r="B5875" s="845" t="s">
        <v>2558</v>
      </c>
      <c r="D5875" s="862"/>
      <c r="I5875" s="845" t="s">
        <v>1009</v>
      </c>
    </row>
    <row r="5876" spans="1:10" x14ac:dyDescent="0.2">
      <c r="A5876" s="859">
        <f t="shared" si="91"/>
        <v>5875</v>
      </c>
      <c r="B5876" s="845" t="s">
        <v>2558</v>
      </c>
      <c r="D5876" s="862"/>
      <c r="I5876" s="845" t="str">
        <f>CONCATENATE("&lt;valeur&gt;",Cellule_2035,"&lt;/valeur&gt;")</f>
        <v>&lt;valeur&gt;0&lt;/valeur&gt;</v>
      </c>
    </row>
    <row r="5877" spans="1:10" x14ac:dyDescent="0.2">
      <c r="A5877" s="859">
        <f t="shared" si="91"/>
        <v>5876</v>
      </c>
      <c r="B5877" s="845" t="s">
        <v>2558</v>
      </c>
      <c r="D5877" s="861"/>
      <c r="H5877" s="845" t="s">
        <v>1010</v>
      </c>
    </row>
    <row r="5878" spans="1:10" x14ac:dyDescent="0.2">
      <c r="A5878" s="859">
        <f t="shared" si="91"/>
        <v>5877</v>
      </c>
      <c r="B5878" s="845" t="s">
        <v>2558</v>
      </c>
      <c r="D5878" s="861"/>
      <c r="G5878" s="845" t="s">
        <v>1011</v>
      </c>
    </row>
    <row r="5879" spans="1:10" x14ac:dyDescent="0.2">
      <c r="A5879" s="859">
        <f t="shared" si="91"/>
        <v>5878</v>
      </c>
      <c r="B5879" s="845" t="s">
        <v>2558</v>
      </c>
      <c r="D5879" s="863"/>
      <c r="G5879" s="845" t="s">
        <v>1012</v>
      </c>
    </row>
    <row r="5880" spans="1:10" x14ac:dyDescent="0.2">
      <c r="A5880" s="859">
        <f t="shared" si="91"/>
        <v>5879</v>
      </c>
      <c r="B5880" s="845" t="s">
        <v>2558</v>
      </c>
      <c r="D5880" s="862"/>
      <c r="H5880" s="845" t="s">
        <v>1015</v>
      </c>
    </row>
    <row r="5881" spans="1:10" x14ac:dyDescent="0.2">
      <c r="A5881" s="859">
        <f t="shared" si="91"/>
        <v>5880</v>
      </c>
      <c r="B5881" s="845" t="s">
        <v>2558</v>
      </c>
      <c r="D5881" s="862"/>
      <c r="I5881" s="845" t="s">
        <v>1016</v>
      </c>
    </row>
    <row r="5882" spans="1:10" x14ac:dyDescent="0.2">
      <c r="A5882" s="859">
        <f t="shared" si="91"/>
        <v>5881</v>
      </c>
      <c r="B5882" s="845" t="s">
        <v>2558</v>
      </c>
      <c r="D5882" s="861"/>
      <c r="J5882" s="845" t="s">
        <v>1954</v>
      </c>
    </row>
    <row r="5883" spans="1:10" x14ac:dyDescent="0.2">
      <c r="A5883" s="859">
        <f t="shared" si="91"/>
        <v>5882</v>
      </c>
      <c r="B5883" s="845" t="s">
        <v>2558</v>
      </c>
      <c r="D5883" s="861"/>
      <c r="I5883" s="845" t="s">
        <v>1017</v>
      </c>
    </row>
    <row r="5884" spans="1:10" x14ac:dyDescent="0.2">
      <c r="A5884" s="859">
        <f t="shared" si="91"/>
        <v>5883</v>
      </c>
      <c r="B5884" s="845" t="s">
        <v>2558</v>
      </c>
      <c r="D5884" s="862"/>
      <c r="I5884" s="845" t="str">
        <f>CONCATENATE("&lt;valeur&gt;",Cellule_70,"&lt;/valeur&gt;")</f>
        <v>&lt;valeur&gt;31/12/2015&lt;/valeur&gt;</v>
      </c>
    </row>
    <row r="5885" spans="1:10" x14ac:dyDescent="0.2">
      <c r="A5885" s="859">
        <f t="shared" si="91"/>
        <v>5884</v>
      </c>
      <c r="B5885" s="845" t="s">
        <v>2558</v>
      </c>
      <c r="D5885" s="863"/>
      <c r="H5885" s="845" t="s">
        <v>1018</v>
      </c>
    </row>
    <row r="5886" spans="1:10" x14ac:dyDescent="0.2">
      <c r="A5886" s="859">
        <f t="shared" si="91"/>
        <v>5885</v>
      </c>
      <c r="B5886" s="845" t="s">
        <v>2558</v>
      </c>
      <c r="D5886" s="862"/>
      <c r="G5886" s="845" t="s">
        <v>1013</v>
      </c>
    </row>
    <row r="5887" spans="1:10" x14ac:dyDescent="0.2">
      <c r="A5887" s="859">
        <f t="shared" si="91"/>
        <v>5886</v>
      </c>
      <c r="B5887" s="845" t="s">
        <v>2558</v>
      </c>
      <c r="D5887" s="862"/>
      <c r="F5887" s="845" t="s">
        <v>1014</v>
      </c>
    </row>
    <row r="5888" spans="1:10" x14ac:dyDescent="0.2">
      <c r="A5888" s="859">
        <f t="shared" si="91"/>
        <v>5887</v>
      </c>
      <c r="B5888" s="845" t="s">
        <v>2634</v>
      </c>
      <c r="D5888" s="863"/>
      <c r="F5888" s="845" t="s">
        <v>1005</v>
      </c>
    </row>
    <row r="5889" spans="1:10" x14ac:dyDescent="0.2">
      <c r="A5889" s="859">
        <f t="shared" si="91"/>
        <v>5888</v>
      </c>
      <c r="B5889" s="845" t="s">
        <v>2634</v>
      </c>
      <c r="D5889" s="862"/>
      <c r="G5889" s="845" t="s">
        <v>2635</v>
      </c>
    </row>
    <row r="5890" spans="1:10" x14ac:dyDescent="0.2">
      <c r="A5890" s="859">
        <f t="shared" si="91"/>
        <v>5889</v>
      </c>
      <c r="B5890" s="845" t="s">
        <v>2634</v>
      </c>
      <c r="D5890" s="862"/>
      <c r="G5890" s="845" t="s">
        <v>1006</v>
      </c>
    </row>
    <row r="5891" spans="1:10" x14ac:dyDescent="0.2">
      <c r="A5891" s="859">
        <f t="shared" si="91"/>
        <v>5890</v>
      </c>
      <c r="B5891" s="990" t="s">
        <v>2634</v>
      </c>
      <c r="C5891" s="990"/>
      <c r="D5891" s="998"/>
      <c r="E5891" s="990"/>
      <c r="F5891" s="990"/>
      <c r="G5891" s="990"/>
      <c r="H5891" s="990" t="s">
        <v>1007</v>
      </c>
      <c r="I5891" s="990"/>
      <c r="J5891" s="986"/>
    </row>
    <row r="5892" spans="1:10" x14ac:dyDescent="0.2">
      <c r="A5892" s="859">
        <f t="shared" ref="A5892:A5955" si="92">+A5891+1</f>
        <v>5891</v>
      </c>
      <c r="B5892" s="845" t="s">
        <v>2634</v>
      </c>
      <c r="D5892" s="861"/>
      <c r="I5892" s="845" t="s">
        <v>2636</v>
      </c>
      <c r="J5892" s="989"/>
    </row>
    <row r="5893" spans="1:10" x14ac:dyDescent="0.2">
      <c r="A5893" s="859">
        <f t="shared" si="92"/>
        <v>5892</v>
      </c>
      <c r="B5893" s="845" t="s">
        <v>2634</v>
      </c>
      <c r="D5893" s="862"/>
      <c r="I5893" s="845" t="str">
        <f>CONCATENATE("&lt;valeur&gt;",Cellule_1098_1,"&lt;/valeur&gt;")</f>
        <v>&lt;valeur&gt;&lt;/valeur&gt;</v>
      </c>
      <c r="J5893" s="989"/>
    </row>
    <row r="5894" spans="1:10" x14ac:dyDescent="0.2">
      <c r="A5894" s="859">
        <f t="shared" si="92"/>
        <v>5893</v>
      </c>
      <c r="B5894" s="845" t="s">
        <v>2634</v>
      </c>
      <c r="D5894" s="863"/>
      <c r="I5894" s="845" t="s">
        <v>1249</v>
      </c>
      <c r="J5894" s="989"/>
    </row>
    <row r="5895" spans="1:10" x14ac:dyDescent="0.2">
      <c r="A5895" s="859">
        <f t="shared" si="92"/>
        <v>5894</v>
      </c>
      <c r="B5895" s="845" t="s">
        <v>2634</v>
      </c>
      <c r="D5895" s="862"/>
      <c r="H5895" s="845" t="s">
        <v>1010</v>
      </c>
      <c r="J5895" s="989"/>
    </row>
    <row r="5896" spans="1:10" x14ac:dyDescent="0.2">
      <c r="A5896" s="859">
        <f t="shared" si="92"/>
        <v>5895</v>
      </c>
      <c r="B5896" s="845" t="s">
        <v>2634</v>
      </c>
      <c r="D5896" s="862"/>
      <c r="H5896" s="845" t="s">
        <v>1007</v>
      </c>
      <c r="J5896" s="989"/>
    </row>
    <row r="5897" spans="1:10" x14ac:dyDescent="0.2">
      <c r="A5897" s="859">
        <f t="shared" si="92"/>
        <v>5896</v>
      </c>
      <c r="B5897" s="845" t="s">
        <v>2634</v>
      </c>
      <c r="D5897" s="861"/>
      <c r="I5897" s="845" t="s">
        <v>2637</v>
      </c>
      <c r="J5897" s="989"/>
    </row>
    <row r="5898" spans="1:10" x14ac:dyDescent="0.2">
      <c r="A5898" s="859">
        <f t="shared" si="92"/>
        <v>5897</v>
      </c>
      <c r="B5898" s="845" t="s">
        <v>2634</v>
      </c>
      <c r="D5898" s="861"/>
      <c r="I5898" s="845" t="str">
        <f>CONCATENATE("&lt;valeur&gt;",Cellule_1099_1,"&lt;/valeur&gt;")</f>
        <v>&lt;valeur&gt;&lt;/valeur&gt;</v>
      </c>
      <c r="J5898" s="989"/>
    </row>
    <row r="5899" spans="1:10" x14ac:dyDescent="0.2">
      <c r="A5899" s="859">
        <f t="shared" si="92"/>
        <v>5898</v>
      </c>
      <c r="B5899" s="845" t="s">
        <v>2634</v>
      </c>
      <c r="D5899" s="862"/>
      <c r="I5899" s="845" t="s">
        <v>1249</v>
      </c>
      <c r="J5899" s="989"/>
    </row>
    <row r="5900" spans="1:10" x14ac:dyDescent="0.2">
      <c r="A5900" s="859">
        <f t="shared" si="92"/>
        <v>5899</v>
      </c>
      <c r="B5900" s="845" t="s">
        <v>2634</v>
      </c>
      <c r="D5900" s="863"/>
      <c r="H5900" s="845" t="s">
        <v>1010</v>
      </c>
      <c r="J5900" s="989"/>
    </row>
    <row r="5901" spans="1:10" x14ac:dyDescent="0.2">
      <c r="A5901" s="859">
        <f t="shared" si="92"/>
        <v>5900</v>
      </c>
      <c r="B5901" s="845" t="s">
        <v>2634</v>
      </c>
      <c r="D5901" s="862"/>
      <c r="H5901" s="845" t="s">
        <v>1007</v>
      </c>
      <c r="J5901" s="989"/>
    </row>
    <row r="5902" spans="1:10" x14ac:dyDescent="0.2">
      <c r="A5902" s="859">
        <f t="shared" si="92"/>
        <v>5901</v>
      </c>
      <c r="B5902" s="845" t="s">
        <v>2634</v>
      </c>
      <c r="D5902" s="862"/>
      <c r="I5902" s="845" t="s">
        <v>2638</v>
      </c>
      <c r="J5902" s="989"/>
    </row>
    <row r="5903" spans="1:10" x14ac:dyDescent="0.2">
      <c r="A5903" s="859">
        <f t="shared" si="92"/>
        <v>5902</v>
      </c>
      <c r="B5903" s="845" t="s">
        <v>2634</v>
      </c>
      <c r="D5903" s="861"/>
      <c r="I5903" s="845" t="str">
        <f>CONCATENATE("&lt;valeur&gt;",Cellule_1100_1,"&lt;/valeur&gt;")</f>
        <v>&lt;valeur&gt;&lt;/valeur&gt;</v>
      </c>
      <c r="J5903" s="989"/>
    </row>
    <row r="5904" spans="1:10" x14ac:dyDescent="0.2">
      <c r="A5904" s="859">
        <f t="shared" si="92"/>
        <v>5903</v>
      </c>
      <c r="B5904" s="845" t="s">
        <v>2634</v>
      </c>
      <c r="D5904" s="861"/>
      <c r="I5904" s="845" t="s">
        <v>1249</v>
      </c>
      <c r="J5904" s="989"/>
    </row>
    <row r="5905" spans="1:10" x14ac:dyDescent="0.2">
      <c r="A5905" s="859">
        <f t="shared" si="92"/>
        <v>5904</v>
      </c>
      <c r="B5905" s="845" t="s">
        <v>2634</v>
      </c>
      <c r="D5905" s="862"/>
      <c r="H5905" s="845" t="s">
        <v>1010</v>
      </c>
      <c r="J5905" s="989"/>
    </row>
    <row r="5906" spans="1:10" x14ac:dyDescent="0.2">
      <c r="A5906" s="859">
        <f t="shared" si="92"/>
        <v>5905</v>
      </c>
      <c r="B5906" s="845" t="s">
        <v>2634</v>
      </c>
      <c r="D5906" s="863"/>
      <c r="H5906" s="845" t="s">
        <v>1007</v>
      </c>
      <c r="J5906" s="989"/>
    </row>
    <row r="5907" spans="1:10" x14ac:dyDescent="0.2">
      <c r="A5907" s="859">
        <f t="shared" si="92"/>
        <v>5906</v>
      </c>
      <c r="B5907" s="845" t="s">
        <v>2634</v>
      </c>
      <c r="D5907" s="862"/>
      <c r="I5907" s="845" t="s">
        <v>2639</v>
      </c>
      <c r="J5907" s="989"/>
    </row>
    <row r="5908" spans="1:10" x14ac:dyDescent="0.2">
      <c r="A5908" s="859">
        <f t="shared" si="92"/>
        <v>5907</v>
      </c>
      <c r="B5908" s="845" t="s">
        <v>2634</v>
      </c>
      <c r="D5908" s="862"/>
      <c r="I5908" s="845" t="str">
        <f>CONCATENATE("&lt;valeur&gt;",Cellule_1101_1,"&lt;/valeur&gt;")</f>
        <v>&lt;valeur&gt;&lt;/valeur&gt;</v>
      </c>
      <c r="J5908" s="989"/>
    </row>
    <row r="5909" spans="1:10" x14ac:dyDescent="0.2">
      <c r="A5909" s="859">
        <f t="shared" si="92"/>
        <v>5908</v>
      </c>
      <c r="B5909" s="845" t="s">
        <v>2634</v>
      </c>
      <c r="D5909" s="861"/>
      <c r="I5909" s="845" t="s">
        <v>1249</v>
      </c>
      <c r="J5909" s="989"/>
    </row>
    <row r="5910" spans="1:10" x14ac:dyDescent="0.2">
      <c r="A5910" s="859">
        <f t="shared" si="92"/>
        <v>5909</v>
      </c>
      <c r="B5910" s="845" t="s">
        <v>2634</v>
      </c>
      <c r="D5910" s="861"/>
      <c r="H5910" s="845" t="s">
        <v>1010</v>
      </c>
      <c r="J5910" s="989"/>
    </row>
    <row r="5911" spans="1:10" x14ac:dyDescent="0.2">
      <c r="A5911" s="859">
        <f t="shared" si="92"/>
        <v>5910</v>
      </c>
      <c r="B5911" s="845" t="s">
        <v>2634</v>
      </c>
      <c r="D5911" s="862"/>
      <c r="H5911" s="845" t="s">
        <v>1007</v>
      </c>
      <c r="J5911" s="989"/>
    </row>
    <row r="5912" spans="1:10" x14ac:dyDescent="0.2">
      <c r="A5912" s="859">
        <f t="shared" si="92"/>
        <v>5911</v>
      </c>
      <c r="B5912" s="845" t="s">
        <v>2634</v>
      </c>
      <c r="D5912" s="863"/>
      <c r="I5912" s="845" t="s">
        <v>2640</v>
      </c>
      <c r="J5912" s="989"/>
    </row>
    <row r="5913" spans="1:10" x14ac:dyDescent="0.2">
      <c r="A5913" s="859">
        <f t="shared" si="92"/>
        <v>5912</v>
      </c>
      <c r="B5913" s="845" t="s">
        <v>2634</v>
      </c>
      <c r="D5913" s="862"/>
      <c r="I5913" s="845" t="str">
        <f>CONCATENATE("&lt;valeur&gt;",Cellule_1102_1,"&lt;/valeur&gt;")</f>
        <v>&lt;valeur&gt;&lt;/valeur&gt;</v>
      </c>
      <c r="J5913" s="989"/>
    </row>
    <row r="5914" spans="1:10" x14ac:dyDescent="0.2">
      <c r="A5914" s="859">
        <f t="shared" si="92"/>
        <v>5913</v>
      </c>
      <c r="B5914" s="845" t="s">
        <v>2634</v>
      </c>
      <c r="D5914" s="862"/>
      <c r="I5914" s="845" t="s">
        <v>1249</v>
      </c>
      <c r="J5914" s="989"/>
    </row>
    <row r="5915" spans="1:10" x14ac:dyDescent="0.2">
      <c r="A5915" s="859">
        <f t="shared" si="92"/>
        <v>5914</v>
      </c>
      <c r="B5915" s="845" t="s">
        <v>2634</v>
      </c>
      <c r="D5915" s="861"/>
      <c r="H5915" s="845" t="s">
        <v>1010</v>
      </c>
      <c r="J5915" s="989"/>
    </row>
    <row r="5916" spans="1:10" x14ac:dyDescent="0.2">
      <c r="A5916" s="859">
        <f t="shared" si="92"/>
        <v>5915</v>
      </c>
      <c r="B5916" s="845" t="s">
        <v>2634</v>
      </c>
      <c r="D5916" s="861"/>
      <c r="H5916" s="845" t="s">
        <v>1007</v>
      </c>
      <c r="J5916" s="989"/>
    </row>
    <row r="5917" spans="1:10" x14ac:dyDescent="0.2">
      <c r="A5917" s="859">
        <f t="shared" si="92"/>
        <v>5916</v>
      </c>
      <c r="B5917" s="845" t="s">
        <v>2634</v>
      </c>
      <c r="D5917" s="862"/>
      <c r="I5917" s="845" t="s">
        <v>2641</v>
      </c>
      <c r="J5917" s="989"/>
    </row>
    <row r="5918" spans="1:10" x14ac:dyDescent="0.2">
      <c r="A5918" s="859">
        <f t="shared" si="92"/>
        <v>5917</v>
      </c>
      <c r="B5918" s="845" t="s">
        <v>2634</v>
      </c>
      <c r="D5918" s="863"/>
      <c r="I5918" s="845" t="str">
        <f>CONCATENATE("&lt;valeur&gt;",Cellule_1103_1,"&lt;/valeur&gt;")</f>
        <v>&lt;valeur&gt;&lt;/valeur&gt;</v>
      </c>
      <c r="J5918" s="989"/>
    </row>
    <row r="5919" spans="1:10" x14ac:dyDescent="0.2">
      <c r="A5919" s="859">
        <f t="shared" si="92"/>
        <v>5918</v>
      </c>
      <c r="B5919" s="845" t="s">
        <v>2634</v>
      </c>
      <c r="D5919" s="862"/>
      <c r="I5919" s="845" t="s">
        <v>1249</v>
      </c>
      <c r="J5919" s="989"/>
    </row>
    <row r="5920" spans="1:10" x14ac:dyDescent="0.2">
      <c r="A5920" s="859">
        <f t="shared" si="92"/>
        <v>5919</v>
      </c>
      <c r="B5920" s="845" t="s">
        <v>2634</v>
      </c>
      <c r="D5920" s="862"/>
      <c r="H5920" s="845" t="s">
        <v>1010</v>
      </c>
      <c r="J5920" s="989"/>
    </row>
    <row r="5921" spans="1:10" x14ac:dyDescent="0.2">
      <c r="A5921" s="859">
        <f t="shared" si="92"/>
        <v>5920</v>
      </c>
      <c r="B5921" s="845" t="s">
        <v>2634</v>
      </c>
      <c r="D5921" s="861"/>
      <c r="H5921" s="845" t="s">
        <v>1007</v>
      </c>
      <c r="J5921" s="989"/>
    </row>
    <row r="5922" spans="1:10" x14ac:dyDescent="0.2">
      <c r="A5922" s="859">
        <f t="shared" si="92"/>
        <v>5921</v>
      </c>
      <c r="B5922" s="845" t="s">
        <v>2634</v>
      </c>
      <c r="D5922" s="861"/>
      <c r="I5922" s="845" t="s">
        <v>2642</v>
      </c>
      <c r="J5922" s="989"/>
    </row>
    <row r="5923" spans="1:10" x14ac:dyDescent="0.2">
      <c r="A5923" s="859">
        <f t="shared" si="92"/>
        <v>5922</v>
      </c>
      <c r="B5923" s="845" t="s">
        <v>2634</v>
      </c>
      <c r="D5923" s="862"/>
      <c r="I5923" s="845" t="str">
        <f>CONCATENATE("&lt;valeur&gt;",Cellule_1104_1,"&lt;/valeur&gt;")</f>
        <v>&lt;valeur&gt;&lt;/valeur&gt;</v>
      </c>
      <c r="J5923" s="989"/>
    </row>
    <row r="5924" spans="1:10" x14ac:dyDescent="0.2">
      <c r="A5924" s="859">
        <f t="shared" si="92"/>
        <v>5923</v>
      </c>
      <c r="B5924" s="845" t="s">
        <v>2634</v>
      </c>
      <c r="D5924" s="863"/>
      <c r="I5924" s="845" t="s">
        <v>1249</v>
      </c>
      <c r="J5924" s="989"/>
    </row>
    <row r="5925" spans="1:10" x14ac:dyDescent="0.2">
      <c r="A5925" s="859">
        <f t="shared" si="92"/>
        <v>5924</v>
      </c>
      <c r="B5925" s="845" t="s">
        <v>2634</v>
      </c>
      <c r="D5925" s="862"/>
      <c r="H5925" s="845" t="s">
        <v>1010</v>
      </c>
      <c r="J5925" s="989"/>
    </row>
    <row r="5926" spans="1:10" x14ac:dyDescent="0.2">
      <c r="A5926" s="859">
        <f t="shared" si="92"/>
        <v>5925</v>
      </c>
      <c r="B5926" s="845" t="s">
        <v>2634</v>
      </c>
      <c r="D5926" s="862"/>
      <c r="H5926" s="845" t="s">
        <v>1007</v>
      </c>
      <c r="J5926" s="989"/>
    </row>
    <row r="5927" spans="1:10" x14ac:dyDescent="0.2">
      <c r="A5927" s="859">
        <f t="shared" si="92"/>
        <v>5926</v>
      </c>
      <c r="B5927" s="845" t="s">
        <v>2634</v>
      </c>
      <c r="D5927" s="861"/>
      <c r="I5927" s="845" t="s">
        <v>2643</v>
      </c>
      <c r="J5927" s="989"/>
    </row>
    <row r="5928" spans="1:10" x14ac:dyDescent="0.2">
      <c r="A5928" s="859">
        <f t="shared" si="92"/>
        <v>5927</v>
      </c>
      <c r="B5928" s="845" t="s">
        <v>2634</v>
      </c>
      <c r="D5928" s="861"/>
      <c r="I5928" s="845" t="str">
        <f>CONCATENATE("&lt;valeur&gt;",Cellule_1105_1,"&lt;/valeur&gt;")</f>
        <v>&lt;valeur&gt;&lt;/valeur&gt;</v>
      </c>
      <c r="J5928" s="989"/>
    </row>
    <row r="5929" spans="1:10" x14ac:dyDescent="0.2">
      <c r="A5929" s="859">
        <f t="shared" si="92"/>
        <v>5928</v>
      </c>
      <c r="B5929" s="845" t="s">
        <v>2634</v>
      </c>
      <c r="D5929" s="862"/>
      <c r="I5929" s="845" t="s">
        <v>1249</v>
      </c>
      <c r="J5929" s="989"/>
    </row>
    <row r="5930" spans="1:10" x14ac:dyDescent="0.2">
      <c r="A5930" s="859">
        <f t="shared" si="92"/>
        <v>5929</v>
      </c>
      <c r="B5930" s="845" t="s">
        <v>2634</v>
      </c>
      <c r="D5930" s="863"/>
      <c r="H5930" s="845" t="s">
        <v>1010</v>
      </c>
      <c r="J5930" s="989"/>
    </row>
    <row r="5931" spans="1:10" x14ac:dyDescent="0.2">
      <c r="A5931" s="859">
        <f t="shared" si="92"/>
        <v>5930</v>
      </c>
      <c r="B5931" s="845" t="s">
        <v>2634</v>
      </c>
      <c r="D5931" s="862"/>
      <c r="H5931" s="845" t="s">
        <v>1007</v>
      </c>
      <c r="J5931" s="989"/>
    </row>
    <row r="5932" spans="1:10" x14ac:dyDescent="0.2">
      <c r="A5932" s="859">
        <f t="shared" si="92"/>
        <v>5931</v>
      </c>
      <c r="B5932" s="845" t="s">
        <v>2634</v>
      </c>
      <c r="D5932" s="861"/>
      <c r="I5932" s="845" t="s">
        <v>2644</v>
      </c>
      <c r="J5932" s="989"/>
    </row>
    <row r="5933" spans="1:10" x14ac:dyDescent="0.2">
      <c r="A5933" s="859">
        <f t="shared" si="92"/>
        <v>5932</v>
      </c>
      <c r="B5933" s="845" t="s">
        <v>2634</v>
      </c>
      <c r="D5933" s="861"/>
      <c r="I5933" s="845" t="str">
        <f>CONCATENATE("&lt;valeur&gt;",Cellule_1106_1,"&lt;/valeur&gt;")</f>
        <v>&lt;valeur&gt;&lt;/valeur&gt;</v>
      </c>
      <c r="J5933" s="989"/>
    </row>
    <row r="5934" spans="1:10" x14ac:dyDescent="0.2">
      <c r="A5934" s="859">
        <f t="shared" si="92"/>
        <v>5933</v>
      </c>
      <c r="B5934" s="845" t="s">
        <v>2634</v>
      </c>
      <c r="D5934" s="862"/>
      <c r="I5934" s="845" t="s">
        <v>1249</v>
      </c>
      <c r="J5934" s="989"/>
    </row>
    <row r="5935" spans="1:10" x14ac:dyDescent="0.2">
      <c r="A5935" s="859">
        <f t="shared" si="92"/>
        <v>5934</v>
      </c>
      <c r="B5935" s="845" t="s">
        <v>2634</v>
      </c>
      <c r="D5935" s="863"/>
      <c r="H5935" s="845" t="s">
        <v>1010</v>
      </c>
      <c r="J5935" s="989"/>
    </row>
    <row r="5936" spans="1:10" x14ac:dyDescent="0.2">
      <c r="A5936" s="859">
        <f t="shared" si="92"/>
        <v>5935</v>
      </c>
      <c r="B5936" s="845" t="s">
        <v>2634</v>
      </c>
      <c r="D5936" s="862"/>
      <c r="H5936" s="845" t="s">
        <v>1007</v>
      </c>
      <c r="J5936" s="989"/>
    </row>
    <row r="5937" spans="1:10" x14ac:dyDescent="0.2">
      <c r="A5937" s="859">
        <f t="shared" si="92"/>
        <v>5936</v>
      </c>
      <c r="B5937" s="845" t="s">
        <v>2634</v>
      </c>
      <c r="D5937" s="861"/>
      <c r="I5937" s="845" t="s">
        <v>2645</v>
      </c>
      <c r="J5937" s="989"/>
    </row>
    <row r="5938" spans="1:10" x14ac:dyDescent="0.2">
      <c r="A5938" s="859">
        <f t="shared" si="92"/>
        <v>5937</v>
      </c>
      <c r="B5938" s="845" t="s">
        <v>2634</v>
      </c>
      <c r="D5938" s="861"/>
      <c r="I5938" s="845" t="str">
        <f>CONCATENATE("&lt;valeur&gt;",Cellule_1107_1,"&lt;/valeur&gt;")</f>
        <v>&lt;valeur&gt;&lt;/valeur&gt;</v>
      </c>
      <c r="J5938" s="989"/>
    </row>
    <row r="5939" spans="1:10" x14ac:dyDescent="0.2">
      <c r="A5939" s="859">
        <f t="shared" si="92"/>
        <v>5938</v>
      </c>
      <c r="B5939" s="845" t="s">
        <v>2634</v>
      </c>
      <c r="D5939" s="862"/>
      <c r="I5939" s="845" t="s">
        <v>1249</v>
      </c>
      <c r="J5939" s="989"/>
    </row>
    <row r="5940" spans="1:10" x14ac:dyDescent="0.2">
      <c r="A5940" s="859">
        <f t="shared" si="92"/>
        <v>5939</v>
      </c>
      <c r="B5940" s="845" t="s">
        <v>2634</v>
      </c>
      <c r="D5940" s="863"/>
      <c r="H5940" s="845" t="s">
        <v>1010</v>
      </c>
      <c r="J5940" s="989"/>
    </row>
    <row r="5941" spans="1:10" x14ac:dyDescent="0.2">
      <c r="A5941" s="859">
        <f t="shared" si="92"/>
        <v>5940</v>
      </c>
      <c r="B5941" s="845" t="s">
        <v>2634</v>
      </c>
      <c r="D5941" s="862"/>
      <c r="H5941" s="845" t="s">
        <v>1007</v>
      </c>
      <c r="J5941" s="989"/>
    </row>
    <row r="5942" spans="1:10" x14ac:dyDescent="0.2">
      <c r="A5942" s="859">
        <f t="shared" si="92"/>
        <v>5941</v>
      </c>
      <c r="B5942" s="845" t="s">
        <v>2634</v>
      </c>
      <c r="D5942" s="861"/>
      <c r="I5942" s="845" t="s">
        <v>2646</v>
      </c>
      <c r="J5942" s="989"/>
    </row>
    <row r="5943" spans="1:10" x14ac:dyDescent="0.2">
      <c r="A5943" s="859">
        <f t="shared" si="92"/>
        <v>5942</v>
      </c>
      <c r="B5943" s="845" t="s">
        <v>2634</v>
      </c>
      <c r="D5943" s="861"/>
      <c r="I5943" s="845" t="str">
        <f>CONCATENATE("&lt;valeur&gt;",Cellule_1108_1,"&lt;/valeur&gt;")</f>
        <v>&lt;valeur&gt;&lt;/valeur&gt;</v>
      </c>
      <c r="J5943" s="989"/>
    </row>
    <row r="5944" spans="1:10" x14ac:dyDescent="0.2">
      <c r="A5944" s="859">
        <f t="shared" si="92"/>
        <v>5943</v>
      </c>
      <c r="B5944" s="845" t="s">
        <v>2634</v>
      </c>
      <c r="D5944" s="862"/>
      <c r="I5944" s="845" t="s">
        <v>1249</v>
      </c>
      <c r="J5944" s="989"/>
    </row>
    <row r="5945" spans="1:10" x14ac:dyDescent="0.2">
      <c r="A5945" s="859">
        <f t="shared" si="92"/>
        <v>5944</v>
      </c>
      <c r="B5945" s="991" t="s">
        <v>2634</v>
      </c>
      <c r="C5945" s="991"/>
      <c r="D5945" s="999"/>
      <c r="E5945" s="991"/>
      <c r="F5945" s="991"/>
      <c r="G5945" s="991"/>
      <c r="H5945" s="991" t="s">
        <v>1010</v>
      </c>
      <c r="I5945" s="991"/>
      <c r="J5945" s="1000"/>
    </row>
    <row r="5946" spans="1:10" x14ac:dyDescent="0.2">
      <c r="A5946" s="859">
        <f t="shared" si="92"/>
        <v>5945</v>
      </c>
      <c r="B5946" s="990" t="s">
        <v>2634</v>
      </c>
      <c r="C5946" s="990"/>
      <c r="D5946" s="998"/>
      <c r="E5946" s="990"/>
      <c r="F5946" s="990"/>
      <c r="G5946" s="990"/>
      <c r="H5946" s="990" t="s">
        <v>1007</v>
      </c>
      <c r="I5946" s="990"/>
      <c r="J5946" s="986"/>
    </row>
    <row r="5947" spans="1:10" x14ac:dyDescent="0.2">
      <c r="A5947" s="859">
        <f t="shared" si="92"/>
        <v>5946</v>
      </c>
      <c r="B5947" s="845" t="s">
        <v>2634</v>
      </c>
      <c r="D5947" s="861"/>
      <c r="I5947" s="845" t="s">
        <v>2636</v>
      </c>
      <c r="J5947" s="989"/>
    </row>
    <row r="5948" spans="1:10" x14ac:dyDescent="0.2">
      <c r="A5948" s="859">
        <f t="shared" si="92"/>
        <v>5947</v>
      </c>
      <c r="B5948" s="845" t="s">
        <v>2634</v>
      </c>
      <c r="D5948" s="862"/>
      <c r="I5948" s="845" t="str">
        <f>CONCATENATE("&lt;valeur&gt;",Cellule_1098_2,"&lt;/valeur&gt;")</f>
        <v>&lt;valeur&gt;&lt;/valeur&gt;</v>
      </c>
      <c r="J5948" s="989"/>
    </row>
    <row r="5949" spans="1:10" x14ac:dyDescent="0.2">
      <c r="A5949" s="859">
        <f t="shared" si="92"/>
        <v>5948</v>
      </c>
      <c r="B5949" s="845" t="s">
        <v>2634</v>
      </c>
      <c r="D5949" s="863"/>
      <c r="I5949" s="845" t="s">
        <v>2577</v>
      </c>
      <c r="J5949" s="989"/>
    </row>
    <row r="5950" spans="1:10" x14ac:dyDescent="0.2">
      <c r="A5950" s="859">
        <f t="shared" si="92"/>
        <v>5949</v>
      </c>
      <c r="B5950" s="845" t="s">
        <v>2634</v>
      </c>
      <c r="D5950" s="862"/>
      <c r="H5950" s="845" t="s">
        <v>1010</v>
      </c>
      <c r="J5950" s="989"/>
    </row>
    <row r="5951" spans="1:10" x14ac:dyDescent="0.2">
      <c r="A5951" s="859">
        <f t="shared" si="92"/>
        <v>5950</v>
      </c>
      <c r="B5951" s="845" t="s">
        <v>2634</v>
      </c>
      <c r="D5951" s="862"/>
      <c r="H5951" s="845" t="s">
        <v>1007</v>
      </c>
      <c r="J5951" s="989"/>
    </row>
    <row r="5952" spans="1:10" x14ac:dyDescent="0.2">
      <c r="A5952" s="859">
        <f t="shared" si="92"/>
        <v>5951</v>
      </c>
      <c r="B5952" s="845" t="s">
        <v>2634</v>
      </c>
      <c r="D5952" s="861"/>
      <c r="I5952" s="845" t="s">
        <v>2637</v>
      </c>
      <c r="J5952" s="989"/>
    </row>
    <row r="5953" spans="1:10" x14ac:dyDescent="0.2">
      <c r="A5953" s="859">
        <f t="shared" si="92"/>
        <v>5952</v>
      </c>
      <c r="B5953" s="845" t="s">
        <v>2634</v>
      </c>
      <c r="D5953" s="861"/>
      <c r="I5953" s="845" t="str">
        <f>CONCATENATE("&lt;valeur&gt;",Cellule_1099_2,"&lt;/valeur&gt;")</f>
        <v>&lt;valeur&gt;&lt;/valeur&gt;</v>
      </c>
      <c r="J5953" s="989"/>
    </row>
    <row r="5954" spans="1:10" x14ac:dyDescent="0.2">
      <c r="A5954" s="859">
        <f t="shared" si="92"/>
        <v>5953</v>
      </c>
      <c r="B5954" s="845" t="s">
        <v>2634</v>
      </c>
      <c r="D5954" s="862"/>
      <c r="I5954" s="845" t="s">
        <v>2577</v>
      </c>
      <c r="J5954" s="989"/>
    </row>
    <row r="5955" spans="1:10" x14ac:dyDescent="0.2">
      <c r="A5955" s="859">
        <f t="shared" si="92"/>
        <v>5954</v>
      </c>
      <c r="B5955" s="845" t="s">
        <v>2634</v>
      </c>
      <c r="D5955" s="863"/>
      <c r="H5955" s="845" t="s">
        <v>1010</v>
      </c>
      <c r="J5955" s="989"/>
    </row>
    <row r="5956" spans="1:10" x14ac:dyDescent="0.2">
      <c r="A5956" s="859">
        <f t="shared" ref="A5956:A6019" si="93">+A5955+1</f>
        <v>5955</v>
      </c>
      <c r="B5956" s="845" t="s">
        <v>2634</v>
      </c>
      <c r="D5956" s="862"/>
      <c r="H5956" s="845" t="s">
        <v>1007</v>
      </c>
      <c r="J5956" s="989"/>
    </row>
    <row r="5957" spans="1:10" x14ac:dyDescent="0.2">
      <c r="A5957" s="859">
        <f t="shared" si="93"/>
        <v>5956</v>
      </c>
      <c r="B5957" s="845" t="s">
        <v>2634</v>
      </c>
      <c r="D5957" s="862"/>
      <c r="I5957" s="845" t="s">
        <v>2638</v>
      </c>
      <c r="J5957" s="989"/>
    </row>
    <row r="5958" spans="1:10" x14ac:dyDescent="0.2">
      <c r="A5958" s="859">
        <f t="shared" si="93"/>
        <v>5957</v>
      </c>
      <c r="B5958" s="845" t="s">
        <v>2634</v>
      </c>
      <c r="D5958" s="861"/>
      <c r="I5958" s="845" t="str">
        <f>CONCATENATE("&lt;valeur&gt;",Cellule_1100_2,"&lt;/valeur&gt;")</f>
        <v>&lt;valeur&gt;&lt;/valeur&gt;</v>
      </c>
      <c r="J5958" s="989"/>
    </row>
    <row r="5959" spans="1:10" x14ac:dyDescent="0.2">
      <c r="A5959" s="859">
        <f t="shared" si="93"/>
        <v>5958</v>
      </c>
      <c r="B5959" s="845" t="s">
        <v>2634</v>
      </c>
      <c r="D5959" s="861"/>
      <c r="I5959" s="845" t="s">
        <v>2577</v>
      </c>
      <c r="J5959" s="989"/>
    </row>
    <row r="5960" spans="1:10" x14ac:dyDescent="0.2">
      <c r="A5960" s="859">
        <f t="shared" si="93"/>
        <v>5959</v>
      </c>
      <c r="B5960" s="845" t="s">
        <v>2634</v>
      </c>
      <c r="D5960" s="862"/>
      <c r="H5960" s="845" t="s">
        <v>1010</v>
      </c>
      <c r="J5960" s="989"/>
    </row>
    <row r="5961" spans="1:10" x14ac:dyDescent="0.2">
      <c r="A5961" s="859">
        <f t="shared" si="93"/>
        <v>5960</v>
      </c>
      <c r="B5961" s="845" t="s">
        <v>2634</v>
      </c>
      <c r="D5961" s="863"/>
      <c r="H5961" s="845" t="s">
        <v>1007</v>
      </c>
      <c r="J5961" s="989"/>
    </row>
    <row r="5962" spans="1:10" x14ac:dyDescent="0.2">
      <c r="A5962" s="859">
        <f t="shared" si="93"/>
        <v>5961</v>
      </c>
      <c r="B5962" s="845" t="s">
        <v>2634</v>
      </c>
      <c r="D5962" s="862"/>
      <c r="I5962" s="845" t="s">
        <v>2639</v>
      </c>
      <c r="J5962" s="989"/>
    </row>
    <row r="5963" spans="1:10" x14ac:dyDescent="0.2">
      <c r="A5963" s="859">
        <f t="shared" si="93"/>
        <v>5962</v>
      </c>
      <c r="B5963" s="845" t="s">
        <v>2634</v>
      </c>
      <c r="D5963" s="862"/>
      <c r="I5963" s="845" t="str">
        <f>CONCATENATE("&lt;valeur&gt;",Cellule_1101_2,"&lt;/valeur&gt;")</f>
        <v>&lt;valeur&gt;&lt;/valeur&gt;</v>
      </c>
      <c r="J5963" s="989"/>
    </row>
    <row r="5964" spans="1:10" x14ac:dyDescent="0.2">
      <c r="A5964" s="859">
        <f t="shared" si="93"/>
        <v>5963</v>
      </c>
      <c r="B5964" s="845" t="s">
        <v>2634</v>
      </c>
      <c r="D5964" s="861"/>
      <c r="I5964" s="845" t="s">
        <v>2577</v>
      </c>
      <c r="J5964" s="989"/>
    </row>
    <row r="5965" spans="1:10" x14ac:dyDescent="0.2">
      <c r="A5965" s="859">
        <f t="shared" si="93"/>
        <v>5964</v>
      </c>
      <c r="B5965" s="845" t="s">
        <v>2634</v>
      </c>
      <c r="D5965" s="861"/>
      <c r="H5965" s="845" t="s">
        <v>1010</v>
      </c>
      <c r="J5965" s="989"/>
    </row>
    <row r="5966" spans="1:10" x14ac:dyDescent="0.2">
      <c r="A5966" s="859">
        <f t="shared" si="93"/>
        <v>5965</v>
      </c>
      <c r="B5966" s="845" t="s">
        <v>2634</v>
      </c>
      <c r="D5966" s="862"/>
      <c r="H5966" s="845" t="s">
        <v>1007</v>
      </c>
      <c r="J5966" s="989"/>
    </row>
    <row r="5967" spans="1:10" x14ac:dyDescent="0.2">
      <c r="A5967" s="859">
        <f t="shared" si="93"/>
        <v>5966</v>
      </c>
      <c r="B5967" s="845" t="s">
        <v>2634</v>
      </c>
      <c r="D5967" s="863"/>
      <c r="I5967" s="845" t="s">
        <v>2640</v>
      </c>
      <c r="J5967" s="989"/>
    </row>
    <row r="5968" spans="1:10" x14ac:dyDescent="0.2">
      <c r="A5968" s="859">
        <f t="shared" si="93"/>
        <v>5967</v>
      </c>
      <c r="B5968" s="845" t="s">
        <v>2634</v>
      </c>
      <c r="D5968" s="862"/>
      <c r="I5968" s="845" t="str">
        <f>CONCATENATE("&lt;valeur&gt;",Cellule_1102_2,"&lt;/valeur&gt;")</f>
        <v>&lt;valeur&gt;&lt;/valeur&gt;</v>
      </c>
      <c r="J5968" s="989"/>
    </row>
    <row r="5969" spans="1:10" x14ac:dyDescent="0.2">
      <c r="A5969" s="859">
        <f t="shared" si="93"/>
        <v>5968</v>
      </c>
      <c r="B5969" s="845" t="s">
        <v>2634</v>
      </c>
      <c r="D5969" s="862"/>
      <c r="I5969" s="845" t="s">
        <v>2577</v>
      </c>
      <c r="J5969" s="989"/>
    </row>
    <row r="5970" spans="1:10" x14ac:dyDescent="0.2">
      <c r="A5970" s="859">
        <f t="shared" si="93"/>
        <v>5969</v>
      </c>
      <c r="B5970" s="845" t="s">
        <v>2634</v>
      </c>
      <c r="D5970" s="861"/>
      <c r="H5970" s="845" t="s">
        <v>1010</v>
      </c>
      <c r="J5970" s="989"/>
    </row>
    <row r="5971" spans="1:10" x14ac:dyDescent="0.2">
      <c r="A5971" s="859">
        <f t="shared" si="93"/>
        <v>5970</v>
      </c>
      <c r="B5971" s="845" t="s">
        <v>2634</v>
      </c>
      <c r="D5971" s="861"/>
      <c r="H5971" s="845" t="s">
        <v>1007</v>
      </c>
      <c r="J5971" s="989"/>
    </row>
    <row r="5972" spans="1:10" x14ac:dyDescent="0.2">
      <c r="A5972" s="859">
        <f t="shared" si="93"/>
        <v>5971</v>
      </c>
      <c r="B5972" s="845" t="s">
        <v>2634</v>
      </c>
      <c r="D5972" s="862"/>
      <c r="I5972" s="845" t="s">
        <v>2641</v>
      </c>
      <c r="J5972" s="989"/>
    </row>
    <row r="5973" spans="1:10" x14ac:dyDescent="0.2">
      <c r="A5973" s="859">
        <f t="shared" si="93"/>
        <v>5972</v>
      </c>
      <c r="B5973" s="845" t="s">
        <v>2634</v>
      </c>
      <c r="D5973" s="863"/>
      <c r="I5973" s="845" t="str">
        <f>CONCATENATE("&lt;valeur&gt;",Cellule_1103_2,"&lt;/valeur&gt;")</f>
        <v>&lt;valeur&gt;&lt;/valeur&gt;</v>
      </c>
      <c r="J5973" s="989"/>
    </row>
    <row r="5974" spans="1:10" x14ac:dyDescent="0.2">
      <c r="A5974" s="859">
        <f t="shared" si="93"/>
        <v>5973</v>
      </c>
      <c r="B5974" s="845" t="s">
        <v>2634</v>
      </c>
      <c r="D5974" s="862"/>
      <c r="I5974" s="845" t="s">
        <v>2577</v>
      </c>
      <c r="J5974" s="989"/>
    </row>
    <row r="5975" spans="1:10" x14ac:dyDescent="0.2">
      <c r="A5975" s="859">
        <f t="shared" si="93"/>
        <v>5974</v>
      </c>
      <c r="B5975" s="845" t="s">
        <v>2634</v>
      </c>
      <c r="D5975" s="862"/>
      <c r="H5975" s="845" t="s">
        <v>1010</v>
      </c>
      <c r="J5975" s="989"/>
    </row>
    <row r="5976" spans="1:10" x14ac:dyDescent="0.2">
      <c r="A5976" s="859">
        <f t="shared" si="93"/>
        <v>5975</v>
      </c>
      <c r="B5976" s="845" t="s">
        <v>2634</v>
      </c>
      <c r="D5976" s="861"/>
      <c r="H5976" s="845" t="s">
        <v>1007</v>
      </c>
      <c r="J5976" s="989"/>
    </row>
    <row r="5977" spans="1:10" x14ac:dyDescent="0.2">
      <c r="A5977" s="859">
        <f t="shared" si="93"/>
        <v>5976</v>
      </c>
      <c r="B5977" s="845" t="s">
        <v>2634</v>
      </c>
      <c r="D5977" s="861"/>
      <c r="I5977" s="845" t="s">
        <v>2642</v>
      </c>
      <c r="J5977" s="989"/>
    </row>
    <row r="5978" spans="1:10" x14ac:dyDescent="0.2">
      <c r="A5978" s="859">
        <f t="shared" si="93"/>
        <v>5977</v>
      </c>
      <c r="B5978" s="845" t="s">
        <v>2634</v>
      </c>
      <c r="D5978" s="862"/>
      <c r="I5978" s="845" t="str">
        <f>CONCATENATE("&lt;valeur&gt;",Cellule_1104_2,"&lt;/valeur&gt;")</f>
        <v>&lt;valeur&gt;&lt;/valeur&gt;</v>
      </c>
      <c r="J5978" s="989"/>
    </row>
    <row r="5979" spans="1:10" x14ac:dyDescent="0.2">
      <c r="A5979" s="859">
        <f t="shared" si="93"/>
        <v>5978</v>
      </c>
      <c r="B5979" s="845" t="s">
        <v>2634</v>
      </c>
      <c r="D5979" s="863"/>
      <c r="I5979" s="845" t="s">
        <v>2577</v>
      </c>
      <c r="J5979" s="989"/>
    </row>
    <row r="5980" spans="1:10" x14ac:dyDescent="0.2">
      <c r="A5980" s="859">
        <f t="shared" si="93"/>
        <v>5979</v>
      </c>
      <c r="B5980" s="845" t="s">
        <v>2634</v>
      </c>
      <c r="D5980" s="862"/>
      <c r="H5980" s="845" t="s">
        <v>1010</v>
      </c>
      <c r="J5980" s="989"/>
    </row>
    <row r="5981" spans="1:10" x14ac:dyDescent="0.2">
      <c r="A5981" s="859">
        <f t="shared" si="93"/>
        <v>5980</v>
      </c>
      <c r="B5981" s="845" t="s">
        <v>2634</v>
      </c>
      <c r="D5981" s="862"/>
      <c r="H5981" s="845" t="s">
        <v>1007</v>
      </c>
      <c r="J5981" s="989"/>
    </row>
    <row r="5982" spans="1:10" x14ac:dyDescent="0.2">
      <c r="A5982" s="859">
        <f t="shared" si="93"/>
        <v>5981</v>
      </c>
      <c r="B5982" s="845" t="s">
        <v>2634</v>
      </c>
      <c r="D5982" s="861"/>
      <c r="I5982" s="845" t="s">
        <v>2643</v>
      </c>
      <c r="J5982" s="989"/>
    </row>
    <row r="5983" spans="1:10" x14ac:dyDescent="0.2">
      <c r="A5983" s="859">
        <f t="shared" si="93"/>
        <v>5982</v>
      </c>
      <c r="B5983" s="845" t="s">
        <v>2634</v>
      </c>
      <c r="D5983" s="861"/>
      <c r="I5983" s="845" t="str">
        <f>CONCATENATE("&lt;valeur&gt;",Cellule_1105_2,"&lt;/valeur&gt;")</f>
        <v>&lt;valeur&gt;&lt;/valeur&gt;</v>
      </c>
      <c r="J5983" s="989"/>
    </row>
    <row r="5984" spans="1:10" x14ac:dyDescent="0.2">
      <c r="A5984" s="859">
        <f t="shared" si="93"/>
        <v>5983</v>
      </c>
      <c r="B5984" s="845" t="s">
        <v>2634</v>
      </c>
      <c r="D5984" s="862"/>
      <c r="I5984" s="845" t="s">
        <v>2577</v>
      </c>
      <c r="J5984" s="989"/>
    </row>
    <row r="5985" spans="1:10" x14ac:dyDescent="0.2">
      <c r="A5985" s="859">
        <f t="shared" si="93"/>
        <v>5984</v>
      </c>
      <c r="B5985" s="845" t="s">
        <v>2634</v>
      </c>
      <c r="D5985" s="863"/>
      <c r="H5985" s="845" t="s">
        <v>1010</v>
      </c>
      <c r="J5985" s="989"/>
    </row>
    <row r="5986" spans="1:10" x14ac:dyDescent="0.2">
      <c r="A5986" s="859">
        <f t="shared" si="93"/>
        <v>5985</v>
      </c>
      <c r="B5986" s="845" t="s">
        <v>2634</v>
      </c>
      <c r="D5986" s="862"/>
      <c r="H5986" s="845" t="s">
        <v>1007</v>
      </c>
      <c r="J5986" s="989"/>
    </row>
    <row r="5987" spans="1:10" x14ac:dyDescent="0.2">
      <c r="A5987" s="859">
        <f t="shared" si="93"/>
        <v>5986</v>
      </c>
      <c r="B5987" s="845" t="s">
        <v>2634</v>
      </c>
      <c r="D5987" s="861"/>
      <c r="I5987" s="845" t="s">
        <v>2644</v>
      </c>
      <c r="J5987" s="989"/>
    </row>
    <row r="5988" spans="1:10" x14ac:dyDescent="0.2">
      <c r="A5988" s="859">
        <f t="shared" si="93"/>
        <v>5987</v>
      </c>
      <c r="B5988" s="845" t="s">
        <v>2634</v>
      </c>
      <c r="D5988" s="861"/>
      <c r="I5988" s="845" t="str">
        <f>CONCATENATE("&lt;valeur&gt;",Cellule_1106_2,"&lt;/valeur&gt;")</f>
        <v>&lt;valeur&gt;&lt;/valeur&gt;</v>
      </c>
      <c r="J5988" s="989"/>
    </row>
    <row r="5989" spans="1:10" x14ac:dyDescent="0.2">
      <c r="A5989" s="859">
        <f t="shared" si="93"/>
        <v>5988</v>
      </c>
      <c r="B5989" s="845" t="s">
        <v>2634</v>
      </c>
      <c r="D5989" s="862"/>
      <c r="I5989" s="845" t="s">
        <v>2577</v>
      </c>
      <c r="J5989" s="989"/>
    </row>
    <row r="5990" spans="1:10" x14ac:dyDescent="0.2">
      <c r="A5990" s="859">
        <f t="shared" si="93"/>
        <v>5989</v>
      </c>
      <c r="B5990" s="845" t="s">
        <v>2634</v>
      </c>
      <c r="D5990" s="863"/>
      <c r="H5990" s="845" t="s">
        <v>1010</v>
      </c>
      <c r="J5990" s="989"/>
    </row>
    <row r="5991" spans="1:10" x14ac:dyDescent="0.2">
      <c r="A5991" s="859">
        <f t="shared" si="93"/>
        <v>5990</v>
      </c>
      <c r="B5991" s="845" t="s">
        <v>2634</v>
      </c>
      <c r="D5991" s="862"/>
      <c r="H5991" s="845" t="s">
        <v>1007</v>
      </c>
      <c r="J5991" s="989"/>
    </row>
    <row r="5992" spans="1:10" x14ac:dyDescent="0.2">
      <c r="A5992" s="859">
        <f t="shared" si="93"/>
        <v>5991</v>
      </c>
      <c r="B5992" s="845" t="s">
        <v>2634</v>
      </c>
      <c r="D5992" s="861"/>
      <c r="I5992" s="845" t="s">
        <v>2645</v>
      </c>
      <c r="J5992" s="989"/>
    </row>
    <row r="5993" spans="1:10" x14ac:dyDescent="0.2">
      <c r="A5993" s="859">
        <f t="shared" si="93"/>
        <v>5992</v>
      </c>
      <c r="B5993" s="845" t="s">
        <v>2634</v>
      </c>
      <c r="D5993" s="861"/>
      <c r="I5993" s="845" t="str">
        <f>CONCATENATE("&lt;valeur&gt;",Cellule_1107_2,"&lt;/valeur&gt;")</f>
        <v>&lt;valeur&gt;&lt;/valeur&gt;</v>
      </c>
      <c r="J5993" s="989"/>
    </row>
    <row r="5994" spans="1:10" x14ac:dyDescent="0.2">
      <c r="A5994" s="859">
        <f t="shared" si="93"/>
        <v>5993</v>
      </c>
      <c r="B5994" s="845" t="s">
        <v>2634</v>
      </c>
      <c r="D5994" s="862"/>
      <c r="I5994" s="845" t="s">
        <v>2577</v>
      </c>
      <c r="J5994" s="989"/>
    </row>
    <row r="5995" spans="1:10" x14ac:dyDescent="0.2">
      <c r="A5995" s="859">
        <f t="shared" si="93"/>
        <v>5994</v>
      </c>
      <c r="B5995" s="845" t="s">
        <v>2634</v>
      </c>
      <c r="D5995" s="863"/>
      <c r="H5995" s="845" t="s">
        <v>1010</v>
      </c>
      <c r="J5995" s="989"/>
    </row>
    <row r="5996" spans="1:10" x14ac:dyDescent="0.2">
      <c r="A5996" s="859">
        <f t="shared" si="93"/>
        <v>5995</v>
      </c>
      <c r="B5996" s="845" t="s">
        <v>2634</v>
      </c>
      <c r="D5996" s="862"/>
      <c r="H5996" s="845" t="s">
        <v>1007</v>
      </c>
      <c r="J5996" s="989"/>
    </row>
    <row r="5997" spans="1:10" x14ac:dyDescent="0.2">
      <c r="A5997" s="859">
        <f t="shared" si="93"/>
        <v>5996</v>
      </c>
      <c r="B5997" s="845" t="s">
        <v>2634</v>
      </c>
      <c r="D5997" s="861"/>
      <c r="I5997" s="845" t="s">
        <v>2646</v>
      </c>
      <c r="J5997" s="989"/>
    </row>
    <row r="5998" spans="1:10" x14ac:dyDescent="0.2">
      <c r="A5998" s="859">
        <f t="shared" si="93"/>
        <v>5997</v>
      </c>
      <c r="B5998" s="845" t="s">
        <v>2634</v>
      </c>
      <c r="D5998" s="861"/>
      <c r="I5998" s="845" t="str">
        <f>CONCATENATE("&lt;valeur&gt;",Cellule_1108_2,"&lt;/valeur&gt;")</f>
        <v>&lt;valeur&gt;&lt;/valeur&gt;</v>
      </c>
      <c r="J5998" s="989"/>
    </row>
    <row r="5999" spans="1:10" x14ac:dyDescent="0.2">
      <c r="A5999" s="859">
        <f t="shared" si="93"/>
        <v>5998</v>
      </c>
      <c r="B5999" s="845" t="s">
        <v>2634</v>
      </c>
      <c r="D5999" s="862"/>
      <c r="I5999" s="845" t="s">
        <v>2577</v>
      </c>
      <c r="J5999" s="989"/>
    </row>
    <row r="6000" spans="1:10" x14ac:dyDescent="0.2">
      <c r="A6000" s="859">
        <f t="shared" si="93"/>
        <v>5999</v>
      </c>
      <c r="B6000" s="991" t="s">
        <v>2634</v>
      </c>
      <c r="C6000" s="991"/>
      <c r="D6000" s="999"/>
      <c r="E6000" s="991"/>
      <c r="F6000" s="991"/>
      <c r="G6000" s="991"/>
      <c r="H6000" s="991" t="s">
        <v>1010</v>
      </c>
      <c r="I6000" s="991"/>
      <c r="J6000" s="1000"/>
    </row>
    <row r="6001" spans="1:10" x14ac:dyDescent="0.2">
      <c r="A6001" s="859">
        <f t="shared" si="93"/>
        <v>6000</v>
      </c>
      <c r="B6001" s="990" t="s">
        <v>2634</v>
      </c>
      <c r="C6001" s="990"/>
      <c r="D6001" s="998"/>
      <c r="E6001" s="990"/>
      <c r="F6001" s="990"/>
      <c r="G6001" s="990"/>
      <c r="H6001" s="990" t="s">
        <v>1007</v>
      </c>
      <c r="I6001" s="990"/>
      <c r="J6001" s="986"/>
    </row>
    <row r="6002" spans="1:10" x14ac:dyDescent="0.2">
      <c r="A6002" s="859">
        <f t="shared" si="93"/>
        <v>6001</v>
      </c>
      <c r="B6002" s="845" t="s">
        <v>2634</v>
      </c>
      <c r="D6002" s="861"/>
      <c r="I6002" s="845" t="s">
        <v>2636</v>
      </c>
      <c r="J6002" s="989"/>
    </row>
    <row r="6003" spans="1:10" x14ac:dyDescent="0.2">
      <c r="A6003" s="859">
        <f t="shared" si="93"/>
        <v>6002</v>
      </c>
      <c r="B6003" s="845" t="s">
        <v>2634</v>
      </c>
      <c r="D6003" s="862"/>
      <c r="I6003" s="845" t="str">
        <f>CONCATENATE("&lt;valeur&gt;",Cellule_1098_3,"&lt;/valeur&gt;")</f>
        <v>&lt;valeur&gt;&lt;/valeur&gt;</v>
      </c>
      <c r="J6003" s="989"/>
    </row>
    <row r="6004" spans="1:10" x14ac:dyDescent="0.2">
      <c r="A6004" s="859">
        <f t="shared" si="93"/>
        <v>6003</v>
      </c>
      <c r="B6004" s="845" t="s">
        <v>2634</v>
      </c>
      <c r="D6004" s="863"/>
      <c r="I6004" s="845" t="s">
        <v>2578</v>
      </c>
      <c r="J6004" s="989"/>
    </row>
    <row r="6005" spans="1:10" x14ac:dyDescent="0.2">
      <c r="A6005" s="859">
        <f t="shared" si="93"/>
        <v>6004</v>
      </c>
      <c r="B6005" s="845" t="s">
        <v>2634</v>
      </c>
      <c r="D6005" s="862"/>
      <c r="H6005" s="845" t="s">
        <v>1010</v>
      </c>
      <c r="J6005" s="989"/>
    </row>
    <row r="6006" spans="1:10" x14ac:dyDescent="0.2">
      <c r="A6006" s="859">
        <f t="shared" si="93"/>
        <v>6005</v>
      </c>
      <c r="B6006" s="845" t="s">
        <v>2634</v>
      </c>
      <c r="D6006" s="862"/>
      <c r="H6006" s="845" t="s">
        <v>1007</v>
      </c>
      <c r="J6006" s="989"/>
    </row>
    <row r="6007" spans="1:10" x14ac:dyDescent="0.2">
      <c r="A6007" s="859">
        <f t="shared" si="93"/>
        <v>6006</v>
      </c>
      <c r="B6007" s="845" t="s">
        <v>2634</v>
      </c>
      <c r="D6007" s="861"/>
      <c r="I6007" s="845" t="s">
        <v>2637</v>
      </c>
      <c r="J6007" s="989"/>
    </row>
    <row r="6008" spans="1:10" x14ac:dyDescent="0.2">
      <c r="A6008" s="859">
        <f t="shared" si="93"/>
        <v>6007</v>
      </c>
      <c r="B6008" s="845" t="s">
        <v>2634</v>
      </c>
      <c r="D6008" s="861"/>
      <c r="I6008" s="845" t="str">
        <f>CONCATENATE("&lt;valeur&gt;",Cellule_1099_3,"&lt;/valeur&gt;")</f>
        <v>&lt;valeur&gt;&lt;/valeur&gt;</v>
      </c>
      <c r="J6008" s="989"/>
    </row>
    <row r="6009" spans="1:10" x14ac:dyDescent="0.2">
      <c r="A6009" s="859">
        <f t="shared" si="93"/>
        <v>6008</v>
      </c>
      <c r="B6009" s="845" t="s">
        <v>2634</v>
      </c>
      <c r="D6009" s="862"/>
      <c r="I6009" s="845" t="s">
        <v>2578</v>
      </c>
      <c r="J6009" s="989"/>
    </row>
    <row r="6010" spans="1:10" x14ac:dyDescent="0.2">
      <c r="A6010" s="859">
        <f t="shared" si="93"/>
        <v>6009</v>
      </c>
      <c r="B6010" s="845" t="s">
        <v>2634</v>
      </c>
      <c r="D6010" s="863"/>
      <c r="H6010" s="845" t="s">
        <v>1010</v>
      </c>
      <c r="J6010" s="989"/>
    </row>
    <row r="6011" spans="1:10" x14ac:dyDescent="0.2">
      <c r="A6011" s="859">
        <f t="shared" si="93"/>
        <v>6010</v>
      </c>
      <c r="B6011" s="845" t="s">
        <v>2634</v>
      </c>
      <c r="D6011" s="862"/>
      <c r="H6011" s="845" t="s">
        <v>1007</v>
      </c>
      <c r="J6011" s="989"/>
    </row>
    <row r="6012" spans="1:10" x14ac:dyDescent="0.2">
      <c r="A6012" s="859">
        <f t="shared" si="93"/>
        <v>6011</v>
      </c>
      <c r="B6012" s="845" t="s">
        <v>2634</v>
      </c>
      <c r="D6012" s="862"/>
      <c r="I6012" s="845" t="s">
        <v>2638</v>
      </c>
      <c r="J6012" s="989"/>
    </row>
    <row r="6013" spans="1:10" x14ac:dyDescent="0.2">
      <c r="A6013" s="859">
        <f t="shared" si="93"/>
        <v>6012</v>
      </c>
      <c r="B6013" s="845" t="s">
        <v>2634</v>
      </c>
      <c r="D6013" s="861"/>
      <c r="I6013" s="845" t="str">
        <f>CONCATENATE("&lt;valeur&gt;",Cellule_1100_3,"&lt;/valeur&gt;")</f>
        <v>&lt;valeur&gt;&lt;/valeur&gt;</v>
      </c>
      <c r="J6013" s="989"/>
    </row>
    <row r="6014" spans="1:10" x14ac:dyDescent="0.2">
      <c r="A6014" s="859">
        <f t="shared" si="93"/>
        <v>6013</v>
      </c>
      <c r="B6014" s="845" t="s">
        <v>2634</v>
      </c>
      <c r="D6014" s="861"/>
      <c r="I6014" s="845" t="s">
        <v>2578</v>
      </c>
      <c r="J6014" s="989"/>
    </row>
    <row r="6015" spans="1:10" x14ac:dyDescent="0.2">
      <c r="A6015" s="859">
        <f t="shared" si="93"/>
        <v>6014</v>
      </c>
      <c r="B6015" s="845" t="s">
        <v>2634</v>
      </c>
      <c r="D6015" s="862"/>
      <c r="H6015" s="845" t="s">
        <v>1010</v>
      </c>
      <c r="J6015" s="989"/>
    </row>
    <row r="6016" spans="1:10" x14ac:dyDescent="0.2">
      <c r="A6016" s="859">
        <f t="shared" si="93"/>
        <v>6015</v>
      </c>
      <c r="B6016" s="845" t="s">
        <v>2634</v>
      </c>
      <c r="D6016" s="863"/>
      <c r="H6016" s="845" t="s">
        <v>1007</v>
      </c>
      <c r="J6016" s="989"/>
    </row>
    <row r="6017" spans="1:10" x14ac:dyDescent="0.2">
      <c r="A6017" s="859">
        <f t="shared" si="93"/>
        <v>6016</v>
      </c>
      <c r="B6017" s="845" t="s">
        <v>2634</v>
      </c>
      <c r="D6017" s="862"/>
      <c r="I6017" s="845" t="s">
        <v>2639</v>
      </c>
      <c r="J6017" s="989"/>
    </row>
    <row r="6018" spans="1:10" x14ac:dyDescent="0.2">
      <c r="A6018" s="859">
        <f t="shared" si="93"/>
        <v>6017</v>
      </c>
      <c r="B6018" s="845" t="s">
        <v>2634</v>
      </c>
      <c r="D6018" s="862"/>
      <c r="I6018" s="845" t="str">
        <f>CONCATENATE("&lt;valeur&gt;",Cellule_1101_3,"&lt;/valeur&gt;")</f>
        <v>&lt;valeur&gt;&lt;/valeur&gt;</v>
      </c>
      <c r="J6018" s="989"/>
    </row>
    <row r="6019" spans="1:10" x14ac:dyDescent="0.2">
      <c r="A6019" s="859">
        <f t="shared" si="93"/>
        <v>6018</v>
      </c>
      <c r="B6019" s="845" t="s">
        <v>2634</v>
      </c>
      <c r="D6019" s="861"/>
      <c r="I6019" s="845" t="s">
        <v>2578</v>
      </c>
      <c r="J6019" s="989"/>
    </row>
    <row r="6020" spans="1:10" x14ac:dyDescent="0.2">
      <c r="A6020" s="859">
        <f t="shared" ref="A6020:A6083" si="94">+A6019+1</f>
        <v>6019</v>
      </c>
      <c r="B6020" s="845" t="s">
        <v>2634</v>
      </c>
      <c r="D6020" s="861"/>
      <c r="H6020" s="845" t="s">
        <v>1010</v>
      </c>
      <c r="J6020" s="989"/>
    </row>
    <row r="6021" spans="1:10" x14ac:dyDescent="0.2">
      <c r="A6021" s="859">
        <f t="shared" si="94"/>
        <v>6020</v>
      </c>
      <c r="B6021" s="845" t="s">
        <v>2634</v>
      </c>
      <c r="D6021" s="862"/>
      <c r="H6021" s="845" t="s">
        <v>1007</v>
      </c>
      <c r="J6021" s="989"/>
    </row>
    <row r="6022" spans="1:10" x14ac:dyDescent="0.2">
      <c r="A6022" s="859">
        <f t="shared" si="94"/>
        <v>6021</v>
      </c>
      <c r="B6022" s="845" t="s">
        <v>2634</v>
      </c>
      <c r="D6022" s="863"/>
      <c r="I6022" s="845" t="s">
        <v>2640</v>
      </c>
      <c r="J6022" s="989"/>
    </row>
    <row r="6023" spans="1:10" x14ac:dyDescent="0.2">
      <c r="A6023" s="859">
        <f t="shared" si="94"/>
        <v>6022</v>
      </c>
      <c r="B6023" s="845" t="s">
        <v>2634</v>
      </c>
      <c r="D6023" s="862"/>
      <c r="I6023" s="845" t="str">
        <f>CONCATENATE("&lt;valeur&gt;",Cellule_1102_3,"&lt;/valeur&gt;")</f>
        <v>&lt;valeur&gt;&lt;/valeur&gt;</v>
      </c>
      <c r="J6023" s="989"/>
    </row>
    <row r="6024" spans="1:10" x14ac:dyDescent="0.2">
      <c r="A6024" s="859">
        <f t="shared" si="94"/>
        <v>6023</v>
      </c>
      <c r="B6024" s="845" t="s">
        <v>2634</v>
      </c>
      <c r="D6024" s="862"/>
      <c r="I6024" s="845" t="s">
        <v>2578</v>
      </c>
      <c r="J6024" s="989"/>
    </row>
    <row r="6025" spans="1:10" x14ac:dyDescent="0.2">
      <c r="A6025" s="859">
        <f t="shared" si="94"/>
        <v>6024</v>
      </c>
      <c r="B6025" s="845" t="s">
        <v>2634</v>
      </c>
      <c r="D6025" s="861"/>
      <c r="H6025" s="845" t="s">
        <v>1010</v>
      </c>
      <c r="J6025" s="989"/>
    </row>
    <row r="6026" spans="1:10" x14ac:dyDescent="0.2">
      <c r="A6026" s="859">
        <f t="shared" si="94"/>
        <v>6025</v>
      </c>
      <c r="B6026" s="845" t="s">
        <v>2634</v>
      </c>
      <c r="D6026" s="861"/>
      <c r="H6026" s="845" t="s">
        <v>1007</v>
      </c>
      <c r="J6026" s="989"/>
    </row>
    <row r="6027" spans="1:10" x14ac:dyDescent="0.2">
      <c r="A6027" s="859">
        <f t="shared" si="94"/>
        <v>6026</v>
      </c>
      <c r="B6027" s="845" t="s">
        <v>2634</v>
      </c>
      <c r="D6027" s="862"/>
      <c r="I6027" s="845" t="s">
        <v>2641</v>
      </c>
      <c r="J6027" s="989"/>
    </row>
    <row r="6028" spans="1:10" x14ac:dyDescent="0.2">
      <c r="A6028" s="859">
        <f t="shared" si="94"/>
        <v>6027</v>
      </c>
      <c r="B6028" s="845" t="s">
        <v>2634</v>
      </c>
      <c r="D6028" s="863"/>
      <c r="I6028" s="845" t="str">
        <f>CONCATENATE("&lt;valeur&gt;",Cellule_1103_3,"&lt;/valeur&gt;")</f>
        <v>&lt;valeur&gt;&lt;/valeur&gt;</v>
      </c>
      <c r="J6028" s="989"/>
    </row>
    <row r="6029" spans="1:10" x14ac:dyDescent="0.2">
      <c r="A6029" s="859">
        <f t="shared" si="94"/>
        <v>6028</v>
      </c>
      <c r="B6029" s="845" t="s">
        <v>2634</v>
      </c>
      <c r="D6029" s="862"/>
      <c r="I6029" s="845" t="s">
        <v>2578</v>
      </c>
      <c r="J6029" s="989"/>
    </row>
    <row r="6030" spans="1:10" x14ac:dyDescent="0.2">
      <c r="A6030" s="859">
        <f t="shared" si="94"/>
        <v>6029</v>
      </c>
      <c r="B6030" s="845" t="s">
        <v>2634</v>
      </c>
      <c r="D6030" s="862"/>
      <c r="H6030" s="845" t="s">
        <v>1010</v>
      </c>
      <c r="J6030" s="989"/>
    </row>
    <row r="6031" spans="1:10" x14ac:dyDescent="0.2">
      <c r="A6031" s="859">
        <f t="shared" si="94"/>
        <v>6030</v>
      </c>
      <c r="B6031" s="845" t="s">
        <v>2634</v>
      </c>
      <c r="D6031" s="861"/>
      <c r="H6031" s="845" t="s">
        <v>1007</v>
      </c>
      <c r="J6031" s="989"/>
    </row>
    <row r="6032" spans="1:10" x14ac:dyDescent="0.2">
      <c r="A6032" s="859">
        <f t="shared" si="94"/>
        <v>6031</v>
      </c>
      <c r="B6032" s="845" t="s">
        <v>2634</v>
      </c>
      <c r="D6032" s="861"/>
      <c r="I6032" s="845" t="s">
        <v>2642</v>
      </c>
      <c r="J6032" s="989"/>
    </row>
    <row r="6033" spans="1:10" x14ac:dyDescent="0.2">
      <c r="A6033" s="859">
        <f t="shared" si="94"/>
        <v>6032</v>
      </c>
      <c r="B6033" s="845" t="s">
        <v>2634</v>
      </c>
      <c r="D6033" s="862"/>
      <c r="I6033" s="845" t="str">
        <f>CONCATENATE("&lt;valeur&gt;",Cellule_1104_3,"&lt;/valeur&gt;")</f>
        <v>&lt;valeur&gt;&lt;/valeur&gt;</v>
      </c>
      <c r="J6033" s="989"/>
    </row>
    <row r="6034" spans="1:10" x14ac:dyDescent="0.2">
      <c r="A6034" s="859">
        <f t="shared" si="94"/>
        <v>6033</v>
      </c>
      <c r="B6034" s="845" t="s">
        <v>2634</v>
      </c>
      <c r="D6034" s="863"/>
      <c r="I6034" s="845" t="s">
        <v>2578</v>
      </c>
      <c r="J6034" s="989"/>
    </row>
    <row r="6035" spans="1:10" x14ac:dyDescent="0.2">
      <c r="A6035" s="859">
        <f t="shared" si="94"/>
        <v>6034</v>
      </c>
      <c r="B6035" s="845" t="s">
        <v>2634</v>
      </c>
      <c r="D6035" s="862"/>
      <c r="H6035" s="845" t="s">
        <v>1010</v>
      </c>
      <c r="J6035" s="989"/>
    </row>
    <row r="6036" spans="1:10" x14ac:dyDescent="0.2">
      <c r="A6036" s="859">
        <f t="shared" si="94"/>
        <v>6035</v>
      </c>
      <c r="B6036" s="845" t="s">
        <v>2634</v>
      </c>
      <c r="D6036" s="862"/>
      <c r="H6036" s="845" t="s">
        <v>1007</v>
      </c>
      <c r="J6036" s="989"/>
    </row>
    <row r="6037" spans="1:10" x14ac:dyDescent="0.2">
      <c r="A6037" s="859">
        <f t="shared" si="94"/>
        <v>6036</v>
      </c>
      <c r="B6037" s="845" t="s">
        <v>2634</v>
      </c>
      <c r="D6037" s="861"/>
      <c r="I6037" s="845" t="s">
        <v>2643</v>
      </c>
      <c r="J6037" s="989"/>
    </row>
    <row r="6038" spans="1:10" x14ac:dyDescent="0.2">
      <c r="A6038" s="859">
        <f t="shared" si="94"/>
        <v>6037</v>
      </c>
      <c r="B6038" s="845" t="s">
        <v>2634</v>
      </c>
      <c r="D6038" s="861"/>
      <c r="I6038" s="845" t="str">
        <f>CONCATENATE("&lt;valeur&gt;",Cellule_1105_3,"&lt;/valeur&gt;")</f>
        <v>&lt;valeur&gt;&lt;/valeur&gt;</v>
      </c>
      <c r="J6038" s="989"/>
    </row>
    <row r="6039" spans="1:10" x14ac:dyDescent="0.2">
      <c r="A6039" s="859">
        <f t="shared" si="94"/>
        <v>6038</v>
      </c>
      <c r="B6039" s="845" t="s">
        <v>2634</v>
      </c>
      <c r="D6039" s="862"/>
      <c r="I6039" s="845" t="s">
        <v>2578</v>
      </c>
      <c r="J6039" s="989"/>
    </row>
    <row r="6040" spans="1:10" x14ac:dyDescent="0.2">
      <c r="A6040" s="859">
        <f t="shared" si="94"/>
        <v>6039</v>
      </c>
      <c r="B6040" s="845" t="s">
        <v>2634</v>
      </c>
      <c r="D6040" s="863"/>
      <c r="H6040" s="845" t="s">
        <v>1010</v>
      </c>
      <c r="J6040" s="989"/>
    </row>
    <row r="6041" spans="1:10" x14ac:dyDescent="0.2">
      <c r="A6041" s="859">
        <f t="shared" si="94"/>
        <v>6040</v>
      </c>
      <c r="B6041" s="845" t="s">
        <v>2634</v>
      </c>
      <c r="D6041" s="862"/>
      <c r="H6041" s="845" t="s">
        <v>1007</v>
      </c>
      <c r="J6041" s="989"/>
    </row>
    <row r="6042" spans="1:10" x14ac:dyDescent="0.2">
      <c r="A6042" s="859">
        <f t="shared" si="94"/>
        <v>6041</v>
      </c>
      <c r="B6042" s="845" t="s">
        <v>2634</v>
      </c>
      <c r="D6042" s="861"/>
      <c r="I6042" s="845" t="s">
        <v>2644</v>
      </c>
      <c r="J6042" s="989"/>
    </row>
    <row r="6043" spans="1:10" x14ac:dyDescent="0.2">
      <c r="A6043" s="859">
        <f t="shared" si="94"/>
        <v>6042</v>
      </c>
      <c r="B6043" s="845" t="s">
        <v>2634</v>
      </c>
      <c r="D6043" s="861"/>
      <c r="I6043" s="845" t="str">
        <f>CONCATENATE("&lt;valeur&gt;",Cellule_1106_3,"&lt;/valeur&gt;")</f>
        <v>&lt;valeur&gt;&lt;/valeur&gt;</v>
      </c>
      <c r="J6043" s="989"/>
    </row>
    <row r="6044" spans="1:10" x14ac:dyDescent="0.2">
      <c r="A6044" s="859">
        <f t="shared" si="94"/>
        <v>6043</v>
      </c>
      <c r="B6044" s="845" t="s">
        <v>2634</v>
      </c>
      <c r="D6044" s="862"/>
      <c r="I6044" s="845" t="s">
        <v>2578</v>
      </c>
      <c r="J6044" s="989"/>
    </row>
    <row r="6045" spans="1:10" x14ac:dyDescent="0.2">
      <c r="A6045" s="859">
        <f t="shared" si="94"/>
        <v>6044</v>
      </c>
      <c r="B6045" s="845" t="s">
        <v>2634</v>
      </c>
      <c r="D6045" s="863"/>
      <c r="H6045" s="845" t="s">
        <v>1010</v>
      </c>
      <c r="J6045" s="989"/>
    </row>
    <row r="6046" spans="1:10" x14ac:dyDescent="0.2">
      <c r="A6046" s="859">
        <f t="shared" si="94"/>
        <v>6045</v>
      </c>
      <c r="B6046" s="845" t="s">
        <v>2634</v>
      </c>
      <c r="D6046" s="862"/>
      <c r="H6046" s="845" t="s">
        <v>1007</v>
      </c>
      <c r="J6046" s="989"/>
    </row>
    <row r="6047" spans="1:10" x14ac:dyDescent="0.2">
      <c r="A6047" s="859">
        <f t="shared" si="94"/>
        <v>6046</v>
      </c>
      <c r="B6047" s="845" t="s">
        <v>2634</v>
      </c>
      <c r="D6047" s="861"/>
      <c r="I6047" s="845" t="s">
        <v>2645</v>
      </c>
      <c r="J6047" s="989"/>
    </row>
    <row r="6048" spans="1:10" x14ac:dyDescent="0.2">
      <c r="A6048" s="859">
        <f t="shared" si="94"/>
        <v>6047</v>
      </c>
      <c r="B6048" s="845" t="s">
        <v>2634</v>
      </c>
      <c r="D6048" s="861"/>
      <c r="I6048" s="845" t="str">
        <f>CONCATENATE("&lt;valeur&gt;",Cellule_1107_3,"&lt;/valeur&gt;")</f>
        <v>&lt;valeur&gt;&lt;/valeur&gt;</v>
      </c>
      <c r="J6048" s="989"/>
    </row>
    <row r="6049" spans="1:10" x14ac:dyDescent="0.2">
      <c r="A6049" s="859">
        <f t="shared" si="94"/>
        <v>6048</v>
      </c>
      <c r="B6049" s="845" t="s">
        <v>2634</v>
      </c>
      <c r="D6049" s="862"/>
      <c r="I6049" s="845" t="s">
        <v>2578</v>
      </c>
      <c r="J6049" s="989"/>
    </row>
    <row r="6050" spans="1:10" x14ac:dyDescent="0.2">
      <c r="A6050" s="859">
        <f t="shared" si="94"/>
        <v>6049</v>
      </c>
      <c r="B6050" s="845" t="s">
        <v>2634</v>
      </c>
      <c r="D6050" s="863"/>
      <c r="H6050" s="845" t="s">
        <v>1010</v>
      </c>
      <c r="J6050" s="989"/>
    </row>
    <row r="6051" spans="1:10" x14ac:dyDescent="0.2">
      <c r="A6051" s="859">
        <f t="shared" si="94"/>
        <v>6050</v>
      </c>
      <c r="B6051" s="845" t="s">
        <v>2634</v>
      </c>
      <c r="D6051" s="862"/>
      <c r="H6051" s="845" t="s">
        <v>1007</v>
      </c>
      <c r="J6051" s="989"/>
    </row>
    <row r="6052" spans="1:10" x14ac:dyDescent="0.2">
      <c r="A6052" s="859">
        <f t="shared" si="94"/>
        <v>6051</v>
      </c>
      <c r="B6052" s="845" t="s">
        <v>2634</v>
      </c>
      <c r="D6052" s="861"/>
      <c r="I6052" s="845" t="s">
        <v>2646</v>
      </c>
      <c r="J6052" s="989"/>
    </row>
    <row r="6053" spans="1:10" x14ac:dyDescent="0.2">
      <c r="A6053" s="859">
        <f t="shared" si="94"/>
        <v>6052</v>
      </c>
      <c r="B6053" s="845" t="s">
        <v>2634</v>
      </c>
      <c r="D6053" s="861"/>
      <c r="I6053" s="845" t="str">
        <f>CONCATENATE("&lt;valeur&gt;",Cellule_1108_3,"&lt;/valeur&gt;")</f>
        <v>&lt;valeur&gt;&lt;/valeur&gt;</v>
      </c>
      <c r="J6053" s="989"/>
    </row>
    <row r="6054" spans="1:10" x14ac:dyDescent="0.2">
      <c r="A6054" s="859">
        <f t="shared" si="94"/>
        <v>6053</v>
      </c>
      <c r="B6054" s="845" t="s">
        <v>2634</v>
      </c>
      <c r="D6054" s="862"/>
      <c r="I6054" s="845" t="s">
        <v>2578</v>
      </c>
      <c r="J6054" s="989"/>
    </row>
    <row r="6055" spans="1:10" x14ac:dyDescent="0.2">
      <c r="A6055" s="859">
        <f t="shared" si="94"/>
        <v>6054</v>
      </c>
      <c r="B6055" s="991" t="s">
        <v>2634</v>
      </c>
      <c r="C6055" s="991"/>
      <c r="D6055" s="999"/>
      <c r="E6055" s="991"/>
      <c r="F6055" s="991"/>
      <c r="G6055" s="991"/>
      <c r="H6055" s="991" t="s">
        <v>1010</v>
      </c>
      <c r="I6055" s="991"/>
      <c r="J6055" s="1000"/>
    </row>
    <row r="6056" spans="1:10" x14ac:dyDescent="0.2">
      <c r="A6056" s="859">
        <f t="shared" si="94"/>
        <v>6055</v>
      </c>
      <c r="B6056" s="990" t="s">
        <v>2634</v>
      </c>
      <c r="C6056" s="990"/>
      <c r="D6056" s="998"/>
      <c r="E6056" s="990"/>
      <c r="F6056" s="990"/>
      <c r="G6056" s="990"/>
      <c r="H6056" s="990" t="s">
        <v>1007</v>
      </c>
      <c r="I6056" s="990"/>
      <c r="J6056" s="986"/>
    </row>
    <row r="6057" spans="1:10" x14ac:dyDescent="0.2">
      <c r="A6057" s="859">
        <f t="shared" si="94"/>
        <v>6056</v>
      </c>
      <c r="B6057" s="845" t="s">
        <v>2634</v>
      </c>
      <c r="D6057" s="861"/>
      <c r="I6057" s="845" t="s">
        <v>2636</v>
      </c>
      <c r="J6057" s="989"/>
    </row>
    <row r="6058" spans="1:10" x14ac:dyDescent="0.2">
      <c r="A6058" s="859">
        <f t="shared" si="94"/>
        <v>6057</v>
      </c>
      <c r="B6058" s="845" t="s">
        <v>2634</v>
      </c>
      <c r="D6058" s="862"/>
      <c r="I6058" s="845" t="str">
        <f>CONCATENATE("&lt;valeur&gt;",Cellule_1098_4,"&lt;/valeur&gt;")</f>
        <v>&lt;valeur&gt;&lt;/valeur&gt;</v>
      </c>
      <c r="J6058" s="989"/>
    </row>
    <row r="6059" spans="1:10" x14ac:dyDescent="0.2">
      <c r="A6059" s="859">
        <f t="shared" si="94"/>
        <v>6058</v>
      </c>
      <c r="B6059" s="845" t="s">
        <v>2634</v>
      </c>
      <c r="D6059" s="863"/>
      <c r="I6059" s="845" t="s">
        <v>2579</v>
      </c>
      <c r="J6059" s="989"/>
    </row>
    <row r="6060" spans="1:10" x14ac:dyDescent="0.2">
      <c r="A6060" s="859">
        <f t="shared" si="94"/>
        <v>6059</v>
      </c>
      <c r="B6060" s="845" t="s">
        <v>2634</v>
      </c>
      <c r="D6060" s="862"/>
      <c r="H6060" s="845" t="s">
        <v>1010</v>
      </c>
      <c r="J6060" s="989"/>
    </row>
    <row r="6061" spans="1:10" x14ac:dyDescent="0.2">
      <c r="A6061" s="859">
        <f t="shared" si="94"/>
        <v>6060</v>
      </c>
      <c r="B6061" s="845" t="s">
        <v>2634</v>
      </c>
      <c r="D6061" s="862"/>
      <c r="H6061" s="845" t="s">
        <v>1007</v>
      </c>
      <c r="J6061" s="989"/>
    </row>
    <row r="6062" spans="1:10" x14ac:dyDescent="0.2">
      <c r="A6062" s="859">
        <f t="shared" si="94"/>
        <v>6061</v>
      </c>
      <c r="B6062" s="845" t="s">
        <v>2634</v>
      </c>
      <c r="D6062" s="861"/>
      <c r="I6062" s="845" t="s">
        <v>2637</v>
      </c>
      <c r="J6062" s="989"/>
    </row>
    <row r="6063" spans="1:10" x14ac:dyDescent="0.2">
      <c r="A6063" s="859">
        <f t="shared" si="94"/>
        <v>6062</v>
      </c>
      <c r="B6063" s="845" t="s">
        <v>2634</v>
      </c>
      <c r="D6063" s="861"/>
      <c r="I6063" s="845" t="str">
        <f>CONCATENATE("&lt;valeur&gt;",Cellule_1099_4,"&lt;/valeur&gt;")</f>
        <v>&lt;valeur&gt;&lt;/valeur&gt;</v>
      </c>
      <c r="J6063" s="989"/>
    </row>
    <row r="6064" spans="1:10" x14ac:dyDescent="0.2">
      <c r="A6064" s="859">
        <f t="shared" si="94"/>
        <v>6063</v>
      </c>
      <c r="B6064" s="845" t="s">
        <v>2634</v>
      </c>
      <c r="D6064" s="862"/>
      <c r="I6064" s="845" t="s">
        <v>2579</v>
      </c>
      <c r="J6064" s="989"/>
    </row>
    <row r="6065" spans="1:10" x14ac:dyDescent="0.2">
      <c r="A6065" s="859">
        <f t="shared" si="94"/>
        <v>6064</v>
      </c>
      <c r="B6065" s="845" t="s">
        <v>2634</v>
      </c>
      <c r="D6065" s="863"/>
      <c r="H6065" s="845" t="s">
        <v>1010</v>
      </c>
      <c r="J6065" s="989"/>
    </row>
    <row r="6066" spans="1:10" x14ac:dyDescent="0.2">
      <c r="A6066" s="859">
        <f t="shared" si="94"/>
        <v>6065</v>
      </c>
      <c r="B6066" s="845" t="s">
        <v>2634</v>
      </c>
      <c r="D6066" s="862"/>
      <c r="H6066" s="845" t="s">
        <v>1007</v>
      </c>
      <c r="J6066" s="989"/>
    </row>
    <row r="6067" spans="1:10" x14ac:dyDescent="0.2">
      <c r="A6067" s="859">
        <f t="shared" si="94"/>
        <v>6066</v>
      </c>
      <c r="B6067" s="845" t="s">
        <v>2634</v>
      </c>
      <c r="D6067" s="862"/>
      <c r="I6067" s="845" t="s">
        <v>2638</v>
      </c>
      <c r="J6067" s="989"/>
    </row>
    <row r="6068" spans="1:10" x14ac:dyDescent="0.2">
      <c r="A6068" s="859">
        <f t="shared" si="94"/>
        <v>6067</v>
      </c>
      <c r="B6068" s="845" t="s">
        <v>2634</v>
      </c>
      <c r="D6068" s="861"/>
      <c r="I6068" s="845" t="str">
        <f>CONCATENATE("&lt;valeur&gt;",Cellule_1100_4,"&lt;/valeur&gt;")</f>
        <v>&lt;valeur&gt;&lt;/valeur&gt;</v>
      </c>
      <c r="J6068" s="989"/>
    </row>
    <row r="6069" spans="1:10" x14ac:dyDescent="0.2">
      <c r="A6069" s="859">
        <f t="shared" si="94"/>
        <v>6068</v>
      </c>
      <c r="B6069" s="845" t="s">
        <v>2634</v>
      </c>
      <c r="D6069" s="861"/>
      <c r="I6069" s="845" t="s">
        <v>2579</v>
      </c>
      <c r="J6069" s="989"/>
    </row>
    <row r="6070" spans="1:10" x14ac:dyDescent="0.2">
      <c r="A6070" s="859">
        <f t="shared" si="94"/>
        <v>6069</v>
      </c>
      <c r="B6070" s="845" t="s">
        <v>2634</v>
      </c>
      <c r="D6070" s="862"/>
      <c r="H6070" s="845" t="s">
        <v>1010</v>
      </c>
      <c r="J6070" s="989"/>
    </row>
    <row r="6071" spans="1:10" x14ac:dyDescent="0.2">
      <c r="A6071" s="859">
        <f t="shared" si="94"/>
        <v>6070</v>
      </c>
      <c r="B6071" s="845" t="s">
        <v>2634</v>
      </c>
      <c r="D6071" s="863"/>
      <c r="H6071" s="845" t="s">
        <v>1007</v>
      </c>
      <c r="J6071" s="989"/>
    </row>
    <row r="6072" spans="1:10" x14ac:dyDescent="0.2">
      <c r="A6072" s="859">
        <f t="shared" si="94"/>
        <v>6071</v>
      </c>
      <c r="B6072" s="845" t="s">
        <v>2634</v>
      </c>
      <c r="D6072" s="862"/>
      <c r="I6072" s="845" t="s">
        <v>2639</v>
      </c>
      <c r="J6072" s="989"/>
    </row>
    <row r="6073" spans="1:10" x14ac:dyDescent="0.2">
      <c r="A6073" s="859">
        <f t="shared" si="94"/>
        <v>6072</v>
      </c>
      <c r="B6073" s="845" t="s">
        <v>2634</v>
      </c>
      <c r="D6073" s="862"/>
      <c r="I6073" s="845" t="str">
        <f>CONCATENATE("&lt;valeur&gt;",Cellule_1101_4,"&lt;/valeur&gt;")</f>
        <v>&lt;valeur&gt;&lt;/valeur&gt;</v>
      </c>
      <c r="J6073" s="989"/>
    </row>
    <row r="6074" spans="1:10" x14ac:dyDescent="0.2">
      <c r="A6074" s="859">
        <f t="shared" si="94"/>
        <v>6073</v>
      </c>
      <c r="B6074" s="845" t="s">
        <v>2634</v>
      </c>
      <c r="D6074" s="861"/>
      <c r="I6074" s="845" t="s">
        <v>2579</v>
      </c>
      <c r="J6074" s="989"/>
    </row>
    <row r="6075" spans="1:10" x14ac:dyDescent="0.2">
      <c r="A6075" s="859">
        <f t="shared" si="94"/>
        <v>6074</v>
      </c>
      <c r="B6075" s="845" t="s">
        <v>2634</v>
      </c>
      <c r="D6075" s="861"/>
      <c r="H6075" s="845" t="s">
        <v>1010</v>
      </c>
      <c r="J6075" s="989"/>
    </row>
    <row r="6076" spans="1:10" x14ac:dyDescent="0.2">
      <c r="A6076" s="859">
        <f t="shared" si="94"/>
        <v>6075</v>
      </c>
      <c r="B6076" s="845" t="s">
        <v>2634</v>
      </c>
      <c r="D6076" s="862"/>
      <c r="H6076" s="845" t="s">
        <v>1007</v>
      </c>
      <c r="J6076" s="989"/>
    </row>
    <row r="6077" spans="1:10" x14ac:dyDescent="0.2">
      <c r="A6077" s="859">
        <f t="shared" si="94"/>
        <v>6076</v>
      </c>
      <c r="B6077" s="845" t="s">
        <v>2634</v>
      </c>
      <c r="D6077" s="863"/>
      <c r="I6077" s="845" t="s">
        <v>2640</v>
      </c>
      <c r="J6077" s="989"/>
    </row>
    <row r="6078" spans="1:10" x14ac:dyDescent="0.2">
      <c r="A6078" s="859">
        <f t="shared" si="94"/>
        <v>6077</v>
      </c>
      <c r="B6078" s="845" t="s">
        <v>2634</v>
      </c>
      <c r="D6078" s="862"/>
      <c r="I6078" s="845" t="str">
        <f>CONCATENATE("&lt;valeur&gt;",Cellule_1102_4,"&lt;/valeur&gt;")</f>
        <v>&lt;valeur&gt;&lt;/valeur&gt;</v>
      </c>
      <c r="J6078" s="989"/>
    </row>
    <row r="6079" spans="1:10" x14ac:dyDescent="0.2">
      <c r="A6079" s="859">
        <f t="shared" si="94"/>
        <v>6078</v>
      </c>
      <c r="B6079" s="845" t="s">
        <v>2634</v>
      </c>
      <c r="D6079" s="862"/>
      <c r="I6079" s="845" t="s">
        <v>2579</v>
      </c>
      <c r="J6079" s="989"/>
    </row>
    <row r="6080" spans="1:10" x14ac:dyDescent="0.2">
      <c r="A6080" s="859">
        <f t="shared" si="94"/>
        <v>6079</v>
      </c>
      <c r="B6080" s="845" t="s">
        <v>2634</v>
      </c>
      <c r="D6080" s="861"/>
      <c r="H6080" s="845" t="s">
        <v>1010</v>
      </c>
      <c r="J6080" s="989"/>
    </row>
    <row r="6081" spans="1:10" x14ac:dyDescent="0.2">
      <c r="A6081" s="859">
        <f t="shared" si="94"/>
        <v>6080</v>
      </c>
      <c r="B6081" s="845" t="s">
        <v>2634</v>
      </c>
      <c r="D6081" s="861"/>
      <c r="H6081" s="845" t="s">
        <v>1007</v>
      </c>
      <c r="J6081" s="989"/>
    </row>
    <row r="6082" spans="1:10" x14ac:dyDescent="0.2">
      <c r="A6082" s="859">
        <f t="shared" si="94"/>
        <v>6081</v>
      </c>
      <c r="B6082" s="845" t="s">
        <v>2634</v>
      </c>
      <c r="D6082" s="862"/>
      <c r="I6082" s="845" t="s">
        <v>2641</v>
      </c>
      <c r="J6082" s="989"/>
    </row>
    <row r="6083" spans="1:10" x14ac:dyDescent="0.2">
      <c r="A6083" s="859">
        <f t="shared" si="94"/>
        <v>6082</v>
      </c>
      <c r="B6083" s="845" t="s">
        <v>2634</v>
      </c>
      <c r="D6083" s="863"/>
      <c r="I6083" s="845" t="str">
        <f>CONCATENATE("&lt;valeur&gt;",Cellule_1103_4,"&lt;/valeur&gt;")</f>
        <v>&lt;valeur&gt;&lt;/valeur&gt;</v>
      </c>
      <c r="J6083" s="989"/>
    </row>
    <row r="6084" spans="1:10" x14ac:dyDescent="0.2">
      <c r="A6084" s="859">
        <f t="shared" ref="A6084:A6147" si="95">+A6083+1</f>
        <v>6083</v>
      </c>
      <c r="B6084" s="845" t="s">
        <v>2634</v>
      </c>
      <c r="D6084" s="862"/>
      <c r="I6084" s="845" t="s">
        <v>2579</v>
      </c>
      <c r="J6084" s="989"/>
    </row>
    <row r="6085" spans="1:10" x14ac:dyDescent="0.2">
      <c r="A6085" s="859">
        <f t="shared" si="95"/>
        <v>6084</v>
      </c>
      <c r="B6085" s="845" t="s">
        <v>2634</v>
      </c>
      <c r="D6085" s="862"/>
      <c r="H6085" s="845" t="s">
        <v>1010</v>
      </c>
      <c r="J6085" s="989"/>
    </row>
    <row r="6086" spans="1:10" x14ac:dyDescent="0.2">
      <c r="A6086" s="859">
        <f t="shared" si="95"/>
        <v>6085</v>
      </c>
      <c r="B6086" s="845" t="s">
        <v>2634</v>
      </c>
      <c r="D6086" s="861"/>
      <c r="H6086" s="845" t="s">
        <v>1007</v>
      </c>
      <c r="J6086" s="989"/>
    </row>
    <row r="6087" spans="1:10" x14ac:dyDescent="0.2">
      <c r="A6087" s="859">
        <f t="shared" si="95"/>
        <v>6086</v>
      </c>
      <c r="B6087" s="845" t="s">
        <v>2634</v>
      </c>
      <c r="D6087" s="861"/>
      <c r="I6087" s="845" t="s">
        <v>2642</v>
      </c>
      <c r="J6087" s="989"/>
    </row>
    <row r="6088" spans="1:10" x14ac:dyDescent="0.2">
      <c r="A6088" s="859">
        <f t="shared" si="95"/>
        <v>6087</v>
      </c>
      <c r="B6088" s="845" t="s">
        <v>2634</v>
      </c>
      <c r="D6088" s="862"/>
      <c r="I6088" s="845" t="str">
        <f>CONCATENATE("&lt;valeur&gt;",Cellule_1104_4,"&lt;/valeur&gt;")</f>
        <v>&lt;valeur&gt;&lt;/valeur&gt;</v>
      </c>
      <c r="J6088" s="989"/>
    </row>
    <row r="6089" spans="1:10" x14ac:dyDescent="0.2">
      <c r="A6089" s="859">
        <f t="shared" si="95"/>
        <v>6088</v>
      </c>
      <c r="B6089" s="845" t="s">
        <v>2634</v>
      </c>
      <c r="D6089" s="863"/>
      <c r="I6089" s="845" t="s">
        <v>2579</v>
      </c>
      <c r="J6089" s="989"/>
    </row>
    <row r="6090" spans="1:10" x14ac:dyDescent="0.2">
      <c r="A6090" s="859">
        <f t="shared" si="95"/>
        <v>6089</v>
      </c>
      <c r="B6090" s="845" t="s">
        <v>2634</v>
      </c>
      <c r="D6090" s="862"/>
      <c r="H6090" s="845" t="s">
        <v>1010</v>
      </c>
      <c r="J6090" s="989"/>
    </row>
    <row r="6091" spans="1:10" x14ac:dyDescent="0.2">
      <c r="A6091" s="859">
        <f t="shared" si="95"/>
        <v>6090</v>
      </c>
      <c r="B6091" s="845" t="s">
        <v>2634</v>
      </c>
      <c r="D6091" s="862"/>
      <c r="H6091" s="845" t="s">
        <v>1007</v>
      </c>
      <c r="J6091" s="989"/>
    </row>
    <row r="6092" spans="1:10" x14ac:dyDescent="0.2">
      <c r="A6092" s="859">
        <f t="shared" si="95"/>
        <v>6091</v>
      </c>
      <c r="B6092" s="845" t="s">
        <v>2634</v>
      </c>
      <c r="D6092" s="861"/>
      <c r="I6092" s="845" t="s">
        <v>2643</v>
      </c>
      <c r="J6092" s="989"/>
    </row>
    <row r="6093" spans="1:10" x14ac:dyDescent="0.2">
      <c r="A6093" s="859">
        <f t="shared" si="95"/>
        <v>6092</v>
      </c>
      <c r="B6093" s="845" t="s">
        <v>2634</v>
      </c>
      <c r="D6093" s="861"/>
      <c r="I6093" s="845" t="str">
        <f>CONCATENATE("&lt;valeur&gt;",Cellule_1105_4,"&lt;/valeur&gt;")</f>
        <v>&lt;valeur&gt;&lt;/valeur&gt;</v>
      </c>
      <c r="J6093" s="989"/>
    </row>
    <row r="6094" spans="1:10" x14ac:dyDescent="0.2">
      <c r="A6094" s="859">
        <f t="shared" si="95"/>
        <v>6093</v>
      </c>
      <c r="B6094" s="845" t="s">
        <v>2634</v>
      </c>
      <c r="D6094" s="862"/>
      <c r="I6094" s="845" t="s">
        <v>2579</v>
      </c>
      <c r="J6094" s="989"/>
    </row>
    <row r="6095" spans="1:10" x14ac:dyDescent="0.2">
      <c r="A6095" s="859">
        <f t="shared" si="95"/>
        <v>6094</v>
      </c>
      <c r="B6095" s="845" t="s">
        <v>2634</v>
      </c>
      <c r="D6095" s="863"/>
      <c r="H6095" s="845" t="s">
        <v>1010</v>
      </c>
      <c r="J6095" s="989"/>
    </row>
    <row r="6096" spans="1:10" x14ac:dyDescent="0.2">
      <c r="A6096" s="859">
        <f t="shared" si="95"/>
        <v>6095</v>
      </c>
      <c r="B6096" s="845" t="s">
        <v>2634</v>
      </c>
      <c r="D6096" s="862"/>
      <c r="H6096" s="845" t="s">
        <v>1007</v>
      </c>
      <c r="J6096" s="989"/>
    </row>
    <row r="6097" spans="1:10" x14ac:dyDescent="0.2">
      <c r="A6097" s="859">
        <f t="shared" si="95"/>
        <v>6096</v>
      </c>
      <c r="B6097" s="845" t="s">
        <v>2634</v>
      </c>
      <c r="D6097" s="861"/>
      <c r="I6097" s="845" t="s">
        <v>2644</v>
      </c>
      <c r="J6097" s="989"/>
    </row>
    <row r="6098" spans="1:10" x14ac:dyDescent="0.2">
      <c r="A6098" s="859">
        <f t="shared" si="95"/>
        <v>6097</v>
      </c>
      <c r="B6098" s="845" t="s">
        <v>2634</v>
      </c>
      <c r="D6098" s="861"/>
      <c r="I6098" s="845" t="str">
        <f>CONCATENATE("&lt;valeur&gt;",Cellule_1106_4,"&lt;/valeur&gt;")</f>
        <v>&lt;valeur&gt;&lt;/valeur&gt;</v>
      </c>
      <c r="J6098" s="989"/>
    </row>
    <row r="6099" spans="1:10" x14ac:dyDescent="0.2">
      <c r="A6099" s="859">
        <f t="shared" si="95"/>
        <v>6098</v>
      </c>
      <c r="B6099" s="845" t="s">
        <v>2634</v>
      </c>
      <c r="D6099" s="862"/>
      <c r="I6099" s="845" t="s">
        <v>2579</v>
      </c>
      <c r="J6099" s="989"/>
    </row>
    <row r="6100" spans="1:10" x14ac:dyDescent="0.2">
      <c r="A6100" s="859">
        <f t="shared" si="95"/>
        <v>6099</v>
      </c>
      <c r="B6100" s="845" t="s">
        <v>2634</v>
      </c>
      <c r="D6100" s="863"/>
      <c r="H6100" s="845" t="s">
        <v>1010</v>
      </c>
      <c r="J6100" s="989"/>
    </row>
    <row r="6101" spans="1:10" x14ac:dyDescent="0.2">
      <c r="A6101" s="859">
        <f t="shared" si="95"/>
        <v>6100</v>
      </c>
      <c r="B6101" s="845" t="s">
        <v>2634</v>
      </c>
      <c r="D6101" s="862"/>
      <c r="H6101" s="845" t="s">
        <v>1007</v>
      </c>
      <c r="J6101" s="989"/>
    </row>
    <row r="6102" spans="1:10" x14ac:dyDescent="0.2">
      <c r="A6102" s="859">
        <f t="shared" si="95"/>
        <v>6101</v>
      </c>
      <c r="B6102" s="845" t="s">
        <v>2634</v>
      </c>
      <c r="D6102" s="861"/>
      <c r="I6102" s="845" t="s">
        <v>2645</v>
      </c>
      <c r="J6102" s="989"/>
    </row>
    <row r="6103" spans="1:10" x14ac:dyDescent="0.2">
      <c r="A6103" s="859">
        <f t="shared" si="95"/>
        <v>6102</v>
      </c>
      <c r="B6103" s="845" t="s">
        <v>2634</v>
      </c>
      <c r="D6103" s="861"/>
      <c r="I6103" s="845" t="str">
        <f>CONCATENATE("&lt;valeur&gt;",Cellule_1107_4,"&lt;/valeur&gt;")</f>
        <v>&lt;valeur&gt;&lt;/valeur&gt;</v>
      </c>
      <c r="J6103" s="989"/>
    </row>
    <row r="6104" spans="1:10" x14ac:dyDescent="0.2">
      <c r="A6104" s="859">
        <f t="shared" si="95"/>
        <v>6103</v>
      </c>
      <c r="B6104" s="845" t="s">
        <v>2634</v>
      </c>
      <c r="D6104" s="862"/>
      <c r="I6104" s="845" t="s">
        <v>2579</v>
      </c>
      <c r="J6104" s="989"/>
    </row>
    <row r="6105" spans="1:10" x14ac:dyDescent="0.2">
      <c r="A6105" s="859">
        <f t="shared" si="95"/>
        <v>6104</v>
      </c>
      <c r="B6105" s="845" t="s">
        <v>2634</v>
      </c>
      <c r="D6105" s="863"/>
      <c r="H6105" s="845" t="s">
        <v>1010</v>
      </c>
      <c r="J6105" s="989"/>
    </row>
    <row r="6106" spans="1:10" x14ac:dyDescent="0.2">
      <c r="A6106" s="859">
        <f t="shared" si="95"/>
        <v>6105</v>
      </c>
      <c r="B6106" s="845" t="s">
        <v>2634</v>
      </c>
      <c r="D6106" s="862"/>
      <c r="H6106" s="845" t="s">
        <v>1007</v>
      </c>
      <c r="J6106" s="989"/>
    </row>
    <row r="6107" spans="1:10" x14ac:dyDescent="0.2">
      <c r="A6107" s="859">
        <f t="shared" si="95"/>
        <v>6106</v>
      </c>
      <c r="B6107" s="845" t="s">
        <v>2634</v>
      </c>
      <c r="D6107" s="861"/>
      <c r="I6107" s="845" t="s">
        <v>2646</v>
      </c>
      <c r="J6107" s="989"/>
    </row>
    <row r="6108" spans="1:10" x14ac:dyDescent="0.2">
      <c r="A6108" s="859">
        <f t="shared" si="95"/>
        <v>6107</v>
      </c>
      <c r="B6108" s="845" t="s">
        <v>2634</v>
      </c>
      <c r="D6108" s="861"/>
      <c r="I6108" s="845" t="str">
        <f>CONCATENATE("&lt;valeur&gt;",Cellule_1108_4,"&lt;/valeur&gt;")</f>
        <v>&lt;valeur&gt;&lt;/valeur&gt;</v>
      </c>
      <c r="J6108" s="989"/>
    </row>
    <row r="6109" spans="1:10" x14ac:dyDescent="0.2">
      <c r="A6109" s="859">
        <f t="shared" si="95"/>
        <v>6108</v>
      </c>
      <c r="B6109" s="845" t="s">
        <v>2634</v>
      </c>
      <c r="D6109" s="862"/>
      <c r="I6109" s="845" t="s">
        <v>2579</v>
      </c>
      <c r="J6109" s="989"/>
    </row>
    <row r="6110" spans="1:10" x14ac:dyDescent="0.2">
      <c r="A6110" s="859">
        <f t="shared" si="95"/>
        <v>6109</v>
      </c>
      <c r="B6110" s="991" t="s">
        <v>2634</v>
      </c>
      <c r="C6110" s="991"/>
      <c r="D6110" s="999"/>
      <c r="E6110" s="991"/>
      <c r="F6110" s="991"/>
      <c r="G6110" s="991"/>
      <c r="H6110" s="991" t="s">
        <v>1010</v>
      </c>
      <c r="I6110" s="991"/>
      <c r="J6110" s="1000"/>
    </row>
    <row r="6111" spans="1:10" x14ac:dyDescent="0.2">
      <c r="A6111" s="859">
        <f t="shared" si="95"/>
        <v>6110</v>
      </c>
      <c r="B6111" s="990" t="s">
        <v>2634</v>
      </c>
      <c r="C6111" s="990"/>
      <c r="D6111" s="998"/>
      <c r="E6111" s="990"/>
      <c r="F6111" s="990"/>
      <c r="G6111" s="990"/>
      <c r="H6111" s="990" t="s">
        <v>1007</v>
      </c>
      <c r="I6111" s="990"/>
      <c r="J6111" s="986"/>
    </row>
    <row r="6112" spans="1:10" x14ac:dyDescent="0.2">
      <c r="A6112" s="859">
        <f t="shared" si="95"/>
        <v>6111</v>
      </c>
      <c r="B6112" s="845" t="s">
        <v>2634</v>
      </c>
      <c r="D6112" s="861"/>
      <c r="I6112" s="845" t="s">
        <v>2636</v>
      </c>
      <c r="J6112" s="989"/>
    </row>
    <row r="6113" spans="1:10" x14ac:dyDescent="0.2">
      <c r="A6113" s="859">
        <f t="shared" si="95"/>
        <v>6112</v>
      </c>
      <c r="B6113" s="845" t="s">
        <v>2634</v>
      </c>
      <c r="D6113" s="862"/>
      <c r="I6113" s="845" t="str">
        <f>CONCATENATE("&lt;valeur&gt;",Cellule_1098_5,"&lt;/valeur&gt;")</f>
        <v>&lt;valeur&gt;&lt;/valeur&gt;</v>
      </c>
      <c r="J6113" s="989"/>
    </row>
    <row r="6114" spans="1:10" x14ac:dyDescent="0.2">
      <c r="A6114" s="859">
        <f t="shared" si="95"/>
        <v>6113</v>
      </c>
      <c r="B6114" s="845" t="s">
        <v>2634</v>
      </c>
      <c r="D6114" s="863"/>
      <c r="I6114" s="845" t="s">
        <v>2580</v>
      </c>
      <c r="J6114" s="989"/>
    </row>
    <row r="6115" spans="1:10" x14ac:dyDescent="0.2">
      <c r="A6115" s="859">
        <f t="shared" si="95"/>
        <v>6114</v>
      </c>
      <c r="B6115" s="845" t="s">
        <v>2634</v>
      </c>
      <c r="D6115" s="862"/>
      <c r="H6115" s="845" t="s">
        <v>1010</v>
      </c>
      <c r="J6115" s="989"/>
    </row>
    <row r="6116" spans="1:10" x14ac:dyDescent="0.2">
      <c r="A6116" s="859">
        <f t="shared" si="95"/>
        <v>6115</v>
      </c>
      <c r="B6116" s="845" t="s">
        <v>2634</v>
      </c>
      <c r="D6116" s="862"/>
      <c r="H6116" s="845" t="s">
        <v>1007</v>
      </c>
      <c r="J6116" s="989"/>
    </row>
    <row r="6117" spans="1:10" x14ac:dyDescent="0.2">
      <c r="A6117" s="859">
        <f t="shared" si="95"/>
        <v>6116</v>
      </c>
      <c r="B6117" s="845" t="s">
        <v>2634</v>
      </c>
      <c r="D6117" s="861"/>
      <c r="I6117" s="845" t="s">
        <v>2637</v>
      </c>
      <c r="J6117" s="989"/>
    </row>
    <row r="6118" spans="1:10" x14ac:dyDescent="0.2">
      <c r="A6118" s="859">
        <f t="shared" si="95"/>
        <v>6117</v>
      </c>
      <c r="B6118" s="845" t="s">
        <v>2634</v>
      </c>
      <c r="D6118" s="861"/>
      <c r="I6118" s="845" t="str">
        <f>CONCATENATE("&lt;valeur&gt;",Cellule_1099_5,"&lt;/valeur&gt;")</f>
        <v>&lt;valeur&gt;&lt;/valeur&gt;</v>
      </c>
      <c r="J6118" s="989"/>
    </row>
    <row r="6119" spans="1:10" x14ac:dyDescent="0.2">
      <c r="A6119" s="859">
        <f t="shared" si="95"/>
        <v>6118</v>
      </c>
      <c r="B6119" s="845" t="s">
        <v>2634</v>
      </c>
      <c r="D6119" s="862"/>
      <c r="I6119" s="845" t="s">
        <v>2580</v>
      </c>
      <c r="J6119" s="989"/>
    </row>
    <row r="6120" spans="1:10" x14ac:dyDescent="0.2">
      <c r="A6120" s="859">
        <f t="shared" si="95"/>
        <v>6119</v>
      </c>
      <c r="B6120" s="845" t="s">
        <v>2634</v>
      </c>
      <c r="D6120" s="863"/>
      <c r="H6120" s="845" t="s">
        <v>1010</v>
      </c>
      <c r="J6120" s="989"/>
    </row>
    <row r="6121" spans="1:10" x14ac:dyDescent="0.2">
      <c r="A6121" s="859">
        <f t="shared" si="95"/>
        <v>6120</v>
      </c>
      <c r="B6121" s="845" t="s">
        <v>2634</v>
      </c>
      <c r="D6121" s="862"/>
      <c r="H6121" s="845" t="s">
        <v>1007</v>
      </c>
      <c r="J6121" s="989"/>
    </row>
    <row r="6122" spans="1:10" x14ac:dyDescent="0.2">
      <c r="A6122" s="859">
        <f t="shared" si="95"/>
        <v>6121</v>
      </c>
      <c r="B6122" s="845" t="s">
        <v>2634</v>
      </c>
      <c r="D6122" s="862"/>
      <c r="I6122" s="845" t="s">
        <v>2638</v>
      </c>
      <c r="J6122" s="989"/>
    </row>
    <row r="6123" spans="1:10" x14ac:dyDescent="0.2">
      <c r="A6123" s="859">
        <f t="shared" si="95"/>
        <v>6122</v>
      </c>
      <c r="B6123" s="845" t="s">
        <v>2634</v>
      </c>
      <c r="D6123" s="861"/>
      <c r="I6123" s="845" t="str">
        <f>CONCATENATE("&lt;valeur&gt;",Cellule_1100_5,"&lt;/valeur&gt;")</f>
        <v>&lt;valeur&gt;&lt;/valeur&gt;</v>
      </c>
      <c r="J6123" s="989"/>
    </row>
    <row r="6124" spans="1:10" x14ac:dyDescent="0.2">
      <c r="A6124" s="859">
        <f t="shared" si="95"/>
        <v>6123</v>
      </c>
      <c r="B6124" s="845" t="s">
        <v>2634</v>
      </c>
      <c r="D6124" s="861"/>
      <c r="I6124" s="845" t="s">
        <v>2580</v>
      </c>
      <c r="J6124" s="989"/>
    </row>
    <row r="6125" spans="1:10" x14ac:dyDescent="0.2">
      <c r="A6125" s="859">
        <f t="shared" si="95"/>
        <v>6124</v>
      </c>
      <c r="B6125" s="845" t="s">
        <v>2634</v>
      </c>
      <c r="D6125" s="862"/>
      <c r="H6125" s="845" t="s">
        <v>1010</v>
      </c>
      <c r="J6125" s="989"/>
    </row>
    <row r="6126" spans="1:10" x14ac:dyDescent="0.2">
      <c r="A6126" s="859">
        <f t="shared" si="95"/>
        <v>6125</v>
      </c>
      <c r="B6126" s="845" t="s">
        <v>2634</v>
      </c>
      <c r="D6126" s="863"/>
      <c r="H6126" s="845" t="s">
        <v>1007</v>
      </c>
      <c r="J6126" s="989"/>
    </row>
    <row r="6127" spans="1:10" x14ac:dyDescent="0.2">
      <c r="A6127" s="859">
        <f t="shared" si="95"/>
        <v>6126</v>
      </c>
      <c r="B6127" s="845" t="s">
        <v>2634</v>
      </c>
      <c r="D6127" s="862"/>
      <c r="I6127" s="845" t="s">
        <v>2639</v>
      </c>
      <c r="J6127" s="989"/>
    </row>
    <row r="6128" spans="1:10" x14ac:dyDescent="0.2">
      <c r="A6128" s="859">
        <f t="shared" si="95"/>
        <v>6127</v>
      </c>
      <c r="B6128" s="845" t="s">
        <v>2634</v>
      </c>
      <c r="D6128" s="862"/>
      <c r="I6128" s="845" t="str">
        <f>CONCATENATE("&lt;valeur&gt;",Cellule_1101_5,"&lt;/valeur&gt;")</f>
        <v>&lt;valeur&gt;&lt;/valeur&gt;</v>
      </c>
      <c r="J6128" s="989"/>
    </row>
    <row r="6129" spans="1:10" x14ac:dyDescent="0.2">
      <c r="A6129" s="859">
        <f t="shared" si="95"/>
        <v>6128</v>
      </c>
      <c r="B6129" s="845" t="s">
        <v>2634</v>
      </c>
      <c r="D6129" s="861"/>
      <c r="I6129" s="845" t="s">
        <v>2580</v>
      </c>
      <c r="J6129" s="989"/>
    </row>
    <row r="6130" spans="1:10" x14ac:dyDescent="0.2">
      <c r="A6130" s="859">
        <f t="shared" si="95"/>
        <v>6129</v>
      </c>
      <c r="B6130" s="845" t="s">
        <v>2634</v>
      </c>
      <c r="D6130" s="861"/>
      <c r="H6130" s="845" t="s">
        <v>1010</v>
      </c>
      <c r="J6130" s="989"/>
    </row>
    <row r="6131" spans="1:10" x14ac:dyDescent="0.2">
      <c r="A6131" s="859">
        <f t="shared" si="95"/>
        <v>6130</v>
      </c>
      <c r="B6131" s="845" t="s">
        <v>2634</v>
      </c>
      <c r="D6131" s="862"/>
      <c r="H6131" s="845" t="s">
        <v>1007</v>
      </c>
      <c r="J6131" s="989"/>
    </row>
    <row r="6132" spans="1:10" x14ac:dyDescent="0.2">
      <c r="A6132" s="859">
        <f t="shared" si="95"/>
        <v>6131</v>
      </c>
      <c r="B6132" s="845" t="s">
        <v>2634</v>
      </c>
      <c r="D6132" s="863"/>
      <c r="I6132" s="845" t="s">
        <v>2640</v>
      </c>
      <c r="J6132" s="989"/>
    </row>
    <row r="6133" spans="1:10" x14ac:dyDescent="0.2">
      <c r="A6133" s="859">
        <f t="shared" si="95"/>
        <v>6132</v>
      </c>
      <c r="B6133" s="845" t="s">
        <v>2634</v>
      </c>
      <c r="D6133" s="862"/>
      <c r="I6133" s="845" t="str">
        <f>CONCATENATE("&lt;valeur&gt;",Cellule_1102_5,"&lt;/valeur&gt;")</f>
        <v>&lt;valeur&gt;&lt;/valeur&gt;</v>
      </c>
      <c r="J6133" s="989"/>
    </row>
    <row r="6134" spans="1:10" x14ac:dyDescent="0.2">
      <c r="A6134" s="859">
        <f t="shared" si="95"/>
        <v>6133</v>
      </c>
      <c r="B6134" s="845" t="s">
        <v>2634</v>
      </c>
      <c r="D6134" s="862"/>
      <c r="I6134" s="845" t="s">
        <v>2580</v>
      </c>
      <c r="J6134" s="989"/>
    </row>
    <row r="6135" spans="1:10" x14ac:dyDescent="0.2">
      <c r="A6135" s="859">
        <f t="shared" si="95"/>
        <v>6134</v>
      </c>
      <c r="B6135" s="845" t="s">
        <v>2634</v>
      </c>
      <c r="D6135" s="861"/>
      <c r="H6135" s="845" t="s">
        <v>1010</v>
      </c>
      <c r="J6135" s="989"/>
    </row>
    <row r="6136" spans="1:10" x14ac:dyDescent="0.2">
      <c r="A6136" s="859">
        <f t="shared" si="95"/>
        <v>6135</v>
      </c>
      <c r="B6136" s="845" t="s">
        <v>2634</v>
      </c>
      <c r="D6136" s="861"/>
      <c r="H6136" s="845" t="s">
        <v>1007</v>
      </c>
      <c r="J6136" s="989"/>
    </row>
    <row r="6137" spans="1:10" x14ac:dyDescent="0.2">
      <c r="A6137" s="859">
        <f t="shared" si="95"/>
        <v>6136</v>
      </c>
      <c r="B6137" s="845" t="s">
        <v>2634</v>
      </c>
      <c r="D6137" s="862"/>
      <c r="I6137" s="845" t="s">
        <v>2641</v>
      </c>
      <c r="J6137" s="989"/>
    </row>
    <row r="6138" spans="1:10" x14ac:dyDescent="0.2">
      <c r="A6138" s="859">
        <f t="shared" si="95"/>
        <v>6137</v>
      </c>
      <c r="B6138" s="845" t="s">
        <v>2634</v>
      </c>
      <c r="D6138" s="863"/>
      <c r="I6138" s="845" t="str">
        <f>CONCATENATE("&lt;valeur&gt;",Cellule_1103_5,"&lt;/valeur&gt;")</f>
        <v>&lt;valeur&gt;&lt;/valeur&gt;</v>
      </c>
      <c r="J6138" s="989"/>
    </row>
    <row r="6139" spans="1:10" x14ac:dyDescent="0.2">
      <c r="A6139" s="859">
        <f t="shared" si="95"/>
        <v>6138</v>
      </c>
      <c r="B6139" s="845" t="s">
        <v>2634</v>
      </c>
      <c r="D6139" s="862"/>
      <c r="I6139" s="845" t="s">
        <v>2580</v>
      </c>
      <c r="J6139" s="989"/>
    </row>
    <row r="6140" spans="1:10" x14ac:dyDescent="0.2">
      <c r="A6140" s="859">
        <f t="shared" si="95"/>
        <v>6139</v>
      </c>
      <c r="B6140" s="845" t="s">
        <v>2634</v>
      </c>
      <c r="D6140" s="862"/>
      <c r="H6140" s="845" t="s">
        <v>1010</v>
      </c>
      <c r="J6140" s="989"/>
    </row>
    <row r="6141" spans="1:10" x14ac:dyDescent="0.2">
      <c r="A6141" s="859">
        <f t="shared" si="95"/>
        <v>6140</v>
      </c>
      <c r="B6141" s="845" t="s">
        <v>2634</v>
      </c>
      <c r="D6141" s="861"/>
      <c r="H6141" s="845" t="s">
        <v>1007</v>
      </c>
      <c r="J6141" s="989"/>
    </row>
    <row r="6142" spans="1:10" x14ac:dyDescent="0.2">
      <c r="A6142" s="859">
        <f t="shared" si="95"/>
        <v>6141</v>
      </c>
      <c r="B6142" s="845" t="s">
        <v>2634</v>
      </c>
      <c r="D6142" s="861"/>
      <c r="I6142" s="845" t="s">
        <v>2642</v>
      </c>
      <c r="J6142" s="989"/>
    </row>
    <row r="6143" spans="1:10" x14ac:dyDescent="0.2">
      <c r="A6143" s="859">
        <f t="shared" si="95"/>
        <v>6142</v>
      </c>
      <c r="B6143" s="845" t="s">
        <v>2634</v>
      </c>
      <c r="D6143" s="862"/>
      <c r="I6143" s="845" t="str">
        <f>CONCATENATE("&lt;valeur&gt;",Cellule_1104_5,"&lt;/valeur&gt;")</f>
        <v>&lt;valeur&gt;&lt;/valeur&gt;</v>
      </c>
      <c r="J6143" s="989"/>
    </row>
    <row r="6144" spans="1:10" x14ac:dyDescent="0.2">
      <c r="A6144" s="859">
        <f t="shared" si="95"/>
        <v>6143</v>
      </c>
      <c r="B6144" s="845" t="s">
        <v>2634</v>
      </c>
      <c r="D6144" s="863"/>
      <c r="I6144" s="845" t="s">
        <v>2580</v>
      </c>
      <c r="J6144" s="989"/>
    </row>
    <row r="6145" spans="1:10" x14ac:dyDescent="0.2">
      <c r="A6145" s="859">
        <f t="shared" si="95"/>
        <v>6144</v>
      </c>
      <c r="B6145" s="845" t="s">
        <v>2634</v>
      </c>
      <c r="D6145" s="862"/>
      <c r="H6145" s="845" t="s">
        <v>1010</v>
      </c>
      <c r="J6145" s="989"/>
    </row>
    <row r="6146" spans="1:10" x14ac:dyDescent="0.2">
      <c r="A6146" s="859">
        <f t="shared" si="95"/>
        <v>6145</v>
      </c>
      <c r="B6146" s="845" t="s">
        <v>2634</v>
      </c>
      <c r="D6146" s="862"/>
      <c r="H6146" s="845" t="s">
        <v>1007</v>
      </c>
      <c r="J6146" s="989"/>
    </row>
    <row r="6147" spans="1:10" x14ac:dyDescent="0.2">
      <c r="A6147" s="859">
        <f t="shared" si="95"/>
        <v>6146</v>
      </c>
      <c r="B6147" s="845" t="s">
        <v>2634</v>
      </c>
      <c r="D6147" s="861"/>
      <c r="I6147" s="845" t="s">
        <v>2643</v>
      </c>
      <c r="J6147" s="989"/>
    </row>
    <row r="6148" spans="1:10" x14ac:dyDescent="0.2">
      <c r="A6148" s="859">
        <f t="shared" ref="A6148:A6211" si="96">+A6147+1</f>
        <v>6147</v>
      </c>
      <c r="B6148" s="845" t="s">
        <v>2634</v>
      </c>
      <c r="D6148" s="861"/>
      <c r="I6148" s="845" t="str">
        <f>CONCATENATE("&lt;valeur&gt;",Cellule_1105_5,"&lt;/valeur&gt;")</f>
        <v>&lt;valeur&gt;&lt;/valeur&gt;</v>
      </c>
      <c r="J6148" s="989"/>
    </row>
    <row r="6149" spans="1:10" x14ac:dyDescent="0.2">
      <c r="A6149" s="859">
        <f t="shared" si="96"/>
        <v>6148</v>
      </c>
      <c r="B6149" s="845" t="s">
        <v>2634</v>
      </c>
      <c r="D6149" s="862"/>
      <c r="I6149" s="845" t="s">
        <v>2580</v>
      </c>
      <c r="J6149" s="989"/>
    </row>
    <row r="6150" spans="1:10" x14ac:dyDescent="0.2">
      <c r="A6150" s="859">
        <f t="shared" si="96"/>
        <v>6149</v>
      </c>
      <c r="B6150" s="845" t="s">
        <v>2634</v>
      </c>
      <c r="D6150" s="863"/>
      <c r="H6150" s="845" t="s">
        <v>1010</v>
      </c>
      <c r="J6150" s="989"/>
    </row>
    <row r="6151" spans="1:10" x14ac:dyDescent="0.2">
      <c r="A6151" s="859">
        <f t="shared" si="96"/>
        <v>6150</v>
      </c>
      <c r="B6151" s="845" t="s">
        <v>2634</v>
      </c>
      <c r="D6151" s="862"/>
      <c r="H6151" s="845" t="s">
        <v>1007</v>
      </c>
      <c r="J6151" s="989"/>
    </row>
    <row r="6152" spans="1:10" x14ac:dyDescent="0.2">
      <c r="A6152" s="859">
        <f t="shared" si="96"/>
        <v>6151</v>
      </c>
      <c r="B6152" s="845" t="s">
        <v>2634</v>
      </c>
      <c r="D6152" s="861"/>
      <c r="I6152" s="845" t="s">
        <v>2644</v>
      </c>
      <c r="J6152" s="989"/>
    </row>
    <row r="6153" spans="1:10" x14ac:dyDescent="0.2">
      <c r="A6153" s="859">
        <f t="shared" si="96"/>
        <v>6152</v>
      </c>
      <c r="B6153" s="845" t="s">
        <v>2634</v>
      </c>
      <c r="D6153" s="861"/>
      <c r="I6153" s="845" t="str">
        <f>CONCATENATE("&lt;valeur&gt;",Cellule_1106_5,"&lt;/valeur&gt;")</f>
        <v>&lt;valeur&gt;&lt;/valeur&gt;</v>
      </c>
      <c r="J6153" s="989"/>
    </row>
    <row r="6154" spans="1:10" x14ac:dyDescent="0.2">
      <c r="A6154" s="859">
        <f t="shared" si="96"/>
        <v>6153</v>
      </c>
      <c r="B6154" s="845" t="s">
        <v>2634</v>
      </c>
      <c r="D6154" s="862"/>
      <c r="I6154" s="845" t="s">
        <v>2580</v>
      </c>
      <c r="J6154" s="989"/>
    </row>
    <row r="6155" spans="1:10" x14ac:dyDescent="0.2">
      <c r="A6155" s="859">
        <f t="shared" si="96"/>
        <v>6154</v>
      </c>
      <c r="B6155" s="845" t="s">
        <v>2634</v>
      </c>
      <c r="D6155" s="863"/>
      <c r="H6155" s="845" t="s">
        <v>1010</v>
      </c>
      <c r="J6155" s="989"/>
    </row>
    <row r="6156" spans="1:10" x14ac:dyDescent="0.2">
      <c r="A6156" s="859">
        <f t="shared" si="96"/>
        <v>6155</v>
      </c>
      <c r="B6156" s="845" t="s">
        <v>2634</v>
      </c>
      <c r="D6156" s="862"/>
      <c r="H6156" s="845" t="s">
        <v>1007</v>
      </c>
      <c r="J6156" s="989"/>
    </row>
    <row r="6157" spans="1:10" x14ac:dyDescent="0.2">
      <c r="A6157" s="859">
        <f t="shared" si="96"/>
        <v>6156</v>
      </c>
      <c r="B6157" s="845" t="s">
        <v>2634</v>
      </c>
      <c r="D6157" s="861"/>
      <c r="I6157" s="845" t="s">
        <v>2645</v>
      </c>
      <c r="J6157" s="989"/>
    </row>
    <row r="6158" spans="1:10" x14ac:dyDescent="0.2">
      <c r="A6158" s="859">
        <f t="shared" si="96"/>
        <v>6157</v>
      </c>
      <c r="B6158" s="845" t="s">
        <v>2634</v>
      </c>
      <c r="D6158" s="861"/>
      <c r="I6158" s="845" t="str">
        <f>CONCATENATE("&lt;valeur&gt;",Cellule_1107_5,"&lt;/valeur&gt;")</f>
        <v>&lt;valeur&gt;&lt;/valeur&gt;</v>
      </c>
      <c r="J6158" s="989"/>
    </row>
    <row r="6159" spans="1:10" x14ac:dyDescent="0.2">
      <c r="A6159" s="859">
        <f t="shared" si="96"/>
        <v>6158</v>
      </c>
      <c r="B6159" s="845" t="s">
        <v>2634</v>
      </c>
      <c r="D6159" s="862"/>
      <c r="I6159" s="845" t="s">
        <v>2580</v>
      </c>
      <c r="J6159" s="989"/>
    </row>
    <row r="6160" spans="1:10" x14ac:dyDescent="0.2">
      <c r="A6160" s="859">
        <f t="shared" si="96"/>
        <v>6159</v>
      </c>
      <c r="B6160" s="845" t="s">
        <v>2634</v>
      </c>
      <c r="D6160" s="863"/>
      <c r="H6160" s="845" t="s">
        <v>1010</v>
      </c>
      <c r="J6160" s="989"/>
    </row>
    <row r="6161" spans="1:10" x14ac:dyDescent="0.2">
      <c r="A6161" s="859">
        <f t="shared" si="96"/>
        <v>6160</v>
      </c>
      <c r="B6161" s="845" t="s">
        <v>2634</v>
      </c>
      <c r="D6161" s="862"/>
      <c r="H6161" s="845" t="s">
        <v>1007</v>
      </c>
      <c r="J6161" s="989"/>
    </row>
    <row r="6162" spans="1:10" x14ac:dyDescent="0.2">
      <c r="A6162" s="859">
        <f t="shared" si="96"/>
        <v>6161</v>
      </c>
      <c r="B6162" s="845" t="s">
        <v>2634</v>
      </c>
      <c r="D6162" s="861"/>
      <c r="I6162" s="845" t="s">
        <v>2646</v>
      </c>
      <c r="J6162" s="989"/>
    </row>
    <row r="6163" spans="1:10" x14ac:dyDescent="0.2">
      <c r="A6163" s="859">
        <f t="shared" si="96"/>
        <v>6162</v>
      </c>
      <c r="B6163" s="845" t="s">
        <v>2634</v>
      </c>
      <c r="D6163" s="861"/>
      <c r="I6163" s="845" t="str">
        <f>CONCATENATE("&lt;valeur&gt;",Cellule_1108_5,"&lt;/valeur&gt;")</f>
        <v>&lt;valeur&gt;&lt;/valeur&gt;</v>
      </c>
      <c r="J6163" s="989"/>
    </row>
    <row r="6164" spans="1:10" x14ac:dyDescent="0.2">
      <c r="A6164" s="859">
        <f t="shared" si="96"/>
        <v>6163</v>
      </c>
      <c r="B6164" s="845" t="s">
        <v>2634</v>
      </c>
      <c r="D6164" s="862"/>
      <c r="I6164" s="845" t="s">
        <v>2580</v>
      </c>
      <c r="J6164" s="989"/>
    </row>
    <row r="6165" spans="1:10" x14ac:dyDescent="0.2">
      <c r="A6165" s="859">
        <f t="shared" si="96"/>
        <v>6164</v>
      </c>
      <c r="B6165" s="991" t="s">
        <v>2634</v>
      </c>
      <c r="C6165" s="991"/>
      <c r="D6165" s="999"/>
      <c r="E6165" s="991"/>
      <c r="F6165" s="991"/>
      <c r="G6165" s="991"/>
      <c r="H6165" s="991" t="s">
        <v>1010</v>
      </c>
      <c r="I6165" s="991"/>
      <c r="J6165" s="1000"/>
    </row>
    <row r="6166" spans="1:10" x14ac:dyDescent="0.2">
      <c r="A6166" s="859">
        <f t="shared" si="96"/>
        <v>6165</v>
      </c>
      <c r="B6166" s="990" t="s">
        <v>2634</v>
      </c>
      <c r="C6166" s="990"/>
      <c r="D6166" s="998"/>
      <c r="E6166" s="990"/>
      <c r="F6166" s="990"/>
      <c r="G6166" s="990"/>
      <c r="H6166" s="990" t="s">
        <v>1007</v>
      </c>
      <c r="I6166" s="990"/>
      <c r="J6166" s="986"/>
    </row>
    <row r="6167" spans="1:10" x14ac:dyDescent="0.2">
      <c r="A6167" s="859">
        <f t="shared" si="96"/>
        <v>6166</v>
      </c>
      <c r="B6167" s="845" t="s">
        <v>2634</v>
      </c>
      <c r="D6167" s="861"/>
      <c r="I6167" s="845" t="s">
        <v>2636</v>
      </c>
      <c r="J6167" s="989"/>
    </row>
    <row r="6168" spans="1:10" x14ac:dyDescent="0.2">
      <c r="A6168" s="859">
        <f t="shared" si="96"/>
        <v>6167</v>
      </c>
      <c r="B6168" s="845" t="s">
        <v>2634</v>
      </c>
      <c r="D6168" s="862"/>
      <c r="I6168" s="845" t="str">
        <f>CONCATENATE("&lt;valeur&gt;",Cellule_1098_6,"&lt;/valeur&gt;")</f>
        <v>&lt;valeur&gt;&lt;/valeur&gt;</v>
      </c>
      <c r="J6168" s="989"/>
    </row>
    <row r="6169" spans="1:10" x14ac:dyDescent="0.2">
      <c r="A6169" s="859">
        <f t="shared" si="96"/>
        <v>6168</v>
      </c>
      <c r="B6169" s="845" t="s">
        <v>2634</v>
      </c>
      <c r="D6169" s="863"/>
      <c r="I6169" s="845" t="s">
        <v>2581</v>
      </c>
      <c r="J6169" s="989"/>
    </row>
    <row r="6170" spans="1:10" x14ac:dyDescent="0.2">
      <c r="A6170" s="859">
        <f t="shared" si="96"/>
        <v>6169</v>
      </c>
      <c r="B6170" s="845" t="s">
        <v>2634</v>
      </c>
      <c r="D6170" s="862"/>
      <c r="H6170" s="845" t="s">
        <v>1010</v>
      </c>
      <c r="J6170" s="989"/>
    </row>
    <row r="6171" spans="1:10" x14ac:dyDescent="0.2">
      <c r="A6171" s="859">
        <f t="shared" si="96"/>
        <v>6170</v>
      </c>
      <c r="B6171" s="845" t="s">
        <v>2634</v>
      </c>
      <c r="D6171" s="862"/>
      <c r="H6171" s="845" t="s">
        <v>1007</v>
      </c>
      <c r="J6171" s="989"/>
    </row>
    <row r="6172" spans="1:10" x14ac:dyDescent="0.2">
      <c r="A6172" s="859">
        <f t="shared" si="96"/>
        <v>6171</v>
      </c>
      <c r="B6172" s="845" t="s">
        <v>2634</v>
      </c>
      <c r="D6172" s="861"/>
      <c r="I6172" s="845" t="s">
        <v>2637</v>
      </c>
      <c r="J6172" s="989"/>
    </row>
    <row r="6173" spans="1:10" x14ac:dyDescent="0.2">
      <c r="A6173" s="859">
        <f t="shared" si="96"/>
        <v>6172</v>
      </c>
      <c r="B6173" s="845" t="s">
        <v>2634</v>
      </c>
      <c r="D6173" s="861"/>
      <c r="I6173" s="845" t="str">
        <f>CONCATENATE("&lt;valeur&gt;",Cellule_1099_6,"&lt;/valeur&gt;")</f>
        <v>&lt;valeur&gt;&lt;/valeur&gt;</v>
      </c>
      <c r="J6173" s="989"/>
    </row>
    <row r="6174" spans="1:10" x14ac:dyDescent="0.2">
      <c r="A6174" s="859">
        <f t="shared" si="96"/>
        <v>6173</v>
      </c>
      <c r="B6174" s="845" t="s">
        <v>2634</v>
      </c>
      <c r="D6174" s="862"/>
      <c r="I6174" s="845" t="s">
        <v>2581</v>
      </c>
      <c r="J6174" s="989"/>
    </row>
    <row r="6175" spans="1:10" x14ac:dyDescent="0.2">
      <c r="A6175" s="859">
        <f t="shared" si="96"/>
        <v>6174</v>
      </c>
      <c r="B6175" s="845" t="s">
        <v>2634</v>
      </c>
      <c r="D6175" s="863"/>
      <c r="H6175" s="845" t="s">
        <v>1010</v>
      </c>
      <c r="J6175" s="989"/>
    </row>
    <row r="6176" spans="1:10" x14ac:dyDescent="0.2">
      <c r="A6176" s="859">
        <f t="shared" si="96"/>
        <v>6175</v>
      </c>
      <c r="B6176" s="845" t="s">
        <v>2634</v>
      </c>
      <c r="D6176" s="862"/>
      <c r="H6176" s="845" t="s">
        <v>1007</v>
      </c>
      <c r="J6176" s="989"/>
    </row>
    <row r="6177" spans="1:10" x14ac:dyDescent="0.2">
      <c r="A6177" s="859">
        <f t="shared" si="96"/>
        <v>6176</v>
      </c>
      <c r="B6177" s="845" t="s">
        <v>2634</v>
      </c>
      <c r="D6177" s="862"/>
      <c r="I6177" s="845" t="s">
        <v>2638</v>
      </c>
      <c r="J6177" s="989"/>
    </row>
    <row r="6178" spans="1:10" x14ac:dyDescent="0.2">
      <c r="A6178" s="859">
        <f t="shared" si="96"/>
        <v>6177</v>
      </c>
      <c r="B6178" s="845" t="s">
        <v>2634</v>
      </c>
      <c r="D6178" s="861"/>
      <c r="I6178" s="845" t="str">
        <f>CONCATENATE("&lt;valeur&gt;",Cellule_1100_6,"&lt;/valeur&gt;")</f>
        <v>&lt;valeur&gt;&lt;/valeur&gt;</v>
      </c>
      <c r="J6178" s="989"/>
    </row>
    <row r="6179" spans="1:10" x14ac:dyDescent="0.2">
      <c r="A6179" s="859">
        <f t="shared" si="96"/>
        <v>6178</v>
      </c>
      <c r="B6179" s="845" t="s">
        <v>2634</v>
      </c>
      <c r="D6179" s="861"/>
      <c r="I6179" s="845" t="s">
        <v>2581</v>
      </c>
      <c r="J6179" s="989"/>
    </row>
    <row r="6180" spans="1:10" x14ac:dyDescent="0.2">
      <c r="A6180" s="859">
        <f t="shared" si="96"/>
        <v>6179</v>
      </c>
      <c r="B6180" s="845" t="s">
        <v>2634</v>
      </c>
      <c r="D6180" s="862"/>
      <c r="H6180" s="845" t="s">
        <v>1010</v>
      </c>
      <c r="J6180" s="989"/>
    </row>
    <row r="6181" spans="1:10" x14ac:dyDescent="0.2">
      <c r="A6181" s="859">
        <f t="shared" si="96"/>
        <v>6180</v>
      </c>
      <c r="B6181" s="845" t="s">
        <v>2634</v>
      </c>
      <c r="D6181" s="863"/>
      <c r="H6181" s="845" t="s">
        <v>1007</v>
      </c>
      <c r="J6181" s="989"/>
    </row>
    <row r="6182" spans="1:10" x14ac:dyDescent="0.2">
      <c r="A6182" s="859">
        <f t="shared" si="96"/>
        <v>6181</v>
      </c>
      <c r="B6182" s="845" t="s">
        <v>2634</v>
      </c>
      <c r="D6182" s="862"/>
      <c r="I6182" s="845" t="s">
        <v>2639</v>
      </c>
      <c r="J6182" s="989"/>
    </row>
    <row r="6183" spans="1:10" x14ac:dyDescent="0.2">
      <c r="A6183" s="859">
        <f t="shared" si="96"/>
        <v>6182</v>
      </c>
      <c r="B6183" s="845" t="s">
        <v>2634</v>
      </c>
      <c r="D6183" s="862"/>
      <c r="I6183" s="845" t="str">
        <f>CONCATENATE("&lt;valeur&gt;",Cellule_1101_6,"&lt;/valeur&gt;")</f>
        <v>&lt;valeur&gt;&lt;/valeur&gt;</v>
      </c>
      <c r="J6183" s="989"/>
    </row>
    <row r="6184" spans="1:10" x14ac:dyDescent="0.2">
      <c r="A6184" s="859">
        <f t="shared" si="96"/>
        <v>6183</v>
      </c>
      <c r="B6184" s="845" t="s">
        <v>2634</v>
      </c>
      <c r="D6184" s="861"/>
      <c r="I6184" s="845" t="s">
        <v>2581</v>
      </c>
      <c r="J6184" s="989"/>
    </row>
    <row r="6185" spans="1:10" x14ac:dyDescent="0.2">
      <c r="A6185" s="859">
        <f t="shared" si="96"/>
        <v>6184</v>
      </c>
      <c r="B6185" s="845" t="s">
        <v>2634</v>
      </c>
      <c r="D6185" s="861"/>
      <c r="H6185" s="845" t="s">
        <v>1010</v>
      </c>
      <c r="J6185" s="989"/>
    </row>
    <row r="6186" spans="1:10" x14ac:dyDescent="0.2">
      <c r="A6186" s="859">
        <f t="shared" si="96"/>
        <v>6185</v>
      </c>
      <c r="B6186" s="845" t="s">
        <v>2634</v>
      </c>
      <c r="D6186" s="862"/>
      <c r="H6186" s="845" t="s">
        <v>1007</v>
      </c>
      <c r="J6186" s="989"/>
    </row>
    <row r="6187" spans="1:10" x14ac:dyDescent="0.2">
      <c r="A6187" s="859">
        <f t="shared" si="96"/>
        <v>6186</v>
      </c>
      <c r="B6187" s="845" t="s">
        <v>2634</v>
      </c>
      <c r="D6187" s="863"/>
      <c r="I6187" s="845" t="s">
        <v>2640</v>
      </c>
      <c r="J6187" s="989"/>
    </row>
    <row r="6188" spans="1:10" x14ac:dyDescent="0.2">
      <c r="A6188" s="859">
        <f t="shared" si="96"/>
        <v>6187</v>
      </c>
      <c r="B6188" s="845" t="s">
        <v>2634</v>
      </c>
      <c r="D6188" s="862"/>
      <c r="I6188" s="845" t="str">
        <f>CONCATENATE("&lt;valeur&gt;",Cellule_1102_6,"&lt;/valeur&gt;")</f>
        <v>&lt;valeur&gt;&lt;/valeur&gt;</v>
      </c>
      <c r="J6188" s="989"/>
    </row>
    <row r="6189" spans="1:10" x14ac:dyDescent="0.2">
      <c r="A6189" s="859">
        <f t="shared" si="96"/>
        <v>6188</v>
      </c>
      <c r="B6189" s="845" t="s">
        <v>2634</v>
      </c>
      <c r="D6189" s="862"/>
      <c r="I6189" s="845" t="s">
        <v>2581</v>
      </c>
      <c r="J6189" s="989"/>
    </row>
    <row r="6190" spans="1:10" x14ac:dyDescent="0.2">
      <c r="A6190" s="859">
        <f t="shared" si="96"/>
        <v>6189</v>
      </c>
      <c r="B6190" s="845" t="s">
        <v>2634</v>
      </c>
      <c r="D6190" s="861"/>
      <c r="H6190" s="845" t="s">
        <v>1010</v>
      </c>
      <c r="J6190" s="989"/>
    </row>
    <row r="6191" spans="1:10" x14ac:dyDescent="0.2">
      <c r="A6191" s="859">
        <f t="shared" si="96"/>
        <v>6190</v>
      </c>
      <c r="B6191" s="845" t="s">
        <v>2634</v>
      </c>
      <c r="D6191" s="861"/>
      <c r="H6191" s="845" t="s">
        <v>1007</v>
      </c>
      <c r="J6191" s="989"/>
    </row>
    <row r="6192" spans="1:10" x14ac:dyDescent="0.2">
      <c r="A6192" s="859">
        <f t="shared" si="96"/>
        <v>6191</v>
      </c>
      <c r="B6192" s="845" t="s">
        <v>2634</v>
      </c>
      <c r="D6192" s="862"/>
      <c r="I6192" s="845" t="s">
        <v>2641</v>
      </c>
      <c r="J6192" s="989"/>
    </row>
    <row r="6193" spans="1:10" x14ac:dyDescent="0.2">
      <c r="A6193" s="859">
        <f t="shared" si="96"/>
        <v>6192</v>
      </c>
      <c r="B6193" s="845" t="s">
        <v>2634</v>
      </c>
      <c r="D6193" s="863"/>
      <c r="I6193" s="845" t="str">
        <f>CONCATENATE("&lt;valeur&gt;",Cellule_1103_6,"&lt;/valeur&gt;")</f>
        <v>&lt;valeur&gt;&lt;/valeur&gt;</v>
      </c>
      <c r="J6193" s="989"/>
    </row>
    <row r="6194" spans="1:10" x14ac:dyDescent="0.2">
      <c r="A6194" s="859">
        <f t="shared" si="96"/>
        <v>6193</v>
      </c>
      <c r="B6194" s="845" t="s">
        <v>2634</v>
      </c>
      <c r="D6194" s="862"/>
      <c r="I6194" s="845" t="s">
        <v>2581</v>
      </c>
      <c r="J6194" s="989"/>
    </row>
    <row r="6195" spans="1:10" x14ac:dyDescent="0.2">
      <c r="A6195" s="859">
        <f t="shared" si="96"/>
        <v>6194</v>
      </c>
      <c r="B6195" s="845" t="s">
        <v>2634</v>
      </c>
      <c r="D6195" s="862"/>
      <c r="H6195" s="845" t="s">
        <v>1010</v>
      </c>
      <c r="J6195" s="989"/>
    </row>
    <row r="6196" spans="1:10" x14ac:dyDescent="0.2">
      <c r="A6196" s="859">
        <f t="shared" si="96"/>
        <v>6195</v>
      </c>
      <c r="B6196" s="845" t="s">
        <v>2634</v>
      </c>
      <c r="D6196" s="861"/>
      <c r="H6196" s="845" t="s">
        <v>1007</v>
      </c>
      <c r="J6196" s="989"/>
    </row>
    <row r="6197" spans="1:10" x14ac:dyDescent="0.2">
      <c r="A6197" s="859">
        <f t="shared" si="96"/>
        <v>6196</v>
      </c>
      <c r="B6197" s="845" t="s">
        <v>2634</v>
      </c>
      <c r="D6197" s="861"/>
      <c r="I6197" s="845" t="s">
        <v>2642</v>
      </c>
      <c r="J6197" s="989"/>
    </row>
    <row r="6198" spans="1:10" x14ac:dyDescent="0.2">
      <c r="A6198" s="859">
        <f t="shared" si="96"/>
        <v>6197</v>
      </c>
      <c r="B6198" s="845" t="s">
        <v>2634</v>
      </c>
      <c r="D6198" s="862"/>
      <c r="I6198" s="845" t="str">
        <f>CONCATENATE("&lt;valeur&gt;",Cellule_1104_6,"&lt;/valeur&gt;")</f>
        <v>&lt;valeur&gt;&lt;/valeur&gt;</v>
      </c>
      <c r="J6198" s="989"/>
    </row>
    <row r="6199" spans="1:10" x14ac:dyDescent="0.2">
      <c r="A6199" s="859">
        <f t="shared" si="96"/>
        <v>6198</v>
      </c>
      <c r="B6199" s="845" t="s">
        <v>2634</v>
      </c>
      <c r="D6199" s="863"/>
      <c r="I6199" s="845" t="s">
        <v>2581</v>
      </c>
      <c r="J6199" s="989"/>
    </row>
    <row r="6200" spans="1:10" x14ac:dyDescent="0.2">
      <c r="A6200" s="859">
        <f t="shared" si="96"/>
        <v>6199</v>
      </c>
      <c r="B6200" s="845" t="s">
        <v>2634</v>
      </c>
      <c r="D6200" s="862"/>
      <c r="H6200" s="845" t="s">
        <v>1010</v>
      </c>
      <c r="J6200" s="989"/>
    </row>
    <row r="6201" spans="1:10" x14ac:dyDescent="0.2">
      <c r="A6201" s="859">
        <f t="shared" si="96"/>
        <v>6200</v>
      </c>
      <c r="B6201" s="845" t="s">
        <v>2634</v>
      </c>
      <c r="D6201" s="862"/>
      <c r="H6201" s="845" t="s">
        <v>1007</v>
      </c>
      <c r="J6201" s="989"/>
    </row>
    <row r="6202" spans="1:10" x14ac:dyDescent="0.2">
      <c r="A6202" s="859">
        <f t="shared" si="96"/>
        <v>6201</v>
      </c>
      <c r="B6202" s="845" t="s">
        <v>2634</v>
      </c>
      <c r="D6202" s="861"/>
      <c r="I6202" s="845" t="s">
        <v>2643</v>
      </c>
      <c r="J6202" s="989"/>
    </row>
    <row r="6203" spans="1:10" x14ac:dyDescent="0.2">
      <c r="A6203" s="859">
        <f t="shared" si="96"/>
        <v>6202</v>
      </c>
      <c r="B6203" s="845" t="s">
        <v>2634</v>
      </c>
      <c r="D6203" s="861"/>
      <c r="I6203" s="845" t="str">
        <f>CONCATENATE("&lt;valeur&gt;",Cellule_1105_6,"&lt;/valeur&gt;")</f>
        <v>&lt;valeur&gt;&lt;/valeur&gt;</v>
      </c>
      <c r="J6203" s="989"/>
    </row>
    <row r="6204" spans="1:10" x14ac:dyDescent="0.2">
      <c r="A6204" s="859">
        <f t="shared" si="96"/>
        <v>6203</v>
      </c>
      <c r="B6204" s="845" t="s">
        <v>2634</v>
      </c>
      <c r="D6204" s="862"/>
      <c r="I6204" s="845" t="s">
        <v>2581</v>
      </c>
      <c r="J6204" s="989"/>
    </row>
    <row r="6205" spans="1:10" x14ac:dyDescent="0.2">
      <c r="A6205" s="859">
        <f t="shared" si="96"/>
        <v>6204</v>
      </c>
      <c r="B6205" s="845" t="s">
        <v>2634</v>
      </c>
      <c r="D6205" s="863"/>
      <c r="H6205" s="845" t="s">
        <v>1010</v>
      </c>
      <c r="J6205" s="989"/>
    </row>
    <row r="6206" spans="1:10" x14ac:dyDescent="0.2">
      <c r="A6206" s="859">
        <f t="shared" si="96"/>
        <v>6205</v>
      </c>
      <c r="B6206" s="845" t="s">
        <v>2634</v>
      </c>
      <c r="D6206" s="862"/>
      <c r="H6206" s="845" t="s">
        <v>1007</v>
      </c>
      <c r="J6206" s="989"/>
    </row>
    <row r="6207" spans="1:10" x14ac:dyDescent="0.2">
      <c r="A6207" s="859">
        <f t="shared" si="96"/>
        <v>6206</v>
      </c>
      <c r="B6207" s="845" t="s">
        <v>2634</v>
      </c>
      <c r="D6207" s="861"/>
      <c r="I6207" s="845" t="s">
        <v>2644</v>
      </c>
      <c r="J6207" s="989"/>
    </row>
    <row r="6208" spans="1:10" x14ac:dyDescent="0.2">
      <c r="A6208" s="859">
        <f t="shared" si="96"/>
        <v>6207</v>
      </c>
      <c r="B6208" s="845" t="s">
        <v>2634</v>
      </c>
      <c r="D6208" s="861"/>
      <c r="I6208" s="845" t="str">
        <f>CONCATENATE("&lt;valeur&gt;",Cellule_1106_6,"&lt;/valeur&gt;")</f>
        <v>&lt;valeur&gt;&lt;/valeur&gt;</v>
      </c>
      <c r="J6208" s="989"/>
    </row>
    <row r="6209" spans="1:10" x14ac:dyDescent="0.2">
      <c r="A6209" s="859">
        <f t="shared" si="96"/>
        <v>6208</v>
      </c>
      <c r="B6209" s="845" t="s">
        <v>2634</v>
      </c>
      <c r="D6209" s="862"/>
      <c r="I6209" s="845" t="s">
        <v>2581</v>
      </c>
      <c r="J6209" s="989"/>
    </row>
    <row r="6210" spans="1:10" x14ac:dyDescent="0.2">
      <c r="A6210" s="859">
        <f t="shared" si="96"/>
        <v>6209</v>
      </c>
      <c r="B6210" s="845" t="s">
        <v>2634</v>
      </c>
      <c r="D6210" s="863"/>
      <c r="H6210" s="845" t="s">
        <v>1010</v>
      </c>
      <c r="J6210" s="989"/>
    </row>
    <row r="6211" spans="1:10" x14ac:dyDescent="0.2">
      <c r="A6211" s="859">
        <f t="shared" si="96"/>
        <v>6210</v>
      </c>
      <c r="B6211" s="845" t="s">
        <v>2634</v>
      </c>
      <c r="D6211" s="862"/>
      <c r="H6211" s="845" t="s">
        <v>1007</v>
      </c>
      <c r="J6211" s="989"/>
    </row>
    <row r="6212" spans="1:10" x14ac:dyDescent="0.2">
      <c r="A6212" s="859">
        <f t="shared" ref="A6212:A6275" si="97">+A6211+1</f>
        <v>6211</v>
      </c>
      <c r="B6212" s="845" t="s">
        <v>2634</v>
      </c>
      <c r="D6212" s="861"/>
      <c r="I6212" s="845" t="s">
        <v>2645</v>
      </c>
      <c r="J6212" s="989"/>
    </row>
    <row r="6213" spans="1:10" x14ac:dyDescent="0.2">
      <c r="A6213" s="859">
        <f t="shared" si="97"/>
        <v>6212</v>
      </c>
      <c r="B6213" s="845" t="s">
        <v>2634</v>
      </c>
      <c r="D6213" s="861"/>
      <c r="I6213" s="845" t="str">
        <f>CONCATENATE("&lt;valeur&gt;",Cellule_1107_6,"&lt;/valeur&gt;")</f>
        <v>&lt;valeur&gt;&lt;/valeur&gt;</v>
      </c>
      <c r="J6213" s="989"/>
    </row>
    <row r="6214" spans="1:10" x14ac:dyDescent="0.2">
      <c r="A6214" s="859">
        <f t="shared" si="97"/>
        <v>6213</v>
      </c>
      <c r="B6214" s="845" t="s">
        <v>2634</v>
      </c>
      <c r="D6214" s="862"/>
      <c r="I6214" s="845" t="s">
        <v>2581</v>
      </c>
      <c r="J6214" s="989"/>
    </row>
    <row r="6215" spans="1:10" x14ac:dyDescent="0.2">
      <c r="A6215" s="859">
        <f t="shared" si="97"/>
        <v>6214</v>
      </c>
      <c r="B6215" s="845" t="s">
        <v>2634</v>
      </c>
      <c r="D6215" s="863"/>
      <c r="H6215" s="845" t="s">
        <v>1010</v>
      </c>
      <c r="J6215" s="989"/>
    </row>
    <row r="6216" spans="1:10" x14ac:dyDescent="0.2">
      <c r="A6216" s="859">
        <f t="shared" si="97"/>
        <v>6215</v>
      </c>
      <c r="B6216" s="845" t="s">
        <v>2634</v>
      </c>
      <c r="D6216" s="862"/>
      <c r="H6216" s="845" t="s">
        <v>1007</v>
      </c>
      <c r="J6216" s="989"/>
    </row>
    <row r="6217" spans="1:10" x14ac:dyDescent="0.2">
      <c r="A6217" s="859">
        <f t="shared" si="97"/>
        <v>6216</v>
      </c>
      <c r="B6217" s="845" t="s">
        <v>2634</v>
      </c>
      <c r="D6217" s="861"/>
      <c r="I6217" s="845" t="s">
        <v>2646</v>
      </c>
      <c r="J6217" s="989"/>
    </row>
    <row r="6218" spans="1:10" x14ac:dyDescent="0.2">
      <c r="A6218" s="859">
        <f t="shared" si="97"/>
        <v>6217</v>
      </c>
      <c r="B6218" s="845" t="s">
        <v>2634</v>
      </c>
      <c r="D6218" s="861"/>
      <c r="I6218" s="845" t="str">
        <f>CONCATENATE("&lt;valeur&gt;",Cellule_1108_6,"&lt;/valeur&gt;")</f>
        <v>&lt;valeur&gt;&lt;/valeur&gt;</v>
      </c>
      <c r="J6218" s="989"/>
    </row>
    <row r="6219" spans="1:10" x14ac:dyDescent="0.2">
      <c r="A6219" s="859">
        <f t="shared" si="97"/>
        <v>6218</v>
      </c>
      <c r="B6219" s="845" t="s">
        <v>2634</v>
      </c>
      <c r="D6219" s="862"/>
      <c r="I6219" s="845" t="s">
        <v>2581</v>
      </c>
      <c r="J6219" s="989"/>
    </row>
    <row r="6220" spans="1:10" x14ac:dyDescent="0.2">
      <c r="A6220" s="859">
        <f t="shared" si="97"/>
        <v>6219</v>
      </c>
      <c r="B6220" s="991" t="s">
        <v>2634</v>
      </c>
      <c r="C6220" s="991"/>
      <c r="D6220" s="999"/>
      <c r="E6220" s="991"/>
      <c r="F6220" s="991"/>
      <c r="G6220" s="991"/>
      <c r="H6220" s="991" t="s">
        <v>1010</v>
      </c>
      <c r="I6220" s="991"/>
      <c r="J6220" s="1000"/>
    </row>
    <row r="6221" spans="1:10" x14ac:dyDescent="0.2">
      <c r="A6221" s="859">
        <f t="shared" si="97"/>
        <v>6220</v>
      </c>
      <c r="B6221" s="845" t="s">
        <v>2634</v>
      </c>
      <c r="D6221" s="862"/>
      <c r="G6221" s="845" t="s">
        <v>1011</v>
      </c>
    </row>
    <row r="6222" spans="1:10" x14ac:dyDescent="0.2">
      <c r="A6222" s="859">
        <f t="shared" si="97"/>
        <v>6221</v>
      </c>
      <c r="B6222" s="845" t="s">
        <v>2634</v>
      </c>
      <c r="D6222" s="862"/>
      <c r="G6222" s="845" t="s">
        <v>1012</v>
      </c>
    </row>
    <row r="6223" spans="1:10" x14ac:dyDescent="0.2">
      <c r="A6223" s="859">
        <f t="shared" si="97"/>
        <v>6222</v>
      </c>
      <c r="B6223" s="845" t="s">
        <v>2634</v>
      </c>
      <c r="D6223" s="861"/>
      <c r="H6223" s="845" t="s">
        <v>1015</v>
      </c>
    </row>
    <row r="6224" spans="1:10" x14ac:dyDescent="0.2">
      <c r="A6224" s="859">
        <f t="shared" si="97"/>
        <v>6223</v>
      </c>
      <c r="B6224" s="845" t="s">
        <v>2634</v>
      </c>
      <c r="D6224" s="861"/>
      <c r="I6224" s="845" t="s">
        <v>1016</v>
      </c>
    </row>
    <row r="6225" spans="1:10" x14ac:dyDescent="0.2">
      <c r="A6225" s="859">
        <f t="shared" si="97"/>
        <v>6224</v>
      </c>
      <c r="B6225" s="845" t="s">
        <v>2634</v>
      </c>
      <c r="D6225" s="862"/>
      <c r="J6225" s="845" t="s">
        <v>2647</v>
      </c>
    </row>
    <row r="6226" spans="1:10" x14ac:dyDescent="0.2">
      <c r="A6226" s="859">
        <f t="shared" si="97"/>
        <v>6225</v>
      </c>
      <c r="B6226" s="845" t="s">
        <v>2634</v>
      </c>
      <c r="D6226" s="863"/>
      <c r="I6226" s="845" t="s">
        <v>1017</v>
      </c>
    </row>
    <row r="6227" spans="1:10" x14ac:dyDescent="0.2">
      <c r="A6227" s="859">
        <f t="shared" si="97"/>
        <v>6226</v>
      </c>
      <c r="B6227" s="845" t="s">
        <v>2634</v>
      </c>
      <c r="D6227" s="862"/>
      <c r="I6227" s="845" t="str">
        <f>CONCATENATE("&lt;valeur&gt;",Cellule_53,"&lt;/valeur&gt;")</f>
        <v>&lt;valeur&gt;31/12/2015&lt;/valeur&gt;</v>
      </c>
    </row>
    <row r="6228" spans="1:10" x14ac:dyDescent="0.2">
      <c r="A6228" s="859">
        <f t="shared" si="97"/>
        <v>6227</v>
      </c>
      <c r="B6228" s="845" t="s">
        <v>2634</v>
      </c>
      <c r="D6228" s="862"/>
      <c r="H6228" s="845" t="s">
        <v>1018</v>
      </c>
    </row>
    <row r="6229" spans="1:10" x14ac:dyDescent="0.2">
      <c r="A6229" s="859">
        <f t="shared" si="97"/>
        <v>6228</v>
      </c>
      <c r="B6229" s="845" t="s">
        <v>2634</v>
      </c>
      <c r="D6229" s="862"/>
      <c r="G6229" s="845" t="s">
        <v>1013</v>
      </c>
    </row>
    <row r="6230" spans="1:10" x14ac:dyDescent="0.2">
      <c r="A6230" s="859">
        <f t="shared" si="97"/>
        <v>6229</v>
      </c>
      <c r="B6230" s="845" t="s">
        <v>2634</v>
      </c>
      <c r="D6230" s="861"/>
      <c r="F6230" s="845" t="s">
        <v>1014</v>
      </c>
    </row>
    <row r="6231" spans="1:10" x14ac:dyDescent="0.2">
      <c r="A6231" s="859">
        <f t="shared" si="97"/>
        <v>6230</v>
      </c>
      <c r="B6231" s="845" t="s">
        <v>2574</v>
      </c>
      <c r="D6231" s="861"/>
      <c r="F6231" s="845" t="s">
        <v>1005</v>
      </c>
    </row>
    <row r="6232" spans="1:10" x14ac:dyDescent="0.2">
      <c r="A6232" s="859">
        <f t="shared" si="97"/>
        <v>6231</v>
      </c>
      <c r="B6232" s="845" t="s">
        <v>2574</v>
      </c>
      <c r="D6232" s="861"/>
      <c r="G6232" s="845" t="s">
        <v>1955</v>
      </c>
    </row>
    <row r="6233" spans="1:10" x14ac:dyDescent="0.2">
      <c r="A6233" s="859">
        <f t="shared" si="97"/>
        <v>6232</v>
      </c>
      <c r="B6233" s="845" t="s">
        <v>2574</v>
      </c>
      <c r="D6233" s="862"/>
      <c r="G6233" s="845" t="s">
        <v>1006</v>
      </c>
    </row>
    <row r="6234" spans="1:10" x14ac:dyDescent="0.2">
      <c r="A6234" s="859">
        <f t="shared" si="97"/>
        <v>6233</v>
      </c>
      <c r="B6234" s="845" t="s">
        <v>2574</v>
      </c>
      <c r="D6234" s="863"/>
      <c r="H6234" s="845" t="s">
        <v>1007</v>
      </c>
    </row>
    <row r="6235" spans="1:10" x14ac:dyDescent="0.2">
      <c r="A6235" s="859">
        <f t="shared" si="97"/>
        <v>6234</v>
      </c>
      <c r="B6235" s="845" t="s">
        <v>2574</v>
      </c>
      <c r="D6235" s="862"/>
      <c r="I6235" s="845" t="s">
        <v>1008</v>
      </c>
    </row>
    <row r="6236" spans="1:10" x14ac:dyDescent="0.2">
      <c r="A6236" s="859">
        <f t="shared" si="97"/>
        <v>6235</v>
      </c>
      <c r="B6236" s="845" t="s">
        <v>2574</v>
      </c>
      <c r="D6236" s="862"/>
      <c r="J6236" s="845" t="s">
        <v>1956</v>
      </c>
    </row>
    <row r="6237" spans="1:10" x14ac:dyDescent="0.2">
      <c r="A6237" s="859">
        <f t="shared" si="97"/>
        <v>6236</v>
      </c>
      <c r="B6237" s="845" t="s">
        <v>2574</v>
      </c>
      <c r="D6237" s="861"/>
      <c r="I6237" s="845" t="s">
        <v>1009</v>
      </c>
    </row>
    <row r="6238" spans="1:10" x14ac:dyDescent="0.2">
      <c r="A6238" s="859">
        <f t="shared" si="97"/>
        <v>6237</v>
      </c>
      <c r="B6238" s="845" t="s">
        <v>2574</v>
      </c>
      <c r="D6238" s="861"/>
      <c r="I6238" s="845" t="str">
        <f>CONCATENATE("&lt;valeur&gt;",Cellule_1231,"&lt;/valeur&gt;")</f>
        <v>&lt;valeur&gt;0&lt;/valeur&gt;</v>
      </c>
    </row>
    <row r="6239" spans="1:10" x14ac:dyDescent="0.2">
      <c r="A6239" s="859">
        <f t="shared" si="97"/>
        <v>6238</v>
      </c>
      <c r="B6239" s="845" t="s">
        <v>2574</v>
      </c>
      <c r="D6239" s="862"/>
      <c r="H6239" s="845" t="s">
        <v>1010</v>
      </c>
    </row>
    <row r="6240" spans="1:10" x14ac:dyDescent="0.2">
      <c r="A6240" s="859">
        <f t="shared" si="97"/>
        <v>6239</v>
      </c>
      <c r="B6240" s="845" t="s">
        <v>2574</v>
      </c>
      <c r="D6240" s="863"/>
      <c r="H6240" s="845" t="s">
        <v>1007</v>
      </c>
    </row>
    <row r="6241" spans="1:10" x14ac:dyDescent="0.2">
      <c r="A6241" s="859">
        <f t="shared" si="97"/>
        <v>6240</v>
      </c>
      <c r="B6241" s="845" t="s">
        <v>2574</v>
      </c>
      <c r="D6241" s="862"/>
      <c r="I6241" s="845" t="s">
        <v>1008</v>
      </c>
    </row>
    <row r="6242" spans="1:10" x14ac:dyDescent="0.2">
      <c r="A6242" s="859">
        <f t="shared" si="97"/>
        <v>6241</v>
      </c>
      <c r="B6242" s="845" t="s">
        <v>2574</v>
      </c>
      <c r="D6242" s="862"/>
      <c r="J6242" s="845" t="s">
        <v>1957</v>
      </c>
    </row>
    <row r="6243" spans="1:10" x14ac:dyDescent="0.2">
      <c r="A6243" s="859">
        <f t="shared" si="97"/>
        <v>6242</v>
      </c>
      <c r="B6243" s="845" t="s">
        <v>2574</v>
      </c>
      <c r="D6243" s="861"/>
      <c r="I6243" s="845" t="s">
        <v>1009</v>
      </c>
    </row>
    <row r="6244" spans="1:10" x14ac:dyDescent="0.2">
      <c r="A6244" s="859">
        <f t="shared" si="97"/>
        <v>6243</v>
      </c>
      <c r="B6244" s="845" t="s">
        <v>2574</v>
      </c>
      <c r="D6244" s="861"/>
      <c r="I6244" s="845" t="str">
        <f>CONCATENATE("&lt;valeur&gt;",Cellule_1241,"&lt;/valeur&gt;")</f>
        <v>&lt;valeur&gt;0&lt;/valeur&gt;</v>
      </c>
    </row>
    <row r="6245" spans="1:10" x14ac:dyDescent="0.2">
      <c r="A6245" s="859">
        <f t="shared" si="97"/>
        <v>6244</v>
      </c>
      <c r="B6245" s="845" t="s">
        <v>2574</v>
      </c>
      <c r="D6245" s="862"/>
      <c r="H6245" s="845" t="s">
        <v>1010</v>
      </c>
    </row>
    <row r="6246" spans="1:10" x14ac:dyDescent="0.2">
      <c r="A6246" s="859">
        <f t="shared" si="97"/>
        <v>6245</v>
      </c>
      <c r="B6246" s="845" t="s">
        <v>2574</v>
      </c>
      <c r="D6246" s="863"/>
      <c r="H6246" s="845" t="s">
        <v>1007</v>
      </c>
    </row>
    <row r="6247" spans="1:10" x14ac:dyDescent="0.2">
      <c r="A6247" s="859">
        <f t="shared" si="97"/>
        <v>6246</v>
      </c>
      <c r="B6247" s="845" t="s">
        <v>2574</v>
      </c>
      <c r="D6247" s="862"/>
      <c r="I6247" s="845" t="s">
        <v>1008</v>
      </c>
    </row>
    <row r="6248" spans="1:10" x14ac:dyDescent="0.2">
      <c r="A6248" s="859">
        <f t="shared" si="97"/>
        <v>6247</v>
      </c>
      <c r="B6248" s="845" t="s">
        <v>2574</v>
      </c>
      <c r="D6248" s="862"/>
      <c r="J6248" s="845" t="s">
        <v>1958</v>
      </c>
    </row>
    <row r="6249" spans="1:10" x14ac:dyDescent="0.2">
      <c r="A6249" s="859">
        <f t="shared" si="97"/>
        <v>6248</v>
      </c>
      <c r="B6249" s="845" t="s">
        <v>2574</v>
      </c>
      <c r="D6249" s="861"/>
      <c r="I6249" s="845" t="s">
        <v>1009</v>
      </c>
    </row>
    <row r="6250" spans="1:10" x14ac:dyDescent="0.2">
      <c r="A6250" s="859">
        <f t="shared" si="97"/>
        <v>6249</v>
      </c>
      <c r="B6250" s="845" t="s">
        <v>2574</v>
      </c>
      <c r="D6250" s="861"/>
      <c r="I6250" s="845" t="str">
        <f>CONCATENATE("&lt;valeur&gt;",Cellule_1246,"&lt;/valeur&gt;")</f>
        <v>&lt;valeur&gt;0&lt;/valeur&gt;</v>
      </c>
    </row>
    <row r="6251" spans="1:10" x14ac:dyDescent="0.2">
      <c r="A6251" s="859">
        <f t="shared" si="97"/>
        <v>6250</v>
      </c>
      <c r="B6251" s="845" t="s">
        <v>2574</v>
      </c>
      <c r="D6251" s="862"/>
      <c r="H6251" s="845" t="s">
        <v>1010</v>
      </c>
    </row>
    <row r="6252" spans="1:10" x14ac:dyDescent="0.2">
      <c r="A6252" s="859">
        <f t="shared" si="97"/>
        <v>6251</v>
      </c>
      <c r="B6252" s="845" t="s">
        <v>2574</v>
      </c>
      <c r="D6252" s="863"/>
      <c r="H6252" s="845" t="s">
        <v>1007</v>
      </c>
    </row>
    <row r="6253" spans="1:10" x14ac:dyDescent="0.2">
      <c r="A6253" s="859">
        <f t="shared" si="97"/>
        <v>6252</v>
      </c>
      <c r="B6253" s="845" t="s">
        <v>2574</v>
      </c>
      <c r="D6253" s="862"/>
      <c r="I6253" s="845" t="s">
        <v>1008</v>
      </c>
    </row>
    <row r="6254" spans="1:10" x14ac:dyDescent="0.2">
      <c r="A6254" s="859">
        <f t="shared" si="97"/>
        <v>6253</v>
      </c>
      <c r="B6254" s="845" t="s">
        <v>2574</v>
      </c>
      <c r="D6254" s="862"/>
      <c r="J6254" s="845" t="s">
        <v>1959</v>
      </c>
    </row>
    <row r="6255" spans="1:10" x14ac:dyDescent="0.2">
      <c r="A6255" s="859">
        <f t="shared" si="97"/>
        <v>6254</v>
      </c>
      <c r="B6255" s="845" t="s">
        <v>2574</v>
      </c>
      <c r="D6255" s="861"/>
      <c r="I6255" s="845" t="s">
        <v>1009</v>
      </c>
    </row>
    <row r="6256" spans="1:10" x14ac:dyDescent="0.2">
      <c r="A6256" s="859">
        <f t="shared" si="97"/>
        <v>6255</v>
      </c>
      <c r="B6256" s="845" t="s">
        <v>2574</v>
      </c>
      <c r="D6256" s="861"/>
      <c r="I6256" s="845" t="str">
        <f>CONCATENATE("&lt;valeur&gt;",Cellule_1236,"&lt;/valeur&gt;")</f>
        <v>&lt;valeur&gt;0&lt;/valeur&gt;</v>
      </c>
    </row>
    <row r="6257" spans="1:10" x14ac:dyDescent="0.2">
      <c r="A6257" s="859">
        <f t="shared" si="97"/>
        <v>6256</v>
      </c>
      <c r="B6257" s="845" t="s">
        <v>2574</v>
      </c>
      <c r="D6257" s="862"/>
      <c r="H6257" s="845" t="s">
        <v>1010</v>
      </c>
    </row>
    <row r="6258" spans="1:10" x14ac:dyDescent="0.2">
      <c r="A6258" s="859">
        <f t="shared" si="97"/>
        <v>6257</v>
      </c>
      <c r="B6258" s="845" t="s">
        <v>2574</v>
      </c>
      <c r="D6258" s="863"/>
      <c r="H6258" s="845" t="s">
        <v>1007</v>
      </c>
    </row>
    <row r="6259" spans="1:10" x14ac:dyDescent="0.2">
      <c r="A6259" s="859">
        <f t="shared" si="97"/>
        <v>6258</v>
      </c>
      <c r="B6259" s="845" t="s">
        <v>2574</v>
      </c>
      <c r="D6259" s="862"/>
      <c r="I6259" s="845" t="s">
        <v>1008</v>
      </c>
    </row>
    <row r="6260" spans="1:10" x14ac:dyDescent="0.2">
      <c r="A6260" s="859">
        <f t="shared" si="97"/>
        <v>6259</v>
      </c>
      <c r="B6260" s="845" t="s">
        <v>2574</v>
      </c>
      <c r="D6260" s="862"/>
      <c r="J6260" s="845" t="s">
        <v>1960</v>
      </c>
    </row>
    <row r="6261" spans="1:10" x14ac:dyDescent="0.2">
      <c r="A6261" s="859">
        <f t="shared" si="97"/>
        <v>6260</v>
      </c>
      <c r="B6261" s="845" t="s">
        <v>2574</v>
      </c>
      <c r="D6261" s="861"/>
      <c r="I6261" s="845" t="s">
        <v>1009</v>
      </c>
    </row>
    <row r="6262" spans="1:10" x14ac:dyDescent="0.2">
      <c r="A6262" s="859">
        <f t="shared" si="97"/>
        <v>6261</v>
      </c>
      <c r="B6262" s="845" t="s">
        <v>2574</v>
      </c>
      <c r="D6262" s="861"/>
      <c r="I6262" s="845" t="str">
        <f>CONCATENATE("&lt;valeur&gt;",Cellule_1232,"&lt;/valeur&gt;")</f>
        <v>&lt;valeur&gt;0&lt;/valeur&gt;</v>
      </c>
    </row>
    <row r="6263" spans="1:10" x14ac:dyDescent="0.2">
      <c r="A6263" s="859">
        <f t="shared" si="97"/>
        <v>6262</v>
      </c>
      <c r="B6263" s="845" t="s">
        <v>2574</v>
      </c>
      <c r="D6263" s="862"/>
      <c r="H6263" s="845" t="s">
        <v>1010</v>
      </c>
    </row>
    <row r="6264" spans="1:10" x14ac:dyDescent="0.2">
      <c r="A6264" s="859">
        <f t="shared" si="97"/>
        <v>6263</v>
      </c>
      <c r="B6264" s="845" t="s">
        <v>2574</v>
      </c>
      <c r="D6264" s="863"/>
      <c r="H6264" s="845" t="s">
        <v>1007</v>
      </c>
    </row>
    <row r="6265" spans="1:10" x14ac:dyDescent="0.2">
      <c r="A6265" s="859">
        <f t="shared" si="97"/>
        <v>6264</v>
      </c>
      <c r="B6265" s="845" t="s">
        <v>2574</v>
      </c>
      <c r="D6265" s="862"/>
      <c r="I6265" s="845" t="s">
        <v>1008</v>
      </c>
    </row>
    <row r="6266" spans="1:10" x14ac:dyDescent="0.2">
      <c r="A6266" s="859">
        <f t="shared" si="97"/>
        <v>6265</v>
      </c>
      <c r="B6266" s="845" t="s">
        <v>2574</v>
      </c>
      <c r="D6266" s="862"/>
      <c r="J6266" s="845" t="s">
        <v>1961</v>
      </c>
    </row>
    <row r="6267" spans="1:10" x14ac:dyDescent="0.2">
      <c r="A6267" s="859">
        <f t="shared" si="97"/>
        <v>6266</v>
      </c>
      <c r="B6267" s="845" t="s">
        <v>2574</v>
      </c>
      <c r="D6267" s="861"/>
      <c r="I6267" s="845" t="s">
        <v>1009</v>
      </c>
    </row>
    <row r="6268" spans="1:10" x14ac:dyDescent="0.2">
      <c r="A6268" s="859">
        <f t="shared" si="97"/>
        <v>6267</v>
      </c>
      <c r="B6268" s="845" t="s">
        <v>2574</v>
      </c>
      <c r="D6268" s="860"/>
      <c r="I6268" s="845" t="str">
        <f>CONCATENATE("&lt;valeur&gt;",Cellule_1242,"&lt;/valeur&gt;")</f>
        <v>&lt;valeur&gt;0&lt;/valeur&gt;</v>
      </c>
    </row>
    <row r="6269" spans="1:10" x14ac:dyDescent="0.2">
      <c r="A6269" s="859">
        <f t="shared" si="97"/>
        <v>6268</v>
      </c>
      <c r="B6269" s="845" t="s">
        <v>2574</v>
      </c>
      <c r="D6269" s="860"/>
      <c r="H6269" s="845" t="s">
        <v>1010</v>
      </c>
    </row>
    <row r="6270" spans="1:10" x14ac:dyDescent="0.2">
      <c r="A6270" s="859">
        <f t="shared" si="97"/>
        <v>6269</v>
      </c>
      <c r="B6270" s="845" t="s">
        <v>2574</v>
      </c>
      <c r="D6270" s="861"/>
      <c r="H6270" s="845" t="s">
        <v>1007</v>
      </c>
    </row>
    <row r="6271" spans="1:10" x14ac:dyDescent="0.2">
      <c r="A6271" s="859">
        <f t="shared" si="97"/>
        <v>6270</v>
      </c>
      <c r="B6271" s="845" t="s">
        <v>2574</v>
      </c>
      <c r="D6271" s="862"/>
      <c r="I6271" s="845" t="s">
        <v>1008</v>
      </c>
    </row>
    <row r="6272" spans="1:10" x14ac:dyDescent="0.2">
      <c r="A6272" s="859">
        <f t="shared" si="97"/>
        <v>6271</v>
      </c>
      <c r="B6272" s="845" t="s">
        <v>2574</v>
      </c>
      <c r="D6272" s="863"/>
      <c r="J6272" s="845" t="s">
        <v>1962</v>
      </c>
    </row>
    <row r="6273" spans="1:10" x14ac:dyDescent="0.2">
      <c r="A6273" s="859">
        <f t="shared" si="97"/>
        <v>6272</v>
      </c>
      <c r="B6273" s="845" t="s">
        <v>2574</v>
      </c>
      <c r="D6273" s="862"/>
      <c r="I6273" s="845" t="s">
        <v>1009</v>
      </c>
    </row>
    <row r="6274" spans="1:10" x14ac:dyDescent="0.2">
      <c r="A6274" s="859">
        <f t="shared" si="97"/>
        <v>6273</v>
      </c>
      <c r="B6274" s="845" t="s">
        <v>2574</v>
      </c>
      <c r="D6274" s="862"/>
      <c r="I6274" s="845" t="str">
        <f>CONCATENATE("&lt;valeur&gt;",Cellule_1247,"&lt;/valeur&gt;")</f>
        <v>&lt;valeur&gt;0&lt;/valeur&gt;</v>
      </c>
    </row>
    <row r="6275" spans="1:10" x14ac:dyDescent="0.2">
      <c r="A6275" s="859">
        <f t="shared" si="97"/>
        <v>6274</v>
      </c>
      <c r="B6275" s="845" t="s">
        <v>2574</v>
      </c>
      <c r="D6275" s="861"/>
      <c r="H6275" s="845" t="s">
        <v>1010</v>
      </c>
    </row>
    <row r="6276" spans="1:10" x14ac:dyDescent="0.2">
      <c r="A6276" s="859">
        <f t="shared" ref="A6276:A6339" si="98">+A6275+1</f>
        <v>6275</v>
      </c>
      <c r="B6276" s="845" t="s">
        <v>2574</v>
      </c>
      <c r="D6276" s="860"/>
      <c r="H6276" s="845" t="s">
        <v>1007</v>
      </c>
    </row>
    <row r="6277" spans="1:10" x14ac:dyDescent="0.2">
      <c r="A6277" s="859">
        <f t="shared" si="98"/>
        <v>6276</v>
      </c>
      <c r="B6277" s="845" t="s">
        <v>2574</v>
      </c>
      <c r="D6277" s="857"/>
      <c r="I6277" s="845" t="s">
        <v>1008</v>
      </c>
    </row>
    <row r="6278" spans="1:10" x14ac:dyDescent="0.2">
      <c r="A6278" s="859">
        <f t="shared" si="98"/>
        <v>6277</v>
      </c>
      <c r="B6278" s="845" t="s">
        <v>2574</v>
      </c>
      <c r="D6278" s="857"/>
      <c r="J6278" s="845" t="s">
        <v>1963</v>
      </c>
    </row>
    <row r="6279" spans="1:10" x14ac:dyDescent="0.2">
      <c r="A6279" s="859">
        <f t="shared" si="98"/>
        <v>6278</v>
      </c>
      <c r="B6279" s="845" t="s">
        <v>2574</v>
      </c>
      <c r="D6279" s="860"/>
      <c r="I6279" s="845" t="s">
        <v>1009</v>
      </c>
    </row>
    <row r="6280" spans="1:10" x14ac:dyDescent="0.2">
      <c r="A6280" s="859">
        <f t="shared" si="98"/>
        <v>6279</v>
      </c>
      <c r="B6280" s="845" t="s">
        <v>2574</v>
      </c>
      <c r="D6280" s="861"/>
      <c r="I6280" s="845" t="str">
        <f>CONCATENATE("&lt;valeur&gt;",Cellule_1237,"&lt;/valeur&gt;")</f>
        <v>&lt;valeur&gt;0&lt;/valeur&gt;</v>
      </c>
    </row>
    <row r="6281" spans="1:10" x14ac:dyDescent="0.2">
      <c r="A6281" s="859">
        <f t="shared" si="98"/>
        <v>6280</v>
      </c>
      <c r="B6281" s="845" t="s">
        <v>2574</v>
      </c>
      <c r="D6281" s="860"/>
      <c r="H6281" s="845" t="s">
        <v>1010</v>
      </c>
    </row>
    <row r="6282" spans="1:10" x14ac:dyDescent="0.2">
      <c r="A6282" s="859">
        <f t="shared" si="98"/>
        <v>6281</v>
      </c>
      <c r="B6282" s="845" t="s">
        <v>2574</v>
      </c>
      <c r="D6282" s="860"/>
      <c r="H6282" s="845" t="s">
        <v>1007</v>
      </c>
    </row>
    <row r="6283" spans="1:10" x14ac:dyDescent="0.2">
      <c r="A6283" s="859">
        <f t="shared" si="98"/>
        <v>6282</v>
      </c>
      <c r="B6283" s="845" t="s">
        <v>2574</v>
      </c>
      <c r="D6283" s="861"/>
      <c r="I6283" s="845" t="s">
        <v>1008</v>
      </c>
    </row>
    <row r="6284" spans="1:10" x14ac:dyDescent="0.2">
      <c r="A6284" s="859">
        <f t="shared" si="98"/>
        <v>6283</v>
      </c>
      <c r="B6284" s="845" t="s">
        <v>2574</v>
      </c>
      <c r="D6284" s="862"/>
      <c r="J6284" s="845" t="s">
        <v>1964</v>
      </c>
    </row>
    <row r="6285" spans="1:10" x14ac:dyDescent="0.2">
      <c r="A6285" s="859">
        <f t="shared" si="98"/>
        <v>6284</v>
      </c>
      <c r="B6285" s="845" t="s">
        <v>2574</v>
      </c>
      <c r="D6285" s="863"/>
      <c r="I6285" s="845" t="s">
        <v>1009</v>
      </c>
    </row>
    <row r="6286" spans="1:10" x14ac:dyDescent="0.2">
      <c r="A6286" s="859">
        <f t="shared" si="98"/>
        <v>6285</v>
      </c>
      <c r="B6286" s="845" t="s">
        <v>2574</v>
      </c>
      <c r="D6286" s="862"/>
      <c r="I6286" s="845" t="str">
        <f>CONCATENATE("&lt;valeur&gt;",Cellule_1233,"&lt;/valeur&gt;")</f>
        <v>&lt;valeur&gt;0&lt;/valeur&gt;</v>
      </c>
    </row>
    <row r="6287" spans="1:10" x14ac:dyDescent="0.2">
      <c r="A6287" s="859">
        <f t="shared" si="98"/>
        <v>6286</v>
      </c>
      <c r="B6287" s="845" t="s">
        <v>2574</v>
      </c>
      <c r="D6287" s="862"/>
      <c r="H6287" s="845" t="s">
        <v>1010</v>
      </c>
    </row>
    <row r="6288" spans="1:10" x14ac:dyDescent="0.2">
      <c r="A6288" s="859">
        <f t="shared" si="98"/>
        <v>6287</v>
      </c>
      <c r="B6288" s="845" t="s">
        <v>2574</v>
      </c>
      <c r="D6288" s="861"/>
      <c r="H6288" s="845" t="s">
        <v>1007</v>
      </c>
    </row>
    <row r="6289" spans="1:10" x14ac:dyDescent="0.2">
      <c r="A6289" s="859">
        <f t="shared" si="98"/>
        <v>6288</v>
      </c>
      <c r="B6289" s="845" t="s">
        <v>2574</v>
      </c>
      <c r="D6289" s="861"/>
      <c r="I6289" s="845" t="s">
        <v>1008</v>
      </c>
    </row>
    <row r="6290" spans="1:10" x14ac:dyDescent="0.2">
      <c r="A6290" s="859">
        <f t="shared" si="98"/>
        <v>6289</v>
      </c>
      <c r="B6290" s="845" t="s">
        <v>2574</v>
      </c>
      <c r="D6290" s="862"/>
      <c r="J6290" s="845" t="s">
        <v>1965</v>
      </c>
    </row>
    <row r="6291" spans="1:10" x14ac:dyDescent="0.2">
      <c r="A6291" s="859">
        <f t="shared" si="98"/>
        <v>6290</v>
      </c>
      <c r="B6291" s="845" t="s">
        <v>2574</v>
      </c>
      <c r="D6291" s="863"/>
      <c r="I6291" s="845" t="s">
        <v>1009</v>
      </c>
    </row>
    <row r="6292" spans="1:10" x14ac:dyDescent="0.2">
      <c r="A6292" s="859">
        <f t="shared" si="98"/>
        <v>6291</v>
      </c>
      <c r="B6292" s="845" t="s">
        <v>2574</v>
      </c>
      <c r="D6292" s="862"/>
      <c r="I6292" s="845" t="str">
        <f>CONCATENATE("&lt;valeur&gt;",Cellule_1238,"&lt;/valeur&gt;")</f>
        <v>&lt;valeur&gt;0&lt;/valeur&gt;</v>
      </c>
    </row>
    <row r="6293" spans="1:10" x14ac:dyDescent="0.2">
      <c r="A6293" s="859">
        <f t="shared" si="98"/>
        <v>6292</v>
      </c>
      <c r="B6293" s="845" t="s">
        <v>2574</v>
      </c>
      <c r="D6293" s="862"/>
      <c r="H6293" s="845" t="s">
        <v>1010</v>
      </c>
    </row>
    <row r="6294" spans="1:10" x14ac:dyDescent="0.2">
      <c r="A6294" s="859">
        <f t="shared" si="98"/>
        <v>6293</v>
      </c>
      <c r="B6294" s="845" t="s">
        <v>2574</v>
      </c>
      <c r="D6294" s="861"/>
      <c r="H6294" s="845" t="s">
        <v>1007</v>
      </c>
    </row>
    <row r="6295" spans="1:10" x14ac:dyDescent="0.2">
      <c r="A6295" s="859">
        <f t="shared" si="98"/>
        <v>6294</v>
      </c>
      <c r="B6295" s="845" t="s">
        <v>2574</v>
      </c>
      <c r="D6295" s="861"/>
      <c r="I6295" s="845" t="s">
        <v>1008</v>
      </c>
    </row>
    <row r="6296" spans="1:10" x14ac:dyDescent="0.2">
      <c r="A6296" s="859">
        <f t="shared" si="98"/>
        <v>6295</v>
      </c>
      <c r="B6296" s="845" t="s">
        <v>2574</v>
      </c>
      <c r="D6296" s="862"/>
      <c r="J6296" s="845" t="s">
        <v>1966</v>
      </c>
    </row>
    <row r="6297" spans="1:10" x14ac:dyDescent="0.2">
      <c r="A6297" s="859">
        <f t="shared" si="98"/>
        <v>6296</v>
      </c>
      <c r="B6297" s="845" t="s">
        <v>2574</v>
      </c>
      <c r="D6297" s="863"/>
      <c r="I6297" s="845" t="s">
        <v>1009</v>
      </c>
    </row>
    <row r="6298" spans="1:10" x14ac:dyDescent="0.2">
      <c r="A6298" s="859">
        <f t="shared" si="98"/>
        <v>6297</v>
      </c>
      <c r="B6298" s="845" t="s">
        <v>2574</v>
      </c>
      <c r="D6298" s="862"/>
      <c r="I6298" s="845" t="str">
        <f>CONCATENATE("&lt;valeur&gt;",Cellule_1243,"&lt;/valeur&gt;")</f>
        <v>&lt;valeur&gt;0&lt;/valeur&gt;</v>
      </c>
    </row>
    <row r="6299" spans="1:10" x14ac:dyDescent="0.2">
      <c r="A6299" s="859">
        <f t="shared" si="98"/>
        <v>6298</v>
      </c>
      <c r="B6299" s="845" t="s">
        <v>2574</v>
      </c>
      <c r="D6299" s="862"/>
      <c r="H6299" s="845" t="s">
        <v>1010</v>
      </c>
    </row>
    <row r="6300" spans="1:10" x14ac:dyDescent="0.2">
      <c r="A6300" s="859">
        <f t="shared" si="98"/>
        <v>6299</v>
      </c>
      <c r="B6300" s="845" t="s">
        <v>2574</v>
      </c>
      <c r="D6300" s="861"/>
      <c r="H6300" s="845" t="s">
        <v>1007</v>
      </c>
    </row>
    <row r="6301" spans="1:10" x14ac:dyDescent="0.2">
      <c r="A6301" s="859">
        <f t="shared" si="98"/>
        <v>6300</v>
      </c>
      <c r="B6301" s="845" t="s">
        <v>2574</v>
      </c>
      <c r="D6301" s="861"/>
      <c r="I6301" s="845" t="s">
        <v>1008</v>
      </c>
    </row>
    <row r="6302" spans="1:10" x14ac:dyDescent="0.2">
      <c r="A6302" s="859">
        <f t="shared" si="98"/>
        <v>6301</v>
      </c>
      <c r="B6302" s="845" t="s">
        <v>2574</v>
      </c>
      <c r="D6302" s="862"/>
      <c r="J6302" s="845" t="s">
        <v>1967</v>
      </c>
    </row>
    <row r="6303" spans="1:10" x14ac:dyDescent="0.2">
      <c r="A6303" s="859">
        <f t="shared" si="98"/>
        <v>6302</v>
      </c>
      <c r="B6303" s="845" t="s">
        <v>2574</v>
      </c>
      <c r="D6303" s="863"/>
      <c r="I6303" s="845" t="s">
        <v>1009</v>
      </c>
    </row>
    <row r="6304" spans="1:10" x14ac:dyDescent="0.2">
      <c r="A6304" s="859">
        <f t="shared" si="98"/>
        <v>6303</v>
      </c>
      <c r="B6304" s="845" t="s">
        <v>2574</v>
      </c>
      <c r="D6304" s="862"/>
      <c r="I6304" s="845" t="str">
        <f>CONCATENATE("&lt;valeur&gt;",Cellule_1248,"&lt;/valeur&gt;")</f>
        <v>&lt;valeur&gt;0&lt;/valeur&gt;</v>
      </c>
    </row>
    <row r="6305" spans="1:10" x14ac:dyDescent="0.2">
      <c r="A6305" s="859">
        <f t="shared" si="98"/>
        <v>6304</v>
      </c>
      <c r="B6305" s="845" t="s">
        <v>2574</v>
      </c>
      <c r="D6305" s="862"/>
      <c r="H6305" s="845" t="s">
        <v>1010</v>
      </c>
    </row>
    <row r="6306" spans="1:10" x14ac:dyDescent="0.2">
      <c r="A6306" s="859">
        <f t="shared" si="98"/>
        <v>6305</v>
      </c>
      <c r="B6306" s="845" t="s">
        <v>2574</v>
      </c>
      <c r="D6306" s="861"/>
      <c r="H6306" s="845" t="s">
        <v>1007</v>
      </c>
    </row>
    <row r="6307" spans="1:10" x14ac:dyDescent="0.2">
      <c r="A6307" s="859">
        <f t="shared" si="98"/>
        <v>6306</v>
      </c>
      <c r="B6307" s="845" t="s">
        <v>2574</v>
      </c>
      <c r="D6307" s="861"/>
      <c r="I6307" s="845" t="s">
        <v>1008</v>
      </c>
    </row>
    <row r="6308" spans="1:10" x14ac:dyDescent="0.2">
      <c r="A6308" s="859">
        <f t="shared" si="98"/>
        <v>6307</v>
      </c>
      <c r="B6308" s="845" t="s">
        <v>2574</v>
      </c>
      <c r="D6308" s="862"/>
      <c r="J6308" s="845" t="s">
        <v>1968</v>
      </c>
    </row>
    <row r="6309" spans="1:10" x14ac:dyDescent="0.2">
      <c r="A6309" s="859">
        <f t="shared" si="98"/>
        <v>6308</v>
      </c>
      <c r="B6309" s="845" t="s">
        <v>2574</v>
      </c>
      <c r="D6309" s="863"/>
      <c r="I6309" s="845" t="s">
        <v>1009</v>
      </c>
    </row>
    <row r="6310" spans="1:10" x14ac:dyDescent="0.2">
      <c r="A6310" s="859">
        <f t="shared" si="98"/>
        <v>6309</v>
      </c>
      <c r="B6310" s="845" t="s">
        <v>2574</v>
      </c>
      <c r="D6310" s="862"/>
      <c r="I6310" s="845" t="str">
        <f>CONCATENATE("&lt;valeur&gt;",Cellule_1234,"&lt;/valeur&gt;")</f>
        <v>&lt;valeur&gt;0&lt;/valeur&gt;</v>
      </c>
    </row>
    <row r="6311" spans="1:10" x14ac:dyDescent="0.2">
      <c r="A6311" s="859">
        <f t="shared" si="98"/>
        <v>6310</v>
      </c>
      <c r="B6311" s="845" t="s">
        <v>2574</v>
      </c>
      <c r="D6311" s="862"/>
      <c r="H6311" s="845" t="s">
        <v>1010</v>
      </c>
    </row>
    <row r="6312" spans="1:10" x14ac:dyDescent="0.2">
      <c r="A6312" s="859">
        <f t="shared" si="98"/>
        <v>6311</v>
      </c>
      <c r="B6312" s="845" t="s">
        <v>2574</v>
      </c>
      <c r="D6312" s="861"/>
      <c r="H6312" s="845" t="s">
        <v>1007</v>
      </c>
    </row>
    <row r="6313" spans="1:10" x14ac:dyDescent="0.2">
      <c r="A6313" s="859">
        <f t="shared" si="98"/>
        <v>6312</v>
      </c>
      <c r="B6313" s="845" t="s">
        <v>2574</v>
      </c>
      <c r="D6313" s="861"/>
      <c r="I6313" s="845" t="s">
        <v>1008</v>
      </c>
    </row>
    <row r="6314" spans="1:10" x14ac:dyDescent="0.2">
      <c r="A6314" s="859">
        <f t="shared" si="98"/>
        <v>6313</v>
      </c>
      <c r="B6314" s="845" t="s">
        <v>2574</v>
      </c>
      <c r="D6314" s="862"/>
      <c r="J6314" s="845" t="s">
        <v>1969</v>
      </c>
    </row>
    <row r="6315" spans="1:10" x14ac:dyDescent="0.2">
      <c r="A6315" s="859">
        <f t="shared" si="98"/>
        <v>6314</v>
      </c>
      <c r="B6315" s="845" t="s">
        <v>2574</v>
      </c>
      <c r="D6315" s="863"/>
      <c r="I6315" s="845" t="s">
        <v>1009</v>
      </c>
    </row>
    <row r="6316" spans="1:10" x14ac:dyDescent="0.2">
      <c r="A6316" s="859">
        <f t="shared" si="98"/>
        <v>6315</v>
      </c>
      <c r="B6316" s="845" t="s">
        <v>2574</v>
      </c>
      <c r="D6316" s="862"/>
      <c r="I6316" s="845" t="str">
        <f>CONCATENATE("&lt;valeur&gt;",Cellule_1239,"&lt;/valeur&gt;")</f>
        <v>&lt;valeur&gt;0&lt;/valeur&gt;</v>
      </c>
    </row>
    <row r="6317" spans="1:10" x14ac:dyDescent="0.2">
      <c r="A6317" s="859">
        <f t="shared" si="98"/>
        <v>6316</v>
      </c>
      <c r="B6317" s="845" t="s">
        <v>2574</v>
      </c>
      <c r="D6317" s="862"/>
      <c r="H6317" s="845" t="s">
        <v>1010</v>
      </c>
    </row>
    <row r="6318" spans="1:10" x14ac:dyDescent="0.2">
      <c r="A6318" s="859">
        <f t="shared" si="98"/>
        <v>6317</v>
      </c>
      <c r="B6318" s="845" t="s">
        <v>2574</v>
      </c>
      <c r="D6318" s="861"/>
      <c r="H6318" s="845" t="s">
        <v>1007</v>
      </c>
    </row>
    <row r="6319" spans="1:10" x14ac:dyDescent="0.2">
      <c r="A6319" s="859">
        <f t="shared" si="98"/>
        <v>6318</v>
      </c>
      <c r="B6319" s="845" t="s">
        <v>2574</v>
      </c>
      <c r="D6319" s="861"/>
      <c r="I6319" s="845" t="s">
        <v>1008</v>
      </c>
    </row>
    <row r="6320" spans="1:10" x14ac:dyDescent="0.2">
      <c r="A6320" s="859">
        <f t="shared" si="98"/>
        <v>6319</v>
      </c>
      <c r="B6320" s="845" t="s">
        <v>2574</v>
      </c>
      <c r="D6320" s="862"/>
      <c r="J6320" s="845" t="s">
        <v>1970</v>
      </c>
    </row>
    <row r="6321" spans="1:10" x14ac:dyDescent="0.2">
      <c r="A6321" s="859">
        <f t="shared" si="98"/>
        <v>6320</v>
      </c>
      <c r="B6321" s="845" t="s">
        <v>2574</v>
      </c>
      <c r="D6321" s="863"/>
      <c r="I6321" s="845" t="s">
        <v>1009</v>
      </c>
    </row>
    <row r="6322" spans="1:10" x14ac:dyDescent="0.2">
      <c r="A6322" s="859">
        <f t="shared" si="98"/>
        <v>6321</v>
      </c>
      <c r="B6322" s="845" t="s">
        <v>2574</v>
      </c>
      <c r="D6322" s="862"/>
      <c r="I6322" s="845" t="str">
        <f>CONCATENATE("&lt;valeur&gt;",Cellule_1244,"&lt;/valeur&gt;")</f>
        <v>&lt;valeur&gt;0&lt;/valeur&gt;</v>
      </c>
    </row>
    <row r="6323" spans="1:10" x14ac:dyDescent="0.2">
      <c r="A6323" s="859">
        <f t="shared" si="98"/>
        <v>6322</v>
      </c>
      <c r="B6323" s="845" t="s">
        <v>2574</v>
      </c>
      <c r="D6323" s="862"/>
      <c r="H6323" s="845" t="s">
        <v>1010</v>
      </c>
    </row>
    <row r="6324" spans="1:10" x14ac:dyDescent="0.2">
      <c r="A6324" s="859">
        <f t="shared" si="98"/>
        <v>6323</v>
      </c>
      <c r="B6324" s="845" t="s">
        <v>2574</v>
      </c>
      <c r="D6324" s="861"/>
      <c r="H6324" s="845" t="s">
        <v>1007</v>
      </c>
    </row>
    <row r="6325" spans="1:10" x14ac:dyDescent="0.2">
      <c r="A6325" s="859">
        <f t="shared" si="98"/>
        <v>6324</v>
      </c>
      <c r="B6325" s="845" t="s">
        <v>2574</v>
      </c>
      <c r="D6325" s="861"/>
      <c r="I6325" s="845" t="s">
        <v>1008</v>
      </c>
    </row>
    <row r="6326" spans="1:10" x14ac:dyDescent="0.2">
      <c r="A6326" s="859">
        <f t="shared" si="98"/>
        <v>6325</v>
      </c>
      <c r="B6326" s="845" t="s">
        <v>2574</v>
      </c>
      <c r="D6326" s="862"/>
      <c r="J6326" s="845" t="s">
        <v>1971</v>
      </c>
    </row>
    <row r="6327" spans="1:10" x14ac:dyDescent="0.2">
      <c r="A6327" s="859">
        <f t="shared" si="98"/>
        <v>6326</v>
      </c>
      <c r="B6327" s="845" t="s">
        <v>2574</v>
      </c>
      <c r="D6327" s="863"/>
      <c r="I6327" s="845" t="s">
        <v>1009</v>
      </c>
    </row>
    <row r="6328" spans="1:10" x14ac:dyDescent="0.2">
      <c r="A6328" s="859">
        <f t="shared" si="98"/>
        <v>6327</v>
      </c>
      <c r="B6328" s="845" t="s">
        <v>2574</v>
      </c>
      <c r="D6328" s="862"/>
      <c r="I6328" s="845" t="str">
        <f>CONCATENATE("&lt;valeur&gt;",Cellule_1249,"&lt;/valeur&gt;")</f>
        <v>&lt;valeur&gt;0&lt;/valeur&gt;</v>
      </c>
    </row>
    <row r="6329" spans="1:10" x14ac:dyDescent="0.2">
      <c r="A6329" s="859">
        <f t="shared" si="98"/>
        <v>6328</v>
      </c>
      <c r="B6329" s="845" t="s">
        <v>2574</v>
      </c>
      <c r="D6329" s="862"/>
      <c r="H6329" s="845" t="s">
        <v>1010</v>
      </c>
    </row>
    <row r="6330" spans="1:10" x14ac:dyDescent="0.2">
      <c r="A6330" s="859">
        <f t="shared" si="98"/>
        <v>6329</v>
      </c>
      <c r="B6330" s="845" t="s">
        <v>2574</v>
      </c>
      <c r="D6330" s="861"/>
      <c r="H6330" s="845" t="s">
        <v>1007</v>
      </c>
    </row>
    <row r="6331" spans="1:10" x14ac:dyDescent="0.2">
      <c r="A6331" s="859">
        <f t="shared" si="98"/>
        <v>6330</v>
      </c>
      <c r="B6331" s="845" t="s">
        <v>2574</v>
      </c>
      <c r="D6331" s="861"/>
      <c r="I6331" s="845" t="s">
        <v>1972</v>
      </c>
    </row>
    <row r="6332" spans="1:10" x14ac:dyDescent="0.2">
      <c r="A6332" s="859">
        <f t="shared" si="98"/>
        <v>6331</v>
      </c>
      <c r="B6332" s="845" t="s">
        <v>2574</v>
      </c>
      <c r="D6332" s="862"/>
      <c r="I6332" s="845" t="str">
        <f>CONCATENATE("&lt;valeur&gt;",Cellule_12122,"&lt;/valeur&gt;")</f>
        <v>&lt;valeur&gt;&lt;/valeur&gt;</v>
      </c>
    </row>
    <row r="6333" spans="1:10" x14ac:dyDescent="0.2">
      <c r="A6333" s="859">
        <f t="shared" si="98"/>
        <v>6332</v>
      </c>
      <c r="B6333" s="845" t="s">
        <v>2574</v>
      </c>
      <c r="D6333" s="863"/>
      <c r="I6333" s="845" t="s">
        <v>1249</v>
      </c>
    </row>
    <row r="6334" spans="1:10" x14ac:dyDescent="0.2">
      <c r="A6334" s="859">
        <f t="shared" si="98"/>
        <v>6333</v>
      </c>
      <c r="B6334" s="845" t="s">
        <v>2574</v>
      </c>
      <c r="D6334" s="862"/>
      <c r="H6334" s="845" t="s">
        <v>1010</v>
      </c>
    </row>
    <row r="6335" spans="1:10" x14ac:dyDescent="0.2">
      <c r="A6335" s="859">
        <f t="shared" si="98"/>
        <v>6334</v>
      </c>
      <c r="B6335" s="845" t="s">
        <v>2574</v>
      </c>
      <c r="D6335" s="862"/>
      <c r="H6335" s="845" t="s">
        <v>1007</v>
      </c>
    </row>
    <row r="6336" spans="1:10" x14ac:dyDescent="0.2">
      <c r="A6336" s="859">
        <f t="shared" si="98"/>
        <v>6335</v>
      </c>
      <c r="B6336" s="845" t="s">
        <v>2574</v>
      </c>
      <c r="D6336" s="861"/>
      <c r="I6336" s="845" t="s">
        <v>1973</v>
      </c>
    </row>
    <row r="6337" spans="1:10" x14ac:dyDescent="0.2">
      <c r="A6337" s="859">
        <f t="shared" si="98"/>
        <v>6336</v>
      </c>
      <c r="B6337" s="845" t="s">
        <v>2574</v>
      </c>
      <c r="D6337" s="861"/>
      <c r="I6337" s="845" t="str">
        <f>CONCATENATE("&lt;valeur&gt;",Cellule_12123,"&lt;/valeur&gt;")</f>
        <v>&lt;valeur&gt;&lt;/valeur&gt;</v>
      </c>
    </row>
    <row r="6338" spans="1:10" x14ac:dyDescent="0.2">
      <c r="A6338" s="859">
        <f t="shared" si="98"/>
        <v>6337</v>
      </c>
      <c r="B6338" s="845" t="s">
        <v>2574</v>
      </c>
      <c r="D6338" s="862"/>
      <c r="I6338" s="845" t="s">
        <v>1249</v>
      </c>
    </row>
    <row r="6339" spans="1:10" x14ac:dyDescent="0.2">
      <c r="A6339" s="859">
        <f t="shared" si="98"/>
        <v>6338</v>
      </c>
      <c r="B6339" s="845" t="s">
        <v>2574</v>
      </c>
      <c r="D6339" s="863"/>
      <c r="H6339" s="845" t="s">
        <v>1010</v>
      </c>
    </row>
    <row r="6340" spans="1:10" x14ac:dyDescent="0.2">
      <c r="A6340" s="859">
        <f t="shared" ref="A6340:A6403" si="99">+A6339+1</f>
        <v>6339</v>
      </c>
      <c r="B6340" s="845" t="s">
        <v>2574</v>
      </c>
      <c r="D6340" s="862"/>
      <c r="H6340" s="845" t="s">
        <v>1007</v>
      </c>
    </row>
    <row r="6341" spans="1:10" x14ac:dyDescent="0.2">
      <c r="A6341" s="859">
        <f t="shared" si="99"/>
        <v>6340</v>
      </c>
      <c r="B6341" s="845" t="s">
        <v>2574</v>
      </c>
      <c r="D6341" s="862"/>
      <c r="I6341" s="845" t="s">
        <v>1974</v>
      </c>
    </row>
    <row r="6342" spans="1:10" x14ac:dyDescent="0.2">
      <c r="A6342" s="859">
        <f t="shared" si="99"/>
        <v>6341</v>
      </c>
      <c r="B6342" s="845" t="s">
        <v>2574</v>
      </c>
      <c r="D6342" s="861"/>
      <c r="I6342" s="845" t="str">
        <f>CONCATENATE("&lt;valeur&gt;",Cellule_12124,"&lt;/valeur&gt;")</f>
        <v>&lt;valeur&gt;&lt;/valeur&gt;</v>
      </c>
    </row>
    <row r="6343" spans="1:10" x14ac:dyDescent="0.2">
      <c r="A6343" s="859">
        <f t="shared" si="99"/>
        <v>6342</v>
      </c>
      <c r="B6343" s="845" t="s">
        <v>2574</v>
      </c>
      <c r="D6343" s="861"/>
      <c r="I6343" s="845" t="s">
        <v>1249</v>
      </c>
    </row>
    <row r="6344" spans="1:10" x14ac:dyDescent="0.2">
      <c r="A6344" s="859">
        <f t="shared" si="99"/>
        <v>6343</v>
      </c>
      <c r="B6344" s="845" t="s">
        <v>2574</v>
      </c>
      <c r="D6344" s="862"/>
      <c r="H6344" s="845" t="s">
        <v>1010</v>
      </c>
    </row>
    <row r="6345" spans="1:10" x14ac:dyDescent="0.2">
      <c r="A6345" s="859">
        <f t="shared" si="99"/>
        <v>6344</v>
      </c>
      <c r="B6345" s="845" t="s">
        <v>2574</v>
      </c>
      <c r="D6345" s="863"/>
      <c r="H6345" s="845" t="s">
        <v>1007</v>
      </c>
    </row>
    <row r="6346" spans="1:10" x14ac:dyDescent="0.2">
      <c r="A6346" s="859">
        <f t="shared" si="99"/>
        <v>6345</v>
      </c>
      <c r="B6346" s="845" t="s">
        <v>2574</v>
      </c>
      <c r="D6346" s="862"/>
      <c r="I6346" s="845" t="s">
        <v>1975</v>
      </c>
    </row>
    <row r="6347" spans="1:10" x14ac:dyDescent="0.2">
      <c r="A6347" s="859">
        <f t="shared" si="99"/>
        <v>6346</v>
      </c>
      <c r="B6347" s="845" t="s">
        <v>2574</v>
      </c>
      <c r="D6347" s="862"/>
      <c r="I6347" s="845" t="str">
        <f>CONCATENATE("&lt;valeur&gt;",Cellule_12125,"&lt;/valeur&gt;")</f>
        <v>&lt;valeur&gt;0&lt;/valeur&gt;</v>
      </c>
    </row>
    <row r="6348" spans="1:10" x14ac:dyDescent="0.2">
      <c r="A6348" s="859">
        <f t="shared" si="99"/>
        <v>6347</v>
      </c>
      <c r="B6348" s="845" t="s">
        <v>2574</v>
      </c>
      <c r="D6348" s="861"/>
      <c r="I6348" s="845" t="s">
        <v>1249</v>
      </c>
    </row>
    <row r="6349" spans="1:10" x14ac:dyDescent="0.2">
      <c r="A6349" s="859">
        <f t="shared" si="99"/>
        <v>6348</v>
      </c>
      <c r="B6349" s="845" t="s">
        <v>2574</v>
      </c>
      <c r="D6349" s="861"/>
      <c r="H6349" s="845" t="s">
        <v>1010</v>
      </c>
    </row>
    <row r="6350" spans="1:10" x14ac:dyDescent="0.2">
      <c r="A6350" s="859">
        <f t="shared" si="99"/>
        <v>6349</v>
      </c>
      <c r="B6350" s="845" t="s">
        <v>2574</v>
      </c>
      <c r="D6350" s="862"/>
      <c r="H6350" s="845" t="s">
        <v>1007</v>
      </c>
    </row>
    <row r="6351" spans="1:10" x14ac:dyDescent="0.2">
      <c r="A6351" s="859">
        <f t="shared" si="99"/>
        <v>6350</v>
      </c>
      <c r="B6351" s="845" t="s">
        <v>2574</v>
      </c>
      <c r="D6351" s="863"/>
      <c r="I6351" s="845" t="s">
        <v>1008</v>
      </c>
    </row>
    <row r="6352" spans="1:10" x14ac:dyDescent="0.2">
      <c r="A6352" s="859">
        <f t="shared" si="99"/>
        <v>6351</v>
      </c>
      <c r="B6352" s="845" t="s">
        <v>2574</v>
      </c>
      <c r="D6352" s="862"/>
      <c r="J6352" s="845" t="s">
        <v>1976</v>
      </c>
    </row>
    <row r="6353" spans="1:10" x14ac:dyDescent="0.2">
      <c r="A6353" s="859">
        <f t="shared" si="99"/>
        <v>6352</v>
      </c>
      <c r="B6353" s="845" t="s">
        <v>2574</v>
      </c>
      <c r="D6353" s="862"/>
      <c r="I6353" s="845" t="s">
        <v>1009</v>
      </c>
    </row>
    <row r="6354" spans="1:10" x14ac:dyDescent="0.2">
      <c r="A6354" s="859">
        <f t="shared" si="99"/>
        <v>6353</v>
      </c>
      <c r="B6354" s="845" t="s">
        <v>2574</v>
      </c>
      <c r="D6354" s="861"/>
      <c r="I6354" s="845" t="str">
        <f>CONCATENATE("&lt;valeur&gt;",Cellule_1624,"&lt;/valeur&gt;")</f>
        <v>&lt;valeur&gt;0&lt;/valeur&gt;</v>
      </c>
    </row>
    <row r="6355" spans="1:10" x14ac:dyDescent="0.2">
      <c r="A6355" s="859">
        <f t="shared" si="99"/>
        <v>6354</v>
      </c>
      <c r="B6355" s="845" t="s">
        <v>2574</v>
      </c>
      <c r="D6355" s="861"/>
      <c r="H6355" s="845" t="s">
        <v>1010</v>
      </c>
    </row>
    <row r="6356" spans="1:10" x14ac:dyDescent="0.2">
      <c r="A6356" s="859">
        <f t="shared" si="99"/>
        <v>6355</v>
      </c>
      <c r="B6356" s="845" t="s">
        <v>2574</v>
      </c>
      <c r="D6356" s="862"/>
      <c r="H6356" s="845" t="s">
        <v>1007</v>
      </c>
    </row>
    <row r="6357" spans="1:10" x14ac:dyDescent="0.2">
      <c r="A6357" s="859">
        <f t="shared" si="99"/>
        <v>6356</v>
      </c>
      <c r="B6357" s="845" t="s">
        <v>2574</v>
      </c>
      <c r="D6357" s="863"/>
      <c r="I6357" s="845" t="s">
        <v>1008</v>
      </c>
    </row>
    <row r="6358" spans="1:10" x14ac:dyDescent="0.2">
      <c r="A6358" s="859">
        <f t="shared" si="99"/>
        <v>6357</v>
      </c>
      <c r="B6358" s="845" t="s">
        <v>2574</v>
      </c>
      <c r="D6358" s="862"/>
      <c r="J6358" s="845" t="s">
        <v>1977</v>
      </c>
    </row>
    <row r="6359" spans="1:10" x14ac:dyDescent="0.2">
      <c r="A6359" s="859">
        <f t="shared" si="99"/>
        <v>6358</v>
      </c>
      <c r="B6359" s="845" t="s">
        <v>2574</v>
      </c>
      <c r="D6359" s="862"/>
      <c r="I6359" s="845" t="s">
        <v>1009</v>
      </c>
    </row>
    <row r="6360" spans="1:10" x14ac:dyDescent="0.2">
      <c r="A6360" s="859">
        <f t="shared" si="99"/>
        <v>6359</v>
      </c>
      <c r="B6360" s="845" t="s">
        <v>2574</v>
      </c>
      <c r="D6360" s="861"/>
      <c r="I6360" s="845" t="str">
        <f>CONCATENATE("&lt;valeur&gt;",Cellule_1625,"&lt;/valeur&gt;")</f>
        <v>&lt;valeur&gt;0&lt;/valeur&gt;</v>
      </c>
    </row>
    <row r="6361" spans="1:10" x14ac:dyDescent="0.2">
      <c r="A6361" s="859">
        <f t="shared" si="99"/>
        <v>6360</v>
      </c>
      <c r="B6361" s="845" t="s">
        <v>2574</v>
      </c>
      <c r="D6361" s="861"/>
      <c r="H6361" s="845" t="s">
        <v>1010</v>
      </c>
    </row>
    <row r="6362" spans="1:10" x14ac:dyDescent="0.2">
      <c r="A6362" s="859">
        <f t="shared" si="99"/>
        <v>6361</v>
      </c>
      <c r="B6362" s="845" t="s">
        <v>2574</v>
      </c>
      <c r="D6362" s="862"/>
      <c r="H6362" s="845" t="s">
        <v>1007</v>
      </c>
    </row>
    <row r="6363" spans="1:10" x14ac:dyDescent="0.2">
      <c r="A6363" s="859">
        <f t="shared" si="99"/>
        <v>6362</v>
      </c>
      <c r="B6363" s="845" t="s">
        <v>2574</v>
      </c>
      <c r="D6363" s="863"/>
      <c r="I6363" s="845" t="s">
        <v>1008</v>
      </c>
    </row>
    <row r="6364" spans="1:10" x14ac:dyDescent="0.2">
      <c r="A6364" s="859">
        <f t="shared" si="99"/>
        <v>6363</v>
      </c>
      <c r="B6364" s="845" t="s">
        <v>2574</v>
      </c>
      <c r="D6364" s="862"/>
      <c r="J6364" s="845" t="s">
        <v>1978</v>
      </c>
    </row>
    <row r="6365" spans="1:10" x14ac:dyDescent="0.2">
      <c r="A6365" s="859">
        <f t="shared" si="99"/>
        <v>6364</v>
      </c>
      <c r="B6365" s="845" t="s">
        <v>2574</v>
      </c>
      <c r="D6365" s="862"/>
      <c r="I6365" s="845" t="s">
        <v>1009</v>
      </c>
    </row>
    <row r="6366" spans="1:10" x14ac:dyDescent="0.2">
      <c r="A6366" s="859">
        <f t="shared" si="99"/>
        <v>6365</v>
      </c>
      <c r="B6366" s="845" t="s">
        <v>2574</v>
      </c>
      <c r="D6366" s="861"/>
      <c r="I6366" s="845" t="str">
        <f>CONCATENATE("&lt;valeur&gt;",Cellule_1626,"&lt;/valeur&gt;")</f>
        <v>&lt;valeur&gt;0&lt;/valeur&gt;</v>
      </c>
    </row>
    <row r="6367" spans="1:10" x14ac:dyDescent="0.2">
      <c r="A6367" s="859">
        <f t="shared" si="99"/>
        <v>6366</v>
      </c>
      <c r="B6367" s="845" t="s">
        <v>2574</v>
      </c>
      <c r="D6367" s="861"/>
      <c r="H6367" s="845" t="s">
        <v>1010</v>
      </c>
    </row>
    <row r="6368" spans="1:10" x14ac:dyDescent="0.2">
      <c r="A6368" s="859">
        <f t="shared" si="99"/>
        <v>6367</v>
      </c>
      <c r="B6368" s="845" t="s">
        <v>2574</v>
      </c>
      <c r="D6368" s="862"/>
      <c r="H6368" s="845" t="s">
        <v>1007</v>
      </c>
    </row>
    <row r="6369" spans="1:10" x14ac:dyDescent="0.2">
      <c r="A6369" s="859">
        <f t="shared" si="99"/>
        <v>6368</v>
      </c>
      <c r="B6369" s="845" t="s">
        <v>2574</v>
      </c>
      <c r="D6369" s="863"/>
      <c r="I6369" s="845" t="s">
        <v>1008</v>
      </c>
    </row>
    <row r="6370" spans="1:10" x14ac:dyDescent="0.2">
      <c r="A6370" s="859">
        <f t="shared" si="99"/>
        <v>6369</v>
      </c>
      <c r="B6370" s="845" t="s">
        <v>2574</v>
      </c>
      <c r="D6370" s="862"/>
      <c r="J6370" s="845" t="s">
        <v>1979</v>
      </c>
    </row>
    <row r="6371" spans="1:10" x14ac:dyDescent="0.2">
      <c r="A6371" s="859">
        <f t="shared" si="99"/>
        <v>6370</v>
      </c>
      <c r="B6371" s="845" t="s">
        <v>2574</v>
      </c>
      <c r="D6371" s="862"/>
      <c r="I6371" s="845" t="s">
        <v>1009</v>
      </c>
    </row>
    <row r="6372" spans="1:10" x14ac:dyDescent="0.2">
      <c r="A6372" s="859">
        <f t="shared" si="99"/>
        <v>6371</v>
      </c>
      <c r="B6372" s="845" t="s">
        <v>2574</v>
      </c>
      <c r="D6372" s="861"/>
      <c r="I6372" s="845" t="str">
        <f>CONCATENATE("&lt;valeur&gt;",Cellule_1627,"&lt;/valeur&gt;")</f>
        <v>&lt;valeur&gt;0&lt;/valeur&gt;</v>
      </c>
    </row>
    <row r="6373" spans="1:10" x14ac:dyDescent="0.2">
      <c r="A6373" s="859">
        <f t="shared" si="99"/>
        <v>6372</v>
      </c>
      <c r="B6373" s="845" t="s">
        <v>2574</v>
      </c>
      <c r="D6373" s="861"/>
      <c r="H6373" s="845" t="s">
        <v>1010</v>
      </c>
    </row>
    <row r="6374" spans="1:10" x14ac:dyDescent="0.2">
      <c r="A6374" s="859">
        <f t="shared" si="99"/>
        <v>6373</v>
      </c>
      <c r="B6374" s="845" t="s">
        <v>2574</v>
      </c>
      <c r="D6374" s="862"/>
      <c r="H6374" s="845" t="s">
        <v>1007</v>
      </c>
    </row>
    <row r="6375" spans="1:10" x14ac:dyDescent="0.2">
      <c r="A6375" s="859">
        <f t="shared" si="99"/>
        <v>6374</v>
      </c>
      <c r="B6375" s="845" t="s">
        <v>2574</v>
      </c>
      <c r="D6375" s="863"/>
      <c r="I6375" s="845" t="s">
        <v>1008</v>
      </c>
    </row>
    <row r="6376" spans="1:10" x14ac:dyDescent="0.2">
      <c r="A6376" s="859">
        <f t="shared" si="99"/>
        <v>6375</v>
      </c>
      <c r="B6376" s="845" t="s">
        <v>2574</v>
      </c>
      <c r="D6376" s="862"/>
      <c r="J6376" s="845" t="s">
        <v>1980</v>
      </c>
    </row>
    <row r="6377" spans="1:10" x14ac:dyDescent="0.2">
      <c r="A6377" s="859">
        <f t="shared" si="99"/>
        <v>6376</v>
      </c>
      <c r="B6377" s="845" t="s">
        <v>2574</v>
      </c>
      <c r="D6377" s="862"/>
      <c r="I6377" s="845" t="s">
        <v>1009</v>
      </c>
    </row>
    <row r="6378" spans="1:10" x14ac:dyDescent="0.2">
      <c r="A6378" s="859">
        <f t="shared" si="99"/>
        <v>6377</v>
      </c>
      <c r="B6378" s="845" t="s">
        <v>2574</v>
      </c>
      <c r="D6378" s="861"/>
      <c r="I6378" s="845" t="str">
        <f>CONCATENATE("&lt;valeur&gt;",Cellule_1628,"&lt;/valeur&gt;")</f>
        <v>&lt;valeur&gt;0&lt;/valeur&gt;</v>
      </c>
    </row>
    <row r="6379" spans="1:10" x14ac:dyDescent="0.2">
      <c r="A6379" s="859">
        <f t="shared" si="99"/>
        <v>6378</v>
      </c>
      <c r="B6379" s="845" t="s">
        <v>2574</v>
      </c>
      <c r="D6379" s="861"/>
      <c r="H6379" s="845" t="s">
        <v>1010</v>
      </c>
    </row>
    <row r="6380" spans="1:10" x14ac:dyDescent="0.2">
      <c r="A6380" s="859">
        <f t="shared" si="99"/>
        <v>6379</v>
      </c>
      <c r="B6380" s="845" t="s">
        <v>2574</v>
      </c>
      <c r="D6380" s="862"/>
      <c r="H6380" s="845" t="s">
        <v>1007</v>
      </c>
    </row>
    <row r="6381" spans="1:10" x14ac:dyDescent="0.2">
      <c r="A6381" s="859">
        <f t="shared" si="99"/>
        <v>6380</v>
      </c>
      <c r="B6381" s="845" t="s">
        <v>2574</v>
      </c>
      <c r="D6381" s="863"/>
      <c r="I6381" s="845" t="s">
        <v>1008</v>
      </c>
    </row>
    <row r="6382" spans="1:10" x14ac:dyDescent="0.2">
      <c r="A6382" s="859">
        <f t="shared" si="99"/>
        <v>6381</v>
      </c>
      <c r="B6382" s="845" t="s">
        <v>2574</v>
      </c>
      <c r="D6382" s="862"/>
      <c r="J6382" s="845" t="s">
        <v>1981</v>
      </c>
    </row>
    <row r="6383" spans="1:10" x14ac:dyDescent="0.2">
      <c r="A6383" s="859">
        <f t="shared" si="99"/>
        <v>6382</v>
      </c>
      <c r="B6383" s="845" t="s">
        <v>2574</v>
      </c>
      <c r="D6383" s="862"/>
      <c r="I6383" s="845" t="s">
        <v>1009</v>
      </c>
    </row>
    <row r="6384" spans="1:10" x14ac:dyDescent="0.2">
      <c r="A6384" s="859">
        <f t="shared" si="99"/>
        <v>6383</v>
      </c>
      <c r="B6384" s="845" t="s">
        <v>2574</v>
      </c>
      <c r="D6384" s="862"/>
      <c r="I6384" s="845" t="str">
        <f>CONCATENATE("&lt;valeur&gt;",Cellule_1629,"&lt;/valeur&gt;")</f>
        <v>&lt;valeur&gt;0&lt;/valeur&gt;</v>
      </c>
    </row>
    <row r="6385" spans="1:10" x14ac:dyDescent="0.2">
      <c r="A6385" s="859">
        <f t="shared" si="99"/>
        <v>6384</v>
      </c>
      <c r="B6385" s="845" t="s">
        <v>2574</v>
      </c>
      <c r="D6385" s="861"/>
      <c r="H6385" s="845" t="s">
        <v>1010</v>
      </c>
    </row>
    <row r="6386" spans="1:10" x14ac:dyDescent="0.2">
      <c r="A6386" s="859">
        <f t="shared" si="99"/>
        <v>6385</v>
      </c>
      <c r="B6386" s="845" t="s">
        <v>2574</v>
      </c>
      <c r="D6386" s="861"/>
      <c r="H6386" s="845" t="s">
        <v>1007</v>
      </c>
    </row>
    <row r="6387" spans="1:10" x14ac:dyDescent="0.2">
      <c r="A6387" s="859">
        <f t="shared" si="99"/>
        <v>6386</v>
      </c>
      <c r="B6387" s="845" t="s">
        <v>2574</v>
      </c>
      <c r="D6387" s="862"/>
      <c r="I6387" s="845" t="s">
        <v>1008</v>
      </c>
    </row>
    <row r="6388" spans="1:10" x14ac:dyDescent="0.2">
      <c r="A6388" s="859">
        <f t="shared" si="99"/>
        <v>6387</v>
      </c>
      <c r="B6388" s="845" t="s">
        <v>2574</v>
      </c>
      <c r="D6388" s="863"/>
      <c r="J6388" s="845" t="s">
        <v>1982</v>
      </c>
    </row>
    <row r="6389" spans="1:10" x14ac:dyDescent="0.2">
      <c r="A6389" s="859">
        <f t="shared" si="99"/>
        <v>6388</v>
      </c>
      <c r="B6389" s="845" t="s">
        <v>2574</v>
      </c>
      <c r="D6389" s="862"/>
      <c r="I6389" s="845" t="s">
        <v>1009</v>
      </c>
    </row>
    <row r="6390" spans="1:10" x14ac:dyDescent="0.2">
      <c r="A6390" s="859">
        <f t="shared" si="99"/>
        <v>6389</v>
      </c>
      <c r="B6390" s="845" t="s">
        <v>2574</v>
      </c>
      <c r="D6390" s="862"/>
      <c r="I6390" s="845" t="str">
        <f>CONCATENATE("&lt;valeur&gt;",Cellule_1630,"&lt;/valeur&gt;")</f>
        <v>&lt;valeur&gt;0&lt;/valeur&gt;</v>
      </c>
    </row>
    <row r="6391" spans="1:10" x14ac:dyDescent="0.2">
      <c r="A6391" s="859">
        <f t="shared" si="99"/>
        <v>6390</v>
      </c>
      <c r="B6391" s="845" t="s">
        <v>2574</v>
      </c>
      <c r="D6391" s="862"/>
      <c r="H6391" s="845" t="s">
        <v>1010</v>
      </c>
    </row>
    <row r="6392" spans="1:10" x14ac:dyDescent="0.2">
      <c r="A6392" s="859">
        <f t="shared" si="99"/>
        <v>6391</v>
      </c>
      <c r="B6392" s="845" t="s">
        <v>2574</v>
      </c>
      <c r="D6392" s="861"/>
      <c r="H6392" s="845" t="s">
        <v>1007</v>
      </c>
    </row>
    <row r="6393" spans="1:10" x14ac:dyDescent="0.2">
      <c r="A6393" s="859">
        <f t="shared" si="99"/>
        <v>6392</v>
      </c>
      <c r="B6393" s="845" t="s">
        <v>2574</v>
      </c>
      <c r="D6393" s="861"/>
      <c r="I6393" s="845" t="s">
        <v>1008</v>
      </c>
    </row>
    <row r="6394" spans="1:10" x14ac:dyDescent="0.2">
      <c r="A6394" s="859">
        <f t="shared" si="99"/>
        <v>6393</v>
      </c>
      <c r="B6394" s="845" t="s">
        <v>2574</v>
      </c>
      <c r="D6394" s="862"/>
      <c r="J6394" s="845" t="s">
        <v>1983</v>
      </c>
    </row>
    <row r="6395" spans="1:10" x14ac:dyDescent="0.2">
      <c r="A6395" s="859">
        <f t="shared" si="99"/>
        <v>6394</v>
      </c>
      <c r="B6395" s="845" t="s">
        <v>2574</v>
      </c>
      <c r="D6395" s="863"/>
      <c r="I6395" s="845" t="s">
        <v>1009</v>
      </c>
    </row>
    <row r="6396" spans="1:10" x14ac:dyDescent="0.2">
      <c r="A6396" s="859">
        <f t="shared" si="99"/>
        <v>6395</v>
      </c>
      <c r="B6396" s="845" t="s">
        <v>2574</v>
      </c>
      <c r="D6396" s="862"/>
      <c r="I6396" s="845" t="str">
        <f>CONCATENATE("&lt;valeur&gt;",Cellule_1631,"&lt;/valeur&gt;")</f>
        <v>&lt;valeur&gt;0&lt;/valeur&gt;</v>
      </c>
    </row>
    <row r="6397" spans="1:10" x14ac:dyDescent="0.2">
      <c r="A6397" s="859">
        <f t="shared" si="99"/>
        <v>6396</v>
      </c>
      <c r="B6397" s="845" t="s">
        <v>2574</v>
      </c>
      <c r="D6397" s="862"/>
      <c r="H6397" s="845" t="s">
        <v>1010</v>
      </c>
    </row>
    <row r="6398" spans="1:10" x14ac:dyDescent="0.2">
      <c r="A6398" s="859">
        <f t="shared" si="99"/>
        <v>6397</v>
      </c>
      <c r="B6398" s="845" t="s">
        <v>2574</v>
      </c>
      <c r="D6398" s="862"/>
      <c r="H6398" s="845" t="s">
        <v>1007</v>
      </c>
    </row>
    <row r="6399" spans="1:10" x14ac:dyDescent="0.2">
      <c r="A6399" s="859">
        <f t="shared" si="99"/>
        <v>6398</v>
      </c>
      <c r="B6399" s="845" t="s">
        <v>2574</v>
      </c>
      <c r="D6399" s="861"/>
      <c r="I6399" s="845" t="s">
        <v>1008</v>
      </c>
    </row>
    <row r="6400" spans="1:10" x14ac:dyDescent="0.2">
      <c r="A6400" s="859">
        <f t="shared" si="99"/>
        <v>6399</v>
      </c>
      <c r="B6400" s="845" t="s">
        <v>2574</v>
      </c>
      <c r="D6400" s="861"/>
      <c r="J6400" s="845" t="s">
        <v>1984</v>
      </c>
    </row>
    <row r="6401" spans="1:10" x14ac:dyDescent="0.2">
      <c r="A6401" s="859">
        <f t="shared" si="99"/>
        <v>6400</v>
      </c>
      <c r="B6401" s="845" t="s">
        <v>2574</v>
      </c>
      <c r="D6401" s="862"/>
      <c r="I6401" s="845" t="s">
        <v>1009</v>
      </c>
    </row>
    <row r="6402" spans="1:10" x14ac:dyDescent="0.2">
      <c r="A6402" s="859">
        <f t="shared" si="99"/>
        <v>6401</v>
      </c>
      <c r="B6402" s="845" t="s">
        <v>2574</v>
      </c>
      <c r="D6402" s="863"/>
      <c r="I6402" s="845" t="str">
        <f>CONCATENATE("&lt;valeur&gt;",Cellule_1632,"&lt;/valeur&gt;")</f>
        <v>&lt;valeur&gt;0&lt;/valeur&gt;</v>
      </c>
    </row>
    <row r="6403" spans="1:10" x14ac:dyDescent="0.2">
      <c r="A6403" s="859">
        <f t="shared" si="99"/>
        <v>6402</v>
      </c>
      <c r="B6403" s="845" t="s">
        <v>2574</v>
      </c>
      <c r="D6403" s="862"/>
      <c r="H6403" s="845" t="s">
        <v>1010</v>
      </c>
    </row>
    <row r="6404" spans="1:10" x14ac:dyDescent="0.2">
      <c r="A6404" s="859">
        <f t="shared" ref="A6404:A6467" si="100">+A6403+1</f>
        <v>6403</v>
      </c>
      <c r="B6404" s="845" t="s">
        <v>2574</v>
      </c>
      <c r="D6404" s="862"/>
      <c r="H6404" s="845" t="s">
        <v>1007</v>
      </c>
    </row>
    <row r="6405" spans="1:10" x14ac:dyDescent="0.2">
      <c r="A6405" s="859">
        <f t="shared" si="100"/>
        <v>6404</v>
      </c>
      <c r="B6405" s="845" t="s">
        <v>2574</v>
      </c>
      <c r="D6405" s="862"/>
      <c r="I6405" s="845" t="s">
        <v>1008</v>
      </c>
    </row>
    <row r="6406" spans="1:10" x14ac:dyDescent="0.2">
      <c r="A6406" s="859">
        <f t="shared" si="100"/>
        <v>6405</v>
      </c>
      <c r="B6406" s="845" t="s">
        <v>2574</v>
      </c>
      <c r="D6406" s="861"/>
      <c r="J6406" s="845" t="s">
        <v>1985</v>
      </c>
    </row>
    <row r="6407" spans="1:10" x14ac:dyDescent="0.2">
      <c r="A6407" s="859">
        <f t="shared" si="100"/>
        <v>6406</v>
      </c>
      <c r="B6407" s="845" t="s">
        <v>2574</v>
      </c>
      <c r="D6407" s="861"/>
      <c r="I6407" s="845" t="s">
        <v>1009</v>
      </c>
    </row>
    <row r="6408" spans="1:10" x14ac:dyDescent="0.2">
      <c r="A6408" s="859">
        <f t="shared" si="100"/>
        <v>6407</v>
      </c>
      <c r="B6408" s="845" t="s">
        <v>2574</v>
      </c>
      <c r="D6408" s="862"/>
      <c r="I6408" s="845" t="str">
        <f>CONCATENATE("&lt;valeur&gt;",Cellule_1633,"&lt;/valeur&gt;")</f>
        <v>&lt;valeur&gt;0&lt;/valeur&gt;</v>
      </c>
    </row>
    <row r="6409" spans="1:10" x14ac:dyDescent="0.2">
      <c r="A6409" s="859">
        <f t="shared" si="100"/>
        <v>6408</v>
      </c>
      <c r="B6409" s="845" t="s">
        <v>2574</v>
      </c>
      <c r="D6409" s="863"/>
      <c r="H6409" s="845" t="s">
        <v>1010</v>
      </c>
    </row>
    <row r="6410" spans="1:10" x14ac:dyDescent="0.2">
      <c r="A6410" s="859">
        <f t="shared" si="100"/>
        <v>6409</v>
      </c>
      <c r="B6410" s="845" t="s">
        <v>2574</v>
      </c>
      <c r="D6410" s="862"/>
      <c r="H6410" s="845" t="s">
        <v>1007</v>
      </c>
    </row>
    <row r="6411" spans="1:10" x14ac:dyDescent="0.2">
      <c r="A6411" s="859">
        <f t="shared" si="100"/>
        <v>6410</v>
      </c>
      <c r="B6411" s="845" t="s">
        <v>2574</v>
      </c>
      <c r="D6411" s="862"/>
      <c r="I6411" s="845" t="s">
        <v>1008</v>
      </c>
    </row>
    <row r="6412" spans="1:10" x14ac:dyDescent="0.2">
      <c r="A6412" s="859">
        <f t="shared" si="100"/>
        <v>6411</v>
      </c>
      <c r="B6412" s="845" t="s">
        <v>2574</v>
      </c>
      <c r="D6412" s="861"/>
      <c r="J6412" s="845" t="s">
        <v>1986</v>
      </c>
    </row>
    <row r="6413" spans="1:10" x14ac:dyDescent="0.2">
      <c r="A6413" s="859">
        <f t="shared" si="100"/>
        <v>6412</v>
      </c>
      <c r="B6413" s="845" t="s">
        <v>2574</v>
      </c>
      <c r="D6413" s="861"/>
      <c r="I6413" s="845" t="s">
        <v>1009</v>
      </c>
    </row>
    <row r="6414" spans="1:10" x14ac:dyDescent="0.2">
      <c r="A6414" s="859">
        <f t="shared" si="100"/>
        <v>6413</v>
      </c>
      <c r="B6414" s="845" t="s">
        <v>2574</v>
      </c>
      <c r="D6414" s="862"/>
      <c r="I6414" s="845" t="str">
        <f>CONCATENATE("&lt;valeur&gt;",Cellule_1650,"&lt;/valeur&gt;")</f>
        <v>&lt;valeur&gt;0&lt;/valeur&gt;</v>
      </c>
    </row>
    <row r="6415" spans="1:10" x14ac:dyDescent="0.2">
      <c r="A6415" s="859">
        <f t="shared" si="100"/>
        <v>6414</v>
      </c>
      <c r="B6415" s="845" t="s">
        <v>2574</v>
      </c>
      <c r="D6415" s="863"/>
      <c r="H6415" s="845" t="s">
        <v>1010</v>
      </c>
    </row>
    <row r="6416" spans="1:10" x14ac:dyDescent="0.2">
      <c r="A6416" s="859">
        <f t="shared" si="100"/>
        <v>6415</v>
      </c>
      <c r="B6416" s="845" t="s">
        <v>2574</v>
      </c>
      <c r="D6416" s="862"/>
      <c r="H6416" s="845" t="s">
        <v>1007</v>
      </c>
    </row>
    <row r="6417" spans="1:10" x14ac:dyDescent="0.2">
      <c r="A6417" s="859">
        <f t="shared" si="100"/>
        <v>6416</v>
      </c>
      <c r="B6417" s="845" t="s">
        <v>2574</v>
      </c>
      <c r="D6417" s="862"/>
      <c r="I6417" s="845" t="s">
        <v>1008</v>
      </c>
    </row>
    <row r="6418" spans="1:10" x14ac:dyDescent="0.2">
      <c r="A6418" s="859">
        <f t="shared" si="100"/>
        <v>6417</v>
      </c>
      <c r="B6418" s="845" t="s">
        <v>2574</v>
      </c>
      <c r="D6418" s="861"/>
      <c r="J6418" s="845" t="s">
        <v>1987</v>
      </c>
    </row>
    <row r="6419" spans="1:10" x14ac:dyDescent="0.2">
      <c r="A6419" s="859">
        <f t="shared" si="100"/>
        <v>6418</v>
      </c>
      <c r="B6419" s="845" t="s">
        <v>2574</v>
      </c>
      <c r="D6419" s="861"/>
      <c r="I6419" s="845" t="s">
        <v>1009</v>
      </c>
    </row>
    <row r="6420" spans="1:10" x14ac:dyDescent="0.2">
      <c r="A6420" s="859">
        <f t="shared" si="100"/>
        <v>6419</v>
      </c>
      <c r="B6420" s="845" t="s">
        <v>2574</v>
      </c>
      <c r="D6420" s="862"/>
      <c r="I6420" s="845" t="str">
        <f>CONCATENATE("&lt;valeur&gt;",Cellule_1651,"&lt;/valeur&gt;")</f>
        <v>&lt;valeur&gt;0&lt;/valeur&gt;</v>
      </c>
    </row>
    <row r="6421" spans="1:10" x14ac:dyDescent="0.2">
      <c r="A6421" s="859">
        <f t="shared" si="100"/>
        <v>6420</v>
      </c>
      <c r="B6421" s="845" t="s">
        <v>2574</v>
      </c>
      <c r="D6421" s="863"/>
      <c r="H6421" s="845" t="s">
        <v>1010</v>
      </c>
    </row>
    <row r="6422" spans="1:10" x14ac:dyDescent="0.2">
      <c r="A6422" s="859">
        <f t="shared" si="100"/>
        <v>6421</v>
      </c>
      <c r="B6422" s="845" t="s">
        <v>2574</v>
      </c>
      <c r="D6422" s="862"/>
      <c r="H6422" s="845" t="s">
        <v>1007</v>
      </c>
    </row>
    <row r="6423" spans="1:10" x14ac:dyDescent="0.2">
      <c r="A6423" s="859">
        <f t="shared" si="100"/>
        <v>6422</v>
      </c>
      <c r="B6423" s="845" t="s">
        <v>2574</v>
      </c>
      <c r="D6423" s="862"/>
      <c r="I6423" s="845" t="s">
        <v>1008</v>
      </c>
    </row>
    <row r="6424" spans="1:10" x14ac:dyDescent="0.2">
      <c r="A6424" s="859">
        <f t="shared" si="100"/>
        <v>6423</v>
      </c>
      <c r="B6424" s="845" t="s">
        <v>2574</v>
      </c>
      <c r="D6424" s="861"/>
      <c r="J6424" s="845" t="s">
        <v>1988</v>
      </c>
    </row>
    <row r="6425" spans="1:10" x14ac:dyDescent="0.2">
      <c r="A6425" s="859">
        <f t="shared" si="100"/>
        <v>6424</v>
      </c>
      <c r="B6425" s="845" t="s">
        <v>2574</v>
      </c>
      <c r="D6425" s="861"/>
      <c r="I6425" s="845" t="s">
        <v>1009</v>
      </c>
    </row>
    <row r="6426" spans="1:10" x14ac:dyDescent="0.2">
      <c r="A6426" s="859">
        <f t="shared" si="100"/>
        <v>6425</v>
      </c>
      <c r="B6426" s="845" t="s">
        <v>2574</v>
      </c>
      <c r="D6426" s="862"/>
      <c r="I6426" s="845" t="str">
        <f>CONCATENATE("&lt;valeur&gt;",Cellule_1652,"&lt;/valeur&gt;")</f>
        <v>&lt;valeur&gt;0&lt;/valeur&gt;</v>
      </c>
    </row>
    <row r="6427" spans="1:10" x14ac:dyDescent="0.2">
      <c r="A6427" s="859">
        <f t="shared" si="100"/>
        <v>6426</v>
      </c>
      <c r="B6427" s="845" t="s">
        <v>2574</v>
      </c>
      <c r="D6427" s="863"/>
      <c r="H6427" s="845" t="s">
        <v>1010</v>
      </c>
    </row>
    <row r="6428" spans="1:10" x14ac:dyDescent="0.2">
      <c r="A6428" s="859">
        <f t="shared" si="100"/>
        <v>6427</v>
      </c>
      <c r="B6428" s="845" t="s">
        <v>2574</v>
      </c>
      <c r="D6428" s="862"/>
      <c r="H6428" s="845" t="s">
        <v>1007</v>
      </c>
    </row>
    <row r="6429" spans="1:10" x14ac:dyDescent="0.2">
      <c r="A6429" s="859">
        <f t="shared" si="100"/>
        <v>6428</v>
      </c>
      <c r="B6429" s="845" t="s">
        <v>2574</v>
      </c>
      <c r="D6429" s="862"/>
      <c r="I6429" s="845" t="s">
        <v>1008</v>
      </c>
    </row>
    <row r="6430" spans="1:10" x14ac:dyDescent="0.2">
      <c r="A6430" s="859">
        <f t="shared" si="100"/>
        <v>6429</v>
      </c>
      <c r="B6430" s="845" t="s">
        <v>2574</v>
      </c>
      <c r="D6430" s="861"/>
      <c r="J6430" s="845" t="s">
        <v>1989</v>
      </c>
    </row>
    <row r="6431" spans="1:10" x14ac:dyDescent="0.2">
      <c r="A6431" s="859">
        <f t="shared" si="100"/>
        <v>6430</v>
      </c>
      <c r="B6431" s="845" t="s">
        <v>2574</v>
      </c>
      <c r="D6431" s="861"/>
      <c r="I6431" s="845" t="s">
        <v>1009</v>
      </c>
    </row>
    <row r="6432" spans="1:10" x14ac:dyDescent="0.2">
      <c r="A6432" s="859">
        <f t="shared" si="100"/>
        <v>6431</v>
      </c>
      <c r="B6432" s="845" t="s">
        <v>2574</v>
      </c>
      <c r="D6432" s="862"/>
      <c r="I6432" s="845" t="str">
        <f>CONCATENATE("&lt;valeur&gt;",Cellule_1653,"&lt;/valeur&gt;")</f>
        <v>&lt;valeur&gt;0&lt;/valeur&gt;</v>
      </c>
    </row>
    <row r="6433" spans="1:10" x14ac:dyDescent="0.2">
      <c r="A6433" s="859">
        <f t="shared" si="100"/>
        <v>6432</v>
      </c>
      <c r="B6433" s="845" t="s">
        <v>2574</v>
      </c>
      <c r="D6433" s="863"/>
      <c r="H6433" s="845" t="s">
        <v>1010</v>
      </c>
    </row>
    <row r="6434" spans="1:10" x14ac:dyDescent="0.2">
      <c r="A6434" s="859">
        <f t="shared" si="100"/>
        <v>6433</v>
      </c>
      <c r="B6434" s="845" t="s">
        <v>2574</v>
      </c>
      <c r="D6434" s="862"/>
      <c r="H6434" s="845" t="s">
        <v>1007</v>
      </c>
    </row>
    <row r="6435" spans="1:10" x14ac:dyDescent="0.2">
      <c r="A6435" s="859">
        <f t="shared" si="100"/>
        <v>6434</v>
      </c>
      <c r="B6435" s="845" t="s">
        <v>2574</v>
      </c>
      <c r="D6435" s="862"/>
      <c r="I6435" s="845" t="s">
        <v>1008</v>
      </c>
    </row>
    <row r="6436" spans="1:10" x14ac:dyDescent="0.2">
      <c r="A6436" s="859">
        <f t="shared" si="100"/>
        <v>6435</v>
      </c>
      <c r="B6436" s="845" t="s">
        <v>2574</v>
      </c>
      <c r="D6436" s="861"/>
      <c r="J6436" s="845" t="s">
        <v>1990</v>
      </c>
    </row>
    <row r="6437" spans="1:10" x14ac:dyDescent="0.2">
      <c r="A6437" s="859">
        <f t="shared" si="100"/>
        <v>6436</v>
      </c>
      <c r="B6437" s="845" t="s">
        <v>2574</v>
      </c>
      <c r="D6437" s="861"/>
      <c r="I6437" s="845" t="s">
        <v>1009</v>
      </c>
    </row>
    <row r="6438" spans="1:10" x14ac:dyDescent="0.2">
      <c r="A6438" s="859">
        <f t="shared" si="100"/>
        <v>6437</v>
      </c>
      <c r="B6438" s="845" t="s">
        <v>2574</v>
      </c>
      <c r="D6438" s="862"/>
      <c r="I6438" s="845" t="str">
        <f>CONCATENATE("&lt;valeur&gt;",Cellule_1654,"&lt;/valeur&gt;")</f>
        <v>&lt;valeur&gt;0&lt;/valeur&gt;</v>
      </c>
    </row>
    <row r="6439" spans="1:10" x14ac:dyDescent="0.2">
      <c r="A6439" s="859">
        <f t="shared" si="100"/>
        <v>6438</v>
      </c>
      <c r="B6439" s="845" t="s">
        <v>2574</v>
      </c>
      <c r="D6439" s="863"/>
      <c r="H6439" s="845" t="s">
        <v>1010</v>
      </c>
    </row>
    <row r="6440" spans="1:10" x14ac:dyDescent="0.2">
      <c r="A6440" s="859">
        <f t="shared" si="100"/>
        <v>6439</v>
      </c>
      <c r="B6440" s="845" t="s">
        <v>2574</v>
      </c>
      <c r="D6440" s="862"/>
      <c r="H6440" s="845" t="s">
        <v>1007</v>
      </c>
    </row>
    <row r="6441" spans="1:10" x14ac:dyDescent="0.2">
      <c r="A6441" s="859">
        <f t="shared" si="100"/>
        <v>6440</v>
      </c>
      <c r="B6441" s="845" t="s">
        <v>2574</v>
      </c>
      <c r="D6441" s="862"/>
      <c r="I6441" s="845" t="s">
        <v>1008</v>
      </c>
    </row>
    <row r="6442" spans="1:10" x14ac:dyDescent="0.2">
      <c r="A6442" s="859">
        <f t="shared" si="100"/>
        <v>6441</v>
      </c>
      <c r="B6442" s="845" t="s">
        <v>2574</v>
      </c>
      <c r="D6442" s="861"/>
      <c r="J6442" s="845" t="s">
        <v>1991</v>
      </c>
    </row>
    <row r="6443" spans="1:10" x14ac:dyDescent="0.2">
      <c r="A6443" s="859">
        <f t="shared" si="100"/>
        <v>6442</v>
      </c>
      <c r="B6443" s="845" t="s">
        <v>2574</v>
      </c>
      <c r="D6443" s="861"/>
      <c r="I6443" s="845" t="s">
        <v>1009</v>
      </c>
    </row>
    <row r="6444" spans="1:10" x14ac:dyDescent="0.2">
      <c r="A6444" s="859">
        <f t="shared" si="100"/>
        <v>6443</v>
      </c>
      <c r="B6444" s="845" t="s">
        <v>2574</v>
      </c>
      <c r="D6444" s="862"/>
      <c r="I6444" s="845" t="str">
        <f>CONCATENATE("&lt;valeur&gt;",Cellule_1679,"&lt;/valeur&gt;")</f>
        <v>&lt;valeur&gt;0&lt;/valeur&gt;</v>
      </c>
    </row>
    <row r="6445" spans="1:10" x14ac:dyDescent="0.2">
      <c r="A6445" s="859">
        <f t="shared" si="100"/>
        <v>6444</v>
      </c>
      <c r="B6445" s="845" t="s">
        <v>2574</v>
      </c>
      <c r="D6445" s="863"/>
      <c r="H6445" s="845" t="s">
        <v>1010</v>
      </c>
    </row>
    <row r="6446" spans="1:10" x14ac:dyDescent="0.2">
      <c r="A6446" s="859">
        <f t="shared" si="100"/>
        <v>6445</v>
      </c>
      <c r="B6446" s="845" t="s">
        <v>2574</v>
      </c>
      <c r="D6446" s="862"/>
      <c r="H6446" s="845" t="s">
        <v>1007</v>
      </c>
    </row>
    <row r="6447" spans="1:10" x14ac:dyDescent="0.2">
      <c r="A6447" s="859">
        <f t="shared" si="100"/>
        <v>6446</v>
      </c>
      <c r="B6447" s="845" t="s">
        <v>2574</v>
      </c>
      <c r="D6447" s="862"/>
      <c r="I6447" s="845" t="s">
        <v>1008</v>
      </c>
    </row>
    <row r="6448" spans="1:10" x14ac:dyDescent="0.2">
      <c r="A6448" s="859">
        <f t="shared" si="100"/>
        <v>6447</v>
      </c>
      <c r="B6448" s="845" t="s">
        <v>2574</v>
      </c>
      <c r="D6448" s="861"/>
      <c r="J6448" s="845" t="s">
        <v>1992</v>
      </c>
    </row>
    <row r="6449" spans="1:10" x14ac:dyDescent="0.2">
      <c r="A6449" s="859">
        <f t="shared" si="100"/>
        <v>6448</v>
      </c>
      <c r="B6449" s="845" t="s">
        <v>2574</v>
      </c>
      <c r="D6449" s="861"/>
      <c r="I6449" s="845" t="s">
        <v>1009</v>
      </c>
    </row>
    <row r="6450" spans="1:10" x14ac:dyDescent="0.2">
      <c r="A6450" s="859">
        <f t="shared" si="100"/>
        <v>6449</v>
      </c>
      <c r="B6450" s="845" t="s">
        <v>2574</v>
      </c>
      <c r="D6450" s="862"/>
      <c r="I6450" s="845" t="str">
        <f>CONCATENATE("&lt;valeur&gt;",Cellule_1680,"&lt;/valeur&gt;")</f>
        <v>&lt;valeur&gt;0&lt;/valeur&gt;</v>
      </c>
    </row>
    <row r="6451" spans="1:10" x14ac:dyDescent="0.2">
      <c r="A6451" s="859">
        <f t="shared" si="100"/>
        <v>6450</v>
      </c>
      <c r="B6451" s="845" t="s">
        <v>2574</v>
      </c>
      <c r="D6451" s="863"/>
      <c r="H6451" s="845" t="s">
        <v>1010</v>
      </c>
    </row>
    <row r="6452" spans="1:10" x14ac:dyDescent="0.2">
      <c r="A6452" s="859">
        <f t="shared" si="100"/>
        <v>6451</v>
      </c>
      <c r="B6452" s="845" t="s">
        <v>2574</v>
      </c>
      <c r="D6452" s="862"/>
      <c r="H6452" s="845" t="s">
        <v>1007</v>
      </c>
    </row>
    <row r="6453" spans="1:10" x14ac:dyDescent="0.2">
      <c r="A6453" s="859">
        <f t="shared" si="100"/>
        <v>6452</v>
      </c>
      <c r="B6453" s="845" t="s">
        <v>2574</v>
      </c>
      <c r="D6453" s="862"/>
      <c r="I6453" s="845" t="s">
        <v>1008</v>
      </c>
    </row>
    <row r="6454" spans="1:10" x14ac:dyDescent="0.2">
      <c r="A6454" s="859">
        <f t="shared" si="100"/>
        <v>6453</v>
      </c>
      <c r="B6454" s="845" t="s">
        <v>2574</v>
      </c>
      <c r="D6454" s="861"/>
      <c r="J6454" s="845" t="s">
        <v>1993</v>
      </c>
    </row>
    <row r="6455" spans="1:10" x14ac:dyDescent="0.2">
      <c r="A6455" s="859">
        <f t="shared" si="100"/>
        <v>6454</v>
      </c>
      <c r="B6455" s="845" t="s">
        <v>2574</v>
      </c>
      <c r="D6455" s="861"/>
      <c r="I6455" s="845" t="s">
        <v>1009</v>
      </c>
    </row>
    <row r="6456" spans="1:10" x14ac:dyDescent="0.2">
      <c r="A6456" s="859">
        <f t="shared" si="100"/>
        <v>6455</v>
      </c>
      <c r="B6456" s="845" t="s">
        <v>2574</v>
      </c>
      <c r="D6456" s="862"/>
      <c r="I6456" s="845" t="str">
        <f>CONCATENATE("&lt;valeur&gt;",Cellule_1681,"&lt;/valeur&gt;")</f>
        <v>&lt;valeur&gt;0&lt;/valeur&gt;</v>
      </c>
    </row>
    <row r="6457" spans="1:10" x14ac:dyDescent="0.2">
      <c r="A6457" s="859">
        <f t="shared" si="100"/>
        <v>6456</v>
      </c>
      <c r="B6457" s="845" t="s">
        <v>2574</v>
      </c>
      <c r="D6457" s="863"/>
      <c r="H6457" s="845" t="s">
        <v>1010</v>
      </c>
    </row>
    <row r="6458" spans="1:10" x14ac:dyDescent="0.2">
      <c r="A6458" s="859">
        <f t="shared" si="100"/>
        <v>6457</v>
      </c>
      <c r="B6458" s="845" t="s">
        <v>2574</v>
      </c>
      <c r="D6458" s="862"/>
      <c r="H6458" s="845" t="s">
        <v>1007</v>
      </c>
    </row>
    <row r="6459" spans="1:10" x14ac:dyDescent="0.2">
      <c r="A6459" s="859">
        <f t="shared" si="100"/>
        <v>6458</v>
      </c>
      <c r="B6459" s="845" t="s">
        <v>2574</v>
      </c>
      <c r="D6459" s="862"/>
      <c r="I6459" s="845" t="s">
        <v>1008</v>
      </c>
    </row>
    <row r="6460" spans="1:10" x14ac:dyDescent="0.2">
      <c r="A6460" s="859">
        <f t="shared" si="100"/>
        <v>6459</v>
      </c>
      <c r="B6460" s="845" t="s">
        <v>2574</v>
      </c>
      <c r="D6460" s="861"/>
      <c r="J6460" s="845" t="s">
        <v>1994</v>
      </c>
    </row>
    <row r="6461" spans="1:10" x14ac:dyDescent="0.2">
      <c r="A6461" s="859">
        <f t="shared" si="100"/>
        <v>6460</v>
      </c>
      <c r="B6461" s="845" t="s">
        <v>2574</v>
      </c>
      <c r="D6461" s="861"/>
      <c r="I6461" s="845" t="s">
        <v>1009</v>
      </c>
    </row>
    <row r="6462" spans="1:10" x14ac:dyDescent="0.2">
      <c r="A6462" s="859">
        <f t="shared" si="100"/>
        <v>6461</v>
      </c>
      <c r="B6462" s="845" t="s">
        <v>2574</v>
      </c>
      <c r="D6462" s="862"/>
      <c r="I6462" s="845" t="str">
        <f>CONCATENATE("&lt;valeur&gt;",Cellule_1682,"&lt;/valeur&gt;")</f>
        <v>&lt;valeur&gt;0&lt;/valeur&gt;</v>
      </c>
    </row>
    <row r="6463" spans="1:10" x14ac:dyDescent="0.2">
      <c r="A6463" s="859">
        <f t="shared" si="100"/>
        <v>6462</v>
      </c>
      <c r="B6463" s="845" t="s">
        <v>2574</v>
      </c>
      <c r="D6463" s="863"/>
      <c r="H6463" s="845" t="s">
        <v>1010</v>
      </c>
    </row>
    <row r="6464" spans="1:10" x14ac:dyDescent="0.2">
      <c r="A6464" s="859">
        <f t="shared" si="100"/>
        <v>6463</v>
      </c>
      <c r="B6464" s="845" t="s">
        <v>2574</v>
      </c>
      <c r="D6464" s="862"/>
      <c r="H6464" s="845" t="s">
        <v>1007</v>
      </c>
    </row>
    <row r="6465" spans="1:10" x14ac:dyDescent="0.2">
      <c r="A6465" s="859">
        <f t="shared" si="100"/>
        <v>6464</v>
      </c>
      <c r="B6465" s="845" t="s">
        <v>2574</v>
      </c>
      <c r="D6465" s="862"/>
      <c r="I6465" s="845" t="s">
        <v>1008</v>
      </c>
    </row>
    <row r="6466" spans="1:10" x14ac:dyDescent="0.2">
      <c r="A6466" s="859">
        <f t="shared" si="100"/>
        <v>6465</v>
      </c>
      <c r="B6466" s="845" t="s">
        <v>2574</v>
      </c>
      <c r="D6466" s="861"/>
      <c r="J6466" s="845" t="s">
        <v>1995</v>
      </c>
    </row>
    <row r="6467" spans="1:10" x14ac:dyDescent="0.2">
      <c r="A6467" s="859">
        <f t="shared" si="100"/>
        <v>6466</v>
      </c>
      <c r="B6467" s="845" t="s">
        <v>2574</v>
      </c>
      <c r="D6467" s="861"/>
      <c r="I6467" s="845" t="s">
        <v>1009</v>
      </c>
    </row>
    <row r="6468" spans="1:10" x14ac:dyDescent="0.2">
      <c r="A6468" s="859">
        <f t="shared" ref="A6468:A6531" si="101">+A6467+1</f>
        <v>6467</v>
      </c>
      <c r="B6468" s="845" t="s">
        <v>2574</v>
      </c>
      <c r="D6468" s="862"/>
      <c r="I6468" s="845" t="str">
        <f>CONCATENATE("&lt;valeur&gt;",Cellule_1683,"&lt;/valeur&gt;")</f>
        <v>&lt;valeur&gt;0&lt;/valeur&gt;</v>
      </c>
    </row>
    <row r="6469" spans="1:10" x14ac:dyDescent="0.2">
      <c r="A6469" s="859">
        <f t="shared" si="101"/>
        <v>6468</v>
      </c>
      <c r="B6469" s="845" t="s">
        <v>2574</v>
      </c>
      <c r="D6469" s="863"/>
      <c r="H6469" s="845" t="s">
        <v>1010</v>
      </c>
    </row>
    <row r="6470" spans="1:10" x14ac:dyDescent="0.2">
      <c r="A6470" s="859">
        <f t="shared" si="101"/>
        <v>6469</v>
      </c>
      <c r="B6470" s="845" t="s">
        <v>2574</v>
      </c>
      <c r="D6470" s="862"/>
      <c r="H6470" s="845" t="s">
        <v>1007</v>
      </c>
    </row>
    <row r="6471" spans="1:10" x14ac:dyDescent="0.2">
      <c r="A6471" s="859">
        <f t="shared" si="101"/>
        <v>6470</v>
      </c>
      <c r="B6471" s="845" t="s">
        <v>2574</v>
      </c>
      <c r="D6471" s="862"/>
      <c r="I6471" s="845" t="s">
        <v>1008</v>
      </c>
    </row>
    <row r="6472" spans="1:10" x14ac:dyDescent="0.2">
      <c r="A6472" s="859">
        <f t="shared" si="101"/>
        <v>6471</v>
      </c>
      <c r="B6472" s="845" t="s">
        <v>2574</v>
      </c>
      <c r="D6472" s="861"/>
      <c r="J6472" s="845" t="s">
        <v>1996</v>
      </c>
    </row>
    <row r="6473" spans="1:10" x14ac:dyDescent="0.2">
      <c r="A6473" s="859">
        <f t="shared" si="101"/>
        <v>6472</v>
      </c>
      <c r="B6473" s="845" t="s">
        <v>2574</v>
      </c>
      <c r="D6473" s="861"/>
      <c r="I6473" s="845" t="s">
        <v>1009</v>
      </c>
    </row>
    <row r="6474" spans="1:10" x14ac:dyDescent="0.2">
      <c r="A6474" s="859">
        <f t="shared" si="101"/>
        <v>6473</v>
      </c>
      <c r="B6474" s="845" t="s">
        <v>2574</v>
      </c>
      <c r="D6474" s="862"/>
      <c r="I6474" s="845" t="str">
        <f>CONCATENATE("&lt;valeur&gt;",Cellule_1700,"&lt;/valeur&gt;")</f>
        <v>&lt;valeur&gt;0&lt;/valeur&gt;</v>
      </c>
    </row>
    <row r="6475" spans="1:10" x14ac:dyDescent="0.2">
      <c r="A6475" s="859">
        <f t="shared" si="101"/>
        <v>6474</v>
      </c>
      <c r="B6475" s="845" t="s">
        <v>2574</v>
      </c>
      <c r="D6475" s="863"/>
      <c r="H6475" s="845" t="s">
        <v>1010</v>
      </c>
    </row>
    <row r="6476" spans="1:10" x14ac:dyDescent="0.2">
      <c r="A6476" s="859">
        <f t="shared" si="101"/>
        <v>6475</v>
      </c>
      <c r="B6476" s="845" t="s">
        <v>2574</v>
      </c>
      <c r="D6476" s="862"/>
      <c r="H6476" s="845" t="s">
        <v>1007</v>
      </c>
    </row>
    <row r="6477" spans="1:10" x14ac:dyDescent="0.2">
      <c r="A6477" s="859">
        <f t="shared" si="101"/>
        <v>6476</v>
      </c>
      <c r="B6477" s="845" t="s">
        <v>2574</v>
      </c>
      <c r="D6477" s="862"/>
      <c r="I6477" s="845" t="s">
        <v>1008</v>
      </c>
    </row>
    <row r="6478" spans="1:10" x14ac:dyDescent="0.2">
      <c r="A6478" s="859">
        <f t="shared" si="101"/>
        <v>6477</v>
      </c>
      <c r="B6478" s="845" t="s">
        <v>2574</v>
      </c>
      <c r="D6478" s="861"/>
      <c r="J6478" s="845" t="s">
        <v>1997</v>
      </c>
    </row>
    <row r="6479" spans="1:10" x14ac:dyDescent="0.2">
      <c r="A6479" s="859">
        <f t="shared" si="101"/>
        <v>6478</v>
      </c>
      <c r="B6479" s="845" t="s">
        <v>2574</v>
      </c>
      <c r="D6479" s="861"/>
      <c r="I6479" s="845" t="s">
        <v>1009</v>
      </c>
    </row>
    <row r="6480" spans="1:10" x14ac:dyDescent="0.2">
      <c r="A6480" s="859">
        <f t="shared" si="101"/>
        <v>6479</v>
      </c>
      <c r="B6480" s="845" t="s">
        <v>2574</v>
      </c>
      <c r="D6480" s="862"/>
      <c r="I6480" s="845" t="str">
        <f>CONCATENATE("&lt;valeur&gt;",Cellule_1701,"&lt;/valeur&gt;")</f>
        <v>&lt;valeur&gt;0&lt;/valeur&gt;</v>
      </c>
    </row>
    <row r="6481" spans="1:10" x14ac:dyDescent="0.2">
      <c r="A6481" s="859">
        <f t="shared" si="101"/>
        <v>6480</v>
      </c>
      <c r="B6481" s="845" t="s">
        <v>2574</v>
      </c>
      <c r="D6481" s="863"/>
      <c r="H6481" s="845" t="s">
        <v>1010</v>
      </c>
    </row>
    <row r="6482" spans="1:10" x14ac:dyDescent="0.2">
      <c r="A6482" s="859">
        <f t="shared" si="101"/>
        <v>6481</v>
      </c>
      <c r="B6482" s="845" t="s">
        <v>2574</v>
      </c>
      <c r="D6482" s="862"/>
      <c r="H6482" s="845" t="s">
        <v>1007</v>
      </c>
    </row>
    <row r="6483" spans="1:10" x14ac:dyDescent="0.2">
      <c r="A6483" s="859">
        <f t="shared" si="101"/>
        <v>6482</v>
      </c>
      <c r="B6483" s="845" t="s">
        <v>2574</v>
      </c>
      <c r="D6483" s="862"/>
      <c r="I6483" s="845" t="s">
        <v>1008</v>
      </c>
    </row>
    <row r="6484" spans="1:10" x14ac:dyDescent="0.2">
      <c r="A6484" s="859">
        <f t="shared" si="101"/>
        <v>6483</v>
      </c>
      <c r="B6484" s="845" t="s">
        <v>2574</v>
      </c>
      <c r="D6484" s="861"/>
      <c r="J6484" s="845" t="s">
        <v>1998</v>
      </c>
    </row>
    <row r="6485" spans="1:10" x14ac:dyDescent="0.2">
      <c r="A6485" s="859">
        <f t="shared" si="101"/>
        <v>6484</v>
      </c>
      <c r="B6485" s="845" t="s">
        <v>2574</v>
      </c>
      <c r="D6485" s="861"/>
      <c r="I6485" s="845" t="s">
        <v>1009</v>
      </c>
    </row>
    <row r="6486" spans="1:10" x14ac:dyDescent="0.2">
      <c r="A6486" s="859">
        <f t="shared" si="101"/>
        <v>6485</v>
      </c>
      <c r="B6486" s="845" t="s">
        <v>2574</v>
      </c>
      <c r="D6486" s="862"/>
      <c r="I6486" s="845" t="str">
        <f>CONCATENATE("&lt;valeur&gt;",Cellule_1702,"&lt;/valeur&gt;")</f>
        <v>&lt;valeur&gt;0&lt;/valeur&gt;</v>
      </c>
    </row>
    <row r="6487" spans="1:10" x14ac:dyDescent="0.2">
      <c r="A6487" s="859">
        <f t="shared" si="101"/>
        <v>6486</v>
      </c>
      <c r="B6487" s="845" t="s">
        <v>2574</v>
      </c>
      <c r="D6487" s="863"/>
      <c r="H6487" s="845" t="s">
        <v>1010</v>
      </c>
    </row>
    <row r="6488" spans="1:10" x14ac:dyDescent="0.2">
      <c r="A6488" s="859">
        <f t="shared" si="101"/>
        <v>6487</v>
      </c>
      <c r="B6488" s="845" t="s">
        <v>2574</v>
      </c>
      <c r="D6488" s="862"/>
      <c r="H6488" s="845" t="s">
        <v>1007</v>
      </c>
    </row>
    <row r="6489" spans="1:10" x14ac:dyDescent="0.2">
      <c r="A6489" s="859">
        <f t="shared" si="101"/>
        <v>6488</v>
      </c>
      <c r="B6489" s="845" t="s">
        <v>2574</v>
      </c>
      <c r="D6489" s="862"/>
      <c r="I6489" s="845" t="s">
        <v>1008</v>
      </c>
    </row>
    <row r="6490" spans="1:10" x14ac:dyDescent="0.2">
      <c r="A6490" s="859">
        <f t="shared" si="101"/>
        <v>6489</v>
      </c>
      <c r="B6490" s="845" t="s">
        <v>2574</v>
      </c>
      <c r="D6490" s="861"/>
      <c r="J6490" s="845" t="s">
        <v>1999</v>
      </c>
    </row>
    <row r="6491" spans="1:10" x14ac:dyDescent="0.2">
      <c r="A6491" s="859">
        <f t="shared" si="101"/>
        <v>6490</v>
      </c>
      <c r="B6491" s="845" t="s">
        <v>2574</v>
      </c>
      <c r="D6491" s="861"/>
      <c r="I6491" s="845" t="s">
        <v>1009</v>
      </c>
    </row>
    <row r="6492" spans="1:10" x14ac:dyDescent="0.2">
      <c r="A6492" s="859">
        <f t="shared" si="101"/>
        <v>6491</v>
      </c>
      <c r="B6492" s="845" t="s">
        <v>2574</v>
      </c>
      <c r="D6492" s="862"/>
      <c r="I6492" s="845" t="str">
        <f>CONCATENATE("&lt;valeur&gt;",Cellule_1703,"&lt;/valeur&gt;")</f>
        <v>&lt;valeur&gt;0&lt;/valeur&gt;</v>
      </c>
    </row>
    <row r="6493" spans="1:10" x14ac:dyDescent="0.2">
      <c r="A6493" s="859">
        <f t="shared" si="101"/>
        <v>6492</v>
      </c>
      <c r="B6493" s="845" t="s">
        <v>2574</v>
      </c>
      <c r="D6493" s="863"/>
      <c r="H6493" s="845" t="s">
        <v>1010</v>
      </c>
    </row>
    <row r="6494" spans="1:10" x14ac:dyDescent="0.2">
      <c r="A6494" s="859">
        <f t="shared" si="101"/>
        <v>6493</v>
      </c>
      <c r="B6494" s="845" t="s">
        <v>2574</v>
      </c>
      <c r="D6494" s="862"/>
      <c r="H6494" s="845" t="s">
        <v>1007</v>
      </c>
    </row>
    <row r="6495" spans="1:10" x14ac:dyDescent="0.2">
      <c r="A6495" s="859">
        <f t="shared" si="101"/>
        <v>6494</v>
      </c>
      <c r="B6495" s="845" t="s">
        <v>2574</v>
      </c>
      <c r="D6495" s="862"/>
      <c r="I6495" s="845" t="s">
        <v>1008</v>
      </c>
    </row>
    <row r="6496" spans="1:10" x14ac:dyDescent="0.2">
      <c r="A6496" s="859">
        <f t="shared" si="101"/>
        <v>6495</v>
      </c>
      <c r="B6496" s="845" t="s">
        <v>2574</v>
      </c>
      <c r="D6496" s="861"/>
      <c r="J6496" s="845" t="s">
        <v>2000</v>
      </c>
    </row>
    <row r="6497" spans="1:10" x14ac:dyDescent="0.2">
      <c r="A6497" s="859">
        <f t="shared" si="101"/>
        <v>6496</v>
      </c>
      <c r="B6497" s="845" t="s">
        <v>2574</v>
      </c>
      <c r="D6497" s="861"/>
      <c r="I6497" s="845" t="s">
        <v>1009</v>
      </c>
    </row>
    <row r="6498" spans="1:10" x14ac:dyDescent="0.2">
      <c r="A6498" s="859">
        <f t="shared" si="101"/>
        <v>6497</v>
      </c>
      <c r="B6498" s="845" t="s">
        <v>2574</v>
      </c>
      <c r="D6498" s="862"/>
      <c r="I6498" s="845" t="str">
        <f>CONCATENATE("&lt;valeur&gt;",Cellule_1704,"&lt;/valeur&gt;")</f>
        <v>&lt;valeur&gt;0&lt;/valeur&gt;</v>
      </c>
    </row>
    <row r="6499" spans="1:10" x14ac:dyDescent="0.2">
      <c r="A6499" s="859">
        <f t="shared" si="101"/>
        <v>6498</v>
      </c>
      <c r="B6499" s="845" t="s">
        <v>2574</v>
      </c>
      <c r="D6499" s="863"/>
      <c r="H6499" s="845" t="s">
        <v>1010</v>
      </c>
    </row>
    <row r="6500" spans="1:10" x14ac:dyDescent="0.2">
      <c r="A6500" s="859">
        <f t="shared" si="101"/>
        <v>6499</v>
      </c>
      <c r="B6500" s="845" t="s">
        <v>2574</v>
      </c>
      <c r="D6500" s="862"/>
      <c r="H6500" s="845" t="s">
        <v>1007</v>
      </c>
    </row>
    <row r="6501" spans="1:10" x14ac:dyDescent="0.2">
      <c r="A6501" s="859">
        <f t="shared" si="101"/>
        <v>6500</v>
      </c>
      <c r="B6501" s="845" t="s">
        <v>2574</v>
      </c>
      <c r="D6501" s="862"/>
      <c r="I6501" s="845" t="s">
        <v>1008</v>
      </c>
    </row>
    <row r="6502" spans="1:10" x14ac:dyDescent="0.2">
      <c r="A6502" s="859">
        <f t="shared" si="101"/>
        <v>6501</v>
      </c>
      <c r="B6502" s="845" t="s">
        <v>2574</v>
      </c>
      <c r="D6502" s="861"/>
      <c r="J6502" s="845" t="s">
        <v>2001</v>
      </c>
    </row>
    <row r="6503" spans="1:10" x14ac:dyDescent="0.2">
      <c r="A6503" s="859">
        <f t="shared" si="101"/>
        <v>6502</v>
      </c>
      <c r="B6503" s="845" t="s">
        <v>2574</v>
      </c>
      <c r="D6503" s="861"/>
      <c r="I6503" s="845" t="s">
        <v>1009</v>
      </c>
    </row>
    <row r="6504" spans="1:10" x14ac:dyDescent="0.2">
      <c r="A6504" s="859">
        <f t="shared" si="101"/>
        <v>6503</v>
      </c>
      <c r="B6504" s="845" t="s">
        <v>2574</v>
      </c>
      <c r="D6504" s="862"/>
      <c r="I6504" s="845" t="str">
        <f>CONCATENATE("&lt;valeur&gt;",Cellule_1705,"&lt;/valeur&gt;")</f>
        <v>&lt;valeur&gt;0&lt;/valeur&gt;</v>
      </c>
    </row>
    <row r="6505" spans="1:10" x14ac:dyDescent="0.2">
      <c r="A6505" s="859">
        <f t="shared" si="101"/>
        <v>6504</v>
      </c>
      <c r="B6505" s="845" t="s">
        <v>2574</v>
      </c>
      <c r="D6505" s="863"/>
      <c r="H6505" s="845" t="s">
        <v>1010</v>
      </c>
    </row>
    <row r="6506" spans="1:10" x14ac:dyDescent="0.2">
      <c r="A6506" s="859">
        <f t="shared" si="101"/>
        <v>6505</v>
      </c>
      <c r="B6506" s="845" t="s">
        <v>2574</v>
      </c>
      <c r="D6506" s="862"/>
      <c r="H6506" s="845" t="s">
        <v>1007</v>
      </c>
    </row>
    <row r="6507" spans="1:10" x14ac:dyDescent="0.2">
      <c r="A6507" s="859">
        <f t="shared" si="101"/>
        <v>6506</v>
      </c>
      <c r="B6507" s="845" t="s">
        <v>2574</v>
      </c>
      <c r="D6507" s="862"/>
      <c r="I6507" s="845" t="s">
        <v>1008</v>
      </c>
    </row>
    <row r="6508" spans="1:10" x14ac:dyDescent="0.2">
      <c r="A6508" s="859">
        <f t="shared" si="101"/>
        <v>6507</v>
      </c>
      <c r="B6508" s="845" t="s">
        <v>2574</v>
      </c>
      <c r="D6508" s="861"/>
      <c r="J6508" s="845" t="s">
        <v>2002</v>
      </c>
    </row>
    <row r="6509" spans="1:10" x14ac:dyDescent="0.2">
      <c r="A6509" s="859">
        <f t="shared" si="101"/>
        <v>6508</v>
      </c>
      <c r="B6509" s="845" t="s">
        <v>2574</v>
      </c>
      <c r="D6509" s="861"/>
      <c r="I6509" s="845" t="s">
        <v>1009</v>
      </c>
    </row>
    <row r="6510" spans="1:10" x14ac:dyDescent="0.2">
      <c r="A6510" s="859">
        <f t="shared" si="101"/>
        <v>6509</v>
      </c>
      <c r="B6510" s="845" t="s">
        <v>2574</v>
      </c>
      <c r="D6510" s="862"/>
      <c r="I6510" s="845" t="str">
        <f>CONCATENATE("&lt;valeur&gt;",Cellule_1706,"&lt;/valeur&gt;")</f>
        <v>&lt;valeur&gt;0&lt;/valeur&gt;</v>
      </c>
    </row>
    <row r="6511" spans="1:10" x14ac:dyDescent="0.2">
      <c r="A6511" s="859">
        <f t="shared" si="101"/>
        <v>6510</v>
      </c>
      <c r="B6511" s="845" t="s">
        <v>2574</v>
      </c>
      <c r="D6511" s="863"/>
      <c r="H6511" s="845" t="s">
        <v>1010</v>
      </c>
    </row>
    <row r="6512" spans="1:10" x14ac:dyDescent="0.2">
      <c r="A6512" s="859">
        <f t="shared" si="101"/>
        <v>6511</v>
      </c>
      <c r="B6512" s="845" t="s">
        <v>2574</v>
      </c>
      <c r="D6512" s="862"/>
      <c r="H6512" s="845" t="s">
        <v>1007</v>
      </c>
    </row>
    <row r="6513" spans="1:10" x14ac:dyDescent="0.2">
      <c r="A6513" s="859">
        <f t="shared" si="101"/>
        <v>6512</v>
      </c>
      <c r="B6513" s="845" t="s">
        <v>2574</v>
      </c>
      <c r="D6513" s="862"/>
      <c r="I6513" s="845" t="s">
        <v>1008</v>
      </c>
    </row>
    <row r="6514" spans="1:10" x14ac:dyDescent="0.2">
      <c r="A6514" s="859">
        <f t="shared" si="101"/>
        <v>6513</v>
      </c>
      <c r="B6514" s="845" t="s">
        <v>2574</v>
      </c>
      <c r="D6514" s="861"/>
      <c r="J6514" s="845" t="s">
        <v>2003</v>
      </c>
    </row>
    <row r="6515" spans="1:10" x14ac:dyDescent="0.2">
      <c r="A6515" s="859">
        <f t="shared" si="101"/>
        <v>6514</v>
      </c>
      <c r="B6515" s="845" t="s">
        <v>2574</v>
      </c>
      <c r="D6515" s="861"/>
      <c r="I6515" s="845" t="s">
        <v>1009</v>
      </c>
    </row>
    <row r="6516" spans="1:10" x14ac:dyDescent="0.2">
      <c r="A6516" s="859">
        <f t="shared" si="101"/>
        <v>6515</v>
      </c>
      <c r="B6516" s="845" t="s">
        <v>2574</v>
      </c>
      <c r="D6516" s="862"/>
      <c r="I6516" s="845" t="str">
        <f>CONCATENATE("&lt;valeur&gt;",Cellule_1707,"&lt;/valeur&gt;")</f>
        <v>&lt;valeur&gt;0&lt;/valeur&gt;</v>
      </c>
    </row>
    <row r="6517" spans="1:10" x14ac:dyDescent="0.2">
      <c r="A6517" s="859">
        <f t="shared" si="101"/>
        <v>6516</v>
      </c>
      <c r="B6517" s="845" t="s">
        <v>2574</v>
      </c>
      <c r="D6517" s="863"/>
      <c r="H6517" s="845" t="s">
        <v>1010</v>
      </c>
    </row>
    <row r="6518" spans="1:10" x14ac:dyDescent="0.2">
      <c r="A6518" s="859">
        <f t="shared" si="101"/>
        <v>6517</v>
      </c>
      <c r="B6518" s="845" t="s">
        <v>2574</v>
      </c>
      <c r="D6518" s="862"/>
      <c r="H6518" s="845" t="s">
        <v>1007</v>
      </c>
    </row>
    <row r="6519" spans="1:10" x14ac:dyDescent="0.2">
      <c r="A6519" s="859">
        <f t="shared" si="101"/>
        <v>6518</v>
      </c>
      <c r="B6519" s="845" t="s">
        <v>2574</v>
      </c>
      <c r="D6519" s="862"/>
      <c r="I6519" s="845" t="s">
        <v>1008</v>
      </c>
    </row>
    <row r="6520" spans="1:10" x14ac:dyDescent="0.2">
      <c r="A6520" s="859">
        <f t="shared" si="101"/>
        <v>6519</v>
      </c>
      <c r="B6520" s="845" t="s">
        <v>2574</v>
      </c>
      <c r="D6520" s="861"/>
      <c r="J6520" s="845" t="s">
        <v>2004</v>
      </c>
    </row>
    <row r="6521" spans="1:10" x14ac:dyDescent="0.2">
      <c r="A6521" s="859">
        <f t="shared" si="101"/>
        <v>6520</v>
      </c>
      <c r="B6521" s="845" t="s">
        <v>2574</v>
      </c>
      <c r="D6521" s="861"/>
      <c r="I6521" s="845" t="s">
        <v>1009</v>
      </c>
    </row>
    <row r="6522" spans="1:10" x14ac:dyDescent="0.2">
      <c r="A6522" s="859">
        <f t="shared" si="101"/>
        <v>6521</v>
      </c>
      <c r="B6522" s="845" t="s">
        <v>2574</v>
      </c>
      <c r="D6522" s="862"/>
      <c r="I6522" s="845" t="str">
        <f>CONCATENATE("&lt;valeur&gt;",Cellule_1708,"&lt;/valeur&gt;")</f>
        <v>&lt;valeur&gt;0&lt;/valeur&gt;</v>
      </c>
    </row>
    <row r="6523" spans="1:10" x14ac:dyDescent="0.2">
      <c r="A6523" s="859">
        <f t="shared" si="101"/>
        <v>6522</v>
      </c>
      <c r="B6523" s="845" t="s">
        <v>2574</v>
      </c>
      <c r="D6523" s="863"/>
      <c r="H6523" s="845" t="s">
        <v>1010</v>
      </c>
    </row>
    <row r="6524" spans="1:10" x14ac:dyDescent="0.2">
      <c r="A6524" s="859">
        <f t="shared" si="101"/>
        <v>6523</v>
      </c>
      <c r="B6524" s="845" t="s">
        <v>2574</v>
      </c>
      <c r="D6524" s="862"/>
      <c r="H6524" s="845" t="s">
        <v>1007</v>
      </c>
    </row>
    <row r="6525" spans="1:10" x14ac:dyDescent="0.2">
      <c r="A6525" s="859">
        <f t="shared" si="101"/>
        <v>6524</v>
      </c>
      <c r="B6525" s="845" t="s">
        <v>2574</v>
      </c>
      <c r="D6525" s="862"/>
      <c r="I6525" s="845" t="s">
        <v>1008</v>
      </c>
    </row>
    <row r="6526" spans="1:10" x14ac:dyDescent="0.2">
      <c r="A6526" s="859">
        <f t="shared" si="101"/>
        <v>6525</v>
      </c>
      <c r="B6526" s="845" t="s">
        <v>2574</v>
      </c>
      <c r="D6526" s="861"/>
      <c r="J6526" s="845" t="s">
        <v>2005</v>
      </c>
    </row>
    <row r="6527" spans="1:10" x14ac:dyDescent="0.2">
      <c r="A6527" s="859">
        <f t="shared" si="101"/>
        <v>6526</v>
      </c>
      <c r="B6527" s="845" t="s">
        <v>2574</v>
      </c>
      <c r="D6527" s="861"/>
      <c r="I6527" s="845" t="s">
        <v>1009</v>
      </c>
    </row>
    <row r="6528" spans="1:10" x14ac:dyDescent="0.2">
      <c r="A6528" s="859">
        <f t="shared" si="101"/>
        <v>6527</v>
      </c>
      <c r="B6528" s="845" t="s">
        <v>2574</v>
      </c>
      <c r="D6528" s="862"/>
      <c r="I6528" s="845" t="str">
        <f>CONCATENATE("&lt;valeur&gt;",Cellule_1709,"&lt;/valeur&gt;")</f>
        <v>&lt;valeur&gt;0&lt;/valeur&gt;</v>
      </c>
    </row>
    <row r="6529" spans="1:10" x14ac:dyDescent="0.2">
      <c r="A6529" s="859">
        <f t="shared" si="101"/>
        <v>6528</v>
      </c>
      <c r="B6529" s="845" t="s">
        <v>2574</v>
      </c>
      <c r="D6529" s="863"/>
      <c r="H6529" s="845" t="s">
        <v>1010</v>
      </c>
    </row>
    <row r="6530" spans="1:10" x14ac:dyDescent="0.2">
      <c r="A6530" s="859">
        <f t="shared" si="101"/>
        <v>6529</v>
      </c>
      <c r="B6530" s="845" t="s">
        <v>2574</v>
      </c>
      <c r="D6530" s="862"/>
      <c r="H6530" s="845" t="s">
        <v>1007</v>
      </c>
    </row>
    <row r="6531" spans="1:10" x14ac:dyDescent="0.2">
      <c r="A6531" s="859">
        <f t="shared" si="101"/>
        <v>6530</v>
      </c>
      <c r="B6531" s="845" t="s">
        <v>2574</v>
      </c>
      <c r="D6531" s="862"/>
      <c r="I6531" s="845" t="s">
        <v>1008</v>
      </c>
    </row>
    <row r="6532" spans="1:10" x14ac:dyDescent="0.2">
      <c r="A6532" s="859">
        <f t="shared" ref="A6532:A6595" si="102">+A6531+1</f>
        <v>6531</v>
      </c>
      <c r="B6532" s="845" t="s">
        <v>2574</v>
      </c>
      <c r="D6532" s="861"/>
      <c r="J6532" s="845" t="s">
        <v>2006</v>
      </c>
    </row>
    <row r="6533" spans="1:10" x14ac:dyDescent="0.2">
      <c r="A6533" s="859">
        <f t="shared" si="102"/>
        <v>6532</v>
      </c>
      <c r="B6533" s="845" t="s">
        <v>2574</v>
      </c>
      <c r="D6533" s="861"/>
      <c r="I6533" s="845" t="s">
        <v>1009</v>
      </c>
    </row>
    <row r="6534" spans="1:10" x14ac:dyDescent="0.2">
      <c r="A6534" s="859">
        <f t="shared" si="102"/>
        <v>6533</v>
      </c>
      <c r="B6534" s="845" t="s">
        <v>2574</v>
      </c>
      <c r="D6534" s="862"/>
      <c r="I6534" s="845" t="str">
        <f>CONCATENATE("&lt;valeur&gt;",Cellule_1710,"&lt;/valeur&gt;")</f>
        <v>&lt;valeur&gt;0&lt;/valeur&gt;</v>
      </c>
    </row>
    <row r="6535" spans="1:10" x14ac:dyDescent="0.2">
      <c r="A6535" s="859">
        <f t="shared" si="102"/>
        <v>6534</v>
      </c>
      <c r="B6535" s="845" t="s">
        <v>2574</v>
      </c>
      <c r="D6535" s="863"/>
      <c r="H6535" s="845" t="s">
        <v>1010</v>
      </c>
    </row>
    <row r="6536" spans="1:10" x14ac:dyDescent="0.2">
      <c r="A6536" s="859">
        <f t="shared" si="102"/>
        <v>6535</v>
      </c>
      <c r="B6536" s="845" t="s">
        <v>2574</v>
      </c>
      <c r="D6536" s="862"/>
      <c r="H6536" s="845" t="s">
        <v>1007</v>
      </c>
    </row>
    <row r="6537" spans="1:10" x14ac:dyDescent="0.2">
      <c r="A6537" s="859">
        <f t="shared" si="102"/>
        <v>6536</v>
      </c>
      <c r="B6537" s="845" t="s">
        <v>2574</v>
      </c>
      <c r="D6537" s="862"/>
      <c r="I6537" s="845" t="s">
        <v>1008</v>
      </c>
    </row>
    <row r="6538" spans="1:10" x14ac:dyDescent="0.2">
      <c r="A6538" s="859">
        <f t="shared" si="102"/>
        <v>6537</v>
      </c>
      <c r="B6538" s="845" t="s">
        <v>2574</v>
      </c>
      <c r="D6538" s="861"/>
      <c r="J6538" s="845" t="s">
        <v>2007</v>
      </c>
    </row>
    <row r="6539" spans="1:10" x14ac:dyDescent="0.2">
      <c r="A6539" s="859">
        <f t="shared" si="102"/>
        <v>6538</v>
      </c>
      <c r="B6539" s="845" t="s">
        <v>2574</v>
      </c>
      <c r="D6539" s="861"/>
      <c r="I6539" s="845" t="s">
        <v>1009</v>
      </c>
    </row>
    <row r="6540" spans="1:10" x14ac:dyDescent="0.2">
      <c r="A6540" s="859">
        <f t="shared" si="102"/>
        <v>6539</v>
      </c>
      <c r="B6540" s="845" t="s">
        <v>2574</v>
      </c>
      <c r="D6540" s="862"/>
      <c r="I6540" s="845" t="str">
        <f>CONCATENATE("&lt;valeur&gt;",Cellule_1711,"&lt;/valeur&gt;")</f>
        <v>&lt;valeur&gt;0&lt;/valeur&gt;</v>
      </c>
    </row>
    <row r="6541" spans="1:10" x14ac:dyDescent="0.2">
      <c r="A6541" s="859">
        <f t="shared" si="102"/>
        <v>6540</v>
      </c>
      <c r="B6541" s="845" t="s">
        <v>2574</v>
      </c>
      <c r="D6541" s="863"/>
      <c r="H6541" s="845" t="s">
        <v>1010</v>
      </c>
    </row>
    <row r="6542" spans="1:10" x14ac:dyDescent="0.2">
      <c r="A6542" s="859">
        <f t="shared" si="102"/>
        <v>6541</v>
      </c>
      <c r="B6542" s="845" t="s">
        <v>2574</v>
      </c>
      <c r="D6542" s="862"/>
      <c r="H6542" s="845" t="s">
        <v>1007</v>
      </c>
    </row>
    <row r="6543" spans="1:10" x14ac:dyDescent="0.2">
      <c r="A6543" s="859">
        <f t="shared" si="102"/>
        <v>6542</v>
      </c>
      <c r="B6543" s="845" t="s">
        <v>2574</v>
      </c>
      <c r="D6543" s="862"/>
      <c r="I6543" s="845" t="s">
        <v>1008</v>
      </c>
    </row>
    <row r="6544" spans="1:10" x14ac:dyDescent="0.2">
      <c r="A6544" s="859">
        <f t="shared" si="102"/>
        <v>6543</v>
      </c>
      <c r="B6544" s="845" t="s">
        <v>2574</v>
      </c>
      <c r="D6544" s="861"/>
      <c r="J6544" s="845" t="s">
        <v>2008</v>
      </c>
    </row>
    <row r="6545" spans="1:10" x14ac:dyDescent="0.2">
      <c r="A6545" s="859">
        <f t="shared" si="102"/>
        <v>6544</v>
      </c>
      <c r="B6545" s="845" t="s">
        <v>2574</v>
      </c>
      <c r="D6545" s="861"/>
      <c r="I6545" s="845" t="s">
        <v>1009</v>
      </c>
    </row>
    <row r="6546" spans="1:10" x14ac:dyDescent="0.2">
      <c r="A6546" s="859">
        <f t="shared" si="102"/>
        <v>6545</v>
      </c>
      <c r="B6546" s="845" t="s">
        <v>2574</v>
      </c>
      <c r="D6546" s="862"/>
      <c r="I6546" s="845" t="str">
        <f>CONCATENATE("&lt;valeur&gt;",Cellule_1712,"&lt;/valeur&gt;")</f>
        <v>&lt;valeur&gt;0&lt;/valeur&gt;</v>
      </c>
    </row>
    <row r="6547" spans="1:10" x14ac:dyDescent="0.2">
      <c r="A6547" s="859">
        <f t="shared" si="102"/>
        <v>6546</v>
      </c>
      <c r="B6547" s="845" t="s">
        <v>2574</v>
      </c>
      <c r="D6547" s="863"/>
      <c r="H6547" s="845" t="s">
        <v>1010</v>
      </c>
    </row>
    <row r="6548" spans="1:10" x14ac:dyDescent="0.2">
      <c r="A6548" s="859">
        <f t="shared" si="102"/>
        <v>6547</v>
      </c>
      <c r="B6548" s="845" t="s">
        <v>2574</v>
      </c>
      <c r="D6548" s="862"/>
      <c r="H6548" s="845" t="s">
        <v>1007</v>
      </c>
    </row>
    <row r="6549" spans="1:10" x14ac:dyDescent="0.2">
      <c r="A6549" s="859">
        <f t="shared" si="102"/>
        <v>6548</v>
      </c>
      <c r="B6549" s="845" t="s">
        <v>2574</v>
      </c>
      <c r="D6549" s="862"/>
      <c r="I6549" s="845" t="s">
        <v>1008</v>
      </c>
    </row>
    <row r="6550" spans="1:10" x14ac:dyDescent="0.2">
      <c r="A6550" s="859">
        <f t="shared" si="102"/>
        <v>6549</v>
      </c>
      <c r="B6550" s="845" t="s">
        <v>2574</v>
      </c>
      <c r="D6550" s="861"/>
      <c r="J6550" s="845" t="s">
        <v>2009</v>
      </c>
    </row>
    <row r="6551" spans="1:10" x14ac:dyDescent="0.2">
      <c r="A6551" s="859">
        <f t="shared" si="102"/>
        <v>6550</v>
      </c>
      <c r="B6551" s="845" t="s">
        <v>2574</v>
      </c>
      <c r="D6551" s="861"/>
      <c r="I6551" s="845" t="s">
        <v>1009</v>
      </c>
    </row>
    <row r="6552" spans="1:10" x14ac:dyDescent="0.2">
      <c r="A6552" s="859">
        <f t="shared" si="102"/>
        <v>6551</v>
      </c>
      <c r="B6552" s="845" t="s">
        <v>2574</v>
      </c>
      <c r="D6552" s="862"/>
      <c r="I6552" s="845" t="str">
        <f>CONCATENATE("&lt;valeur&gt;",Cellule_1713,"&lt;/valeur&gt;")</f>
        <v>&lt;valeur&gt;0&lt;/valeur&gt;</v>
      </c>
    </row>
    <row r="6553" spans="1:10" x14ac:dyDescent="0.2">
      <c r="A6553" s="859">
        <f t="shared" si="102"/>
        <v>6552</v>
      </c>
      <c r="B6553" s="845" t="s">
        <v>2574</v>
      </c>
      <c r="D6553" s="863"/>
      <c r="H6553" s="845" t="s">
        <v>1010</v>
      </c>
    </row>
    <row r="6554" spans="1:10" x14ac:dyDescent="0.2">
      <c r="A6554" s="859">
        <f t="shared" si="102"/>
        <v>6553</v>
      </c>
      <c r="B6554" s="845" t="s">
        <v>2574</v>
      </c>
      <c r="D6554" s="862"/>
      <c r="H6554" s="845" t="s">
        <v>1007</v>
      </c>
    </row>
    <row r="6555" spans="1:10" x14ac:dyDescent="0.2">
      <c r="A6555" s="859">
        <f t="shared" si="102"/>
        <v>6554</v>
      </c>
      <c r="B6555" s="845" t="s">
        <v>2574</v>
      </c>
      <c r="D6555" s="862"/>
      <c r="I6555" s="845" t="s">
        <v>1008</v>
      </c>
    </row>
    <row r="6556" spans="1:10" x14ac:dyDescent="0.2">
      <c r="A6556" s="859">
        <f t="shared" si="102"/>
        <v>6555</v>
      </c>
      <c r="B6556" s="845" t="s">
        <v>2574</v>
      </c>
      <c r="D6556" s="861"/>
      <c r="J6556" s="845" t="s">
        <v>2010</v>
      </c>
    </row>
    <row r="6557" spans="1:10" x14ac:dyDescent="0.2">
      <c r="A6557" s="859">
        <f t="shared" si="102"/>
        <v>6556</v>
      </c>
      <c r="B6557" s="845" t="s">
        <v>2574</v>
      </c>
      <c r="D6557" s="861"/>
      <c r="I6557" s="845" t="s">
        <v>1009</v>
      </c>
    </row>
    <row r="6558" spans="1:10" x14ac:dyDescent="0.2">
      <c r="A6558" s="859">
        <f t="shared" si="102"/>
        <v>6557</v>
      </c>
      <c r="B6558" s="845" t="s">
        <v>2574</v>
      </c>
      <c r="D6558" s="862"/>
      <c r="I6558" s="845" t="str">
        <f>CONCATENATE("&lt;valeur&gt;",Cellule_1714,"&lt;/valeur&gt;")</f>
        <v>&lt;valeur&gt;0&lt;/valeur&gt;</v>
      </c>
    </row>
    <row r="6559" spans="1:10" x14ac:dyDescent="0.2">
      <c r="A6559" s="859">
        <f t="shared" si="102"/>
        <v>6558</v>
      </c>
      <c r="B6559" s="845" t="s">
        <v>2574</v>
      </c>
      <c r="D6559" s="863"/>
      <c r="H6559" s="845" t="s">
        <v>1010</v>
      </c>
    </row>
    <row r="6560" spans="1:10" x14ac:dyDescent="0.2">
      <c r="A6560" s="859">
        <f t="shared" si="102"/>
        <v>6559</v>
      </c>
      <c r="B6560" s="845" t="s">
        <v>2574</v>
      </c>
      <c r="D6560" s="862"/>
      <c r="H6560" s="845" t="s">
        <v>1007</v>
      </c>
    </row>
    <row r="6561" spans="1:10" x14ac:dyDescent="0.2">
      <c r="A6561" s="859">
        <f t="shared" si="102"/>
        <v>6560</v>
      </c>
      <c r="B6561" s="845" t="s">
        <v>2574</v>
      </c>
      <c r="D6561" s="862"/>
      <c r="I6561" s="845" t="s">
        <v>1008</v>
      </c>
    </row>
    <row r="6562" spans="1:10" x14ac:dyDescent="0.2">
      <c r="A6562" s="859">
        <f t="shared" si="102"/>
        <v>6561</v>
      </c>
      <c r="B6562" s="845" t="s">
        <v>2574</v>
      </c>
      <c r="D6562" s="861"/>
      <c r="J6562" s="845" t="s">
        <v>2011</v>
      </c>
    </row>
    <row r="6563" spans="1:10" x14ac:dyDescent="0.2">
      <c r="A6563" s="859">
        <f t="shared" si="102"/>
        <v>6562</v>
      </c>
      <c r="B6563" s="845" t="s">
        <v>2574</v>
      </c>
      <c r="D6563" s="861"/>
      <c r="I6563" s="845" t="s">
        <v>1009</v>
      </c>
    </row>
    <row r="6564" spans="1:10" x14ac:dyDescent="0.2">
      <c r="A6564" s="859">
        <f t="shared" si="102"/>
        <v>6563</v>
      </c>
      <c r="B6564" s="845" t="s">
        <v>2574</v>
      </c>
      <c r="D6564" s="862"/>
      <c r="I6564" s="845" t="str">
        <f>CONCATENATE("&lt;valeur&gt;",Cellule_1715,"&lt;/valeur&gt;")</f>
        <v>&lt;valeur&gt;0&lt;/valeur&gt;</v>
      </c>
    </row>
    <row r="6565" spans="1:10" x14ac:dyDescent="0.2">
      <c r="A6565" s="859">
        <f t="shared" si="102"/>
        <v>6564</v>
      </c>
      <c r="B6565" s="845" t="s">
        <v>2574</v>
      </c>
      <c r="D6565" s="863"/>
      <c r="H6565" s="845" t="s">
        <v>1010</v>
      </c>
    </row>
    <row r="6566" spans="1:10" x14ac:dyDescent="0.2">
      <c r="A6566" s="859">
        <f t="shared" si="102"/>
        <v>6565</v>
      </c>
      <c r="B6566" s="845" t="s">
        <v>2574</v>
      </c>
      <c r="D6566" s="862"/>
      <c r="H6566" s="845" t="s">
        <v>1007</v>
      </c>
    </row>
    <row r="6567" spans="1:10" x14ac:dyDescent="0.2">
      <c r="A6567" s="859">
        <f t="shared" si="102"/>
        <v>6566</v>
      </c>
      <c r="B6567" s="845" t="s">
        <v>2574</v>
      </c>
      <c r="D6567" s="862"/>
      <c r="I6567" s="845" t="s">
        <v>1008</v>
      </c>
    </row>
    <row r="6568" spans="1:10" x14ac:dyDescent="0.2">
      <c r="A6568" s="859">
        <f t="shared" si="102"/>
        <v>6567</v>
      </c>
      <c r="B6568" s="845" t="s">
        <v>2574</v>
      </c>
      <c r="D6568" s="861"/>
      <c r="J6568" s="845" t="s">
        <v>2012</v>
      </c>
    </row>
    <row r="6569" spans="1:10" x14ac:dyDescent="0.2">
      <c r="A6569" s="859">
        <f t="shared" si="102"/>
        <v>6568</v>
      </c>
      <c r="B6569" s="845" t="s">
        <v>2574</v>
      </c>
      <c r="D6569" s="861"/>
      <c r="I6569" s="845" t="s">
        <v>1009</v>
      </c>
    </row>
    <row r="6570" spans="1:10" x14ac:dyDescent="0.2">
      <c r="A6570" s="859">
        <f t="shared" si="102"/>
        <v>6569</v>
      </c>
      <c r="B6570" s="845" t="s">
        <v>2574</v>
      </c>
      <c r="D6570" s="862"/>
      <c r="I6570" s="845" t="str">
        <f>CONCATENATE("&lt;valeur&gt;",Cellule_1716,"&lt;/valeur&gt;")</f>
        <v>&lt;valeur&gt;0&lt;/valeur&gt;</v>
      </c>
    </row>
    <row r="6571" spans="1:10" x14ac:dyDescent="0.2">
      <c r="A6571" s="859">
        <f t="shared" si="102"/>
        <v>6570</v>
      </c>
      <c r="B6571" s="845" t="s">
        <v>2574</v>
      </c>
      <c r="D6571" s="863"/>
      <c r="H6571" s="845" t="s">
        <v>1010</v>
      </c>
    </row>
    <row r="6572" spans="1:10" x14ac:dyDescent="0.2">
      <c r="A6572" s="859">
        <f t="shared" si="102"/>
        <v>6571</v>
      </c>
      <c r="B6572" s="845" t="s">
        <v>2574</v>
      </c>
      <c r="D6572" s="862"/>
      <c r="H6572" s="845" t="s">
        <v>1007</v>
      </c>
    </row>
    <row r="6573" spans="1:10" x14ac:dyDescent="0.2">
      <c r="A6573" s="859">
        <f t="shared" si="102"/>
        <v>6572</v>
      </c>
      <c r="B6573" s="845" t="s">
        <v>2574</v>
      </c>
      <c r="D6573" s="862"/>
      <c r="I6573" s="845" t="s">
        <v>1008</v>
      </c>
    </row>
    <row r="6574" spans="1:10" x14ac:dyDescent="0.2">
      <c r="A6574" s="859">
        <f t="shared" si="102"/>
        <v>6573</v>
      </c>
      <c r="B6574" s="845" t="s">
        <v>2574</v>
      </c>
      <c r="D6574" s="861"/>
      <c r="J6574" s="845" t="s">
        <v>2013</v>
      </c>
    </row>
    <row r="6575" spans="1:10" x14ac:dyDescent="0.2">
      <c r="A6575" s="859">
        <f t="shared" si="102"/>
        <v>6574</v>
      </c>
      <c r="B6575" s="845" t="s">
        <v>2574</v>
      </c>
      <c r="D6575" s="861"/>
      <c r="I6575" s="845" t="s">
        <v>1009</v>
      </c>
    </row>
    <row r="6576" spans="1:10" x14ac:dyDescent="0.2">
      <c r="A6576" s="859">
        <f t="shared" si="102"/>
        <v>6575</v>
      </c>
      <c r="B6576" s="845" t="s">
        <v>2574</v>
      </c>
      <c r="D6576" s="862"/>
      <c r="I6576" s="845" t="str">
        <f>CONCATENATE("&lt;valeur&gt;",Cellule_1717,"&lt;/valeur&gt;")</f>
        <v>&lt;valeur&gt;0&lt;/valeur&gt;</v>
      </c>
    </row>
    <row r="6577" spans="1:10" x14ac:dyDescent="0.2">
      <c r="A6577" s="859">
        <f t="shared" si="102"/>
        <v>6576</v>
      </c>
      <c r="B6577" s="845" t="s">
        <v>2574</v>
      </c>
      <c r="D6577" s="863"/>
      <c r="H6577" s="845" t="s">
        <v>1010</v>
      </c>
    </row>
    <row r="6578" spans="1:10" x14ac:dyDescent="0.2">
      <c r="A6578" s="859">
        <f t="shared" si="102"/>
        <v>6577</v>
      </c>
      <c r="B6578" s="845" t="s">
        <v>2574</v>
      </c>
      <c r="D6578" s="862"/>
      <c r="H6578" s="845" t="s">
        <v>1007</v>
      </c>
    </row>
    <row r="6579" spans="1:10" x14ac:dyDescent="0.2">
      <c r="A6579" s="859">
        <f t="shared" si="102"/>
        <v>6578</v>
      </c>
      <c r="B6579" s="845" t="s">
        <v>2574</v>
      </c>
      <c r="D6579" s="862"/>
      <c r="I6579" s="845" t="s">
        <v>1008</v>
      </c>
    </row>
    <row r="6580" spans="1:10" x14ac:dyDescent="0.2">
      <c r="A6580" s="859">
        <f t="shared" si="102"/>
        <v>6579</v>
      </c>
      <c r="B6580" s="845" t="s">
        <v>2574</v>
      </c>
      <c r="D6580" s="861"/>
      <c r="J6580" s="845" t="s">
        <v>2014</v>
      </c>
    </row>
    <row r="6581" spans="1:10" x14ac:dyDescent="0.2">
      <c r="A6581" s="859">
        <f t="shared" si="102"/>
        <v>6580</v>
      </c>
      <c r="B6581" s="845" t="s">
        <v>2574</v>
      </c>
      <c r="D6581" s="861"/>
      <c r="I6581" s="845" t="s">
        <v>1009</v>
      </c>
    </row>
    <row r="6582" spans="1:10" x14ac:dyDescent="0.2">
      <c r="A6582" s="859">
        <f t="shared" si="102"/>
        <v>6581</v>
      </c>
      <c r="B6582" s="845" t="s">
        <v>2574</v>
      </c>
      <c r="D6582" s="862"/>
      <c r="I6582" s="845" t="str">
        <f>CONCATENATE("&lt;valeur&gt;",Cellule_1718,"&lt;/valeur&gt;")</f>
        <v>&lt;valeur&gt;0&lt;/valeur&gt;</v>
      </c>
    </row>
    <row r="6583" spans="1:10" x14ac:dyDescent="0.2">
      <c r="A6583" s="859">
        <f t="shared" si="102"/>
        <v>6582</v>
      </c>
      <c r="B6583" s="845" t="s">
        <v>2574</v>
      </c>
      <c r="D6583" s="863"/>
      <c r="H6583" s="845" t="s">
        <v>1010</v>
      </c>
    </row>
    <row r="6584" spans="1:10" x14ac:dyDescent="0.2">
      <c r="A6584" s="859">
        <f t="shared" si="102"/>
        <v>6583</v>
      </c>
      <c r="B6584" s="845" t="s">
        <v>2574</v>
      </c>
      <c r="D6584" s="862"/>
      <c r="H6584" s="845" t="s">
        <v>1007</v>
      </c>
    </row>
    <row r="6585" spans="1:10" x14ac:dyDescent="0.2">
      <c r="A6585" s="859">
        <f t="shared" si="102"/>
        <v>6584</v>
      </c>
      <c r="B6585" s="845" t="s">
        <v>2574</v>
      </c>
      <c r="D6585" s="862"/>
      <c r="I6585" s="845" t="s">
        <v>1008</v>
      </c>
    </row>
    <row r="6586" spans="1:10" x14ac:dyDescent="0.2">
      <c r="A6586" s="859">
        <f t="shared" si="102"/>
        <v>6585</v>
      </c>
      <c r="B6586" s="845" t="s">
        <v>2574</v>
      </c>
      <c r="D6586" s="861"/>
      <c r="J6586" s="845" t="s">
        <v>2015</v>
      </c>
    </row>
    <row r="6587" spans="1:10" x14ac:dyDescent="0.2">
      <c r="A6587" s="859">
        <f t="shared" si="102"/>
        <v>6586</v>
      </c>
      <c r="B6587" s="845" t="s">
        <v>2574</v>
      </c>
      <c r="D6587" s="861"/>
      <c r="I6587" s="845" t="s">
        <v>1009</v>
      </c>
    </row>
    <row r="6588" spans="1:10" x14ac:dyDescent="0.2">
      <c r="A6588" s="859">
        <f t="shared" si="102"/>
        <v>6587</v>
      </c>
      <c r="B6588" s="845" t="s">
        <v>2574</v>
      </c>
      <c r="D6588" s="862"/>
      <c r="I6588" s="845" t="str">
        <f>CONCATENATE("&lt;valeur&gt;",Cellule_1719,"&lt;/valeur&gt;")</f>
        <v>&lt;valeur&gt;0&lt;/valeur&gt;</v>
      </c>
    </row>
    <row r="6589" spans="1:10" x14ac:dyDescent="0.2">
      <c r="A6589" s="859">
        <f t="shared" si="102"/>
        <v>6588</v>
      </c>
      <c r="B6589" s="845" t="s">
        <v>2574</v>
      </c>
      <c r="D6589" s="863"/>
      <c r="H6589" s="845" t="s">
        <v>1010</v>
      </c>
    </row>
    <row r="6590" spans="1:10" x14ac:dyDescent="0.2">
      <c r="A6590" s="859">
        <f t="shared" si="102"/>
        <v>6589</v>
      </c>
      <c r="B6590" s="845" t="s">
        <v>2574</v>
      </c>
      <c r="D6590" s="862"/>
      <c r="H6590" s="845" t="s">
        <v>1007</v>
      </c>
    </row>
    <row r="6591" spans="1:10" x14ac:dyDescent="0.2">
      <c r="A6591" s="859">
        <f t="shared" si="102"/>
        <v>6590</v>
      </c>
      <c r="B6591" s="845" t="s">
        <v>2574</v>
      </c>
      <c r="D6591" s="862"/>
      <c r="I6591" s="845" t="s">
        <v>1008</v>
      </c>
    </row>
    <row r="6592" spans="1:10" x14ac:dyDescent="0.2">
      <c r="A6592" s="859">
        <f t="shared" si="102"/>
        <v>6591</v>
      </c>
      <c r="B6592" s="845" t="s">
        <v>2574</v>
      </c>
      <c r="D6592" s="861"/>
      <c r="J6592" s="845" t="s">
        <v>2016</v>
      </c>
    </row>
    <row r="6593" spans="1:10" x14ac:dyDescent="0.2">
      <c r="A6593" s="859">
        <f t="shared" si="102"/>
        <v>6592</v>
      </c>
      <c r="B6593" s="845" t="s">
        <v>2574</v>
      </c>
      <c r="D6593" s="861"/>
      <c r="I6593" s="845" t="s">
        <v>1009</v>
      </c>
    </row>
    <row r="6594" spans="1:10" x14ac:dyDescent="0.2">
      <c r="A6594" s="859">
        <f t="shared" si="102"/>
        <v>6593</v>
      </c>
      <c r="B6594" s="845" t="s">
        <v>2574</v>
      </c>
      <c r="D6594" s="862"/>
      <c r="I6594" s="845" t="str">
        <f>CONCATENATE("&lt;valeur&gt;",Cellule_1720,"&lt;/valeur&gt;")</f>
        <v>&lt;valeur&gt;0&lt;/valeur&gt;</v>
      </c>
    </row>
    <row r="6595" spans="1:10" x14ac:dyDescent="0.2">
      <c r="A6595" s="859">
        <f t="shared" si="102"/>
        <v>6594</v>
      </c>
      <c r="B6595" s="845" t="s">
        <v>2574</v>
      </c>
      <c r="D6595" s="863"/>
      <c r="H6595" s="845" t="s">
        <v>1010</v>
      </c>
    </row>
    <row r="6596" spans="1:10" x14ac:dyDescent="0.2">
      <c r="A6596" s="859">
        <f t="shared" ref="A6596:A6659" si="103">+A6595+1</f>
        <v>6595</v>
      </c>
      <c r="B6596" s="845" t="s">
        <v>2574</v>
      </c>
      <c r="D6596" s="862"/>
      <c r="H6596" s="845" t="s">
        <v>1007</v>
      </c>
    </row>
    <row r="6597" spans="1:10" x14ac:dyDescent="0.2">
      <c r="A6597" s="859">
        <f t="shared" si="103"/>
        <v>6596</v>
      </c>
      <c r="B6597" s="845" t="s">
        <v>2574</v>
      </c>
      <c r="D6597" s="862"/>
      <c r="I6597" s="845" t="s">
        <v>1008</v>
      </c>
    </row>
    <row r="6598" spans="1:10" x14ac:dyDescent="0.2">
      <c r="A6598" s="859">
        <f t="shared" si="103"/>
        <v>6597</v>
      </c>
      <c r="B6598" s="845" t="s">
        <v>2574</v>
      </c>
      <c r="D6598" s="861"/>
      <c r="J6598" s="845" t="s">
        <v>2017</v>
      </c>
    </row>
    <row r="6599" spans="1:10" x14ac:dyDescent="0.2">
      <c r="A6599" s="859">
        <f t="shared" si="103"/>
        <v>6598</v>
      </c>
      <c r="B6599" s="845" t="s">
        <v>2574</v>
      </c>
      <c r="D6599" s="861"/>
      <c r="I6599" s="845" t="s">
        <v>1009</v>
      </c>
    </row>
    <row r="6600" spans="1:10" x14ac:dyDescent="0.2">
      <c r="A6600" s="859">
        <f t="shared" si="103"/>
        <v>6599</v>
      </c>
      <c r="B6600" s="845" t="s">
        <v>2574</v>
      </c>
      <c r="D6600" s="862"/>
      <c r="I6600" s="845" t="str">
        <f>CONCATENATE("&lt;valeur&gt;",Cellule_1721,"&lt;/valeur&gt;")</f>
        <v>&lt;valeur&gt;0&lt;/valeur&gt;</v>
      </c>
    </row>
    <row r="6601" spans="1:10" x14ac:dyDescent="0.2">
      <c r="A6601" s="859">
        <f t="shared" si="103"/>
        <v>6600</v>
      </c>
      <c r="B6601" s="845" t="s">
        <v>2574</v>
      </c>
      <c r="D6601" s="863"/>
      <c r="H6601" s="845" t="s">
        <v>1010</v>
      </c>
    </row>
    <row r="6602" spans="1:10" x14ac:dyDescent="0.2">
      <c r="A6602" s="859">
        <f t="shared" si="103"/>
        <v>6601</v>
      </c>
      <c r="B6602" s="845" t="s">
        <v>2574</v>
      </c>
      <c r="D6602" s="862"/>
      <c r="H6602" s="845" t="s">
        <v>1007</v>
      </c>
    </row>
    <row r="6603" spans="1:10" x14ac:dyDescent="0.2">
      <c r="A6603" s="859">
        <f t="shared" si="103"/>
        <v>6602</v>
      </c>
      <c r="B6603" s="845" t="s">
        <v>2574</v>
      </c>
      <c r="D6603" s="862"/>
      <c r="I6603" s="845" t="s">
        <v>1008</v>
      </c>
    </row>
    <row r="6604" spans="1:10" x14ac:dyDescent="0.2">
      <c r="A6604" s="859">
        <f t="shared" si="103"/>
        <v>6603</v>
      </c>
      <c r="B6604" s="845" t="s">
        <v>2574</v>
      </c>
      <c r="D6604" s="861"/>
      <c r="J6604" s="845" t="s">
        <v>2018</v>
      </c>
    </row>
    <row r="6605" spans="1:10" x14ac:dyDescent="0.2">
      <c r="A6605" s="859">
        <f t="shared" si="103"/>
        <v>6604</v>
      </c>
      <c r="B6605" s="845" t="s">
        <v>2574</v>
      </c>
      <c r="D6605" s="861"/>
      <c r="I6605" s="845" t="s">
        <v>1009</v>
      </c>
    </row>
    <row r="6606" spans="1:10" x14ac:dyDescent="0.2">
      <c r="A6606" s="859">
        <f t="shared" si="103"/>
        <v>6605</v>
      </c>
      <c r="B6606" s="845" t="s">
        <v>2574</v>
      </c>
      <c r="D6606" s="862"/>
      <c r="I6606" s="845" t="str">
        <f>CONCATENATE("&lt;valeur&gt;",Cellule_1722,"&lt;/valeur&gt;")</f>
        <v>&lt;valeur&gt;0&lt;/valeur&gt;</v>
      </c>
    </row>
    <row r="6607" spans="1:10" x14ac:dyDescent="0.2">
      <c r="A6607" s="859">
        <f t="shared" si="103"/>
        <v>6606</v>
      </c>
      <c r="B6607" s="845" t="s">
        <v>2574</v>
      </c>
      <c r="D6607" s="863"/>
      <c r="H6607" s="845" t="s">
        <v>1010</v>
      </c>
    </row>
    <row r="6608" spans="1:10" x14ac:dyDescent="0.2">
      <c r="A6608" s="859">
        <f t="shared" si="103"/>
        <v>6607</v>
      </c>
      <c r="B6608" s="845" t="s">
        <v>2574</v>
      </c>
      <c r="D6608" s="862"/>
      <c r="H6608" s="845" t="s">
        <v>1007</v>
      </c>
    </row>
    <row r="6609" spans="1:10" x14ac:dyDescent="0.2">
      <c r="A6609" s="859">
        <f t="shared" si="103"/>
        <v>6608</v>
      </c>
      <c r="B6609" s="845" t="s">
        <v>2574</v>
      </c>
      <c r="D6609" s="862"/>
      <c r="I6609" s="845" t="s">
        <v>1008</v>
      </c>
    </row>
    <row r="6610" spans="1:10" x14ac:dyDescent="0.2">
      <c r="A6610" s="859">
        <f t="shared" si="103"/>
        <v>6609</v>
      </c>
      <c r="B6610" s="845" t="s">
        <v>2574</v>
      </c>
      <c r="D6610" s="861"/>
      <c r="J6610" s="845" t="s">
        <v>2019</v>
      </c>
    </row>
    <row r="6611" spans="1:10" x14ac:dyDescent="0.2">
      <c r="A6611" s="859">
        <f t="shared" si="103"/>
        <v>6610</v>
      </c>
      <c r="B6611" s="845" t="s">
        <v>2574</v>
      </c>
      <c r="D6611" s="861"/>
      <c r="I6611" s="845" t="s">
        <v>1009</v>
      </c>
    </row>
    <row r="6612" spans="1:10" x14ac:dyDescent="0.2">
      <c r="A6612" s="859">
        <f t="shared" si="103"/>
        <v>6611</v>
      </c>
      <c r="B6612" s="845" t="s">
        <v>2574</v>
      </c>
      <c r="D6612" s="862"/>
      <c r="I6612" s="845" t="str">
        <f>CONCATENATE("&lt;valeur&gt;",Cellule_1723,"&lt;/valeur&gt;")</f>
        <v>&lt;valeur&gt;0&lt;/valeur&gt;</v>
      </c>
    </row>
    <row r="6613" spans="1:10" x14ac:dyDescent="0.2">
      <c r="A6613" s="859">
        <f t="shared" si="103"/>
        <v>6612</v>
      </c>
      <c r="B6613" s="845" t="s">
        <v>2574</v>
      </c>
      <c r="D6613" s="863"/>
      <c r="H6613" s="845" t="s">
        <v>1010</v>
      </c>
    </row>
    <row r="6614" spans="1:10" x14ac:dyDescent="0.2">
      <c r="A6614" s="859">
        <f t="shared" si="103"/>
        <v>6613</v>
      </c>
      <c r="B6614" s="845" t="s">
        <v>2574</v>
      </c>
      <c r="D6614" s="862"/>
      <c r="H6614" s="845" t="s">
        <v>1007</v>
      </c>
    </row>
    <row r="6615" spans="1:10" x14ac:dyDescent="0.2">
      <c r="A6615" s="859">
        <f t="shared" si="103"/>
        <v>6614</v>
      </c>
      <c r="B6615" s="845" t="s">
        <v>2574</v>
      </c>
      <c r="D6615" s="862"/>
      <c r="I6615" s="845" t="s">
        <v>1008</v>
      </c>
    </row>
    <row r="6616" spans="1:10" x14ac:dyDescent="0.2">
      <c r="A6616" s="859">
        <f t="shared" si="103"/>
        <v>6615</v>
      </c>
      <c r="B6616" s="845" t="s">
        <v>2574</v>
      </c>
      <c r="D6616" s="861"/>
      <c r="J6616" s="845" t="s">
        <v>2020</v>
      </c>
    </row>
    <row r="6617" spans="1:10" x14ac:dyDescent="0.2">
      <c r="A6617" s="859">
        <f t="shared" si="103"/>
        <v>6616</v>
      </c>
      <c r="B6617" s="845" t="s">
        <v>2574</v>
      </c>
      <c r="D6617" s="861"/>
      <c r="I6617" s="845" t="s">
        <v>1009</v>
      </c>
    </row>
    <row r="6618" spans="1:10" x14ac:dyDescent="0.2">
      <c r="A6618" s="859">
        <f t="shared" si="103"/>
        <v>6617</v>
      </c>
      <c r="B6618" s="845" t="s">
        <v>2574</v>
      </c>
      <c r="D6618" s="862"/>
      <c r="I6618" s="845" t="str">
        <f>CONCATENATE("&lt;valeur&gt;",Cellule_1724,"&lt;/valeur&gt;")</f>
        <v>&lt;valeur&gt;0&lt;/valeur&gt;</v>
      </c>
    </row>
    <row r="6619" spans="1:10" x14ac:dyDescent="0.2">
      <c r="A6619" s="859">
        <f t="shared" si="103"/>
        <v>6618</v>
      </c>
      <c r="B6619" s="845" t="s">
        <v>2574</v>
      </c>
      <c r="D6619" s="863"/>
      <c r="H6619" s="845" t="s">
        <v>1010</v>
      </c>
    </row>
    <row r="6620" spans="1:10" x14ac:dyDescent="0.2">
      <c r="A6620" s="859">
        <f t="shared" si="103"/>
        <v>6619</v>
      </c>
      <c r="B6620" s="845" t="s">
        <v>2574</v>
      </c>
      <c r="D6620" s="862"/>
      <c r="H6620" s="845" t="s">
        <v>1007</v>
      </c>
    </row>
    <row r="6621" spans="1:10" x14ac:dyDescent="0.2">
      <c r="A6621" s="859">
        <f t="shared" si="103"/>
        <v>6620</v>
      </c>
      <c r="B6621" s="845" t="s">
        <v>2574</v>
      </c>
      <c r="D6621" s="862"/>
      <c r="I6621" s="845" t="s">
        <v>1008</v>
      </c>
    </row>
    <row r="6622" spans="1:10" x14ac:dyDescent="0.2">
      <c r="A6622" s="859">
        <f t="shared" si="103"/>
        <v>6621</v>
      </c>
      <c r="B6622" s="845" t="s">
        <v>2574</v>
      </c>
      <c r="D6622" s="861"/>
      <c r="J6622" s="845" t="s">
        <v>2021</v>
      </c>
    </row>
    <row r="6623" spans="1:10" x14ac:dyDescent="0.2">
      <c r="A6623" s="859">
        <f t="shared" si="103"/>
        <v>6622</v>
      </c>
      <c r="B6623" s="845" t="s">
        <v>2574</v>
      </c>
      <c r="D6623" s="861"/>
      <c r="I6623" s="845" t="s">
        <v>1009</v>
      </c>
    </row>
    <row r="6624" spans="1:10" x14ac:dyDescent="0.2">
      <c r="A6624" s="859">
        <f t="shared" si="103"/>
        <v>6623</v>
      </c>
      <c r="B6624" s="845" t="s">
        <v>2574</v>
      </c>
      <c r="D6624" s="862"/>
      <c r="I6624" s="845" t="str">
        <f>CONCATENATE("&lt;valeur&gt;",Cellule_1725,"&lt;/valeur&gt;")</f>
        <v>&lt;valeur&gt;0&lt;/valeur&gt;</v>
      </c>
    </row>
    <row r="6625" spans="1:10" x14ac:dyDescent="0.2">
      <c r="A6625" s="859">
        <f t="shared" si="103"/>
        <v>6624</v>
      </c>
      <c r="B6625" s="845" t="s">
        <v>2574</v>
      </c>
      <c r="D6625" s="863"/>
      <c r="H6625" s="845" t="s">
        <v>1010</v>
      </c>
    </row>
    <row r="6626" spans="1:10" x14ac:dyDescent="0.2">
      <c r="A6626" s="859">
        <f t="shared" si="103"/>
        <v>6625</v>
      </c>
      <c r="B6626" s="845" t="s">
        <v>2574</v>
      </c>
      <c r="D6626" s="862"/>
      <c r="H6626" s="845" t="s">
        <v>1007</v>
      </c>
    </row>
    <row r="6627" spans="1:10" x14ac:dyDescent="0.2">
      <c r="A6627" s="859">
        <f t="shared" si="103"/>
        <v>6626</v>
      </c>
      <c r="B6627" s="845" t="s">
        <v>2574</v>
      </c>
      <c r="D6627" s="862"/>
      <c r="I6627" s="845" t="s">
        <v>1008</v>
      </c>
    </row>
    <row r="6628" spans="1:10" x14ac:dyDescent="0.2">
      <c r="A6628" s="859">
        <f t="shared" si="103"/>
        <v>6627</v>
      </c>
      <c r="B6628" s="845" t="s">
        <v>2574</v>
      </c>
      <c r="D6628" s="861"/>
      <c r="J6628" s="845" t="s">
        <v>2022</v>
      </c>
    </row>
    <row r="6629" spans="1:10" x14ac:dyDescent="0.2">
      <c r="A6629" s="859">
        <f t="shared" si="103"/>
        <v>6628</v>
      </c>
      <c r="B6629" s="845" t="s">
        <v>2574</v>
      </c>
      <c r="D6629" s="861"/>
      <c r="I6629" s="845" t="s">
        <v>1009</v>
      </c>
    </row>
    <row r="6630" spans="1:10" x14ac:dyDescent="0.2">
      <c r="A6630" s="859">
        <f t="shared" si="103"/>
        <v>6629</v>
      </c>
      <c r="B6630" s="845" t="s">
        <v>2574</v>
      </c>
      <c r="D6630" s="862"/>
      <c r="I6630" s="845" t="str">
        <f>CONCATENATE("&lt;valeur&gt;",Cellule_1726,"&lt;/valeur&gt;")</f>
        <v>&lt;valeur&gt;0&lt;/valeur&gt;</v>
      </c>
    </row>
    <row r="6631" spans="1:10" x14ac:dyDescent="0.2">
      <c r="A6631" s="859">
        <f t="shared" si="103"/>
        <v>6630</v>
      </c>
      <c r="B6631" s="845" t="s">
        <v>2574</v>
      </c>
      <c r="D6631" s="863"/>
      <c r="H6631" s="845" t="s">
        <v>1010</v>
      </c>
    </row>
    <row r="6632" spans="1:10" x14ac:dyDescent="0.2">
      <c r="A6632" s="859">
        <f t="shared" si="103"/>
        <v>6631</v>
      </c>
      <c r="B6632" s="845" t="s">
        <v>2574</v>
      </c>
      <c r="D6632" s="862"/>
      <c r="H6632" s="845" t="s">
        <v>1007</v>
      </c>
    </row>
    <row r="6633" spans="1:10" x14ac:dyDescent="0.2">
      <c r="A6633" s="859">
        <f t="shared" si="103"/>
        <v>6632</v>
      </c>
      <c r="B6633" s="845" t="s">
        <v>2574</v>
      </c>
      <c r="D6633" s="862"/>
      <c r="I6633" s="845" t="s">
        <v>1008</v>
      </c>
    </row>
    <row r="6634" spans="1:10" x14ac:dyDescent="0.2">
      <c r="A6634" s="859">
        <f t="shared" si="103"/>
        <v>6633</v>
      </c>
      <c r="B6634" s="845" t="s">
        <v>2574</v>
      </c>
      <c r="D6634" s="861"/>
      <c r="J6634" s="845" t="s">
        <v>2023</v>
      </c>
    </row>
    <row r="6635" spans="1:10" x14ac:dyDescent="0.2">
      <c r="A6635" s="859">
        <f t="shared" si="103"/>
        <v>6634</v>
      </c>
      <c r="B6635" s="845" t="s">
        <v>2574</v>
      </c>
      <c r="D6635" s="861"/>
      <c r="I6635" s="845" t="s">
        <v>1009</v>
      </c>
    </row>
    <row r="6636" spans="1:10" x14ac:dyDescent="0.2">
      <c r="A6636" s="859">
        <f t="shared" si="103"/>
        <v>6635</v>
      </c>
      <c r="B6636" s="845" t="s">
        <v>2574</v>
      </c>
      <c r="D6636" s="862"/>
      <c r="I6636" s="845" t="str">
        <f>CONCATENATE("&lt;valeur&gt;",Cellule_1727,"&lt;/valeur&gt;")</f>
        <v>&lt;valeur&gt;0&lt;/valeur&gt;</v>
      </c>
    </row>
    <row r="6637" spans="1:10" x14ac:dyDescent="0.2">
      <c r="A6637" s="859">
        <f t="shared" si="103"/>
        <v>6636</v>
      </c>
      <c r="B6637" s="845" t="s">
        <v>2574</v>
      </c>
      <c r="D6637" s="863"/>
      <c r="H6637" s="845" t="s">
        <v>1010</v>
      </c>
    </row>
    <row r="6638" spans="1:10" x14ac:dyDescent="0.2">
      <c r="A6638" s="859">
        <f t="shared" si="103"/>
        <v>6637</v>
      </c>
      <c r="B6638" s="845" t="s">
        <v>2574</v>
      </c>
      <c r="D6638" s="862"/>
      <c r="H6638" s="845" t="s">
        <v>1007</v>
      </c>
    </row>
    <row r="6639" spans="1:10" x14ac:dyDescent="0.2">
      <c r="A6639" s="859">
        <f t="shared" si="103"/>
        <v>6638</v>
      </c>
      <c r="B6639" s="845" t="s">
        <v>2574</v>
      </c>
      <c r="D6639" s="862"/>
      <c r="I6639" s="845" t="s">
        <v>1008</v>
      </c>
    </row>
    <row r="6640" spans="1:10" x14ac:dyDescent="0.2">
      <c r="A6640" s="859">
        <f t="shared" si="103"/>
        <v>6639</v>
      </c>
      <c r="B6640" s="845" t="s">
        <v>2574</v>
      </c>
      <c r="D6640" s="861"/>
      <c r="J6640" s="845" t="s">
        <v>2024</v>
      </c>
    </row>
    <row r="6641" spans="1:10" x14ac:dyDescent="0.2">
      <c r="A6641" s="859">
        <f t="shared" si="103"/>
        <v>6640</v>
      </c>
      <c r="B6641" s="845" t="s">
        <v>2574</v>
      </c>
      <c r="D6641" s="861"/>
      <c r="I6641" s="845" t="s">
        <v>1009</v>
      </c>
    </row>
    <row r="6642" spans="1:10" x14ac:dyDescent="0.2">
      <c r="A6642" s="859">
        <f t="shared" si="103"/>
        <v>6641</v>
      </c>
      <c r="B6642" s="845" t="s">
        <v>2574</v>
      </c>
      <c r="D6642" s="862"/>
      <c r="I6642" s="845" t="str">
        <f>CONCATENATE("&lt;valeur&gt;",Cellule_1728,"&lt;/valeur&gt;")</f>
        <v>&lt;valeur&gt;0&lt;/valeur&gt;</v>
      </c>
    </row>
    <row r="6643" spans="1:10" x14ac:dyDescent="0.2">
      <c r="A6643" s="859">
        <f t="shared" si="103"/>
        <v>6642</v>
      </c>
      <c r="B6643" s="845" t="s">
        <v>2574</v>
      </c>
      <c r="D6643" s="863"/>
      <c r="H6643" s="845" t="s">
        <v>1010</v>
      </c>
    </row>
    <row r="6644" spans="1:10" x14ac:dyDescent="0.2">
      <c r="A6644" s="859">
        <f t="shared" si="103"/>
        <v>6643</v>
      </c>
      <c r="B6644" s="845" t="s">
        <v>2574</v>
      </c>
      <c r="D6644" s="862"/>
      <c r="H6644" s="845" t="s">
        <v>1007</v>
      </c>
    </row>
    <row r="6645" spans="1:10" x14ac:dyDescent="0.2">
      <c r="A6645" s="859">
        <f t="shared" si="103"/>
        <v>6644</v>
      </c>
      <c r="B6645" s="845" t="s">
        <v>2574</v>
      </c>
      <c r="D6645" s="862"/>
      <c r="I6645" s="845" t="s">
        <v>1008</v>
      </c>
    </row>
    <row r="6646" spans="1:10" x14ac:dyDescent="0.2">
      <c r="A6646" s="859">
        <f t="shared" si="103"/>
        <v>6645</v>
      </c>
      <c r="B6646" s="845" t="s">
        <v>2574</v>
      </c>
      <c r="D6646" s="861"/>
      <c r="J6646" s="845" t="s">
        <v>2025</v>
      </c>
    </row>
    <row r="6647" spans="1:10" x14ac:dyDescent="0.2">
      <c r="A6647" s="859">
        <f t="shared" si="103"/>
        <v>6646</v>
      </c>
      <c r="B6647" s="845" t="s">
        <v>2574</v>
      </c>
      <c r="D6647" s="861"/>
      <c r="I6647" s="845" t="s">
        <v>1009</v>
      </c>
    </row>
    <row r="6648" spans="1:10" x14ac:dyDescent="0.2">
      <c r="A6648" s="859">
        <f t="shared" si="103"/>
        <v>6647</v>
      </c>
      <c r="B6648" s="845" t="s">
        <v>2574</v>
      </c>
      <c r="D6648" s="862"/>
      <c r="I6648" s="845" t="str">
        <f>CONCATENATE("&lt;valeur&gt;",Cellule_1729,"&lt;/valeur&gt;")</f>
        <v>&lt;valeur&gt;0&lt;/valeur&gt;</v>
      </c>
    </row>
    <row r="6649" spans="1:10" x14ac:dyDescent="0.2">
      <c r="A6649" s="859">
        <f t="shared" si="103"/>
        <v>6648</v>
      </c>
      <c r="B6649" s="845" t="s">
        <v>2574</v>
      </c>
      <c r="D6649" s="863"/>
      <c r="H6649" s="845" t="s">
        <v>1010</v>
      </c>
    </row>
    <row r="6650" spans="1:10" x14ac:dyDescent="0.2">
      <c r="A6650" s="859">
        <f t="shared" si="103"/>
        <v>6649</v>
      </c>
      <c r="B6650" s="845" t="s">
        <v>2574</v>
      </c>
      <c r="D6650" s="862"/>
      <c r="H6650" s="845" t="s">
        <v>1007</v>
      </c>
    </row>
    <row r="6651" spans="1:10" x14ac:dyDescent="0.2">
      <c r="A6651" s="859">
        <f t="shared" si="103"/>
        <v>6650</v>
      </c>
      <c r="B6651" s="845" t="s">
        <v>2574</v>
      </c>
      <c r="D6651" s="862"/>
      <c r="I6651" s="845" t="s">
        <v>1008</v>
      </c>
    </row>
    <row r="6652" spans="1:10" x14ac:dyDescent="0.2">
      <c r="A6652" s="859">
        <f t="shared" si="103"/>
        <v>6651</v>
      </c>
      <c r="B6652" s="845" t="s">
        <v>2574</v>
      </c>
      <c r="D6652" s="861"/>
      <c r="J6652" s="845" t="s">
        <v>2026</v>
      </c>
    </row>
    <row r="6653" spans="1:10" x14ac:dyDescent="0.2">
      <c r="A6653" s="859">
        <f t="shared" si="103"/>
        <v>6652</v>
      </c>
      <c r="B6653" s="845" t="s">
        <v>2574</v>
      </c>
      <c r="D6653" s="861"/>
      <c r="I6653" s="845" t="s">
        <v>1009</v>
      </c>
    </row>
    <row r="6654" spans="1:10" x14ac:dyDescent="0.2">
      <c r="A6654" s="859">
        <f t="shared" si="103"/>
        <v>6653</v>
      </c>
      <c r="B6654" s="845" t="s">
        <v>2574</v>
      </c>
      <c r="D6654" s="862"/>
      <c r="I6654" s="845" t="str">
        <f>CONCATENATE("&lt;valeur&gt;",Cellule_1730,"&lt;/valeur&gt;")</f>
        <v>&lt;valeur&gt;0&lt;/valeur&gt;</v>
      </c>
    </row>
    <row r="6655" spans="1:10" x14ac:dyDescent="0.2">
      <c r="A6655" s="859">
        <f t="shared" si="103"/>
        <v>6654</v>
      </c>
      <c r="B6655" s="845" t="s">
        <v>2574</v>
      </c>
      <c r="D6655" s="863"/>
      <c r="H6655" s="845" t="s">
        <v>1010</v>
      </c>
    </row>
    <row r="6656" spans="1:10" x14ac:dyDescent="0.2">
      <c r="A6656" s="859">
        <f t="shared" si="103"/>
        <v>6655</v>
      </c>
      <c r="B6656" s="845" t="s">
        <v>2574</v>
      </c>
      <c r="D6656" s="862"/>
      <c r="H6656" s="845" t="s">
        <v>1007</v>
      </c>
    </row>
    <row r="6657" spans="1:10" x14ac:dyDescent="0.2">
      <c r="A6657" s="859">
        <f t="shared" si="103"/>
        <v>6656</v>
      </c>
      <c r="B6657" s="845" t="s">
        <v>2574</v>
      </c>
      <c r="D6657" s="862"/>
      <c r="I6657" s="845" t="s">
        <v>1008</v>
      </c>
    </row>
    <row r="6658" spans="1:10" x14ac:dyDescent="0.2">
      <c r="A6658" s="859">
        <f t="shared" si="103"/>
        <v>6657</v>
      </c>
      <c r="B6658" s="845" t="s">
        <v>2574</v>
      </c>
      <c r="D6658" s="861"/>
      <c r="J6658" s="845" t="s">
        <v>2027</v>
      </c>
    </row>
    <row r="6659" spans="1:10" x14ac:dyDescent="0.2">
      <c r="A6659" s="859">
        <f t="shared" si="103"/>
        <v>6658</v>
      </c>
      <c r="B6659" s="845" t="s">
        <v>2574</v>
      </c>
      <c r="D6659" s="861"/>
      <c r="I6659" s="845" t="s">
        <v>1009</v>
      </c>
    </row>
    <row r="6660" spans="1:10" x14ac:dyDescent="0.2">
      <c r="A6660" s="859">
        <f t="shared" ref="A6660:A6723" si="104">+A6659+1</f>
        <v>6659</v>
      </c>
      <c r="B6660" s="845" t="s">
        <v>2574</v>
      </c>
      <c r="D6660" s="862"/>
      <c r="I6660" s="845" t="str">
        <f>CONCATENATE("&lt;valeur&gt;",Cellule_1731,"&lt;/valeur&gt;")</f>
        <v>&lt;valeur&gt;0&lt;/valeur&gt;</v>
      </c>
    </row>
    <row r="6661" spans="1:10" x14ac:dyDescent="0.2">
      <c r="A6661" s="859">
        <f t="shared" si="104"/>
        <v>6660</v>
      </c>
      <c r="B6661" s="845" t="s">
        <v>2574</v>
      </c>
      <c r="D6661" s="863"/>
      <c r="H6661" s="845" t="s">
        <v>1010</v>
      </c>
    </row>
    <row r="6662" spans="1:10" x14ac:dyDescent="0.2">
      <c r="A6662" s="859">
        <f t="shared" si="104"/>
        <v>6661</v>
      </c>
      <c r="B6662" s="845" t="s">
        <v>2574</v>
      </c>
      <c r="D6662" s="862"/>
      <c r="G6662" s="845" t="s">
        <v>1011</v>
      </c>
    </row>
    <row r="6663" spans="1:10" x14ac:dyDescent="0.2">
      <c r="A6663" s="859">
        <f t="shared" si="104"/>
        <v>6662</v>
      </c>
      <c r="B6663" s="845" t="s">
        <v>2574</v>
      </c>
      <c r="D6663" s="861"/>
      <c r="G6663" s="845" t="s">
        <v>1012</v>
      </c>
    </row>
    <row r="6664" spans="1:10" x14ac:dyDescent="0.2">
      <c r="A6664" s="859">
        <f t="shared" si="104"/>
        <v>6663</v>
      </c>
      <c r="B6664" s="845" t="s">
        <v>2574</v>
      </c>
      <c r="D6664" s="861"/>
      <c r="G6664" s="845" t="s">
        <v>1013</v>
      </c>
    </row>
    <row r="6665" spans="1:10" x14ac:dyDescent="0.2">
      <c r="A6665" s="859">
        <f t="shared" si="104"/>
        <v>6664</v>
      </c>
      <c r="B6665" s="845" t="s">
        <v>2574</v>
      </c>
      <c r="D6665" s="862"/>
      <c r="F6665" s="845" t="s">
        <v>1014</v>
      </c>
    </row>
    <row r="6666" spans="1:10" x14ac:dyDescent="0.2">
      <c r="A6666" s="859">
        <f t="shared" si="104"/>
        <v>6665</v>
      </c>
      <c r="B6666" s="845" t="s">
        <v>2559</v>
      </c>
      <c r="D6666" s="863"/>
      <c r="F6666" s="845" t="s">
        <v>1005</v>
      </c>
    </row>
    <row r="6667" spans="1:10" x14ac:dyDescent="0.2">
      <c r="A6667" s="859">
        <f t="shared" si="104"/>
        <v>6666</v>
      </c>
      <c r="B6667" s="845" t="s">
        <v>2559</v>
      </c>
      <c r="D6667" s="862"/>
      <c r="G6667" s="845" t="s">
        <v>2028</v>
      </c>
    </row>
    <row r="6668" spans="1:10" x14ac:dyDescent="0.2">
      <c r="A6668" s="859">
        <f t="shared" si="104"/>
        <v>6667</v>
      </c>
      <c r="B6668" s="845" t="s">
        <v>2559</v>
      </c>
      <c r="D6668" s="862"/>
      <c r="G6668" s="845" t="s">
        <v>1006</v>
      </c>
    </row>
    <row r="6669" spans="1:10" x14ac:dyDescent="0.2">
      <c r="A6669" s="859">
        <f t="shared" si="104"/>
        <v>6668</v>
      </c>
      <c r="B6669" s="845" t="s">
        <v>2559</v>
      </c>
      <c r="D6669" s="861"/>
      <c r="H6669" s="845" t="s">
        <v>1007</v>
      </c>
    </row>
    <row r="6670" spans="1:10" x14ac:dyDescent="0.2">
      <c r="A6670" s="859">
        <f t="shared" si="104"/>
        <v>6669</v>
      </c>
      <c r="B6670" s="845" t="s">
        <v>2559</v>
      </c>
      <c r="D6670" s="861"/>
      <c r="I6670" s="845" t="s">
        <v>1008</v>
      </c>
    </row>
    <row r="6671" spans="1:10" x14ac:dyDescent="0.2">
      <c r="A6671" s="859">
        <f t="shared" si="104"/>
        <v>6670</v>
      </c>
      <c r="B6671" s="845" t="s">
        <v>2559</v>
      </c>
      <c r="D6671" s="862"/>
      <c r="J6671" s="845" t="s">
        <v>2029</v>
      </c>
    </row>
    <row r="6672" spans="1:10" x14ac:dyDescent="0.2">
      <c r="A6672" s="859">
        <f t="shared" si="104"/>
        <v>6671</v>
      </c>
      <c r="B6672" s="845" t="s">
        <v>2559</v>
      </c>
      <c r="D6672" s="863"/>
      <c r="I6672" s="845" t="s">
        <v>1009</v>
      </c>
    </row>
    <row r="6673" spans="1:10" x14ac:dyDescent="0.2">
      <c r="A6673" s="859">
        <f t="shared" si="104"/>
        <v>6672</v>
      </c>
      <c r="B6673" s="845" t="s">
        <v>2559</v>
      </c>
      <c r="D6673" s="862"/>
      <c r="I6673" s="845" t="str">
        <f>CONCATENATE("&lt;valeur&gt;",Cellule_1748,"&lt;/valeur&gt;")</f>
        <v>&lt;valeur&gt;0&lt;/valeur&gt;</v>
      </c>
    </row>
    <row r="6674" spans="1:10" x14ac:dyDescent="0.2">
      <c r="A6674" s="859">
        <f t="shared" si="104"/>
        <v>6673</v>
      </c>
      <c r="B6674" s="845" t="s">
        <v>2559</v>
      </c>
      <c r="D6674" s="862"/>
      <c r="H6674" s="845" t="s">
        <v>1010</v>
      </c>
    </row>
    <row r="6675" spans="1:10" x14ac:dyDescent="0.2">
      <c r="A6675" s="859">
        <f t="shared" si="104"/>
        <v>6674</v>
      </c>
      <c r="B6675" s="845" t="s">
        <v>2559</v>
      </c>
      <c r="D6675" s="861"/>
      <c r="H6675" s="845" t="s">
        <v>1007</v>
      </c>
    </row>
    <row r="6676" spans="1:10" x14ac:dyDescent="0.2">
      <c r="A6676" s="859">
        <f t="shared" si="104"/>
        <v>6675</v>
      </c>
      <c r="B6676" s="845" t="s">
        <v>2559</v>
      </c>
      <c r="D6676" s="861"/>
      <c r="I6676" s="845" t="s">
        <v>1008</v>
      </c>
    </row>
    <row r="6677" spans="1:10" x14ac:dyDescent="0.2">
      <c r="A6677" s="859">
        <f t="shared" si="104"/>
        <v>6676</v>
      </c>
      <c r="B6677" s="845" t="s">
        <v>2559</v>
      </c>
      <c r="D6677" s="862"/>
      <c r="J6677" s="845" t="s">
        <v>2030</v>
      </c>
    </row>
    <row r="6678" spans="1:10" x14ac:dyDescent="0.2">
      <c r="A6678" s="859">
        <f t="shared" si="104"/>
        <v>6677</v>
      </c>
      <c r="B6678" s="845" t="s">
        <v>2559</v>
      </c>
      <c r="D6678" s="863"/>
      <c r="I6678" s="845" t="s">
        <v>1009</v>
      </c>
    </row>
    <row r="6679" spans="1:10" x14ac:dyDescent="0.2">
      <c r="A6679" s="859">
        <f t="shared" si="104"/>
        <v>6678</v>
      </c>
      <c r="B6679" s="845" t="s">
        <v>2559</v>
      </c>
      <c r="D6679" s="862"/>
      <c r="I6679" s="845" t="str">
        <f>CONCATENATE("&lt;valeur&gt;",Cellule_1784,"&lt;/valeur&gt;")</f>
        <v>&lt;valeur&gt;0&lt;/valeur&gt;</v>
      </c>
    </row>
    <row r="6680" spans="1:10" x14ac:dyDescent="0.2">
      <c r="A6680" s="859">
        <f t="shared" si="104"/>
        <v>6679</v>
      </c>
      <c r="B6680" s="845" t="s">
        <v>2559</v>
      </c>
      <c r="D6680" s="862"/>
      <c r="H6680" s="845" t="s">
        <v>1010</v>
      </c>
    </row>
    <row r="6681" spans="1:10" x14ac:dyDescent="0.2">
      <c r="A6681" s="859">
        <f t="shared" si="104"/>
        <v>6680</v>
      </c>
      <c r="B6681" s="845" t="s">
        <v>2559</v>
      </c>
      <c r="D6681" s="861"/>
      <c r="H6681" s="845" t="s">
        <v>1007</v>
      </c>
    </row>
    <row r="6682" spans="1:10" x14ac:dyDescent="0.2">
      <c r="A6682" s="859">
        <f t="shared" si="104"/>
        <v>6681</v>
      </c>
      <c r="B6682" s="845" t="s">
        <v>2559</v>
      </c>
      <c r="D6682" s="861"/>
      <c r="I6682" s="845" t="s">
        <v>1008</v>
      </c>
    </row>
    <row r="6683" spans="1:10" x14ac:dyDescent="0.2">
      <c r="A6683" s="859">
        <f t="shared" si="104"/>
        <v>6682</v>
      </c>
      <c r="B6683" s="845" t="s">
        <v>2559</v>
      </c>
      <c r="D6683" s="862"/>
      <c r="J6683" s="845" t="s">
        <v>2031</v>
      </c>
    </row>
    <row r="6684" spans="1:10" x14ac:dyDescent="0.2">
      <c r="A6684" s="859">
        <f t="shared" si="104"/>
        <v>6683</v>
      </c>
      <c r="B6684" s="845" t="s">
        <v>2559</v>
      </c>
      <c r="D6684" s="863"/>
      <c r="I6684" s="845" t="s">
        <v>1009</v>
      </c>
    </row>
    <row r="6685" spans="1:10" x14ac:dyDescent="0.2">
      <c r="A6685" s="859">
        <f t="shared" si="104"/>
        <v>6684</v>
      </c>
      <c r="B6685" s="845" t="s">
        <v>2559</v>
      </c>
      <c r="D6685" s="862"/>
      <c r="I6685" s="845" t="str">
        <f>CONCATENATE("&lt;valeur&gt;",Cellule_1827,"&lt;/valeur&gt;")</f>
        <v>&lt;valeur&gt;0&lt;/valeur&gt;</v>
      </c>
    </row>
    <row r="6686" spans="1:10" x14ac:dyDescent="0.2">
      <c r="A6686" s="859">
        <f t="shared" si="104"/>
        <v>6685</v>
      </c>
      <c r="B6686" s="845" t="s">
        <v>2559</v>
      </c>
      <c r="D6686" s="862"/>
      <c r="H6686" s="845" t="s">
        <v>1010</v>
      </c>
    </row>
    <row r="6687" spans="1:10" x14ac:dyDescent="0.2">
      <c r="A6687" s="859">
        <f t="shared" si="104"/>
        <v>6686</v>
      </c>
      <c r="B6687" s="845" t="s">
        <v>2559</v>
      </c>
      <c r="D6687" s="861"/>
      <c r="H6687" s="845" t="s">
        <v>1007</v>
      </c>
    </row>
    <row r="6688" spans="1:10" x14ac:dyDescent="0.2">
      <c r="A6688" s="859">
        <f t="shared" si="104"/>
        <v>6687</v>
      </c>
      <c r="B6688" s="845" t="s">
        <v>2559</v>
      </c>
      <c r="D6688" s="861"/>
      <c r="I6688" s="845" t="s">
        <v>1008</v>
      </c>
    </row>
    <row r="6689" spans="1:10" x14ac:dyDescent="0.2">
      <c r="A6689" s="859">
        <f t="shared" si="104"/>
        <v>6688</v>
      </c>
      <c r="B6689" s="845" t="s">
        <v>2559</v>
      </c>
      <c r="D6689" s="862"/>
      <c r="J6689" s="845" t="s">
        <v>2032</v>
      </c>
    </row>
    <row r="6690" spans="1:10" x14ac:dyDescent="0.2">
      <c r="A6690" s="859">
        <f t="shared" si="104"/>
        <v>6689</v>
      </c>
      <c r="B6690" s="845" t="s">
        <v>2559</v>
      </c>
      <c r="D6690" s="863"/>
      <c r="I6690" s="845" t="s">
        <v>1009</v>
      </c>
    </row>
    <row r="6691" spans="1:10" x14ac:dyDescent="0.2">
      <c r="A6691" s="859">
        <f t="shared" si="104"/>
        <v>6690</v>
      </c>
      <c r="B6691" s="845" t="s">
        <v>2559</v>
      </c>
      <c r="D6691" s="862"/>
      <c r="I6691" s="845" t="str">
        <f>CONCATENATE("&lt;valeur&gt;",Cellule_1844,"&lt;/valeur&gt;")</f>
        <v>&lt;valeur&gt;0&lt;/valeur&gt;</v>
      </c>
    </row>
    <row r="6692" spans="1:10" x14ac:dyDescent="0.2">
      <c r="A6692" s="859">
        <f t="shared" si="104"/>
        <v>6691</v>
      </c>
      <c r="B6692" s="845" t="s">
        <v>2559</v>
      </c>
      <c r="D6692" s="862"/>
      <c r="H6692" s="845" t="s">
        <v>1010</v>
      </c>
    </row>
    <row r="6693" spans="1:10" x14ac:dyDescent="0.2">
      <c r="A6693" s="859">
        <f t="shared" si="104"/>
        <v>6692</v>
      </c>
      <c r="B6693" s="845" t="s">
        <v>2559</v>
      </c>
      <c r="D6693" s="861"/>
      <c r="H6693" s="845" t="s">
        <v>1007</v>
      </c>
    </row>
    <row r="6694" spans="1:10" x14ac:dyDescent="0.2">
      <c r="A6694" s="859">
        <f t="shared" si="104"/>
        <v>6693</v>
      </c>
      <c r="B6694" s="845" t="s">
        <v>2559</v>
      </c>
      <c r="D6694" s="861"/>
      <c r="I6694" s="845" t="s">
        <v>1008</v>
      </c>
    </row>
    <row r="6695" spans="1:10" x14ac:dyDescent="0.2">
      <c r="A6695" s="859">
        <f t="shared" si="104"/>
        <v>6694</v>
      </c>
      <c r="B6695" s="845" t="s">
        <v>2559</v>
      </c>
      <c r="D6695" s="862"/>
      <c r="J6695" s="845" t="s">
        <v>2033</v>
      </c>
    </row>
    <row r="6696" spans="1:10" x14ac:dyDescent="0.2">
      <c r="A6696" s="859">
        <f t="shared" si="104"/>
        <v>6695</v>
      </c>
      <c r="B6696" s="845" t="s">
        <v>2559</v>
      </c>
      <c r="D6696" s="863"/>
      <c r="I6696" s="845" t="s">
        <v>1009</v>
      </c>
    </row>
    <row r="6697" spans="1:10" x14ac:dyDescent="0.2">
      <c r="A6697" s="859">
        <f t="shared" si="104"/>
        <v>6696</v>
      </c>
      <c r="B6697" s="845" t="s">
        <v>2559</v>
      </c>
      <c r="D6697" s="862"/>
      <c r="I6697" s="845" t="str">
        <f>CONCATENATE("&lt;valeur&gt;",Cellule_1877,"&lt;/valeur&gt;")</f>
        <v>&lt;valeur&gt;0&lt;/valeur&gt;</v>
      </c>
    </row>
    <row r="6698" spans="1:10" x14ac:dyDescent="0.2">
      <c r="A6698" s="859">
        <f t="shared" si="104"/>
        <v>6697</v>
      </c>
      <c r="B6698" s="845" t="s">
        <v>2559</v>
      </c>
      <c r="D6698" s="862"/>
      <c r="H6698" s="845" t="s">
        <v>1010</v>
      </c>
    </row>
    <row r="6699" spans="1:10" x14ac:dyDescent="0.2">
      <c r="A6699" s="859">
        <f t="shared" si="104"/>
        <v>6698</v>
      </c>
      <c r="B6699" s="845" t="s">
        <v>2559</v>
      </c>
      <c r="D6699" s="861"/>
      <c r="H6699" s="845" t="s">
        <v>1007</v>
      </c>
    </row>
    <row r="6700" spans="1:10" x14ac:dyDescent="0.2">
      <c r="A6700" s="859">
        <f t="shared" si="104"/>
        <v>6699</v>
      </c>
      <c r="B6700" s="845" t="s">
        <v>2559</v>
      </c>
      <c r="D6700" s="861"/>
      <c r="I6700" s="845" t="s">
        <v>1008</v>
      </c>
    </row>
    <row r="6701" spans="1:10" x14ac:dyDescent="0.2">
      <c r="A6701" s="859">
        <f t="shared" si="104"/>
        <v>6700</v>
      </c>
      <c r="B6701" s="845" t="s">
        <v>2559</v>
      </c>
      <c r="D6701" s="862"/>
      <c r="J6701" s="845" t="s">
        <v>2034</v>
      </c>
    </row>
    <row r="6702" spans="1:10" x14ac:dyDescent="0.2">
      <c r="A6702" s="859">
        <f t="shared" si="104"/>
        <v>6701</v>
      </c>
      <c r="B6702" s="845" t="s">
        <v>2559</v>
      </c>
      <c r="D6702" s="863"/>
      <c r="I6702" s="845" t="s">
        <v>1009</v>
      </c>
    </row>
    <row r="6703" spans="1:10" x14ac:dyDescent="0.2">
      <c r="A6703" s="859">
        <f t="shared" si="104"/>
        <v>6702</v>
      </c>
      <c r="B6703" s="845" t="s">
        <v>2559</v>
      </c>
      <c r="D6703" s="862"/>
      <c r="I6703" s="845" t="str">
        <f>CONCATENATE("&lt;valeur&gt;",Cellule_1894,"&lt;/valeur&gt;")</f>
        <v>&lt;valeur&gt;0&lt;/valeur&gt;</v>
      </c>
    </row>
    <row r="6704" spans="1:10" x14ac:dyDescent="0.2">
      <c r="A6704" s="859">
        <f t="shared" si="104"/>
        <v>6703</v>
      </c>
      <c r="B6704" s="845" t="s">
        <v>2559</v>
      </c>
      <c r="D6704" s="862"/>
      <c r="H6704" s="845" t="s">
        <v>1010</v>
      </c>
    </row>
    <row r="6705" spans="1:10" x14ac:dyDescent="0.2">
      <c r="A6705" s="859">
        <f t="shared" si="104"/>
        <v>6704</v>
      </c>
      <c r="B6705" s="845" t="s">
        <v>2559</v>
      </c>
      <c r="D6705" s="861"/>
      <c r="H6705" s="845" t="s">
        <v>1007</v>
      </c>
    </row>
    <row r="6706" spans="1:10" x14ac:dyDescent="0.2">
      <c r="A6706" s="859">
        <f t="shared" si="104"/>
        <v>6705</v>
      </c>
      <c r="B6706" s="845" t="s">
        <v>2559</v>
      </c>
      <c r="D6706" s="861"/>
      <c r="I6706" s="845" t="s">
        <v>1008</v>
      </c>
    </row>
    <row r="6707" spans="1:10" x14ac:dyDescent="0.2">
      <c r="A6707" s="859">
        <f t="shared" si="104"/>
        <v>6706</v>
      </c>
      <c r="B6707" s="845" t="s">
        <v>2559</v>
      </c>
      <c r="D6707" s="862"/>
      <c r="J6707" s="845" t="s">
        <v>2035</v>
      </c>
    </row>
    <row r="6708" spans="1:10" x14ac:dyDescent="0.2">
      <c r="A6708" s="859">
        <f t="shared" si="104"/>
        <v>6707</v>
      </c>
      <c r="B6708" s="845" t="s">
        <v>2559</v>
      </c>
      <c r="D6708" s="863"/>
      <c r="I6708" s="845" t="s">
        <v>1009</v>
      </c>
    </row>
    <row r="6709" spans="1:10" x14ac:dyDescent="0.2">
      <c r="A6709" s="859">
        <f t="shared" si="104"/>
        <v>6708</v>
      </c>
      <c r="B6709" s="845" t="s">
        <v>2559</v>
      </c>
      <c r="D6709" s="862"/>
      <c r="I6709" s="845" t="str">
        <f>CONCATENATE("&lt;valeur&gt;",Cellule_1903,"&lt;/valeur&gt;")</f>
        <v>&lt;valeur&gt;0&lt;/valeur&gt;</v>
      </c>
    </row>
    <row r="6710" spans="1:10" x14ac:dyDescent="0.2">
      <c r="A6710" s="859">
        <f t="shared" si="104"/>
        <v>6709</v>
      </c>
      <c r="B6710" s="845" t="s">
        <v>2559</v>
      </c>
      <c r="D6710" s="862"/>
      <c r="H6710" s="845" t="s">
        <v>1010</v>
      </c>
    </row>
    <row r="6711" spans="1:10" x14ac:dyDescent="0.2">
      <c r="A6711" s="859">
        <f t="shared" si="104"/>
        <v>6710</v>
      </c>
      <c r="B6711" s="845" t="s">
        <v>2559</v>
      </c>
      <c r="D6711" s="861"/>
      <c r="H6711" s="845" t="s">
        <v>1007</v>
      </c>
    </row>
    <row r="6712" spans="1:10" x14ac:dyDescent="0.2">
      <c r="A6712" s="859">
        <f t="shared" si="104"/>
        <v>6711</v>
      </c>
      <c r="B6712" s="845" t="s">
        <v>2559</v>
      </c>
      <c r="D6712" s="861"/>
      <c r="I6712" s="845" t="s">
        <v>1008</v>
      </c>
    </row>
    <row r="6713" spans="1:10" x14ac:dyDescent="0.2">
      <c r="A6713" s="859">
        <f t="shared" si="104"/>
        <v>6712</v>
      </c>
      <c r="B6713" s="845" t="s">
        <v>2559</v>
      </c>
      <c r="D6713" s="862"/>
      <c r="J6713" s="845" t="s">
        <v>2036</v>
      </c>
    </row>
    <row r="6714" spans="1:10" x14ac:dyDescent="0.2">
      <c r="A6714" s="859">
        <f t="shared" si="104"/>
        <v>6713</v>
      </c>
      <c r="B6714" s="845" t="s">
        <v>2559</v>
      </c>
      <c r="D6714" s="863"/>
      <c r="I6714" s="845" t="s">
        <v>1009</v>
      </c>
    </row>
    <row r="6715" spans="1:10" x14ac:dyDescent="0.2">
      <c r="A6715" s="859">
        <f t="shared" si="104"/>
        <v>6714</v>
      </c>
      <c r="B6715" s="845" t="s">
        <v>2559</v>
      </c>
      <c r="D6715" s="862"/>
      <c r="I6715" s="845" t="str">
        <f>CONCATENATE("&lt;valeur&gt;",Cellule_1921,"&lt;/valeur&gt;")</f>
        <v>&lt;valeur&gt;0&lt;/valeur&gt;</v>
      </c>
    </row>
    <row r="6716" spans="1:10" x14ac:dyDescent="0.2">
      <c r="A6716" s="859">
        <f t="shared" si="104"/>
        <v>6715</v>
      </c>
      <c r="B6716" s="845" t="s">
        <v>2559</v>
      </c>
      <c r="D6716" s="862"/>
      <c r="H6716" s="845" t="s">
        <v>1010</v>
      </c>
    </row>
    <row r="6717" spans="1:10" x14ac:dyDescent="0.2">
      <c r="A6717" s="859">
        <f t="shared" si="104"/>
        <v>6716</v>
      </c>
      <c r="B6717" s="845" t="s">
        <v>2559</v>
      </c>
      <c r="D6717" s="861"/>
      <c r="H6717" s="845" t="s">
        <v>1007</v>
      </c>
    </row>
    <row r="6718" spans="1:10" x14ac:dyDescent="0.2">
      <c r="A6718" s="859">
        <f t="shared" si="104"/>
        <v>6717</v>
      </c>
      <c r="B6718" s="845" t="s">
        <v>2559</v>
      </c>
      <c r="D6718" s="860"/>
      <c r="I6718" s="845" t="s">
        <v>1008</v>
      </c>
    </row>
    <row r="6719" spans="1:10" x14ac:dyDescent="0.2">
      <c r="A6719" s="859">
        <f t="shared" si="104"/>
        <v>6718</v>
      </c>
      <c r="B6719" s="845" t="s">
        <v>2559</v>
      </c>
      <c r="D6719" s="860"/>
      <c r="J6719" s="845" t="s">
        <v>2037</v>
      </c>
    </row>
    <row r="6720" spans="1:10" x14ac:dyDescent="0.2">
      <c r="A6720" s="859">
        <f t="shared" si="104"/>
        <v>6719</v>
      </c>
      <c r="B6720" s="845" t="s">
        <v>2559</v>
      </c>
      <c r="D6720" s="857"/>
      <c r="I6720" s="845" t="s">
        <v>1009</v>
      </c>
    </row>
    <row r="6721" spans="1:10" x14ac:dyDescent="0.2">
      <c r="A6721" s="859">
        <f t="shared" si="104"/>
        <v>6720</v>
      </c>
      <c r="B6721" s="845" t="s">
        <v>2559</v>
      </c>
      <c r="D6721" s="857"/>
      <c r="I6721" s="845" t="str">
        <f>CONCATENATE("&lt;valeur&gt;",Cellule_1912,"&lt;/valeur&gt;")</f>
        <v>&lt;valeur&gt;0&lt;/valeur&gt;</v>
      </c>
    </row>
    <row r="6722" spans="1:10" x14ac:dyDescent="0.2">
      <c r="A6722" s="859">
        <f t="shared" si="104"/>
        <v>6721</v>
      </c>
      <c r="B6722" s="845" t="s">
        <v>2559</v>
      </c>
      <c r="D6722" s="860"/>
      <c r="H6722" s="845" t="s">
        <v>1010</v>
      </c>
    </row>
    <row r="6723" spans="1:10" x14ac:dyDescent="0.2">
      <c r="A6723" s="859">
        <f t="shared" si="104"/>
        <v>6722</v>
      </c>
      <c r="B6723" s="845" t="s">
        <v>2559</v>
      </c>
      <c r="D6723" s="861"/>
      <c r="H6723" s="845" t="s">
        <v>1007</v>
      </c>
    </row>
    <row r="6724" spans="1:10" x14ac:dyDescent="0.2">
      <c r="A6724" s="859">
        <f t="shared" ref="A6724:A6787" si="105">+A6723+1</f>
        <v>6723</v>
      </c>
      <c r="B6724" s="845" t="s">
        <v>2559</v>
      </c>
      <c r="D6724" s="860"/>
      <c r="I6724" s="845" t="s">
        <v>1008</v>
      </c>
    </row>
    <row r="6725" spans="1:10" x14ac:dyDescent="0.2">
      <c r="A6725" s="859">
        <f t="shared" si="105"/>
        <v>6724</v>
      </c>
      <c r="B6725" s="845" t="s">
        <v>2559</v>
      </c>
      <c r="D6725" s="860"/>
      <c r="J6725" s="845" t="s">
        <v>2038</v>
      </c>
    </row>
    <row r="6726" spans="1:10" x14ac:dyDescent="0.2">
      <c r="A6726" s="859">
        <f t="shared" si="105"/>
        <v>6725</v>
      </c>
      <c r="B6726" s="845" t="s">
        <v>2559</v>
      </c>
      <c r="D6726" s="861"/>
      <c r="I6726" s="845" t="s">
        <v>1009</v>
      </c>
    </row>
    <row r="6727" spans="1:10" x14ac:dyDescent="0.2">
      <c r="A6727" s="859">
        <f t="shared" si="105"/>
        <v>6726</v>
      </c>
      <c r="B6727" s="845" t="s">
        <v>2559</v>
      </c>
      <c r="D6727" s="862"/>
      <c r="I6727" s="845" t="str">
        <f>CONCATENATE("&lt;valeur&gt;",Cellule_1749,"&lt;/valeur&gt;")</f>
        <v>&lt;valeur&gt;0&lt;/valeur&gt;</v>
      </c>
    </row>
    <row r="6728" spans="1:10" x14ac:dyDescent="0.2">
      <c r="A6728" s="859">
        <f t="shared" si="105"/>
        <v>6727</v>
      </c>
      <c r="B6728" s="845" t="s">
        <v>2559</v>
      </c>
      <c r="D6728" s="863"/>
      <c r="H6728" s="845" t="s">
        <v>1010</v>
      </c>
    </row>
    <row r="6729" spans="1:10" x14ac:dyDescent="0.2">
      <c r="A6729" s="859">
        <f t="shared" si="105"/>
        <v>6728</v>
      </c>
      <c r="B6729" s="845" t="s">
        <v>2559</v>
      </c>
      <c r="D6729" s="862"/>
      <c r="H6729" s="845" t="s">
        <v>1007</v>
      </c>
    </row>
    <row r="6730" spans="1:10" x14ac:dyDescent="0.2">
      <c r="A6730" s="859">
        <f t="shared" si="105"/>
        <v>6729</v>
      </c>
      <c r="B6730" s="845" t="s">
        <v>2559</v>
      </c>
      <c r="D6730" s="862"/>
      <c r="I6730" s="845" t="s">
        <v>1008</v>
      </c>
    </row>
    <row r="6731" spans="1:10" x14ac:dyDescent="0.2">
      <c r="A6731" s="859">
        <f t="shared" si="105"/>
        <v>6730</v>
      </c>
      <c r="B6731" s="845" t="s">
        <v>2559</v>
      </c>
      <c r="D6731" s="861"/>
      <c r="J6731" s="845" t="s">
        <v>2039</v>
      </c>
    </row>
    <row r="6732" spans="1:10" x14ac:dyDescent="0.2">
      <c r="A6732" s="859">
        <f t="shared" si="105"/>
        <v>6731</v>
      </c>
      <c r="B6732" s="845" t="s">
        <v>2559</v>
      </c>
      <c r="D6732" s="861"/>
      <c r="I6732" s="845" t="s">
        <v>1009</v>
      </c>
    </row>
    <row r="6733" spans="1:10" x14ac:dyDescent="0.2">
      <c r="A6733" s="859">
        <f t="shared" si="105"/>
        <v>6732</v>
      </c>
      <c r="B6733" s="845" t="s">
        <v>2559</v>
      </c>
      <c r="D6733" s="862"/>
      <c r="I6733" s="845" t="str">
        <f>CONCATENATE("&lt;valeur&gt;",Cellule_1785,"&lt;/valeur&gt;")</f>
        <v>&lt;valeur&gt;&lt;/valeur&gt;</v>
      </c>
    </row>
    <row r="6734" spans="1:10" x14ac:dyDescent="0.2">
      <c r="A6734" s="859">
        <f t="shared" si="105"/>
        <v>6733</v>
      </c>
      <c r="B6734" s="845" t="s">
        <v>2559</v>
      </c>
      <c r="D6734" s="863"/>
      <c r="H6734" s="845" t="s">
        <v>1010</v>
      </c>
    </row>
    <row r="6735" spans="1:10" x14ac:dyDescent="0.2">
      <c r="A6735" s="859">
        <f t="shared" si="105"/>
        <v>6734</v>
      </c>
      <c r="B6735" s="845" t="s">
        <v>2559</v>
      </c>
      <c r="D6735" s="862"/>
      <c r="H6735" s="845" t="s">
        <v>1007</v>
      </c>
    </row>
    <row r="6736" spans="1:10" x14ac:dyDescent="0.2">
      <c r="A6736" s="859">
        <f t="shared" si="105"/>
        <v>6735</v>
      </c>
      <c r="B6736" s="845" t="s">
        <v>2559</v>
      </c>
      <c r="D6736" s="862"/>
      <c r="I6736" s="845" t="s">
        <v>1008</v>
      </c>
    </row>
    <row r="6737" spans="1:10" x14ac:dyDescent="0.2">
      <c r="A6737" s="859">
        <f t="shared" si="105"/>
        <v>6736</v>
      </c>
      <c r="B6737" s="845" t="s">
        <v>2559</v>
      </c>
      <c r="D6737" s="861"/>
      <c r="J6737" s="845" t="s">
        <v>2040</v>
      </c>
    </row>
    <row r="6738" spans="1:10" x14ac:dyDescent="0.2">
      <c r="A6738" s="859">
        <f t="shared" si="105"/>
        <v>6737</v>
      </c>
      <c r="B6738" s="845" t="s">
        <v>2559</v>
      </c>
      <c r="D6738" s="861"/>
      <c r="I6738" s="845" t="s">
        <v>1009</v>
      </c>
    </row>
    <row r="6739" spans="1:10" x14ac:dyDescent="0.2">
      <c r="A6739" s="859">
        <f t="shared" si="105"/>
        <v>6738</v>
      </c>
      <c r="B6739" s="845" t="s">
        <v>2559</v>
      </c>
      <c r="D6739" s="862"/>
      <c r="I6739" s="845" t="str">
        <f>CONCATENATE("&lt;valeur&gt;",Cellule_1828,"&lt;/valeur&gt;")</f>
        <v>&lt;valeur&gt;0&lt;/valeur&gt;</v>
      </c>
    </row>
    <row r="6740" spans="1:10" x14ac:dyDescent="0.2">
      <c r="A6740" s="859">
        <f t="shared" si="105"/>
        <v>6739</v>
      </c>
      <c r="B6740" s="845" t="s">
        <v>2559</v>
      </c>
      <c r="D6740" s="863"/>
      <c r="H6740" s="845" t="s">
        <v>1010</v>
      </c>
    </row>
    <row r="6741" spans="1:10" x14ac:dyDescent="0.2">
      <c r="A6741" s="859">
        <f t="shared" si="105"/>
        <v>6740</v>
      </c>
      <c r="B6741" s="845" t="s">
        <v>2559</v>
      </c>
      <c r="D6741" s="862"/>
      <c r="H6741" s="845" t="s">
        <v>1007</v>
      </c>
    </row>
    <row r="6742" spans="1:10" x14ac:dyDescent="0.2">
      <c r="A6742" s="859">
        <f t="shared" si="105"/>
        <v>6741</v>
      </c>
      <c r="B6742" s="845" t="s">
        <v>2559</v>
      </c>
      <c r="D6742" s="862"/>
      <c r="I6742" s="845" t="s">
        <v>1008</v>
      </c>
    </row>
    <row r="6743" spans="1:10" x14ac:dyDescent="0.2">
      <c r="A6743" s="859">
        <f t="shared" si="105"/>
        <v>6742</v>
      </c>
      <c r="B6743" s="845" t="s">
        <v>2559</v>
      </c>
      <c r="D6743" s="861"/>
      <c r="J6743" s="845" t="s">
        <v>2041</v>
      </c>
    </row>
    <row r="6744" spans="1:10" x14ac:dyDescent="0.2">
      <c r="A6744" s="859">
        <f t="shared" si="105"/>
        <v>6743</v>
      </c>
      <c r="B6744" s="845" t="s">
        <v>2559</v>
      </c>
      <c r="D6744" s="861"/>
      <c r="I6744" s="845" t="s">
        <v>1009</v>
      </c>
    </row>
    <row r="6745" spans="1:10" x14ac:dyDescent="0.2">
      <c r="A6745" s="859">
        <f t="shared" si="105"/>
        <v>6744</v>
      </c>
      <c r="B6745" s="845" t="s">
        <v>2559</v>
      </c>
      <c r="D6745" s="862"/>
      <c r="I6745" s="845" t="str">
        <f>CONCATENATE("&lt;valeur&gt;",Cellule_1845,"&lt;/valeur&gt;")</f>
        <v>&lt;valeur&gt;0&lt;/valeur&gt;</v>
      </c>
    </row>
    <row r="6746" spans="1:10" x14ac:dyDescent="0.2">
      <c r="A6746" s="859">
        <f t="shared" si="105"/>
        <v>6745</v>
      </c>
      <c r="B6746" s="845" t="s">
        <v>2559</v>
      </c>
      <c r="D6746" s="863"/>
      <c r="H6746" s="845" t="s">
        <v>1010</v>
      </c>
    </row>
    <row r="6747" spans="1:10" x14ac:dyDescent="0.2">
      <c r="A6747" s="859">
        <f t="shared" si="105"/>
        <v>6746</v>
      </c>
      <c r="B6747" s="845" t="s">
        <v>2559</v>
      </c>
      <c r="D6747" s="862"/>
      <c r="H6747" s="845" t="s">
        <v>1007</v>
      </c>
    </row>
    <row r="6748" spans="1:10" x14ac:dyDescent="0.2">
      <c r="A6748" s="859">
        <f t="shared" si="105"/>
        <v>6747</v>
      </c>
      <c r="B6748" s="845" t="s">
        <v>2559</v>
      </c>
      <c r="D6748" s="862"/>
      <c r="I6748" s="845" t="s">
        <v>1008</v>
      </c>
    </row>
    <row r="6749" spans="1:10" x14ac:dyDescent="0.2">
      <c r="A6749" s="859">
        <f t="shared" si="105"/>
        <v>6748</v>
      </c>
      <c r="B6749" s="845" t="s">
        <v>2559</v>
      </c>
      <c r="D6749" s="861"/>
      <c r="J6749" s="845" t="s">
        <v>2042</v>
      </c>
    </row>
    <row r="6750" spans="1:10" x14ac:dyDescent="0.2">
      <c r="A6750" s="859">
        <f t="shared" si="105"/>
        <v>6749</v>
      </c>
      <c r="B6750" s="845" t="s">
        <v>2559</v>
      </c>
      <c r="D6750" s="861"/>
      <c r="I6750" s="845" t="s">
        <v>1009</v>
      </c>
    </row>
    <row r="6751" spans="1:10" x14ac:dyDescent="0.2">
      <c r="A6751" s="859">
        <f t="shared" si="105"/>
        <v>6750</v>
      </c>
      <c r="B6751" s="845" t="s">
        <v>2559</v>
      </c>
      <c r="D6751" s="862"/>
      <c r="I6751" s="845" t="str">
        <f>CONCATENATE("&lt;valeur&gt;",Cellule_1878,"&lt;/valeur&gt;")</f>
        <v>&lt;valeur&gt;0&lt;/valeur&gt;</v>
      </c>
    </row>
    <row r="6752" spans="1:10" x14ac:dyDescent="0.2">
      <c r="A6752" s="859">
        <f t="shared" si="105"/>
        <v>6751</v>
      </c>
      <c r="B6752" s="845" t="s">
        <v>2559</v>
      </c>
      <c r="D6752" s="863"/>
      <c r="H6752" s="845" t="s">
        <v>1010</v>
      </c>
    </row>
    <row r="6753" spans="1:10" x14ac:dyDescent="0.2">
      <c r="A6753" s="859">
        <f t="shared" si="105"/>
        <v>6752</v>
      </c>
      <c r="B6753" s="845" t="s">
        <v>2559</v>
      </c>
      <c r="D6753" s="862"/>
      <c r="H6753" s="845" t="s">
        <v>1007</v>
      </c>
    </row>
    <row r="6754" spans="1:10" x14ac:dyDescent="0.2">
      <c r="A6754" s="859">
        <f t="shared" si="105"/>
        <v>6753</v>
      </c>
      <c r="B6754" s="845" t="s">
        <v>2559</v>
      </c>
      <c r="D6754" s="862"/>
      <c r="I6754" s="845" t="s">
        <v>1008</v>
      </c>
    </row>
    <row r="6755" spans="1:10" x14ac:dyDescent="0.2">
      <c r="A6755" s="859">
        <f t="shared" si="105"/>
        <v>6754</v>
      </c>
      <c r="B6755" s="845" t="s">
        <v>2559</v>
      </c>
      <c r="D6755" s="861"/>
      <c r="J6755" s="845" t="s">
        <v>2043</v>
      </c>
    </row>
    <row r="6756" spans="1:10" x14ac:dyDescent="0.2">
      <c r="A6756" s="859">
        <f t="shared" si="105"/>
        <v>6755</v>
      </c>
      <c r="B6756" s="845" t="s">
        <v>2559</v>
      </c>
      <c r="D6756" s="861"/>
      <c r="I6756" s="845" t="s">
        <v>1009</v>
      </c>
    </row>
    <row r="6757" spans="1:10" x14ac:dyDescent="0.2">
      <c r="A6757" s="859">
        <f t="shared" si="105"/>
        <v>6756</v>
      </c>
      <c r="B6757" s="845" t="s">
        <v>2559</v>
      </c>
      <c r="D6757" s="862"/>
      <c r="I6757" s="845" t="str">
        <f>CONCATENATE("&lt;valeur&gt;",Cellule_1895,"&lt;/valeur&gt;")</f>
        <v>&lt;valeur&gt;0&lt;/valeur&gt;</v>
      </c>
    </row>
    <row r="6758" spans="1:10" x14ac:dyDescent="0.2">
      <c r="A6758" s="859">
        <f t="shared" si="105"/>
        <v>6757</v>
      </c>
      <c r="B6758" s="845" t="s">
        <v>2559</v>
      </c>
      <c r="D6758" s="863"/>
      <c r="H6758" s="845" t="s">
        <v>1010</v>
      </c>
    </row>
    <row r="6759" spans="1:10" x14ac:dyDescent="0.2">
      <c r="A6759" s="859">
        <f t="shared" si="105"/>
        <v>6758</v>
      </c>
      <c r="B6759" s="845" t="s">
        <v>2559</v>
      </c>
      <c r="D6759" s="862"/>
      <c r="H6759" s="845" t="s">
        <v>1007</v>
      </c>
    </row>
    <row r="6760" spans="1:10" x14ac:dyDescent="0.2">
      <c r="A6760" s="859">
        <f t="shared" si="105"/>
        <v>6759</v>
      </c>
      <c r="B6760" s="845" t="s">
        <v>2559</v>
      </c>
      <c r="D6760" s="862"/>
      <c r="I6760" s="845" t="s">
        <v>1008</v>
      </c>
    </row>
    <row r="6761" spans="1:10" x14ac:dyDescent="0.2">
      <c r="A6761" s="859">
        <f t="shared" si="105"/>
        <v>6760</v>
      </c>
      <c r="B6761" s="845" t="s">
        <v>2559</v>
      </c>
      <c r="D6761" s="861"/>
      <c r="J6761" s="845" t="s">
        <v>2044</v>
      </c>
    </row>
    <row r="6762" spans="1:10" x14ac:dyDescent="0.2">
      <c r="A6762" s="859">
        <f t="shared" si="105"/>
        <v>6761</v>
      </c>
      <c r="B6762" s="845" t="s">
        <v>2559</v>
      </c>
      <c r="D6762" s="861"/>
      <c r="I6762" s="845" t="s">
        <v>1009</v>
      </c>
    </row>
    <row r="6763" spans="1:10" x14ac:dyDescent="0.2">
      <c r="A6763" s="859">
        <f t="shared" si="105"/>
        <v>6762</v>
      </c>
      <c r="B6763" s="845" t="s">
        <v>2559</v>
      </c>
      <c r="D6763" s="862"/>
      <c r="I6763" s="845" t="str">
        <f>CONCATENATE("&lt;valeur&gt;",Cellule_1904,"&lt;/valeur&gt;")</f>
        <v>&lt;valeur&gt;&lt;/valeur&gt;</v>
      </c>
    </row>
    <row r="6764" spans="1:10" x14ac:dyDescent="0.2">
      <c r="A6764" s="859">
        <f t="shared" si="105"/>
        <v>6763</v>
      </c>
      <c r="B6764" s="845" t="s">
        <v>2559</v>
      </c>
      <c r="D6764" s="863"/>
      <c r="H6764" s="845" t="s">
        <v>1010</v>
      </c>
    </row>
    <row r="6765" spans="1:10" x14ac:dyDescent="0.2">
      <c r="A6765" s="859">
        <f t="shared" si="105"/>
        <v>6764</v>
      </c>
      <c r="B6765" s="845" t="s">
        <v>2559</v>
      </c>
      <c r="D6765" s="862"/>
      <c r="H6765" s="845" t="s">
        <v>1007</v>
      </c>
    </row>
    <row r="6766" spans="1:10" x14ac:dyDescent="0.2">
      <c r="A6766" s="859">
        <f t="shared" si="105"/>
        <v>6765</v>
      </c>
      <c r="B6766" s="845" t="s">
        <v>2559</v>
      </c>
      <c r="D6766" s="862"/>
      <c r="I6766" s="845" t="s">
        <v>1008</v>
      </c>
    </row>
    <row r="6767" spans="1:10" x14ac:dyDescent="0.2">
      <c r="A6767" s="859">
        <f t="shared" si="105"/>
        <v>6766</v>
      </c>
      <c r="B6767" s="845" t="s">
        <v>2559</v>
      </c>
      <c r="D6767" s="861"/>
      <c r="J6767" s="845" t="s">
        <v>2045</v>
      </c>
    </row>
    <row r="6768" spans="1:10" x14ac:dyDescent="0.2">
      <c r="A6768" s="859">
        <f t="shared" si="105"/>
        <v>6767</v>
      </c>
      <c r="B6768" s="845" t="s">
        <v>2559</v>
      </c>
      <c r="D6768" s="861"/>
      <c r="I6768" s="845" t="s">
        <v>1009</v>
      </c>
    </row>
    <row r="6769" spans="1:10" x14ac:dyDescent="0.2">
      <c r="A6769" s="859">
        <f t="shared" si="105"/>
        <v>6768</v>
      </c>
      <c r="B6769" s="845" t="s">
        <v>2559</v>
      </c>
      <c r="D6769" s="862"/>
      <c r="I6769" s="845" t="str">
        <f>CONCATENATE("&lt;valeur&gt;",Cellule_1922,"&lt;/valeur&gt;")</f>
        <v>&lt;valeur&gt;0&lt;/valeur&gt;</v>
      </c>
    </row>
    <row r="6770" spans="1:10" x14ac:dyDescent="0.2">
      <c r="A6770" s="859">
        <f t="shared" si="105"/>
        <v>6769</v>
      </c>
      <c r="B6770" s="845" t="s">
        <v>2559</v>
      </c>
      <c r="D6770" s="863"/>
      <c r="H6770" s="845" t="s">
        <v>1010</v>
      </c>
    </row>
    <row r="6771" spans="1:10" x14ac:dyDescent="0.2">
      <c r="A6771" s="859">
        <f t="shared" si="105"/>
        <v>6770</v>
      </c>
      <c r="B6771" s="845" t="s">
        <v>2559</v>
      </c>
      <c r="D6771" s="862"/>
      <c r="H6771" s="845" t="s">
        <v>1007</v>
      </c>
    </row>
    <row r="6772" spans="1:10" x14ac:dyDescent="0.2">
      <c r="A6772" s="859">
        <f t="shared" si="105"/>
        <v>6771</v>
      </c>
      <c r="B6772" s="845" t="s">
        <v>2559</v>
      </c>
      <c r="D6772" s="862"/>
      <c r="I6772" s="845" t="s">
        <v>1008</v>
      </c>
    </row>
    <row r="6773" spans="1:10" x14ac:dyDescent="0.2">
      <c r="A6773" s="859">
        <f t="shared" si="105"/>
        <v>6772</v>
      </c>
      <c r="B6773" s="845" t="s">
        <v>2559</v>
      </c>
      <c r="D6773" s="861"/>
      <c r="J6773" s="845" t="s">
        <v>2046</v>
      </c>
    </row>
    <row r="6774" spans="1:10" x14ac:dyDescent="0.2">
      <c r="A6774" s="859">
        <f t="shared" si="105"/>
        <v>6773</v>
      </c>
      <c r="B6774" s="845" t="s">
        <v>2559</v>
      </c>
      <c r="D6774" s="861"/>
      <c r="I6774" s="845" t="s">
        <v>1009</v>
      </c>
    </row>
    <row r="6775" spans="1:10" x14ac:dyDescent="0.2">
      <c r="A6775" s="859">
        <f t="shared" si="105"/>
        <v>6774</v>
      </c>
      <c r="B6775" s="845" t="s">
        <v>2559</v>
      </c>
      <c r="D6775" s="862"/>
      <c r="I6775" s="845" t="str">
        <f>CONCATENATE("&lt;valeur&gt;",Cellule_1913,"&lt;/valeur&gt;")</f>
        <v>&lt;valeur&gt;0&lt;/valeur&gt;</v>
      </c>
    </row>
    <row r="6776" spans="1:10" x14ac:dyDescent="0.2">
      <c r="A6776" s="859">
        <f t="shared" si="105"/>
        <v>6775</v>
      </c>
      <c r="B6776" s="845" t="s">
        <v>2559</v>
      </c>
      <c r="D6776" s="863"/>
      <c r="H6776" s="845" t="s">
        <v>1010</v>
      </c>
    </row>
    <row r="6777" spans="1:10" x14ac:dyDescent="0.2">
      <c r="A6777" s="859">
        <f t="shared" si="105"/>
        <v>6776</v>
      </c>
      <c r="B6777" s="845" t="s">
        <v>2559</v>
      </c>
      <c r="D6777" s="862"/>
      <c r="H6777" s="845" t="s">
        <v>1007</v>
      </c>
    </row>
    <row r="6778" spans="1:10" x14ac:dyDescent="0.2">
      <c r="A6778" s="859">
        <f t="shared" si="105"/>
        <v>6777</v>
      </c>
      <c r="B6778" s="845" t="s">
        <v>2559</v>
      </c>
      <c r="D6778" s="862"/>
      <c r="I6778" s="845" t="s">
        <v>1008</v>
      </c>
    </row>
    <row r="6779" spans="1:10" x14ac:dyDescent="0.2">
      <c r="A6779" s="859">
        <f t="shared" si="105"/>
        <v>6778</v>
      </c>
      <c r="B6779" s="845" t="s">
        <v>2559</v>
      </c>
      <c r="D6779" s="861"/>
      <c r="J6779" s="845" t="s">
        <v>2047</v>
      </c>
    </row>
    <row r="6780" spans="1:10" x14ac:dyDescent="0.2">
      <c r="A6780" s="859">
        <f t="shared" si="105"/>
        <v>6779</v>
      </c>
      <c r="B6780" s="845" t="s">
        <v>2559</v>
      </c>
      <c r="D6780" s="861"/>
      <c r="I6780" s="845" t="s">
        <v>1009</v>
      </c>
    </row>
    <row r="6781" spans="1:10" x14ac:dyDescent="0.2">
      <c r="A6781" s="859">
        <f t="shared" si="105"/>
        <v>6780</v>
      </c>
      <c r="B6781" s="845" t="s">
        <v>2559</v>
      </c>
      <c r="D6781" s="862"/>
      <c r="I6781" s="845" t="str">
        <f>CONCATENATE("&lt;valeur&gt;",Cellule_1750,"&lt;/valeur&gt;")</f>
        <v>&lt;valeur&gt;0&lt;/valeur&gt;</v>
      </c>
    </row>
    <row r="6782" spans="1:10" x14ac:dyDescent="0.2">
      <c r="A6782" s="859">
        <f t="shared" si="105"/>
        <v>6781</v>
      </c>
      <c r="B6782" s="845" t="s">
        <v>2559</v>
      </c>
      <c r="D6782" s="863"/>
      <c r="H6782" s="845" t="s">
        <v>1010</v>
      </c>
    </row>
    <row r="6783" spans="1:10" x14ac:dyDescent="0.2">
      <c r="A6783" s="859">
        <f t="shared" si="105"/>
        <v>6782</v>
      </c>
      <c r="B6783" s="845" t="s">
        <v>2559</v>
      </c>
      <c r="D6783" s="862"/>
      <c r="H6783" s="845" t="s">
        <v>1007</v>
      </c>
    </row>
    <row r="6784" spans="1:10" x14ac:dyDescent="0.2">
      <c r="A6784" s="859">
        <f t="shared" si="105"/>
        <v>6783</v>
      </c>
      <c r="B6784" s="845" t="s">
        <v>2559</v>
      </c>
      <c r="D6784" s="862"/>
      <c r="I6784" s="845" t="s">
        <v>1008</v>
      </c>
    </row>
    <row r="6785" spans="1:10" x14ac:dyDescent="0.2">
      <c r="A6785" s="859">
        <f t="shared" si="105"/>
        <v>6784</v>
      </c>
      <c r="B6785" s="845" t="s">
        <v>2559</v>
      </c>
      <c r="D6785" s="861"/>
      <c r="J6785" s="845" t="s">
        <v>2048</v>
      </c>
    </row>
    <row r="6786" spans="1:10" x14ac:dyDescent="0.2">
      <c r="A6786" s="859">
        <f t="shared" si="105"/>
        <v>6785</v>
      </c>
      <c r="B6786" s="845" t="s">
        <v>2559</v>
      </c>
      <c r="D6786" s="861"/>
      <c r="I6786" s="845" t="s">
        <v>1009</v>
      </c>
    </row>
    <row r="6787" spans="1:10" x14ac:dyDescent="0.2">
      <c r="A6787" s="859">
        <f t="shared" si="105"/>
        <v>6786</v>
      </c>
      <c r="B6787" s="845" t="s">
        <v>2559</v>
      </c>
      <c r="D6787" s="862"/>
      <c r="I6787" s="845" t="str">
        <f>CONCATENATE("&lt;valeur&gt;",Cellule_1786,"&lt;/valeur&gt;")</f>
        <v>&lt;valeur&gt;&lt;/valeur&gt;</v>
      </c>
    </row>
    <row r="6788" spans="1:10" x14ac:dyDescent="0.2">
      <c r="A6788" s="859">
        <f t="shared" ref="A6788:A6851" si="106">+A6787+1</f>
        <v>6787</v>
      </c>
      <c r="B6788" s="845" t="s">
        <v>2559</v>
      </c>
      <c r="D6788" s="863"/>
      <c r="H6788" s="845" t="s">
        <v>1010</v>
      </c>
    </row>
    <row r="6789" spans="1:10" x14ac:dyDescent="0.2">
      <c r="A6789" s="859">
        <f t="shared" si="106"/>
        <v>6788</v>
      </c>
      <c r="B6789" s="845" t="s">
        <v>2559</v>
      </c>
      <c r="D6789" s="862"/>
      <c r="H6789" s="845" t="s">
        <v>1007</v>
      </c>
    </row>
    <row r="6790" spans="1:10" x14ac:dyDescent="0.2">
      <c r="A6790" s="859">
        <f t="shared" si="106"/>
        <v>6789</v>
      </c>
      <c r="B6790" s="845" t="s">
        <v>2559</v>
      </c>
      <c r="D6790" s="862"/>
      <c r="I6790" s="845" t="s">
        <v>1008</v>
      </c>
    </row>
    <row r="6791" spans="1:10" x14ac:dyDescent="0.2">
      <c r="A6791" s="859">
        <f t="shared" si="106"/>
        <v>6790</v>
      </c>
      <c r="B6791" s="845" t="s">
        <v>2559</v>
      </c>
      <c r="D6791" s="861"/>
      <c r="J6791" s="845" t="s">
        <v>2049</v>
      </c>
    </row>
    <row r="6792" spans="1:10" x14ac:dyDescent="0.2">
      <c r="A6792" s="859">
        <f t="shared" si="106"/>
        <v>6791</v>
      </c>
      <c r="B6792" s="845" t="s">
        <v>2559</v>
      </c>
      <c r="D6792" s="861"/>
      <c r="I6792" s="845" t="s">
        <v>1009</v>
      </c>
    </row>
    <row r="6793" spans="1:10" x14ac:dyDescent="0.2">
      <c r="A6793" s="859">
        <f t="shared" si="106"/>
        <v>6792</v>
      </c>
      <c r="B6793" s="845" t="s">
        <v>2559</v>
      </c>
      <c r="D6793" s="862"/>
      <c r="I6793" s="845" t="str">
        <f>CONCATENATE("&lt;valeur&gt;",Cellule_1829,"&lt;/valeur&gt;")</f>
        <v>&lt;valeur&gt;0&lt;/valeur&gt;</v>
      </c>
    </row>
    <row r="6794" spans="1:10" x14ac:dyDescent="0.2">
      <c r="A6794" s="859">
        <f t="shared" si="106"/>
        <v>6793</v>
      </c>
      <c r="B6794" s="845" t="s">
        <v>2559</v>
      </c>
      <c r="D6794" s="863"/>
      <c r="H6794" s="845" t="s">
        <v>1010</v>
      </c>
    </row>
    <row r="6795" spans="1:10" x14ac:dyDescent="0.2">
      <c r="A6795" s="859">
        <f t="shared" si="106"/>
        <v>6794</v>
      </c>
      <c r="B6795" s="845" t="s">
        <v>2559</v>
      </c>
      <c r="D6795" s="862"/>
      <c r="H6795" s="845" t="s">
        <v>1007</v>
      </c>
    </row>
    <row r="6796" spans="1:10" x14ac:dyDescent="0.2">
      <c r="A6796" s="859">
        <f t="shared" si="106"/>
        <v>6795</v>
      </c>
      <c r="B6796" s="845" t="s">
        <v>2559</v>
      </c>
      <c r="D6796" s="862"/>
      <c r="I6796" s="845" t="s">
        <v>1008</v>
      </c>
    </row>
    <row r="6797" spans="1:10" x14ac:dyDescent="0.2">
      <c r="A6797" s="859">
        <f t="shared" si="106"/>
        <v>6796</v>
      </c>
      <c r="B6797" s="845" t="s">
        <v>2559</v>
      </c>
      <c r="D6797" s="861"/>
      <c r="J6797" s="845" t="s">
        <v>2050</v>
      </c>
    </row>
    <row r="6798" spans="1:10" x14ac:dyDescent="0.2">
      <c r="A6798" s="859">
        <f t="shared" si="106"/>
        <v>6797</v>
      </c>
      <c r="B6798" s="845" t="s">
        <v>2559</v>
      </c>
      <c r="D6798" s="861"/>
      <c r="I6798" s="845" t="s">
        <v>1009</v>
      </c>
    </row>
    <row r="6799" spans="1:10" x14ac:dyDescent="0.2">
      <c r="A6799" s="859">
        <f t="shared" si="106"/>
        <v>6798</v>
      </c>
      <c r="B6799" s="845" t="s">
        <v>2559</v>
      </c>
      <c r="D6799" s="862"/>
      <c r="I6799" s="845" t="str">
        <f>CONCATENATE("&lt;valeur&gt;",Cellule_1846,"&lt;/valeur&gt;")</f>
        <v>&lt;valeur&gt;0&lt;/valeur&gt;</v>
      </c>
    </row>
    <row r="6800" spans="1:10" x14ac:dyDescent="0.2">
      <c r="A6800" s="859">
        <f t="shared" si="106"/>
        <v>6799</v>
      </c>
      <c r="B6800" s="845" t="s">
        <v>2559</v>
      </c>
      <c r="D6800" s="863"/>
      <c r="H6800" s="845" t="s">
        <v>1010</v>
      </c>
    </row>
    <row r="6801" spans="1:10" x14ac:dyDescent="0.2">
      <c r="A6801" s="859">
        <f t="shared" si="106"/>
        <v>6800</v>
      </c>
      <c r="B6801" s="845" t="s">
        <v>2559</v>
      </c>
      <c r="D6801" s="862"/>
      <c r="H6801" s="845" t="s">
        <v>1007</v>
      </c>
    </row>
    <row r="6802" spans="1:10" x14ac:dyDescent="0.2">
      <c r="A6802" s="859">
        <f t="shared" si="106"/>
        <v>6801</v>
      </c>
      <c r="B6802" s="845" t="s">
        <v>2559</v>
      </c>
      <c r="D6802" s="862"/>
      <c r="I6802" s="845" t="s">
        <v>1008</v>
      </c>
    </row>
    <row r="6803" spans="1:10" x14ac:dyDescent="0.2">
      <c r="A6803" s="859">
        <f t="shared" si="106"/>
        <v>6802</v>
      </c>
      <c r="B6803" s="845" t="s">
        <v>2559</v>
      </c>
      <c r="D6803" s="861"/>
      <c r="J6803" s="845" t="s">
        <v>2051</v>
      </c>
    </row>
    <row r="6804" spans="1:10" x14ac:dyDescent="0.2">
      <c r="A6804" s="859">
        <f t="shared" si="106"/>
        <v>6803</v>
      </c>
      <c r="B6804" s="845" t="s">
        <v>2559</v>
      </c>
      <c r="D6804" s="861"/>
      <c r="I6804" s="845" t="s">
        <v>1009</v>
      </c>
    </row>
    <row r="6805" spans="1:10" x14ac:dyDescent="0.2">
      <c r="A6805" s="859">
        <f t="shared" si="106"/>
        <v>6804</v>
      </c>
      <c r="B6805" s="845" t="s">
        <v>2559</v>
      </c>
      <c r="D6805" s="862"/>
      <c r="I6805" s="845" t="str">
        <f>CONCATENATE("&lt;valeur&gt;",Cellule_1879,"&lt;/valeur&gt;")</f>
        <v>&lt;valeur&gt;0&lt;/valeur&gt;</v>
      </c>
    </row>
    <row r="6806" spans="1:10" x14ac:dyDescent="0.2">
      <c r="A6806" s="859">
        <f t="shared" si="106"/>
        <v>6805</v>
      </c>
      <c r="B6806" s="845" t="s">
        <v>2559</v>
      </c>
      <c r="D6806" s="863"/>
      <c r="H6806" s="845" t="s">
        <v>1010</v>
      </c>
    </row>
    <row r="6807" spans="1:10" x14ac:dyDescent="0.2">
      <c r="A6807" s="859">
        <f t="shared" si="106"/>
        <v>6806</v>
      </c>
      <c r="B6807" s="845" t="s">
        <v>2559</v>
      </c>
      <c r="D6807" s="862"/>
      <c r="H6807" s="845" t="s">
        <v>1007</v>
      </c>
    </row>
    <row r="6808" spans="1:10" x14ac:dyDescent="0.2">
      <c r="A6808" s="859">
        <f t="shared" si="106"/>
        <v>6807</v>
      </c>
      <c r="B6808" s="845" t="s">
        <v>2559</v>
      </c>
      <c r="D6808" s="862"/>
      <c r="I6808" s="845" t="s">
        <v>1008</v>
      </c>
    </row>
    <row r="6809" spans="1:10" x14ac:dyDescent="0.2">
      <c r="A6809" s="859">
        <f t="shared" si="106"/>
        <v>6808</v>
      </c>
      <c r="B6809" s="845" t="s">
        <v>2559</v>
      </c>
      <c r="D6809" s="861"/>
      <c r="J6809" s="845" t="s">
        <v>2052</v>
      </c>
    </row>
    <row r="6810" spans="1:10" x14ac:dyDescent="0.2">
      <c r="A6810" s="859">
        <f t="shared" si="106"/>
        <v>6809</v>
      </c>
      <c r="B6810" s="845" t="s">
        <v>2559</v>
      </c>
      <c r="D6810" s="861"/>
      <c r="I6810" s="845" t="s">
        <v>1009</v>
      </c>
    </row>
    <row r="6811" spans="1:10" x14ac:dyDescent="0.2">
      <c r="A6811" s="859">
        <f t="shared" si="106"/>
        <v>6810</v>
      </c>
      <c r="B6811" s="845" t="s">
        <v>2559</v>
      </c>
      <c r="D6811" s="862"/>
      <c r="I6811" s="845" t="str">
        <f>CONCATENATE("&lt;valeur&gt;",Cellule_1896,"&lt;/valeur&gt;")</f>
        <v>&lt;valeur&gt;0&lt;/valeur&gt;</v>
      </c>
    </row>
    <row r="6812" spans="1:10" x14ac:dyDescent="0.2">
      <c r="A6812" s="859">
        <f t="shared" si="106"/>
        <v>6811</v>
      </c>
      <c r="B6812" s="845" t="s">
        <v>2559</v>
      </c>
      <c r="D6812" s="863"/>
      <c r="H6812" s="845" t="s">
        <v>1010</v>
      </c>
    </row>
    <row r="6813" spans="1:10" x14ac:dyDescent="0.2">
      <c r="A6813" s="859">
        <f t="shared" si="106"/>
        <v>6812</v>
      </c>
      <c r="B6813" s="845" t="s">
        <v>2559</v>
      </c>
      <c r="D6813" s="862"/>
      <c r="H6813" s="845" t="s">
        <v>1007</v>
      </c>
    </row>
    <row r="6814" spans="1:10" x14ac:dyDescent="0.2">
      <c r="A6814" s="859">
        <f t="shared" si="106"/>
        <v>6813</v>
      </c>
      <c r="B6814" s="845" t="s">
        <v>2559</v>
      </c>
      <c r="D6814" s="862"/>
      <c r="I6814" s="845" t="s">
        <v>1008</v>
      </c>
    </row>
    <row r="6815" spans="1:10" x14ac:dyDescent="0.2">
      <c r="A6815" s="859">
        <f t="shared" si="106"/>
        <v>6814</v>
      </c>
      <c r="B6815" s="845" t="s">
        <v>2559</v>
      </c>
      <c r="D6815" s="861"/>
      <c r="J6815" s="845" t="s">
        <v>2053</v>
      </c>
    </row>
    <row r="6816" spans="1:10" x14ac:dyDescent="0.2">
      <c r="A6816" s="859">
        <f t="shared" si="106"/>
        <v>6815</v>
      </c>
      <c r="B6816" s="845" t="s">
        <v>2559</v>
      </c>
      <c r="D6816" s="861"/>
      <c r="I6816" s="845" t="s">
        <v>1009</v>
      </c>
    </row>
    <row r="6817" spans="1:10" x14ac:dyDescent="0.2">
      <c r="A6817" s="859">
        <f t="shared" si="106"/>
        <v>6816</v>
      </c>
      <c r="B6817" s="845" t="s">
        <v>2559</v>
      </c>
      <c r="D6817" s="862"/>
      <c r="I6817" s="845" t="str">
        <f>CONCATENATE("&lt;valeur&gt;",Cellule_1905,"&lt;/valeur&gt;")</f>
        <v>&lt;valeur&gt;0&lt;/valeur&gt;</v>
      </c>
    </row>
    <row r="6818" spans="1:10" x14ac:dyDescent="0.2">
      <c r="A6818" s="859">
        <f t="shared" si="106"/>
        <v>6817</v>
      </c>
      <c r="B6818" s="845" t="s">
        <v>2559</v>
      </c>
      <c r="D6818" s="863"/>
      <c r="H6818" s="845" t="s">
        <v>1010</v>
      </c>
    </row>
    <row r="6819" spans="1:10" x14ac:dyDescent="0.2">
      <c r="A6819" s="859">
        <f t="shared" si="106"/>
        <v>6818</v>
      </c>
      <c r="B6819" s="845" t="s">
        <v>2559</v>
      </c>
      <c r="D6819" s="862"/>
      <c r="H6819" s="845" t="s">
        <v>1007</v>
      </c>
    </row>
    <row r="6820" spans="1:10" x14ac:dyDescent="0.2">
      <c r="A6820" s="859">
        <f t="shared" si="106"/>
        <v>6819</v>
      </c>
      <c r="B6820" s="845" t="s">
        <v>2559</v>
      </c>
      <c r="D6820" s="862"/>
      <c r="I6820" s="845" t="s">
        <v>1008</v>
      </c>
    </row>
    <row r="6821" spans="1:10" x14ac:dyDescent="0.2">
      <c r="A6821" s="859">
        <f t="shared" si="106"/>
        <v>6820</v>
      </c>
      <c r="B6821" s="845" t="s">
        <v>2559</v>
      </c>
      <c r="D6821" s="861"/>
      <c r="J6821" s="845" t="s">
        <v>2054</v>
      </c>
    </row>
    <row r="6822" spans="1:10" x14ac:dyDescent="0.2">
      <c r="A6822" s="859">
        <f t="shared" si="106"/>
        <v>6821</v>
      </c>
      <c r="B6822" s="845" t="s">
        <v>2559</v>
      </c>
      <c r="D6822" s="861"/>
      <c r="I6822" s="845" t="s">
        <v>1009</v>
      </c>
    </row>
    <row r="6823" spans="1:10" x14ac:dyDescent="0.2">
      <c r="A6823" s="859">
        <f t="shared" si="106"/>
        <v>6822</v>
      </c>
      <c r="B6823" s="845" t="s">
        <v>2559</v>
      </c>
      <c r="D6823" s="862"/>
      <c r="I6823" s="845" t="str">
        <f>CONCATENATE("&lt;valeur&gt;",Cellule_1914,"&lt;/valeur&gt;")</f>
        <v>&lt;valeur&gt;0&lt;/valeur&gt;</v>
      </c>
    </row>
    <row r="6824" spans="1:10" x14ac:dyDescent="0.2">
      <c r="A6824" s="859">
        <f t="shared" si="106"/>
        <v>6823</v>
      </c>
      <c r="B6824" s="845" t="s">
        <v>2559</v>
      </c>
      <c r="D6824" s="863"/>
      <c r="H6824" s="845" t="s">
        <v>1010</v>
      </c>
    </row>
    <row r="6825" spans="1:10" x14ac:dyDescent="0.2">
      <c r="A6825" s="859">
        <f t="shared" si="106"/>
        <v>6824</v>
      </c>
      <c r="B6825" s="845" t="s">
        <v>2559</v>
      </c>
      <c r="D6825" s="862"/>
      <c r="H6825" s="845" t="s">
        <v>1007</v>
      </c>
    </row>
    <row r="6826" spans="1:10" x14ac:dyDescent="0.2">
      <c r="A6826" s="859">
        <f t="shared" si="106"/>
        <v>6825</v>
      </c>
      <c r="B6826" s="845" t="s">
        <v>2559</v>
      </c>
      <c r="D6826" s="862"/>
      <c r="I6826" s="845" t="s">
        <v>1008</v>
      </c>
    </row>
    <row r="6827" spans="1:10" x14ac:dyDescent="0.2">
      <c r="A6827" s="859">
        <f t="shared" si="106"/>
        <v>6826</v>
      </c>
      <c r="B6827" s="845" t="s">
        <v>2559</v>
      </c>
      <c r="D6827" s="861"/>
      <c r="J6827" s="845" t="s">
        <v>2055</v>
      </c>
    </row>
    <row r="6828" spans="1:10" x14ac:dyDescent="0.2">
      <c r="A6828" s="859">
        <f t="shared" si="106"/>
        <v>6827</v>
      </c>
      <c r="B6828" s="845" t="s">
        <v>2559</v>
      </c>
      <c r="D6828" s="861"/>
      <c r="I6828" s="845" t="s">
        <v>1009</v>
      </c>
    </row>
    <row r="6829" spans="1:10" x14ac:dyDescent="0.2">
      <c r="A6829" s="859">
        <f t="shared" si="106"/>
        <v>6828</v>
      </c>
      <c r="B6829" s="845" t="s">
        <v>2559</v>
      </c>
      <c r="D6829" s="862"/>
      <c r="I6829" s="845" t="str">
        <f>CONCATENATE("&lt;valeur&gt;",Cellule_1923,"&lt;/valeur&gt;")</f>
        <v>&lt;valeur&gt;0&lt;/valeur&gt;</v>
      </c>
    </row>
    <row r="6830" spans="1:10" x14ac:dyDescent="0.2">
      <c r="A6830" s="859">
        <f t="shared" si="106"/>
        <v>6829</v>
      </c>
      <c r="B6830" s="845" t="s">
        <v>2559</v>
      </c>
      <c r="D6830" s="863"/>
      <c r="H6830" s="845" t="s">
        <v>1010</v>
      </c>
    </row>
    <row r="6831" spans="1:10" x14ac:dyDescent="0.2">
      <c r="A6831" s="859">
        <f t="shared" si="106"/>
        <v>6830</v>
      </c>
      <c r="B6831" s="845" t="s">
        <v>2559</v>
      </c>
      <c r="D6831" s="862"/>
      <c r="H6831" s="845" t="s">
        <v>1007</v>
      </c>
    </row>
    <row r="6832" spans="1:10" x14ac:dyDescent="0.2">
      <c r="A6832" s="859">
        <f t="shared" si="106"/>
        <v>6831</v>
      </c>
      <c r="B6832" s="845" t="s">
        <v>2559</v>
      </c>
      <c r="D6832" s="862"/>
      <c r="I6832" s="845" t="s">
        <v>1008</v>
      </c>
    </row>
    <row r="6833" spans="1:10" x14ac:dyDescent="0.2">
      <c r="A6833" s="859">
        <f t="shared" si="106"/>
        <v>6832</v>
      </c>
      <c r="B6833" s="845" t="s">
        <v>2559</v>
      </c>
      <c r="D6833" s="861"/>
      <c r="J6833" s="845" t="s">
        <v>2056</v>
      </c>
    </row>
    <row r="6834" spans="1:10" x14ac:dyDescent="0.2">
      <c r="A6834" s="859">
        <f t="shared" si="106"/>
        <v>6833</v>
      </c>
      <c r="B6834" s="845" t="s">
        <v>2559</v>
      </c>
      <c r="D6834" s="861"/>
      <c r="I6834" s="845" t="s">
        <v>1009</v>
      </c>
    </row>
    <row r="6835" spans="1:10" x14ac:dyDescent="0.2">
      <c r="A6835" s="859">
        <f t="shared" si="106"/>
        <v>6834</v>
      </c>
      <c r="B6835" s="845" t="s">
        <v>2559</v>
      </c>
      <c r="D6835" s="862"/>
      <c r="I6835" s="845" t="str">
        <f>CONCATENATE("&lt;valeur&gt;",Cellule_1751,"&lt;/valeur&gt;")</f>
        <v>&lt;valeur&gt;0&lt;/valeur&gt;</v>
      </c>
    </row>
    <row r="6836" spans="1:10" x14ac:dyDescent="0.2">
      <c r="A6836" s="859">
        <f t="shared" si="106"/>
        <v>6835</v>
      </c>
      <c r="B6836" s="845" t="s">
        <v>2559</v>
      </c>
      <c r="D6836" s="863"/>
      <c r="H6836" s="845" t="s">
        <v>1010</v>
      </c>
    </row>
    <row r="6837" spans="1:10" x14ac:dyDescent="0.2">
      <c r="A6837" s="859">
        <f t="shared" si="106"/>
        <v>6836</v>
      </c>
      <c r="B6837" s="845" t="s">
        <v>2559</v>
      </c>
      <c r="D6837" s="862"/>
      <c r="H6837" s="845" t="s">
        <v>1007</v>
      </c>
    </row>
    <row r="6838" spans="1:10" x14ac:dyDescent="0.2">
      <c r="A6838" s="859">
        <f t="shared" si="106"/>
        <v>6837</v>
      </c>
      <c r="B6838" s="845" t="s">
        <v>2559</v>
      </c>
      <c r="D6838" s="862"/>
      <c r="I6838" s="845" t="s">
        <v>1008</v>
      </c>
    </row>
    <row r="6839" spans="1:10" x14ac:dyDescent="0.2">
      <c r="A6839" s="859">
        <f t="shared" si="106"/>
        <v>6838</v>
      </c>
      <c r="B6839" s="845" t="s">
        <v>2559</v>
      </c>
      <c r="D6839" s="861"/>
      <c r="J6839" s="845" t="s">
        <v>2057</v>
      </c>
    </row>
    <row r="6840" spans="1:10" x14ac:dyDescent="0.2">
      <c r="A6840" s="859">
        <f t="shared" si="106"/>
        <v>6839</v>
      </c>
      <c r="B6840" s="845" t="s">
        <v>2559</v>
      </c>
      <c r="D6840" s="861"/>
      <c r="I6840" s="845" t="s">
        <v>1009</v>
      </c>
    </row>
    <row r="6841" spans="1:10" x14ac:dyDescent="0.2">
      <c r="A6841" s="859">
        <f t="shared" si="106"/>
        <v>6840</v>
      </c>
      <c r="B6841" s="845" t="s">
        <v>2559</v>
      </c>
      <c r="D6841" s="862"/>
      <c r="I6841" s="845" t="str">
        <f>CONCATENATE("&lt;valeur&gt;",Cellule_1787,"&lt;/valeur&gt;")</f>
        <v>&lt;valeur&gt;0&lt;/valeur&gt;</v>
      </c>
    </row>
    <row r="6842" spans="1:10" x14ac:dyDescent="0.2">
      <c r="A6842" s="859">
        <f t="shared" si="106"/>
        <v>6841</v>
      </c>
      <c r="B6842" s="845" t="s">
        <v>2559</v>
      </c>
      <c r="D6842" s="863"/>
      <c r="H6842" s="845" t="s">
        <v>1010</v>
      </c>
    </row>
    <row r="6843" spans="1:10" x14ac:dyDescent="0.2">
      <c r="A6843" s="859">
        <f t="shared" si="106"/>
        <v>6842</v>
      </c>
      <c r="B6843" s="845" t="s">
        <v>2559</v>
      </c>
      <c r="D6843" s="862"/>
      <c r="H6843" s="845" t="s">
        <v>1007</v>
      </c>
    </row>
    <row r="6844" spans="1:10" x14ac:dyDescent="0.2">
      <c r="A6844" s="859">
        <f t="shared" si="106"/>
        <v>6843</v>
      </c>
      <c r="B6844" s="845" t="s">
        <v>2559</v>
      </c>
      <c r="D6844" s="862"/>
      <c r="I6844" s="845" t="s">
        <v>1008</v>
      </c>
    </row>
    <row r="6845" spans="1:10" x14ac:dyDescent="0.2">
      <c r="A6845" s="859">
        <f t="shared" si="106"/>
        <v>6844</v>
      </c>
      <c r="B6845" s="845" t="s">
        <v>2559</v>
      </c>
      <c r="D6845" s="861"/>
      <c r="J6845" s="845" t="s">
        <v>2058</v>
      </c>
    </row>
    <row r="6846" spans="1:10" x14ac:dyDescent="0.2">
      <c r="A6846" s="859">
        <f t="shared" si="106"/>
        <v>6845</v>
      </c>
      <c r="B6846" s="845" t="s">
        <v>2559</v>
      </c>
      <c r="D6846" s="861"/>
      <c r="I6846" s="845" t="s">
        <v>1009</v>
      </c>
    </row>
    <row r="6847" spans="1:10" x14ac:dyDescent="0.2">
      <c r="A6847" s="859">
        <f t="shared" si="106"/>
        <v>6846</v>
      </c>
      <c r="B6847" s="845" t="s">
        <v>2559</v>
      </c>
      <c r="D6847" s="862"/>
      <c r="I6847" s="845" t="str">
        <f>CONCATENATE("&lt;valeur&gt;",Cellule_1830,"&lt;/valeur&gt;")</f>
        <v>&lt;valeur&gt;0&lt;/valeur&gt;</v>
      </c>
    </row>
    <row r="6848" spans="1:10" x14ac:dyDescent="0.2">
      <c r="A6848" s="859">
        <f t="shared" si="106"/>
        <v>6847</v>
      </c>
      <c r="B6848" s="845" t="s">
        <v>2559</v>
      </c>
      <c r="D6848" s="863"/>
      <c r="H6848" s="845" t="s">
        <v>1010</v>
      </c>
    </row>
    <row r="6849" spans="1:10" x14ac:dyDescent="0.2">
      <c r="A6849" s="859">
        <f t="shared" si="106"/>
        <v>6848</v>
      </c>
      <c r="B6849" s="845" t="s">
        <v>2559</v>
      </c>
      <c r="D6849" s="862"/>
      <c r="H6849" s="845" t="s">
        <v>1007</v>
      </c>
    </row>
    <row r="6850" spans="1:10" x14ac:dyDescent="0.2">
      <c r="A6850" s="859">
        <f t="shared" si="106"/>
        <v>6849</v>
      </c>
      <c r="B6850" s="845" t="s">
        <v>2559</v>
      </c>
      <c r="D6850" s="862"/>
      <c r="I6850" s="845" t="s">
        <v>1008</v>
      </c>
    </row>
    <row r="6851" spans="1:10" x14ac:dyDescent="0.2">
      <c r="A6851" s="859">
        <f t="shared" si="106"/>
        <v>6850</v>
      </c>
      <c r="B6851" s="845" t="s">
        <v>2559</v>
      </c>
      <c r="D6851" s="861"/>
      <c r="J6851" s="845" t="s">
        <v>2059</v>
      </c>
    </row>
    <row r="6852" spans="1:10" x14ac:dyDescent="0.2">
      <c r="A6852" s="859">
        <f t="shared" ref="A6852:A6915" si="107">+A6851+1</f>
        <v>6851</v>
      </c>
      <c r="B6852" s="845" t="s">
        <v>2559</v>
      </c>
      <c r="D6852" s="861"/>
      <c r="I6852" s="845" t="s">
        <v>1009</v>
      </c>
    </row>
    <row r="6853" spans="1:10" x14ac:dyDescent="0.2">
      <c r="A6853" s="859">
        <f t="shared" si="107"/>
        <v>6852</v>
      </c>
      <c r="B6853" s="845" t="s">
        <v>2559</v>
      </c>
      <c r="D6853" s="862"/>
      <c r="I6853" s="845" t="str">
        <f>CONCATENATE("&lt;valeur&gt;",Cellule_1847,"&lt;/valeur&gt;")</f>
        <v>&lt;valeur&gt;0&lt;/valeur&gt;</v>
      </c>
    </row>
    <row r="6854" spans="1:10" x14ac:dyDescent="0.2">
      <c r="A6854" s="859">
        <f t="shared" si="107"/>
        <v>6853</v>
      </c>
      <c r="B6854" s="845" t="s">
        <v>2559</v>
      </c>
      <c r="D6854" s="863"/>
      <c r="H6854" s="845" t="s">
        <v>1010</v>
      </c>
    </row>
    <row r="6855" spans="1:10" x14ac:dyDescent="0.2">
      <c r="A6855" s="859">
        <f t="shared" si="107"/>
        <v>6854</v>
      </c>
      <c r="B6855" s="845" t="s">
        <v>2559</v>
      </c>
      <c r="D6855" s="862"/>
      <c r="H6855" s="845" t="s">
        <v>1007</v>
      </c>
    </row>
    <row r="6856" spans="1:10" x14ac:dyDescent="0.2">
      <c r="A6856" s="859">
        <f t="shared" si="107"/>
        <v>6855</v>
      </c>
      <c r="B6856" s="845" t="s">
        <v>2559</v>
      </c>
      <c r="D6856" s="862"/>
      <c r="I6856" s="845" t="s">
        <v>1008</v>
      </c>
    </row>
    <row r="6857" spans="1:10" x14ac:dyDescent="0.2">
      <c r="A6857" s="859">
        <f t="shared" si="107"/>
        <v>6856</v>
      </c>
      <c r="B6857" s="845" t="s">
        <v>2559</v>
      </c>
      <c r="D6857" s="861"/>
      <c r="J6857" s="845" t="s">
        <v>2060</v>
      </c>
    </row>
    <row r="6858" spans="1:10" x14ac:dyDescent="0.2">
      <c r="A6858" s="859">
        <f t="shared" si="107"/>
        <v>6857</v>
      </c>
      <c r="B6858" s="845" t="s">
        <v>2559</v>
      </c>
      <c r="D6858" s="861"/>
      <c r="I6858" s="845" t="s">
        <v>1009</v>
      </c>
    </row>
    <row r="6859" spans="1:10" x14ac:dyDescent="0.2">
      <c r="A6859" s="859">
        <f t="shared" si="107"/>
        <v>6858</v>
      </c>
      <c r="B6859" s="845" t="s">
        <v>2559</v>
      </c>
      <c r="D6859" s="862"/>
      <c r="I6859" s="845" t="str">
        <f>CONCATENATE("&lt;valeur&gt;",Cellule_1880,"&lt;/valeur&gt;")</f>
        <v>&lt;valeur&gt;0&lt;/valeur&gt;</v>
      </c>
    </row>
    <row r="6860" spans="1:10" x14ac:dyDescent="0.2">
      <c r="A6860" s="859">
        <f t="shared" si="107"/>
        <v>6859</v>
      </c>
      <c r="B6860" s="845" t="s">
        <v>2559</v>
      </c>
      <c r="D6860" s="863"/>
      <c r="H6860" s="845" t="s">
        <v>1010</v>
      </c>
    </row>
    <row r="6861" spans="1:10" x14ac:dyDescent="0.2">
      <c r="A6861" s="859">
        <f t="shared" si="107"/>
        <v>6860</v>
      </c>
      <c r="B6861" s="845" t="s">
        <v>2559</v>
      </c>
      <c r="D6861" s="862"/>
      <c r="H6861" s="845" t="s">
        <v>1007</v>
      </c>
    </row>
    <row r="6862" spans="1:10" x14ac:dyDescent="0.2">
      <c r="A6862" s="859">
        <f t="shared" si="107"/>
        <v>6861</v>
      </c>
      <c r="B6862" s="845" t="s">
        <v>2559</v>
      </c>
      <c r="D6862" s="862"/>
      <c r="I6862" s="845" t="s">
        <v>1008</v>
      </c>
    </row>
    <row r="6863" spans="1:10" x14ac:dyDescent="0.2">
      <c r="A6863" s="859">
        <f t="shared" si="107"/>
        <v>6862</v>
      </c>
      <c r="B6863" s="845" t="s">
        <v>2559</v>
      </c>
      <c r="D6863" s="861"/>
      <c r="J6863" s="845" t="s">
        <v>2061</v>
      </c>
    </row>
    <row r="6864" spans="1:10" x14ac:dyDescent="0.2">
      <c r="A6864" s="859">
        <f t="shared" si="107"/>
        <v>6863</v>
      </c>
      <c r="B6864" s="845" t="s">
        <v>2559</v>
      </c>
      <c r="D6864" s="861"/>
      <c r="I6864" s="845" t="s">
        <v>1009</v>
      </c>
    </row>
    <row r="6865" spans="1:10" x14ac:dyDescent="0.2">
      <c r="A6865" s="859">
        <f t="shared" si="107"/>
        <v>6864</v>
      </c>
      <c r="B6865" s="845" t="s">
        <v>2559</v>
      </c>
      <c r="D6865" s="862"/>
      <c r="I6865" s="845" t="str">
        <f>CONCATENATE("&lt;valeur&gt;",Cellule_1897,"&lt;/valeur&gt;")</f>
        <v>&lt;valeur&gt;0&lt;/valeur&gt;</v>
      </c>
    </row>
    <row r="6866" spans="1:10" x14ac:dyDescent="0.2">
      <c r="A6866" s="859">
        <f t="shared" si="107"/>
        <v>6865</v>
      </c>
      <c r="B6866" s="845" t="s">
        <v>2559</v>
      </c>
      <c r="D6866" s="863"/>
      <c r="H6866" s="845" t="s">
        <v>1010</v>
      </c>
    </row>
    <row r="6867" spans="1:10" x14ac:dyDescent="0.2">
      <c r="A6867" s="859">
        <f t="shared" si="107"/>
        <v>6866</v>
      </c>
      <c r="B6867" s="845" t="s">
        <v>2559</v>
      </c>
      <c r="D6867" s="862"/>
      <c r="H6867" s="845" t="s">
        <v>1007</v>
      </c>
    </row>
    <row r="6868" spans="1:10" x14ac:dyDescent="0.2">
      <c r="A6868" s="859">
        <f t="shared" si="107"/>
        <v>6867</v>
      </c>
      <c r="B6868" s="845" t="s">
        <v>2559</v>
      </c>
      <c r="D6868" s="862"/>
      <c r="I6868" s="845" t="s">
        <v>1008</v>
      </c>
    </row>
    <row r="6869" spans="1:10" x14ac:dyDescent="0.2">
      <c r="A6869" s="859">
        <f t="shared" si="107"/>
        <v>6868</v>
      </c>
      <c r="B6869" s="845" t="s">
        <v>2559</v>
      </c>
      <c r="D6869" s="861"/>
      <c r="J6869" s="845" t="s">
        <v>2062</v>
      </c>
    </row>
    <row r="6870" spans="1:10" x14ac:dyDescent="0.2">
      <c r="A6870" s="859">
        <f t="shared" si="107"/>
        <v>6869</v>
      </c>
      <c r="B6870" s="845" t="s">
        <v>2559</v>
      </c>
      <c r="D6870" s="861"/>
      <c r="I6870" s="845" t="s">
        <v>1009</v>
      </c>
    </row>
    <row r="6871" spans="1:10" x14ac:dyDescent="0.2">
      <c r="A6871" s="859">
        <f t="shared" si="107"/>
        <v>6870</v>
      </c>
      <c r="B6871" s="845" t="s">
        <v>2559</v>
      </c>
      <c r="D6871" s="862"/>
      <c r="I6871" s="845" t="str">
        <f>CONCATENATE("&lt;valeur&gt;",Cellule_1906,"&lt;/valeur&gt;")</f>
        <v>&lt;valeur&gt;&lt;/valeur&gt;</v>
      </c>
    </row>
    <row r="6872" spans="1:10" x14ac:dyDescent="0.2">
      <c r="A6872" s="859">
        <f t="shared" si="107"/>
        <v>6871</v>
      </c>
      <c r="B6872" s="845" t="s">
        <v>2559</v>
      </c>
      <c r="D6872" s="863"/>
      <c r="H6872" s="845" t="s">
        <v>1010</v>
      </c>
    </row>
    <row r="6873" spans="1:10" x14ac:dyDescent="0.2">
      <c r="A6873" s="859">
        <f t="shared" si="107"/>
        <v>6872</v>
      </c>
      <c r="B6873" s="845" t="s">
        <v>2559</v>
      </c>
      <c r="D6873" s="862"/>
      <c r="H6873" s="845" t="s">
        <v>1007</v>
      </c>
    </row>
    <row r="6874" spans="1:10" x14ac:dyDescent="0.2">
      <c r="A6874" s="859">
        <f t="shared" si="107"/>
        <v>6873</v>
      </c>
      <c r="B6874" s="845" t="s">
        <v>2559</v>
      </c>
      <c r="D6874" s="862"/>
      <c r="I6874" s="845" t="s">
        <v>1008</v>
      </c>
    </row>
    <row r="6875" spans="1:10" x14ac:dyDescent="0.2">
      <c r="A6875" s="859">
        <f t="shared" si="107"/>
        <v>6874</v>
      </c>
      <c r="B6875" s="845" t="s">
        <v>2559</v>
      </c>
      <c r="D6875" s="861"/>
      <c r="J6875" s="845" t="s">
        <v>2063</v>
      </c>
    </row>
    <row r="6876" spans="1:10" x14ac:dyDescent="0.2">
      <c r="A6876" s="859">
        <f t="shared" si="107"/>
        <v>6875</v>
      </c>
      <c r="B6876" s="845" t="s">
        <v>2559</v>
      </c>
      <c r="D6876" s="861"/>
      <c r="I6876" s="845" t="s">
        <v>1009</v>
      </c>
    </row>
    <row r="6877" spans="1:10" x14ac:dyDescent="0.2">
      <c r="A6877" s="859">
        <f t="shared" si="107"/>
        <v>6876</v>
      </c>
      <c r="B6877" s="845" t="s">
        <v>2559</v>
      </c>
      <c r="D6877" s="862"/>
      <c r="I6877" s="845" t="str">
        <f>CONCATENATE("&lt;valeur&gt;",Cellule_1915,"&lt;/valeur&gt;")</f>
        <v>&lt;valeur&gt;0&lt;/valeur&gt;</v>
      </c>
    </row>
    <row r="6878" spans="1:10" x14ac:dyDescent="0.2">
      <c r="A6878" s="859">
        <f t="shared" si="107"/>
        <v>6877</v>
      </c>
      <c r="B6878" s="845" t="s">
        <v>2559</v>
      </c>
      <c r="D6878" s="863"/>
      <c r="H6878" s="845" t="s">
        <v>1010</v>
      </c>
    </row>
    <row r="6879" spans="1:10" x14ac:dyDescent="0.2">
      <c r="A6879" s="859">
        <f t="shared" si="107"/>
        <v>6878</v>
      </c>
      <c r="B6879" s="845" t="s">
        <v>2559</v>
      </c>
      <c r="D6879" s="862"/>
      <c r="H6879" s="845" t="s">
        <v>1007</v>
      </c>
    </row>
    <row r="6880" spans="1:10" x14ac:dyDescent="0.2">
      <c r="A6880" s="859">
        <f t="shared" si="107"/>
        <v>6879</v>
      </c>
      <c r="B6880" s="845" t="s">
        <v>2559</v>
      </c>
      <c r="D6880" s="862"/>
      <c r="I6880" s="845" t="s">
        <v>1008</v>
      </c>
    </row>
    <row r="6881" spans="1:10" x14ac:dyDescent="0.2">
      <c r="A6881" s="859">
        <f t="shared" si="107"/>
        <v>6880</v>
      </c>
      <c r="B6881" s="845" t="s">
        <v>2559</v>
      </c>
      <c r="D6881" s="861"/>
      <c r="J6881" s="845" t="s">
        <v>2064</v>
      </c>
    </row>
    <row r="6882" spans="1:10" x14ac:dyDescent="0.2">
      <c r="A6882" s="859">
        <f t="shared" si="107"/>
        <v>6881</v>
      </c>
      <c r="B6882" s="845" t="s">
        <v>2559</v>
      </c>
      <c r="D6882" s="861"/>
      <c r="I6882" s="845" t="s">
        <v>1009</v>
      </c>
    </row>
    <row r="6883" spans="1:10" x14ac:dyDescent="0.2">
      <c r="A6883" s="859">
        <f t="shared" si="107"/>
        <v>6882</v>
      </c>
      <c r="B6883" s="845" t="s">
        <v>2559</v>
      </c>
      <c r="D6883" s="862"/>
      <c r="I6883" s="845" t="str">
        <f>CONCATENATE("&lt;valeur&gt;",Cellule_1924,"&lt;/valeur&gt;")</f>
        <v>&lt;valeur&gt;0&lt;/valeur&gt;</v>
      </c>
    </row>
    <row r="6884" spans="1:10" x14ac:dyDescent="0.2">
      <c r="A6884" s="859">
        <f t="shared" si="107"/>
        <v>6883</v>
      </c>
      <c r="B6884" s="845" t="s">
        <v>2559</v>
      </c>
      <c r="D6884" s="863"/>
      <c r="H6884" s="845" t="s">
        <v>1010</v>
      </c>
    </row>
    <row r="6885" spans="1:10" x14ac:dyDescent="0.2">
      <c r="A6885" s="859">
        <f t="shared" si="107"/>
        <v>6884</v>
      </c>
      <c r="B6885" s="845" t="s">
        <v>2559</v>
      </c>
      <c r="D6885" s="862"/>
      <c r="H6885" s="845" t="s">
        <v>1007</v>
      </c>
    </row>
    <row r="6886" spans="1:10" x14ac:dyDescent="0.2">
      <c r="A6886" s="859">
        <f t="shared" si="107"/>
        <v>6885</v>
      </c>
      <c r="B6886" s="845" t="s">
        <v>2559</v>
      </c>
      <c r="D6886" s="862"/>
      <c r="I6886" s="845" t="s">
        <v>1008</v>
      </c>
    </row>
    <row r="6887" spans="1:10" x14ac:dyDescent="0.2">
      <c r="A6887" s="859">
        <f t="shared" si="107"/>
        <v>6886</v>
      </c>
      <c r="B6887" s="845" t="s">
        <v>2559</v>
      </c>
      <c r="D6887" s="861"/>
      <c r="J6887" s="845" t="s">
        <v>2065</v>
      </c>
    </row>
    <row r="6888" spans="1:10" x14ac:dyDescent="0.2">
      <c r="A6888" s="859">
        <f t="shared" si="107"/>
        <v>6887</v>
      </c>
      <c r="B6888" s="845" t="s">
        <v>2559</v>
      </c>
      <c r="D6888" s="861"/>
      <c r="I6888" s="845" t="s">
        <v>1009</v>
      </c>
    </row>
    <row r="6889" spans="1:10" x14ac:dyDescent="0.2">
      <c r="A6889" s="859">
        <f t="shared" si="107"/>
        <v>6888</v>
      </c>
      <c r="B6889" s="845" t="s">
        <v>2559</v>
      </c>
      <c r="D6889" s="862"/>
      <c r="I6889" s="845" t="str">
        <f>CONCATENATE("&lt;valeur&gt;",Cellule_1752,"&lt;/valeur&gt;")</f>
        <v>&lt;valeur&gt;0&lt;/valeur&gt;</v>
      </c>
    </row>
    <row r="6890" spans="1:10" x14ac:dyDescent="0.2">
      <c r="A6890" s="859">
        <f t="shared" si="107"/>
        <v>6889</v>
      </c>
      <c r="B6890" s="845" t="s">
        <v>2559</v>
      </c>
      <c r="D6890" s="863"/>
      <c r="H6890" s="845" t="s">
        <v>1010</v>
      </c>
    </row>
    <row r="6891" spans="1:10" x14ac:dyDescent="0.2">
      <c r="A6891" s="859">
        <f t="shared" si="107"/>
        <v>6890</v>
      </c>
      <c r="B6891" s="845" t="s">
        <v>2559</v>
      </c>
      <c r="D6891" s="862"/>
      <c r="H6891" s="845" t="s">
        <v>1007</v>
      </c>
    </row>
    <row r="6892" spans="1:10" x14ac:dyDescent="0.2">
      <c r="A6892" s="859">
        <f t="shared" si="107"/>
        <v>6891</v>
      </c>
      <c r="B6892" s="845" t="s">
        <v>2559</v>
      </c>
      <c r="D6892" s="862"/>
      <c r="I6892" s="845" t="s">
        <v>1008</v>
      </c>
    </row>
    <row r="6893" spans="1:10" x14ac:dyDescent="0.2">
      <c r="A6893" s="859">
        <f t="shared" si="107"/>
        <v>6892</v>
      </c>
      <c r="B6893" s="845" t="s">
        <v>2559</v>
      </c>
      <c r="D6893" s="861"/>
      <c r="J6893" s="845" t="s">
        <v>2066</v>
      </c>
    </row>
    <row r="6894" spans="1:10" x14ac:dyDescent="0.2">
      <c r="A6894" s="859">
        <f t="shared" si="107"/>
        <v>6893</v>
      </c>
      <c r="B6894" s="845" t="s">
        <v>2559</v>
      </c>
      <c r="D6894" s="861"/>
      <c r="I6894" s="845" t="s">
        <v>1009</v>
      </c>
    </row>
    <row r="6895" spans="1:10" x14ac:dyDescent="0.2">
      <c r="A6895" s="859">
        <f t="shared" si="107"/>
        <v>6894</v>
      </c>
      <c r="B6895" s="845" t="s">
        <v>2559</v>
      </c>
      <c r="D6895" s="862"/>
      <c r="I6895" s="845" t="str">
        <f>CONCATENATE("&lt;valeur&gt;",Cellule_1788,"&lt;/valeur&gt;")</f>
        <v>&lt;valeur&gt;&lt;/valeur&gt;</v>
      </c>
    </row>
    <row r="6896" spans="1:10" x14ac:dyDescent="0.2">
      <c r="A6896" s="859">
        <f t="shared" si="107"/>
        <v>6895</v>
      </c>
      <c r="B6896" s="845" t="s">
        <v>2559</v>
      </c>
      <c r="D6896" s="863"/>
      <c r="H6896" s="845" t="s">
        <v>1010</v>
      </c>
    </row>
    <row r="6897" spans="1:10" x14ac:dyDescent="0.2">
      <c r="A6897" s="859">
        <f t="shared" si="107"/>
        <v>6896</v>
      </c>
      <c r="B6897" s="845" t="s">
        <v>2559</v>
      </c>
      <c r="D6897" s="862"/>
      <c r="H6897" s="845" t="s">
        <v>1007</v>
      </c>
    </row>
    <row r="6898" spans="1:10" x14ac:dyDescent="0.2">
      <c r="A6898" s="859">
        <f t="shared" si="107"/>
        <v>6897</v>
      </c>
      <c r="B6898" s="845" t="s">
        <v>2559</v>
      </c>
      <c r="D6898" s="862"/>
      <c r="I6898" s="845" t="s">
        <v>1008</v>
      </c>
    </row>
    <row r="6899" spans="1:10" x14ac:dyDescent="0.2">
      <c r="A6899" s="859">
        <f t="shared" si="107"/>
        <v>6898</v>
      </c>
      <c r="B6899" s="845" t="s">
        <v>2559</v>
      </c>
      <c r="D6899" s="861"/>
      <c r="J6899" s="845" t="s">
        <v>2067</v>
      </c>
    </row>
    <row r="6900" spans="1:10" x14ac:dyDescent="0.2">
      <c r="A6900" s="859">
        <f t="shared" si="107"/>
        <v>6899</v>
      </c>
      <c r="B6900" s="845" t="s">
        <v>2559</v>
      </c>
      <c r="D6900" s="861"/>
      <c r="I6900" s="845" t="s">
        <v>1009</v>
      </c>
    </row>
    <row r="6901" spans="1:10" x14ac:dyDescent="0.2">
      <c r="A6901" s="859">
        <f t="shared" si="107"/>
        <v>6900</v>
      </c>
      <c r="B6901" s="845" t="s">
        <v>2559</v>
      </c>
      <c r="D6901" s="862"/>
      <c r="I6901" s="845" t="str">
        <f>CONCATENATE("&lt;valeur&gt;",Cellule_1831,"&lt;/valeur&gt;")</f>
        <v>&lt;valeur&gt;0&lt;/valeur&gt;</v>
      </c>
    </row>
    <row r="6902" spans="1:10" x14ac:dyDescent="0.2">
      <c r="A6902" s="859">
        <f t="shared" si="107"/>
        <v>6901</v>
      </c>
      <c r="B6902" s="845" t="s">
        <v>2559</v>
      </c>
      <c r="D6902" s="863"/>
      <c r="H6902" s="845" t="s">
        <v>1010</v>
      </c>
    </row>
    <row r="6903" spans="1:10" x14ac:dyDescent="0.2">
      <c r="A6903" s="859">
        <f t="shared" si="107"/>
        <v>6902</v>
      </c>
      <c r="B6903" s="845" t="s">
        <v>2559</v>
      </c>
      <c r="D6903" s="862"/>
      <c r="H6903" s="845" t="s">
        <v>1007</v>
      </c>
    </row>
    <row r="6904" spans="1:10" x14ac:dyDescent="0.2">
      <c r="A6904" s="859">
        <f t="shared" si="107"/>
        <v>6903</v>
      </c>
      <c r="B6904" s="845" t="s">
        <v>2559</v>
      </c>
      <c r="D6904" s="862"/>
      <c r="I6904" s="845" t="s">
        <v>1008</v>
      </c>
    </row>
    <row r="6905" spans="1:10" x14ac:dyDescent="0.2">
      <c r="A6905" s="859">
        <f t="shared" si="107"/>
        <v>6904</v>
      </c>
      <c r="B6905" s="845" t="s">
        <v>2559</v>
      </c>
      <c r="D6905" s="861"/>
      <c r="J6905" s="845" t="s">
        <v>2068</v>
      </c>
    </row>
    <row r="6906" spans="1:10" x14ac:dyDescent="0.2">
      <c r="A6906" s="859">
        <f t="shared" si="107"/>
        <v>6905</v>
      </c>
      <c r="B6906" s="845" t="s">
        <v>2559</v>
      </c>
      <c r="D6906" s="861"/>
      <c r="I6906" s="845" t="s">
        <v>1009</v>
      </c>
    </row>
    <row r="6907" spans="1:10" x14ac:dyDescent="0.2">
      <c r="A6907" s="859">
        <f t="shared" si="107"/>
        <v>6906</v>
      </c>
      <c r="B6907" s="845" t="s">
        <v>2559</v>
      </c>
      <c r="D6907" s="862"/>
      <c r="I6907" s="845" t="str">
        <f>CONCATENATE("&lt;valeur&gt;",Cellule_1848,"&lt;/valeur&gt;")</f>
        <v>&lt;valeur&gt;0&lt;/valeur&gt;</v>
      </c>
    </row>
    <row r="6908" spans="1:10" x14ac:dyDescent="0.2">
      <c r="A6908" s="859">
        <f t="shared" si="107"/>
        <v>6907</v>
      </c>
      <c r="B6908" s="845" t="s">
        <v>2559</v>
      </c>
      <c r="D6908" s="863"/>
      <c r="H6908" s="845" t="s">
        <v>1010</v>
      </c>
    </row>
    <row r="6909" spans="1:10" x14ac:dyDescent="0.2">
      <c r="A6909" s="859">
        <f t="shared" si="107"/>
        <v>6908</v>
      </c>
      <c r="B6909" s="845" t="s">
        <v>2559</v>
      </c>
      <c r="D6909" s="862"/>
      <c r="H6909" s="845" t="s">
        <v>1007</v>
      </c>
    </row>
    <row r="6910" spans="1:10" x14ac:dyDescent="0.2">
      <c r="A6910" s="859">
        <f t="shared" si="107"/>
        <v>6909</v>
      </c>
      <c r="B6910" s="845" t="s">
        <v>2559</v>
      </c>
      <c r="D6910" s="862"/>
      <c r="I6910" s="845" t="s">
        <v>1008</v>
      </c>
    </row>
    <row r="6911" spans="1:10" x14ac:dyDescent="0.2">
      <c r="A6911" s="859">
        <f t="shared" si="107"/>
        <v>6910</v>
      </c>
      <c r="B6911" s="845" t="s">
        <v>2559</v>
      </c>
      <c r="D6911" s="861"/>
      <c r="J6911" s="845" t="s">
        <v>2069</v>
      </c>
    </row>
    <row r="6912" spans="1:10" x14ac:dyDescent="0.2">
      <c r="A6912" s="859">
        <f t="shared" si="107"/>
        <v>6911</v>
      </c>
      <c r="B6912" s="845" t="s">
        <v>2559</v>
      </c>
      <c r="D6912" s="861"/>
      <c r="I6912" s="845" t="s">
        <v>1009</v>
      </c>
    </row>
    <row r="6913" spans="1:10" x14ac:dyDescent="0.2">
      <c r="A6913" s="859">
        <f t="shared" si="107"/>
        <v>6912</v>
      </c>
      <c r="B6913" s="845" t="s">
        <v>2559</v>
      </c>
      <c r="D6913" s="862"/>
      <c r="I6913" s="845" t="str">
        <f>CONCATENATE("&lt;valeur&gt;",Cellule_1881,"&lt;/valeur&gt;")</f>
        <v>&lt;valeur&gt;0&lt;/valeur&gt;</v>
      </c>
    </row>
    <row r="6914" spans="1:10" x14ac:dyDescent="0.2">
      <c r="A6914" s="859">
        <f t="shared" si="107"/>
        <v>6913</v>
      </c>
      <c r="B6914" s="845" t="s">
        <v>2559</v>
      </c>
      <c r="D6914" s="863"/>
      <c r="H6914" s="845" t="s">
        <v>1010</v>
      </c>
    </row>
    <row r="6915" spans="1:10" x14ac:dyDescent="0.2">
      <c r="A6915" s="859">
        <f t="shared" si="107"/>
        <v>6914</v>
      </c>
      <c r="B6915" s="845" t="s">
        <v>2559</v>
      </c>
      <c r="D6915" s="862"/>
      <c r="H6915" s="845" t="s">
        <v>1007</v>
      </c>
    </row>
    <row r="6916" spans="1:10" x14ac:dyDescent="0.2">
      <c r="A6916" s="859">
        <f t="shared" ref="A6916:A6979" si="108">+A6915+1</f>
        <v>6915</v>
      </c>
      <c r="B6916" s="845" t="s">
        <v>2559</v>
      </c>
      <c r="D6916" s="862"/>
      <c r="I6916" s="845" t="s">
        <v>1008</v>
      </c>
    </row>
    <row r="6917" spans="1:10" x14ac:dyDescent="0.2">
      <c r="A6917" s="859">
        <f t="shared" si="108"/>
        <v>6916</v>
      </c>
      <c r="B6917" s="845" t="s">
        <v>2559</v>
      </c>
      <c r="D6917" s="861"/>
      <c r="J6917" s="845" t="s">
        <v>2070</v>
      </c>
    </row>
    <row r="6918" spans="1:10" x14ac:dyDescent="0.2">
      <c r="A6918" s="859">
        <f t="shared" si="108"/>
        <v>6917</v>
      </c>
      <c r="B6918" s="845" t="s">
        <v>2559</v>
      </c>
      <c r="D6918" s="861"/>
      <c r="I6918" s="845" t="s">
        <v>1009</v>
      </c>
    </row>
    <row r="6919" spans="1:10" x14ac:dyDescent="0.2">
      <c r="A6919" s="859">
        <f t="shared" si="108"/>
        <v>6918</v>
      </c>
      <c r="B6919" s="845" t="s">
        <v>2559</v>
      </c>
      <c r="D6919" s="862"/>
      <c r="I6919" s="845" t="str">
        <f>CONCATENATE("&lt;valeur&gt;",Cellule_1898,"&lt;/valeur&gt;")</f>
        <v>&lt;valeur&gt;0&lt;/valeur&gt;</v>
      </c>
    </row>
    <row r="6920" spans="1:10" x14ac:dyDescent="0.2">
      <c r="A6920" s="859">
        <f t="shared" si="108"/>
        <v>6919</v>
      </c>
      <c r="B6920" s="845" t="s">
        <v>2559</v>
      </c>
      <c r="D6920" s="863"/>
      <c r="H6920" s="845" t="s">
        <v>1010</v>
      </c>
    </row>
    <row r="6921" spans="1:10" x14ac:dyDescent="0.2">
      <c r="A6921" s="859">
        <f t="shared" si="108"/>
        <v>6920</v>
      </c>
      <c r="B6921" s="845" t="s">
        <v>2559</v>
      </c>
      <c r="D6921" s="862"/>
      <c r="H6921" s="845" t="s">
        <v>1007</v>
      </c>
    </row>
    <row r="6922" spans="1:10" x14ac:dyDescent="0.2">
      <c r="A6922" s="859">
        <f t="shared" si="108"/>
        <v>6921</v>
      </c>
      <c r="B6922" s="845" t="s">
        <v>2559</v>
      </c>
      <c r="D6922" s="862"/>
      <c r="I6922" s="845" t="s">
        <v>1008</v>
      </c>
    </row>
    <row r="6923" spans="1:10" x14ac:dyDescent="0.2">
      <c r="A6923" s="859">
        <f t="shared" si="108"/>
        <v>6922</v>
      </c>
      <c r="B6923" s="845" t="s">
        <v>2559</v>
      </c>
      <c r="D6923" s="861"/>
      <c r="J6923" s="845" t="s">
        <v>2071</v>
      </c>
    </row>
    <row r="6924" spans="1:10" x14ac:dyDescent="0.2">
      <c r="A6924" s="859">
        <f t="shared" si="108"/>
        <v>6923</v>
      </c>
      <c r="B6924" s="845" t="s">
        <v>2559</v>
      </c>
      <c r="D6924" s="861"/>
      <c r="I6924" s="845" t="s">
        <v>1009</v>
      </c>
    </row>
    <row r="6925" spans="1:10" x14ac:dyDescent="0.2">
      <c r="A6925" s="859">
        <f t="shared" si="108"/>
        <v>6924</v>
      </c>
      <c r="B6925" s="845" t="s">
        <v>2559</v>
      </c>
      <c r="D6925" s="862"/>
      <c r="I6925" s="845" t="str">
        <f>CONCATENATE("&lt;valeur&gt;",Cellule_1907,"&lt;/valeur&gt;")</f>
        <v>&lt;valeur&gt;&lt;/valeur&gt;</v>
      </c>
    </row>
    <row r="6926" spans="1:10" x14ac:dyDescent="0.2">
      <c r="A6926" s="859">
        <f t="shared" si="108"/>
        <v>6925</v>
      </c>
      <c r="B6926" s="845" t="s">
        <v>2559</v>
      </c>
      <c r="D6926" s="863"/>
      <c r="H6926" s="845" t="s">
        <v>1010</v>
      </c>
    </row>
    <row r="6927" spans="1:10" x14ac:dyDescent="0.2">
      <c r="A6927" s="859">
        <f t="shared" si="108"/>
        <v>6926</v>
      </c>
      <c r="B6927" s="845" t="s">
        <v>2559</v>
      </c>
      <c r="D6927" s="862"/>
      <c r="H6927" s="845" t="s">
        <v>1007</v>
      </c>
    </row>
    <row r="6928" spans="1:10" x14ac:dyDescent="0.2">
      <c r="A6928" s="859">
        <f t="shared" si="108"/>
        <v>6927</v>
      </c>
      <c r="B6928" s="845" t="s">
        <v>2559</v>
      </c>
      <c r="D6928" s="862"/>
      <c r="I6928" s="845" t="s">
        <v>1008</v>
      </c>
    </row>
    <row r="6929" spans="1:10" x14ac:dyDescent="0.2">
      <c r="A6929" s="859">
        <f t="shared" si="108"/>
        <v>6928</v>
      </c>
      <c r="B6929" s="845" t="s">
        <v>2559</v>
      </c>
      <c r="D6929" s="861"/>
      <c r="J6929" s="845" t="s">
        <v>2072</v>
      </c>
    </row>
    <row r="6930" spans="1:10" x14ac:dyDescent="0.2">
      <c r="A6930" s="859">
        <f t="shared" si="108"/>
        <v>6929</v>
      </c>
      <c r="B6930" s="845" t="s">
        <v>2559</v>
      </c>
      <c r="D6930" s="861"/>
      <c r="I6930" s="845" t="s">
        <v>1009</v>
      </c>
    </row>
    <row r="6931" spans="1:10" x14ac:dyDescent="0.2">
      <c r="A6931" s="859">
        <f t="shared" si="108"/>
        <v>6930</v>
      </c>
      <c r="B6931" s="845" t="s">
        <v>2559</v>
      </c>
      <c r="D6931" s="862"/>
      <c r="I6931" s="845" t="str">
        <f>CONCATENATE("&lt;valeur&gt;",Cellule_1916,"&lt;/valeur&gt;")</f>
        <v>&lt;valeur&gt;0&lt;/valeur&gt;</v>
      </c>
    </row>
    <row r="6932" spans="1:10" x14ac:dyDescent="0.2">
      <c r="A6932" s="859">
        <f t="shared" si="108"/>
        <v>6931</v>
      </c>
      <c r="B6932" s="845" t="s">
        <v>2559</v>
      </c>
      <c r="D6932" s="863"/>
      <c r="H6932" s="845" t="s">
        <v>1010</v>
      </c>
    </row>
    <row r="6933" spans="1:10" x14ac:dyDescent="0.2">
      <c r="A6933" s="859">
        <f t="shared" si="108"/>
        <v>6932</v>
      </c>
      <c r="B6933" s="845" t="s">
        <v>2559</v>
      </c>
      <c r="D6933" s="862"/>
      <c r="H6933" s="845" t="s">
        <v>1007</v>
      </c>
    </row>
    <row r="6934" spans="1:10" x14ac:dyDescent="0.2">
      <c r="A6934" s="859">
        <f t="shared" si="108"/>
        <v>6933</v>
      </c>
      <c r="B6934" s="845" t="s">
        <v>2559</v>
      </c>
      <c r="D6934" s="862"/>
      <c r="I6934" s="845" t="s">
        <v>1008</v>
      </c>
    </row>
    <row r="6935" spans="1:10" x14ac:dyDescent="0.2">
      <c r="A6935" s="859">
        <f t="shared" si="108"/>
        <v>6934</v>
      </c>
      <c r="B6935" s="845" t="s">
        <v>2559</v>
      </c>
      <c r="D6935" s="861"/>
      <c r="J6935" s="845" t="s">
        <v>2073</v>
      </c>
    </row>
    <row r="6936" spans="1:10" x14ac:dyDescent="0.2">
      <c r="A6936" s="859">
        <f t="shared" si="108"/>
        <v>6935</v>
      </c>
      <c r="B6936" s="845" t="s">
        <v>2559</v>
      </c>
      <c r="D6936" s="861"/>
      <c r="I6936" s="845" t="s">
        <v>1009</v>
      </c>
    </row>
    <row r="6937" spans="1:10" x14ac:dyDescent="0.2">
      <c r="A6937" s="859">
        <f t="shared" si="108"/>
        <v>6936</v>
      </c>
      <c r="B6937" s="845" t="s">
        <v>2559</v>
      </c>
      <c r="D6937" s="862"/>
      <c r="I6937" s="845" t="str">
        <f>CONCATENATE("&lt;valeur&gt;",Cellule_1925,"&lt;/valeur&gt;")</f>
        <v>&lt;valeur&gt;0&lt;/valeur&gt;</v>
      </c>
    </row>
    <row r="6938" spans="1:10" x14ac:dyDescent="0.2">
      <c r="A6938" s="859">
        <f t="shared" si="108"/>
        <v>6937</v>
      </c>
      <c r="B6938" s="845" t="s">
        <v>2559</v>
      </c>
      <c r="D6938" s="863"/>
      <c r="H6938" s="845" t="s">
        <v>1010</v>
      </c>
    </row>
    <row r="6939" spans="1:10" x14ac:dyDescent="0.2">
      <c r="A6939" s="859">
        <f t="shared" si="108"/>
        <v>6938</v>
      </c>
      <c r="B6939" s="845" t="s">
        <v>2559</v>
      </c>
      <c r="D6939" s="862"/>
      <c r="H6939" s="845" t="s">
        <v>1007</v>
      </c>
    </row>
    <row r="6940" spans="1:10" x14ac:dyDescent="0.2">
      <c r="A6940" s="859">
        <f t="shared" si="108"/>
        <v>6939</v>
      </c>
      <c r="B6940" s="845" t="s">
        <v>2559</v>
      </c>
      <c r="D6940" s="862"/>
      <c r="I6940" s="845" t="s">
        <v>1008</v>
      </c>
    </row>
    <row r="6941" spans="1:10" x14ac:dyDescent="0.2">
      <c r="A6941" s="859">
        <f t="shared" si="108"/>
        <v>6940</v>
      </c>
      <c r="B6941" s="845" t="s">
        <v>2559</v>
      </c>
      <c r="D6941" s="861"/>
      <c r="J6941" s="845" t="s">
        <v>2074</v>
      </c>
    </row>
    <row r="6942" spans="1:10" x14ac:dyDescent="0.2">
      <c r="A6942" s="859">
        <f t="shared" si="108"/>
        <v>6941</v>
      </c>
      <c r="B6942" s="845" t="s">
        <v>2559</v>
      </c>
      <c r="D6942" s="861"/>
      <c r="I6942" s="845" t="s">
        <v>1009</v>
      </c>
    </row>
    <row r="6943" spans="1:10" x14ac:dyDescent="0.2">
      <c r="A6943" s="859">
        <f t="shared" si="108"/>
        <v>6942</v>
      </c>
      <c r="B6943" s="845" t="s">
        <v>2559</v>
      </c>
      <c r="D6943" s="862"/>
      <c r="I6943" s="845" t="str">
        <f>CONCATENATE("&lt;valeur&gt;",Cellule_1753,"&lt;/valeur&gt;")</f>
        <v>&lt;valeur&gt;0&lt;/valeur&gt;</v>
      </c>
    </row>
    <row r="6944" spans="1:10" x14ac:dyDescent="0.2">
      <c r="A6944" s="859">
        <f t="shared" si="108"/>
        <v>6943</v>
      </c>
      <c r="B6944" s="845" t="s">
        <v>2559</v>
      </c>
      <c r="D6944" s="863"/>
      <c r="H6944" s="845" t="s">
        <v>1010</v>
      </c>
    </row>
    <row r="6945" spans="1:10" x14ac:dyDescent="0.2">
      <c r="A6945" s="859">
        <f t="shared" si="108"/>
        <v>6944</v>
      </c>
      <c r="B6945" s="845" t="s">
        <v>2559</v>
      </c>
      <c r="D6945" s="862"/>
      <c r="H6945" s="845" t="s">
        <v>1007</v>
      </c>
    </row>
    <row r="6946" spans="1:10" x14ac:dyDescent="0.2">
      <c r="A6946" s="859">
        <f t="shared" si="108"/>
        <v>6945</v>
      </c>
      <c r="B6946" s="845" t="s">
        <v>2559</v>
      </c>
      <c r="D6946" s="862"/>
      <c r="I6946" s="845" t="s">
        <v>1008</v>
      </c>
    </row>
    <row r="6947" spans="1:10" x14ac:dyDescent="0.2">
      <c r="A6947" s="859">
        <f t="shared" si="108"/>
        <v>6946</v>
      </c>
      <c r="B6947" s="845" t="s">
        <v>2559</v>
      </c>
      <c r="D6947" s="861"/>
      <c r="J6947" s="845" t="s">
        <v>2075</v>
      </c>
    </row>
    <row r="6948" spans="1:10" x14ac:dyDescent="0.2">
      <c r="A6948" s="859">
        <f t="shared" si="108"/>
        <v>6947</v>
      </c>
      <c r="B6948" s="845" t="s">
        <v>2559</v>
      </c>
      <c r="D6948" s="861"/>
      <c r="I6948" s="845" t="s">
        <v>1009</v>
      </c>
    </row>
    <row r="6949" spans="1:10" x14ac:dyDescent="0.2">
      <c r="A6949" s="859">
        <f t="shared" si="108"/>
        <v>6948</v>
      </c>
      <c r="B6949" s="845" t="s">
        <v>2559</v>
      </c>
      <c r="D6949" s="862"/>
      <c r="I6949" s="845" t="str">
        <f>CONCATENATE("&lt;valeur&gt;",Cellule_1789,"&lt;/valeur&gt;")</f>
        <v>&lt;valeur&gt;&lt;/valeur&gt;</v>
      </c>
    </row>
    <row r="6950" spans="1:10" x14ac:dyDescent="0.2">
      <c r="A6950" s="859">
        <f t="shared" si="108"/>
        <v>6949</v>
      </c>
      <c r="B6950" s="845" t="s">
        <v>2559</v>
      </c>
      <c r="D6950" s="863"/>
      <c r="H6950" s="845" t="s">
        <v>1010</v>
      </c>
    </row>
    <row r="6951" spans="1:10" x14ac:dyDescent="0.2">
      <c r="A6951" s="859">
        <f t="shared" si="108"/>
        <v>6950</v>
      </c>
      <c r="B6951" s="845" t="s">
        <v>2559</v>
      </c>
      <c r="D6951" s="862"/>
      <c r="H6951" s="845" t="s">
        <v>1007</v>
      </c>
    </row>
    <row r="6952" spans="1:10" x14ac:dyDescent="0.2">
      <c r="A6952" s="859">
        <f t="shared" si="108"/>
        <v>6951</v>
      </c>
      <c r="B6952" s="845" t="s">
        <v>2559</v>
      </c>
      <c r="D6952" s="862"/>
      <c r="I6952" s="845" t="s">
        <v>1008</v>
      </c>
    </row>
    <row r="6953" spans="1:10" x14ac:dyDescent="0.2">
      <c r="A6953" s="859">
        <f t="shared" si="108"/>
        <v>6952</v>
      </c>
      <c r="B6953" s="845" t="s">
        <v>2559</v>
      </c>
      <c r="D6953" s="861"/>
      <c r="J6953" s="845" t="s">
        <v>2076</v>
      </c>
    </row>
    <row r="6954" spans="1:10" x14ac:dyDescent="0.2">
      <c r="A6954" s="859">
        <f t="shared" si="108"/>
        <v>6953</v>
      </c>
      <c r="B6954" s="845" t="s">
        <v>2559</v>
      </c>
      <c r="D6954" s="861"/>
      <c r="I6954" s="845" t="s">
        <v>1009</v>
      </c>
    </row>
    <row r="6955" spans="1:10" x14ac:dyDescent="0.2">
      <c r="A6955" s="859">
        <f t="shared" si="108"/>
        <v>6954</v>
      </c>
      <c r="B6955" s="845" t="s">
        <v>2559</v>
      </c>
      <c r="D6955" s="862"/>
      <c r="I6955" s="845" t="str">
        <f>CONCATENATE("&lt;valeur&gt;",Cellule_1832,"&lt;/valeur&gt;")</f>
        <v>&lt;valeur&gt;0&lt;/valeur&gt;</v>
      </c>
    </row>
    <row r="6956" spans="1:10" x14ac:dyDescent="0.2">
      <c r="A6956" s="859">
        <f t="shared" si="108"/>
        <v>6955</v>
      </c>
      <c r="B6956" s="845" t="s">
        <v>2559</v>
      </c>
      <c r="D6956" s="863"/>
      <c r="H6956" s="845" t="s">
        <v>1010</v>
      </c>
    </row>
    <row r="6957" spans="1:10" x14ac:dyDescent="0.2">
      <c r="A6957" s="859">
        <f t="shared" si="108"/>
        <v>6956</v>
      </c>
      <c r="B6957" s="845" t="s">
        <v>2559</v>
      </c>
      <c r="D6957" s="862"/>
      <c r="H6957" s="845" t="s">
        <v>1007</v>
      </c>
    </row>
    <row r="6958" spans="1:10" x14ac:dyDescent="0.2">
      <c r="A6958" s="859">
        <f t="shared" si="108"/>
        <v>6957</v>
      </c>
      <c r="B6958" s="845" t="s">
        <v>2559</v>
      </c>
      <c r="D6958" s="862"/>
      <c r="I6958" s="845" t="s">
        <v>1008</v>
      </c>
    </row>
    <row r="6959" spans="1:10" x14ac:dyDescent="0.2">
      <c r="A6959" s="859">
        <f t="shared" si="108"/>
        <v>6958</v>
      </c>
      <c r="B6959" s="845" t="s">
        <v>2559</v>
      </c>
      <c r="D6959" s="861"/>
      <c r="J6959" s="845" t="s">
        <v>2077</v>
      </c>
    </row>
    <row r="6960" spans="1:10" x14ac:dyDescent="0.2">
      <c r="A6960" s="859">
        <f t="shared" si="108"/>
        <v>6959</v>
      </c>
      <c r="B6960" s="845" t="s">
        <v>2559</v>
      </c>
      <c r="D6960" s="861"/>
      <c r="I6960" s="845" t="s">
        <v>1009</v>
      </c>
    </row>
    <row r="6961" spans="1:10" x14ac:dyDescent="0.2">
      <c r="A6961" s="859">
        <f t="shared" si="108"/>
        <v>6960</v>
      </c>
      <c r="B6961" s="845" t="s">
        <v>2559</v>
      </c>
      <c r="D6961" s="862"/>
      <c r="I6961" s="845" t="str">
        <f>CONCATENATE("&lt;valeur&gt;",Cellule_1849,"&lt;/valeur&gt;")</f>
        <v>&lt;valeur&gt;0&lt;/valeur&gt;</v>
      </c>
    </row>
    <row r="6962" spans="1:10" x14ac:dyDescent="0.2">
      <c r="A6962" s="859">
        <f t="shared" si="108"/>
        <v>6961</v>
      </c>
      <c r="B6962" s="845" t="s">
        <v>2559</v>
      </c>
      <c r="D6962" s="863"/>
      <c r="H6962" s="845" t="s">
        <v>1010</v>
      </c>
    </row>
    <row r="6963" spans="1:10" x14ac:dyDescent="0.2">
      <c r="A6963" s="859">
        <f t="shared" si="108"/>
        <v>6962</v>
      </c>
      <c r="B6963" s="845" t="s">
        <v>2559</v>
      </c>
      <c r="D6963" s="862"/>
      <c r="H6963" s="845" t="s">
        <v>1007</v>
      </c>
    </row>
    <row r="6964" spans="1:10" x14ac:dyDescent="0.2">
      <c r="A6964" s="859">
        <f t="shared" si="108"/>
        <v>6963</v>
      </c>
      <c r="B6964" s="845" t="s">
        <v>2559</v>
      </c>
      <c r="D6964" s="862"/>
      <c r="I6964" s="845" t="s">
        <v>1008</v>
      </c>
    </row>
    <row r="6965" spans="1:10" x14ac:dyDescent="0.2">
      <c r="A6965" s="859">
        <f t="shared" si="108"/>
        <v>6964</v>
      </c>
      <c r="B6965" s="845" t="s">
        <v>2559</v>
      </c>
      <c r="D6965" s="861"/>
      <c r="J6965" s="845" t="s">
        <v>2078</v>
      </c>
    </row>
    <row r="6966" spans="1:10" x14ac:dyDescent="0.2">
      <c r="A6966" s="859">
        <f t="shared" si="108"/>
        <v>6965</v>
      </c>
      <c r="B6966" s="845" t="s">
        <v>2559</v>
      </c>
      <c r="D6966" s="861"/>
      <c r="I6966" s="845" t="s">
        <v>1009</v>
      </c>
    </row>
    <row r="6967" spans="1:10" x14ac:dyDescent="0.2">
      <c r="A6967" s="859">
        <f t="shared" si="108"/>
        <v>6966</v>
      </c>
      <c r="B6967" s="845" t="s">
        <v>2559</v>
      </c>
      <c r="D6967" s="862"/>
      <c r="I6967" s="845" t="str">
        <f>CONCATENATE("&lt;valeur&gt;",Cellule_1882,"&lt;/valeur&gt;")</f>
        <v>&lt;valeur&gt;0&lt;/valeur&gt;</v>
      </c>
    </row>
    <row r="6968" spans="1:10" x14ac:dyDescent="0.2">
      <c r="A6968" s="859">
        <f t="shared" si="108"/>
        <v>6967</v>
      </c>
      <c r="B6968" s="845" t="s">
        <v>2559</v>
      </c>
      <c r="D6968" s="863"/>
      <c r="H6968" s="845" t="s">
        <v>1010</v>
      </c>
    </row>
    <row r="6969" spans="1:10" x14ac:dyDescent="0.2">
      <c r="A6969" s="859">
        <f t="shared" si="108"/>
        <v>6968</v>
      </c>
      <c r="B6969" s="845" t="s">
        <v>2559</v>
      </c>
      <c r="D6969" s="862"/>
      <c r="H6969" s="845" t="s">
        <v>1007</v>
      </c>
    </row>
    <row r="6970" spans="1:10" x14ac:dyDescent="0.2">
      <c r="A6970" s="859">
        <f t="shared" si="108"/>
        <v>6969</v>
      </c>
      <c r="B6970" s="845" t="s">
        <v>2559</v>
      </c>
      <c r="D6970" s="862"/>
      <c r="I6970" s="845" t="s">
        <v>1008</v>
      </c>
    </row>
    <row r="6971" spans="1:10" x14ac:dyDescent="0.2">
      <c r="A6971" s="859">
        <f t="shared" si="108"/>
        <v>6970</v>
      </c>
      <c r="B6971" s="845" t="s">
        <v>2559</v>
      </c>
      <c r="D6971" s="861"/>
      <c r="J6971" s="845" t="s">
        <v>2079</v>
      </c>
    </row>
    <row r="6972" spans="1:10" x14ac:dyDescent="0.2">
      <c r="A6972" s="859">
        <f t="shared" si="108"/>
        <v>6971</v>
      </c>
      <c r="B6972" s="845" t="s">
        <v>2559</v>
      </c>
      <c r="D6972" s="861"/>
      <c r="I6972" s="845" t="s">
        <v>1009</v>
      </c>
    </row>
    <row r="6973" spans="1:10" x14ac:dyDescent="0.2">
      <c r="A6973" s="859">
        <f t="shared" si="108"/>
        <v>6972</v>
      </c>
      <c r="B6973" s="845" t="s">
        <v>2559</v>
      </c>
      <c r="D6973" s="862"/>
      <c r="I6973" s="845" t="str">
        <f>CONCATENATE("&lt;valeur&gt;",Cellule_1899,"&lt;/valeur&gt;")</f>
        <v>&lt;valeur&gt;0&lt;/valeur&gt;</v>
      </c>
    </row>
    <row r="6974" spans="1:10" x14ac:dyDescent="0.2">
      <c r="A6974" s="859">
        <f t="shared" si="108"/>
        <v>6973</v>
      </c>
      <c r="B6974" s="845" t="s">
        <v>2559</v>
      </c>
      <c r="D6974" s="863"/>
      <c r="H6974" s="845" t="s">
        <v>1010</v>
      </c>
    </row>
    <row r="6975" spans="1:10" x14ac:dyDescent="0.2">
      <c r="A6975" s="859">
        <f t="shared" si="108"/>
        <v>6974</v>
      </c>
      <c r="B6975" s="845" t="s">
        <v>2559</v>
      </c>
      <c r="D6975" s="862"/>
      <c r="H6975" s="845" t="s">
        <v>1007</v>
      </c>
    </row>
    <row r="6976" spans="1:10" x14ac:dyDescent="0.2">
      <c r="A6976" s="859">
        <f t="shared" si="108"/>
        <v>6975</v>
      </c>
      <c r="B6976" s="845" t="s">
        <v>2559</v>
      </c>
      <c r="D6976" s="862"/>
      <c r="I6976" s="845" t="s">
        <v>1008</v>
      </c>
    </row>
    <row r="6977" spans="1:10" x14ac:dyDescent="0.2">
      <c r="A6977" s="859">
        <f t="shared" si="108"/>
        <v>6976</v>
      </c>
      <c r="B6977" s="845" t="s">
        <v>2559</v>
      </c>
      <c r="D6977" s="861"/>
      <c r="J6977" s="845" t="s">
        <v>2080</v>
      </c>
    </row>
    <row r="6978" spans="1:10" x14ac:dyDescent="0.2">
      <c r="A6978" s="859">
        <f t="shared" si="108"/>
        <v>6977</v>
      </c>
      <c r="B6978" s="845" t="s">
        <v>2559</v>
      </c>
      <c r="D6978" s="861"/>
      <c r="I6978" s="845" t="s">
        <v>1009</v>
      </c>
    </row>
    <row r="6979" spans="1:10" x14ac:dyDescent="0.2">
      <c r="A6979" s="859">
        <f t="shared" si="108"/>
        <v>6978</v>
      </c>
      <c r="B6979" s="845" t="s">
        <v>2559</v>
      </c>
      <c r="D6979" s="862"/>
      <c r="I6979" s="845" t="str">
        <f>CONCATENATE("&lt;valeur&gt;",Cellule_1908,"&lt;/valeur&gt;")</f>
        <v>&lt;valeur&gt;0&lt;/valeur&gt;</v>
      </c>
    </row>
    <row r="6980" spans="1:10" x14ac:dyDescent="0.2">
      <c r="A6980" s="859">
        <f t="shared" ref="A6980:A7043" si="109">+A6979+1</f>
        <v>6979</v>
      </c>
      <c r="B6980" s="845" t="s">
        <v>2559</v>
      </c>
      <c r="D6980" s="863"/>
      <c r="H6980" s="845" t="s">
        <v>1010</v>
      </c>
    </row>
    <row r="6981" spans="1:10" x14ac:dyDescent="0.2">
      <c r="A6981" s="859">
        <f t="shared" si="109"/>
        <v>6980</v>
      </c>
      <c r="B6981" s="845" t="s">
        <v>2559</v>
      </c>
      <c r="D6981" s="862"/>
      <c r="H6981" s="845" t="s">
        <v>1007</v>
      </c>
    </row>
    <row r="6982" spans="1:10" x14ac:dyDescent="0.2">
      <c r="A6982" s="859">
        <f t="shared" si="109"/>
        <v>6981</v>
      </c>
      <c r="B6982" s="845" t="s">
        <v>2559</v>
      </c>
      <c r="D6982" s="862"/>
      <c r="I6982" s="845" t="s">
        <v>1008</v>
      </c>
    </row>
    <row r="6983" spans="1:10" x14ac:dyDescent="0.2">
      <c r="A6983" s="859">
        <f t="shared" si="109"/>
        <v>6982</v>
      </c>
      <c r="B6983" s="845" t="s">
        <v>2559</v>
      </c>
      <c r="D6983" s="861"/>
      <c r="J6983" s="845" t="s">
        <v>2081</v>
      </c>
    </row>
    <row r="6984" spans="1:10" x14ac:dyDescent="0.2">
      <c r="A6984" s="859">
        <f t="shared" si="109"/>
        <v>6983</v>
      </c>
      <c r="B6984" s="845" t="s">
        <v>2559</v>
      </c>
      <c r="D6984" s="861"/>
      <c r="I6984" s="845" t="s">
        <v>1009</v>
      </c>
    </row>
    <row r="6985" spans="1:10" x14ac:dyDescent="0.2">
      <c r="A6985" s="859">
        <f t="shared" si="109"/>
        <v>6984</v>
      </c>
      <c r="B6985" s="845" t="s">
        <v>2559</v>
      </c>
      <c r="D6985" s="862"/>
      <c r="I6985" s="845" t="str">
        <f>CONCATENATE("&lt;valeur&gt;",Cellule_1917,"&lt;/valeur&gt;")</f>
        <v>&lt;valeur&gt;0&lt;/valeur&gt;</v>
      </c>
    </row>
    <row r="6986" spans="1:10" x14ac:dyDescent="0.2">
      <c r="A6986" s="859">
        <f t="shared" si="109"/>
        <v>6985</v>
      </c>
      <c r="B6986" s="845" t="s">
        <v>2559</v>
      </c>
      <c r="D6986" s="863"/>
      <c r="H6986" s="845" t="s">
        <v>1010</v>
      </c>
    </row>
    <row r="6987" spans="1:10" x14ac:dyDescent="0.2">
      <c r="A6987" s="859">
        <f t="shared" si="109"/>
        <v>6986</v>
      </c>
      <c r="B6987" s="845" t="s">
        <v>2559</v>
      </c>
      <c r="D6987" s="862"/>
      <c r="H6987" s="845" t="s">
        <v>1007</v>
      </c>
    </row>
    <row r="6988" spans="1:10" x14ac:dyDescent="0.2">
      <c r="A6988" s="859">
        <f t="shared" si="109"/>
        <v>6987</v>
      </c>
      <c r="B6988" s="845" t="s">
        <v>2559</v>
      </c>
      <c r="D6988" s="862"/>
      <c r="I6988" s="845" t="s">
        <v>1008</v>
      </c>
    </row>
    <row r="6989" spans="1:10" x14ac:dyDescent="0.2">
      <c r="A6989" s="859">
        <f t="shared" si="109"/>
        <v>6988</v>
      </c>
      <c r="B6989" s="845" t="s">
        <v>2559</v>
      </c>
      <c r="D6989" s="861"/>
      <c r="J6989" s="845" t="s">
        <v>2082</v>
      </c>
    </row>
    <row r="6990" spans="1:10" x14ac:dyDescent="0.2">
      <c r="A6990" s="859">
        <f t="shared" si="109"/>
        <v>6989</v>
      </c>
      <c r="B6990" s="845" t="s">
        <v>2559</v>
      </c>
      <c r="D6990" s="861"/>
      <c r="I6990" s="845" t="s">
        <v>1009</v>
      </c>
    </row>
    <row r="6991" spans="1:10" x14ac:dyDescent="0.2">
      <c r="A6991" s="859">
        <f t="shared" si="109"/>
        <v>6990</v>
      </c>
      <c r="B6991" s="845" t="s">
        <v>2559</v>
      </c>
      <c r="D6991" s="862"/>
      <c r="I6991" s="845" t="str">
        <f>CONCATENATE("&lt;valeur&gt;",Cellule_1926,"&lt;/valeur&gt;")</f>
        <v>&lt;valeur&gt;0&lt;/valeur&gt;</v>
      </c>
    </row>
    <row r="6992" spans="1:10" x14ac:dyDescent="0.2">
      <c r="A6992" s="859">
        <f t="shared" si="109"/>
        <v>6991</v>
      </c>
      <c r="B6992" s="845" t="s">
        <v>2559</v>
      </c>
      <c r="D6992" s="863"/>
      <c r="H6992" s="845" t="s">
        <v>1010</v>
      </c>
    </row>
    <row r="6993" spans="1:10" x14ac:dyDescent="0.2">
      <c r="A6993" s="859">
        <f t="shared" si="109"/>
        <v>6992</v>
      </c>
      <c r="B6993" s="845" t="s">
        <v>2559</v>
      </c>
      <c r="D6993" s="862"/>
      <c r="H6993" s="845" t="s">
        <v>1007</v>
      </c>
    </row>
    <row r="6994" spans="1:10" x14ac:dyDescent="0.2">
      <c r="A6994" s="859">
        <f t="shared" si="109"/>
        <v>6993</v>
      </c>
      <c r="B6994" s="845" t="s">
        <v>2559</v>
      </c>
      <c r="D6994" s="862"/>
      <c r="I6994" s="845" t="s">
        <v>1008</v>
      </c>
    </row>
    <row r="6995" spans="1:10" x14ac:dyDescent="0.2">
      <c r="A6995" s="859">
        <f t="shared" si="109"/>
        <v>6994</v>
      </c>
      <c r="B6995" s="845" t="s">
        <v>2559</v>
      </c>
      <c r="D6995" s="861"/>
      <c r="J6995" s="845" t="s">
        <v>2083</v>
      </c>
    </row>
    <row r="6996" spans="1:10" x14ac:dyDescent="0.2">
      <c r="A6996" s="859">
        <f t="shared" si="109"/>
        <v>6995</v>
      </c>
      <c r="B6996" s="845" t="s">
        <v>2559</v>
      </c>
      <c r="D6996" s="861"/>
      <c r="I6996" s="845" t="s">
        <v>1009</v>
      </c>
    </row>
    <row r="6997" spans="1:10" x14ac:dyDescent="0.2">
      <c r="A6997" s="859">
        <f t="shared" si="109"/>
        <v>6996</v>
      </c>
      <c r="B6997" s="845" t="s">
        <v>2559</v>
      </c>
      <c r="D6997" s="862"/>
      <c r="I6997" s="845" t="str">
        <f>CONCATENATE("&lt;valeur&gt;",Cellule_1754,"&lt;/valeur&gt;")</f>
        <v>&lt;valeur&gt;0&lt;/valeur&gt;</v>
      </c>
    </row>
    <row r="6998" spans="1:10" x14ac:dyDescent="0.2">
      <c r="A6998" s="859">
        <f t="shared" si="109"/>
        <v>6997</v>
      </c>
      <c r="B6998" s="845" t="s">
        <v>2559</v>
      </c>
      <c r="D6998" s="863"/>
      <c r="H6998" s="845" t="s">
        <v>1010</v>
      </c>
    </row>
    <row r="6999" spans="1:10" x14ac:dyDescent="0.2">
      <c r="A6999" s="859">
        <f t="shared" si="109"/>
        <v>6998</v>
      </c>
      <c r="B6999" s="845" t="s">
        <v>2559</v>
      </c>
      <c r="D6999" s="862"/>
      <c r="H6999" s="845" t="s">
        <v>1007</v>
      </c>
    </row>
    <row r="7000" spans="1:10" x14ac:dyDescent="0.2">
      <c r="A7000" s="859">
        <f t="shared" si="109"/>
        <v>6999</v>
      </c>
      <c r="B7000" s="845" t="s">
        <v>2559</v>
      </c>
      <c r="D7000" s="862"/>
      <c r="I7000" s="845" t="s">
        <v>1008</v>
      </c>
    </row>
    <row r="7001" spans="1:10" x14ac:dyDescent="0.2">
      <c r="A7001" s="859">
        <f t="shared" si="109"/>
        <v>7000</v>
      </c>
      <c r="B7001" s="845" t="s">
        <v>2559</v>
      </c>
      <c r="D7001" s="861"/>
      <c r="J7001" s="845" t="s">
        <v>2084</v>
      </c>
    </row>
    <row r="7002" spans="1:10" x14ac:dyDescent="0.2">
      <c r="A7002" s="859">
        <f t="shared" si="109"/>
        <v>7001</v>
      </c>
      <c r="B7002" s="845" t="s">
        <v>2559</v>
      </c>
      <c r="D7002" s="861"/>
      <c r="I7002" s="845" t="s">
        <v>1009</v>
      </c>
    </row>
    <row r="7003" spans="1:10" x14ac:dyDescent="0.2">
      <c r="A7003" s="859">
        <f t="shared" si="109"/>
        <v>7002</v>
      </c>
      <c r="B7003" s="845" t="s">
        <v>2559</v>
      </c>
      <c r="D7003" s="862"/>
      <c r="I7003" s="845" t="str">
        <f>CONCATENATE("&lt;valeur&gt;",Cellule_1790,"&lt;/valeur&gt;")</f>
        <v>&lt;valeur&gt;0&lt;/valeur&gt;</v>
      </c>
    </row>
    <row r="7004" spans="1:10" x14ac:dyDescent="0.2">
      <c r="A7004" s="859">
        <f t="shared" si="109"/>
        <v>7003</v>
      </c>
      <c r="B7004" s="845" t="s">
        <v>2559</v>
      </c>
      <c r="D7004" s="863"/>
      <c r="H7004" s="845" t="s">
        <v>1010</v>
      </c>
    </row>
    <row r="7005" spans="1:10" x14ac:dyDescent="0.2">
      <c r="A7005" s="859">
        <f t="shared" si="109"/>
        <v>7004</v>
      </c>
      <c r="B7005" s="845" t="s">
        <v>2559</v>
      </c>
      <c r="D7005" s="862"/>
      <c r="H7005" s="845" t="s">
        <v>1007</v>
      </c>
    </row>
    <row r="7006" spans="1:10" x14ac:dyDescent="0.2">
      <c r="A7006" s="859">
        <f t="shared" si="109"/>
        <v>7005</v>
      </c>
      <c r="B7006" s="845" t="s">
        <v>2559</v>
      </c>
      <c r="D7006" s="862"/>
      <c r="I7006" s="845" t="s">
        <v>1008</v>
      </c>
    </row>
    <row r="7007" spans="1:10" x14ac:dyDescent="0.2">
      <c r="A7007" s="859">
        <f t="shared" si="109"/>
        <v>7006</v>
      </c>
      <c r="B7007" s="845" t="s">
        <v>2559</v>
      </c>
      <c r="D7007" s="861"/>
      <c r="J7007" s="845" t="s">
        <v>2085</v>
      </c>
    </row>
    <row r="7008" spans="1:10" x14ac:dyDescent="0.2">
      <c r="A7008" s="859">
        <f t="shared" si="109"/>
        <v>7007</v>
      </c>
      <c r="B7008" s="845" t="s">
        <v>2559</v>
      </c>
      <c r="D7008" s="861"/>
      <c r="I7008" s="845" t="s">
        <v>1009</v>
      </c>
    </row>
    <row r="7009" spans="1:10" x14ac:dyDescent="0.2">
      <c r="A7009" s="859">
        <f t="shared" si="109"/>
        <v>7008</v>
      </c>
      <c r="B7009" s="845" t="s">
        <v>2559</v>
      </c>
      <c r="D7009" s="862"/>
      <c r="I7009" s="845" t="str">
        <f>CONCATENATE("&lt;valeur&gt;",Cellule_1833,"&lt;/valeur&gt;")</f>
        <v>&lt;valeur&gt;0&lt;/valeur&gt;</v>
      </c>
    </row>
    <row r="7010" spans="1:10" x14ac:dyDescent="0.2">
      <c r="A7010" s="859">
        <f t="shared" si="109"/>
        <v>7009</v>
      </c>
      <c r="B7010" s="845" t="s">
        <v>2559</v>
      </c>
      <c r="D7010" s="863"/>
      <c r="H7010" s="845" t="s">
        <v>1010</v>
      </c>
    </row>
    <row r="7011" spans="1:10" x14ac:dyDescent="0.2">
      <c r="A7011" s="859">
        <f t="shared" si="109"/>
        <v>7010</v>
      </c>
      <c r="B7011" s="845" t="s">
        <v>2559</v>
      </c>
      <c r="D7011" s="862"/>
      <c r="H7011" s="845" t="s">
        <v>1007</v>
      </c>
    </row>
    <row r="7012" spans="1:10" x14ac:dyDescent="0.2">
      <c r="A7012" s="859">
        <f t="shared" si="109"/>
        <v>7011</v>
      </c>
      <c r="B7012" s="845" t="s">
        <v>2559</v>
      </c>
      <c r="D7012" s="862"/>
      <c r="I7012" s="845" t="s">
        <v>1008</v>
      </c>
    </row>
    <row r="7013" spans="1:10" x14ac:dyDescent="0.2">
      <c r="A7013" s="859">
        <f t="shared" si="109"/>
        <v>7012</v>
      </c>
      <c r="B7013" s="845" t="s">
        <v>2559</v>
      </c>
      <c r="D7013" s="861"/>
      <c r="J7013" s="845" t="s">
        <v>2086</v>
      </c>
    </row>
    <row r="7014" spans="1:10" x14ac:dyDescent="0.2">
      <c r="A7014" s="859">
        <f t="shared" si="109"/>
        <v>7013</v>
      </c>
      <c r="B7014" s="845" t="s">
        <v>2559</v>
      </c>
      <c r="D7014" s="861"/>
      <c r="I7014" s="845" t="s">
        <v>1009</v>
      </c>
    </row>
    <row r="7015" spans="1:10" x14ac:dyDescent="0.2">
      <c r="A7015" s="859">
        <f t="shared" si="109"/>
        <v>7014</v>
      </c>
      <c r="B7015" s="845" t="s">
        <v>2559</v>
      </c>
      <c r="D7015" s="862"/>
      <c r="I7015" s="845" t="str">
        <f>CONCATENATE("&lt;valeur&gt;",Cellule_1850,"&lt;/valeur&gt;")</f>
        <v>&lt;valeur&gt;0&lt;/valeur&gt;</v>
      </c>
    </row>
    <row r="7016" spans="1:10" x14ac:dyDescent="0.2">
      <c r="A7016" s="859">
        <f t="shared" si="109"/>
        <v>7015</v>
      </c>
      <c r="B7016" s="845" t="s">
        <v>2559</v>
      </c>
      <c r="D7016" s="863"/>
      <c r="H7016" s="845" t="s">
        <v>1010</v>
      </c>
    </row>
    <row r="7017" spans="1:10" x14ac:dyDescent="0.2">
      <c r="A7017" s="859">
        <f t="shared" si="109"/>
        <v>7016</v>
      </c>
      <c r="B7017" s="845" t="s">
        <v>2559</v>
      </c>
      <c r="D7017" s="862"/>
      <c r="H7017" s="845" t="s">
        <v>1007</v>
      </c>
    </row>
    <row r="7018" spans="1:10" x14ac:dyDescent="0.2">
      <c r="A7018" s="859">
        <f t="shared" si="109"/>
        <v>7017</v>
      </c>
      <c r="B7018" s="845" t="s">
        <v>2559</v>
      </c>
      <c r="D7018" s="862"/>
      <c r="I7018" s="845" t="s">
        <v>1008</v>
      </c>
    </row>
    <row r="7019" spans="1:10" x14ac:dyDescent="0.2">
      <c r="A7019" s="859">
        <f t="shared" si="109"/>
        <v>7018</v>
      </c>
      <c r="B7019" s="845" t="s">
        <v>2559</v>
      </c>
      <c r="D7019" s="861"/>
      <c r="J7019" s="845" t="s">
        <v>2087</v>
      </c>
    </row>
    <row r="7020" spans="1:10" x14ac:dyDescent="0.2">
      <c r="A7020" s="859">
        <f t="shared" si="109"/>
        <v>7019</v>
      </c>
      <c r="B7020" s="845" t="s">
        <v>2559</v>
      </c>
      <c r="D7020" s="861"/>
      <c r="I7020" s="845" t="s">
        <v>1009</v>
      </c>
    </row>
    <row r="7021" spans="1:10" x14ac:dyDescent="0.2">
      <c r="A7021" s="859">
        <f t="shared" si="109"/>
        <v>7020</v>
      </c>
      <c r="B7021" s="845" t="s">
        <v>2559</v>
      </c>
      <c r="D7021" s="862"/>
      <c r="I7021" s="845" t="str">
        <f>CONCATENATE("&lt;valeur&gt;",Cellule_1883,"&lt;/valeur&gt;")</f>
        <v>&lt;valeur&gt;0&lt;/valeur&gt;</v>
      </c>
    </row>
    <row r="7022" spans="1:10" x14ac:dyDescent="0.2">
      <c r="A7022" s="859">
        <f t="shared" si="109"/>
        <v>7021</v>
      </c>
      <c r="B7022" s="845" t="s">
        <v>2559</v>
      </c>
      <c r="D7022" s="863"/>
      <c r="H7022" s="845" t="s">
        <v>1010</v>
      </c>
    </row>
    <row r="7023" spans="1:10" x14ac:dyDescent="0.2">
      <c r="A7023" s="859">
        <f t="shared" si="109"/>
        <v>7022</v>
      </c>
      <c r="B7023" s="845" t="s">
        <v>2559</v>
      </c>
      <c r="D7023" s="862"/>
      <c r="H7023" s="845" t="s">
        <v>1007</v>
      </c>
    </row>
    <row r="7024" spans="1:10" x14ac:dyDescent="0.2">
      <c r="A7024" s="859">
        <f t="shared" si="109"/>
        <v>7023</v>
      </c>
      <c r="B7024" s="845" t="s">
        <v>2559</v>
      </c>
      <c r="D7024" s="862"/>
      <c r="I7024" s="845" t="s">
        <v>1008</v>
      </c>
    </row>
    <row r="7025" spans="1:13" x14ac:dyDescent="0.2">
      <c r="A7025" s="859">
        <f t="shared" si="109"/>
        <v>7024</v>
      </c>
      <c r="B7025" s="845" t="s">
        <v>2559</v>
      </c>
      <c r="D7025" s="861"/>
      <c r="J7025" s="845" t="s">
        <v>2088</v>
      </c>
    </row>
    <row r="7026" spans="1:13" x14ac:dyDescent="0.2">
      <c r="A7026" s="859">
        <f t="shared" si="109"/>
        <v>7025</v>
      </c>
      <c r="B7026" s="845" t="s">
        <v>2559</v>
      </c>
      <c r="D7026" s="861"/>
      <c r="I7026" s="845" t="s">
        <v>1009</v>
      </c>
    </row>
    <row r="7027" spans="1:13" x14ac:dyDescent="0.2">
      <c r="A7027" s="859">
        <f t="shared" si="109"/>
        <v>7026</v>
      </c>
      <c r="B7027" s="845" t="s">
        <v>2559</v>
      </c>
      <c r="D7027" s="862"/>
      <c r="I7027" s="845" t="str">
        <f>CONCATENATE("&lt;valeur&gt;",Cellule_1900,"&lt;/valeur&gt;")</f>
        <v>&lt;valeur&gt;0&lt;/valeur&gt;</v>
      </c>
      <c r="K7027" s="847"/>
      <c r="M7027" s="847"/>
    </row>
    <row r="7028" spans="1:13" x14ac:dyDescent="0.2">
      <c r="A7028" s="859">
        <f t="shared" si="109"/>
        <v>7027</v>
      </c>
      <c r="B7028" s="845" t="s">
        <v>2559</v>
      </c>
      <c r="D7028" s="863"/>
      <c r="H7028" s="845" t="s">
        <v>1010</v>
      </c>
    </row>
    <row r="7029" spans="1:13" x14ac:dyDescent="0.2">
      <c r="A7029" s="859">
        <f t="shared" si="109"/>
        <v>7028</v>
      </c>
      <c r="B7029" s="845" t="s">
        <v>2559</v>
      </c>
      <c r="D7029" s="862"/>
      <c r="H7029" s="845" t="s">
        <v>1007</v>
      </c>
      <c r="K7029" s="847"/>
    </row>
    <row r="7030" spans="1:13" x14ac:dyDescent="0.2">
      <c r="A7030" s="859">
        <f t="shared" si="109"/>
        <v>7029</v>
      </c>
      <c r="B7030" s="845" t="s">
        <v>2559</v>
      </c>
      <c r="D7030" s="862"/>
      <c r="I7030" s="845" t="s">
        <v>1008</v>
      </c>
    </row>
    <row r="7031" spans="1:13" x14ac:dyDescent="0.2">
      <c r="A7031" s="859">
        <f t="shared" si="109"/>
        <v>7030</v>
      </c>
      <c r="B7031" s="845" t="s">
        <v>2559</v>
      </c>
      <c r="D7031" s="861"/>
      <c r="J7031" s="845" t="s">
        <v>2089</v>
      </c>
      <c r="K7031" s="847"/>
    </row>
    <row r="7032" spans="1:13" x14ac:dyDescent="0.2">
      <c r="A7032" s="859">
        <f t="shared" si="109"/>
        <v>7031</v>
      </c>
      <c r="B7032" s="845" t="s">
        <v>2559</v>
      </c>
      <c r="D7032" s="861"/>
      <c r="I7032" s="845" t="s">
        <v>1009</v>
      </c>
    </row>
    <row r="7033" spans="1:13" x14ac:dyDescent="0.2">
      <c r="A7033" s="859">
        <f t="shared" si="109"/>
        <v>7032</v>
      </c>
      <c r="B7033" s="845" t="s">
        <v>2559</v>
      </c>
      <c r="D7033" s="862"/>
      <c r="I7033" s="845" t="str">
        <f>CONCATENATE("&lt;valeur&gt;",Cellule_1909,"&lt;/valeur&gt;")</f>
        <v>&lt;valeur&gt;&lt;/valeur&gt;</v>
      </c>
      <c r="K7033" s="847"/>
    </row>
    <row r="7034" spans="1:13" x14ac:dyDescent="0.2">
      <c r="A7034" s="859">
        <f t="shared" si="109"/>
        <v>7033</v>
      </c>
      <c r="B7034" s="845" t="s">
        <v>2559</v>
      </c>
      <c r="D7034" s="863"/>
      <c r="H7034" s="845" t="s">
        <v>1010</v>
      </c>
    </row>
    <row r="7035" spans="1:13" x14ac:dyDescent="0.2">
      <c r="A7035" s="859">
        <f t="shared" si="109"/>
        <v>7034</v>
      </c>
      <c r="B7035" s="845" t="s">
        <v>2559</v>
      </c>
      <c r="D7035" s="862"/>
      <c r="H7035" s="845" t="s">
        <v>1007</v>
      </c>
    </row>
    <row r="7036" spans="1:13" x14ac:dyDescent="0.2">
      <c r="A7036" s="859">
        <f t="shared" si="109"/>
        <v>7035</v>
      </c>
      <c r="B7036" s="845" t="s">
        <v>2559</v>
      </c>
      <c r="D7036" s="862"/>
      <c r="I7036" s="845" t="s">
        <v>1008</v>
      </c>
    </row>
    <row r="7037" spans="1:13" x14ac:dyDescent="0.2">
      <c r="A7037" s="859">
        <f t="shared" si="109"/>
        <v>7036</v>
      </c>
      <c r="B7037" s="845" t="s">
        <v>2559</v>
      </c>
      <c r="D7037" s="861"/>
      <c r="J7037" s="845" t="s">
        <v>2090</v>
      </c>
    </row>
    <row r="7038" spans="1:13" x14ac:dyDescent="0.2">
      <c r="A7038" s="859">
        <f t="shared" si="109"/>
        <v>7037</v>
      </c>
      <c r="B7038" s="845" t="s">
        <v>2559</v>
      </c>
      <c r="D7038" s="861"/>
      <c r="I7038" s="845" t="s">
        <v>1009</v>
      </c>
    </row>
    <row r="7039" spans="1:13" x14ac:dyDescent="0.2">
      <c r="A7039" s="859">
        <f t="shared" si="109"/>
        <v>7038</v>
      </c>
      <c r="B7039" s="845" t="s">
        <v>2559</v>
      </c>
      <c r="D7039" s="862"/>
      <c r="I7039" s="845" t="str">
        <f>CONCATENATE("&lt;valeur&gt;",Cellule_1918,"&lt;/valeur&gt;")</f>
        <v>&lt;valeur&gt;&lt;/valeur&gt;</v>
      </c>
    </row>
    <row r="7040" spans="1:13" x14ac:dyDescent="0.2">
      <c r="A7040" s="859">
        <f t="shared" si="109"/>
        <v>7039</v>
      </c>
      <c r="B7040" s="845" t="s">
        <v>2559</v>
      </c>
      <c r="D7040" s="863"/>
      <c r="H7040" s="845" t="s">
        <v>1010</v>
      </c>
    </row>
    <row r="7041" spans="1:10" x14ac:dyDescent="0.2">
      <c r="A7041" s="859">
        <f t="shared" si="109"/>
        <v>7040</v>
      </c>
      <c r="B7041" s="845" t="s">
        <v>2559</v>
      </c>
      <c r="D7041" s="862"/>
      <c r="H7041" s="845" t="s">
        <v>1007</v>
      </c>
    </row>
    <row r="7042" spans="1:10" x14ac:dyDescent="0.2">
      <c r="A7042" s="859">
        <f t="shared" si="109"/>
        <v>7041</v>
      </c>
      <c r="B7042" s="845" t="s">
        <v>2559</v>
      </c>
      <c r="D7042" s="862"/>
      <c r="I7042" s="845" t="s">
        <v>1008</v>
      </c>
    </row>
    <row r="7043" spans="1:10" x14ac:dyDescent="0.2">
      <c r="A7043" s="859">
        <f t="shared" si="109"/>
        <v>7042</v>
      </c>
      <c r="B7043" s="845" t="s">
        <v>2559</v>
      </c>
      <c r="D7043" s="861"/>
      <c r="J7043" s="845" t="s">
        <v>2091</v>
      </c>
    </row>
    <row r="7044" spans="1:10" x14ac:dyDescent="0.2">
      <c r="A7044" s="859">
        <f t="shared" ref="A7044:A7107" si="110">+A7043+1</f>
        <v>7043</v>
      </c>
      <c r="B7044" s="845" t="s">
        <v>2559</v>
      </c>
      <c r="D7044" s="861"/>
      <c r="I7044" s="845" t="s">
        <v>1009</v>
      </c>
    </row>
    <row r="7045" spans="1:10" x14ac:dyDescent="0.2">
      <c r="A7045" s="859">
        <f t="shared" si="110"/>
        <v>7044</v>
      </c>
      <c r="B7045" s="845" t="s">
        <v>2559</v>
      </c>
      <c r="D7045" s="862"/>
      <c r="I7045" s="845" t="str">
        <f>CONCATENATE("&lt;valeur&gt;",Cellule_1927,"&lt;/valeur&gt;")</f>
        <v>&lt;valeur&gt;0&lt;/valeur&gt;</v>
      </c>
    </row>
    <row r="7046" spans="1:10" x14ac:dyDescent="0.2">
      <c r="A7046" s="859">
        <f t="shared" si="110"/>
        <v>7045</v>
      </c>
      <c r="B7046" s="845" t="s">
        <v>2559</v>
      </c>
      <c r="D7046" s="863"/>
      <c r="H7046" s="845" t="s">
        <v>1010</v>
      </c>
    </row>
    <row r="7047" spans="1:10" x14ac:dyDescent="0.2">
      <c r="A7047" s="859">
        <f t="shared" si="110"/>
        <v>7046</v>
      </c>
      <c r="B7047" s="845" t="s">
        <v>2559</v>
      </c>
      <c r="D7047" s="862"/>
      <c r="H7047" s="845" t="s">
        <v>1007</v>
      </c>
    </row>
    <row r="7048" spans="1:10" x14ac:dyDescent="0.2">
      <c r="A7048" s="859">
        <f t="shared" si="110"/>
        <v>7047</v>
      </c>
      <c r="B7048" s="845" t="s">
        <v>2559</v>
      </c>
      <c r="D7048" s="862"/>
      <c r="I7048" s="845" t="s">
        <v>1008</v>
      </c>
    </row>
    <row r="7049" spans="1:10" x14ac:dyDescent="0.2">
      <c r="A7049" s="859">
        <f t="shared" si="110"/>
        <v>7048</v>
      </c>
      <c r="B7049" s="845" t="s">
        <v>2559</v>
      </c>
      <c r="D7049" s="861"/>
      <c r="J7049" s="845" t="s">
        <v>2092</v>
      </c>
    </row>
    <row r="7050" spans="1:10" x14ac:dyDescent="0.2">
      <c r="A7050" s="859">
        <f t="shared" si="110"/>
        <v>7049</v>
      </c>
      <c r="B7050" s="845" t="s">
        <v>2559</v>
      </c>
      <c r="D7050" s="861"/>
      <c r="I7050" s="845" t="s">
        <v>1009</v>
      </c>
    </row>
    <row r="7051" spans="1:10" x14ac:dyDescent="0.2">
      <c r="A7051" s="859">
        <f t="shared" si="110"/>
        <v>7050</v>
      </c>
      <c r="B7051" s="845" t="s">
        <v>2559</v>
      </c>
      <c r="D7051" s="862"/>
      <c r="I7051" s="845" t="str">
        <f>CONCATENATE("&lt;valeur&gt;",Cellule_1755,"&lt;/valeur&gt;")</f>
        <v>&lt;valeur&gt;0&lt;/valeur&gt;</v>
      </c>
    </row>
    <row r="7052" spans="1:10" x14ac:dyDescent="0.2">
      <c r="A7052" s="859">
        <f t="shared" si="110"/>
        <v>7051</v>
      </c>
      <c r="B7052" s="845" t="s">
        <v>2559</v>
      </c>
      <c r="D7052" s="863"/>
      <c r="H7052" s="845" t="s">
        <v>1010</v>
      </c>
    </row>
    <row r="7053" spans="1:10" x14ac:dyDescent="0.2">
      <c r="A7053" s="859">
        <f t="shared" si="110"/>
        <v>7052</v>
      </c>
      <c r="B7053" s="845" t="s">
        <v>2559</v>
      </c>
      <c r="D7053" s="862"/>
      <c r="H7053" s="845" t="s">
        <v>1007</v>
      </c>
    </row>
    <row r="7054" spans="1:10" x14ac:dyDescent="0.2">
      <c r="A7054" s="859">
        <f t="shared" si="110"/>
        <v>7053</v>
      </c>
      <c r="B7054" s="845" t="s">
        <v>2559</v>
      </c>
      <c r="D7054" s="862"/>
      <c r="I7054" s="845" t="s">
        <v>1008</v>
      </c>
    </row>
    <row r="7055" spans="1:10" x14ac:dyDescent="0.2">
      <c r="A7055" s="859">
        <f t="shared" si="110"/>
        <v>7054</v>
      </c>
      <c r="B7055" s="845" t="s">
        <v>2559</v>
      </c>
      <c r="D7055" s="861"/>
      <c r="J7055" s="845" t="s">
        <v>2093</v>
      </c>
    </row>
    <row r="7056" spans="1:10" x14ac:dyDescent="0.2">
      <c r="A7056" s="859">
        <f t="shared" si="110"/>
        <v>7055</v>
      </c>
      <c r="B7056" s="845" t="s">
        <v>2559</v>
      </c>
      <c r="D7056" s="861"/>
      <c r="I7056" s="845" t="s">
        <v>1009</v>
      </c>
    </row>
    <row r="7057" spans="1:10" x14ac:dyDescent="0.2">
      <c r="A7057" s="859">
        <f t="shared" si="110"/>
        <v>7056</v>
      </c>
      <c r="B7057" s="845" t="s">
        <v>2559</v>
      </c>
      <c r="D7057" s="862"/>
      <c r="I7057" s="845" t="str">
        <f>CONCATENATE("&lt;valeur&gt;",Cellule_1791,"&lt;/valeur&gt;")</f>
        <v>&lt;valeur&gt;0&lt;/valeur&gt;</v>
      </c>
    </row>
    <row r="7058" spans="1:10" x14ac:dyDescent="0.2">
      <c r="A7058" s="859">
        <f t="shared" si="110"/>
        <v>7057</v>
      </c>
      <c r="B7058" s="845" t="s">
        <v>2559</v>
      </c>
      <c r="D7058" s="863"/>
      <c r="H7058" s="845" t="s">
        <v>1010</v>
      </c>
    </row>
    <row r="7059" spans="1:10" x14ac:dyDescent="0.2">
      <c r="A7059" s="859">
        <f t="shared" si="110"/>
        <v>7058</v>
      </c>
      <c r="B7059" s="845" t="s">
        <v>2559</v>
      </c>
      <c r="D7059" s="862"/>
      <c r="H7059" s="845" t="s">
        <v>1007</v>
      </c>
    </row>
    <row r="7060" spans="1:10" x14ac:dyDescent="0.2">
      <c r="A7060" s="859">
        <f t="shared" si="110"/>
        <v>7059</v>
      </c>
      <c r="B7060" s="845" t="s">
        <v>2559</v>
      </c>
      <c r="D7060" s="862"/>
      <c r="I7060" s="845" t="s">
        <v>1008</v>
      </c>
    </row>
    <row r="7061" spans="1:10" x14ac:dyDescent="0.2">
      <c r="A7061" s="859">
        <f t="shared" si="110"/>
        <v>7060</v>
      </c>
      <c r="B7061" s="845" t="s">
        <v>2559</v>
      </c>
      <c r="D7061" s="861"/>
      <c r="J7061" s="845" t="s">
        <v>2094</v>
      </c>
    </row>
    <row r="7062" spans="1:10" x14ac:dyDescent="0.2">
      <c r="A7062" s="859">
        <f t="shared" si="110"/>
        <v>7061</v>
      </c>
      <c r="B7062" s="845" t="s">
        <v>2559</v>
      </c>
      <c r="D7062" s="861"/>
      <c r="I7062" s="845" t="s">
        <v>1009</v>
      </c>
    </row>
    <row r="7063" spans="1:10" x14ac:dyDescent="0.2">
      <c r="A7063" s="859">
        <f t="shared" si="110"/>
        <v>7062</v>
      </c>
      <c r="B7063" s="845" t="s">
        <v>2559</v>
      </c>
      <c r="D7063" s="862"/>
      <c r="I7063" s="845" t="str">
        <f>CONCATENATE("&lt;valeur&gt;",Cellule_1834,"&lt;/valeur&gt;")</f>
        <v>&lt;valeur&gt;0&lt;/valeur&gt;</v>
      </c>
    </row>
    <row r="7064" spans="1:10" x14ac:dyDescent="0.2">
      <c r="A7064" s="859">
        <f t="shared" si="110"/>
        <v>7063</v>
      </c>
      <c r="B7064" s="845" t="s">
        <v>2559</v>
      </c>
      <c r="D7064" s="863"/>
      <c r="H7064" s="845" t="s">
        <v>1010</v>
      </c>
    </row>
    <row r="7065" spans="1:10" x14ac:dyDescent="0.2">
      <c r="A7065" s="859">
        <f t="shared" si="110"/>
        <v>7064</v>
      </c>
      <c r="B7065" s="845" t="s">
        <v>2559</v>
      </c>
      <c r="D7065" s="862"/>
      <c r="H7065" s="845" t="s">
        <v>1007</v>
      </c>
    </row>
    <row r="7066" spans="1:10" x14ac:dyDescent="0.2">
      <c r="A7066" s="859">
        <f t="shared" si="110"/>
        <v>7065</v>
      </c>
      <c r="B7066" s="845" t="s">
        <v>2559</v>
      </c>
      <c r="D7066" s="862"/>
      <c r="I7066" s="845" t="s">
        <v>1008</v>
      </c>
    </row>
    <row r="7067" spans="1:10" x14ac:dyDescent="0.2">
      <c r="A7067" s="859">
        <f t="shared" si="110"/>
        <v>7066</v>
      </c>
      <c r="B7067" s="845" t="s">
        <v>2559</v>
      </c>
      <c r="D7067" s="861"/>
      <c r="J7067" s="845" t="s">
        <v>2095</v>
      </c>
    </row>
    <row r="7068" spans="1:10" x14ac:dyDescent="0.2">
      <c r="A7068" s="859">
        <f t="shared" si="110"/>
        <v>7067</v>
      </c>
      <c r="B7068" s="845" t="s">
        <v>2559</v>
      </c>
      <c r="D7068" s="861"/>
      <c r="I7068" s="845" t="s">
        <v>1009</v>
      </c>
    </row>
    <row r="7069" spans="1:10" x14ac:dyDescent="0.2">
      <c r="A7069" s="859">
        <f t="shared" si="110"/>
        <v>7068</v>
      </c>
      <c r="B7069" s="845" t="s">
        <v>2559</v>
      </c>
      <c r="D7069" s="862"/>
      <c r="I7069" s="845" t="str">
        <f>CONCATENATE("&lt;valeur&gt;",Cellule_1851,"&lt;/valeur&gt;")</f>
        <v>&lt;valeur&gt;0&lt;/valeur&gt;</v>
      </c>
    </row>
    <row r="7070" spans="1:10" x14ac:dyDescent="0.2">
      <c r="A7070" s="859">
        <f t="shared" si="110"/>
        <v>7069</v>
      </c>
      <c r="B7070" s="845" t="s">
        <v>2559</v>
      </c>
      <c r="D7070" s="863"/>
      <c r="H7070" s="845" t="s">
        <v>1010</v>
      </c>
    </row>
    <row r="7071" spans="1:10" x14ac:dyDescent="0.2">
      <c r="A7071" s="859">
        <f t="shared" si="110"/>
        <v>7070</v>
      </c>
      <c r="B7071" s="845" t="s">
        <v>2559</v>
      </c>
      <c r="D7071" s="862"/>
      <c r="H7071" s="845" t="s">
        <v>1007</v>
      </c>
    </row>
    <row r="7072" spans="1:10" x14ac:dyDescent="0.2">
      <c r="A7072" s="859">
        <f t="shared" si="110"/>
        <v>7071</v>
      </c>
      <c r="B7072" s="845" t="s">
        <v>2559</v>
      </c>
      <c r="D7072" s="862"/>
      <c r="I7072" s="845" t="s">
        <v>1008</v>
      </c>
    </row>
    <row r="7073" spans="1:10" x14ac:dyDescent="0.2">
      <c r="A7073" s="859">
        <f t="shared" si="110"/>
        <v>7072</v>
      </c>
      <c r="B7073" s="845" t="s">
        <v>2559</v>
      </c>
      <c r="D7073" s="861"/>
      <c r="J7073" s="845" t="s">
        <v>2096</v>
      </c>
    </row>
    <row r="7074" spans="1:10" x14ac:dyDescent="0.2">
      <c r="A7074" s="859">
        <f t="shared" si="110"/>
        <v>7073</v>
      </c>
      <c r="B7074" s="845" t="s">
        <v>2559</v>
      </c>
      <c r="D7074" s="861"/>
      <c r="I7074" s="845" t="s">
        <v>1009</v>
      </c>
    </row>
    <row r="7075" spans="1:10" x14ac:dyDescent="0.2">
      <c r="A7075" s="859">
        <f t="shared" si="110"/>
        <v>7074</v>
      </c>
      <c r="B7075" s="845" t="s">
        <v>2559</v>
      </c>
      <c r="D7075" s="862"/>
      <c r="I7075" s="845" t="str">
        <f>CONCATENATE("&lt;valeur&gt;",Cellule_1884,"&lt;/valeur&gt;")</f>
        <v>&lt;valeur&gt;0&lt;/valeur&gt;</v>
      </c>
    </row>
    <row r="7076" spans="1:10" x14ac:dyDescent="0.2">
      <c r="A7076" s="859">
        <f t="shared" si="110"/>
        <v>7075</v>
      </c>
      <c r="B7076" s="845" t="s">
        <v>2559</v>
      </c>
      <c r="D7076" s="863"/>
      <c r="H7076" s="845" t="s">
        <v>1010</v>
      </c>
    </row>
    <row r="7077" spans="1:10" x14ac:dyDescent="0.2">
      <c r="A7077" s="859">
        <f t="shared" si="110"/>
        <v>7076</v>
      </c>
      <c r="B7077" s="845" t="s">
        <v>2559</v>
      </c>
      <c r="D7077" s="862"/>
      <c r="H7077" s="845" t="s">
        <v>1007</v>
      </c>
    </row>
    <row r="7078" spans="1:10" x14ac:dyDescent="0.2">
      <c r="A7078" s="859">
        <f t="shared" si="110"/>
        <v>7077</v>
      </c>
      <c r="B7078" s="845" t="s">
        <v>2559</v>
      </c>
      <c r="D7078" s="862"/>
      <c r="I7078" s="845" t="s">
        <v>1008</v>
      </c>
    </row>
    <row r="7079" spans="1:10" x14ac:dyDescent="0.2">
      <c r="A7079" s="859">
        <f t="shared" si="110"/>
        <v>7078</v>
      </c>
      <c r="B7079" s="845" t="s">
        <v>2559</v>
      </c>
      <c r="D7079" s="861"/>
      <c r="J7079" s="845" t="s">
        <v>2097</v>
      </c>
    </row>
    <row r="7080" spans="1:10" x14ac:dyDescent="0.2">
      <c r="A7080" s="859">
        <f t="shared" si="110"/>
        <v>7079</v>
      </c>
      <c r="B7080" s="845" t="s">
        <v>2559</v>
      </c>
      <c r="D7080" s="861"/>
      <c r="I7080" s="845" t="s">
        <v>1009</v>
      </c>
    </row>
    <row r="7081" spans="1:10" x14ac:dyDescent="0.2">
      <c r="A7081" s="859">
        <f t="shared" si="110"/>
        <v>7080</v>
      </c>
      <c r="B7081" s="845" t="s">
        <v>2559</v>
      </c>
      <c r="D7081" s="862"/>
      <c r="I7081" s="845" t="str">
        <f>CONCATENATE("&lt;valeur&gt;",Cellule_1901,"&lt;/valeur&gt;")</f>
        <v>&lt;valeur&gt;0&lt;/valeur&gt;</v>
      </c>
    </row>
    <row r="7082" spans="1:10" x14ac:dyDescent="0.2">
      <c r="A7082" s="859">
        <f t="shared" si="110"/>
        <v>7081</v>
      </c>
      <c r="B7082" s="845" t="s">
        <v>2559</v>
      </c>
      <c r="D7082" s="863"/>
      <c r="H7082" s="845" t="s">
        <v>1010</v>
      </c>
    </row>
    <row r="7083" spans="1:10" x14ac:dyDescent="0.2">
      <c r="A7083" s="859">
        <f t="shared" si="110"/>
        <v>7082</v>
      </c>
      <c r="B7083" s="845" t="s">
        <v>2559</v>
      </c>
      <c r="D7083" s="862"/>
      <c r="H7083" s="845" t="s">
        <v>1007</v>
      </c>
    </row>
    <row r="7084" spans="1:10" x14ac:dyDescent="0.2">
      <c r="A7084" s="859">
        <f t="shared" si="110"/>
        <v>7083</v>
      </c>
      <c r="B7084" s="845" t="s">
        <v>2559</v>
      </c>
      <c r="D7084" s="862"/>
      <c r="I7084" s="845" t="s">
        <v>1008</v>
      </c>
    </row>
    <row r="7085" spans="1:10" x14ac:dyDescent="0.2">
      <c r="A7085" s="859">
        <f t="shared" si="110"/>
        <v>7084</v>
      </c>
      <c r="B7085" s="845" t="s">
        <v>2559</v>
      </c>
      <c r="D7085" s="861"/>
      <c r="J7085" s="845" t="s">
        <v>2098</v>
      </c>
    </row>
    <row r="7086" spans="1:10" x14ac:dyDescent="0.2">
      <c r="A7086" s="859">
        <f t="shared" si="110"/>
        <v>7085</v>
      </c>
      <c r="B7086" s="845" t="s">
        <v>2559</v>
      </c>
      <c r="D7086" s="861"/>
      <c r="I7086" s="845" t="s">
        <v>1009</v>
      </c>
    </row>
    <row r="7087" spans="1:10" x14ac:dyDescent="0.2">
      <c r="A7087" s="859">
        <f t="shared" si="110"/>
        <v>7086</v>
      </c>
      <c r="B7087" s="845" t="s">
        <v>2559</v>
      </c>
      <c r="D7087" s="862"/>
      <c r="I7087" s="845" t="str">
        <f>CONCATENATE("&lt;valeur&gt;",Cellule_1910,"&lt;/valeur&gt;")</f>
        <v>&lt;valeur&gt;0&lt;/valeur&gt;</v>
      </c>
    </row>
    <row r="7088" spans="1:10" x14ac:dyDescent="0.2">
      <c r="A7088" s="859">
        <f t="shared" si="110"/>
        <v>7087</v>
      </c>
      <c r="B7088" s="845" t="s">
        <v>2559</v>
      </c>
      <c r="D7088" s="863"/>
      <c r="H7088" s="845" t="s">
        <v>1010</v>
      </c>
    </row>
    <row r="7089" spans="1:10" x14ac:dyDescent="0.2">
      <c r="A7089" s="859">
        <f t="shared" si="110"/>
        <v>7088</v>
      </c>
      <c r="B7089" s="845" t="s">
        <v>2559</v>
      </c>
      <c r="D7089" s="862"/>
      <c r="H7089" s="845" t="s">
        <v>1007</v>
      </c>
    </row>
    <row r="7090" spans="1:10" x14ac:dyDescent="0.2">
      <c r="A7090" s="859">
        <f t="shared" si="110"/>
        <v>7089</v>
      </c>
      <c r="B7090" s="845" t="s">
        <v>2559</v>
      </c>
      <c r="D7090" s="862"/>
      <c r="I7090" s="845" t="s">
        <v>1008</v>
      </c>
    </row>
    <row r="7091" spans="1:10" x14ac:dyDescent="0.2">
      <c r="A7091" s="859">
        <f t="shared" si="110"/>
        <v>7090</v>
      </c>
      <c r="B7091" s="845" t="s">
        <v>2559</v>
      </c>
      <c r="D7091" s="861"/>
      <c r="J7091" s="845" t="s">
        <v>2099</v>
      </c>
    </row>
    <row r="7092" spans="1:10" x14ac:dyDescent="0.2">
      <c r="A7092" s="859">
        <f t="shared" si="110"/>
        <v>7091</v>
      </c>
      <c r="B7092" s="845" t="s">
        <v>2559</v>
      </c>
      <c r="D7092" s="861"/>
      <c r="I7092" s="845" t="s">
        <v>1009</v>
      </c>
    </row>
    <row r="7093" spans="1:10" x14ac:dyDescent="0.2">
      <c r="A7093" s="859">
        <f t="shared" si="110"/>
        <v>7092</v>
      </c>
      <c r="B7093" s="845" t="s">
        <v>2559</v>
      </c>
      <c r="D7093" s="862"/>
      <c r="I7093" s="845" t="str">
        <f>CONCATENATE("&lt;valeur&gt;",Cellule_1919,"&lt;/valeur&gt;")</f>
        <v>&lt;valeur&gt;0&lt;/valeur&gt;</v>
      </c>
    </row>
    <row r="7094" spans="1:10" x14ac:dyDescent="0.2">
      <c r="A7094" s="859">
        <f t="shared" si="110"/>
        <v>7093</v>
      </c>
      <c r="B7094" s="845" t="s">
        <v>2559</v>
      </c>
      <c r="D7094" s="863"/>
      <c r="H7094" s="845" t="s">
        <v>1010</v>
      </c>
    </row>
    <row r="7095" spans="1:10" x14ac:dyDescent="0.2">
      <c r="A7095" s="859">
        <f t="shared" si="110"/>
        <v>7094</v>
      </c>
      <c r="B7095" s="845" t="s">
        <v>2559</v>
      </c>
      <c r="D7095" s="862"/>
      <c r="H7095" s="845" t="s">
        <v>1007</v>
      </c>
    </row>
    <row r="7096" spans="1:10" x14ac:dyDescent="0.2">
      <c r="A7096" s="859">
        <f t="shared" si="110"/>
        <v>7095</v>
      </c>
      <c r="B7096" s="845" t="s">
        <v>2559</v>
      </c>
      <c r="D7096" s="862"/>
      <c r="I7096" s="845" t="s">
        <v>1008</v>
      </c>
    </row>
    <row r="7097" spans="1:10" x14ac:dyDescent="0.2">
      <c r="A7097" s="859">
        <f t="shared" si="110"/>
        <v>7096</v>
      </c>
      <c r="B7097" s="845" t="s">
        <v>2559</v>
      </c>
      <c r="D7097" s="861"/>
      <c r="J7097" s="845" t="s">
        <v>2100</v>
      </c>
    </row>
    <row r="7098" spans="1:10" x14ac:dyDescent="0.2">
      <c r="A7098" s="859">
        <f t="shared" si="110"/>
        <v>7097</v>
      </c>
      <c r="B7098" s="845" t="s">
        <v>2559</v>
      </c>
      <c r="D7098" s="861"/>
      <c r="I7098" s="845" t="s">
        <v>1009</v>
      </c>
    </row>
    <row r="7099" spans="1:10" x14ac:dyDescent="0.2">
      <c r="A7099" s="859">
        <f t="shared" si="110"/>
        <v>7098</v>
      </c>
      <c r="B7099" s="845" t="s">
        <v>2559</v>
      </c>
      <c r="D7099" s="862"/>
      <c r="I7099" s="845" t="str">
        <f>CONCATENATE("&lt;valeur&gt;",Cellule_1928,"&lt;/valeur&gt;")</f>
        <v>&lt;valeur&gt;0&lt;/valeur&gt;</v>
      </c>
    </row>
    <row r="7100" spans="1:10" x14ac:dyDescent="0.2">
      <c r="A7100" s="859">
        <f t="shared" si="110"/>
        <v>7099</v>
      </c>
      <c r="B7100" s="845" t="s">
        <v>2559</v>
      </c>
      <c r="D7100" s="863"/>
      <c r="H7100" s="845" t="s">
        <v>1010</v>
      </c>
    </row>
    <row r="7101" spans="1:10" x14ac:dyDescent="0.2">
      <c r="A7101" s="859">
        <f t="shared" si="110"/>
        <v>7100</v>
      </c>
      <c r="B7101" s="845" t="s">
        <v>2559</v>
      </c>
      <c r="D7101" s="862"/>
      <c r="G7101" s="845" t="s">
        <v>1011</v>
      </c>
    </row>
    <row r="7102" spans="1:10" x14ac:dyDescent="0.2">
      <c r="A7102" s="859">
        <f t="shared" si="110"/>
        <v>7101</v>
      </c>
      <c r="B7102" s="845" t="s">
        <v>2559</v>
      </c>
      <c r="D7102" s="861"/>
      <c r="G7102" s="845" t="s">
        <v>1012</v>
      </c>
    </row>
    <row r="7103" spans="1:10" x14ac:dyDescent="0.2">
      <c r="A7103" s="859">
        <f t="shared" si="110"/>
        <v>7102</v>
      </c>
      <c r="B7103" s="845" t="s">
        <v>2559</v>
      </c>
      <c r="D7103" s="861"/>
      <c r="H7103" s="845" t="s">
        <v>1015</v>
      </c>
    </row>
    <row r="7104" spans="1:10" x14ac:dyDescent="0.2">
      <c r="A7104" s="859">
        <f t="shared" si="110"/>
        <v>7103</v>
      </c>
      <c r="B7104" s="845" t="s">
        <v>2559</v>
      </c>
      <c r="D7104" s="862"/>
      <c r="I7104" s="845" t="s">
        <v>1016</v>
      </c>
    </row>
    <row r="7105" spans="1:10" x14ac:dyDescent="0.2">
      <c r="A7105" s="859">
        <f t="shared" si="110"/>
        <v>7104</v>
      </c>
      <c r="B7105" s="845" t="s">
        <v>2559</v>
      </c>
      <c r="D7105" s="863"/>
      <c r="J7105" s="845" t="s">
        <v>2101</v>
      </c>
    </row>
    <row r="7106" spans="1:10" x14ac:dyDescent="0.2">
      <c r="A7106" s="859">
        <f t="shared" si="110"/>
        <v>7105</v>
      </c>
      <c r="B7106" s="845" t="s">
        <v>2559</v>
      </c>
      <c r="D7106" s="862"/>
      <c r="I7106" s="845" t="s">
        <v>1017</v>
      </c>
    </row>
    <row r="7107" spans="1:10" x14ac:dyDescent="0.2">
      <c r="A7107" s="859">
        <f t="shared" si="110"/>
        <v>7106</v>
      </c>
      <c r="B7107" s="845" t="s">
        <v>2559</v>
      </c>
      <c r="D7107" s="862"/>
      <c r="I7107" s="845" t="str">
        <f>CONCATENATE("&lt;valeur&gt;",'T9 B5-PROV'!I3,"&lt;/valeur&gt;")</f>
        <v>&lt;valeur&gt;31/12/2015&lt;/valeur&gt;</v>
      </c>
    </row>
    <row r="7108" spans="1:10" x14ac:dyDescent="0.2">
      <c r="A7108" s="859">
        <f t="shared" ref="A7108:A7171" si="111">+A7107+1</f>
        <v>7107</v>
      </c>
      <c r="B7108" s="845" t="s">
        <v>2559</v>
      </c>
      <c r="D7108" s="861"/>
      <c r="H7108" s="845" t="s">
        <v>1018</v>
      </c>
    </row>
    <row r="7109" spans="1:10" x14ac:dyDescent="0.2">
      <c r="A7109" s="859">
        <f t="shared" si="111"/>
        <v>7108</v>
      </c>
      <c r="B7109" s="845" t="s">
        <v>2559</v>
      </c>
      <c r="D7109" s="861"/>
      <c r="G7109" s="845" t="s">
        <v>1013</v>
      </c>
    </row>
    <row r="7110" spans="1:10" x14ac:dyDescent="0.2">
      <c r="A7110" s="859">
        <f t="shared" si="111"/>
        <v>7109</v>
      </c>
      <c r="B7110" s="845" t="s">
        <v>2559</v>
      </c>
      <c r="D7110" s="862"/>
      <c r="F7110" s="845" t="s">
        <v>1014</v>
      </c>
    </row>
    <row r="7111" spans="1:10" x14ac:dyDescent="0.2">
      <c r="A7111" s="859">
        <f t="shared" si="111"/>
        <v>7110</v>
      </c>
      <c r="B7111" s="845" t="s">
        <v>2560</v>
      </c>
      <c r="D7111" s="863"/>
      <c r="F7111" s="845" t="s">
        <v>1005</v>
      </c>
    </row>
    <row r="7112" spans="1:10" x14ac:dyDescent="0.2">
      <c r="A7112" s="859">
        <f t="shared" si="111"/>
        <v>7111</v>
      </c>
      <c r="B7112" s="845" t="s">
        <v>2560</v>
      </c>
      <c r="D7112" s="862"/>
      <c r="G7112" s="845" t="s">
        <v>2102</v>
      </c>
    </row>
    <row r="7113" spans="1:10" x14ac:dyDescent="0.2">
      <c r="A7113" s="859">
        <f t="shared" si="111"/>
        <v>7112</v>
      </c>
      <c r="B7113" s="845" t="s">
        <v>2560</v>
      </c>
      <c r="D7113" s="862"/>
      <c r="G7113" s="845" t="s">
        <v>1006</v>
      </c>
    </row>
    <row r="7114" spans="1:10" x14ac:dyDescent="0.2">
      <c r="A7114" s="859">
        <f t="shared" si="111"/>
        <v>7113</v>
      </c>
      <c r="B7114" s="845" t="s">
        <v>2560</v>
      </c>
      <c r="D7114" s="861"/>
      <c r="H7114" s="845" t="s">
        <v>1007</v>
      </c>
    </row>
    <row r="7115" spans="1:10" x14ac:dyDescent="0.2">
      <c r="A7115" s="859">
        <f t="shared" si="111"/>
        <v>7114</v>
      </c>
      <c r="B7115" s="845" t="s">
        <v>2560</v>
      </c>
      <c r="D7115" s="861"/>
      <c r="I7115" s="845" t="s">
        <v>2103</v>
      </c>
    </row>
    <row r="7116" spans="1:10" x14ac:dyDescent="0.2">
      <c r="A7116" s="859">
        <f t="shared" si="111"/>
        <v>7115</v>
      </c>
      <c r="B7116" s="845" t="s">
        <v>2560</v>
      </c>
      <c r="D7116" s="862"/>
      <c r="I7116" s="845" t="str">
        <f>CONCATENATE("&lt;valeur&gt;",Cellule_1929_1,"&lt;/valeur&gt;")</f>
        <v>&lt;valeur&gt;&lt;/valeur&gt;</v>
      </c>
    </row>
    <row r="7117" spans="1:10" x14ac:dyDescent="0.2">
      <c r="A7117" s="859">
        <f t="shared" si="111"/>
        <v>7116</v>
      </c>
      <c r="B7117" s="845" t="s">
        <v>2560</v>
      </c>
      <c r="D7117" s="863"/>
      <c r="I7117" s="845" t="s">
        <v>1249</v>
      </c>
    </row>
    <row r="7118" spans="1:10" x14ac:dyDescent="0.2">
      <c r="A7118" s="859">
        <f t="shared" si="111"/>
        <v>7117</v>
      </c>
      <c r="B7118" s="845" t="s">
        <v>2560</v>
      </c>
      <c r="D7118" s="862"/>
      <c r="H7118" s="845" t="s">
        <v>1010</v>
      </c>
    </row>
    <row r="7119" spans="1:10" x14ac:dyDescent="0.2">
      <c r="A7119" s="859">
        <f t="shared" si="111"/>
        <v>7118</v>
      </c>
      <c r="B7119" s="845" t="s">
        <v>2560</v>
      </c>
      <c r="D7119" s="862"/>
      <c r="H7119" s="845" t="s">
        <v>1007</v>
      </c>
    </row>
    <row r="7120" spans="1:10" x14ac:dyDescent="0.2">
      <c r="A7120" s="859">
        <f t="shared" si="111"/>
        <v>7119</v>
      </c>
      <c r="B7120" s="845" t="s">
        <v>2560</v>
      </c>
      <c r="D7120" s="861"/>
      <c r="I7120" s="845" t="s">
        <v>2104</v>
      </c>
    </row>
    <row r="7121" spans="1:9" x14ac:dyDescent="0.2">
      <c r="A7121" s="859">
        <f t="shared" si="111"/>
        <v>7120</v>
      </c>
      <c r="B7121" s="845" t="s">
        <v>2560</v>
      </c>
      <c r="D7121" s="861"/>
      <c r="I7121" s="845" t="str">
        <f>CONCATENATE("&lt;valeur&gt;",Cellule_1930_1,"&lt;/valeur&gt;")</f>
        <v>&lt;valeur&gt;&lt;/valeur&gt;</v>
      </c>
    </row>
    <row r="7122" spans="1:9" x14ac:dyDescent="0.2">
      <c r="A7122" s="859">
        <f t="shared" si="111"/>
        <v>7121</v>
      </c>
      <c r="B7122" s="845" t="s">
        <v>2560</v>
      </c>
      <c r="D7122" s="862"/>
      <c r="I7122" s="845" t="s">
        <v>1249</v>
      </c>
    </row>
    <row r="7123" spans="1:9" x14ac:dyDescent="0.2">
      <c r="A7123" s="859">
        <f t="shared" si="111"/>
        <v>7122</v>
      </c>
      <c r="B7123" s="845" t="s">
        <v>2560</v>
      </c>
      <c r="D7123" s="863"/>
      <c r="H7123" s="845" t="s">
        <v>1010</v>
      </c>
    </row>
    <row r="7124" spans="1:9" x14ac:dyDescent="0.2">
      <c r="A7124" s="859">
        <f t="shared" si="111"/>
        <v>7123</v>
      </c>
      <c r="B7124" s="845" t="s">
        <v>2560</v>
      </c>
      <c r="D7124" s="862"/>
      <c r="H7124" s="845" t="s">
        <v>1007</v>
      </c>
    </row>
    <row r="7125" spans="1:9" x14ac:dyDescent="0.2">
      <c r="A7125" s="859">
        <f t="shared" si="111"/>
        <v>7124</v>
      </c>
      <c r="B7125" s="845" t="s">
        <v>2560</v>
      </c>
      <c r="D7125" s="862"/>
      <c r="I7125" s="845" t="s">
        <v>2105</v>
      </c>
    </row>
    <row r="7126" spans="1:9" x14ac:dyDescent="0.2">
      <c r="A7126" s="859">
        <f t="shared" si="111"/>
        <v>7125</v>
      </c>
      <c r="B7126" s="845" t="s">
        <v>2560</v>
      </c>
      <c r="D7126" s="861"/>
      <c r="I7126" s="845" t="str">
        <f>CONCATENATE("&lt;valeur&gt;",Cellule_1931_1,"&lt;/valeur&gt;")</f>
        <v>&lt;valeur&gt;&lt;/valeur&gt;</v>
      </c>
    </row>
    <row r="7127" spans="1:9" x14ac:dyDescent="0.2">
      <c r="A7127" s="859">
        <f t="shared" si="111"/>
        <v>7126</v>
      </c>
      <c r="B7127" s="845" t="s">
        <v>2560</v>
      </c>
      <c r="D7127" s="861"/>
      <c r="I7127" s="845" t="s">
        <v>1249</v>
      </c>
    </row>
    <row r="7128" spans="1:9" x14ac:dyDescent="0.2">
      <c r="A7128" s="859">
        <f t="shared" si="111"/>
        <v>7127</v>
      </c>
      <c r="B7128" s="845" t="s">
        <v>2560</v>
      </c>
      <c r="D7128" s="862"/>
      <c r="H7128" s="845" t="s">
        <v>1010</v>
      </c>
    </row>
    <row r="7129" spans="1:9" x14ac:dyDescent="0.2">
      <c r="A7129" s="859">
        <f t="shared" si="111"/>
        <v>7128</v>
      </c>
      <c r="B7129" s="845" t="s">
        <v>2560</v>
      </c>
      <c r="D7129" s="863"/>
      <c r="H7129" s="845" t="s">
        <v>1007</v>
      </c>
    </row>
    <row r="7130" spans="1:9" x14ac:dyDescent="0.2">
      <c r="A7130" s="859">
        <f t="shared" si="111"/>
        <v>7129</v>
      </c>
      <c r="B7130" s="845" t="s">
        <v>2560</v>
      </c>
      <c r="D7130" s="862"/>
      <c r="I7130" s="845" t="s">
        <v>2106</v>
      </c>
    </row>
    <row r="7131" spans="1:9" x14ac:dyDescent="0.2">
      <c r="A7131" s="859">
        <f t="shared" si="111"/>
        <v>7130</v>
      </c>
      <c r="B7131" s="845" t="s">
        <v>2560</v>
      </c>
      <c r="D7131" s="862"/>
      <c r="I7131" s="845" t="str">
        <f>CONCATENATE("&lt;valeur&gt;",Cellule_1932_1,"&lt;/valeur&gt;")</f>
        <v>&lt;valeur&gt;&lt;/valeur&gt;</v>
      </c>
    </row>
    <row r="7132" spans="1:9" x14ac:dyDescent="0.2">
      <c r="A7132" s="859">
        <f t="shared" si="111"/>
        <v>7131</v>
      </c>
      <c r="B7132" s="845" t="s">
        <v>2560</v>
      </c>
      <c r="D7132" s="861"/>
      <c r="I7132" s="845" t="s">
        <v>1249</v>
      </c>
    </row>
    <row r="7133" spans="1:9" x14ac:dyDescent="0.2">
      <c r="A7133" s="859">
        <f t="shared" si="111"/>
        <v>7132</v>
      </c>
      <c r="B7133" s="845" t="s">
        <v>2560</v>
      </c>
      <c r="D7133" s="861"/>
      <c r="H7133" s="845" t="s">
        <v>1010</v>
      </c>
    </row>
    <row r="7134" spans="1:9" x14ac:dyDescent="0.2">
      <c r="A7134" s="859">
        <f t="shared" si="111"/>
        <v>7133</v>
      </c>
      <c r="B7134" s="845" t="s">
        <v>2560</v>
      </c>
      <c r="D7134" s="862"/>
      <c r="H7134" s="845" t="s">
        <v>1007</v>
      </c>
    </row>
    <row r="7135" spans="1:9" x14ac:dyDescent="0.2">
      <c r="A7135" s="859">
        <f t="shared" si="111"/>
        <v>7134</v>
      </c>
      <c r="B7135" s="845" t="s">
        <v>2560</v>
      </c>
      <c r="D7135" s="863"/>
      <c r="I7135" s="845" t="s">
        <v>2107</v>
      </c>
    </row>
    <row r="7136" spans="1:9" x14ac:dyDescent="0.2">
      <c r="A7136" s="859">
        <f t="shared" si="111"/>
        <v>7135</v>
      </c>
      <c r="B7136" s="845" t="s">
        <v>2560</v>
      </c>
      <c r="D7136" s="862"/>
      <c r="I7136" s="845" t="str">
        <f>CONCATENATE("&lt;valeur&gt;",Cellule_1933_1,"&lt;/valeur&gt;")</f>
        <v>&lt;valeur&gt;0&lt;/valeur&gt;</v>
      </c>
    </row>
    <row r="7137" spans="1:9" x14ac:dyDescent="0.2">
      <c r="A7137" s="859">
        <f t="shared" si="111"/>
        <v>7136</v>
      </c>
      <c r="B7137" s="845" t="s">
        <v>2560</v>
      </c>
      <c r="D7137" s="862"/>
      <c r="I7137" s="845" t="s">
        <v>1249</v>
      </c>
    </row>
    <row r="7138" spans="1:9" x14ac:dyDescent="0.2">
      <c r="A7138" s="859">
        <f t="shared" si="111"/>
        <v>7137</v>
      </c>
      <c r="B7138" s="845" t="s">
        <v>2560</v>
      </c>
      <c r="D7138" s="861"/>
      <c r="H7138" s="845" t="s">
        <v>1010</v>
      </c>
    </row>
    <row r="7139" spans="1:9" x14ac:dyDescent="0.2">
      <c r="A7139" s="859">
        <f t="shared" si="111"/>
        <v>7138</v>
      </c>
      <c r="B7139" s="845" t="s">
        <v>2560</v>
      </c>
      <c r="D7139" s="861"/>
      <c r="H7139" s="845" t="s">
        <v>1007</v>
      </c>
    </row>
    <row r="7140" spans="1:9" x14ac:dyDescent="0.2">
      <c r="A7140" s="859">
        <f t="shared" si="111"/>
        <v>7139</v>
      </c>
      <c r="B7140" s="845" t="s">
        <v>2560</v>
      </c>
      <c r="D7140" s="862"/>
      <c r="I7140" s="845" t="s">
        <v>2108</v>
      </c>
    </row>
    <row r="7141" spans="1:9" x14ac:dyDescent="0.2">
      <c r="A7141" s="859">
        <f t="shared" si="111"/>
        <v>7140</v>
      </c>
      <c r="B7141" s="845" t="s">
        <v>2560</v>
      </c>
      <c r="D7141" s="863"/>
      <c r="I7141" s="845" t="str">
        <f>CONCATENATE("&lt;valeur&gt;",Cellule_1934_1,"&lt;/valeur&gt;")</f>
        <v>&lt;valeur&gt;&lt;/valeur&gt;</v>
      </c>
    </row>
    <row r="7142" spans="1:9" x14ac:dyDescent="0.2">
      <c r="A7142" s="859">
        <f t="shared" si="111"/>
        <v>7141</v>
      </c>
      <c r="B7142" s="845" t="s">
        <v>2560</v>
      </c>
      <c r="D7142" s="862"/>
      <c r="I7142" s="845" t="s">
        <v>1249</v>
      </c>
    </row>
    <row r="7143" spans="1:9" x14ac:dyDescent="0.2">
      <c r="A7143" s="859">
        <f t="shared" si="111"/>
        <v>7142</v>
      </c>
      <c r="B7143" s="845" t="s">
        <v>2560</v>
      </c>
      <c r="D7143" s="862"/>
      <c r="H7143" s="845" t="s">
        <v>1010</v>
      </c>
    </row>
    <row r="7144" spans="1:9" x14ac:dyDescent="0.2">
      <c r="A7144" s="859">
        <f t="shared" si="111"/>
        <v>7143</v>
      </c>
      <c r="B7144" s="845" t="s">
        <v>2560</v>
      </c>
      <c r="D7144" s="861"/>
      <c r="H7144" s="845" t="s">
        <v>1007</v>
      </c>
    </row>
    <row r="7145" spans="1:9" x14ac:dyDescent="0.2">
      <c r="A7145" s="859">
        <f t="shared" si="111"/>
        <v>7144</v>
      </c>
      <c r="B7145" s="845" t="s">
        <v>2560</v>
      </c>
      <c r="D7145" s="861"/>
      <c r="I7145" s="845" t="s">
        <v>2109</v>
      </c>
    </row>
    <row r="7146" spans="1:9" x14ac:dyDescent="0.2">
      <c r="A7146" s="859">
        <f t="shared" si="111"/>
        <v>7145</v>
      </c>
      <c r="B7146" s="845" t="s">
        <v>2560</v>
      </c>
      <c r="D7146" s="862"/>
      <c r="I7146" s="845" t="str">
        <f>CONCATENATE("&lt;valeur&gt;",Cellule_1935_1,"&lt;/valeur&gt;")</f>
        <v>&lt;valeur&gt;0&lt;/valeur&gt;</v>
      </c>
    </row>
    <row r="7147" spans="1:9" x14ac:dyDescent="0.2">
      <c r="A7147" s="859">
        <f t="shared" si="111"/>
        <v>7146</v>
      </c>
      <c r="B7147" s="845" t="s">
        <v>2560</v>
      </c>
      <c r="D7147" s="863"/>
      <c r="I7147" s="845" t="s">
        <v>1249</v>
      </c>
    </row>
    <row r="7148" spans="1:9" x14ac:dyDescent="0.2">
      <c r="A7148" s="859">
        <f t="shared" si="111"/>
        <v>7147</v>
      </c>
      <c r="B7148" s="845" t="s">
        <v>2560</v>
      </c>
      <c r="D7148" s="862"/>
      <c r="H7148" s="845" t="s">
        <v>1010</v>
      </c>
    </row>
    <row r="7149" spans="1:9" x14ac:dyDescent="0.2">
      <c r="A7149" s="859">
        <f t="shared" si="111"/>
        <v>7148</v>
      </c>
      <c r="B7149" s="845" t="s">
        <v>2560</v>
      </c>
      <c r="D7149" s="862"/>
      <c r="H7149" s="845" t="s">
        <v>1007</v>
      </c>
    </row>
    <row r="7150" spans="1:9" x14ac:dyDescent="0.2">
      <c r="A7150" s="859">
        <f t="shared" si="111"/>
        <v>7149</v>
      </c>
      <c r="B7150" s="845" t="s">
        <v>2560</v>
      </c>
      <c r="D7150" s="861"/>
      <c r="I7150" s="845" t="s">
        <v>2110</v>
      </c>
    </row>
    <row r="7151" spans="1:9" x14ac:dyDescent="0.2">
      <c r="A7151" s="859">
        <f t="shared" si="111"/>
        <v>7150</v>
      </c>
      <c r="B7151" s="845" t="s">
        <v>2560</v>
      </c>
      <c r="D7151" s="861"/>
      <c r="I7151" s="845" t="str">
        <f>CONCATENATE("&lt;valeur&gt;",Cellule_1936_1,"&lt;/valeur&gt;")</f>
        <v>&lt;valeur&gt;0&lt;/valeur&gt;</v>
      </c>
    </row>
    <row r="7152" spans="1:9" x14ac:dyDescent="0.2">
      <c r="A7152" s="859">
        <f t="shared" si="111"/>
        <v>7151</v>
      </c>
      <c r="B7152" s="845" t="s">
        <v>2560</v>
      </c>
      <c r="D7152" s="862"/>
      <c r="I7152" s="845" t="s">
        <v>1249</v>
      </c>
    </row>
    <row r="7153" spans="1:9" x14ac:dyDescent="0.2">
      <c r="A7153" s="859">
        <f t="shared" si="111"/>
        <v>7152</v>
      </c>
      <c r="B7153" s="845" t="s">
        <v>2560</v>
      </c>
      <c r="D7153" s="863"/>
      <c r="H7153" s="845" t="s">
        <v>1010</v>
      </c>
    </row>
    <row r="7154" spans="1:9" x14ac:dyDescent="0.2">
      <c r="A7154" s="859">
        <f t="shared" si="111"/>
        <v>7153</v>
      </c>
      <c r="B7154" s="845" t="s">
        <v>2560</v>
      </c>
      <c r="D7154" s="861"/>
      <c r="H7154" s="845" t="s">
        <v>1007</v>
      </c>
    </row>
    <row r="7155" spans="1:9" x14ac:dyDescent="0.2">
      <c r="A7155" s="859">
        <f t="shared" si="111"/>
        <v>7154</v>
      </c>
      <c r="B7155" s="845" t="s">
        <v>2560</v>
      </c>
      <c r="D7155" s="861"/>
      <c r="I7155" s="845" t="s">
        <v>2103</v>
      </c>
    </row>
    <row r="7156" spans="1:9" x14ac:dyDescent="0.2">
      <c r="A7156" s="859">
        <f t="shared" si="111"/>
        <v>7155</v>
      </c>
      <c r="B7156" s="845" t="s">
        <v>2560</v>
      </c>
      <c r="D7156" s="862"/>
      <c r="I7156" s="845" t="str">
        <f>CONCATENATE("&lt;valeur&gt;",Cellule_1929_2,"&lt;/valeur&gt;")</f>
        <v>&lt;valeur&gt;&lt;/valeur&gt;</v>
      </c>
    </row>
    <row r="7157" spans="1:9" x14ac:dyDescent="0.2">
      <c r="A7157" s="859">
        <f t="shared" si="111"/>
        <v>7156</v>
      </c>
      <c r="B7157" s="845" t="s">
        <v>2560</v>
      </c>
      <c r="D7157" s="863"/>
      <c r="I7157" s="845" t="s">
        <v>2577</v>
      </c>
    </row>
    <row r="7158" spans="1:9" x14ac:dyDescent="0.2">
      <c r="A7158" s="859">
        <f t="shared" si="111"/>
        <v>7157</v>
      </c>
      <c r="B7158" s="845" t="s">
        <v>2560</v>
      </c>
      <c r="D7158" s="862"/>
      <c r="H7158" s="845" t="s">
        <v>1010</v>
      </c>
    </row>
    <row r="7159" spans="1:9" x14ac:dyDescent="0.2">
      <c r="A7159" s="859">
        <f t="shared" si="111"/>
        <v>7158</v>
      </c>
      <c r="B7159" s="845" t="s">
        <v>2560</v>
      </c>
      <c r="D7159" s="862"/>
      <c r="H7159" s="845" t="s">
        <v>1007</v>
      </c>
    </row>
    <row r="7160" spans="1:9" x14ac:dyDescent="0.2">
      <c r="A7160" s="859">
        <f t="shared" si="111"/>
        <v>7159</v>
      </c>
      <c r="B7160" s="845" t="s">
        <v>2560</v>
      </c>
      <c r="D7160" s="861"/>
      <c r="I7160" s="845" t="s">
        <v>2104</v>
      </c>
    </row>
    <row r="7161" spans="1:9" x14ac:dyDescent="0.2">
      <c r="A7161" s="859">
        <f t="shared" si="111"/>
        <v>7160</v>
      </c>
      <c r="B7161" s="845" t="s">
        <v>2560</v>
      </c>
      <c r="D7161" s="861"/>
      <c r="I7161" s="845" t="str">
        <f>CONCATENATE("&lt;valeur&gt;",Cellule_1930_2,"&lt;/valeur&gt;")</f>
        <v>&lt;valeur&gt;&lt;/valeur&gt;</v>
      </c>
    </row>
    <row r="7162" spans="1:9" x14ac:dyDescent="0.2">
      <c r="A7162" s="859">
        <f t="shared" si="111"/>
        <v>7161</v>
      </c>
      <c r="B7162" s="845" t="s">
        <v>2560</v>
      </c>
      <c r="D7162" s="862"/>
      <c r="I7162" s="845" t="s">
        <v>2577</v>
      </c>
    </row>
    <row r="7163" spans="1:9" x14ac:dyDescent="0.2">
      <c r="A7163" s="859">
        <f t="shared" si="111"/>
        <v>7162</v>
      </c>
      <c r="B7163" s="845" t="s">
        <v>2560</v>
      </c>
      <c r="D7163" s="863"/>
      <c r="H7163" s="845" t="s">
        <v>1010</v>
      </c>
    </row>
    <row r="7164" spans="1:9" x14ac:dyDescent="0.2">
      <c r="A7164" s="859">
        <f t="shared" si="111"/>
        <v>7163</v>
      </c>
      <c r="B7164" s="845" t="s">
        <v>2560</v>
      </c>
      <c r="D7164" s="862"/>
      <c r="H7164" s="845" t="s">
        <v>1007</v>
      </c>
    </row>
    <row r="7165" spans="1:9" x14ac:dyDescent="0.2">
      <c r="A7165" s="859">
        <f t="shared" si="111"/>
        <v>7164</v>
      </c>
      <c r="B7165" s="845" t="s">
        <v>2560</v>
      </c>
      <c r="D7165" s="862"/>
      <c r="I7165" s="845" t="s">
        <v>2105</v>
      </c>
    </row>
    <row r="7166" spans="1:9" x14ac:dyDescent="0.2">
      <c r="A7166" s="859">
        <f t="shared" si="111"/>
        <v>7165</v>
      </c>
      <c r="B7166" s="845" t="s">
        <v>2560</v>
      </c>
      <c r="D7166" s="861"/>
      <c r="I7166" s="845" t="str">
        <f>CONCATENATE("&lt;valeur&gt;",Cellule_1931_2,"&lt;/valeur&gt;")</f>
        <v>&lt;valeur&gt;&lt;/valeur&gt;</v>
      </c>
    </row>
    <row r="7167" spans="1:9" x14ac:dyDescent="0.2">
      <c r="A7167" s="859">
        <f t="shared" si="111"/>
        <v>7166</v>
      </c>
      <c r="B7167" s="845" t="s">
        <v>2560</v>
      </c>
      <c r="D7167" s="861"/>
      <c r="I7167" s="845" t="s">
        <v>2577</v>
      </c>
    </row>
    <row r="7168" spans="1:9" x14ac:dyDescent="0.2">
      <c r="A7168" s="859">
        <f t="shared" si="111"/>
        <v>7167</v>
      </c>
      <c r="B7168" s="845" t="s">
        <v>2560</v>
      </c>
      <c r="D7168" s="862"/>
      <c r="H7168" s="845" t="s">
        <v>1010</v>
      </c>
    </row>
    <row r="7169" spans="1:9" x14ac:dyDescent="0.2">
      <c r="A7169" s="859">
        <f t="shared" si="111"/>
        <v>7168</v>
      </c>
      <c r="B7169" s="845" t="s">
        <v>2560</v>
      </c>
      <c r="D7169" s="863"/>
      <c r="H7169" s="845" t="s">
        <v>1007</v>
      </c>
    </row>
    <row r="7170" spans="1:9" x14ac:dyDescent="0.2">
      <c r="A7170" s="859">
        <f t="shared" si="111"/>
        <v>7169</v>
      </c>
      <c r="B7170" s="845" t="s">
        <v>2560</v>
      </c>
      <c r="D7170" s="862"/>
      <c r="I7170" s="845" t="s">
        <v>2106</v>
      </c>
    </row>
    <row r="7171" spans="1:9" x14ac:dyDescent="0.2">
      <c r="A7171" s="859">
        <f t="shared" si="111"/>
        <v>7170</v>
      </c>
      <c r="B7171" s="845" t="s">
        <v>2560</v>
      </c>
      <c r="D7171" s="862"/>
      <c r="I7171" s="845" t="str">
        <f>CONCATENATE("&lt;valeur&gt;",Cellule_1932_2,"&lt;/valeur&gt;")</f>
        <v>&lt;valeur&gt;&lt;/valeur&gt;</v>
      </c>
    </row>
    <row r="7172" spans="1:9" x14ac:dyDescent="0.2">
      <c r="A7172" s="859">
        <f t="shared" ref="A7172:A7235" si="112">+A7171+1</f>
        <v>7171</v>
      </c>
      <c r="B7172" s="845" t="s">
        <v>2560</v>
      </c>
      <c r="D7172" s="861"/>
      <c r="I7172" s="845" t="s">
        <v>2577</v>
      </c>
    </row>
    <row r="7173" spans="1:9" x14ac:dyDescent="0.2">
      <c r="A7173" s="859">
        <f t="shared" si="112"/>
        <v>7172</v>
      </c>
      <c r="B7173" s="845" t="s">
        <v>2560</v>
      </c>
      <c r="D7173" s="861"/>
      <c r="H7173" s="845" t="s">
        <v>1010</v>
      </c>
    </row>
    <row r="7174" spans="1:9" x14ac:dyDescent="0.2">
      <c r="A7174" s="859">
        <f t="shared" si="112"/>
        <v>7173</v>
      </c>
      <c r="B7174" s="845" t="s">
        <v>2560</v>
      </c>
      <c r="D7174" s="862"/>
      <c r="H7174" s="845" t="s">
        <v>1007</v>
      </c>
    </row>
    <row r="7175" spans="1:9" x14ac:dyDescent="0.2">
      <c r="A7175" s="859">
        <f t="shared" si="112"/>
        <v>7174</v>
      </c>
      <c r="B7175" s="845" t="s">
        <v>2560</v>
      </c>
      <c r="D7175" s="863"/>
      <c r="I7175" s="845" t="s">
        <v>2107</v>
      </c>
    </row>
    <row r="7176" spans="1:9" x14ac:dyDescent="0.2">
      <c r="A7176" s="859">
        <f t="shared" si="112"/>
        <v>7175</v>
      </c>
      <c r="B7176" s="845" t="s">
        <v>2560</v>
      </c>
      <c r="D7176" s="862"/>
      <c r="I7176" s="845" t="str">
        <f>CONCATENATE("&lt;valeur&gt;",Cellule_1933_2,"&lt;/valeur&gt;")</f>
        <v>&lt;valeur&gt;0&lt;/valeur&gt;</v>
      </c>
    </row>
    <row r="7177" spans="1:9" x14ac:dyDescent="0.2">
      <c r="A7177" s="859">
        <f t="shared" si="112"/>
        <v>7176</v>
      </c>
      <c r="B7177" s="845" t="s">
        <v>2560</v>
      </c>
      <c r="D7177" s="862"/>
      <c r="I7177" s="845" t="s">
        <v>2577</v>
      </c>
    </row>
    <row r="7178" spans="1:9" x14ac:dyDescent="0.2">
      <c r="A7178" s="859">
        <f t="shared" si="112"/>
        <v>7177</v>
      </c>
      <c r="B7178" s="845" t="s">
        <v>2560</v>
      </c>
      <c r="D7178" s="861"/>
      <c r="H7178" s="845" t="s">
        <v>1010</v>
      </c>
    </row>
    <row r="7179" spans="1:9" x14ac:dyDescent="0.2">
      <c r="A7179" s="859">
        <f t="shared" si="112"/>
        <v>7178</v>
      </c>
      <c r="B7179" s="845" t="s">
        <v>2560</v>
      </c>
      <c r="D7179" s="861"/>
      <c r="H7179" s="845" t="s">
        <v>1007</v>
      </c>
    </row>
    <row r="7180" spans="1:9" x14ac:dyDescent="0.2">
      <c r="A7180" s="859">
        <f t="shared" si="112"/>
        <v>7179</v>
      </c>
      <c r="B7180" s="845" t="s">
        <v>2560</v>
      </c>
      <c r="D7180" s="862"/>
      <c r="I7180" s="845" t="s">
        <v>2108</v>
      </c>
    </row>
    <row r="7181" spans="1:9" x14ac:dyDescent="0.2">
      <c r="A7181" s="859">
        <f t="shared" si="112"/>
        <v>7180</v>
      </c>
      <c r="B7181" s="845" t="s">
        <v>2560</v>
      </c>
      <c r="D7181" s="863"/>
      <c r="I7181" s="845" t="str">
        <f>CONCATENATE("&lt;valeur&gt;",Cellule_1934_2,"&lt;/valeur&gt;")</f>
        <v>&lt;valeur&gt;&lt;/valeur&gt;</v>
      </c>
    </row>
    <row r="7182" spans="1:9" x14ac:dyDescent="0.2">
      <c r="A7182" s="859">
        <f t="shared" si="112"/>
        <v>7181</v>
      </c>
      <c r="B7182" s="845" t="s">
        <v>2560</v>
      </c>
      <c r="D7182" s="862"/>
      <c r="I7182" s="845" t="s">
        <v>2577</v>
      </c>
    </row>
    <row r="7183" spans="1:9" x14ac:dyDescent="0.2">
      <c r="A7183" s="859">
        <f t="shared" si="112"/>
        <v>7182</v>
      </c>
      <c r="B7183" s="845" t="s">
        <v>2560</v>
      </c>
      <c r="D7183" s="862"/>
      <c r="H7183" s="845" t="s">
        <v>1010</v>
      </c>
    </row>
    <row r="7184" spans="1:9" x14ac:dyDescent="0.2">
      <c r="A7184" s="859">
        <f t="shared" si="112"/>
        <v>7183</v>
      </c>
      <c r="B7184" s="845" t="s">
        <v>2560</v>
      </c>
      <c r="D7184" s="861"/>
      <c r="H7184" s="845" t="s">
        <v>1007</v>
      </c>
    </row>
    <row r="7185" spans="1:9" x14ac:dyDescent="0.2">
      <c r="A7185" s="859">
        <f t="shared" si="112"/>
        <v>7184</v>
      </c>
      <c r="B7185" s="845" t="s">
        <v>2560</v>
      </c>
      <c r="D7185" s="861"/>
      <c r="I7185" s="845" t="s">
        <v>2109</v>
      </c>
    </row>
    <row r="7186" spans="1:9" x14ac:dyDescent="0.2">
      <c r="A7186" s="859">
        <f t="shared" si="112"/>
        <v>7185</v>
      </c>
      <c r="B7186" s="845" t="s">
        <v>2560</v>
      </c>
      <c r="D7186" s="862"/>
      <c r="I7186" s="845" t="str">
        <f>CONCATENATE("&lt;valeur&gt;",Cellule_1935_2,"&lt;/valeur&gt;")</f>
        <v>&lt;valeur&gt;0&lt;/valeur&gt;</v>
      </c>
    </row>
    <row r="7187" spans="1:9" x14ac:dyDescent="0.2">
      <c r="A7187" s="859">
        <f t="shared" si="112"/>
        <v>7186</v>
      </c>
      <c r="B7187" s="845" t="s">
        <v>2560</v>
      </c>
      <c r="D7187" s="863"/>
      <c r="I7187" s="845" t="s">
        <v>2577</v>
      </c>
    </row>
    <row r="7188" spans="1:9" x14ac:dyDescent="0.2">
      <c r="A7188" s="859">
        <f t="shared" si="112"/>
        <v>7187</v>
      </c>
      <c r="B7188" s="845" t="s">
        <v>2560</v>
      </c>
      <c r="D7188" s="862"/>
      <c r="H7188" s="845" t="s">
        <v>1010</v>
      </c>
    </row>
    <row r="7189" spans="1:9" x14ac:dyDescent="0.2">
      <c r="A7189" s="859">
        <f t="shared" si="112"/>
        <v>7188</v>
      </c>
      <c r="B7189" s="845" t="s">
        <v>2560</v>
      </c>
      <c r="D7189" s="862"/>
      <c r="H7189" s="845" t="s">
        <v>1007</v>
      </c>
    </row>
    <row r="7190" spans="1:9" x14ac:dyDescent="0.2">
      <c r="A7190" s="859">
        <f t="shared" si="112"/>
        <v>7189</v>
      </c>
      <c r="B7190" s="845" t="s">
        <v>2560</v>
      </c>
      <c r="D7190" s="861"/>
      <c r="I7190" s="845" t="s">
        <v>2110</v>
      </c>
    </row>
    <row r="7191" spans="1:9" x14ac:dyDescent="0.2">
      <c r="A7191" s="859">
        <f t="shared" si="112"/>
        <v>7190</v>
      </c>
      <c r="B7191" s="845" t="s">
        <v>2560</v>
      </c>
      <c r="D7191" s="861"/>
      <c r="I7191" s="845" t="str">
        <f>CONCATENATE("&lt;valeur&gt;",Cellule_1936_2,"&lt;/valeur&gt;")</f>
        <v>&lt;valeur&gt;0&lt;/valeur&gt;</v>
      </c>
    </row>
    <row r="7192" spans="1:9" x14ac:dyDescent="0.2">
      <c r="A7192" s="859">
        <f t="shared" si="112"/>
        <v>7191</v>
      </c>
      <c r="B7192" s="845" t="s">
        <v>2560</v>
      </c>
      <c r="D7192" s="862"/>
      <c r="I7192" s="845" t="s">
        <v>2577</v>
      </c>
    </row>
    <row r="7193" spans="1:9" x14ac:dyDescent="0.2">
      <c r="A7193" s="859">
        <f t="shared" si="112"/>
        <v>7192</v>
      </c>
      <c r="B7193" s="845" t="s">
        <v>2560</v>
      </c>
      <c r="D7193" s="863"/>
      <c r="H7193" s="845" t="s">
        <v>1010</v>
      </c>
    </row>
    <row r="7194" spans="1:9" x14ac:dyDescent="0.2">
      <c r="A7194" s="859">
        <f t="shared" si="112"/>
        <v>7193</v>
      </c>
      <c r="B7194" s="845" t="s">
        <v>2560</v>
      </c>
      <c r="D7194" s="861"/>
      <c r="H7194" s="845" t="s">
        <v>1007</v>
      </c>
    </row>
    <row r="7195" spans="1:9" x14ac:dyDescent="0.2">
      <c r="A7195" s="859">
        <f t="shared" si="112"/>
        <v>7194</v>
      </c>
      <c r="B7195" s="845" t="s">
        <v>2560</v>
      </c>
      <c r="D7195" s="861"/>
      <c r="I7195" s="845" t="s">
        <v>2103</v>
      </c>
    </row>
    <row r="7196" spans="1:9" x14ac:dyDescent="0.2">
      <c r="A7196" s="859">
        <f t="shared" si="112"/>
        <v>7195</v>
      </c>
      <c r="B7196" s="845" t="s">
        <v>2560</v>
      </c>
      <c r="D7196" s="862"/>
      <c r="I7196" s="845" t="str">
        <f>CONCATENATE("&lt;valeur&gt;",Cellule_1929_3,"&lt;/valeur&gt;")</f>
        <v>&lt;valeur&gt;&lt;/valeur&gt;</v>
      </c>
    </row>
    <row r="7197" spans="1:9" x14ac:dyDescent="0.2">
      <c r="A7197" s="859">
        <f t="shared" si="112"/>
        <v>7196</v>
      </c>
      <c r="B7197" s="845" t="s">
        <v>2560</v>
      </c>
      <c r="D7197" s="863"/>
      <c r="I7197" s="845" t="s">
        <v>2578</v>
      </c>
    </row>
    <row r="7198" spans="1:9" x14ac:dyDescent="0.2">
      <c r="A7198" s="859">
        <f t="shared" si="112"/>
        <v>7197</v>
      </c>
      <c r="B7198" s="845" t="s">
        <v>2560</v>
      </c>
      <c r="D7198" s="862"/>
      <c r="H7198" s="845" t="s">
        <v>1010</v>
      </c>
    </row>
    <row r="7199" spans="1:9" x14ac:dyDescent="0.2">
      <c r="A7199" s="859">
        <f t="shared" si="112"/>
        <v>7198</v>
      </c>
      <c r="B7199" s="845" t="s">
        <v>2560</v>
      </c>
      <c r="D7199" s="862"/>
      <c r="H7199" s="845" t="s">
        <v>1007</v>
      </c>
    </row>
    <row r="7200" spans="1:9" x14ac:dyDescent="0.2">
      <c r="A7200" s="859">
        <f t="shared" si="112"/>
        <v>7199</v>
      </c>
      <c r="B7200" s="845" t="s">
        <v>2560</v>
      </c>
      <c r="D7200" s="861"/>
      <c r="I7200" s="845" t="s">
        <v>2104</v>
      </c>
    </row>
    <row r="7201" spans="1:9" x14ac:dyDescent="0.2">
      <c r="A7201" s="859">
        <f t="shared" si="112"/>
        <v>7200</v>
      </c>
      <c r="B7201" s="845" t="s">
        <v>2560</v>
      </c>
      <c r="D7201" s="861"/>
      <c r="I7201" s="845" t="str">
        <f>CONCATENATE("&lt;valeur&gt;",Cellule_1930_3,"&lt;/valeur&gt;")</f>
        <v>&lt;valeur&gt;&lt;/valeur&gt;</v>
      </c>
    </row>
    <row r="7202" spans="1:9" x14ac:dyDescent="0.2">
      <c r="A7202" s="859">
        <f t="shared" si="112"/>
        <v>7201</v>
      </c>
      <c r="B7202" s="845" t="s">
        <v>2560</v>
      </c>
      <c r="D7202" s="862"/>
      <c r="I7202" s="845" t="s">
        <v>2578</v>
      </c>
    </row>
    <row r="7203" spans="1:9" x14ac:dyDescent="0.2">
      <c r="A7203" s="859">
        <f t="shared" si="112"/>
        <v>7202</v>
      </c>
      <c r="B7203" s="845" t="s">
        <v>2560</v>
      </c>
      <c r="D7203" s="863"/>
      <c r="H7203" s="845" t="s">
        <v>1010</v>
      </c>
    </row>
    <row r="7204" spans="1:9" x14ac:dyDescent="0.2">
      <c r="A7204" s="859">
        <f t="shared" si="112"/>
        <v>7203</v>
      </c>
      <c r="B7204" s="845" t="s">
        <v>2560</v>
      </c>
      <c r="D7204" s="862"/>
      <c r="H7204" s="845" t="s">
        <v>1007</v>
      </c>
    </row>
    <row r="7205" spans="1:9" x14ac:dyDescent="0.2">
      <c r="A7205" s="859">
        <f t="shared" si="112"/>
        <v>7204</v>
      </c>
      <c r="B7205" s="845" t="s">
        <v>2560</v>
      </c>
      <c r="D7205" s="862"/>
      <c r="I7205" s="845" t="s">
        <v>2105</v>
      </c>
    </row>
    <row r="7206" spans="1:9" x14ac:dyDescent="0.2">
      <c r="A7206" s="859">
        <f t="shared" si="112"/>
        <v>7205</v>
      </c>
      <c r="B7206" s="845" t="s">
        <v>2560</v>
      </c>
      <c r="D7206" s="861"/>
      <c r="I7206" s="845" t="str">
        <f>CONCATENATE("&lt;valeur&gt;",Cellule_1931_3,"&lt;/valeur&gt;")</f>
        <v>&lt;valeur&gt;&lt;/valeur&gt;</v>
      </c>
    </row>
    <row r="7207" spans="1:9" x14ac:dyDescent="0.2">
      <c r="A7207" s="859">
        <f t="shared" si="112"/>
        <v>7206</v>
      </c>
      <c r="B7207" s="845" t="s">
        <v>2560</v>
      </c>
      <c r="D7207" s="861"/>
      <c r="I7207" s="845" t="s">
        <v>2578</v>
      </c>
    </row>
    <row r="7208" spans="1:9" x14ac:dyDescent="0.2">
      <c r="A7208" s="859">
        <f t="shared" si="112"/>
        <v>7207</v>
      </c>
      <c r="B7208" s="845" t="s">
        <v>2560</v>
      </c>
      <c r="D7208" s="862"/>
      <c r="H7208" s="845" t="s">
        <v>1010</v>
      </c>
    </row>
    <row r="7209" spans="1:9" x14ac:dyDescent="0.2">
      <c r="A7209" s="859">
        <f t="shared" si="112"/>
        <v>7208</v>
      </c>
      <c r="B7209" s="845" t="s">
        <v>2560</v>
      </c>
      <c r="D7209" s="863"/>
      <c r="H7209" s="845" t="s">
        <v>1007</v>
      </c>
    </row>
    <row r="7210" spans="1:9" x14ac:dyDescent="0.2">
      <c r="A7210" s="859">
        <f t="shared" si="112"/>
        <v>7209</v>
      </c>
      <c r="B7210" s="845" t="s">
        <v>2560</v>
      </c>
      <c r="D7210" s="862"/>
      <c r="I7210" s="845" t="s">
        <v>2106</v>
      </c>
    </row>
    <row r="7211" spans="1:9" x14ac:dyDescent="0.2">
      <c r="A7211" s="859">
        <f t="shared" si="112"/>
        <v>7210</v>
      </c>
      <c r="B7211" s="845" t="s">
        <v>2560</v>
      </c>
      <c r="D7211" s="862"/>
      <c r="I7211" s="845" t="str">
        <f>CONCATENATE("&lt;valeur&gt;",Cellule_1932_3,"&lt;/valeur&gt;")</f>
        <v>&lt;valeur&gt;&lt;/valeur&gt;</v>
      </c>
    </row>
    <row r="7212" spans="1:9" x14ac:dyDescent="0.2">
      <c r="A7212" s="859">
        <f t="shared" si="112"/>
        <v>7211</v>
      </c>
      <c r="B7212" s="845" t="s">
        <v>2560</v>
      </c>
      <c r="D7212" s="861"/>
      <c r="I7212" s="845" t="s">
        <v>2578</v>
      </c>
    </row>
    <row r="7213" spans="1:9" x14ac:dyDescent="0.2">
      <c r="A7213" s="859">
        <f t="shared" si="112"/>
        <v>7212</v>
      </c>
      <c r="B7213" s="845" t="s">
        <v>2560</v>
      </c>
      <c r="D7213" s="861"/>
      <c r="H7213" s="845" t="s">
        <v>1010</v>
      </c>
    </row>
    <row r="7214" spans="1:9" x14ac:dyDescent="0.2">
      <c r="A7214" s="859">
        <f t="shared" si="112"/>
        <v>7213</v>
      </c>
      <c r="B7214" s="845" t="s">
        <v>2560</v>
      </c>
      <c r="D7214" s="862"/>
      <c r="H7214" s="845" t="s">
        <v>1007</v>
      </c>
    </row>
    <row r="7215" spans="1:9" x14ac:dyDescent="0.2">
      <c r="A7215" s="859">
        <f t="shared" si="112"/>
        <v>7214</v>
      </c>
      <c r="B7215" s="845" t="s">
        <v>2560</v>
      </c>
      <c r="D7215" s="863"/>
      <c r="I7215" s="845" t="s">
        <v>2107</v>
      </c>
    </row>
    <row r="7216" spans="1:9" x14ac:dyDescent="0.2">
      <c r="A7216" s="859">
        <f t="shared" si="112"/>
        <v>7215</v>
      </c>
      <c r="B7216" s="845" t="s">
        <v>2560</v>
      </c>
      <c r="D7216" s="862"/>
      <c r="I7216" s="845" t="str">
        <f>CONCATENATE("&lt;valeur&gt;",Cellule_1933_3,"&lt;/valeur&gt;")</f>
        <v>&lt;valeur&gt;0&lt;/valeur&gt;</v>
      </c>
    </row>
    <row r="7217" spans="1:9" x14ac:dyDescent="0.2">
      <c r="A7217" s="859">
        <f t="shared" si="112"/>
        <v>7216</v>
      </c>
      <c r="B7217" s="845" t="s">
        <v>2560</v>
      </c>
      <c r="D7217" s="862"/>
      <c r="I7217" s="845" t="s">
        <v>2578</v>
      </c>
    </row>
    <row r="7218" spans="1:9" x14ac:dyDescent="0.2">
      <c r="A7218" s="859">
        <f t="shared" si="112"/>
        <v>7217</v>
      </c>
      <c r="B7218" s="845" t="s">
        <v>2560</v>
      </c>
      <c r="D7218" s="861"/>
      <c r="H7218" s="845" t="s">
        <v>1010</v>
      </c>
    </row>
    <row r="7219" spans="1:9" x14ac:dyDescent="0.2">
      <c r="A7219" s="859">
        <f t="shared" si="112"/>
        <v>7218</v>
      </c>
      <c r="B7219" s="845" t="s">
        <v>2560</v>
      </c>
      <c r="D7219" s="861"/>
      <c r="H7219" s="845" t="s">
        <v>1007</v>
      </c>
    </row>
    <row r="7220" spans="1:9" x14ac:dyDescent="0.2">
      <c r="A7220" s="859">
        <f t="shared" si="112"/>
        <v>7219</v>
      </c>
      <c r="B7220" s="845" t="s">
        <v>2560</v>
      </c>
      <c r="D7220" s="862"/>
      <c r="I7220" s="845" t="s">
        <v>2108</v>
      </c>
    </row>
    <row r="7221" spans="1:9" x14ac:dyDescent="0.2">
      <c r="A7221" s="859">
        <f t="shared" si="112"/>
        <v>7220</v>
      </c>
      <c r="B7221" s="845" t="s">
        <v>2560</v>
      </c>
      <c r="D7221" s="863"/>
      <c r="I7221" s="845" t="str">
        <f>CONCATENATE("&lt;valeur&gt;",Cellule_1934_3,"&lt;/valeur&gt;")</f>
        <v>&lt;valeur&gt;&lt;/valeur&gt;</v>
      </c>
    </row>
    <row r="7222" spans="1:9" x14ac:dyDescent="0.2">
      <c r="A7222" s="859">
        <f t="shared" si="112"/>
        <v>7221</v>
      </c>
      <c r="B7222" s="845" t="s">
        <v>2560</v>
      </c>
      <c r="D7222" s="862"/>
      <c r="I7222" s="845" t="s">
        <v>2578</v>
      </c>
    </row>
    <row r="7223" spans="1:9" x14ac:dyDescent="0.2">
      <c r="A7223" s="859">
        <f t="shared" si="112"/>
        <v>7222</v>
      </c>
      <c r="B7223" s="845" t="s">
        <v>2560</v>
      </c>
      <c r="D7223" s="862"/>
      <c r="H7223" s="845" t="s">
        <v>1010</v>
      </c>
    </row>
    <row r="7224" spans="1:9" x14ac:dyDescent="0.2">
      <c r="A7224" s="859">
        <f t="shared" si="112"/>
        <v>7223</v>
      </c>
      <c r="B7224" s="845" t="s">
        <v>2560</v>
      </c>
      <c r="D7224" s="861"/>
      <c r="H7224" s="845" t="s">
        <v>1007</v>
      </c>
    </row>
    <row r="7225" spans="1:9" x14ac:dyDescent="0.2">
      <c r="A7225" s="859">
        <f t="shared" si="112"/>
        <v>7224</v>
      </c>
      <c r="B7225" s="845" t="s">
        <v>2560</v>
      </c>
      <c r="D7225" s="861"/>
      <c r="I7225" s="845" t="s">
        <v>2109</v>
      </c>
    </row>
    <row r="7226" spans="1:9" x14ac:dyDescent="0.2">
      <c r="A7226" s="859">
        <f t="shared" si="112"/>
        <v>7225</v>
      </c>
      <c r="B7226" s="845" t="s">
        <v>2560</v>
      </c>
      <c r="D7226" s="862"/>
      <c r="I7226" s="845" t="str">
        <f>CONCATENATE("&lt;valeur&gt;",Cellule_1935_3,"&lt;/valeur&gt;")</f>
        <v>&lt;valeur&gt;0&lt;/valeur&gt;</v>
      </c>
    </row>
    <row r="7227" spans="1:9" x14ac:dyDescent="0.2">
      <c r="A7227" s="859">
        <f t="shared" si="112"/>
        <v>7226</v>
      </c>
      <c r="B7227" s="845" t="s">
        <v>2560</v>
      </c>
      <c r="D7227" s="863"/>
      <c r="I7227" s="845" t="s">
        <v>2578</v>
      </c>
    </row>
    <row r="7228" spans="1:9" x14ac:dyDescent="0.2">
      <c r="A7228" s="859">
        <f t="shared" si="112"/>
        <v>7227</v>
      </c>
      <c r="B7228" s="845" t="s">
        <v>2560</v>
      </c>
      <c r="D7228" s="862"/>
      <c r="H7228" s="845" t="s">
        <v>1010</v>
      </c>
    </row>
    <row r="7229" spans="1:9" x14ac:dyDescent="0.2">
      <c r="A7229" s="859">
        <f t="shared" si="112"/>
        <v>7228</v>
      </c>
      <c r="B7229" s="845" t="s">
        <v>2560</v>
      </c>
      <c r="D7229" s="862"/>
      <c r="H7229" s="845" t="s">
        <v>1007</v>
      </c>
    </row>
    <row r="7230" spans="1:9" x14ac:dyDescent="0.2">
      <c r="A7230" s="859">
        <f t="shared" si="112"/>
        <v>7229</v>
      </c>
      <c r="B7230" s="845" t="s">
        <v>2560</v>
      </c>
      <c r="D7230" s="861"/>
      <c r="I7230" s="845" t="s">
        <v>2110</v>
      </c>
    </row>
    <row r="7231" spans="1:9" x14ac:dyDescent="0.2">
      <c r="A7231" s="859">
        <f t="shared" si="112"/>
        <v>7230</v>
      </c>
      <c r="B7231" s="845" t="s">
        <v>2560</v>
      </c>
      <c r="D7231" s="861"/>
      <c r="I7231" s="845" t="str">
        <f>CONCATENATE("&lt;valeur&gt;",Cellule_1936_3,"&lt;/valeur&gt;")</f>
        <v>&lt;valeur&gt;0&lt;/valeur&gt;</v>
      </c>
    </row>
    <row r="7232" spans="1:9" x14ac:dyDescent="0.2">
      <c r="A7232" s="859">
        <f t="shared" si="112"/>
        <v>7231</v>
      </c>
      <c r="B7232" s="845" t="s">
        <v>2560</v>
      </c>
      <c r="D7232" s="862"/>
      <c r="I7232" s="845" t="s">
        <v>2578</v>
      </c>
    </row>
    <row r="7233" spans="1:9" x14ac:dyDescent="0.2">
      <c r="A7233" s="859">
        <f t="shared" si="112"/>
        <v>7232</v>
      </c>
      <c r="B7233" s="845" t="s">
        <v>2560</v>
      </c>
      <c r="D7233" s="863"/>
      <c r="H7233" s="845" t="s">
        <v>1010</v>
      </c>
    </row>
    <row r="7234" spans="1:9" x14ac:dyDescent="0.2">
      <c r="A7234" s="859">
        <f t="shared" si="112"/>
        <v>7233</v>
      </c>
      <c r="B7234" s="845" t="s">
        <v>2560</v>
      </c>
      <c r="D7234" s="861"/>
      <c r="H7234" s="845" t="s">
        <v>1007</v>
      </c>
    </row>
    <row r="7235" spans="1:9" x14ac:dyDescent="0.2">
      <c r="A7235" s="859">
        <f t="shared" si="112"/>
        <v>7234</v>
      </c>
      <c r="B7235" s="845" t="s">
        <v>2560</v>
      </c>
      <c r="D7235" s="861"/>
      <c r="I7235" s="845" t="s">
        <v>2103</v>
      </c>
    </row>
    <row r="7236" spans="1:9" x14ac:dyDescent="0.2">
      <c r="A7236" s="859">
        <f t="shared" ref="A7236:A7299" si="113">+A7235+1</f>
        <v>7235</v>
      </c>
      <c r="B7236" s="845" t="s">
        <v>2560</v>
      </c>
      <c r="D7236" s="862"/>
      <c r="I7236" s="845" t="str">
        <f>CONCATENATE("&lt;valeur&gt;",Cellule_1929_4,"&lt;/valeur&gt;")</f>
        <v>&lt;valeur&gt;&lt;/valeur&gt;</v>
      </c>
    </row>
    <row r="7237" spans="1:9" x14ac:dyDescent="0.2">
      <c r="A7237" s="859">
        <f t="shared" si="113"/>
        <v>7236</v>
      </c>
      <c r="B7237" s="845" t="s">
        <v>2560</v>
      </c>
      <c r="D7237" s="863"/>
      <c r="I7237" s="845" t="s">
        <v>2579</v>
      </c>
    </row>
    <row r="7238" spans="1:9" x14ac:dyDescent="0.2">
      <c r="A7238" s="859">
        <f t="shared" si="113"/>
        <v>7237</v>
      </c>
      <c r="B7238" s="845" t="s">
        <v>2560</v>
      </c>
      <c r="D7238" s="862"/>
      <c r="H7238" s="845" t="s">
        <v>1010</v>
      </c>
    </row>
    <row r="7239" spans="1:9" x14ac:dyDescent="0.2">
      <c r="A7239" s="859">
        <f t="shared" si="113"/>
        <v>7238</v>
      </c>
      <c r="B7239" s="845" t="s">
        <v>2560</v>
      </c>
      <c r="D7239" s="862"/>
      <c r="H7239" s="845" t="s">
        <v>1007</v>
      </c>
    </row>
    <row r="7240" spans="1:9" x14ac:dyDescent="0.2">
      <c r="A7240" s="859">
        <f t="shared" si="113"/>
        <v>7239</v>
      </c>
      <c r="B7240" s="845" t="s">
        <v>2560</v>
      </c>
      <c r="D7240" s="861"/>
      <c r="I7240" s="845" t="s">
        <v>2104</v>
      </c>
    </row>
    <row r="7241" spans="1:9" x14ac:dyDescent="0.2">
      <c r="A7241" s="859">
        <f t="shared" si="113"/>
        <v>7240</v>
      </c>
      <c r="B7241" s="845" t="s">
        <v>2560</v>
      </c>
      <c r="D7241" s="861"/>
      <c r="I7241" s="845" t="str">
        <f>CONCATENATE("&lt;valeur&gt;",Cellule_1930_4,"&lt;/valeur&gt;")</f>
        <v>&lt;valeur&gt;&lt;/valeur&gt;</v>
      </c>
    </row>
    <row r="7242" spans="1:9" x14ac:dyDescent="0.2">
      <c r="A7242" s="859">
        <f t="shared" si="113"/>
        <v>7241</v>
      </c>
      <c r="B7242" s="845" t="s">
        <v>2560</v>
      </c>
      <c r="D7242" s="862"/>
      <c r="I7242" s="845" t="s">
        <v>2579</v>
      </c>
    </row>
    <row r="7243" spans="1:9" x14ac:dyDescent="0.2">
      <c r="A7243" s="859">
        <f t="shared" si="113"/>
        <v>7242</v>
      </c>
      <c r="B7243" s="845" t="s">
        <v>2560</v>
      </c>
      <c r="D7243" s="863"/>
      <c r="H7243" s="845" t="s">
        <v>1010</v>
      </c>
    </row>
    <row r="7244" spans="1:9" x14ac:dyDescent="0.2">
      <c r="A7244" s="859">
        <f t="shared" si="113"/>
        <v>7243</v>
      </c>
      <c r="B7244" s="845" t="s">
        <v>2560</v>
      </c>
      <c r="D7244" s="862"/>
      <c r="H7244" s="845" t="s">
        <v>1007</v>
      </c>
    </row>
    <row r="7245" spans="1:9" x14ac:dyDescent="0.2">
      <c r="A7245" s="859">
        <f t="shared" si="113"/>
        <v>7244</v>
      </c>
      <c r="B7245" s="845" t="s">
        <v>2560</v>
      </c>
      <c r="D7245" s="862"/>
      <c r="I7245" s="845" t="s">
        <v>2105</v>
      </c>
    </row>
    <row r="7246" spans="1:9" x14ac:dyDescent="0.2">
      <c r="A7246" s="859">
        <f t="shared" si="113"/>
        <v>7245</v>
      </c>
      <c r="B7246" s="845" t="s">
        <v>2560</v>
      </c>
      <c r="D7246" s="861"/>
      <c r="I7246" s="845" t="str">
        <f>CONCATENATE("&lt;valeur&gt;",Cellule_1931_4,"&lt;/valeur&gt;")</f>
        <v>&lt;valeur&gt;&lt;/valeur&gt;</v>
      </c>
    </row>
    <row r="7247" spans="1:9" x14ac:dyDescent="0.2">
      <c r="A7247" s="859">
        <f t="shared" si="113"/>
        <v>7246</v>
      </c>
      <c r="B7247" s="845" t="s">
        <v>2560</v>
      </c>
      <c r="D7247" s="861"/>
      <c r="I7247" s="845" t="s">
        <v>2579</v>
      </c>
    </row>
    <row r="7248" spans="1:9" x14ac:dyDescent="0.2">
      <c r="A7248" s="859">
        <f t="shared" si="113"/>
        <v>7247</v>
      </c>
      <c r="B7248" s="845" t="s">
        <v>2560</v>
      </c>
      <c r="D7248" s="862"/>
      <c r="H7248" s="845" t="s">
        <v>1010</v>
      </c>
    </row>
    <row r="7249" spans="1:9" x14ac:dyDescent="0.2">
      <c r="A7249" s="859">
        <f t="shared" si="113"/>
        <v>7248</v>
      </c>
      <c r="B7249" s="845" t="s">
        <v>2560</v>
      </c>
      <c r="D7249" s="863"/>
      <c r="H7249" s="845" t="s">
        <v>1007</v>
      </c>
    </row>
    <row r="7250" spans="1:9" x14ac:dyDescent="0.2">
      <c r="A7250" s="859">
        <f t="shared" si="113"/>
        <v>7249</v>
      </c>
      <c r="B7250" s="845" t="s">
        <v>2560</v>
      </c>
      <c r="D7250" s="862"/>
      <c r="I7250" s="845" t="s">
        <v>2106</v>
      </c>
    </row>
    <row r="7251" spans="1:9" x14ac:dyDescent="0.2">
      <c r="A7251" s="859">
        <f t="shared" si="113"/>
        <v>7250</v>
      </c>
      <c r="B7251" s="845" t="s">
        <v>2560</v>
      </c>
      <c r="D7251" s="862"/>
      <c r="I7251" s="845" t="str">
        <f>CONCATENATE("&lt;valeur&gt;",Cellule_1932_4,"&lt;/valeur&gt;")</f>
        <v>&lt;valeur&gt;&lt;/valeur&gt;</v>
      </c>
    </row>
    <row r="7252" spans="1:9" x14ac:dyDescent="0.2">
      <c r="A7252" s="859">
        <f t="shared" si="113"/>
        <v>7251</v>
      </c>
      <c r="B7252" s="845" t="s">
        <v>2560</v>
      </c>
      <c r="D7252" s="861"/>
      <c r="I7252" s="845" t="s">
        <v>2579</v>
      </c>
    </row>
    <row r="7253" spans="1:9" x14ac:dyDescent="0.2">
      <c r="A7253" s="859">
        <f t="shared" si="113"/>
        <v>7252</v>
      </c>
      <c r="B7253" s="845" t="s">
        <v>2560</v>
      </c>
      <c r="D7253" s="861"/>
      <c r="H7253" s="845" t="s">
        <v>1010</v>
      </c>
    </row>
    <row r="7254" spans="1:9" x14ac:dyDescent="0.2">
      <c r="A7254" s="859">
        <f t="shared" si="113"/>
        <v>7253</v>
      </c>
      <c r="B7254" s="845" t="s">
        <v>2560</v>
      </c>
      <c r="D7254" s="862"/>
      <c r="H7254" s="845" t="s">
        <v>1007</v>
      </c>
    </row>
    <row r="7255" spans="1:9" x14ac:dyDescent="0.2">
      <c r="A7255" s="859">
        <f t="shared" si="113"/>
        <v>7254</v>
      </c>
      <c r="B7255" s="845" t="s">
        <v>2560</v>
      </c>
      <c r="D7255" s="863"/>
      <c r="I7255" s="845" t="s">
        <v>2107</v>
      </c>
    </row>
    <row r="7256" spans="1:9" x14ac:dyDescent="0.2">
      <c r="A7256" s="859">
        <f t="shared" si="113"/>
        <v>7255</v>
      </c>
      <c r="B7256" s="845" t="s">
        <v>2560</v>
      </c>
      <c r="D7256" s="862"/>
      <c r="I7256" s="845" t="str">
        <f>CONCATENATE("&lt;valeur&gt;",Cellule_1933_4,"&lt;/valeur&gt;")</f>
        <v>&lt;valeur&gt;0&lt;/valeur&gt;</v>
      </c>
    </row>
    <row r="7257" spans="1:9" x14ac:dyDescent="0.2">
      <c r="A7257" s="859">
        <f t="shared" si="113"/>
        <v>7256</v>
      </c>
      <c r="B7257" s="845" t="s">
        <v>2560</v>
      </c>
      <c r="D7257" s="862"/>
      <c r="I7257" s="845" t="s">
        <v>2579</v>
      </c>
    </row>
    <row r="7258" spans="1:9" x14ac:dyDescent="0.2">
      <c r="A7258" s="859">
        <f t="shared" si="113"/>
        <v>7257</v>
      </c>
      <c r="B7258" s="845" t="s">
        <v>2560</v>
      </c>
      <c r="D7258" s="861"/>
      <c r="H7258" s="845" t="s">
        <v>1010</v>
      </c>
    </row>
    <row r="7259" spans="1:9" x14ac:dyDescent="0.2">
      <c r="A7259" s="859">
        <f t="shared" si="113"/>
        <v>7258</v>
      </c>
      <c r="B7259" s="845" t="s">
        <v>2560</v>
      </c>
      <c r="D7259" s="861"/>
      <c r="H7259" s="845" t="s">
        <v>1007</v>
      </c>
    </row>
    <row r="7260" spans="1:9" x14ac:dyDescent="0.2">
      <c r="A7260" s="859">
        <f t="shared" si="113"/>
        <v>7259</v>
      </c>
      <c r="B7260" s="845" t="s">
        <v>2560</v>
      </c>
      <c r="D7260" s="862"/>
      <c r="I7260" s="845" t="s">
        <v>2108</v>
      </c>
    </row>
    <row r="7261" spans="1:9" x14ac:dyDescent="0.2">
      <c r="A7261" s="859">
        <f t="shared" si="113"/>
        <v>7260</v>
      </c>
      <c r="B7261" s="845" t="s">
        <v>2560</v>
      </c>
      <c r="D7261" s="863"/>
      <c r="I7261" s="845" t="str">
        <f>CONCATENATE("&lt;valeur&gt;",Cellule_1934_4,"&lt;/valeur&gt;")</f>
        <v>&lt;valeur&gt;&lt;/valeur&gt;</v>
      </c>
    </row>
    <row r="7262" spans="1:9" x14ac:dyDescent="0.2">
      <c r="A7262" s="859">
        <f t="shared" si="113"/>
        <v>7261</v>
      </c>
      <c r="B7262" s="845" t="s">
        <v>2560</v>
      </c>
      <c r="D7262" s="862"/>
      <c r="I7262" s="845" t="s">
        <v>2579</v>
      </c>
    </row>
    <row r="7263" spans="1:9" x14ac:dyDescent="0.2">
      <c r="A7263" s="859">
        <f t="shared" si="113"/>
        <v>7262</v>
      </c>
      <c r="B7263" s="845" t="s">
        <v>2560</v>
      </c>
      <c r="D7263" s="862"/>
      <c r="H7263" s="845" t="s">
        <v>1010</v>
      </c>
    </row>
    <row r="7264" spans="1:9" x14ac:dyDescent="0.2">
      <c r="A7264" s="859">
        <f t="shared" si="113"/>
        <v>7263</v>
      </c>
      <c r="B7264" s="845" t="s">
        <v>2560</v>
      </c>
      <c r="D7264" s="861"/>
      <c r="H7264" s="845" t="s">
        <v>1007</v>
      </c>
    </row>
    <row r="7265" spans="1:9" x14ac:dyDescent="0.2">
      <c r="A7265" s="859">
        <f t="shared" si="113"/>
        <v>7264</v>
      </c>
      <c r="B7265" s="845" t="s">
        <v>2560</v>
      </c>
      <c r="D7265" s="861"/>
      <c r="I7265" s="845" t="s">
        <v>2109</v>
      </c>
    </row>
    <row r="7266" spans="1:9" x14ac:dyDescent="0.2">
      <c r="A7266" s="859">
        <f t="shared" si="113"/>
        <v>7265</v>
      </c>
      <c r="B7266" s="845" t="s">
        <v>2560</v>
      </c>
      <c r="D7266" s="862"/>
      <c r="I7266" s="845" t="str">
        <f>CONCATENATE("&lt;valeur&gt;",Cellule_1935_4,"&lt;/valeur&gt;")</f>
        <v>&lt;valeur&gt;0&lt;/valeur&gt;</v>
      </c>
    </row>
    <row r="7267" spans="1:9" x14ac:dyDescent="0.2">
      <c r="A7267" s="859">
        <f t="shared" si="113"/>
        <v>7266</v>
      </c>
      <c r="B7267" s="845" t="s">
        <v>2560</v>
      </c>
      <c r="D7267" s="863"/>
      <c r="I7267" s="845" t="s">
        <v>2579</v>
      </c>
    </row>
    <row r="7268" spans="1:9" x14ac:dyDescent="0.2">
      <c r="A7268" s="859">
        <f t="shared" si="113"/>
        <v>7267</v>
      </c>
      <c r="B7268" s="845" t="s">
        <v>2560</v>
      </c>
      <c r="D7268" s="862"/>
      <c r="H7268" s="845" t="s">
        <v>1010</v>
      </c>
    </row>
    <row r="7269" spans="1:9" x14ac:dyDescent="0.2">
      <c r="A7269" s="859">
        <f t="shared" si="113"/>
        <v>7268</v>
      </c>
      <c r="B7269" s="845" t="s">
        <v>2560</v>
      </c>
      <c r="D7269" s="862"/>
      <c r="H7269" s="845" t="s">
        <v>1007</v>
      </c>
    </row>
    <row r="7270" spans="1:9" x14ac:dyDescent="0.2">
      <c r="A7270" s="859">
        <f t="shared" si="113"/>
        <v>7269</v>
      </c>
      <c r="B7270" s="845" t="s">
        <v>2560</v>
      </c>
      <c r="D7270" s="861"/>
      <c r="I7270" s="845" t="s">
        <v>2110</v>
      </c>
    </row>
    <row r="7271" spans="1:9" x14ac:dyDescent="0.2">
      <c r="A7271" s="859">
        <f t="shared" si="113"/>
        <v>7270</v>
      </c>
      <c r="B7271" s="845" t="s">
        <v>2560</v>
      </c>
      <c r="D7271" s="861"/>
      <c r="I7271" s="845" t="str">
        <f>CONCATENATE("&lt;valeur&gt;",Cellule_1936_4,"&lt;/valeur&gt;")</f>
        <v>&lt;valeur&gt;0&lt;/valeur&gt;</v>
      </c>
    </row>
    <row r="7272" spans="1:9" x14ac:dyDescent="0.2">
      <c r="A7272" s="859">
        <f t="shared" si="113"/>
        <v>7271</v>
      </c>
      <c r="B7272" s="845" t="s">
        <v>2560</v>
      </c>
      <c r="D7272" s="862"/>
      <c r="I7272" s="845" t="s">
        <v>2579</v>
      </c>
    </row>
    <row r="7273" spans="1:9" x14ac:dyDescent="0.2">
      <c r="A7273" s="859">
        <f t="shared" si="113"/>
        <v>7272</v>
      </c>
      <c r="B7273" s="845" t="s">
        <v>2560</v>
      </c>
      <c r="D7273" s="863"/>
      <c r="H7273" s="845" t="s">
        <v>1010</v>
      </c>
    </row>
    <row r="7274" spans="1:9" x14ac:dyDescent="0.2">
      <c r="A7274" s="859">
        <f t="shared" si="113"/>
        <v>7273</v>
      </c>
      <c r="B7274" s="845" t="s">
        <v>2560</v>
      </c>
      <c r="D7274" s="861"/>
      <c r="H7274" s="845" t="s">
        <v>1007</v>
      </c>
    </row>
    <row r="7275" spans="1:9" x14ac:dyDescent="0.2">
      <c r="A7275" s="859">
        <f t="shared" si="113"/>
        <v>7274</v>
      </c>
      <c r="B7275" s="845" t="s">
        <v>2560</v>
      </c>
      <c r="D7275" s="861"/>
      <c r="I7275" s="845" t="s">
        <v>2103</v>
      </c>
    </row>
    <row r="7276" spans="1:9" x14ac:dyDescent="0.2">
      <c r="A7276" s="859">
        <f t="shared" si="113"/>
        <v>7275</v>
      </c>
      <c r="B7276" s="845" t="s">
        <v>2560</v>
      </c>
      <c r="D7276" s="862"/>
      <c r="I7276" s="845" t="str">
        <f>CONCATENATE("&lt;valeur&gt;",Cellule_1929_5,"&lt;/valeur&gt;")</f>
        <v>&lt;valeur&gt;&lt;/valeur&gt;</v>
      </c>
    </row>
    <row r="7277" spans="1:9" x14ac:dyDescent="0.2">
      <c r="A7277" s="859">
        <f t="shared" si="113"/>
        <v>7276</v>
      </c>
      <c r="B7277" s="845" t="s">
        <v>2560</v>
      </c>
      <c r="D7277" s="863"/>
      <c r="I7277" s="845" t="s">
        <v>2580</v>
      </c>
    </row>
    <row r="7278" spans="1:9" x14ac:dyDescent="0.2">
      <c r="A7278" s="859">
        <f t="shared" si="113"/>
        <v>7277</v>
      </c>
      <c r="B7278" s="845" t="s">
        <v>2560</v>
      </c>
      <c r="D7278" s="862"/>
      <c r="H7278" s="845" t="s">
        <v>1010</v>
      </c>
    </row>
    <row r="7279" spans="1:9" x14ac:dyDescent="0.2">
      <c r="A7279" s="859">
        <f t="shared" si="113"/>
        <v>7278</v>
      </c>
      <c r="B7279" s="845" t="s">
        <v>2560</v>
      </c>
      <c r="D7279" s="862"/>
      <c r="H7279" s="845" t="s">
        <v>1007</v>
      </c>
    </row>
    <row r="7280" spans="1:9" x14ac:dyDescent="0.2">
      <c r="A7280" s="859">
        <f t="shared" si="113"/>
        <v>7279</v>
      </c>
      <c r="B7280" s="845" t="s">
        <v>2560</v>
      </c>
      <c r="D7280" s="861"/>
      <c r="I7280" s="845" t="s">
        <v>2104</v>
      </c>
    </row>
    <row r="7281" spans="1:9" x14ac:dyDescent="0.2">
      <c r="A7281" s="859">
        <f t="shared" si="113"/>
        <v>7280</v>
      </c>
      <c r="B7281" s="845" t="s">
        <v>2560</v>
      </c>
      <c r="D7281" s="861"/>
      <c r="I7281" s="845" t="str">
        <f>CONCATENATE("&lt;valeur&gt;",Cellule_1930_5,"&lt;/valeur&gt;")</f>
        <v>&lt;valeur&gt;&lt;/valeur&gt;</v>
      </c>
    </row>
    <row r="7282" spans="1:9" x14ac:dyDescent="0.2">
      <c r="A7282" s="859">
        <f t="shared" si="113"/>
        <v>7281</v>
      </c>
      <c r="B7282" s="845" t="s">
        <v>2560</v>
      </c>
      <c r="D7282" s="862"/>
      <c r="I7282" s="845" t="s">
        <v>2580</v>
      </c>
    </row>
    <row r="7283" spans="1:9" x14ac:dyDescent="0.2">
      <c r="A7283" s="859">
        <f t="shared" si="113"/>
        <v>7282</v>
      </c>
      <c r="B7283" s="845" t="s">
        <v>2560</v>
      </c>
      <c r="D7283" s="863"/>
      <c r="H7283" s="845" t="s">
        <v>1010</v>
      </c>
    </row>
    <row r="7284" spans="1:9" x14ac:dyDescent="0.2">
      <c r="A7284" s="859">
        <f t="shared" si="113"/>
        <v>7283</v>
      </c>
      <c r="B7284" s="845" t="s">
        <v>2560</v>
      </c>
      <c r="D7284" s="862"/>
      <c r="H7284" s="845" t="s">
        <v>1007</v>
      </c>
    </row>
    <row r="7285" spans="1:9" x14ac:dyDescent="0.2">
      <c r="A7285" s="859">
        <f t="shared" si="113"/>
        <v>7284</v>
      </c>
      <c r="B7285" s="845" t="s">
        <v>2560</v>
      </c>
      <c r="D7285" s="862"/>
      <c r="I7285" s="845" t="s">
        <v>2105</v>
      </c>
    </row>
    <row r="7286" spans="1:9" x14ac:dyDescent="0.2">
      <c r="A7286" s="859">
        <f t="shared" si="113"/>
        <v>7285</v>
      </c>
      <c r="B7286" s="845" t="s">
        <v>2560</v>
      </c>
      <c r="D7286" s="861"/>
      <c r="I7286" s="845" t="str">
        <f>CONCATENATE("&lt;valeur&gt;",Cellule_1931_5,"&lt;/valeur&gt;")</f>
        <v>&lt;valeur&gt;&lt;/valeur&gt;</v>
      </c>
    </row>
    <row r="7287" spans="1:9" x14ac:dyDescent="0.2">
      <c r="A7287" s="859">
        <f t="shared" si="113"/>
        <v>7286</v>
      </c>
      <c r="B7287" s="845" t="s">
        <v>2560</v>
      </c>
      <c r="D7287" s="861"/>
      <c r="I7287" s="845" t="s">
        <v>2580</v>
      </c>
    </row>
    <row r="7288" spans="1:9" x14ac:dyDescent="0.2">
      <c r="A7288" s="859">
        <f t="shared" si="113"/>
        <v>7287</v>
      </c>
      <c r="B7288" s="845" t="s">
        <v>2560</v>
      </c>
      <c r="D7288" s="862"/>
      <c r="H7288" s="845" t="s">
        <v>1010</v>
      </c>
    </row>
    <row r="7289" spans="1:9" x14ac:dyDescent="0.2">
      <c r="A7289" s="859">
        <f t="shared" si="113"/>
        <v>7288</v>
      </c>
      <c r="B7289" s="845" t="s">
        <v>2560</v>
      </c>
      <c r="D7289" s="863"/>
      <c r="H7289" s="845" t="s">
        <v>1007</v>
      </c>
    </row>
    <row r="7290" spans="1:9" x14ac:dyDescent="0.2">
      <c r="A7290" s="859">
        <f t="shared" si="113"/>
        <v>7289</v>
      </c>
      <c r="B7290" s="845" t="s">
        <v>2560</v>
      </c>
      <c r="D7290" s="862"/>
      <c r="I7290" s="845" t="s">
        <v>2106</v>
      </c>
    </row>
    <row r="7291" spans="1:9" x14ac:dyDescent="0.2">
      <c r="A7291" s="859">
        <f t="shared" si="113"/>
        <v>7290</v>
      </c>
      <c r="B7291" s="845" t="s">
        <v>2560</v>
      </c>
      <c r="D7291" s="862"/>
      <c r="I7291" s="845" t="str">
        <f>CONCATENATE("&lt;valeur&gt;",Cellule_1932_5,"&lt;/valeur&gt;")</f>
        <v>&lt;valeur&gt;&lt;/valeur&gt;</v>
      </c>
    </row>
    <row r="7292" spans="1:9" x14ac:dyDescent="0.2">
      <c r="A7292" s="859">
        <f t="shared" si="113"/>
        <v>7291</v>
      </c>
      <c r="B7292" s="845" t="s">
        <v>2560</v>
      </c>
      <c r="D7292" s="861"/>
      <c r="I7292" s="845" t="s">
        <v>2580</v>
      </c>
    </row>
    <row r="7293" spans="1:9" x14ac:dyDescent="0.2">
      <c r="A7293" s="859">
        <f t="shared" si="113"/>
        <v>7292</v>
      </c>
      <c r="B7293" s="845" t="s">
        <v>2560</v>
      </c>
      <c r="D7293" s="861"/>
      <c r="H7293" s="845" t="s">
        <v>1010</v>
      </c>
    </row>
    <row r="7294" spans="1:9" x14ac:dyDescent="0.2">
      <c r="A7294" s="859">
        <f t="shared" si="113"/>
        <v>7293</v>
      </c>
      <c r="B7294" s="845" t="s">
        <v>2560</v>
      </c>
      <c r="D7294" s="862"/>
      <c r="H7294" s="845" t="s">
        <v>1007</v>
      </c>
    </row>
    <row r="7295" spans="1:9" x14ac:dyDescent="0.2">
      <c r="A7295" s="859">
        <f t="shared" si="113"/>
        <v>7294</v>
      </c>
      <c r="B7295" s="845" t="s">
        <v>2560</v>
      </c>
      <c r="D7295" s="863"/>
      <c r="I7295" s="845" t="s">
        <v>2107</v>
      </c>
    </row>
    <row r="7296" spans="1:9" x14ac:dyDescent="0.2">
      <c r="A7296" s="859">
        <f t="shared" si="113"/>
        <v>7295</v>
      </c>
      <c r="B7296" s="845" t="s">
        <v>2560</v>
      </c>
      <c r="D7296" s="862"/>
      <c r="I7296" s="845" t="str">
        <f>CONCATENATE("&lt;valeur&gt;",Cellule_1933_5,"&lt;/valeur&gt;")</f>
        <v>&lt;valeur&gt;0&lt;/valeur&gt;</v>
      </c>
    </row>
    <row r="7297" spans="1:9" x14ac:dyDescent="0.2">
      <c r="A7297" s="859">
        <f t="shared" si="113"/>
        <v>7296</v>
      </c>
      <c r="B7297" s="845" t="s">
        <v>2560</v>
      </c>
      <c r="D7297" s="862"/>
      <c r="I7297" s="845" t="s">
        <v>2580</v>
      </c>
    </row>
    <row r="7298" spans="1:9" x14ac:dyDescent="0.2">
      <c r="A7298" s="859">
        <f t="shared" si="113"/>
        <v>7297</v>
      </c>
      <c r="B7298" s="845" t="s">
        <v>2560</v>
      </c>
      <c r="D7298" s="861"/>
      <c r="H7298" s="845" t="s">
        <v>1010</v>
      </c>
    </row>
    <row r="7299" spans="1:9" x14ac:dyDescent="0.2">
      <c r="A7299" s="859">
        <f t="shared" si="113"/>
        <v>7298</v>
      </c>
      <c r="B7299" s="845" t="s">
        <v>2560</v>
      </c>
      <c r="D7299" s="861"/>
      <c r="H7299" s="845" t="s">
        <v>1007</v>
      </c>
    </row>
    <row r="7300" spans="1:9" x14ac:dyDescent="0.2">
      <c r="A7300" s="859">
        <f t="shared" ref="A7300:A7363" si="114">+A7299+1</f>
        <v>7299</v>
      </c>
      <c r="B7300" s="845" t="s">
        <v>2560</v>
      </c>
      <c r="D7300" s="862"/>
      <c r="I7300" s="845" t="s">
        <v>2108</v>
      </c>
    </row>
    <row r="7301" spans="1:9" x14ac:dyDescent="0.2">
      <c r="A7301" s="859">
        <f t="shared" si="114"/>
        <v>7300</v>
      </c>
      <c r="B7301" s="845" t="s">
        <v>2560</v>
      </c>
      <c r="D7301" s="863"/>
      <c r="I7301" s="845" t="str">
        <f>CONCATENATE("&lt;valeur&gt;",Cellule_1934_5,"&lt;/valeur&gt;")</f>
        <v>&lt;valeur&gt;&lt;/valeur&gt;</v>
      </c>
    </row>
    <row r="7302" spans="1:9" x14ac:dyDescent="0.2">
      <c r="A7302" s="859">
        <f t="shared" si="114"/>
        <v>7301</v>
      </c>
      <c r="B7302" s="845" t="s">
        <v>2560</v>
      </c>
      <c r="D7302" s="862"/>
      <c r="I7302" s="845" t="s">
        <v>2580</v>
      </c>
    </row>
    <row r="7303" spans="1:9" x14ac:dyDescent="0.2">
      <c r="A7303" s="859">
        <f t="shared" si="114"/>
        <v>7302</v>
      </c>
      <c r="B7303" s="845" t="s">
        <v>2560</v>
      </c>
      <c r="D7303" s="862"/>
      <c r="H7303" s="845" t="s">
        <v>1010</v>
      </c>
    </row>
    <row r="7304" spans="1:9" x14ac:dyDescent="0.2">
      <c r="A7304" s="859">
        <f t="shared" si="114"/>
        <v>7303</v>
      </c>
      <c r="B7304" s="845" t="s">
        <v>2560</v>
      </c>
      <c r="D7304" s="861"/>
      <c r="H7304" s="845" t="s">
        <v>1007</v>
      </c>
    </row>
    <row r="7305" spans="1:9" x14ac:dyDescent="0.2">
      <c r="A7305" s="859">
        <f t="shared" si="114"/>
        <v>7304</v>
      </c>
      <c r="B7305" s="845" t="s">
        <v>2560</v>
      </c>
      <c r="D7305" s="861"/>
      <c r="I7305" s="845" t="s">
        <v>2109</v>
      </c>
    </row>
    <row r="7306" spans="1:9" x14ac:dyDescent="0.2">
      <c r="A7306" s="859">
        <f t="shared" si="114"/>
        <v>7305</v>
      </c>
      <c r="B7306" s="845" t="s">
        <v>2560</v>
      </c>
      <c r="D7306" s="862"/>
      <c r="I7306" s="845" t="str">
        <f>CONCATENATE("&lt;valeur&gt;",Cellule_1935_5,"&lt;/valeur&gt;")</f>
        <v>&lt;valeur&gt;0&lt;/valeur&gt;</v>
      </c>
    </row>
    <row r="7307" spans="1:9" x14ac:dyDescent="0.2">
      <c r="A7307" s="859">
        <f t="shared" si="114"/>
        <v>7306</v>
      </c>
      <c r="B7307" s="845" t="s">
        <v>2560</v>
      </c>
      <c r="D7307" s="863"/>
      <c r="I7307" s="845" t="s">
        <v>2580</v>
      </c>
    </row>
    <row r="7308" spans="1:9" x14ac:dyDescent="0.2">
      <c r="A7308" s="859">
        <f t="shared" si="114"/>
        <v>7307</v>
      </c>
      <c r="B7308" s="845" t="s">
        <v>2560</v>
      </c>
      <c r="D7308" s="862"/>
      <c r="H7308" s="845" t="s">
        <v>1010</v>
      </c>
    </row>
    <row r="7309" spans="1:9" x14ac:dyDescent="0.2">
      <c r="A7309" s="859">
        <f t="shared" si="114"/>
        <v>7308</v>
      </c>
      <c r="B7309" s="845" t="s">
        <v>2560</v>
      </c>
      <c r="D7309" s="862"/>
      <c r="H7309" s="845" t="s">
        <v>1007</v>
      </c>
    </row>
    <row r="7310" spans="1:9" x14ac:dyDescent="0.2">
      <c r="A7310" s="859">
        <f t="shared" si="114"/>
        <v>7309</v>
      </c>
      <c r="B7310" s="845" t="s">
        <v>2560</v>
      </c>
      <c r="D7310" s="861"/>
      <c r="I7310" s="845" t="s">
        <v>2110</v>
      </c>
    </row>
    <row r="7311" spans="1:9" x14ac:dyDescent="0.2">
      <c r="A7311" s="859">
        <f t="shared" si="114"/>
        <v>7310</v>
      </c>
      <c r="B7311" s="845" t="s">
        <v>2560</v>
      </c>
      <c r="D7311" s="861"/>
      <c r="I7311" s="845" t="str">
        <f>CONCATENATE("&lt;valeur&gt;",Cellule_1936_5,"&lt;/valeur&gt;")</f>
        <v>&lt;valeur&gt;0&lt;/valeur&gt;</v>
      </c>
    </row>
    <row r="7312" spans="1:9" x14ac:dyDescent="0.2">
      <c r="A7312" s="859">
        <f t="shared" si="114"/>
        <v>7311</v>
      </c>
      <c r="B7312" s="845" t="s">
        <v>2560</v>
      </c>
      <c r="D7312" s="862"/>
      <c r="I7312" s="845" t="s">
        <v>2580</v>
      </c>
    </row>
    <row r="7313" spans="1:9" x14ac:dyDescent="0.2">
      <c r="A7313" s="859">
        <f t="shared" si="114"/>
        <v>7312</v>
      </c>
      <c r="B7313" s="845" t="s">
        <v>2560</v>
      </c>
      <c r="D7313" s="863"/>
      <c r="H7313" s="845" t="s">
        <v>1010</v>
      </c>
    </row>
    <row r="7314" spans="1:9" x14ac:dyDescent="0.2">
      <c r="A7314" s="859">
        <f t="shared" si="114"/>
        <v>7313</v>
      </c>
      <c r="B7314" s="845" t="s">
        <v>2560</v>
      </c>
      <c r="D7314" s="861"/>
      <c r="H7314" s="845" t="s">
        <v>1007</v>
      </c>
    </row>
    <row r="7315" spans="1:9" x14ac:dyDescent="0.2">
      <c r="A7315" s="859">
        <f t="shared" si="114"/>
        <v>7314</v>
      </c>
      <c r="B7315" s="845" t="s">
        <v>2560</v>
      </c>
      <c r="D7315" s="861"/>
      <c r="I7315" s="845" t="s">
        <v>2103</v>
      </c>
    </row>
    <row r="7316" spans="1:9" x14ac:dyDescent="0.2">
      <c r="A7316" s="859">
        <f t="shared" si="114"/>
        <v>7315</v>
      </c>
      <c r="B7316" s="845" t="s">
        <v>2560</v>
      </c>
      <c r="D7316" s="862"/>
      <c r="I7316" s="845" t="str">
        <f>CONCATENATE("&lt;valeur&gt;",Cellule_1929_6,"&lt;/valeur&gt;")</f>
        <v>&lt;valeur&gt;&lt;/valeur&gt;</v>
      </c>
    </row>
    <row r="7317" spans="1:9" x14ac:dyDescent="0.2">
      <c r="A7317" s="859">
        <f t="shared" si="114"/>
        <v>7316</v>
      </c>
      <c r="B7317" s="845" t="s">
        <v>2560</v>
      </c>
      <c r="D7317" s="863"/>
      <c r="I7317" s="845" t="s">
        <v>2581</v>
      </c>
    </row>
    <row r="7318" spans="1:9" x14ac:dyDescent="0.2">
      <c r="A7318" s="859">
        <f t="shared" si="114"/>
        <v>7317</v>
      </c>
      <c r="B7318" s="845" t="s">
        <v>2560</v>
      </c>
      <c r="D7318" s="862"/>
      <c r="H7318" s="845" t="s">
        <v>1010</v>
      </c>
    </row>
    <row r="7319" spans="1:9" x14ac:dyDescent="0.2">
      <c r="A7319" s="859">
        <f t="shared" si="114"/>
        <v>7318</v>
      </c>
      <c r="B7319" s="845" t="s">
        <v>2560</v>
      </c>
      <c r="D7319" s="862"/>
      <c r="H7319" s="845" t="s">
        <v>1007</v>
      </c>
    </row>
    <row r="7320" spans="1:9" x14ac:dyDescent="0.2">
      <c r="A7320" s="859">
        <f t="shared" si="114"/>
        <v>7319</v>
      </c>
      <c r="B7320" s="845" t="s">
        <v>2560</v>
      </c>
      <c r="D7320" s="861"/>
      <c r="I7320" s="845" t="s">
        <v>2104</v>
      </c>
    </row>
    <row r="7321" spans="1:9" x14ac:dyDescent="0.2">
      <c r="A7321" s="859">
        <f t="shared" si="114"/>
        <v>7320</v>
      </c>
      <c r="B7321" s="845" t="s">
        <v>2560</v>
      </c>
      <c r="D7321" s="861"/>
      <c r="I7321" s="845" t="str">
        <f>CONCATENATE("&lt;valeur&gt;",Cellule_1930_6,"&lt;/valeur&gt;")</f>
        <v>&lt;valeur&gt;&lt;/valeur&gt;</v>
      </c>
    </row>
    <row r="7322" spans="1:9" x14ac:dyDescent="0.2">
      <c r="A7322" s="859">
        <f t="shared" si="114"/>
        <v>7321</v>
      </c>
      <c r="B7322" s="845" t="s">
        <v>2560</v>
      </c>
      <c r="D7322" s="862"/>
      <c r="I7322" s="845" t="s">
        <v>2581</v>
      </c>
    </row>
    <row r="7323" spans="1:9" x14ac:dyDescent="0.2">
      <c r="A7323" s="859">
        <f t="shared" si="114"/>
        <v>7322</v>
      </c>
      <c r="B7323" s="845" t="s">
        <v>2560</v>
      </c>
      <c r="D7323" s="863"/>
      <c r="H7323" s="845" t="s">
        <v>1010</v>
      </c>
    </row>
    <row r="7324" spans="1:9" x14ac:dyDescent="0.2">
      <c r="A7324" s="859">
        <f t="shared" si="114"/>
        <v>7323</v>
      </c>
      <c r="B7324" s="845" t="s">
        <v>2560</v>
      </c>
      <c r="D7324" s="862"/>
      <c r="H7324" s="845" t="s">
        <v>1007</v>
      </c>
    </row>
    <row r="7325" spans="1:9" x14ac:dyDescent="0.2">
      <c r="A7325" s="859">
        <f t="shared" si="114"/>
        <v>7324</v>
      </c>
      <c r="B7325" s="845" t="s">
        <v>2560</v>
      </c>
      <c r="D7325" s="862"/>
      <c r="I7325" s="845" t="s">
        <v>2105</v>
      </c>
    </row>
    <row r="7326" spans="1:9" x14ac:dyDescent="0.2">
      <c r="A7326" s="859">
        <f t="shared" si="114"/>
        <v>7325</v>
      </c>
      <c r="B7326" s="845" t="s">
        <v>2560</v>
      </c>
      <c r="D7326" s="861"/>
      <c r="I7326" s="845" t="str">
        <f>CONCATENATE("&lt;valeur&gt;",Cellule_1931_6,"&lt;/valeur&gt;")</f>
        <v>&lt;valeur&gt;&lt;/valeur&gt;</v>
      </c>
    </row>
    <row r="7327" spans="1:9" x14ac:dyDescent="0.2">
      <c r="A7327" s="859">
        <f t="shared" si="114"/>
        <v>7326</v>
      </c>
      <c r="B7327" s="845" t="s">
        <v>2560</v>
      </c>
      <c r="D7327" s="861"/>
      <c r="I7327" s="845" t="s">
        <v>2581</v>
      </c>
    </row>
    <row r="7328" spans="1:9" x14ac:dyDescent="0.2">
      <c r="A7328" s="859">
        <f t="shared" si="114"/>
        <v>7327</v>
      </c>
      <c r="B7328" s="845" t="s">
        <v>2560</v>
      </c>
      <c r="D7328" s="862"/>
      <c r="H7328" s="845" t="s">
        <v>1010</v>
      </c>
    </row>
    <row r="7329" spans="1:9" x14ac:dyDescent="0.2">
      <c r="A7329" s="859">
        <f t="shared" si="114"/>
        <v>7328</v>
      </c>
      <c r="B7329" s="845" t="s">
        <v>2560</v>
      </c>
      <c r="D7329" s="863"/>
      <c r="H7329" s="845" t="s">
        <v>1007</v>
      </c>
    </row>
    <row r="7330" spans="1:9" x14ac:dyDescent="0.2">
      <c r="A7330" s="859">
        <f t="shared" si="114"/>
        <v>7329</v>
      </c>
      <c r="B7330" s="845" t="s">
        <v>2560</v>
      </c>
      <c r="D7330" s="862"/>
      <c r="I7330" s="845" t="s">
        <v>2106</v>
      </c>
    </row>
    <row r="7331" spans="1:9" x14ac:dyDescent="0.2">
      <c r="A7331" s="859">
        <f t="shared" si="114"/>
        <v>7330</v>
      </c>
      <c r="B7331" s="845" t="s">
        <v>2560</v>
      </c>
      <c r="D7331" s="862"/>
      <c r="I7331" s="845" t="str">
        <f>CONCATENATE("&lt;valeur&gt;",Cellule_1932_6,"&lt;/valeur&gt;")</f>
        <v>&lt;valeur&gt;&lt;/valeur&gt;</v>
      </c>
    </row>
    <row r="7332" spans="1:9" x14ac:dyDescent="0.2">
      <c r="A7332" s="859">
        <f t="shared" si="114"/>
        <v>7331</v>
      </c>
      <c r="B7332" s="845" t="s">
        <v>2560</v>
      </c>
      <c r="D7332" s="861"/>
      <c r="I7332" s="845" t="s">
        <v>2581</v>
      </c>
    </row>
    <row r="7333" spans="1:9" x14ac:dyDescent="0.2">
      <c r="A7333" s="859">
        <f t="shared" si="114"/>
        <v>7332</v>
      </c>
      <c r="B7333" s="845" t="s">
        <v>2560</v>
      </c>
      <c r="D7333" s="861"/>
      <c r="H7333" s="845" t="s">
        <v>1010</v>
      </c>
    </row>
    <row r="7334" spans="1:9" x14ac:dyDescent="0.2">
      <c r="A7334" s="859">
        <f t="shared" si="114"/>
        <v>7333</v>
      </c>
      <c r="B7334" s="845" t="s">
        <v>2560</v>
      </c>
      <c r="D7334" s="862"/>
      <c r="H7334" s="845" t="s">
        <v>1007</v>
      </c>
    </row>
    <row r="7335" spans="1:9" x14ac:dyDescent="0.2">
      <c r="A7335" s="859">
        <f t="shared" si="114"/>
        <v>7334</v>
      </c>
      <c r="B7335" s="845" t="s">
        <v>2560</v>
      </c>
      <c r="D7335" s="863"/>
      <c r="I7335" s="845" t="s">
        <v>2107</v>
      </c>
    </row>
    <row r="7336" spans="1:9" x14ac:dyDescent="0.2">
      <c r="A7336" s="859">
        <f t="shared" si="114"/>
        <v>7335</v>
      </c>
      <c r="B7336" s="845" t="s">
        <v>2560</v>
      </c>
      <c r="D7336" s="862"/>
      <c r="I7336" s="845" t="str">
        <f>CONCATENATE("&lt;valeur&gt;",Cellule_1933_6,"&lt;/valeur&gt;")</f>
        <v>&lt;valeur&gt;0&lt;/valeur&gt;</v>
      </c>
    </row>
    <row r="7337" spans="1:9" x14ac:dyDescent="0.2">
      <c r="A7337" s="859">
        <f t="shared" si="114"/>
        <v>7336</v>
      </c>
      <c r="B7337" s="845" t="s">
        <v>2560</v>
      </c>
      <c r="D7337" s="862"/>
      <c r="I7337" s="845" t="s">
        <v>2581</v>
      </c>
    </row>
    <row r="7338" spans="1:9" x14ac:dyDescent="0.2">
      <c r="A7338" s="859">
        <f t="shared" si="114"/>
        <v>7337</v>
      </c>
      <c r="B7338" s="845" t="s">
        <v>2560</v>
      </c>
      <c r="D7338" s="861"/>
      <c r="H7338" s="845" t="s">
        <v>1010</v>
      </c>
    </row>
    <row r="7339" spans="1:9" x14ac:dyDescent="0.2">
      <c r="A7339" s="859">
        <f t="shared" si="114"/>
        <v>7338</v>
      </c>
      <c r="B7339" s="845" t="s">
        <v>2560</v>
      </c>
      <c r="D7339" s="861"/>
      <c r="H7339" s="845" t="s">
        <v>1007</v>
      </c>
    </row>
    <row r="7340" spans="1:9" x14ac:dyDescent="0.2">
      <c r="A7340" s="859">
        <f t="shared" si="114"/>
        <v>7339</v>
      </c>
      <c r="B7340" s="845" t="s">
        <v>2560</v>
      </c>
      <c r="D7340" s="862"/>
      <c r="I7340" s="845" t="s">
        <v>2108</v>
      </c>
    </row>
    <row r="7341" spans="1:9" x14ac:dyDescent="0.2">
      <c r="A7341" s="859">
        <f t="shared" si="114"/>
        <v>7340</v>
      </c>
      <c r="B7341" s="845" t="s">
        <v>2560</v>
      </c>
      <c r="D7341" s="863"/>
      <c r="I7341" s="845" t="str">
        <f>CONCATENATE("&lt;valeur&gt;",Cellule_1934_6,"&lt;/valeur&gt;")</f>
        <v>&lt;valeur&gt;&lt;/valeur&gt;</v>
      </c>
    </row>
    <row r="7342" spans="1:9" x14ac:dyDescent="0.2">
      <c r="A7342" s="859">
        <f t="shared" si="114"/>
        <v>7341</v>
      </c>
      <c r="B7342" s="845" t="s">
        <v>2560</v>
      </c>
      <c r="D7342" s="862"/>
      <c r="I7342" s="845" t="s">
        <v>2581</v>
      </c>
    </row>
    <row r="7343" spans="1:9" x14ac:dyDescent="0.2">
      <c r="A7343" s="859">
        <f t="shared" si="114"/>
        <v>7342</v>
      </c>
      <c r="B7343" s="845" t="s">
        <v>2560</v>
      </c>
      <c r="D7343" s="862"/>
      <c r="H7343" s="845" t="s">
        <v>1010</v>
      </c>
    </row>
    <row r="7344" spans="1:9" x14ac:dyDescent="0.2">
      <c r="A7344" s="859">
        <f t="shared" si="114"/>
        <v>7343</v>
      </c>
      <c r="B7344" s="845" t="s">
        <v>2560</v>
      </c>
      <c r="D7344" s="861"/>
      <c r="H7344" s="845" t="s">
        <v>1007</v>
      </c>
    </row>
    <row r="7345" spans="1:10" x14ac:dyDescent="0.2">
      <c r="A7345" s="859">
        <f t="shared" si="114"/>
        <v>7344</v>
      </c>
      <c r="B7345" s="845" t="s">
        <v>2560</v>
      </c>
      <c r="D7345" s="861"/>
      <c r="I7345" s="845" t="s">
        <v>2109</v>
      </c>
    </row>
    <row r="7346" spans="1:10" x14ac:dyDescent="0.2">
      <c r="A7346" s="859">
        <f t="shared" si="114"/>
        <v>7345</v>
      </c>
      <c r="B7346" s="845" t="s">
        <v>2560</v>
      </c>
      <c r="D7346" s="862"/>
      <c r="I7346" s="845" t="str">
        <f>CONCATENATE("&lt;valeur&gt;",Cellule_1935_6,"&lt;/valeur&gt;")</f>
        <v>&lt;valeur&gt;0&lt;/valeur&gt;</v>
      </c>
    </row>
    <row r="7347" spans="1:10" x14ac:dyDescent="0.2">
      <c r="A7347" s="859">
        <f t="shared" si="114"/>
        <v>7346</v>
      </c>
      <c r="B7347" s="845" t="s">
        <v>2560</v>
      </c>
      <c r="D7347" s="863"/>
      <c r="I7347" s="845" t="s">
        <v>2581</v>
      </c>
    </row>
    <row r="7348" spans="1:10" x14ac:dyDescent="0.2">
      <c r="A7348" s="859">
        <f t="shared" si="114"/>
        <v>7347</v>
      </c>
      <c r="B7348" s="845" t="s">
        <v>2560</v>
      </c>
      <c r="D7348" s="862"/>
      <c r="H7348" s="845" t="s">
        <v>1010</v>
      </c>
    </row>
    <row r="7349" spans="1:10" x14ac:dyDescent="0.2">
      <c r="A7349" s="859">
        <f t="shared" si="114"/>
        <v>7348</v>
      </c>
      <c r="B7349" s="845" t="s">
        <v>2560</v>
      </c>
      <c r="D7349" s="862"/>
      <c r="H7349" s="845" t="s">
        <v>1007</v>
      </c>
    </row>
    <row r="7350" spans="1:10" x14ac:dyDescent="0.2">
      <c r="A7350" s="859">
        <f t="shared" si="114"/>
        <v>7349</v>
      </c>
      <c r="B7350" s="845" t="s">
        <v>2560</v>
      </c>
      <c r="D7350" s="861"/>
      <c r="I7350" s="845" t="s">
        <v>2110</v>
      </c>
    </row>
    <row r="7351" spans="1:10" x14ac:dyDescent="0.2">
      <c r="A7351" s="859">
        <f t="shared" si="114"/>
        <v>7350</v>
      </c>
      <c r="B7351" s="845" t="s">
        <v>2560</v>
      </c>
      <c r="D7351" s="861"/>
      <c r="I7351" s="845" t="str">
        <f>CONCATENATE("&lt;valeur&gt;",Cellule_1936_6,"&lt;/valeur&gt;")</f>
        <v>&lt;valeur&gt;0&lt;/valeur&gt;</v>
      </c>
    </row>
    <row r="7352" spans="1:10" x14ac:dyDescent="0.2">
      <c r="A7352" s="859">
        <f t="shared" si="114"/>
        <v>7351</v>
      </c>
      <c r="B7352" s="845" t="s">
        <v>2560</v>
      </c>
      <c r="D7352" s="862"/>
      <c r="I7352" s="845" t="s">
        <v>2581</v>
      </c>
    </row>
    <row r="7353" spans="1:10" x14ac:dyDescent="0.2">
      <c r="A7353" s="859">
        <f t="shared" si="114"/>
        <v>7352</v>
      </c>
      <c r="B7353" s="845" t="s">
        <v>2560</v>
      </c>
      <c r="D7353" s="863"/>
      <c r="H7353" s="845" t="s">
        <v>1010</v>
      </c>
    </row>
    <row r="7354" spans="1:10" x14ac:dyDescent="0.2">
      <c r="A7354" s="859">
        <f t="shared" si="114"/>
        <v>7353</v>
      </c>
      <c r="B7354" s="845" t="s">
        <v>2560</v>
      </c>
      <c r="D7354" s="862"/>
      <c r="H7354" s="845" t="s">
        <v>1007</v>
      </c>
    </row>
    <row r="7355" spans="1:10" x14ac:dyDescent="0.2">
      <c r="A7355" s="859">
        <f t="shared" si="114"/>
        <v>7354</v>
      </c>
      <c r="B7355" s="845" t="s">
        <v>2560</v>
      </c>
      <c r="D7355" s="862"/>
      <c r="I7355" s="845" t="s">
        <v>1008</v>
      </c>
    </row>
    <row r="7356" spans="1:10" x14ac:dyDescent="0.2">
      <c r="A7356" s="859">
        <f t="shared" si="114"/>
        <v>7355</v>
      </c>
      <c r="B7356" s="845" t="s">
        <v>2560</v>
      </c>
      <c r="D7356" s="861"/>
      <c r="J7356" s="845" t="s">
        <v>2111</v>
      </c>
    </row>
    <row r="7357" spans="1:10" x14ac:dyDescent="0.2">
      <c r="A7357" s="859">
        <f t="shared" si="114"/>
        <v>7356</v>
      </c>
      <c r="B7357" s="845" t="s">
        <v>2560</v>
      </c>
      <c r="D7357" s="860"/>
      <c r="I7357" s="845" t="s">
        <v>1009</v>
      </c>
    </row>
    <row r="7358" spans="1:10" x14ac:dyDescent="0.2">
      <c r="A7358" s="859">
        <f t="shared" si="114"/>
        <v>7357</v>
      </c>
      <c r="B7358" s="845" t="s">
        <v>2560</v>
      </c>
      <c r="D7358" s="860"/>
      <c r="I7358" s="845" t="str">
        <f>CONCATENATE("&lt;valeur&gt;",Cellule_2037,"&lt;/valeur&gt;")</f>
        <v>&lt;valeur&gt;0&lt;/valeur&gt;</v>
      </c>
    </row>
    <row r="7359" spans="1:10" x14ac:dyDescent="0.2">
      <c r="A7359" s="859">
        <f t="shared" si="114"/>
        <v>7358</v>
      </c>
      <c r="B7359" s="845" t="s">
        <v>2560</v>
      </c>
      <c r="D7359" s="861"/>
      <c r="H7359" s="845" t="s">
        <v>1010</v>
      </c>
    </row>
    <row r="7360" spans="1:10" x14ac:dyDescent="0.2">
      <c r="A7360" s="859">
        <f t="shared" si="114"/>
        <v>7359</v>
      </c>
      <c r="B7360" s="845" t="s">
        <v>2560</v>
      </c>
      <c r="D7360" s="862"/>
      <c r="H7360" s="845" t="s">
        <v>1007</v>
      </c>
    </row>
    <row r="7361" spans="1:10" x14ac:dyDescent="0.2">
      <c r="A7361" s="859">
        <f t="shared" si="114"/>
        <v>7360</v>
      </c>
      <c r="B7361" s="845" t="s">
        <v>2560</v>
      </c>
      <c r="D7361" s="863"/>
      <c r="I7361" s="845" t="s">
        <v>1008</v>
      </c>
    </row>
    <row r="7362" spans="1:10" x14ac:dyDescent="0.2">
      <c r="A7362" s="859">
        <f t="shared" si="114"/>
        <v>7361</v>
      </c>
      <c r="B7362" s="845" t="s">
        <v>2560</v>
      </c>
      <c r="D7362" s="862"/>
      <c r="J7362" s="845" t="s">
        <v>2112</v>
      </c>
    </row>
    <row r="7363" spans="1:10" x14ac:dyDescent="0.2">
      <c r="A7363" s="859">
        <f t="shared" si="114"/>
        <v>7362</v>
      </c>
      <c r="B7363" s="845" t="s">
        <v>2560</v>
      </c>
      <c r="D7363" s="862"/>
      <c r="I7363" s="845" t="s">
        <v>1009</v>
      </c>
    </row>
    <row r="7364" spans="1:10" x14ac:dyDescent="0.2">
      <c r="A7364" s="859">
        <f t="shared" ref="A7364:A7427" si="115">+A7363+1</f>
        <v>7363</v>
      </c>
      <c r="B7364" s="845" t="s">
        <v>2560</v>
      </c>
      <c r="D7364" s="861"/>
      <c r="I7364" s="845" t="str">
        <f>CONCATENATE("&lt;valeur&gt;",Cellule_2038,"&lt;/valeur&gt;")</f>
        <v>&lt;valeur&gt;0&lt;/valeur&gt;</v>
      </c>
    </row>
    <row r="7365" spans="1:10" x14ac:dyDescent="0.2">
      <c r="A7365" s="859">
        <f t="shared" si="115"/>
        <v>7364</v>
      </c>
      <c r="B7365" s="845" t="s">
        <v>2560</v>
      </c>
      <c r="D7365" s="860"/>
      <c r="H7365" s="845" t="s">
        <v>1010</v>
      </c>
    </row>
    <row r="7366" spans="1:10" x14ac:dyDescent="0.2">
      <c r="A7366" s="859">
        <f t="shared" si="115"/>
        <v>7365</v>
      </c>
      <c r="B7366" s="845" t="s">
        <v>2560</v>
      </c>
      <c r="D7366" s="857"/>
      <c r="H7366" s="845" t="s">
        <v>1007</v>
      </c>
    </row>
    <row r="7367" spans="1:10" x14ac:dyDescent="0.2">
      <c r="A7367" s="859">
        <f t="shared" si="115"/>
        <v>7366</v>
      </c>
      <c r="B7367" s="845" t="s">
        <v>2560</v>
      </c>
      <c r="D7367" s="857"/>
      <c r="I7367" s="845" t="s">
        <v>1008</v>
      </c>
    </row>
    <row r="7368" spans="1:10" x14ac:dyDescent="0.2">
      <c r="A7368" s="859">
        <f t="shared" si="115"/>
        <v>7367</v>
      </c>
      <c r="B7368" s="845" t="s">
        <v>2560</v>
      </c>
      <c r="D7368" s="860"/>
      <c r="J7368" s="845" t="s">
        <v>2113</v>
      </c>
    </row>
    <row r="7369" spans="1:10" x14ac:dyDescent="0.2">
      <c r="A7369" s="859">
        <f t="shared" si="115"/>
        <v>7368</v>
      </c>
      <c r="B7369" s="845" t="s">
        <v>2560</v>
      </c>
      <c r="D7369" s="861"/>
      <c r="I7369" s="845" t="s">
        <v>1009</v>
      </c>
    </row>
    <row r="7370" spans="1:10" x14ac:dyDescent="0.2">
      <c r="A7370" s="859">
        <f t="shared" si="115"/>
        <v>7369</v>
      </c>
      <c r="B7370" s="845" t="s">
        <v>2560</v>
      </c>
      <c r="D7370" s="860"/>
      <c r="I7370" s="845" t="str">
        <f>CONCATENATE("&lt;valeur&gt;",Cellule_2039,"&lt;/valeur&gt;")</f>
        <v>&lt;valeur&gt;0&lt;/valeur&gt;</v>
      </c>
    </row>
    <row r="7371" spans="1:10" x14ac:dyDescent="0.2">
      <c r="A7371" s="859">
        <f t="shared" si="115"/>
        <v>7370</v>
      </c>
      <c r="B7371" s="845" t="s">
        <v>2560</v>
      </c>
      <c r="D7371" s="860"/>
      <c r="H7371" s="845" t="s">
        <v>1010</v>
      </c>
    </row>
    <row r="7372" spans="1:10" x14ac:dyDescent="0.2">
      <c r="A7372" s="859">
        <f t="shared" si="115"/>
        <v>7371</v>
      </c>
      <c r="B7372" s="845" t="s">
        <v>2560</v>
      </c>
      <c r="D7372" s="861"/>
      <c r="H7372" s="845" t="s">
        <v>1007</v>
      </c>
    </row>
    <row r="7373" spans="1:10" x14ac:dyDescent="0.2">
      <c r="A7373" s="859">
        <f t="shared" si="115"/>
        <v>7372</v>
      </c>
      <c r="B7373" s="845" t="s">
        <v>2560</v>
      </c>
      <c r="D7373" s="862"/>
      <c r="I7373" s="845" t="s">
        <v>1008</v>
      </c>
    </row>
    <row r="7374" spans="1:10" x14ac:dyDescent="0.2">
      <c r="A7374" s="859">
        <f t="shared" si="115"/>
        <v>7373</v>
      </c>
      <c r="B7374" s="845" t="s">
        <v>2560</v>
      </c>
      <c r="D7374" s="863"/>
      <c r="J7374" s="845" t="s">
        <v>2114</v>
      </c>
    </row>
    <row r="7375" spans="1:10" x14ac:dyDescent="0.2">
      <c r="A7375" s="859">
        <f t="shared" si="115"/>
        <v>7374</v>
      </c>
      <c r="B7375" s="845" t="s">
        <v>2560</v>
      </c>
      <c r="D7375" s="862"/>
      <c r="I7375" s="845" t="s">
        <v>1009</v>
      </c>
    </row>
    <row r="7376" spans="1:10" x14ac:dyDescent="0.2">
      <c r="A7376" s="859">
        <f t="shared" si="115"/>
        <v>7375</v>
      </c>
      <c r="B7376" s="845" t="s">
        <v>2560</v>
      </c>
      <c r="D7376" s="924"/>
      <c r="I7376" s="845" t="str">
        <f>CONCATENATE("&lt;valeur&gt;",Cellule_2040,"&lt;/valeur&gt;")</f>
        <v>&lt;valeur&gt;0&lt;/valeur&gt;</v>
      </c>
    </row>
    <row r="7377" spans="1:10" x14ac:dyDescent="0.2">
      <c r="A7377" s="859">
        <f t="shared" si="115"/>
        <v>7376</v>
      </c>
      <c r="B7377" s="845" t="s">
        <v>2560</v>
      </c>
      <c r="D7377" s="862"/>
      <c r="H7377" s="845" t="s">
        <v>1010</v>
      </c>
    </row>
    <row r="7378" spans="1:10" x14ac:dyDescent="0.2">
      <c r="A7378" s="859">
        <f t="shared" si="115"/>
        <v>7377</v>
      </c>
      <c r="B7378" s="845" t="s">
        <v>2560</v>
      </c>
      <c r="D7378" s="861"/>
      <c r="H7378" s="845" t="s">
        <v>1007</v>
      </c>
    </row>
    <row r="7379" spans="1:10" x14ac:dyDescent="0.2">
      <c r="A7379" s="859">
        <f t="shared" si="115"/>
        <v>7378</v>
      </c>
      <c r="B7379" s="845" t="s">
        <v>2560</v>
      </c>
      <c r="D7379" s="861"/>
      <c r="I7379" s="845" t="s">
        <v>1008</v>
      </c>
    </row>
    <row r="7380" spans="1:10" x14ac:dyDescent="0.2">
      <c r="A7380" s="859">
        <f t="shared" si="115"/>
        <v>7379</v>
      </c>
      <c r="B7380" s="845" t="s">
        <v>2560</v>
      </c>
      <c r="D7380" s="862"/>
      <c r="J7380" s="845" t="s">
        <v>2115</v>
      </c>
    </row>
    <row r="7381" spans="1:10" x14ac:dyDescent="0.2">
      <c r="A7381" s="859">
        <f t="shared" si="115"/>
        <v>7380</v>
      </c>
      <c r="B7381" s="845" t="s">
        <v>2560</v>
      </c>
      <c r="D7381" s="863"/>
      <c r="I7381" s="845" t="s">
        <v>1009</v>
      </c>
    </row>
    <row r="7382" spans="1:10" x14ac:dyDescent="0.2">
      <c r="A7382" s="859">
        <f t="shared" si="115"/>
        <v>7381</v>
      </c>
      <c r="B7382" s="845" t="s">
        <v>2560</v>
      </c>
      <c r="D7382" s="862"/>
      <c r="I7382" s="845" t="str">
        <f>CONCATENATE("&lt;valeur&gt;",Cellule_2041,"&lt;/valeur&gt;")</f>
        <v>&lt;valeur&gt;0&lt;/valeur&gt;</v>
      </c>
    </row>
    <row r="7383" spans="1:10" x14ac:dyDescent="0.2">
      <c r="A7383" s="859">
        <f t="shared" si="115"/>
        <v>7382</v>
      </c>
      <c r="B7383" s="845" t="s">
        <v>2560</v>
      </c>
      <c r="D7383" s="862"/>
      <c r="H7383" s="845" t="s">
        <v>1010</v>
      </c>
    </row>
    <row r="7384" spans="1:10" x14ac:dyDescent="0.2">
      <c r="A7384" s="859">
        <f t="shared" si="115"/>
        <v>7383</v>
      </c>
      <c r="B7384" s="845" t="s">
        <v>2560</v>
      </c>
      <c r="D7384" s="862"/>
      <c r="H7384" s="845" t="s">
        <v>1007</v>
      </c>
    </row>
    <row r="7385" spans="1:10" x14ac:dyDescent="0.2">
      <c r="A7385" s="859">
        <f t="shared" si="115"/>
        <v>7384</v>
      </c>
      <c r="B7385" s="845" t="s">
        <v>2560</v>
      </c>
      <c r="D7385" s="861"/>
      <c r="I7385" s="845" t="s">
        <v>1008</v>
      </c>
    </row>
    <row r="7386" spans="1:10" x14ac:dyDescent="0.2">
      <c r="A7386" s="859">
        <f t="shared" si="115"/>
        <v>7385</v>
      </c>
      <c r="B7386" s="845" t="s">
        <v>2560</v>
      </c>
      <c r="D7386" s="861"/>
      <c r="J7386" s="845" t="s">
        <v>2116</v>
      </c>
    </row>
    <row r="7387" spans="1:10" x14ac:dyDescent="0.2">
      <c r="A7387" s="859">
        <f t="shared" si="115"/>
        <v>7386</v>
      </c>
      <c r="B7387" s="845" t="s">
        <v>2560</v>
      </c>
      <c r="D7387" s="862"/>
      <c r="I7387" s="845" t="s">
        <v>1009</v>
      </c>
    </row>
    <row r="7388" spans="1:10" x14ac:dyDescent="0.2">
      <c r="A7388" s="859">
        <f t="shared" si="115"/>
        <v>7387</v>
      </c>
      <c r="B7388" s="845" t="s">
        <v>2560</v>
      </c>
      <c r="D7388" s="863"/>
      <c r="I7388" s="845" t="str">
        <f>CONCATENATE("&lt;valeur&gt;",Cellule_2042,"&lt;/valeur&gt;")</f>
        <v>&lt;valeur&gt;0&lt;/valeur&gt;</v>
      </c>
    </row>
    <row r="7389" spans="1:10" x14ac:dyDescent="0.2">
      <c r="A7389" s="859">
        <f t="shared" si="115"/>
        <v>7388</v>
      </c>
      <c r="B7389" s="845" t="s">
        <v>2560</v>
      </c>
      <c r="D7389" s="862"/>
      <c r="H7389" s="845" t="s">
        <v>1010</v>
      </c>
    </row>
    <row r="7390" spans="1:10" x14ac:dyDescent="0.2">
      <c r="A7390" s="859">
        <f t="shared" si="115"/>
        <v>7389</v>
      </c>
      <c r="B7390" s="845" t="s">
        <v>2560</v>
      </c>
      <c r="D7390" s="862"/>
      <c r="H7390" s="845" t="s">
        <v>1007</v>
      </c>
    </row>
    <row r="7391" spans="1:10" x14ac:dyDescent="0.2">
      <c r="A7391" s="859">
        <f t="shared" si="115"/>
        <v>7390</v>
      </c>
      <c r="B7391" s="845" t="s">
        <v>2560</v>
      </c>
      <c r="D7391" s="862"/>
      <c r="I7391" s="845" t="s">
        <v>1008</v>
      </c>
    </row>
    <row r="7392" spans="1:10" x14ac:dyDescent="0.2">
      <c r="A7392" s="859">
        <f t="shared" si="115"/>
        <v>7391</v>
      </c>
      <c r="B7392" s="845" t="s">
        <v>2560</v>
      </c>
      <c r="D7392" s="861"/>
      <c r="J7392" s="845" t="s">
        <v>2117</v>
      </c>
    </row>
    <row r="7393" spans="1:10" x14ac:dyDescent="0.2">
      <c r="A7393" s="859">
        <f t="shared" si="115"/>
        <v>7392</v>
      </c>
      <c r="B7393" s="845" t="s">
        <v>2560</v>
      </c>
      <c r="D7393" s="861"/>
      <c r="I7393" s="845" t="s">
        <v>1009</v>
      </c>
    </row>
    <row r="7394" spans="1:10" x14ac:dyDescent="0.2">
      <c r="A7394" s="859">
        <f t="shared" si="115"/>
        <v>7393</v>
      </c>
      <c r="B7394" s="845" t="s">
        <v>2560</v>
      </c>
      <c r="D7394" s="862"/>
      <c r="I7394" s="845" t="str">
        <f>CONCATENATE("&lt;valeur&gt;",Cellule_2043,"&lt;/valeur&gt;")</f>
        <v>&lt;valeur&gt;0&lt;/valeur&gt;</v>
      </c>
    </row>
    <row r="7395" spans="1:10" x14ac:dyDescent="0.2">
      <c r="A7395" s="859">
        <f t="shared" si="115"/>
        <v>7394</v>
      </c>
      <c r="B7395" s="845" t="s">
        <v>2560</v>
      </c>
      <c r="D7395" s="863"/>
      <c r="H7395" s="845" t="s">
        <v>1010</v>
      </c>
    </row>
    <row r="7396" spans="1:10" x14ac:dyDescent="0.2">
      <c r="A7396" s="859">
        <f t="shared" si="115"/>
        <v>7395</v>
      </c>
      <c r="B7396" s="845" t="s">
        <v>2560</v>
      </c>
      <c r="D7396" s="862"/>
      <c r="G7396" s="845" t="s">
        <v>1011</v>
      </c>
    </row>
    <row r="7397" spans="1:10" x14ac:dyDescent="0.2">
      <c r="A7397" s="859">
        <f t="shared" si="115"/>
        <v>7396</v>
      </c>
      <c r="B7397" s="845" t="s">
        <v>2560</v>
      </c>
      <c r="D7397" s="862"/>
      <c r="G7397" s="845" t="s">
        <v>1012</v>
      </c>
    </row>
    <row r="7398" spans="1:10" x14ac:dyDescent="0.2">
      <c r="A7398" s="859">
        <f t="shared" si="115"/>
        <v>7397</v>
      </c>
      <c r="B7398" s="845" t="s">
        <v>2560</v>
      </c>
      <c r="D7398" s="861"/>
      <c r="H7398" s="845" t="s">
        <v>1015</v>
      </c>
    </row>
    <row r="7399" spans="1:10" x14ac:dyDescent="0.2">
      <c r="A7399" s="859">
        <f t="shared" si="115"/>
        <v>7398</v>
      </c>
      <c r="B7399" s="845" t="s">
        <v>2560</v>
      </c>
      <c r="D7399" s="861"/>
      <c r="I7399" s="845" t="s">
        <v>1016</v>
      </c>
    </row>
    <row r="7400" spans="1:10" x14ac:dyDescent="0.2">
      <c r="A7400" s="859">
        <f t="shared" si="115"/>
        <v>7399</v>
      </c>
      <c r="B7400" s="845" t="s">
        <v>2560</v>
      </c>
      <c r="D7400" s="862"/>
      <c r="J7400" s="845" t="s">
        <v>2118</v>
      </c>
    </row>
    <row r="7401" spans="1:10" x14ac:dyDescent="0.2">
      <c r="A7401" s="859">
        <f t="shared" si="115"/>
        <v>7400</v>
      </c>
      <c r="B7401" s="845" t="s">
        <v>2560</v>
      </c>
      <c r="D7401" s="863"/>
      <c r="I7401" s="845" t="s">
        <v>1017</v>
      </c>
    </row>
    <row r="7402" spans="1:10" x14ac:dyDescent="0.2">
      <c r="A7402" s="859">
        <f t="shared" si="115"/>
        <v>7401</v>
      </c>
      <c r="B7402" s="845" t="s">
        <v>2560</v>
      </c>
      <c r="D7402" s="862"/>
      <c r="I7402" s="845" t="str">
        <f>CONCATENATE("&lt;valeur&gt;",Identification!E11,"&lt;/valeur&gt;")</f>
        <v>&lt;valeur&gt;31/12/2015&lt;/valeur&gt;</v>
      </c>
    </row>
    <row r="7403" spans="1:10" x14ac:dyDescent="0.2">
      <c r="A7403" s="859">
        <f t="shared" si="115"/>
        <v>7402</v>
      </c>
      <c r="B7403" s="845" t="s">
        <v>2560</v>
      </c>
      <c r="D7403" s="862"/>
      <c r="H7403" s="845" t="s">
        <v>1018</v>
      </c>
    </row>
    <row r="7404" spans="1:10" x14ac:dyDescent="0.2">
      <c r="A7404" s="859">
        <f t="shared" si="115"/>
        <v>7403</v>
      </c>
      <c r="B7404" s="845" t="s">
        <v>2560</v>
      </c>
      <c r="D7404" s="862"/>
      <c r="G7404" s="845" t="s">
        <v>1013</v>
      </c>
    </row>
    <row r="7405" spans="1:10" x14ac:dyDescent="0.2">
      <c r="A7405" s="859">
        <f t="shared" si="115"/>
        <v>7404</v>
      </c>
      <c r="B7405" s="845" t="s">
        <v>2560</v>
      </c>
      <c r="D7405" s="861"/>
      <c r="F7405" s="845" t="s">
        <v>1014</v>
      </c>
    </row>
    <row r="7406" spans="1:10" x14ac:dyDescent="0.2">
      <c r="A7406" s="859">
        <f t="shared" si="115"/>
        <v>7405</v>
      </c>
      <c r="B7406" s="845" t="s">
        <v>2561</v>
      </c>
      <c r="D7406" s="861"/>
      <c r="F7406" s="845" t="s">
        <v>1005</v>
      </c>
    </row>
    <row r="7407" spans="1:10" x14ac:dyDescent="0.2">
      <c r="A7407" s="859">
        <f t="shared" si="115"/>
        <v>7406</v>
      </c>
      <c r="B7407" s="845" t="s">
        <v>2561</v>
      </c>
      <c r="D7407" s="862"/>
      <c r="G7407" s="845" t="s">
        <v>2119</v>
      </c>
    </row>
    <row r="7408" spans="1:10" x14ac:dyDescent="0.2">
      <c r="A7408" s="859">
        <f t="shared" si="115"/>
        <v>7407</v>
      </c>
      <c r="B7408" s="845" t="s">
        <v>2561</v>
      </c>
      <c r="D7408" s="863"/>
      <c r="G7408" s="845" t="s">
        <v>1006</v>
      </c>
    </row>
    <row r="7409" spans="1:11" x14ac:dyDescent="0.2">
      <c r="A7409" s="859">
        <f t="shared" si="115"/>
        <v>7408</v>
      </c>
      <c r="B7409" s="990" t="s">
        <v>2561</v>
      </c>
      <c r="C7409" s="990"/>
      <c r="D7409" s="1001"/>
      <c r="E7409" s="990"/>
      <c r="F7409" s="990"/>
      <c r="G7409" s="990"/>
      <c r="H7409" s="990" t="s">
        <v>1007</v>
      </c>
      <c r="I7409" s="990"/>
      <c r="J7409" s="990"/>
      <c r="K7409" s="986"/>
    </row>
    <row r="7410" spans="1:11" x14ac:dyDescent="0.2">
      <c r="A7410" s="859">
        <f t="shared" si="115"/>
        <v>7409</v>
      </c>
      <c r="B7410" s="845" t="s">
        <v>2561</v>
      </c>
      <c r="D7410" s="862"/>
      <c r="I7410" s="845" t="s">
        <v>2120</v>
      </c>
      <c r="K7410" s="989"/>
    </row>
    <row r="7411" spans="1:11" x14ac:dyDescent="0.2">
      <c r="A7411" s="859">
        <f t="shared" si="115"/>
        <v>7410</v>
      </c>
      <c r="B7411" s="845" t="s">
        <v>2561</v>
      </c>
      <c r="D7411" s="862"/>
      <c r="I7411" s="845" t="str">
        <f>CONCATENATE("&lt;valeur&gt;",Cellule_2044_1,"&lt;/valeur&gt;")</f>
        <v>&lt;valeur&gt;&lt;/valeur&gt;</v>
      </c>
      <c r="K7411" s="989"/>
    </row>
    <row r="7412" spans="1:11" x14ac:dyDescent="0.2">
      <c r="A7412" s="859">
        <f t="shared" si="115"/>
        <v>7411</v>
      </c>
      <c r="B7412" s="845" t="s">
        <v>2561</v>
      </c>
      <c r="D7412" s="861"/>
      <c r="I7412" s="845" t="s">
        <v>1249</v>
      </c>
      <c r="K7412" s="989"/>
    </row>
    <row r="7413" spans="1:11" x14ac:dyDescent="0.2">
      <c r="A7413" s="859">
        <f t="shared" si="115"/>
        <v>7412</v>
      </c>
      <c r="B7413" s="845" t="s">
        <v>2561</v>
      </c>
      <c r="D7413" s="861"/>
      <c r="H7413" s="845" t="s">
        <v>1010</v>
      </c>
      <c r="K7413" s="989"/>
    </row>
    <row r="7414" spans="1:11" x14ac:dyDescent="0.2">
      <c r="A7414" s="859">
        <f t="shared" si="115"/>
        <v>7413</v>
      </c>
      <c r="B7414" s="845" t="s">
        <v>2561</v>
      </c>
      <c r="D7414" s="862"/>
      <c r="H7414" s="845" t="s">
        <v>1007</v>
      </c>
      <c r="K7414" s="989"/>
    </row>
    <row r="7415" spans="1:11" x14ac:dyDescent="0.2">
      <c r="A7415" s="859">
        <f t="shared" si="115"/>
        <v>7414</v>
      </c>
      <c r="B7415" s="845" t="s">
        <v>2561</v>
      </c>
      <c r="D7415" s="863"/>
      <c r="I7415" s="845" t="s">
        <v>2121</v>
      </c>
      <c r="K7415" s="989"/>
    </row>
    <row r="7416" spans="1:11" x14ac:dyDescent="0.2">
      <c r="A7416" s="859">
        <f t="shared" si="115"/>
        <v>7415</v>
      </c>
      <c r="B7416" s="845" t="s">
        <v>2561</v>
      </c>
      <c r="D7416" s="862"/>
      <c r="I7416" s="845" t="str">
        <f>CONCATENATE("&lt;valeur&gt;",Cellule_2045_1,"&lt;/valeur&gt;")</f>
        <v>&lt;valeur&gt;&lt;/valeur&gt;</v>
      </c>
      <c r="K7416" s="989"/>
    </row>
    <row r="7417" spans="1:11" x14ac:dyDescent="0.2">
      <c r="A7417" s="859">
        <f t="shared" si="115"/>
        <v>7416</v>
      </c>
      <c r="B7417" s="845" t="s">
        <v>2561</v>
      </c>
      <c r="D7417" s="862"/>
      <c r="I7417" s="845" t="s">
        <v>1249</v>
      </c>
      <c r="K7417" s="989"/>
    </row>
    <row r="7418" spans="1:11" x14ac:dyDescent="0.2">
      <c r="A7418" s="859">
        <f t="shared" si="115"/>
        <v>7417</v>
      </c>
      <c r="B7418" s="845" t="s">
        <v>2561</v>
      </c>
      <c r="D7418" s="862"/>
      <c r="H7418" s="845" t="s">
        <v>1010</v>
      </c>
      <c r="K7418" s="989"/>
    </row>
    <row r="7419" spans="1:11" x14ac:dyDescent="0.2">
      <c r="A7419" s="859">
        <f t="shared" si="115"/>
        <v>7418</v>
      </c>
      <c r="B7419" s="845" t="s">
        <v>2561</v>
      </c>
      <c r="D7419" s="861"/>
      <c r="H7419" s="845" t="s">
        <v>1007</v>
      </c>
      <c r="K7419" s="989"/>
    </row>
    <row r="7420" spans="1:11" x14ac:dyDescent="0.2">
      <c r="A7420" s="859">
        <f t="shared" si="115"/>
        <v>7419</v>
      </c>
      <c r="B7420" s="845" t="s">
        <v>2561</v>
      </c>
      <c r="D7420" s="861"/>
      <c r="I7420" s="845" t="s">
        <v>2122</v>
      </c>
      <c r="K7420" s="989"/>
    </row>
    <row r="7421" spans="1:11" x14ac:dyDescent="0.2">
      <c r="A7421" s="859">
        <f t="shared" si="115"/>
        <v>7420</v>
      </c>
      <c r="B7421" s="845" t="s">
        <v>2561</v>
      </c>
      <c r="D7421" s="862"/>
      <c r="I7421" s="845" t="str">
        <f>CONCATENATE("&lt;valeur&gt;",Cellule_2046_1,"&lt;/valeur&gt;")</f>
        <v>&lt;valeur&gt;&lt;/valeur&gt;</v>
      </c>
      <c r="K7421" s="989"/>
    </row>
    <row r="7422" spans="1:11" x14ac:dyDescent="0.2">
      <c r="A7422" s="859">
        <f t="shared" si="115"/>
        <v>7421</v>
      </c>
      <c r="B7422" s="845" t="s">
        <v>2561</v>
      </c>
      <c r="D7422" s="863"/>
      <c r="I7422" s="845" t="s">
        <v>1249</v>
      </c>
      <c r="K7422" s="989"/>
    </row>
    <row r="7423" spans="1:11" x14ac:dyDescent="0.2">
      <c r="A7423" s="859">
        <f t="shared" si="115"/>
        <v>7422</v>
      </c>
      <c r="B7423" s="845" t="s">
        <v>2561</v>
      </c>
      <c r="D7423" s="862"/>
      <c r="H7423" s="845" t="s">
        <v>1010</v>
      </c>
      <c r="K7423" s="989"/>
    </row>
    <row r="7424" spans="1:11" x14ac:dyDescent="0.2">
      <c r="A7424" s="859">
        <f t="shared" si="115"/>
        <v>7423</v>
      </c>
      <c r="B7424" s="845" t="s">
        <v>2561</v>
      </c>
      <c r="D7424" s="862"/>
      <c r="H7424" s="845" t="s">
        <v>1007</v>
      </c>
      <c r="K7424" s="989"/>
    </row>
    <row r="7425" spans="1:11" x14ac:dyDescent="0.2">
      <c r="A7425" s="859">
        <f t="shared" si="115"/>
        <v>7424</v>
      </c>
      <c r="B7425" s="845" t="s">
        <v>2561</v>
      </c>
      <c r="D7425" s="862"/>
      <c r="I7425" s="845" t="s">
        <v>2123</v>
      </c>
      <c r="K7425" s="989"/>
    </row>
    <row r="7426" spans="1:11" x14ac:dyDescent="0.2">
      <c r="A7426" s="859">
        <f t="shared" si="115"/>
        <v>7425</v>
      </c>
      <c r="B7426" s="845" t="s">
        <v>2561</v>
      </c>
      <c r="D7426" s="861"/>
      <c r="I7426" s="845" t="str">
        <f>CONCATENATE("&lt;valeur&gt;",Cellule_2047_1,"&lt;/valeur&gt;")</f>
        <v>&lt;valeur&gt;&lt;/valeur&gt;</v>
      </c>
      <c r="K7426" s="989"/>
    </row>
    <row r="7427" spans="1:11" x14ac:dyDescent="0.2">
      <c r="A7427" s="859">
        <f t="shared" si="115"/>
        <v>7426</v>
      </c>
      <c r="B7427" s="845" t="s">
        <v>2561</v>
      </c>
      <c r="D7427" s="861"/>
      <c r="I7427" s="845" t="s">
        <v>1249</v>
      </c>
      <c r="K7427" s="989"/>
    </row>
    <row r="7428" spans="1:11" x14ac:dyDescent="0.2">
      <c r="A7428" s="859">
        <f t="shared" ref="A7428:A7491" si="116">+A7427+1</f>
        <v>7427</v>
      </c>
      <c r="B7428" s="845" t="s">
        <v>2561</v>
      </c>
      <c r="D7428" s="862"/>
      <c r="H7428" s="845" t="s">
        <v>1010</v>
      </c>
      <c r="K7428" s="989"/>
    </row>
    <row r="7429" spans="1:11" x14ac:dyDescent="0.2">
      <c r="A7429" s="859">
        <f t="shared" si="116"/>
        <v>7428</v>
      </c>
      <c r="B7429" s="845" t="s">
        <v>2561</v>
      </c>
      <c r="D7429" s="863"/>
      <c r="H7429" s="845" t="s">
        <v>1007</v>
      </c>
      <c r="K7429" s="989"/>
    </row>
    <row r="7430" spans="1:11" x14ac:dyDescent="0.2">
      <c r="A7430" s="859">
        <f t="shared" si="116"/>
        <v>7429</v>
      </c>
      <c r="B7430" s="845" t="s">
        <v>2561</v>
      </c>
      <c r="D7430" s="862"/>
      <c r="I7430" s="845" t="s">
        <v>2124</v>
      </c>
      <c r="K7430" s="989"/>
    </row>
    <row r="7431" spans="1:11" x14ac:dyDescent="0.2">
      <c r="A7431" s="859">
        <f t="shared" si="116"/>
        <v>7430</v>
      </c>
      <c r="B7431" s="845" t="s">
        <v>2561</v>
      </c>
      <c r="D7431" s="862"/>
      <c r="I7431" s="845" t="str">
        <f>CONCATENATE("&lt;valeur&gt;",Cellule_2048_1,"&lt;/valeur&gt;")</f>
        <v>&lt;valeur&gt;&lt;/valeur&gt;</v>
      </c>
      <c r="K7431" s="989"/>
    </row>
    <row r="7432" spans="1:11" x14ac:dyDescent="0.2">
      <c r="A7432" s="859">
        <f t="shared" si="116"/>
        <v>7431</v>
      </c>
      <c r="B7432" s="845" t="s">
        <v>2561</v>
      </c>
      <c r="D7432" s="861"/>
      <c r="I7432" s="845" t="s">
        <v>1249</v>
      </c>
      <c r="K7432" s="989"/>
    </row>
    <row r="7433" spans="1:11" x14ac:dyDescent="0.2">
      <c r="A7433" s="859">
        <f t="shared" si="116"/>
        <v>7432</v>
      </c>
      <c r="B7433" s="845" t="s">
        <v>2561</v>
      </c>
      <c r="D7433" s="861"/>
      <c r="H7433" s="845" t="s">
        <v>1010</v>
      </c>
      <c r="K7433" s="989"/>
    </row>
    <row r="7434" spans="1:11" x14ac:dyDescent="0.2">
      <c r="A7434" s="859">
        <f t="shared" si="116"/>
        <v>7433</v>
      </c>
      <c r="B7434" s="845" t="s">
        <v>2561</v>
      </c>
      <c r="D7434" s="862"/>
      <c r="H7434" s="845" t="s">
        <v>1007</v>
      </c>
      <c r="K7434" s="989"/>
    </row>
    <row r="7435" spans="1:11" x14ac:dyDescent="0.2">
      <c r="A7435" s="859">
        <f t="shared" si="116"/>
        <v>7434</v>
      </c>
      <c r="B7435" s="845" t="s">
        <v>2561</v>
      </c>
      <c r="D7435" s="863"/>
      <c r="I7435" s="845" t="s">
        <v>2125</v>
      </c>
      <c r="K7435" s="989"/>
    </row>
    <row r="7436" spans="1:11" x14ac:dyDescent="0.2">
      <c r="A7436" s="859">
        <f t="shared" si="116"/>
        <v>7435</v>
      </c>
      <c r="B7436" s="845" t="s">
        <v>2561</v>
      </c>
      <c r="D7436" s="862"/>
      <c r="I7436" s="845" t="str">
        <f>CONCATENATE("&lt;valeur&gt;",Cellule_2049_1,"&lt;/valeur&gt;")</f>
        <v>&lt;valeur&gt;&lt;/valeur&gt;</v>
      </c>
      <c r="K7436" s="989"/>
    </row>
    <row r="7437" spans="1:11" x14ac:dyDescent="0.2">
      <c r="A7437" s="859">
        <f t="shared" si="116"/>
        <v>7436</v>
      </c>
      <c r="B7437" s="845" t="s">
        <v>2561</v>
      </c>
      <c r="D7437" s="862"/>
      <c r="I7437" s="845" t="s">
        <v>1249</v>
      </c>
      <c r="K7437" s="989"/>
    </row>
    <row r="7438" spans="1:11" x14ac:dyDescent="0.2">
      <c r="A7438" s="859">
        <f t="shared" si="116"/>
        <v>7437</v>
      </c>
      <c r="B7438" s="845" t="s">
        <v>2561</v>
      </c>
      <c r="D7438" s="861"/>
      <c r="H7438" s="845" t="s">
        <v>1010</v>
      </c>
      <c r="K7438" s="989"/>
    </row>
    <row r="7439" spans="1:11" x14ac:dyDescent="0.2">
      <c r="A7439" s="859">
        <f t="shared" si="116"/>
        <v>7438</v>
      </c>
      <c r="B7439" s="845" t="s">
        <v>2561</v>
      </c>
      <c r="D7439" s="861"/>
      <c r="H7439" s="845" t="s">
        <v>1007</v>
      </c>
      <c r="K7439" s="989"/>
    </row>
    <row r="7440" spans="1:11" x14ac:dyDescent="0.2">
      <c r="A7440" s="859">
        <f t="shared" si="116"/>
        <v>7439</v>
      </c>
      <c r="B7440" s="845" t="s">
        <v>2561</v>
      </c>
      <c r="D7440" s="862"/>
      <c r="I7440" s="845" t="s">
        <v>2126</v>
      </c>
      <c r="K7440" s="989"/>
    </row>
    <row r="7441" spans="1:11" x14ac:dyDescent="0.2">
      <c r="A7441" s="859">
        <f t="shared" si="116"/>
        <v>7440</v>
      </c>
      <c r="B7441" s="845" t="s">
        <v>2561</v>
      </c>
      <c r="D7441" s="863"/>
      <c r="I7441" s="845" t="str">
        <f>CONCATENATE("&lt;valeur&gt;",Cellule_2050_1,"&lt;/valeur&gt;")</f>
        <v>&lt;valeur&gt;&lt;/valeur&gt;</v>
      </c>
      <c r="K7441" s="989"/>
    </row>
    <row r="7442" spans="1:11" x14ac:dyDescent="0.2">
      <c r="A7442" s="859">
        <f t="shared" si="116"/>
        <v>7441</v>
      </c>
      <c r="B7442" s="845" t="s">
        <v>2561</v>
      </c>
      <c r="D7442" s="862"/>
      <c r="I7442" s="845" t="s">
        <v>1249</v>
      </c>
      <c r="K7442" s="989"/>
    </row>
    <row r="7443" spans="1:11" x14ac:dyDescent="0.2">
      <c r="A7443" s="859">
        <f t="shared" si="116"/>
        <v>7442</v>
      </c>
      <c r="B7443" s="845" t="s">
        <v>2561</v>
      </c>
      <c r="D7443" s="862"/>
      <c r="H7443" s="845" t="s">
        <v>1010</v>
      </c>
      <c r="K7443" s="989"/>
    </row>
    <row r="7444" spans="1:11" x14ac:dyDescent="0.2">
      <c r="A7444" s="859">
        <f t="shared" si="116"/>
        <v>7443</v>
      </c>
      <c r="B7444" s="845" t="s">
        <v>2561</v>
      </c>
      <c r="D7444" s="861"/>
      <c r="H7444" s="845" t="s">
        <v>1007</v>
      </c>
      <c r="K7444" s="989"/>
    </row>
    <row r="7445" spans="1:11" x14ac:dyDescent="0.2">
      <c r="A7445" s="859">
        <f t="shared" si="116"/>
        <v>7444</v>
      </c>
      <c r="B7445" s="845" t="s">
        <v>2561</v>
      </c>
      <c r="D7445" s="861"/>
      <c r="I7445" s="845" t="s">
        <v>2127</v>
      </c>
      <c r="K7445" s="989"/>
    </row>
    <row r="7446" spans="1:11" x14ac:dyDescent="0.2">
      <c r="A7446" s="859">
        <f t="shared" si="116"/>
        <v>7445</v>
      </c>
      <c r="B7446" s="845" t="s">
        <v>2561</v>
      </c>
      <c r="D7446" s="862"/>
      <c r="I7446" s="845" t="str">
        <f>CONCATENATE("&lt;valeur&gt;",Cellule_2051_1,"&lt;/valeur&gt;")</f>
        <v>&lt;valeur&gt;&lt;/valeur&gt;</v>
      </c>
      <c r="K7446" s="989"/>
    </row>
    <row r="7447" spans="1:11" x14ac:dyDescent="0.2">
      <c r="A7447" s="859">
        <f t="shared" si="116"/>
        <v>7446</v>
      </c>
      <c r="B7447" s="845" t="s">
        <v>2561</v>
      </c>
      <c r="D7447" s="863"/>
      <c r="I7447" s="845" t="s">
        <v>1249</v>
      </c>
      <c r="K7447" s="989"/>
    </row>
    <row r="7448" spans="1:11" x14ac:dyDescent="0.2">
      <c r="A7448" s="859">
        <f t="shared" si="116"/>
        <v>7447</v>
      </c>
      <c r="B7448" s="845" t="s">
        <v>2561</v>
      </c>
      <c r="D7448" s="862"/>
      <c r="H7448" s="845" t="s">
        <v>1010</v>
      </c>
      <c r="K7448" s="989"/>
    </row>
    <row r="7449" spans="1:11" x14ac:dyDescent="0.2">
      <c r="A7449" s="859">
        <f t="shared" si="116"/>
        <v>7448</v>
      </c>
      <c r="B7449" s="845" t="s">
        <v>2561</v>
      </c>
      <c r="D7449" s="862"/>
      <c r="H7449" s="845" t="s">
        <v>1007</v>
      </c>
      <c r="K7449" s="989"/>
    </row>
    <row r="7450" spans="1:11" x14ac:dyDescent="0.2">
      <c r="A7450" s="859">
        <f t="shared" si="116"/>
        <v>7449</v>
      </c>
      <c r="B7450" s="845" t="s">
        <v>2561</v>
      </c>
      <c r="D7450" s="861"/>
      <c r="I7450" s="845" t="s">
        <v>2128</v>
      </c>
      <c r="K7450" s="989"/>
    </row>
    <row r="7451" spans="1:11" x14ac:dyDescent="0.2">
      <c r="A7451" s="859">
        <f t="shared" si="116"/>
        <v>7450</v>
      </c>
      <c r="B7451" s="845" t="s">
        <v>2561</v>
      </c>
      <c r="D7451" s="861"/>
      <c r="I7451" s="845" t="str">
        <f>CONCATENATE("&lt;valeur&gt;",Cellule_2052_1,"&lt;/valeur&gt;")</f>
        <v>&lt;valeur&gt;&lt;/valeur&gt;</v>
      </c>
      <c r="K7451" s="989"/>
    </row>
    <row r="7452" spans="1:11" x14ac:dyDescent="0.2">
      <c r="A7452" s="859">
        <f t="shared" si="116"/>
        <v>7451</v>
      </c>
      <c r="B7452" s="845" t="s">
        <v>2561</v>
      </c>
      <c r="D7452" s="862"/>
      <c r="I7452" s="845" t="s">
        <v>1249</v>
      </c>
      <c r="K7452" s="989"/>
    </row>
    <row r="7453" spans="1:11" x14ac:dyDescent="0.2">
      <c r="A7453" s="859">
        <f t="shared" si="116"/>
        <v>7452</v>
      </c>
      <c r="B7453" s="845" t="s">
        <v>2561</v>
      </c>
      <c r="D7453" s="863"/>
      <c r="H7453" s="845" t="s">
        <v>1010</v>
      </c>
      <c r="K7453" s="989"/>
    </row>
    <row r="7454" spans="1:11" x14ac:dyDescent="0.2">
      <c r="A7454" s="859">
        <f t="shared" si="116"/>
        <v>7453</v>
      </c>
      <c r="B7454" s="845" t="s">
        <v>2561</v>
      </c>
      <c r="D7454" s="862"/>
      <c r="H7454" s="845" t="s">
        <v>1007</v>
      </c>
      <c r="K7454" s="989"/>
    </row>
    <row r="7455" spans="1:11" x14ac:dyDescent="0.2">
      <c r="A7455" s="859">
        <f t="shared" si="116"/>
        <v>7454</v>
      </c>
      <c r="B7455" s="845" t="s">
        <v>2561</v>
      </c>
      <c r="D7455" s="862"/>
      <c r="I7455" s="845" t="s">
        <v>2129</v>
      </c>
      <c r="K7455" s="989"/>
    </row>
    <row r="7456" spans="1:11" x14ac:dyDescent="0.2">
      <c r="A7456" s="859">
        <f t="shared" si="116"/>
        <v>7455</v>
      </c>
      <c r="B7456" s="845" t="s">
        <v>2561</v>
      </c>
      <c r="D7456" s="861"/>
      <c r="I7456" s="845" t="str">
        <f>CONCATENATE("&lt;valeur&gt;",Cellule_2053_1,"&lt;/valeur&gt;")</f>
        <v>&lt;valeur&gt;&lt;/valeur&gt;</v>
      </c>
      <c r="K7456" s="989"/>
    </row>
    <row r="7457" spans="1:11" x14ac:dyDescent="0.2">
      <c r="A7457" s="859">
        <f t="shared" si="116"/>
        <v>7456</v>
      </c>
      <c r="B7457" s="845" t="s">
        <v>2561</v>
      </c>
      <c r="D7457" s="861"/>
      <c r="I7457" s="845" t="s">
        <v>1249</v>
      </c>
      <c r="K7457" s="989"/>
    </row>
    <row r="7458" spans="1:11" x14ac:dyDescent="0.2">
      <c r="A7458" s="859">
        <f t="shared" si="116"/>
        <v>7457</v>
      </c>
      <c r="B7458" s="991" t="s">
        <v>2561</v>
      </c>
      <c r="C7458" s="991"/>
      <c r="D7458" s="1002"/>
      <c r="E7458" s="991"/>
      <c r="F7458" s="991"/>
      <c r="G7458" s="991"/>
      <c r="H7458" s="991" t="s">
        <v>1010</v>
      </c>
      <c r="I7458" s="991"/>
      <c r="J7458" s="991"/>
      <c r="K7458" s="1000"/>
    </row>
    <row r="7459" spans="1:11" x14ac:dyDescent="0.2">
      <c r="A7459" s="859">
        <f t="shared" si="116"/>
        <v>7458</v>
      </c>
      <c r="B7459" s="990" t="s">
        <v>2561</v>
      </c>
      <c r="C7459" s="990"/>
      <c r="D7459" s="1001"/>
      <c r="E7459" s="990"/>
      <c r="F7459" s="990"/>
      <c r="G7459" s="990"/>
      <c r="H7459" s="990" t="s">
        <v>1007</v>
      </c>
      <c r="I7459" s="990"/>
      <c r="J7459" s="990"/>
      <c r="K7459" s="986"/>
    </row>
    <row r="7460" spans="1:11" x14ac:dyDescent="0.2">
      <c r="A7460" s="859">
        <f t="shared" si="116"/>
        <v>7459</v>
      </c>
      <c r="B7460" s="845" t="s">
        <v>2561</v>
      </c>
      <c r="D7460" s="862"/>
      <c r="I7460" s="845" t="s">
        <v>2120</v>
      </c>
      <c r="K7460" s="989"/>
    </row>
    <row r="7461" spans="1:11" x14ac:dyDescent="0.2">
      <c r="A7461" s="859">
        <f t="shared" si="116"/>
        <v>7460</v>
      </c>
      <c r="B7461" s="845" t="s">
        <v>2561</v>
      </c>
      <c r="D7461" s="862"/>
      <c r="I7461" s="845" t="str">
        <f>CONCATENATE("&lt;valeur&gt;",Cellule_2044_2,"&lt;/valeur&gt;")</f>
        <v>&lt;valeur&gt;&lt;/valeur&gt;</v>
      </c>
      <c r="K7461" s="989"/>
    </row>
    <row r="7462" spans="1:11" x14ac:dyDescent="0.2">
      <c r="A7462" s="859">
        <f t="shared" si="116"/>
        <v>7461</v>
      </c>
      <c r="B7462" s="845" t="s">
        <v>2561</v>
      </c>
      <c r="D7462" s="861"/>
      <c r="I7462" s="845" t="s">
        <v>2577</v>
      </c>
      <c r="K7462" s="989"/>
    </row>
    <row r="7463" spans="1:11" x14ac:dyDescent="0.2">
      <c r="A7463" s="859">
        <f t="shared" si="116"/>
        <v>7462</v>
      </c>
      <c r="B7463" s="845" t="s">
        <v>2561</v>
      </c>
      <c r="D7463" s="861"/>
      <c r="H7463" s="845" t="s">
        <v>1010</v>
      </c>
      <c r="K7463" s="989"/>
    </row>
    <row r="7464" spans="1:11" x14ac:dyDescent="0.2">
      <c r="A7464" s="859">
        <f t="shared" si="116"/>
        <v>7463</v>
      </c>
      <c r="B7464" s="845" t="s">
        <v>2561</v>
      </c>
      <c r="D7464" s="862"/>
      <c r="H7464" s="845" t="s">
        <v>1007</v>
      </c>
      <c r="K7464" s="989"/>
    </row>
    <row r="7465" spans="1:11" x14ac:dyDescent="0.2">
      <c r="A7465" s="859">
        <f t="shared" si="116"/>
        <v>7464</v>
      </c>
      <c r="B7465" s="845" t="s">
        <v>2561</v>
      </c>
      <c r="D7465" s="863"/>
      <c r="I7465" s="845" t="s">
        <v>2121</v>
      </c>
      <c r="K7465" s="989"/>
    </row>
    <row r="7466" spans="1:11" x14ac:dyDescent="0.2">
      <c r="A7466" s="859">
        <f t="shared" si="116"/>
        <v>7465</v>
      </c>
      <c r="B7466" s="845" t="s">
        <v>2561</v>
      </c>
      <c r="D7466" s="862"/>
      <c r="I7466" s="845" t="str">
        <f>CONCATENATE("&lt;valeur&gt;",Cellule_2045_2,"&lt;/valeur&gt;")</f>
        <v>&lt;valeur&gt;&lt;/valeur&gt;</v>
      </c>
      <c r="K7466" s="989"/>
    </row>
    <row r="7467" spans="1:11" x14ac:dyDescent="0.2">
      <c r="A7467" s="859">
        <f t="shared" si="116"/>
        <v>7466</v>
      </c>
      <c r="B7467" s="845" t="s">
        <v>2561</v>
      </c>
      <c r="D7467" s="862"/>
      <c r="I7467" s="845" t="s">
        <v>2577</v>
      </c>
      <c r="K7467" s="989"/>
    </row>
    <row r="7468" spans="1:11" x14ac:dyDescent="0.2">
      <c r="A7468" s="859">
        <f t="shared" si="116"/>
        <v>7467</v>
      </c>
      <c r="B7468" s="845" t="s">
        <v>2561</v>
      </c>
      <c r="D7468" s="862"/>
      <c r="H7468" s="845" t="s">
        <v>1010</v>
      </c>
      <c r="K7468" s="989"/>
    </row>
    <row r="7469" spans="1:11" x14ac:dyDescent="0.2">
      <c r="A7469" s="859">
        <f t="shared" si="116"/>
        <v>7468</v>
      </c>
      <c r="B7469" s="845" t="s">
        <v>2561</v>
      </c>
      <c r="D7469" s="861"/>
      <c r="H7469" s="845" t="s">
        <v>1007</v>
      </c>
      <c r="K7469" s="989"/>
    </row>
    <row r="7470" spans="1:11" x14ac:dyDescent="0.2">
      <c r="A7470" s="859">
        <f t="shared" si="116"/>
        <v>7469</v>
      </c>
      <c r="B7470" s="845" t="s">
        <v>2561</v>
      </c>
      <c r="D7470" s="861"/>
      <c r="I7470" s="845" t="s">
        <v>2122</v>
      </c>
      <c r="K7470" s="989"/>
    </row>
    <row r="7471" spans="1:11" x14ac:dyDescent="0.2">
      <c r="A7471" s="859">
        <f t="shared" si="116"/>
        <v>7470</v>
      </c>
      <c r="B7471" s="845" t="s">
        <v>2561</v>
      </c>
      <c r="D7471" s="862"/>
      <c r="I7471" s="845" t="str">
        <f>CONCATENATE("&lt;valeur&gt;",Cellule_2046_2,"&lt;/valeur&gt;")</f>
        <v>&lt;valeur&gt;&lt;/valeur&gt;</v>
      </c>
      <c r="K7471" s="989"/>
    </row>
    <row r="7472" spans="1:11" x14ac:dyDescent="0.2">
      <c r="A7472" s="859">
        <f t="shared" si="116"/>
        <v>7471</v>
      </c>
      <c r="B7472" s="845" t="s">
        <v>2561</v>
      </c>
      <c r="D7472" s="863"/>
      <c r="I7472" s="845" t="s">
        <v>2577</v>
      </c>
      <c r="K7472" s="989"/>
    </row>
    <row r="7473" spans="1:11" x14ac:dyDescent="0.2">
      <c r="A7473" s="859">
        <f t="shared" si="116"/>
        <v>7472</v>
      </c>
      <c r="B7473" s="845" t="s">
        <v>2561</v>
      </c>
      <c r="D7473" s="862"/>
      <c r="H7473" s="845" t="s">
        <v>1010</v>
      </c>
      <c r="K7473" s="989"/>
    </row>
    <row r="7474" spans="1:11" x14ac:dyDescent="0.2">
      <c r="A7474" s="859">
        <f t="shared" si="116"/>
        <v>7473</v>
      </c>
      <c r="B7474" s="845" t="s">
        <v>2561</v>
      </c>
      <c r="D7474" s="862"/>
      <c r="H7474" s="845" t="s">
        <v>1007</v>
      </c>
      <c r="K7474" s="989"/>
    </row>
    <row r="7475" spans="1:11" x14ac:dyDescent="0.2">
      <c r="A7475" s="859">
        <f t="shared" si="116"/>
        <v>7474</v>
      </c>
      <c r="B7475" s="845" t="s">
        <v>2561</v>
      </c>
      <c r="D7475" s="862"/>
      <c r="I7475" s="845" t="s">
        <v>2123</v>
      </c>
      <c r="K7475" s="989"/>
    </row>
    <row r="7476" spans="1:11" x14ac:dyDescent="0.2">
      <c r="A7476" s="859">
        <f t="shared" si="116"/>
        <v>7475</v>
      </c>
      <c r="B7476" s="845" t="s">
        <v>2561</v>
      </c>
      <c r="D7476" s="861"/>
      <c r="I7476" s="845" t="str">
        <f>CONCATENATE("&lt;valeur&gt;",Cellule_2047_2,"&lt;/valeur&gt;")</f>
        <v>&lt;valeur&gt;&lt;/valeur&gt;</v>
      </c>
      <c r="K7476" s="989"/>
    </row>
    <row r="7477" spans="1:11" x14ac:dyDescent="0.2">
      <c r="A7477" s="859">
        <f t="shared" si="116"/>
        <v>7476</v>
      </c>
      <c r="B7477" s="845" t="s">
        <v>2561</v>
      </c>
      <c r="D7477" s="861"/>
      <c r="I7477" s="845" t="s">
        <v>2577</v>
      </c>
      <c r="K7477" s="989"/>
    </row>
    <row r="7478" spans="1:11" x14ac:dyDescent="0.2">
      <c r="A7478" s="859">
        <f t="shared" si="116"/>
        <v>7477</v>
      </c>
      <c r="B7478" s="845" t="s">
        <v>2561</v>
      </c>
      <c r="D7478" s="862"/>
      <c r="H7478" s="845" t="s">
        <v>1010</v>
      </c>
      <c r="K7478" s="989"/>
    </row>
    <row r="7479" spans="1:11" x14ac:dyDescent="0.2">
      <c r="A7479" s="859">
        <f t="shared" si="116"/>
        <v>7478</v>
      </c>
      <c r="B7479" s="845" t="s">
        <v>2561</v>
      </c>
      <c r="D7479" s="863"/>
      <c r="H7479" s="845" t="s">
        <v>1007</v>
      </c>
      <c r="K7479" s="989"/>
    </row>
    <row r="7480" spans="1:11" x14ac:dyDescent="0.2">
      <c r="A7480" s="859">
        <f t="shared" si="116"/>
        <v>7479</v>
      </c>
      <c r="B7480" s="845" t="s">
        <v>2561</v>
      </c>
      <c r="D7480" s="862"/>
      <c r="I7480" s="845" t="s">
        <v>2124</v>
      </c>
      <c r="K7480" s="989"/>
    </row>
    <row r="7481" spans="1:11" x14ac:dyDescent="0.2">
      <c r="A7481" s="859">
        <f t="shared" si="116"/>
        <v>7480</v>
      </c>
      <c r="B7481" s="845" t="s">
        <v>2561</v>
      </c>
      <c r="D7481" s="862"/>
      <c r="I7481" s="845" t="str">
        <f>CONCATENATE("&lt;valeur&gt;",Cellule_2048_2,"&lt;/valeur&gt;")</f>
        <v>&lt;valeur&gt;&lt;/valeur&gt;</v>
      </c>
      <c r="K7481" s="989"/>
    </row>
    <row r="7482" spans="1:11" x14ac:dyDescent="0.2">
      <c r="A7482" s="859">
        <f t="shared" si="116"/>
        <v>7481</v>
      </c>
      <c r="B7482" s="845" t="s">
        <v>2561</v>
      </c>
      <c r="D7482" s="861"/>
      <c r="I7482" s="845" t="s">
        <v>2577</v>
      </c>
      <c r="K7482" s="989"/>
    </row>
    <row r="7483" spans="1:11" x14ac:dyDescent="0.2">
      <c r="A7483" s="859">
        <f t="shared" si="116"/>
        <v>7482</v>
      </c>
      <c r="B7483" s="845" t="s">
        <v>2561</v>
      </c>
      <c r="D7483" s="861"/>
      <c r="H7483" s="845" t="s">
        <v>1010</v>
      </c>
      <c r="K7483" s="989"/>
    </row>
    <row r="7484" spans="1:11" x14ac:dyDescent="0.2">
      <c r="A7484" s="859">
        <f t="shared" si="116"/>
        <v>7483</v>
      </c>
      <c r="B7484" s="845" t="s">
        <v>2561</v>
      </c>
      <c r="D7484" s="862"/>
      <c r="H7484" s="845" t="s">
        <v>1007</v>
      </c>
      <c r="K7484" s="989"/>
    </row>
    <row r="7485" spans="1:11" x14ac:dyDescent="0.2">
      <c r="A7485" s="859">
        <f t="shared" si="116"/>
        <v>7484</v>
      </c>
      <c r="B7485" s="845" t="s">
        <v>2561</v>
      </c>
      <c r="D7485" s="863"/>
      <c r="I7485" s="845" t="s">
        <v>2125</v>
      </c>
      <c r="K7485" s="989"/>
    </row>
    <row r="7486" spans="1:11" x14ac:dyDescent="0.2">
      <c r="A7486" s="859">
        <f t="shared" si="116"/>
        <v>7485</v>
      </c>
      <c r="B7486" s="845" t="s">
        <v>2561</v>
      </c>
      <c r="D7486" s="862"/>
      <c r="I7486" s="845" t="str">
        <f>CONCATENATE("&lt;valeur&gt;",Cellule_2049_2,"&lt;/valeur&gt;")</f>
        <v>&lt;valeur&gt;&lt;/valeur&gt;</v>
      </c>
      <c r="K7486" s="989"/>
    </row>
    <row r="7487" spans="1:11" x14ac:dyDescent="0.2">
      <c r="A7487" s="859">
        <f t="shared" si="116"/>
        <v>7486</v>
      </c>
      <c r="B7487" s="845" t="s">
        <v>2561</v>
      </c>
      <c r="D7487" s="862"/>
      <c r="I7487" s="845" t="s">
        <v>2577</v>
      </c>
      <c r="K7487" s="989"/>
    </row>
    <row r="7488" spans="1:11" x14ac:dyDescent="0.2">
      <c r="A7488" s="859">
        <f t="shared" si="116"/>
        <v>7487</v>
      </c>
      <c r="B7488" s="845" t="s">
        <v>2561</v>
      </c>
      <c r="D7488" s="861"/>
      <c r="H7488" s="845" t="s">
        <v>1010</v>
      </c>
      <c r="K7488" s="989"/>
    </row>
    <row r="7489" spans="1:11" x14ac:dyDescent="0.2">
      <c r="A7489" s="859">
        <f t="shared" si="116"/>
        <v>7488</v>
      </c>
      <c r="B7489" s="845" t="s">
        <v>2561</v>
      </c>
      <c r="D7489" s="861"/>
      <c r="H7489" s="845" t="s">
        <v>1007</v>
      </c>
      <c r="K7489" s="989"/>
    </row>
    <row r="7490" spans="1:11" x14ac:dyDescent="0.2">
      <c r="A7490" s="859">
        <f t="shared" si="116"/>
        <v>7489</v>
      </c>
      <c r="B7490" s="845" t="s">
        <v>2561</v>
      </c>
      <c r="D7490" s="862"/>
      <c r="I7490" s="845" t="s">
        <v>2126</v>
      </c>
      <c r="K7490" s="989"/>
    </row>
    <row r="7491" spans="1:11" x14ac:dyDescent="0.2">
      <c r="A7491" s="859">
        <f t="shared" si="116"/>
        <v>7490</v>
      </c>
      <c r="B7491" s="845" t="s">
        <v>2561</v>
      </c>
      <c r="D7491" s="863"/>
      <c r="I7491" s="845" t="str">
        <f>CONCATENATE("&lt;valeur&gt;",Cellule_2050_2,"&lt;/valeur&gt;")</f>
        <v>&lt;valeur&gt;&lt;/valeur&gt;</v>
      </c>
      <c r="K7491" s="989"/>
    </row>
    <row r="7492" spans="1:11" x14ac:dyDescent="0.2">
      <c r="A7492" s="859">
        <f t="shared" ref="A7492:A7555" si="117">+A7491+1</f>
        <v>7491</v>
      </c>
      <c r="B7492" s="845" t="s">
        <v>2561</v>
      </c>
      <c r="D7492" s="862"/>
      <c r="I7492" s="845" t="s">
        <v>2577</v>
      </c>
      <c r="K7492" s="989"/>
    </row>
    <row r="7493" spans="1:11" x14ac:dyDescent="0.2">
      <c r="A7493" s="859">
        <f t="shared" si="117"/>
        <v>7492</v>
      </c>
      <c r="B7493" s="845" t="s">
        <v>2561</v>
      </c>
      <c r="D7493" s="862"/>
      <c r="H7493" s="845" t="s">
        <v>1010</v>
      </c>
      <c r="K7493" s="989"/>
    </row>
    <row r="7494" spans="1:11" x14ac:dyDescent="0.2">
      <c r="A7494" s="859">
        <f t="shared" si="117"/>
        <v>7493</v>
      </c>
      <c r="B7494" s="845" t="s">
        <v>2561</v>
      </c>
      <c r="D7494" s="861"/>
      <c r="H7494" s="845" t="s">
        <v>1007</v>
      </c>
      <c r="K7494" s="989"/>
    </row>
    <row r="7495" spans="1:11" x14ac:dyDescent="0.2">
      <c r="A7495" s="859">
        <f t="shared" si="117"/>
        <v>7494</v>
      </c>
      <c r="B7495" s="845" t="s">
        <v>2561</v>
      </c>
      <c r="D7495" s="861"/>
      <c r="I7495" s="845" t="s">
        <v>2127</v>
      </c>
      <c r="K7495" s="989"/>
    </row>
    <row r="7496" spans="1:11" x14ac:dyDescent="0.2">
      <c r="A7496" s="859">
        <f t="shared" si="117"/>
        <v>7495</v>
      </c>
      <c r="B7496" s="845" t="s">
        <v>2561</v>
      </c>
      <c r="D7496" s="862"/>
      <c r="I7496" s="845" t="str">
        <f>CONCATENATE("&lt;valeur&gt;",Cellule_2051_2,"&lt;/valeur&gt;")</f>
        <v>&lt;valeur&gt;&lt;/valeur&gt;</v>
      </c>
      <c r="K7496" s="989"/>
    </row>
    <row r="7497" spans="1:11" x14ac:dyDescent="0.2">
      <c r="A7497" s="859">
        <f t="shared" si="117"/>
        <v>7496</v>
      </c>
      <c r="B7497" s="845" t="s">
        <v>2561</v>
      </c>
      <c r="D7497" s="863"/>
      <c r="I7497" s="845" t="s">
        <v>2577</v>
      </c>
      <c r="K7497" s="989"/>
    </row>
    <row r="7498" spans="1:11" x14ac:dyDescent="0.2">
      <c r="A7498" s="859">
        <f t="shared" si="117"/>
        <v>7497</v>
      </c>
      <c r="B7498" s="845" t="s">
        <v>2561</v>
      </c>
      <c r="D7498" s="862"/>
      <c r="H7498" s="845" t="s">
        <v>1010</v>
      </c>
      <c r="K7498" s="989"/>
    </row>
    <row r="7499" spans="1:11" x14ac:dyDescent="0.2">
      <c r="A7499" s="859">
        <f t="shared" si="117"/>
        <v>7498</v>
      </c>
      <c r="B7499" s="845" t="s">
        <v>2561</v>
      </c>
      <c r="D7499" s="862"/>
      <c r="H7499" s="845" t="s">
        <v>1007</v>
      </c>
      <c r="K7499" s="989"/>
    </row>
    <row r="7500" spans="1:11" x14ac:dyDescent="0.2">
      <c r="A7500" s="859">
        <f t="shared" si="117"/>
        <v>7499</v>
      </c>
      <c r="B7500" s="845" t="s">
        <v>2561</v>
      </c>
      <c r="D7500" s="861"/>
      <c r="I7500" s="845" t="s">
        <v>2128</v>
      </c>
      <c r="K7500" s="989"/>
    </row>
    <row r="7501" spans="1:11" x14ac:dyDescent="0.2">
      <c r="A7501" s="859">
        <f t="shared" si="117"/>
        <v>7500</v>
      </c>
      <c r="B7501" s="845" t="s">
        <v>2561</v>
      </c>
      <c r="D7501" s="861"/>
      <c r="I7501" s="845" t="str">
        <f>CONCATENATE("&lt;valeur&gt;",Cellule_2052_2,"&lt;/valeur&gt;")</f>
        <v>&lt;valeur&gt;&lt;/valeur&gt;</v>
      </c>
      <c r="K7501" s="989"/>
    </row>
    <row r="7502" spans="1:11" x14ac:dyDescent="0.2">
      <c r="A7502" s="859">
        <f t="shared" si="117"/>
        <v>7501</v>
      </c>
      <c r="B7502" s="845" t="s">
        <v>2561</v>
      </c>
      <c r="D7502" s="862"/>
      <c r="I7502" s="845" t="s">
        <v>2577</v>
      </c>
      <c r="K7502" s="989"/>
    </row>
    <row r="7503" spans="1:11" x14ac:dyDescent="0.2">
      <c r="A7503" s="859">
        <f t="shared" si="117"/>
        <v>7502</v>
      </c>
      <c r="B7503" s="845" t="s">
        <v>2561</v>
      </c>
      <c r="D7503" s="863"/>
      <c r="H7503" s="845" t="s">
        <v>1010</v>
      </c>
      <c r="K7503" s="989"/>
    </row>
    <row r="7504" spans="1:11" x14ac:dyDescent="0.2">
      <c r="A7504" s="859">
        <f t="shared" si="117"/>
        <v>7503</v>
      </c>
      <c r="B7504" s="845" t="s">
        <v>2561</v>
      </c>
      <c r="D7504" s="862"/>
      <c r="H7504" s="845" t="s">
        <v>1007</v>
      </c>
      <c r="K7504" s="989"/>
    </row>
    <row r="7505" spans="1:11" x14ac:dyDescent="0.2">
      <c r="A7505" s="859">
        <f t="shared" si="117"/>
        <v>7504</v>
      </c>
      <c r="B7505" s="845" t="s">
        <v>2561</v>
      </c>
      <c r="D7505" s="862"/>
      <c r="I7505" s="845" t="s">
        <v>2129</v>
      </c>
      <c r="K7505" s="989"/>
    </row>
    <row r="7506" spans="1:11" x14ac:dyDescent="0.2">
      <c r="A7506" s="859">
        <f t="shared" si="117"/>
        <v>7505</v>
      </c>
      <c r="B7506" s="845" t="s">
        <v>2561</v>
      </c>
      <c r="D7506" s="861"/>
      <c r="I7506" s="845" t="str">
        <f>CONCATENATE("&lt;valeur&gt;",Cellule_2053_2,"&lt;/valeur&gt;")</f>
        <v>&lt;valeur&gt;&lt;/valeur&gt;</v>
      </c>
      <c r="K7506" s="989"/>
    </row>
    <row r="7507" spans="1:11" x14ac:dyDescent="0.2">
      <c r="A7507" s="859">
        <f t="shared" si="117"/>
        <v>7506</v>
      </c>
      <c r="B7507" s="845" t="s">
        <v>2561</v>
      </c>
      <c r="D7507" s="861"/>
      <c r="I7507" s="845" t="s">
        <v>2577</v>
      </c>
      <c r="K7507" s="989"/>
    </row>
    <row r="7508" spans="1:11" x14ac:dyDescent="0.2">
      <c r="A7508" s="859">
        <f t="shared" si="117"/>
        <v>7507</v>
      </c>
      <c r="B7508" s="991" t="s">
        <v>2561</v>
      </c>
      <c r="C7508" s="991"/>
      <c r="D7508" s="1002"/>
      <c r="E7508" s="991"/>
      <c r="F7508" s="991"/>
      <c r="G7508" s="991"/>
      <c r="H7508" s="991" t="s">
        <v>1010</v>
      </c>
      <c r="I7508" s="991"/>
      <c r="J7508" s="991"/>
      <c r="K7508" s="1000"/>
    </row>
    <row r="7509" spans="1:11" x14ac:dyDescent="0.2">
      <c r="A7509" s="859">
        <f t="shared" si="117"/>
        <v>7508</v>
      </c>
      <c r="B7509" s="990" t="s">
        <v>2561</v>
      </c>
      <c r="C7509" s="990"/>
      <c r="D7509" s="1001"/>
      <c r="E7509" s="990"/>
      <c r="F7509" s="990"/>
      <c r="G7509" s="990"/>
      <c r="H7509" s="990" t="s">
        <v>1007</v>
      </c>
      <c r="I7509" s="990"/>
      <c r="J7509" s="990"/>
      <c r="K7509" s="986"/>
    </row>
    <row r="7510" spans="1:11" x14ac:dyDescent="0.2">
      <c r="A7510" s="859">
        <f t="shared" si="117"/>
        <v>7509</v>
      </c>
      <c r="B7510" s="845" t="s">
        <v>2561</v>
      </c>
      <c r="D7510" s="862"/>
      <c r="I7510" s="845" t="s">
        <v>2120</v>
      </c>
      <c r="K7510" s="989"/>
    </row>
    <row r="7511" spans="1:11" x14ac:dyDescent="0.2">
      <c r="A7511" s="859">
        <f t="shared" si="117"/>
        <v>7510</v>
      </c>
      <c r="B7511" s="845" t="s">
        <v>2561</v>
      </c>
      <c r="D7511" s="862"/>
      <c r="I7511" s="845" t="str">
        <f>CONCATENATE("&lt;valeur&gt;",Cellule_2044_3,"&lt;/valeur&gt;")</f>
        <v>&lt;valeur&gt;&lt;/valeur&gt;</v>
      </c>
      <c r="K7511" s="989"/>
    </row>
    <row r="7512" spans="1:11" x14ac:dyDescent="0.2">
      <c r="A7512" s="859">
        <f t="shared" si="117"/>
        <v>7511</v>
      </c>
      <c r="B7512" s="845" t="s">
        <v>2561</v>
      </c>
      <c r="D7512" s="861"/>
      <c r="I7512" s="845" t="s">
        <v>2578</v>
      </c>
      <c r="K7512" s="989"/>
    </row>
    <row r="7513" spans="1:11" x14ac:dyDescent="0.2">
      <c r="A7513" s="859">
        <f t="shared" si="117"/>
        <v>7512</v>
      </c>
      <c r="B7513" s="845" t="s">
        <v>2561</v>
      </c>
      <c r="D7513" s="861"/>
      <c r="H7513" s="845" t="s">
        <v>1010</v>
      </c>
      <c r="K7513" s="989"/>
    </row>
    <row r="7514" spans="1:11" x14ac:dyDescent="0.2">
      <c r="A7514" s="859">
        <f t="shared" si="117"/>
        <v>7513</v>
      </c>
      <c r="B7514" s="845" t="s">
        <v>2561</v>
      </c>
      <c r="D7514" s="862"/>
      <c r="H7514" s="845" t="s">
        <v>1007</v>
      </c>
      <c r="K7514" s="989"/>
    </row>
    <row r="7515" spans="1:11" x14ac:dyDescent="0.2">
      <c r="A7515" s="859">
        <f t="shared" si="117"/>
        <v>7514</v>
      </c>
      <c r="B7515" s="845" t="s">
        <v>2561</v>
      </c>
      <c r="D7515" s="863"/>
      <c r="I7515" s="845" t="s">
        <v>2121</v>
      </c>
      <c r="K7515" s="989"/>
    </row>
    <row r="7516" spans="1:11" x14ac:dyDescent="0.2">
      <c r="A7516" s="859">
        <f t="shared" si="117"/>
        <v>7515</v>
      </c>
      <c r="B7516" s="845" t="s">
        <v>2561</v>
      </c>
      <c r="D7516" s="862"/>
      <c r="I7516" s="845" t="str">
        <f>CONCATENATE("&lt;valeur&gt;",Cellule_2045_3,"&lt;/valeur&gt;")</f>
        <v>&lt;valeur&gt;&lt;/valeur&gt;</v>
      </c>
      <c r="K7516" s="989"/>
    </row>
    <row r="7517" spans="1:11" x14ac:dyDescent="0.2">
      <c r="A7517" s="859">
        <f t="shared" si="117"/>
        <v>7516</v>
      </c>
      <c r="B7517" s="845" t="s">
        <v>2561</v>
      </c>
      <c r="D7517" s="862"/>
      <c r="I7517" s="845" t="s">
        <v>2578</v>
      </c>
      <c r="K7517" s="989"/>
    </row>
    <row r="7518" spans="1:11" x14ac:dyDescent="0.2">
      <c r="A7518" s="859">
        <f t="shared" si="117"/>
        <v>7517</v>
      </c>
      <c r="B7518" s="845" t="s">
        <v>2561</v>
      </c>
      <c r="D7518" s="862"/>
      <c r="H7518" s="845" t="s">
        <v>1010</v>
      </c>
      <c r="K7518" s="989"/>
    </row>
    <row r="7519" spans="1:11" x14ac:dyDescent="0.2">
      <c r="A7519" s="859">
        <f t="shared" si="117"/>
        <v>7518</v>
      </c>
      <c r="B7519" s="845" t="s">
        <v>2561</v>
      </c>
      <c r="D7519" s="861"/>
      <c r="H7519" s="845" t="s">
        <v>1007</v>
      </c>
      <c r="K7519" s="989"/>
    </row>
    <row r="7520" spans="1:11" x14ac:dyDescent="0.2">
      <c r="A7520" s="859">
        <f t="shared" si="117"/>
        <v>7519</v>
      </c>
      <c r="B7520" s="845" t="s">
        <v>2561</v>
      </c>
      <c r="D7520" s="861"/>
      <c r="I7520" s="845" t="s">
        <v>2122</v>
      </c>
      <c r="K7520" s="989"/>
    </row>
    <row r="7521" spans="1:11" x14ac:dyDescent="0.2">
      <c r="A7521" s="859">
        <f t="shared" si="117"/>
        <v>7520</v>
      </c>
      <c r="B7521" s="845" t="s">
        <v>2561</v>
      </c>
      <c r="D7521" s="862"/>
      <c r="I7521" s="845" t="str">
        <f>CONCATENATE("&lt;valeur&gt;",Cellule_2046_3,"&lt;/valeur&gt;")</f>
        <v>&lt;valeur&gt;&lt;/valeur&gt;</v>
      </c>
      <c r="K7521" s="989"/>
    </row>
    <row r="7522" spans="1:11" x14ac:dyDescent="0.2">
      <c r="A7522" s="859">
        <f t="shared" si="117"/>
        <v>7521</v>
      </c>
      <c r="B7522" s="845" t="s">
        <v>2561</v>
      </c>
      <c r="D7522" s="863"/>
      <c r="I7522" s="845" t="s">
        <v>2578</v>
      </c>
      <c r="K7522" s="989"/>
    </row>
    <row r="7523" spans="1:11" x14ac:dyDescent="0.2">
      <c r="A7523" s="859">
        <f t="shared" si="117"/>
        <v>7522</v>
      </c>
      <c r="B7523" s="845" t="s">
        <v>2561</v>
      </c>
      <c r="D7523" s="862"/>
      <c r="H7523" s="845" t="s">
        <v>1010</v>
      </c>
      <c r="K7523" s="989"/>
    </row>
    <row r="7524" spans="1:11" x14ac:dyDescent="0.2">
      <c r="A7524" s="859">
        <f t="shared" si="117"/>
        <v>7523</v>
      </c>
      <c r="B7524" s="845" t="s">
        <v>2561</v>
      </c>
      <c r="D7524" s="862"/>
      <c r="H7524" s="845" t="s">
        <v>1007</v>
      </c>
      <c r="K7524" s="989"/>
    </row>
    <row r="7525" spans="1:11" x14ac:dyDescent="0.2">
      <c r="A7525" s="859">
        <f t="shared" si="117"/>
        <v>7524</v>
      </c>
      <c r="B7525" s="845" t="s">
        <v>2561</v>
      </c>
      <c r="D7525" s="862"/>
      <c r="I7525" s="845" t="s">
        <v>2123</v>
      </c>
      <c r="K7525" s="989"/>
    </row>
    <row r="7526" spans="1:11" x14ac:dyDescent="0.2">
      <c r="A7526" s="859">
        <f t="shared" si="117"/>
        <v>7525</v>
      </c>
      <c r="B7526" s="845" t="s">
        <v>2561</v>
      </c>
      <c r="D7526" s="861"/>
      <c r="I7526" s="845" t="str">
        <f>CONCATENATE("&lt;valeur&gt;",Cellule_2047_3,"&lt;/valeur&gt;")</f>
        <v>&lt;valeur&gt;&lt;/valeur&gt;</v>
      </c>
      <c r="K7526" s="989"/>
    </row>
    <row r="7527" spans="1:11" x14ac:dyDescent="0.2">
      <c r="A7527" s="859">
        <f t="shared" si="117"/>
        <v>7526</v>
      </c>
      <c r="B7527" s="845" t="s">
        <v>2561</v>
      </c>
      <c r="D7527" s="861"/>
      <c r="I7527" s="845" t="s">
        <v>2578</v>
      </c>
      <c r="K7527" s="989"/>
    </row>
    <row r="7528" spans="1:11" x14ac:dyDescent="0.2">
      <c r="A7528" s="859">
        <f t="shared" si="117"/>
        <v>7527</v>
      </c>
      <c r="B7528" s="845" t="s">
        <v>2561</v>
      </c>
      <c r="D7528" s="862"/>
      <c r="H7528" s="845" t="s">
        <v>1010</v>
      </c>
      <c r="K7528" s="989"/>
    </row>
    <row r="7529" spans="1:11" x14ac:dyDescent="0.2">
      <c r="A7529" s="859">
        <f t="shared" si="117"/>
        <v>7528</v>
      </c>
      <c r="B7529" s="845" t="s">
        <v>2561</v>
      </c>
      <c r="D7529" s="863"/>
      <c r="H7529" s="845" t="s">
        <v>1007</v>
      </c>
      <c r="K7529" s="989"/>
    </row>
    <row r="7530" spans="1:11" x14ac:dyDescent="0.2">
      <c r="A7530" s="859">
        <f t="shared" si="117"/>
        <v>7529</v>
      </c>
      <c r="B7530" s="845" t="s">
        <v>2561</v>
      </c>
      <c r="D7530" s="862"/>
      <c r="I7530" s="845" t="s">
        <v>2124</v>
      </c>
      <c r="K7530" s="989"/>
    </row>
    <row r="7531" spans="1:11" x14ac:dyDescent="0.2">
      <c r="A7531" s="859">
        <f t="shared" si="117"/>
        <v>7530</v>
      </c>
      <c r="B7531" s="845" t="s">
        <v>2561</v>
      </c>
      <c r="D7531" s="862"/>
      <c r="I7531" s="845" t="str">
        <f>CONCATENATE("&lt;valeur&gt;",Cellule_2048_3,"&lt;/valeur&gt;")</f>
        <v>&lt;valeur&gt;&lt;/valeur&gt;</v>
      </c>
      <c r="K7531" s="989"/>
    </row>
    <row r="7532" spans="1:11" x14ac:dyDescent="0.2">
      <c r="A7532" s="859">
        <f t="shared" si="117"/>
        <v>7531</v>
      </c>
      <c r="B7532" s="845" t="s">
        <v>2561</v>
      </c>
      <c r="D7532" s="861"/>
      <c r="I7532" s="845" t="s">
        <v>2578</v>
      </c>
      <c r="K7532" s="989"/>
    </row>
    <row r="7533" spans="1:11" x14ac:dyDescent="0.2">
      <c r="A7533" s="859">
        <f t="shared" si="117"/>
        <v>7532</v>
      </c>
      <c r="B7533" s="845" t="s">
        <v>2561</v>
      </c>
      <c r="D7533" s="861"/>
      <c r="H7533" s="845" t="s">
        <v>1010</v>
      </c>
      <c r="K7533" s="989"/>
    </row>
    <row r="7534" spans="1:11" x14ac:dyDescent="0.2">
      <c r="A7534" s="859">
        <f t="shared" si="117"/>
        <v>7533</v>
      </c>
      <c r="B7534" s="845" t="s">
        <v>2561</v>
      </c>
      <c r="D7534" s="862"/>
      <c r="H7534" s="845" t="s">
        <v>1007</v>
      </c>
      <c r="K7534" s="989"/>
    </row>
    <row r="7535" spans="1:11" x14ac:dyDescent="0.2">
      <c r="A7535" s="859">
        <f t="shared" si="117"/>
        <v>7534</v>
      </c>
      <c r="B7535" s="845" t="s">
        <v>2561</v>
      </c>
      <c r="D7535" s="863"/>
      <c r="I7535" s="845" t="s">
        <v>2125</v>
      </c>
      <c r="K7535" s="989"/>
    </row>
    <row r="7536" spans="1:11" x14ac:dyDescent="0.2">
      <c r="A7536" s="859">
        <f t="shared" si="117"/>
        <v>7535</v>
      </c>
      <c r="B7536" s="845" t="s">
        <v>2561</v>
      </c>
      <c r="D7536" s="862"/>
      <c r="I7536" s="845" t="str">
        <f>CONCATENATE("&lt;valeur&gt;",Cellule_2049_3,"&lt;/valeur&gt;")</f>
        <v>&lt;valeur&gt;&lt;/valeur&gt;</v>
      </c>
      <c r="K7536" s="989"/>
    </row>
    <row r="7537" spans="1:11" x14ac:dyDescent="0.2">
      <c r="A7537" s="859">
        <f t="shared" si="117"/>
        <v>7536</v>
      </c>
      <c r="B7537" s="845" t="s">
        <v>2561</v>
      </c>
      <c r="D7537" s="862"/>
      <c r="I7537" s="845" t="s">
        <v>2578</v>
      </c>
      <c r="K7537" s="989"/>
    </row>
    <row r="7538" spans="1:11" x14ac:dyDescent="0.2">
      <c r="A7538" s="859">
        <f t="shared" si="117"/>
        <v>7537</v>
      </c>
      <c r="B7538" s="845" t="s">
        <v>2561</v>
      </c>
      <c r="D7538" s="861"/>
      <c r="H7538" s="845" t="s">
        <v>1010</v>
      </c>
      <c r="K7538" s="989"/>
    </row>
    <row r="7539" spans="1:11" x14ac:dyDescent="0.2">
      <c r="A7539" s="859">
        <f t="shared" si="117"/>
        <v>7538</v>
      </c>
      <c r="B7539" s="845" t="s">
        <v>2561</v>
      </c>
      <c r="D7539" s="861"/>
      <c r="H7539" s="845" t="s">
        <v>1007</v>
      </c>
      <c r="K7539" s="989"/>
    </row>
    <row r="7540" spans="1:11" x14ac:dyDescent="0.2">
      <c r="A7540" s="859">
        <f t="shared" si="117"/>
        <v>7539</v>
      </c>
      <c r="B7540" s="845" t="s">
        <v>2561</v>
      </c>
      <c r="D7540" s="862"/>
      <c r="I7540" s="845" t="s">
        <v>2126</v>
      </c>
      <c r="K7540" s="989"/>
    </row>
    <row r="7541" spans="1:11" x14ac:dyDescent="0.2">
      <c r="A7541" s="859">
        <f t="shared" si="117"/>
        <v>7540</v>
      </c>
      <c r="B7541" s="845" t="s">
        <v>2561</v>
      </c>
      <c r="D7541" s="863"/>
      <c r="I7541" s="845" t="str">
        <f>CONCATENATE("&lt;valeur&gt;",Cellule_2050_3,"&lt;/valeur&gt;")</f>
        <v>&lt;valeur&gt;&lt;/valeur&gt;</v>
      </c>
      <c r="K7541" s="989"/>
    </row>
    <row r="7542" spans="1:11" x14ac:dyDescent="0.2">
      <c r="A7542" s="859">
        <f t="shared" si="117"/>
        <v>7541</v>
      </c>
      <c r="B7542" s="845" t="s">
        <v>2561</v>
      </c>
      <c r="D7542" s="862"/>
      <c r="I7542" s="845" t="s">
        <v>2578</v>
      </c>
      <c r="K7542" s="989"/>
    </row>
    <row r="7543" spans="1:11" x14ac:dyDescent="0.2">
      <c r="A7543" s="859">
        <f t="shared" si="117"/>
        <v>7542</v>
      </c>
      <c r="B7543" s="845" t="s">
        <v>2561</v>
      </c>
      <c r="D7543" s="862"/>
      <c r="H7543" s="845" t="s">
        <v>1010</v>
      </c>
      <c r="K7543" s="989"/>
    </row>
    <row r="7544" spans="1:11" x14ac:dyDescent="0.2">
      <c r="A7544" s="859">
        <f t="shared" si="117"/>
        <v>7543</v>
      </c>
      <c r="B7544" s="845" t="s">
        <v>2561</v>
      </c>
      <c r="D7544" s="861"/>
      <c r="H7544" s="845" t="s">
        <v>1007</v>
      </c>
      <c r="K7544" s="989"/>
    </row>
    <row r="7545" spans="1:11" x14ac:dyDescent="0.2">
      <c r="A7545" s="859">
        <f t="shared" si="117"/>
        <v>7544</v>
      </c>
      <c r="B7545" s="845" t="s">
        <v>2561</v>
      </c>
      <c r="D7545" s="861"/>
      <c r="I7545" s="845" t="s">
        <v>2127</v>
      </c>
      <c r="K7545" s="989"/>
    </row>
    <row r="7546" spans="1:11" x14ac:dyDescent="0.2">
      <c r="A7546" s="859">
        <f t="shared" si="117"/>
        <v>7545</v>
      </c>
      <c r="B7546" s="845" t="s">
        <v>2561</v>
      </c>
      <c r="D7546" s="862"/>
      <c r="I7546" s="845" t="str">
        <f>CONCATENATE("&lt;valeur&gt;",Cellule_2051_3,"&lt;/valeur&gt;")</f>
        <v>&lt;valeur&gt;&lt;/valeur&gt;</v>
      </c>
      <c r="K7546" s="989"/>
    </row>
    <row r="7547" spans="1:11" x14ac:dyDescent="0.2">
      <c r="A7547" s="859">
        <f t="shared" si="117"/>
        <v>7546</v>
      </c>
      <c r="B7547" s="845" t="s">
        <v>2561</v>
      </c>
      <c r="D7547" s="863"/>
      <c r="I7547" s="845" t="s">
        <v>2578</v>
      </c>
      <c r="K7547" s="989"/>
    </row>
    <row r="7548" spans="1:11" x14ac:dyDescent="0.2">
      <c r="A7548" s="859">
        <f t="shared" si="117"/>
        <v>7547</v>
      </c>
      <c r="B7548" s="845" t="s">
        <v>2561</v>
      </c>
      <c r="D7548" s="862"/>
      <c r="H7548" s="845" t="s">
        <v>1010</v>
      </c>
      <c r="K7548" s="989"/>
    </row>
    <row r="7549" spans="1:11" x14ac:dyDescent="0.2">
      <c r="A7549" s="859">
        <f t="shared" si="117"/>
        <v>7548</v>
      </c>
      <c r="B7549" s="845" t="s">
        <v>2561</v>
      </c>
      <c r="D7549" s="862"/>
      <c r="H7549" s="845" t="s">
        <v>1007</v>
      </c>
      <c r="K7549" s="989"/>
    </row>
    <row r="7550" spans="1:11" x14ac:dyDescent="0.2">
      <c r="A7550" s="859">
        <f t="shared" si="117"/>
        <v>7549</v>
      </c>
      <c r="B7550" s="845" t="s">
        <v>2561</v>
      </c>
      <c r="D7550" s="861"/>
      <c r="I7550" s="845" t="s">
        <v>2128</v>
      </c>
      <c r="K7550" s="989"/>
    </row>
    <row r="7551" spans="1:11" x14ac:dyDescent="0.2">
      <c r="A7551" s="859">
        <f t="shared" si="117"/>
        <v>7550</v>
      </c>
      <c r="B7551" s="845" t="s">
        <v>2561</v>
      </c>
      <c r="D7551" s="861"/>
      <c r="I7551" s="845" t="str">
        <f>CONCATENATE("&lt;valeur&gt;",Cellule_2052_3,"&lt;/valeur&gt;")</f>
        <v>&lt;valeur&gt;&lt;/valeur&gt;</v>
      </c>
      <c r="K7551" s="989"/>
    </row>
    <row r="7552" spans="1:11" x14ac:dyDescent="0.2">
      <c r="A7552" s="859">
        <f t="shared" si="117"/>
        <v>7551</v>
      </c>
      <c r="B7552" s="845" t="s">
        <v>2561</v>
      </c>
      <c r="D7552" s="862"/>
      <c r="I7552" s="845" t="s">
        <v>2578</v>
      </c>
      <c r="K7552" s="989"/>
    </row>
    <row r="7553" spans="1:11" x14ac:dyDescent="0.2">
      <c r="A7553" s="859">
        <f t="shared" si="117"/>
        <v>7552</v>
      </c>
      <c r="B7553" s="845" t="s">
        <v>2561</v>
      </c>
      <c r="D7553" s="863"/>
      <c r="H7553" s="845" t="s">
        <v>1010</v>
      </c>
      <c r="K7553" s="989"/>
    </row>
    <row r="7554" spans="1:11" x14ac:dyDescent="0.2">
      <c r="A7554" s="859">
        <f t="shared" si="117"/>
        <v>7553</v>
      </c>
      <c r="B7554" s="845" t="s">
        <v>2561</v>
      </c>
      <c r="D7554" s="862"/>
      <c r="H7554" s="845" t="s">
        <v>1007</v>
      </c>
      <c r="K7554" s="989"/>
    </row>
    <row r="7555" spans="1:11" x14ac:dyDescent="0.2">
      <c r="A7555" s="859">
        <f t="shared" si="117"/>
        <v>7554</v>
      </c>
      <c r="B7555" s="845" t="s">
        <v>2561</v>
      </c>
      <c r="D7555" s="862"/>
      <c r="I7555" s="845" t="s">
        <v>2129</v>
      </c>
      <c r="K7555" s="989"/>
    </row>
    <row r="7556" spans="1:11" x14ac:dyDescent="0.2">
      <c r="A7556" s="859">
        <f t="shared" ref="A7556:A7619" si="118">+A7555+1</f>
        <v>7555</v>
      </c>
      <c r="B7556" s="845" t="s">
        <v>2561</v>
      </c>
      <c r="D7556" s="861"/>
      <c r="I7556" s="845" t="str">
        <f>CONCATENATE("&lt;valeur&gt;",Cellule_2053_3,"&lt;/valeur&gt;")</f>
        <v>&lt;valeur&gt;&lt;/valeur&gt;</v>
      </c>
      <c r="K7556" s="989"/>
    </row>
    <row r="7557" spans="1:11" x14ac:dyDescent="0.2">
      <c r="A7557" s="859">
        <f t="shared" si="118"/>
        <v>7556</v>
      </c>
      <c r="B7557" s="845" t="s">
        <v>2561</v>
      </c>
      <c r="D7557" s="861"/>
      <c r="I7557" s="845" t="s">
        <v>2578</v>
      </c>
      <c r="K7557" s="989"/>
    </row>
    <row r="7558" spans="1:11" x14ac:dyDescent="0.2">
      <c r="A7558" s="859">
        <f t="shared" si="118"/>
        <v>7557</v>
      </c>
      <c r="B7558" s="991" t="s">
        <v>2561</v>
      </c>
      <c r="C7558" s="991"/>
      <c r="D7558" s="1002"/>
      <c r="E7558" s="991"/>
      <c r="F7558" s="991"/>
      <c r="G7558" s="991"/>
      <c r="H7558" s="991" t="s">
        <v>1010</v>
      </c>
      <c r="I7558" s="991"/>
      <c r="J7558" s="991"/>
      <c r="K7558" s="1000"/>
    </row>
    <row r="7559" spans="1:11" x14ac:dyDescent="0.2">
      <c r="A7559" s="859">
        <f t="shared" si="118"/>
        <v>7558</v>
      </c>
      <c r="B7559" s="990" t="s">
        <v>2561</v>
      </c>
      <c r="C7559" s="990"/>
      <c r="D7559" s="1001"/>
      <c r="E7559" s="990"/>
      <c r="F7559" s="990"/>
      <c r="G7559" s="990"/>
      <c r="H7559" s="990" t="s">
        <v>1007</v>
      </c>
      <c r="I7559" s="990"/>
      <c r="J7559" s="990"/>
      <c r="K7559" s="986"/>
    </row>
    <row r="7560" spans="1:11" x14ac:dyDescent="0.2">
      <c r="A7560" s="859">
        <f t="shared" si="118"/>
        <v>7559</v>
      </c>
      <c r="B7560" s="845" t="s">
        <v>2561</v>
      </c>
      <c r="D7560" s="862"/>
      <c r="I7560" s="845" t="s">
        <v>2120</v>
      </c>
      <c r="K7560" s="989"/>
    </row>
    <row r="7561" spans="1:11" x14ac:dyDescent="0.2">
      <c r="A7561" s="859">
        <f t="shared" si="118"/>
        <v>7560</v>
      </c>
      <c r="B7561" s="845" t="s">
        <v>2561</v>
      </c>
      <c r="D7561" s="862"/>
      <c r="I7561" s="845" t="str">
        <f>CONCATENATE("&lt;valeur&gt;",Cellule_2044_4,"&lt;/valeur&gt;")</f>
        <v>&lt;valeur&gt;&lt;/valeur&gt;</v>
      </c>
      <c r="K7561" s="989"/>
    </row>
    <row r="7562" spans="1:11" x14ac:dyDescent="0.2">
      <c r="A7562" s="859">
        <f t="shared" si="118"/>
        <v>7561</v>
      </c>
      <c r="B7562" s="845" t="s">
        <v>2561</v>
      </c>
      <c r="D7562" s="861"/>
      <c r="I7562" s="845" t="s">
        <v>2579</v>
      </c>
      <c r="K7562" s="989"/>
    </row>
    <row r="7563" spans="1:11" x14ac:dyDescent="0.2">
      <c r="A7563" s="859">
        <f t="shared" si="118"/>
        <v>7562</v>
      </c>
      <c r="B7563" s="845" t="s">
        <v>2561</v>
      </c>
      <c r="D7563" s="861"/>
      <c r="H7563" s="845" t="s">
        <v>1010</v>
      </c>
      <c r="K7563" s="989"/>
    </row>
    <row r="7564" spans="1:11" x14ac:dyDescent="0.2">
      <c r="A7564" s="859">
        <f t="shared" si="118"/>
        <v>7563</v>
      </c>
      <c r="B7564" s="845" t="s">
        <v>2561</v>
      </c>
      <c r="D7564" s="862"/>
      <c r="H7564" s="845" t="s">
        <v>1007</v>
      </c>
      <c r="K7564" s="989"/>
    </row>
    <row r="7565" spans="1:11" x14ac:dyDescent="0.2">
      <c r="A7565" s="859">
        <f t="shared" si="118"/>
        <v>7564</v>
      </c>
      <c r="B7565" s="845" t="s">
        <v>2561</v>
      </c>
      <c r="D7565" s="863"/>
      <c r="I7565" s="845" t="s">
        <v>2121</v>
      </c>
      <c r="K7565" s="989"/>
    </row>
    <row r="7566" spans="1:11" x14ac:dyDescent="0.2">
      <c r="A7566" s="859">
        <f t="shared" si="118"/>
        <v>7565</v>
      </c>
      <c r="B7566" s="845" t="s">
        <v>2561</v>
      </c>
      <c r="D7566" s="862"/>
      <c r="I7566" s="845" t="str">
        <f>CONCATENATE("&lt;valeur&gt;",Cellule_2045_4,"&lt;/valeur&gt;")</f>
        <v>&lt;valeur&gt;&lt;/valeur&gt;</v>
      </c>
      <c r="K7566" s="989"/>
    </row>
    <row r="7567" spans="1:11" x14ac:dyDescent="0.2">
      <c r="A7567" s="859">
        <f t="shared" si="118"/>
        <v>7566</v>
      </c>
      <c r="B7567" s="845" t="s">
        <v>2561</v>
      </c>
      <c r="D7567" s="862"/>
      <c r="I7567" s="845" t="s">
        <v>2579</v>
      </c>
      <c r="K7567" s="989"/>
    </row>
    <row r="7568" spans="1:11" x14ac:dyDescent="0.2">
      <c r="A7568" s="859">
        <f t="shared" si="118"/>
        <v>7567</v>
      </c>
      <c r="B7568" s="845" t="s">
        <v>2561</v>
      </c>
      <c r="D7568" s="862"/>
      <c r="H7568" s="845" t="s">
        <v>1010</v>
      </c>
      <c r="K7568" s="989"/>
    </row>
    <row r="7569" spans="1:11" x14ac:dyDescent="0.2">
      <c r="A7569" s="859">
        <f t="shared" si="118"/>
        <v>7568</v>
      </c>
      <c r="B7569" s="845" t="s">
        <v>2561</v>
      </c>
      <c r="D7569" s="861"/>
      <c r="H7569" s="845" t="s">
        <v>1007</v>
      </c>
      <c r="K7569" s="989"/>
    </row>
    <row r="7570" spans="1:11" x14ac:dyDescent="0.2">
      <c r="A7570" s="859">
        <f t="shared" si="118"/>
        <v>7569</v>
      </c>
      <c r="B7570" s="845" t="s">
        <v>2561</v>
      </c>
      <c r="D7570" s="861"/>
      <c r="I7570" s="845" t="s">
        <v>2122</v>
      </c>
      <c r="K7570" s="989"/>
    </row>
    <row r="7571" spans="1:11" x14ac:dyDescent="0.2">
      <c r="A7571" s="859">
        <f t="shared" si="118"/>
        <v>7570</v>
      </c>
      <c r="B7571" s="845" t="s">
        <v>2561</v>
      </c>
      <c r="D7571" s="862"/>
      <c r="I7571" s="845" t="str">
        <f>CONCATENATE("&lt;valeur&gt;",Cellule_2046_4,"&lt;/valeur&gt;")</f>
        <v>&lt;valeur&gt;&lt;/valeur&gt;</v>
      </c>
      <c r="K7571" s="989"/>
    </row>
    <row r="7572" spans="1:11" x14ac:dyDescent="0.2">
      <c r="A7572" s="859">
        <f t="shared" si="118"/>
        <v>7571</v>
      </c>
      <c r="B7572" s="845" t="s">
        <v>2561</v>
      </c>
      <c r="D7572" s="863"/>
      <c r="I7572" s="845" t="s">
        <v>2579</v>
      </c>
      <c r="K7572" s="989"/>
    </row>
    <row r="7573" spans="1:11" x14ac:dyDescent="0.2">
      <c r="A7573" s="859">
        <f t="shared" si="118"/>
        <v>7572</v>
      </c>
      <c r="B7573" s="845" t="s">
        <v>2561</v>
      </c>
      <c r="D7573" s="862"/>
      <c r="H7573" s="845" t="s">
        <v>1010</v>
      </c>
      <c r="K7573" s="989"/>
    </row>
    <row r="7574" spans="1:11" x14ac:dyDescent="0.2">
      <c r="A7574" s="859">
        <f t="shared" si="118"/>
        <v>7573</v>
      </c>
      <c r="B7574" s="845" t="s">
        <v>2561</v>
      </c>
      <c r="D7574" s="862"/>
      <c r="H7574" s="845" t="s">
        <v>1007</v>
      </c>
      <c r="K7574" s="989"/>
    </row>
    <row r="7575" spans="1:11" x14ac:dyDescent="0.2">
      <c r="A7575" s="859">
        <f t="shared" si="118"/>
        <v>7574</v>
      </c>
      <c r="B7575" s="845" t="s">
        <v>2561</v>
      </c>
      <c r="D7575" s="862"/>
      <c r="I7575" s="845" t="s">
        <v>2123</v>
      </c>
      <c r="K7575" s="989"/>
    </row>
    <row r="7576" spans="1:11" x14ac:dyDescent="0.2">
      <c r="A7576" s="859">
        <f t="shared" si="118"/>
        <v>7575</v>
      </c>
      <c r="B7576" s="845" t="s">
        <v>2561</v>
      </c>
      <c r="D7576" s="861"/>
      <c r="I7576" s="845" t="str">
        <f>CONCATENATE("&lt;valeur&gt;",Cellule_2047_4,"&lt;/valeur&gt;")</f>
        <v>&lt;valeur&gt;&lt;/valeur&gt;</v>
      </c>
      <c r="K7576" s="989"/>
    </row>
    <row r="7577" spans="1:11" x14ac:dyDescent="0.2">
      <c r="A7577" s="859">
        <f t="shared" si="118"/>
        <v>7576</v>
      </c>
      <c r="B7577" s="845" t="s">
        <v>2561</v>
      </c>
      <c r="D7577" s="861"/>
      <c r="I7577" s="845" t="s">
        <v>2579</v>
      </c>
      <c r="K7577" s="989"/>
    </row>
    <row r="7578" spans="1:11" x14ac:dyDescent="0.2">
      <c r="A7578" s="859">
        <f t="shared" si="118"/>
        <v>7577</v>
      </c>
      <c r="B7578" s="845" t="s">
        <v>2561</v>
      </c>
      <c r="D7578" s="862"/>
      <c r="H7578" s="845" t="s">
        <v>1010</v>
      </c>
      <c r="K7578" s="989"/>
    </row>
    <row r="7579" spans="1:11" x14ac:dyDescent="0.2">
      <c r="A7579" s="859">
        <f t="shared" si="118"/>
        <v>7578</v>
      </c>
      <c r="B7579" s="845" t="s">
        <v>2561</v>
      </c>
      <c r="D7579" s="863"/>
      <c r="H7579" s="845" t="s">
        <v>1007</v>
      </c>
      <c r="K7579" s="989"/>
    </row>
    <row r="7580" spans="1:11" x14ac:dyDescent="0.2">
      <c r="A7580" s="859">
        <f t="shared" si="118"/>
        <v>7579</v>
      </c>
      <c r="B7580" s="845" t="s">
        <v>2561</v>
      </c>
      <c r="D7580" s="862"/>
      <c r="I7580" s="845" t="s">
        <v>2124</v>
      </c>
      <c r="K7580" s="989"/>
    </row>
    <row r="7581" spans="1:11" x14ac:dyDescent="0.2">
      <c r="A7581" s="859">
        <f t="shared" si="118"/>
        <v>7580</v>
      </c>
      <c r="B7581" s="845" t="s">
        <v>2561</v>
      </c>
      <c r="D7581" s="862"/>
      <c r="I7581" s="845" t="str">
        <f>CONCATENATE("&lt;valeur&gt;",Cellule_2048_4,"&lt;/valeur&gt;")</f>
        <v>&lt;valeur&gt;&lt;/valeur&gt;</v>
      </c>
      <c r="K7581" s="989"/>
    </row>
    <row r="7582" spans="1:11" x14ac:dyDescent="0.2">
      <c r="A7582" s="859">
        <f t="shared" si="118"/>
        <v>7581</v>
      </c>
      <c r="B7582" s="845" t="s">
        <v>2561</v>
      </c>
      <c r="D7582" s="861"/>
      <c r="I7582" s="845" t="s">
        <v>2579</v>
      </c>
      <c r="K7582" s="989"/>
    </row>
    <row r="7583" spans="1:11" x14ac:dyDescent="0.2">
      <c r="A7583" s="859">
        <f t="shared" si="118"/>
        <v>7582</v>
      </c>
      <c r="B7583" s="845" t="s">
        <v>2561</v>
      </c>
      <c r="D7583" s="861"/>
      <c r="H7583" s="845" t="s">
        <v>1010</v>
      </c>
      <c r="K7583" s="989"/>
    </row>
    <row r="7584" spans="1:11" x14ac:dyDescent="0.2">
      <c r="A7584" s="859">
        <f t="shared" si="118"/>
        <v>7583</v>
      </c>
      <c r="B7584" s="845" t="s">
        <v>2561</v>
      </c>
      <c r="D7584" s="862"/>
      <c r="H7584" s="845" t="s">
        <v>1007</v>
      </c>
      <c r="K7584" s="989"/>
    </row>
    <row r="7585" spans="1:11" x14ac:dyDescent="0.2">
      <c r="A7585" s="859">
        <f t="shared" si="118"/>
        <v>7584</v>
      </c>
      <c r="B7585" s="845" t="s">
        <v>2561</v>
      </c>
      <c r="D7585" s="863"/>
      <c r="I7585" s="845" t="s">
        <v>2125</v>
      </c>
      <c r="K7585" s="989"/>
    </row>
    <row r="7586" spans="1:11" x14ac:dyDescent="0.2">
      <c r="A7586" s="859">
        <f t="shared" si="118"/>
        <v>7585</v>
      </c>
      <c r="B7586" s="845" t="s">
        <v>2561</v>
      </c>
      <c r="D7586" s="862"/>
      <c r="I7586" s="845" t="str">
        <f>CONCATENATE("&lt;valeur&gt;",Cellule_2049_4,"&lt;/valeur&gt;")</f>
        <v>&lt;valeur&gt;&lt;/valeur&gt;</v>
      </c>
      <c r="K7586" s="989"/>
    </row>
    <row r="7587" spans="1:11" x14ac:dyDescent="0.2">
      <c r="A7587" s="859">
        <f t="shared" si="118"/>
        <v>7586</v>
      </c>
      <c r="B7587" s="845" t="s">
        <v>2561</v>
      </c>
      <c r="D7587" s="862"/>
      <c r="I7587" s="845" t="s">
        <v>2579</v>
      </c>
      <c r="K7587" s="989"/>
    </row>
    <row r="7588" spans="1:11" x14ac:dyDescent="0.2">
      <c r="A7588" s="859">
        <f t="shared" si="118"/>
        <v>7587</v>
      </c>
      <c r="B7588" s="845" t="s">
        <v>2561</v>
      </c>
      <c r="D7588" s="861"/>
      <c r="H7588" s="845" t="s">
        <v>1010</v>
      </c>
      <c r="K7588" s="989"/>
    </row>
    <row r="7589" spans="1:11" x14ac:dyDescent="0.2">
      <c r="A7589" s="859">
        <f t="shared" si="118"/>
        <v>7588</v>
      </c>
      <c r="B7589" s="845" t="s">
        <v>2561</v>
      </c>
      <c r="D7589" s="861"/>
      <c r="H7589" s="845" t="s">
        <v>1007</v>
      </c>
      <c r="K7589" s="989"/>
    </row>
    <row r="7590" spans="1:11" x14ac:dyDescent="0.2">
      <c r="A7590" s="859">
        <f t="shared" si="118"/>
        <v>7589</v>
      </c>
      <c r="B7590" s="845" t="s">
        <v>2561</v>
      </c>
      <c r="D7590" s="862"/>
      <c r="I7590" s="845" t="s">
        <v>2126</v>
      </c>
      <c r="K7590" s="989"/>
    </row>
    <row r="7591" spans="1:11" x14ac:dyDescent="0.2">
      <c r="A7591" s="859">
        <f t="shared" si="118"/>
        <v>7590</v>
      </c>
      <c r="B7591" s="845" t="s">
        <v>2561</v>
      </c>
      <c r="D7591" s="863"/>
      <c r="I7591" s="845" t="str">
        <f>CONCATENATE("&lt;valeur&gt;",Cellule_2050_4,"&lt;/valeur&gt;")</f>
        <v>&lt;valeur&gt;&lt;/valeur&gt;</v>
      </c>
      <c r="K7591" s="989"/>
    </row>
    <row r="7592" spans="1:11" x14ac:dyDescent="0.2">
      <c r="A7592" s="859">
        <f t="shared" si="118"/>
        <v>7591</v>
      </c>
      <c r="B7592" s="845" t="s">
        <v>2561</v>
      </c>
      <c r="D7592" s="862"/>
      <c r="I7592" s="845" t="s">
        <v>2579</v>
      </c>
      <c r="K7592" s="989"/>
    </row>
    <row r="7593" spans="1:11" x14ac:dyDescent="0.2">
      <c r="A7593" s="859">
        <f t="shared" si="118"/>
        <v>7592</v>
      </c>
      <c r="B7593" s="845" t="s">
        <v>2561</v>
      </c>
      <c r="D7593" s="862"/>
      <c r="H7593" s="845" t="s">
        <v>1010</v>
      </c>
      <c r="K7593" s="989"/>
    </row>
    <row r="7594" spans="1:11" x14ac:dyDescent="0.2">
      <c r="A7594" s="859">
        <f t="shared" si="118"/>
        <v>7593</v>
      </c>
      <c r="B7594" s="845" t="s">
        <v>2561</v>
      </c>
      <c r="D7594" s="861"/>
      <c r="H7594" s="845" t="s">
        <v>1007</v>
      </c>
      <c r="K7594" s="989"/>
    </row>
    <row r="7595" spans="1:11" x14ac:dyDescent="0.2">
      <c r="A7595" s="859">
        <f t="shared" si="118"/>
        <v>7594</v>
      </c>
      <c r="B7595" s="845" t="s">
        <v>2561</v>
      </c>
      <c r="D7595" s="861"/>
      <c r="I7595" s="845" t="s">
        <v>2127</v>
      </c>
      <c r="K7595" s="989"/>
    </row>
    <row r="7596" spans="1:11" x14ac:dyDescent="0.2">
      <c r="A7596" s="859">
        <f t="shared" si="118"/>
        <v>7595</v>
      </c>
      <c r="B7596" s="845" t="s">
        <v>2561</v>
      </c>
      <c r="D7596" s="862"/>
      <c r="I7596" s="845" t="str">
        <f>CONCATENATE("&lt;valeur&gt;",Cellule_2051_4,"&lt;/valeur&gt;")</f>
        <v>&lt;valeur&gt;&lt;/valeur&gt;</v>
      </c>
      <c r="K7596" s="989"/>
    </row>
    <row r="7597" spans="1:11" x14ac:dyDescent="0.2">
      <c r="A7597" s="859">
        <f t="shared" si="118"/>
        <v>7596</v>
      </c>
      <c r="B7597" s="845" t="s">
        <v>2561</v>
      </c>
      <c r="D7597" s="863"/>
      <c r="I7597" s="845" t="s">
        <v>2579</v>
      </c>
      <c r="K7597" s="989"/>
    </row>
    <row r="7598" spans="1:11" x14ac:dyDescent="0.2">
      <c r="A7598" s="859">
        <f t="shared" si="118"/>
        <v>7597</v>
      </c>
      <c r="B7598" s="845" t="s">
        <v>2561</v>
      </c>
      <c r="D7598" s="862"/>
      <c r="H7598" s="845" t="s">
        <v>1010</v>
      </c>
      <c r="K7598" s="989"/>
    </row>
    <row r="7599" spans="1:11" x14ac:dyDescent="0.2">
      <c r="A7599" s="859">
        <f t="shared" si="118"/>
        <v>7598</v>
      </c>
      <c r="B7599" s="845" t="s">
        <v>2561</v>
      </c>
      <c r="D7599" s="862"/>
      <c r="H7599" s="845" t="s">
        <v>1007</v>
      </c>
      <c r="K7599" s="989"/>
    </row>
    <row r="7600" spans="1:11" x14ac:dyDescent="0.2">
      <c r="A7600" s="859">
        <f t="shared" si="118"/>
        <v>7599</v>
      </c>
      <c r="B7600" s="845" t="s">
        <v>2561</v>
      </c>
      <c r="D7600" s="861"/>
      <c r="I7600" s="845" t="s">
        <v>2128</v>
      </c>
      <c r="K7600" s="989"/>
    </row>
    <row r="7601" spans="1:11" x14ac:dyDescent="0.2">
      <c r="A7601" s="859">
        <f t="shared" si="118"/>
        <v>7600</v>
      </c>
      <c r="B7601" s="845" t="s">
        <v>2561</v>
      </c>
      <c r="D7601" s="861"/>
      <c r="I7601" s="845" t="str">
        <f>CONCATENATE("&lt;valeur&gt;",Cellule_2052_4,"&lt;/valeur&gt;")</f>
        <v>&lt;valeur&gt;&lt;/valeur&gt;</v>
      </c>
      <c r="K7601" s="989"/>
    </row>
    <row r="7602" spans="1:11" x14ac:dyDescent="0.2">
      <c r="A7602" s="859">
        <f t="shared" si="118"/>
        <v>7601</v>
      </c>
      <c r="B7602" s="845" t="s">
        <v>2561</v>
      </c>
      <c r="D7602" s="862"/>
      <c r="I7602" s="845" t="s">
        <v>2579</v>
      </c>
      <c r="K7602" s="989"/>
    </row>
    <row r="7603" spans="1:11" x14ac:dyDescent="0.2">
      <c r="A7603" s="859">
        <f t="shared" si="118"/>
        <v>7602</v>
      </c>
      <c r="B7603" s="845" t="s">
        <v>2561</v>
      </c>
      <c r="D7603" s="863"/>
      <c r="H7603" s="845" t="s">
        <v>1010</v>
      </c>
      <c r="K7603" s="989"/>
    </row>
    <row r="7604" spans="1:11" x14ac:dyDescent="0.2">
      <c r="A7604" s="859">
        <f t="shared" si="118"/>
        <v>7603</v>
      </c>
      <c r="B7604" s="845" t="s">
        <v>2561</v>
      </c>
      <c r="D7604" s="862"/>
      <c r="H7604" s="845" t="s">
        <v>1007</v>
      </c>
      <c r="K7604" s="989"/>
    </row>
    <row r="7605" spans="1:11" x14ac:dyDescent="0.2">
      <c r="A7605" s="859">
        <f t="shared" si="118"/>
        <v>7604</v>
      </c>
      <c r="B7605" s="845" t="s">
        <v>2561</v>
      </c>
      <c r="D7605" s="862"/>
      <c r="I7605" s="845" t="s">
        <v>2129</v>
      </c>
      <c r="K7605" s="989"/>
    </row>
    <row r="7606" spans="1:11" x14ac:dyDescent="0.2">
      <c r="A7606" s="859">
        <f t="shared" si="118"/>
        <v>7605</v>
      </c>
      <c r="B7606" s="845" t="s">
        <v>2561</v>
      </c>
      <c r="D7606" s="861"/>
      <c r="I7606" s="845" t="str">
        <f>CONCATENATE("&lt;valeur&gt;",Cellule_2053_4,"&lt;/valeur&gt;")</f>
        <v>&lt;valeur&gt;&lt;/valeur&gt;</v>
      </c>
      <c r="K7606" s="989"/>
    </row>
    <row r="7607" spans="1:11" x14ac:dyDescent="0.2">
      <c r="A7607" s="859">
        <f t="shared" si="118"/>
        <v>7606</v>
      </c>
      <c r="B7607" s="845" t="s">
        <v>2561</v>
      </c>
      <c r="D7607" s="861"/>
      <c r="I7607" s="845" t="s">
        <v>2579</v>
      </c>
      <c r="K7607" s="989"/>
    </row>
    <row r="7608" spans="1:11" x14ac:dyDescent="0.2">
      <c r="A7608" s="859">
        <f t="shared" si="118"/>
        <v>7607</v>
      </c>
      <c r="B7608" s="991" t="s">
        <v>2561</v>
      </c>
      <c r="C7608" s="991"/>
      <c r="D7608" s="1002"/>
      <c r="E7608" s="991"/>
      <c r="F7608" s="991"/>
      <c r="G7608" s="991"/>
      <c r="H7608" s="991" t="s">
        <v>1010</v>
      </c>
      <c r="I7608" s="991"/>
      <c r="J7608" s="991"/>
      <c r="K7608" s="1000"/>
    </row>
    <row r="7609" spans="1:11" x14ac:dyDescent="0.2">
      <c r="A7609" s="859">
        <f t="shared" si="118"/>
        <v>7608</v>
      </c>
      <c r="B7609" s="845" t="s">
        <v>2561</v>
      </c>
      <c r="D7609" s="863"/>
      <c r="H7609" s="845" t="s">
        <v>1007</v>
      </c>
    </row>
    <row r="7610" spans="1:11" x14ac:dyDescent="0.2">
      <c r="A7610" s="859">
        <f t="shared" si="118"/>
        <v>7609</v>
      </c>
      <c r="B7610" s="845" t="s">
        <v>2561</v>
      </c>
      <c r="D7610" s="862"/>
      <c r="I7610" s="845" t="s">
        <v>1008</v>
      </c>
    </row>
    <row r="7611" spans="1:11" x14ac:dyDescent="0.2">
      <c r="A7611" s="859">
        <f t="shared" si="118"/>
        <v>7610</v>
      </c>
      <c r="B7611" s="845" t="s">
        <v>2561</v>
      </c>
      <c r="D7611" s="862"/>
      <c r="J7611" s="845" t="s">
        <v>2130</v>
      </c>
    </row>
    <row r="7612" spans="1:11" x14ac:dyDescent="0.2">
      <c r="A7612" s="859">
        <f t="shared" si="118"/>
        <v>7611</v>
      </c>
      <c r="B7612" s="845" t="s">
        <v>2561</v>
      </c>
      <c r="D7612" s="861"/>
      <c r="I7612" s="845" t="s">
        <v>1009</v>
      </c>
    </row>
    <row r="7613" spans="1:11" x14ac:dyDescent="0.2">
      <c r="A7613" s="859">
        <f t="shared" si="118"/>
        <v>7612</v>
      </c>
      <c r="B7613" s="845" t="s">
        <v>2561</v>
      </c>
      <c r="D7613" s="861"/>
      <c r="I7613" s="845" t="str">
        <f>CONCATENATE("&lt;valeur&gt;",Cellule_2056,"&lt;/valeur&gt;")</f>
        <v>&lt;valeur&gt;&lt;/valeur&gt;</v>
      </c>
    </row>
    <row r="7614" spans="1:11" x14ac:dyDescent="0.2">
      <c r="A7614" s="859">
        <f t="shared" si="118"/>
        <v>7613</v>
      </c>
      <c r="B7614" s="845" t="s">
        <v>2561</v>
      </c>
      <c r="D7614" s="862"/>
      <c r="H7614" s="845" t="s">
        <v>1010</v>
      </c>
    </row>
    <row r="7615" spans="1:11" x14ac:dyDescent="0.2">
      <c r="A7615" s="859">
        <f t="shared" si="118"/>
        <v>7614</v>
      </c>
      <c r="B7615" s="845" t="s">
        <v>2561</v>
      </c>
      <c r="D7615" s="863"/>
      <c r="H7615" s="845" t="s">
        <v>1007</v>
      </c>
    </row>
    <row r="7616" spans="1:11" x14ac:dyDescent="0.2">
      <c r="A7616" s="859">
        <f t="shared" si="118"/>
        <v>7615</v>
      </c>
      <c r="B7616" s="845" t="s">
        <v>2561</v>
      </c>
      <c r="D7616" s="862"/>
      <c r="I7616" s="845" t="s">
        <v>1008</v>
      </c>
    </row>
    <row r="7617" spans="1:10" x14ac:dyDescent="0.2">
      <c r="A7617" s="859">
        <f t="shared" si="118"/>
        <v>7616</v>
      </c>
      <c r="B7617" s="845" t="s">
        <v>2561</v>
      </c>
      <c r="D7617" s="862"/>
      <c r="J7617" s="845" t="s">
        <v>2131</v>
      </c>
    </row>
    <row r="7618" spans="1:10" x14ac:dyDescent="0.2">
      <c r="A7618" s="859">
        <f t="shared" si="118"/>
        <v>7617</v>
      </c>
      <c r="B7618" s="845" t="s">
        <v>2561</v>
      </c>
      <c r="D7618" s="861"/>
      <c r="I7618" s="845" t="s">
        <v>1009</v>
      </c>
    </row>
    <row r="7619" spans="1:10" x14ac:dyDescent="0.2">
      <c r="A7619" s="859">
        <f t="shared" si="118"/>
        <v>7618</v>
      </c>
      <c r="B7619" s="845" t="s">
        <v>2561</v>
      </c>
      <c r="D7619" s="860"/>
      <c r="I7619" s="845" t="str">
        <f>CONCATENATE("&lt;valeur&gt;",Cellule_2057,"&lt;/valeur&gt;")</f>
        <v>&lt;valeur&gt;&lt;/valeur&gt;</v>
      </c>
    </row>
    <row r="7620" spans="1:10" x14ac:dyDescent="0.2">
      <c r="A7620" s="859">
        <f t="shared" ref="A7620:A7683" si="119">+A7619+1</f>
        <v>7619</v>
      </c>
      <c r="B7620" s="845" t="s">
        <v>2561</v>
      </c>
      <c r="D7620" s="860"/>
      <c r="H7620" s="845" t="s">
        <v>1010</v>
      </c>
    </row>
    <row r="7621" spans="1:10" x14ac:dyDescent="0.2">
      <c r="A7621" s="859">
        <f t="shared" si="119"/>
        <v>7620</v>
      </c>
      <c r="B7621" s="845" t="s">
        <v>2561</v>
      </c>
      <c r="D7621" s="861"/>
      <c r="H7621" s="845" t="s">
        <v>1007</v>
      </c>
    </row>
    <row r="7622" spans="1:10" x14ac:dyDescent="0.2">
      <c r="A7622" s="859">
        <f t="shared" si="119"/>
        <v>7621</v>
      </c>
      <c r="B7622" s="845" t="s">
        <v>2561</v>
      </c>
      <c r="D7622" s="862"/>
      <c r="I7622" s="845" t="s">
        <v>1008</v>
      </c>
    </row>
    <row r="7623" spans="1:10" x14ac:dyDescent="0.2">
      <c r="A7623" s="859">
        <f t="shared" si="119"/>
        <v>7622</v>
      </c>
      <c r="B7623" s="845" t="s">
        <v>2561</v>
      </c>
      <c r="D7623" s="863"/>
      <c r="J7623" s="845" t="s">
        <v>2132</v>
      </c>
    </row>
    <row r="7624" spans="1:10" x14ac:dyDescent="0.2">
      <c r="A7624" s="859">
        <f t="shared" si="119"/>
        <v>7623</v>
      </c>
      <c r="B7624" s="845" t="s">
        <v>2561</v>
      </c>
      <c r="D7624" s="862"/>
      <c r="I7624" s="845" t="s">
        <v>1009</v>
      </c>
    </row>
    <row r="7625" spans="1:10" x14ac:dyDescent="0.2">
      <c r="A7625" s="859">
        <f t="shared" si="119"/>
        <v>7624</v>
      </c>
      <c r="B7625" s="845" t="s">
        <v>2561</v>
      </c>
      <c r="D7625" s="862"/>
      <c r="I7625" s="845" t="str">
        <f>CONCATENATE("&lt;valeur&gt;",Cellule_2058,"&lt;/valeur&gt;")</f>
        <v>&lt;valeur&gt;0&lt;/valeur&gt;</v>
      </c>
    </row>
    <row r="7626" spans="1:10" x14ac:dyDescent="0.2">
      <c r="A7626" s="859">
        <f t="shared" si="119"/>
        <v>7625</v>
      </c>
      <c r="B7626" s="845" t="s">
        <v>2561</v>
      </c>
      <c r="D7626" s="861"/>
      <c r="H7626" s="845" t="s">
        <v>1010</v>
      </c>
    </row>
    <row r="7627" spans="1:10" x14ac:dyDescent="0.2">
      <c r="A7627" s="859">
        <f t="shared" si="119"/>
        <v>7626</v>
      </c>
      <c r="B7627" s="845" t="s">
        <v>2561</v>
      </c>
      <c r="D7627" s="860"/>
      <c r="H7627" s="845" t="s">
        <v>1007</v>
      </c>
    </row>
    <row r="7628" spans="1:10" x14ac:dyDescent="0.2">
      <c r="A7628" s="859">
        <f t="shared" si="119"/>
        <v>7627</v>
      </c>
      <c r="B7628" s="845" t="s">
        <v>2561</v>
      </c>
      <c r="D7628" s="857"/>
      <c r="I7628" s="845" t="s">
        <v>1008</v>
      </c>
    </row>
    <row r="7629" spans="1:10" x14ac:dyDescent="0.2">
      <c r="A7629" s="859">
        <f t="shared" si="119"/>
        <v>7628</v>
      </c>
      <c r="B7629" s="845" t="s">
        <v>2561</v>
      </c>
      <c r="D7629" s="857"/>
      <c r="J7629" s="845" t="s">
        <v>2133</v>
      </c>
    </row>
    <row r="7630" spans="1:10" x14ac:dyDescent="0.2">
      <c r="A7630" s="859">
        <f t="shared" si="119"/>
        <v>7629</v>
      </c>
      <c r="B7630" s="845" t="s">
        <v>2561</v>
      </c>
      <c r="D7630" s="860"/>
      <c r="I7630" s="845" t="s">
        <v>1009</v>
      </c>
    </row>
    <row r="7631" spans="1:10" x14ac:dyDescent="0.2">
      <c r="A7631" s="859">
        <f t="shared" si="119"/>
        <v>7630</v>
      </c>
      <c r="B7631" s="845" t="s">
        <v>2561</v>
      </c>
      <c r="D7631" s="861"/>
      <c r="I7631" s="845" t="str">
        <f>CONCATENATE("&lt;valeur&gt;",Cellule_2059,"&lt;/valeur&gt;")</f>
        <v>&lt;valeur&gt;0&lt;/valeur&gt;</v>
      </c>
    </row>
    <row r="7632" spans="1:10" x14ac:dyDescent="0.2">
      <c r="A7632" s="859">
        <f t="shared" si="119"/>
        <v>7631</v>
      </c>
      <c r="B7632" s="845" t="s">
        <v>2561</v>
      </c>
      <c r="D7632" s="860"/>
      <c r="H7632" s="845" t="s">
        <v>1010</v>
      </c>
    </row>
    <row r="7633" spans="1:10" x14ac:dyDescent="0.2">
      <c r="A7633" s="859">
        <f t="shared" si="119"/>
        <v>7632</v>
      </c>
      <c r="B7633" s="845" t="s">
        <v>2561</v>
      </c>
      <c r="D7633" s="860"/>
      <c r="H7633" s="845" t="s">
        <v>1007</v>
      </c>
    </row>
    <row r="7634" spans="1:10" x14ac:dyDescent="0.2">
      <c r="A7634" s="859">
        <f t="shared" si="119"/>
        <v>7633</v>
      </c>
      <c r="B7634" s="845" t="s">
        <v>2561</v>
      </c>
      <c r="D7634" s="861"/>
      <c r="I7634" s="845" t="s">
        <v>1008</v>
      </c>
    </row>
    <row r="7635" spans="1:10" x14ac:dyDescent="0.2">
      <c r="A7635" s="859">
        <f t="shared" si="119"/>
        <v>7634</v>
      </c>
      <c r="B7635" s="845" t="s">
        <v>2561</v>
      </c>
      <c r="D7635" s="862"/>
      <c r="J7635" s="845" t="s">
        <v>2134</v>
      </c>
    </row>
    <row r="7636" spans="1:10" x14ac:dyDescent="0.2">
      <c r="A7636" s="859">
        <f t="shared" si="119"/>
        <v>7635</v>
      </c>
      <c r="B7636" s="845" t="s">
        <v>2561</v>
      </c>
      <c r="D7636" s="863"/>
      <c r="I7636" s="845" t="s">
        <v>1009</v>
      </c>
    </row>
    <row r="7637" spans="1:10" x14ac:dyDescent="0.2">
      <c r="A7637" s="859">
        <f t="shared" si="119"/>
        <v>7636</v>
      </c>
      <c r="B7637" s="845" t="s">
        <v>2561</v>
      </c>
      <c r="D7637" s="862"/>
      <c r="I7637" s="845" t="str">
        <f>CONCATENATE("&lt;valeur&gt;",Cellule_2060,"&lt;/valeur&gt;")</f>
        <v>&lt;valeur&gt;&lt;/valeur&gt;</v>
      </c>
    </row>
    <row r="7638" spans="1:10" x14ac:dyDescent="0.2">
      <c r="A7638" s="859">
        <f t="shared" si="119"/>
        <v>7637</v>
      </c>
      <c r="B7638" s="845" t="s">
        <v>2561</v>
      </c>
      <c r="D7638" s="862"/>
      <c r="H7638" s="845" t="s">
        <v>1010</v>
      </c>
    </row>
    <row r="7639" spans="1:10" x14ac:dyDescent="0.2">
      <c r="A7639" s="859">
        <f t="shared" si="119"/>
        <v>7638</v>
      </c>
      <c r="B7639" s="845" t="s">
        <v>2561</v>
      </c>
      <c r="D7639" s="862"/>
      <c r="H7639" s="845" t="s">
        <v>1007</v>
      </c>
    </row>
    <row r="7640" spans="1:10" x14ac:dyDescent="0.2">
      <c r="A7640" s="859">
        <f t="shared" si="119"/>
        <v>7639</v>
      </c>
      <c r="B7640" s="845" t="s">
        <v>2561</v>
      </c>
      <c r="D7640" s="861"/>
      <c r="I7640" s="845" t="s">
        <v>1008</v>
      </c>
    </row>
    <row r="7641" spans="1:10" x14ac:dyDescent="0.2">
      <c r="A7641" s="859">
        <f t="shared" si="119"/>
        <v>7640</v>
      </c>
      <c r="B7641" s="845" t="s">
        <v>2561</v>
      </c>
      <c r="D7641" s="861"/>
      <c r="J7641" s="845" t="s">
        <v>2135</v>
      </c>
    </row>
    <row r="7642" spans="1:10" x14ac:dyDescent="0.2">
      <c r="A7642" s="859">
        <f t="shared" si="119"/>
        <v>7641</v>
      </c>
      <c r="B7642" s="845" t="s">
        <v>2561</v>
      </c>
      <c r="D7642" s="862"/>
      <c r="I7642" s="845" t="s">
        <v>1009</v>
      </c>
    </row>
    <row r="7643" spans="1:10" x14ac:dyDescent="0.2">
      <c r="A7643" s="859">
        <f t="shared" si="119"/>
        <v>7642</v>
      </c>
      <c r="B7643" s="845" t="s">
        <v>2561</v>
      </c>
      <c r="D7643" s="863"/>
      <c r="I7643" s="845" t="str">
        <f>CONCATENATE("&lt;valeur&gt;",Cellule_2061,"&lt;/valeur&gt;")</f>
        <v>&lt;valeur&gt;&lt;/valeur&gt;</v>
      </c>
    </row>
    <row r="7644" spans="1:10" x14ac:dyDescent="0.2">
      <c r="A7644" s="859">
        <f t="shared" si="119"/>
        <v>7643</v>
      </c>
      <c r="B7644" s="845" t="s">
        <v>2561</v>
      </c>
      <c r="D7644" s="862"/>
      <c r="H7644" s="845" t="s">
        <v>1010</v>
      </c>
    </row>
    <row r="7645" spans="1:10" x14ac:dyDescent="0.2">
      <c r="A7645" s="859">
        <f t="shared" si="119"/>
        <v>7644</v>
      </c>
      <c r="B7645" s="845" t="s">
        <v>2561</v>
      </c>
      <c r="D7645" s="862"/>
      <c r="H7645" s="845" t="s">
        <v>1007</v>
      </c>
    </row>
    <row r="7646" spans="1:10" x14ac:dyDescent="0.2">
      <c r="A7646" s="859">
        <f t="shared" si="119"/>
        <v>7645</v>
      </c>
      <c r="B7646" s="845" t="s">
        <v>2561</v>
      </c>
      <c r="D7646" s="862"/>
      <c r="I7646" s="845" t="s">
        <v>1008</v>
      </c>
    </row>
    <row r="7647" spans="1:10" x14ac:dyDescent="0.2">
      <c r="A7647" s="859">
        <f t="shared" si="119"/>
        <v>7646</v>
      </c>
      <c r="B7647" s="845" t="s">
        <v>2561</v>
      </c>
      <c r="D7647" s="861"/>
      <c r="J7647" s="845" t="s">
        <v>2136</v>
      </c>
    </row>
    <row r="7648" spans="1:10" x14ac:dyDescent="0.2">
      <c r="A7648" s="859">
        <f t="shared" si="119"/>
        <v>7647</v>
      </c>
      <c r="B7648" s="845" t="s">
        <v>2561</v>
      </c>
      <c r="D7648" s="861"/>
      <c r="I7648" s="845" t="s">
        <v>1009</v>
      </c>
    </row>
    <row r="7649" spans="1:10" x14ac:dyDescent="0.2">
      <c r="A7649" s="859">
        <f t="shared" si="119"/>
        <v>7648</v>
      </c>
      <c r="B7649" s="845" t="s">
        <v>2561</v>
      </c>
      <c r="D7649" s="862"/>
      <c r="I7649" s="845" t="str">
        <f>CONCATENATE("&lt;valeur&gt;",Cellule_2062,"&lt;/valeur&gt;")</f>
        <v>&lt;valeur&gt;&lt;/valeur&gt;</v>
      </c>
    </row>
    <row r="7650" spans="1:10" x14ac:dyDescent="0.2">
      <c r="A7650" s="859">
        <f t="shared" si="119"/>
        <v>7649</v>
      </c>
      <c r="B7650" s="845" t="s">
        <v>2561</v>
      </c>
      <c r="D7650" s="863"/>
      <c r="H7650" s="845" t="s">
        <v>1010</v>
      </c>
    </row>
    <row r="7651" spans="1:10" x14ac:dyDescent="0.2">
      <c r="A7651" s="859">
        <f t="shared" si="119"/>
        <v>7650</v>
      </c>
      <c r="B7651" s="845" t="s">
        <v>2561</v>
      </c>
      <c r="D7651" s="862"/>
      <c r="H7651" s="845" t="s">
        <v>1007</v>
      </c>
    </row>
    <row r="7652" spans="1:10" x14ac:dyDescent="0.2">
      <c r="A7652" s="859">
        <f t="shared" si="119"/>
        <v>7651</v>
      </c>
      <c r="B7652" s="845" t="s">
        <v>2561</v>
      </c>
      <c r="D7652" s="862"/>
      <c r="I7652" s="845" t="s">
        <v>1008</v>
      </c>
    </row>
    <row r="7653" spans="1:10" x14ac:dyDescent="0.2">
      <c r="A7653" s="859">
        <f t="shared" si="119"/>
        <v>7652</v>
      </c>
      <c r="B7653" s="845" t="s">
        <v>2561</v>
      </c>
      <c r="D7653" s="862"/>
      <c r="J7653" s="845" t="s">
        <v>2137</v>
      </c>
    </row>
    <row r="7654" spans="1:10" x14ac:dyDescent="0.2">
      <c r="A7654" s="859">
        <f t="shared" si="119"/>
        <v>7653</v>
      </c>
      <c r="B7654" s="845" t="s">
        <v>2561</v>
      </c>
      <c r="D7654" s="861"/>
      <c r="I7654" s="845" t="s">
        <v>1009</v>
      </c>
    </row>
    <row r="7655" spans="1:10" x14ac:dyDescent="0.2">
      <c r="A7655" s="859">
        <f t="shared" si="119"/>
        <v>7654</v>
      </c>
      <c r="B7655" s="845" t="s">
        <v>2561</v>
      </c>
      <c r="D7655" s="861"/>
      <c r="I7655" s="845" t="str">
        <f>CONCATENATE("&lt;valeur&gt;",Cellule_2063,"&lt;/valeur&gt;")</f>
        <v>&lt;valeur&gt;0&lt;/valeur&gt;</v>
      </c>
    </row>
    <row r="7656" spans="1:10" x14ac:dyDescent="0.2">
      <c r="A7656" s="859">
        <f t="shared" si="119"/>
        <v>7655</v>
      </c>
      <c r="B7656" s="845" t="s">
        <v>2561</v>
      </c>
      <c r="D7656" s="862"/>
      <c r="H7656" s="845" t="s">
        <v>1010</v>
      </c>
    </row>
    <row r="7657" spans="1:10" x14ac:dyDescent="0.2">
      <c r="A7657" s="859">
        <f t="shared" si="119"/>
        <v>7656</v>
      </c>
      <c r="B7657" s="845" t="s">
        <v>2561</v>
      </c>
      <c r="D7657" s="863"/>
      <c r="G7657" s="845" t="s">
        <v>1011</v>
      </c>
    </row>
    <row r="7658" spans="1:10" x14ac:dyDescent="0.2">
      <c r="A7658" s="859">
        <f t="shared" si="119"/>
        <v>7657</v>
      </c>
      <c r="B7658" s="845" t="s">
        <v>2561</v>
      </c>
      <c r="D7658" s="862"/>
      <c r="G7658" s="845" t="s">
        <v>1012</v>
      </c>
    </row>
    <row r="7659" spans="1:10" x14ac:dyDescent="0.2">
      <c r="A7659" s="859">
        <f t="shared" si="119"/>
        <v>7658</v>
      </c>
      <c r="B7659" s="845" t="s">
        <v>2561</v>
      </c>
      <c r="D7659" s="862"/>
      <c r="G7659" s="845" t="s">
        <v>1013</v>
      </c>
    </row>
    <row r="7660" spans="1:10" x14ac:dyDescent="0.2">
      <c r="A7660" s="859">
        <f t="shared" si="119"/>
        <v>7659</v>
      </c>
      <c r="B7660" s="845" t="s">
        <v>2561</v>
      </c>
      <c r="D7660" s="861"/>
      <c r="F7660" s="845" t="s">
        <v>1014</v>
      </c>
    </row>
    <row r="7661" spans="1:10" x14ac:dyDescent="0.2">
      <c r="A7661" s="859">
        <f t="shared" si="119"/>
        <v>7660</v>
      </c>
      <c r="B7661" s="845" t="s">
        <v>2562</v>
      </c>
      <c r="D7661" s="861"/>
      <c r="F7661" s="845" t="s">
        <v>1005</v>
      </c>
    </row>
    <row r="7662" spans="1:10" x14ac:dyDescent="0.2">
      <c r="A7662" s="859">
        <f t="shared" si="119"/>
        <v>7661</v>
      </c>
      <c r="B7662" s="845" t="s">
        <v>2562</v>
      </c>
      <c r="D7662" s="862"/>
      <c r="G7662" s="845" t="s">
        <v>2138</v>
      </c>
    </row>
    <row r="7663" spans="1:10" x14ac:dyDescent="0.2">
      <c r="A7663" s="859">
        <f t="shared" si="119"/>
        <v>7662</v>
      </c>
      <c r="B7663" s="845" t="s">
        <v>2562</v>
      </c>
      <c r="D7663" s="863"/>
      <c r="G7663" s="845" t="s">
        <v>1006</v>
      </c>
    </row>
    <row r="7664" spans="1:10" x14ac:dyDescent="0.2">
      <c r="A7664" s="859">
        <f t="shared" si="119"/>
        <v>7663</v>
      </c>
      <c r="B7664" s="845" t="s">
        <v>2562</v>
      </c>
      <c r="D7664" s="862"/>
      <c r="H7664" s="845" t="s">
        <v>1007</v>
      </c>
    </row>
    <row r="7665" spans="1:10" x14ac:dyDescent="0.2">
      <c r="A7665" s="859">
        <f t="shared" si="119"/>
        <v>7664</v>
      </c>
      <c r="B7665" s="845" t="s">
        <v>2562</v>
      </c>
      <c r="D7665" s="862"/>
      <c r="I7665" s="845" t="s">
        <v>1008</v>
      </c>
    </row>
    <row r="7666" spans="1:10" x14ac:dyDescent="0.2">
      <c r="A7666" s="859">
        <f t="shared" si="119"/>
        <v>7665</v>
      </c>
      <c r="B7666" s="845" t="s">
        <v>2562</v>
      </c>
      <c r="D7666" s="862"/>
      <c r="J7666" s="845" t="s">
        <v>2139</v>
      </c>
    </row>
    <row r="7667" spans="1:10" x14ac:dyDescent="0.2">
      <c r="A7667" s="859">
        <f t="shared" si="119"/>
        <v>7666</v>
      </c>
      <c r="B7667" s="845" t="s">
        <v>2562</v>
      </c>
      <c r="D7667" s="861"/>
      <c r="I7667" s="845" t="s">
        <v>1009</v>
      </c>
    </row>
    <row r="7668" spans="1:10" x14ac:dyDescent="0.2">
      <c r="A7668" s="859">
        <f t="shared" si="119"/>
        <v>7667</v>
      </c>
      <c r="B7668" s="845" t="s">
        <v>2562</v>
      </c>
      <c r="D7668" s="861"/>
      <c r="I7668" s="845" t="str">
        <f>CONCATENATE("&lt;valeur&gt;",Cellule_2065,"&lt;/valeur&gt;")</f>
        <v>&lt;valeur&gt;0&lt;/valeur&gt;</v>
      </c>
    </row>
    <row r="7669" spans="1:10" x14ac:dyDescent="0.2">
      <c r="A7669" s="859">
        <f t="shared" si="119"/>
        <v>7668</v>
      </c>
      <c r="B7669" s="845" t="s">
        <v>2562</v>
      </c>
      <c r="D7669" s="862"/>
      <c r="H7669" s="845" t="s">
        <v>1010</v>
      </c>
    </row>
    <row r="7670" spans="1:10" x14ac:dyDescent="0.2">
      <c r="A7670" s="859">
        <f t="shared" si="119"/>
        <v>7669</v>
      </c>
      <c r="B7670" s="845" t="s">
        <v>2562</v>
      </c>
      <c r="D7670" s="863"/>
      <c r="H7670" s="845" t="s">
        <v>1007</v>
      </c>
    </row>
    <row r="7671" spans="1:10" x14ac:dyDescent="0.2">
      <c r="A7671" s="859">
        <f t="shared" si="119"/>
        <v>7670</v>
      </c>
      <c r="B7671" s="845" t="s">
        <v>2562</v>
      </c>
      <c r="D7671" s="862"/>
      <c r="I7671" s="845" t="s">
        <v>1008</v>
      </c>
    </row>
    <row r="7672" spans="1:10" x14ac:dyDescent="0.2">
      <c r="A7672" s="859">
        <f t="shared" si="119"/>
        <v>7671</v>
      </c>
      <c r="B7672" s="845" t="s">
        <v>2562</v>
      </c>
      <c r="D7672" s="862"/>
      <c r="J7672" s="845" t="s">
        <v>2140</v>
      </c>
    </row>
    <row r="7673" spans="1:10" x14ac:dyDescent="0.2">
      <c r="A7673" s="859">
        <f t="shared" si="119"/>
        <v>7672</v>
      </c>
      <c r="B7673" s="845" t="s">
        <v>2562</v>
      </c>
      <c r="D7673" s="862"/>
      <c r="I7673" s="845" t="s">
        <v>1009</v>
      </c>
    </row>
    <row r="7674" spans="1:10" x14ac:dyDescent="0.2">
      <c r="A7674" s="859">
        <f t="shared" si="119"/>
        <v>7673</v>
      </c>
      <c r="B7674" s="845" t="s">
        <v>2562</v>
      </c>
      <c r="D7674" s="861"/>
      <c r="I7674" s="845" t="str">
        <f>CONCATENATE("&lt;valeur&gt;",Cellule_2070,"&lt;/valeur&gt;")</f>
        <v>&lt;valeur&gt;0&lt;/valeur&gt;</v>
      </c>
    </row>
    <row r="7675" spans="1:10" x14ac:dyDescent="0.2">
      <c r="A7675" s="859">
        <f t="shared" si="119"/>
        <v>7674</v>
      </c>
      <c r="B7675" s="845" t="s">
        <v>2562</v>
      </c>
      <c r="D7675" s="861"/>
      <c r="H7675" s="845" t="s">
        <v>1010</v>
      </c>
    </row>
    <row r="7676" spans="1:10" x14ac:dyDescent="0.2">
      <c r="A7676" s="859">
        <f t="shared" si="119"/>
        <v>7675</v>
      </c>
      <c r="B7676" s="845" t="s">
        <v>2562</v>
      </c>
      <c r="D7676" s="862"/>
      <c r="H7676" s="845" t="s">
        <v>1007</v>
      </c>
    </row>
    <row r="7677" spans="1:10" x14ac:dyDescent="0.2">
      <c r="A7677" s="859">
        <f t="shared" si="119"/>
        <v>7676</v>
      </c>
      <c r="B7677" s="845" t="s">
        <v>2562</v>
      </c>
      <c r="D7677" s="863"/>
      <c r="I7677" s="845" t="s">
        <v>1008</v>
      </c>
    </row>
    <row r="7678" spans="1:10" x14ac:dyDescent="0.2">
      <c r="A7678" s="859">
        <f t="shared" si="119"/>
        <v>7677</v>
      </c>
      <c r="B7678" s="845" t="s">
        <v>2562</v>
      </c>
      <c r="D7678" s="862"/>
      <c r="J7678" s="845" t="s">
        <v>2141</v>
      </c>
    </row>
    <row r="7679" spans="1:10" x14ac:dyDescent="0.2">
      <c r="A7679" s="859">
        <f t="shared" si="119"/>
        <v>7678</v>
      </c>
      <c r="B7679" s="845" t="s">
        <v>2562</v>
      </c>
      <c r="D7679" s="924"/>
      <c r="I7679" s="845" t="s">
        <v>1009</v>
      </c>
    </row>
    <row r="7680" spans="1:10" x14ac:dyDescent="0.2">
      <c r="A7680" s="859">
        <f t="shared" si="119"/>
        <v>7679</v>
      </c>
      <c r="B7680" s="845" t="s">
        <v>2562</v>
      </c>
      <c r="D7680" s="862"/>
      <c r="I7680" s="845" t="str">
        <f>CONCATENATE("&lt;valeur&gt;",Cellule_2075,"&lt;/valeur&gt;")</f>
        <v>&lt;valeur&gt;0&lt;/valeur&gt;</v>
      </c>
    </row>
    <row r="7681" spans="1:10" x14ac:dyDescent="0.2">
      <c r="A7681" s="859">
        <f t="shared" si="119"/>
        <v>7680</v>
      </c>
      <c r="B7681" s="845" t="s">
        <v>2562</v>
      </c>
      <c r="D7681" s="861"/>
      <c r="H7681" s="845" t="s">
        <v>1010</v>
      </c>
    </row>
    <row r="7682" spans="1:10" x14ac:dyDescent="0.2">
      <c r="A7682" s="859">
        <f t="shared" si="119"/>
        <v>7681</v>
      </c>
      <c r="B7682" s="845" t="s">
        <v>2562</v>
      </c>
      <c r="D7682" s="861"/>
      <c r="H7682" s="845" t="s">
        <v>1007</v>
      </c>
    </row>
    <row r="7683" spans="1:10" x14ac:dyDescent="0.2">
      <c r="A7683" s="859">
        <f t="shared" si="119"/>
        <v>7682</v>
      </c>
      <c r="B7683" s="845" t="s">
        <v>2562</v>
      </c>
      <c r="D7683" s="862"/>
      <c r="I7683" s="845" t="s">
        <v>1008</v>
      </c>
    </row>
    <row r="7684" spans="1:10" x14ac:dyDescent="0.2">
      <c r="A7684" s="859">
        <f t="shared" ref="A7684:A7747" si="120">+A7683+1</f>
        <v>7683</v>
      </c>
      <c r="B7684" s="845" t="s">
        <v>2562</v>
      </c>
      <c r="D7684" s="863"/>
      <c r="J7684" s="845" t="s">
        <v>2142</v>
      </c>
    </row>
    <row r="7685" spans="1:10" x14ac:dyDescent="0.2">
      <c r="A7685" s="859">
        <f t="shared" si="120"/>
        <v>7684</v>
      </c>
      <c r="B7685" s="845" t="s">
        <v>2562</v>
      </c>
      <c r="D7685" s="862"/>
      <c r="I7685" s="845" t="s">
        <v>1009</v>
      </c>
    </row>
    <row r="7686" spans="1:10" x14ac:dyDescent="0.2">
      <c r="A7686" s="859">
        <f t="shared" si="120"/>
        <v>7685</v>
      </c>
      <c r="B7686" s="845" t="s">
        <v>2562</v>
      </c>
      <c r="D7686" s="862"/>
      <c r="I7686" s="845" t="str">
        <f>CONCATENATE("&lt;valeur&gt;",Cellule_2080,"&lt;/valeur&gt;")</f>
        <v>&lt;valeur&gt;0&lt;/valeur&gt;</v>
      </c>
    </row>
    <row r="7687" spans="1:10" x14ac:dyDescent="0.2">
      <c r="A7687" s="859">
        <f t="shared" si="120"/>
        <v>7686</v>
      </c>
      <c r="B7687" s="845" t="s">
        <v>2562</v>
      </c>
      <c r="D7687" s="862"/>
      <c r="H7687" s="845" t="s">
        <v>1010</v>
      </c>
    </row>
    <row r="7688" spans="1:10" x14ac:dyDescent="0.2">
      <c r="A7688" s="859">
        <f t="shared" si="120"/>
        <v>7687</v>
      </c>
      <c r="B7688" s="845" t="s">
        <v>2562</v>
      </c>
      <c r="D7688" s="861"/>
      <c r="H7688" s="845" t="s">
        <v>1007</v>
      </c>
    </row>
    <row r="7689" spans="1:10" x14ac:dyDescent="0.2">
      <c r="A7689" s="859">
        <f t="shared" si="120"/>
        <v>7688</v>
      </c>
      <c r="B7689" s="845" t="s">
        <v>2562</v>
      </c>
      <c r="D7689" s="861"/>
      <c r="I7689" s="845" t="s">
        <v>1008</v>
      </c>
    </row>
    <row r="7690" spans="1:10" x14ac:dyDescent="0.2">
      <c r="A7690" s="859">
        <f t="shared" si="120"/>
        <v>7689</v>
      </c>
      <c r="B7690" s="845" t="s">
        <v>2562</v>
      </c>
      <c r="D7690" s="862"/>
      <c r="J7690" s="845" t="s">
        <v>2143</v>
      </c>
    </row>
    <row r="7691" spans="1:10" x14ac:dyDescent="0.2">
      <c r="A7691" s="859">
        <f t="shared" si="120"/>
        <v>7690</v>
      </c>
      <c r="B7691" s="845" t="s">
        <v>2562</v>
      </c>
      <c r="D7691" s="863"/>
      <c r="I7691" s="845" t="s">
        <v>1009</v>
      </c>
    </row>
    <row r="7692" spans="1:10" x14ac:dyDescent="0.2">
      <c r="A7692" s="859">
        <f t="shared" si="120"/>
        <v>7691</v>
      </c>
      <c r="B7692" s="845" t="s">
        <v>2562</v>
      </c>
      <c r="D7692" s="862"/>
      <c r="I7692" s="845" t="str">
        <f>CONCATENATE("&lt;valeur&gt;",Cellule_2085,"&lt;/valeur&gt;")</f>
        <v>&lt;valeur&gt;0&lt;/valeur&gt;</v>
      </c>
    </row>
    <row r="7693" spans="1:10" x14ac:dyDescent="0.2">
      <c r="A7693" s="859">
        <f t="shared" si="120"/>
        <v>7692</v>
      </c>
      <c r="B7693" s="845" t="s">
        <v>2562</v>
      </c>
      <c r="D7693" s="862"/>
      <c r="H7693" s="845" t="s">
        <v>1010</v>
      </c>
    </row>
    <row r="7694" spans="1:10" x14ac:dyDescent="0.2">
      <c r="A7694" s="859">
        <f t="shared" si="120"/>
        <v>7693</v>
      </c>
      <c r="B7694" s="845" t="s">
        <v>2562</v>
      </c>
      <c r="D7694" s="862"/>
      <c r="H7694" s="845" t="s">
        <v>1007</v>
      </c>
    </row>
    <row r="7695" spans="1:10" x14ac:dyDescent="0.2">
      <c r="A7695" s="859">
        <f t="shared" si="120"/>
        <v>7694</v>
      </c>
      <c r="B7695" s="845" t="s">
        <v>2562</v>
      </c>
      <c r="D7695" s="861"/>
      <c r="I7695" s="845" t="s">
        <v>1008</v>
      </c>
    </row>
    <row r="7696" spans="1:10" x14ac:dyDescent="0.2">
      <c r="A7696" s="859">
        <f t="shared" si="120"/>
        <v>7695</v>
      </c>
      <c r="B7696" s="845" t="s">
        <v>2562</v>
      </c>
      <c r="D7696" s="861"/>
      <c r="J7696" s="845" t="s">
        <v>2144</v>
      </c>
    </row>
    <row r="7697" spans="1:10" x14ac:dyDescent="0.2">
      <c r="A7697" s="859">
        <f t="shared" si="120"/>
        <v>7696</v>
      </c>
      <c r="B7697" s="845" t="s">
        <v>2562</v>
      </c>
      <c r="D7697" s="862"/>
      <c r="I7697" s="845" t="s">
        <v>1009</v>
      </c>
    </row>
    <row r="7698" spans="1:10" x14ac:dyDescent="0.2">
      <c r="A7698" s="859">
        <f t="shared" si="120"/>
        <v>7697</v>
      </c>
      <c r="B7698" s="845" t="s">
        <v>2562</v>
      </c>
      <c r="D7698" s="863"/>
      <c r="I7698" s="845" t="str">
        <f>CONCATENATE("&lt;valeur&gt;",Cellule_2066,"&lt;/valeur&gt;")</f>
        <v>&lt;valeur&gt;0&lt;/valeur&gt;</v>
      </c>
    </row>
    <row r="7699" spans="1:10" x14ac:dyDescent="0.2">
      <c r="A7699" s="859">
        <f t="shared" si="120"/>
        <v>7698</v>
      </c>
      <c r="B7699" s="845" t="s">
        <v>2562</v>
      </c>
      <c r="D7699" s="862"/>
      <c r="H7699" s="845" t="s">
        <v>1010</v>
      </c>
    </row>
    <row r="7700" spans="1:10" x14ac:dyDescent="0.2">
      <c r="A7700" s="859">
        <f t="shared" si="120"/>
        <v>7699</v>
      </c>
      <c r="B7700" s="845" t="s">
        <v>2562</v>
      </c>
      <c r="D7700" s="862"/>
      <c r="H7700" s="845" t="s">
        <v>1007</v>
      </c>
    </row>
    <row r="7701" spans="1:10" x14ac:dyDescent="0.2">
      <c r="A7701" s="859">
        <f t="shared" si="120"/>
        <v>7700</v>
      </c>
      <c r="B7701" s="845" t="s">
        <v>2562</v>
      </c>
      <c r="D7701" s="862"/>
      <c r="I7701" s="845" t="s">
        <v>1008</v>
      </c>
    </row>
    <row r="7702" spans="1:10" x14ac:dyDescent="0.2">
      <c r="A7702" s="859">
        <f t="shared" si="120"/>
        <v>7701</v>
      </c>
      <c r="B7702" s="845" t="s">
        <v>2562</v>
      </c>
      <c r="D7702" s="861"/>
      <c r="J7702" s="845" t="s">
        <v>2145</v>
      </c>
    </row>
    <row r="7703" spans="1:10" x14ac:dyDescent="0.2">
      <c r="A7703" s="859">
        <f t="shared" si="120"/>
        <v>7702</v>
      </c>
      <c r="B7703" s="845" t="s">
        <v>2562</v>
      </c>
      <c r="D7703" s="861"/>
      <c r="I7703" s="845" t="s">
        <v>1009</v>
      </c>
    </row>
    <row r="7704" spans="1:10" x14ac:dyDescent="0.2">
      <c r="A7704" s="859">
        <f t="shared" si="120"/>
        <v>7703</v>
      </c>
      <c r="B7704" s="845" t="s">
        <v>2562</v>
      </c>
      <c r="D7704" s="862"/>
      <c r="I7704" s="845" t="str">
        <f>CONCATENATE("&lt;valeur&gt;",Cellule_2071,"&lt;/valeur&gt;")</f>
        <v>&lt;valeur&gt;0&lt;/valeur&gt;</v>
      </c>
    </row>
    <row r="7705" spans="1:10" x14ac:dyDescent="0.2">
      <c r="A7705" s="859">
        <f t="shared" si="120"/>
        <v>7704</v>
      </c>
      <c r="B7705" s="845" t="s">
        <v>2562</v>
      </c>
      <c r="D7705" s="863"/>
      <c r="H7705" s="845" t="s">
        <v>1010</v>
      </c>
    </row>
    <row r="7706" spans="1:10" x14ac:dyDescent="0.2">
      <c r="A7706" s="859">
        <f t="shared" si="120"/>
        <v>7705</v>
      </c>
      <c r="B7706" s="845" t="s">
        <v>2562</v>
      </c>
      <c r="D7706" s="862"/>
      <c r="H7706" s="845" t="s">
        <v>1007</v>
      </c>
    </row>
    <row r="7707" spans="1:10" x14ac:dyDescent="0.2">
      <c r="A7707" s="859">
        <f t="shared" si="120"/>
        <v>7706</v>
      </c>
      <c r="B7707" s="845" t="s">
        <v>2562</v>
      </c>
      <c r="D7707" s="862"/>
      <c r="I7707" s="845" t="s">
        <v>1008</v>
      </c>
    </row>
    <row r="7708" spans="1:10" x14ac:dyDescent="0.2">
      <c r="A7708" s="859">
        <f t="shared" si="120"/>
        <v>7707</v>
      </c>
      <c r="B7708" s="845" t="s">
        <v>2562</v>
      </c>
      <c r="D7708" s="861"/>
      <c r="J7708" s="845" t="s">
        <v>2146</v>
      </c>
    </row>
    <row r="7709" spans="1:10" x14ac:dyDescent="0.2">
      <c r="A7709" s="859">
        <f t="shared" si="120"/>
        <v>7708</v>
      </c>
      <c r="B7709" s="845" t="s">
        <v>2562</v>
      </c>
      <c r="D7709" s="861"/>
      <c r="I7709" s="845" t="s">
        <v>1009</v>
      </c>
    </row>
    <row r="7710" spans="1:10" x14ac:dyDescent="0.2">
      <c r="A7710" s="859">
        <f t="shared" si="120"/>
        <v>7709</v>
      </c>
      <c r="B7710" s="845" t="s">
        <v>2562</v>
      </c>
      <c r="D7710" s="862"/>
      <c r="I7710" s="845" t="str">
        <f>CONCATENATE("&lt;valeur&gt;",Cellule_2076,"&lt;/valeur&gt;")</f>
        <v>&lt;valeur&gt;&lt;/valeur&gt;</v>
      </c>
    </row>
    <row r="7711" spans="1:10" x14ac:dyDescent="0.2">
      <c r="A7711" s="859">
        <f t="shared" si="120"/>
        <v>7710</v>
      </c>
      <c r="B7711" s="845" t="s">
        <v>2562</v>
      </c>
      <c r="D7711" s="863"/>
      <c r="H7711" s="845" t="s">
        <v>1010</v>
      </c>
    </row>
    <row r="7712" spans="1:10" x14ac:dyDescent="0.2">
      <c r="A7712" s="859">
        <f t="shared" si="120"/>
        <v>7711</v>
      </c>
      <c r="B7712" s="845" t="s">
        <v>2562</v>
      </c>
      <c r="D7712" s="862"/>
      <c r="H7712" s="845" t="s">
        <v>1007</v>
      </c>
    </row>
    <row r="7713" spans="1:10" x14ac:dyDescent="0.2">
      <c r="A7713" s="859">
        <f t="shared" si="120"/>
        <v>7712</v>
      </c>
      <c r="B7713" s="845" t="s">
        <v>2562</v>
      </c>
      <c r="D7713" s="862"/>
      <c r="I7713" s="845" t="s">
        <v>1008</v>
      </c>
    </row>
    <row r="7714" spans="1:10" x14ac:dyDescent="0.2">
      <c r="A7714" s="859">
        <f t="shared" si="120"/>
        <v>7713</v>
      </c>
      <c r="B7714" s="845" t="s">
        <v>2562</v>
      </c>
      <c r="D7714" s="861"/>
      <c r="J7714" s="845" t="s">
        <v>2147</v>
      </c>
    </row>
    <row r="7715" spans="1:10" x14ac:dyDescent="0.2">
      <c r="A7715" s="859">
        <f t="shared" si="120"/>
        <v>7714</v>
      </c>
      <c r="B7715" s="845" t="s">
        <v>2562</v>
      </c>
      <c r="D7715" s="861"/>
      <c r="I7715" s="845" t="s">
        <v>1009</v>
      </c>
    </row>
    <row r="7716" spans="1:10" x14ac:dyDescent="0.2">
      <c r="A7716" s="859">
        <f t="shared" si="120"/>
        <v>7715</v>
      </c>
      <c r="B7716" s="845" t="s">
        <v>2562</v>
      </c>
      <c r="D7716" s="862"/>
      <c r="I7716" s="845" t="str">
        <f>CONCATENATE("&lt;valeur&gt;",Cellule_2081,"&lt;/valeur&gt;")</f>
        <v>&lt;valeur&gt;&lt;/valeur&gt;</v>
      </c>
    </row>
    <row r="7717" spans="1:10" x14ac:dyDescent="0.2">
      <c r="A7717" s="859">
        <f t="shared" si="120"/>
        <v>7716</v>
      </c>
      <c r="B7717" s="845" t="s">
        <v>2562</v>
      </c>
      <c r="D7717" s="863"/>
      <c r="H7717" s="845" t="s">
        <v>1010</v>
      </c>
    </row>
    <row r="7718" spans="1:10" x14ac:dyDescent="0.2">
      <c r="A7718" s="859">
        <f t="shared" si="120"/>
        <v>7717</v>
      </c>
      <c r="B7718" s="845" t="s">
        <v>2562</v>
      </c>
      <c r="D7718" s="862"/>
      <c r="H7718" s="845" t="s">
        <v>1007</v>
      </c>
    </row>
    <row r="7719" spans="1:10" x14ac:dyDescent="0.2">
      <c r="A7719" s="859">
        <f t="shared" si="120"/>
        <v>7718</v>
      </c>
      <c r="B7719" s="845" t="s">
        <v>2562</v>
      </c>
      <c r="D7719" s="862"/>
      <c r="I7719" s="845" t="s">
        <v>1008</v>
      </c>
    </row>
    <row r="7720" spans="1:10" x14ac:dyDescent="0.2">
      <c r="A7720" s="859">
        <f t="shared" si="120"/>
        <v>7719</v>
      </c>
      <c r="B7720" s="845" t="s">
        <v>2562</v>
      </c>
      <c r="D7720" s="861"/>
      <c r="J7720" s="845" t="s">
        <v>2148</v>
      </c>
    </row>
    <row r="7721" spans="1:10" x14ac:dyDescent="0.2">
      <c r="A7721" s="859">
        <f t="shared" si="120"/>
        <v>7720</v>
      </c>
      <c r="B7721" s="845" t="s">
        <v>2562</v>
      </c>
      <c r="D7721" s="861"/>
      <c r="I7721" s="845" t="s">
        <v>1009</v>
      </c>
    </row>
    <row r="7722" spans="1:10" x14ac:dyDescent="0.2">
      <c r="A7722" s="859">
        <f t="shared" si="120"/>
        <v>7721</v>
      </c>
      <c r="B7722" s="845" t="s">
        <v>2562</v>
      </c>
      <c r="D7722" s="862"/>
      <c r="I7722" s="845" t="str">
        <f>CONCATENATE("&lt;valeur&gt;",Cellule_2086,"&lt;/valeur&gt;")</f>
        <v>&lt;valeur&gt;0&lt;/valeur&gt;</v>
      </c>
    </row>
    <row r="7723" spans="1:10" x14ac:dyDescent="0.2">
      <c r="A7723" s="859">
        <f t="shared" si="120"/>
        <v>7722</v>
      </c>
      <c r="B7723" s="845" t="s">
        <v>2562</v>
      </c>
      <c r="D7723" s="863"/>
      <c r="H7723" s="845" t="s">
        <v>1010</v>
      </c>
    </row>
    <row r="7724" spans="1:10" x14ac:dyDescent="0.2">
      <c r="A7724" s="859">
        <f t="shared" si="120"/>
        <v>7723</v>
      </c>
      <c r="B7724" s="845" t="s">
        <v>2562</v>
      </c>
      <c r="D7724" s="862"/>
      <c r="H7724" s="845" t="s">
        <v>1007</v>
      </c>
    </row>
    <row r="7725" spans="1:10" x14ac:dyDescent="0.2">
      <c r="A7725" s="859">
        <f t="shared" si="120"/>
        <v>7724</v>
      </c>
      <c r="B7725" s="845" t="s">
        <v>2562</v>
      </c>
      <c r="D7725" s="862"/>
      <c r="I7725" s="845" t="s">
        <v>1008</v>
      </c>
    </row>
    <row r="7726" spans="1:10" x14ac:dyDescent="0.2">
      <c r="A7726" s="859">
        <f t="shared" si="120"/>
        <v>7725</v>
      </c>
      <c r="B7726" s="845" t="s">
        <v>2562</v>
      </c>
      <c r="D7726" s="861"/>
      <c r="J7726" s="845" t="s">
        <v>2149</v>
      </c>
    </row>
    <row r="7727" spans="1:10" x14ac:dyDescent="0.2">
      <c r="A7727" s="859">
        <f t="shared" si="120"/>
        <v>7726</v>
      </c>
      <c r="B7727" s="845" t="s">
        <v>2562</v>
      </c>
      <c r="D7727" s="861"/>
      <c r="I7727" s="845" t="s">
        <v>1009</v>
      </c>
    </row>
    <row r="7728" spans="1:10" x14ac:dyDescent="0.2">
      <c r="A7728" s="859">
        <f t="shared" si="120"/>
        <v>7727</v>
      </c>
      <c r="B7728" s="845" t="s">
        <v>2562</v>
      </c>
      <c r="D7728" s="862"/>
      <c r="I7728" s="845" t="str">
        <f>CONCATENATE("&lt;valeur&gt;",Cellule_2067,"&lt;/valeur&gt;")</f>
        <v>&lt;valeur&gt;0&lt;/valeur&gt;</v>
      </c>
    </row>
    <row r="7729" spans="1:10" x14ac:dyDescent="0.2">
      <c r="A7729" s="859">
        <f t="shared" si="120"/>
        <v>7728</v>
      </c>
      <c r="B7729" s="845" t="s">
        <v>2562</v>
      </c>
      <c r="D7729" s="863"/>
      <c r="H7729" s="845" t="s">
        <v>1010</v>
      </c>
    </row>
    <row r="7730" spans="1:10" x14ac:dyDescent="0.2">
      <c r="A7730" s="859">
        <f t="shared" si="120"/>
        <v>7729</v>
      </c>
      <c r="B7730" s="845" t="s">
        <v>2562</v>
      </c>
      <c r="D7730" s="862"/>
      <c r="H7730" s="845" t="s">
        <v>1007</v>
      </c>
    </row>
    <row r="7731" spans="1:10" x14ac:dyDescent="0.2">
      <c r="A7731" s="859">
        <f t="shared" si="120"/>
        <v>7730</v>
      </c>
      <c r="B7731" s="845" t="s">
        <v>2562</v>
      </c>
      <c r="D7731" s="924"/>
      <c r="I7731" s="845" t="s">
        <v>1008</v>
      </c>
    </row>
    <row r="7732" spans="1:10" x14ac:dyDescent="0.2">
      <c r="A7732" s="859">
        <f t="shared" si="120"/>
        <v>7731</v>
      </c>
      <c r="B7732" s="845" t="s">
        <v>2562</v>
      </c>
      <c r="D7732" s="861"/>
      <c r="J7732" s="845" t="s">
        <v>2150</v>
      </c>
    </row>
    <row r="7733" spans="1:10" x14ac:dyDescent="0.2">
      <c r="A7733" s="859">
        <f t="shared" si="120"/>
        <v>7732</v>
      </c>
      <c r="B7733" s="845" t="s">
        <v>2562</v>
      </c>
      <c r="D7733" s="861"/>
      <c r="I7733" s="845" t="s">
        <v>1009</v>
      </c>
    </row>
    <row r="7734" spans="1:10" x14ac:dyDescent="0.2">
      <c r="A7734" s="859">
        <f t="shared" si="120"/>
        <v>7733</v>
      </c>
      <c r="B7734" s="845" t="s">
        <v>2562</v>
      </c>
      <c r="D7734" s="862"/>
      <c r="I7734" s="845" t="str">
        <f>CONCATENATE("&lt;valeur&gt;",Cellule_2072,"&lt;/valeur&gt;")</f>
        <v>&lt;valeur&gt;0&lt;/valeur&gt;</v>
      </c>
    </row>
    <row r="7735" spans="1:10" x14ac:dyDescent="0.2">
      <c r="A7735" s="859">
        <f t="shared" si="120"/>
        <v>7734</v>
      </c>
      <c r="B7735" s="845" t="s">
        <v>2562</v>
      </c>
      <c r="D7735" s="863"/>
      <c r="H7735" s="845" t="s">
        <v>1010</v>
      </c>
    </row>
    <row r="7736" spans="1:10" x14ac:dyDescent="0.2">
      <c r="A7736" s="859">
        <f t="shared" si="120"/>
        <v>7735</v>
      </c>
      <c r="B7736" s="845" t="s">
        <v>2562</v>
      </c>
      <c r="D7736" s="862"/>
      <c r="H7736" s="845" t="s">
        <v>1007</v>
      </c>
    </row>
    <row r="7737" spans="1:10" x14ac:dyDescent="0.2">
      <c r="A7737" s="859">
        <f t="shared" si="120"/>
        <v>7736</v>
      </c>
      <c r="B7737" s="845" t="s">
        <v>2562</v>
      </c>
      <c r="D7737" s="862"/>
      <c r="I7737" s="845" t="s">
        <v>1008</v>
      </c>
    </row>
    <row r="7738" spans="1:10" x14ac:dyDescent="0.2">
      <c r="A7738" s="859">
        <f t="shared" si="120"/>
        <v>7737</v>
      </c>
      <c r="B7738" s="845" t="s">
        <v>2562</v>
      </c>
      <c r="D7738" s="861"/>
      <c r="J7738" s="845" t="s">
        <v>2151</v>
      </c>
    </row>
    <row r="7739" spans="1:10" x14ac:dyDescent="0.2">
      <c r="A7739" s="859">
        <f t="shared" si="120"/>
        <v>7738</v>
      </c>
      <c r="B7739" s="845" t="s">
        <v>2562</v>
      </c>
      <c r="D7739" s="861"/>
      <c r="I7739" s="845" t="s">
        <v>1009</v>
      </c>
    </row>
    <row r="7740" spans="1:10" x14ac:dyDescent="0.2">
      <c r="A7740" s="859">
        <f t="shared" si="120"/>
        <v>7739</v>
      </c>
      <c r="B7740" s="845" t="s">
        <v>2562</v>
      </c>
      <c r="D7740" s="862"/>
      <c r="I7740" s="845" t="str">
        <f>CONCATENATE("&lt;valeur&gt;",Cellule_2077,"&lt;/valeur&gt;")</f>
        <v>&lt;valeur&gt;&lt;/valeur&gt;</v>
      </c>
    </row>
    <row r="7741" spans="1:10" x14ac:dyDescent="0.2">
      <c r="A7741" s="859">
        <f t="shared" si="120"/>
        <v>7740</v>
      </c>
      <c r="B7741" s="845" t="s">
        <v>2562</v>
      </c>
      <c r="D7741" s="863"/>
      <c r="H7741" s="845" t="s">
        <v>1010</v>
      </c>
    </row>
    <row r="7742" spans="1:10" x14ac:dyDescent="0.2">
      <c r="A7742" s="859">
        <f t="shared" si="120"/>
        <v>7741</v>
      </c>
      <c r="B7742" s="845" t="s">
        <v>2562</v>
      </c>
      <c r="D7742" s="862"/>
      <c r="H7742" s="845" t="s">
        <v>1007</v>
      </c>
    </row>
    <row r="7743" spans="1:10" x14ac:dyDescent="0.2">
      <c r="A7743" s="859">
        <f t="shared" si="120"/>
        <v>7742</v>
      </c>
      <c r="B7743" s="845" t="s">
        <v>2562</v>
      </c>
      <c r="D7743" s="862"/>
      <c r="I7743" s="845" t="s">
        <v>1008</v>
      </c>
    </row>
    <row r="7744" spans="1:10" x14ac:dyDescent="0.2">
      <c r="A7744" s="859">
        <f t="shared" si="120"/>
        <v>7743</v>
      </c>
      <c r="B7744" s="845" t="s">
        <v>2562</v>
      </c>
      <c r="D7744" s="861"/>
      <c r="J7744" s="845" t="s">
        <v>2152</v>
      </c>
    </row>
    <row r="7745" spans="1:10" x14ac:dyDescent="0.2">
      <c r="A7745" s="859">
        <f t="shared" si="120"/>
        <v>7744</v>
      </c>
      <c r="B7745" s="845" t="s">
        <v>2562</v>
      </c>
      <c r="D7745" s="861"/>
      <c r="I7745" s="845" t="s">
        <v>1009</v>
      </c>
    </row>
    <row r="7746" spans="1:10" x14ac:dyDescent="0.2">
      <c r="A7746" s="859">
        <f t="shared" si="120"/>
        <v>7745</v>
      </c>
      <c r="B7746" s="845" t="s">
        <v>2562</v>
      </c>
      <c r="D7746" s="862"/>
      <c r="I7746" s="845" t="str">
        <f>CONCATENATE("&lt;valeur&gt;",Cellule_2082,"&lt;/valeur&gt;")</f>
        <v>&lt;valeur&gt;&lt;/valeur&gt;</v>
      </c>
    </row>
    <row r="7747" spans="1:10" x14ac:dyDescent="0.2">
      <c r="A7747" s="859">
        <f t="shared" si="120"/>
        <v>7746</v>
      </c>
      <c r="B7747" s="845" t="s">
        <v>2562</v>
      </c>
      <c r="D7747" s="863"/>
      <c r="H7747" s="845" t="s">
        <v>1010</v>
      </c>
    </row>
    <row r="7748" spans="1:10" x14ac:dyDescent="0.2">
      <c r="A7748" s="859">
        <f t="shared" ref="A7748:A7811" si="121">+A7747+1</f>
        <v>7747</v>
      </c>
      <c r="B7748" s="845" t="s">
        <v>2562</v>
      </c>
      <c r="D7748" s="862"/>
      <c r="H7748" s="845" t="s">
        <v>1007</v>
      </c>
    </row>
    <row r="7749" spans="1:10" x14ac:dyDescent="0.2">
      <c r="A7749" s="859">
        <f t="shared" si="121"/>
        <v>7748</v>
      </c>
      <c r="B7749" s="845" t="s">
        <v>2562</v>
      </c>
      <c r="D7749" s="862"/>
      <c r="I7749" s="845" t="s">
        <v>1008</v>
      </c>
    </row>
    <row r="7750" spans="1:10" x14ac:dyDescent="0.2">
      <c r="A7750" s="859">
        <f t="shared" si="121"/>
        <v>7749</v>
      </c>
      <c r="B7750" s="845" t="s">
        <v>2562</v>
      </c>
      <c r="D7750" s="861"/>
      <c r="J7750" s="845" t="s">
        <v>2153</v>
      </c>
    </row>
    <row r="7751" spans="1:10" x14ac:dyDescent="0.2">
      <c r="A7751" s="859">
        <f t="shared" si="121"/>
        <v>7750</v>
      </c>
      <c r="B7751" s="845" t="s">
        <v>2562</v>
      </c>
      <c r="D7751" s="860"/>
      <c r="I7751" s="845" t="s">
        <v>1009</v>
      </c>
    </row>
    <row r="7752" spans="1:10" x14ac:dyDescent="0.2">
      <c r="A7752" s="859">
        <f t="shared" si="121"/>
        <v>7751</v>
      </c>
      <c r="B7752" s="845" t="s">
        <v>2562</v>
      </c>
      <c r="D7752" s="860"/>
      <c r="I7752" s="845" t="str">
        <f>CONCATENATE("&lt;valeur&gt;",Cellule_2087,"&lt;/valeur&gt;")</f>
        <v>&lt;valeur&gt;0&lt;/valeur&gt;</v>
      </c>
    </row>
    <row r="7753" spans="1:10" x14ac:dyDescent="0.2">
      <c r="A7753" s="859">
        <f t="shared" si="121"/>
        <v>7752</v>
      </c>
      <c r="B7753" s="845" t="s">
        <v>2562</v>
      </c>
      <c r="D7753" s="857"/>
      <c r="H7753" s="845" t="s">
        <v>1010</v>
      </c>
    </row>
    <row r="7754" spans="1:10" x14ac:dyDescent="0.2">
      <c r="A7754" s="859">
        <f t="shared" si="121"/>
        <v>7753</v>
      </c>
      <c r="B7754" s="845" t="s">
        <v>2562</v>
      </c>
      <c r="D7754" s="857"/>
      <c r="H7754" s="845" t="s">
        <v>1007</v>
      </c>
    </row>
    <row r="7755" spans="1:10" x14ac:dyDescent="0.2">
      <c r="A7755" s="859">
        <f t="shared" si="121"/>
        <v>7754</v>
      </c>
      <c r="B7755" s="845" t="s">
        <v>2562</v>
      </c>
      <c r="D7755" s="860"/>
      <c r="I7755" s="845" t="s">
        <v>1008</v>
      </c>
    </row>
    <row r="7756" spans="1:10" x14ac:dyDescent="0.2">
      <c r="A7756" s="859">
        <f t="shared" si="121"/>
        <v>7755</v>
      </c>
      <c r="B7756" s="845" t="s">
        <v>2562</v>
      </c>
      <c r="D7756" s="861"/>
      <c r="J7756" s="845" t="s">
        <v>2154</v>
      </c>
    </row>
    <row r="7757" spans="1:10" x14ac:dyDescent="0.2">
      <c r="A7757" s="859">
        <f t="shared" si="121"/>
        <v>7756</v>
      </c>
      <c r="B7757" s="845" t="s">
        <v>2562</v>
      </c>
      <c r="D7757" s="860"/>
      <c r="I7757" s="845" t="s">
        <v>1009</v>
      </c>
    </row>
    <row r="7758" spans="1:10" x14ac:dyDescent="0.2">
      <c r="A7758" s="859">
        <f t="shared" si="121"/>
        <v>7757</v>
      </c>
      <c r="B7758" s="845" t="s">
        <v>2562</v>
      </c>
      <c r="D7758" s="860"/>
      <c r="I7758" s="845" t="str">
        <f>CONCATENATE("&lt;valeur&gt;",Cellule_2068,"&lt;/valeur&gt;")</f>
        <v>&lt;valeur&gt;0&lt;/valeur&gt;</v>
      </c>
    </row>
    <row r="7759" spans="1:10" x14ac:dyDescent="0.2">
      <c r="A7759" s="859">
        <f t="shared" si="121"/>
        <v>7758</v>
      </c>
      <c r="B7759" s="845" t="s">
        <v>2562</v>
      </c>
      <c r="D7759" s="861"/>
      <c r="H7759" s="845" t="s">
        <v>1010</v>
      </c>
    </row>
    <row r="7760" spans="1:10" x14ac:dyDescent="0.2">
      <c r="A7760" s="859">
        <f t="shared" si="121"/>
        <v>7759</v>
      </c>
      <c r="B7760" s="845" t="s">
        <v>2562</v>
      </c>
      <c r="D7760" s="862"/>
      <c r="H7760" s="845" t="s">
        <v>1007</v>
      </c>
    </row>
    <row r="7761" spans="1:10" x14ac:dyDescent="0.2">
      <c r="A7761" s="859">
        <f t="shared" si="121"/>
        <v>7760</v>
      </c>
      <c r="B7761" s="845" t="s">
        <v>2562</v>
      </c>
      <c r="D7761" s="863"/>
      <c r="I7761" s="845" t="s">
        <v>1008</v>
      </c>
    </row>
    <row r="7762" spans="1:10" x14ac:dyDescent="0.2">
      <c r="A7762" s="859">
        <f t="shared" si="121"/>
        <v>7761</v>
      </c>
      <c r="B7762" s="845" t="s">
        <v>2562</v>
      </c>
      <c r="D7762" s="862"/>
      <c r="J7762" s="845" t="s">
        <v>2155</v>
      </c>
    </row>
    <row r="7763" spans="1:10" x14ac:dyDescent="0.2">
      <c r="A7763" s="859">
        <f t="shared" si="121"/>
        <v>7762</v>
      </c>
      <c r="B7763" s="845" t="s">
        <v>2562</v>
      </c>
      <c r="D7763" s="862"/>
      <c r="I7763" s="845" t="s">
        <v>1009</v>
      </c>
    </row>
    <row r="7764" spans="1:10" x14ac:dyDescent="0.2">
      <c r="A7764" s="859">
        <f t="shared" si="121"/>
        <v>7763</v>
      </c>
      <c r="B7764" s="845" t="s">
        <v>2562</v>
      </c>
      <c r="D7764" s="861"/>
      <c r="I7764" s="845" t="str">
        <f>CONCATENATE("&lt;valeur&gt;",Cellule_2073,"&lt;/valeur&gt;")</f>
        <v>&lt;valeur&gt;0&lt;/valeur&gt;</v>
      </c>
    </row>
    <row r="7765" spans="1:10" x14ac:dyDescent="0.2">
      <c r="A7765" s="859">
        <f t="shared" si="121"/>
        <v>7764</v>
      </c>
      <c r="B7765" s="845" t="s">
        <v>2562</v>
      </c>
      <c r="D7765" s="861"/>
      <c r="H7765" s="845" t="s">
        <v>1010</v>
      </c>
    </row>
    <row r="7766" spans="1:10" x14ac:dyDescent="0.2">
      <c r="A7766" s="859">
        <f t="shared" si="121"/>
        <v>7765</v>
      </c>
      <c r="B7766" s="845" t="s">
        <v>2562</v>
      </c>
      <c r="D7766" s="862"/>
      <c r="H7766" s="845" t="s">
        <v>1007</v>
      </c>
    </row>
    <row r="7767" spans="1:10" x14ac:dyDescent="0.2">
      <c r="A7767" s="859">
        <f t="shared" si="121"/>
        <v>7766</v>
      </c>
      <c r="B7767" s="845" t="s">
        <v>2562</v>
      </c>
      <c r="D7767" s="863"/>
      <c r="I7767" s="845" t="s">
        <v>1008</v>
      </c>
    </row>
    <row r="7768" spans="1:10" x14ac:dyDescent="0.2">
      <c r="A7768" s="859">
        <f t="shared" si="121"/>
        <v>7767</v>
      </c>
      <c r="B7768" s="845" t="s">
        <v>2562</v>
      </c>
      <c r="D7768" s="862"/>
      <c r="J7768" s="845" t="s">
        <v>2156</v>
      </c>
    </row>
    <row r="7769" spans="1:10" x14ac:dyDescent="0.2">
      <c r="A7769" s="859">
        <f t="shared" si="121"/>
        <v>7768</v>
      </c>
      <c r="B7769" s="845" t="s">
        <v>2562</v>
      </c>
      <c r="D7769" s="862"/>
      <c r="I7769" s="845" t="s">
        <v>1009</v>
      </c>
    </row>
    <row r="7770" spans="1:10" x14ac:dyDescent="0.2">
      <c r="A7770" s="859">
        <f t="shared" si="121"/>
        <v>7769</v>
      </c>
      <c r="B7770" s="845" t="s">
        <v>2562</v>
      </c>
      <c r="D7770" s="861"/>
      <c r="I7770" s="845" t="str">
        <f>CONCATENATE("&lt;valeur&gt;",Cellule_2078,"&lt;/valeur&gt;")</f>
        <v>&lt;valeur&gt;0&lt;/valeur&gt;</v>
      </c>
    </row>
    <row r="7771" spans="1:10" x14ac:dyDescent="0.2">
      <c r="A7771" s="859">
        <f t="shared" si="121"/>
        <v>7770</v>
      </c>
      <c r="B7771" s="845" t="s">
        <v>2562</v>
      </c>
      <c r="D7771" s="861"/>
      <c r="H7771" s="845" t="s">
        <v>1010</v>
      </c>
    </row>
    <row r="7772" spans="1:10" x14ac:dyDescent="0.2">
      <c r="A7772" s="859">
        <f t="shared" si="121"/>
        <v>7771</v>
      </c>
      <c r="B7772" s="845" t="s">
        <v>2562</v>
      </c>
      <c r="D7772" s="862"/>
      <c r="H7772" s="845" t="s">
        <v>1007</v>
      </c>
    </row>
    <row r="7773" spans="1:10" x14ac:dyDescent="0.2">
      <c r="A7773" s="859">
        <f t="shared" si="121"/>
        <v>7772</v>
      </c>
      <c r="B7773" s="845" t="s">
        <v>2562</v>
      </c>
      <c r="D7773" s="863"/>
      <c r="I7773" s="845" t="s">
        <v>1008</v>
      </c>
    </row>
    <row r="7774" spans="1:10" x14ac:dyDescent="0.2">
      <c r="A7774" s="859">
        <f t="shared" si="121"/>
        <v>7773</v>
      </c>
      <c r="B7774" s="845" t="s">
        <v>2562</v>
      </c>
      <c r="D7774" s="862"/>
      <c r="J7774" s="845" t="s">
        <v>2157</v>
      </c>
    </row>
    <row r="7775" spans="1:10" x14ac:dyDescent="0.2">
      <c r="A7775" s="859">
        <f t="shared" si="121"/>
        <v>7774</v>
      </c>
      <c r="B7775" s="845" t="s">
        <v>2562</v>
      </c>
      <c r="D7775" s="862"/>
      <c r="I7775" s="845" t="s">
        <v>1009</v>
      </c>
    </row>
    <row r="7776" spans="1:10" x14ac:dyDescent="0.2">
      <c r="A7776" s="859">
        <f t="shared" si="121"/>
        <v>7775</v>
      </c>
      <c r="B7776" s="845" t="s">
        <v>2562</v>
      </c>
      <c r="D7776" s="861"/>
      <c r="I7776" s="845" t="str">
        <f>CONCATENATE("&lt;valeur&gt;",Cellule_2083,"&lt;/valeur&gt;")</f>
        <v>&lt;valeur&gt;0&lt;/valeur&gt;</v>
      </c>
    </row>
    <row r="7777" spans="1:10" x14ac:dyDescent="0.2">
      <c r="A7777" s="859">
        <f t="shared" si="121"/>
        <v>7776</v>
      </c>
      <c r="B7777" s="845" t="s">
        <v>2562</v>
      </c>
      <c r="D7777" s="861"/>
      <c r="H7777" s="845" t="s">
        <v>1010</v>
      </c>
    </row>
    <row r="7778" spans="1:10" x14ac:dyDescent="0.2">
      <c r="A7778" s="859">
        <f t="shared" si="121"/>
        <v>7777</v>
      </c>
      <c r="B7778" s="845" t="s">
        <v>2562</v>
      </c>
      <c r="D7778" s="862"/>
      <c r="H7778" s="845" t="s">
        <v>1007</v>
      </c>
    </row>
    <row r="7779" spans="1:10" x14ac:dyDescent="0.2">
      <c r="A7779" s="859">
        <f t="shared" si="121"/>
        <v>7778</v>
      </c>
      <c r="B7779" s="845" t="s">
        <v>2562</v>
      </c>
      <c r="D7779" s="863"/>
      <c r="I7779" s="845" t="s">
        <v>1008</v>
      </c>
    </row>
    <row r="7780" spans="1:10" x14ac:dyDescent="0.2">
      <c r="A7780" s="859">
        <f t="shared" si="121"/>
        <v>7779</v>
      </c>
      <c r="B7780" s="845" t="s">
        <v>2562</v>
      </c>
      <c r="D7780" s="862"/>
      <c r="J7780" s="845" t="s">
        <v>2158</v>
      </c>
    </row>
    <row r="7781" spans="1:10" x14ac:dyDescent="0.2">
      <c r="A7781" s="859">
        <f t="shared" si="121"/>
        <v>7780</v>
      </c>
      <c r="B7781" s="845" t="s">
        <v>2562</v>
      </c>
      <c r="D7781" s="862"/>
      <c r="I7781" s="845" t="s">
        <v>1009</v>
      </c>
    </row>
    <row r="7782" spans="1:10" x14ac:dyDescent="0.2">
      <c r="A7782" s="859">
        <f t="shared" si="121"/>
        <v>7781</v>
      </c>
      <c r="B7782" s="845" t="s">
        <v>2562</v>
      </c>
      <c r="D7782" s="861"/>
      <c r="I7782" s="845" t="str">
        <f>CONCATENATE("&lt;valeur&gt;",Cellule_2088,"&lt;/valeur&gt;")</f>
        <v>&lt;valeur&gt;0&lt;/valeur&gt;</v>
      </c>
    </row>
    <row r="7783" spans="1:10" x14ac:dyDescent="0.2">
      <c r="A7783" s="859">
        <f t="shared" si="121"/>
        <v>7782</v>
      </c>
      <c r="B7783" s="845" t="s">
        <v>2562</v>
      </c>
      <c r="D7783" s="861"/>
      <c r="H7783" s="845" t="s">
        <v>1010</v>
      </c>
    </row>
    <row r="7784" spans="1:10" x14ac:dyDescent="0.2">
      <c r="A7784" s="859">
        <f t="shared" si="121"/>
        <v>7783</v>
      </c>
      <c r="B7784" s="845" t="s">
        <v>2562</v>
      </c>
      <c r="D7784" s="862"/>
      <c r="G7784" s="845" t="s">
        <v>1011</v>
      </c>
    </row>
    <row r="7785" spans="1:10" x14ac:dyDescent="0.2">
      <c r="A7785" s="859">
        <f t="shared" si="121"/>
        <v>7784</v>
      </c>
      <c r="B7785" s="845" t="s">
        <v>2562</v>
      </c>
      <c r="D7785" s="862"/>
      <c r="G7785" s="845" t="s">
        <v>1012</v>
      </c>
    </row>
    <row r="7786" spans="1:10" x14ac:dyDescent="0.2">
      <c r="A7786" s="859">
        <f t="shared" si="121"/>
        <v>7785</v>
      </c>
      <c r="B7786" s="845" t="s">
        <v>2562</v>
      </c>
      <c r="D7786" s="862"/>
      <c r="G7786" s="845" t="s">
        <v>1013</v>
      </c>
    </row>
    <row r="7787" spans="1:10" x14ac:dyDescent="0.2">
      <c r="A7787" s="859">
        <f t="shared" si="121"/>
        <v>7786</v>
      </c>
      <c r="B7787" s="845" t="s">
        <v>2562</v>
      </c>
      <c r="D7787" s="861"/>
      <c r="F7787" s="845" t="s">
        <v>1014</v>
      </c>
    </row>
    <row r="7788" spans="1:10" x14ac:dyDescent="0.2">
      <c r="A7788" s="859">
        <f t="shared" si="121"/>
        <v>7787</v>
      </c>
      <c r="B7788" s="845" t="s">
        <v>2621</v>
      </c>
      <c r="D7788" s="863"/>
      <c r="F7788" s="845" t="s">
        <v>1005</v>
      </c>
    </row>
    <row r="7789" spans="1:10" x14ac:dyDescent="0.2">
      <c r="A7789" s="859">
        <f t="shared" si="121"/>
        <v>7788</v>
      </c>
      <c r="B7789" s="845" t="s">
        <v>2621</v>
      </c>
      <c r="D7789" s="862"/>
      <c r="G7789" s="845" t="s">
        <v>2622</v>
      </c>
    </row>
    <row r="7790" spans="1:10" x14ac:dyDescent="0.2">
      <c r="A7790" s="859">
        <f t="shared" si="121"/>
        <v>7789</v>
      </c>
      <c r="B7790" s="845" t="s">
        <v>2621</v>
      </c>
      <c r="D7790" s="862"/>
      <c r="G7790" s="845" t="s">
        <v>1006</v>
      </c>
    </row>
    <row r="7791" spans="1:10" x14ac:dyDescent="0.2">
      <c r="A7791" s="859">
        <f t="shared" si="121"/>
        <v>7790</v>
      </c>
      <c r="B7791" s="990" t="s">
        <v>2621</v>
      </c>
      <c r="C7791" s="990"/>
      <c r="D7791" s="998"/>
      <c r="E7791" s="990"/>
      <c r="F7791" s="990"/>
      <c r="G7791" s="990"/>
      <c r="H7791" s="990" t="s">
        <v>1007</v>
      </c>
      <c r="I7791" s="990"/>
      <c r="J7791" s="986"/>
    </row>
    <row r="7792" spans="1:10" x14ac:dyDescent="0.2">
      <c r="A7792" s="859">
        <f t="shared" si="121"/>
        <v>7791</v>
      </c>
      <c r="B7792" s="845" t="s">
        <v>2621</v>
      </c>
      <c r="D7792" s="861"/>
      <c r="I7792" s="845" t="s">
        <v>2623</v>
      </c>
      <c r="J7792" s="989"/>
    </row>
    <row r="7793" spans="1:10" x14ac:dyDescent="0.2">
      <c r="A7793" s="859">
        <f t="shared" si="121"/>
        <v>7792</v>
      </c>
      <c r="B7793" s="845" t="s">
        <v>2621</v>
      </c>
      <c r="D7793" s="862"/>
      <c r="I7793" s="845" t="str">
        <f>CONCATENATE("&lt;valeur&gt;",Cellule_2094_1,"&lt;/valeur&gt;")</f>
        <v>&lt;valeur&gt;salaheddine karim&lt;/valeur&gt;</v>
      </c>
      <c r="J7793" s="989"/>
    </row>
    <row r="7794" spans="1:10" x14ac:dyDescent="0.2">
      <c r="A7794" s="859">
        <f t="shared" si="121"/>
        <v>7793</v>
      </c>
      <c r="B7794" s="845" t="s">
        <v>2621</v>
      </c>
      <c r="D7794" s="863"/>
      <c r="I7794" s="845" t="s">
        <v>1249</v>
      </c>
      <c r="J7794" s="989"/>
    </row>
    <row r="7795" spans="1:10" x14ac:dyDescent="0.2">
      <c r="A7795" s="859">
        <f t="shared" si="121"/>
        <v>7794</v>
      </c>
      <c r="B7795" s="845" t="s">
        <v>2621</v>
      </c>
      <c r="D7795" s="862"/>
      <c r="H7795" s="845" t="s">
        <v>1010</v>
      </c>
      <c r="J7795" s="989"/>
    </row>
    <row r="7796" spans="1:10" x14ac:dyDescent="0.2">
      <c r="A7796" s="859">
        <f t="shared" si="121"/>
        <v>7795</v>
      </c>
      <c r="B7796" s="845" t="s">
        <v>2621</v>
      </c>
      <c r="D7796" s="862"/>
      <c r="H7796" s="845" t="s">
        <v>1007</v>
      </c>
      <c r="J7796" s="989"/>
    </row>
    <row r="7797" spans="1:10" x14ac:dyDescent="0.2">
      <c r="A7797" s="859">
        <f t="shared" si="121"/>
        <v>7796</v>
      </c>
      <c r="B7797" s="845" t="s">
        <v>2621</v>
      </c>
      <c r="D7797" s="861"/>
      <c r="I7797" s="845" t="s">
        <v>2624</v>
      </c>
      <c r="J7797" s="989"/>
    </row>
    <row r="7798" spans="1:10" x14ac:dyDescent="0.2">
      <c r="A7798" s="859">
        <f t="shared" si="121"/>
        <v>7797</v>
      </c>
      <c r="B7798" s="845" t="s">
        <v>2621</v>
      </c>
      <c r="D7798" s="861"/>
      <c r="I7798" s="845" t="str">
        <f>CONCATENATE("&lt;valeur&gt;",Cellule_13536_1,"&lt;/valeur&gt;")</f>
        <v>&lt;valeur&gt;&lt;/valeur&gt;</v>
      </c>
      <c r="J7798" s="989"/>
    </row>
    <row r="7799" spans="1:10" x14ac:dyDescent="0.2">
      <c r="A7799" s="859">
        <f t="shared" si="121"/>
        <v>7798</v>
      </c>
      <c r="B7799" s="845" t="s">
        <v>2621</v>
      </c>
      <c r="D7799" s="862"/>
      <c r="I7799" s="845" t="s">
        <v>1249</v>
      </c>
      <c r="J7799" s="989"/>
    </row>
    <row r="7800" spans="1:10" x14ac:dyDescent="0.2">
      <c r="A7800" s="859">
        <f t="shared" si="121"/>
        <v>7799</v>
      </c>
      <c r="B7800" s="845" t="s">
        <v>2621</v>
      </c>
      <c r="D7800" s="863"/>
      <c r="H7800" s="845" t="s">
        <v>1010</v>
      </c>
      <c r="J7800" s="989"/>
    </row>
    <row r="7801" spans="1:10" x14ac:dyDescent="0.2">
      <c r="A7801" s="859">
        <f t="shared" si="121"/>
        <v>7800</v>
      </c>
      <c r="B7801" s="845" t="s">
        <v>2621</v>
      </c>
      <c r="D7801" s="862"/>
      <c r="H7801" s="845" t="s">
        <v>1007</v>
      </c>
      <c r="J7801" s="989"/>
    </row>
    <row r="7802" spans="1:10" x14ac:dyDescent="0.2">
      <c r="A7802" s="859">
        <f t="shared" si="121"/>
        <v>7801</v>
      </c>
      <c r="B7802" s="845" t="s">
        <v>2621</v>
      </c>
      <c r="D7802" s="862"/>
      <c r="I7802" s="845" t="s">
        <v>2625</v>
      </c>
      <c r="J7802" s="989"/>
    </row>
    <row r="7803" spans="1:10" x14ac:dyDescent="0.2">
      <c r="A7803" s="859">
        <f t="shared" si="121"/>
        <v>7802</v>
      </c>
      <c r="B7803" s="845" t="s">
        <v>2621</v>
      </c>
      <c r="D7803" s="861"/>
      <c r="I7803" s="845" t="str">
        <f>CONCATENATE("&lt;valeur&gt;",Cellule_13537_1,"&lt;/valeur&gt;")</f>
        <v>&lt;valeur&gt;BE742397&lt;/valeur&gt;</v>
      </c>
      <c r="J7803" s="989"/>
    </row>
    <row r="7804" spans="1:10" x14ac:dyDescent="0.2">
      <c r="A7804" s="859">
        <f t="shared" si="121"/>
        <v>7803</v>
      </c>
      <c r="B7804" s="845" t="s">
        <v>2621</v>
      </c>
      <c r="D7804" s="861"/>
      <c r="I7804" s="845" t="s">
        <v>1249</v>
      </c>
      <c r="J7804" s="989"/>
    </row>
    <row r="7805" spans="1:10" x14ac:dyDescent="0.2">
      <c r="A7805" s="859">
        <f t="shared" si="121"/>
        <v>7804</v>
      </c>
      <c r="B7805" s="845" t="s">
        <v>2621</v>
      </c>
      <c r="D7805" s="862"/>
      <c r="H7805" s="845" t="s">
        <v>1010</v>
      </c>
      <c r="J7805" s="989"/>
    </row>
    <row r="7806" spans="1:10" x14ac:dyDescent="0.2">
      <c r="A7806" s="859">
        <f t="shared" si="121"/>
        <v>7805</v>
      </c>
      <c r="B7806" s="845" t="s">
        <v>2621</v>
      </c>
      <c r="D7806" s="863"/>
      <c r="H7806" s="845" t="s">
        <v>1007</v>
      </c>
      <c r="J7806" s="989"/>
    </row>
    <row r="7807" spans="1:10" x14ac:dyDescent="0.2">
      <c r="A7807" s="859">
        <f t="shared" si="121"/>
        <v>7806</v>
      </c>
      <c r="B7807" s="845" t="s">
        <v>2621</v>
      </c>
      <c r="D7807" s="862"/>
      <c r="I7807" s="845" t="s">
        <v>2626</v>
      </c>
      <c r="J7807" s="989"/>
    </row>
    <row r="7808" spans="1:10" x14ac:dyDescent="0.2">
      <c r="A7808" s="859">
        <f t="shared" si="121"/>
        <v>7807</v>
      </c>
      <c r="B7808" s="845" t="s">
        <v>2621</v>
      </c>
      <c r="D7808" s="862"/>
      <c r="I7808" s="845" t="str">
        <f>CONCATENATE("&lt;valeur&gt;",Cellule_2095_1,"&lt;/valeur&gt;")</f>
        <v>&lt;valeur&gt;CASABLANCA &lt;/valeur&gt;</v>
      </c>
      <c r="J7808" s="989"/>
    </row>
    <row r="7809" spans="1:10" x14ac:dyDescent="0.2">
      <c r="A7809" s="859">
        <f t="shared" si="121"/>
        <v>7808</v>
      </c>
      <c r="B7809" s="845" t="s">
        <v>2621</v>
      </c>
      <c r="D7809" s="861"/>
      <c r="I7809" s="845" t="s">
        <v>1249</v>
      </c>
      <c r="J7809" s="989"/>
    </row>
    <row r="7810" spans="1:10" x14ac:dyDescent="0.2">
      <c r="A7810" s="859">
        <f t="shared" si="121"/>
        <v>7809</v>
      </c>
      <c r="B7810" s="845" t="s">
        <v>2621</v>
      </c>
      <c r="D7810" s="861"/>
      <c r="H7810" s="847" t="s">
        <v>1010</v>
      </c>
      <c r="J7810" s="989"/>
    </row>
    <row r="7811" spans="1:10" x14ac:dyDescent="0.2">
      <c r="A7811" s="859">
        <f t="shared" si="121"/>
        <v>7810</v>
      </c>
      <c r="B7811" s="845" t="s">
        <v>2621</v>
      </c>
      <c r="D7811" s="862"/>
      <c r="H7811" s="845" t="s">
        <v>1007</v>
      </c>
      <c r="J7811" s="989"/>
    </row>
    <row r="7812" spans="1:10" x14ac:dyDescent="0.2">
      <c r="A7812" s="859">
        <f t="shared" ref="A7812:A7875" si="122">+A7811+1</f>
        <v>7811</v>
      </c>
      <c r="B7812" s="845" t="s">
        <v>2621</v>
      </c>
      <c r="D7812" s="863"/>
      <c r="I7812" s="845" t="s">
        <v>2627</v>
      </c>
      <c r="J7812" s="989"/>
    </row>
    <row r="7813" spans="1:10" x14ac:dyDescent="0.2">
      <c r="A7813" s="859">
        <f t="shared" si="122"/>
        <v>7812</v>
      </c>
      <c r="B7813" s="845" t="s">
        <v>2621</v>
      </c>
      <c r="D7813" s="862"/>
      <c r="I7813" s="845" t="str">
        <f>CONCATENATE("&lt;valeur&gt;",Cellule_2096_1,"&lt;/valeur&gt;")</f>
        <v>&lt;valeur&gt;1000&lt;/valeur&gt;</v>
      </c>
      <c r="J7813" s="989"/>
    </row>
    <row r="7814" spans="1:10" x14ac:dyDescent="0.2">
      <c r="A7814" s="859">
        <f t="shared" si="122"/>
        <v>7813</v>
      </c>
      <c r="B7814" s="845" t="s">
        <v>2621</v>
      </c>
      <c r="D7814" s="862"/>
      <c r="I7814" s="845" t="s">
        <v>1249</v>
      </c>
      <c r="J7814" s="989"/>
    </row>
    <row r="7815" spans="1:10" x14ac:dyDescent="0.2">
      <c r="A7815" s="859">
        <f t="shared" si="122"/>
        <v>7814</v>
      </c>
      <c r="B7815" s="845" t="s">
        <v>2621</v>
      </c>
      <c r="D7815" s="861"/>
      <c r="H7815" s="845" t="s">
        <v>1010</v>
      </c>
      <c r="J7815" s="989"/>
    </row>
    <row r="7816" spans="1:10" x14ac:dyDescent="0.2">
      <c r="A7816" s="859">
        <f t="shared" si="122"/>
        <v>7815</v>
      </c>
      <c r="B7816" s="845" t="s">
        <v>2621</v>
      </c>
      <c r="D7816" s="861"/>
      <c r="H7816" s="845" t="s">
        <v>1007</v>
      </c>
      <c r="J7816" s="989"/>
    </row>
    <row r="7817" spans="1:10" x14ac:dyDescent="0.2">
      <c r="A7817" s="859">
        <f t="shared" si="122"/>
        <v>7816</v>
      </c>
      <c r="B7817" s="845" t="s">
        <v>2621</v>
      </c>
      <c r="D7817" s="862"/>
      <c r="I7817" s="845" t="s">
        <v>2628</v>
      </c>
      <c r="J7817" s="989"/>
    </row>
    <row r="7818" spans="1:10" x14ac:dyDescent="0.2">
      <c r="A7818" s="859">
        <f t="shared" si="122"/>
        <v>7817</v>
      </c>
      <c r="B7818" s="845" t="s">
        <v>2621</v>
      </c>
      <c r="D7818" s="863"/>
      <c r="I7818" s="845" t="str">
        <f>CONCATENATE("&lt;valeur&gt;",Cellule_2097_1,"&lt;/valeur&gt;")</f>
        <v>&lt;valeur&gt;1000&lt;/valeur&gt;</v>
      </c>
      <c r="J7818" s="989"/>
    </row>
    <row r="7819" spans="1:10" x14ac:dyDescent="0.2">
      <c r="A7819" s="859">
        <f t="shared" si="122"/>
        <v>7818</v>
      </c>
      <c r="B7819" s="845" t="s">
        <v>2621</v>
      </c>
      <c r="D7819" s="862"/>
      <c r="I7819" s="845" t="s">
        <v>1249</v>
      </c>
      <c r="J7819" s="989"/>
    </row>
    <row r="7820" spans="1:10" x14ac:dyDescent="0.2">
      <c r="A7820" s="859">
        <f t="shared" si="122"/>
        <v>7819</v>
      </c>
      <c r="B7820" s="845" t="s">
        <v>2621</v>
      </c>
      <c r="D7820" s="862"/>
      <c r="H7820" s="845" t="s">
        <v>1010</v>
      </c>
      <c r="J7820" s="989"/>
    </row>
    <row r="7821" spans="1:10" x14ac:dyDescent="0.2">
      <c r="A7821" s="859">
        <f t="shared" si="122"/>
        <v>7820</v>
      </c>
      <c r="B7821" s="845" t="s">
        <v>2621</v>
      </c>
      <c r="D7821" s="861"/>
      <c r="H7821" s="845" t="s">
        <v>1007</v>
      </c>
      <c r="J7821" s="989"/>
    </row>
    <row r="7822" spans="1:10" x14ac:dyDescent="0.2">
      <c r="A7822" s="859">
        <f t="shared" si="122"/>
        <v>7821</v>
      </c>
      <c r="B7822" s="845" t="s">
        <v>2621</v>
      </c>
      <c r="D7822" s="861"/>
      <c r="I7822" s="845" t="s">
        <v>2629</v>
      </c>
      <c r="J7822" s="989"/>
    </row>
    <row r="7823" spans="1:10" x14ac:dyDescent="0.2">
      <c r="A7823" s="859">
        <f t="shared" si="122"/>
        <v>7822</v>
      </c>
      <c r="B7823" s="845" t="s">
        <v>2621</v>
      </c>
      <c r="D7823" s="862"/>
      <c r="I7823" s="845" t="str">
        <f>CONCATENATE("&lt;valeur&gt;",Cellule_2098_1,"&lt;/valeur&gt;")</f>
        <v>&lt;valeur&gt;100&lt;/valeur&gt;</v>
      </c>
      <c r="J7823" s="989"/>
    </row>
    <row r="7824" spans="1:10" x14ac:dyDescent="0.2">
      <c r="A7824" s="859">
        <f t="shared" si="122"/>
        <v>7823</v>
      </c>
      <c r="B7824" s="845" t="s">
        <v>2621</v>
      </c>
      <c r="D7824" s="863"/>
      <c r="I7824" s="845" t="s">
        <v>1249</v>
      </c>
      <c r="J7824" s="989"/>
    </row>
    <row r="7825" spans="1:10" x14ac:dyDescent="0.2">
      <c r="A7825" s="859">
        <f t="shared" si="122"/>
        <v>7824</v>
      </c>
      <c r="B7825" s="845" t="s">
        <v>2621</v>
      </c>
      <c r="D7825" s="862"/>
      <c r="H7825" s="845" t="s">
        <v>1010</v>
      </c>
      <c r="J7825" s="989"/>
    </row>
    <row r="7826" spans="1:10" x14ac:dyDescent="0.2">
      <c r="A7826" s="859">
        <f t="shared" si="122"/>
        <v>7825</v>
      </c>
      <c r="B7826" s="845" t="s">
        <v>2621</v>
      </c>
      <c r="D7826" s="862"/>
      <c r="H7826" s="845" t="s">
        <v>1007</v>
      </c>
      <c r="J7826" s="989"/>
    </row>
    <row r="7827" spans="1:10" x14ac:dyDescent="0.2">
      <c r="A7827" s="859">
        <f t="shared" si="122"/>
        <v>7826</v>
      </c>
      <c r="B7827" s="845" t="s">
        <v>2621</v>
      </c>
      <c r="D7827" s="861"/>
      <c r="I7827" s="845" t="s">
        <v>2630</v>
      </c>
      <c r="J7827" s="989"/>
    </row>
    <row r="7828" spans="1:10" x14ac:dyDescent="0.2">
      <c r="A7828" s="859">
        <f t="shared" si="122"/>
        <v>7827</v>
      </c>
      <c r="B7828" s="845" t="s">
        <v>2621</v>
      </c>
      <c r="D7828" s="861"/>
      <c r="I7828" s="845" t="str">
        <f>CONCATENATE("&lt;valeur&gt;",Cellule_2099_1,"&lt;/valeur&gt;")</f>
        <v>&lt;valeur&gt;100000&lt;/valeur&gt;</v>
      </c>
      <c r="J7828" s="989"/>
    </row>
    <row r="7829" spans="1:10" x14ac:dyDescent="0.2">
      <c r="A7829" s="859">
        <f t="shared" si="122"/>
        <v>7828</v>
      </c>
      <c r="B7829" s="845" t="s">
        <v>2621</v>
      </c>
      <c r="D7829" s="862"/>
      <c r="I7829" s="845" t="s">
        <v>1249</v>
      </c>
      <c r="J7829" s="989"/>
    </row>
    <row r="7830" spans="1:10" x14ac:dyDescent="0.2">
      <c r="A7830" s="859">
        <f t="shared" si="122"/>
        <v>7829</v>
      </c>
      <c r="B7830" s="845" t="s">
        <v>2621</v>
      </c>
      <c r="D7830" s="863"/>
      <c r="H7830" s="845" t="s">
        <v>1010</v>
      </c>
      <c r="J7830" s="989"/>
    </row>
    <row r="7831" spans="1:10" x14ac:dyDescent="0.2">
      <c r="A7831" s="859">
        <f t="shared" si="122"/>
        <v>7830</v>
      </c>
      <c r="B7831" s="845" t="s">
        <v>2621</v>
      </c>
      <c r="D7831" s="862"/>
      <c r="H7831" s="845" t="s">
        <v>1007</v>
      </c>
      <c r="J7831" s="989"/>
    </row>
    <row r="7832" spans="1:10" x14ac:dyDescent="0.2">
      <c r="A7832" s="859">
        <f t="shared" si="122"/>
        <v>7831</v>
      </c>
      <c r="B7832" s="845" t="s">
        <v>2621</v>
      </c>
      <c r="D7832" s="861"/>
      <c r="I7832" s="845" t="s">
        <v>2631</v>
      </c>
      <c r="J7832" s="989"/>
    </row>
    <row r="7833" spans="1:10" x14ac:dyDescent="0.2">
      <c r="A7833" s="859">
        <f t="shared" si="122"/>
        <v>7832</v>
      </c>
      <c r="B7833" s="845" t="s">
        <v>2621</v>
      </c>
      <c r="D7833" s="861"/>
      <c r="I7833" s="845" t="str">
        <f>CONCATENATE("&lt;valeur&gt;",Cellule_2100_1,"&lt;/valeur&gt;")</f>
        <v>&lt;valeur&gt;100000&lt;/valeur&gt;</v>
      </c>
      <c r="J7833" s="989"/>
    </row>
    <row r="7834" spans="1:10" x14ac:dyDescent="0.2">
      <c r="A7834" s="859">
        <f t="shared" si="122"/>
        <v>7833</v>
      </c>
      <c r="B7834" s="845" t="s">
        <v>2621</v>
      </c>
      <c r="D7834" s="862"/>
      <c r="I7834" s="845" t="s">
        <v>1249</v>
      </c>
      <c r="J7834" s="989"/>
    </row>
    <row r="7835" spans="1:10" x14ac:dyDescent="0.2">
      <c r="A7835" s="859">
        <f t="shared" si="122"/>
        <v>7834</v>
      </c>
      <c r="B7835" s="845" t="s">
        <v>2621</v>
      </c>
      <c r="D7835" s="863"/>
      <c r="H7835" s="845" t="s">
        <v>1010</v>
      </c>
      <c r="J7835" s="989"/>
    </row>
    <row r="7836" spans="1:10" x14ac:dyDescent="0.2">
      <c r="A7836" s="859">
        <f t="shared" si="122"/>
        <v>7835</v>
      </c>
      <c r="B7836" s="845" t="s">
        <v>2621</v>
      </c>
      <c r="D7836" s="862"/>
      <c r="H7836" s="845" t="s">
        <v>1007</v>
      </c>
      <c r="J7836" s="989"/>
    </row>
    <row r="7837" spans="1:10" x14ac:dyDescent="0.2">
      <c r="A7837" s="859">
        <f t="shared" si="122"/>
        <v>7836</v>
      </c>
      <c r="B7837" s="845" t="s">
        <v>2621</v>
      </c>
      <c r="D7837" s="861"/>
      <c r="I7837" s="845" t="s">
        <v>2632</v>
      </c>
      <c r="J7837" s="989"/>
    </row>
    <row r="7838" spans="1:10" x14ac:dyDescent="0.2">
      <c r="A7838" s="859">
        <f t="shared" si="122"/>
        <v>7837</v>
      </c>
      <c r="B7838" s="845" t="s">
        <v>2621</v>
      </c>
      <c r="D7838" s="861"/>
      <c r="I7838" s="845" t="str">
        <f>CONCATENATE("&lt;valeur&gt;",Cellule_2101_1,"&lt;/valeur&gt;")</f>
        <v>&lt;valeur&gt;100000&lt;/valeur&gt;</v>
      </c>
      <c r="J7838" s="989"/>
    </row>
    <row r="7839" spans="1:10" x14ac:dyDescent="0.2">
      <c r="A7839" s="859">
        <f t="shared" si="122"/>
        <v>7838</v>
      </c>
      <c r="B7839" s="845" t="s">
        <v>2621</v>
      </c>
      <c r="D7839" s="862"/>
      <c r="I7839" s="845" t="s">
        <v>1249</v>
      </c>
      <c r="J7839" s="989"/>
    </row>
    <row r="7840" spans="1:10" x14ac:dyDescent="0.2">
      <c r="A7840" s="859">
        <f t="shared" si="122"/>
        <v>7839</v>
      </c>
      <c r="B7840" s="991" t="s">
        <v>2621</v>
      </c>
      <c r="C7840" s="991"/>
      <c r="D7840" s="999"/>
      <c r="E7840" s="991"/>
      <c r="F7840" s="991"/>
      <c r="G7840" s="991"/>
      <c r="H7840" s="991" t="s">
        <v>1010</v>
      </c>
      <c r="I7840" s="991"/>
      <c r="J7840" s="1000"/>
    </row>
    <row r="7841" spans="1:10" x14ac:dyDescent="0.2">
      <c r="A7841" s="859">
        <f t="shared" si="122"/>
        <v>7840</v>
      </c>
      <c r="B7841" s="990" t="s">
        <v>2621</v>
      </c>
      <c r="C7841" s="990"/>
      <c r="D7841" s="998"/>
      <c r="E7841" s="990"/>
      <c r="F7841" s="990"/>
      <c r="G7841" s="990"/>
      <c r="H7841" s="990" t="s">
        <v>1007</v>
      </c>
      <c r="I7841" s="990"/>
      <c r="J7841" s="986"/>
    </row>
    <row r="7842" spans="1:10" x14ac:dyDescent="0.2">
      <c r="A7842" s="859">
        <f t="shared" si="122"/>
        <v>7841</v>
      </c>
      <c r="B7842" s="845" t="s">
        <v>2621</v>
      </c>
      <c r="D7842" s="861"/>
      <c r="I7842" s="845" t="s">
        <v>2623</v>
      </c>
      <c r="J7842" s="989"/>
    </row>
    <row r="7843" spans="1:10" x14ac:dyDescent="0.2">
      <c r="A7843" s="859">
        <f t="shared" si="122"/>
        <v>7842</v>
      </c>
      <c r="B7843" s="845" t="s">
        <v>2621</v>
      </c>
      <c r="D7843" s="862"/>
      <c r="I7843" s="845" t="str">
        <f>CONCATENATE("&lt;valeur&gt;",Cellule_2094_2,"&lt;/valeur&gt;")</f>
        <v>&lt;valeur&gt;&lt;/valeur&gt;</v>
      </c>
      <c r="J7843" s="989"/>
    </row>
    <row r="7844" spans="1:10" x14ac:dyDescent="0.2">
      <c r="A7844" s="859">
        <f t="shared" si="122"/>
        <v>7843</v>
      </c>
      <c r="B7844" s="845" t="s">
        <v>2621</v>
      </c>
      <c r="D7844" s="863"/>
      <c r="I7844" s="845" t="s">
        <v>2577</v>
      </c>
      <c r="J7844" s="989"/>
    </row>
    <row r="7845" spans="1:10" x14ac:dyDescent="0.2">
      <c r="A7845" s="859">
        <f t="shared" si="122"/>
        <v>7844</v>
      </c>
      <c r="B7845" s="845" t="s">
        <v>2621</v>
      </c>
      <c r="D7845" s="862"/>
      <c r="H7845" s="845" t="s">
        <v>1010</v>
      </c>
      <c r="J7845" s="989"/>
    </row>
    <row r="7846" spans="1:10" x14ac:dyDescent="0.2">
      <c r="A7846" s="859">
        <f t="shared" si="122"/>
        <v>7845</v>
      </c>
      <c r="B7846" s="845" t="s">
        <v>2621</v>
      </c>
      <c r="D7846" s="862"/>
      <c r="H7846" s="845" t="s">
        <v>1007</v>
      </c>
      <c r="J7846" s="989"/>
    </row>
    <row r="7847" spans="1:10" x14ac:dyDescent="0.2">
      <c r="A7847" s="859">
        <f t="shared" si="122"/>
        <v>7846</v>
      </c>
      <c r="B7847" s="845" t="s">
        <v>2621</v>
      </c>
      <c r="D7847" s="861"/>
      <c r="I7847" s="845" t="s">
        <v>2624</v>
      </c>
      <c r="J7847" s="989"/>
    </row>
    <row r="7848" spans="1:10" x14ac:dyDescent="0.2">
      <c r="A7848" s="859">
        <f t="shared" si="122"/>
        <v>7847</v>
      </c>
      <c r="B7848" s="845" t="s">
        <v>2621</v>
      </c>
      <c r="D7848" s="861"/>
      <c r="I7848" s="845" t="str">
        <f>CONCATENATE("&lt;valeur&gt;",Cellule_13536_2,"&lt;/valeur&gt;")</f>
        <v>&lt;valeur&gt;&lt;/valeur&gt;</v>
      </c>
      <c r="J7848" s="989"/>
    </row>
    <row r="7849" spans="1:10" x14ac:dyDescent="0.2">
      <c r="A7849" s="859">
        <f t="shared" si="122"/>
        <v>7848</v>
      </c>
      <c r="B7849" s="845" t="s">
        <v>2621</v>
      </c>
      <c r="D7849" s="862"/>
      <c r="I7849" s="845" t="s">
        <v>2577</v>
      </c>
      <c r="J7849" s="989"/>
    </row>
    <row r="7850" spans="1:10" x14ac:dyDescent="0.2">
      <c r="A7850" s="859">
        <f t="shared" si="122"/>
        <v>7849</v>
      </c>
      <c r="B7850" s="845" t="s">
        <v>2621</v>
      </c>
      <c r="D7850" s="863"/>
      <c r="H7850" s="845" t="s">
        <v>1010</v>
      </c>
      <c r="J7850" s="989"/>
    </row>
    <row r="7851" spans="1:10" x14ac:dyDescent="0.2">
      <c r="A7851" s="859">
        <f t="shared" si="122"/>
        <v>7850</v>
      </c>
      <c r="B7851" s="845" t="s">
        <v>2621</v>
      </c>
      <c r="D7851" s="862"/>
      <c r="H7851" s="845" t="s">
        <v>1007</v>
      </c>
      <c r="J7851" s="989"/>
    </row>
    <row r="7852" spans="1:10" x14ac:dyDescent="0.2">
      <c r="A7852" s="859">
        <f t="shared" si="122"/>
        <v>7851</v>
      </c>
      <c r="B7852" s="845" t="s">
        <v>2621</v>
      </c>
      <c r="D7852" s="862"/>
      <c r="I7852" s="845" t="s">
        <v>2625</v>
      </c>
      <c r="J7852" s="989"/>
    </row>
    <row r="7853" spans="1:10" x14ac:dyDescent="0.2">
      <c r="A7853" s="859">
        <f t="shared" si="122"/>
        <v>7852</v>
      </c>
      <c r="B7853" s="845" t="s">
        <v>2621</v>
      </c>
      <c r="D7853" s="861"/>
      <c r="I7853" s="845" t="str">
        <f>CONCATENATE("&lt;valeur&gt;",Cellule_13537_2,"&lt;/valeur&gt;")</f>
        <v>&lt;valeur&gt;&lt;/valeur&gt;</v>
      </c>
      <c r="J7853" s="989"/>
    </row>
    <row r="7854" spans="1:10" x14ac:dyDescent="0.2">
      <c r="A7854" s="859">
        <f t="shared" si="122"/>
        <v>7853</v>
      </c>
      <c r="B7854" s="845" t="s">
        <v>2621</v>
      </c>
      <c r="D7854" s="861"/>
      <c r="I7854" s="845" t="s">
        <v>2577</v>
      </c>
      <c r="J7854" s="989"/>
    </row>
    <row r="7855" spans="1:10" x14ac:dyDescent="0.2">
      <c r="A7855" s="859">
        <f t="shared" si="122"/>
        <v>7854</v>
      </c>
      <c r="B7855" s="845" t="s">
        <v>2621</v>
      </c>
      <c r="D7855" s="862"/>
      <c r="H7855" s="845" t="s">
        <v>1010</v>
      </c>
      <c r="J7855" s="989"/>
    </row>
    <row r="7856" spans="1:10" x14ac:dyDescent="0.2">
      <c r="A7856" s="859">
        <f t="shared" si="122"/>
        <v>7855</v>
      </c>
      <c r="B7856" s="845" t="s">
        <v>2621</v>
      </c>
      <c r="D7856" s="863"/>
      <c r="H7856" s="845" t="s">
        <v>1007</v>
      </c>
      <c r="J7856" s="989"/>
    </row>
    <row r="7857" spans="1:10" x14ac:dyDescent="0.2">
      <c r="A7857" s="859">
        <f t="shared" si="122"/>
        <v>7856</v>
      </c>
      <c r="B7857" s="845" t="s">
        <v>2621</v>
      </c>
      <c r="D7857" s="862"/>
      <c r="I7857" s="845" t="s">
        <v>2626</v>
      </c>
      <c r="J7857" s="989"/>
    </row>
    <row r="7858" spans="1:10" x14ac:dyDescent="0.2">
      <c r="A7858" s="859">
        <f t="shared" si="122"/>
        <v>7857</v>
      </c>
      <c r="B7858" s="845" t="s">
        <v>2621</v>
      </c>
      <c r="D7858" s="862"/>
      <c r="I7858" s="845" t="str">
        <f>CONCATENATE("&lt;valeur&gt;",Cellule_2095_2,"&lt;/valeur&gt;")</f>
        <v>&lt;valeur&gt;&lt;/valeur&gt;</v>
      </c>
      <c r="J7858" s="989"/>
    </row>
    <row r="7859" spans="1:10" x14ac:dyDescent="0.2">
      <c r="A7859" s="859">
        <f t="shared" si="122"/>
        <v>7858</v>
      </c>
      <c r="B7859" s="845" t="s">
        <v>2621</v>
      </c>
      <c r="D7859" s="861"/>
      <c r="I7859" s="845" t="s">
        <v>2577</v>
      </c>
      <c r="J7859" s="989"/>
    </row>
    <row r="7860" spans="1:10" x14ac:dyDescent="0.2">
      <c r="A7860" s="859">
        <f t="shared" si="122"/>
        <v>7859</v>
      </c>
      <c r="B7860" s="845" t="s">
        <v>2621</v>
      </c>
      <c r="D7860" s="861"/>
      <c r="H7860" s="845" t="s">
        <v>1010</v>
      </c>
      <c r="J7860" s="989"/>
    </row>
    <row r="7861" spans="1:10" x14ac:dyDescent="0.2">
      <c r="A7861" s="859">
        <f t="shared" si="122"/>
        <v>7860</v>
      </c>
      <c r="B7861" s="845" t="s">
        <v>2621</v>
      </c>
      <c r="D7861" s="862"/>
      <c r="H7861" s="845" t="s">
        <v>1007</v>
      </c>
      <c r="J7861" s="989"/>
    </row>
    <row r="7862" spans="1:10" x14ac:dyDescent="0.2">
      <c r="A7862" s="859">
        <f t="shared" si="122"/>
        <v>7861</v>
      </c>
      <c r="B7862" s="845" t="s">
        <v>2621</v>
      </c>
      <c r="D7862" s="863"/>
      <c r="I7862" s="845" t="s">
        <v>2627</v>
      </c>
      <c r="J7862" s="989"/>
    </row>
    <row r="7863" spans="1:10" x14ac:dyDescent="0.2">
      <c r="A7863" s="859">
        <f t="shared" si="122"/>
        <v>7862</v>
      </c>
      <c r="B7863" s="845" t="s">
        <v>2621</v>
      </c>
      <c r="D7863" s="862"/>
      <c r="I7863" s="845" t="str">
        <f>CONCATENATE("&lt;valeur&gt;",Cellule_2096_2,"&lt;/valeur&gt;")</f>
        <v>&lt;valeur&gt;&lt;/valeur&gt;</v>
      </c>
      <c r="J7863" s="989"/>
    </row>
    <row r="7864" spans="1:10" x14ac:dyDescent="0.2">
      <c r="A7864" s="859">
        <f t="shared" si="122"/>
        <v>7863</v>
      </c>
      <c r="B7864" s="845" t="s">
        <v>2621</v>
      </c>
      <c r="D7864" s="862"/>
      <c r="I7864" s="845" t="s">
        <v>2577</v>
      </c>
      <c r="J7864" s="989"/>
    </row>
    <row r="7865" spans="1:10" x14ac:dyDescent="0.2">
      <c r="A7865" s="859">
        <f t="shared" si="122"/>
        <v>7864</v>
      </c>
      <c r="B7865" s="845" t="s">
        <v>2621</v>
      </c>
      <c r="D7865" s="861"/>
      <c r="H7865" s="845" t="s">
        <v>1010</v>
      </c>
      <c r="J7865" s="989"/>
    </row>
    <row r="7866" spans="1:10" x14ac:dyDescent="0.2">
      <c r="A7866" s="859">
        <f t="shared" si="122"/>
        <v>7865</v>
      </c>
      <c r="B7866" s="845" t="s">
        <v>2621</v>
      </c>
      <c r="D7866" s="861"/>
      <c r="H7866" s="845" t="s">
        <v>1007</v>
      </c>
      <c r="J7866" s="989"/>
    </row>
    <row r="7867" spans="1:10" x14ac:dyDescent="0.2">
      <c r="A7867" s="859">
        <f t="shared" si="122"/>
        <v>7866</v>
      </c>
      <c r="B7867" s="845" t="s">
        <v>2621</v>
      </c>
      <c r="D7867" s="862"/>
      <c r="I7867" s="845" t="s">
        <v>2628</v>
      </c>
      <c r="J7867" s="989"/>
    </row>
    <row r="7868" spans="1:10" x14ac:dyDescent="0.2">
      <c r="A7868" s="859">
        <f t="shared" si="122"/>
        <v>7867</v>
      </c>
      <c r="B7868" s="845" t="s">
        <v>2621</v>
      </c>
      <c r="D7868" s="863"/>
      <c r="I7868" s="845" t="str">
        <f>CONCATENATE("&lt;valeur&gt;",Cellule_2097_2,"&lt;/valeur&gt;")</f>
        <v>&lt;valeur&gt;&lt;/valeur&gt;</v>
      </c>
      <c r="J7868" s="989"/>
    </row>
    <row r="7869" spans="1:10" x14ac:dyDescent="0.2">
      <c r="A7869" s="859">
        <f t="shared" si="122"/>
        <v>7868</v>
      </c>
      <c r="B7869" s="845" t="s">
        <v>2621</v>
      </c>
      <c r="D7869" s="862"/>
      <c r="I7869" s="845" t="s">
        <v>2577</v>
      </c>
      <c r="J7869" s="989"/>
    </row>
    <row r="7870" spans="1:10" x14ac:dyDescent="0.2">
      <c r="A7870" s="859">
        <f t="shared" si="122"/>
        <v>7869</v>
      </c>
      <c r="B7870" s="845" t="s">
        <v>2621</v>
      </c>
      <c r="D7870" s="862"/>
      <c r="H7870" s="845" t="s">
        <v>1010</v>
      </c>
      <c r="J7870" s="989"/>
    </row>
    <row r="7871" spans="1:10" x14ac:dyDescent="0.2">
      <c r="A7871" s="859">
        <f t="shared" si="122"/>
        <v>7870</v>
      </c>
      <c r="B7871" s="845" t="s">
        <v>2621</v>
      </c>
      <c r="D7871" s="861"/>
      <c r="H7871" s="845" t="s">
        <v>1007</v>
      </c>
      <c r="J7871" s="989"/>
    </row>
    <row r="7872" spans="1:10" x14ac:dyDescent="0.2">
      <c r="A7872" s="859">
        <f t="shared" si="122"/>
        <v>7871</v>
      </c>
      <c r="B7872" s="845" t="s">
        <v>2621</v>
      </c>
      <c r="D7872" s="861"/>
      <c r="I7872" s="845" t="s">
        <v>2629</v>
      </c>
      <c r="J7872" s="989"/>
    </row>
    <row r="7873" spans="1:10" x14ac:dyDescent="0.2">
      <c r="A7873" s="859">
        <f t="shared" si="122"/>
        <v>7872</v>
      </c>
      <c r="B7873" s="845" t="s">
        <v>2621</v>
      </c>
      <c r="D7873" s="862"/>
      <c r="I7873" s="845" t="str">
        <f>CONCATENATE("&lt;valeur&gt;",Cellule_2098_2,"&lt;/valeur&gt;")</f>
        <v>&lt;valeur&gt;&lt;/valeur&gt;</v>
      </c>
      <c r="J7873" s="989"/>
    </row>
    <row r="7874" spans="1:10" x14ac:dyDescent="0.2">
      <c r="A7874" s="859">
        <f t="shared" si="122"/>
        <v>7873</v>
      </c>
      <c r="B7874" s="845" t="s">
        <v>2621</v>
      </c>
      <c r="D7874" s="863"/>
      <c r="I7874" s="845" t="s">
        <v>2577</v>
      </c>
      <c r="J7874" s="989"/>
    </row>
    <row r="7875" spans="1:10" x14ac:dyDescent="0.2">
      <c r="A7875" s="859">
        <f t="shared" si="122"/>
        <v>7874</v>
      </c>
      <c r="B7875" s="845" t="s">
        <v>2621</v>
      </c>
      <c r="D7875" s="862"/>
      <c r="H7875" s="845" t="s">
        <v>1010</v>
      </c>
      <c r="J7875" s="989"/>
    </row>
    <row r="7876" spans="1:10" x14ac:dyDescent="0.2">
      <c r="A7876" s="859">
        <f t="shared" ref="A7876:A7939" si="123">+A7875+1</f>
        <v>7875</v>
      </c>
      <c r="B7876" s="845" t="s">
        <v>2621</v>
      </c>
      <c r="D7876" s="862"/>
      <c r="H7876" s="845" t="s">
        <v>1007</v>
      </c>
      <c r="J7876" s="989"/>
    </row>
    <row r="7877" spans="1:10" x14ac:dyDescent="0.2">
      <c r="A7877" s="859">
        <f t="shared" si="123"/>
        <v>7876</v>
      </c>
      <c r="B7877" s="845" t="s">
        <v>2621</v>
      </c>
      <c r="D7877" s="861"/>
      <c r="I7877" s="845" t="s">
        <v>2630</v>
      </c>
      <c r="J7877" s="989"/>
    </row>
    <row r="7878" spans="1:10" x14ac:dyDescent="0.2">
      <c r="A7878" s="859">
        <f t="shared" si="123"/>
        <v>7877</v>
      </c>
      <c r="B7878" s="845" t="s">
        <v>2621</v>
      </c>
      <c r="D7878" s="861"/>
      <c r="I7878" s="845" t="str">
        <f>CONCATENATE("&lt;valeur&gt;",Cellule_2099_2,"&lt;/valeur&gt;")</f>
        <v>&lt;valeur&gt;&lt;/valeur&gt;</v>
      </c>
      <c r="J7878" s="989"/>
    </row>
    <row r="7879" spans="1:10" x14ac:dyDescent="0.2">
      <c r="A7879" s="859">
        <f t="shared" si="123"/>
        <v>7878</v>
      </c>
      <c r="B7879" s="845" t="s">
        <v>2621</v>
      </c>
      <c r="D7879" s="862"/>
      <c r="I7879" s="845" t="s">
        <v>2577</v>
      </c>
      <c r="J7879" s="989"/>
    </row>
    <row r="7880" spans="1:10" x14ac:dyDescent="0.2">
      <c r="A7880" s="859">
        <f t="shared" si="123"/>
        <v>7879</v>
      </c>
      <c r="B7880" s="845" t="s">
        <v>2621</v>
      </c>
      <c r="D7880" s="863"/>
      <c r="H7880" s="845" t="s">
        <v>1010</v>
      </c>
      <c r="J7880" s="989"/>
    </row>
    <row r="7881" spans="1:10" x14ac:dyDescent="0.2">
      <c r="A7881" s="859">
        <f t="shared" si="123"/>
        <v>7880</v>
      </c>
      <c r="B7881" s="845" t="s">
        <v>2621</v>
      </c>
      <c r="D7881" s="862"/>
      <c r="H7881" s="845" t="s">
        <v>1007</v>
      </c>
      <c r="J7881" s="989"/>
    </row>
    <row r="7882" spans="1:10" x14ac:dyDescent="0.2">
      <c r="A7882" s="859">
        <f t="shared" si="123"/>
        <v>7881</v>
      </c>
      <c r="B7882" s="845" t="s">
        <v>2621</v>
      </c>
      <c r="D7882" s="861"/>
      <c r="I7882" s="845" t="s">
        <v>2631</v>
      </c>
      <c r="J7882" s="989"/>
    </row>
    <row r="7883" spans="1:10" x14ac:dyDescent="0.2">
      <c r="A7883" s="859">
        <f t="shared" si="123"/>
        <v>7882</v>
      </c>
      <c r="B7883" s="845" t="s">
        <v>2621</v>
      </c>
      <c r="D7883" s="861"/>
      <c r="I7883" s="845" t="str">
        <f>CONCATENATE("&lt;valeur&gt;",Cellule_2100_2,"&lt;/valeur&gt;")</f>
        <v>&lt;valeur&gt;0&lt;/valeur&gt;</v>
      </c>
      <c r="J7883" s="989"/>
    </row>
    <row r="7884" spans="1:10" x14ac:dyDescent="0.2">
      <c r="A7884" s="859">
        <f t="shared" si="123"/>
        <v>7883</v>
      </c>
      <c r="B7884" s="845" t="s">
        <v>2621</v>
      </c>
      <c r="D7884" s="862"/>
      <c r="I7884" s="845" t="s">
        <v>2577</v>
      </c>
      <c r="J7884" s="989"/>
    </row>
    <row r="7885" spans="1:10" x14ac:dyDescent="0.2">
      <c r="A7885" s="859">
        <f t="shared" si="123"/>
        <v>7884</v>
      </c>
      <c r="B7885" s="845" t="s">
        <v>2621</v>
      </c>
      <c r="D7885" s="863"/>
      <c r="H7885" s="845" t="s">
        <v>1010</v>
      </c>
      <c r="J7885" s="989"/>
    </row>
    <row r="7886" spans="1:10" x14ac:dyDescent="0.2">
      <c r="A7886" s="859">
        <f t="shared" si="123"/>
        <v>7885</v>
      </c>
      <c r="B7886" s="845" t="s">
        <v>2621</v>
      </c>
      <c r="D7886" s="862"/>
      <c r="H7886" s="845" t="s">
        <v>1007</v>
      </c>
      <c r="J7886" s="989"/>
    </row>
    <row r="7887" spans="1:10" x14ac:dyDescent="0.2">
      <c r="A7887" s="859">
        <f t="shared" si="123"/>
        <v>7886</v>
      </c>
      <c r="B7887" s="845" t="s">
        <v>2621</v>
      </c>
      <c r="D7887" s="861"/>
      <c r="I7887" s="845" t="s">
        <v>2632</v>
      </c>
      <c r="J7887" s="989"/>
    </row>
    <row r="7888" spans="1:10" x14ac:dyDescent="0.2">
      <c r="A7888" s="859">
        <f t="shared" si="123"/>
        <v>7887</v>
      </c>
      <c r="B7888" s="845" t="s">
        <v>2621</v>
      </c>
      <c r="D7888" s="861"/>
      <c r="I7888" s="845" t="str">
        <f>CONCATENATE("&lt;valeur&gt;",Cellule_2101_2,"&lt;/valeur&gt;")</f>
        <v>&lt;valeur&gt;0&lt;/valeur&gt;</v>
      </c>
      <c r="J7888" s="989"/>
    </row>
    <row r="7889" spans="1:10" x14ac:dyDescent="0.2">
      <c r="A7889" s="859">
        <f t="shared" si="123"/>
        <v>7888</v>
      </c>
      <c r="B7889" s="845" t="s">
        <v>2621</v>
      </c>
      <c r="D7889" s="862"/>
      <c r="I7889" s="845" t="s">
        <v>2577</v>
      </c>
      <c r="J7889" s="989"/>
    </row>
    <row r="7890" spans="1:10" x14ac:dyDescent="0.2">
      <c r="A7890" s="859">
        <f t="shared" si="123"/>
        <v>7889</v>
      </c>
      <c r="B7890" s="991" t="s">
        <v>2621</v>
      </c>
      <c r="C7890" s="991"/>
      <c r="D7890" s="999"/>
      <c r="E7890" s="991"/>
      <c r="F7890" s="991"/>
      <c r="G7890" s="991"/>
      <c r="H7890" s="991" t="s">
        <v>1010</v>
      </c>
      <c r="I7890" s="991"/>
      <c r="J7890" s="1000"/>
    </row>
    <row r="7891" spans="1:10" x14ac:dyDescent="0.2">
      <c r="A7891" s="859">
        <f t="shared" si="123"/>
        <v>7890</v>
      </c>
      <c r="B7891" s="990" t="s">
        <v>2621</v>
      </c>
      <c r="C7891" s="990"/>
      <c r="D7891" s="998"/>
      <c r="E7891" s="990"/>
      <c r="F7891" s="990"/>
      <c r="G7891" s="990"/>
      <c r="H7891" s="990" t="s">
        <v>1007</v>
      </c>
      <c r="I7891" s="990"/>
      <c r="J7891" s="986"/>
    </row>
    <row r="7892" spans="1:10" x14ac:dyDescent="0.2">
      <c r="A7892" s="859">
        <f t="shared" si="123"/>
        <v>7891</v>
      </c>
      <c r="B7892" s="845" t="s">
        <v>2621</v>
      </c>
      <c r="D7892" s="861"/>
      <c r="I7892" s="845" t="s">
        <v>2623</v>
      </c>
      <c r="J7892" s="989"/>
    </row>
    <row r="7893" spans="1:10" x14ac:dyDescent="0.2">
      <c r="A7893" s="859">
        <f t="shared" si="123"/>
        <v>7892</v>
      </c>
      <c r="B7893" s="845" t="s">
        <v>2621</v>
      </c>
      <c r="D7893" s="862"/>
      <c r="I7893" s="845" t="str">
        <f>CONCATENATE("&lt;valeur&gt;",Cellule_2094_3,"&lt;/valeur&gt;")</f>
        <v>&lt;valeur&gt;&lt;/valeur&gt;</v>
      </c>
      <c r="J7893" s="989"/>
    </row>
    <row r="7894" spans="1:10" x14ac:dyDescent="0.2">
      <c r="A7894" s="859">
        <f t="shared" si="123"/>
        <v>7893</v>
      </c>
      <c r="B7894" s="845" t="s">
        <v>2621</v>
      </c>
      <c r="D7894" s="863"/>
      <c r="I7894" s="845" t="s">
        <v>2578</v>
      </c>
      <c r="J7894" s="989"/>
    </row>
    <row r="7895" spans="1:10" x14ac:dyDescent="0.2">
      <c r="A7895" s="859">
        <f t="shared" si="123"/>
        <v>7894</v>
      </c>
      <c r="B7895" s="845" t="s">
        <v>2621</v>
      </c>
      <c r="D7895" s="862"/>
      <c r="H7895" s="845" t="s">
        <v>1010</v>
      </c>
      <c r="J7895" s="989"/>
    </row>
    <row r="7896" spans="1:10" x14ac:dyDescent="0.2">
      <c r="A7896" s="859">
        <f t="shared" si="123"/>
        <v>7895</v>
      </c>
      <c r="B7896" s="845" t="s">
        <v>2621</v>
      </c>
      <c r="D7896" s="862"/>
      <c r="H7896" s="845" t="s">
        <v>1007</v>
      </c>
      <c r="J7896" s="989"/>
    </row>
    <row r="7897" spans="1:10" x14ac:dyDescent="0.2">
      <c r="A7897" s="859">
        <f t="shared" si="123"/>
        <v>7896</v>
      </c>
      <c r="B7897" s="845" t="s">
        <v>2621</v>
      </c>
      <c r="D7897" s="861"/>
      <c r="I7897" s="845" t="s">
        <v>2624</v>
      </c>
      <c r="J7897" s="989"/>
    </row>
    <row r="7898" spans="1:10" x14ac:dyDescent="0.2">
      <c r="A7898" s="859">
        <f t="shared" si="123"/>
        <v>7897</v>
      </c>
      <c r="B7898" s="845" t="s">
        <v>2621</v>
      </c>
      <c r="D7898" s="861"/>
      <c r="I7898" s="845" t="str">
        <f>CONCATENATE("&lt;valeur&gt;",Cellule_13536_3,"&lt;/valeur&gt;")</f>
        <v>&lt;valeur&gt;&lt;/valeur&gt;</v>
      </c>
      <c r="J7898" s="989"/>
    </row>
    <row r="7899" spans="1:10" x14ac:dyDescent="0.2">
      <c r="A7899" s="859">
        <f t="shared" si="123"/>
        <v>7898</v>
      </c>
      <c r="B7899" s="845" t="s">
        <v>2621</v>
      </c>
      <c r="D7899" s="862"/>
      <c r="I7899" s="845" t="s">
        <v>2578</v>
      </c>
      <c r="J7899" s="989"/>
    </row>
    <row r="7900" spans="1:10" x14ac:dyDescent="0.2">
      <c r="A7900" s="859">
        <f t="shared" si="123"/>
        <v>7899</v>
      </c>
      <c r="B7900" s="845" t="s">
        <v>2621</v>
      </c>
      <c r="D7900" s="863"/>
      <c r="H7900" s="845" t="s">
        <v>1010</v>
      </c>
      <c r="J7900" s="989"/>
    </row>
    <row r="7901" spans="1:10" x14ac:dyDescent="0.2">
      <c r="A7901" s="859">
        <f t="shared" si="123"/>
        <v>7900</v>
      </c>
      <c r="B7901" s="845" t="s">
        <v>2621</v>
      </c>
      <c r="D7901" s="862"/>
      <c r="H7901" s="845" t="s">
        <v>1007</v>
      </c>
      <c r="J7901" s="989"/>
    </row>
    <row r="7902" spans="1:10" x14ac:dyDescent="0.2">
      <c r="A7902" s="859">
        <f t="shared" si="123"/>
        <v>7901</v>
      </c>
      <c r="B7902" s="845" t="s">
        <v>2621</v>
      </c>
      <c r="D7902" s="862"/>
      <c r="I7902" s="845" t="s">
        <v>2625</v>
      </c>
      <c r="J7902" s="989"/>
    </row>
    <row r="7903" spans="1:10" x14ac:dyDescent="0.2">
      <c r="A7903" s="859">
        <f t="shared" si="123"/>
        <v>7902</v>
      </c>
      <c r="B7903" s="845" t="s">
        <v>2621</v>
      </c>
      <c r="D7903" s="861"/>
      <c r="I7903" s="845" t="str">
        <f>CONCATENATE("&lt;valeur&gt;",Cellule_13537_3,"&lt;/valeur&gt;")</f>
        <v>&lt;valeur&gt;&lt;/valeur&gt;</v>
      </c>
      <c r="J7903" s="989"/>
    </row>
    <row r="7904" spans="1:10" x14ac:dyDescent="0.2">
      <c r="A7904" s="859">
        <f t="shared" si="123"/>
        <v>7903</v>
      </c>
      <c r="B7904" s="845" t="s">
        <v>2621</v>
      </c>
      <c r="D7904" s="861"/>
      <c r="I7904" s="845" t="s">
        <v>2578</v>
      </c>
      <c r="J7904" s="989"/>
    </row>
    <row r="7905" spans="1:10" x14ac:dyDescent="0.2">
      <c r="A7905" s="859">
        <f t="shared" si="123"/>
        <v>7904</v>
      </c>
      <c r="B7905" s="845" t="s">
        <v>2621</v>
      </c>
      <c r="D7905" s="862"/>
      <c r="H7905" s="845" t="s">
        <v>1010</v>
      </c>
      <c r="J7905" s="989"/>
    </row>
    <row r="7906" spans="1:10" x14ac:dyDescent="0.2">
      <c r="A7906" s="859">
        <f t="shared" si="123"/>
        <v>7905</v>
      </c>
      <c r="B7906" s="845" t="s">
        <v>2621</v>
      </c>
      <c r="D7906" s="863"/>
      <c r="H7906" s="845" t="s">
        <v>1007</v>
      </c>
      <c r="J7906" s="989"/>
    </row>
    <row r="7907" spans="1:10" x14ac:dyDescent="0.2">
      <c r="A7907" s="859">
        <f t="shared" si="123"/>
        <v>7906</v>
      </c>
      <c r="B7907" s="845" t="s">
        <v>2621</v>
      </c>
      <c r="D7907" s="862"/>
      <c r="I7907" s="845" t="s">
        <v>2626</v>
      </c>
      <c r="J7907" s="989"/>
    </row>
    <row r="7908" spans="1:10" x14ac:dyDescent="0.2">
      <c r="A7908" s="859">
        <f t="shared" si="123"/>
        <v>7907</v>
      </c>
      <c r="B7908" s="845" t="s">
        <v>2621</v>
      </c>
      <c r="D7908" s="862"/>
      <c r="I7908" s="845" t="str">
        <f>CONCATENATE("&lt;valeur&gt;",Cellule_2095_3,"&lt;/valeur&gt;")</f>
        <v>&lt;valeur&gt;&lt;/valeur&gt;</v>
      </c>
      <c r="J7908" s="989"/>
    </row>
    <row r="7909" spans="1:10" x14ac:dyDescent="0.2">
      <c r="A7909" s="859">
        <f t="shared" si="123"/>
        <v>7908</v>
      </c>
      <c r="B7909" s="845" t="s">
        <v>2621</v>
      </c>
      <c r="D7909" s="861"/>
      <c r="I7909" s="845" t="s">
        <v>2578</v>
      </c>
      <c r="J7909" s="989"/>
    </row>
    <row r="7910" spans="1:10" x14ac:dyDescent="0.2">
      <c r="A7910" s="859">
        <f t="shared" si="123"/>
        <v>7909</v>
      </c>
      <c r="B7910" s="845" t="s">
        <v>2621</v>
      </c>
      <c r="D7910" s="861"/>
      <c r="H7910" s="845" t="s">
        <v>1010</v>
      </c>
      <c r="J7910" s="989"/>
    </row>
    <row r="7911" spans="1:10" x14ac:dyDescent="0.2">
      <c r="A7911" s="859">
        <f t="shared" si="123"/>
        <v>7910</v>
      </c>
      <c r="B7911" s="845" t="s">
        <v>2621</v>
      </c>
      <c r="D7911" s="862"/>
      <c r="H7911" s="845" t="s">
        <v>1007</v>
      </c>
      <c r="J7911" s="989"/>
    </row>
    <row r="7912" spans="1:10" x14ac:dyDescent="0.2">
      <c r="A7912" s="859">
        <f t="shared" si="123"/>
        <v>7911</v>
      </c>
      <c r="B7912" s="845" t="s">
        <v>2621</v>
      </c>
      <c r="D7912" s="863"/>
      <c r="I7912" s="845" t="s">
        <v>2627</v>
      </c>
      <c r="J7912" s="989"/>
    </row>
    <row r="7913" spans="1:10" x14ac:dyDescent="0.2">
      <c r="A7913" s="859">
        <f t="shared" si="123"/>
        <v>7912</v>
      </c>
      <c r="B7913" s="845" t="s">
        <v>2621</v>
      </c>
      <c r="D7913" s="862"/>
      <c r="I7913" s="845" t="str">
        <f>CONCATENATE("&lt;valeur&gt;",Cellule_2096_3,"&lt;/valeur&gt;")</f>
        <v>&lt;valeur&gt;&lt;/valeur&gt;</v>
      </c>
      <c r="J7913" s="989"/>
    </row>
    <row r="7914" spans="1:10" x14ac:dyDescent="0.2">
      <c r="A7914" s="859">
        <f t="shared" si="123"/>
        <v>7913</v>
      </c>
      <c r="B7914" s="845" t="s">
        <v>2621</v>
      </c>
      <c r="D7914" s="862"/>
      <c r="I7914" s="845" t="s">
        <v>2578</v>
      </c>
      <c r="J7914" s="989"/>
    </row>
    <row r="7915" spans="1:10" x14ac:dyDescent="0.2">
      <c r="A7915" s="859">
        <f t="shared" si="123"/>
        <v>7914</v>
      </c>
      <c r="B7915" s="845" t="s">
        <v>2621</v>
      </c>
      <c r="D7915" s="861"/>
      <c r="H7915" s="845" t="s">
        <v>1010</v>
      </c>
      <c r="J7915" s="989"/>
    </row>
    <row r="7916" spans="1:10" x14ac:dyDescent="0.2">
      <c r="A7916" s="859">
        <f t="shared" si="123"/>
        <v>7915</v>
      </c>
      <c r="B7916" s="845" t="s">
        <v>2621</v>
      </c>
      <c r="D7916" s="861"/>
      <c r="H7916" s="845" t="s">
        <v>1007</v>
      </c>
      <c r="J7916" s="989"/>
    </row>
    <row r="7917" spans="1:10" x14ac:dyDescent="0.2">
      <c r="A7917" s="859">
        <f t="shared" si="123"/>
        <v>7916</v>
      </c>
      <c r="B7917" s="845" t="s">
        <v>2621</v>
      </c>
      <c r="D7917" s="862"/>
      <c r="I7917" s="845" t="s">
        <v>2628</v>
      </c>
      <c r="J7917" s="989"/>
    </row>
    <row r="7918" spans="1:10" x14ac:dyDescent="0.2">
      <c r="A7918" s="859">
        <f t="shared" si="123"/>
        <v>7917</v>
      </c>
      <c r="B7918" s="845" t="s">
        <v>2621</v>
      </c>
      <c r="D7918" s="863"/>
      <c r="I7918" s="845" t="str">
        <f>CONCATENATE("&lt;valeur&gt;",Cellule_2097_3,"&lt;/valeur&gt;")</f>
        <v>&lt;valeur&gt;0&lt;/valeur&gt;</v>
      </c>
      <c r="J7918" s="989"/>
    </row>
    <row r="7919" spans="1:10" x14ac:dyDescent="0.2">
      <c r="A7919" s="859">
        <f t="shared" si="123"/>
        <v>7918</v>
      </c>
      <c r="B7919" s="845" t="s">
        <v>2621</v>
      </c>
      <c r="D7919" s="862"/>
      <c r="I7919" s="845" t="s">
        <v>2578</v>
      </c>
      <c r="J7919" s="989"/>
    </row>
    <row r="7920" spans="1:10" x14ac:dyDescent="0.2">
      <c r="A7920" s="859">
        <f t="shared" si="123"/>
        <v>7919</v>
      </c>
      <c r="B7920" s="845" t="s">
        <v>2621</v>
      </c>
      <c r="D7920" s="862"/>
      <c r="H7920" s="845" t="s">
        <v>1010</v>
      </c>
      <c r="J7920" s="989"/>
    </row>
    <row r="7921" spans="1:10" x14ac:dyDescent="0.2">
      <c r="A7921" s="859">
        <f t="shared" si="123"/>
        <v>7920</v>
      </c>
      <c r="B7921" s="845" t="s">
        <v>2621</v>
      </c>
      <c r="D7921" s="861"/>
      <c r="H7921" s="845" t="s">
        <v>1007</v>
      </c>
      <c r="J7921" s="989"/>
    </row>
    <row r="7922" spans="1:10" x14ac:dyDescent="0.2">
      <c r="A7922" s="859">
        <f t="shared" si="123"/>
        <v>7921</v>
      </c>
      <c r="B7922" s="845" t="s">
        <v>2621</v>
      </c>
      <c r="D7922" s="861"/>
      <c r="I7922" s="845" t="s">
        <v>2629</v>
      </c>
      <c r="J7922" s="989"/>
    </row>
    <row r="7923" spans="1:10" x14ac:dyDescent="0.2">
      <c r="A7923" s="859">
        <f t="shared" si="123"/>
        <v>7922</v>
      </c>
      <c r="B7923" s="845" t="s">
        <v>2621</v>
      </c>
      <c r="D7923" s="862"/>
      <c r="I7923" s="845" t="str">
        <f>CONCATENATE("&lt;valeur&gt;",Cellule_2098_3,"&lt;/valeur&gt;")</f>
        <v>&lt;valeur&gt;&lt;/valeur&gt;</v>
      </c>
      <c r="J7923" s="989"/>
    </row>
    <row r="7924" spans="1:10" x14ac:dyDescent="0.2">
      <c r="A7924" s="859">
        <f t="shared" si="123"/>
        <v>7923</v>
      </c>
      <c r="B7924" s="845" t="s">
        <v>2621</v>
      </c>
      <c r="D7924" s="863"/>
      <c r="I7924" s="845" t="s">
        <v>2578</v>
      </c>
      <c r="J7924" s="989"/>
    </row>
    <row r="7925" spans="1:10" x14ac:dyDescent="0.2">
      <c r="A7925" s="859">
        <f t="shared" si="123"/>
        <v>7924</v>
      </c>
      <c r="B7925" s="845" t="s">
        <v>2621</v>
      </c>
      <c r="D7925" s="862"/>
      <c r="H7925" s="845" t="s">
        <v>1010</v>
      </c>
      <c r="J7925" s="989"/>
    </row>
    <row r="7926" spans="1:10" x14ac:dyDescent="0.2">
      <c r="A7926" s="859">
        <f t="shared" si="123"/>
        <v>7925</v>
      </c>
      <c r="B7926" s="845" t="s">
        <v>2621</v>
      </c>
      <c r="D7926" s="862"/>
      <c r="H7926" s="845" t="s">
        <v>1007</v>
      </c>
      <c r="J7926" s="989"/>
    </row>
    <row r="7927" spans="1:10" x14ac:dyDescent="0.2">
      <c r="A7927" s="859">
        <f t="shared" si="123"/>
        <v>7926</v>
      </c>
      <c r="B7927" s="845" t="s">
        <v>2621</v>
      </c>
      <c r="D7927" s="861"/>
      <c r="I7927" s="845" t="s">
        <v>2630</v>
      </c>
      <c r="J7927" s="989"/>
    </row>
    <row r="7928" spans="1:10" x14ac:dyDescent="0.2">
      <c r="A7928" s="859">
        <f t="shared" si="123"/>
        <v>7927</v>
      </c>
      <c r="B7928" s="845" t="s">
        <v>2621</v>
      </c>
      <c r="D7928" s="861"/>
      <c r="I7928" s="845" t="str">
        <f>CONCATENATE("&lt;valeur&gt;",Cellule_2099_3,"&lt;/valeur&gt;")</f>
        <v>&lt;valeur&gt;0&lt;/valeur&gt;</v>
      </c>
      <c r="J7928" s="989"/>
    </row>
    <row r="7929" spans="1:10" x14ac:dyDescent="0.2">
      <c r="A7929" s="859">
        <f t="shared" si="123"/>
        <v>7928</v>
      </c>
      <c r="B7929" s="845" t="s">
        <v>2621</v>
      </c>
      <c r="D7929" s="862"/>
      <c r="I7929" s="845" t="s">
        <v>2578</v>
      </c>
      <c r="J7929" s="989"/>
    </row>
    <row r="7930" spans="1:10" x14ac:dyDescent="0.2">
      <c r="A7930" s="859">
        <f t="shared" si="123"/>
        <v>7929</v>
      </c>
      <c r="B7930" s="845" t="s">
        <v>2621</v>
      </c>
      <c r="D7930" s="863"/>
      <c r="H7930" s="845" t="s">
        <v>1010</v>
      </c>
      <c r="J7930" s="989"/>
    </row>
    <row r="7931" spans="1:10" x14ac:dyDescent="0.2">
      <c r="A7931" s="859">
        <f t="shared" si="123"/>
        <v>7930</v>
      </c>
      <c r="B7931" s="845" t="s">
        <v>2621</v>
      </c>
      <c r="D7931" s="862"/>
      <c r="H7931" s="845" t="s">
        <v>1007</v>
      </c>
      <c r="J7931" s="989"/>
    </row>
    <row r="7932" spans="1:10" x14ac:dyDescent="0.2">
      <c r="A7932" s="859">
        <f t="shared" si="123"/>
        <v>7931</v>
      </c>
      <c r="B7932" s="845" t="s">
        <v>2621</v>
      </c>
      <c r="D7932" s="861"/>
      <c r="I7932" s="845" t="s">
        <v>2631</v>
      </c>
      <c r="J7932" s="989"/>
    </row>
    <row r="7933" spans="1:10" x14ac:dyDescent="0.2">
      <c r="A7933" s="859">
        <f t="shared" si="123"/>
        <v>7932</v>
      </c>
      <c r="B7933" s="845" t="s">
        <v>2621</v>
      </c>
      <c r="D7933" s="861"/>
      <c r="I7933" s="845" t="str">
        <f>CONCATENATE("&lt;valeur&gt;",Cellule_2100_3,"&lt;/valeur&gt;")</f>
        <v>&lt;valeur&gt;0&lt;/valeur&gt;</v>
      </c>
      <c r="J7933" s="989"/>
    </row>
    <row r="7934" spans="1:10" x14ac:dyDescent="0.2">
      <c r="A7934" s="859">
        <f t="shared" si="123"/>
        <v>7933</v>
      </c>
      <c r="B7934" s="845" t="s">
        <v>2621</v>
      </c>
      <c r="D7934" s="862"/>
      <c r="I7934" s="845" t="s">
        <v>2578</v>
      </c>
      <c r="J7934" s="989"/>
    </row>
    <row r="7935" spans="1:10" x14ac:dyDescent="0.2">
      <c r="A7935" s="859">
        <f t="shared" si="123"/>
        <v>7934</v>
      </c>
      <c r="B7935" s="845" t="s">
        <v>2621</v>
      </c>
      <c r="D7935" s="863"/>
      <c r="H7935" s="845" t="s">
        <v>1010</v>
      </c>
      <c r="J7935" s="989"/>
    </row>
    <row r="7936" spans="1:10" x14ac:dyDescent="0.2">
      <c r="A7936" s="859">
        <f t="shared" si="123"/>
        <v>7935</v>
      </c>
      <c r="B7936" s="845" t="s">
        <v>2621</v>
      </c>
      <c r="D7936" s="862"/>
      <c r="H7936" s="845" t="s">
        <v>1007</v>
      </c>
      <c r="J7936" s="989"/>
    </row>
    <row r="7937" spans="1:10" x14ac:dyDescent="0.2">
      <c r="A7937" s="859">
        <f t="shared" si="123"/>
        <v>7936</v>
      </c>
      <c r="B7937" s="845" t="s">
        <v>2621</v>
      </c>
      <c r="D7937" s="861"/>
      <c r="I7937" s="845" t="s">
        <v>2632</v>
      </c>
      <c r="J7937" s="989"/>
    </row>
    <row r="7938" spans="1:10" x14ac:dyDescent="0.2">
      <c r="A7938" s="859">
        <f t="shared" si="123"/>
        <v>7937</v>
      </c>
      <c r="B7938" s="845" t="s">
        <v>2621</v>
      </c>
      <c r="D7938" s="861"/>
      <c r="I7938" s="845" t="str">
        <f>CONCATENATE("&lt;valeur&gt;",Cellule_2101_3,"&lt;/valeur&gt;")</f>
        <v>&lt;valeur&gt;0&lt;/valeur&gt;</v>
      </c>
      <c r="J7938" s="989"/>
    </row>
    <row r="7939" spans="1:10" x14ac:dyDescent="0.2">
      <c r="A7939" s="859">
        <f t="shared" si="123"/>
        <v>7938</v>
      </c>
      <c r="B7939" s="845" t="s">
        <v>2621</v>
      </c>
      <c r="D7939" s="862"/>
      <c r="I7939" s="845" t="s">
        <v>2578</v>
      </c>
      <c r="J7939" s="989"/>
    </row>
    <row r="7940" spans="1:10" x14ac:dyDescent="0.2">
      <c r="A7940" s="859">
        <f t="shared" ref="A7940:A8003" si="124">+A7939+1</f>
        <v>7939</v>
      </c>
      <c r="B7940" s="991" t="s">
        <v>2621</v>
      </c>
      <c r="C7940" s="991"/>
      <c r="D7940" s="999"/>
      <c r="E7940" s="991"/>
      <c r="F7940" s="991"/>
      <c r="G7940" s="991"/>
      <c r="H7940" s="991" t="s">
        <v>1010</v>
      </c>
      <c r="I7940" s="991"/>
      <c r="J7940" s="1000"/>
    </row>
    <row r="7941" spans="1:10" x14ac:dyDescent="0.2">
      <c r="A7941" s="859">
        <f t="shared" si="124"/>
        <v>7940</v>
      </c>
      <c r="B7941" s="990" t="s">
        <v>2621</v>
      </c>
      <c r="C7941" s="990"/>
      <c r="D7941" s="998"/>
      <c r="E7941" s="990"/>
      <c r="F7941" s="990"/>
      <c r="G7941" s="990"/>
      <c r="H7941" s="990" t="s">
        <v>1007</v>
      </c>
      <c r="I7941" s="990"/>
      <c r="J7941" s="986"/>
    </row>
    <row r="7942" spans="1:10" x14ac:dyDescent="0.2">
      <c r="A7942" s="859">
        <f t="shared" si="124"/>
        <v>7941</v>
      </c>
      <c r="B7942" s="845" t="s">
        <v>2621</v>
      </c>
      <c r="D7942" s="861"/>
      <c r="I7942" s="845" t="s">
        <v>2623</v>
      </c>
      <c r="J7942" s="989"/>
    </row>
    <row r="7943" spans="1:10" x14ac:dyDescent="0.2">
      <c r="A7943" s="859">
        <f t="shared" si="124"/>
        <v>7942</v>
      </c>
      <c r="B7943" s="845" t="s">
        <v>2621</v>
      </c>
      <c r="D7943" s="862"/>
      <c r="I7943" s="845" t="str">
        <f>CONCATENATE("&lt;valeur&gt;",Cellule_2094_4,"&lt;/valeur&gt;")</f>
        <v>&lt;valeur&gt;&lt;/valeur&gt;</v>
      </c>
      <c r="J7943" s="989"/>
    </row>
    <row r="7944" spans="1:10" x14ac:dyDescent="0.2">
      <c r="A7944" s="859">
        <f t="shared" si="124"/>
        <v>7943</v>
      </c>
      <c r="B7944" s="845" t="s">
        <v>2621</v>
      </c>
      <c r="D7944" s="863"/>
      <c r="I7944" s="845" t="s">
        <v>2579</v>
      </c>
      <c r="J7944" s="989"/>
    </row>
    <row r="7945" spans="1:10" x14ac:dyDescent="0.2">
      <c r="A7945" s="859">
        <f t="shared" si="124"/>
        <v>7944</v>
      </c>
      <c r="B7945" s="845" t="s">
        <v>2621</v>
      </c>
      <c r="D7945" s="862"/>
      <c r="H7945" s="845" t="s">
        <v>1010</v>
      </c>
      <c r="J7945" s="989"/>
    </row>
    <row r="7946" spans="1:10" x14ac:dyDescent="0.2">
      <c r="A7946" s="859">
        <f t="shared" si="124"/>
        <v>7945</v>
      </c>
      <c r="B7946" s="845" t="s">
        <v>2621</v>
      </c>
      <c r="D7946" s="862"/>
      <c r="H7946" s="845" t="s">
        <v>1007</v>
      </c>
      <c r="J7946" s="989"/>
    </row>
    <row r="7947" spans="1:10" x14ac:dyDescent="0.2">
      <c r="A7947" s="859">
        <f t="shared" si="124"/>
        <v>7946</v>
      </c>
      <c r="B7947" s="845" t="s">
        <v>2621</v>
      </c>
      <c r="D7947" s="861"/>
      <c r="I7947" s="845" t="s">
        <v>2624</v>
      </c>
      <c r="J7947" s="989"/>
    </row>
    <row r="7948" spans="1:10" x14ac:dyDescent="0.2">
      <c r="A7948" s="859">
        <f t="shared" si="124"/>
        <v>7947</v>
      </c>
      <c r="B7948" s="845" t="s">
        <v>2621</v>
      </c>
      <c r="D7948" s="861"/>
      <c r="I7948" s="845" t="str">
        <f>CONCATENATE("&lt;valeur&gt;",Cellule_13536_4,"&lt;/valeur&gt;")</f>
        <v>&lt;valeur&gt;&lt;/valeur&gt;</v>
      </c>
      <c r="J7948" s="989"/>
    </row>
    <row r="7949" spans="1:10" x14ac:dyDescent="0.2">
      <c r="A7949" s="859">
        <f t="shared" si="124"/>
        <v>7948</v>
      </c>
      <c r="B7949" s="845" t="s">
        <v>2621</v>
      </c>
      <c r="D7949" s="862"/>
      <c r="I7949" s="845" t="s">
        <v>2579</v>
      </c>
      <c r="J7949" s="989"/>
    </row>
    <row r="7950" spans="1:10" x14ac:dyDescent="0.2">
      <c r="A7950" s="859">
        <f t="shared" si="124"/>
        <v>7949</v>
      </c>
      <c r="B7950" s="845" t="s">
        <v>2621</v>
      </c>
      <c r="D7950" s="863"/>
      <c r="H7950" s="845" t="s">
        <v>1010</v>
      </c>
      <c r="J7950" s="989"/>
    </row>
    <row r="7951" spans="1:10" x14ac:dyDescent="0.2">
      <c r="A7951" s="859">
        <f t="shared" si="124"/>
        <v>7950</v>
      </c>
      <c r="B7951" s="845" t="s">
        <v>2621</v>
      </c>
      <c r="D7951" s="862"/>
      <c r="H7951" s="845" t="s">
        <v>1007</v>
      </c>
      <c r="J7951" s="989"/>
    </row>
    <row r="7952" spans="1:10" x14ac:dyDescent="0.2">
      <c r="A7952" s="859">
        <f t="shared" si="124"/>
        <v>7951</v>
      </c>
      <c r="B7952" s="845" t="s">
        <v>2621</v>
      </c>
      <c r="D7952" s="862"/>
      <c r="I7952" s="845" t="s">
        <v>2625</v>
      </c>
      <c r="J7952" s="989"/>
    </row>
    <row r="7953" spans="1:10" x14ac:dyDescent="0.2">
      <c r="A7953" s="859">
        <f t="shared" si="124"/>
        <v>7952</v>
      </c>
      <c r="B7953" s="845" t="s">
        <v>2621</v>
      </c>
      <c r="D7953" s="861"/>
      <c r="I7953" s="845" t="str">
        <f>CONCATENATE("&lt;valeur&gt;",Cellule_13537_4,"&lt;/valeur&gt;")</f>
        <v>&lt;valeur&gt;&lt;/valeur&gt;</v>
      </c>
      <c r="J7953" s="989"/>
    </row>
    <row r="7954" spans="1:10" x14ac:dyDescent="0.2">
      <c r="A7954" s="859">
        <f t="shared" si="124"/>
        <v>7953</v>
      </c>
      <c r="B7954" s="845" t="s">
        <v>2621</v>
      </c>
      <c r="D7954" s="861"/>
      <c r="I7954" s="845" t="s">
        <v>2579</v>
      </c>
      <c r="J7954" s="989"/>
    </row>
    <row r="7955" spans="1:10" x14ac:dyDescent="0.2">
      <c r="A7955" s="859">
        <f t="shared" si="124"/>
        <v>7954</v>
      </c>
      <c r="B7955" s="845" t="s">
        <v>2621</v>
      </c>
      <c r="D7955" s="862"/>
      <c r="H7955" s="845" t="s">
        <v>1010</v>
      </c>
      <c r="J7955" s="989"/>
    </row>
    <row r="7956" spans="1:10" x14ac:dyDescent="0.2">
      <c r="A7956" s="859">
        <f t="shared" si="124"/>
        <v>7955</v>
      </c>
      <c r="B7956" s="845" t="s">
        <v>2621</v>
      </c>
      <c r="D7956" s="863"/>
      <c r="H7956" s="845" t="s">
        <v>1007</v>
      </c>
      <c r="J7956" s="989"/>
    </row>
    <row r="7957" spans="1:10" x14ac:dyDescent="0.2">
      <c r="A7957" s="859">
        <f t="shared" si="124"/>
        <v>7956</v>
      </c>
      <c r="B7957" s="845" t="s">
        <v>2621</v>
      </c>
      <c r="D7957" s="862"/>
      <c r="I7957" s="845" t="s">
        <v>2626</v>
      </c>
      <c r="J7957" s="989"/>
    </row>
    <row r="7958" spans="1:10" x14ac:dyDescent="0.2">
      <c r="A7958" s="859">
        <f t="shared" si="124"/>
        <v>7957</v>
      </c>
      <c r="B7958" s="845" t="s">
        <v>2621</v>
      </c>
      <c r="D7958" s="862"/>
      <c r="I7958" s="845" t="str">
        <f>CONCATENATE("&lt;valeur&gt;",Cellule_2095_4,"&lt;/valeur&gt;")</f>
        <v>&lt;valeur&gt;&lt;/valeur&gt;</v>
      </c>
      <c r="J7958" s="989"/>
    </row>
    <row r="7959" spans="1:10" x14ac:dyDescent="0.2">
      <c r="A7959" s="859">
        <f t="shared" si="124"/>
        <v>7958</v>
      </c>
      <c r="B7959" s="845" t="s">
        <v>2621</v>
      </c>
      <c r="D7959" s="861"/>
      <c r="I7959" s="845" t="s">
        <v>2579</v>
      </c>
      <c r="J7959" s="989"/>
    </row>
    <row r="7960" spans="1:10" x14ac:dyDescent="0.2">
      <c r="A7960" s="859">
        <f t="shared" si="124"/>
        <v>7959</v>
      </c>
      <c r="B7960" s="845" t="s">
        <v>2621</v>
      </c>
      <c r="D7960" s="861"/>
      <c r="H7960" s="845" t="s">
        <v>1010</v>
      </c>
      <c r="J7960" s="989"/>
    </row>
    <row r="7961" spans="1:10" x14ac:dyDescent="0.2">
      <c r="A7961" s="859">
        <f t="shared" si="124"/>
        <v>7960</v>
      </c>
      <c r="B7961" s="845" t="s">
        <v>2621</v>
      </c>
      <c r="D7961" s="862"/>
      <c r="H7961" s="845" t="s">
        <v>1007</v>
      </c>
      <c r="J7961" s="989"/>
    </row>
    <row r="7962" spans="1:10" x14ac:dyDescent="0.2">
      <c r="A7962" s="859">
        <f t="shared" si="124"/>
        <v>7961</v>
      </c>
      <c r="B7962" s="845" t="s">
        <v>2621</v>
      </c>
      <c r="D7962" s="863"/>
      <c r="I7962" s="845" t="s">
        <v>2627</v>
      </c>
      <c r="J7962" s="989"/>
    </row>
    <row r="7963" spans="1:10" x14ac:dyDescent="0.2">
      <c r="A7963" s="859">
        <f t="shared" si="124"/>
        <v>7962</v>
      </c>
      <c r="B7963" s="845" t="s">
        <v>2621</v>
      </c>
      <c r="D7963" s="862"/>
      <c r="I7963" s="845" t="str">
        <f>CONCATENATE("&lt;valeur&gt;",Cellule_2096_4,"&lt;/valeur&gt;")</f>
        <v>&lt;valeur&gt;&lt;/valeur&gt;</v>
      </c>
      <c r="J7963" s="989"/>
    </row>
    <row r="7964" spans="1:10" x14ac:dyDescent="0.2">
      <c r="A7964" s="859">
        <f t="shared" si="124"/>
        <v>7963</v>
      </c>
      <c r="B7964" s="845" t="s">
        <v>2621</v>
      </c>
      <c r="D7964" s="862"/>
      <c r="I7964" s="845" t="s">
        <v>2579</v>
      </c>
      <c r="J7964" s="989"/>
    </row>
    <row r="7965" spans="1:10" x14ac:dyDescent="0.2">
      <c r="A7965" s="859">
        <f t="shared" si="124"/>
        <v>7964</v>
      </c>
      <c r="B7965" s="845" t="s">
        <v>2621</v>
      </c>
      <c r="D7965" s="861"/>
      <c r="H7965" s="845" t="s">
        <v>1010</v>
      </c>
      <c r="J7965" s="989"/>
    </row>
    <row r="7966" spans="1:10" x14ac:dyDescent="0.2">
      <c r="A7966" s="859">
        <f t="shared" si="124"/>
        <v>7965</v>
      </c>
      <c r="B7966" s="845" t="s">
        <v>2621</v>
      </c>
      <c r="D7966" s="861"/>
      <c r="H7966" s="845" t="s">
        <v>1007</v>
      </c>
      <c r="J7966" s="989"/>
    </row>
    <row r="7967" spans="1:10" x14ac:dyDescent="0.2">
      <c r="A7967" s="859">
        <f t="shared" si="124"/>
        <v>7966</v>
      </c>
      <c r="B7967" s="845" t="s">
        <v>2621</v>
      </c>
      <c r="D7967" s="862"/>
      <c r="I7967" s="845" t="s">
        <v>2628</v>
      </c>
      <c r="J7967" s="989"/>
    </row>
    <row r="7968" spans="1:10" x14ac:dyDescent="0.2">
      <c r="A7968" s="859">
        <f t="shared" si="124"/>
        <v>7967</v>
      </c>
      <c r="B7968" s="845" t="s">
        <v>2621</v>
      </c>
      <c r="D7968" s="863"/>
      <c r="I7968" s="845" t="str">
        <f>CONCATENATE("&lt;valeur&gt;",Cellule_2097_4,"&lt;/valeur&gt;")</f>
        <v>&lt;valeur&gt;&lt;/valeur&gt;</v>
      </c>
      <c r="J7968" s="989"/>
    </row>
    <row r="7969" spans="1:10" x14ac:dyDescent="0.2">
      <c r="A7969" s="859">
        <f t="shared" si="124"/>
        <v>7968</v>
      </c>
      <c r="B7969" s="845" t="s">
        <v>2621</v>
      </c>
      <c r="D7969" s="862"/>
      <c r="I7969" s="845" t="s">
        <v>2579</v>
      </c>
      <c r="J7969" s="989"/>
    </row>
    <row r="7970" spans="1:10" x14ac:dyDescent="0.2">
      <c r="A7970" s="859">
        <f t="shared" si="124"/>
        <v>7969</v>
      </c>
      <c r="B7970" s="845" t="s">
        <v>2621</v>
      </c>
      <c r="D7970" s="862"/>
      <c r="H7970" s="845" t="s">
        <v>1010</v>
      </c>
      <c r="J7970" s="989"/>
    </row>
    <row r="7971" spans="1:10" x14ac:dyDescent="0.2">
      <c r="A7971" s="859">
        <f t="shared" si="124"/>
        <v>7970</v>
      </c>
      <c r="B7971" s="845" t="s">
        <v>2621</v>
      </c>
      <c r="D7971" s="861"/>
      <c r="H7971" s="845" t="s">
        <v>1007</v>
      </c>
      <c r="J7971" s="989"/>
    </row>
    <row r="7972" spans="1:10" x14ac:dyDescent="0.2">
      <c r="A7972" s="859">
        <f t="shared" si="124"/>
        <v>7971</v>
      </c>
      <c r="B7972" s="845" t="s">
        <v>2621</v>
      </c>
      <c r="D7972" s="861"/>
      <c r="I7972" s="845" t="s">
        <v>2629</v>
      </c>
      <c r="J7972" s="989"/>
    </row>
    <row r="7973" spans="1:10" x14ac:dyDescent="0.2">
      <c r="A7973" s="859">
        <f t="shared" si="124"/>
        <v>7972</v>
      </c>
      <c r="B7973" s="845" t="s">
        <v>2621</v>
      </c>
      <c r="D7973" s="862"/>
      <c r="I7973" s="845" t="str">
        <f>CONCATENATE("&lt;valeur&gt;",Cellule_2098_4,"&lt;/valeur&gt;")</f>
        <v>&lt;valeur&gt;&lt;/valeur&gt;</v>
      </c>
      <c r="J7973" s="989"/>
    </row>
    <row r="7974" spans="1:10" x14ac:dyDescent="0.2">
      <c r="A7974" s="859">
        <f t="shared" si="124"/>
        <v>7973</v>
      </c>
      <c r="B7974" s="845" t="s">
        <v>2621</v>
      </c>
      <c r="D7974" s="863"/>
      <c r="I7974" s="845" t="s">
        <v>2579</v>
      </c>
      <c r="J7974" s="989"/>
    </row>
    <row r="7975" spans="1:10" x14ac:dyDescent="0.2">
      <c r="A7975" s="859">
        <f t="shared" si="124"/>
        <v>7974</v>
      </c>
      <c r="B7975" s="845" t="s">
        <v>2621</v>
      </c>
      <c r="D7975" s="862"/>
      <c r="H7975" s="845" t="s">
        <v>1010</v>
      </c>
      <c r="J7975" s="989"/>
    </row>
    <row r="7976" spans="1:10" x14ac:dyDescent="0.2">
      <c r="A7976" s="859">
        <f t="shared" si="124"/>
        <v>7975</v>
      </c>
      <c r="B7976" s="845" t="s">
        <v>2621</v>
      </c>
      <c r="D7976" s="862"/>
      <c r="H7976" s="845" t="s">
        <v>1007</v>
      </c>
      <c r="J7976" s="989"/>
    </row>
    <row r="7977" spans="1:10" x14ac:dyDescent="0.2">
      <c r="A7977" s="859">
        <f t="shared" si="124"/>
        <v>7976</v>
      </c>
      <c r="B7977" s="845" t="s">
        <v>2621</v>
      </c>
      <c r="D7977" s="861"/>
      <c r="I7977" s="845" t="s">
        <v>2630</v>
      </c>
      <c r="J7977" s="989"/>
    </row>
    <row r="7978" spans="1:10" x14ac:dyDescent="0.2">
      <c r="A7978" s="859">
        <f t="shared" si="124"/>
        <v>7977</v>
      </c>
      <c r="B7978" s="845" t="s">
        <v>2621</v>
      </c>
      <c r="D7978" s="861"/>
      <c r="I7978" s="845" t="str">
        <f>CONCATENATE("&lt;valeur&gt;",Cellule_2099_4,"&lt;/valeur&gt;")</f>
        <v>&lt;valeur&gt;0&lt;/valeur&gt;</v>
      </c>
      <c r="J7978" s="989"/>
    </row>
    <row r="7979" spans="1:10" x14ac:dyDescent="0.2">
      <c r="A7979" s="859">
        <f t="shared" si="124"/>
        <v>7978</v>
      </c>
      <c r="B7979" s="845" t="s">
        <v>2621</v>
      </c>
      <c r="D7979" s="862"/>
      <c r="I7979" s="845" t="s">
        <v>2579</v>
      </c>
      <c r="J7979" s="989"/>
    </row>
    <row r="7980" spans="1:10" x14ac:dyDescent="0.2">
      <c r="A7980" s="859">
        <f t="shared" si="124"/>
        <v>7979</v>
      </c>
      <c r="B7980" s="845" t="s">
        <v>2621</v>
      </c>
      <c r="D7980" s="863"/>
      <c r="H7980" s="845" t="s">
        <v>1010</v>
      </c>
      <c r="J7980" s="989"/>
    </row>
    <row r="7981" spans="1:10" x14ac:dyDescent="0.2">
      <c r="A7981" s="859">
        <f t="shared" si="124"/>
        <v>7980</v>
      </c>
      <c r="B7981" s="845" t="s">
        <v>2621</v>
      </c>
      <c r="D7981" s="862"/>
      <c r="H7981" s="845" t="s">
        <v>1007</v>
      </c>
      <c r="J7981" s="989"/>
    </row>
    <row r="7982" spans="1:10" x14ac:dyDescent="0.2">
      <c r="A7982" s="859">
        <f t="shared" si="124"/>
        <v>7981</v>
      </c>
      <c r="B7982" s="845" t="s">
        <v>2621</v>
      </c>
      <c r="D7982" s="861"/>
      <c r="I7982" s="845" t="s">
        <v>2631</v>
      </c>
      <c r="J7982" s="989"/>
    </row>
    <row r="7983" spans="1:10" x14ac:dyDescent="0.2">
      <c r="A7983" s="859">
        <f t="shared" si="124"/>
        <v>7982</v>
      </c>
      <c r="B7983" s="845" t="s">
        <v>2621</v>
      </c>
      <c r="D7983" s="861"/>
      <c r="I7983" s="845" t="str">
        <f>CONCATENATE("&lt;valeur&gt;",Cellule_2100_4,"&lt;/valeur&gt;")</f>
        <v>&lt;valeur&gt;0&lt;/valeur&gt;</v>
      </c>
      <c r="J7983" s="989"/>
    </row>
    <row r="7984" spans="1:10" x14ac:dyDescent="0.2">
      <c r="A7984" s="859">
        <f t="shared" si="124"/>
        <v>7983</v>
      </c>
      <c r="B7984" s="845" t="s">
        <v>2621</v>
      </c>
      <c r="D7984" s="862"/>
      <c r="I7984" s="845" t="s">
        <v>2579</v>
      </c>
      <c r="J7984" s="989"/>
    </row>
    <row r="7985" spans="1:10" x14ac:dyDescent="0.2">
      <c r="A7985" s="859">
        <f t="shared" si="124"/>
        <v>7984</v>
      </c>
      <c r="B7985" s="845" t="s">
        <v>2621</v>
      </c>
      <c r="D7985" s="863"/>
      <c r="H7985" s="845" t="s">
        <v>1010</v>
      </c>
      <c r="J7985" s="989"/>
    </row>
    <row r="7986" spans="1:10" x14ac:dyDescent="0.2">
      <c r="A7986" s="859">
        <f t="shared" si="124"/>
        <v>7985</v>
      </c>
      <c r="B7986" s="845" t="s">
        <v>2621</v>
      </c>
      <c r="D7986" s="862"/>
      <c r="H7986" s="845" t="s">
        <v>1007</v>
      </c>
      <c r="J7986" s="989"/>
    </row>
    <row r="7987" spans="1:10" x14ac:dyDescent="0.2">
      <c r="A7987" s="859">
        <f t="shared" si="124"/>
        <v>7986</v>
      </c>
      <c r="B7987" s="845" t="s">
        <v>2621</v>
      </c>
      <c r="D7987" s="861"/>
      <c r="I7987" s="845" t="s">
        <v>2632</v>
      </c>
      <c r="J7987" s="989"/>
    </row>
    <row r="7988" spans="1:10" x14ac:dyDescent="0.2">
      <c r="A7988" s="859">
        <f t="shared" si="124"/>
        <v>7987</v>
      </c>
      <c r="B7988" s="845" t="s">
        <v>2621</v>
      </c>
      <c r="D7988" s="861"/>
      <c r="I7988" s="845" t="str">
        <f>CONCATENATE("&lt;valeur&gt;",Cellule_2101_4,"&lt;/valeur&gt;")</f>
        <v>&lt;valeur&gt;0&lt;/valeur&gt;</v>
      </c>
      <c r="J7988" s="989"/>
    </row>
    <row r="7989" spans="1:10" x14ac:dyDescent="0.2">
      <c r="A7989" s="859">
        <f t="shared" si="124"/>
        <v>7988</v>
      </c>
      <c r="B7989" s="845" t="s">
        <v>2621</v>
      </c>
      <c r="D7989" s="862"/>
      <c r="I7989" s="845" t="s">
        <v>2579</v>
      </c>
      <c r="J7989" s="989"/>
    </row>
    <row r="7990" spans="1:10" x14ac:dyDescent="0.2">
      <c r="A7990" s="859">
        <f t="shared" si="124"/>
        <v>7989</v>
      </c>
      <c r="B7990" s="991" t="s">
        <v>2621</v>
      </c>
      <c r="C7990" s="991"/>
      <c r="D7990" s="999"/>
      <c r="E7990" s="991"/>
      <c r="F7990" s="991"/>
      <c r="G7990" s="991"/>
      <c r="H7990" s="991" t="s">
        <v>1010</v>
      </c>
      <c r="I7990" s="991"/>
      <c r="J7990" s="1000"/>
    </row>
    <row r="7991" spans="1:10" x14ac:dyDescent="0.2">
      <c r="A7991" s="859">
        <f t="shared" si="124"/>
        <v>7990</v>
      </c>
      <c r="B7991" s="990" t="s">
        <v>2621</v>
      </c>
      <c r="C7991" s="990"/>
      <c r="D7991" s="998"/>
      <c r="E7991" s="990"/>
      <c r="F7991" s="990"/>
      <c r="G7991" s="990"/>
      <c r="H7991" s="990" t="s">
        <v>1007</v>
      </c>
      <c r="I7991" s="990"/>
      <c r="J7991" s="986"/>
    </row>
    <row r="7992" spans="1:10" x14ac:dyDescent="0.2">
      <c r="A7992" s="859">
        <f t="shared" si="124"/>
        <v>7991</v>
      </c>
      <c r="B7992" s="845" t="s">
        <v>2621</v>
      </c>
      <c r="D7992" s="861"/>
      <c r="I7992" s="845" t="s">
        <v>2623</v>
      </c>
      <c r="J7992" s="989"/>
    </row>
    <row r="7993" spans="1:10" x14ac:dyDescent="0.2">
      <c r="A7993" s="859">
        <f t="shared" si="124"/>
        <v>7992</v>
      </c>
      <c r="B7993" s="845" t="s">
        <v>2621</v>
      </c>
      <c r="D7993" s="862"/>
      <c r="I7993" s="845" t="str">
        <f>CONCATENATE("&lt;valeur&gt;",Cellule_2094_5,"&lt;/valeur&gt;")</f>
        <v>&lt;valeur&gt;&lt;/valeur&gt;</v>
      </c>
      <c r="J7993" s="989"/>
    </row>
    <row r="7994" spans="1:10" x14ac:dyDescent="0.2">
      <c r="A7994" s="859">
        <f t="shared" si="124"/>
        <v>7993</v>
      </c>
      <c r="B7994" s="845" t="s">
        <v>2621</v>
      </c>
      <c r="D7994" s="863"/>
      <c r="I7994" s="845" t="s">
        <v>2580</v>
      </c>
      <c r="J7994" s="989"/>
    </row>
    <row r="7995" spans="1:10" x14ac:dyDescent="0.2">
      <c r="A7995" s="859">
        <f t="shared" si="124"/>
        <v>7994</v>
      </c>
      <c r="B7995" s="845" t="s">
        <v>2621</v>
      </c>
      <c r="D7995" s="862"/>
      <c r="H7995" s="845" t="s">
        <v>1010</v>
      </c>
      <c r="J7995" s="989"/>
    </row>
    <row r="7996" spans="1:10" x14ac:dyDescent="0.2">
      <c r="A7996" s="859">
        <f t="shared" si="124"/>
        <v>7995</v>
      </c>
      <c r="B7996" s="845" t="s">
        <v>2621</v>
      </c>
      <c r="D7996" s="862"/>
      <c r="H7996" s="845" t="s">
        <v>1007</v>
      </c>
      <c r="J7996" s="989"/>
    </row>
    <row r="7997" spans="1:10" x14ac:dyDescent="0.2">
      <c r="A7997" s="859">
        <f t="shared" si="124"/>
        <v>7996</v>
      </c>
      <c r="B7997" s="845" t="s">
        <v>2621</v>
      </c>
      <c r="D7997" s="861"/>
      <c r="I7997" s="845" t="s">
        <v>2624</v>
      </c>
      <c r="J7997" s="989"/>
    </row>
    <row r="7998" spans="1:10" x14ac:dyDescent="0.2">
      <c r="A7998" s="859">
        <f t="shared" si="124"/>
        <v>7997</v>
      </c>
      <c r="B7998" s="845" t="s">
        <v>2621</v>
      </c>
      <c r="D7998" s="861"/>
      <c r="I7998" s="845" t="str">
        <f>CONCATENATE("&lt;valeur&gt;",Cellule_13536_5,"&lt;/valeur&gt;")</f>
        <v>&lt;valeur&gt;&lt;/valeur&gt;</v>
      </c>
      <c r="J7998" s="989"/>
    </row>
    <row r="7999" spans="1:10" x14ac:dyDescent="0.2">
      <c r="A7999" s="859">
        <f t="shared" si="124"/>
        <v>7998</v>
      </c>
      <c r="B7999" s="845" t="s">
        <v>2621</v>
      </c>
      <c r="D7999" s="862"/>
      <c r="I7999" s="845" t="s">
        <v>2580</v>
      </c>
      <c r="J7999" s="989"/>
    </row>
    <row r="8000" spans="1:10" x14ac:dyDescent="0.2">
      <c r="A8000" s="859">
        <f t="shared" si="124"/>
        <v>7999</v>
      </c>
      <c r="B8000" s="845" t="s">
        <v>2621</v>
      </c>
      <c r="D8000" s="863"/>
      <c r="H8000" s="845" t="s">
        <v>1010</v>
      </c>
      <c r="J8000" s="989"/>
    </row>
    <row r="8001" spans="1:10" x14ac:dyDescent="0.2">
      <c r="A8001" s="859">
        <f t="shared" si="124"/>
        <v>8000</v>
      </c>
      <c r="B8001" s="845" t="s">
        <v>2621</v>
      </c>
      <c r="D8001" s="862"/>
      <c r="H8001" s="845" t="s">
        <v>1007</v>
      </c>
      <c r="J8001" s="989"/>
    </row>
    <row r="8002" spans="1:10" x14ac:dyDescent="0.2">
      <c r="A8002" s="859">
        <f t="shared" si="124"/>
        <v>8001</v>
      </c>
      <c r="B8002" s="845" t="s">
        <v>2621</v>
      </c>
      <c r="D8002" s="862"/>
      <c r="I8002" s="845" t="s">
        <v>2625</v>
      </c>
      <c r="J8002" s="989"/>
    </row>
    <row r="8003" spans="1:10" x14ac:dyDescent="0.2">
      <c r="A8003" s="859">
        <f t="shared" si="124"/>
        <v>8002</v>
      </c>
      <c r="B8003" s="845" t="s">
        <v>2621</v>
      </c>
      <c r="D8003" s="861"/>
      <c r="I8003" s="845" t="str">
        <f>CONCATENATE("&lt;valeur&gt;",Cellule_13537_5,"&lt;/valeur&gt;")</f>
        <v>&lt;valeur&gt;&lt;/valeur&gt;</v>
      </c>
      <c r="J8003" s="989"/>
    </row>
    <row r="8004" spans="1:10" x14ac:dyDescent="0.2">
      <c r="A8004" s="859">
        <f t="shared" ref="A8004:A8067" si="125">+A8003+1</f>
        <v>8003</v>
      </c>
      <c r="B8004" s="845" t="s">
        <v>2621</v>
      </c>
      <c r="D8004" s="861"/>
      <c r="I8004" s="845" t="s">
        <v>2580</v>
      </c>
      <c r="J8004" s="989"/>
    </row>
    <row r="8005" spans="1:10" x14ac:dyDescent="0.2">
      <c r="A8005" s="859">
        <f t="shared" si="125"/>
        <v>8004</v>
      </c>
      <c r="B8005" s="845" t="s">
        <v>2621</v>
      </c>
      <c r="D8005" s="862"/>
      <c r="H8005" s="845" t="s">
        <v>1010</v>
      </c>
      <c r="J8005" s="989"/>
    </row>
    <row r="8006" spans="1:10" x14ac:dyDescent="0.2">
      <c r="A8006" s="859">
        <f t="shared" si="125"/>
        <v>8005</v>
      </c>
      <c r="B8006" s="845" t="s">
        <v>2621</v>
      </c>
      <c r="D8006" s="863"/>
      <c r="H8006" s="845" t="s">
        <v>1007</v>
      </c>
      <c r="J8006" s="989"/>
    </row>
    <row r="8007" spans="1:10" x14ac:dyDescent="0.2">
      <c r="A8007" s="859">
        <f t="shared" si="125"/>
        <v>8006</v>
      </c>
      <c r="B8007" s="845" t="s">
        <v>2621</v>
      </c>
      <c r="D8007" s="862"/>
      <c r="I8007" s="845" t="s">
        <v>2626</v>
      </c>
      <c r="J8007" s="989"/>
    </row>
    <row r="8008" spans="1:10" x14ac:dyDescent="0.2">
      <c r="A8008" s="859">
        <f t="shared" si="125"/>
        <v>8007</v>
      </c>
      <c r="B8008" s="845" t="s">
        <v>2621</v>
      </c>
      <c r="D8008" s="862"/>
      <c r="I8008" s="845" t="str">
        <f>CONCATENATE("&lt;valeur&gt;",Cellule_2095_5,"&lt;/valeur&gt;")</f>
        <v>&lt;valeur&gt;&lt;/valeur&gt;</v>
      </c>
      <c r="J8008" s="989"/>
    </row>
    <row r="8009" spans="1:10" x14ac:dyDescent="0.2">
      <c r="A8009" s="859">
        <f t="shared" si="125"/>
        <v>8008</v>
      </c>
      <c r="B8009" s="845" t="s">
        <v>2621</v>
      </c>
      <c r="D8009" s="861"/>
      <c r="I8009" s="845" t="s">
        <v>2580</v>
      </c>
      <c r="J8009" s="989"/>
    </row>
    <row r="8010" spans="1:10" x14ac:dyDescent="0.2">
      <c r="A8010" s="859">
        <f t="shared" si="125"/>
        <v>8009</v>
      </c>
      <c r="B8010" s="845" t="s">
        <v>2621</v>
      </c>
      <c r="D8010" s="861"/>
      <c r="H8010" s="845" t="s">
        <v>1010</v>
      </c>
      <c r="J8010" s="989"/>
    </row>
    <row r="8011" spans="1:10" x14ac:dyDescent="0.2">
      <c r="A8011" s="859">
        <f t="shared" si="125"/>
        <v>8010</v>
      </c>
      <c r="B8011" s="845" t="s">
        <v>2621</v>
      </c>
      <c r="D8011" s="862"/>
      <c r="H8011" s="845" t="s">
        <v>1007</v>
      </c>
      <c r="J8011" s="989"/>
    </row>
    <row r="8012" spans="1:10" x14ac:dyDescent="0.2">
      <c r="A8012" s="859">
        <f t="shared" si="125"/>
        <v>8011</v>
      </c>
      <c r="B8012" s="845" t="s">
        <v>2621</v>
      </c>
      <c r="D8012" s="863"/>
      <c r="I8012" s="845" t="s">
        <v>2627</v>
      </c>
      <c r="J8012" s="989"/>
    </row>
    <row r="8013" spans="1:10" x14ac:dyDescent="0.2">
      <c r="A8013" s="859">
        <f t="shared" si="125"/>
        <v>8012</v>
      </c>
      <c r="B8013" s="845" t="s">
        <v>2621</v>
      </c>
      <c r="D8013" s="862"/>
      <c r="I8013" s="845" t="str">
        <f>CONCATENATE("&lt;valeur&gt;",Cellule_2096_5,"&lt;/valeur&gt;")</f>
        <v>&lt;valeur&gt;&lt;/valeur&gt;</v>
      </c>
      <c r="J8013" s="989"/>
    </row>
    <row r="8014" spans="1:10" x14ac:dyDescent="0.2">
      <c r="A8014" s="859">
        <f t="shared" si="125"/>
        <v>8013</v>
      </c>
      <c r="B8014" s="845" t="s">
        <v>2621</v>
      </c>
      <c r="D8014" s="862"/>
      <c r="I8014" s="845" t="s">
        <v>2580</v>
      </c>
      <c r="J8014" s="989"/>
    </row>
    <row r="8015" spans="1:10" x14ac:dyDescent="0.2">
      <c r="A8015" s="859">
        <f t="shared" si="125"/>
        <v>8014</v>
      </c>
      <c r="B8015" s="845" t="s">
        <v>2621</v>
      </c>
      <c r="D8015" s="861"/>
      <c r="H8015" s="845" t="s">
        <v>1010</v>
      </c>
      <c r="J8015" s="989"/>
    </row>
    <row r="8016" spans="1:10" x14ac:dyDescent="0.2">
      <c r="A8016" s="859">
        <f t="shared" si="125"/>
        <v>8015</v>
      </c>
      <c r="B8016" s="845" t="s">
        <v>2621</v>
      </c>
      <c r="D8016" s="861"/>
      <c r="H8016" s="845" t="s">
        <v>1007</v>
      </c>
      <c r="J8016" s="989"/>
    </row>
    <row r="8017" spans="1:10" x14ac:dyDescent="0.2">
      <c r="A8017" s="859">
        <f t="shared" si="125"/>
        <v>8016</v>
      </c>
      <c r="B8017" s="845" t="s">
        <v>2621</v>
      </c>
      <c r="D8017" s="862"/>
      <c r="I8017" s="845" t="s">
        <v>2628</v>
      </c>
      <c r="J8017" s="989"/>
    </row>
    <row r="8018" spans="1:10" x14ac:dyDescent="0.2">
      <c r="A8018" s="859">
        <f t="shared" si="125"/>
        <v>8017</v>
      </c>
      <c r="B8018" s="845" t="s">
        <v>2621</v>
      </c>
      <c r="D8018" s="863"/>
      <c r="I8018" s="845" t="str">
        <f>CONCATENATE("&lt;valeur&gt;",Cellule_2097_5,"&lt;/valeur&gt;")</f>
        <v>&lt;valeur&gt;&lt;/valeur&gt;</v>
      </c>
      <c r="J8018" s="989"/>
    </row>
    <row r="8019" spans="1:10" x14ac:dyDescent="0.2">
      <c r="A8019" s="859">
        <f t="shared" si="125"/>
        <v>8018</v>
      </c>
      <c r="B8019" s="845" t="s">
        <v>2621</v>
      </c>
      <c r="D8019" s="862"/>
      <c r="I8019" s="845" t="s">
        <v>2580</v>
      </c>
      <c r="J8019" s="989"/>
    </row>
    <row r="8020" spans="1:10" x14ac:dyDescent="0.2">
      <c r="A8020" s="859">
        <f t="shared" si="125"/>
        <v>8019</v>
      </c>
      <c r="B8020" s="845" t="s">
        <v>2621</v>
      </c>
      <c r="D8020" s="862"/>
      <c r="H8020" s="845" t="s">
        <v>1010</v>
      </c>
      <c r="J8020" s="989"/>
    </row>
    <row r="8021" spans="1:10" x14ac:dyDescent="0.2">
      <c r="A8021" s="859">
        <f t="shared" si="125"/>
        <v>8020</v>
      </c>
      <c r="B8021" s="845" t="s">
        <v>2621</v>
      </c>
      <c r="D8021" s="861"/>
      <c r="H8021" s="845" t="s">
        <v>1007</v>
      </c>
      <c r="J8021" s="989"/>
    </row>
    <row r="8022" spans="1:10" x14ac:dyDescent="0.2">
      <c r="A8022" s="859">
        <f t="shared" si="125"/>
        <v>8021</v>
      </c>
      <c r="B8022" s="845" t="s">
        <v>2621</v>
      </c>
      <c r="D8022" s="861"/>
      <c r="I8022" s="845" t="s">
        <v>2629</v>
      </c>
      <c r="J8022" s="989"/>
    </row>
    <row r="8023" spans="1:10" x14ac:dyDescent="0.2">
      <c r="A8023" s="859">
        <f t="shared" si="125"/>
        <v>8022</v>
      </c>
      <c r="B8023" s="845" t="s">
        <v>2621</v>
      </c>
      <c r="D8023" s="862"/>
      <c r="I8023" s="845" t="str">
        <f>CONCATENATE("&lt;valeur&gt;",Cellule_2098_5,"&lt;/valeur&gt;")</f>
        <v>&lt;valeur&gt;&lt;/valeur&gt;</v>
      </c>
      <c r="J8023" s="989"/>
    </row>
    <row r="8024" spans="1:10" x14ac:dyDescent="0.2">
      <c r="A8024" s="859">
        <f t="shared" si="125"/>
        <v>8023</v>
      </c>
      <c r="B8024" s="845" t="s">
        <v>2621</v>
      </c>
      <c r="D8024" s="863"/>
      <c r="I8024" s="845" t="s">
        <v>2580</v>
      </c>
      <c r="J8024" s="989"/>
    </row>
    <row r="8025" spans="1:10" x14ac:dyDescent="0.2">
      <c r="A8025" s="859">
        <f t="shared" si="125"/>
        <v>8024</v>
      </c>
      <c r="B8025" s="845" t="s">
        <v>2621</v>
      </c>
      <c r="D8025" s="862"/>
      <c r="H8025" s="845" t="s">
        <v>1010</v>
      </c>
      <c r="J8025" s="989"/>
    </row>
    <row r="8026" spans="1:10" x14ac:dyDescent="0.2">
      <c r="A8026" s="859">
        <f t="shared" si="125"/>
        <v>8025</v>
      </c>
      <c r="B8026" s="845" t="s">
        <v>2621</v>
      </c>
      <c r="D8026" s="862"/>
      <c r="H8026" s="845" t="s">
        <v>1007</v>
      </c>
      <c r="J8026" s="989"/>
    </row>
    <row r="8027" spans="1:10" x14ac:dyDescent="0.2">
      <c r="A8027" s="859">
        <f t="shared" si="125"/>
        <v>8026</v>
      </c>
      <c r="B8027" s="845" t="s">
        <v>2621</v>
      </c>
      <c r="D8027" s="861"/>
      <c r="I8027" s="845" t="s">
        <v>2630</v>
      </c>
      <c r="J8027" s="989"/>
    </row>
    <row r="8028" spans="1:10" x14ac:dyDescent="0.2">
      <c r="A8028" s="859">
        <f t="shared" si="125"/>
        <v>8027</v>
      </c>
      <c r="B8028" s="845" t="s">
        <v>2621</v>
      </c>
      <c r="D8028" s="861"/>
      <c r="I8028" s="845" t="str">
        <f>CONCATENATE("&lt;valeur&gt;",Cellule_2099_5,"&lt;/valeur&gt;")</f>
        <v>&lt;valeur&gt;0&lt;/valeur&gt;</v>
      </c>
      <c r="J8028" s="989"/>
    </row>
    <row r="8029" spans="1:10" x14ac:dyDescent="0.2">
      <c r="A8029" s="859">
        <f t="shared" si="125"/>
        <v>8028</v>
      </c>
      <c r="B8029" s="845" t="s">
        <v>2621</v>
      </c>
      <c r="D8029" s="862"/>
      <c r="I8029" s="845" t="s">
        <v>2580</v>
      </c>
      <c r="J8029" s="989"/>
    </row>
    <row r="8030" spans="1:10" x14ac:dyDescent="0.2">
      <c r="A8030" s="859">
        <f t="shared" si="125"/>
        <v>8029</v>
      </c>
      <c r="B8030" s="845" t="s">
        <v>2621</v>
      </c>
      <c r="D8030" s="863"/>
      <c r="H8030" s="845" t="s">
        <v>1010</v>
      </c>
      <c r="J8030" s="989"/>
    </row>
    <row r="8031" spans="1:10" x14ac:dyDescent="0.2">
      <c r="A8031" s="859">
        <f t="shared" si="125"/>
        <v>8030</v>
      </c>
      <c r="B8031" s="845" t="s">
        <v>2621</v>
      </c>
      <c r="D8031" s="862"/>
      <c r="H8031" s="845" t="s">
        <v>1007</v>
      </c>
      <c r="J8031" s="989"/>
    </row>
    <row r="8032" spans="1:10" x14ac:dyDescent="0.2">
      <c r="A8032" s="859">
        <f t="shared" si="125"/>
        <v>8031</v>
      </c>
      <c r="B8032" s="845" t="s">
        <v>2621</v>
      </c>
      <c r="D8032" s="861"/>
      <c r="I8032" s="845" t="s">
        <v>2631</v>
      </c>
      <c r="J8032" s="989"/>
    </row>
    <row r="8033" spans="1:10" x14ac:dyDescent="0.2">
      <c r="A8033" s="859">
        <f t="shared" si="125"/>
        <v>8032</v>
      </c>
      <c r="B8033" s="845" t="s">
        <v>2621</v>
      </c>
      <c r="D8033" s="861"/>
      <c r="I8033" s="845" t="str">
        <f>CONCATENATE("&lt;valeur&gt;",Cellule_2100_5,"&lt;/valeur&gt;")</f>
        <v>&lt;valeur&gt;0&lt;/valeur&gt;</v>
      </c>
      <c r="J8033" s="989"/>
    </row>
    <row r="8034" spans="1:10" x14ac:dyDescent="0.2">
      <c r="A8034" s="859">
        <f t="shared" si="125"/>
        <v>8033</v>
      </c>
      <c r="B8034" s="845" t="s">
        <v>2621</v>
      </c>
      <c r="D8034" s="862"/>
      <c r="I8034" s="845" t="s">
        <v>2580</v>
      </c>
      <c r="J8034" s="989"/>
    </row>
    <row r="8035" spans="1:10" x14ac:dyDescent="0.2">
      <c r="A8035" s="859">
        <f t="shared" si="125"/>
        <v>8034</v>
      </c>
      <c r="B8035" s="845" t="s">
        <v>2621</v>
      </c>
      <c r="D8035" s="863"/>
      <c r="H8035" s="845" t="s">
        <v>1010</v>
      </c>
      <c r="J8035" s="989"/>
    </row>
    <row r="8036" spans="1:10" x14ac:dyDescent="0.2">
      <c r="A8036" s="859">
        <f t="shared" si="125"/>
        <v>8035</v>
      </c>
      <c r="B8036" s="845" t="s">
        <v>2621</v>
      </c>
      <c r="D8036" s="862"/>
      <c r="H8036" s="845" t="s">
        <v>1007</v>
      </c>
      <c r="J8036" s="989"/>
    </row>
    <row r="8037" spans="1:10" x14ac:dyDescent="0.2">
      <c r="A8037" s="859">
        <f t="shared" si="125"/>
        <v>8036</v>
      </c>
      <c r="B8037" s="845" t="s">
        <v>2621</v>
      </c>
      <c r="D8037" s="861"/>
      <c r="I8037" s="845" t="s">
        <v>2632</v>
      </c>
      <c r="J8037" s="989"/>
    </row>
    <row r="8038" spans="1:10" x14ac:dyDescent="0.2">
      <c r="A8038" s="859">
        <f t="shared" si="125"/>
        <v>8037</v>
      </c>
      <c r="B8038" s="845" t="s">
        <v>2621</v>
      </c>
      <c r="D8038" s="861"/>
      <c r="I8038" s="845" t="str">
        <f>CONCATENATE("&lt;valeur&gt;",Cellule_2101_5,"&lt;/valeur&gt;")</f>
        <v>&lt;valeur&gt;0&lt;/valeur&gt;</v>
      </c>
      <c r="J8038" s="989"/>
    </row>
    <row r="8039" spans="1:10" x14ac:dyDescent="0.2">
      <c r="A8039" s="859">
        <f t="shared" si="125"/>
        <v>8038</v>
      </c>
      <c r="B8039" s="845" t="s">
        <v>2621</v>
      </c>
      <c r="D8039" s="862"/>
      <c r="I8039" s="845" t="s">
        <v>2580</v>
      </c>
      <c r="J8039" s="989"/>
    </row>
    <row r="8040" spans="1:10" x14ac:dyDescent="0.2">
      <c r="A8040" s="859">
        <f t="shared" si="125"/>
        <v>8039</v>
      </c>
      <c r="B8040" s="991" t="s">
        <v>2621</v>
      </c>
      <c r="C8040" s="991"/>
      <c r="D8040" s="999"/>
      <c r="E8040" s="991"/>
      <c r="F8040" s="991"/>
      <c r="G8040" s="991"/>
      <c r="H8040" s="991" t="s">
        <v>1010</v>
      </c>
      <c r="I8040" s="991"/>
      <c r="J8040" s="1000"/>
    </row>
    <row r="8041" spans="1:10" x14ac:dyDescent="0.2">
      <c r="A8041" s="859">
        <f t="shared" si="125"/>
        <v>8040</v>
      </c>
      <c r="B8041" s="990" t="s">
        <v>2621</v>
      </c>
      <c r="C8041" s="990"/>
      <c r="D8041" s="998"/>
      <c r="E8041" s="990"/>
      <c r="F8041" s="990"/>
      <c r="G8041" s="990"/>
      <c r="H8041" s="990" t="s">
        <v>1007</v>
      </c>
      <c r="I8041" s="990"/>
      <c r="J8041" s="986"/>
    </row>
    <row r="8042" spans="1:10" x14ac:dyDescent="0.2">
      <c r="A8042" s="859">
        <f t="shared" si="125"/>
        <v>8041</v>
      </c>
      <c r="B8042" s="845" t="s">
        <v>2621</v>
      </c>
      <c r="D8042" s="861"/>
      <c r="I8042" s="845" t="s">
        <v>2623</v>
      </c>
      <c r="J8042" s="989"/>
    </row>
    <row r="8043" spans="1:10" x14ac:dyDescent="0.2">
      <c r="A8043" s="859">
        <f t="shared" si="125"/>
        <v>8042</v>
      </c>
      <c r="B8043" s="845" t="s">
        <v>2621</v>
      </c>
      <c r="D8043" s="862"/>
      <c r="I8043" s="845" t="str">
        <f>CONCATENATE("&lt;valeur&gt;",Cellule_2094_6,"&lt;/valeur&gt;")</f>
        <v>&lt;valeur&gt;&lt;/valeur&gt;</v>
      </c>
      <c r="J8043" s="989"/>
    </row>
    <row r="8044" spans="1:10" x14ac:dyDescent="0.2">
      <c r="A8044" s="859">
        <f t="shared" si="125"/>
        <v>8043</v>
      </c>
      <c r="B8044" s="845" t="s">
        <v>2621</v>
      </c>
      <c r="D8044" s="863"/>
      <c r="I8044" s="845" t="s">
        <v>2581</v>
      </c>
      <c r="J8044" s="989"/>
    </row>
    <row r="8045" spans="1:10" x14ac:dyDescent="0.2">
      <c r="A8045" s="859">
        <f t="shared" si="125"/>
        <v>8044</v>
      </c>
      <c r="B8045" s="845" t="s">
        <v>2621</v>
      </c>
      <c r="D8045" s="862"/>
      <c r="H8045" s="845" t="s">
        <v>1010</v>
      </c>
      <c r="J8045" s="989"/>
    </row>
    <row r="8046" spans="1:10" x14ac:dyDescent="0.2">
      <c r="A8046" s="859">
        <f t="shared" si="125"/>
        <v>8045</v>
      </c>
      <c r="B8046" s="845" t="s">
        <v>2621</v>
      </c>
      <c r="D8046" s="862"/>
      <c r="H8046" s="845" t="s">
        <v>1007</v>
      </c>
      <c r="J8046" s="989"/>
    </row>
    <row r="8047" spans="1:10" x14ac:dyDescent="0.2">
      <c r="A8047" s="859">
        <f t="shared" si="125"/>
        <v>8046</v>
      </c>
      <c r="B8047" s="845" t="s">
        <v>2621</v>
      </c>
      <c r="D8047" s="861"/>
      <c r="I8047" s="845" t="s">
        <v>2624</v>
      </c>
      <c r="J8047" s="989"/>
    </row>
    <row r="8048" spans="1:10" x14ac:dyDescent="0.2">
      <c r="A8048" s="859">
        <f t="shared" si="125"/>
        <v>8047</v>
      </c>
      <c r="B8048" s="845" t="s">
        <v>2621</v>
      </c>
      <c r="D8048" s="861"/>
      <c r="I8048" s="845" t="str">
        <f>CONCATENATE("&lt;valeur&gt;",Cellule_13536_6,"&lt;/valeur&gt;")</f>
        <v>&lt;valeur&gt;&lt;/valeur&gt;</v>
      </c>
      <c r="J8048" s="989"/>
    </row>
    <row r="8049" spans="1:10" x14ac:dyDescent="0.2">
      <c r="A8049" s="859">
        <f t="shared" si="125"/>
        <v>8048</v>
      </c>
      <c r="B8049" s="845" t="s">
        <v>2621</v>
      </c>
      <c r="D8049" s="862"/>
      <c r="I8049" s="845" t="s">
        <v>2581</v>
      </c>
      <c r="J8049" s="989"/>
    </row>
    <row r="8050" spans="1:10" x14ac:dyDescent="0.2">
      <c r="A8050" s="859">
        <f t="shared" si="125"/>
        <v>8049</v>
      </c>
      <c r="B8050" s="845" t="s">
        <v>2621</v>
      </c>
      <c r="D8050" s="863"/>
      <c r="H8050" s="845" t="s">
        <v>1010</v>
      </c>
      <c r="J8050" s="989"/>
    </row>
    <row r="8051" spans="1:10" x14ac:dyDescent="0.2">
      <c r="A8051" s="859">
        <f t="shared" si="125"/>
        <v>8050</v>
      </c>
      <c r="B8051" s="845" t="s">
        <v>2621</v>
      </c>
      <c r="D8051" s="862"/>
      <c r="H8051" s="845" t="s">
        <v>1007</v>
      </c>
      <c r="J8051" s="989"/>
    </row>
    <row r="8052" spans="1:10" x14ac:dyDescent="0.2">
      <c r="A8052" s="859">
        <f t="shared" si="125"/>
        <v>8051</v>
      </c>
      <c r="B8052" s="845" t="s">
        <v>2621</v>
      </c>
      <c r="D8052" s="862"/>
      <c r="I8052" s="845" t="s">
        <v>2625</v>
      </c>
      <c r="J8052" s="989"/>
    </row>
    <row r="8053" spans="1:10" x14ac:dyDescent="0.2">
      <c r="A8053" s="859">
        <f t="shared" si="125"/>
        <v>8052</v>
      </c>
      <c r="B8053" s="845" t="s">
        <v>2621</v>
      </c>
      <c r="D8053" s="861"/>
      <c r="I8053" s="845" t="str">
        <f>CONCATENATE("&lt;valeur&gt;",Cellule_13537_6,"&lt;/valeur&gt;")</f>
        <v>&lt;valeur&gt;&lt;/valeur&gt;</v>
      </c>
      <c r="J8053" s="989"/>
    </row>
    <row r="8054" spans="1:10" x14ac:dyDescent="0.2">
      <c r="A8054" s="859">
        <f t="shared" si="125"/>
        <v>8053</v>
      </c>
      <c r="B8054" s="845" t="s">
        <v>2621</v>
      </c>
      <c r="D8054" s="861"/>
      <c r="I8054" s="845" t="s">
        <v>2581</v>
      </c>
      <c r="J8054" s="989"/>
    </row>
    <row r="8055" spans="1:10" x14ac:dyDescent="0.2">
      <c r="A8055" s="859">
        <f t="shared" si="125"/>
        <v>8054</v>
      </c>
      <c r="B8055" s="845" t="s">
        <v>2621</v>
      </c>
      <c r="D8055" s="862"/>
      <c r="H8055" s="845" t="s">
        <v>1010</v>
      </c>
      <c r="J8055" s="989"/>
    </row>
    <row r="8056" spans="1:10" x14ac:dyDescent="0.2">
      <c r="A8056" s="859">
        <f t="shared" si="125"/>
        <v>8055</v>
      </c>
      <c r="B8056" s="845" t="s">
        <v>2621</v>
      </c>
      <c r="D8056" s="863"/>
      <c r="H8056" s="845" t="s">
        <v>1007</v>
      </c>
      <c r="J8056" s="989"/>
    </row>
    <row r="8057" spans="1:10" x14ac:dyDescent="0.2">
      <c r="A8057" s="859">
        <f t="shared" si="125"/>
        <v>8056</v>
      </c>
      <c r="B8057" s="845" t="s">
        <v>2621</v>
      </c>
      <c r="D8057" s="862"/>
      <c r="I8057" s="845" t="s">
        <v>2626</v>
      </c>
      <c r="J8057" s="989"/>
    </row>
    <row r="8058" spans="1:10" x14ac:dyDescent="0.2">
      <c r="A8058" s="859">
        <f t="shared" si="125"/>
        <v>8057</v>
      </c>
      <c r="B8058" s="845" t="s">
        <v>2621</v>
      </c>
      <c r="D8058" s="862"/>
      <c r="I8058" s="845" t="str">
        <f>CONCATENATE("&lt;valeur&gt;",Cellule_2095_6,"&lt;/valeur&gt;")</f>
        <v>&lt;valeur&gt;&lt;/valeur&gt;</v>
      </c>
      <c r="J8058" s="989"/>
    </row>
    <row r="8059" spans="1:10" x14ac:dyDescent="0.2">
      <c r="A8059" s="859">
        <f t="shared" si="125"/>
        <v>8058</v>
      </c>
      <c r="B8059" s="845" t="s">
        <v>2621</v>
      </c>
      <c r="D8059" s="861"/>
      <c r="I8059" s="845" t="s">
        <v>2581</v>
      </c>
      <c r="J8059" s="989"/>
    </row>
    <row r="8060" spans="1:10" x14ac:dyDescent="0.2">
      <c r="A8060" s="859">
        <f t="shared" si="125"/>
        <v>8059</v>
      </c>
      <c r="B8060" s="845" t="s">
        <v>2621</v>
      </c>
      <c r="D8060" s="861"/>
      <c r="H8060" s="845" t="s">
        <v>1010</v>
      </c>
      <c r="J8060" s="989"/>
    </row>
    <row r="8061" spans="1:10" x14ac:dyDescent="0.2">
      <c r="A8061" s="859">
        <f t="shared" si="125"/>
        <v>8060</v>
      </c>
      <c r="B8061" s="845" t="s">
        <v>2621</v>
      </c>
      <c r="D8061" s="862"/>
      <c r="H8061" s="845" t="s">
        <v>1007</v>
      </c>
      <c r="J8061" s="989"/>
    </row>
    <row r="8062" spans="1:10" x14ac:dyDescent="0.2">
      <c r="A8062" s="859">
        <f t="shared" si="125"/>
        <v>8061</v>
      </c>
      <c r="B8062" s="845" t="s">
        <v>2621</v>
      </c>
      <c r="D8062" s="863"/>
      <c r="I8062" s="845" t="s">
        <v>2627</v>
      </c>
      <c r="J8062" s="989"/>
    </row>
    <row r="8063" spans="1:10" x14ac:dyDescent="0.2">
      <c r="A8063" s="859">
        <f t="shared" si="125"/>
        <v>8062</v>
      </c>
      <c r="B8063" s="845" t="s">
        <v>2621</v>
      </c>
      <c r="D8063" s="862"/>
      <c r="I8063" s="845" t="str">
        <f>CONCATENATE("&lt;valeur&gt;",Cellule_2096_6,"&lt;/valeur&gt;")</f>
        <v>&lt;valeur&gt;&lt;/valeur&gt;</v>
      </c>
      <c r="J8063" s="989"/>
    </row>
    <row r="8064" spans="1:10" x14ac:dyDescent="0.2">
      <c r="A8064" s="859">
        <f t="shared" si="125"/>
        <v>8063</v>
      </c>
      <c r="B8064" s="845" t="s">
        <v>2621</v>
      </c>
      <c r="D8064" s="862"/>
      <c r="I8064" s="845" t="s">
        <v>2581</v>
      </c>
      <c r="J8064" s="989"/>
    </row>
    <row r="8065" spans="1:10" x14ac:dyDescent="0.2">
      <c r="A8065" s="859">
        <f t="shared" si="125"/>
        <v>8064</v>
      </c>
      <c r="B8065" s="845" t="s">
        <v>2621</v>
      </c>
      <c r="D8065" s="861"/>
      <c r="H8065" s="845" t="s">
        <v>1010</v>
      </c>
      <c r="J8065" s="989"/>
    </row>
    <row r="8066" spans="1:10" x14ac:dyDescent="0.2">
      <c r="A8066" s="859">
        <f t="shared" si="125"/>
        <v>8065</v>
      </c>
      <c r="B8066" s="845" t="s">
        <v>2621</v>
      </c>
      <c r="D8066" s="861"/>
      <c r="H8066" s="845" t="s">
        <v>1007</v>
      </c>
      <c r="J8066" s="989"/>
    </row>
    <row r="8067" spans="1:10" x14ac:dyDescent="0.2">
      <c r="A8067" s="859">
        <f t="shared" si="125"/>
        <v>8066</v>
      </c>
      <c r="B8067" s="845" t="s">
        <v>2621</v>
      </c>
      <c r="D8067" s="862"/>
      <c r="I8067" s="845" t="s">
        <v>2628</v>
      </c>
      <c r="J8067" s="989"/>
    </row>
    <row r="8068" spans="1:10" x14ac:dyDescent="0.2">
      <c r="A8068" s="859">
        <f t="shared" ref="A8068:A8131" si="126">+A8067+1</f>
        <v>8067</v>
      </c>
      <c r="B8068" s="845" t="s">
        <v>2621</v>
      </c>
      <c r="D8068" s="863"/>
      <c r="I8068" s="845" t="str">
        <f>CONCATENATE("&lt;valeur&gt;",Cellule_2097_6,"&lt;/valeur&gt;")</f>
        <v>&lt;valeur&gt;&lt;/valeur&gt;</v>
      </c>
      <c r="J8068" s="989"/>
    </row>
    <row r="8069" spans="1:10" x14ac:dyDescent="0.2">
      <c r="A8069" s="859">
        <f t="shared" si="126"/>
        <v>8068</v>
      </c>
      <c r="B8069" s="845" t="s">
        <v>2621</v>
      </c>
      <c r="D8069" s="862"/>
      <c r="I8069" s="845" t="s">
        <v>2581</v>
      </c>
      <c r="J8069" s="989"/>
    </row>
    <row r="8070" spans="1:10" x14ac:dyDescent="0.2">
      <c r="A8070" s="859">
        <f t="shared" si="126"/>
        <v>8069</v>
      </c>
      <c r="B8070" s="845" t="s">
        <v>2621</v>
      </c>
      <c r="D8070" s="862"/>
      <c r="H8070" s="845" t="s">
        <v>1010</v>
      </c>
      <c r="J8070" s="989"/>
    </row>
    <row r="8071" spans="1:10" x14ac:dyDescent="0.2">
      <c r="A8071" s="859">
        <f t="shared" si="126"/>
        <v>8070</v>
      </c>
      <c r="B8071" s="845" t="s">
        <v>2621</v>
      </c>
      <c r="D8071" s="861"/>
      <c r="H8071" s="845" t="s">
        <v>1007</v>
      </c>
      <c r="J8071" s="989"/>
    </row>
    <row r="8072" spans="1:10" x14ac:dyDescent="0.2">
      <c r="A8072" s="859">
        <f t="shared" si="126"/>
        <v>8071</v>
      </c>
      <c r="B8072" s="845" t="s">
        <v>2621</v>
      </c>
      <c r="D8072" s="861"/>
      <c r="I8072" s="845" t="s">
        <v>2629</v>
      </c>
      <c r="J8072" s="989"/>
    </row>
    <row r="8073" spans="1:10" x14ac:dyDescent="0.2">
      <c r="A8073" s="859">
        <f t="shared" si="126"/>
        <v>8072</v>
      </c>
      <c r="B8073" s="845" t="s">
        <v>2621</v>
      </c>
      <c r="D8073" s="862"/>
      <c r="I8073" s="845" t="str">
        <f>CONCATENATE("&lt;valeur&gt;",Cellule_2098_6,"&lt;/valeur&gt;")</f>
        <v>&lt;valeur&gt;&lt;/valeur&gt;</v>
      </c>
      <c r="J8073" s="989"/>
    </row>
    <row r="8074" spans="1:10" x14ac:dyDescent="0.2">
      <c r="A8074" s="859">
        <f t="shared" si="126"/>
        <v>8073</v>
      </c>
      <c r="B8074" s="845" t="s">
        <v>2621</v>
      </c>
      <c r="D8074" s="863"/>
      <c r="I8074" s="845" t="s">
        <v>2581</v>
      </c>
      <c r="J8074" s="989"/>
    </row>
    <row r="8075" spans="1:10" x14ac:dyDescent="0.2">
      <c r="A8075" s="859">
        <f t="shared" si="126"/>
        <v>8074</v>
      </c>
      <c r="B8075" s="845" t="s">
        <v>2621</v>
      </c>
      <c r="D8075" s="862"/>
      <c r="H8075" s="845" t="s">
        <v>1010</v>
      </c>
      <c r="J8075" s="989"/>
    </row>
    <row r="8076" spans="1:10" x14ac:dyDescent="0.2">
      <c r="A8076" s="859">
        <f t="shared" si="126"/>
        <v>8075</v>
      </c>
      <c r="B8076" s="845" t="s">
        <v>2621</v>
      </c>
      <c r="D8076" s="862"/>
      <c r="H8076" s="845" t="s">
        <v>1007</v>
      </c>
      <c r="J8076" s="989"/>
    </row>
    <row r="8077" spans="1:10" x14ac:dyDescent="0.2">
      <c r="A8077" s="859">
        <f t="shared" si="126"/>
        <v>8076</v>
      </c>
      <c r="B8077" s="845" t="s">
        <v>2621</v>
      </c>
      <c r="D8077" s="861"/>
      <c r="I8077" s="845" t="s">
        <v>2630</v>
      </c>
      <c r="J8077" s="989"/>
    </row>
    <row r="8078" spans="1:10" x14ac:dyDescent="0.2">
      <c r="A8078" s="859">
        <f t="shared" si="126"/>
        <v>8077</v>
      </c>
      <c r="B8078" s="845" t="s">
        <v>2621</v>
      </c>
      <c r="D8078" s="861"/>
      <c r="I8078" s="845" t="str">
        <f>CONCATENATE("&lt;valeur&gt;",Cellule_2099_6,"&lt;/valeur&gt;")</f>
        <v>&lt;valeur&gt;0&lt;/valeur&gt;</v>
      </c>
      <c r="J8078" s="989"/>
    </row>
    <row r="8079" spans="1:10" x14ac:dyDescent="0.2">
      <c r="A8079" s="859">
        <f t="shared" si="126"/>
        <v>8078</v>
      </c>
      <c r="B8079" s="845" t="s">
        <v>2621</v>
      </c>
      <c r="D8079" s="862"/>
      <c r="I8079" s="845" t="s">
        <v>2581</v>
      </c>
      <c r="J8079" s="989"/>
    </row>
    <row r="8080" spans="1:10" x14ac:dyDescent="0.2">
      <c r="A8080" s="859">
        <f t="shared" si="126"/>
        <v>8079</v>
      </c>
      <c r="B8080" s="845" t="s">
        <v>2621</v>
      </c>
      <c r="D8080" s="863"/>
      <c r="H8080" s="845" t="s">
        <v>1010</v>
      </c>
      <c r="J8080" s="989"/>
    </row>
    <row r="8081" spans="1:10" x14ac:dyDescent="0.2">
      <c r="A8081" s="859">
        <f t="shared" si="126"/>
        <v>8080</v>
      </c>
      <c r="B8081" s="845" t="s">
        <v>2621</v>
      </c>
      <c r="D8081" s="862"/>
      <c r="H8081" s="845" t="s">
        <v>1007</v>
      </c>
      <c r="J8081" s="989"/>
    </row>
    <row r="8082" spans="1:10" x14ac:dyDescent="0.2">
      <c r="A8082" s="859">
        <f t="shared" si="126"/>
        <v>8081</v>
      </c>
      <c r="B8082" s="845" t="s">
        <v>2621</v>
      </c>
      <c r="D8082" s="861"/>
      <c r="I8082" s="845" t="s">
        <v>2631</v>
      </c>
      <c r="J8082" s="989"/>
    </row>
    <row r="8083" spans="1:10" x14ac:dyDescent="0.2">
      <c r="A8083" s="859">
        <f t="shared" si="126"/>
        <v>8082</v>
      </c>
      <c r="B8083" s="845" t="s">
        <v>2621</v>
      </c>
      <c r="D8083" s="861"/>
      <c r="I8083" s="845" t="str">
        <f>CONCATENATE("&lt;valeur&gt;",Cellule_2100_6,"&lt;/valeur&gt;")</f>
        <v>&lt;valeur&gt;0&lt;/valeur&gt;</v>
      </c>
      <c r="J8083" s="989"/>
    </row>
    <row r="8084" spans="1:10" x14ac:dyDescent="0.2">
      <c r="A8084" s="859">
        <f t="shared" si="126"/>
        <v>8083</v>
      </c>
      <c r="B8084" s="845" t="s">
        <v>2621</v>
      </c>
      <c r="D8084" s="862"/>
      <c r="I8084" s="845" t="s">
        <v>2581</v>
      </c>
      <c r="J8084" s="989"/>
    </row>
    <row r="8085" spans="1:10" x14ac:dyDescent="0.2">
      <c r="A8085" s="859">
        <f t="shared" si="126"/>
        <v>8084</v>
      </c>
      <c r="B8085" s="845" t="s">
        <v>2621</v>
      </c>
      <c r="D8085" s="863"/>
      <c r="H8085" s="845" t="s">
        <v>1010</v>
      </c>
      <c r="J8085" s="989"/>
    </row>
    <row r="8086" spans="1:10" x14ac:dyDescent="0.2">
      <c r="A8086" s="859">
        <f t="shared" si="126"/>
        <v>8085</v>
      </c>
      <c r="B8086" s="845" t="s">
        <v>2621</v>
      </c>
      <c r="D8086" s="862"/>
      <c r="H8086" s="845" t="s">
        <v>1007</v>
      </c>
      <c r="J8086" s="989"/>
    </row>
    <row r="8087" spans="1:10" x14ac:dyDescent="0.2">
      <c r="A8087" s="859">
        <f t="shared" si="126"/>
        <v>8086</v>
      </c>
      <c r="B8087" s="845" t="s">
        <v>2621</v>
      </c>
      <c r="D8087" s="861"/>
      <c r="I8087" s="845" t="s">
        <v>2632</v>
      </c>
      <c r="J8087" s="989"/>
    </row>
    <row r="8088" spans="1:10" x14ac:dyDescent="0.2">
      <c r="A8088" s="859">
        <f t="shared" si="126"/>
        <v>8087</v>
      </c>
      <c r="B8088" s="845" t="s">
        <v>2621</v>
      </c>
      <c r="D8088" s="861"/>
      <c r="I8088" s="845" t="str">
        <f>CONCATENATE("&lt;valeur&gt;",Cellule_2101_6,"&lt;/valeur&gt;")</f>
        <v>&lt;valeur&gt;0&lt;/valeur&gt;</v>
      </c>
      <c r="J8088" s="989"/>
    </row>
    <row r="8089" spans="1:10" x14ac:dyDescent="0.2">
      <c r="A8089" s="859">
        <f t="shared" si="126"/>
        <v>8088</v>
      </c>
      <c r="B8089" s="845" t="s">
        <v>2621</v>
      </c>
      <c r="D8089" s="862"/>
      <c r="I8089" s="845" t="s">
        <v>2581</v>
      </c>
      <c r="J8089" s="989"/>
    </row>
    <row r="8090" spans="1:10" x14ac:dyDescent="0.2">
      <c r="A8090" s="859">
        <f t="shared" si="126"/>
        <v>8089</v>
      </c>
      <c r="B8090" s="991" t="s">
        <v>2621</v>
      </c>
      <c r="C8090" s="991"/>
      <c r="D8090" s="999"/>
      <c r="E8090" s="991"/>
      <c r="F8090" s="991"/>
      <c r="G8090" s="991"/>
      <c r="H8090" s="991" t="s">
        <v>1010</v>
      </c>
      <c r="I8090" s="991"/>
      <c r="J8090" s="1000"/>
    </row>
    <row r="8091" spans="1:10" x14ac:dyDescent="0.2">
      <c r="A8091" s="859">
        <f t="shared" si="126"/>
        <v>8090</v>
      </c>
      <c r="B8091" s="845" t="s">
        <v>2621</v>
      </c>
      <c r="D8091" s="862"/>
      <c r="G8091" s="845" t="s">
        <v>1011</v>
      </c>
    </row>
    <row r="8092" spans="1:10" x14ac:dyDescent="0.2">
      <c r="A8092" s="859">
        <f t="shared" si="126"/>
        <v>8091</v>
      </c>
      <c r="B8092" s="845" t="s">
        <v>2621</v>
      </c>
      <c r="D8092" s="862"/>
      <c r="G8092" s="845" t="s">
        <v>1012</v>
      </c>
    </row>
    <row r="8093" spans="1:10" x14ac:dyDescent="0.2">
      <c r="A8093" s="859">
        <f t="shared" si="126"/>
        <v>8092</v>
      </c>
      <c r="B8093" s="845" t="s">
        <v>2621</v>
      </c>
      <c r="D8093" s="861"/>
      <c r="H8093" s="845" t="s">
        <v>1015</v>
      </c>
    </row>
    <row r="8094" spans="1:10" x14ac:dyDescent="0.2">
      <c r="A8094" s="859">
        <f t="shared" si="126"/>
        <v>8093</v>
      </c>
      <c r="B8094" s="845" t="s">
        <v>2621</v>
      </c>
      <c r="D8094" s="861"/>
      <c r="I8094" s="845" t="s">
        <v>1016</v>
      </c>
    </row>
    <row r="8095" spans="1:10" x14ac:dyDescent="0.2">
      <c r="A8095" s="859">
        <f t="shared" si="126"/>
        <v>8094</v>
      </c>
      <c r="B8095" s="845" t="s">
        <v>2621</v>
      </c>
      <c r="D8095" s="862"/>
      <c r="J8095" s="845" t="s">
        <v>2633</v>
      </c>
    </row>
    <row r="8096" spans="1:10" x14ac:dyDescent="0.2">
      <c r="A8096" s="859">
        <f t="shared" si="126"/>
        <v>8095</v>
      </c>
      <c r="B8096" s="845" t="s">
        <v>2621</v>
      </c>
      <c r="D8096" s="863"/>
      <c r="I8096" s="845" t="s">
        <v>1017</v>
      </c>
    </row>
    <row r="8097" spans="1:10" x14ac:dyDescent="0.2">
      <c r="A8097" s="859">
        <f t="shared" si="126"/>
        <v>8096</v>
      </c>
      <c r="B8097" s="845" t="s">
        <v>2621</v>
      </c>
      <c r="D8097" s="862"/>
      <c r="I8097" s="845" t="str">
        <f>CONCATENATE("&lt;valeur&gt;",Cellule_18,"&lt;/valeur&gt;")</f>
        <v>&lt;valeur&gt;100000&lt;/valeur&gt;</v>
      </c>
    </row>
    <row r="8098" spans="1:10" x14ac:dyDescent="0.2">
      <c r="A8098" s="859">
        <f t="shared" si="126"/>
        <v>8097</v>
      </c>
      <c r="B8098" s="845" t="s">
        <v>2621</v>
      </c>
      <c r="D8098" s="862"/>
      <c r="H8098" s="845" t="s">
        <v>1018</v>
      </c>
    </row>
    <row r="8099" spans="1:10" x14ac:dyDescent="0.2">
      <c r="A8099" s="859">
        <f t="shared" si="126"/>
        <v>8098</v>
      </c>
      <c r="B8099" s="845" t="s">
        <v>2621</v>
      </c>
      <c r="D8099" s="862"/>
      <c r="G8099" s="845" t="s">
        <v>1013</v>
      </c>
    </row>
    <row r="8100" spans="1:10" x14ac:dyDescent="0.2">
      <c r="A8100" s="859">
        <f t="shared" si="126"/>
        <v>8099</v>
      </c>
      <c r="B8100" s="845" t="s">
        <v>2621</v>
      </c>
      <c r="D8100" s="861"/>
      <c r="F8100" s="845" t="s">
        <v>1014</v>
      </c>
    </row>
    <row r="8101" spans="1:10" x14ac:dyDescent="0.2">
      <c r="A8101" s="859">
        <f t="shared" si="126"/>
        <v>8100</v>
      </c>
      <c r="B8101" s="845" t="s">
        <v>2563</v>
      </c>
      <c r="D8101" s="861"/>
      <c r="F8101" s="845" t="s">
        <v>1005</v>
      </c>
    </row>
    <row r="8102" spans="1:10" x14ac:dyDescent="0.2">
      <c r="A8102" s="859">
        <f t="shared" si="126"/>
        <v>8101</v>
      </c>
      <c r="B8102" s="845" t="s">
        <v>2563</v>
      </c>
      <c r="D8102" s="862"/>
      <c r="G8102" s="845" t="s">
        <v>2159</v>
      </c>
    </row>
    <row r="8103" spans="1:10" x14ac:dyDescent="0.2">
      <c r="A8103" s="859">
        <f t="shared" si="126"/>
        <v>8102</v>
      </c>
      <c r="B8103" s="845" t="s">
        <v>2563</v>
      </c>
      <c r="D8103" s="863"/>
      <c r="G8103" s="845" t="s">
        <v>1006</v>
      </c>
    </row>
    <row r="8104" spans="1:10" x14ac:dyDescent="0.2">
      <c r="A8104" s="859">
        <f t="shared" si="126"/>
        <v>8103</v>
      </c>
      <c r="B8104" s="845" t="s">
        <v>2563</v>
      </c>
      <c r="D8104" s="862"/>
      <c r="H8104" s="845" t="s">
        <v>1007</v>
      </c>
    </row>
    <row r="8105" spans="1:10" x14ac:dyDescent="0.2">
      <c r="A8105" s="859">
        <f t="shared" si="126"/>
        <v>8104</v>
      </c>
      <c r="B8105" s="845" t="s">
        <v>2563</v>
      </c>
      <c r="D8105" s="862"/>
      <c r="I8105" s="845" t="s">
        <v>1008</v>
      </c>
    </row>
    <row r="8106" spans="1:10" x14ac:dyDescent="0.2">
      <c r="A8106" s="859">
        <f t="shared" si="126"/>
        <v>8105</v>
      </c>
      <c r="B8106" s="845" t="s">
        <v>2563</v>
      </c>
      <c r="D8106" s="861"/>
      <c r="J8106" s="845" t="s">
        <v>2160</v>
      </c>
    </row>
    <row r="8107" spans="1:10" x14ac:dyDescent="0.2">
      <c r="A8107" s="859">
        <f t="shared" si="126"/>
        <v>8106</v>
      </c>
      <c r="B8107" s="845" t="s">
        <v>2563</v>
      </c>
      <c r="D8107" s="861"/>
      <c r="I8107" s="845" t="s">
        <v>1009</v>
      </c>
    </row>
    <row r="8108" spans="1:10" x14ac:dyDescent="0.2">
      <c r="A8108" s="859">
        <f t="shared" si="126"/>
        <v>8107</v>
      </c>
      <c r="B8108" s="845" t="s">
        <v>2563</v>
      </c>
      <c r="D8108" s="862"/>
      <c r="I8108" s="845" t="str">
        <f>CONCATENATE("&lt;valeur&gt;",Cellule_471,"&lt;/valeur&gt;")</f>
        <v>&lt;valeur&gt;&lt;/valeur&gt;</v>
      </c>
    </row>
    <row r="8109" spans="1:10" x14ac:dyDescent="0.2">
      <c r="A8109" s="859">
        <f t="shared" si="126"/>
        <v>8108</v>
      </c>
      <c r="B8109" s="845" t="s">
        <v>2563</v>
      </c>
      <c r="D8109" s="863"/>
      <c r="H8109" s="845" t="s">
        <v>1010</v>
      </c>
    </row>
    <row r="8110" spans="1:10" x14ac:dyDescent="0.2">
      <c r="A8110" s="859">
        <f t="shared" si="126"/>
        <v>8109</v>
      </c>
      <c r="B8110" s="845" t="s">
        <v>2563</v>
      </c>
      <c r="D8110" s="862"/>
      <c r="H8110" s="845" t="s">
        <v>1007</v>
      </c>
    </row>
    <row r="8111" spans="1:10" x14ac:dyDescent="0.2">
      <c r="A8111" s="859">
        <f t="shared" si="126"/>
        <v>8110</v>
      </c>
      <c r="B8111" s="845" t="s">
        <v>2563</v>
      </c>
      <c r="D8111" s="862"/>
      <c r="I8111" s="845" t="s">
        <v>1008</v>
      </c>
    </row>
    <row r="8112" spans="1:10" x14ac:dyDescent="0.2">
      <c r="A8112" s="859">
        <f t="shared" si="126"/>
        <v>8111</v>
      </c>
      <c r="B8112" s="845" t="s">
        <v>2563</v>
      </c>
      <c r="D8112" s="861"/>
      <c r="J8112" s="845" t="s">
        <v>2161</v>
      </c>
    </row>
    <row r="8113" spans="1:10" x14ac:dyDescent="0.2">
      <c r="A8113" s="859">
        <f t="shared" si="126"/>
        <v>8112</v>
      </c>
      <c r="B8113" s="845" t="s">
        <v>2563</v>
      </c>
      <c r="D8113" s="861"/>
      <c r="I8113" s="845" t="s">
        <v>1009</v>
      </c>
    </row>
    <row r="8114" spans="1:10" x14ac:dyDescent="0.2">
      <c r="A8114" s="859">
        <f t="shared" si="126"/>
        <v>8113</v>
      </c>
      <c r="B8114" s="845" t="s">
        <v>2563</v>
      </c>
      <c r="D8114" s="862"/>
      <c r="I8114" s="845" t="str">
        <f>CONCATENATE("&lt;valeur&gt;",Cellule_473,"&lt;/valeur&gt;")</f>
        <v>&lt;valeur&gt;&lt;/valeur&gt;</v>
      </c>
    </row>
    <row r="8115" spans="1:10" x14ac:dyDescent="0.2">
      <c r="A8115" s="859">
        <f t="shared" si="126"/>
        <v>8114</v>
      </c>
      <c r="B8115" s="845" t="s">
        <v>2563</v>
      </c>
      <c r="D8115" s="863"/>
      <c r="H8115" s="845" t="s">
        <v>1010</v>
      </c>
    </row>
    <row r="8116" spans="1:10" x14ac:dyDescent="0.2">
      <c r="A8116" s="859">
        <f t="shared" si="126"/>
        <v>8115</v>
      </c>
      <c r="B8116" s="845" t="s">
        <v>2563</v>
      </c>
      <c r="D8116" s="862"/>
      <c r="H8116" s="845" t="s">
        <v>1007</v>
      </c>
    </row>
    <row r="8117" spans="1:10" x14ac:dyDescent="0.2">
      <c r="A8117" s="859">
        <f t="shared" si="126"/>
        <v>8116</v>
      </c>
      <c r="B8117" s="845" t="s">
        <v>2563</v>
      </c>
      <c r="D8117" s="862"/>
      <c r="I8117" s="845" t="s">
        <v>1008</v>
      </c>
    </row>
    <row r="8118" spans="1:10" x14ac:dyDescent="0.2">
      <c r="A8118" s="859">
        <f t="shared" si="126"/>
        <v>8117</v>
      </c>
      <c r="B8118" s="845" t="s">
        <v>2563</v>
      </c>
      <c r="D8118" s="861"/>
      <c r="J8118" s="845" t="s">
        <v>2162</v>
      </c>
    </row>
    <row r="8119" spans="1:10" x14ac:dyDescent="0.2">
      <c r="A8119" s="859">
        <f t="shared" si="126"/>
        <v>8118</v>
      </c>
      <c r="B8119" s="845" t="s">
        <v>2563</v>
      </c>
      <c r="D8119" s="861"/>
      <c r="I8119" s="845" t="s">
        <v>1009</v>
      </c>
    </row>
    <row r="8120" spans="1:10" x14ac:dyDescent="0.2">
      <c r="A8120" s="859">
        <f t="shared" si="126"/>
        <v>8119</v>
      </c>
      <c r="B8120" s="845" t="s">
        <v>2563</v>
      </c>
      <c r="D8120" s="862"/>
      <c r="I8120" s="845" t="str">
        <f>CONCATENATE("&lt;valeur&gt;",Cellule_475,"&lt;/valeur&gt;")</f>
        <v>&lt;valeur&gt;&lt;/valeur&gt;</v>
      </c>
    </row>
    <row r="8121" spans="1:10" x14ac:dyDescent="0.2">
      <c r="A8121" s="859">
        <f t="shared" si="126"/>
        <v>8120</v>
      </c>
      <c r="B8121" s="845" t="s">
        <v>2563</v>
      </c>
      <c r="D8121" s="863"/>
      <c r="H8121" s="845" t="s">
        <v>1010</v>
      </c>
    </row>
    <row r="8122" spans="1:10" x14ac:dyDescent="0.2">
      <c r="A8122" s="859">
        <f t="shared" si="126"/>
        <v>8121</v>
      </c>
      <c r="B8122" s="845" t="s">
        <v>2563</v>
      </c>
      <c r="D8122" s="862"/>
      <c r="H8122" s="845" t="s">
        <v>1007</v>
      </c>
    </row>
    <row r="8123" spans="1:10" x14ac:dyDescent="0.2">
      <c r="A8123" s="859">
        <f t="shared" si="126"/>
        <v>8122</v>
      </c>
      <c r="B8123" s="845" t="s">
        <v>2563</v>
      </c>
      <c r="D8123" s="862"/>
      <c r="I8123" s="845" t="s">
        <v>1008</v>
      </c>
    </row>
    <row r="8124" spans="1:10" x14ac:dyDescent="0.2">
      <c r="A8124" s="859">
        <f t="shared" si="126"/>
        <v>8123</v>
      </c>
      <c r="B8124" s="845" t="s">
        <v>2563</v>
      </c>
      <c r="D8124" s="861"/>
      <c r="J8124" s="845" t="s">
        <v>2163</v>
      </c>
    </row>
    <row r="8125" spans="1:10" x14ac:dyDescent="0.2">
      <c r="A8125" s="859">
        <f t="shared" si="126"/>
        <v>8124</v>
      </c>
      <c r="B8125" s="845" t="s">
        <v>2563</v>
      </c>
      <c r="D8125" s="861"/>
      <c r="I8125" s="845" t="s">
        <v>1009</v>
      </c>
    </row>
    <row r="8126" spans="1:10" x14ac:dyDescent="0.2">
      <c r="A8126" s="859">
        <f t="shared" si="126"/>
        <v>8125</v>
      </c>
      <c r="B8126" s="845" t="s">
        <v>2563</v>
      </c>
      <c r="D8126" s="862"/>
      <c r="I8126" s="845" t="str">
        <f>CONCATENATE("&lt;valeur&gt;",Cellule_477,"&lt;/valeur&gt;")</f>
        <v>&lt;valeur&gt;&lt;/valeur&gt;</v>
      </c>
    </row>
    <row r="8127" spans="1:10" x14ac:dyDescent="0.2">
      <c r="A8127" s="859">
        <f t="shared" si="126"/>
        <v>8126</v>
      </c>
      <c r="B8127" s="845" t="s">
        <v>2563</v>
      </c>
      <c r="D8127" s="863"/>
      <c r="H8127" s="845" t="s">
        <v>1010</v>
      </c>
    </row>
    <row r="8128" spans="1:10" x14ac:dyDescent="0.2">
      <c r="A8128" s="859">
        <f t="shared" si="126"/>
        <v>8127</v>
      </c>
      <c r="B8128" s="845" t="s">
        <v>2563</v>
      </c>
      <c r="D8128" s="862"/>
      <c r="H8128" s="845" t="s">
        <v>1007</v>
      </c>
    </row>
    <row r="8129" spans="1:10" x14ac:dyDescent="0.2">
      <c r="A8129" s="859">
        <f t="shared" si="126"/>
        <v>8128</v>
      </c>
      <c r="B8129" s="845" t="s">
        <v>2563</v>
      </c>
      <c r="D8129" s="862"/>
      <c r="I8129" s="845" t="s">
        <v>1008</v>
      </c>
    </row>
    <row r="8130" spans="1:10" x14ac:dyDescent="0.2">
      <c r="A8130" s="859">
        <f t="shared" si="126"/>
        <v>8129</v>
      </c>
      <c r="B8130" s="845" t="s">
        <v>2563</v>
      </c>
      <c r="D8130" s="861"/>
      <c r="J8130" s="845" t="s">
        <v>2164</v>
      </c>
    </row>
    <row r="8131" spans="1:10" x14ac:dyDescent="0.2">
      <c r="A8131" s="859">
        <f t="shared" si="126"/>
        <v>8130</v>
      </c>
      <c r="B8131" s="845" t="s">
        <v>2563</v>
      </c>
      <c r="D8131" s="861"/>
      <c r="I8131" s="845" t="s">
        <v>1009</v>
      </c>
    </row>
    <row r="8132" spans="1:10" x14ac:dyDescent="0.2">
      <c r="A8132" s="859">
        <f t="shared" ref="A8132:A8195" si="127">+A8131+1</f>
        <v>8131</v>
      </c>
      <c r="B8132" s="845" t="s">
        <v>2563</v>
      </c>
      <c r="D8132" s="862"/>
      <c r="I8132" s="845" t="str">
        <f>CONCATENATE("&lt;valeur&gt;",Cellule_479,"&lt;/valeur&gt;")</f>
        <v>&lt;valeur&gt;&lt;/valeur&gt;</v>
      </c>
    </row>
    <row r="8133" spans="1:10" x14ac:dyDescent="0.2">
      <c r="A8133" s="859">
        <f t="shared" si="127"/>
        <v>8132</v>
      </c>
      <c r="B8133" s="845" t="s">
        <v>2563</v>
      </c>
      <c r="D8133" s="863"/>
      <c r="H8133" s="845" t="s">
        <v>1010</v>
      </c>
    </row>
    <row r="8134" spans="1:10" x14ac:dyDescent="0.2">
      <c r="A8134" s="859">
        <f t="shared" si="127"/>
        <v>8133</v>
      </c>
      <c r="B8134" s="845" t="s">
        <v>2563</v>
      </c>
      <c r="D8134" s="862"/>
      <c r="H8134" s="845" t="s">
        <v>1007</v>
      </c>
    </row>
    <row r="8135" spans="1:10" x14ac:dyDescent="0.2">
      <c r="A8135" s="859">
        <f t="shared" si="127"/>
        <v>8134</v>
      </c>
      <c r="B8135" s="845" t="s">
        <v>2563</v>
      </c>
      <c r="D8135" s="862"/>
      <c r="I8135" s="845" t="s">
        <v>1008</v>
      </c>
    </row>
    <row r="8136" spans="1:10" x14ac:dyDescent="0.2">
      <c r="A8136" s="859">
        <f t="shared" si="127"/>
        <v>8135</v>
      </c>
      <c r="B8136" s="845" t="s">
        <v>2563</v>
      </c>
      <c r="D8136" s="861"/>
      <c r="J8136" s="845" t="s">
        <v>2165</v>
      </c>
    </row>
    <row r="8137" spans="1:10" x14ac:dyDescent="0.2">
      <c r="A8137" s="859">
        <f t="shared" si="127"/>
        <v>8136</v>
      </c>
      <c r="B8137" s="845" t="s">
        <v>2563</v>
      </c>
      <c r="D8137" s="861"/>
      <c r="I8137" s="845" t="s">
        <v>1009</v>
      </c>
    </row>
    <row r="8138" spans="1:10" x14ac:dyDescent="0.2">
      <c r="A8138" s="859">
        <f t="shared" si="127"/>
        <v>8137</v>
      </c>
      <c r="B8138" s="845" t="s">
        <v>2563</v>
      </c>
      <c r="D8138" s="862"/>
      <c r="I8138" s="845" t="str">
        <f>CONCATENATE("&lt;valeur&gt;",Cellule_481,"&lt;/valeur&gt;")</f>
        <v>&lt;valeur&gt;0&lt;/valeur&gt;</v>
      </c>
    </row>
    <row r="8139" spans="1:10" x14ac:dyDescent="0.2">
      <c r="A8139" s="859">
        <f t="shared" si="127"/>
        <v>8138</v>
      </c>
      <c r="B8139" s="845" t="s">
        <v>2563</v>
      </c>
      <c r="D8139" s="863"/>
      <c r="H8139" s="845" t="s">
        <v>1010</v>
      </c>
    </row>
    <row r="8140" spans="1:10" x14ac:dyDescent="0.2">
      <c r="A8140" s="859">
        <f t="shared" si="127"/>
        <v>8139</v>
      </c>
      <c r="B8140" s="845" t="s">
        <v>2563</v>
      </c>
      <c r="D8140" s="862"/>
      <c r="H8140" s="845" t="s">
        <v>1007</v>
      </c>
    </row>
    <row r="8141" spans="1:10" x14ac:dyDescent="0.2">
      <c r="A8141" s="859">
        <f t="shared" si="127"/>
        <v>8140</v>
      </c>
      <c r="B8141" s="845" t="s">
        <v>2563</v>
      </c>
      <c r="D8141" s="862"/>
      <c r="I8141" s="845" t="s">
        <v>1008</v>
      </c>
    </row>
    <row r="8142" spans="1:10" x14ac:dyDescent="0.2">
      <c r="A8142" s="859">
        <f t="shared" si="127"/>
        <v>8141</v>
      </c>
      <c r="B8142" s="845" t="s">
        <v>2563</v>
      </c>
      <c r="D8142" s="861"/>
      <c r="J8142" s="845" t="s">
        <v>2166</v>
      </c>
    </row>
    <row r="8143" spans="1:10" x14ac:dyDescent="0.2">
      <c r="A8143" s="859">
        <f t="shared" si="127"/>
        <v>8142</v>
      </c>
      <c r="B8143" s="845" t="s">
        <v>2563</v>
      </c>
      <c r="D8143" s="861"/>
      <c r="I8143" s="845" t="s">
        <v>1009</v>
      </c>
    </row>
    <row r="8144" spans="1:10" x14ac:dyDescent="0.2">
      <c r="A8144" s="859">
        <f t="shared" si="127"/>
        <v>8143</v>
      </c>
      <c r="B8144" s="845" t="s">
        <v>2563</v>
      </c>
      <c r="D8144" s="862"/>
      <c r="I8144" s="845" t="str">
        <f>CONCATENATE("&lt;valeur&gt;",Cellule_483,"&lt;/valeur&gt;")</f>
        <v>&lt;valeur&gt;&lt;/valeur&gt;</v>
      </c>
    </row>
    <row r="8145" spans="1:10" x14ac:dyDescent="0.2">
      <c r="A8145" s="859">
        <f t="shared" si="127"/>
        <v>8144</v>
      </c>
      <c r="B8145" s="845" t="s">
        <v>2563</v>
      </c>
      <c r="D8145" s="863"/>
      <c r="H8145" s="845" t="s">
        <v>1010</v>
      </c>
    </row>
    <row r="8146" spans="1:10" x14ac:dyDescent="0.2">
      <c r="A8146" s="859">
        <f t="shared" si="127"/>
        <v>8145</v>
      </c>
      <c r="B8146" s="845" t="s">
        <v>2563</v>
      </c>
      <c r="D8146" s="862"/>
      <c r="H8146" s="845" t="s">
        <v>1007</v>
      </c>
    </row>
    <row r="8147" spans="1:10" x14ac:dyDescent="0.2">
      <c r="A8147" s="859">
        <f t="shared" si="127"/>
        <v>8146</v>
      </c>
      <c r="B8147" s="845" t="s">
        <v>2563</v>
      </c>
      <c r="D8147" s="862"/>
      <c r="I8147" s="845" t="s">
        <v>1008</v>
      </c>
    </row>
    <row r="8148" spans="1:10" x14ac:dyDescent="0.2">
      <c r="A8148" s="859">
        <f t="shared" si="127"/>
        <v>8147</v>
      </c>
      <c r="B8148" s="845" t="s">
        <v>2563</v>
      </c>
      <c r="D8148" s="861"/>
      <c r="J8148" s="845" t="s">
        <v>2167</v>
      </c>
    </row>
    <row r="8149" spans="1:10" x14ac:dyDescent="0.2">
      <c r="A8149" s="859">
        <f t="shared" si="127"/>
        <v>8148</v>
      </c>
      <c r="B8149" s="845" t="s">
        <v>2563</v>
      </c>
      <c r="D8149" s="861"/>
      <c r="I8149" s="845" t="s">
        <v>1009</v>
      </c>
    </row>
    <row r="8150" spans="1:10" x14ac:dyDescent="0.2">
      <c r="A8150" s="859">
        <f t="shared" si="127"/>
        <v>8149</v>
      </c>
      <c r="B8150" s="845" t="s">
        <v>2563</v>
      </c>
      <c r="D8150" s="862"/>
      <c r="I8150" s="845" t="str">
        <f>CONCATENATE("&lt;valeur&gt;",Cellule_485,"&lt;/valeur&gt;")</f>
        <v>&lt;valeur&gt;&lt;/valeur&gt;</v>
      </c>
    </row>
    <row r="8151" spans="1:10" x14ac:dyDescent="0.2">
      <c r="A8151" s="859">
        <f t="shared" si="127"/>
        <v>8150</v>
      </c>
      <c r="B8151" s="845" t="s">
        <v>2563</v>
      </c>
      <c r="D8151" s="863"/>
      <c r="H8151" s="845" t="s">
        <v>1010</v>
      </c>
    </row>
    <row r="8152" spans="1:10" x14ac:dyDescent="0.2">
      <c r="A8152" s="859">
        <f t="shared" si="127"/>
        <v>8151</v>
      </c>
      <c r="B8152" s="845" t="s">
        <v>2563</v>
      </c>
      <c r="D8152" s="862"/>
      <c r="H8152" s="845" t="s">
        <v>1007</v>
      </c>
    </row>
    <row r="8153" spans="1:10" x14ac:dyDescent="0.2">
      <c r="A8153" s="859">
        <f t="shared" si="127"/>
        <v>8152</v>
      </c>
      <c r="B8153" s="845" t="s">
        <v>2563</v>
      </c>
      <c r="D8153" s="862"/>
      <c r="I8153" s="845" t="s">
        <v>1008</v>
      </c>
    </row>
    <row r="8154" spans="1:10" x14ac:dyDescent="0.2">
      <c r="A8154" s="859">
        <f t="shared" si="127"/>
        <v>8153</v>
      </c>
      <c r="B8154" s="845" t="s">
        <v>2563</v>
      </c>
      <c r="D8154" s="861"/>
      <c r="J8154" s="845" t="s">
        <v>2168</v>
      </c>
    </row>
    <row r="8155" spans="1:10" x14ac:dyDescent="0.2">
      <c r="A8155" s="859">
        <f t="shared" si="127"/>
        <v>8154</v>
      </c>
      <c r="B8155" s="845" t="s">
        <v>2563</v>
      </c>
      <c r="D8155" s="861"/>
      <c r="I8155" s="845" t="s">
        <v>1009</v>
      </c>
    </row>
    <row r="8156" spans="1:10" x14ac:dyDescent="0.2">
      <c r="A8156" s="859">
        <f t="shared" si="127"/>
        <v>8155</v>
      </c>
      <c r="B8156" s="845" t="s">
        <v>2563</v>
      </c>
      <c r="D8156" s="862"/>
      <c r="I8156" s="845" t="str">
        <f>CONCATENATE("&lt;valeur&gt;",Cellule_487,"&lt;/valeur&gt;")</f>
        <v>&lt;valeur&gt;&lt;/valeur&gt;</v>
      </c>
    </row>
    <row r="8157" spans="1:10" x14ac:dyDescent="0.2">
      <c r="A8157" s="859">
        <f t="shared" si="127"/>
        <v>8156</v>
      </c>
      <c r="B8157" s="845" t="s">
        <v>2563</v>
      </c>
      <c r="D8157" s="863"/>
      <c r="H8157" s="845" t="s">
        <v>1010</v>
      </c>
    </row>
    <row r="8158" spans="1:10" x14ac:dyDescent="0.2">
      <c r="A8158" s="859">
        <f t="shared" si="127"/>
        <v>8157</v>
      </c>
      <c r="B8158" s="845" t="s">
        <v>2563</v>
      </c>
      <c r="D8158" s="862"/>
      <c r="H8158" s="845" t="s">
        <v>1007</v>
      </c>
    </row>
    <row r="8159" spans="1:10" x14ac:dyDescent="0.2">
      <c r="A8159" s="859">
        <f t="shared" si="127"/>
        <v>8158</v>
      </c>
      <c r="B8159" s="845" t="s">
        <v>2563</v>
      </c>
      <c r="D8159" s="862"/>
      <c r="I8159" s="845" t="s">
        <v>1008</v>
      </c>
    </row>
    <row r="8160" spans="1:10" x14ac:dyDescent="0.2">
      <c r="A8160" s="859">
        <f t="shared" si="127"/>
        <v>8159</v>
      </c>
      <c r="B8160" s="845" t="s">
        <v>2563</v>
      </c>
      <c r="D8160" s="861"/>
      <c r="J8160" s="845" t="s">
        <v>2169</v>
      </c>
    </row>
    <row r="8161" spans="1:10" x14ac:dyDescent="0.2">
      <c r="A8161" s="859">
        <f t="shared" si="127"/>
        <v>8160</v>
      </c>
      <c r="B8161" s="845" t="s">
        <v>2563</v>
      </c>
      <c r="D8161" s="861"/>
      <c r="I8161" s="845" t="s">
        <v>1009</v>
      </c>
    </row>
    <row r="8162" spans="1:10" x14ac:dyDescent="0.2">
      <c r="A8162" s="859">
        <f t="shared" si="127"/>
        <v>8161</v>
      </c>
      <c r="B8162" s="845" t="s">
        <v>2563</v>
      </c>
      <c r="D8162" s="862"/>
      <c r="I8162" s="845" t="str">
        <f>CONCATENATE("&lt;valeur&gt;",Cellule_489,"&lt;/valeur&gt;")</f>
        <v>&lt;valeur&gt;&lt;/valeur&gt;</v>
      </c>
    </row>
    <row r="8163" spans="1:10" x14ac:dyDescent="0.2">
      <c r="A8163" s="859">
        <f t="shared" si="127"/>
        <v>8162</v>
      </c>
      <c r="B8163" s="845" t="s">
        <v>2563</v>
      </c>
      <c r="D8163" s="863"/>
      <c r="H8163" s="845" t="s">
        <v>1010</v>
      </c>
    </row>
    <row r="8164" spans="1:10" x14ac:dyDescent="0.2">
      <c r="A8164" s="859">
        <f t="shared" si="127"/>
        <v>8163</v>
      </c>
      <c r="B8164" s="845" t="s">
        <v>2563</v>
      </c>
      <c r="D8164" s="862"/>
      <c r="H8164" s="845" t="s">
        <v>1007</v>
      </c>
    </row>
    <row r="8165" spans="1:10" x14ac:dyDescent="0.2">
      <c r="A8165" s="859">
        <f t="shared" si="127"/>
        <v>8164</v>
      </c>
      <c r="B8165" s="845" t="s">
        <v>2563</v>
      </c>
      <c r="D8165" s="862"/>
      <c r="I8165" s="845" t="s">
        <v>1008</v>
      </c>
    </row>
    <row r="8166" spans="1:10" x14ac:dyDescent="0.2">
      <c r="A8166" s="859">
        <f t="shared" si="127"/>
        <v>8165</v>
      </c>
      <c r="B8166" s="845" t="s">
        <v>2563</v>
      </c>
      <c r="D8166" s="861"/>
      <c r="J8166" s="845" t="s">
        <v>2170</v>
      </c>
    </row>
    <row r="8167" spans="1:10" x14ac:dyDescent="0.2">
      <c r="A8167" s="859">
        <f t="shared" si="127"/>
        <v>8166</v>
      </c>
      <c r="B8167" s="845" t="s">
        <v>2563</v>
      </c>
      <c r="D8167" s="861"/>
      <c r="I8167" s="845" t="s">
        <v>1009</v>
      </c>
    </row>
    <row r="8168" spans="1:10" x14ac:dyDescent="0.2">
      <c r="A8168" s="859">
        <f t="shared" si="127"/>
        <v>8167</v>
      </c>
      <c r="B8168" s="845" t="s">
        <v>2563</v>
      </c>
      <c r="D8168" s="862"/>
      <c r="I8168" s="845" t="str">
        <f>CONCATENATE("&lt;valeur&gt;",Cellule_491,"&lt;/valeur&gt;")</f>
        <v>&lt;valeur&gt;&lt;/valeur&gt;</v>
      </c>
    </row>
    <row r="8169" spans="1:10" x14ac:dyDescent="0.2">
      <c r="A8169" s="859">
        <f t="shared" si="127"/>
        <v>8168</v>
      </c>
      <c r="B8169" s="845" t="s">
        <v>2563</v>
      </c>
      <c r="D8169" s="863"/>
      <c r="H8169" s="845" t="s">
        <v>1010</v>
      </c>
    </row>
    <row r="8170" spans="1:10" x14ac:dyDescent="0.2">
      <c r="A8170" s="859">
        <f t="shared" si="127"/>
        <v>8169</v>
      </c>
      <c r="B8170" s="845" t="s">
        <v>2563</v>
      </c>
      <c r="D8170" s="862"/>
      <c r="H8170" s="845" t="s">
        <v>1007</v>
      </c>
    </row>
    <row r="8171" spans="1:10" x14ac:dyDescent="0.2">
      <c r="A8171" s="859">
        <f t="shared" si="127"/>
        <v>8170</v>
      </c>
      <c r="B8171" s="845" t="s">
        <v>2563</v>
      </c>
      <c r="D8171" s="862"/>
      <c r="I8171" s="845" t="s">
        <v>1008</v>
      </c>
    </row>
    <row r="8172" spans="1:10" x14ac:dyDescent="0.2">
      <c r="A8172" s="859">
        <f t="shared" si="127"/>
        <v>8171</v>
      </c>
      <c r="B8172" s="845" t="s">
        <v>2563</v>
      </c>
      <c r="D8172" s="861"/>
      <c r="J8172" s="845" t="s">
        <v>2171</v>
      </c>
    </row>
    <row r="8173" spans="1:10" x14ac:dyDescent="0.2">
      <c r="A8173" s="859">
        <f t="shared" si="127"/>
        <v>8172</v>
      </c>
      <c r="B8173" s="845" t="s">
        <v>2563</v>
      </c>
      <c r="D8173" s="861"/>
      <c r="I8173" s="845" t="s">
        <v>1009</v>
      </c>
    </row>
    <row r="8174" spans="1:10" x14ac:dyDescent="0.2">
      <c r="A8174" s="859">
        <f t="shared" si="127"/>
        <v>8173</v>
      </c>
      <c r="B8174" s="845" t="s">
        <v>2563</v>
      </c>
      <c r="D8174" s="862"/>
      <c r="I8174" s="845" t="str">
        <f>CONCATENATE("&lt;valeur&gt;",Cellule_493,"&lt;/valeur&gt;")</f>
        <v>&lt;valeur&gt;&lt;/valeur&gt;</v>
      </c>
    </row>
    <row r="8175" spans="1:10" x14ac:dyDescent="0.2">
      <c r="A8175" s="859">
        <f t="shared" si="127"/>
        <v>8174</v>
      </c>
      <c r="B8175" s="845" t="s">
        <v>2563</v>
      </c>
      <c r="D8175" s="863"/>
      <c r="H8175" s="845" t="s">
        <v>1010</v>
      </c>
    </row>
    <row r="8176" spans="1:10" x14ac:dyDescent="0.2">
      <c r="A8176" s="859">
        <f t="shared" si="127"/>
        <v>8175</v>
      </c>
      <c r="B8176" s="845" t="s">
        <v>2563</v>
      </c>
      <c r="D8176" s="862"/>
      <c r="H8176" s="845" t="s">
        <v>1007</v>
      </c>
    </row>
    <row r="8177" spans="1:11" x14ac:dyDescent="0.2">
      <c r="A8177" s="859">
        <f t="shared" si="127"/>
        <v>8176</v>
      </c>
      <c r="B8177" s="845" t="s">
        <v>2563</v>
      </c>
      <c r="D8177" s="862"/>
      <c r="I8177" s="845" t="s">
        <v>1008</v>
      </c>
    </row>
    <row r="8178" spans="1:11" x14ac:dyDescent="0.2">
      <c r="A8178" s="859">
        <f t="shared" si="127"/>
        <v>8177</v>
      </c>
      <c r="B8178" s="845" t="s">
        <v>2563</v>
      </c>
      <c r="D8178" s="861"/>
      <c r="J8178" s="845" t="s">
        <v>2172</v>
      </c>
    </row>
    <row r="8179" spans="1:11" x14ac:dyDescent="0.2">
      <c r="A8179" s="859">
        <f t="shared" si="127"/>
        <v>8178</v>
      </c>
      <c r="B8179" s="845" t="s">
        <v>2563</v>
      </c>
      <c r="D8179" s="861"/>
      <c r="I8179" s="845" t="s">
        <v>1009</v>
      </c>
    </row>
    <row r="8180" spans="1:11" x14ac:dyDescent="0.2">
      <c r="A8180" s="859">
        <f t="shared" si="127"/>
        <v>8179</v>
      </c>
      <c r="B8180" s="845" t="s">
        <v>2563</v>
      </c>
      <c r="D8180" s="862"/>
      <c r="I8180" s="845" t="str">
        <f>CONCATENATE("&lt;valeur&gt;",Cellule_495,"&lt;/valeur&gt;")</f>
        <v>&lt;valeur&gt;0&lt;/valeur&gt;</v>
      </c>
    </row>
    <row r="8181" spans="1:11" x14ac:dyDescent="0.2">
      <c r="A8181" s="859">
        <f t="shared" si="127"/>
        <v>8180</v>
      </c>
      <c r="B8181" s="845" t="s">
        <v>2563</v>
      </c>
      <c r="D8181" s="863"/>
      <c r="H8181" s="845" t="s">
        <v>1010</v>
      </c>
    </row>
    <row r="8182" spans="1:11" x14ac:dyDescent="0.2">
      <c r="A8182" s="859">
        <f t="shared" si="127"/>
        <v>8181</v>
      </c>
      <c r="B8182" s="845" t="s">
        <v>2563</v>
      </c>
      <c r="D8182" s="862"/>
      <c r="G8182" s="845" t="s">
        <v>1011</v>
      </c>
    </row>
    <row r="8183" spans="1:11" x14ac:dyDescent="0.2">
      <c r="A8183" s="859">
        <f t="shared" si="127"/>
        <v>8182</v>
      </c>
      <c r="B8183" s="845" t="s">
        <v>2563</v>
      </c>
      <c r="D8183" s="861"/>
      <c r="G8183" s="845" t="s">
        <v>1012</v>
      </c>
    </row>
    <row r="8184" spans="1:11" x14ac:dyDescent="0.2">
      <c r="A8184" s="859">
        <f t="shared" si="127"/>
        <v>8183</v>
      </c>
      <c r="B8184" s="845" t="s">
        <v>2563</v>
      </c>
      <c r="D8184" s="861"/>
      <c r="G8184" s="845" t="s">
        <v>1013</v>
      </c>
    </row>
    <row r="8185" spans="1:11" x14ac:dyDescent="0.2">
      <c r="A8185" s="859">
        <f t="shared" si="127"/>
        <v>8184</v>
      </c>
      <c r="B8185" s="845" t="s">
        <v>2563</v>
      </c>
      <c r="D8185" s="862"/>
      <c r="F8185" s="845" t="s">
        <v>1014</v>
      </c>
    </row>
    <row r="8186" spans="1:11" x14ac:dyDescent="0.2">
      <c r="A8186" s="859">
        <f t="shared" si="127"/>
        <v>8185</v>
      </c>
      <c r="B8186" s="845" t="s">
        <v>2564</v>
      </c>
      <c r="D8186" s="861"/>
      <c r="F8186" s="845" t="s">
        <v>1005</v>
      </c>
    </row>
    <row r="8187" spans="1:11" x14ac:dyDescent="0.2">
      <c r="A8187" s="859">
        <f t="shared" si="127"/>
        <v>8186</v>
      </c>
      <c r="B8187" s="845" t="s">
        <v>2564</v>
      </c>
      <c r="D8187" s="862"/>
      <c r="G8187" s="845" t="s">
        <v>2173</v>
      </c>
    </row>
    <row r="8188" spans="1:11" x14ac:dyDescent="0.2">
      <c r="A8188" s="859">
        <f t="shared" si="127"/>
        <v>8187</v>
      </c>
      <c r="B8188" s="845" t="s">
        <v>2564</v>
      </c>
      <c r="D8188" s="863"/>
      <c r="G8188" s="845" t="s">
        <v>1006</v>
      </c>
    </row>
    <row r="8189" spans="1:11" s="1011" customFormat="1" ht="15" x14ac:dyDescent="0.25">
      <c r="A8189" s="859">
        <f t="shared" si="127"/>
        <v>8188</v>
      </c>
      <c r="B8189" s="845" t="s">
        <v>2564</v>
      </c>
      <c r="C8189" s="1007">
        <v>1</v>
      </c>
      <c r="D8189" s="1008"/>
      <c r="E8189" s="1009"/>
      <c r="F8189" s="1009"/>
      <c r="G8189" s="1009"/>
      <c r="H8189" s="1009" t="s">
        <v>1007</v>
      </c>
      <c r="I8189" s="1009"/>
      <c r="J8189" s="1009"/>
      <c r="K8189" s="1010"/>
    </row>
    <row r="8190" spans="1:11" s="1011" customFormat="1" ht="15" x14ac:dyDescent="0.25">
      <c r="A8190" s="859">
        <f t="shared" si="127"/>
        <v>8189</v>
      </c>
      <c r="B8190" s="845" t="s">
        <v>2564</v>
      </c>
      <c r="C8190" s="1007">
        <v>1</v>
      </c>
      <c r="D8190" s="1012"/>
      <c r="I8190" s="1011" t="s">
        <v>2174</v>
      </c>
      <c r="K8190" s="1013"/>
    </row>
    <row r="8191" spans="1:11" s="1011" customFormat="1" ht="15" x14ac:dyDescent="0.25">
      <c r="A8191" s="859">
        <f t="shared" si="127"/>
        <v>8190</v>
      </c>
      <c r="B8191" s="845" t="s">
        <v>2564</v>
      </c>
      <c r="C8191" s="1007">
        <v>1</v>
      </c>
      <c r="D8191" s="1014"/>
      <c r="I8191" s="1011" t="str">
        <f>CONCATENATE("&lt;valeur&gt;",VLOOKUP(C8191,'T16 Amort'!A:K,2,0),"&lt;/valeur&gt;")</f>
        <v>&lt;valeur&gt;&lt;/valeur&gt;</v>
      </c>
      <c r="K8191" s="1013"/>
    </row>
    <row r="8192" spans="1:11" s="1011" customFormat="1" ht="15" x14ac:dyDescent="0.25">
      <c r="A8192" s="859">
        <f t="shared" si="127"/>
        <v>8191</v>
      </c>
      <c r="B8192" s="845" t="s">
        <v>2564</v>
      </c>
      <c r="C8192" s="1007">
        <v>1</v>
      </c>
      <c r="D8192" s="1014"/>
      <c r="I8192" s="1011" t="str">
        <f>CONCATENATE("&lt;numeroLigne&gt;",C8192,"&lt;/numeroLigne&gt;")</f>
        <v>&lt;numeroLigne&gt;1&lt;/numeroLigne&gt;</v>
      </c>
      <c r="K8192" s="1013"/>
    </row>
    <row r="8193" spans="1:11" s="1011" customFormat="1" ht="15" x14ac:dyDescent="0.25">
      <c r="A8193" s="859">
        <f t="shared" si="127"/>
        <v>8192</v>
      </c>
      <c r="B8193" s="845" t="s">
        <v>2564</v>
      </c>
      <c r="C8193" s="1007">
        <v>1</v>
      </c>
      <c r="D8193" s="1012"/>
      <c r="H8193" s="1011" t="s">
        <v>1010</v>
      </c>
      <c r="K8193" s="1013"/>
    </row>
    <row r="8194" spans="1:11" s="1011" customFormat="1" ht="15" x14ac:dyDescent="0.25">
      <c r="A8194" s="859">
        <f t="shared" si="127"/>
        <v>8193</v>
      </c>
      <c r="B8194" s="845" t="s">
        <v>2564</v>
      </c>
      <c r="C8194" s="1007">
        <v>1</v>
      </c>
      <c r="D8194" s="1015"/>
      <c r="H8194" s="1011" t="s">
        <v>1007</v>
      </c>
      <c r="K8194" s="1013"/>
    </row>
    <row r="8195" spans="1:11" s="1011" customFormat="1" ht="15" x14ac:dyDescent="0.25">
      <c r="A8195" s="859">
        <f t="shared" si="127"/>
        <v>8194</v>
      </c>
      <c r="B8195" s="845" t="s">
        <v>2564</v>
      </c>
      <c r="C8195" s="1007">
        <v>1</v>
      </c>
      <c r="D8195" s="1012"/>
      <c r="I8195" s="1011" t="s">
        <v>2175</v>
      </c>
      <c r="K8195" s="1013"/>
    </row>
    <row r="8196" spans="1:11" s="1011" customFormat="1" ht="15" x14ac:dyDescent="0.25">
      <c r="A8196" s="859">
        <f t="shared" ref="A8196:A8259" si="128">+A8195+1</f>
        <v>8195</v>
      </c>
      <c r="B8196" s="845" t="s">
        <v>2564</v>
      </c>
      <c r="C8196" s="1007">
        <v>1</v>
      </c>
      <c r="D8196" s="1012"/>
      <c r="I8196" s="1011" t="str">
        <f>CONCATENATE("&lt;valeur&gt;",VLOOKUP(C8196,'T16 Amort'!A:K,3,0),"&lt;/valeur&gt;")</f>
        <v>&lt;valeur&gt;&lt;/valeur&gt;</v>
      </c>
      <c r="K8196" s="1013"/>
    </row>
    <row r="8197" spans="1:11" s="1011" customFormat="1" ht="15" x14ac:dyDescent="0.25">
      <c r="A8197" s="859">
        <f t="shared" si="128"/>
        <v>8196</v>
      </c>
      <c r="B8197" s="845" t="s">
        <v>2564</v>
      </c>
      <c r="C8197" s="1007">
        <v>1</v>
      </c>
      <c r="D8197" s="1014"/>
      <c r="I8197" s="1011" t="str">
        <f>CONCATENATE("&lt;numeroLigne&gt;",C8197,"&lt;/numeroLigne&gt;")</f>
        <v>&lt;numeroLigne&gt;1&lt;/numeroLigne&gt;</v>
      </c>
      <c r="K8197" s="1013"/>
    </row>
    <row r="8198" spans="1:11" s="1011" customFormat="1" ht="15" x14ac:dyDescent="0.25">
      <c r="A8198" s="859">
        <f t="shared" si="128"/>
        <v>8197</v>
      </c>
      <c r="B8198" s="845" t="s">
        <v>2564</v>
      </c>
      <c r="C8198" s="1007">
        <v>1</v>
      </c>
      <c r="D8198" s="1014"/>
      <c r="H8198" s="1011" t="s">
        <v>1010</v>
      </c>
      <c r="K8198" s="1013"/>
    </row>
    <row r="8199" spans="1:11" s="1011" customFormat="1" ht="15" x14ac:dyDescent="0.25">
      <c r="A8199" s="859">
        <f t="shared" si="128"/>
        <v>8198</v>
      </c>
      <c r="B8199" s="845" t="s">
        <v>2564</v>
      </c>
      <c r="C8199" s="1007">
        <v>1</v>
      </c>
      <c r="D8199" s="1012"/>
      <c r="H8199" s="1011" t="s">
        <v>1007</v>
      </c>
      <c r="K8199" s="1013"/>
    </row>
    <row r="8200" spans="1:11" s="1011" customFormat="1" ht="15" x14ac:dyDescent="0.25">
      <c r="A8200" s="859">
        <f t="shared" si="128"/>
        <v>8199</v>
      </c>
      <c r="B8200" s="845" t="s">
        <v>2564</v>
      </c>
      <c r="C8200" s="1007">
        <v>1</v>
      </c>
      <c r="D8200" s="1015"/>
      <c r="I8200" s="1011" t="s">
        <v>2176</v>
      </c>
      <c r="K8200" s="1013"/>
    </row>
    <row r="8201" spans="1:11" s="1011" customFormat="1" ht="15" x14ac:dyDescent="0.25">
      <c r="A8201" s="859">
        <f t="shared" si="128"/>
        <v>8200</v>
      </c>
      <c r="B8201" s="845" t="s">
        <v>2564</v>
      </c>
      <c r="C8201" s="1007">
        <v>1</v>
      </c>
      <c r="D8201" s="1012"/>
      <c r="I8201" s="1011" t="str">
        <f>CONCATENATE("&lt;valeur&gt;",VLOOKUP(C8201,'T16 Amort'!A:K,4,0),"&lt;/valeur&gt;")</f>
        <v>&lt;valeur&gt;&lt;/valeur&gt;</v>
      </c>
      <c r="K8201" s="1013"/>
    </row>
    <row r="8202" spans="1:11" s="1011" customFormat="1" ht="15" x14ac:dyDescent="0.25">
      <c r="A8202" s="859">
        <f t="shared" si="128"/>
        <v>8201</v>
      </c>
      <c r="B8202" s="845" t="s">
        <v>2564</v>
      </c>
      <c r="C8202" s="1007">
        <v>1</v>
      </c>
      <c r="D8202" s="1012"/>
      <c r="I8202" s="1011" t="str">
        <f>CONCATENATE("&lt;numeroLigne&gt;",C8202,"&lt;/numeroLigne&gt;")</f>
        <v>&lt;numeroLigne&gt;1&lt;/numeroLigne&gt;</v>
      </c>
      <c r="K8202" s="1013"/>
    </row>
    <row r="8203" spans="1:11" s="1011" customFormat="1" ht="15" x14ac:dyDescent="0.25">
      <c r="A8203" s="859">
        <f t="shared" si="128"/>
        <v>8202</v>
      </c>
      <c r="B8203" s="845" t="s">
        <v>2564</v>
      </c>
      <c r="C8203" s="1007">
        <v>1</v>
      </c>
      <c r="D8203" s="1014"/>
      <c r="H8203" s="1011" t="s">
        <v>1010</v>
      </c>
      <c r="K8203" s="1013"/>
    </row>
    <row r="8204" spans="1:11" s="1011" customFormat="1" ht="15" x14ac:dyDescent="0.25">
      <c r="A8204" s="859">
        <f t="shared" si="128"/>
        <v>8203</v>
      </c>
      <c r="B8204" s="845" t="s">
        <v>2564</v>
      </c>
      <c r="C8204" s="1007">
        <v>1</v>
      </c>
      <c r="D8204" s="1014"/>
      <c r="H8204" s="1011" t="s">
        <v>1007</v>
      </c>
      <c r="K8204" s="1013"/>
    </row>
    <row r="8205" spans="1:11" s="1011" customFormat="1" ht="15" x14ac:dyDescent="0.25">
      <c r="A8205" s="859">
        <f t="shared" si="128"/>
        <v>8204</v>
      </c>
      <c r="B8205" s="845" t="s">
        <v>2564</v>
      </c>
      <c r="C8205" s="1007">
        <v>1</v>
      </c>
      <c r="D8205" s="1012"/>
      <c r="I8205" s="1011" t="s">
        <v>2177</v>
      </c>
      <c r="K8205" s="1013"/>
    </row>
    <row r="8206" spans="1:11" s="1011" customFormat="1" ht="15" x14ac:dyDescent="0.25">
      <c r="A8206" s="859">
        <f t="shared" si="128"/>
        <v>8205</v>
      </c>
      <c r="B8206" s="845" t="s">
        <v>2564</v>
      </c>
      <c r="C8206" s="1007">
        <v>1</v>
      </c>
      <c r="D8206" s="1015"/>
      <c r="I8206" s="1011" t="str">
        <f>CONCATENATE("&lt;valeur&gt;",VLOOKUP(C8206,'T16 Amort'!A:K,5,0),"&lt;/valeur&gt;")</f>
        <v>&lt;valeur&gt;&lt;/valeur&gt;</v>
      </c>
      <c r="K8206" s="1013"/>
    </row>
    <row r="8207" spans="1:11" s="1011" customFormat="1" ht="15" x14ac:dyDescent="0.25">
      <c r="A8207" s="859">
        <f t="shared" si="128"/>
        <v>8206</v>
      </c>
      <c r="B8207" s="845" t="s">
        <v>2564</v>
      </c>
      <c r="C8207" s="1007">
        <v>1</v>
      </c>
      <c r="D8207" s="1012"/>
      <c r="I8207" s="1011" t="str">
        <f>CONCATENATE("&lt;numeroLigne&gt;",C8207,"&lt;/numeroLigne&gt;")</f>
        <v>&lt;numeroLigne&gt;1&lt;/numeroLigne&gt;</v>
      </c>
      <c r="K8207" s="1013"/>
    </row>
    <row r="8208" spans="1:11" s="1011" customFormat="1" ht="15" x14ac:dyDescent="0.25">
      <c r="A8208" s="859">
        <f t="shared" si="128"/>
        <v>8207</v>
      </c>
      <c r="B8208" s="845" t="s">
        <v>2564</v>
      </c>
      <c r="C8208" s="1007">
        <v>1</v>
      </c>
      <c r="D8208" s="1012"/>
      <c r="H8208" s="1011" t="s">
        <v>1010</v>
      </c>
      <c r="K8208" s="1013"/>
    </row>
    <row r="8209" spans="1:11" s="1011" customFormat="1" ht="15" x14ac:dyDescent="0.25">
      <c r="A8209" s="859">
        <f t="shared" si="128"/>
        <v>8208</v>
      </c>
      <c r="B8209" s="845" t="s">
        <v>2564</v>
      </c>
      <c r="C8209" s="1007">
        <v>1</v>
      </c>
      <c r="D8209" s="1014"/>
      <c r="H8209" s="1011" t="s">
        <v>1007</v>
      </c>
      <c r="K8209" s="1013"/>
    </row>
    <row r="8210" spans="1:11" s="1011" customFormat="1" ht="15" x14ac:dyDescent="0.25">
      <c r="A8210" s="859">
        <f t="shared" si="128"/>
        <v>8209</v>
      </c>
      <c r="B8210" s="845" t="s">
        <v>2564</v>
      </c>
      <c r="C8210" s="1007">
        <v>1</v>
      </c>
      <c r="D8210" s="1014"/>
      <c r="I8210" s="1011" t="s">
        <v>2178</v>
      </c>
      <c r="K8210" s="1013"/>
    </row>
    <row r="8211" spans="1:11" s="1011" customFormat="1" ht="15" x14ac:dyDescent="0.25">
      <c r="A8211" s="859">
        <f t="shared" si="128"/>
        <v>8210</v>
      </c>
      <c r="B8211" s="845" t="s">
        <v>2564</v>
      </c>
      <c r="C8211" s="1007">
        <v>1</v>
      </c>
      <c r="D8211" s="1012"/>
      <c r="I8211" s="1011" t="str">
        <f>CONCATENATE("&lt;valeur&gt;",VLOOKUP(C8211,'T16 Amort'!A:K,6,0),"&lt;/valeur&gt;")</f>
        <v>&lt;valeur&gt;&lt;/valeur&gt;</v>
      </c>
      <c r="K8211" s="1013"/>
    </row>
    <row r="8212" spans="1:11" s="1011" customFormat="1" ht="15" x14ac:dyDescent="0.25">
      <c r="A8212" s="859">
        <f t="shared" si="128"/>
        <v>8211</v>
      </c>
      <c r="B8212" s="845" t="s">
        <v>2564</v>
      </c>
      <c r="C8212" s="1007">
        <v>1</v>
      </c>
      <c r="D8212" s="1015"/>
      <c r="I8212" s="1011" t="str">
        <f>CONCATENATE("&lt;numeroLigne&gt;",C8212,"&lt;/numeroLigne&gt;")</f>
        <v>&lt;numeroLigne&gt;1&lt;/numeroLigne&gt;</v>
      </c>
      <c r="K8212" s="1013"/>
    </row>
    <row r="8213" spans="1:11" s="1011" customFormat="1" ht="15" x14ac:dyDescent="0.25">
      <c r="A8213" s="859">
        <f t="shared" si="128"/>
        <v>8212</v>
      </c>
      <c r="B8213" s="845" t="s">
        <v>2564</v>
      </c>
      <c r="C8213" s="1007">
        <v>1</v>
      </c>
      <c r="D8213" s="1012"/>
      <c r="H8213" s="1011" t="s">
        <v>1010</v>
      </c>
      <c r="K8213" s="1013"/>
    </row>
    <row r="8214" spans="1:11" s="1011" customFormat="1" ht="15" x14ac:dyDescent="0.25">
      <c r="A8214" s="859">
        <f t="shared" si="128"/>
        <v>8213</v>
      </c>
      <c r="B8214" s="845" t="s">
        <v>2564</v>
      </c>
      <c r="C8214" s="1007">
        <v>1</v>
      </c>
      <c r="D8214" s="1012"/>
      <c r="H8214" s="1011" t="s">
        <v>1007</v>
      </c>
      <c r="K8214" s="1013"/>
    </row>
    <row r="8215" spans="1:11" s="1011" customFormat="1" ht="15" x14ac:dyDescent="0.25">
      <c r="A8215" s="859">
        <f t="shared" si="128"/>
        <v>8214</v>
      </c>
      <c r="B8215" s="845" t="s">
        <v>2564</v>
      </c>
      <c r="C8215" s="1007">
        <v>1</v>
      </c>
      <c r="D8215" s="1014"/>
      <c r="I8215" s="1011" t="s">
        <v>2179</v>
      </c>
      <c r="K8215" s="1013"/>
    </row>
    <row r="8216" spans="1:11" s="1011" customFormat="1" ht="15" x14ac:dyDescent="0.25">
      <c r="A8216" s="859">
        <f t="shared" si="128"/>
        <v>8215</v>
      </c>
      <c r="B8216" s="845" t="s">
        <v>2564</v>
      </c>
      <c r="C8216" s="1007">
        <v>1</v>
      </c>
      <c r="D8216" s="1014"/>
      <c r="I8216" s="1011" t="str">
        <f>CONCATENATE("&lt;valeur&gt;",VLOOKUP(C8216,'T16 Amort'!A:K,7,0),"&lt;/valeur&gt;")</f>
        <v>&lt;valeur&gt;&lt;/valeur&gt;</v>
      </c>
      <c r="K8216" s="1013"/>
    </row>
    <row r="8217" spans="1:11" s="1011" customFormat="1" ht="15" x14ac:dyDescent="0.25">
      <c r="A8217" s="859">
        <f t="shared" si="128"/>
        <v>8216</v>
      </c>
      <c r="B8217" s="845" t="s">
        <v>2564</v>
      </c>
      <c r="C8217" s="1007">
        <v>1</v>
      </c>
      <c r="D8217" s="1012"/>
      <c r="I8217" s="1011" t="str">
        <f>CONCATENATE("&lt;numeroLigne&gt;",C8217,"&lt;/numeroLigne&gt;")</f>
        <v>&lt;numeroLigne&gt;1&lt;/numeroLigne&gt;</v>
      </c>
      <c r="K8217" s="1013"/>
    </row>
    <row r="8218" spans="1:11" s="1011" customFormat="1" ht="15" x14ac:dyDescent="0.25">
      <c r="A8218" s="859">
        <f t="shared" si="128"/>
        <v>8217</v>
      </c>
      <c r="B8218" s="845" t="s">
        <v>2564</v>
      </c>
      <c r="C8218" s="1007">
        <v>1</v>
      </c>
      <c r="D8218" s="1015"/>
      <c r="H8218" s="1011" t="s">
        <v>1010</v>
      </c>
      <c r="K8218" s="1013"/>
    </row>
    <row r="8219" spans="1:11" s="1011" customFormat="1" ht="15" x14ac:dyDescent="0.25">
      <c r="A8219" s="859">
        <f t="shared" si="128"/>
        <v>8218</v>
      </c>
      <c r="B8219" s="845" t="s">
        <v>2564</v>
      </c>
      <c r="C8219" s="1007">
        <v>1</v>
      </c>
      <c r="D8219" s="1012"/>
      <c r="H8219" s="1011" t="s">
        <v>1007</v>
      </c>
      <c r="K8219" s="1013"/>
    </row>
    <row r="8220" spans="1:11" s="1011" customFormat="1" ht="15" x14ac:dyDescent="0.25">
      <c r="A8220" s="859">
        <f t="shared" si="128"/>
        <v>8219</v>
      </c>
      <c r="B8220" s="845" t="s">
        <v>2564</v>
      </c>
      <c r="C8220" s="1007">
        <v>1</v>
      </c>
      <c r="D8220" s="1012"/>
      <c r="I8220" s="1011" t="s">
        <v>2180</v>
      </c>
      <c r="K8220" s="1013"/>
    </row>
    <row r="8221" spans="1:11" s="1011" customFormat="1" ht="15" x14ac:dyDescent="0.25">
      <c r="A8221" s="859">
        <f t="shared" si="128"/>
        <v>8220</v>
      </c>
      <c r="B8221" s="845" t="s">
        <v>2564</v>
      </c>
      <c r="C8221" s="1007">
        <v>1</v>
      </c>
      <c r="D8221" s="1014"/>
      <c r="I8221" s="1011" t="str">
        <f>CONCATENATE("&lt;valeur&gt;",VLOOKUP(C8221,'T16 Amort'!A:K,8,0),"&lt;/valeur&gt;")</f>
        <v>&lt;valeur&gt;&lt;/valeur&gt;</v>
      </c>
      <c r="K8221" s="1013"/>
    </row>
    <row r="8222" spans="1:11" s="1011" customFormat="1" ht="15" x14ac:dyDescent="0.25">
      <c r="A8222" s="859">
        <f t="shared" si="128"/>
        <v>8221</v>
      </c>
      <c r="B8222" s="845" t="s">
        <v>2564</v>
      </c>
      <c r="C8222" s="1007">
        <v>1</v>
      </c>
      <c r="D8222" s="1014"/>
      <c r="I8222" s="1011" t="str">
        <f>CONCATENATE("&lt;numeroLigne&gt;",C8222,"&lt;/numeroLigne&gt;")</f>
        <v>&lt;numeroLigne&gt;1&lt;/numeroLigne&gt;</v>
      </c>
      <c r="K8222" s="1013"/>
    </row>
    <row r="8223" spans="1:11" s="1011" customFormat="1" ht="15" x14ac:dyDescent="0.25">
      <c r="A8223" s="859">
        <f t="shared" si="128"/>
        <v>8222</v>
      </c>
      <c r="B8223" s="845" t="s">
        <v>2564</v>
      </c>
      <c r="C8223" s="1007">
        <v>1</v>
      </c>
      <c r="D8223" s="1012"/>
      <c r="H8223" s="1011" t="s">
        <v>1010</v>
      </c>
      <c r="K8223" s="1013"/>
    </row>
    <row r="8224" spans="1:11" s="1011" customFormat="1" ht="15" x14ac:dyDescent="0.25">
      <c r="A8224" s="859">
        <f t="shared" si="128"/>
        <v>8223</v>
      </c>
      <c r="B8224" s="845" t="s">
        <v>2564</v>
      </c>
      <c r="C8224" s="1007">
        <v>1</v>
      </c>
      <c r="D8224" s="1015"/>
      <c r="H8224" s="1011" t="s">
        <v>1007</v>
      </c>
      <c r="K8224" s="1013"/>
    </row>
    <row r="8225" spans="1:11" s="1011" customFormat="1" ht="15" x14ac:dyDescent="0.25">
      <c r="A8225" s="859">
        <f t="shared" si="128"/>
        <v>8224</v>
      </c>
      <c r="B8225" s="845" t="s">
        <v>2564</v>
      </c>
      <c r="C8225" s="1007">
        <v>1</v>
      </c>
      <c r="D8225" s="1012"/>
      <c r="I8225" s="1011" t="s">
        <v>2181</v>
      </c>
      <c r="K8225" s="1013"/>
    </row>
    <row r="8226" spans="1:11" s="1011" customFormat="1" ht="15" x14ac:dyDescent="0.25">
      <c r="A8226" s="859">
        <f t="shared" si="128"/>
        <v>8225</v>
      </c>
      <c r="B8226" s="845" t="s">
        <v>2564</v>
      </c>
      <c r="C8226" s="1007">
        <v>1</v>
      </c>
      <c r="D8226" s="1012"/>
      <c r="I8226" s="1011" t="str">
        <f>CONCATENATE("&lt;valeur&gt;",VLOOKUP(C8226,'T16 Amort'!A:K,9,0),"&lt;/valeur&gt;")</f>
        <v>&lt;valeur&gt;&lt;/valeur&gt;</v>
      </c>
      <c r="K8226" s="1013"/>
    </row>
    <row r="8227" spans="1:11" s="1011" customFormat="1" ht="15" x14ac:dyDescent="0.25">
      <c r="A8227" s="859">
        <f t="shared" si="128"/>
        <v>8226</v>
      </c>
      <c r="B8227" s="845" t="s">
        <v>2564</v>
      </c>
      <c r="C8227" s="1007">
        <v>1</v>
      </c>
      <c r="D8227" s="1014"/>
      <c r="I8227" s="1011" t="str">
        <f>CONCATENATE("&lt;numeroLigne&gt;",C8227,"&lt;/numeroLigne&gt;")</f>
        <v>&lt;numeroLigne&gt;1&lt;/numeroLigne&gt;</v>
      </c>
      <c r="K8227" s="1013"/>
    </row>
    <row r="8228" spans="1:11" s="1011" customFormat="1" ht="15" x14ac:dyDescent="0.25">
      <c r="A8228" s="859">
        <f t="shared" si="128"/>
        <v>8227</v>
      </c>
      <c r="B8228" s="845" t="s">
        <v>2564</v>
      </c>
      <c r="C8228" s="1007">
        <v>1</v>
      </c>
      <c r="D8228" s="1014"/>
      <c r="H8228" s="1011" t="s">
        <v>1010</v>
      </c>
      <c r="K8228" s="1013"/>
    </row>
    <row r="8229" spans="1:11" s="1011" customFormat="1" ht="15" x14ac:dyDescent="0.25">
      <c r="A8229" s="859">
        <f t="shared" si="128"/>
        <v>8228</v>
      </c>
      <c r="B8229" s="845" t="s">
        <v>2564</v>
      </c>
      <c r="C8229" s="1007">
        <v>1</v>
      </c>
      <c r="D8229" s="1012"/>
      <c r="H8229" s="1011" t="s">
        <v>1007</v>
      </c>
      <c r="K8229" s="1013"/>
    </row>
    <row r="8230" spans="1:11" s="1011" customFormat="1" ht="15" x14ac:dyDescent="0.25">
      <c r="A8230" s="859">
        <f t="shared" si="128"/>
        <v>8229</v>
      </c>
      <c r="B8230" s="845" t="s">
        <v>2564</v>
      </c>
      <c r="C8230" s="1007">
        <v>1</v>
      </c>
      <c r="D8230" s="1015"/>
      <c r="I8230" s="1011" t="s">
        <v>2182</v>
      </c>
      <c r="K8230" s="1013"/>
    </row>
    <row r="8231" spans="1:11" s="1011" customFormat="1" ht="15" x14ac:dyDescent="0.25">
      <c r="A8231" s="859">
        <f t="shared" si="128"/>
        <v>8230</v>
      </c>
      <c r="B8231" s="845" t="s">
        <v>2564</v>
      </c>
      <c r="C8231" s="1007">
        <v>1</v>
      </c>
      <c r="D8231" s="1012"/>
      <c r="I8231" s="1011" t="str">
        <f>CONCATENATE("&lt;valeur&gt;",VLOOKUP(C8231,'T16 Amort'!A:K,10,0),"&lt;/valeur&gt;")</f>
        <v>&lt;valeur&gt;&lt;/valeur&gt;</v>
      </c>
      <c r="K8231" s="1013"/>
    </row>
    <row r="8232" spans="1:11" s="1011" customFormat="1" ht="15" x14ac:dyDescent="0.25">
      <c r="A8232" s="859">
        <f t="shared" si="128"/>
        <v>8231</v>
      </c>
      <c r="B8232" s="845" t="s">
        <v>2564</v>
      </c>
      <c r="C8232" s="1007">
        <v>1</v>
      </c>
      <c r="D8232" s="1012"/>
      <c r="I8232" s="1011" t="str">
        <f>CONCATENATE("&lt;numeroLigne&gt;",C8232,"&lt;/numeroLigne&gt;")</f>
        <v>&lt;numeroLigne&gt;1&lt;/numeroLigne&gt;</v>
      </c>
      <c r="K8232" s="1013"/>
    </row>
    <row r="8233" spans="1:11" s="1011" customFormat="1" ht="15" x14ac:dyDescent="0.25">
      <c r="A8233" s="859">
        <f t="shared" si="128"/>
        <v>8232</v>
      </c>
      <c r="B8233" s="845" t="s">
        <v>2564</v>
      </c>
      <c r="C8233" s="1007">
        <v>1</v>
      </c>
      <c r="D8233" s="1014"/>
      <c r="H8233" s="1011" t="s">
        <v>1010</v>
      </c>
      <c r="K8233" s="1013"/>
    </row>
    <row r="8234" spans="1:11" s="1011" customFormat="1" ht="15" x14ac:dyDescent="0.25">
      <c r="A8234" s="859">
        <f t="shared" si="128"/>
        <v>8233</v>
      </c>
      <c r="B8234" s="845" t="s">
        <v>2564</v>
      </c>
      <c r="C8234" s="1007">
        <v>1</v>
      </c>
      <c r="D8234" s="1014"/>
      <c r="H8234" s="1011" t="s">
        <v>1007</v>
      </c>
      <c r="K8234" s="1013"/>
    </row>
    <row r="8235" spans="1:11" s="1011" customFormat="1" ht="15" x14ac:dyDescent="0.25">
      <c r="A8235" s="859">
        <f t="shared" si="128"/>
        <v>8234</v>
      </c>
      <c r="B8235" s="845" t="s">
        <v>2564</v>
      </c>
      <c r="C8235" s="1007">
        <v>1</v>
      </c>
      <c r="D8235" s="1012"/>
      <c r="I8235" s="1011" t="s">
        <v>2183</v>
      </c>
      <c r="K8235" s="1013"/>
    </row>
    <row r="8236" spans="1:11" s="1011" customFormat="1" ht="15" x14ac:dyDescent="0.25">
      <c r="A8236" s="859">
        <f t="shared" si="128"/>
        <v>8235</v>
      </c>
      <c r="B8236" s="845" t="s">
        <v>2564</v>
      </c>
      <c r="C8236" s="1007">
        <v>1</v>
      </c>
      <c r="D8236" s="1015"/>
      <c r="I8236" s="1011" t="str">
        <f>CONCATENATE("&lt;valeur&gt;",VLOOKUP(C8236,'T16 Amort'!A:K,11,0),"&lt;/valeur&gt;")</f>
        <v>&lt;valeur&gt;&lt;/valeur&gt;</v>
      </c>
      <c r="K8236" s="1013"/>
    </row>
    <row r="8237" spans="1:11" s="1011" customFormat="1" ht="15" x14ac:dyDescent="0.25">
      <c r="A8237" s="859">
        <f t="shared" si="128"/>
        <v>8236</v>
      </c>
      <c r="B8237" s="845" t="s">
        <v>2564</v>
      </c>
      <c r="C8237" s="1007">
        <v>1</v>
      </c>
      <c r="D8237" s="1012"/>
      <c r="I8237" s="1011" t="str">
        <f>CONCATENATE("&lt;numeroLigne&gt;",C8237,"&lt;/numeroLigne&gt;")</f>
        <v>&lt;numeroLigne&gt;1&lt;/numeroLigne&gt;</v>
      </c>
      <c r="K8237" s="1013"/>
    </row>
    <row r="8238" spans="1:11" s="1011" customFormat="1" ht="15" x14ac:dyDescent="0.25">
      <c r="A8238" s="859">
        <f t="shared" si="128"/>
        <v>8237</v>
      </c>
      <c r="B8238" s="845" t="s">
        <v>2564</v>
      </c>
      <c r="C8238" s="1007">
        <v>1</v>
      </c>
      <c r="D8238" s="1016"/>
      <c r="E8238" s="1017"/>
      <c r="F8238" s="1017"/>
      <c r="G8238" s="1017"/>
      <c r="H8238" s="1017" t="s">
        <v>1010</v>
      </c>
      <c r="I8238" s="1017"/>
      <c r="J8238" s="1017"/>
      <c r="K8238" s="1018"/>
    </row>
    <row r="8239" spans="1:11" s="1011" customFormat="1" ht="15" x14ac:dyDescent="0.25">
      <c r="A8239" s="859">
        <f t="shared" si="128"/>
        <v>8238</v>
      </c>
      <c r="B8239" s="845" t="s">
        <v>2564</v>
      </c>
      <c r="C8239" s="1007">
        <f t="shared" ref="C8239:C8302" si="129">C8189+1</f>
        <v>2</v>
      </c>
      <c r="D8239" s="1008"/>
      <c r="E8239" s="1009"/>
      <c r="F8239" s="1009"/>
      <c r="G8239" s="1009"/>
      <c r="H8239" s="1009" t="s">
        <v>1007</v>
      </c>
      <c r="I8239" s="1009"/>
      <c r="J8239" s="1009"/>
      <c r="K8239" s="1010"/>
    </row>
    <row r="8240" spans="1:11" s="1011" customFormat="1" ht="15" x14ac:dyDescent="0.25">
      <c r="A8240" s="859">
        <f t="shared" si="128"/>
        <v>8239</v>
      </c>
      <c r="B8240" s="845" t="s">
        <v>2564</v>
      </c>
      <c r="C8240" s="1007">
        <f t="shared" si="129"/>
        <v>2</v>
      </c>
      <c r="D8240" s="1012"/>
      <c r="I8240" s="1011" t="s">
        <v>2174</v>
      </c>
      <c r="K8240" s="1013"/>
    </row>
    <row r="8241" spans="1:11" s="1011" customFormat="1" ht="15" x14ac:dyDescent="0.25">
      <c r="A8241" s="859">
        <f t="shared" si="128"/>
        <v>8240</v>
      </c>
      <c r="B8241" s="845" t="s">
        <v>2564</v>
      </c>
      <c r="C8241" s="1007">
        <f t="shared" si="129"/>
        <v>2</v>
      </c>
      <c r="D8241" s="1014"/>
      <c r="I8241" s="1011" t="str">
        <f>CONCATENATE("&lt;valeur&gt;",VLOOKUP(C8241,'T16 Amort'!A:K,2,0),"&lt;/valeur&gt;")</f>
        <v>&lt;valeur&gt;&lt;/valeur&gt;</v>
      </c>
      <c r="K8241" s="1013"/>
    </row>
    <row r="8242" spans="1:11" s="1011" customFormat="1" ht="15" x14ac:dyDescent="0.25">
      <c r="A8242" s="859">
        <f t="shared" si="128"/>
        <v>8241</v>
      </c>
      <c r="B8242" s="845" t="s">
        <v>2564</v>
      </c>
      <c r="C8242" s="1007">
        <f t="shared" si="129"/>
        <v>2</v>
      </c>
      <c r="D8242" s="1014"/>
      <c r="I8242" s="1011" t="str">
        <f>CONCATENATE("&lt;numeroLigne&gt;",C8242,"&lt;/numeroLigne&gt;")</f>
        <v>&lt;numeroLigne&gt;2&lt;/numeroLigne&gt;</v>
      </c>
      <c r="K8242" s="1013"/>
    </row>
    <row r="8243" spans="1:11" s="1011" customFormat="1" ht="15" x14ac:dyDescent="0.25">
      <c r="A8243" s="859">
        <f t="shared" si="128"/>
        <v>8242</v>
      </c>
      <c r="B8243" s="845" t="s">
        <v>2564</v>
      </c>
      <c r="C8243" s="1007">
        <f t="shared" si="129"/>
        <v>2</v>
      </c>
      <c r="D8243" s="1012"/>
      <c r="H8243" s="1011" t="s">
        <v>1010</v>
      </c>
      <c r="K8243" s="1013"/>
    </row>
    <row r="8244" spans="1:11" s="1011" customFormat="1" ht="15" x14ac:dyDescent="0.25">
      <c r="A8244" s="859">
        <f t="shared" si="128"/>
        <v>8243</v>
      </c>
      <c r="B8244" s="845" t="s">
        <v>2564</v>
      </c>
      <c r="C8244" s="1007">
        <f t="shared" si="129"/>
        <v>2</v>
      </c>
      <c r="D8244" s="1015"/>
      <c r="H8244" s="1011" t="s">
        <v>1007</v>
      </c>
      <c r="K8244" s="1013"/>
    </row>
    <row r="8245" spans="1:11" s="1011" customFormat="1" ht="15" x14ac:dyDescent="0.25">
      <c r="A8245" s="859">
        <f t="shared" si="128"/>
        <v>8244</v>
      </c>
      <c r="B8245" s="845" t="s">
        <v>2564</v>
      </c>
      <c r="C8245" s="1007">
        <f t="shared" si="129"/>
        <v>2</v>
      </c>
      <c r="D8245" s="1012"/>
      <c r="I8245" s="1011" t="s">
        <v>2175</v>
      </c>
      <c r="K8245" s="1013"/>
    </row>
    <row r="8246" spans="1:11" s="1011" customFormat="1" ht="15" x14ac:dyDescent="0.25">
      <c r="A8246" s="859">
        <f t="shared" si="128"/>
        <v>8245</v>
      </c>
      <c r="B8246" s="845" t="s">
        <v>2564</v>
      </c>
      <c r="C8246" s="1007">
        <f t="shared" si="129"/>
        <v>2</v>
      </c>
      <c r="D8246" s="1012"/>
      <c r="I8246" s="1011" t="str">
        <f>CONCATENATE("&lt;valeur&gt;",VLOOKUP(C8246,'T16 Amort'!A:K,3,0),"&lt;/valeur&gt;")</f>
        <v>&lt;valeur&gt;&lt;/valeur&gt;</v>
      </c>
      <c r="K8246" s="1013"/>
    </row>
    <row r="8247" spans="1:11" s="1011" customFormat="1" ht="15" x14ac:dyDescent="0.25">
      <c r="A8247" s="859">
        <f t="shared" si="128"/>
        <v>8246</v>
      </c>
      <c r="B8247" s="845" t="s">
        <v>2564</v>
      </c>
      <c r="C8247" s="1007">
        <f t="shared" si="129"/>
        <v>2</v>
      </c>
      <c r="D8247" s="1014"/>
      <c r="I8247" s="1011" t="str">
        <f>CONCATENATE("&lt;numeroLigne&gt;",C8247,"&lt;/numeroLigne&gt;")</f>
        <v>&lt;numeroLigne&gt;2&lt;/numeroLigne&gt;</v>
      </c>
      <c r="K8247" s="1013"/>
    </row>
    <row r="8248" spans="1:11" s="1011" customFormat="1" ht="15" x14ac:dyDescent="0.25">
      <c r="A8248" s="859">
        <f t="shared" si="128"/>
        <v>8247</v>
      </c>
      <c r="B8248" s="845" t="s">
        <v>2564</v>
      </c>
      <c r="C8248" s="1007">
        <f t="shared" si="129"/>
        <v>2</v>
      </c>
      <c r="D8248" s="1014"/>
      <c r="H8248" s="1011" t="s">
        <v>1010</v>
      </c>
      <c r="K8248" s="1013"/>
    </row>
    <row r="8249" spans="1:11" s="1011" customFormat="1" ht="15" x14ac:dyDescent="0.25">
      <c r="A8249" s="859">
        <f t="shared" si="128"/>
        <v>8248</v>
      </c>
      <c r="B8249" s="845" t="s">
        <v>2564</v>
      </c>
      <c r="C8249" s="1007">
        <f t="shared" si="129"/>
        <v>2</v>
      </c>
      <c r="D8249" s="1012"/>
      <c r="H8249" s="1011" t="s">
        <v>1007</v>
      </c>
      <c r="K8249" s="1013"/>
    </row>
    <row r="8250" spans="1:11" s="1011" customFormat="1" ht="15" x14ac:dyDescent="0.25">
      <c r="A8250" s="859">
        <f t="shared" si="128"/>
        <v>8249</v>
      </c>
      <c r="B8250" s="845" t="s">
        <v>2564</v>
      </c>
      <c r="C8250" s="1007">
        <f t="shared" si="129"/>
        <v>2</v>
      </c>
      <c r="D8250" s="1015"/>
      <c r="I8250" s="1011" t="s">
        <v>2176</v>
      </c>
      <c r="K8250" s="1013"/>
    </row>
    <row r="8251" spans="1:11" s="1011" customFormat="1" ht="15" x14ac:dyDescent="0.25">
      <c r="A8251" s="859">
        <f t="shared" si="128"/>
        <v>8250</v>
      </c>
      <c r="B8251" s="845" t="s">
        <v>2564</v>
      </c>
      <c r="C8251" s="1007">
        <f t="shared" si="129"/>
        <v>2</v>
      </c>
      <c r="D8251" s="1012"/>
      <c r="I8251" s="1011" t="str">
        <f>CONCATENATE("&lt;valeur&gt;",VLOOKUP(C8251,'T16 Amort'!A:K,4,0),"&lt;/valeur&gt;")</f>
        <v>&lt;valeur&gt;&lt;/valeur&gt;</v>
      </c>
      <c r="K8251" s="1013"/>
    </row>
    <row r="8252" spans="1:11" s="1011" customFormat="1" ht="15" x14ac:dyDescent="0.25">
      <c r="A8252" s="859">
        <f t="shared" si="128"/>
        <v>8251</v>
      </c>
      <c r="B8252" s="845" t="s">
        <v>2564</v>
      </c>
      <c r="C8252" s="1007">
        <f t="shared" si="129"/>
        <v>2</v>
      </c>
      <c r="D8252" s="1012"/>
      <c r="I8252" s="1011" t="str">
        <f>CONCATENATE("&lt;numeroLigne&gt;",C8252,"&lt;/numeroLigne&gt;")</f>
        <v>&lt;numeroLigne&gt;2&lt;/numeroLigne&gt;</v>
      </c>
      <c r="K8252" s="1013"/>
    </row>
    <row r="8253" spans="1:11" s="1011" customFormat="1" ht="15" x14ac:dyDescent="0.25">
      <c r="A8253" s="859">
        <f t="shared" si="128"/>
        <v>8252</v>
      </c>
      <c r="B8253" s="845" t="s">
        <v>2564</v>
      </c>
      <c r="C8253" s="1007">
        <f t="shared" si="129"/>
        <v>2</v>
      </c>
      <c r="D8253" s="1014"/>
      <c r="H8253" s="1011" t="s">
        <v>1010</v>
      </c>
      <c r="K8253" s="1013"/>
    </row>
    <row r="8254" spans="1:11" s="1011" customFormat="1" ht="15" x14ac:dyDescent="0.25">
      <c r="A8254" s="859">
        <f t="shared" si="128"/>
        <v>8253</v>
      </c>
      <c r="B8254" s="845" t="s">
        <v>2564</v>
      </c>
      <c r="C8254" s="1007">
        <f t="shared" si="129"/>
        <v>2</v>
      </c>
      <c r="D8254" s="1014"/>
      <c r="H8254" s="1011" t="s">
        <v>1007</v>
      </c>
      <c r="K8254" s="1013"/>
    </row>
    <row r="8255" spans="1:11" s="1011" customFormat="1" ht="15" x14ac:dyDescent="0.25">
      <c r="A8255" s="859">
        <f t="shared" si="128"/>
        <v>8254</v>
      </c>
      <c r="B8255" s="845" t="s">
        <v>2564</v>
      </c>
      <c r="C8255" s="1007">
        <f t="shared" si="129"/>
        <v>2</v>
      </c>
      <c r="D8255" s="1012"/>
      <c r="I8255" s="1011" t="s">
        <v>2177</v>
      </c>
      <c r="K8255" s="1013"/>
    </row>
    <row r="8256" spans="1:11" s="1011" customFormat="1" ht="15" x14ac:dyDescent="0.25">
      <c r="A8256" s="859">
        <f t="shared" si="128"/>
        <v>8255</v>
      </c>
      <c r="B8256" s="845" t="s">
        <v>2564</v>
      </c>
      <c r="C8256" s="1007">
        <f t="shared" si="129"/>
        <v>2</v>
      </c>
      <c r="D8256" s="1015"/>
      <c r="I8256" s="1011" t="str">
        <f>CONCATENATE("&lt;valeur&gt;",VLOOKUP(C8256,'T16 Amort'!A:K,5,0),"&lt;/valeur&gt;")</f>
        <v>&lt;valeur&gt;&lt;/valeur&gt;</v>
      </c>
      <c r="K8256" s="1013"/>
    </row>
    <row r="8257" spans="1:11" s="1011" customFormat="1" ht="15" x14ac:dyDescent="0.25">
      <c r="A8257" s="859">
        <f t="shared" si="128"/>
        <v>8256</v>
      </c>
      <c r="B8257" s="845" t="s">
        <v>2564</v>
      </c>
      <c r="C8257" s="1007">
        <f t="shared" si="129"/>
        <v>2</v>
      </c>
      <c r="D8257" s="1012"/>
      <c r="I8257" s="1011" t="str">
        <f>CONCATENATE("&lt;numeroLigne&gt;",C8257,"&lt;/numeroLigne&gt;")</f>
        <v>&lt;numeroLigne&gt;2&lt;/numeroLigne&gt;</v>
      </c>
      <c r="K8257" s="1013"/>
    </row>
    <row r="8258" spans="1:11" s="1011" customFormat="1" ht="15" x14ac:dyDescent="0.25">
      <c r="A8258" s="859">
        <f t="shared" si="128"/>
        <v>8257</v>
      </c>
      <c r="B8258" s="845" t="s">
        <v>2564</v>
      </c>
      <c r="C8258" s="1007">
        <f t="shared" si="129"/>
        <v>2</v>
      </c>
      <c r="D8258" s="1012"/>
      <c r="H8258" s="1011" t="s">
        <v>1010</v>
      </c>
      <c r="K8258" s="1013"/>
    </row>
    <row r="8259" spans="1:11" s="1011" customFormat="1" ht="15" x14ac:dyDescent="0.25">
      <c r="A8259" s="859">
        <f t="shared" si="128"/>
        <v>8258</v>
      </c>
      <c r="B8259" s="845" t="s">
        <v>2564</v>
      </c>
      <c r="C8259" s="1007">
        <f t="shared" si="129"/>
        <v>2</v>
      </c>
      <c r="D8259" s="1014"/>
      <c r="H8259" s="1011" t="s">
        <v>1007</v>
      </c>
      <c r="K8259" s="1013"/>
    </row>
    <row r="8260" spans="1:11" s="1011" customFormat="1" ht="15" x14ac:dyDescent="0.25">
      <c r="A8260" s="859">
        <f t="shared" ref="A8260:A8323" si="130">+A8259+1</f>
        <v>8259</v>
      </c>
      <c r="B8260" s="845" t="s">
        <v>2564</v>
      </c>
      <c r="C8260" s="1007">
        <f t="shared" si="129"/>
        <v>2</v>
      </c>
      <c r="D8260" s="1014"/>
      <c r="I8260" s="1011" t="s">
        <v>2178</v>
      </c>
      <c r="K8260" s="1013"/>
    </row>
    <row r="8261" spans="1:11" s="1011" customFormat="1" ht="15" x14ac:dyDescent="0.25">
      <c r="A8261" s="859">
        <f t="shared" si="130"/>
        <v>8260</v>
      </c>
      <c r="B8261" s="845" t="s">
        <v>2564</v>
      </c>
      <c r="C8261" s="1007">
        <f t="shared" si="129"/>
        <v>2</v>
      </c>
      <c r="D8261" s="1012"/>
      <c r="I8261" s="1011" t="str">
        <f>CONCATENATE("&lt;valeur&gt;",VLOOKUP(C8261,'T16 Amort'!A:K,6,0),"&lt;/valeur&gt;")</f>
        <v>&lt;valeur&gt;&lt;/valeur&gt;</v>
      </c>
      <c r="K8261" s="1013"/>
    </row>
    <row r="8262" spans="1:11" s="1011" customFormat="1" ht="15" x14ac:dyDescent="0.25">
      <c r="A8262" s="859">
        <f t="shared" si="130"/>
        <v>8261</v>
      </c>
      <c r="B8262" s="845" t="s">
        <v>2564</v>
      </c>
      <c r="C8262" s="1007">
        <f t="shared" si="129"/>
        <v>2</v>
      </c>
      <c r="D8262" s="1015"/>
      <c r="I8262" s="1011" t="str">
        <f>CONCATENATE("&lt;numeroLigne&gt;",C8262,"&lt;/numeroLigne&gt;")</f>
        <v>&lt;numeroLigne&gt;2&lt;/numeroLigne&gt;</v>
      </c>
      <c r="K8262" s="1013"/>
    </row>
    <row r="8263" spans="1:11" s="1011" customFormat="1" ht="15" x14ac:dyDescent="0.25">
      <c r="A8263" s="859">
        <f t="shared" si="130"/>
        <v>8262</v>
      </c>
      <c r="B8263" s="845" t="s">
        <v>2564</v>
      </c>
      <c r="C8263" s="1007">
        <f t="shared" si="129"/>
        <v>2</v>
      </c>
      <c r="D8263" s="1012"/>
      <c r="H8263" s="1011" t="s">
        <v>1010</v>
      </c>
      <c r="K8263" s="1013"/>
    </row>
    <row r="8264" spans="1:11" s="1011" customFormat="1" ht="15" x14ac:dyDescent="0.25">
      <c r="A8264" s="859">
        <f t="shared" si="130"/>
        <v>8263</v>
      </c>
      <c r="B8264" s="845" t="s">
        <v>2564</v>
      </c>
      <c r="C8264" s="1007">
        <f t="shared" si="129"/>
        <v>2</v>
      </c>
      <c r="D8264" s="1012"/>
      <c r="H8264" s="1011" t="s">
        <v>1007</v>
      </c>
      <c r="K8264" s="1013"/>
    </row>
    <row r="8265" spans="1:11" s="1011" customFormat="1" ht="15" x14ac:dyDescent="0.25">
      <c r="A8265" s="859">
        <f t="shared" si="130"/>
        <v>8264</v>
      </c>
      <c r="B8265" s="845" t="s">
        <v>2564</v>
      </c>
      <c r="C8265" s="1007">
        <f t="shared" si="129"/>
        <v>2</v>
      </c>
      <c r="D8265" s="1014"/>
      <c r="I8265" s="1011" t="s">
        <v>2179</v>
      </c>
      <c r="K8265" s="1013"/>
    </row>
    <row r="8266" spans="1:11" s="1011" customFormat="1" ht="15" x14ac:dyDescent="0.25">
      <c r="A8266" s="859">
        <f t="shared" si="130"/>
        <v>8265</v>
      </c>
      <c r="B8266" s="845" t="s">
        <v>2564</v>
      </c>
      <c r="C8266" s="1007">
        <f t="shared" si="129"/>
        <v>2</v>
      </c>
      <c r="D8266" s="1014"/>
      <c r="I8266" s="1011" t="str">
        <f>CONCATENATE("&lt;valeur&gt;",VLOOKUP(C8266,'T16 Amort'!A:K,7,0),"&lt;/valeur&gt;")</f>
        <v>&lt;valeur&gt;&lt;/valeur&gt;</v>
      </c>
      <c r="K8266" s="1013"/>
    </row>
    <row r="8267" spans="1:11" s="1011" customFormat="1" ht="15" x14ac:dyDescent="0.25">
      <c r="A8267" s="859">
        <f t="shared" si="130"/>
        <v>8266</v>
      </c>
      <c r="B8267" s="845" t="s">
        <v>2564</v>
      </c>
      <c r="C8267" s="1007">
        <f t="shared" si="129"/>
        <v>2</v>
      </c>
      <c r="D8267" s="1012"/>
      <c r="I8267" s="1011" t="str">
        <f>CONCATENATE("&lt;numeroLigne&gt;",C8267,"&lt;/numeroLigne&gt;")</f>
        <v>&lt;numeroLigne&gt;2&lt;/numeroLigne&gt;</v>
      </c>
      <c r="K8267" s="1013"/>
    </row>
    <row r="8268" spans="1:11" s="1011" customFormat="1" ht="15" x14ac:dyDescent="0.25">
      <c r="A8268" s="859">
        <f t="shared" si="130"/>
        <v>8267</v>
      </c>
      <c r="B8268" s="845" t="s">
        <v>2564</v>
      </c>
      <c r="C8268" s="1007">
        <f t="shared" si="129"/>
        <v>2</v>
      </c>
      <c r="D8268" s="1015"/>
      <c r="H8268" s="1011" t="s">
        <v>1010</v>
      </c>
      <c r="K8268" s="1013"/>
    </row>
    <row r="8269" spans="1:11" s="1011" customFormat="1" ht="15" x14ac:dyDescent="0.25">
      <c r="A8269" s="859">
        <f t="shared" si="130"/>
        <v>8268</v>
      </c>
      <c r="B8269" s="845" t="s">
        <v>2564</v>
      </c>
      <c r="C8269" s="1007">
        <f t="shared" si="129"/>
        <v>2</v>
      </c>
      <c r="D8269" s="1012"/>
      <c r="H8269" s="1011" t="s">
        <v>1007</v>
      </c>
      <c r="K8269" s="1013"/>
    </row>
    <row r="8270" spans="1:11" s="1011" customFormat="1" ht="15" x14ac:dyDescent="0.25">
      <c r="A8270" s="859">
        <f t="shared" si="130"/>
        <v>8269</v>
      </c>
      <c r="B8270" s="845" t="s">
        <v>2564</v>
      </c>
      <c r="C8270" s="1007">
        <f t="shared" si="129"/>
        <v>2</v>
      </c>
      <c r="D8270" s="1012"/>
      <c r="I8270" s="1011" t="s">
        <v>2180</v>
      </c>
      <c r="K8270" s="1013"/>
    </row>
    <row r="8271" spans="1:11" s="1011" customFormat="1" ht="15" x14ac:dyDescent="0.25">
      <c r="A8271" s="859">
        <f t="shared" si="130"/>
        <v>8270</v>
      </c>
      <c r="B8271" s="845" t="s">
        <v>2564</v>
      </c>
      <c r="C8271" s="1007">
        <f t="shared" si="129"/>
        <v>2</v>
      </c>
      <c r="D8271" s="1014"/>
      <c r="I8271" s="1011" t="str">
        <f>CONCATENATE("&lt;valeur&gt;",VLOOKUP(C8271,'T16 Amort'!A:K,8,0),"&lt;/valeur&gt;")</f>
        <v>&lt;valeur&gt;&lt;/valeur&gt;</v>
      </c>
      <c r="K8271" s="1013"/>
    </row>
    <row r="8272" spans="1:11" s="1011" customFormat="1" ht="15" x14ac:dyDescent="0.25">
      <c r="A8272" s="859">
        <f t="shared" si="130"/>
        <v>8271</v>
      </c>
      <c r="B8272" s="845" t="s">
        <v>2564</v>
      </c>
      <c r="C8272" s="1007">
        <f t="shared" si="129"/>
        <v>2</v>
      </c>
      <c r="D8272" s="1014"/>
      <c r="I8272" s="1011" t="str">
        <f>CONCATENATE("&lt;numeroLigne&gt;",C8272,"&lt;/numeroLigne&gt;")</f>
        <v>&lt;numeroLigne&gt;2&lt;/numeroLigne&gt;</v>
      </c>
      <c r="K8272" s="1013"/>
    </row>
    <row r="8273" spans="1:11" s="1011" customFormat="1" ht="15" x14ac:dyDescent="0.25">
      <c r="A8273" s="859">
        <f t="shared" si="130"/>
        <v>8272</v>
      </c>
      <c r="B8273" s="845" t="s">
        <v>2564</v>
      </c>
      <c r="C8273" s="1007">
        <f t="shared" si="129"/>
        <v>2</v>
      </c>
      <c r="D8273" s="1012"/>
      <c r="H8273" s="1011" t="s">
        <v>1010</v>
      </c>
      <c r="K8273" s="1013"/>
    </row>
    <row r="8274" spans="1:11" s="1011" customFormat="1" ht="15" x14ac:dyDescent="0.25">
      <c r="A8274" s="859">
        <f t="shared" si="130"/>
        <v>8273</v>
      </c>
      <c r="B8274" s="845" t="s">
        <v>2564</v>
      </c>
      <c r="C8274" s="1007">
        <f t="shared" si="129"/>
        <v>2</v>
      </c>
      <c r="D8274" s="1015"/>
      <c r="H8274" s="1011" t="s">
        <v>1007</v>
      </c>
      <c r="K8274" s="1013"/>
    </row>
    <row r="8275" spans="1:11" s="1011" customFormat="1" ht="15" x14ac:dyDescent="0.25">
      <c r="A8275" s="859">
        <f t="shared" si="130"/>
        <v>8274</v>
      </c>
      <c r="B8275" s="845" t="s">
        <v>2564</v>
      </c>
      <c r="C8275" s="1007">
        <f t="shared" si="129"/>
        <v>2</v>
      </c>
      <c r="D8275" s="1012"/>
      <c r="I8275" s="1011" t="s">
        <v>2181</v>
      </c>
      <c r="K8275" s="1013"/>
    </row>
    <row r="8276" spans="1:11" s="1011" customFormat="1" ht="15" x14ac:dyDescent="0.25">
      <c r="A8276" s="859">
        <f t="shared" si="130"/>
        <v>8275</v>
      </c>
      <c r="B8276" s="845" t="s">
        <v>2564</v>
      </c>
      <c r="C8276" s="1007">
        <f t="shared" si="129"/>
        <v>2</v>
      </c>
      <c r="D8276" s="1012"/>
      <c r="I8276" s="1011" t="str">
        <f>CONCATENATE("&lt;valeur&gt;",VLOOKUP(C8276,'T16 Amort'!A:K,9,0),"&lt;/valeur&gt;")</f>
        <v>&lt;valeur&gt;&lt;/valeur&gt;</v>
      </c>
      <c r="K8276" s="1013"/>
    </row>
    <row r="8277" spans="1:11" s="1011" customFormat="1" ht="15" x14ac:dyDescent="0.25">
      <c r="A8277" s="859">
        <f t="shared" si="130"/>
        <v>8276</v>
      </c>
      <c r="B8277" s="845" t="s">
        <v>2564</v>
      </c>
      <c r="C8277" s="1007">
        <f t="shared" si="129"/>
        <v>2</v>
      </c>
      <c r="D8277" s="1014"/>
      <c r="I8277" s="1011" t="str">
        <f>CONCATENATE("&lt;numeroLigne&gt;",C8277,"&lt;/numeroLigne&gt;")</f>
        <v>&lt;numeroLigne&gt;2&lt;/numeroLigne&gt;</v>
      </c>
      <c r="K8277" s="1013"/>
    </row>
    <row r="8278" spans="1:11" s="1011" customFormat="1" ht="15" x14ac:dyDescent="0.25">
      <c r="A8278" s="859">
        <f t="shared" si="130"/>
        <v>8277</v>
      </c>
      <c r="B8278" s="845" t="s">
        <v>2564</v>
      </c>
      <c r="C8278" s="1007">
        <f t="shared" si="129"/>
        <v>2</v>
      </c>
      <c r="D8278" s="1014"/>
      <c r="H8278" s="1011" t="s">
        <v>1010</v>
      </c>
      <c r="K8278" s="1013"/>
    </row>
    <row r="8279" spans="1:11" s="1011" customFormat="1" ht="15" x14ac:dyDescent="0.25">
      <c r="A8279" s="859">
        <f t="shared" si="130"/>
        <v>8278</v>
      </c>
      <c r="B8279" s="845" t="s">
        <v>2564</v>
      </c>
      <c r="C8279" s="1007">
        <f t="shared" si="129"/>
        <v>2</v>
      </c>
      <c r="D8279" s="1012"/>
      <c r="H8279" s="1011" t="s">
        <v>1007</v>
      </c>
      <c r="K8279" s="1013"/>
    </row>
    <row r="8280" spans="1:11" s="1011" customFormat="1" ht="15" x14ac:dyDescent="0.25">
      <c r="A8280" s="859">
        <f t="shared" si="130"/>
        <v>8279</v>
      </c>
      <c r="B8280" s="845" t="s">
        <v>2564</v>
      </c>
      <c r="C8280" s="1007">
        <f t="shared" si="129"/>
        <v>2</v>
      </c>
      <c r="D8280" s="1015"/>
      <c r="I8280" s="1011" t="s">
        <v>2182</v>
      </c>
      <c r="K8280" s="1013"/>
    </row>
    <row r="8281" spans="1:11" s="1011" customFormat="1" ht="15" x14ac:dyDescent="0.25">
      <c r="A8281" s="859">
        <f t="shared" si="130"/>
        <v>8280</v>
      </c>
      <c r="B8281" s="845" t="s">
        <v>2564</v>
      </c>
      <c r="C8281" s="1007">
        <f t="shared" si="129"/>
        <v>2</v>
      </c>
      <c r="D8281" s="1012"/>
      <c r="I8281" s="1011" t="str">
        <f>CONCATENATE("&lt;valeur&gt;",VLOOKUP(C8281,'T16 Amort'!A:K,10,0),"&lt;/valeur&gt;")</f>
        <v>&lt;valeur&gt;&lt;/valeur&gt;</v>
      </c>
      <c r="K8281" s="1013"/>
    </row>
    <row r="8282" spans="1:11" s="1011" customFormat="1" ht="15" x14ac:dyDescent="0.25">
      <c r="A8282" s="859">
        <f t="shared" si="130"/>
        <v>8281</v>
      </c>
      <c r="B8282" s="845" t="s">
        <v>2564</v>
      </c>
      <c r="C8282" s="1007">
        <f t="shared" si="129"/>
        <v>2</v>
      </c>
      <c r="D8282" s="1012"/>
      <c r="I8282" s="1011" t="str">
        <f>CONCATENATE("&lt;numeroLigne&gt;",C8282,"&lt;/numeroLigne&gt;")</f>
        <v>&lt;numeroLigne&gt;2&lt;/numeroLigne&gt;</v>
      </c>
      <c r="K8282" s="1013"/>
    </row>
    <row r="8283" spans="1:11" s="1011" customFormat="1" ht="15" x14ac:dyDescent="0.25">
      <c r="A8283" s="859">
        <f t="shared" si="130"/>
        <v>8282</v>
      </c>
      <c r="B8283" s="845" t="s">
        <v>2564</v>
      </c>
      <c r="C8283" s="1007">
        <f t="shared" si="129"/>
        <v>2</v>
      </c>
      <c r="D8283" s="1014"/>
      <c r="H8283" s="1011" t="s">
        <v>1010</v>
      </c>
      <c r="K8283" s="1013"/>
    </row>
    <row r="8284" spans="1:11" s="1011" customFormat="1" ht="15" x14ac:dyDescent="0.25">
      <c r="A8284" s="859">
        <f t="shared" si="130"/>
        <v>8283</v>
      </c>
      <c r="B8284" s="845" t="s">
        <v>2564</v>
      </c>
      <c r="C8284" s="1007">
        <f t="shared" si="129"/>
        <v>2</v>
      </c>
      <c r="D8284" s="1014"/>
      <c r="H8284" s="1011" t="s">
        <v>1007</v>
      </c>
      <c r="K8284" s="1013"/>
    </row>
    <row r="8285" spans="1:11" s="1011" customFormat="1" ht="15" x14ac:dyDescent="0.25">
      <c r="A8285" s="859">
        <f t="shared" si="130"/>
        <v>8284</v>
      </c>
      <c r="B8285" s="845" t="s">
        <v>2564</v>
      </c>
      <c r="C8285" s="1007">
        <f t="shared" si="129"/>
        <v>2</v>
      </c>
      <c r="D8285" s="1012"/>
      <c r="I8285" s="1011" t="s">
        <v>2183</v>
      </c>
      <c r="K8285" s="1013"/>
    </row>
    <row r="8286" spans="1:11" s="1011" customFormat="1" ht="15" x14ac:dyDescent="0.25">
      <c r="A8286" s="859">
        <f t="shared" si="130"/>
        <v>8285</v>
      </c>
      <c r="B8286" s="845" t="s">
        <v>2564</v>
      </c>
      <c r="C8286" s="1007">
        <f t="shared" si="129"/>
        <v>2</v>
      </c>
      <c r="D8286" s="1015"/>
      <c r="I8286" s="1011" t="str">
        <f>CONCATENATE("&lt;valeur&gt;",VLOOKUP(C8286,'T16 Amort'!A:K,11,0),"&lt;/valeur&gt;")</f>
        <v>&lt;valeur&gt;&lt;/valeur&gt;</v>
      </c>
      <c r="K8286" s="1013"/>
    </row>
    <row r="8287" spans="1:11" s="1011" customFormat="1" ht="15" x14ac:dyDescent="0.25">
      <c r="A8287" s="859">
        <f t="shared" si="130"/>
        <v>8286</v>
      </c>
      <c r="B8287" s="845" t="s">
        <v>2564</v>
      </c>
      <c r="C8287" s="1007">
        <f t="shared" si="129"/>
        <v>2</v>
      </c>
      <c r="D8287" s="1012"/>
      <c r="I8287" s="1011" t="str">
        <f>CONCATENATE("&lt;numeroLigne&gt;",C8287,"&lt;/numeroLigne&gt;")</f>
        <v>&lt;numeroLigne&gt;2&lt;/numeroLigne&gt;</v>
      </c>
      <c r="K8287" s="1013"/>
    </row>
    <row r="8288" spans="1:11" s="1011" customFormat="1" ht="15" x14ac:dyDescent="0.25">
      <c r="A8288" s="859">
        <f t="shared" si="130"/>
        <v>8287</v>
      </c>
      <c r="B8288" s="845" t="s">
        <v>2564</v>
      </c>
      <c r="C8288" s="1007">
        <f t="shared" si="129"/>
        <v>2</v>
      </c>
      <c r="D8288" s="1016"/>
      <c r="E8288" s="1017"/>
      <c r="F8288" s="1017"/>
      <c r="G8288" s="1017"/>
      <c r="H8288" s="1017" t="s">
        <v>1010</v>
      </c>
      <c r="I8288" s="1017"/>
      <c r="J8288" s="1017"/>
      <c r="K8288" s="1018"/>
    </row>
    <row r="8289" spans="1:11" s="1011" customFormat="1" ht="15" x14ac:dyDescent="0.25">
      <c r="A8289" s="859">
        <f t="shared" si="130"/>
        <v>8288</v>
      </c>
      <c r="B8289" s="845" t="s">
        <v>2564</v>
      </c>
      <c r="C8289" s="1007">
        <f t="shared" si="129"/>
        <v>3</v>
      </c>
      <c r="D8289" s="1008"/>
      <c r="E8289" s="1009"/>
      <c r="F8289" s="1009"/>
      <c r="G8289" s="1009"/>
      <c r="H8289" s="1009" t="s">
        <v>1007</v>
      </c>
      <c r="I8289" s="1009"/>
      <c r="J8289" s="1009"/>
      <c r="K8289" s="1010"/>
    </row>
    <row r="8290" spans="1:11" s="1011" customFormat="1" ht="15" x14ac:dyDescent="0.25">
      <c r="A8290" s="859">
        <f t="shared" si="130"/>
        <v>8289</v>
      </c>
      <c r="B8290" s="845" t="s">
        <v>2564</v>
      </c>
      <c r="C8290" s="1007">
        <f t="shared" si="129"/>
        <v>3</v>
      </c>
      <c r="D8290" s="1012"/>
      <c r="I8290" s="1011" t="s">
        <v>2174</v>
      </c>
      <c r="K8290" s="1013"/>
    </row>
    <row r="8291" spans="1:11" s="1011" customFormat="1" ht="15" x14ac:dyDescent="0.25">
      <c r="A8291" s="859">
        <f t="shared" si="130"/>
        <v>8290</v>
      </c>
      <c r="B8291" s="845" t="s">
        <v>2564</v>
      </c>
      <c r="C8291" s="1007">
        <f t="shared" si="129"/>
        <v>3</v>
      </c>
      <c r="D8291" s="1014"/>
      <c r="I8291" s="1011" t="str">
        <f>CONCATENATE("&lt;valeur&gt;",VLOOKUP(C8291,'T16 Amort'!A:K,2,0),"&lt;/valeur&gt;")</f>
        <v>&lt;valeur&gt;&lt;/valeur&gt;</v>
      </c>
      <c r="K8291" s="1013"/>
    </row>
    <row r="8292" spans="1:11" s="1011" customFormat="1" ht="15" x14ac:dyDescent="0.25">
      <c r="A8292" s="859">
        <f t="shared" si="130"/>
        <v>8291</v>
      </c>
      <c r="B8292" s="845" t="s">
        <v>2564</v>
      </c>
      <c r="C8292" s="1007">
        <f t="shared" si="129"/>
        <v>3</v>
      </c>
      <c r="D8292" s="1014"/>
      <c r="I8292" s="1011" t="str">
        <f>CONCATENATE("&lt;numeroLigne&gt;",C8292,"&lt;/numeroLigne&gt;")</f>
        <v>&lt;numeroLigne&gt;3&lt;/numeroLigne&gt;</v>
      </c>
      <c r="K8292" s="1013"/>
    </row>
    <row r="8293" spans="1:11" s="1011" customFormat="1" ht="15" x14ac:dyDescent="0.25">
      <c r="A8293" s="859">
        <f t="shared" si="130"/>
        <v>8292</v>
      </c>
      <c r="B8293" s="845" t="s">
        <v>2564</v>
      </c>
      <c r="C8293" s="1007">
        <f t="shared" si="129"/>
        <v>3</v>
      </c>
      <c r="D8293" s="1012"/>
      <c r="H8293" s="1011" t="s">
        <v>1010</v>
      </c>
      <c r="K8293" s="1013"/>
    </row>
    <row r="8294" spans="1:11" s="1011" customFormat="1" ht="15" x14ac:dyDescent="0.25">
      <c r="A8294" s="859">
        <f t="shared" si="130"/>
        <v>8293</v>
      </c>
      <c r="B8294" s="845" t="s">
        <v>2564</v>
      </c>
      <c r="C8294" s="1007">
        <f t="shared" si="129"/>
        <v>3</v>
      </c>
      <c r="D8294" s="1015"/>
      <c r="H8294" s="1011" t="s">
        <v>1007</v>
      </c>
      <c r="K8294" s="1013"/>
    </row>
    <row r="8295" spans="1:11" s="1011" customFormat="1" ht="15" x14ac:dyDescent="0.25">
      <c r="A8295" s="859">
        <f t="shared" si="130"/>
        <v>8294</v>
      </c>
      <c r="B8295" s="845" t="s">
        <v>2564</v>
      </c>
      <c r="C8295" s="1007">
        <f t="shared" si="129"/>
        <v>3</v>
      </c>
      <c r="D8295" s="1012"/>
      <c r="I8295" s="1011" t="s">
        <v>2175</v>
      </c>
      <c r="K8295" s="1013"/>
    </row>
    <row r="8296" spans="1:11" s="1011" customFormat="1" ht="15" x14ac:dyDescent="0.25">
      <c r="A8296" s="859">
        <f t="shared" si="130"/>
        <v>8295</v>
      </c>
      <c r="B8296" s="845" t="s">
        <v>2564</v>
      </c>
      <c r="C8296" s="1007">
        <f t="shared" si="129"/>
        <v>3</v>
      </c>
      <c r="D8296" s="1012"/>
      <c r="I8296" s="1011" t="str">
        <f>CONCATENATE("&lt;valeur&gt;",VLOOKUP(C8296,'T16 Amort'!A:K,3,0),"&lt;/valeur&gt;")</f>
        <v>&lt;valeur&gt;&lt;/valeur&gt;</v>
      </c>
      <c r="K8296" s="1013"/>
    </row>
    <row r="8297" spans="1:11" s="1011" customFormat="1" ht="15" x14ac:dyDescent="0.25">
      <c r="A8297" s="859">
        <f t="shared" si="130"/>
        <v>8296</v>
      </c>
      <c r="B8297" s="845" t="s">
        <v>2564</v>
      </c>
      <c r="C8297" s="1007">
        <f t="shared" si="129"/>
        <v>3</v>
      </c>
      <c r="D8297" s="1014"/>
      <c r="I8297" s="1011" t="str">
        <f>CONCATENATE("&lt;numeroLigne&gt;",C8297,"&lt;/numeroLigne&gt;")</f>
        <v>&lt;numeroLigne&gt;3&lt;/numeroLigne&gt;</v>
      </c>
      <c r="K8297" s="1013"/>
    </row>
    <row r="8298" spans="1:11" s="1011" customFormat="1" ht="15" x14ac:dyDescent="0.25">
      <c r="A8298" s="859">
        <f t="shared" si="130"/>
        <v>8297</v>
      </c>
      <c r="B8298" s="845" t="s">
        <v>2564</v>
      </c>
      <c r="C8298" s="1007">
        <f t="shared" si="129"/>
        <v>3</v>
      </c>
      <c r="D8298" s="1014"/>
      <c r="H8298" s="1011" t="s">
        <v>1010</v>
      </c>
      <c r="K8298" s="1013"/>
    </row>
    <row r="8299" spans="1:11" s="1011" customFormat="1" ht="15" x14ac:dyDescent="0.25">
      <c r="A8299" s="859">
        <f t="shared" si="130"/>
        <v>8298</v>
      </c>
      <c r="B8299" s="845" t="s">
        <v>2564</v>
      </c>
      <c r="C8299" s="1007">
        <f t="shared" si="129"/>
        <v>3</v>
      </c>
      <c r="D8299" s="1012"/>
      <c r="H8299" s="1011" t="s">
        <v>1007</v>
      </c>
      <c r="K8299" s="1013"/>
    </row>
    <row r="8300" spans="1:11" s="1011" customFormat="1" ht="15" x14ac:dyDescent="0.25">
      <c r="A8300" s="859">
        <f t="shared" si="130"/>
        <v>8299</v>
      </c>
      <c r="B8300" s="845" t="s">
        <v>2564</v>
      </c>
      <c r="C8300" s="1007">
        <f t="shared" si="129"/>
        <v>3</v>
      </c>
      <c r="D8300" s="1015"/>
      <c r="I8300" s="1011" t="s">
        <v>2176</v>
      </c>
      <c r="K8300" s="1013"/>
    </row>
    <row r="8301" spans="1:11" s="1011" customFormat="1" ht="15" x14ac:dyDescent="0.25">
      <c r="A8301" s="859">
        <f t="shared" si="130"/>
        <v>8300</v>
      </c>
      <c r="B8301" s="845" t="s">
        <v>2564</v>
      </c>
      <c r="C8301" s="1007">
        <f t="shared" si="129"/>
        <v>3</v>
      </c>
      <c r="D8301" s="1012"/>
      <c r="I8301" s="1011" t="str">
        <f>CONCATENATE("&lt;valeur&gt;",VLOOKUP(C8301,'T16 Amort'!A:K,4,0),"&lt;/valeur&gt;")</f>
        <v>&lt;valeur&gt;&lt;/valeur&gt;</v>
      </c>
      <c r="K8301" s="1013"/>
    </row>
    <row r="8302" spans="1:11" s="1011" customFormat="1" ht="15" x14ac:dyDescent="0.25">
      <c r="A8302" s="859">
        <f t="shared" si="130"/>
        <v>8301</v>
      </c>
      <c r="B8302" s="845" t="s">
        <v>2564</v>
      </c>
      <c r="C8302" s="1007">
        <f t="shared" si="129"/>
        <v>3</v>
      </c>
      <c r="D8302" s="1012"/>
      <c r="I8302" s="1011" t="str">
        <f>CONCATENATE("&lt;numeroLigne&gt;",C8302,"&lt;/numeroLigne&gt;")</f>
        <v>&lt;numeroLigne&gt;3&lt;/numeroLigne&gt;</v>
      </c>
      <c r="K8302" s="1013"/>
    </row>
    <row r="8303" spans="1:11" s="1011" customFormat="1" ht="15" x14ac:dyDescent="0.25">
      <c r="A8303" s="859">
        <f t="shared" si="130"/>
        <v>8302</v>
      </c>
      <c r="B8303" s="845" t="s">
        <v>2564</v>
      </c>
      <c r="C8303" s="1007">
        <f t="shared" ref="C8303:C8366" si="131">C8253+1</f>
        <v>3</v>
      </c>
      <c r="D8303" s="1014"/>
      <c r="H8303" s="1011" t="s">
        <v>1010</v>
      </c>
      <c r="K8303" s="1013"/>
    </row>
    <row r="8304" spans="1:11" s="1011" customFormat="1" ht="15" x14ac:dyDescent="0.25">
      <c r="A8304" s="859">
        <f t="shared" si="130"/>
        <v>8303</v>
      </c>
      <c r="B8304" s="845" t="s">
        <v>2564</v>
      </c>
      <c r="C8304" s="1007">
        <f t="shared" si="131"/>
        <v>3</v>
      </c>
      <c r="D8304" s="1014"/>
      <c r="H8304" s="1011" t="s">
        <v>1007</v>
      </c>
      <c r="K8304" s="1013"/>
    </row>
    <row r="8305" spans="1:11" s="1011" customFormat="1" ht="15" x14ac:dyDescent="0.25">
      <c r="A8305" s="859">
        <f t="shared" si="130"/>
        <v>8304</v>
      </c>
      <c r="B8305" s="845" t="s">
        <v>2564</v>
      </c>
      <c r="C8305" s="1007">
        <f t="shared" si="131"/>
        <v>3</v>
      </c>
      <c r="D8305" s="1012"/>
      <c r="I8305" s="1011" t="s">
        <v>2177</v>
      </c>
      <c r="K8305" s="1013"/>
    </row>
    <row r="8306" spans="1:11" s="1011" customFormat="1" ht="15" x14ac:dyDescent="0.25">
      <c r="A8306" s="859">
        <f t="shared" si="130"/>
        <v>8305</v>
      </c>
      <c r="B8306" s="845" t="s">
        <v>2564</v>
      </c>
      <c r="C8306" s="1007">
        <f t="shared" si="131"/>
        <v>3</v>
      </c>
      <c r="D8306" s="1015"/>
      <c r="I8306" s="1011" t="str">
        <f>CONCATENATE("&lt;valeur&gt;",VLOOKUP(C8306,'T16 Amort'!A:K,5,0),"&lt;/valeur&gt;")</f>
        <v>&lt;valeur&gt;&lt;/valeur&gt;</v>
      </c>
      <c r="K8306" s="1013"/>
    </row>
    <row r="8307" spans="1:11" s="1011" customFormat="1" ht="15" x14ac:dyDescent="0.25">
      <c r="A8307" s="859">
        <f t="shared" si="130"/>
        <v>8306</v>
      </c>
      <c r="B8307" s="845" t="s">
        <v>2564</v>
      </c>
      <c r="C8307" s="1007">
        <f t="shared" si="131"/>
        <v>3</v>
      </c>
      <c r="D8307" s="1012"/>
      <c r="I8307" s="1011" t="str">
        <f>CONCATENATE("&lt;numeroLigne&gt;",C8307,"&lt;/numeroLigne&gt;")</f>
        <v>&lt;numeroLigne&gt;3&lt;/numeroLigne&gt;</v>
      </c>
      <c r="K8307" s="1013"/>
    </row>
    <row r="8308" spans="1:11" s="1011" customFormat="1" ht="15" x14ac:dyDescent="0.25">
      <c r="A8308" s="859">
        <f t="shared" si="130"/>
        <v>8307</v>
      </c>
      <c r="B8308" s="845" t="s">
        <v>2564</v>
      </c>
      <c r="C8308" s="1007">
        <f t="shared" si="131"/>
        <v>3</v>
      </c>
      <c r="D8308" s="1012"/>
      <c r="H8308" s="1011" t="s">
        <v>1010</v>
      </c>
      <c r="K8308" s="1013"/>
    </row>
    <row r="8309" spans="1:11" s="1011" customFormat="1" ht="15" x14ac:dyDescent="0.25">
      <c r="A8309" s="859">
        <f t="shared" si="130"/>
        <v>8308</v>
      </c>
      <c r="B8309" s="845" t="s">
        <v>2564</v>
      </c>
      <c r="C8309" s="1007">
        <f t="shared" si="131"/>
        <v>3</v>
      </c>
      <c r="D8309" s="1014"/>
      <c r="H8309" s="1011" t="s">
        <v>1007</v>
      </c>
      <c r="K8309" s="1013"/>
    </row>
    <row r="8310" spans="1:11" s="1011" customFormat="1" ht="15" x14ac:dyDescent="0.25">
      <c r="A8310" s="859">
        <f t="shared" si="130"/>
        <v>8309</v>
      </c>
      <c r="B8310" s="845" t="s">
        <v>2564</v>
      </c>
      <c r="C8310" s="1007">
        <f t="shared" si="131"/>
        <v>3</v>
      </c>
      <c r="D8310" s="1014"/>
      <c r="I8310" s="1011" t="s">
        <v>2178</v>
      </c>
      <c r="K8310" s="1013"/>
    </row>
    <row r="8311" spans="1:11" s="1011" customFormat="1" ht="15" x14ac:dyDescent="0.25">
      <c r="A8311" s="859">
        <f t="shared" si="130"/>
        <v>8310</v>
      </c>
      <c r="B8311" s="845" t="s">
        <v>2564</v>
      </c>
      <c r="C8311" s="1007">
        <f t="shared" si="131"/>
        <v>3</v>
      </c>
      <c r="D8311" s="1012"/>
      <c r="I8311" s="1011" t="str">
        <f>CONCATENATE("&lt;valeur&gt;",VLOOKUP(C8311,'T16 Amort'!A:K,6,0),"&lt;/valeur&gt;")</f>
        <v>&lt;valeur&gt;&lt;/valeur&gt;</v>
      </c>
      <c r="K8311" s="1013"/>
    </row>
    <row r="8312" spans="1:11" s="1011" customFormat="1" ht="15" x14ac:dyDescent="0.25">
      <c r="A8312" s="859">
        <f t="shared" si="130"/>
        <v>8311</v>
      </c>
      <c r="B8312" s="845" t="s">
        <v>2564</v>
      </c>
      <c r="C8312" s="1007">
        <f t="shared" si="131"/>
        <v>3</v>
      </c>
      <c r="D8312" s="1015"/>
      <c r="I8312" s="1011" t="str">
        <f>CONCATENATE("&lt;numeroLigne&gt;",C8312,"&lt;/numeroLigne&gt;")</f>
        <v>&lt;numeroLigne&gt;3&lt;/numeroLigne&gt;</v>
      </c>
      <c r="K8312" s="1013"/>
    </row>
    <row r="8313" spans="1:11" s="1011" customFormat="1" ht="15" x14ac:dyDescent="0.25">
      <c r="A8313" s="859">
        <f t="shared" si="130"/>
        <v>8312</v>
      </c>
      <c r="B8313" s="845" t="s">
        <v>2564</v>
      </c>
      <c r="C8313" s="1007">
        <f t="shared" si="131"/>
        <v>3</v>
      </c>
      <c r="D8313" s="1012"/>
      <c r="H8313" s="1011" t="s">
        <v>1010</v>
      </c>
      <c r="K8313" s="1013"/>
    </row>
    <row r="8314" spans="1:11" s="1011" customFormat="1" ht="15" x14ac:dyDescent="0.25">
      <c r="A8314" s="859">
        <f t="shared" si="130"/>
        <v>8313</v>
      </c>
      <c r="B8314" s="845" t="s">
        <v>2564</v>
      </c>
      <c r="C8314" s="1007">
        <f t="shared" si="131"/>
        <v>3</v>
      </c>
      <c r="D8314" s="1012"/>
      <c r="H8314" s="1011" t="s">
        <v>1007</v>
      </c>
      <c r="K8314" s="1013"/>
    </row>
    <row r="8315" spans="1:11" s="1011" customFormat="1" ht="15" x14ac:dyDescent="0.25">
      <c r="A8315" s="859">
        <f t="shared" si="130"/>
        <v>8314</v>
      </c>
      <c r="B8315" s="845" t="s">
        <v>2564</v>
      </c>
      <c r="C8315" s="1007">
        <f t="shared" si="131"/>
        <v>3</v>
      </c>
      <c r="D8315" s="1014"/>
      <c r="I8315" s="1011" t="s">
        <v>2179</v>
      </c>
      <c r="K8315" s="1013"/>
    </row>
    <row r="8316" spans="1:11" s="1011" customFormat="1" ht="15" x14ac:dyDescent="0.25">
      <c r="A8316" s="859">
        <f t="shared" si="130"/>
        <v>8315</v>
      </c>
      <c r="B8316" s="845" t="s">
        <v>2564</v>
      </c>
      <c r="C8316" s="1007">
        <f t="shared" si="131"/>
        <v>3</v>
      </c>
      <c r="D8316" s="1014"/>
      <c r="I8316" s="1011" t="str">
        <f>CONCATENATE("&lt;valeur&gt;",VLOOKUP(C8316,'T16 Amort'!A:K,7,0),"&lt;/valeur&gt;")</f>
        <v>&lt;valeur&gt;&lt;/valeur&gt;</v>
      </c>
      <c r="K8316" s="1013"/>
    </row>
    <row r="8317" spans="1:11" s="1011" customFormat="1" ht="15" x14ac:dyDescent="0.25">
      <c r="A8317" s="859">
        <f t="shared" si="130"/>
        <v>8316</v>
      </c>
      <c r="B8317" s="845" t="s">
        <v>2564</v>
      </c>
      <c r="C8317" s="1007">
        <f t="shared" si="131"/>
        <v>3</v>
      </c>
      <c r="D8317" s="1012"/>
      <c r="I8317" s="1011" t="str">
        <f>CONCATENATE("&lt;numeroLigne&gt;",C8317,"&lt;/numeroLigne&gt;")</f>
        <v>&lt;numeroLigne&gt;3&lt;/numeroLigne&gt;</v>
      </c>
      <c r="K8317" s="1013"/>
    </row>
    <row r="8318" spans="1:11" s="1011" customFormat="1" ht="15" x14ac:dyDescent="0.25">
      <c r="A8318" s="859">
        <f t="shared" si="130"/>
        <v>8317</v>
      </c>
      <c r="B8318" s="845" t="s">
        <v>2564</v>
      </c>
      <c r="C8318" s="1007">
        <f t="shared" si="131"/>
        <v>3</v>
      </c>
      <c r="D8318" s="1015"/>
      <c r="H8318" s="1011" t="s">
        <v>1010</v>
      </c>
      <c r="K8318" s="1013"/>
    </row>
    <row r="8319" spans="1:11" s="1011" customFormat="1" ht="15" x14ac:dyDescent="0.25">
      <c r="A8319" s="859">
        <f t="shared" si="130"/>
        <v>8318</v>
      </c>
      <c r="B8319" s="845" t="s">
        <v>2564</v>
      </c>
      <c r="C8319" s="1007">
        <f t="shared" si="131"/>
        <v>3</v>
      </c>
      <c r="D8319" s="1012"/>
      <c r="H8319" s="1011" t="s">
        <v>1007</v>
      </c>
      <c r="K8319" s="1013"/>
    </row>
    <row r="8320" spans="1:11" s="1011" customFormat="1" ht="15" x14ac:dyDescent="0.25">
      <c r="A8320" s="859">
        <f t="shared" si="130"/>
        <v>8319</v>
      </c>
      <c r="B8320" s="845" t="s">
        <v>2564</v>
      </c>
      <c r="C8320" s="1007">
        <f t="shared" si="131"/>
        <v>3</v>
      </c>
      <c r="D8320" s="1012"/>
      <c r="I8320" s="1011" t="s">
        <v>2180</v>
      </c>
      <c r="K8320" s="1013"/>
    </row>
    <row r="8321" spans="1:11" s="1011" customFormat="1" ht="15" x14ac:dyDescent="0.25">
      <c r="A8321" s="859">
        <f t="shared" si="130"/>
        <v>8320</v>
      </c>
      <c r="B8321" s="845" t="s">
        <v>2564</v>
      </c>
      <c r="C8321" s="1007">
        <f t="shared" si="131"/>
        <v>3</v>
      </c>
      <c r="D8321" s="1014"/>
      <c r="I8321" s="1011" t="str">
        <f>CONCATENATE("&lt;valeur&gt;",VLOOKUP(C8321,'T16 Amort'!A:K,8,0),"&lt;/valeur&gt;")</f>
        <v>&lt;valeur&gt;&lt;/valeur&gt;</v>
      </c>
      <c r="K8321" s="1013"/>
    </row>
    <row r="8322" spans="1:11" s="1011" customFormat="1" ht="15" x14ac:dyDescent="0.25">
      <c r="A8322" s="859">
        <f t="shared" si="130"/>
        <v>8321</v>
      </c>
      <c r="B8322" s="845" t="s">
        <v>2564</v>
      </c>
      <c r="C8322" s="1007">
        <f t="shared" si="131"/>
        <v>3</v>
      </c>
      <c r="D8322" s="1014"/>
      <c r="I8322" s="1011" t="str">
        <f>CONCATENATE("&lt;numeroLigne&gt;",C8322,"&lt;/numeroLigne&gt;")</f>
        <v>&lt;numeroLigne&gt;3&lt;/numeroLigne&gt;</v>
      </c>
      <c r="K8322" s="1013"/>
    </row>
    <row r="8323" spans="1:11" s="1011" customFormat="1" ht="15" x14ac:dyDescent="0.25">
      <c r="A8323" s="859">
        <f t="shared" si="130"/>
        <v>8322</v>
      </c>
      <c r="B8323" s="845" t="s">
        <v>2564</v>
      </c>
      <c r="C8323" s="1007">
        <f t="shared" si="131"/>
        <v>3</v>
      </c>
      <c r="D8323" s="1012"/>
      <c r="H8323" s="1011" t="s">
        <v>1010</v>
      </c>
      <c r="K8323" s="1013"/>
    </row>
    <row r="8324" spans="1:11" s="1011" customFormat="1" ht="15" x14ac:dyDescent="0.25">
      <c r="A8324" s="859">
        <f t="shared" ref="A8324:A8387" si="132">+A8323+1</f>
        <v>8323</v>
      </c>
      <c r="B8324" s="845" t="s">
        <v>2564</v>
      </c>
      <c r="C8324" s="1007">
        <f t="shared" si="131"/>
        <v>3</v>
      </c>
      <c r="D8324" s="1015"/>
      <c r="H8324" s="1011" t="s">
        <v>1007</v>
      </c>
      <c r="K8324" s="1013"/>
    </row>
    <row r="8325" spans="1:11" s="1011" customFormat="1" ht="15" x14ac:dyDescent="0.25">
      <c r="A8325" s="859">
        <f t="shared" si="132"/>
        <v>8324</v>
      </c>
      <c r="B8325" s="845" t="s">
        <v>2564</v>
      </c>
      <c r="C8325" s="1007">
        <f t="shared" si="131"/>
        <v>3</v>
      </c>
      <c r="D8325" s="1012"/>
      <c r="I8325" s="1011" t="s">
        <v>2181</v>
      </c>
      <c r="K8325" s="1013"/>
    </row>
    <row r="8326" spans="1:11" s="1011" customFormat="1" ht="15" x14ac:dyDescent="0.25">
      <c r="A8326" s="859">
        <f t="shared" si="132"/>
        <v>8325</v>
      </c>
      <c r="B8326" s="845" t="s">
        <v>2564</v>
      </c>
      <c r="C8326" s="1007">
        <f t="shared" si="131"/>
        <v>3</v>
      </c>
      <c r="D8326" s="1012"/>
      <c r="I8326" s="1011" t="str">
        <f>CONCATENATE("&lt;valeur&gt;",VLOOKUP(C8326,'T16 Amort'!A:K,9,0),"&lt;/valeur&gt;")</f>
        <v>&lt;valeur&gt;&lt;/valeur&gt;</v>
      </c>
      <c r="K8326" s="1013"/>
    </row>
    <row r="8327" spans="1:11" s="1011" customFormat="1" ht="15" x14ac:dyDescent="0.25">
      <c r="A8327" s="859">
        <f t="shared" si="132"/>
        <v>8326</v>
      </c>
      <c r="B8327" s="845" t="s">
        <v>2564</v>
      </c>
      <c r="C8327" s="1007">
        <f t="shared" si="131"/>
        <v>3</v>
      </c>
      <c r="D8327" s="1014"/>
      <c r="I8327" s="1011" t="str">
        <f>CONCATENATE("&lt;numeroLigne&gt;",C8327,"&lt;/numeroLigne&gt;")</f>
        <v>&lt;numeroLigne&gt;3&lt;/numeroLigne&gt;</v>
      </c>
      <c r="K8327" s="1013"/>
    </row>
    <row r="8328" spans="1:11" s="1011" customFormat="1" ht="15" x14ac:dyDescent="0.25">
      <c r="A8328" s="859">
        <f t="shared" si="132"/>
        <v>8327</v>
      </c>
      <c r="B8328" s="845" t="s">
        <v>2564</v>
      </c>
      <c r="C8328" s="1007">
        <f t="shared" si="131"/>
        <v>3</v>
      </c>
      <c r="D8328" s="1014"/>
      <c r="H8328" s="1011" t="s">
        <v>1010</v>
      </c>
      <c r="K8328" s="1013"/>
    </row>
    <row r="8329" spans="1:11" s="1011" customFormat="1" ht="15" x14ac:dyDescent="0.25">
      <c r="A8329" s="859">
        <f t="shared" si="132"/>
        <v>8328</v>
      </c>
      <c r="B8329" s="845" t="s">
        <v>2564</v>
      </c>
      <c r="C8329" s="1007">
        <f t="shared" si="131"/>
        <v>3</v>
      </c>
      <c r="D8329" s="1012"/>
      <c r="H8329" s="1011" t="s">
        <v>1007</v>
      </c>
      <c r="K8329" s="1013"/>
    </row>
    <row r="8330" spans="1:11" s="1011" customFormat="1" ht="15" x14ac:dyDescent="0.25">
      <c r="A8330" s="859">
        <f t="shared" si="132"/>
        <v>8329</v>
      </c>
      <c r="B8330" s="845" t="s">
        <v>2564</v>
      </c>
      <c r="C8330" s="1007">
        <f t="shared" si="131"/>
        <v>3</v>
      </c>
      <c r="D8330" s="1015"/>
      <c r="I8330" s="1011" t="s">
        <v>2182</v>
      </c>
      <c r="K8330" s="1013"/>
    </row>
    <row r="8331" spans="1:11" s="1011" customFormat="1" ht="15" x14ac:dyDescent="0.25">
      <c r="A8331" s="859">
        <f t="shared" si="132"/>
        <v>8330</v>
      </c>
      <c r="B8331" s="845" t="s">
        <v>2564</v>
      </c>
      <c r="C8331" s="1007">
        <f t="shared" si="131"/>
        <v>3</v>
      </c>
      <c r="D8331" s="1012"/>
      <c r="I8331" s="1011" t="str">
        <f>CONCATENATE("&lt;valeur&gt;",VLOOKUP(C8331,'T16 Amort'!A:K,10,0),"&lt;/valeur&gt;")</f>
        <v>&lt;valeur&gt;&lt;/valeur&gt;</v>
      </c>
      <c r="K8331" s="1013"/>
    </row>
    <row r="8332" spans="1:11" s="1011" customFormat="1" ht="15" x14ac:dyDescent="0.25">
      <c r="A8332" s="859">
        <f t="shared" si="132"/>
        <v>8331</v>
      </c>
      <c r="B8332" s="845" t="s">
        <v>2564</v>
      </c>
      <c r="C8332" s="1007">
        <f t="shared" si="131"/>
        <v>3</v>
      </c>
      <c r="D8332" s="1012"/>
      <c r="I8332" s="1011" t="str">
        <f>CONCATENATE("&lt;numeroLigne&gt;",C8332,"&lt;/numeroLigne&gt;")</f>
        <v>&lt;numeroLigne&gt;3&lt;/numeroLigne&gt;</v>
      </c>
      <c r="K8332" s="1013"/>
    </row>
    <row r="8333" spans="1:11" s="1011" customFormat="1" ht="15" x14ac:dyDescent="0.25">
      <c r="A8333" s="859">
        <f t="shared" si="132"/>
        <v>8332</v>
      </c>
      <c r="B8333" s="845" t="s">
        <v>2564</v>
      </c>
      <c r="C8333" s="1007">
        <f t="shared" si="131"/>
        <v>3</v>
      </c>
      <c r="D8333" s="1014"/>
      <c r="H8333" s="1011" t="s">
        <v>1010</v>
      </c>
      <c r="K8333" s="1013"/>
    </row>
    <row r="8334" spans="1:11" s="1011" customFormat="1" ht="15" x14ac:dyDescent="0.25">
      <c r="A8334" s="859">
        <f t="shared" si="132"/>
        <v>8333</v>
      </c>
      <c r="B8334" s="845" t="s">
        <v>2564</v>
      </c>
      <c r="C8334" s="1007">
        <f t="shared" si="131"/>
        <v>3</v>
      </c>
      <c r="D8334" s="1014"/>
      <c r="H8334" s="1011" t="s">
        <v>1007</v>
      </c>
      <c r="K8334" s="1013"/>
    </row>
    <row r="8335" spans="1:11" s="1011" customFormat="1" ht="15" x14ac:dyDescent="0.25">
      <c r="A8335" s="859">
        <f t="shared" si="132"/>
        <v>8334</v>
      </c>
      <c r="B8335" s="845" t="s">
        <v>2564</v>
      </c>
      <c r="C8335" s="1007">
        <f t="shared" si="131"/>
        <v>3</v>
      </c>
      <c r="D8335" s="1012"/>
      <c r="I8335" s="1011" t="s">
        <v>2183</v>
      </c>
      <c r="K8335" s="1013"/>
    </row>
    <row r="8336" spans="1:11" s="1011" customFormat="1" ht="15" x14ac:dyDescent="0.25">
      <c r="A8336" s="859">
        <f t="shared" si="132"/>
        <v>8335</v>
      </c>
      <c r="B8336" s="845" t="s">
        <v>2564</v>
      </c>
      <c r="C8336" s="1007">
        <f t="shared" si="131"/>
        <v>3</v>
      </c>
      <c r="D8336" s="1015"/>
      <c r="I8336" s="1011" t="str">
        <f>CONCATENATE("&lt;valeur&gt;",VLOOKUP(C8336,'T16 Amort'!A:K,11,0),"&lt;/valeur&gt;")</f>
        <v>&lt;valeur&gt;&lt;/valeur&gt;</v>
      </c>
      <c r="K8336" s="1013"/>
    </row>
    <row r="8337" spans="1:11" s="1011" customFormat="1" ht="15" x14ac:dyDescent="0.25">
      <c r="A8337" s="859">
        <f t="shared" si="132"/>
        <v>8336</v>
      </c>
      <c r="B8337" s="845" t="s">
        <v>2564</v>
      </c>
      <c r="C8337" s="1007">
        <f t="shared" si="131"/>
        <v>3</v>
      </c>
      <c r="D8337" s="1012"/>
      <c r="I8337" s="1011" t="str">
        <f>CONCATENATE("&lt;numeroLigne&gt;",C8337,"&lt;/numeroLigne&gt;")</f>
        <v>&lt;numeroLigne&gt;3&lt;/numeroLigne&gt;</v>
      </c>
      <c r="K8337" s="1013"/>
    </row>
    <row r="8338" spans="1:11" s="1011" customFormat="1" ht="15" x14ac:dyDescent="0.25">
      <c r="A8338" s="859">
        <f t="shared" si="132"/>
        <v>8337</v>
      </c>
      <c r="B8338" s="845" t="s">
        <v>2564</v>
      </c>
      <c r="C8338" s="1007">
        <f t="shared" si="131"/>
        <v>3</v>
      </c>
      <c r="D8338" s="1016"/>
      <c r="E8338" s="1017"/>
      <c r="F8338" s="1017"/>
      <c r="G8338" s="1017"/>
      <c r="H8338" s="1017" t="s">
        <v>1010</v>
      </c>
      <c r="I8338" s="1017"/>
      <c r="J8338" s="1017"/>
      <c r="K8338" s="1018"/>
    </row>
    <row r="8339" spans="1:11" s="1011" customFormat="1" ht="15" x14ac:dyDescent="0.25">
      <c r="A8339" s="859">
        <f t="shared" si="132"/>
        <v>8338</v>
      </c>
      <c r="B8339" s="845" t="s">
        <v>2564</v>
      </c>
      <c r="C8339" s="1007">
        <f t="shared" si="131"/>
        <v>4</v>
      </c>
      <c r="D8339" s="1008"/>
      <c r="E8339" s="1009"/>
      <c r="F8339" s="1009"/>
      <c r="G8339" s="1009"/>
      <c r="H8339" s="1009" t="s">
        <v>1007</v>
      </c>
      <c r="I8339" s="1009"/>
      <c r="J8339" s="1009"/>
      <c r="K8339" s="1010"/>
    </row>
    <row r="8340" spans="1:11" s="1011" customFormat="1" ht="15" x14ac:dyDescent="0.25">
      <c r="A8340" s="859">
        <f t="shared" si="132"/>
        <v>8339</v>
      </c>
      <c r="B8340" s="845" t="s">
        <v>2564</v>
      </c>
      <c r="C8340" s="1007">
        <f t="shared" si="131"/>
        <v>4</v>
      </c>
      <c r="D8340" s="1012"/>
      <c r="I8340" s="1011" t="s">
        <v>2174</v>
      </c>
      <c r="K8340" s="1013"/>
    </row>
    <row r="8341" spans="1:11" s="1011" customFormat="1" ht="15" x14ac:dyDescent="0.25">
      <c r="A8341" s="859">
        <f t="shared" si="132"/>
        <v>8340</v>
      </c>
      <c r="B8341" s="845" t="s">
        <v>2564</v>
      </c>
      <c r="C8341" s="1007">
        <f t="shared" si="131"/>
        <v>4</v>
      </c>
      <c r="D8341" s="1014"/>
      <c r="I8341" s="1011" t="str">
        <f>CONCATENATE("&lt;valeur&gt;",VLOOKUP(C8341,'T16 Amort'!A:K,2,0),"&lt;/valeur&gt;")</f>
        <v>&lt;valeur&gt;&lt;/valeur&gt;</v>
      </c>
      <c r="K8341" s="1013"/>
    </row>
    <row r="8342" spans="1:11" s="1011" customFormat="1" ht="15" x14ac:dyDescent="0.25">
      <c r="A8342" s="859">
        <f t="shared" si="132"/>
        <v>8341</v>
      </c>
      <c r="B8342" s="845" t="s">
        <v>2564</v>
      </c>
      <c r="C8342" s="1007">
        <f t="shared" si="131"/>
        <v>4</v>
      </c>
      <c r="D8342" s="1014"/>
      <c r="I8342" s="1011" t="str">
        <f>CONCATENATE("&lt;numeroLigne&gt;",C8342,"&lt;/numeroLigne&gt;")</f>
        <v>&lt;numeroLigne&gt;4&lt;/numeroLigne&gt;</v>
      </c>
      <c r="K8342" s="1013"/>
    </row>
    <row r="8343" spans="1:11" s="1011" customFormat="1" ht="15" x14ac:dyDescent="0.25">
      <c r="A8343" s="859">
        <f t="shared" si="132"/>
        <v>8342</v>
      </c>
      <c r="B8343" s="845" t="s">
        <v>2564</v>
      </c>
      <c r="C8343" s="1007">
        <f t="shared" si="131"/>
        <v>4</v>
      </c>
      <c r="D8343" s="1012"/>
      <c r="H8343" s="1011" t="s">
        <v>1010</v>
      </c>
      <c r="K8343" s="1013"/>
    </row>
    <row r="8344" spans="1:11" s="1011" customFormat="1" ht="15" x14ac:dyDescent="0.25">
      <c r="A8344" s="859">
        <f t="shared" si="132"/>
        <v>8343</v>
      </c>
      <c r="B8344" s="845" t="s">
        <v>2564</v>
      </c>
      <c r="C8344" s="1007">
        <f t="shared" si="131"/>
        <v>4</v>
      </c>
      <c r="D8344" s="1015"/>
      <c r="H8344" s="1011" t="s">
        <v>1007</v>
      </c>
      <c r="K8344" s="1013"/>
    </row>
    <row r="8345" spans="1:11" s="1011" customFormat="1" ht="15" x14ac:dyDescent="0.25">
      <c r="A8345" s="859">
        <f t="shared" si="132"/>
        <v>8344</v>
      </c>
      <c r="B8345" s="845" t="s">
        <v>2564</v>
      </c>
      <c r="C8345" s="1007">
        <f t="shared" si="131"/>
        <v>4</v>
      </c>
      <c r="D8345" s="1012"/>
      <c r="I8345" s="1011" t="s">
        <v>2175</v>
      </c>
      <c r="K8345" s="1013"/>
    </row>
    <row r="8346" spans="1:11" s="1011" customFormat="1" ht="15" x14ac:dyDescent="0.25">
      <c r="A8346" s="859">
        <f t="shared" si="132"/>
        <v>8345</v>
      </c>
      <c r="B8346" s="845" t="s">
        <v>2564</v>
      </c>
      <c r="C8346" s="1007">
        <f t="shared" si="131"/>
        <v>4</v>
      </c>
      <c r="D8346" s="1012"/>
      <c r="I8346" s="1011" t="str">
        <f>CONCATENATE("&lt;valeur&gt;",VLOOKUP(C8346,'T16 Amort'!A:K,3,0),"&lt;/valeur&gt;")</f>
        <v>&lt;valeur&gt;&lt;/valeur&gt;</v>
      </c>
      <c r="K8346" s="1013"/>
    </row>
    <row r="8347" spans="1:11" s="1011" customFormat="1" ht="15" x14ac:dyDescent="0.25">
      <c r="A8347" s="859">
        <f t="shared" si="132"/>
        <v>8346</v>
      </c>
      <c r="B8347" s="845" t="s">
        <v>2564</v>
      </c>
      <c r="C8347" s="1007">
        <f t="shared" si="131"/>
        <v>4</v>
      </c>
      <c r="D8347" s="1014"/>
      <c r="I8347" s="1011" t="str">
        <f>CONCATENATE("&lt;numeroLigne&gt;",C8347,"&lt;/numeroLigne&gt;")</f>
        <v>&lt;numeroLigne&gt;4&lt;/numeroLigne&gt;</v>
      </c>
      <c r="K8347" s="1013"/>
    </row>
    <row r="8348" spans="1:11" s="1011" customFormat="1" ht="15" x14ac:dyDescent="0.25">
      <c r="A8348" s="859">
        <f t="shared" si="132"/>
        <v>8347</v>
      </c>
      <c r="B8348" s="845" t="s">
        <v>2564</v>
      </c>
      <c r="C8348" s="1007">
        <f t="shared" si="131"/>
        <v>4</v>
      </c>
      <c r="D8348" s="1014"/>
      <c r="H8348" s="1011" t="s">
        <v>1010</v>
      </c>
      <c r="K8348" s="1013"/>
    </row>
    <row r="8349" spans="1:11" s="1011" customFormat="1" ht="15" x14ac:dyDescent="0.25">
      <c r="A8349" s="859">
        <f t="shared" si="132"/>
        <v>8348</v>
      </c>
      <c r="B8349" s="845" t="s">
        <v>2564</v>
      </c>
      <c r="C8349" s="1007">
        <f t="shared" si="131"/>
        <v>4</v>
      </c>
      <c r="D8349" s="1012"/>
      <c r="H8349" s="1011" t="s">
        <v>1007</v>
      </c>
      <c r="K8349" s="1013"/>
    </row>
    <row r="8350" spans="1:11" s="1011" customFormat="1" ht="15" x14ac:dyDescent="0.25">
      <c r="A8350" s="859">
        <f t="shared" si="132"/>
        <v>8349</v>
      </c>
      <c r="B8350" s="845" t="s">
        <v>2564</v>
      </c>
      <c r="C8350" s="1007">
        <f t="shared" si="131"/>
        <v>4</v>
      </c>
      <c r="D8350" s="1015"/>
      <c r="I8350" s="1011" t="s">
        <v>2176</v>
      </c>
      <c r="K8350" s="1013"/>
    </row>
    <row r="8351" spans="1:11" s="1011" customFormat="1" ht="15" x14ac:dyDescent="0.25">
      <c r="A8351" s="859">
        <f t="shared" si="132"/>
        <v>8350</v>
      </c>
      <c r="B8351" s="845" t="s">
        <v>2564</v>
      </c>
      <c r="C8351" s="1007">
        <f t="shared" si="131"/>
        <v>4</v>
      </c>
      <c r="D8351" s="1012"/>
      <c r="I8351" s="1011" t="str">
        <f>CONCATENATE("&lt;valeur&gt;",VLOOKUP(C8351,'T16 Amort'!A:K,4,0),"&lt;/valeur&gt;")</f>
        <v>&lt;valeur&gt;&lt;/valeur&gt;</v>
      </c>
      <c r="K8351" s="1013"/>
    </row>
    <row r="8352" spans="1:11" s="1011" customFormat="1" ht="15" x14ac:dyDescent="0.25">
      <c r="A8352" s="859">
        <f t="shared" si="132"/>
        <v>8351</v>
      </c>
      <c r="B8352" s="845" t="s">
        <v>2564</v>
      </c>
      <c r="C8352" s="1007">
        <f t="shared" si="131"/>
        <v>4</v>
      </c>
      <c r="D8352" s="1012"/>
      <c r="I8352" s="1011" t="str">
        <f>CONCATENATE("&lt;numeroLigne&gt;",C8352,"&lt;/numeroLigne&gt;")</f>
        <v>&lt;numeroLigne&gt;4&lt;/numeroLigne&gt;</v>
      </c>
      <c r="K8352" s="1013"/>
    </row>
    <row r="8353" spans="1:11" s="1011" customFormat="1" ht="15" x14ac:dyDescent="0.25">
      <c r="A8353" s="859">
        <f t="shared" si="132"/>
        <v>8352</v>
      </c>
      <c r="B8353" s="845" t="s">
        <v>2564</v>
      </c>
      <c r="C8353" s="1007">
        <f t="shared" si="131"/>
        <v>4</v>
      </c>
      <c r="D8353" s="1014"/>
      <c r="H8353" s="1011" t="s">
        <v>1010</v>
      </c>
      <c r="K8353" s="1013"/>
    </row>
    <row r="8354" spans="1:11" s="1011" customFormat="1" ht="15" x14ac:dyDescent="0.25">
      <c r="A8354" s="859">
        <f t="shared" si="132"/>
        <v>8353</v>
      </c>
      <c r="B8354" s="845" t="s">
        <v>2564</v>
      </c>
      <c r="C8354" s="1007">
        <f t="shared" si="131"/>
        <v>4</v>
      </c>
      <c r="D8354" s="1014"/>
      <c r="H8354" s="1011" t="s">
        <v>1007</v>
      </c>
      <c r="K8354" s="1013"/>
    </row>
    <row r="8355" spans="1:11" s="1011" customFormat="1" ht="15" x14ac:dyDescent="0.25">
      <c r="A8355" s="859">
        <f t="shared" si="132"/>
        <v>8354</v>
      </c>
      <c r="B8355" s="845" t="s">
        <v>2564</v>
      </c>
      <c r="C8355" s="1007">
        <f t="shared" si="131"/>
        <v>4</v>
      </c>
      <c r="D8355" s="1012"/>
      <c r="I8355" s="1011" t="s">
        <v>2177</v>
      </c>
      <c r="K8355" s="1013"/>
    </row>
    <row r="8356" spans="1:11" s="1011" customFormat="1" ht="15" x14ac:dyDescent="0.25">
      <c r="A8356" s="859">
        <f t="shared" si="132"/>
        <v>8355</v>
      </c>
      <c r="B8356" s="845" t="s">
        <v>2564</v>
      </c>
      <c r="C8356" s="1007">
        <f t="shared" si="131"/>
        <v>4</v>
      </c>
      <c r="D8356" s="1015"/>
      <c r="I8356" s="1011" t="str">
        <f>CONCATENATE("&lt;valeur&gt;",VLOOKUP(C8356,'T16 Amort'!A:K,5,0),"&lt;/valeur&gt;")</f>
        <v>&lt;valeur&gt;&lt;/valeur&gt;</v>
      </c>
      <c r="K8356" s="1013"/>
    </row>
    <row r="8357" spans="1:11" s="1011" customFormat="1" ht="15" x14ac:dyDescent="0.25">
      <c r="A8357" s="859">
        <f t="shared" si="132"/>
        <v>8356</v>
      </c>
      <c r="B8357" s="845" t="s">
        <v>2564</v>
      </c>
      <c r="C8357" s="1007">
        <f t="shared" si="131"/>
        <v>4</v>
      </c>
      <c r="D8357" s="1012"/>
      <c r="I8357" s="1011" t="str">
        <f>CONCATENATE("&lt;numeroLigne&gt;",C8357,"&lt;/numeroLigne&gt;")</f>
        <v>&lt;numeroLigne&gt;4&lt;/numeroLigne&gt;</v>
      </c>
      <c r="K8357" s="1013"/>
    </row>
    <row r="8358" spans="1:11" s="1011" customFormat="1" ht="15" x14ac:dyDescent="0.25">
      <c r="A8358" s="859">
        <f t="shared" si="132"/>
        <v>8357</v>
      </c>
      <c r="B8358" s="845" t="s">
        <v>2564</v>
      </c>
      <c r="C8358" s="1007">
        <f t="shared" si="131"/>
        <v>4</v>
      </c>
      <c r="D8358" s="1012"/>
      <c r="H8358" s="1011" t="s">
        <v>1010</v>
      </c>
      <c r="K8358" s="1013"/>
    </row>
    <row r="8359" spans="1:11" s="1011" customFormat="1" ht="15" x14ac:dyDescent="0.25">
      <c r="A8359" s="859">
        <f t="shared" si="132"/>
        <v>8358</v>
      </c>
      <c r="B8359" s="845" t="s">
        <v>2564</v>
      </c>
      <c r="C8359" s="1007">
        <f t="shared" si="131"/>
        <v>4</v>
      </c>
      <c r="D8359" s="1014"/>
      <c r="H8359" s="1011" t="s">
        <v>1007</v>
      </c>
      <c r="K8359" s="1013"/>
    </row>
    <row r="8360" spans="1:11" s="1011" customFormat="1" ht="15" x14ac:dyDescent="0.25">
      <c r="A8360" s="859">
        <f t="shared" si="132"/>
        <v>8359</v>
      </c>
      <c r="B8360" s="845" t="s">
        <v>2564</v>
      </c>
      <c r="C8360" s="1007">
        <f t="shared" si="131"/>
        <v>4</v>
      </c>
      <c r="D8360" s="1014"/>
      <c r="I8360" s="1011" t="s">
        <v>2178</v>
      </c>
      <c r="K8360" s="1013"/>
    </row>
    <row r="8361" spans="1:11" s="1011" customFormat="1" ht="15" x14ac:dyDescent="0.25">
      <c r="A8361" s="859">
        <f t="shared" si="132"/>
        <v>8360</v>
      </c>
      <c r="B8361" s="845" t="s">
        <v>2564</v>
      </c>
      <c r="C8361" s="1007">
        <f t="shared" si="131"/>
        <v>4</v>
      </c>
      <c r="D8361" s="1012"/>
      <c r="I8361" s="1011" t="str">
        <f>CONCATENATE("&lt;valeur&gt;",VLOOKUP(C8361,'T16 Amort'!A:K,6,0),"&lt;/valeur&gt;")</f>
        <v>&lt;valeur&gt;&lt;/valeur&gt;</v>
      </c>
      <c r="K8361" s="1013"/>
    </row>
    <row r="8362" spans="1:11" s="1011" customFormat="1" ht="15" x14ac:dyDescent="0.25">
      <c r="A8362" s="859">
        <f t="shared" si="132"/>
        <v>8361</v>
      </c>
      <c r="B8362" s="845" t="s">
        <v>2564</v>
      </c>
      <c r="C8362" s="1007">
        <f t="shared" si="131"/>
        <v>4</v>
      </c>
      <c r="D8362" s="1015"/>
      <c r="I8362" s="1011" t="str">
        <f>CONCATENATE("&lt;numeroLigne&gt;",C8362,"&lt;/numeroLigne&gt;")</f>
        <v>&lt;numeroLigne&gt;4&lt;/numeroLigne&gt;</v>
      </c>
      <c r="K8362" s="1013"/>
    </row>
    <row r="8363" spans="1:11" s="1011" customFormat="1" ht="15" x14ac:dyDescent="0.25">
      <c r="A8363" s="859">
        <f t="shared" si="132"/>
        <v>8362</v>
      </c>
      <c r="B8363" s="845" t="s">
        <v>2564</v>
      </c>
      <c r="C8363" s="1007">
        <f t="shared" si="131"/>
        <v>4</v>
      </c>
      <c r="D8363" s="1012"/>
      <c r="H8363" s="1011" t="s">
        <v>1010</v>
      </c>
      <c r="K8363" s="1013"/>
    </row>
    <row r="8364" spans="1:11" s="1011" customFormat="1" ht="15" x14ac:dyDescent="0.25">
      <c r="A8364" s="859">
        <f t="shared" si="132"/>
        <v>8363</v>
      </c>
      <c r="B8364" s="845" t="s">
        <v>2564</v>
      </c>
      <c r="C8364" s="1007">
        <f t="shared" si="131"/>
        <v>4</v>
      </c>
      <c r="D8364" s="1012"/>
      <c r="H8364" s="1011" t="s">
        <v>1007</v>
      </c>
      <c r="K8364" s="1013"/>
    </row>
    <row r="8365" spans="1:11" s="1011" customFormat="1" ht="15" x14ac:dyDescent="0.25">
      <c r="A8365" s="859">
        <f t="shared" si="132"/>
        <v>8364</v>
      </c>
      <c r="B8365" s="845" t="s">
        <v>2564</v>
      </c>
      <c r="C8365" s="1007">
        <f t="shared" si="131"/>
        <v>4</v>
      </c>
      <c r="D8365" s="1014"/>
      <c r="I8365" s="1011" t="s">
        <v>2179</v>
      </c>
      <c r="K8365" s="1013"/>
    </row>
    <row r="8366" spans="1:11" s="1011" customFormat="1" ht="15" x14ac:dyDescent="0.25">
      <c r="A8366" s="859">
        <f t="shared" si="132"/>
        <v>8365</v>
      </c>
      <c r="B8366" s="845" t="s">
        <v>2564</v>
      </c>
      <c r="C8366" s="1007">
        <f t="shared" si="131"/>
        <v>4</v>
      </c>
      <c r="D8366" s="1014"/>
      <c r="I8366" s="1011" t="str">
        <f>CONCATENATE("&lt;valeur&gt;",VLOOKUP(C8366,'T16 Amort'!A:K,7,0),"&lt;/valeur&gt;")</f>
        <v>&lt;valeur&gt;&lt;/valeur&gt;</v>
      </c>
      <c r="K8366" s="1013"/>
    </row>
    <row r="8367" spans="1:11" s="1011" customFormat="1" ht="15" x14ac:dyDescent="0.25">
      <c r="A8367" s="859">
        <f t="shared" si="132"/>
        <v>8366</v>
      </c>
      <c r="B8367" s="845" t="s">
        <v>2564</v>
      </c>
      <c r="C8367" s="1007">
        <f t="shared" ref="C8367:C8430" si="133">C8317+1</f>
        <v>4</v>
      </c>
      <c r="D8367" s="1012"/>
      <c r="I8367" s="1011" t="str">
        <f>CONCATENATE("&lt;numeroLigne&gt;",C8367,"&lt;/numeroLigne&gt;")</f>
        <v>&lt;numeroLigne&gt;4&lt;/numeroLigne&gt;</v>
      </c>
      <c r="K8367" s="1013"/>
    </row>
    <row r="8368" spans="1:11" s="1011" customFormat="1" ht="15" x14ac:dyDescent="0.25">
      <c r="A8368" s="859">
        <f t="shared" si="132"/>
        <v>8367</v>
      </c>
      <c r="B8368" s="845" t="s">
        <v>2564</v>
      </c>
      <c r="C8368" s="1007">
        <f t="shared" si="133"/>
        <v>4</v>
      </c>
      <c r="D8368" s="1015"/>
      <c r="H8368" s="1011" t="s">
        <v>1010</v>
      </c>
      <c r="K8368" s="1013"/>
    </row>
    <row r="8369" spans="1:11" s="1011" customFormat="1" ht="15" x14ac:dyDescent="0.25">
      <c r="A8369" s="859">
        <f t="shared" si="132"/>
        <v>8368</v>
      </c>
      <c r="B8369" s="845" t="s">
        <v>2564</v>
      </c>
      <c r="C8369" s="1007">
        <f t="shared" si="133"/>
        <v>4</v>
      </c>
      <c r="D8369" s="1012"/>
      <c r="H8369" s="1011" t="s">
        <v>1007</v>
      </c>
      <c r="K8369" s="1013"/>
    </row>
    <row r="8370" spans="1:11" s="1011" customFormat="1" ht="15" x14ac:dyDescent="0.25">
      <c r="A8370" s="859">
        <f t="shared" si="132"/>
        <v>8369</v>
      </c>
      <c r="B8370" s="845" t="s">
        <v>2564</v>
      </c>
      <c r="C8370" s="1007">
        <f t="shared" si="133"/>
        <v>4</v>
      </c>
      <c r="D8370" s="1012"/>
      <c r="I8370" s="1011" t="s">
        <v>2180</v>
      </c>
      <c r="K8370" s="1013"/>
    </row>
    <row r="8371" spans="1:11" s="1011" customFormat="1" ht="15" x14ac:dyDescent="0.25">
      <c r="A8371" s="859">
        <f t="shared" si="132"/>
        <v>8370</v>
      </c>
      <c r="B8371" s="845" t="s">
        <v>2564</v>
      </c>
      <c r="C8371" s="1007">
        <f t="shared" si="133"/>
        <v>4</v>
      </c>
      <c r="D8371" s="1014"/>
      <c r="I8371" s="1011" t="str">
        <f>CONCATENATE("&lt;valeur&gt;",VLOOKUP(C8371,'T16 Amort'!A:K,8,0),"&lt;/valeur&gt;")</f>
        <v>&lt;valeur&gt;&lt;/valeur&gt;</v>
      </c>
      <c r="K8371" s="1013"/>
    </row>
    <row r="8372" spans="1:11" s="1011" customFormat="1" ht="15" x14ac:dyDescent="0.25">
      <c r="A8372" s="859">
        <f t="shared" si="132"/>
        <v>8371</v>
      </c>
      <c r="B8372" s="845" t="s">
        <v>2564</v>
      </c>
      <c r="C8372" s="1007">
        <f t="shared" si="133"/>
        <v>4</v>
      </c>
      <c r="D8372" s="1014"/>
      <c r="I8372" s="1011" t="str">
        <f>CONCATENATE("&lt;numeroLigne&gt;",C8372,"&lt;/numeroLigne&gt;")</f>
        <v>&lt;numeroLigne&gt;4&lt;/numeroLigne&gt;</v>
      </c>
      <c r="K8372" s="1013"/>
    </row>
    <row r="8373" spans="1:11" s="1011" customFormat="1" ht="15" x14ac:dyDescent="0.25">
      <c r="A8373" s="859">
        <f t="shared" si="132"/>
        <v>8372</v>
      </c>
      <c r="B8373" s="845" t="s">
        <v>2564</v>
      </c>
      <c r="C8373" s="1007">
        <f t="shared" si="133"/>
        <v>4</v>
      </c>
      <c r="D8373" s="1012"/>
      <c r="H8373" s="1011" t="s">
        <v>1010</v>
      </c>
      <c r="K8373" s="1013"/>
    </row>
    <row r="8374" spans="1:11" s="1011" customFormat="1" ht="15" x14ac:dyDescent="0.25">
      <c r="A8374" s="859">
        <f t="shared" si="132"/>
        <v>8373</v>
      </c>
      <c r="B8374" s="845" t="s">
        <v>2564</v>
      </c>
      <c r="C8374" s="1007">
        <f t="shared" si="133"/>
        <v>4</v>
      </c>
      <c r="D8374" s="1015"/>
      <c r="H8374" s="1011" t="s">
        <v>1007</v>
      </c>
      <c r="K8374" s="1013"/>
    </row>
    <row r="8375" spans="1:11" s="1011" customFormat="1" ht="15" x14ac:dyDescent="0.25">
      <c r="A8375" s="859">
        <f t="shared" si="132"/>
        <v>8374</v>
      </c>
      <c r="B8375" s="845" t="s">
        <v>2564</v>
      </c>
      <c r="C8375" s="1007">
        <f t="shared" si="133"/>
        <v>4</v>
      </c>
      <c r="D8375" s="1012"/>
      <c r="I8375" s="1011" t="s">
        <v>2181</v>
      </c>
      <c r="K8375" s="1013"/>
    </row>
    <row r="8376" spans="1:11" s="1011" customFormat="1" ht="15" x14ac:dyDescent="0.25">
      <c r="A8376" s="859">
        <f t="shared" si="132"/>
        <v>8375</v>
      </c>
      <c r="B8376" s="845" t="s">
        <v>2564</v>
      </c>
      <c r="C8376" s="1007">
        <f t="shared" si="133"/>
        <v>4</v>
      </c>
      <c r="D8376" s="1012"/>
      <c r="I8376" s="1011" t="str">
        <f>CONCATENATE("&lt;valeur&gt;",VLOOKUP(C8376,'T16 Amort'!A:K,9,0),"&lt;/valeur&gt;")</f>
        <v>&lt;valeur&gt;&lt;/valeur&gt;</v>
      </c>
      <c r="K8376" s="1013"/>
    </row>
    <row r="8377" spans="1:11" s="1011" customFormat="1" ht="15" x14ac:dyDescent="0.25">
      <c r="A8377" s="859">
        <f t="shared" si="132"/>
        <v>8376</v>
      </c>
      <c r="B8377" s="845" t="s">
        <v>2564</v>
      </c>
      <c r="C8377" s="1007">
        <f t="shared" si="133"/>
        <v>4</v>
      </c>
      <c r="D8377" s="1014"/>
      <c r="I8377" s="1011" t="str">
        <f>CONCATENATE("&lt;numeroLigne&gt;",C8377,"&lt;/numeroLigne&gt;")</f>
        <v>&lt;numeroLigne&gt;4&lt;/numeroLigne&gt;</v>
      </c>
      <c r="K8377" s="1013"/>
    </row>
    <row r="8378" spans="1:11" s="1011" customFormat="1" ht="15" x14ac:dyDescent="0.25">
      <c r="A8378" s="859">
        <f t="shared" si="132"/>
        <v>8377</v>
      </c>
      <c r="B8378" s="845" t="s">
        <v>2564</v>
      </c>
      <c r="C8378" s="1007">
        <f t="shared" si="133"/>
        <v>4</v>
      </c>
      <c r="D8378" s="1014"/>
      <c r="H8378" s="1011" t="s">
        <v>1010</v>
      </c>
      <c r="K8378" s="1013"/>
    </row>
    <row r="8379" spans="1:11" s="1011" customFormat="1" ht="15" x14ac:dyDescent="0.25">
      <c r="A8379" s="859">
        <f t="shared" si="132"/>
        <v>8378</v>
      </c>
      <c r="B8379" s="845" t="s">
        <v>2564</v>
      </c>
      <c r="C8379" s="1007">
        <f t="shared" si="133"/>
        <v>4</v>
      </c>
      <c r="D8379" s="1012"/>
      <c r="H8379" s="1011" t="s">
        <v>1007</v>
      </c>
      <c r="K8379" s="1013"/>
    </row>
    <row r="8380" spans="1:11" s="1011" customFormat="1" ht="15" x14ac:dyDescent="0.25">
      <c r="A8380" s="859">
        <f t="shared" si="132"/>
        <v>8379</v>
      </c>
      <c r="B8380" s="845" t="s">
        <v>2564</v>
      </c>
      <c r="C8380" s="1007">
        <f t="shared" si="133"/>
        <v>4</v>
      </c>
      <c r="D8380" s="1015"/>
      <c r="I8380" s="1011" t="s">
        <v>2182</v>
      </c>
      <c r="K8380" s="1013"/>
    </row>
    <row r="8381" spans="1:11" s="1011" customFormat="1" ht="15" x14ac:dyDescent="0.25">
      <c r="A8381" s="859">
        <f t="shared" si="132"/>
        <v>8380</v>
      </c>
      <c r="B8381" s="845" t="s">
        <v>2564</v>
      </c>
      <c r="C8381" s="1007">
        <f t="shared" si="133"/>
        <v>4</v>
      </c>
      <c r="D8381" s="1012"/>
      <c r="I8381" s="1011" t="str">
        <f>CONCATENATE("&lt;valeur&gt;",VLOOKUP(C8381,'T16 Amort'!A:K,10,0),"&lt;/valeur&gt;")</f>
        <v>&lt;valeur&gt;&lt;/valeur&gt;</v>
      </c>
      <c r="K8381" s="1013"/>
    </row>
    <row r="8382" spans="1:11" s="1011" customFormat="1" ht="15" x14ac:dyDescent="0.25">
      <c r="A8382" s="859">
        <f t="shared" si="132"/>
        <v>8381</v>
      </c>
      <c r="B8382" s="845" t="s">
        <v>2564</v>
      </c>
      <c r="C8382" s="1007">
        <f t="shared" si="133"/>
        <v>4</v>
      </c>
      <c r="D8382" s="1012"/>
      <c r="I8382" s="1011" t="str">
        <f>CONCATENATE("&lt;numeroLigne&gt;",C8382,"&lt;/numeroLigne&gt;")</f>
        <v>&lt;numeroLigne&gt;4&lt;/numeroLigne&gt;</v>
      </c>
      <c r="K8382" s="1013"/>
    </row>
    <row r="8383" spans="1:11" s="1011" customFormat="1" ht="15" x14ac:dyDescent="0.25">
      <c r="A8383" s="859">
        <f t="shared" si="132"/>
        <v>8382</v>
      </c>
      <c r="B8383" s="845" t="s">
        <v>2564</v>
      </c>
      <c r="C8383" s="1007">
        <f t="shared" si="133"/>
        <v>4</v>
      </c>
      <c r="D8383" s="1014"/>
      <c r="H8383" s="1011" t="s">
        <v>1010</v>
      </c>
      <c r="K8383" s="1013"/>
    </row>
    <row r="8384" spans="1:11" s="1011" customFormat="1" ht="15" x14ac:dyDescent="0.25">
      <c r="A8384" s="859">
        <f t="shared" si="132"/>
        <v>8383</v>
      </c>
      <c r="B8384" s="845" t="s">
        <v>2564</v>
      </c>
      <c r="C8384" s="1007">
        <f t="shared" si="133"/>
        <v>4</v>
      </c>
      <c r="D8384" s="1014"/>
      <c r="H8384" s="1011" t="s">
        <v>1007</v>
      </c>
      <c r="K8384" s="1013"/>
    </row>
    <row r="8385" spans="1:11" s="1011" customFormat="1" ht="15" x14ac:dyDescent="0.25">
      <c r="A8385" s="859">
        <f t="shared" si="132"/>
        <v>8384</v>
      </c>
      <c r="B8385" s="845" t="s">
        <v>2564</v>
      </c>
      <c r="C8385" s="1007">
        <f t="shared" si="133"/>
        <v>4</v>
      </c>
      <c r="D8385" s="1012"/>
      <c r="I8385" s="1011" t="s">
        <v>2183</v>
      </c>
      <c r="K8385" s="1013"/>
    </row>
    <row r="8386" spans="1:11" s="1011" customFormat="1" ht="15" x14ac:dyDescent="0.25">
      <c r="A8386" s="859">
        <f t="shared" si="132"/>
        <v>8385</v>
      </c>
      <c r="B8386" s="845" t="s">
        <v>2564</v>
      </c>
      <c r="C8386" s="1007">
        <f t="shared" si="133"/>
        <v>4</v>
      </c>
      <c r="D8386" s="1015"/>
      <c r="I8386" s="1011" t="str">
        <f>CONCATENATE("&lt;valeur&gt;",VLOOKUP(C8386,'T16 Amort'!A:K,11,0),"&lt;/valeur&gt;")</f>
        <v>&lt;valeur&gt;&lt;/valeur&gt;</v>
      </c>
      <c r="K8386" s="1013"/>
    </row>
    <row r="8387" spans="1:11" s="1011" customFormat="1" ht="15" x14ac:dyDescent="0.25">
      <c r="A8387" s="859">
        <f t="shared" si="132"/>
        <v>8386</v>
      </c>
      <c r="B8387" s="845" t="s">
        <v>2564</v>
      </c>
      <c r="C8387" s="1007">
        <f t="shared" si="133"/>
        <v>4</v>
      </c>
      <c r="D8387" s="1012"/>
      <c r="I8387" s="1011" t="str">
        <f>CONCATENATE("&lt;numeroLigne&gt;",C8387,"&lt;/numeroLigne&gt;")</f>
        <v>&lt;numeroLigne&gt;4&lt;/numeroLigne&gt;</v>
      </c>
      <c r="K8387" s="1013"/>
    </row>
    <row r="8388" spans="1:11" s="1011" customFormat="1" ht="15" x14ac:dyDescent="0.25">
      <c r="A8388" s="859">
        <f t="shared" ref="A8388:A8451" si="134">+A8387+1</f>
        <v>8387</v>
      </c>
      <c r="B8388" s="845" t="s">
        <v>2564</v>
      </c>
      <c r="C8388" s="1007">
        <f t="shared" si="133"/>
        <v>4</v>
      </c>
      <c r="D8388" s="1016"/>
      <c r="E8388" s="1017"/>
      <c r="F8388" s="1017"/>
      <c r="G8388" s="1017"/>
      <c r="H8388" s="1017" t="s">
        <v>1010</v>
      </c>
      <c r="I8388" s="1017"/>
      <c r="J8388" s="1017"/>
      <c r="K8388" s="1018"/>
    </row>
    <row r="8389" spans="1:11" s="1011" customFormat="1" ht="15" x14ac:dyDescent="0.25">
      <c r="A8389" s="859">
        <f t="shared" si="134"/>
        <v>8388</v>
      </c>
      <c r="B8389" s="845" t="s">
        <v>2564</v>
      </c>
      <c r="C8389" s="1007">
        <f t="shared" si="133"/>
        <v>5</v>
      </c>
      <c r="D8389" s="1008"/>
      <c r="E8389" s="1009"/>
      <c r="F8389" s="1009"/>
      <c r="G8389" s="1009"/>
      <c r="H8389" s="1009" t="s">
        <v>1007</v>
      </c>
      <c r="I8389" s="1009"/>
      <c r="J8389" s="1009"/>
      <c r="K8389" s="1010"/>
    </row>
    <row r="8390" spans="1:11" s="1011" customFormat="1" ht="15" x14ac:dyDescent="0.25">
      <c r="A8390" s="859">
        <f t="shared" si="134"/>
        <v>8389</v>
      </c>
      <c r="B8390" s="845" t="s">
        <v>2564</v>
      </c>
      <c r="C8390" s="1007">
        <f t="shared" si="133"/>
        <v>5</v>
      </c>
      <c r="D8390" s="1012"/>
      <c r="I8390" s="1011" t="s">
        <v>2174</v>
      </c>
      <c r="K8390" s="1013"/>
    </row>
    <row r="8391" spans="1:11" s="1011" customFormat="1" ht="15" x14ac:dyDescent="0.25">
      <c r="A8391" s="859">
        <f t="shared" si="134"/>
        <v>8390</v>
      </c>
      <c r="B8391" s="845" t="s">
        <v>2564</v>
      </c>
      <c r="C8391" s="1007">
        <f t="shared" si="133"/>
        <v>5</v>
      </c>
      <c r="D8391" s="1014"/>
      <c r="I8391" s="1011" t="str">
        <f>CONCATENATE("&lt;valeur&gt;",VLOOKUP(C8391,'T16 Amort'!A:K,2,0),"&lt;/valeur&gt;")</f>
        <v>&lt;valeur&gt;&lt;/valeur&gt;</v>
      </c>
      <c r="K8391" s="1013"/>
    </row>
    <row r="8392" spans="1:11" s="1011" customFormat="1" ht="15" x14ac:dyDescent="0.25">
      <c r="A8392" s="859">
        <f t="shared" si="134"/>
        <v>8391</v>
      </c>
      <c r="B8392" s="845" t="s">
        <v>2564</v>
      </c>
      <c r="C8392" s="1007">
        <f t="shared" si="133"/>
        <v>5</v>
      </c>
      <c r="D8392" s="1014"/>
      <c r="I8392" s="1011" t="str">
        <f>CONCATENATE("&lt;numeroLigne&gt;",C8392,"&lt;/numeroLigne&gt;")</f>
        <v>&lt;numeroLigne&gt;5&lt;/numeroLigne&gt;</v>
      </c>
      <c r="K8392" s="1013"/>
    </row>
    <row r="8393" spans="1:11" s="1011" customFormat="1" ht="15" x14ac:dyDescent="0.25">
      <c r="A8393" s="859">
        <f t="shared" si="134"/>
        <v>8392</v>
      </c>
      <c r="B8393" s="845" t="s">
        <v>2564</v>
      </c>
      <c r="C8393" s="1007">
        <f t="shared" si="133"/>
        <v>5</v>
      </c>
      <c r="D8393" s="1012"/>
      <c r="H8393" s="1011" t="s">
        <v>1010</v>
      </c>
      <c r="K8393" s="1013"/>
    </row>
    <row r="8394" spans="1:11" s="1011" customFormat="1" ht="15" x14ac:dyDescent="0.25">
      <c r="A8394" s="859">
        <f t="shared" si="134"/>
        <v>8393</v>
      </c>
      <c r="B8394" s="845" t="s">
        <v>2564</v>
      </c>
      <c r="C8394" s="1007">
        <f t="shared" si="133"/>
        <v>5</v>
      </c>
      <c r="D8394" s="1015"/>
      <c r="H8394" s="1011" t="s">
        <v>1007</v>
      </c>
      <c r="K8394" s="1013"/>
    </row>
    <row r="8395" spans="1:11" s="1011" customFormat="1" ht="15" x14ac:dyDescent="0.25">
      <c r="A8395" s="859">
        <f t="shared" si="134"/>
        <v>8394</v>
      </c>
      <c r="B8395" s="845" t="s">
        <v>2564</v>
      </c>
      <c r="C8395" s="1007">
        <f t="shared" si="133"/>
        <v>5</v>
      </c>
      <c r="D8395" s="1012"/>
      <c r="I8395" s="1011" t="s">
        <v>2175</v>
      </c>
      <c r="K8395" s="1013"/>
    </row>
    <row r="8396" spans="1:11" s="1011" customFormat="1" ht="15" x14ac:dyDescent="0.25">
      <c r="A8396" s="859">
        <f t="shared" si="134"/>
        <v>8395</v>
      </c>
      <c r="B8396" s="845" t="s">
        <v>2564</v>
      </c>
      <c r="C8396" s="1007">
        <f t="shared" si="133"/>
        <v>5</v>
      </c>
      <c r="D8396" s="1012"/>
      <c r="I8396" s="1011" t="str">
        <f>CONCATENATE("&lt;valeur&gt;",VLOOKUP(C8396,'T16 Amort'!A:K,3,0),"&lt;/valeur&gt;")</f>
        <v>&lt;valeur&gt;&lt;/valeur&gt;</v>
      </c>
      <c r="K8396" s="1013"/>
    </row>
    <row r="8397" spans="1:11" s="1011" customFormat="1" ht="15" x14ac:dyDescent="0.25">
      <c r="A8397" s="859">
        <f t="shared" si="134"/>
        <v>8396</v>
      </c>
      <c r="B8397" s="845" t="s">
        <v>2564</v>
      </c>
      <c r="C8397" s="1007">
        <f t="shared" si="133"/>
        <v>5</v>
      </c>
      <c r="D8397" s="1014"/>
      <c r="I8397" s="1011" t="str">
        <f>CONCATENATE("&lt;numeroLigne&gt;",C8397,"&lt;/numeroLigne&gt;")</f>
        <v>&lt;numeroLigne&gt;5&lt;/numeroLigne&gt;</v>
      </c>
      <c r="K8397" s="1013"/>
    </row>
    <row r="8398" spans="1:11" s="1011" customFormat="1" ht="15" x14ac:dyDescent="0.25">
      <c r="A8398" s="859">
        <f t="shared" si="134"/>
        <v>8397</v>
      </c>
      <c r="B8398" s="845" t="s">
        <v>2564</v>
      </c>
      <c r="C8398" s="1007">
        <f t="shared" si="133"/>
        <v>5</v>
      </c>
      <c r="D8398" s="1014"/>
      <c r="H8398" s="1011" t="s">
        <v>1010</v>
      </c>
      <c r="K8398" s="1013"/>
    </row>
    <row r="8399" spans="1:11" s="1011" customFormat="1" ht="15" x14ac:dyDescent="0.25">
      <c r="A8399" s="859">
        <f t="shared" si="134"/>
        <v>8398</v>
      </c>
      <c r="B8399" s="845" t="s">
        <v>2564</v>
      </c>
      <c r="C8399" s="1007">
        <f t="shared" si="133"/>
        <v>5</v>
      </c>
      <c r="D8399" s="1012"/>
      <c r="H8399" s="1011" t="s">
        <v>1007</v>
      </c>
      <c r="K8399" s="1013"/>
    </row>
    <row r="8400" spans="1:11" s="1011" customFormat="1" ht="15" x14ac:dyDescent="0.25">
      <c r="A8400" s="859">
        <f t="shared" si="134"/>
        <v>8399</v>
      </c>
      <c r="B8400" s="845" t="s">
        <v>2564</v>
      </c>
      <c r="C8400" s="1007">
        <f t="shared" si="133"/>
        <v>5</v>
      </c>
      <c r="D8400" s="1015"/>
      <c r="I8400" s="1011" t="s">
        <v>2176</v>
      </c>
      <c r="K8400" s="1013"/>
    </row>
    <row r="8401" spans="1:11" s="1011" customFormat="1" ht="15" x14ac:dyDescent="0.25">
      <c r="A8401" s="859">
        <f t="shared" si="134"/>
        <v>8400</v>
      </c>
      <c r="B8401" s="845" t="s">
        <v>2564</v>
      </c>
      <c r="C8401" s="1007">
        <f t="shared" si="133"/>
        <v>5</v>
      </c>
      <c r="D8401" s="1012"/>
      <c r="I8401" s="1011" t="str">
        <f>CONCATENATE("&lt;valeur&gt;",VLOOKUP(C8401,'T16 Amort'!A:K,4,0),"&lt;/valeur&gt;")</f>
        <v>&lt;valeur&gt;&lt;/valeur&gt;</v>
      </c>
      <c r="K8401" s="1013"/>
    </row>
    <row r="8402" spans="1:11" s="1011" customFormat="1" ht="15" x14ac:dyDescent="0.25">
      <c r="A8402" s="859">
        <f t="shared" si="134"/>
        <v>8401</v>
      </c>
      <c r="B8402" s="845" t="s">
        <v>2564</v>
      </c>
      <c r="C8402" s="1007">
        <f t="shared" si="133"/>
        <v>5</v>
      </c>
      <c r="D8402" s="1012"/>
      <c r="I8402" s="1011" t="str">
        <f>CONCATENATE("&lt;numeroLigne&gt;",C8402,"&lt;/numeroLigne&gt;")</f>
        <v>&lt;numeroLigne&gt;5&lt;/numeroLigne&gt;</v>
      </c>
      <c r="K8402" s="1013"/>
    </row>
    <row r="8403" spans="1:11" s="1011" customFormat="1" ht="15" x14ac:dyDescent="0.25">
      <c r="A8403" s="859">
        <f t="shared" si="134"/>
        <v>8402</v>
      </c>
      <c r="B8403" s="845" t="s">
        <v>2564</v>
      </c>
      <c r="C8403" s="1007">
        <f t="shared" si="133"/>
        <v>5</v>
      </c>
      <c r="D8403" s="1014"/>
      <c r="H8403" s="1011" t="s">
        <v>1010</v>
      </c>
      <c r="K8403" s="1013"/>
    </row>
    <row r="8404" spans="1:11" s="1011" customFormat="1" ht="15" x14ac:dyDescent="0.25">
      <c r="A8404" s="859">
        <f t="shared" si="134"/>
        <v>8403</v>
      </c>
      <c r="B8404" s="845" t="s">
        <v>2564</v>
      </c>
      <c r="C8404" s="1007">
        <f t="shared" si="133"/>
        <v>5</v>
      </c>
      <c r="D8404" s="1014"/>
      <c r="H8404" s="1011" t="s">
        <v>1007</v>
      </c>
      <c r="K8404" s="1013"/>
    </row>
    <row r="8405" spans="1:11" s="1011" customFormat="1" ht="15" x14ac:dyDescent="0.25">
      <c r="A8405" s="859">
        <f t="shared" si="134"/>
        <v>8404</v>
      </c>
      <c r="B8405" s="845" t="s">
        <v>2564</v>
      </c>
      <c r="C8405" s="1007">
        <f t="shared" si="133"/>
        <v>5</v>
      </c>
      <c r="D8405" s="1012"/>
      <c r="I8405" s="1011" t="s">
        <v>2177</v>
      </c>
      <c r="K8405" s="1013"/>
    </row>
    <row r="8406" spans="1:11" s="1011" customFormat="1" ht="15" x14ac:dyDescent="0.25">
      <c r="A8406" s="859">
        <f t="shared" si="134"/>
        <v>8405</v>
      </c>
      <c r="B8406" s="845" t="s">
        <v>2564</v>
      </c>
      <c r="C8406" s="1007">
        <f t="shared" si="133"/>
        <v>5</v>
      </c>
      <c r="D8406" s="1015"/>
      <c r="I8406" s="1011" t="str">
        <f>CONCATENATE("&lt;valeur&gt;",VLOOKUP(C8406,'T16 Amort'!A:K,5,0),"&lt;/valeur&gt;")</f>
        <v>&lt;valeur&gt;&lt;/valeur&gt;</v>
      </c>
      <c r="K8406" s="1013"/>
    </row>
    <row r="8407" spans="1:11" s="1011" customFormat="1" ht="15" x14ac:dyDescent="0.25">
      <c r="A8407" s="859">
        <f t="shared" si="134"/>
        <v>8406</v>
      </c>
      <c r="B8407" s="845" t="s">
        <v>2564</v>
      </c>
      <c r="C8407" s="1007">
        <f t="shared" si="133"/>
        <v>5</v>
      </c>
      <c r="D8407" s="1012"/>
      <c r="I8407" s="1011" t="str">
        <f>CONCATENATE("&lt;numeroLigne&gt;",C8407,"&lt;/numeroLigne&gt;")</f>
        <v>&lt;numeroLigne&gt;5&lt;/numeroLigne&gt;</v>
      </c>
      <c r="K8407" s="1013"/>
    </row>
    <row r="8408" spans="1:11" s="1011" customFormat="1" ht="15" x14ac:dyDescent="0.25">
      <c r="A8408" s="859">
        <f t="shared" si="134"/>
        <v>8407</v>
      </c>
      <c r="B8408" s="845" t="s">
        <v>2564</v>
      </c>
      <c r="C8408" s="1007">
        <f t="shared" si="133"/>
        <v>5</v>
      </c>
      <c r="D8408" s="1012"/>
      <c r="H8408" s="1011" t="s">
        <v>1010</v>
      </c>
      <c r="K8408" s="1013"/>
    </row>
    <row r="8409" spans="1:11" s="1011" customFormat="1" ht="15" x14ac:dyDescent="0.25">
      <c r="A8409" s="859">
        <f t="shared" si="134"/>
        <v>8408</v>
      </c>
      <c r="B8409" s="845" t="s">
        <v>2564</v>
      </c>
      <c r="C8409" s="1007">
        <f t="shared" si="133"/>
        <v>5</v>
      </c>
      <c r="D8409" s="1014"/>
      <c r="H8409" s="1011" t="s">
        <v>1007</v>
      </c>
      <c r="K8409" s="1013"/>
    </row>
    <row r="8410" spans="1:11" s="1011" customFormat="1" ht="15" x14ac:dyDescent="0.25">
      <c r="A8410" s="859">
        <f t="shared" si="134"/>
        <v>8409</v>
      </c>
      <c r="B8410" s="845" t="s">
        <v>2564</v>
      </c>
      <c r="C8410" s="1007">
        <f t="shared" si="133"/>
        <v>5</v>
      </c>
      <c r="D8410" s="1014"/>
      <c r="I8410" s="1011" t="s">
        <v>2178</v>
      </c>
      <c r="K8410" s="1013"/>
    </row>
    <row r="8411" spans="1:11" s="1011" customFormat="1" ht="15" x14ac:dyDescent="0.25">
      <c r="A8411" s="859">
        <f t="shared" si="134"/>
        <v>8410</v>
      </c>
      <c r="B8411" s="845" t="s">
        <v>2564</v>
      </c>
      <c r="C8411" s="1007">
        <f t="shared" si="133"/>
        <v>5</v>
      </c>
      <c r="D8411" s="1012"/>
      <c r="I8411" s="1011" t="str">
        <f>CONCATENATE("&lt;valeur&gt;",VLOOKUP(C8411,'T16 Amort'!A:K,6,0),"&lt;/valeur&gt;")</f>
        <v>&lt;valeur&gt;&lt;/valeur&gt;</v>
      </c>
      <c r="K8411" s="1013"/>
    </row>
    <row r="8412" spans="1:11" s="1011" customFormat="1" ht="15" x14ac:dyDescent="0.25">
      <c r="A8412" s="859">
        <f t="shared" si="134"/>
        <v>8411</v>
      </c>
      <c r="B8412" s="845" t="s">
        <v>2564</v>
      </c>
      <c r="C8412" s="1007">
        <f t="shared" si="133"/>
        <v>5</v>
      </c>
      <c r="D8412" s="1015"/>
      <c r="I8412" s="1011" t="str">
        <f>CONCATENATE("&lt;numeroLigne&gt;",C8412,"&lt;/numeroLigne&gt;")</f>
        <v>&lt;numeroLigne&gt;5&lt;/numeroLigne&gt;</v>
      </c>
      <c r="K8412" s="1013"/>
    </row>
    <row r="8413" spans="1:11" s="1011" customFormat="1" ht="15" x14ac:dyDescent="0.25">
      <c r="A8413" s="859">
        <f t="shared" si="134"/>
        <v>8412</v>
      </c>
      <c r="B8413" s="845" t="s">
        <v>2564</v>
      </c>
      <c r="C8413" s="1007">
        <f t="shared" si="133"/>
        <v>5</v>
      </c>
      <c r="D8413" s="1012"/>
      <c r="H8413" s="1011" t="s">
        <v>1010</v>
      </c>
      <c r="K8413" s="1013"/>
    </row>
    <row r="8414" spans="1:11" s="1011" customFormat="1" ht="15" x14ac:dyDescent="0.25">
      <c r="A8414" s="859">
        <f t="shared" si="134"/>
        <v>8413</v>
      </c>
      <c r="B8414" s="845" t="s">
        <v>2564</v>
      </c>
      <c r="C8414" s="1007">
        <f t="shared" si="133"/>
        <v>5</v>
      </c>
      <c r="D8414" s="1012"/>
      <c r="H8414" s="1011" t="s">
        <v>1007</v>
      </c>
      <c r="K8414" s="1013"/>
    </row>
    <row r="8415" spans="1:11" s="1011" customFormat="1" ht="15" x14ac:dyDescent="0.25">
      <c r="A8415" s="859">
        <f t="shared" si="134"/>
        <v>8414</v>
      </c>
      <c r="B8415" s="845" t="s">
        <v>2564</v>
      </c>
      <c r="C8415" s="1007">
        <f t="shared" si="133"/>
        <v>5</v>
      </c>
      <c r="D8415" s="1014"/>
      <c r="I8415" s="1011" t="s">
        <v>2179</v>
      </c>
      <c r="K8415" s="1013"/>
    </row>
    <row r="8416" spans="1:11" s="1011" customFormat="1" ht="15" x14ac:dyDescent="0.25">
      <c r="A8416" s="859">
        <f t="shared" si="134"/>
        <v>8415</v>
      </c>
      <c r="B8416" s="845" t="s">
        <v>2564</v>
      </c>
      <c r="C8416" s="1007">
        <f t="shared" si="133"/>
        <v>5</v>
      </c>
      <c r="D8416" s="1014"/>
      <c r="I8416" s="1011" t="str">
        <f>CONCATENATE("&lt;valeur&gt;",VLOOKUP(C8416,'T16 Amort'!A:K,7,0),"&lt;/valeur&gt;")</f>
        <v>&lt;valeur&gt;&lt;/valeur&gt;</v>
      </c>
      <c r="K8416" s="1013"/>
    </row>
    <row r="8417" spans="1:11" s="1011" customFormat="1" ht="15" x14ac:dyDescent="0.25">
      <c r="A8417" s="859">
        <f t="shared" si="134"/>
        <v>8416</v>
      </c>
      <c r="B8417" s="845" t="s">
        <v>2564</v>
      </c>
      <c r="C8417" s="1007">
        <f t="shared" si="133"/>
        <v>5</v>
      </c>
      <c r="D8417" s="1012"/>
      <c r="I8417" s="1011" t="str">
        <f>CONCATENATE("&lt;numeroLigne&gt;",C8417,"&lt;/numeroLigne&gt;")</f>
        <v>&lt;numeroLigne&gt;5&lt;/numeroLigne&gt;</v>
      </c>
      <c r="K8417" s="1013"/>
    </row>
    <row r="8418" spans="1:11" s="1011" customFormat="1" ht="15" x14ac:dyDescent="0.25">
      <c r="A8418" s="859">
        <f t="shared" si="134"/>
        <v>8417</v>
      </c>
      <c r="B8418" s="845" t="s">
        <v>2564</v>
      </c>
      <c r="C8418" s="1007">
        <f t="shared" si="133"/>
        <v>5</v>
      </c>
      <c r="D8418" s="1015"/>
      <c r="H8418" s="1011" t="s">
        <v>1010</v>
      </c>
      <c r="K8418" s="1013"/>
    </row>
    <row r="8419" spans="1:11" s="1011" customFormat="1" ht="15" x14ac:dyDescent="0.25">
      <c r="A8419" s="859">
        <f t="shared" si="134"/>
        <v>8418</v>
      </c>
      <c r="B8419" s="845" t="s">
        <v>2564</v>
      </c>
      <c r="C8419" s="1007">
        <f t="shared" si="133"/>
        <v>5</v>
      </c>
      <c r="D8419" s="1012"/>
      <c r="H8419" s="1011" t="s">
        <v>1007</v>
      </c>
      <c r="K8419" s="1013"/>
    </row>
    <row r="8420" spans="1:11" s="1011" customFormat="1" ht="15" x14ac:dyDescent="0.25">
      <c r="A8420" s="859">
        <f t="shared" si="134"/>
        <v>8419</v>
      </c>
      <c r="B8420" s="845" t="s">
        <v>2564</v>
      </c>
      <c r="C8420" s="1007">
        <f t="shared" si="133"/>
        <v>5</v>
      </c>
      <c r="D8420" s="1012"/>
      <c r="I8420" s="1011" t="s">
        <v>2180</v>
      </c>
      <c r="K8420" s="1013"/>
    </row>
    <row r="8421" spans="1:11" s="1011" customFormat="1" ht="15" x14ac:dyDescent="0.25">
      <c r="A8421" s="859">
        <f t="shared" si="134"/>
        <v>8420</v>
      </c>
      <c r="B8421" s="845" t="s">
        <v>2564</v>
      </c>
      <c r="C8421" s="1007">
        <f t="shared" si="133"/>
        <v>5</v>
      </c>
      <c r="D8421" s="1014"/>
      <c r="I8421" s="1011" t="str">
        <f>CONCATENATE("&lt;valeur&gt;",VLOOKUP(C8421,'T16 Amort'!A:K,8,0),"&lt;/valeur&gt;")</f>
        <v>&lt;valeur&gt;&lt;/valeur&gt;</v>
      </c>
      <c r="K8421" s="1013"/>
    </row>
    <row r="8422" spans="1:11" s="1011" customFormat="1" ht="15" x14ac:dyDescent="0.25">
      <c r="A8422" s="859">
        <f t="shared" si="134"/>
        <v>8421</v>
      </c>
      <c r="B8422" s="845" t="s">
        <v>2564</v>
      </c>
      <c r="C8422" s="1007">
        <f t="shared" si="133"/>
        <v>5</v>
      </c>
      <c r="D8422" s="1014"/>
      <c r="I8422" s="1011" t="str">
        <f>CONCATENATE("&lt;numeroLigne&gt;",C8422,"&lt;/numeroLigne&gt;")</f>
        <v>&lt;numeroLigne&gt;5&lt;/numeroLigne&gt;</v>
      </c>
      <c r="K8422" s="1013"/>
    </row>
    <row r="8423" spans="1:11" s="1011" customFormat="1" ht="15" x14ac:dyDescent="0.25">
      <c r="A8423" s="859">
        <f t="shared" si="134"/>
        <v>8422</v>
      </c>
      <c r="B8423" s="845" t="s">
        <v>2564</v>
      </c>
      <c r="C8423" s="1007">
        <f t="shared" si="133"/>
        <v>5</v>
      </c>
      <c r="D8423" s="1012"/>
      <c r="H8423" s="1011" t="s">
        <v>1010</v>
      </c>
      <c r="K8423" s="1013"/>
    </row>
    <row r="8424" spans="1:11" s="1011" customFormat="1" ht="15" x14ac:dyDescent="0.25">
      <c r="A8424" s="859">
        <f t="shared" si="134"/>
        <v>8423</v>
      </c>
      <c r="B8424" s="845" t="s">
        <v>2564</v>
      </c>
      <c r="C8424" s="1007">
        <f t="shared" si="133"/>
        <v>5</v>
      </c>
      <c r="D8424" s="1015"/>
      <c r="H8424" s="1011" t="s">
        <v>1007</v>
      </c>
      <c r="K8424" s="1013"/>
    </row>
    <row r="8425" spans="1:11" s="1011" customFormat="1" ht="15" x14ac:dyDescent="0.25">
      <c r="A8425" s="859">
        <f t="shared" si="134"/>
        <v>8424</v>
      </c>
      <c r="B8425" s="845" t="s">
        <v>2564</v>
      </c>
      <c r="C8425" s="1007">
        <f t="shared" si="133"/>
        <v>5</v>
      </c>
      <c r="D8425" s="1012"/>
      <c r="I8425" s="1011" t="s">
        <v>2181</v>
      </c>
      <c r="K8425" s="1013"/>
    </row>
    <row r="8426" spans="1:11" s="1011" customFormat="1" ht="15" x14ac:dyDescent="0.25">
      <c r="A8426" s="859">
        <f t="shared" si="134"/>
        <v>8425</v>
      </c>
      <c r="B8426" s="845" t="s">
        <v>2564</v>
      </c>
      <c r="C8426" s="1007">
        <f t="shared" si="133"/>
        <v>5</v>
      </c>
      <c r="D8426" s="1012"/>
      <c r="I8426" s="1011" t="str">
        <f>CONCATENATE("&lt;valeur&gt;",VLOOKUP(C8426,'T16 Amort'!A:K,9,0),"&lt;/valeur&gt;")</f>
        <v>&lt;valeur&gt;&lt;/valeur&gt;</v>
      </c>
      <c r="K8426" s="1013"/>
    </row>
    <row r="8427" spans="1:11" s="1011" customFormat="1" ht="15" x14ac:dyDescent="0.25">
      <c r="A8427" s="859">
        <f t="shared" si="134"/>
        <v>8426</v>
      </c>
      <c r="B8427" s="845" t="s">
        <v>2564</v>
      </c>
      <c r="C8427" s="1007">
        <f t="shared" si="133"/>
        <v>5</v>
      </c>
      <c r="D8427" s="1014"/>
      <c r="I8427" s="1011" t="str">
        <f>CONCATENATE("&lt;numeroLigne&gt;",C8427,"&lt;/numeroLigne&gt;")</f>
        <v>&lt;numeroLigne&gt;5&lt;/numeroLigne&gt;</v>
      </c>
      <c r="K8427" s="1013"/>
    </row>
    <row r="8428" spans="1:11" s="1011" customFormat="1" ht="15" x14ac:dyDescent="0.25">
      <c r="A8428" s="859">
        <f t="shared" si="134"/>
        <v>8427</v>
      </c>
      <c r="B8428" s="845" t="s">
        <v>2564</v>
      </c>
      <c r="C8428" s="1007">
        <f t="shared" si="133"/>
        <v>5</v>
      </c>
      <c r="D8428" s="1014"/>
      <c r="H8428" s="1011" t="s">
        <v>1010</v>
      </c>
      <c r="K8428" s="1013"/>
    </row>
    <row r="8429" spans="1:11" s="1011" customFormat="1" ht="15" x14ac:dyDescent="0.25">
      <c r="A8429" s="859">
        <f t="shared" si="134"/>
        <v>8428</v>
      </c>
      <c r="B8429" s="845" t="s">
        <v>2564</v>
      </c>
      <c r="C8429" s="1007">
        <f t="shared" si="133"/>
        <v>5</v>
      </c>
      <c r="D8429" s="1012"/>
      <c r="H8429" s="1011" t="s">
        <v>1007</v>
      </c>
      <c r="K8429" s="1013"/>
    </row>
    <row r="8430" spans="1:11" s="1011" customFormat="1" ht="15" x14ac:dyDescent="0.25">
      <c r="A8430" s="859">
        <f t="shared" si="134"/>
        <v>8429</v>
      </c>
      <c r="B8430" s="845" t="s">
        <v>2564</v>
      </c>
      <c r="C8430" s="1007">
        <f t="shared" si="133"/>
        <v>5</v>
      </c>
      <c r="D8430" s="1015"/>
      <c r="I8430" s="1011" t="s">
        <v>2182</v>
      </c>
      <c r="K8430" s="1013"/>
    </row>
    <row r="8431" spans="1:11" s="1011" customFormat="1" ht="15" x14ac:dyDescent="0.25">
      <c r="A8431" s="859">
        <f t="shared" si="134"/>
        <v>8430</v>
      </c>
      <c r="B8431" s="845" t="s">
        <v>2564</v>
      </c>
      <c r="C8431" s="1007">
        <f t="shared" ref="C8431:C8494" si="135">C8381+1</f>
        <v>5</v>
      </c>
      <c r="D8431" s="1012"/>
      <c r="I8431" s="1011" t="str">
        <f>CONCATENATE("&lt;valeur&gt;",VLOOKUP(C8431,'T16 Amort'!A:K,10,0),"&lt;/valeur&gt;")</f>
        <v>&lt;valeur&gt;&lt;/valeur&gt;</v>
      </c>
      <c r="K8431" s="1013"/>
    </row>
    <row r="8432" spans="1:11" s="1011" customFormat="1" ht="15" x14ac:dyDescent="0.25">
      <c r="A8432" s="859">
        <f t="shared" si="134"/>
        <v>8431</v>
      </c>
      <c r="B8432" s="845" t="s">
        <v>2564</v>
      </c>
      <c r="C8432" s="1007">
        <f t="shared" si="135"/>
        <v>5</v>
      </c>
      <c r="D8432" s="1012"/>
      <c r="I8432" s="1011" t="str">
        <f>CONCATENATE("&lt;numeroLigne&gt;",C8432,"&lt;/numeroLigne&gt;")</f>
        <v>&lt;numeroLigne&gt;5&lt;/numeroLigne&gt;</v>
      </c>
      <c r="K8432" s="1013"/>
    </row>
    <row r="8433" spans="1:11" s="1011" customFormat="1" ht="15" x14ac:dyDescent="0.25">
      <c r="A8433" s="859">
        <f t="shared" si="134"/>
        <v>8432</v>
      </c>
      <c r="B8433" s="845" t="s">
        <v>2564</v>
      </c>
      <c r="C8433" s="1007">
        <f t="shared" si="135"/>
        <v>5</v>
      </c>
      <c r="D8433" s="1014"/>
      <c r="H8433" s="1011" t="s">
        <v>1010</v>
      </c>
      <c r="K8433" s="1013"/>
    </row>
    <row r="8434" spans="1:11" s="1011" customFormat="1" ht="15" x14ac:dyDescent="0.25">
      <c r="A8434" s="859">
        <f t="shared" si="134"/>
        <v>8433</v>
      </c>
      <c r="B8434" s="845" t="s">
        <v>2564</v>
      </c>
      <c r="C8434" s="1007">
        <f t="shared" si="135"/>
        <v>5</v>
      </c>
      <c r="D8434" s="1014"/>
      <c r="H8434" s="1011" t="s">
        <v>1007</v>
      </c>
      <c r="K8434" s="1013"/>
    </row>
    <row r="8435" spans="1:11" s="1011" customFormat="1" ht="15" x14ac:dyDescent="0.25">
      <c r="A8435" s="859">
        <f t="shared" si="134"/>
        <v>8434</v>
      </c>
      <c r="B8435" s="845" t="s">
        <v>2564</v>
      </c>
      <c r="C8435" s="1007">
        <f t="shared" si="135"/>
        <v>5</v>
      </c>
      <c r="D8435" s="1012"/>
      <c r="I8435" s="1011" t="s">
        <v>2183</v>
      </c>
      <c r="K8435" s="1013"/>
    </row>
    <row r="8436" spans="1:11" s="1011" customFormat="1" ht="15" x14ac:dyDescent="0.25">
      <c r="A8436" s="859">
        <f t="shared" si="134"/>
        <v>8435</v>
      </c>
      <c r="B8436" s="845" t="s">
        <v>2564</v>
      </c>
      <c r="C8436" s="1007">
        <f t="shared" si="135"/>
        <v>5</v>
      </c>
      <c r="D8436" s="1015"/>
      <c r="I8436" s="1011" t="str">
        <f>CONCATENATE("&lt;valeur&gt;",VLOOKUP(C8436,'T16 Amort'!A:K,11,0),"&lt;/valeur&gt;")</f>
        <v>&lt;valeur&gt;&lt;/valeur&gt;</v>
      </c>
      <c r="K8436" s="1013"/>
    </row>
    <row r="8437" spans="1:11" s="1011" customFormat="1" ht="15" x14ac:dyDescent="0.25">
      <c r="A8437" s="859">
        <f t="shared" si="134"/>
        <v>8436</v>
      </c>
      <c r="B8437" s="845" t="s">
        <v>2564</v>
      </c>
      <c r="C8437" s="1007">
        <f t="shared" si="135"/>
        <v>5</v>
      </c>
      <c r="D8437" s="1012"/>
      <c r="I8437" s="1011" t="str">
        <f>CONCATENATE("&lt;numeroLigne&gt;",C8437,"&lt;/numeroLigne&gt;")</f>
        <v>&lt;numeroLigne&gt;5&lt;/numeroLigne&gt;</v>
      </c>
      <c r="K8437" s="1013"/>
    </row>
    <row r="8438" spans="1:11" s="1011" customFormat="1" ht="15" x14ac:dyDescent="0.25">
      <c r="A8438" s="859">
        <f t="shared" si="134"/>
        <v>8437</v>
      </c>
      <c r="B8438" s="845" t="s">
        <v>2564</v>
      </c>
      <c r="C8438" s="1007">
        <f t="shared" si="135"/>
        <v>5</v>
      </c>
      <c r="D8438" s="1016"/>
      <c r="E8438" s="1017"/>
      <c r="F8438" s="1017"/>
      <c r="G8438" s="1017"/>
      <c r="H8438" s="1017" t="s">
        <v>1010</v>
      </c>
      <c r="I8438" s="1017"/>
      <c r="J8438" s="1017"/>
      <c r="K8438" s="1018"/>
    </row>
    <row r="8439" spans="1:11" s="1011" customFormat="1" ht="15" x14ac:dyDescent="0.25">
      <c r="A8439" s="859">
        <f t="shared" si="134"/>
        <v>8438</v>
      </c>
      <c r="B8439" s="845" t="s">
        <v>2564</v>
      </c>
      <c r="C8439" s="1007">
        <f t="shared" si="135"/>
        <v>6</v>
      </c>
      <c r="D8439" s="1008"/>
      <c r="E8439" s="1009"/>
      <c r="F8439" s="1009"/>
      <c r="G8439" s="1009"/>
      <c r="H8439" s="1009" t="s">
        <v>1007</v>
      </c>
      <c r="I8439" s="1009"/>
      <c r="J8439" s="1009"/>
      <c r="K8439" s="1010"/>
    </row>
    <row r="8440" spans="1:11" s="1011" customFormat="1" ht="15" x14ac:dyDescent="0.25">
      <c r="A8440" s="859">
        <f t="shared" si="134"/>
        <v>8439</v>
      </c>
      <c r="B8440" s="845" t="s">
        <v>2564</v>
      </c>
      <c r="C8440" s="1007">
        <f t="shared" si="135"/>
        <v>6</v>
      </c>
      <c r="D8440" s="1012"/>
      <c r="I8440" s="1011" t="s">
        <v>2174</v>
      </c>
      <c r="K8440" s="1013"/>
    </row>
    <row r="8441" spans="1:11" s="1011" customFormat="1" ht="15" x14ac:dyDescent="0.25">
      <c r="A8441" s="859">
        <f t="shared" si="134"/>
        <v>8440</v>
      </c>
      <c r="B8441" s="845" t="s">
        <v>2564</v>
      </c>
      <c r="C8441" s="1007">
        <f t="shared" si="135"/>
        <v>6</v>
      </c>
      <c r="D8441" s="1014"/>
      <c r="I8441" s="1011" t="str">
        <f>CONCATENATE("&lt;valeur&gt;",VLOOKUP(C8441,'T16 Amort'!A:K,2,0),"&lt;/valeur&gt;")</f>
        <v>&lt;valeur&gt;&lt;/valeur&gt;</v>
      </c>
      <c r="K8441" s="1013"/>
    </row>
    <row r="8442" spans="1:11" s="1011" customFormat="1" ht="15" x14ac:dyDescent="0.25">
      <c r="A8442" s="859">
        <f t="shared" si="134"/>
        <v>8441</v>
      </c>
      <c r="B8442" s="845" t="s">
        <v>2564</v>
      </c>
      <c r="C8442" s="1007">
        <f t="shared" si="135"/>
        <v>6</v>
      </c>
      <c r="D8442" s="1014"/>
      <c r="I8442" s="1011" t="str">
        <f>CONCATENATE("&lt;numeroLigne&gt;",C8442,"&lt;/numeroLigne&gt;")</f>
        <v>&lt;numeroLigne&gt;6&lt;/numeroLigne&gt;</v>
      </c>
      <c r="K8442" s="1013"/>
    </row>
    <row r="8443" spans="1:11" s="1011" customFormat="1" ht="15" x14ac:dyDescent="0.25">
      <c r="A8443" s="859">
        <f t="shared" si="134"/>
        <v>8442</v>
      </c>
      <c r="B8443" s="845" t="s">
        <v>2564</v>
      </c>
      <c r="C8443" s="1007">
        <f t="shared" si="135"/>
        <v>6</v>
      </c>
      <c r="D8443" s="1012"/>
      <c r="H8443" s="1011" t="s">
        <v>1010</v>
      </c>
      <c r="K8443" s="1013"/>
    </row>
    <row r="8444" spans="1:11" s="1011" customFormat="1" ht="15" x14ac:dyDescent="0.25">
      <c r="A8444" s="859">
        <f t="shared" si="134"/>
        <v>8443</v>
      </c>
      <c r="B8444" s="845" t="s">
        <v>2564</v>
      </c>
      <c r="C8444" s="1007">
        <f t="shared" si="135"/>
        <v>6</v>
      </c>
      <c r="D8444" s="1015"/>
      <c r="H8444" s="1011" t="s">
        <v>1007</v>
      </c>
      <c r="K8444" s="1013"/>
    </row>
    <row r="8445" spans="1:11" s="1011" customFormat="1" ht="15" x14ac:dyDescent="0.25">
      <c r="A8445" s="859">
        <f t="shared" si="134"/>
        <v>8444</v>
      </c>
      <c r="B8445" s="845" t="s">
        <v>2564</v>
      </c>
      <c r="C8445" s="1007">
        <f t="shared" si="135"/>
        <v>6</v>
      </c>
      <c r="D8445" s="1012"/>
      <c r="I8445" s="1011" t="s">
        <v>2175</v>
      </c>
      <c r="K8445" s="1013"/>
    </row>
    <row r="8446" spans="1:11" s="1011" customFormat="1" ht="15" x14ac:dyDescent="0.25">
      <c r="A8446" s="859">
        <f t="shared" si="134"/>
        <v>8445</v>
      </c>
      <c r="B8446" s="845" t="s">
        <v>2564</v>
      </c>
      <c r="C8446" s="1007">
        <f t="shared" si="135"/>
        <v>6</v>
      </c>
      <c r="D8446" s="1012"/>
      <c r="I8446" s="1011" t="str">
        <f>CONCATENATE("&lt;valeur&gt;",VLOOKUP(C8446,'T16 Amort'!A:K,3,0),"&lt;/valeur&gt;")</f>
        <v>&lt;valeur&gt;&lt;/valeur&gt;</v>
      </c>
      <c r="K8446" s="1013"/>
    </row>
    <row r="8447" spans="1:11" s="1011" customFormat="1" ht="15" x14ac:dyDescent="0.25">
      <c r="A8447" s="859">
        <f t="shared" si="134"/>
        <v>8446</v>
      </c>
      <c r="B8447" s="845" t="s">
        <v>2564</v>
      </c>
      <c r="C8447" s="1007">
        <f t="shared" si="135"/>
        <v>6</v>
      </c>
      <c r="D8447" s="1014"/>
      <c r="I8447" s="1011" t="str">
        <f>CONCATENATE("&lt;numeroLigne&gt;",C8447,"&lt;/numeroLigne&gt;")</f>
        <v>&lt;numeroLigne&gt;6&lt;/numeroLigne&gt;</v>
      </c>
      <c r="K8447" s="1013"/>
    </row>
    <row r="8448" spans="1:11" s="1011" customFormat="1" ht="15" x14ac:dyDescent="0.25">
      <c r="A8448" s="859">
        <f t="shared" si="134"/>
        <v>8447</v>
      </c>
      <c r="B8448" s="845" t="s">
        <v>2564</v>
      </c>
      <c r="C8448" s="1007">
        <f t="shared" si="135"/>
        <v>6</v>
      </c>
      <c r="D8448" s="1014"/>
      <c r="H8448" s="1011" t="s">
        <v>1010</v>
      </c>
      <c r="K8448" s="1013"/>
    </row>
    <row r="8449" spans="1:11" s="1011" customFormat="1" ht="15" x14ac:dyDescent="0.25">
      <c r="A8449" s="859">
        <f t="shared" si="134"/>
        <v>8448</v>
      </c>
      <c r="B8449" s="845" t="s">
        <v>2564</v>
      </c>
      <c r="C8449" s="1007">
        <f t="shared" si="135"/>
        <v>6</v>
      </c>
      <c r="D8449" s="1012"/>
      <c r="H8449" s="1011" t="s">
        <v>1007</v>
      </c>
      <c r="K8449" s="1013"/>
    </row>
    <row r="8450" spans="1:11" s="1011" customFormat="1" ht="15" x14ac:dyDescent="0.25">
      <c r="A8450" s="859">
        <f t="shared" si="134"/>
        <v>8449</v>
      </c>
      <c r="B8450" s="845" t="s">
        <v>2564</v>
      </c>
      <c r="C8450" s="1007">
        <f t="shared" si="135"/>
        <v>6</v>
      </c>
      <c r="D8450" s="1015"/>
      <c r="I8450" s="1011" t="s">
        <v>2176</v>
      </c>
      <c r="K8450" s="1013"/>
    </row>
    <row r="8451" spans="1:11" s="1011" customFormat="1" ht="15" x14ac:dyDescent="0.25">
      <c r="A8451" s="859">
        <f t="shared" si="134"/>
        <v>8450</v>
      </c>
      <c r="B8451" s="845" t="s">
        <v>2564</v>
      </c>
      <c r="C8451" s="1007">
        <f t="shared" si="135"/>
        <v>6</v>
      </c>
      <c r="D8451" s="1012"/>
      <c r="I8451" s="1011" t="str">
        <f>CONCATENATE("&lt;valeur&gt;",VLOOKUP(C8451,'T16 Amort'!A:K,4,0),"&lt;/valeur&gt;")</f>
        <v>&lt;valeur&gt;&lt;/valeur&gt;</v>
      </c>
      <c r="K8451" s="1013"/>
    </row>
    <row r="8452" spans="1:11" s="1011" customFormat="1" ht="15" x14ac:dyDescent="0.25">
      <c r="A8452" s="859">
        <f t="shared" ref="A8452:A8515" si="136">+A8451+1</f>
        <v>8451</v>
      </c>
      <c r="B8452" s="845" t="s">
        <v>2564</v>
      </c>
      <c r="C8452" s="1007">
        <f t="shared" si="135"/>
        <v>6</v>
      </c>
      <c r="D8452" s="1012"/>
      <c r="I8452" s="1011" t="str">
        <f>CONCATENATE("&lt;numeroLigne&gt;",C8452,"&lt;/numeroLigne&gt;")</f>
        <v>&lt;numeroLigne&gt;6&lt;/numeroLigne&gt;</v>
      </c>
      <c r="K8452" s="1013"/>
    </row>
    <row r="8453" spans="1:11" s="1011" customFormat="1" ht="15" x14ac:dyDescent="0.25">
      <c r="A8453" s="859">
        <f t="shared" si="136"/>
        <v>8452</v>
      </c>
      <c r="B8453" s="845" t="s">
        <v>2564</v>
      </c>
      <c r="C8453" s="1007">
        <f t="shared" si="135"/>
        <v>6</v>
      </c>
      <c r="D8453" s="1014"/>
      <c r="H8453" s="1011" t="s">
        <v>1010</v>
      </c>
      <c r="K8453" s="1013"/>
    </row>
    <row r="8454" spans="1:11" s="1011" customFormat="1" ht="15" x14ac:dyDescent="0.25">
      <c r="A8454" s="859">
        <f t="shared" si="136"/>
        <v>8453</v>
      </c>
      <c r="B8454" s="845" t="s">
        <v>2564</v>
      </c>
      <c r="C8454" s="1007">
        <f t="shared" si="135"/>
        <v>6</v>
      </c>
      <c r="D8454" s="1014"/>
      <c r="H8454" s="1011" t="s">
        <v>1007</v>
      </c>
      <c r="K8454" s="1013"/>
    </row>
    <row r="8455" spans="1:11" s="1011" customFormat="1" ht="15" x14ac:dyDescent="0.25">
      <c r="A8455" s="859">
        <f t="shared" si="136"/>
        <v>8454</v>
      </c>
      <c r="B8455" s="845" t="s">
        <v>2564</v>
      </c>
      <c r="C8455" s="1007">
        <f t="shared" si="135"/>
        <v>6</v>
      </c>
      <c r="D8455" s="1012"/>
      <c r="I8455" s="1011" t="s">
        <v>2177</v>
      </c>
      <c r="K8455" s="1013"/>
    </row>
    <row r="8456" spans="1:11" s="1011" customFormat="1" ht="15" x14ac:dyDescent="0.25">
      <c r="A8456" s="859">
        <f t="shared" si="136"/>
        <v>8455</v>
      </c>
      <c r="B8456" s="845" t="s">
        <v>2564</v>
      </c>
      <c r="C8456" s="1007">
        <f t="shared" si="135"/>
        <v>6</v>
      </c>
      <c r="D8456" s="1015"/>
      <c r="I8456" s="1011" t="str">
        <f>CONCATENATE("&lt;valeur&gt;",VLOOKUP(C8456,'T16 Amort'!A:K,5,0),"&lt;/valeur&gt;")</f>
        <v>&lt;valeur&gt;&lt;/valeur&gt;</v>
      </c>
      <c r="K8456" s="1013"/>
    </row>
    <row r="8457" spans="1:11" s="1011" customFormat="1" ht="15" x14ac:dyDescent="0.25">
      <c r="A8457" s="859">
        <f t="shared" si="136"/>
        <v>8456</v>
      </c>
      <c r="B8457" s="845" t="s">
        <v>2564</v>
      </c>
      <c r="C8457" s="1007">
        <f t="shared" si="135"/>
        <v>6</v>
      </c>
      <c r="D8457" s="1012"/>
      <c r="I8457" s="1011" t="str">
        <f>CONCATENATE("&lt;numeroLigne&gt;",C8457,"&lt;/numeroLigne&gt;")</f>
        <v>&lt;numeroLigne&gt;6&lt;/numeroLigne&gt;</v>
      </c>
      <c r="K8457" s="1013"/>
    </row>
    <row r="8458" spans="1:11" s="1011" customFormat="1" ht="15" x14ac:dyDescent="0.25">
      <c r="A8458" s="859">
        <f t="shared" si="136"/>
        <v>8457</v>
      </c>
      <c r="B8458" s="845" t="s">
        <v>2564</v>
      </c>
      <c r="C8458" s="1007">
        <f t="shared" si="135"/>
        <v>6</v>
      </c>
      <c r="D8458" s="1012"/>
      <c r="H8458" s="1011" t="s">
        <v>1010</v>
      </c>
      <c r="K8458" s="1013"/>
    </row>
    <row r="8459" spans="1:11" s="1011" customFormat="1" ht="15" x14ac:dyDescent="0.25">
      <c r="A8459" s="859">
        <f t="shared" si="136"/>
        <v>8458</v>
      </c>
      <c r="B8459" s="845" t="s">
        <v>2564</v>
      </c>
      <c r="C8459" s="1007">
        <f t="shared" si="135"/>
        <v>6</v>
      </c>
      <c r="D8459" s="1014"/>
      <c r="H8459" s="1011" t="s">
        <v>1007</v>
      </c>
      <c r="K8459" s="1013"/>
    </row>
    <row r="8460" spans="1:11" s="1011" customFormat="1" ht="15" x14ac:dyDescent="0.25">
      <c r="A8460" s="859">
        <f t="shared" si="136"/>
        <v>8459</v>
      </c>
      <c r="B8460" s="845" t="s">
        <v>2564</v>
      </c>
      <c r="C8460" s="1007">
        <f t="shared" si="135"/>
        <v>6</v>
      </c>
      <c r="D8460" s="1014"/>
      <c r="I8460" s="1011" t="s">
        <v>2178</v>
      </c>
      <c r="K8460" s="1013"/>
    </row>
    <row r="8461" spans="1:11" s="1011" customFormat="1" ht="15" x14ac:dyDescent="0.25">
      <c r="A8461" s="859">
        <f t="shared" si="136"/>
        <v>8460</v>
      </c>
      <c r="B8461" s="845" t="s">
        <v>2564</v>
      </c>
      <c r="C8461" s="1007">
        <f t="shared" si="135"/>
        <v>6</v>
      </c>
      <c r="D8461" s="1012"/>
      <c r="I8461" s="1011" t="str">
        <f>CONCATENATE("&lt;valeur&gt;",VLOOKUP(C8461,'T16 Amort'!A:K,6,0),"&lt;/valeur&gt;")</f>
        <v>&lt;valeur&gt;&lt;/valeur&gt;</v>
      </c>
      <c r="K8461" s="1013"/>
    </row>
    <row r="8462" spans="1:11" s="1011" customFormat="1" ht="15" x14ac:dyDescent="0.25">
      <c r="A8462" s="859">
        <f t="shared" si="136"/>
        <v>8461</v>
      </c>
      <c r="B8462" s="845" t="s">
        <v>2564</v>
      </c>
      <c r="C8462" s="1007">
        <f t="shared" si="135"/>
        <v>6</v>
      </c>
      <c r="D8462" s="1015"/>
      <c r="I8462" s="1011" t="str">
        <f>CONCATENATE("&lt;numeroLigne&gt;",C8462,"&lt;/numeroLigne&gt;")</f>
        <v>&lt;numeroLigne&gt;6&lt;/numeroLigne&gt;</v>
      </c>
      <c r="K8462" s="1013"/>
    </row>
    <row r="8463" spans="1:11" s="1011" customFormat="1" ht="15" x14ac:dyDescent="0.25">
      <c r="A8463" s="859">
        <f t="shared" si="136"/>
        <v>8462</v>
      </c>
      <c r="B8463" s="845" t="s">
        <v>2564</v>
      </c>
      <c r="C8463" s="1007">
        <f t="shared" si="135"/>
        <v>6</v>
      </c>
      <c r="D8463" s="1012"/>
      <c r="H8463" s="1011" t="s">
        <v>1010</v>
      </c>
      <c r="K8463" s="1013"/>
    </row>
    <row r="8464" spans="1:11" s="1011" customFormat="1" ht="15" x14ac:dyDescent="0.25">
      <c r="A8464" s="859">
        <f t="shared" si="136"/>
        <v>8463</v>
      </c>
      <c r="B8464" s="845" t="s">
        <v>2564</v>
      </c>
      <c r="C8464" s="1007">
        <f t="shared" si="135"/>
        <v>6</v>
      </c>
      <c r="D8464" s="1012"/>
      <c r="H8464" s="1011" t="s">
        <v>1007</v>
      </c>
      <c r="K8464" s="1013"/>
    </row>
    <row r="8465" spans="1:11" s="1011" customFormat="1" ht="15" x14ac:dyDescent="0.25">
      <c r="A8465" s="859">
        <f t="shared" si="136"/>
        <v>8464</v>
      </c>
      <c r="B8465" s="845" t="s">
        <v>2564</v>
      </c>
      <c r="C8465" s="1007">
        <f t="shared" si="135"/>
        <v>6</v>
      </c>
      <c r="D8465" s="1014"/>
      <c r="I8465" s="1011" t="s">
        <v>2179</v>
      </c>
      <c r="K8465" s="1013"/>
    </row>
    <row r="8466" spans="1:11" s="1011" customFormat="1" ht="15" x14ac:dyDescent="0.25">
      <c r="A8466" s="859">
        <f t="shared" si="136"/>
        <v>8465</v>
      </c>
      <c r="B8466" s="845" t="s">
        <v>2564</v>
      </c>
      <c r="C8466" s="1007">
        <f t="shared" si="135"/>
        <v>6</v>
      </c>
      <c r="D8466" s="1014"/>
      <c r="I8466" s="1011" t="str">
        <f>CONCATENATE("&lt;valeur&gt;",VLOOKUP(C8466,'T16 Amort'!A:K,7,0),"&lt;/valeur&gt;")</f>
        <v>&lt;valeur&gt;&lt;/valeur&gt;</v>
      </c>
      <c r="K8466" s="1013"/>
    </row>
    <row r="8467" spans="1:11" s="1011" customFormat="1" ht="15" x14ac:dyDescent="0.25">
      <c r="A8467" s="859">
        <f t="shared" si="136"/>
        <v>8466</v>
      </c>
      <c r="B8467" s="845" t="s">
        <v>2564</v>
      </c>
      <c r="C8467" s="1007">
        <f t="shared" si="135"/>
        <v>6</v>
      </c>
      <c r="D8467" s="1012"/>
      <c r="I8467" s="1011" t="str">
        <f>CONCATENATE("&lt;numeroLigne&gt;",C8467,"&lt;/numeroLigne&gt;")</f>
        <v>&lt;numeroLigne&gt;6&lt;/numeroLigne&gt;</v>
      </c>
      <c r="K8467" s="1013"/>
    </row>
    <row r="8468" spans="1:11" s="1011" customFormat="1" ht="15" x14ac:dyDescent="0.25">
      <c r="A8468" s="859">
        <f t="shared" si="136"/>
        <v>8467</v>
      </c>
      <c r="B8468" s="845" t="s">
        <v>2564</v>
      </c>
      <c r="C8468" s="1007">
        <f t="shared" si="135"/>
        <v>6</v>
      </c>
      <c r="D8468" s="1015"/>
      <c r="H8468" s="1011" t="s">
        <v>1010</v>
      </c>
      <c r="K8468" s="1013"/>
    </row>
    <row r="8469" spans="1:11" s="1011" customFormat="1" ht="15" x14ac:dyDescent="0.25">
      <c r="A8469" s="859">
        <f t="shared" si="136"/>
        <v>8468</v>
      </c>
      <c r="B8469" s="845" t="s">
        <v>2564</v>
      </c>
      <c r="C8469" s="1007">
        <f t="shared" si="135"/>
        <v>6</v>
      </c>
      <c r="D8469" s="1012"/>
      <c r="H8469" s="1011" t="s">
        <v>1007</v>
      </c>
      <c r="K8469" s="1013"/>
    </row>
    <row r="8470" spans="1:11" s="1011" customFormat="1" ht="15" x14ac:dyDescent="0.25">
      <c r="A8470" s="859">
        <f t="shared" si="136"/>
        <v>8469</v>
      </c>
      <c r="B8470" s="845" t="s">
        <v>2564</v>
      </c>
      <c r="C8470" s="1007">
        <f t="shared" si="135"/>
        <v>6</v>
      </c>
      <c r="D8470" s="1012"/>
      <c r="I8470" s="1011" t="s">
        <v>2180</v>
      </c>
      <c r="K8470" s="1013"/>
    </row>
    <row r="8471" spans="1:11" s="1011" customFormat="1" ht="15" x14ac:dyDescent="0.25">
      <c r="A8471" s="859">
        <f t="shared" si="136"/>
        <v>8470</v>
      </c>
      <c r="B8471" s="845" t="s">
        <v>2564</v>
      </c>
      <c r="C8471" s="1007">
        <f t="shared" si="135"/>
        <v>6</v>
      </c>
      <c r="D8471" s="1014"/>
      <c r="I8471" s="1011" t="str">
        <f>CONCATENATE("&lt;valeur&gt;",VLOOKUP(C8471,'T16 Amort'!A:K,8,0),"&lt;/valeur&gt;")</f>
        <v>&lt;valeur&gt;&lt;/valeur&gt;</v>
      </c>
      <c r="K8471" s="1013"/>
    </row>
    <row r="8472" spans="1:11" s="1011" customFormat="1" ht="15" x14ac:dyDescent="0.25">
      <c r="A8472" s="859">
        <f t="shared" si="136"/>
        <v>8471</v>
      </c>
      <c r="B8472" s="845" t="s">
        <v>2564</v>
      </c>
      <c r="C8472" s="1007">
        <f t="shared" si="135"/>
        <v>6</v>
      </c>
      <c r="D8472" s="1014"/>
      <c r="I8472" s="1011" t="str">
        <f>CONCATENATE("&lt;numeroLigne&gt;",C8472,"&lt;/numeroLigne&gt;")</f>
        <v>&lt;numeroLigne&gt;6&lt;/numeroLigne&gt;</v>
      </c>
      <c r="K8472" s="1013"/>
    </row>
    <row r="8473" spans="1:11" s="1011" customFormat="1" ht="15" x14ac:dyDescent="0.25">
      <c r="A8473" s="859">
        <f t="shared" si="136"/>
        <v>8472</v>
      </c>
      <c r="B8473" s="845" t="s">
        <v>2564</v>
      </c>
      <c r="C8473" s="1007">
        <f t="shared" si="135"/>
        <v>6</v>
      </c>
      <c r="D8473" s="1012"/>
      <c r="H8473" s="1011" t="s">
        <v>1010</v>
      </c>
      <c r="K8473" s="1013"/>
    </row>
    <row r="8474" spans="1:11" s="1011" customFormat="1" ht="15" x14ac:dyDescent="0.25">
      <c r="A8474" s="859">
        <f t="shared" si="136"/>
        <v>8473</v>
      </c>
      <c r="B8474" s="845" t="s">
        <v>2564</v>
      </c>
      <c r="C8474" s="1007">
        <f t="shared" si="135"/>
        <v>6</v>
      </c>
      <c r="D8474" s="1015"/>
      <c r="H8474" s="1011" t="s">
        <v>1007</v>
      </c>
      <c r="K8474" s="1013"/>
    </row>
    <row r="8475" spans="1:11" s="1011" customFormat="1" ht="15" x14ac:dyDescent="0.25">
      <c r="A8475" s="859">
        <f t="shared" si="136"/>
        <v>8474</v>
      </c>
      <c r="B8475" s="845" t="s">
        <v>2564</v>
      </c>
      <c r="C8475" s="1007">
        <f t="shared" si="135"/>
        <v>6</v>
      </c>
      <c r="D8475" s="1012"/>
      <c r="I8475" s="1011" t="s">
        <v>2181</v>
      </c>
      <c r="K8475" s="1013"/>
    </row>
    <row r="8476" spans="1:11" s="1011" customFormat="1" ht="15" x14ac:dyDescent="0.25">
      <c r="A8476" s="859">
        <f t="shared" si="136"/>
        <v>8475</v>
      </c>
      <c r="B8476" s="845" t="s">
        <v>2564</v>
      </c>
      <c r="C8476" s="1007">
        <f t="shared" si="135"/>
        <v>6</v>
      </c>
      <c r="D8476" s="1012"/>
      <c r="I8476" s="1011" t="str">
        <f>CONCATENATE("&lt;valeur&gt;",VLOOKUP(C8476,'T16 Amort'!A:K,9,0),"&lt;/valeur&gt;")</f>
        <v>&lt;valeur&gt;&lt;/valeur&gt;</v>
      </c>
      <c r="K8476" s="1013"/>
    </row>
    <row r="8477" spans="1:11" s="1011" customFormat="1" ht="15" x14ac:dyDescent="0.25">
      <c r="A8477" s="859">
        <f t="shared" si="136"/>
        <v>8476</v>
      </c>
      <c r="B8477" s="845" t="s">
        <v>2564</v>
      </c>
      <c r="C8477" s="1007">
        <f t="shared" si="135"/>
        <v>6</v>
      </c>
      <c r="D8477" s="1014"/>
      <c r="I8477" s="1011" t="str">
        <f>CONCATENATE("&lt;numeroLigne&gt;",C8477,"&lt;/numeroLigne&gt;")</f>
        <v>&lt;numeroLigne&gt;6&lt;/numeroLigne&gt;</v>
      </c>
      <c r="K8477" s="1013"/>
    </row>
    <row r="8478" spans="1:11" s="1011" customFormat="1" ht="15" x14ac:dyDescent="0.25">
      <c r="A8478" s="859">
        <f t="shared" si="136"/>
        <v>8477</v>
      </c>
      <c r="B8478" s="845" t="s">
        <v>2564</v>
      </c>
      <c r="C8478" s="1007">
        <f t="shared" si="135"/>
        <v>6</v>
      </c>
      <c r="D8478" s="1014"/>
      <c r="H8478" s="1011" t="s">
        <v>1010</v>
      </c>
      <c r="K8478" s="1013"/>
    </row>
    <row r="8479" spans="1:11" s="1011" customFormat="1" ht="15" x14ac:dyDescent="0.25">
      <c r="A8479" s="859">
        <f t="shared" si="136"/>
        <v>8478</v>
      </c>
      <c r="B8479" s="845" t="s">
        <v>2564</v>
      </c>
      <c r="C8479" s="1007">
        <f t="shared" si="135"/>
        <v>6</v>
      </c>
      <c r="D8479" s="1012"/>
      <c r="H8479" s="1011" t="s">
        <v>1007</v>
      </c>
      <c r="K8479" s="1013"/>
    </row>
    <row r="8480" spans="1:11" s="1011" customFormat="1" ht="15" x14ac:dyDescent="0.25">
      <c r="A8480" s="859">
        <f t="shared" si="136"/>
        <v>8479</v>
      </c>
      <c r="B8480" s="845" t="s">
        <v>2564</v>
      </c>
      <c r="C8480" s="1007">
        <f t="shared" si="135"/>
        <v>6</v>
      </c>
      <c r="D8480" s="1015"/>
      <c r="I8480" s="1011" t="s">
        <v>2182</v>
      </c>
      <c r="K8480" s="1013"/>
    </row>
    <row r="8481" spans="1:11" s="1011" customFormat="1" ht="15" x14ac:dyDescent="0.25">
      <c r="A8481" s="859">
        <f t="shared" si="136"/>
        <v>8480</v>
      </c>
      <c r="B8481" s="845" t="s">
        <v>2564</v>
      </c>
      <c r="C8481" s="1007">
        <f t="shared" si="135"/>
        <v>6</v>
      </c>
      <c r="D8481" s="1012"/>
      <c r="I8481" s="1011" t="str">
        <f>CONCATENATE("&lt;valeur&gt;",VLOOKUP(C8481,'T16 Amort'!A:K,10,0),"&lt;/valeur&gt;")</f>
        <v>&lt;valeur&gt;&lt;/valeur&gt;</v>
      </c>
      <c r="K8481" s="1013"/>
    </row>
    <row r="8482" spans="1:11" s="1011" customFormat="1" ht="15" x14ac:dyDescent="0.25">
      <c r="A8482" s="859">
        <f t="shared" si="136"/>
        <v>8481</v>
      </c>
      <c r="B8482" s="845" t="s">
        <v>2564</v>
      </c>
      <c r="C8482" s="1007">
        <f t="shared" si="135"/>
        <v>6</v>
      </c>
      <c r="D8482" s="1012"/>
      <c r="I8482" s="1011" t="str">
        <f>CONCATENATE("&lt;numeroLigne&gt;",C8482,"&lt;/numeroLigne&gt;")</f>
        <v>&lt;numeroLigne&gt;6&lt;/numeroLigne&gt;</v>
      </c>
      <c r="K8482" s="1013"/>
    </row>
    <row r="8483" spans="1:11" s="1011" customFormat="1" ht="15" x14ac:dyDescent="0.25">
      <c r="A8483" s="859">
        <f t="shared" si="136"/>
        <v>8482</v>
      </c>
      <c r="B8483" s="845" t="s">
        <v>2564</v>
      </c>
      <c r="C8483" s="1007">
        <f t="shared" si="135"/>
        <v>6</v>
      </c>
      <c r="D8483" s="1014"/>
      <c r="H8483" s="1011" t="s">
        <v>1010</v>
      </c>
      <c r="K8483" s="1013"/>
    </row>
    <row r="8484" spans="1:11" s="1011" customFormat="1" ht="15" x14ac:dyDescent="0.25">
      <c r="A8484" s="859">
        <f t="shared" si="136"/>
        <v>8483</v>
      </c>
      <c r="B8484" s="845" t="s">
        <v>2564</v>
      </c>
      <c r="C8484" s="1007">
        <f t="shared" si="135"/>
        <v>6</v>
      </c>
      <c r="D8484" s="1014"/>
      <c r="H8484" s="1011" t="s">
        <v>1007</v>
      </c>
      <c r="K8484" s="1013"/>
    </row>
    <row r="8485" spans="1:11" s="1011" customFormat="1" ht="15" x14ac:dyDescent="0.25">
      <c r="A8485" s="859">
        <f t="shared" si="136"/>
        <v>8484</v>
      </c>
      <c r="B8485" s="845" t="s">
        <v>2564</v>
      </c>
      <c r="C8485" s="1007">
        <f t="shared" si="135"/>
        <v>6</v>
      </c>
      <c r="D8485" s="1012"/>
      <c r="I8485" s="1011" t="s">
        <v>2183</v>
      </c>
      <c r="K8485" s="1013"/>
    </row>
    <row r="8486" spans="1:11" s="1011" customFormat="1" ht="15" x14ac:dyDescent="0.25">
      <c r="A8486" s="859">
        <f t="shared" si="136"/>
        <v>8485</v>
      </c>
      <c r="B8486" s="845" t="s">
        <v>2564</v>
      </c>
      <c r="C8486" s="1007">
        <f t="shared" si="135"/>
        <v>6</v>
      </c>
      <c r="D8486" s="1015"/>
      <c r="I8486" s="1011" t="str">
        <f>CONCATENATE("&lt;valeur&gt;",VLOOKUP(C8486,'T16 Amort'!A:K,11,0),"&lt;/valeur&gt;")</f>
        <v>&lt;valeur&gt;&lt;/valeur&gt;</v>
      </c>
      <c r="K8486" s="1013"/>
    </row>
    <row r="8487" spans="1:11" s="1011" customFormat="1" ht="15" x14ac:dyDescent="0.25">
      <c r="A8487" s="859">
        <f t="shared" si="136"/>
        <v>8486</v>
      </c>
      <c r="B8487" s="845" t="s">
        <v>2564</v>
      </c>
      <c r="C8487" s="1007">
        <f t="shared" si="135"/>
        <v>6</v>
      </c>
      <c r="D8487" s="1012"/>
      <c r="I8487" s="1011" t="str">
        <f>CONCATENATE("&lt;numeroLigne&gt;",C8487,"&lt;/numeroLigne&gt;")</f>
        <v>&lt;numeroLigne&gt;6&lt;/numeroLigne&gt;</v>
      </c>
      <c r="K8487" s="1013"/>
    </row>
    <row r="8488" spans="1:11" s="1011" customFormat="1" ht="15" x14ac:dyDescent="0.25">
      <c r="A8488" s="859">
        <f t="shared" si="136"/>
        <v>8487</v>
      </c>
      <c r="B8488" s="845" t="s">
        <v>2564</v>
      </c>
      <c r="C8488" s="1007">
        <f t="shared" si="135"/>
        <v>6</v>
      </c>
      <c r="D8488" s="1016"/>
      <c r="E8488" s="1017"/>
      <c r="F8488" s="1017"/>
      <c r="G8488" s="1017"/>
      <c r="H8488" s="1017" t="s">
        <v>1010</v>
      </c>
      <c r="I8488" s="1017"/>
      <c r="J8488" s="1017"/>
      <c r="K8488" s="1018"/>
    </row>
    <row r="8489" spans="1:11" s="1011" customFormat="1" ht="15" x14ac:dyDescent="0.25">
      <c r="A8489" s="859">
        <f t="shared" si="136"/>
        <v>8488</v>
      </c>
      <c r="B8489" s="845" t="s">
        <v>2564</v>
      </c>
      <c r="C8489" s="1007">
        <f t="shared" si="135"/>
        <v>7</v>
      </c>
      <c r="D8489" s="1008"/>
      <c r="E8489" s="1009"/>
      <c r="F8489" s="1009"/>
      <c r="G8489" s="1009"/>
      <c r="H8489" s="1009" t="s">
        <v>1007</v>
      </c>
      <c r="I8489" s="1009"/>
      <c r="J8489" s="1009"/>
      <c r="K8489" s="1010"/>
    </row>
    <row r="8490" spans="1:11" s="1011" customFormat="1" ht="15" x14ac:dyDescent="0.25">
      <c r="A8490" s="859">
        <f t="shared" si="136"/>
        <v>8489</v>
      </c>
      <c r="B8490" s="845" t="s">
        <v>2564</v>
      </c>
      <c r="C8490" s="1007">
        <f t="shared" si="135"/>
        <v>7</v>
      </c>
      <c r="D8490" s="1012"/>
      <c r="I8490" s="1011" t="s">
        <v>2174</v>
      </c>
      <c r="K8490" s="1013"/>
    </row>
    <row r="8491" spans="1:11" s="1011" customFormat="1" ht="15" x14ac:dyDescent="0.25">
      <c r="A8491" s="859">
        <f t="shared" si="136"/>
        <v>8490</v>
      </c>
      <c r="B8491" s="845" t="s">
        <v>2564</v>
      </c>
      <c r="C8491" s="1007">
        <f t="shared" si="135"/>
        <v>7</v>
      </c>
      <c r="D8491" s="1014"/>
      <c r="I8491" s="1011" t="str">
        <f>CONCATENATE("&lt;valeur&gt;",VLOOKUP(C8491,'T16 Amort'!A:K,2,0),"&lt;/valeur&gt;")</f>
        <v>&lt;valeur&gt;&lt;/valeur&gt;</v>
      </c>
      <c r="K8491" s="1013"/>
    </row>
    <row r="8492" spans="1:11" s="1011" customFormat="1" ht="15" x14ac:dyDescent="0.25">
      <c r="A8492" s="859">
        <f t="shared" si="136"/>
        <v>8491</v>
      </c>
      <c r="B8492" s="845" t="s">
        <v>2564</v>
      </c>
      <c r="C8492" s="1007">
        <f t="shared" si="135"/>
        <v>7</v>
      </c>
      <c r="D8492" s="1014"/>
      <c r="I8492" s="1011" t="str">
        <f>CONCATENATE("&lt;numeroLigne&gt;",C8492,"&lt;/numeroLigne&gt;")</f>
        <v>&lt;numeroLigne&gt;7&lt;/numeroLigne&gt;</v>
      </c>
      <c r="K8492" s="1013"/>
    </row>
    <row r="8493" spans="1:11" s="1011" customFormat="1" ht="15" x14ac:dyDescent="0.25">
      <c r="A8493" s="859">
        <f t="shared" si="136"/>
        <v>8492</v>
      </c>
      <c r="B8493" s="845" t="s">
        <v>2564</v>
      </c>
      <c r="C8493" s="1007">
        <f t="shared" si="135"/>
        <v>7</v>
      </c>
      <c r="D8493" s="1012"/>
      <c r="H8493" s="1011" t="s">
        <v>1010</v>
      </c>
      <c r="K8493" s="1013"/>
    </row>
    <row r="8494" spans="1:11" s="1011" customFormat="1" ht="15" x14ac:dyDescent="0.25">
      <c r="A8494" s="859">
        <f t="shared" si="136"/>
        <v>8493</v>
      </c>
      <c r="B8494" s="845" t="s">
        <v>2564</v>
      </c>
      <c r="C8494" s="1007">
        <f t="shared" si="135"/>
        <v>7</v>
      </c>
      <c r="D8494" s="1015"/>
      <c r="H8494" s="1011" t="s">
        <v>1007</v>
      </c>
      <c r="K8494" s="1013"/>
    </row>
    <row r="8495" spans="1:11" s="1011" customFormat="1" ht="15" x14ac:dyDescent="0.25">
      <c r="A8495" s="859">
        <f t="shared" si="136"/>
        <v>8494</v>
      </c>
      <c r="B8495" s="845" t="s">
        <v>2564</v>
      </c>
      <c r="C8495" s="1007">
        <f t="shared" ref="C8495:C8558" si="137">C8445+1</f>
        <v>7</v>
      </c>
      <c r="D8495" s="1012"/>
      <c r="I8495" s="1011" t="s">
        <v>2175</v>
      </c>
      <c r="K8495" s="1013"/>
    </row>
    <row r="8496" spans="1:11" s="1011" customFormat="1" ht="15" x14ac:dyDescent="0.25">
      <c r="A8496" s="859">
        <f t="shared" si="136"/>
        <v>8495</v>
      </c>
      <c r="B8496" s="845" t="s">
        <v>2564</v>
      </c>
      <c r="C8496" s="1007">
        <f t="shared" si="137"/>
        <v>7</v>
      </c>
      <c r="D8496" s="1012"/>
      <c r="I8496" s="1011" t="str">
        <f>CONCATENATE("&lt;valeur&gt;",VLOOKUP(C8496,'T16 Amort'!A:K,3,0),"&lt;/valeur&gt;")</f>
        <v>&lt;valeur&gt;&lt;/valeur&gt;</v>
      </c>
      <c r="K8496" s="1013"/>
    </row>
    <row r="8497" spans="1:11" s="1011" customFormat="1" ht="15" x14ac:dyDescent="0.25">
      <c r="A8497" s="859">
        <f t="shared" si="136"/>
        <v>8496</v>
      </c>
      <c r="B8497" s="845" t="s">
        <v>2564</v>
      </c>
      <c r="C8497" s="1007">
        <f t="shared" si="137"/>
        <v>7</v>
      </c>
      <c r="D8497" s="1014"/>
      <c r="I8497" s="1011" t="str">
        <f>CONCATENATE("&lt;numeroLigne&gt;",C8497,"&lt;/numeroLigne&gt;")</f>
        <v>&lt;numeroLigne&gt;7&lt;/numeroLigne&gt;</v>
      </c>
      <c r="K8497" s="1013"/>
    </row>
    <row r="8498" spans="1:11" s="1011" customFormat="1" ht="15" x14ac:dyDescent="0.25">
      <c r="A8498" s="859">
        <f t="shared" si="136"/>
        <v>8497</v>
      </c>
      <c r="B8498" s="845" t="s">
        <v>2564</v>
      </c>
      <c r="C8498" s="1007">
        <f t="shared" si="137"/>
        <v>7</v>
      </c>
      <c r="D8498" s="1014"/>
      <c r="H8498" s="1011" t="s">
        <v>1010</v>
      </c>
      <c r="K8498" s="1013"/>
    </row>
    <row r="8499" spans="1:11" s="1011" customFormat="1" ht="15" x14ac:dyDescent="0.25">
      <c r="A8499" s="859">
        <f t="shared" si="136"/>
        <v>8498</v>
      </c>
      <c r="B8499" s="845" t="s">
        <v>2564</v>
      </c>
      <c r="C8499" s="1007">
        <f t="shared" si="137"/>
        <v>7</v>
      </c>
      <c r="D8499" s="1012"/>
      <c r="H8499" s="1011" t="s">
        <v>1007</v>
      </c>
      <c r="K8499" s="1013"/>
    </row>
    <row r="8500" spans="1:11" s="1011" customFormat="1" ht="15" x14ac:dyDescent="0.25">
      <c r="A8500" s="859">
        <f t="shared" si="136"/>
        <v>8499</v>
      </c>
      <c r="B8500" s="845" t="s">
        <v>2564</v>
      </c>
      <c r="C8500" s="1007">
        <f t="shared" si="137"/>
        <v>7</v>
      </c>
      <c r="D8500" s="1015"/>
      <c r="I8500" s="1011" t="s">
        <v>2176</v>
      </c>
      <c r="K8500" s="1013"/>
    </row>
    <row r="8501" spans="1:11" s="1011" customFormat="1" ht="15" x14ac:dyDescent="0.25">
      <c r="A8501" s="859">
        <f t="shared" si="136"/>
        <v>8500</v>
      </c>
      <c r="B8501" s="845" t="s">
        <v>2564</v>
      </c>
      <c r="C8501" s="1007">
        <f t="shared" si="137"/>
        <v>7</v>
      </c>
      <c r="D8501" s="1012"/>
      <c r="I8501" s="1011" t="str">
        <f>CONCATENATE("&lt;valeur&gt;",VLOOKUP(C8501,'T16 Amort'!A:K,4,0),"&lt;/valeur&gt;")</f>
        <v>&lt;valeur&gt;&lt;/valeur&gt;</v>
      </c>
      <c r="K8501" s="1013"/>
    </row>
    <row r="8502" spans="1:11" s="1011" customFormat="1" ht="15" x14ac:dyDescent="0.25">
      <c r="A8502" s="859">
        <f t="shared" si="136"/>
        <v>8501</v>
      </c>
      <c r="B8502" s="845" t="s">
        <v>2564</v>
      </c>
      <c r="C8502" s="1007">
        <f t="shared" si="137"/>
        <v>7</v>
      </c>
      <c r="D8502" s="1012"/>
      <c r="I8502" s="1011" t="str">
        <f>CONCATENATE("&lt;numeroLigne&gt;",C8502,"&lt;/numeroLigne&gt;")</f>
        <v>&lt;numeroLigne&gt;7&lt;/numeroLigne&gt;</v>
      </c>
      <c r="K8502" s="1013"/>
    </row>
    <row r="8503" spans="1:11" s="1011" customFormat="1" ht="15" x14ac:dyDescent="0.25">
      <c r="A8503" s="859">
        <f t="shared" si="136"/>
        <v>8502</v>
      </c>
      <c r="B8503" s="845" t="s">
        <v>2564</v>
      </c>
      <c r="C8503" s="1007">
        <f t="shared" si="137"/>
        <v>7</v>
      </c>
      <c r="D8503" s="1014"/>
      <c r="H8503" s="1011" t="s">
        <v>1010</v>
      </c>
      <c r="K8503" s="1013"/>
    </row>
    <row r="8504" spans="1:11" s="1011" customFormat="1" ht="15" x14ac:dyDescent="0.25">
      <c r="A8504" s="859">
        <f t="shared" si="136"/>
        <v>8503</v>
      </c>
      <c r="B8504" s="845" t="s">
        <v>2564</v>
      </c>
      <c r="C8504" s="1007">
        <f t="shared" si="137"/>
        <v>7</v>
      </c>
      <c r="D8504" s="1014"/>
      <c r="H8504" s="1011" t="s">
        <v>1007</v>
      </c>
      <c r="K8504" s="1013"/>
    </row>
    <row r="8505" spans="1:11" s="1011" customFormat="1" ht="15" x14ac:dyDescent="0.25">
      <c r="A8505" s="859">
        <f t="shared" si="136"/>
        <v>8504</v>
      </c>
      <c r="B8505" s="845" t="s">
        <v>2564</v>
      </c>
      <c r="C8505" s="1007">
        <f t="shared" si="137"/>
        <v>7</v>
      </c>
      <c r="D8505" s="1012"/>
      <c r="I8505" s="1011" t="s">
        <v>2177</v>
      </c>
      <c r="K8505" s="1013"/>
    </row>
    <row r="8506" spans="1:11" s="1011" customFormat="1" ht="15" x14ac:dyDescent="0.25">
      <c r="A8506" s="859">
        <f t="shared" si="136"/>
        <v>8505</v>
      </c>
      <c r="B8506" s="845" t="s">
        <v>2564</v>
      </c>
      <c r="C8506" s="1007">
        <f t="shared" si="137"/>
        <v>7</v>
      </c>
      <c r="D8506" s="1015"/>
      <c r="I8506" s="1011" t="str">
        <f>CONCATENATE("&lt;valeur&gt;",VLOOKUP(C8506,'T16 Amort'!A:K,5,0),"&lt;/valeur&gt;")</f>
        <v>&lt;valeur&gt;&lt;/valeur&gt;</v>
      </c>
      <c r="K8506" s="1013"/>
    </row>
    <row r="8507" spans="1:11" s="1011" customFormat="1" ht="15" x14ac:dyDescent="0.25">
      <c r="A8507" s="859">
        <f t="shared" si="136"/>
        <v>8506</v>
      </c>
      <c r="B8507" s="845" t="s">
        <v>2564</v>
      </c>
      <c r="C8507" s="1007">
        <f t="shared" si="137"/>
        <v>7</v>
      </c>
      <c r="D8507" s="1012"/>
      <c r="I8507" s="1011" t="str">
        <f>CONCATENATE("&lt;numeroLigne&gt;",C8507,"&lt;/numeroLigne&gt;")</f>
        <v>&lt;numeroLigne&gt;7&lt;/numeroLigne&gt;</v>
      </c>
      <c r="K8507" s="1013"/>
    </row>
    <row r="8508" spans="1:11" s="1011" customFormat="1" ht="15" x14ac:dyDescent="0.25">
      <c r="A8508" s="859">
        <f t="shared" si="136"/>
        <v>8507</v>
      </c>
      <c r="B8508" s="845" t="s">
        <v>2564</v>
      </c>
      <c r="C8508" s="1007">
        <f t="shared" si="137"/>
        <v>7</v>
      </c>
      <c r="D8508" s="1012"/>
      <c r="H8508" s="1011" t="s">
        <v>1010</v>
      </c>
      <c r="K8508" s="1013"/>
    </row>
    <row r="8509" spans="1:11" s="1011" customFormat="1" ht="15" x14ac:dyDescent="0.25">
      <c r="A8509" s="859">
        <f t="shared" si="136"/>
        <v>8508</v>
      </c>
      <c r="B8509" s="845" t="s">
        <v>2564</v>
      </c>
      <c r="C8509" s="1007">
        <f t="shared" si="137"/>
        <v>7</v>
      </c>
      <c r="D8509" s="1014"/>
      <c r="H8509" s="1011" t="s">
        <v>1007</v>
      </c>
      <c r="K8509" s="1013"/>
    </row>
    <row r="8510" spans="1:11" s="1011" customFormat="1" ht="15" x14ac:dyDescent="0.25">
      <c r="A8510" s="859">
        <f t="shared" si="136"/>
        <v>8509</v>
      </c>
      <c r="B8510" s="845" t="s">
        <v>2564</v>
      </c>
      <c r="C8510" s="1007">
        <f t="shared" si="137"/>
        <v>7</v>
      </c>
      <c r="D8510" s="1014"/>
      <c r="I8510" s="1011" t="s">
        <v>2178</v>
      </c>
      <c r="K8510" s="1013"/>
    </row>
    <row r="8511" spans="1:11" s="1011" customFormat="1" ht="15" x14ac:dyDescent="0.25">
      <c r="A8511" s="859">
        <f t="shared" si="136"/>
        <v>8510</v>
      </c>
      <c r="B8511" s="845" t="s">
        <v>2564</v>
      </c>
      <c r="C8511" s="1007">
        <f t="shared" si="137"/>
        <v>7</v>
      </c>
      <c r="D8511" s="1012"/>
      <c r="I8511" s="1011" t="str">
        <f>CONCATENATE("&lt;valeur&gt;",VLOOKUP(C8511,'T16 Amort'!A:K,6,0),"&lt;/valeur&gt;")</f>
        <v>&lt;valeur&gt;&lt;/valeur&gt;</v>
      </c>
      <c r="K8511" s="1013"/>
    </row>
    <row r="8512" spans="1:11" s="1011" customFormat="1" ht="15" x14ac:dyDescent="0.25">
      <c r="A8512" s="859">
        <f t="shared" si="136"/>
        <v>8511</v>
      </c>
      <c r="B8512" s="845" t="s">
        <v>2564</v>
      </c>
      <c r="C8512" s="1007">
        <f t="shared" si="137"/>
        <v>7</v>
      </c>
      <c r="D8512" s="1015"/>
      <c r="I8512" s="1011" t="str">
        <f>CONCATENATE("&lt;numeroLigne&gt;",C8512,"&lt;/numeroLigne&gt;")</f>
        <v>&lt;numeroLigne&gt;7&lt;/numeroLigne&gt;</v>
      </c>
      <c r="K8512" s="1013"/>
    </row>
    <row r="8513" spans="1:11" s="1011" customFormat="1" ht="15" x14ac:dyDescent="0.25">
      <c r="A8513" s="859">
        <f t="shared" si="136"/>
        <v>8512</v>
      </c>
      <c r="B8513" s="845" t="s">
        <v>2564</v>
      </c>
      <c r="C8513" s="1007">
        <f t="shared" si="137"/>
        <v>7</v>
      </c>
      <c r="D8513" s="1012"/>
      <c r="H8513" s="1011" t="s">
        <v>1010</v>
      </c>
      <c r="K8513" s="1013"/>
    </row>
    <row r="8514" spans="1:11" s="1011" customFormat="1" ht="15" x14ac:dyDescent="0.25">
      <c r="A8514" s="859">
        <f t="shared" si="136"/>
        <v>8513</v>
      </c>
      <c r="B8514" s="845" t="s">
        <v>2564</v>
      </c>
      <c r="C8514" s="1007">
        <f t="shared" si="137"/>
        <v>7</v>
      </c>
      <c r="D8514" s="1012"/>
      <c r="H8514" s="1011" t="s">
        <v>1007</v>
      </c>
      <c r="K8514" s="1013"/>
    </row>
    <row r="8515" spans="1:11" s="1011" customFormat="1" ht="15" x14ac:dyDescent="0.25">
      <c r="A8515" s="859">
        <f t="shared" si="136"/>
        <v>8514</v>
      </c>
      <c r="B8515" s="845" t="s">
        <v>2564</v>
      </c>
      <c r="C8515" s="1007">
        <f t="shared" si="137"/>
        <v>7</v>
      </c>
      <c r="D8515" s="1014"/>
      <c r="I8515" s="1011" t="s">
        <v>2179</v>
      </c>
      <c r="K8515" s="1013"/>
    </row>
    <row r="8516" spans="1:11" s="1011" customFormat="1" ht="15" x14ac:dyDescent="0.25">
      <c r="A8516" s="859">
        <f t="shared" ref="A8516:A8579" si="138">+A8515+1</f>
        <v>8515</v>
      </c>
      <c r="B8516" s="845" t="s">
        <v>2564</v>
      </c>
      <c r="C8516" s="1007">
        <f t="shared" si="137"/>
        <v>7</v>
      </c>
      <c r="D8516" s="1014"/>
      <c r="I8516" s="1011" t="str">
        <f>CONCATENATE("&lt;valeur&gt;",VLOOKUP(C8516,'T16 Amort'!A:K,7,0),"&lt;/valeur&gt;")</f>
        <v>&lt;valeur&gt;&lt;/valeur&gt;</v>
      </c>
      <c r="K8516" s="1013"/>
    </row>
    <row r="8517" spans="1:11" s="1011" customFormat="1" ht="15" x14ac:dyDescent="0.25">
      <c r="A8517" s="859">
        <f t="shared" si="138"/>
        <v>8516</v>
      </c>
      <c r="B8517" s="845" t="s">
        <v>2564</v>
      </c>
      <c r="C8517" s="1007">
        <f t="shared" si="137"/>
        <v>7</v>
      </c>
      <c r="D8517" s="1012"/>
      <c r="I8517" s="1011" t="str">
        <f>CONCATENATE("&lt;numeroLigne&gt;",C8517,"&lt;/numeroLigne&gt;")</f>
        <v>&lt;numeroLigne&gt;7&lt;/numeroLigne&gt;</v>
      </c>
      <c r="K8517" s="1013"/>
    </row>
    <row r="8518" spans="1:11" s="1011" customFormat="1" ht="15" x14ac:dyDescent="0.25">
      <c r="A8518" s="859">
        <f t="shared" si="138"/>
        <v>8517</v>
      </c>
      <c r="B8518" s="845" t="s">
        <v>2564</v>
      </c>
      <c r="C8518" s="1007">
        <f t="shared" si="137"/>
        <v>7</v>
      </c>
      <c r="D8518" s="1015"/>
      <c r="H8518" s="1011" t="s">
        <v>1010</v>
      </c>
      <c r="K8518" s="1013"/>
    </row>
    <row r="8519" spans="1:11" s="1011" customFormat="1" ht="15" x14ac:dyDescent="0.25">
      <c r="A8519" s="859">
        <f t="shared" si="138"/>
        <v>8518</v>
      </c>
      <c r="B8519" s="845" t="s">
        <v>2564</v>
      </c>
      <c r="C8519" s="1007">
        <f t="shared" si="137"/>
        <v>7</v>
      </c>
      <c r="D8519" s="1012"/>
      <c r="H8519" s="1011" t="s">
        <v>1007</v>
      </c>
      <c r="K8519" s="1013"/>
    </row>
    <row r="8520" spans="1:11" s="1011" customFormat="1" ht="15" x14ac:dyDescent="0.25">
      <c r="A8520" s="859">
        <f t="shared" si="138"/>
        <v>8519</v>
      </c>
      <c r="B8520" s="845" t="s">
        <v>2564</v>
      </c>
      <c r="C8520" s="1007">
        <f t="shared" si="137"/>
        <v>7</v>
      </c>
      <c r="D8520" s="1012"/>
      <c r="I8520" s="1011" t="s">
        <v>2180</v>
      </c>
      <c r="K8520" s="1013"/>
    </row>
    <row r="8521" spans="1:11" s="1011" customFormat="1" ht="15" x14ac:dyDescent="0.25">
      <c r="A8521" s="859">
        <f t="shared" si="138"/>
        <v>8520</v>
      </c>
      <c r="B8521" s="845" t="s">
        <v>2564</v>
      </c>
      <c r="C8521" s="1007">
        <f t="shared" si="137"/>
        <v>7</v>
      </c>
      <c r="D8521" s="1014"/>
      <c r="I8521" s="1011" t="str">
        <f>CONCATENATE("&lt;valeur&gt;",VLOOKUP(C8521,'T16 Amort'!A:K,8,0),"&lt;/valeur&gt;")</f>
        <v>&lt;valeur&gt;&lt;/valeur&gt;</v>
      </c>
      <c r="K8521" s="1013"/>
    </row>
    <row r="8522" spans="1:11" s="1011" customFormat="1" ht="15" x14ac:dyDescent="0.25">
      <c r="A8522" s="859">
        <f t="shared" si="138"/>
        <v>8521</v>
      </c>
      <c r="B8522" s="845" t="s">
        <v>2564</v>
      </c>
      <c r="C8522" s="1007">
        <f t="shared" si="137"/>
        <v>7</v>
      </c>
      <c r="D8522" s="1014"/>
      <c r="I8522" s="1011" t="str">
        <f>CONCATENATE("&lt;numeroLigne&gt;",C8522,"&lt;/numeroLigne&gt;")</f>
        <v>&lt;numeroLigne&gt;7&lt;/numeroLigne&gt;</v>
      </c>
      <c r="K8522" s="1013"/>
    </row>
    <row r="8523" spans="1:11" s="1011" customFormat="1" ht="15" x14ac:dyDescent="0.25">
      <c r="A8523" s="859">
        <f t="shared" si="138"/>
        <v>8522</v>
      </c>
      <c r="B8523" s="845" t="s">
        <v>2564</v>
      </c>
      <c r="C8523" s="1007">
        <f t="shared" si="137"/>
        <v>7</v>
      </c>
      <c r="D8523" s="1012"/>
      <c r="H8523" s="1011" t="s">
        <v>1010</v>
      </c>
      <c r="K8523" s="1013"/>
    </row>
    <row r="8524" spans="1:11" s="1011" customFormat="1" ht="15" x14ac:dyDescent="0.25">
      <c r="A8524" s="859">
        <f t="shared" si="138"/>
        <v>8523</v>
      </c>
      <c r="B8524" s="845" t="s">
        <v>2564</v>
      </c>
      <c r="C8524" s="1007">
        <f t="shared" si="137"/>
        <v>7</v>
      </c>
      <c r="D8524" s="1015"/>
      <c r="H8524" s="1011" t="s">
        <v>1007</v>
      </c>
      <c r="K8524" s="1013"/>
    </row>
    <row r="8525" spans="1:11" s="1011" customFormat="1" ht="15" x14ac:dyDescent="0.25">
      <c r="A8525" s="859">
        <f t="shared" si="138"/>
        <v>8524</v>
      </c>
      <c r="B8525" s="845" t="s">
        <v>2564</v>
      </c>
      <c r="C8525" s="1007">
        <f t="shared" si="137"/>
        <v>7</v>
      </c>
      <c r="D8525" s="1012"/>
      <c r="I8525" s="1011" t="s">
        <v>2181</v>
      </c>
      <c r="K8525" s="1013"/>
    </row>
    <row r="8526" spans="1:11" s="1011" customFormat="1" ht="15" x14ac:dyDescent="0.25">
      <c r="A8526" s="859">
        <f t="shared" si="138"/>
        <v>8525</v>
      </c>
      <c r="B8526" s="845" t="s">
        <v>2564</v>
      </c>
      <c r="C8526" s="1007">
        <f t="shared" si="137"/>
        <v>7</v>
      </c>
      <c r="D8526" s="1012"/>
      <c r="I8526" s="1011" t="str">
        <f>CONCATENATE("&lt;valeur&gt;",VLOOKUP(C8526,'T16 Amort'!A:K,9,0),"&lt;/valeur&gt;")</f>
        <v>&lt;valeur&gt;&lt;/valeur&gt;</v>
      </c>
      <c r="K8526" s="1013"/>
    </row>
    <row r="8527" spans="1:11" s="1011" customFormat="1" ht="15" x14ac:dyDescent="0.25">
      <c r="A8527" s="859">
        <f t="shared" si="138"/>
        <v>8526</v>
      </c>
      <c r="B8527" s="845" t="s">
        <v>2564</v>
      </c>
      <c r="C8527" s="1007">
        <f t="shared" si="137"/>
        <v>7</v>
      </c>
      <c r="D8527" s="1014"/>
      <c r="I8527" s="1011" t="str">
        <f>CONCATENATE("&lt;numeroLigne&gt;",C8527,"&lt;/numeroLigne&gt;")</f>
        <v>&lt;numeroLigne&gt;7&lt;/numeroLigne&gt;</v>
      </c>
      <c r="K8527" s="1013"/>
    </row>
    <row r="8528" spans="1:11" s="1011" customFormat="1" ht="15" x14ac:dyDescent="0.25">
      <c r="A8528" s="859">
        <f t="shared" si="138"/>
        <v>8527</v>
      </c>
      <c r="B8528" s="845" t="s">
        <v>2564</v>
      </c>
      <c r="C8528" s="1007">
        <f t="shared" si="137"/>
        <v>7</v>
      </c>
      <c r="D8528" s="1014"/>
      <c r="H8528" s="1011" t="s">
        <v>1010</v>
      </c>
      <c r="K8528" s="1013"/>
    </row>
    <row r="8529" spans="1:11" s="1011" customFormat="1" ht="15" x14ac:dyDescent="0.25">
      <c r="A8529" s="859">
        <f t="shared" si="138"/>
        <v>8528</v>
      </c>
      <c r="B8529" s="845" t="s">
        <v>2564</v>
      </c>
      <c r="C8529" s="1007">
        <f t="shared" si="137"/>
        <v>7</v>
      </c>
      <c r="D8529" s="1012"/>
      <c r="H8529" s="1011" t="s">
        <v>1007</v>
      </c>
      <c r="K8529" s="1013"/>
    </row>
    <row r="8530" spans="1:11" s="1011" customFormat="1" ht="15" x14ac:dyDescent="0.25">
      <c r="A8530" s="859">
        <f t="shared" si="138"/>
        <v>8529</v>
      </c>
      <c r="B8530" s="845" t="s">
        <v>2564</v>
      </c>
      <c r="C8530" s="1007">
        <f t="shared" si="137"/>
        <v>7</v>
      </c>
      <c r="D8530" s="1015"/>
      <c r="I8530" s="1011" t="s">
        <v>2182</v>
      </c>
      <c r="K8530" s="1013"/>
    </row>
    <row r="8531" spans="1:11" s="1011" customFormat="1" ht="15" x14ac:dyDescent="0.25">
      <c r="A8531" s="859">
        <f t="shared" si="138"/>
        <v>8530</v>
      </c>
      <c r="B8531" s="845" t="s">
        <v>2564</v>
      </c>
      <c r="C8531" s="1007">
        <f t="shared" si="137"/>
        <v>7</v>
      </c>
      <c r="D8531" s="1012"/>
      <c r="I8531" s="1011" t="str">
        <f>CONCATENATE("&lt;valeur&gt;",VLOOKUP(C8531,'T16 Amort'!A:K,10,0),"&lt;/valeur&gt;")</f>
        <v>&lt;valeur&gt;&lt;/valeur&gt;</v>
      </c>
      <c r="K8531" s="1013"/>
    </row>
    <row r="8532" spans="1:11" s="1011" customFormat="1" ht="15" x14ac:dyDescent="0.25">
      <c r="A8532" s="859">
        <f t="shared" si="138"/>
        <v>8531</v>
      </c>
      <c r="B8532" s="845" t="s">
        <v>2564</v>
      </c>
      <c r="C8532" s="1007">
        <f t="shared" si="137"/>
        <v>7</v>
      </c>
      <c r="D8532" s="1012"/>
      <c r="I8532" s="1011" t="str">
        <f>CONCATENATE("&lt;numeroLigne&gt;",C8532,"&lt;/numeroLigne&gt;")</f>
        <v>&lt;numeroLigne&gt;7&lt;/numeroLigne&gt;</v>
      </c>
      <c r="K8532" s="1013"/>
    </row>
    <row r="8533" spans="1:11" s="1011" customFormat="1" ht="15" x14ac:dyDescent="0.25">
      <c r="A8533" s="859">
        <f t="shared" si="138"/>
        <v>8532</v>
      </c>
      <c r="B8533" s="845" t="s">
        <v>2564</v>
      </c>
      <c r="C8533" s="1007">
        <f t="shared" si="137"/>
        <v>7</v>
      </c>
      <c r="D8533" s="1014"/>
      <c r="H8533" s="1011" t="s">
        <v>1010</v>
      </c>
      <c r="K8533" s="1013"/>
    </row>
    <row r="8534" spans="1:11" s="1011" customFormat="1" ht="15" x14ac:dyDescent="0.25">
      <c r="A8534" s="859">
        <f t="shared" si="138"/>
        <v>8533</v>
      </c>
      <c r="B8534" s="845" t="s">
        <v>2564</v>
      </c>
      <c r="C8534" s="1007">
        <f t="shared" si="137"/>
        <v>7</v>
      </c>
      <c r="D8534" s="1014"/>
      <c r="H8534" s="1011" t="s">
        <v>1007</v>
      </c>
      <c r="K8534" s="1013"/>
    </row>
    <row r="8535" spans="1:11" s="1011" customFormat="1" ht="15" x14ac:dyDescent="0.25">
      <c r="A8535" s="859">
        <f t="shared" si="138"/>
        <v>8534</v>
      </c>
      <c r="B8535" s="845" t="s">
        <v>2564</v>
      </c>
      <c r="C8535" s="1007">
        <f t="shared" si="137"/>
        <v>7</v>
      </c>
      <c r="D8535" s="1012"/>
      <c r="I8535" s="1011" t="s">
        <v>2183</v>
      </c>
      <c r="K8535" s="1013"/>
    </row>
    <row r="8536" spans="1:11" s="1011" customFormat="1" ht="15" x14ac:dyDescent="0.25">
      <c r="A8536" s="859">
        <f t="shared" si="138"/>
        <v>8535</v>
      </c>
      <c r="B8536" s="845" t="s">
        <v>2564</v>
      </c>
      <c r="C8536" s="1007">
        <f t="shared" si="137"/>
        <v>7</v>
      </c>
      <c r="D8536" s="1015"/>
      <c r="I8536" s="1011" t="str">
        <f>CONCATENATE("&lt;valeur&gt;",VLOOKUP(C8536,'T16 Amort'!A:K,11,0),"&lt;/valeur&gt;")</f>
        <v>&lt;valeur&gt;&lt;/valeur&gt;</v>
      </c>
      <c r="K8536" s="1013"/>
    </row>
    <row r="8537" spans="1:11" s="1011" customFormat="1" ht="15" x14ac:dyDescent="0.25">
      <c r="A8537" s="859">
        <f t="shared" si="138"/>
        <v>8536</v>
      </c>
      <c r="B8537" s="845" t="s">
        <v>2564</v>
      </c>
      <c r="C8537" s="1007">
        <f t="shared" si="137"/>
        <v>7</v>
      </c>
      <c r="D8537" s="1012"/>
      <c r="I8537" s="1011" t="str">
        <f>CONCATENATE("&lt;numeroLigne&gt;",C8537,"&lt;/numeroLigne&gt;")</f>
        <v>&lt;numeroLigne&gt;7&lt;/numeroLigne&gt;</v>
      </c>
      <c r="K8537" s="1013"/>
    </row>
    <row r="8538" spans="1:11" s="1011" customFormat="1" ht="15" x14ac:dyDescent="0.25">
      <c r="A8538" s="859">
        <f t="shared" si="138"/>
        <v>8537</v>
      </c>
      <c r="B8538" s="845" t="s">
        <v>2564</v>
      </c>
      <c r="C8538" s="1007">
        <f t="shared" si="137"/>
        <v>7</v>
      </c>
      <c r="D8538" s="1016"/>
      <c r="E8538" s="1017"/>
      <c r="F8538" s="1017"/>
      <c r="G8538" s="1017"/>
      <c r="H8538" s="1017" t="s">
        <v>1010</v>
      </c>
      <c r="I8538" s="1017"/>
      <c r="J8538" s="1017"/>
      <c r="K8538" s="1018"/>
    </row>
    <row r="8539" spans="1:11" s="1011" customFormat="1" ht="15" x14ac:dyDescent="0.25">
      <c r="A8539" s="859">
        <f t="shared" si="138"/>
        <v>8538</v>
      </c>
      <c r="B8539" s="845" t="s">
        <v>2564</v>
      </c>
      <c r="C8539" s="1007">
        <f t="shared" si="137"/>
        <v>8</v>
      </c>
      <c r="D8539" s="1008"/>
      <c r="E8539" s="1009"/>
      <c r="F8539" s="1009"/>
      <c r="G8539" s="1009"/>
      <c r="H8539" s="1009" t="s">
        <v>1007</v>
      </c>
      <c r="I8539" s="1009"/>
      <c r="J8539" s="1009"/>
      <c r="K8539" s="1010"/>
    </row>
    <row r="8540" spans="1:11" s="1011" customFormat="1" ht="15" x14ac:dyDescent="0.25">
      <c r="A8540" s="859">
        <f t="shared" si="138"/>
        <v>8539</v>
      </c>
      <c r="B8540" s="845" t="s">
        <v>2564</v>
      </c>
      <c r="C8540" s="1007">
        <f t="shared" si="137"/>
        <v>8</v>
      </c>
      <c r="D8540" s="1012"/>
      <c r="I8540" s="1011" t="s">
        <v>2174</v>
      </c>
      <c r="K8540" s="1013"/>
    </row>
    <row r="8541" spans="1:11" s="1011" customFormat="1" ht="15" x14ac:dyDescent="0.25">
      <c r="A8541" s="859">
        <f t="shared" si="138"/>
        <v>8540</v>
      </c>
      <c r="B8541" s="845" t="s">
        <v>2564</v>
      </c>
      <c r="C8541" s="1007">
        <f t="shared" si="137"/>
        <v>8</v>
      </c>
      <c r="D8541" s="1014"/>
      <c r="I8541" s="1011" t="str">
        <f>CONCATENATE("&lt;valeur&gt;",VLOOKUP(C8541,'T16 Amort'!A:K,2,0),"&lt;/valeur&gt;")</f>
        <v>&lt;valeur&gt;&lt;/valeur&gt;</v>
      </c>
      <c r="K8541" s="1013"/>
    </row>
    <row r="8542" spans="1:11" s="1011" customFormat="1" ht="15" x14ac:dyDescent="0.25">
      <c r="A8542" s="859">
        <f t="shared" si="138"/>
        <v>8541</v>
      </c>
      <c r="B8542" s="845" t="s">
        <v>2564</v>
      </c>
      <c r="C8542" s="1007">
        <f t="shared" si="137"/>
        <v>8</v>
      </c>
      <c r="D8542" s="1014"/>
      <c r="I8542" s="1011" t="str">
        <f>CONCATENATE("&lt;numeroLigne&gt;",C8542,"&lt;/numeroLigne&gt;")</f>
        <v>&lt;numeroLigne&gt;8&lt;/numeroLigne&gt;</v>
      </c>
      <c r="K8542" s="1013"/>
    </row>
    <row r="8543" spans="1:11" s="1011" customFormat="1" ht="15" x14ac:dyDescent="0.25">
      <c r="A8543" s="859">
        <f t="shared" si="138"/>
        <v>8542</v>
      </c>
      <c r="B8543" s="845" t="s">
        <v>2564</v>
      </c>
      <c r="C8543" s="1007">
        <f t="shared" si="137"/>
        <v>8</v>
      </c>
      <c r="D8543" s="1012"/>
      <c r="H8543" s="1011" t="s">
        <v>1010</v>
      </c>
      <c r="K8543" s="1013"/>
    </row>
    <row r="8544" spans="1:11" s="1011" customFormat="1" ht="15" x14ac:dyDescent="0.25">
      <c r="A8544" s="859">
        <f t="shared" si="138"/>
        <v>8543</v>
      </c>
      <c r="B8544" s="845" t="s">
        <v>2564</v>
      </c>
      <c r="C8544" s="1007">
        <f t="shared" si="137"/>
        <v>8</v>
      </c>
      <c r="D8544" s="1015"/>
      <c r="H8544" s="1011" t="s">
        <v>1007</v>
      </c>
      <c r="K8544" s="1013"/>
    </row>
    <row r="8545" spans="1:11" s="1011" customFormat="1" ht="15" x14ac:dyDescent="0.25">
      <c r="A8545" s="859">
        <f t="shared" si="138"/>
        <v>8544</v>
      </c>
      <c r="B8545" s="845" t="s">
        <v>2564</v>
      </c>
      <c r="C8545" s="1007">
        <f t="shared" si="137"/>
        <v>8</v>
      </c>
      <c r="D8545" s="1012"/>
      <c r="I8545" s="1011" t="s">
        <v>2175</v>
      </c>
      <c r="K8545" s="1013"/>
    </row>
    <row r="8546" spans="1:11" s="1011" customFormat="1" ht="15" x14ac:dyDescent="0.25">
      <c r="A8546" s="859">
        <f t="shared" si="138"/>
        <v>8545</v>
      </c>
      <c r="B8546" s="845" t="s">
        <v>2564</v>
      </c>
      <c r="C8546" s="1007">
        <f t="shared" si="137"/>
        <v>8</v>
      </c>
      <c r="D8546" s="1012"/>
      <c r="I8546" s="1011" t="str">
        <f>CONCATENATE("&lt;valeur&gt;",VLOOKUP(C8546,'T16 Amort'!A:K,3,0),"&lt;/valeur&gt;")</f>
        <v>&lt;valeur&gt;&lt;/valeur&gt;</v>
      </c>
      <c r="K8546" s="1013"/>
    </row>
    <row r="8547" spans="1:11" s="1011" customFormat="1" ht="15" x14ac:dyDescent="0.25">
      <c r="A8547" s="859">
        <f t="shared" si="138"/>
        <v>8546</v>
      </c>
      <c r="B8547" s="845" t="s">
        <v>2564</v>
      </c>
      <c r="C8547" s="1007">
        <f t="shared" si="137"/>
        <v>8</v>
      </c>
      <c r="D8547" s="1014"/>
      <c r="I8547" s="1011" t="str">
        <f>CONCATENATE("&lt;numeroLigne&gt;",C8547,"&lt;/numeroLigne&gt;")</f>
        <v>&lt;numeroLigne&gt;8&lt;/numeroLigne&gt;</v>
      </c>
      <c r="K8547" s="1013"/>
    </row>
    <row r="8548" spans="1:11" s="1011" customFormat="1" ht="15" x14ac:dyDescent="0.25">
      <c r="A8548" s="859">
        <f t="shared" si="138"/>
        <v>8547</v>
      </c>
      <c r="B8548" s="845" t="s">
        <v>2564</v>
      </c>
      <c r="C8548" s="1007">
        <f t="shared" si="137"/>
        <v>8</v>
      </c>
      <c r="D8548" s="1014"/>
      <c r="H8548" s="1011" t="s">
        <v>1010</v>
      </c>
      <c r="K8548" s="1013"/>
    </row>
    <row r="8549" spans="1:11" s="1011" customFormat="1" ht="15" x14ac:dyDescent="0.25">
      <c r="A8549" s="859">
        <f t="shared" si="138"/>
        <v>8548</v>
      </c>
      <c r="B8549" s="845" t="s">
        <v>2564</v>
      </c>
      <c r="C8549" s="1007">
        <f t="shared" si="137"/>
        <v>8</v>
      </c>
      <c r="D8549" s="1012"/>
      <c r="H8549" s="1011" t="s">
        <v>1007</v>
      </c>
      <c r="K8549" s="1013"/>
    </row>
    <row r="8550" spans="1:11" s="1011" customFormat="1" ht="15" x14ac:dyDescent="0.25">
      <c r="A8550" s="859">
        <f t="shared" si="138"/>
        <v>8549</v>
      </c>
      <c r="B8550" s="845" t="s">
        <v>2564</v>
      </c>
      <c r="C8550" s="1007">
        <f t="shared" si="137"/>
        <v>8</v>
      </c>
      <c r="D8550" s="1015"/>
      <c r="I8550" s="1011" t="s">
        <v>2176</v>
      </c>
      <c r="K8550" s="1013"/>
    </row>
    <row r="8551" spans="1:11" s="1011" customFormat="1" ht="15" x14ac:dyDescent="0.25">
      <c r="A8551" s="859">
        <f t="shared" si="138"/>
        <v>8550</v>
      </c>
      <c r="B8551" s="845" t="s">
        <v>2564</v>
      </c>
      <c r="C8551" s="1007">
        <f t="shared" si="137"/>
        <v>8</v>
      </c>
      <c r="D8551" s="1012"/>
      <c r="I8551" s="1011" t="str">
        <f>CONCATENATE("&lt;valeur&gt;",VLOOKUP(C8551,'T16 Amort'!A:K,4,0),"&lt;/valeur&gt;")</f>
        <v>&lt;valeur&gt;&lt;/valeur&gt;</v>
      </c>
      <c r="K8551" s="1013"/>
    </row>
    <row r="8552" spans="1:11" s="1011" customFormat="1" ht="15" x14ac:dyDescent="0.25">
      <c r="A8552" s="859">
        <f t="shared" si="138"/>
        <v>8551</v>
      </c>
      <c r="B8552" s="845" t="s">
        <v>2564</v>
      </c>
      <c r="C8552" s="1007">
        <f t="shared" si="137"/>
        <v>8</v>
      </c>
      <c r="D8552" s="1012"/>
      <c r="I8552" s="1011" t="str">
        <f>CONCATENATE("&lt;numeroLigne&gt;",C8552,"&lt;/numeroLigne&gt;")</f>
        <v>&lt;numeroLigne&gt;8&lt;/numeroLigne&gt;</v>
      </c>
      <c r="K8552" s="1013"/>
    </row>
    <row r="8553" spans="1:11" s="1011" customFormat="1" ht="15" x14ac:dyDescent="0.25">
      <c r="A8553" s="859">
        <f t="shared" si="138"/>
        <v>8552</v>
      </c>
      <c r="B8553" s="845" t="s">
        <v>2564</v>
      </c>
      <c r="C8553" s="1007">
        <f t="shared" si="137"/>
        <v>8</v>
      </c>
      <c r="D8553" s="1014"/>
      <c r="H8553" s="1011" t="s">
        <v>1010</v>
      </c>
      <c r="K8553" s="1013"/>
    </row>
    <row r="8554" spans="1:11" s="1011" customFormat="1" ht="15" x14ac:dyDescent="0.25">
      <c r="A8554" s="859">
        <f t="shared" si="138"/>
        <v>8553</v>
      </c>
      <c r="B8554" s="845" t="s">
        <v>2564</v>
      </c>
      <c r="C8554" s="1007">
        <f t="shared" si="137"/>
        <v>8</v>
      </c>
      <c r="D8554" s="1014"/>
      <c r="H8554" s="1011" t="s">
        <v>1007</v>
      </c>
      <c r="K8554" s="1013"/>
    </row>
    <row r="8555" spans="1:11" s="1011" customFormat="1" ht="15" x14ac:dyDescent="0.25">
      <c r="A8555" s="859">
        <f t="shared" si="138"/>
        <v>8554</v>
      </c>
      <c r="B8555" s="845" t="s">
        <v>2564</v>
      </c>
      <c r="C8555" s="1007">
        <f t="shared" si="137"/>
        <v>8</v>
      </c>
      <c r="D8555" s="1012"/>
      <c r="I8555" s="1011" t="s">
        <v>2177</v>
      </c>
      <c r="K8555" s="1013"/>
    </row>
    <row r="8556" spans="1:11" s="1011" customFormat="1" ht="15" x14ac:dyDescent="0.25">
      <c r="A8556" s="859">
        <f t="shared" si="138"/>
        <v>8555</v>
      </c>
      <c r="B8556" s="845" t="s">
        <v>2564</v>
      </c>
      <c r="C8556" s="1007">
        <f t="shared" si="137"/>
        <v>8</v>
      </c>
      <c r="D8556" s="1015"/>
      <c r="I8556" s="1011" t="str">
        <f>CONCATENATE("&lt;valeur&gt;",VLOOKUP(C8556,'T16 Amort'!A:K,5,0),"&lt;/valeur&gt;")</f>
        <v>&lt;valeur&gt;&lt;/valeur&gt;</v>
      </c>
      <c r="K8556" s="1013"/>
    </row>
    <row r="8557" spans="1:11" s="1011" customFormat="1" ht="15" x14ac:dyDescent="0.25">
      <c r="A8557" s="859">
        <f t="shared" si="138"/>
        <v>8556</v>
      </c>
      <c r="B8557" s="845" t="s">
        <v>2564</v>
      </c>
      <c r="C8557" s="1007">
        <f t="shared" si="137"/>
        <v>8</v>
      </c>
      <c r="D8557" s="1012"/>
      <c r="I8557" s="1011" t="str">
        <f>CONCATENATE("&lt;numeroLigne&gt;",C8557,"&lt;/numeroLigne&gt;")</f>
        <v>&lt;numeroLigne&gt;8&lt;/numeroLigne&gt;</v>
      </c>
      <c r="K8557" s="1013"/>
    </row>
    <row r="8558" spans="1:11" s="1011" customFormat="1" ht="15" x14ac:dyDescent="0.25">
      <c r="A8558" s="859">
        <f t="shared" si="138"/>
        <v>8557</v>
      </c>
      <c r="B8558" s="845" t="s">
        <v>2564</v>
      </c>
      <c r="C8558" s="1007">
        <f t="shared" si="137"/>
        <v>8</v>
      </c>
      <c r="D8558" s="1012"/>
      <c r="H8558" s="1011" t="s">
        <v>1010</v>
      </c>
      <c r="K8558" s="1013"/>
    </row>
    <row r="8559" spans="1:11" s="1011" customFormat="1" ht="15" x14ac:dyDescent="0.25">
      <c r="A8559" s="859">
        <f t="shared" si="138"/>
        <v>8558</v>
      </c>
      <c r="B8559" s="845" t="s">
        <v>2564</v>
      </c>
      <c r="C8559" s="1007">
        <f t="shared" ref="C8559:C8622" si="139">C8509+1</f>
        <v>8</v>
      </c>
      <c r="D8559" s="1014"/>
      <c r="H8559" s="1011" t="s">
        <v>1007</v>
      </c>
      <c r="K8559" s="1013"/>
    </row>
    <row r="8560" spans="1:11" s="1011" customFormat="1" ht="15" x14ac:dyDescent="0.25">
      <c r="A8560" s="859">
        <f t="shared" si="138"/>
        <v>8559</v>
      </c>
      <c r="B8560" s="845" t="s">
        <v>2564</v>
      </c>
      <c r="C8560" s="1007">
        <f t="shared" si="139"/>
        <v>8</v>
      </c>
      <c r="D8560" s="1014"/>
      <c r="I8560" s="1011" t="s">
        <v>2178</v>
      </c>
      <c r="K8560" s="1013"/>
    </row>
    <row r="8561" spans="1:11" s="1011" customFormat="1" ht="15" x14ac:dyDescent="0.25">
      <c r="A8561" s="859">
        <f t="shared" si="138"/>
        <v>8560</v>
      </c>
      <c r="B8561" s="845" t="s">
        <v>2564</v>
      </c>
      <c r="C8561" s="1007">
        <f t="shared" si="139"/>
        <v>8</v>
      </c>
      <c r="D8561" s="1012"/>
      <c r="I8561" s="1011" t="str">
        <f>CONCATENATE("&lt;valeur&gt;",VLOOKUP(C8561,'T16 Amort'!A:K,6,0),"&lt;/valeur&gt;")</f>
        <v>&lt;valeur&gt;&lt;/valeur&gt;</v>
      </c>
      <c r="K8561" s="1013"/>
    </row>
    <row r="8562" spans="1:11" s="1011" customFormat="1" ht="15" x14ac:dyDescent="0.25">
      <c r="A8562" s="859">
        <f t="shared" si="138"/>
        <v>8561</v>
      </c>
      <c r="B8562" s="845" t="s">
        <v>2564</v>
      </c>
      <c r="C8562" s="1007">
        <f t="shared" si="139"/>
        <v>8</v>
      </c>
      <c r="D8562" s="1015"/>
      <c r="I8562" s="1011" t="str">
        <f>CONCATENATE("&lt;numeroLigne&gt;",C8562,"&lt;/numeroLigne&gt;")</f>
        <v>&lt;numeroLigne&gt;8&lt;/numeroLigne&gt;</v>
      </c>
      <c r="K8562" s="1013"/>
    </row>
    <row r="8563" spans="1:11" s="1011" customFormat="1" ht="15" x14ac:dyDescent="0.25">
      <c r="A8563" s="859">
        <f t="shared" si="138"/>
        <v>8562</v>
      </c>
      <c r="B8563" s="845" t="s">
        <v>2564</v>
      </c>
      <c r="C8563" s="1007">
        <f t="shared" si="139"/>
        <v>8</v>
      </c>
      <c r="D8563" s="1012"/>
      <c r="H8563" s="1011" t="s">
        <v>1010</v>
      </c>
      <c r="K8563" s="1013"/>
    </row>
    <row r="8564" spans="1:11" s="1011" customFormat="1" ht="15" x14ac:dyDescent="0.25">
      <c r="A8564" s="859">
        <f t="shared" si="138"/>
        <v>8563</v>
      </c>
      <c r="B8564" s="845" t="s">
        <v>2564</v>
      </c>
      <c r="C8564" s="1007">
        <f t="shared" si="139"/>
        <v>8</v>
      </c>
      <c r="D8564" s="1012"/>
      <c r="H8564" s="1011" t="s">
        <v>1007</v>
      </c>
      <c r="K8564" s="1013"/>
    </row>
    <row r="8565" spans="1:11" s="1011" customFormat="1" ht="15" x14ac:dyDescent="0.25">
      <c r="A8565" s="859">
        <f t="shared" si="138"/>
        <v>8564</v>
      </c>
      <c r="B8565" s="845" t="s">
        <v>2564</v>
      </c>
      <c r="C8565" s="1007">
        <f t="shared" si="139"/>
        <v>8</v>
      </c>
      <c r="D8565" s="1014"/>
      <c r="I8565" s="1011" t="s">
        <v>2179</v>
      </c>
      <c r="K8565" s="1013"/>
    </row>
    <row r="8566" spans="1:11" s="1011" customFormat="1" ht="15" x14ac:dyDescent="0.25">
      <c r="A8566" s="859">
        <f t="shared" si="138"/>
        <v>8565</v>
      </c>
      <c r="B8566" s="845" t="s">
        <v>2564</v>
      </c>
      <c r="C8566" s="1007">
        <f t="shared" si="139"/>
        <v>8</v>
      </c>
      <c r="D8566" s="1014"/>
      <c r="I8566" s="1011" t="str">
        <f>CONCATENATE("&lt;valeur&gt;",VLOOKUP(C8566,'T16 Amort'!A:K,7,0),"&lt;/valeur&gt;")</f>
        <v>&lt;valeur&gt;&lt;/valeur&gt;</v>
      </c>
      <c r="K8566" s="1013"/>
    </row>
    <row r="8567" spans="1:11" s="1011" customFormat="1" ht="15" x14ac:dyDescent="0.25">
      <c r="A8567" s="859">
        <f t="shared" si="138"/>
        <v>8566</v>
      </c>
      <c r="B8567" s="845" t="s">
        <v>2564</v>
      </c>
      <c r="C8567" s="1007">
        <f t="shared" si="139"/>
        <v>8</v>
      </c>
      <c r="D8567" s="1012"/>
      <c r="I8567" s="1011" t="str">
        <f>CONCATENATE("&lt;numeroLigne&gt;",C8567,"&lt;/numeroLigne&gt;")</f>
        <v>&lt;numeroLigne&gt;8&lt;/numeroLigne&gt;</v>
      </c>
      <c r="K8567" s="1013"/>
    </row>
    <row r="8568" spans="1:11" s="1011" customFormat="1" ht="15" x14ac:dyDescent="0.25">
      <c r="A8568" s="859">
        <f t="shared" si="138"/>
        <v>8567</v>
      </c>
      <c r="B8568" s="845" t="s">
        <v>2564</v>
      </c>
      <c r="C8568" s="1007">
        <f t="shared" si="139"/>
        <v>8</v>
      </c>
      <c r="D8568" s="1015"/>
      <c r="H8568" s="1011" t="s">
        <v>1010</v>
      </c>
      <c r="K8568" s="1013"/>
    </row>
    <row r="8569" spans="1:11" s="1011" customFormat="1" ht="15" x14ac:dyDescent="0.25">
      <c r="A8569" s="859">
        <f t="shared" si="138"/>
        <v>8568</v>
      </c>
      <c r="B8569" s="845" t="s">
        <v>2564</v>
      </c>
      <c r="C8569" s="1007">
        <f t="shared" si="139"/>
        <v>8</v>
      </c>
      <c r="D8569" s="1012"/>
      <c r="H8569" s="1011" t="s">
        <v>1007</v>
      </c>
      <c r="K8569" s="1013"/>
    </row>
    <row r="8570" spans="1:11" s="1011" customFormat="1" ht="15" x14ac:dyDescent="0.25">
      <c r="A8570" s="859">
        <f t="shared" si="138"/>
        <v>8569</v>
      </c>
      <c r="B8570" s="845" t="s">
        <v>2564</v>
      </c>
      <c r="C8570" s="1007">
        <f t="shared" si="139"/>
        <v>8</v>
      </c>
      <c r="D8570" s="1012"/>
      <c r="I8570" s="1011" t="s">
        <v>2180</v>
      </c>
      <c r="K8570" s="1013"/>
    </row>
    <row r="8571" spans="1:11" s="1011" customFormat="1" ht="15" x14ac:dyDescent="0.25">
      <c r="A8571" s="859">
        <f t="shared" si="138"/>
        <v>8570</v>
      </c>
      <c r="B8571" s="845" t="s">
        <v>2564</v>
      </c>
      <c r="C8571" s="1007">
        <f t="shared" si="139"/>
        <v>8</v>
      </c>
      <c r="D8571" s="1014"/>
      <c r="I8571" s="1011" t="str">
        <f>CONCATENATE("&lt;valeur&gt;",VLOOKUP(C8571,'T16 Amort'!A:K,8,0),"&lt;/valeur&gt;")</f>
        <v>&lt;valeur&gt;&lt;/valeur&gt;</v>
      </c>
      <c r="K8571" s="1013"/>
    </row>
    <row r="8572" spans="1:11" s="1011" customFormat="1" ht="15" x14ac:dyDescent="0.25">
      <c r="A8572" s="859">
        <f t="shared" si="138"/>
        <v>8571</v>
      </c>
      <c r="B8572" s="845" t="s">
        <v>2564</v>
      </c>
      <c r="C8572" s="1007">
        <f t="shared" si="139"/>
        <v>8</v>
      </c>
      <c r="D8572" s="1014"/>
      <c r="I8572" s="1011" t="str">
        <f>CONCATENATE("&lt;numeroLigne&gt;",C8572,"&lt;/numeroLigne&gt;")</f>
        <v>&lt;numeroLigne&gt;8&lt;/numeroLigne&gt;</v>
      </c>
      <c r="K8572" s="1013"/>
    </row>
    <row r="8573" spans="1:11" s="1011" customFormat="1" ht="15" x14ac:dyDescent="0.25">
      <c r="A8573" s="859">
        <f t="shared" si="138"/>
        <v>8572</v>
      </c>
      <c r="B8573" s="845" t="s">
        <v>2564</v>
      </c>
      <c r="C8573" s="1007">
        <f t="shared" si="139"/>
        <v>8</v>
      </c>
      <c r="D8573" s="1012"/>
      <c r="H8573" s="1011" t="s">
        <v>1010</v>
      </c>
      <c r="K8573" s="1013"/>
    </row>
    <row r="8574" spans="1:11" s="1011" customFormat="1" ht="15" x14ac:dyDescent="0.25">
      <c r="A8574" s="859">
        <f t="shared" si="138"/>
        <v>8573</v>
      </c>
      <c r="B8574" s="845" t="s">
        <v>2564</v>
      </c>
      <c r="C8574" s="1007">
        <f t="shared" si="139"/>
        <v>8</v>
      </c>
      <c r="D8574" s="1015"/>
      <c r="H8574" s="1011" t="s">
        <v>1007</v>
      </c>
      <c r="K8574" s="1013"/>
    </row>
    <row r="8575" spans="1:11" s="1011" customFormat="1" ht="15" x14ac:dyDescent="0.25">
      <c r="A8575" s="859">
        <f t="shared" si="138"/>
        <v>8574</v>
      </c>
      <c r="B8575" s="845" t="s">
        <v>2564</v>
      </c>
      <c r="C8575" s="1007">
        <f t="shared" si="139"/>
        <v>8</v>
      </c>
      <c r="D8575" s="1012"/>
      <c r="I8575" s="1011" t="s">
        <v>2181</v>
      </c>
      <c r="K8575" s="1013"/>
    </row>
    <row r="8576" spans="1:11" s="1011" customFormat="1" ht="15" x14ac:dyDescent="0.25">
      <c r="A8576" s="859">
        <f t="shared" si="138"/>
        <v>8575</v>
      </c>
      <c r="B8576" s="845" t="s">
        <v>2564</v>
      </c>
      <c r="C8576" s="1007">
        <f t="shared" si="139"/>
        <v>8</v>
      </c>
      <c r="D8576" s="1012"/>
      <c r="I8576" s="1011" t="str">
        <f>CONCATENATE("&lt;valeur&gt;",VLOOKUP(C8576,'T16 Amort'!A:K,9,0),"&lt;/valeur&gt;")</f>
        <v>&lt;valeur&gt;&lt;/valeur&gt;</v>
      </c>
      <c r="K8576" s="1013"/>
    </row>
    <row r="8577" spans="1:11" s="1011" customFormat="1" ht="15" x14ac:dyDescent="0.25">
      <c r="A8577" s="859">
        <f t="shared" si="138"/>
        <v>8576</v>
      </c>
      <c r="B8577" s="845" t="s">
        <v>2564</v>
      </c>
      <c r="C8577" s="1007">
        <f t="shared" si="139"/>
        <v>8</v>
      </c>
      <c r="D8577" s="1014"/>
      <c r="I8577" s="1011" t="str">
        <f>CONCATENATE("&lt;numeroLigne&gt;",C8577,"&lt;/numeroLigne&gt;")</f>
        <v>&lt;numeroLigne&gt;8&lt;/numeroLigne&gt;</v>
      </c>
      <c r="K8577" s="1013"/>
    </row>
    <row r="8578" spans="1:11" s="1011" customFormat="1" ht="15" x14ac:dyDescent="0.25">
      <c r="A8578" s="859">
        <f t="shared" si="138"/>
        <v>8577</v>
      </c>
      <c r="B8578" s="845" t="s">
        <v>2564</v>
      </c>
      <c r="C8578" s="1007">
        <f t="shared" si="139"/>
        <v>8</v>
      </c>
      <c r="D8578" s="1014"/>
      <c r="H8578" s="1011" t="s">
        <v>1010</v>
      </c>
      <c r="K8578" s="1013"/>
    </row>
    <row r="8579" spans="1:11" s="1011" customFormat="1" ht="15" x14ac:dyDescent="0.25">
      <c r="A8579" s="859">
        <f t="shared" si="138"/>
        <v>8578</v>
      </c>
      <c r="B8579" s="845" t="s">
        <v>2564</v>
      </c>
      <c r="C8579" s="1007">
        <f t="shared" si="139"/>
        <v>8</v>
      </c>
      <c r="D8579" s="1012"/>
      <c r="H8579" s="1011" t="s">
        <v>1007</v>
      </c>
      <c r="K8579" s="1013"/>
    </row>
    <row r="8580" spans="1:11" s="1011" customFormat="1" ht="15" x14ac:dyDescent="0.25">
      <c r="A8580" s="859">
        <f t="shared" ref="A8580:A8643" si="140">+A8579+1</f>
        <v>8579</v>
      </c>
      <c r="B8580" s="845" t="s">
        <v>2564</v>
      </c>
      <c r="C8580" s="1007">
        <f t="shared" si="139"/>
        <v>8</v>
      </c>
      <c r="D8580" s="1015"/>
      <c r="I8580" s="1011" t="s">
        <v>2182</v>
      </c>
      <c r="K8580" s="1013"/>
    </row>
    <row r="8581" spans="1:11" s="1011" customFormat="1" ht="15" x14ac:dyDescent="0.25">
      <c r="A8581" s="859">
        <f t="shared" si="140"/>
        <v>8580</v>
      </c>
      <c r="B8581" s="845" t="s">
        <v>2564</v>
      </c>
      <c r="C8581" s="1007">
        <f t="shared" si="139"/>
        <v>8</v>
      </c>
      <c r="D8581" s="1012"/>
      <c r="I8581" s="1011" t="str">
        <f>CONCATENATE("&lt;valeur&gt;",VLOOKUP(C8581,'T16 Amort'!A:K,10,0),"&lt;/valeur&gt;")</f>
        <v>&lt;valeur&gt;&lt;/valeur&gt;</v>
      </c>
      <c r="K8581" s="1013"/>
    </row>
    <row r="8582" spans="1:11" s="1011" customFormat="1" ht="15" x14ac:dyDescent="0.25">
      <c r="A8582" s="859">
        <f t="shared" si="140"/>
        <v>8581</v>
      </c>
      <c r="B8582" s="845" t="s">
        <v>2564</v>
      </c>
      <c r="C8582" s="1007">
        <f t="shared" si="139"/>
        <v>8</v>
      </c>
      <c r="D8582" s="1012"/>
      <c r="I8582" s="1011" t="str">
        <f>CONCATENATE("&lt;numeroLigne&gt;",C8582,"&lt;/numeroLigne&gt;")</f>
        <v>&lt;numeroLigne&gt;8&lt;/numeroLigne&gt;</v>
      </c>
      <c r="K8582" s="1013"/>
    </row>
    <row r="8583" spans="1:11" s="1011" customFormat="1" ht="15" x14ac:dyDescent="0.25">
      <c r="A8583" s="859">
        <f t="shared" si="140"/>
        <v>8582</v>
      </c>
      <c r="B8583" s="845" t="s">
        <v>2564</v>
      </c>
      <c r="C8583" s="1007">
        <f t="shared" si="139"/>
        <v>8</v>
      </c>
      <c r="D8583" s="1014"/>
      <c r="H8583" s="1011" t="s">
        <v>1010</v>
      </c>
      <c r="K8583" s="1013"/>
    </row>
    <row r="8584" spans="1:11" s="1011" customFormat="1" ht="15" x14ac:dyDescent="0.25">
      <c r="A8584" s="859">
        <f t="shared" si="140"/>
        <v>8583</v>
      </c>
      <c r="B8584" s="845" t="s">
        <v>2564</v>
      </c>
      <c r="C8584" s="1007">
        <f t="shared" si="139"/>
        <v>8</v>
      </c>
      <c r="D8584" s="1014"/>
      <c r="H8584" s="1011" t="s">
        <v>1007</v>
      </c>
      <c r="K8584" s="1013"/>
    </row>
    <row r="8585" spans="1:11" s="1011" customFormat="1" ht="15" x14ac:dyDescent="0.25">
      <c r="A8585" s="859">
        <f t="shared" si="140"/>
        <v>8584</v>
      </c>
      <c r="B8585" s="845" t="s">
        <v>2564</v>
      </c>
      <c r="C8585" s="1007">
        <f t="shared" si="139"/>
        <v>8</v>
      </c>
      <c r="D8585" s="1012"/>
      <c r="I8585" s="1011" t="s">
        <v>2183</v>
      </c>
      <c r="K8585" s="1013"/>
    </row>
    <row r="8586" spans="1:11" s="1011" customFormat="1" ht="15" x14ac:dyDescent="0.25">
      <c r="A8586" s="859">
        <f t="shared" si="140"/>
        <v>8585</v>
      </c>
      <c r="B8586" s="845" t="s">
        <v>2564</v>
      </c>
      <c r="C8586" s="1007">
        <f t="shared" si="139"/>
        <v>8</v>
      </c>
      <c r="D8586" s="1015"/>
      <c r="I8586" s="1011" t="str">
        <f>CONCATENATE("&lt;valeur&gt;",VLOOKUP(C8586,'T16 Amort'!A:K,11,0),"&lt;/valeur&gt;")</f>
        <v>&lt;valeur&gt;&lt;/valeur&gt;</v>
      </c>
      <c r="K8586" s="1013"/>
    </row>
    <row r="8587" spans="1:11" s="1011" customFormat="1" ht="15" x14ac:dyDescent="0.25">
      <c r="A8587" s="859">
        <f t="shared" si="140"/>
        <v>8586</v>
      </c>
      <c r="B8587" s="845" t="s">
        <v>2564</v>
      </c>
      <c r="C8587" s="1007">
        <f t="shared" si="139"/>
        <v>8</v>
      </c>
      <c r="D8587" s="1012"/>
      <c r="I8587" s="1011" t="str">
        <f>CONCATENATE("&lt;numeroLigne&gt;",C8587,"&lt;/numeroLigne&gt;")</f>
        <v>&lt;numeroLigne&gt;8&lt;/numeroLigne&gt;</v>
      </c>
      <c r="K8587" s="1013"/>
    </row>
    <row r="8588" spans="1:11" s="1011" customFormat="1" ht="15" x14ac:dyDescent="0.25">
      <c r="A8588" s="859">
        <f t="shared" si="140"/>
        <v>8587</v>
      </c>
      <c r="B8588" s="845" t="s">
        <v>2564</v>
      </c>
      <c r="C8588" s="1007">
        <f t="shared" si="139"/>
        <v>8</v>
      </c>
      <c r="D8588" s="1016"/>
      <c r="E8588" s="1017"/>
      <c r="F8588" s="1017"/>
      <c r="G8588" s="1017"/>
      <c r="H8588" s="1017" t="s">
        <v>1010</v>
      </c>
      <c r="I8588" s="1017"/>
      <c r="J8588" s="1017"/>
      <c r="K8588" s="1018"/>
    </row>
    <row r="8589" spans="1:11" s="1011" customFormat="1" ht="15" x14ac:dyDescent="0.25">
      <c r="A8589" s="859">
        <f t="shared" si="140"/>
        <v>8588</v>
      </c>
      <c r="B8589" s="845" t="s">
        <v>2564</v>
      </c>
      <c r="C8589" s="1007">
        <f t="shared" si="139"/>
        <v>9</v>
      </c>
      <c r="D8589" s="1008"/>
      <c r="E8589" s="1009"/>
      <c r="F8589" s="1009"/>
      <c r="G8589" s="1009"/>
      <c r="H8589" s="1009" t="s">
        <v>1007</v>
      </c>
      <c r="I8589" s="1009"/>
      <c r="J8589" s="1009"/>
      <c r="K8589" s="1010"/>
    </row>
    <row r="8590" spans="1:11" s="1011" customFormat="1" ht="15" x14ac:dyDescent="0.25">
      <c r="A8590" s="859">
        <f t="shared" si="140"/>
        <v>8589</v>
      </c>
      <c r="B8590" s="845" t="s">
        <v>2564</v>
      </c>
      <c r="C8590" s="1007">
        <f t="shared" si="139"/>
        <v>9</v>
      </c>
      <c r="D8590" s="1012"/>
      <c r="I8590" s="1011" t="s">
        <v>2174</v>
      </c>
      <c r="K8590" s="1013"/>
    </row>
    <row r="8591" spans="1:11" s="1011" customFormat="1" ht="15" x14ac:dyDescent="0.25">
      <c r="A8591" s="859">
        <f t="shared" si="140"/>
        <v>8590</v>
      </c>
      <c r="B8591" s="845" t="s">
        <v>2564</v>
      </c>
      <c r="C8591" s="1007">
        <f t="shared" si="139"/>
        <v>9</v>
      </c>
      <c r="D8591" s="1014"/>
      <c r="I8591" s="1011" t="str">
        <f>CONCATENATE("&lt;valeur&gt;",VLOOKUP(C8591,'T16 Amort'!A:K,2,0),"&lt;/valeur&gt;")</f>
        <v>&lt;valeur&gt;&lt;/valeur&gt;</v>
      </c>
      <c r="K8591" s="1013"/>
    </row>
    <row r="8592" spans="1:11" s="1011" customFormat="1" ht="15" x14ac:dyDescent="0.25">
      <c r="A8592" s="859">
        <f t="shared" si="140"/>
        <v>8591</v>
      </c>
      <c r="B8592" s="845" t="s">
        <v>2564</v>
      </c>
      <c r="C8592" s="1007">
        <f t="shared" si="139"/>
        <v>9</v>
      </c>
      <c r="D8592" s="1014"/>
      <c r="I8592" s="1011" t="str">
        <f>CONCATENATE("&lt;numeroLigne&gt;",C8592,"&lt;/numeroLigne&gt;")</f>
        <v>&lt;numeroLigne&gt;9&lt;/numeroLigne&gt;</v>
      </c>
      <c r="K8592" s="1013"/>
    </row>
    <row r="8593" spans="1:11" s="1011" customFormat="1" ht="15" x14ac:dyDescent="0.25">
      <c r="A8593" s="859">
        <f t="shared" si="140"/>
        <v>8592</v>
      </c>
      <c r="B8593" s="845" t="s">
        <v>2564</v>
      </c>
      <c r="C8593" s="1007">
        <f t="shared" si="139"/>
        <v>9</v>
      </c>
      <c r="D8593" s="1012"/>
      <c r="H8593" s="1011" t="s">
        <v>1010</v>
      </c>
      <c r="K8593" s="1013"/>
    </row>
    <row r="8594" spans="1:11" s="1011" customFormat="1" ht="15" x14ac:dyDescent="0.25">
      <c r="A8594" s="859">
        <f t="shared" si="140"/>
        <v>8593</v>
      </c>
      <c r="B8594" s="845" t="s">
        <v>2564</v>
      </c>
      <c r="C8594" s="1007">
        <f t="shared" si="139"/>
        <v>9</v>
      </c>
      <c r="D8594" s="1015"/>
      <c r="H8594" s="1011" t="s">
        <v>1007</v>
      </c>
      <c r="K8594" s="1013"/>
    </row>
    <row r="8595" spans="1:11" s="1011" customFormat="1" ht="15" x14ac:dyDescent="0.25">
      <c r="A8595" s="859">
        <f t="shared" si="140"/>
        <v>8594</v>
      </c>
      <c r="B8595" s="845" t="s">
        <v>2564</v>
      </c>
      <c r="C8595" s="1007">
        <f t="shared" si="139"/>
        <v>9</v>
      </c>
      <c r="D8595" s="1012"/>
      <c r="I8595" s="1011" t="s">
        <v>2175</v>
      </c>
      <c r="K8595" s="1013"/>
    </row>
    <row r="8596" spans="1:11" s="1011" customFormat="1" ht="15" x14ac:dyDescent="0.25">
      <c r="A8596" s="859">
        <f t="shared" si="140"/>
        <v>8595</v>
      </c>
      <c r="B8596" s="845" t="s">
        <v>2564</v>
      </c>
      <c r="C8596" s="1007">
        <f t="shared" si="139"/>
        <v>9</v>
      </c>
      <c r="D8596" s="1012"/>
      <c r="I8596" s="1011" t="str">
        <f>CONCATENATE("&lt;valeur&gt;",VLOOKUP(C8596,'T16 Amort'!A:K,3,0),"&lt;/valeur&gt;")</f>
        <v>&lt;valeur&gt;&lt;/valeur&gt;</v>
      </c>
      <c r="K8596" s="1013"/>
    </row>
    <row r="8597" spans="1:11" s="1011" customFormat="1" ht="15" x14ac:dyDescent="0.25">
      <c r="A8597" s="859">
        <f t="shared" si="140"/>
        <v>8596</v>
      </c>
      <c r="B8597" s="845" t="s">
        <v>2564</v>
      </c>
      <c r="C8597" s="1007">
        <f t="shared" si="139"/>
        <v>9</v>
      </c>
      <c r="D8597" s="1014"/>
      <c r="I8597" s="1011" t="str">
        <f>CONCATENATE("&lt;numeroLigne&gt;",C8597,"&lt;/numeroLigne&gt;")</f>
        <v>&lt;numeroLigne&gt;9&lt;/numeroLigne&gt;</v>
      </c>
      <c r="K8597" s="1013"/>
    </row>
    <row r="8598" spans="1:11" s="1011" customFormat="1" ht="15" x14ac:dyDescent="0.25">
      <c r="A8598" s="859">
        <f t="shared" si="140"/>
        <v>8597</v>
      </c>
      <c r="B8598" s="845" t="s">
        <v>2564</v>
      </c>
      <c r="C8598" s="1007">
        <f t="shared" si="139"/>
        <v>9</v>
      </c>
      <c r="D8598" s="1014"/>
      <c r="H8598" s="1011" t="s">
        <v>1010</v>
      </c>
      <c r="K8598" s="1013"/>
    </row>
    <row r="8599" spans="1:11" s="1011" customFormat="1" ht="15" x14ac:dyDescent="0.25">
      <c r="A8599" s="859">
        <f t="shared" si="140"/>
        <v>8598</v>
      </c>
      <c r="B8599" s="845" t="s">
        <v>2564</v>
      </c>
      <c r="C8599" s="1007">
        <f t="shared" si="139"/>
        <v>9</v>
      </c>
      <c r="D8599" s="1012"/>
      <c r="H8599" s="1011" t="s">
        <v>1007</v>
      </c>
      <c r="K8599" s="1013"/>
    </row>
    <row r="8600" spans="1:11" s="1011" customFormat="1" ht="15" x14ac:dyDescent="0.25">
      <c r="A8600" s="859">
        <f t="shared" si="140"/>
        <v>8599</v>
      </c>
      <c r="B8600" s="845" t="s">
        <v>2564</v>
      </c>
      <c r="C8600" s="1007">
        <f t="shared" si="139"/>
        <v>9</v>
      </c>
      <c r="D8600" s="1015"/>
      <c r="I8600" s="1011" t="s">
        <v>2176</v>
      </c>
      <c r="K8600" s="1013"/>
    </row>
    <row r="8601" spans="1:11" s="1011" customFormat="1" ht="15" x14ac:dyDescent="0.25">
      <c r="A8601" s="859">
        <f t="shared" si="140"/>
        <v>8600</v>
      </c>
      <c r="B8601" s="845" t="s">
        <v>2564</v>
      </c>
      <c r="C8601" s="1007">
        <f t="shared" si="139"/>
        <v>9</v>
      </c>
      <c r="D8601" s="1012"/>
      <c r="I8601" s="1011" t="str">
        <f>CONCATENATE("&lt;valeur&gt;",VLOOKUP(C8601,'T16 Amort'!A:K,4,0),"&lt;/valeur&gt;")</f>
        <v>&lt;valeur&gt;&lt;/valeur&gt;</v>
      </c>
      <c r="K8601" s="1013"/>
    </row>
    <row r="8602" spans="1:11" s="1011" customFormat="1" ht="15" x14ac:dyDescent="0.25">
      <c r="A8602" s="859">
        <f t="shared" si="140"/>
        <v>8601</v>
      </c>
      <c r="B8602" s="845" t="s">
        <v>2564</v>
      </c>
      <c r="C8602" s="1007">
        <f t="shared" si="139"/>
        <v>9</v>
      </c>
      <c r="D8602" s="1012"/>
      <c r="I8602" s="1011" t="str">
        <f>CONCATENATE("&lt;numeroLigne&gt;",C8602,"&lt;/numeroLigne&gt;")</f>
        <v>&lt;numeroLigne&gt;9&lt;/numeroLigne&gt;</v>
      </c>
      <c r="K8602" s="1013"/>
    </row>
    <row r="8603" spans="1:11" s="1011" customFormat="1" ht="15" x14ac:dyDescent="0.25">
      <c r="A8603" s="859">
        <f t="shared" si="140"/>
        <v>8602</v>
      </c>
      <c r="B8603" s="845" t="s">
        <v>2564</v>
      </c>
      <c r="C8603" s="1007">
        <f t="shared" si="139"/>
        <v>9</v>
      </c>
      <c r="D8603" s="1014"/>
      <c r="H8603" s="1011" t="s">
        <v>1010</v>
      </c>
      <c r="K8603" s="1013"/>
    </row>
    <row r="8604" spans="1:11" s="1011" customFormat="1" ht="15" x14ac:dyDescent="0.25">
      <c r="A8604" s="859">
        <f t="shared" si="140"/>
        <v>8603</v>
      </c>
      <c r="B8604" s="845" t="s">
        <v>2564</v>
      </c>
      <c r="C8604" s="1007">
        <f t="shared" si="139"/>
        <v>9</v>
      </c>
      <c r="D8604" s="1014"/>
      <c r="H8604" s="1011" t="s">
        <v>1007</v>
      </c>
      <c r="K8604" s="1013"/>
    </row>
    <row r="8605" spans="1:11" s="1011" customFormat="1" ht="15" x14ac:dyDescent="0.25">
      <c r="A8605" s="859">
        <f t="shared" si="140"/>
        <v>8604</v>
      </c>
      <c r="B8605" s="845" t="s">
        <v>2564</v>
      </c>
      <c r="C8605" s="1007">
        <f t="shared" si="139"/>
        <v>9</v>
      </c>
      <c r="D8605" s="1012"/>
      <c r="I8605" s="1011" t="s">
        <v>2177</v>
      </c>
      <c r="K8605" s="1013"/>
    </row>
    <row r="8606" spans="1:11" s="1011" customFormat="1" ht="15" x14ac:dyDescent="0.25">
      <c r="A8606" s="859">
        <f t="shared" si="140"/>
        <v>8605</v>
      </c>
      <c r="B8606" s="845" t="s">
        <v>2564</v>
      </c>
      <c r="C8606" s="1007">
        <f t="shared" si="139"/>
        <v>9</v>
      </c>
      <c r="D8606" s="1015"/>
      <c r="I8606" s="1011" t="str">
        <f>CONCATENATE("&lt;valeur&gt;",VLOOKUP(C8606,'T16 Amort'!A:K,5,0),"&lt;/valeur&gt;")</f>
        <v>&lt;valeur&gt;&lt;/valeur&gt;</v>
      </c>
      <c r="K8606" s="1013"/>
    </row>
    <row r="8607" spans="1:11" s="1011" customFormat="1" ht="15" x14ac:dyDescent="0.25">
      <c r="A8607" s="859">
        <f t="shared" si="140"/>
        <v>8606</v>
      </c>
      <c r="B8607" s="845" t="s">
        <v>2564</v>
      </c>
      <c r="C8607" s="1007">
        <f t="shared" si="139"/>
        <v>9</v>
      </c>
      <c r="D8607" s="1012"/>
      <c r="I8607" s="1011" t="str">
        <f>CONCATENATE("&lt;numeroLigne&gt;",C8607,"&lt;/numeroLigne&gt;")</f>
        <v>&lt;numeroLigne&gt;9&lt;/numeroLigne&gt;</v>
      </c>
      <c r="K8607" s="1013"/>
    </row>
    <row r="8608" spans="1:11" s="1011" customFormat="1" ht="15" x14ac:dyDescent="0.25">
      <c r="A8608" s="859">
        <f t="shared" si="140"/>
        <v>8607</v>
      </c>
      <c r="B8608" s="845" t="s">
        <v>2564</v>
      </c>
      <c r="C8608" s="1007">
        <f t="shared" si="139"/>
        <v>9</v>
      </c>
      <c r="D8608" s="1012"/>
      <c r="H8608" s="1011" t="s">
        <v>1010</v>
      </c>
      <c r="K8608" s="1013"/>
    </row>
    <row r="8609" spans="1:11" s="1011" customFormat="1" ht="15" x14ac:dyDescent="0.25">
      <c r="A8609" s="859">
        <f t="shared" si="140"/>
        <v>8608</v>
      </c>
      <c r="B8609" s="845" t="s">
        <v>2564</v>
      </c>
      <c r="C8609" s="1007">
        <f t="shared" si="139"/>
        <v>9</v>
      </c>
      <c r="D8609" s="1014"/>
      <c r="H8609" s="1011" t="s">
        <v>1007</v>
      </c>
      <c r="K8609" s="1013"/>
    </row>
    <row r="8610" spans="1:11" s="1011" customFormat="1" ht="15" x14ac:dyDescent="0.25">
      <c r="A8610" s="859">
        <f t="shared" si="140"/>
        <v>8609</v>
      </c>
      <c r="B8610" s="845" t="s">
        <v>2564</v>
      </c>
      <c r="C8610" s="1007">
        <f t="shared" si="139"/>
        <v>9</v>
      </c>
      <c r="D8610" s="1014"/>
      <c r="I8610" s="1011" t="s">
        <v>2178</v>
      </c>
      <c r="K8610" s="1013"/>
    </row>
    <row r="8611" spans="1:11" s="1011" customFormat="1" ht="15" x14ac:dyDescent="0.25">
      <c r="A8611" s="859">
        <f t="shared" si="140"/>
        <v>8610</v>
      </c>
      <c r="B8611" s="845" t="s">
        <v>2564</v>
      </c>
      <c r="C8611" s="1007">
        <f t="shared" si="139"/>
        <v>9</v>
      </c>
      <c r="D8611" s="1012"/>
      <c r="I8611" s="1011" t="str">
        <f>CONCATENATE("&lt;valeur&gt;",VLOOKUP(C8611,'T16 Amort'!A:K,6,0),"&lt;/valeur&gt;")</f>
        <v>&lt;valeur&gt;&lt;/valeur&gt;</v>
      </c>
      <c r="K8611" s="1013"/>
    </row>
    <row r="8612" spans="1:11" s="1011" customFormat="1" ht="15" x14ac:dyDescent="0.25">
      <c r="A8612" s="859">
        <f t="shared" si="140"/>
        <v>8611</v>
      </c>
      <c r="B8612" s="845" t="s">
        <v>2564</v>
      </c>
      <c r="C8612" s="1007">
        <f t="shared" si="139"/>
        <v>9</v>
      </c>
      <c r="D8612" s="1015"/>
      <c r="I8612" s="1011" t="str">
        <f>CONCATENATE("&lt;numeroLigne&gt;",C8612,"&lt;/numeroLigne&gt;")</f>
        <v>&lt;numeroLigne&gt;9&lt;/numeroLigne&gt;</v>
      </c>
      <c r="K8612" s="1013"/>
    </row>
    <row r="8613" spans="1:11" s="1011" customFormat="1" ht="15" x14ac:dyDescent="0.25">
      <c r="A8613" s="859">
        <f t="shared" si="140"/>
        <v>8612</v>
      </c>
      <c r="B8613" s="845" t="s">
        <v>2564</v>
      </c>
      <c r="C8613" s="1007">
        <f t="shared" si="139"/>
        <v>9</v>
      </c>
      <c r="D8613" s="1012"/>
      <c r="H8613" s="1011" t="s">
        <v>1010</v>
      </c>
      <c r="K8613" s="1013"/>
    </row>
    <row r="8614" spans="1:11" s="1011" customFormat="1" ht="15" x14ac:dyDescent="0.25">
      <c r="A8614" s="859">
        <f t="shared" si="140"/>
        <v>8613</v>
      </c>
      <c r="B8614" s="845" t="s">
        <v>2564</v>
      </c>
      <c r="C8614" s="1007">
        <f t="shared" si="139"/>
        <v>9</v>
      </c>
      <c r="D8614" s="1012"/>
      <c r="H8614" s="1011" t="s">
        <v>1007</v>
      </c>
      <c r="K8614" s="1013"/>
    </row>
    <row r="8615" spans="1:11" s="1011" customFormat="1" ht="15" x14ac:dyDescent="0.25">
      <c r="A8615" s="859">
        <f t="shared" si="140"/>
        <v>8614</v>
      </c>
      <c r="B8615" s="845" t="s">
        <v>2564</v>
      </c>
      <c r="C8615" s="1007">
        <f t="shared" si="139"/>
        <v>9</v>
      </c>
      <c r="D8615" s="1014"/>
      <c r="I8615" s="1011" t="s">
        <v>2179</v>
      </c>
      <c r="K8615" s="1013"/>
    </row>
    <row r="8616" spans="1:11" s="1011" customFormat="1" ht="15" x14ac:dyDescent="0.25">
      <c r="A8616" s="859">
        <f t="shared" si="140"/>
        <v>8615</v>
      </c>
      <c r="B8616" s="845" t="s">
        <v>2564</v>
      </c>
      <c r="C8616" s="1007">
        <f t="shared" si="139"/>
        <v>9</v>
      </c>
      <c r="D8616" s="1014"/>
      <c r="I8616" s="1011" t="str">
        <f>CONCATENATE("&lt;valeur&gt;",VLOOKUP(C8616,'T16 Amort'!A:K,7,0),"&lt;/valeur&gt;")</f>
        <v>&lt;valeur&gt;&lt;/valeur&gt;</v>
      </c>
      <c r="K8616" s="1013"/>
    </row>
    <row r="8617" spans="1:11" s="1011" customFormat="1" ht="15" x14ac:dyDescent="0.25">
      <c r="A8617" s="859">
        <f t="shared" si="140"/>
        <v>8616</v>
      </c>
      <c r="B8617" s="845" t="s">
        <v>2564</v>
      </c>
      <c r="C8617" s="1007">
        <f t="shared" si="139"/>
        <v>9</v>
      </c>
      <c r="D8617" s="1012"/>
      <c r="I8617" s="1011" t="str">
        <f>CONCATENATE("&lt;numeroLigne&gt;",C8617,"&lt;/numeroLigne&gt;")</f>
        <v>&lt;numeroLigne&gt;9&lt;/numeroLigne&gt;</v>
      </c>
      <c r="K8617" s="1013"/>
    </row>
    <row r="8618" spans="1:11" s="1011" customFormat="1" ht="15" x14ac:dyDescent="0.25">
      <c r="A8618" s="859">
        <f t="shared" si="140"/>
        <v>8617</v>
      </c>
      <c r="B8618" s="845" t="s">
        <v>2564</v>
      </c>
      <c r="C8618" s="1007">
        <f t="shared" si="139"/>
        <v>9</v>
      </c>
      <c r="D8618" s="1015"/>
      <c r="H8618" s="1011" t="s">
        <v>1010</v>
      </c>
      <c r="K8618" s="1013"/>
    </row>
    <row r="8619" spans="1:11" s="1011" customFormat="1" ht="15" x14ac:dyDescent="0.25">
      <c r="A8619" s="859">
        <f t="shared" si="140"/>
        <v>8618</v>
      </c>
      <c r="B8619" s="845" t="s">
        <v>2564</v>
      </c>
      <c r="C8619" s="1007">
        <f t="shared" si="139"/>
        <v>9</v>
      </c>
      <c r="D8619" s="1012"/>
      <c r="H8619" s="1011" t="s">
        <v>1007</v>
      </c>
      <c r="K8619" s="1013"/>
    </row>
    <row r="8620" spans="1:11" s="1011" customFormat="1" ht="15" x14ac:dyDescent="0.25">
      <c r="A8620" s="859">
        <f t="shared" si="140"/>
        <v>8619</v>
      </c>
      <c r="B8620" s="845" t="s">
        <v>2564</v>
      </c>
      <c r="C8620" s="1007">
        <f t="shared" si="139"/>
        <v>9</v>
      </c>
      <c r="D8620" s="1012"/>
      <c r="I8620" s="1011" t="s">
        <v>2180</v>
      </c>
      <c r="K8620" s="1013"/>
    </row>
    <row r="8621" spans="1:11" s="1011" customFormat="1" ht="15" x14ac:dyDescent="0.25">
      <c r="A8621" s="859">
        <f t="shared" si="140"/>
        <v>8620</v>
      </c>
      <c r="B8621" s="845" t="s">
        <v>2564</v>
      </c>
      <c r="C8621" s="1007">
        <f t="shared" si="139"/>
        <v>9</v>
      </c>
      <c r="D8621" s="1014"/>
      <c r="I8621" s="1011" t="str">
        <f>CONCATENATE("&lt;valeur&gt;",VLOOKUP(C8621,'T16 Amort'!A:K,8,0),"&lt;/valeur&gt;")</f>
        <v>&lt;valeur&gt;&lt;/valeur&gt;</v>
      </c>
      <c r="K8621" s="1013"/>
    </row>
    <row r="8622" spans="1:11" s="1011" customFormat="1" ht="15" x14ac:dyDescent="0.25">
      <c r="A8622" s="859">
        <f t="shared" si="140"/>
        <v>8621</v>
      </c>
      <c r="B8622" s="845" t="s">
        <v>2564</v>
      </c>
      <c r="C8622" s="1007">
        <f t="shared" si="139"/>
        <v>9</v>
      </c>
      <c r="D8622" s="1014"/>
      <c r="I8622" s="1011" t="str">
        <f>CONCATENATE("&lt;numeroLigne&gt;",C8622,"&lt;/numeroLigne&gt;")</f>
        <v>&lt;numeroLigne&gt;9&lt;/numeroLigne&gt;</v>
      </c>
      <c r="K8622" s="1013"/>
    </row>
    <row r="8623" spans="1:11" s="1011" customFormat="1" ht="15" x14ac:dyDescent="0.25">
      <c r="A8623" s="859">
        <f t="shared" si="140"/>
        <v>8622</v>
      </c>
      <c r="B8623" s="845" t="s">
        <v>2564</v>
      </c>
      <c r="C8623" s="1007">
        <f t="shared" ref="C8623:C8686" si="141">C8573+1</f>
        <v>9</v>
      </c>
      <c r="D8623" s="1012"/>
      <c r="H8623" s="1011" t="s">
        <v>1010</v>
      </c>
      <c r="K8623" s="1013"/>
    </row>
    <row r="8624" spans="1:11" s="1011" customFormat="1" ht="15" x14ac:dyDescent="0.25">
      <c r="A8624" s="859">
        <f t="shared" si="140"/>
        <v>8623</v>
      </c>
      <c r="B8624" s="845" t="s">
        <v>2564</v>
      </c>
      <c r="C8624" s="1007">
        <f t="shared" si="141"/>
        <v>9</v>
      </c>
      <c r="D8624" s="1015"/>
      <c r="H8624" s="1011" t="s">
        <v>1007</v>
      </c>
      <c r="K8624" s="1013"/>
    </row>
    <row r="8625" spans="1:11" s="1011" customFormat="1" ht="15" x14ac:dyDescent="0.25">
      <c r="A8625" s="859">
        <f t="shared" si="140"/>
        <v>8624</v>
      </c>
      <c r="B8625" s="845" t="s">
        <v>2564</v>
      </c>
      <c r="C8625" s="1007">
        <f t="shared" si="141"/>
        <v>9</v>
      </c>
      <c r="D8625" s="1012"/>
      <c r="I8625" s="1011" t="s">
        <v>2181</v>
      </c>
      <c r="K8625" s="1013"/>
    </row>
    <row r="8626" spans="1:11" s="1011" customFormat="1" ht="15" x14ac:dyDescent="0.25">
      <c r="A8626" s="859">
        <f t="shared" si="140"/>
        <v>8625</v>
      </c>
      <c r="B8626" s="845" t="s">
        <v>2564</v>
      </c>
      <c r="C8626" s="1007">
        <f t="shared" si="141"/>
        <v>9</v>
      </c>
      <c r="D8626" s="1012"/>
      <c r="I8626" s="1011" t="str">
        <f>CONCATENATE("&lt;valeur&gt;",VLOOKUP(C8626,'T16 Amort'!A:K,9,0),"&lt;/valeur&gt;")</f>
        <v>&lt;valeur&gt;&lt;/valeur&gt;</v>
      </c>
      <c r="K8626" s="1013"/>
    </row>
    <row r="8627" spans="1:11" s="1011" customFormat="1" ht="15" x14ac:dyDescent="0.25">
      <c r="A8627" s="859">
        <f t="shared" si="140"/>
        <v>8626</v>
      </c>
      <c r="B8627" s="845" t="s">
        <v>2564</v>
      </c>
      <c r="C8627" s="1007">
        <f t="shared" si="141"/>
        <v>9</v>
      </c>
      <c r="D8627" s="1014"/>
      <c r="I8627" s="1011" t="str">
        <f>CONCATENATE("&lt;numeroLigne&gt;",C8627,"&lt;/numeroLigne&gt;")</f>
        <v>&lt;numeroLigne&gt;9&lt;/numeroLigne&gt;</v>
      </c>
      <c r="K8627" s="1013"/>
    </row>
    <row r="8628" spans="1:11" s="1011" customFormat="1" ht="15" x14ac:dyDescent="0.25">
      <c r="A8628" s="859">
        <f t="shared" si="140"/>
        <v>8627</v>
      </c>
      <c r="B8628" s="845" t="s">
        <v>2564</v>
      </c>
      <c r="C8628" s="1007">
        <f t="shared" si="141"/>
        <v>9</v>
      </c>
      <c r="D8628" s="1014"/>
      <c r="H8628" s="1011" t="s">
        <v>1010</v>
      </c>
      <c r="K8628" s="1013"/>
    </row>
    <row r="8629" spans="1:11" s="1011" customFormat="1" ht="15" x14ac:dyDescent="0.25">
      <c r="A8629" s="859">
        <f t="shared" si="140"/>
        <v>8628</v>
      </c>
      <c r="B8629" s="845" t="s">
        <v>2564</v>
      </c>
      <c r="C8629" s="1007">
        <f t="shared" si="141"/>
        <v>9</v>
      </c>
      <c r="D8629" s="1012"/>
      <c r="H8629" s="1011" t="s">
        <v>1007</v>
      </c>
      <c r="K8629" s="1013"/>
    </row>
    <row r="8630" spans="1:11" s="1011" customFormat="1" ht="15" x14ac:dyDescent="0.25">
      <c r="A8630" s="859">
        <f t="shared" si="140"/>
        <v>8629</v>
      </c>
      <c r="B8630" s="845" t="s">
        <v>2564</v>
      </c>
      <c r="C8630" s="1007">
        <f t="shared" si="141"/>
        <v>9</v>
      </c>
      <c r="D8630" s="1015"/>
      <c r="I8630" s="1011" t="s">
        <v>2182</v>
      </c>
      <c r="K8630" s="1013"/>
    </row>
    <row r="8631" spans="1:11" s="1011" customFormat="1" ht="15" x14ac:dyDescent="0.25">
      <c r="A8631" s="859">
        <f t="shared" si="140"/>
        <v>8630</v>
      </c>
      <c r="B8631" s="845" t="s">
        <v>2564</v>
      </c>
      <c r="C8631" s="1007">
        <f t="shared" si="141"/>
        <v>9</v>
      </c>
      <c r="D8631" s="1012"/>
      <c r="I8631" s="1011" t="str">
        <f>CONCATENATE("&lt;valeur&gt;",VLOOKUP(C8631,'T16 Amort'!A:K,10,0),"&lt;/valeur&gt;")</f>
        <v>&lt;valeur&gt;&lt;/valeur&gt;</v>
      </c>
      <c r="K8631" s="1013"/>
    </row>
    <row r="8632" spans="1:11" s="1011" customFormat="1" ht="15" x14ac:dyDescent="0.25">
      <c r="A8632" s="859">
        <f t="shared" si="140"/>
        <v>8631</v>
      </c>
      <c r="B8632" s="845" t="s">
        <v>2564</v>
      </c>
      <c r="C8632" s="1007">
        <f t="shared" si="141"/>
        <v>9</v>
      </c>
      <c r="D8632" s="1012"/>
      <c r="I8632" s="1011" t="str">
        <f>CONCATENATE("&lt;numeroLigne&gt;",C8632,"&lt;/numeroLigne&gt;")</f>
        <v>&lt;numeroLigne&gt;9&lt;/numeroLigne&gt;</v>
      </c>
      <c r="K8632" s="1013"/>
    </row>
    <row r="8633" spans="1:11" s="1011" customFormat="1" ht="15" x14ac:dyDescent="0.25">
      <c r="A8633" s="859">
        <f t="shared" si="140"/>
        <v>8632</v>
      </c>
      <c r="B8633" s="845" t="s">
        <v>2564</v>
      </c>
      <c r="C8633" s="1007">
        <f t="shared" si="141"/>
        <v>9</v>
      </c>
      <c r="D8633" s="1014"/>
      <c r="H8633" s="1011" t="s">
        <v>1010</v>
      </c>
      <c r="K8633" s="1013"/>
    </row>
    <row r="8634" spans="1:11" s="1011" customFormat="1" ht="15" x14ac:dyDescent="0.25">
      <c r="A8634" s="859">
        <f t="shared" si="140"/>
        <v>8633</v>
      </c>
      <c r="B8634" s="845" t="s">
        <v>2564</v>
      </c>
      <c r="C8634" s="1007">
        <f t="shared" si="141"/>
        <v>9</v>
      </c>
      <c r="D8634" s="1014"/>
      <c r="H8634" s="1011" t="s">
        <v>1007</v>
      </c>
      <c r="K8634" s="1013"/>
    </row>
    <row r="8635" spans="1:11" s="1011" customFormat="1" ht="15" x14ac:dyDescent="0.25">
      <c r="A8635" s="859">
        <f t="shared" si="140"/>
        <v>8634</v>
      </c>
      <c r="B8635" s="845" t="s">
        <v>2564</v>
      </c>
      <c r="C8635" s="1007">
        <f t="shared" si="141"/>
        <v>9</v>
      </c>
      <c r="D8635" s="1012"/>
      <c r="I8635" s="1011" t="s">
        <v>2183</v>
      </c>
      <c r="K8635" s="1013"/>
    </row>
    <row r="8636" spans="1:11" s="1011" customFormat="1" ht="15" x14ac:dyDescent="0.25">
      <c r="A8636" s="859">
        <f t="shared" si="140"/>
        <v>8635</v>
      </c>
      <c r="B8636" s="845" t="s">
        <v>2564</v>
      </c>
      <c r="C8636" s="1007">
        <f t="shared" si="141"/>
        <v>9</v>
      </c>
      <c r="D8636" s="1015"/>
      <c r="I8636" s="1011" t="str">
        <f>CONCATENATE("&lt;valeur&gt;",VLOOKUP(C8636,'T16 Amort'!A:K,11,0),"&lt;/valeur&gt;")</f>
        <v>&lt;valeur&gt;&lt;/valeur&gt;</v>
      </c>
      <c r="K8636" s="1013"/>
    </row>
    <row r="8637" spans="1:11" s="1011" customFormat="1" ht="15" x14ac:dyDescent="0.25">
      <c r="A8637" s="859">
        <f t="shared" si="140"/>
        <v>8636</v>
      </c>
      <c r="B8637" s="845" t="s">
        <v>2564</v>
      </c>
      <c r="C8637" s="1007">
        <f t="shared" si="141"/>
        <v>9</v>
      </c>
      <c r="D8637" s="1012"/>
      <c r="I8637" s="1011" t="str">
        <f>CONCATENATE("&lt;numeroLigne&gt;",C8637,"&lt;/numeroLigne&gt;")</f>
        <v>&lt;numeroLigne&gt;9&lt;/numeroLigne&gt;</v>
      </c>
      <c r="K8637" s="1013"/>
    </row>
    <row r="8638" spans="1:11" s="1011" customFormat="1" ht="15" x14ac:dyDescent="0.25">
      <c r="A8638" s="859">
        <f t="shared" si="140"/>
        <v>8637</v>
      </c>
      <c r="B8638" s="845" t="s">
        <v>2564</v>
      </c>
      <c r="C8638" s="1007">
        <f t="shared" si="141"/>
        <v>9</v>
      </c>
      <c r="D8638" s="1016"/>
      <c r="E8638" s="1017"/>
      <c r="F8638" s="1017"/>
      <c r="G8638" s="1017"/>
      <c r="H8638" s="1017" t="s">
        <v>1010</v>
      </c>
      <c r="I8638" s="1017"/>
      <c r="J8638" s="1017"/>
      <c r="K8638" s="1018"/>
    </row>
    <row r="8639" spans="1:11" s="1011" customFormat="1" ht="15" x14ac:dyDescent="0.25">
      <c r="A8639" s="859">
        <f t="shared" si="140"/>
        <v>8638</v>
      </c>
      <c r="B8639" s="845" t="s">
        <v>2564</v>
      </c>
      <c r="C8639" s="1007">
        <f t="shared" si="141"/>
        <v>10</v>
      </c>
      <c r="D8639" s="1008"/>
      <c r="E8639" s="1009"/>
      <c r="F8639" s="1009"/>
      <c r="G8639" s="1009"/>
      <c r="H8639" s="1009" t="s">
        <v>1007</v>
      </c>
      <c r="I8639" s="1009"/>
      <c r="J8639" s="1009"/>
      <c r="K8639" s="1010"/>
    </row>
    <row r="8640" spans="1:11" s="1011" customFormat="1" ht="15" x14ac:dyDescent="0.25">
      <c r="A8640" s="859">
        <f t="shared" si="140"/>
        <v>8639</v>
      </c>
      <c r="B8640" s="845" t="s">
        <v>2564</v>
      </c>
      <c r="C8640" s="1007">
        <f t="shared" si="141"/>
        <v>10</v>
      </c>
      <c r="D8640" s="1012"/>
      <c r="I8640" s="1011" t="s">
        <v>2174</v>
      </c>
      <c r="K8640" s="1013"/>
    </row>
    <row r="8641" spans="1:11" s="1011" customFormat="1" ht="15" x14ac:dyDescent="0.25">
      <c r="A8641" s="859">
        <f t="shared" si="140"/>
        <v>8640</v>
      </c>
      <c r="B8641" s="845" t="s">
        <v>2564</v>
      </c>
      <c r="C8641" s="1007">
        <f t="shared" si="141"/>
        <v>10</v>
      </c>
      <c r="D8641" s="1014"/>
      <c r="I8641" s="1011" t="str">
        <f>CONCATENATE("&lt;valeur&gt;",VLOOKUP(C8641,'T16 Amort'!A:K,2,0),"&lt;/valeur&gt;")</f>
        <v>&lt;valeur&gt;&lt;/valeur&gt;</v>
      </c>
      <c r="K8641" s="1013"/>
    </row>
    <row r="8642" spans="1:11" s="1011" customFormat="1" ht="15" x14ac:dyDescent="0.25">
      <c r="A8642" s="859">
        <f t="shared" si="140"/>
        <v>8641</v>
      </c>
      <c r="B8642" s="845" t="s">
        <v>2564</v>
      </c>
      <c r="C8642" s="1007">
        <f t="shared" si="141"/>
        <v>10</v>
      </c>
      <c r="D8642" s="1014"/>
      <c r="I8642" s="1011" t="str">
        <f>CONCATENATE("&lt;numeroLigne&gt;",C8642,"&lt;/numeroLigne&gt;")</f>
        <v>&lt;numeroLigne&gt;10&lt;/numeroLigne&gt;</v>
      </c>
      <c r="K8642" s="1013"/>
    </row>
    <row r="8643" spans="1:11" s="1011" customFormat="1" ht="15" x14ac:dyDescent="0.25">
      <c r="A8643" s="859">
        <f t="shared" si="140"/>
        <v>8642</v>
      </c>
      <c r="B8643" s="845" t="s">
        <v>2564</v>
      </c>
      <c r="C8643" s="1007">
        <f t="shared" si="141"/>
        <v>10</v>
      </c>
      <c r="D8643" s="1012"/>
      <c r="H8643" s="1011" t="s">
        <v>1010</v>
      </c>
      <c r="K8643" s="1013"/>
    </row>
    <row r="8644" spans="1:11" s="1011" customFormat="1" ht="15" x14ac:dyDescent="0.25">
      <c r="A8644" s="859">
        <f t="shared" ref="A8644:A8707" si="142">+A8643+1</f>
        <v>8643</v>
      </c>
      <c r="B8644" s="845" t="s">
        <v>2564</v>
      </c>
      <c r="C8644" s="1007">
        <f t="shared" si="141"/>
        <v>10</v>
      </c>
      <c r="D8644" s="1015"/>
      <c r="H8644" s="1011" t="s">
        <v>1007</v>
      </c>
      <c r="K8644" s="1013"/>
    </row>
    <row r="8645" spans="1:11" s="1011" customFormat="1" ht="15" x14ac:dyDescent="0.25">
      <c r="A8645" s="859">
        <f t="shared" si="142"/>
        <v>8644</v>
      </c>
      <c r="B8645" s="845" t="s">
        <v>2564</v>
      </c>
      <c r="C8645" s="1007">
        <f t="shared" si="141"/>
        <v>10</v>
      </c>
      <c r="D8645" s="1012"/>
      <c r="I8645" s="1011" t="s">
        <v>2175</v>
      </c>
      <c r="K8645" s="1013"/>
    </row>
    <row r="8646" spans="1:11" s="1011" customFormat="1" ht="15" x14ac:dyDescent="0.25">
      <c r="A8646" s="859">
        <f t="shared" si="142"/>
        <v>8645</v>
      </c>
      <c r="B8646" s="845" t="s">
        <v>2564</v>
      </c>
      <c r="C8646" s="1007">
        <f t="shared" si="141"/>
        <v>10</v>
      </c>
      <c r="D8646" s="1012"/>
      <c r="I8646" s="1011" t="str">
        <f>CONCATENATE("&lt;valeur&gt;",VLOOKUP(C8646,'T16 Amort'!A:K,3,0),"&lt;/valeur&gt;")</f>
        <v>&lt;valeur&gt;&lt;/valeur&gt;</v>
      </c>
      <c r="K8646" s="1013"/>
    </row>
    <row r="8647" spans="1:11" s="1011" customFormat="1" ht="15" x14ac:dyDescent="0.25">
      <c r="A8647" s="859">
        <f t="shared" si="142"/>
        <v>8646</v>
      </c>
      <c r="B8647" s="845" t="s">
        <v>2564</v>
      </c>
      <c r="C8647" s="1007">
        <f t="shared" si="141"/>
        <v>10</v>
      </c>
      <c r="D8647" s="1014"/>
      <c r="I8647" s="1011" t="str">
        <f>CONCATENATE("&lt;numeroLigne&gt;",C8647,"&lt;/numeroLigne&gt;")</f>
        <v>&lt;numeroLigne&gt;10&lt;/numeroLigne&gt;</v>
      </c>
      <c r="K8647" s="1013"/>
    </row>
    <row r="8648" spans="1:11" s="1011" customFormat="1" ht="15" x14ac:dyDescent="0.25">
      <c r="A8648" s="859">
        <f t="shared" si="142"/>
        <v>8647</v>
      </c>
      <c r="B8648" s="845" t="s">
        <v>2564</v>
      </c>
      <c r="C8648" s="1007">
        <f t="shared" si="141"/>
        <v>10</v>
      </c>
      <c r="D8648" s="1014"/>
      <c r="H8648" s="1011" t="s">
        <v>1010</v>
      </c>
      <c r="K8648" s="1013"/>
    </row>
    <row r="8649" spans="1:11" s="1011" customFormat="1" ht="15" x14ac:dyDescent="0.25">
      <c r="A8649" s="859">
        <f t="shared" si="142"/>
        <v>8648</v>
      </c>
      <c r="B8649" s="845" t="s">
        <v>2564</v>
      </c>
      <c r="C8649" s="1007">
        <f t="shared" si="141"/>
        <v>10</v>
      </c>
      <c r="D8649" s="1012"/>
      <c r="H8649" s="1011" t="s">
        <v>1007</v>
      </c>
      <c r="K8649" s="1013"/>
    </row>
    <row r="8650" spans="1:11" s="1011" customFormat="1" ht="15" x14ac:dyDescent="0.25">
      <c r="A8650" s="859">
        <f t="shared" si="142"/>
        <v>8649</v>
      </c>
      <c r="B8650" s="845" t="s">
        <v>2564</v>
      </c>
      <c r="C8650" s="1007">
        <f t="shared" si="141"/>
        <v>10</v>
      </c>
      <c r="D8650" s="1015"/>
      <c r="I8650" s="1011" t="s">
        <v>2176</v>
      </c>
      <c r="K8650" s="1013"/>
    </row>
    <row r="8651" spans="1:11" s="1011" customFormat="1" ht="15" x14ac:dyDescent="0.25">
      <c r="A8651" s="859">
        <f t="shared" si="142"/>
        <v>8650</v>
      </c>
      <c r="B8651" s="845" t="s">
        <v>2564</v>
      </c>
      <c r="C8651" s="1007">
        <f t="shared" si="141"/>
        <v>10</v>
      </c>
      <c r="D8651" s="1012"/>
      <c r="I8651" s="1011" t="str">
        <f>CONCATENATE("&lt;valeur&gt;",VLOOKUP(C8651,'T16 Amort'!A:K,4,0),"&lt;/valeur&gt;")</f>
        <v>&lt;valeur&gt;&lt;/valeur&gt;</v>
      </c>
      <c r="K8651" s="1013"/>
    </row>
    <row r="8652" spans="1:11" s="1011" customFormat="1" ht="15" x14ac:dyDescent="0.25">
      <c r="A8652" s="859">
        <f t="shared" si="142"/>
        <v>8651</v>
      </c>
      <c r="B8652" s="845" t="s">
        <v>2564</v>
      </c>
      <c r="C8652" s="1007">
        <f t="shared" si="141"/>
        <v>10</v>
      </c>
      <c r="D8652" s="1012"/>
      <c r="I8652" s="1011" t="str">
        <f>CONCATENATE("&lt;numeroLigne&gt;",C8652,"&lt;/numeroLigne&gt;")</f>
        <v>&lt;numeroLigne&gt;10&lt;/numeroLigne&gt;</v>
      </c>
      <c r="K8652" s="1013"/>
    </row>
    <row r="8653" spans="1:11" s="1011" customFormat="1" ht="15" x14ac:dyDescent="0.25">
      <c r="A8653" s="859">
        <f t="shared" si="142"/>
        <v>8652</v>
      </c>
      <c r="B8653" s="845" t="s">
        <v>2564</v>
      </c>
      <c r="C8653" s="1007">
        <f t="shared" si="141"/>
        <v>10</v>
      </c>
      <c r="D8653" s="1014"/>
      <c r="H8653" s="1011" t="s">
        <v>1010</v>
      </c>
      <c r="K8653" s="1013"/>
    </row>
    <row r="8654" spans="1:11" s="1011" customFormat="1" ht="15" x14ac:dyDescent="0.25">
      <c r="A8654" s="859">
        <f t="shared" si="142"/>
        <v>8653</v>
      </c>
      <c r="B8654" s="845" t="s">
        <v>2564</v>
      </c>
      <c r="C8654" s="1007">
        <f t="shared" si="141"/>
        <v>10</v>
      </c>
      <c r="D8654" s="1014"/>
      <c r="H8654" s="1011" t="s">
        <v>1007</v>
      </c>
      <c r="K8654" s="1013"/>
    </row>
    <row r="8655" spans="1:11" s="1011" customFormat="1" ht="15" x14ac:dyDescent="0.25">
      <c r="A8655" s="859">
        <f t="shared" si="142"/>
        <v>8654</v>
      </c>
      <c r="B8655" s="845" t="s">
        <v>2564</v>
      </c>
      <c r="C8655" s="1007">
        <f t="shared" si="141"/>
        <v>10</v>
      </c>
      <c r="D8655" s="1012"/>
      <c r="I8655" s="1011" t="s">
        <v>2177</v>
      </c>
      <c r="K8655" s="1013"/>
    </row>
    <row r="8656" spans="1:11" s="1011" customFormat="1" ht="15" x14ac:dyDescent="0.25">
      <c r="A8656" s="859">
        <f t="shared" si="142"/>
        <v>8655</v>
      </c>
      <c r="B8656" s="845" t="s">
        <v>2564</v>
      </c>
      <c r="C8656" s="1007">
        <f t="shared" si="141"/>
        <v>10</v>
      </c>
      <c r="D8656" s="1015"/>
      <c r="I8656" s="1011" t="str">
        <f>CONCATENATE("&lt;valeur&gt;",VLOOKUP(C8656,'T16 Amort'!A:K,5,0),"&lt;/valeur&gt;")</f>
        <v>&lt;valeur&gt;&lt;/valeur&gt;</v>
      </c>
      <c r="K8656" s="1013"/>
    </row>
    <row r="8657" spans="1:11" s="1011" customFormat="1" ht="15" x14ac:dyDescent="0.25">
      <c r="A8657" s="859">
        <f t="shared" si="142"/>
        <v>8656</v>
      </c>
      <c r="B8657" s="845" t="s">
        <v>2564</v>
      </c>
      <c r="C8657" s="1007">
        <f t="shared" si="141"/>
        <v>10</v>
      </c>
      <c r="D8657" s="1012"/>
      <c r="I8657" s="1011" t="str">
        <f>CONCATENATE("&lt;numeroLigne&gt;",C8657,"&lt;/numeroLigne&gt;")</f>
        <v>&lt;numeroLigne&gt;10&lt;/numeroLigne&gt;</v>
      </c>
      <c r="K8657" s="1013"/>
    </row>
    <row r="8658" spans="1:11" s="1011" customFormat="1" ht="15" x14ac:dyDescent="0.25">
      <c r="A8658" s="859">
        <f t="shared" si="142"/>
        <v>8657</v>
      </c>
      <c r="B8658" s="845" t="s">
        <v>2564</v>
      </c>
      <c r="C8658" s="1007">
        <f t="shared" si="141"/>
        <v>10</v>
      </c>
      <c r="D8658" s="1012"/>
      <c r="H8658" s="1011" t="s">
        <v>1010</v>
      </c>
      <c r="K8658" s="1013"/>
    </row>
    <row r="8659" spans="1:11" s="1011" customFormat="1" ht="15" x14ac:dyDescent="0.25">
      <c r="A8659" s="859">
        <f t="shared" si="142"/>
        <v>8658</v>
      </c>
      <c r="B8659" s="845" t="s">
        <v>2564</v>
      </c>
      <c r="C8659" s="1007">
        <f t="shared" si="141"/>
        <v>10</v>
      </c>
      <c r="D8659" s="1014"/>
      <c r="H8659" s="1011" t="s">
        <v>1007</v>
      </c>
      <c r="K8659" s="1013"/>
    </row>
    <row r="8660" spans="1:11" s="1011" customFormat="1" ht="15" x14ac:dyDescent="0.25">
      <c r="A8660" s="859">
        <f t="shared" si="142"/>
        <v>8659</v>
      </c>
      <c r="B8660" s="845" t="s">
        <v>2564</v>
      </c>
      <c r="C8660" s="1007">
        <f t="shared" si="141"/>
        <v>10</v>
      </c>
      <c r="D8660" s="1014"/>
      <c r="I8660" s="1011" t="s">
        <v>2178</v>
      </c>
      <c r="K8660" s="1013"/>
    </row>
    <row r="8661" spans="1:11" s="1011" customFormat="1" ht="15" x14ac:dyDescent="0.25">
      <c r="A8661" s="859">
        <f t="shared" si="142"/>
        <v>8660</v>
      </c>
      <c r="B8661" s="845" t="s">
        <v>2564</v>
      </c>
      <c r="C8661" s="1007">
        <f t="shared" si="141"/>
        <v>10</v>
      </c>
      <c r="D8661" s="1012"/>
      <c r="I8661" s="1011" t="str">
        <f>CONCATENATE("&lt;valeur&gt;",VLOOKUP(C8661,'T16 Amort'!A:K,6,0),"&lt;/valeur&gt;")</f>
        <v>&lt;valeur&gt;&lt;/valeur&gt;</v>
      </c>
      <c r="K8661" s="1013"/>
    </row>
    <row r="8662" spans="1:11" s="1011" customFormat="1" ht="15" x14ac:dyDescent="0.25">
      <c r="A8662" s="859">
        <f t="shared" si="142"/>
        <v>8661</v>
      </c>
      <c r="B8662" s="845" t="s">
        <v>2564</v>
      </c>
      <c r="C8662" s="1007">
        <f t="shared" si="141"/>
        <v>10</v>
      </c>
      <c r="D8662" s="1015"/>
      <c r="I8662" s="1011" t="str">
        <f>CONCATENATE("&lt;numeroLigne&gt;",C8662,"&lt;/numeroLigne&gt;")</f>
        <v>&lt;numeroLigne&gt;10&lt;/numeroLigne&gt;</v>
      </c>
      <c r="K8662" s="1013"/>
    </row>
    <row r="8663" spans="1:11" s="1011" customFormat="1" ht="15" x14ac:dyDescent="0.25">
      <c r="A8663" s="859">
        <f t="shared" si="142"/>
        <v>8662</v>
      </c>
      <c r="B8663" s="845" t="s">
        <v>2564</v>
      </c>
      <c r="C8663" s="1007">
        <f t="shared" si="141"/>
        <v>10</v>
      </c>
      <c r="D8663" s="1012"/>
      <c r="H8663" s="1011" t="s">
        <v>1010</v>
      </c>
      <c r="K8663" s="1013"/>
    </row>
    <row r="8664" spans="1:11" s="1011" customFormat="1" ht="15" x14ac:dyDescent="0.25">
      <c r="A8664" s="859">
        <f t="shared" si="142"/>
        <v>8663</v>
      </c>
      <c r="B8664" s="845" t="s">
        <v>2564</v>
      </c>
      <c r="C8664" s="1007">
        <f t="shared" si="141"/>
        <v>10</v>
      </c>
      <c r="D8664" s="1012"/>
      <c r="H8664" s="1011" t="s">
        <v>1007</v>
      </c>
      <c r="K8664" s="1013"/>
    </row>
    <row r="8665" spans="1:11" s="1011" customFormat="1" ht="15" x14ac:dyDescent="0.25">
      <c r="A8665" s="859">
        <f t="shared" si="142"/>
        <v>8664</v>
      </c>
      <c r="B8665" s="845" t="s">
        <v>2564</v>
      </c>
      <c r="C8665" s="1007">
        <f t="shared" si="141"/>
        <v>10</v>
      </c>
      <c r="D8665" s="1014"/>
      <c r="I8665" s="1011" t="s">
        <v>2179</v>
      </c>
      <c r="K8665" s="1013"/>
    </row>
    <row r="8666" spans="1:11" s="1011" customFormat="1" ht="15" x14ac:dyDescent="0.25">
      <c r="A8666" s="859">
        <f t="shared" si="142"/>
        <v>8665</v>
      </c>
      <c r="B8666" s="845" t="s">
        <v>2564</v>
      </c>
      <c r="C8666" s="1007">
        <f t="shared" si="141"/>
        <v>10</v>
      </c>
      <c r="D8666" s="1014"/>
      <c r="I8666" s="1011" t="str">
        <f>CONCATENATE("&lt;valeur&gt;",VLOOKUP(C8666,'T16 Amort'!A:K,7,0),"&lt;/valeur&gt;")</f>
        <v>&lt;valeur&gt;&lt;/valeur&gt;</v>
      </c>
      <c r="K8666" s="1013"/>
    </row>
    <row r="8667" spans="1:11" s="1011" customFormat="1" ht="15" x14ac:dyDescent="0.25">
      <c r="A8667" s="859">
        <f t="shared" si="142"/>
        <v>8666</v>
      </c>
      <c r="B8667" s="845" t="s">
        <v>2564</v>
      </c>
      <c r="C8667" s="1007">
        <f t="shared" si="141"/>
        <v>10</v>
      </c>
      <c r="D8667" s="1012"/>
      <c r="I8667" s="1011" t="str">
        <f>CONCATENATE("&lt;numeroLigne&gt;",C8667,"&lt;/numeroLigne&gt;")</f>
        <v>&lt;numeroLigne&gt;10&lt;/numeroLigne&gt;</v>
      </c>
      <c r="K8667" s="1013"/>
    </row>
    <row r="8668" spans="1:11" s="1011" customFormat="1" ht="15" x14ac:dyDescent="0.25">
      <c r="A8668" s="859">
        <f t="shared" si="142"/>
        <v>8667</v>
      </c>
      <c r="B8668" s="845" t="s">
        <v>2564</v>
      </c>
      <c r="C8668" s="1007">
        <f t="shared" si="141"/>
        <v>10</v>
      </c>
      <c r="D8668" s="1015"/>
      <c r="H8668" s="1011" t="s">
        <v>1010</v>
      </c>
      <c r="K8668" s="1013"/>
    </row>
    <row r="8669" spans="1:11" s="1011" customFormat="1" ht="15" x14ac:dyDescent="0.25">
      <c r="A8669" s="859">
        <f t="shared" si="142"/>
        <v>8668</v>
      </c>
      <c r="B8669" s="845" t="s">
        <v>2564</v>
      </c>
      <c r="C8669" s="1007">
        <f t="shared" si="141"/>
        <v>10</v>
      </c>
      <c r="D8669" s="1012"/>
      <c r="H8669" s="1011" t="s">
        <v>1007</v>
      </c>
      <c r="K8669" s="1013"/>
    </row>
    <row r="8670" spans="1:11" s="1011" customFormat="1" ht="15" x14ac:dyDescent="0.25">
      <c r="A8670" s="859">
        <f t="shared" si="142"/>
        <v>8669</v>
      </c>
      <c r="B8670" s="845" t="s">
        <v>2564</v>
      </c>
      <c r="C8670" s="1007">
        <f t="shared" si="141"/>
        <v>10</v>
      </c>
      <c r="D8670" s="1012"/>
      <c r="I8670" s="1011" t="s">
        <v>2180</v>
      </c>
      <c r="K8670" s="1013"/>
    </row>
    <row r="8671" spans="1:11" s="1011" customFormat="1" ht="15" x14ac:dyDescent="0.25">
      <c r="A8671" s="859">
        <f t="shared" si="142"/>
        <v>8670</v>
      </c>
      <c r="B8671" s="845" t="s">
        <v>2564</v>
      </c>
      <c r="C8671" s="1007">
        <f t="shared" si="141"/>
        <v>10</v>
      </c>
      <c r="D8671" s="1014"/>
      <c r="I8671" s="1011" t="str">
        <f>CONCATENATE("&lt;valeur&gt;",VLOOKUP(C8671,'T16 Amort'!A:K,8,0),"&lt;/valeur&gt;")</f>
        <v>&lt;valeur&gt;&lt;/valeur&gt;</v>
      </c>
      <c r="K8671" s="1013"/>
    </row>
    <row r="8672" spans="1:11" s="1011" customFormat="1" ht="15" x14ac:dyDescent="0.25">
      <c r="A8672" s="859">
        <f t="shared" si="142"/>
        <v>8671</v>
      </c>
      <c r="B8672" s="845" t="s">
        <v>2564</v>
      </c>
      <c r="C8672" s="1007">
        <f t="shared" si="141"/>
        <v>10</v>
      </c>
      <c r="D8672" s="1014"/>
      <c r="I8672" s="1011" t="str">
        <f>CONCATENATE("&lt;numeroLigne&gt;",C8672,"&lt;/numeroLigne&gt;")</f>
        <v>&lt;numeroLigne&gt;10&lt;/numeroLigne&gt;</v>
      </c>
      <c r="K8672" s="1013"/>
    </row>
    <row r="8673" spans="1:11" s="1011" customFormat="1" ht="15" x14ac:dyDescent="0.25">
      <c r="A8673" s="859">
        <f t="shared" si="142"/>
        <v>8672</v>
      </c>
      <c r="B8673" s="845" t="s">
        <v>2564</v>
      </c>
      <c r="C8673" s="1007">
        <f t="shared" si="141"/>
        <v>10</v>
      </c>
      <c r="D8673" s="1012"/>
      <c r="H8673" s="1011" t="s">
        <v>1010</v>
      </c>
      <c r="K8673" s="1013"/>
    </row>
    <row r="8674" spans="1:11" s="1011" customFormat="1" ht="15" x14ac:dyDescent="0.25">
      <c r="A8674" s="859">
        <f t="shared" si="142"/>
        <v>8673</v>
      </c>
      <c r="B8674" s="845" t="s">
        <v>2564</v>
      </c>
      <c r="C8674" s="1007">
        <f t="shared" si="141"/>
        <v>10</v>
      </c>
      <c r="D8674" s="1015"/>
      <c r="H8674" s="1011" t="s">
        <v>1007</v>
      </c>
      <c r="K8674" s="1013"/>
    </row>
    <row r="8675" spans="1:11" s="1011" customFormat="1" ht="15" x14ac:dyDescent="0.25">
      <c r="A8675" s="859">
        <f t="shared" si="142"/>
        <v>8674</v>
      </c>
      <c r="B8675" s="845" t="s">
        <v>2564</v>
      </c>
      <c r="C8675" s="1007">
        <f t="shared" si="141"/>
        <v>10</v>
      </c>
      <c r="D8675" s="1012"/>
      <c r="I8675" s="1011" t="s">
        <v>2181</v>
      </c>
      <c r="K8675" s="1013"/>
    </row>
    <row r="8676" spans="1:11" s="1011" customFormat="1" ht="15" x14ac:dyDescent="0.25">
      <c r="A8676" s="859">
        <f t="shared" si="142"/>
        <v>8675</v>
      </c>
      <c r="B8676" s="845" t="s">
        <v>2564</v>
      </c>
      <c r="C8676" s="1007">
        <f t="shared" si="141"/>
        <v>10</v>
      </c>
      <c r="D8676" s="1012"/>
      <c r="I8676" s="1011" t="str">
        <f>CONCATENATE("&lt;valeur&gt;",VLOOKUP(C8676,'T16 Amort'!A:K,9,0),"&lt;/valeur&gt;")</f>
        <v>&lt;valeur&gt;&lt;/valeur&gt;</v>
      </c>
      <c r="K8676" s="1013"/>
    </row>
    <row r="8677" spans="1:11" s="1011" customFormat="1" ht="15" x14ac:dyDescent="0.25">
      <c r="A8677" s="859">
        <f t="shared" si="142"/>
        <v>8676</v>
      </c>
      <c r="B8677" s="845" t="s">
        <v>2564</v>
      </c>
      <c r="C8677" s="1007">
        <f t="shared" si="141"/>
        <v>10</v>
      </c>
      <c r="D8677" s="1014"/>
      <c r="I8677" s="1011" t="str">
        <f>CONCATENATE("&lt;numeroLigne&gt;",C8677,"&lt;/numeroLigne&gt;")</f>
        <v>&lt;numeroLigne&gt;10&lt;/numeroLigne&gt;</v>
      </c>
      <c r="K8677" s="1013"/>
    </row>
    <row r="8678" spans="1:11" s="1011" customFormat="1" ht="15" x14ac:dyDescent="0.25">
      <c r="A8678" s="859">
        <f t="shared" si="142"/>
        <v>8677</v>
      </c>
      <c r="B8678" s="845" t="s">
        <v>2564</v>
      </c>
      <c r="C8678" s="1007">
        <f t="shared" si="141"/>
        <v>10</v>
      </c>
      <c r="D8678" s="1014"/>
      <c r="H8678" s="1011" t="s">
        <v>1010</v>
      </c>
      <c r="K8678" s="1013"/>
    </row>
    <row r="8679" spans="1:11" s="1011" customFormat="1" ht="15" x14ac:dyDescent="0.25">
      <c r="A8679" s="859">
        <f t="shared" si="142"/>
        <v>8678</v>
      </c>
      <c r="B8679" s="845" t="s">
        <v>2564</v>
      </c>
      <c r="C8679" s="1007">
        <f t="shared" si="141"/>
        <v>10</v>
      </c>
      <c r="D8679" s="1012"/>
      <c r="H8679" s="1011" t="s">
        <v>1007</v>
      </c>
      <c r="K8679" s="1013"/>
    </row>
    <row r="8680" spans="1:11" s="1011" customFormat="1" ht="15" x14ac:dyDescent="0.25">
      <c r="A8680" s="859">
        <f t="shared" si="142"/>
        <v>8679</v>
      </c>
      <c r="B8680" s="845" t="s">
        <v>2564</v>
      </c>
      <c r="C8680" s="1007">
        <f t="shared" si="141"/>
        <v>10</v>
      </c>
      <c r="D8680" s="1015"/>
      <c r="I8680" s="1011" t="s">
        <v>2182</v>
      </c>
      <c r="K8680" s="1013"/>
    </row>
    <row r="8681" spans="1:11" s="1011" customFormat="1" ht="15" x14ac:dyDescent="0.25">
      <c r="A8681" s="859">
        <f t="shared" si="142"/>
        <v>8680</v>
      </c>
      <c r="B8681" s="845" t="s">
        <v>2564</v>
      </c>
      <c r="C8681" s="1007">
        <f t="shared" si="141"/>
        <v>10</v>
      </c>
      <c r="D8681" s="1012"/>
      <c r="I8681" s="1011" t="str">
        <f>CONCATENATE("&lt;valeur&gt;",VLOOKUP(C8681,'T16 Amort'!A:K,10,0),"&lt;/valeur&gt;")</f>
        <v>&lt;valeur&gt;&lt;/valeur&gt;</v>
      </c>
      <c r="K8681" s="1013"/>
    </row>
    <row r="8682" spans="1:11" s="1011" customFormat="1" ht="15" x14ac:dyDescent="0.25">
      <c r="A8682" s="859">
        <f t="shared" si="142"/>
        <v>8681</v>
      </c>
      <c r="B8682" s="845" t="s">
        <v>2564</v>
      </c>
      <c r="C8682" s="1007">
        <f t="shared" si="141"/>
        <v>10</v>
      </c>
      <c r="D8682" s="1012"/>
      <c r="I8682" s="1011" t="str">
        <f>CONCATENATE("&lt;numeroLigne&gt;",C8682,"&lt;/numeroLigne&gt;")</f>
        <v>&lt;numeroLigne&gt;10&lt;/numeroLigne&gt;</v>
      </c>
      <c r="K8682" s="1013"/>
    </row>
    <row r="8683" spans="1:11" s="1011" customFormat="1" ht="15" x14ac:dyDescent="0.25">
      <c r="A8683" s="859">
        <f t="shared" si="142"/>
        <v>8682</v>
      </c>
      <c r="B8683" s="845" t="s">
        <v>2564</v>
      </c>
      <c r="C8683" s="1007">
        <f t="shared" si="141"/>
        <v>10</v>
      </c>
      <c r="D8683" s="1014"/>
      <c r="H8683" s="1011" t="s">
        <v>1010</v>
      </c>
      <c r="K8683" s="1013"/>
    </row>
    <row r="8684" spans="1:11" s="1011" customFormat="1" ht="15" x14ac:dyDescent="0.25">
      <c r="A8684" s="859">
        <f t="shared" si="142"/>
        <v>8683</v>
      </c>
      <c r="B8684" s="845" t="s">
        <v>2564</v>
      </c>
      <c r="C8684" s="1007">
        <f t="shared" si="141"/>
        <v>10</v>
      </c>
      <c r="D8684" s="1014"/>
      <c r="H8684" s="1011" t="s">
        <v>1007</v>
      </c>
      <c r="K8684" s="1013"/>
    </row>
    <row r="8685" spans="1:11" s="1011" customFormat="1" ht="15" x14ac:dyDescent="0.25">
      <c r="A8685" s="859">
        <f t="shared" si="142"/>
        <v>8684</v>
      </c>
      <c r="B8685" s="845" t="s">
        <v>2564</v>
      </c>
      <c r="C8685" s="1007">
        <f t="shared" si="141"/>
        <v>10</v>
      </c>
      <c r="D8685" s="1012"/>
      <c r="I8685" s="1011" t="s">
        <v>2183</v>
      </c>
      <c r="K8685" s="1013"/>
    </row>
    <row r="8686" spans="1:11" s="1011" customFormat="1" ht="15" x14ac:dyDescent="0.25">
      <c r="A8686" s="859">
        <f t="shared" si="142"/>
        <v>8685</v>
      </c>
      <c r="B8686" s="845" t="s">
        <v>2564</v>
      </c>
      <c r="C8686" s="1007">
        <f t="shared" si="141"/>
        <v>10</v>
      </c>
      <c r="D8686" s="1015"/>
      <c r="I8686" s="1011" t="str">
        <f>CONCATENATE("&lt;valeur&gt;",VLOOKUP(C8686,'T16 Amort'!A:K,11,0),"&lt;/valeur&gt;")</f>
        <v>&lt;valeur&gt;&lt;/valeur&gt;</v>
      </c>
      <c r="K8686" s="1013"/>
    </row>
    <row r="8687" spans="1:11" s="1011" customFormat="1" ht="15" x14ac:dyDescent="0.25">
      <c r="A8687" s="859">
        <f t="shared" si="142"/>
        <v>8686</v>
      </c>
      <c r="B8687" s="845" t="s">
        <v>2564</v>
      </c>
      <c r="C8687" s="1007">
        <f t="shared" ref="C8687:C8750" si="143">C8637+1</f>
        <v>10</v>
      </c>
      <c r="D8687" s="1012"/>
      <c r="I8687" s="1011" t="str">
        <f>CONCATENATE("&lt;numeroLigne&gt;",C8687,"&lt;/numeroLigne&gt;")</f>
        <v>&lt;numeroLigne&gt;10&lt;/numeroLigne&gt;</v>
      </c>
      <c r="K8687" s="1013"/>
    </row>
    <row r="8688" spans="1:11" s="1011" customFormat="1" ht="15" x14ac:dyDescent="0.25">
      <c r="A8688" s="859">
        <f t="shared" si="142"/>
        <v>8687</v>
      </c>
      <c r="B8688" s="845" t="s">
        <v>2564</v>
      </c>
      <c r="C8688" s="1007">
        <f t="shared" si="143"/>
        <v>10</v>
      </c>
      <c r="D8688" s="1016"/>
      <c r="E8688" s="1017"/>
      <c r="F8688" s="1017"/>
      <c r="G8688" s="1017"/>
      <c r="H8688" s="1017" t="s">
        <v>1010</v>
      </c>
      <c r="I8688" s="1017"/>
      <c r="J8688" s="1017"/>
      <c r="K8688" s="1018"/>
    </row>
    <row r="8689" spans="1:11" s="1011" customFormat="1" ht="15" x14ac:dyDescent="0.25">
      <c r="A8689" s="859">
        <f t="shared" si="142"/>
        <v>8688</v>
      </c>
      <c r="B8689" s="845" t="s">
        <v>2564</v>
      </c>
      <c r="C8689" s="1007">
        <f t="shared" si="143"/>
        <v>11</v>
      </c>
      <c r="D8689" s="1008"/>
      <c r="E8689" s="1009"/>
      <c r="F8689" s="1009"/>
      <c r="G8689" s="1009"/>
      <c r="H8689" s="1009" t="s">
        <v>1007</v>
      </c>
      <c r="I8689" s="1009"/>
      <c r="J8689" s="1009"/>
      <c r="K8689" s="1010"/>
    </row>
    <row r="8690" spans="1:11" s="1011" customFormat="1" ht="15" x14ac:dyDescent="0.25">
      <c r="A8690" s="859">
        <f t="shared" si="142"/>
        <v>8689</v>
      </c>
      <c r="B8690" s="845" t="s">
        <v>2564</v>
      </c>
      <c r="C8690" s="1007">
        <f t="shared" si="143"/>
        <v>11</v>
      </c>
      <c r="D8690" s="1012"/>
      <c r="I8690" s="1011" t="s">
        <v>2174</v>
      </c>
      <c r="K8690" s="1013"/>
    </row>
    <row r="8691" spans="1:11" s="1011" customFormat="1" ht="15" x14ac:dyDescent="0.25">
      <c r="A8691" s="859">
        <f t="shared" si="142"/>
        <v>8690</v>
      </c>
      <c r="B8691" s="845" t="s">
        <v>2564</v>
      </c>
      <c r="C8691" s="1007">
        <f t="shared" si="143"/>
        <v>11</v>
      </c>
      <c r="D8691" s="1014"/>
      <c r="I8691" s="1011" t="str">
        <f>CONCATENATE("&lt;valeur&gt;",VLOOKUP(C8691,'T16 Amort'!A:K,2,0),"&lt;/valeur&gt;")</f>
        <v>&lt;valeur&gt;&lt;/valeur&gt;</v>
      </c>
      <c r="K8691" s="1013"/>
    </row>
    <row r="8692" spans="1:11" s="1011" customFormat="1" ht="15" x14ac:dyDescent="0.25">
      <c r="A8692" s="859">
        <f t="shared" si="142"/>
        <v>8691</v>
      </c>
      <c r="B8692" s="845" t="s">
        <v>2564</v>
      </c>
      <c r="C8692" s="1007">
        <f t="shared" si="143"/>
        <v>11</v>
      </c>
      <c r="D8692" s="1014"/>
      <c r="I8692" s="1011" t="str">
        <f>CONCATENATE("&lt;numeroLigne&gt;",C8692,"&lt;/numeroLigne&gt;")</f>
        <v>&lt;numeroLigne&gt;11&lt;/numeroLigne&gt;</v>
      </c>
      <c r="K8692" s="1013"/>
    </row>
    <row r="8693" spans="1:11" s="1011" customFormat="1" ht="15" x14ac:dyDescent="0.25">
      <c r="A8693" s="859">
        <f t="shared" si="142"/>
        <v>8692</v>
      </c>
      <c r="B8693" s="845" t="s">
        <v>2564</v>
      </c>
      <c r="C8693" s="1007">
        <f t="shared" si="143"/>
        <v>11</v>
      </c>
      <c r="D8693" s="1012"/>
      <c r="H8693" s="1011" t="s">
        <v>1010</v>
      </c>
      <c r="K8693" s="1013"/>
    </row>
    <row r="8694" spans="1:11" s="1011" customFormat="1" ht="15" x14ac:dyDescent="0.25">
      <c r="A8694" s="859">
        <f t="shared" si="142"/>
        <v>8693</v>
      </c>
      <c r="B8694" s="845" t="s">
        <v>2564</v>
      </c>
      <c r="C8694" s="1007">
        <f t="shared" si="143"/>
        <v>11</v>
      </c>
      <c r="D8694" s="1015"/>
      <c r="H8694" s="1011" t="s">
        <v>1007</v>
      </c>
      <c r="K8694" s="1013"/>
    </row>
    <row r="8695" spans="1:11" s="1011" customFormat="1" ht="15" x14ac:dyDescent="0.25">
      <c r="A8695" s="859">
        <f t="shared" si="142"/>
        <v>8694</v>
      </c>
      <c r="B8695" s="845" t="s">
        <v>2564</v>
      </c>
      <c r="C8695" s="1007">
        <f t="shared" si="143"/>
        <v>11</v>
      </c>
      <c r="D8695" s="1012"/>
      <c r="I8695" s="1011" t="s">
        <v>2175</v>
      </c>
      <c r="K8695" s="1013"/>
    </row>
    <row r="8696" spans="1:11" s="1011" customFormat="1" ht="15" x14ac:dyDescent="0.25">
      <c r="A8696" s="859">
        <f t="shared" si="142"/>
        <v>8695</v>
      </c>
      <c r="B8696" s="845" t="s">
        <v>2564</v>
      </c>
      <c r="C8696" s="1007">
        <f t="shared" si="143"/>
        <v>11</v>
      </c>
      <c r="D8696" s="1012"/>
      <c r="I8696" s="1011" t="str">
        <f>CONCATENATE("&lt;valeur&gt;",VLOOKUP(C8696,'T16 Amort'!A:K,3,0),"&lt;/valeur&gt;")</f>
        <v>&lt;valeur&gt;&lt;/valeur&gt;</v>
      </c>
      <c r="K8696" s="1013"/>
    </row>
    <row r="8697" spans="1:11" s="1011" customFormat="1" ht="15" x14ac:dyDescent="0.25">
      <c r="A8697" s="859">
        <f t="shared" si="142"/>
        <v>8696</v>
      </c>
      <c r="B8697" s="845" t="s">
        <v>2564</v>
      </c>
      <c r="C8697" s="1007">
        <f t="shared" si="143"/>
        <v>11</v>
      </c>
      <c r="D8697" s="1014"/>
      <c r="I8697" s="1011" t="str">
        <f>CONCATENATE("&lt;numeroLigne&gt;",C8697,"&lt;/numeroLigne&gt;")</f>
        <v>&lt;numeroLigne&gt;11&lt;/numeroLigne&gt;</v>
      </c>
      <c r="K8697" s="1013"/>
    </row>
    <row r="8698" spans="1:11" s="1011" customFormat="1" ht="15" x14ac:dyDescent="0.25">
      <c r="A8698" s="859">
        <f t="shared" si="142"/>
        <v>8697</v>
      </c>
      <c r="B8698" s="845" t="s">
        <v>2564</v>
      </c>
      <c r="C8698" s="1007">
        <f t="shared" si="143"/>
        <v>11</v>
      </c>
      <c r="D8698" s="1014"/>
      <c r="H8698" s="1011" t="s">
        <v>1010</v>
      </c>
      <c r="K8698" s="1013"/>
    </row>
    <row r="8699" spans="1:11" s="1011" customFormat="1" ht="15" x14ac:dyDescent="0.25">
      <c r="A8699" s="859">
        <f t="shared" si="142"/>
        <v>8698</v>
      </c>
      <c r="B8699" s="845" t="s">
        <v>2564</v>
      </c>
      <c r="C8699" s="1007">
        <f t="shared" si="143"/>
        <v>11</v>
      </c>
      <c r="D8699" s="1012"/>
      <c r="H8699" s="1011" t="s">
        <v>1007</v>
      </c>
      <c r="K8699" s="1013"/>
    </row>
    <row r="8700" spans="1:11" s="1011" customFormat="1" ht="15" x14ac:dyDescent="0.25">
      <c r="A8700" s="859">
        <f t="shared" si="142"/>
        <v>8699</v>
      </c>
      <c r="B8700" s="845" t="s">
        <v>2564</v>
      </c>
      <c r="C8700" s="1007">
        <f t="shared" si="143"/>
        <v>11</v>
      </c>
      <c r="D8700" s="1015"/>
      <c r="I8700" s="1011" t="s">
        <v>2176</v>
      </c>
      <c r="K8700" s="1013"/>
    </row>
    <row r="8701" spans="1:11" s="1011" customFormat="1" ht="15" x14ac:dyDescent="0.25">
      <c r="A8701" s="859">
        <f t="shared" si="142"/>
        <v>8700</v>
      </c>
      <c r="B8701" s="845" t="s">
        <v>2564</v>
      </c>
      <c r="C8701" s="1007">
        <f t="shared" si="143"/>
        <v>11</v>
      </c>
      <c r="D8701" s="1012"/>
      <c r="I8701" s="1011" t="str">
        <f>CONCATENATE("&lt;valeur&gt;",VLOOKUP(C8701,'T16 Amort'!A:K,4,0),"&lt;/valeur&gt;")</f>
        <v>&lt;valeur&gt;&lt;/valeur&gt;</v>
      </c>
      <c r="K8701" s="1013"/>
    </row>
    <row r="8702" spans="1:11" s="1011" customFormat="1" ht="15" x14ac:dyDescent="0.25">
      <c r="A8702" s="859">
        <f t="shared" si="142"/>
        <v>8701</v>
      </c>
      <c r="B8702" s="845" t="s">
        <v>2564</v>
      </c>
      <c r="C8702" s="1007">
        <f t="shared" si="143"/>
        <v>11</v>
      </c>
      <c r="D8702" s="1012"/>
      <c r="I8702" s="1011" t="str">
        <f>CONCATENATE("&lt;numeroLigne&gt;",C8702,"&lt;/numeroLigne&gt;")</f>
        <v>&lt;numeroLigne&gt;11&lt;/numeroLigne&gt;</v>
      </c>
      <c r="K8702" s="1013"/>
    </row>
    <row r="8703" spans="1:11" s="1011" customFormat="1" ht="15" x14ac:dyDescent="0.25">
      <c r="A8703" s="859">
        <f t="shared" si="142"/>
        <v>8702</v>
      </c>
      <c r="B8703" s="845" t="s">
        <v>2564</v>
      </c>
      <c r="C8703" s="1007">
        <f t="shared" si="143"/>
        <v>11</v>
      </c>
      <c r="D8703" s="1014"/>
      <c r="H8703" s="1011" t="s">
        <v>1010</v>
      </c>
      <c r="K8703" s="1013"/>
    </row>
    <row r="8704" spans="1:11" s="1011" customFormat="1" ht="15" x14ac:dyDescent="0.25">
      <c r="A8704" s="859">
        <f t="shared" si="142"/>
        <v>8703</v>
      </c>
      <c r="B8704" s="845" t="s">
        <v>2564</v>
      </c>
      <c r="C8704" s="1007">
        <f t="shared" si="143"/>
        <v>11</v>
      </c>
      <c r="D8704" s="1014"/>
      <c r="H8704" s="1011" t="s">
        <v>1007</v>
      </c>
      <c r="K8704" s="1013"/>
    </row>
    <row r="8705" spans="1:11" s="1011" customFormat="1" ht="15" x14ac:dyDescent="0.25">
      <c r="A8705" s="859">
        <f t="shared" si="142"/>
        <v>8704</v>
      </c>
      <c r="B8705" s="845" t="s">
        <v>2564</v>
      </c>
      <c r="C8705" s="1007">
        <f t="shared" si="143"/>
        <v>11</v>
      </c>
      <c r="D8705" s="1012"/>
      <c r="I8705" s="1011" t="s">
        <v>2177</v>
      </c>
      <c r="K8705" s="1013"/>
    </row>
    <row r="8706" spans="1:11" s="1011" customFormat="1" ht="15" x14ac:dyDescent="0.25">
      <c r="A8706" s="859">
        <f t="shared" si="142"/>
        <v>8705</v>
      </c>
      <c r="B8706" s="845" t="s">
        <v>2564</v>
      </c>
      <c r="C8706" s="1007">
        <f t="shared" si="143"/>
        <v>11</v>
      </c>
      <c r="D8706" s="1015"/>
      <c r="I8706" s="1011" t="str">
        <f>CONCATENATE("&lt;valeur&gt;",VLOOKUP(C8706,'T16 Amort'!A:K,5,0),"&lt;/valeur&gt;")</f>
        <v>&lt;valeur&gt;&lt;/valeur&gt;</v>
      </c>
      <c r="K8706" s="1013"/>
    </row>
    <row r="8707" spans="1:11" s="1011" customFormat="1" ht="15" x14ac:dyDescent="0.25">
      <c r="A8707" s="859">
        <f t="shared" si="142"/>
        <v>8706</v>
      </c>
      <c r="B8707" s="845" t="s">
        <v>2564</v>
      </c>
      <c r="C8707" s="1007">
        <f t="shared" si="143"/>
        <v>11</v>
      </c>
      <c r="D8707" s="1012"/>
      <c r="I8707" s="1011" t="str">
        <f>CONCATENATE("&lt;numeroLigne&gt;",C8707,"&lt;/numeroLigne&gt;")</f>
        <v>&lt;numeroLigne&gt;11&lt;/numeroLigne&gt;</v>
      </c>
      <c r="K8707" s="1013"/>
    </row>
    <row r="8708" spans="1:11" s="1011" customFormat="1" ht="15" x14ac:dyDescent="0.25">
      <c r="A8708" s="859">
        <f t="shared" ref="A8708:A8771" si="144">+A8707+1</f>
        <v>8707</v>
      </c>
      <c r="B8708" s="845" t="s">
        <v>2564</v>
      </c>
      <c r="C8708" s="1007">
        <f t="shared" si="143"/>
        <v>11</v>
      </c>
      <c r="D8708" s="1012"/>
      <c r="H8708" s="1011" t="s">
        <v>1010</v>
      </c>
      <c r="K8708" s="1013"/>
    </row>
    <row r="8709" spans="1:11" s="1011" customFormat="1" ht="15" x14ac:dyDescent="0.25">
      <c r="A8709" s="859">
        <f t="shared" si="144"/>
        <v>8708</v>
      </c>
      <c r="B8709" s="845" t="s">
        <v>2564</v>
      </c>
      <c r="C8709" s="1007">
        <f t="shared" si="143"/>
        <v>11</v>
      </c>
      <c r="D8709" s="1014"/>
      <c r="H8709" s="1011" t="s">
        <v>1007</v>
      </c>
      <c r="K8709" s="1013"/>
    </row>
    <row r="8710" spans="1:11" s="1011" customFormat="1" ht="15" x14ac:dyDescent="0.25">
      <c r="A8710" s="859">
        <f t="shared" si="144"/>
        <v>8709</v>
      </c>
      <c r="B8710" s="845" t="s">
        <v>2564</v>
      </c>
      <c r="C8710" s="1007">
        <f t="shared" si="143"/>
        <v>11</v>
      </c>
      <c r="D8710" s="1014"/>
      <c r="I8710" s="1011" t="s">
        <v>2178</v>
      </c>
      <c r="K8710" s="1013"/>
    </row>
    <row r="8711" spans="1:11" s="1011" customFormat="1" ht="15" x14ac:dyDescent="0.25">
      <c r="A8711" s="859">
        <f t="shared" si="144"/>
        <v>8710</v>
      </c>
      <c r="B8711" s="845" t="s">
        <v>2564</v>
      </c>
      <c r="C8711" s="1007">
        <f t="shared" si="143"/>
        <v>11</v>
      </c>
      <c r="D8711" s="1012"/>
      <c r="I8711" s="1011" t="str">
        <f>CONCATENATE("&lt;valeur&gt;",VLOOKUP(C8711,'T16 Amort'!A:K,6,0),"&lt;/valeur&gt;")</f>
        <v>&lt;valeur&gt;&lt;/valeur&gt;</v>
      </c>
      <c r="K8711" s="1013"/>
    </row>
    <row r="8712" spans="1:11" s="1011" customFormat="1" ht="15" x14ac:dyDescent="0.25">
      <c r="A8712" s="859">
        <f t="shared" si="144"/>
        <v>8711</v>
      </c>
      <c r="B8712" s="845" t="s">
        <v>2564</v>
      </c>
      <c r="C8712" s="1007">
        <f t="shared" si="143"/>
        <v>11</v>
      </c>
      <c r="D8712" s="1015"/>
      <c r="I8712" s="1011" t="str">
        <f>CONCATENATE("&lt;numeroLigne&gt;",C8712,"&lt;/numeroLigne&gt;")</f>
        <v>&lt;numeroLigne&gt;11&lt;/numeroLigne&gt;</v>
      </c>
      <c r="K8712" s="1013"/>
    </row>
    <row r="8713" spans="1:11" s="1011" customFormat="1" ht="15" x14ac:dyDescent="0.25">
      <c r="A8713" s="859">
        <f t="shared" si="144"/>
        <v>8712</v>
      </c>
      <c r="B8713" s="845" t="s">
        <v>2564</v>
      </c>
      <c r="C8713" s="1007">
        <f t="shared" si="143"/>
        <v>11</v>
      </c>
      <c r="D8713" s="1012"/>
      <c r="H8713" s="1011" t="s">
        <v>1010</v>
      </c>
      <c r="K8713" s="1013"/>
    </row>
    <row r="8714" spans="1:11" s="1011" customFormat="1" ht="15" x14ac:dyDescent="0.25">
      <c r="A8714" s="859">
        <f t="shared" si="144"/>
        <v>8713</v>
      </c>
      <c r="B8714" s="845" t="s">
        <v>2564</v>
      </c>
      <c r="C8714" s="1007">
        <f t="shared" si="143"/>
        <v>11</v>
      </c>
      <c r="D8714" s="1012"/>
      <c r="H8714" s="1011" t="s">
        <v>1007</v>
      </c>
      <c r="K8714" s="1013"/>
    </row>
    <row r="8715" spans="1:11" s="1011" customFormat="1" ht="15" x14ac:dyDescent="0.25">
      <c r="A8715" s="859">
        <f t="shared" si="144"/>
        <v>8714</v>
      </c>
      <c r="B8715" s="845" t="s">
        <v>2564</v>
      </c>
      <c r="C8715" s="1007">
        <f t="shared" si="143"/>
        <v>11</v>
      </c>
      <c r="D8715" s="1014"/>
      <c r="I8715" s="1011" t="s">
        <v>2179</v>
      </c>
      <c r="K8715" s="1013"/>
    </row>
    <row r="8716" spans="1:11" s="1011" customFormat="1" ht="15" x14ac:dyDescent="0.25">
      <c r="A8716" s="859">
        <f t="shared" si="144"/>
        <v>8715</v>
      </c>
      <c r="B8716" s="845" t="s">
        <v>2564</v>
      </c>
      <c r="C8716" s="1007">
        <f t="shared" si="143"/>
        <v>11</v>
      </c>
      <c r="D8716" s="1014"/>
      <c r="I8716" s="1011" t="str">
        <f>CONCATENATE("&lt;valeur&gt;",VLOOKUP(C8716,'T16 Amort'!A:K,7,0),"&lt;/valeur&gt;")</f>
        <v>&lt;valeur&gt;&lt;/valeur&gt;</v>
      </c>
      <c r="K8716" s="1013"/>
    </row>
    <row r="8717" spans="1:11" s="1011" customFormat="1" ht="15" x14ac:dyDescent="0.25">
      <c r="A8717" s="859">
        <f t="shared" si="144"/>
        <v>8716</v>
      </c>
      <c r="B8717" s="845" t="s">
        <v>2564</v>
      </c>
      <c r="C8717" s="1007">
        <f t="shared" si="143"/>
        <v>11</v>
      </c>
      <c r="D8717" s="1012"/>
      <c r="I8717" s="1011" t="str">
        <f>CONCATENATE("&lt;numeroLigne&gt;",C8717,"&lt;/numeroLigne&gt;")</f>
        <v>&lt;numeroLigne&gt;11&lt;/numeroLigne&gt;</v>
      </c>
      <c r="K8717" s="1013"/>
    </row>
    <row r="8718" spans="1:11" s="1011" customFormat="1" ht="15" x14ac:dyDescent="0.25">
      <c r="A8718" s="859">
        <f t="shared" si="144"/>
        <v>8717</v>
      </c>
      <c r="B8718" s="845" t="s">
        <v>2564</v>
      </c>
      <c r="C8718" s="1007">
        <f t="shared" si="143"/>
        <v>11</v>
      </c>
      <c r="D8718" s="1015"/>
      <c r="H8718" s="1011" t="s">
        <v>1010</v>
      </c>
      <c r="K8718" s="1013"/>
    </row>
    <row r="8719" spans="1:11" s="1011" customFormat="1" ht="15" x14ac:dyDescent="0.25">
      <c r="A8719" s="859">
        <f t="shared" si="144"/>
        <v>8718</v>
      </c>
      <c r="B8719" s="845" t="s">
        <v>2564</v>
      </c>
      <c r="C8719" s="1007">
        <f t="shared" si="143"/>
        <v>11</v>
      </c>
      <c r="D8719" s="1012"/>
      <c r="H8719" s="1011" t="s">
        <v>1007</v>
      </c>
      <c r="K8719" s="1013"/>
    </row>
    <row r="8720" spans="1:11" s="1011" customFormat="1" ht="15" x14ac:dyDescent="0.25">
      <c r="A8720" s="859">
        <f t="shared" si="144"/>
        <v>8719</v>
      </c>
      <c r="B8720" s="845" t="s">
        <v>2564</v>
      </c>
      <c r="C8720" s="1007">
        <f t="shared" si="143"/>
        <v>11</v>
      </c>
      <c r="D8720" s="1012"/>
      <c r="I8720" s="1011" t="s">
        <v>2180</v>
      </c>
      <c r="K8720" s="1013"/>
    </row>
    <row r="8721" spans="1:11" s="1011" customFormat="1" ht="15" x14ac:dyDescent="0.25">
      <c r="A8721" s="859">
        <f t="shared" si="144"/>
        <v>8720</v>
      </c>
      <c r="B8721" s="845" t="s">
        <v>2564</v>
      </c>
      <c r="C8721" s="1007">
        <f t="shared" si="143"/>
        <v>11</v>
      </c>
      <c r="D8721" s="1014"/>
      <c r="I8721" s="1011" t="str">
        <f>CONCATENATE("&lt;valeur&gt;",VLOOKUP(C8721,'T16 Amort'!A:K,8,0),"&lt;/valeur&gt;")</f>
        <v>&lt;valeur&gt;&lt;/valeur&gt;</v>
      </c>
      <c r="K8721" s="1013"/>
    </row>
    <row r="8722" spans="1:11" s="1011" customFormat="1" ht="15" x14ac:dyDescent="0.25">
      <c r="A8722" s="859">
        <f t="shared" si="144"/>
        <v>8721</v>
      </c>
      <c r="B8722" s="845" t="s">
        <v>2564</v>
      </c>
      <c r="C8722" s="1007">
        <f t="shared" si="143"/>
        <v>11</v>
      </c>
      <c r="D8722" s="1014"/>
      <c r="I8722" s="1011" t="str">
        <f>CONCATENATE("&lt;numeroLigne&gt;",C8722,"&lt;/numeroLigne&gt;")</f>
        <v>&lt;numeroLigne&gt;11&lt;/numeroLigne&gt;</v>
      </c>
      <c r="K8722" s="1013"/>
    </row>
    <row r="8723" spans="1:11" s="1011" customFormat="1" ht="15" x14ac:dyDescent="0.25">
      <c r="A8723" s="859">
        <f t="shared" si="144"/>
        <v>8722</v>
      </c>
      <c r="B8723" s="845" t="s">
        <v>2564</v>
      </c>
      <c r="C8723" s="1007">
        <f t="shared" si="143"/>
        <v>11</v>
      </c>
      <c r="D8723" s="1012"/>
      <c r="H8723" s="1011" t="s">
        <v>1010</v>
      </c>
      <c r="K8723" s="1013"/>
    </row>
    <row r="8724" spans="1:11" s="1011" customFormat="1" ht="15" x14ac:dyDescent="0.25">
      <c r="A8724" s="859">
        <f t="shared" si="144"/>
        <v>8723</v>
      </c>
      <c r="B8724" s="845" t="s">
        <v>2564</v>
      </c>
      <c r="C8724" s="1007">
        <f t="shared" si="143"/>
        <v>11</v>
      </c>
      <c r="D8724" s="1015"/>
      <c r="H8724" s="1011" t="s">
        <v>1007</v>
      </c>
      <c r="K8724" s="1013"/>
    </row>
    <row r="8725" spans="1:11" s="1011" customFormat="1" ht="15" x14ac:dyDescent="0.25">
      <c r="A8725" s="859">
        <f t="shared" si="144"/>
        <v>8724</v>
      </c>
      <c r="B8725" s="845" t="s">
        <v>2564</v>
      </c>
      <c r="C8725" s="1007">
        <f t="shared" si="143"/>
        <v>11</v>
      </c>
      <c r="D8725" s="1012"/>
      <c r="I8725" s="1011" t="s">
        <v>2181</v>
      </c>
      <c r="K8725" s="1013"/>
    </row>
    <row r="8726" spans="1:11" s="1011" customFormat="1" ht="15" x14ac:dyDescent="0.25">
      <c r="A8726" s="859">
        <f t="shared" si="144"/>
        <v>8725</v>
      </c>
      <c r="B8726" s="845" t="s">
        <v>2564</v>
      </c>
      <c r="C8726" s="1007">
        <f t="shared" si="143"/>
        <v>11</v>
      </c>
      <c r="D8726" s="1012"/>
      <c r="I8726" s="1011" t="str">
        <f>CONCATENATE("&lt;valeur&gt;",VLOOKUP(C8726,'T16 Amort'!A:K,9,0),"&lt;/valeur&gt;")</f>
        <v>&lt;valeur&gt;&lt;/valeur&gt;</v>
      </c>
      <c r="K8726" s="1013"/>
    </row>
    <row r="8727" spans="1:11" s="1011" customFormat="1" ht="15" x14ac:dyDescent="0.25">
      <c r="A8727" s="859">
        <f t="shared" si="144"/>
        <v>8726</v>
      </c>
      <c r="B8727" s="845" t="s">
        <v>2564</v>
      </c>
      <c r="C8727" s="1007">
        <f t="shared" si="143"/>
        <v>11</v>
      </c>
      <c r="D8727" s="1014"/>
      <c r="I8727" s="1011" t="str">
        <f>CONCATENATE("&lt;numeroLigne&gt;",C8727,"&lt;/numeroLigne&gt;")</f>
        <v>&lt;numeroLigne&gt;11&lt;/numeroLigne&gt;</v>
      </c>
      <c r="K8727" s="1013"/>
    </row>
    <row r="8728" spans="1:11" s="1011" customFormat="1" ht="15" x14ac:dyDescent="0.25">
      <c r="A8728" s="859">
        <f t="shared" si="144"/>
        <v>8727</v>
      </c>
      <c r="B8728" s="845" t="s">
        <v>2564</v>
      </c>
      <c r="C8728" s="1007">
        <f t="shared" si="143"/>
        <v>11</v>
      </c>
      <c r="D8728" s="1014"/>
      <c r="H8728" s="1011" t="s">
        <v>1010</v>
      </c>
      <c r="K8728" s="1013"/>
    </row>
    <row r="8729" spans="1:11" s="1011" customFormat="1" ht="15" x14ac:dyDescent="0.25">
      <c r="A8729" s="859">
        <f t="shared" si="144"/>
        <v>8728</v>
      </c>
      <c r="B8729" s="845" t="s">
        <v>2564</v>
      </c>
      <c r="C8729" s="1007">
        <f t="shared" si="143"/>
        <v>11</v>
      </c>
      <c r="D8729" s="1012"/>
      <c r="H8729" s="1011" t="s">
        <v>1007</v>
      </c>
      <c r="K8729" s="1013"/>
    </row>
    <row r="8730" spans="1:11" s="1011" customFormat="1" ht="15" x14ac:dyDescent="0.25">
      <c r="A8730" s="859">
        <f t="shared" si="144"/>
        <v>8729</v>
      </c>
      <c r="B8730" s="845" t="s">
        <v>2564</v>
      </c>
      <c r="C8730" s="1007">
        <f t="shared" si="143"/>
        <v>11</v>
      </c>
      <c r="D8730" s="1015"/>
      <c r="I8730" s="1011" t="s">
        <v>2182</v>
      </c>
      <c r="K8730" s="1013"/>
    </row>
    <row r="8731" spans="1:11" s="1011" customFormat="1" ht="15" x14ac:dyDescent="0.25">
      <c r="A8731" s="859">
        <f t="shared" si="144"/>
        <v>8730</v>
      </c>
      <c r="B8731" s="845" t="s">
        <v>2564</v>
      </c>
      <c r="C8731" s="1007">
        <f t="shared" si="143"/>
        <v>11</v>
      </c>
      <c r="D8731" s="1012"/>
      <c r="I8731" s="1011" t="str">
        <f>CONCATENATE("&lt;valeur&gt;",VLOOKUP(C8731,'T16 Amort'!A:K,10,0),"&lt;/valeur&gt;")</f>
        <v>&lt;valeur&gt;&lt;/valeur&gt;</v>
      </c>
      <c r="K8731" s="1013"/>
    </row>
    <row r="8732" spans="1:11" s="1011" customFormat="1" ht="15" x14ac:dyDescent="0.25">
      <c r="A8732" s="859">
        <f t="shared" si="144"/>
        <v>8731</v>
      </c>
      <c r="B8732" s="845" t="s">
        <v>2564</v>
      </c>
      <c r="C8732" s="1007">
        <f t="shared" si="143"/>
        <v>11</v>
      </c>
      <c r="D8732" s="1012"/>
      <c r="I8732" s="1011" t="str">
        <f>CONCATENATE("&lt;numeroLigne&gt;",C8732,"&lt;/numeroLigne&gt;")</f>
        <v>&lt;numeroLigne&gt;11&lt;/numeroLigne&gt;</v>
      </c>
      <c r="K8732" s="1013"/>
    </row>
    <row r="8733" spans="1:11" s="1011" customFormat="1" ht="15" x14ac:dyDescent="0.25">
      <c r="A8733" s="859">
        <f t="shared" si="144"/>
        <v>8732</v>
      </c>
      <c r="B8733" s="845" t="s">
        <v>2564</v>
      </c>
      <c r="C8733" s="1007">
        <f t="shared" si="143"/>
        <v>11</v>
      </c>
      <c r="D8733" s="1014"/>
      <c r="H8733" s="1011" t="s">
        <v>1010</v>
      </c>
      <c r="K8733" s="1013"/>
    </row>
    <row r="8734" spans="1:11" s="1011" customFormat="1" ht="15" x14ac:dyDescent="0.25">
      <c r="A8734" s="859">
        <f t="shared" si="144"/>
        <v>8733</v>
      </c>
      <c r="B8734" s="845" t="s">
        <v>2564</v>
      </c>
      <c r="C8734" s="1007">
        <f t="shared" si="143"/>
        <v>11</v>
      </c>
      <c r="D8734" s="1014"/>
      <c r="H8734" s="1011" t="s">
        <v>1007</v>
      </c>
      <c r="K8734" s="1013"/>
    </row>
    <row r="8735" spans="1:11" s="1011" customFormat="1" ht="15" x14ac:dyDescent="0.25">
      <c r="A8735" s="859">
        <f t="shared" si="144"/>
        <v>8734</v>
      </c>
      <c r="B8735" s="845" t="s">
        <v>2564</v>
      </c>
      <c r="C8735" s="1007">
        <f t="shared" si="143"/>
        <v>11</v>
      </c>
      <c r="D8735" s="1012"/>
      <c r="I8735" s="1011" t="s">
        <v>2183</v>
      </c>
      <c r="K8735" s="1013"/>
    </row>
    <row r="8736" spans="1:11" s="1011" customFormat="1" ht="15" x14ac:dyDescent="0.25">
      <c r="A8736" s="859">
        <f t="shared" si="144"/>
        <v>8735</v>
      </c>
      <c r="B8736" s="845" t="s">
        <v>2564</v>
      </c>
      <c r="C8736" s="1007">
        <f t="shared" si="143"/>
        <v>11</v>
      </c>
      <c r="D8736" s="1015"/>
      <c r="I8736" s="1011" t="str">
        <f>CONCATENATE("&lt;valeur&gt;",VLOOKUP(C8736,'T16 Amort'!A:K,11,0),"&lt;/valeur&gt;")</f>
        <v>&lt;valeur&gt;&lt;/valeur&gt;</v>
      </c>
      <c r="K8736" s="1013"/>
    </row>
    <row r="8737" spans="1:11" s="1011" customFormat="1" ht="15" x14ac:dyDescent="0.25">
      <c r="A8737" s="859">
        <f t="shared" si="144"/>
        <v>8736</v>
      </c>
      <c r="B8737" s="845" t="s">
        <v>2564</v>
      </c>
      <c r="C8737" s="1007">
        <f t="shared" si="143"/>
        <v>11</v>
      </c>
      <c r="D8737" s="1012"/>
      <c r="I8737" s="1011" t="str">
        <f>CONCATENATE("&lt;numeroLigne&gt;",C8737,"&lt;/numeroLigne&gt;")</f>
        <v>&lt;numeroLigne&gt;11&lt;/numeroLigne&gt;</v>
      </c>
      <c r="K8737" s="1013"/>
    </row>
    <row r="8738" spans="1:11" s="1011" customFormat="1" ht="15" x14ac:dyDescent="0.25">
      <c r="A8738" s="859">
        <f t="shared" si="144"/>
        <v>8737</v>
      </c>
      <c r="B8738" s="845" t="s">
        <v>2564</v>
      </c>
      <c r="C8738" s="1007">
        <f t="shared" si="143"/>
        <v>11</v>
      </c>
      <c r="D8738" s="1016"/>
      <c r="E8738" s="1017"/>
      <c r="F8738" s="1017"/>
      <c r="G8738" s="1017"/>
      <c r="H8738" s="1017" t="s">
        <v>1010</v>
      </c>
      <c r="I8738" s="1017"/>
      <c r="J8738" s="1017"/>
      <c r="K8738" s="1018"/>
    </row>
    <row r="8739" spans="1:11" s="1011" customFormat="1" ht="15" x14ac:dyDescent="0.25">
      <c r="A8739" s="859">
        <f t="shared" si="144"/>
        <v>8738</v>
      </c>
      <c r="B8739" s="845" t="s">
        <v>2564</v>
      </c>
      <c r="C8739" s="1007">
        <f t="shared" si="143"/>
        <v>12</v>
      </c>
      <c r="D8739" s="1008"/>
      <c r="E8739" s="1009"/>
      <c r="F8739" s="1009"/>
      <c r="G8739" s="1009"/>
      <c r="H8739" s="1009" t="s">
        <v>1007</v>
      </c>
      <c r="I8739" s="1009"/>
      <c r="J8739" s="1009"/>
      <c r="K8739" s="1010"/>
    </row>
    <row r="8740" spans="1:11" s="1011" customFormat="1" ht="15" x14ac:dyDescent="0.25">
      <c r="A8740" s="859">
        <f t="shared" si="144"/>
        <v>8739</v>
      </c>
      <c r="B8740" s="845" t="s">
        <v>2564</v>
      </c>
      <c r="C8740" s="1007">
        <f t="shared" si="143"/>
        <v>12</v>
      </c>
      <c r="D8740" s="1012"/>
      <c r="I8740" s="1011" t="s">
        <v>2174</v>
      </c>
      <c r="K8740" s="1013"/>
    </row>
    <row r="8741" spans="1:11" s="1011" customFormat="1" ht="15" x14ac:dyDescent="0.25">
      <c r="A8741" s="859">
        <f t="shared" si="144"/>
        <v>8740</v>
      </c>
      <c r="B8741" s="845" t="s">
        <v>2564</v>
      </c>
      <c r="C8741" s="1007">
        <f t="shared" si="143"/>
        <v>12</v>
      </c>
      <c r="D8741" s="1014"/>
      <c r="I8741" s="1011" t="str">
        <f>CONCATENATE("&lt;valeur&gt;",VLOOKUP(C8741,'T16 Amort'!A:K,2,0),"&lt;/valeur&gt;")</f>
        <v>&lt;valeur&gt;&lt;/valeur&gt;</v>
      </c>
      <c r="K8741" s="1013"/>
    </row>
    <row r="8742" spans="1:11" s="1011" customFormat="1" ht="15" x14ac:dyDescent="0.25">
      <c r="A8742" s="859">
        <f t="shared" si="144"/>
        <v>8741</v>
      </c>
      <c r="B8742" s="845" t="s">
        <v>2564</v>
      </c>
      <c r="C8742" s="1007">
        <f t="shared" si="143"/>
        <v>12</v>
      </c>
      <c r="D8742" s="1014"/>
      <c r="I8742" s="1011" t="str">
        <f>CONCATENATE("&lt;numeroLigne&gt;",C8742,"&lt;/numeroLigne&gt;")</f>
        <v>&lt;numeroLigne&gt;12&lt;/numeroLigne&gt;</v>
      </c>
      <c r="K8742" s="1013"/>
    </row>
    <row r="8743" spans="1:11" s="1011" customFormat="1" ht="15" x14ac:dyDescent="0.25">
      <c r="A8743" s="859">
        <f t="shared" si="144"/>
        <v>8742</v>
      </c>
      <c r="B8743" s="845" t="s">
        <v>2564</v>
      </c>
      <c r="C8743" s="1007">
        <f t="shared" si="143"/>
        <v>12</v>
      </c>
      <c r="D8743" s="1012"/>
      <c r="H8743" s="1011" t="s">
        <v>1010</v>
      </c>
      <c r="K8743" s="1013"/>
    </row>
    <row r="8744" spans="1:11" s="1011" customFormat="1" ht="15" x14ac:dyDescent="0.25">
      <c r="A8744" s="859">
        <f t="shared" si="144"/>
        <v>8743</v>
      </c>
      <c r="B8744" s="845" t="s">
        <v>2564</v>
      </c>
      <c r="C8744" s="1007">
        <f t="shared" si="143"/>
        <v>12</v>
      </c>
      <c r="D8744" s="1015"/>
      <c r="H8744" s="1011" t="s">
        <v>1007</v>
      </c>
      <c r="K8744" s="1013"/>
    </row>
    <row r="8745" spans="1:11" s="1011" customFormat="1" ht="15" x14ac:dyDescent="0.25">
      <c r="A8745" s="859">
        <f t="shared" si="144"/>
        <v>8744</v>
      </c>
      <c r="B8745" s="845" t="s">
        <v>2564</v>
      </c>
      <c r="C8745" s="1007">
        <f t="shared" si="143"/>
        <v>12</v>
      </c>
      <c r="D8745" s="1012"/>
      <c r="I8745" s="1011" t="s">
        <v>2175</v>
      </c>
      <c r="K8745" s="1013"/>
    </row>
    <row r="8746" spans="1:11" s="1011" customFormat="1" ht="15" x14ac:dyDescent="0.25">
      <c r="A8746" s="859">
        <f t="shared" si="144"/>
        <v>8745</v>
      </c>
      <c r="B8746" s="845" t="s">
        <v>2564</v>
      </c>
      <c r="C8746" s="1007">
        <f t="shared" si="143"/>
        <v>12</v>
      </c>
      <c r="D8746" s="1012"/>
      <c r="I8746" s="1011" t="str">
        <f>CONCATENATE("&lt;valeur&gt;",VLOOKUP(C8746,'T16 Amort'!A:K,3,0),"&lt;/valeur&gt;")</f>
        <v>&lt;valeur&gt;&lt;/valeur&gt;</v>
      </c>
      <c r="K8746" s="1013"/>
    </row>
    <row r="8747" spans="1:11" s="1011" customFormat="1" ht="15" x14ac:dyDescent="0.25">
      <c r="A8747" s="859">
        <f t="shared" si="144"/>
        <v>8746</v>
      </c>
      <c r="B8747" s="845" t="s">
        <v>2564</v>
      </c>
      <c r="C8747" s="1007">
        <f t="shared" si="143"/>
        <v>12</v>
      </c>
      <c r="D8747" s="1014"/>
      <c r="I8747" s="1011" t="str">
        <f>CONCATENATE("&lt;numeroLigne&gt;",C8747,"&lt;/numeroLigne&gt;")</f>
        <v>&lt;numeroLigne&gt;12&lt;/numeroLigne&gt;</v>
      </c>
      <c r="K8747" s="1013"/>
    </row>
    <row r="8748" spans="1:11" s="1011" customFormat="1" ht="15" x14ac:dyDescent="0.25">
      <c r="A8748" s="859">
        <f t="shared" si="144"/>
        <v>8747</v>
      </c>
      <c r="B8748" s="845" t="s">
        <v>2564</v>
      </c>
      <c r="C8748" s="1007">
        <f t="shared" si="143"/>
        <v>12</v>
      </c>
      <c r="D8748" s="1014"/>
      <c r="H8748" s="1011" t="s">
        <v>1010</v>
      </c>
      <c r="K8748" s="1013"/>
    </row>
    <row r="8749" spans="1:11" s="1011" customFormat="1" ht="15" x14ac:dyDescent="0.25">
      <c r="A8749" s="859">
        <f t="shared" si="144"/>
        <v>8748</v>
      </c>
      <c r="B8749" s="845" t="s">
        <v>2564</v>
      </c>
      <c r="C8749" s="1007">
        <f t="shared" si="143"/>
        <v>12</v>
      </c>
      <c r="D8749" s="1012"/>
      <c r="H8749" s="1011" t="s">
        <v>1007</v>
      </c>
      <c r="K8749" s="1013"/>
    </row>
    <row r="8750" spans="1:11" s="1011" customFormat="1" ht="15" x14ac:dyDescent="0.25">
      <c r="A8750" s="859">
        <f t="shared" si="144"/>
        <v>8749</v>
      </c>
      <c r="B8750" s="845" t="s">
        <v>2564</v>
      </c>
      <c r="C8750" s="1007">
        <f t="shared" si="143"/>
        <v>12</v>
      </c>
      <c r="D8750" s="1015"/>
      <c r="I8750" s="1011" t="s">
        <v>2176</v>
      </c>
      <c r="K8750" s="1013"/>
    </row>
    <row r="8751" spans="1:11" s="1011" customFormat="1" ht="15" x14ac:dyDescent="0.25">
      <c r="A8751" s="859">
        <f t="shared" si="144"/>
        <v>8750</v>
      </c>
      <c r="B8751" s="845" t="s">
        <v>2564</v>
      </c>
      <c r="C8751" s="1007">
        <f t="shared" ref="C8751:C8814" si="145">C8701+1</f>
        <v>12</v>
      </c>
      <c r="D8751" s="1012"/>
      <c r="I8751" s="1011" t="str">
        <f>CONCATENATE("&lt;valeur&gt;",VLOOKUP(C8751,'T16 Amort'!A:K,4,0),"&lt;/valeur&gt;")</f>
        <v>&lt;valeur&gt;&lt;/valeur&gt;</v>
      </c>
      <c r="K8751" s="1013"/>
    </row>
    <row r="8752" spans="1:11" s="1011" customFormat="1" ht="15" x14ac:dyDescent="0.25">
      <c r="A8752" s="859">
        <f t="shared" si="144"/>
        <v>8751</v>
      </c>
      <c r="B8752" s="845" t="s">
        <v>2564</v>
      </c>
      <c r="C8752" s="1007">
        <f t="shared" si="145"/>
        <v>12</v>
      </c>
      <c r="D8752" s="1012"/>
      <c r="I8752" s="1011" t="str">
        <f>CONCATENATE("&lt;numeroLigne&gt;",C8752,"&lt;/numeroLigne&gt;")</f>
        <v>&lt;numeroLigne&gt;12&lt;/numeroLigne&gt;</v>
      </c>
      <c r="K8752" s="1013"/>
    </row>
    <row r="8753" spans="1:11" s="1011" customFormat="1" ht="15" x14ac:dyDescent="0.25">
      <c r="A8753" s="859">
        <f t="shared" si="144"/>
        <v>8752</v>
      </c>
      <c r="B8753" s="845" t="s">
        <v>2564</v>
      </c>
      <c r="C8753" s="1007">
        <f t="shared" si="145"/>
        <v>12</v>
      </c>
      <c r="D8753" s="1014"/>
      <c r="H8753" s="1011" t="s">
        <v>1010</v>
      </c>
      <c r="K8753" s="1013"/>
    </row>
    <row r="8754" spans="1:11" s="1011" customFormat="1" ht="15" x14ac:dyDescent="0.25">
      <c r="A8754" s="859">
        <f t="shared" si="144"/>
        <v>8753</v>
      </c>
      <c r="B8754" s="845" t="s">
        <v>2564</v>
      </c>
      <c r="C8754" s="1007">
        <f t="shared" si="145"/>
        <v>12</v>
      </c>
      <c r="D8754" s="1014"/>
      <c r="H8754" s="1011" t="s">
        <v>1007</v>
      </c>
      <c r="K8754" s="1013"/>
    </row>
    <row r="8755" spans="1:11" s="1011" customFormat="1" ht="15" x14ac:dyDescent="0.25">
      <c r="A8755" s="859">
        <f t="shared" si="144"/>
        <v>8754</v>
      </c>
      <c r="B8755" s="845" t="s">
        <v>2564</v>
      </c>
      <c r="C8755" s="1007">
        <f t="shared" si="145"/>
        <v>12</v>
      </c>
      <c r="D8755" s="1012"/>
      <c r="I8755" s="1011" t="s">
        <v>2177</v>
      </c>
      <c r="K8755" s="1013"/>
    </row>
    <row r="8756" spans="1:11" s="1011" customFormat="1" ht="15" x14ac:dyDescent="0.25">
      <c r="A8756" s="859">
        <f t="shared" si="144"/>
        <v>8755</v>
      </c>
      <c r="B8756" s="845" t="s">
        <v>2564</v>
      </c>
      <c r="C8756" s="1007">
        <f t="shared" si="145"/>
        <v>12</v>
      </c>
      <c r="D8756" s="1015"/>
      <c r="I8756" s="1011" t="str">
        <f>CONCATENATE("&lt;valeur&gt;",VLOOKUP(C8756,'T16 Amort'!A:K,5,0),"&lt;/valeur&gt;")</f>
        <v>&lt;valeur&gt;&lt;/valeur&gt;</v>
      </c>
      <c r="K8756" s="1013"/>
    </row>
    <row r="8757" spans="1:11" s="1011" customFormat="1" ht="15" x14ac:dyDescent="0.25">
      <c r="A8757" s="859">
        <f t="shared" si="144"/>
        <v>8756</v>
      </c>
      <c r="B8757" s="845" t="s">
        <v>2564</v>
      </c>
      <c r="C8757" s="1007">
        <f t="shared" si="145"/>
        <v>12</v>
      </c>
      <c r="D8757" s="1012"/>
      <c r="I8757" s="1011" t="str">
        <f>CONCATENATE("&lt;numeroLigne&gt;",C8757,"&lt;/numeroLigne&gt;")</f>
        <v>&lt;numeroLigne&gt;12&lt;/numeroLigne&gt;</v>
      </c>
      <c r="K8757" s="1013"/>
    </row>
    <row r="8758" spans="1:11" s="1011" customFormat="1" ht="15" x14ac:dyDescent="0.25">
      <c r="A8758" s="859">
        <f t="shared" si="144"/>
        <v>8757</v>
      </c>
      <c r="B8758" s="845" t="s">
        <v>2564</v>
      </c>
      <c r="C8758" s="1007">
        <f t="shared" si="145"/>
        <v>12</v>
      </c>
      <c r="D8758" s="1012"/>
      <c r="H8758" s="1011" t="s">
        <v>1010</v>
      </c>
      <c r="K8758" s="1013"/>
    </row>
    <row r="8759" spans="1:11" s="1011" customFormat="1" ht="15" x14ac:dyDescent="0.25">
      <c r="A8759" s="859">
        <f t="shared" si="144"/>
        <v>8758</v>
      </c>
      <c r="B8759" s="845" t="s">
        <v>2564</v>
      </c>
      <c r="C8759" s="1007">
        <f t="shared" si="145"/>
        <v>12</v>
      </c>
      <c r="D8759" s="1014"/>
      <c r="H8759" s="1011" t="s">
        <v>1007</v>
      </c>
      <c r="K8759" s="1013"/>
    </row>
    <row r="8760" spans="1:11" s="1011" customFormat="1" ht="15" x14ac:dyDescent="0.25">
      <c r="A8760" s="859">
        <f t="shared" si="144"/>
        <v>8759</v>
      </c>
      <c r="B8760" s="845" t="s">
        <v>2564</v>
      </c>
      <c r="C8760" s="1007">
        <f t="shared" si="145"/>
        <v>12</v>
      </c>
      <c r="D8760" s="1014"/>
      <c r="I8760" s="1011" t="s">
        <v>2178</v>
      </c>
      <c r="K8760" s="1013"/>
    </row>
    <row r="8761" spans="1:11" s="1011" customFormat="1" ht="15" x14ac:dyDescent="0.25">
      <c r="A8761" s="859">
        <f t="shared" si="144"/>
        <v>8760</v>
      </c>
      <c r="B8761" s="845" t="s">
        <v>2564</v>
      </c>
      <c r="C8761" s="1007">
        <f t="shared" si="145"/>
        <v>12</v>
      </c>
      <c r="D8761" s="1012"/>
      <c r="I8761" s="1011" t="str">
        <f>CONCATENATE("&lt;valeur&gt;",VLOOKUP(C8761,'T16 Amort'!A:K,6,0),"&lt;/valeur&gt;")</f>
        <v>&lt;valeur&gt;&lt;/valeur&gt;</v>
      </c>
      <c r="K8761" s="1013"/>
    </row>
    <row r="8762" spans="1:11" s="1011" customFormat="1" ht="15" x14ac:dyDescent="0.25">
      <c r="A8762" s="859">
        <f t="shared" si="144"/>
        <v>8761</v>
      </c>
      <c r="B8762" s="845" t="s">
        <v>2564</v>
      </c>
      <c r="C8762" s="1007">
        <f t="shared" si="145"/>
        <v>12</v>
      </c>
      <c r="D8762" s="1015"/>
      <c r="I8762" s="1011" t="str">
        <f>CONCATENATE("&lt;numeroLigne&gt;",C8762,"&lt;/numeroLigne&gt;")</f>
        <v>&lt;numeroLigne&gt;12&lt;/numeroLigne&gt;</v>
      </c>
      <c r="K8762" s="1013"/>
    </row>
    <row r="8763" spans="1:11" s="1011" customFormat="1" ht="15" x14ac:dyDescent="0.25">
      <c r="A8763" s="859">
        <f t="shared" si="144"/>
        <v>8762</v>
      </c>
      <c r="B8763" s="845" t="s">
        <v>2564</v>
      </c>
      <c r="C8763" s="1007">
        <f t="shared" si="145"/>
        <v>12</v>
      </c>
      <c r="D8763" s="1012"/>
      <c r="H8763" s="1011" t="s">
        <v>1010</v>
      </c>
      <c r="K8763" s="1013"/>
    </row>
    <row r="8764" spans="1:11" s="1011" customFormat="1" ht="15" x14ac:dyDescent="0.25">
      <c r="A8764" s="859">
        <f t="shared" si="144"/>
        <v>8763</v>
      </c>
      <c r="B8764" s="845" t="s">
        <v>2564</v>
      </c>
      <c r="C8764" s="1007">
        <f t="shared" si="145"/>
        <v>12</v>
      </c>
      <c r="D8764" s="1012"/>
      <c r="H8764" s="1011" t="s">
        <v>1007</v>
      </c>
      <c r="K8764" s="1013"/>
    </row>
    <row r="8765" spans="1:11" s="1011" customFormat="1" ht="15" x14ac:dyDescent="0.25">
      <c r="A8765" s="859">
        <f t="shared" si="144"/>
        <v>8764</v>
      </c>
      <c r="B8765" s="845" t="s">
        <v>2564</v>
      </c>
      <c r="C8765" s="1007">
        <f t="shared" si="145"/>
        <v>12</v>
      </c>
      <c r="D8765" s="1014"/>
      <c r="I8765" s="1011" t="s">
        <v>2179</v>
      </c>
      <c r="K8765" s="1013"/>
    </row>
    <row r="8766" spans="1:11" s="1011" customFormat="1" ht="15" x14ac:dyDescent="0.25">
      <c r="A8766" s="859">
        <f t="shared" si="144"/>
        <v>8765</v>
      </c>
      <c r="B8766" s="845" t="s">
        <v>2564</v>
      </c>
      <c r="C8766" s="1007">
        <f t="shared" si="145"/>
        <v>12</v>
      </c>
      <c r="D8766" s="1014"/>
      <c r="I8766" s="1011" t="str">
        <f>CONCATENATE("&lt;valeur&gt;",VLOOKUP(C8766,'T16 Amort'!A:K,7,0),"&lt;/valeur&gt;")</f>
        <v>&lt;valeur&gt;&lt;/valeur&gt;</v>
      </c>
      <c r="K8766" s="1013"/>
    </row>
    <row r="8767" spans="1:11" s="1011" customFormat="1" ht="15" x14ac:dyDescent="0.25">
      <c r="A8767" s="859">
        <f t="shared" si="144"/>
        <v>8766</v>
      </c>
      <c r="B8767" s="845" t="s">
        <v>2564</v>
      </c>
      <c r="C8767" s="1007">
        <f t="shared" si="145"/>
        <v>12</v>
      </c>
      <c r="D8767" s="1012"/>
      <c r="I8767" s="1011" t="str">
        <f>CONCATENATE("&lt;numeroLigne&gt;",C8767,"&lt;/numeroLigne&gt;")</f>
        <v>&lt;numeroLigne&gt;12&lt;/numeroLigne&gt;</v>
      </c>
      <c r="K8767" s="1013"/>
    </row>
    <row r="8768" spans="1:11" s="1011" customFormat="1" ht="15" x14ac:dyDescent="0.25">
      <c r="A8768" s="859">
        <f t="shared" si="144"/>
        <v>8767</v>
      </c>
      <c r="B8768" s="845" t="s">
        <v>2564</v>
      </c>
      <c r="C8768" s="1007">
        <f t="shared" si="145"/>
        <v>12</v>
      </c>
      <c r="D8768" s="1015"/>
      <c r="H8768" s="1011" t="s">
        <v>1010</v>
      </c>
      <c r="K8768" s="1013"/>
    </row>
    <row r="8769" spans="1:11" s="1011" customFormat="1" ht="15" x14ac:dyDescent="0.25">
      <c r="A8769" s="859">
        <f t="shared" si="144"/>
        <v>8768</v>
      </c>
      <c r="B8769" s="845" t="s">
        <v>2564</v>
      </c>
      <c r="C8769" s="1007">
        <f t="shared" si="145"/>
        <v>12</v>
      </c>
      <c r="D8769" s="1012"/>
      <c r="H8769" s="1011" t="s">
        <v>1007</v>
      </c>
      <c r="K8769" s="1013"/>
    </row>
    <row r="8770" spans="1:11" s="1011" customFormat="1" ht="15" x14ac:dyDescent="0.25">
      <c r="A8770" s="859">
        <f t="shared" si="144"/>
        <v>8769</v>
      </c>
      <c r="B8770" s="845" t="s">
        <v>2564</v>
      </c>
      <c r="C8770" s="1007">
        <f t="shared" si="145"/>
        <v>12</v>
      </c>
      <c r="D8770" s="1012"/>
      <c r="I8770" s="1011" t="s">
        <v>2180</v>
      </c>
      <c r="K8770" s="1013"/>
    </row>
    <row r="8771" spans="1:11" s="1011" customFormat="1" ht="15" x14ac:dyDescent="0.25">
      <c r="A8771" s="859">
        <f t="shared" si="144"/>
        <v>8770</v>
      </c>
      <c r="B8771" s="845" t="s">
        <v>2564</v>
      </c>
      <c r="C8771" s="1007">
        <f t="shared" si="145"/>
        <v>12</v>
      </c>
      <c r="D8771" s="1014"/>
      <c r="I8771" s="1011" t="str">
        <f>CONCATENATE("&lt;valeur&gt;",VLOOKUP(C8771,'T16 Amort'!A:K,8,0),"&lt;/valeur&gt;")</f>
        <v>&lt;valeur&gt;&lt;/valeur&gt;</v>
      </c>
      <c r="K8771" s="1013"/>
    </row>
    <row r="8772" spans="1:11" s="1011" customFormat="1" ht="15" x14ac:dyDescent="0.25">
      <c r="A8772" s="859">
        <f t="shared" ref="A8772:A8835" si="146">+A8771+1</f>
        <v>8771</v>
      </c>
      <c r="B8772" s="845" t="s">
        <v>2564</v>
      </c>
      <c r="C8772" s="1007">
        <f t="shared" si="145"/>
        <v>12</v>
      </c>
      <c r="D8772" s="1014"/>
      <c r="I8772" s="1011" t="str">
        <f>CONCATENATE("&lt;numeroLigne&gt;",C8772,"&lt;/numeroLigne&gt;")</f>
        <v>&lt;numeroLigne&gt;12&lt;/numeroLigne&gt;</v>
      </c>
      <c r="K8772" s="1013"/>
    </row>
    <row r="8773" spans="1:11" s="1011" customFormat="1" ht="15" x14ac:dyDescent="0.25">
      <c r="A8773" s="859">
        <f t="shared" si="146"/>
        <v>8772</v>
      </c>
      <c r="B8773" s="845" t="s">
        <v>2564</v>
      </c>
      <c r="C8773" s="1007">
        <f t="shared" si="145"/>
        <v>12</v>
      </c>
      <c r="D8773" s="1012"/>
      <c r="H8773" s="1011" t="s">
        <v>1010</v>
      </c>
      <c r="K8773" s="1013"/>
    </row>
    <row r="8774" spans="1:11" s="1011" customFormat="1" ht="15" x14ac:dyDescent="0.25">
      <c r="A8774" s="859">
        <f t="shared" si="146"/>
        <v>8773</v>
      </c>
      <c r="B8774" s="845" t="s">
        <v>2564</v>
      </c>
      <c r="C8774" s="1007">
        <f t="shared" si="145"/>
        <v>12</v>
      </c>
      <c r="D8774" s="1015"/>
      <c r="H8774" s="1011" t="s">
        <v>1007</v>
      </c>
      <c r="K8774" s="1013"/>
    </row>
    <row r="8775" spans="1:11" s="1011" customFormat="1" ht="15" x14ac:dyDescent="0.25">
      <c r="A8775" s="859">
        <f t="shared" si="146"/>
        <v>8774</v>
      </c>
      <c r="B8775" s="845" t="s">
        <v>2564</v>
      </c>
      <c r="C8775" s="1007">
        <f t="shared" si="145"/>
        <v>12</v>
      </c>
      <c r="D8775" s="1012"/>
      <c r="I8775" s="1011" t="s">
        <v>2181</v>
      </c>
      <c r="K8775" s="1013"/>
    </row>
    <row r="8776" spans="1:11" s="1011" customFormat="1" ht="15" x14ac:dyDescent="0.25">
      <c r="A8776" s="859">
        <f t="shared" si="146"/>
        <v>8775</v>
      </c>
      <c r="B8776" s="845" t="s">
        <v>2564</v>
      </c>
      <c r="C8776" s="1007">
        <f t="shared" si="145"/>
        <v>12</v>
      </c>
      <c r="D8776" s="1012"/>
      <c r="I8776" s="1011" t="str">
        <f>CONCATENATE("&lt;valeur&gt;",VLOOKUP(C8776,'T16 Amort'!A:K,9,0),"&lt;/valeur&gt;")</f>
        <v>&lt;valeur&gt;&lt;/valeur&gt;</v>
      </c>
      <c r="K8776" s="1013"/>
    </row>
    <row r="8777" spans="1:11" s="1011" customFormat="1" ht="15" x14ac:dyDescent="0.25">
      <c r="A8777" s="859">
        <f t="shared" si="146"/>
        <v>8776</v>
      </c>
      <c r="B8777" s="845" t="s">
        <v>2564</v>
      </c>
      <c r="C8777" s="1007">
        <f t="shared" si="145"/>
        <v>12</v>
      </c>
      <c r="D8777" s="1014"/>
      <c r="I8777" s="1011" t="str">
        <f>CONCATENATE("&lt;numeroLigne&gt;",C8777,"&lt;/numeroLigne&gt;")</f>
        <v>&lt;numeroLigne&gt;12&lt;/numeroLigne&gt;</v>
      </c>
      <c r="K8777" s="1013"/>
    </row>
    <row r="8778" spans="1:11" s="1011" customFormat="1" ht="15" x14ac:dyDescent="0.25">
      <c r="A8778" s="859">
        <f t="shared" si="146"/>
        <v>8777</v>
      </c>
      <c r="B8778" s="845" t="s">
        <v>2564</v>
      </c>
      <c r="C8778" s="1007">
        <f t="shared" si="145"/>
        <v>12</v>
      </c>
      <c r="D8778" s="1014"/>
      <c r="H8778" s="1011" t="s">
        <v>1010</v>
      </c>
      <c r="K8778" s="1013"/>
    </row>
    <row r="8779" spans="1:11" s="1011" customFormat="1" ht="15" x14ac:dyDescent="0.25">
      <c r="A8779" s="859">
        <f t="shared" si="146"/>
        <v>8778</v>
      </c>
      <c r="B8779" s="845" t="s">
        <v>2564</v>
      </c>
      <c r="C8779" s="1007">
        <f t="shared" si="145"/>
        <v>12</v>
      </c>
      <c r="D8779" s="1012"/>
      <c r="H8779" s="1011" t="s">
        <v>1007</v>
      </c>
      <c r="K8779" s="1013"/>
    </row>
    <row r="8780" spans="1:11" s="1011" customFormat="1" ht="15" x14ac:dyDescent="0.25">
      <c r="A8780" s="859">
        <f t="shared" si="146"/>
        <v>8779</v>
      </c>
      <c r="B8780" s="845" t="s">
        <v>2564</v>
      </c>
      <c r="C8780" s="1007">
        <f t="shared" si="145"/>
        <v>12</v>
      </c>
      <c r="D8780" s="1015"/>
      <c r="I8780" s="1011" t="s">
        <v>2182</v>
      </c>
      <c r="K8780" s="1013"/>
    </row>
    <row r="8781" spans="1:11" s="1011" customFormat="1" ht="15" x14ac:dyDescent="0.25">
      <c r="A8781" s="859">
        <f t="shared" si="146"/>
        <v>8780</v>
      </c>
      <c r="B8781" s="845" t="s">
        <v>2564</v>
      </c>
      <c r="C8781" s="1007">
        <f t="shared" si="145"/>
        <v>12</v>
      </c>
      <c r="D8781" s="1012"/>
      <c r="I8781" s="1011" t="str">
        <f>CONCATENATE("&lt;valeur&gt;",VLOOKUP(C8781,'T16 Amort'!A:K,10,0),"&lt;/valeur&gt;")</f>
        <v>&lt;valeur&gt;&lt;/valeur&gt;</v>
      </c>
      <c r="K8781" s="1013"/>
    </row>
    <row r="8782" spans="1:11" s="1011" customFormat="1" ht="15" x14ac:dyDescent="0.25">
      <c r="A8782" s="859">
        <f t="shared" si="146"/>
        <v>8781</v>
      </c>
      <c r="B8782" s="845" t="s">
        <v>2564</v>
      </c>
      <c r="C8782" s="1007">
        <f t="shared" si="145"/>
        <v>12</v>
      </c>
      <c r="D8782" s="1012"/>
      <c r="I8782" s="1011" t="str">
        <f>CONCATENATE("&lt;numeroLigne&gt;",C8782,"&lt;/numeroLigne&gt;")</f>
        <v>&lt;numeroLigne&gt;12&lt;/numeroLigne&gt;</v>
      </c>
      <c r="K8782" s="1013"/>
    </row>
    <row r="8783" spans="1:11" s="1011" customFormat="1" ht="15" x14ac:dyDescent="0.25">
      <c r="A8783" s="859">
        <f t="shared" si="146"/>
        <v>8782</v>
      </c>
      <c r="B8783" s="845" t="s">
        <v>2564</v>
      </c>
      <c r="C8783" s="1007">
        <f t="shared" si="145"/>
        <v>12</v>
      </c>
      <c r="D8783" s="1014"/>
      <c r="H8783" s="1011" t="s">
        <v>1010</v>
      </c>
      <c r="K8783" s="1013"/>
    </row>
    <row r="8784" spans="1:11" s="1011" customFormat="1" ht="15" x14ac:dyDescent="0.25">
      <c r="A8784" s="859">
        <f t="shared" si="146"/>
        <v>8783</v>
      </c>
      <c r="B8784" s="845" t="s">
        <v>2564</v>
      </c>
      <c r="C8784" s="1007">
        <f t="shared" si="145"/>
        <v>12</v>
      </c>
      <c r="D8784" s="1014"/>
      <c r="H8784" s="1011" t="s">
        <v>1007</v>
      </c>
      <c r="K8784" s="1013"/>
    </row>
    <row r="8785" spans="1:11" s="1011" customFormat="1" ht="15" x14ac:dyDescent="0.25">
      <c r="A8785" s="859">
        <f t="shared" si="146"/>
        <v>8784</v>
      </c>
      <c r="B8785" s="845" t="s">
        <v>2564</v>
      </c>
      <c r="C8785" s="1007">
        <f t="shared" si="145"/>
        <v>12</v>
      </c>
      <c r="D8785" s="1012"/>
      <c r="I8785" s="1011" t="s">
        <v>2183</v>
      </c>
      <c r="K8785" s="1013"/>
    </row>
    <row r="8786" spans="1:11" s="1011" customFormat="1" ht="15" x14ac:dyDescent="0.25">
      <c r="A8786" s="859">
        <f t="shared" si="146"/>
        <v>8785</v>
      </c>
      <c r="B8786" s="845" t="s">
        <v>2564</v>
      </c>
      <c r="C8786" s="1007">
        <f t="shared" si="145"/>
        <v>12</v>
      </c>
      <c r="D8786" s="1015"/>
      <c r="I8786" s="1011" t="str">
        <f>CONCATENATE("&lt;valeur&gt;",VLOOKUP(C8786,'T16 Amort'!A:K,11,0),"&lt;/valeur&gt;")</f>
        <v>&lt;valeur&gt;&lt;/valeur&gt;</v>
      </c>
      <c r="K8786" s="1013"/>
    </row>
    <row r="8787" spans="1:11" s="1011" customFormat="1" ht="15" x14ac:dyDescent="0.25">
      <c r="A8787" s="859">
        <f t="shared" si="146"/>
        <v>8786</v>
      </c>
      <c r="B8787" s="845" t="s">
        <v>2564</v>
      </c>
      <c r="C8787" s="1007">
        <f t="shared" si="145"/>
        <v>12</v>
      </c>
      <c r="D8787" s="1012"/>
      <c r="I8787" s="1011" t="str">
        <f>CONCATENATE("&lt;numeroLigne&gt;",C8787,"&lt;/numeroLigne&gt;")</f>
        <v>&lt;numeroLigne&gt;12&lt;/numeroLigne&gt;</v>
      </c>
      <c r="K8787" s="1013"/>
    </row>
    <row r="8788" spans="1:11" s="1011" customFormat="1" ht="15" x14ac:dyDescent="0.25">
      <c r="A8788" s="859">
        <f t="shared" si="146"/>
        <v>8787</v>
      </c>
      <c r="B8788" s="845" t="s">
        <v>2564</v>
      </c>
      <c r="C8788" s="1007">
        <f t="shared" si="145"/>
        <v>12</v>
      </c>
      <c r="D8788" s="1016"/>
      <c r="E8788" s="1017"/>
      <c r="F8788" s="1017"/>
      <c r="G8788" s="1017"/>
      <c r="H8788" s="1017" t="s">
        <v>1010</v>
      </c>
      <c r="I8788" s="1017"/>
      <c r="J8788" s="1017"/>
      <c r="K8788" s="1018"/>
    </row>
    <row r="8789" spans="1:11" s="1011" customFormat="1" ht="15" x14ac:dyDescent="0.25">
      <c r="A8789" s="859">
        <f t="shared" si="146"/>
        <v>8788</v>
      </c>
      <c r="B8789" s="845" t="s">
        <v>2564</v>
      </c>
      <c r="C8789" s="1007">
        <f t="shared" si="145"/>
        <v>13</v>
      </c>
      <c r="D8789" s="1008"/>
      <c r="E8789" s="1009"/>
      <c r="F8789" s="1009"/>
      <c r="G8789" s="1009"/>
      <c r="H8789" s="1009" t="s">
        <v>1007</v>
      </c>
      <c r="I8789" s="1009"/>
      <c r="J8789" s="1009"/>
      <c r="K8789" s="1010"/>
    </row>
    <row r="8790" spans="1:11" s="1011" customFormat="1" ht="15" x14ac:dyDescent="0.25">
      <c r="A8790" s="859">
        <f t="shared" si="146"/>
        <v>8789</v>
      </c>
      <c r="B8790" s="845" t="s">
        <v>2564</v>
      </c>
      <c r="C8790" s="1007">
        <f t="shared" si="145"/>
        <v>13</v>
      </c>
      <c r="D8790" s="1012"/>
      <c r="I8790" s="1011" t="s">
        <v>2174</v>
      </c>
      <c r="K8790" s="1013"/>
    </row>
    <row r="8791" spans="1:11" s="1011" customFormat="1" ht="15" x14ac:dyDescent="0.25">
      <c r="A8791" s="859">
        <f t="shared" si="146"/>
        <v>8790</v>
      </c>
      <c r="B8791" s="845" t="s">
        <v>2564</v>
      </c>
      <c r="C8791" s="1007">
        <f t="shared" si="145"/>
        <v>13</v>
      </c>
      <c r="D8791" s="1014"/>
      <c r="I8791" s="1011" t="str">
        <f>CONCATENATE("&lt;valeur&gt;",VLOOKUP(C8791,'T16 Amort'!A:K,2,0),"&lt;/valeur&gt;")</f>
        <v>&lt;valeur&gt;&lt;/valeur&gt;</v>
      </c>
      <c r="K8791" s="1013"/>
    </row>
    <row r="8792" spans="1:11" s="1011" customFormat="1" ht="15" x14ac:dyDescent="0.25">
      <c r="A8792" s="859">
        <f t="shared" si="146"/>
        <v>8791</v>
      </c>
      <c r="B8792" s="845" t="s">
        <v>2564</v>
      </c>
      <c r="C8792" s="1007">
        <f t="shared" si="145"/>
        <v>13</v>
      </c>
      <c r="D8792" s="1014"/>
      <c r="I8792" s="1011" t="str">
        <f>CONCATENATE("&lt;numeroLigne&gt;",C8792,"&lt;/numeroLigne&gt;")</f>
        <v>&lt;numeroLigne&gt;13&lt;/numeroLigne&gt;</v>
      </c>
      <c r="K8792" s="1013"/>
    </row>
    <row r="8793" spans="1:11" s="1011" customFormat="1" ht="15" x14ac:dyDescent="0.25">
      <c r="A8793" s="859">
        <f t="shared" si="146"/>
        <v>8792</v>
      </c>
      <c r="B8793" s="845" t="s">
        <v>2564</v>
      </c>
      <c r="C8793" s="1007">
        <f t="shared" si="145"/>
        <v>13</v>
      </c>
      <c r="D8793" s="1012"/>
      <c r="H8793" s="1011" t="s">
        <v>1010</v>
      </c>
      <c r="K8793" s="1013"/>
    </row>
    <row r="8794" spans="1:11" s="1011" customFormat="1" ht="15" x14ac:dyDescent="0.25">
      <c r="A8794" s="859">
        <f t="shared" si="146"/>
        <v>8793</v>
      </c>
      <c r="B8794" s="845" t="s">
        <v>2564</v>
      </c>
      <c r="C8794" s="1007">
        <f t="shared" si="145"/>
        <v>13</v>
      </c>
      <c r="D8794" s="1015"/>
      <c r="H8794" s="1011" t="s">
        <v>1007</v>
      </c>
      <c r="K8794" s="1013"/>
    </row>
    <row r="8795" spans="1:11" s="1011" customFormat="1" ht="15" x14ac:dyDescent="0.25">
      <c r="A8795" s="859">
        <f t="shared" si="146"/>
        <v>8794</v>
      </c>
      <c r="B8795" s="845" t="s">
        <v>2564</v>
      </c>
      <c r="C8795" s="1007">
        <f t="shared" si="145"/>
        <v>13</v>
      </c>
      <c r="D8795" s="1012"/>
      <c r="I8795" s="1011" t="s">
        <v>2175</v>
      </c>
      <c r="K8795" s="1013"/>
    </row>
    <row r="8796" spans="1:11" s="1011" customFormat="1" ht="15" x14ac:dyDescent="0.25">
      <c r="A8796" s="859">
        <f t="shared" si="146"/>
        <v>8795</v>
      </c>
      <c r="B8796" s="845" t="s">
        <v>2564</v>
      </c>
      <c r="C8796" s="1007">
        <f t="shared" si="145"/>
        <v>13</v>
      </c>
      <c r="D8796" s="1012"/>
      <c r="I8796" s="1011" t="str">
        <f>CONCATENATE("&lt;valeur&gt;",VLOOKUP(C8796,'T16 Amort'!A:K,3,0),"&lt;/valeur&gt;")</f>
        <v>&lt;valeur&gt;&lt;/valeur&gt;</v>
      </c>
      <c r="K8796" s="1013"/>
    </row>
    <row r="8797" spans="1:11" s="1011" customFormat="1" ht="15" x14ac:dyDescent="0.25">
      <c r="A8797" s="859">
        <f t="shared" si="146"/>
        <v>8796</v>
      </c>
      <c r="B8797" s="845" t="s">
        <v>2564</v>
      </c>
      <c r="C8797" s="1007">
        <f t="shared" si="145"/>
        <v>13</v>
      </c>
      <c r="D8797" s="1014"/>
      <c r="I8797" s="1011" t="str">
        <f>CONCATENATE("&lt;numeroLigne&gt;",C8797,"&lt;/numeroLigne&gt;")</f>
        <v>&lt;numeroLigne&gt;13&lt;/numeroLigne&gt;</v>
      </c>
      <c r="K8797" s="1013"/>
    </row>
    <row r="8798" spans="1:11" s="1011" customFormat="1" ht="15" x14ac:dyDescent="0.25">
      <c r="A8798" s="859">
        <f t="shared" si="146"/>
        <v>8797</v>
      </c>
      <c r="B8798" s="845" t="s">
        <v>2564</v>
      </c>
      <c r="C8798" s="1007">
        <f t="shared" si="145"/>
        <v>13</v>
      </c>
      <c r="D8798" s="1014"/>
      <c r="H8798" s="1011" t="s">
        <v>1010</v>
      </c>
      <c r="K8798" s="1013"/>
    </row>
    <row r="8799" spans="1:11" s="1011" customFormat="1" ht="15" x14ac:dyDescent="0.25">
      <c r="A8799" s="859">
        <f t="shared" si="146"/>
        <v>8798</v>
      </c>
      <c r="B8799" s="845" t="s">
        <v>2564</v>
      </c>
      <c r="C8799" s="1007">
        <f t="shared" si="145"/>
        <v>13</v>
      </c>
      <c r="D8799" s="1012"/>
      <c r="H8799" s="1011" t="s">
        <v>1007</v>
      </c>
      <c r="K8799" s="1013"/>
    </row>
    <row r="8800" spans="1:11" s="1011" customFormat="1" ht="15" x14ac:dyDescent="0.25">
      <c r="A8800" s="859">
        <f t="shared" si="146"/>
        <v>8799</v>
      </c>
      <c r="B8800" s="845" t="s">
        <v>2564</v>
      </c>
      <c r="C8800" s="1007">
        <f t="shared" si="145"/>
        <v>13</v>
      </c>
      <c r="D8800" s="1015"/>
      <c r="I8800" s="1011" t="s">
        <v>2176</v>
      </c>
      <c r="K8800" s="1013"/>
    </row>
    <row r="8801" spans="1:11" s="1011" customFormat="1" ht="15" x14ac:dyDescent="0.25">
      <c r="A8801" s="859">
        <f t="shared" si="146"/>
        <v>8800</v>
      </c>
      <c r="B8801" s="845" t="s">
        <v>2564</v>
      </c>
      <c r="C8801" s="1007">
        <f t="shared" si="145"/>
        <v>13</v>
      </c>
      <c r="D8801" s="1012"/>
      <c r="I8801" s="1011" t="str">
        <f>CONCATENATE("&lt;valeur&gt;",VLOOKUP(C8801,'T16 Amort'!A:K,4,0),"&lt;/valeur&gt;")</f>
        <v>&lt;valeur&gt;&lt;/valeur&gt;</v>
      </c>
      <c r="K8801" s="1013"/>
    </row>
    <row r="8802" spans="1:11" s="1011" customFormat="1" ht="15" x14ac:dyDescent="0.25">
      <c r="A8802" s="859">
        <f t="shared" si="146"/>
        <v>8801</v>
      </c>
      <c r="B8802" s="845" t="s">
        <v>2564</v>
      </c>
      <c r="C8802" s="1007">
        <f t="shared" si="145"/>
        <v>13</v>
      </c>
      <c r="D8802" s="1012"/>
      <c r="I8802" s="1011" t="str">
        <f>CONCATENATE("&lt;numeroLigne&gt;",C8802,"&lt;/numeroLigne&gt;")</f>
        <v>&lt;numeroLigne&gt;13&lt;/numeroLigne&gt;</v>
      </c>
      <c r="K8802" s="1013"/>
    </row>
    <row r="8803" spans="1:11" s="1011" customFormat="1" ht="15" x14ac:dyDescent="0.25">
      <c r="A8803" s="859">
        <f t="shared" si="146"/>
        <v>8802</v>
      </c>
      <c r="B8803" s="845" t="s">
        <v>2564</v>
      </c>
      <c r="C8803" s="1007">
        <f t="shared" si="145"/>
        <v>13</v>
      </c>
      <c r="D8803" s="1014"/>
      <c r="H8803" s="1011" t="s">
        <v>1010</v>
      </c>
      <c r="K8803" s="1013"/>
    </row>
    <row r="8804" spans="1:11" s="1011" customFormat="1" ht="15" x14ac:dyDescent="0.25">
      <c r="A8804" s="859">
        <f t="shared" si="146"/>
        <v>8803</v>
      </c>
      <c r="B8804" s="845" t="s">
        <v>2564</v>
      </c>
      <c r="C8804" s="1007">
        <f t="shared" si="145"/>
        <v>13</v>
      </c>
      <c r="D8804" s="1014"/>
      <c r="H8804" s="1011" t="s">
        <v>1007</v>
      </c>
      <c r="K8804" s="1013"/>
    </row>
    <row r="8805" spans="1:11" s="1011" customFormat="1" ht="15" x14ac:dyDescent="0.25">
      <c r="A8805" s="859">
        <f t="shared" si="146"/>
        <v>8804</v>
      </c>
      <c r="B8805" s="845" t="s">
        <v>2564</v>
      </c>
      <c r="C8805" s="1007">
        <f t="shared" si="145"/>
        <v>13</v>
      </c>
      <c r="D8805" s="1012"/>
      <c r="I8805" s="1011" t="s">
        <v>2177</v>
      </c>
      <c r="K8805" s="1013"/>
    </row>
    <row r="8806" spans="1:11" s="1011" customFormat="1" ht="15" x14ac:dyDescent="0.25">
      <c r="A8806" s="859">
        <f t="shared" si="146"/>
        <v>8805</v>
      </c>
      <c r="B8806" s="845" t="s">
        <v>2564</v>
      </c>
      <c r="C8806" s="1007">
        <f t="shared" si="145"/>
        <v>13</v>
      </c>
      <c r="D8806" s="1015"/>
      <c r="I8806" s="1011" t="str">
        <f>CONCATENATE("&lt;valeur&gt;",VLOOKUP(C8806,'T16 Amort'!A:K,5,0),"&lt;/valeur&gt;")</f>
        <v>&lt;valeur&gt;&lt;/valeur&gt;</v>
      </c>
      <c r="K8806" s="1013"/>
    </row>
    <row r="8807" spans="1:11" s="1011" customFormat="1" ht="15" x14ac:dyDescent="0.25">
      <c r="A8807" s="859">
        <f t="shared" si="146"/>
        <v>8806</v>
      </c>
      <c r="B8807" s="845" t="s">
        <v>2564</v>
      </c>
      <c r="C8807" s="1007">
        <f t="shared" si="145"/>
        <v>13</v>
      </c>
      <c r="D8807" s="1012"/>
      <c r="I8807" s="1011" t="str">
        <f>CONCATENATE("&lt;numeroLigne&gt;",C8807,"&lt;/numeroLigne&gt;")</f>
        <v>&lt;numeroLigne&gt;13&lt;/numeroLigne&gt;</v>
      </c>
      <c r="K8807" s="1013"/>
    </row>
    <row r="8808" spans="1:11" s="1011" customFormat="1" ht="15" x14ac:dyDescent="0.25">
      <c r="A8808" s="859">
        <f t="shared" si="146"/>
        <v>8807</v>
      </c>
      <c r="B8808" s="845" t="s">
        <v>2564</v>
      </c>
      <c r="C8808" s="1007">
        <f t="shared" si="145"/>
        <v>13</v>
      </c>
      <c r="D8808" s="1012"/>
      <c r="H8808" s="1011" t="s">
        <v>1010</v>
      </c>
      <c r="K8808" s="1013"/>
    </row>
    <row r="8809" spans="1:11" s="1011" customFormat="1" ht="15" x14ac:dyDescent="0.25">
      <c r="A8809" s="859">
        <f t="shared" si="146"/>
        <v>8808</v>
      </c>
      <c r="B8809" s="845" t="s">
        <v>2564</v>
      </c>
      <c r="C8809" s="1007">
        <f t="shared" si="145"/>
        <v>13</v>
      </c>
      <c r="D8809" s="1014"/>
      <c r="H8809" s="1011" t="s">
        <v>1007</v>
      </c>
      <c r="K8809" s="1013"/>
    </row>
    <row r="8810" spans="1:11" s="1011" customFormat="1" ht="15" x14ac:dyDescent="0.25">
      <c r="A8810" s="859">
        <f t="shared" si="146"/>
        <v>8809</v>
      </c>
      <c r="B8810" s="845" t="s">
        <v>2564</v>
      </c>
      <c r="C8810" s="1007">
        <f t="shared" si="145"/>
        <v>13</v>
      </c>
      <c r="D8810" s="1014"/>
      <c r="I8810" s="1011" t="s">
        <v>2178</v>
      </c>
      <c r="K8810" s="1013"/>
    </row>
    <row r="8811" spans="1:11" s="1011" customFormat="1" ht="15" x14ac:dyDescent="0.25">
      <c r="A8811" s="859">
        <f t="shared" si="146"/>
        <v>8810</v>
      </c>
      <c r="B8811" s="845" t="s">
        <v>2564</v>
      </c>
      <c r="C8811" s="1007">
        <f t="shared" si="145"/>
        <v>13</v>
      </c>
      <c r="D8811" s="1012"/>
      <c r="I8811" s="1011" t="str">
        <f>CONCATENATE("&lt;valeur&gt;",VLOOKUP(C8811,'T16 Amort'!A:K,6,0),"&lt;/valeur&gt;")</f>
        <v>&lt;valeur&gt;&lt;/valeur&gt;</v>
      </c>
      <c r="K8811" s="1013"/>
    </row>
    <row r="8812" spans="1:11" s="1011" customFormat="1" ht="15" x14ac:dyDescent="0.25">
      <c r="A8812" s="859">
        <f t="shared" si="146"/>
        <v>8811</v>
      </c>
      <c r="B8812" s="845" t="s">
        <v>2564</v>
      </c>
      <c r="C8812" s="1007">
        <f t="shared" si="145"/>
        <v>13</v>
      </c>
      <c r="D8812" s="1015"/>
      <c r="I8812" s="1011" t="str">
        <f>CONCATENATE("&lt;numeroLigne&gt;",C8812,"&lt;/numeroLigne&gt;")</f>
        <v>&lt;numeroLigne&gt;13&lt;/numeroLigne&gt;</v>
      </c>
      <c r="K8812" s="1013"/>
    </row>
    <row r="8813" spans="1:11" s="1011" customFormat="1" ht="15" x14ac:dyDescent="0.25">
      <c r="A8813" s="859">
        <f t="shared" si="146"/>
        <v>8812</v>
      </c>
      <c r="B8813" s="845" t="s">
        <v>2564</v>
      </c>
      <c r="C8813" s="1007">
        <f t="shared" si="145"/>
        <v>13</v>
      </c>
      <c r="D8813" s="1012"/>
      <c r="H8813" s="1011" t="s">
        <v>1010</v>
      </c>
      <c r="K8813" s="1013"/>
    </row>
    <row r="8814" spans="1:11" s="1011" customFormat="1" ht="15" x14ac:dyDescent="0.25">
      <c r="A8814" s="859">
        <f t="shared" si="146"/>
        <v>8813</v>
      </c>
      <c r="B8814" s="845" t="s">
        <v>2564</v>
      </c>
      <c r="C8814" s="1007">
        <f t="shared" si="145"/>
        <v>13</v>
      </c>
      <c r="D8814" s="1012"/>
      <c r="H8814" s="1011" t="s">
        <v>1007</v>
      </c>
      <c r="K8814" s="1013"/>
    </row>
    <row r="8815" spans="1:11" s="1011" customFormat="1" ht="15" x14ac:dyDescent="0.25">
      <c r="A8815" s="859">
        <f t="shared" si="146"/>
        <v>8814</v>
      </c>
      <c r="B8815" s="845" t="s">
        <v>2564</v>
      </c>
      <c r="C8815" s="1007">
        <f t="shared" ref="C8815:C8878" si="147">C8765+1</f>
        <v>13</v>
      </c>
      <c r="D8815" s="1014"/>
      <c r="I8815" s="1011" t="s">
        <v>2179</v>
      </c>
      <c r="K8815" s="1013"/>
    </row>
    <row r="8816" spans="1:11" s="1011" customFormat="1" ht="15" x14ac:dyDescent="0.25">
      <c r="A8816" s="859">
        <f t="shared" si="146"/>
        <v>8815</v>
      </c>
      <c r="B8816" s="845" t="s">
        <v>2564</v>
      </c>
      <c r="C8816" s="1007">
        <f t="shared" si="147"/>
        <v>13</v>
      </c>
      <c r="D8816" s="1014"/>
      <c r="I8816" s="1011" t="str">
        <f>CONCATENATE("&lt;valeur&gt;",VLOOKUP(C8816,'T16 Amort'!A:K,7,0),"&lt;/valeur&gt;")</f>
        <v>&lt;valeur&gt;&lt;/valeur&gt;</v>
      </c>
      <c r="K8816" s="1013"/>
    </row>
    <row r="8817" spans="1:11" s="1011" customFormat="1" ht="15" x14ac:dyDescent="0.25">
      <c r="A8817" s="859">
        <f t="shared" si="146"/>
        <v>8816</v>
      </c>
      <c r="B8817" s="845" t="s">
        <v>2564</v>
      </c>
      <c r="C8817" s="1007">
        <f t="shared" si="147"/>
        <v>13</v>
      </c>
      <c r="D8817" s="1012"/>
      <c r="I8817" s="1011" t="str">
        <f>CONCATENATE("&lt;numeroLigne&gt;",C8817,"&lt;/numeroLigne&gt;")</f>
        <v>&lt;numeroLigne&gt;13&lt;/numeroLigne&gt;</v>
      </c>
      <c r="K8817" s="1013"/>
    </row>
    <row r="8818" spans="1:11" s="1011" customFormat="1" ht="15" x14ac:dyDescent="0.25">
      <c r="A8818" s="859">
        <f t="shared" si="146"/>
        <v>8817</v>
      </c>
      <c r="B8818" s="845" t="s">
        <v>2564</v>
      </c>
      <c r="C8818" s="1007">
        <f t="shared" si="147"/>
        <v>13</v>
      </c>
      <c r="D8818" s="1015"/>
      <c r="H8818" s="1011" t="s">
        <v>1010</v>
      </c>
      <c r="K8818" s="1013"/>
    </row>
    <row r="8819" spans="1:11" s="1011" customFormat="1" ht="15" x14ac:dyDescent="0.25">
      <c r="A8819" s="859">
        <f t="shared" si="146"/>
        <v>8818</v>
      </c>
      <c r="B8819" s="845" t="s">
        <v>2564</v>
      </c>
      <c r="C8819" s="1007">
        <f t="shared" si="147"/>
        <v>13</v>
      </c>
      <c r="D8819" s="1012"/>
      <c r="H8819" s="1011" t="s">
        <v>1007</v>
      </c>
      <c r="K8819" s="1013"/>
    </row>
    <row r="8820" spans="1:11" s="1011" customFormat="1" ht="15" x14ac:dyDescent="0.25">
      <c r="A8820" s="859">
        <f t="shared" si="146"/>
        <v>8819</v>
      </c>
      <c r="B8820" s="845" t="s">
        <v>2564</v>
      </c>
      <c r="C8820" s="1007">
        <f t="shared" si="147"/>
        <v>13</v>
      </c>
      <c r="D8820" s="1012"/>
      <c r="I8820" s="1011" t="s">
        <v>2180</v>
      </c>
      <c r="K8820" s="1013"/>
    </row>
    <row r="8821" spans="1:11" s="1011" customFormat="1" ht="15" x14ac:dyDescent="0.25">
      <c r="A8821" s="859">
        <f t="shared" si="146"/>
        <v>8820</v>
      </c>
      <c r="B8821" s="845" t="s">
        <v>2564</v>
      </c>
      <c r="C8821" s="1007">
        <f t="shared" si="147"/>
        <v>13</v>
      </c>
      <c r="D8821" s="1014"/>
      <c r="I8821" s="1011" t="str">
        <f>CONCATENATE("&lt;valeur&gt;",VLOOKUP(C8821,'T16 Amort'!A:K,8,0),"&lt;/valeur&gt;")</f>
        <v>&lt;valeur&gt;&lt;/valeur&gt;</v>
      </c>
      <c r="K8821" s="1013"/>
    </row>
    <row r="8822" spans="1:11" s="1011" customFormat="1" ht="15" x14ac:dyDescent="0.25">
      <c r="A8822" s="859">
        <f t="shared" si="146"/>
        <v>8821</v>
      </c>
      <c r="B8822" s="845" t="s">
        <v>2564</v>
      </c>
      <c r="C8822" s="1007">
        <f t="shared" si="147"/>
        <v>13</v>
      </c>
      <c r="D8822" s="1014"/>
      <c r="I8822" s="1011" t="str">
        <f>CONCATENATE("&lt;numeroLigne&gt;",C8822,"&lt;/numeroLigne&gt;")</f>
        <v>&lt;numeroLigne&gt;13&lt;/numeroLigne&gt;</v>
      </c>
      <c r="K8822" s="1013"/>
    </row>
    <row r="8823" spans="1:11" s="1011" customFormat="1" ht="15" x14ac:dyDescent="0.25">
      <c r="A8823" s="859">
        <f t="shared" si="146"/>
        <v>8822</v>
      </c>
      <c r="B8823" s="845" t="s">
        <v>2564</v>
      </c>
      <c r="C8823" s="1007">
        <f t="shared" si="147"/>
        <v>13</v>
      </c>
      <c r="D8823" s="1012"/>
      <c r="H8823" s="1011" t="s">
        <v>1010</v>
      </c>
      <c r="K8823" s="1013"/>
    </row>
    <row r="8824" spans="1:11" s="1011" customFormat="1" ht="15" x14ac:dyDescent="0.25">
      <c r="A8824" s="859">
        <f t="shared" si="146"/>
        <v>8823</v>
      </c>
      <c r="B8824" s="845" t="s">
        <v>2564</v>
      </c>
      <c r="C8824" s="1007">
        <f t="shared" si="147"/>
        <v>13</v>
      </c>
      <c r="D8824" s="1015"/>
      <c r="H8824" s="1011" t="s">
        <v>1007</v>
      </c>
      <c r="K8824" s="1013"/>
    </row>
    <row r="8825" spans="1:11" s="1011" customFormat="1" ht="15" x14ac:dyDescent="0.25">
      <c r="A8825" s="859">
        <f t="shared" si="146"/>
        <v>8824</v>
      </c>
      <c r="B8825" s="845" t="s">
        <v>2564</v>
      </c>
      <c r="C8825" s="1007">
        <f t="shared" si="147"/>
        <v>13</v>
      </c>
      <c r="D8825" s="1012"/>
      <c r="I8825" s="1011" t="s">
        <v>2181</v>
      </c>
      <c r="K8825" s="1013"/>
    </row>
    <row r="8826" spans="1:11" s="1011" customFormat="1" ht="15" x14ac:dyDescent="0.25">
      <c r="A8826" s="859">
        <f t="shared" si="146"/>
        <v>8825</v>
      </c>
      <c r="B8826" s="845" t="s">
        <v>2564</v>
      </c>
      <c r="C8826" s="1007">
        <f t="shared" si="147"/>
        <v>13</v>
      </c>
      <c r="D8826" s="1012"/>
      <c r="I8826" s="1011" t="str">
        <f>CONCATENATE("&lt;valeur&gt;",VLOOKUP(C8826,'T16 Amort'!A:K,9,0),"&lt;/valeur&gt;")</f>
        <v>&lt;valeur&gt;&lt;/valeur&gt;</v>
      </c>
      <c r="K8826" s="1013"/>
    </row>
    <row r="8827" spans="1:11" s="1011" customFormat="1" ht="15" x14ac:dyDescent="0.25">
      <c r="A8827" s="859">
        <f t="shared" si="146"/>
        <v>8826</v>
      </c>
      <c r="B8827" s="845" t="s">
        <v>2564</v>
      </c>
      <c r="C8827" s="1007">
        <f t="shared" si="147"/>
        <v>13</v>
      </c>
      <c r="D8827" s="1014"/>
      <c r="I8827" s="1011" t="str">
        <f>CONCATENATE("&lt;numeroLigne&gt;",C8827,"&lt;/numeroLigne&gt;")</f>
        <v>&lt;numeroLigne&gt;13&lt;/numeroLigne&gt;</v>
      </c>
      <c r="K8827" s="1013"/>
    </row>
    <row r="8828" spans="1:11" s="1011" customFormat="1" ht="15" x14ac:dyDescent="0.25">
      <c r="A8828" s="859">
        <f t="shared" si="146"/>
        <v>8827</v>
      </c>
      <c r="B8828" s="845" t="s">
        <v>2564</v>
      </c>
      <c r="C8828" s="1007">
        <f t="shared" si="147"/>
        <v>13</v>
      </c>
      <c r="D8828" s="1014"/>
      <c r="H8828" s="1011" t="s">
        <v>1010</v>
      </c>
      <c r="K8828" s="1013"/>
    </row>
    <row r="8829" spans="1:11" s="1011" customFormat="1" ht="15" x14ac:dyDescent="0.25">
      <c r="A8829" s="859">
        <f t="shared" si="146"/>
        <v>8828</v>
      </c>
      <c r="B8829" s="845" t="s">
        <v>2564</v>
      </c>
      <c r="C8829" s="1007">
        <f t="shared" si="147"/>
        <v>13</v>
      </c>
      <c r="D8829" s="1012"/>
      <c r="H8829" s="1011" t="s">
        <v>1007</v>
      </c>
      <c r="K8829" s="1013"/>
    </row>
    <row r="8830" spans="1:11" s="1011" customFormat="1" ht="15" x14ac:dyDescent="0.25">
      <c r="A8830" s="859">
        <f t="shared" si="146"/>
        <v>8829</v>
      </c>
      <c r="B8830" s="845" t="s">
        <v>2564</v>
      </c>
      <c r="C8830" s="1007">
        <f t="shared" si="147"/>
        <v>13</v>
      </c>
      <c r="D8830" s="1015"/>
      <c r="I8830" s="1011" t="s">
        <v>2182</v>
      </c>
      <c r="K8830" s="1013"/>
    </row>
    <row r="8831" spans="1:11" s="1011" customFormat="1" ht="15" x14ac:dyDescent="0.25">
      <c r="A8831" s="859">
        <f t="shared" si="146"/>
        <v>8830</v>
      </c>
      <c r="B8831" s="845" t="s">
        <v>2564</v>
      </c>
      <c r="C8831" s="1007">
        <f t="shared" si="147"/>
        <v>13</v>
      </c>
      <c r="D8831" s="1012"/>
      <c r="I8831" s="1011" t="str">
        <f>CONCATENATE("&lt;valeur&gt;",VLOOKUP(C8831,'T16 Amort'!A:K,10,0),"&lt;/valeur&gt;")</f>
        <v>&lt;valeur&gt;&lt;/valeur&gt;</v>
      </c>
      <c r="K8831" s="1013"/>
    </row>
    <row r="8832" spans="1:11" s="1011" customFormat="1" ht="15" x14ac:dyDescent="0.25">
      <c r="A8832" s="859">
        <f t="shared" si="146"/>
        <v>8831</v>
      </c>
      <c r="B8832" s="845" t="s">
        <v>2564</v>
      </c>
      <c r="C8832" s="1007">
        <f t="shared" si="147"/>
        <v>13</v>
      </c>
      <c r="D8832" s="1012"/>
      <c r="I8832" s="1011" t="str">
        <f>CONCATENATE("&lt;numeroLigne&gt;",C8832,"&lt;/numeroLigne&gt;")</f>
        <v>&lt;numeroLigne&gt;13&lt;/numeroLigne&gt;</v>
      </c>
      <c r="K8832" s="1013"/>
    </row>
    <row r="8833" spans="1:11" s="1011" customFormat="1" ht="15" x14ac:dyDescent="0.25">
      <c r="A8833" s="859">
        <f t="shared" si="146"/>
        <v>8832</v>
      </c>
      <c r="B8833" s="845" t="s">
        <v>2564</v>
      </c>
      <c r="C8833" s="1007">
        <f t="shared" si="147"/>
        <v>13</v>
      </c>
      <c r="D8833" s="1014"/>
      <c r="H8833" s="1011" t="s">
        <v>1010</v>
      </c>
      <c r="K8833" s="1013"/>
    </row>
    <row r="8834" spans="1:11" s="1011" customFormat="1" ht="15" x14ac:dyDescent="0.25">
      <c r="A8834" s="859">
        <f t="shared" si="146"/>
        <v>8833</v>
      </c>
      <c r="B8834" s="845" t="s">
        <v>2564</v>
      </c>
      <c r="C8834" s="1007">
        <f t="shared" si="147"/>
        <v>13</v>
      </c>
      <c r="D8834" s="1014"/>
      <c r="H8834" s="1011" t="s">
        <v>1007</v>
      </c>
      <c r="K8834" s="1013"/>
    </row>
    <row r="8835" spans="1:11" s="1011" customFormat="1" ht="15" x14ac:dyDescent="0.25">
      <c r="A8835" s="859">
        <f t="shared" si="146"/>
        <v>8834</v>
      </c>
      <c r="B8835" s="845" t="s">
        <v>2564</v>
      </c>
      <c r="C8835" s="1007">
        <f t="shared" si="147"/>
        <v>13</v>
      </c>
      <c r="D8835" s="1012"/>
      <c r="I8835" s="1011" t="s">
        <v>2183</v>
      </c>
      <c r="K8835" s="1013"/>
    </row>
    <row r="8836" spans="1:11" s="1011" customFormat="1" ht="15" x14ac:dyDescent="0.25">
      <c r="A8836" s="859">
        <f t="shared" ref="A8836:A8899" si="148">+A8835+1</f>
        <v>8835</v>
      </c>
      <c r="B8836" s="845" t="s">
        <v>2564</v>
      </c>
      <c r="C8836" s="1007">
        <f t="shared" si="147"/>
        <v>13</v>
      </c>
      <c r="D8836" s="1015"/>
      <c r="I8836" s="1011" t="str">
        <f>CONCATENATE("&lt;valeur&gt;",VLOOKUP(C8836,'T16 Amort'!A:K,11,0),"&lt;/valeur&gt;")</f>
        <v>&lt;valeur&gt;&lt;/valeur&gt;</v>
      </c>
      <c r="K8836" s="1013"/>
    </row>
    <row r="8837" spans="1:11" s="1011" customFormat="1" ht="15" x14ac:dyDescent="0.25">
      <c r="A8837" s="859">
        <f t="shared" si="148"/>
        <v>8836</v>
      </c>
      <c r="B8837" s="845" t="s">
        <v>2564</v>
      </c>
      <c r="C8837" s="1007">
        <f t="shared" si="147"/>
        <v>13</v>
      </c>
      <c r="D8837" s="1012"/>
      <c r="I8837" s="1011" t="str">
        <f>CONCATENATE("&lt;numeroLigne&gt;",C8837,"&lt;/numeroLigne&gt;")</f>
        <v>&lt;numeroLigne&gt;13&lt;/numeroLigne&gt;</v>
      </c>
      <c r="K8837" s="1013"/>
    </row>
    <row r="8838" spans="1:11" s="1011" customFormat="1" ht="15" x14ac:dyDescent="0.25">
      <c r="A8838" s="859">
        <f t="shared" si="148"/>
        <v>8837</v>
      </c>
      <c r="B8838" s="845" t="s">
        <v>2564</v>
      </c>
      <c r="C8838" s="1007">
        <f t="shared" si="147"/>
        <v>13</v>
      </c>
      <c r="D8838" s="1016"/>
      <c r="E8838" s="1017"/>
      <c r="F8838" s="1017"/>
      <c r="G8838" s="1017"/>
      <c r="H8838" s="1017" t="s">
        <v>1010</v>
      </c>
      <c r="I8838" s="1017"/>
      <c r="J8838" s="1017"/>
      <c r="K8838" s="1018"/>
    </row>
    <row r="8839" spans="1:11" s="1011" customFormat="1" ht="15" x14ac:dyDescent="0.25">
      <c r="A8839" s="859">
        <f t="shared" si="148"/>
        <v>8838</v>
      </c>
      <c r="B8839" s="845" t="s">
        <v>2564</v>
      </c>
      <c r="C8839" s="1007">
        <f t="shared" si="147"/>
        <v>14</v>
      </c>
      <c r="D8839" s="1008"/>
      <c r="E8839" s="1009"/>
      <c r="F8839" s="1009"/>
      <c r="G8839" s="1009"/>
      <c r="H8839" s="1009" t="s">
        <v>1007</v>
      </c>
      <c r="I8839" s="1009"/>
      <c r="J8839" s="1009"/>
      <c r="K8839" s="1010"/>
    </row>
    <row r="8840" spans="1:11" s="1011" customFormat="1" ht="15" x14ac:dyDescent="0.25">
      <c r="A8840" s="859">
        <f t="shared" si="148"/>
        <v>8839</v>
      </c>
      <c r="B8840" s="845" t="s">
        <v>2564</v>
      </c>
      <c r="C8840" s="1007">
        <f t="shared" si="147"/>
        <v>14</v>
      </c>
      <c r="D8840" s="1012"/>
      <c r="I8840" s="1011" t="s">
        <v>2174</v>
      </c>
      <c r="K8840" s="1013"/>
    </row>
    <row r="8841" spans="1:11" s="1011" customFormat="1" ht="15" x14ac:dyDescent="0.25">
      <c r="A8841" s="859">
        <f t="shared" si="148"/>
        <v>8840</v>
      </c>
      <c r="B8841" s="845" t="s">
        <v>2564</v>
      </c>
      <c r="C8841" s="1007">
        <f t="shared" si="147"/>
        <v>14</v>
      </c>
      <c r="D8841" s="1014"/>
      <c r="I8841" s="1011" t="str">
        <f>CONCATENATE("&lt;valeur&gt;",VLOOKUP(C8841,'T16 Amort'!A:K,2,0),"&lt;/valeur&gt;")</f>
        <v>&lt;valeur&gt;&lt;/valeur&gt;</v>
      </c>
      <c r="K8841" s="1013"/>
    </row>
    <row r="8842" spans="1:11" s="1011" customFormat="1" ht="15" x14ac:dyDescent="0.25">
      <c r="A8842" s="859">
        <f t="shared" si="148"/>
        <v>8841</v>
      </c>
      <c r="B8842" s="845" t="s">
        <v>2564</v>
      </c>
      <c r="C8842" s="1007">
        <f t="shared" si="147"/>
        <v>14</v>
      </c>
      <c r="D8842" s="1014"/>
      <c r="I8842" s="1011" t="str">
        <f>CONCATENATE("&lt;numeroLigne&gt;",C8842,"&lt;/numeroLigne&gt;")</f>
        <v>&lt;numeroLigne&gt;14&lt;/numeroLigne&gt;</v>
      </c>
      <c r="K8842" s="1013"/>
    </row>
    <row r="8843" spans="1:11" s="1011" customFormat="1" ht="15" x14ac:dyDescent="0.25">
      <c r="A8843" s="859">
        <f t="shared" si="148"/>
        <v>8842</v>
      </c>
      <c r="B8843" s="845" t="s">
        <v>2564</v>
      </c>
      <c r="C8843" s="1007">
        <f t="shared" si="147"/>
        <v>14</v>
      </c>
      <c r="D8843" s="1012"/>
      <c r="H8843" s="1011" t="s">
        <v>1010</v>
      </c>
      <c r="K8843" s="1013"/>
    </row>
    <row r="8844" spans="1:11" s="1011" customFormat="1" ht="15" x14ac:dyDescent="0.25">
      <c r="A8844" s="859">
        <f t="shared" si="148"/>
        <v>8843</v>
      </c>
      <c r="B8844" s="845" t="s">
        <v>2564</v>
      </c>
      <c r="C8844" s="1007">
        <f t="shared" si="147"/>
        <v>14</v>
      </c>
      <c r="D8844" s="1015"/>
      <c r="H8844" s="1011" t="s">
        <v>1007</v>
      </c>
      <c r="K8844" s="1013"/>
    </row>
    <row r="8845" spans="1:11" s="1011" customFormat="1" ht="15" x14ac:dyDescent="0.25">
      <c r="A8845" s="859">
        <f t="shared" si="148"/>
        <v>8844</v>
      </c>
      <c r="B8845" s="845" t="s">
        <v>2564</v>
      </c>
      <c r="C8845" s="1007">
        <f t="shared" si="147"/>
        <v>14</v>
      </c>
      <c r="D8845" s="1012"/>
      <c r="I8845" s="1011" t="s">
        <v>2175</v>
      </c>
      <c r="K8845" s="1013"/>
    </row>
    <row r="8846" spans="1:11" s="1011" customFormat="1" ht="15" x14ac:dyDescent="0.25">
      <c r="A8846" s="859">
        <f t="shared" si="148"/>
        <v>8845</v>
      </c>
      <c r="B8846" s="845" t="s">
        <v>2564</v>
      </c>
      <c r="C8846" s="1007">
        <f t="shared" si="147"/>
        <v>14</v>
      </c>
      <c r="D8846" s="1012"/>
      <c r="I8846" s="1011" t="str">
        <f>CONCATENATE("&lt;valeur&gt;",VLOOKUP(C8846,'T16 Amort'!A:K,3,0),"&lt;/valeur&gt;")</f>
        <v>&lt;valeur&gt;&lt;/valeur&gt;</v>
      </c>
      <c r="K8846" s="1013"/>
    </row>
    <row r="8847" spans="1:11" s="1011" customFormat="1" ht="15" x14ac:dyDescent="0.25">
      <c r="A8847" s="859">
        <f t="shared" si="148"/>
        <v>8846</v>
      </c>
      <c r="B8847" s="845" t="s">
        <v>2564</v>
      </c>
      <c r="C8847" s="1007">
        <f t="shared" si="147"/>
        <v>14</v>
      </c>
      <c r="D8847" s="1014"/>
      <c r="I8847" s="1011" t="str">
        <f>CONCATENATE("&lt;numeroLigne&gt;",C8847,"&lt;/numeroLigne&gt;")</f>
        <v>&lt;numeroLigne&gt;14&lt;/numeroLigne&gt;</v>
      </c>
      <c r="K8847" s="1013"/>
    </row>
    <row r="8848" spans="1:11" s="1011" customFormat="1" ht="15" x14ac:dyDescent="0.25">
      <c r="A8848" s="859">
        <f t="shared" si="148"/>
        <v>8847</v>
      </c>
      <c r="B8848" s="845" t="s">
        <v>2564</v>
      </c>
      <c r="C8848" s="1007">
        <f t="shared" si="147"/>
        <v>14</v>
      </c>
      <c r="D8848" s="1014"/>
      <c r="H8848" s="1011" t="s">
        <v>1010</v>
      </c>
      <c r="K8848" s="1013"/>
    </row>
    <row r="8849" spans="1:11" s="1011" customFormat="1" ht="15" x14ac:dyDescent="0.25">
      <c r="A8849" s="859">
        <f t="shared" si="148"/>
        <v>8848</v>
      </c>
      <c r="B8849" s="845" t="s">
        <v>2564</v>
      </c>
      <c r="C8849" s="1007">
        <f t="shared" si="147"/>
        <v>14</v>
      </c>
      <c r="D8849" s="1012"/>
      <c r="H8849" s="1011" t="s">
        <v>1007</v>
      </c>
      <c r="K8849" s="1013"/>
    </row>
    <row r="8850" spans="1:11" s="1011" customFormat="1" ht="15" x14ac:dyDescent="0.25">
      <c r="A8850" s="859">
        <f t="shared" si="148"/>
        <v>8849</v>
      </c>
      <c r="B8850" s="845" t="s">
        <v>2564</v>
      </c>
      <c r="C8850" s="1007">
        <f t="shared" si="147"/>
        <v>14</v>
      </c>
      <c r="D8850" s="1015"/>
      <c r="I8850" s="1011" t="s">
        <v>2176</v>
      </c>
      <c r="K8850" s="1013"/>
    </row>
    <row r="8851" spans="1:11" s="1011" customFormat="1" ht="15" x14ac:dyDescent="0.25">
      <c r="A8851" s="859">
        <f t="shared" si="148"/>
        <v>8850</v>
      </c>
      <c r="B8851" s="845" t="s">
        <v>2564</v>
      </c>
      <c r="C8851" s="1007">
        <f t="shared" si="147"/>
        <v>14</v>
      </c>
      <c r="D8851" s="1012"/>
      <c r="I8851" s="1011" t="str">
        <f>CONCATENATE("&lt;valeur&gt;",VLOOKUP(C8851,'T16 Amort'!A:K,4,0),"&lt;/valeur&gt;")</f>
        <v>&lt;valeur&gt;&lt;/valeur&gt;</v>
      </c>
      <c r="K8851" s="1013"/>
    </row>
    <row r="8852" spans="1:11" s="1011" customFormat="1" ht="15" x14ac:dyDescent="0.25">
      <c r="A8852" s="859">
        <f t="shared" si="148"/>
        <v>8851</v>
      </c>
      <c r="B8852" s="845" t="s">
        <v>2564</v>
      </c>
      <c r="C8852" s="1007">
        <f t="shared" si="147"/>
        <v>14</v>
      </c>
      <c r="D8852" s="1012"/>
      <c r="I8852" s="1011" t="str">
        <f>CONCATENATE("&lt;numeroLigne&gt;",C8852,"&lt;/numeroLigne&gt;")</f>
        <v>&lt;numeroLigne&gt;14&lt;/numeroLigne&gt;</v>
      </c>
      <c r="K8852" s="1013"/>
    </row>
    <row r="8853" spans="1:11" s="1011" customFormat="1" ht="15" x14ac:dyDescent="0.25">
      <c r="A8853" s="859">
        <f t="shared" si="148"/>
        <v>8852</v>
      </c>
      <c r="B8853" s="845" t="s">
        <v>2564</v>
      </c>
      <c r="C8853" s="1007">
        <f t="shared" si="147"/>
        <v>14</v>
      </c>
      <c r="D8853" s="1014"/>
      <c r="H8853" s="1011" t="s">
        <v>1010</v>
      </c>
      <c r="K8853" s="1013"/>
    </row>
    <row r="8854" spans="1:11" s="1011" customFormat="1" ht="15" x14ac:dyDescent="0.25">
      <c r="A8854" s="859">
        <f t="shared" si="148"/>
        <v>8853</v>
      </c>
      <c r="B8854" s="845" t="s">
        <v>2564</v>
      </c>
      <c r="C8854" s="1007">
        <f t="shared" si="147"/>
        <v>14</v>
      </c>
      <c r="D8854" s="1014"/>
      <c r="H8854" s="1011" t="s">
        <v>1007</v>
      </c>
      <c r="K8854" s="1013"/>
    </row>
    <row r="8855" spans="1:11" s="1011" customFormat="1" ht="15" x14ac:dyDescent="0.25">
      <c r="A8855" s="859">
        <f t="shared" si="148"/>
        <v>8854</v>
      </c>
      <c r="B8855" s="845" t="s">
        <v>2564</v>
      </c>
      <c r="C8855" s="1007">
        <f t="shared" si="147"/>
        <v>14</v>
      </c>
      <c r="D8855" s="1012"/>
      <c r="I8855" s="1011" t="s">
        <v>2177</v>
      </c>
      <c r="K8855" s="1013"/>
    </row>
    <row r="8856" spans="1:11" s="1011" customFormat="1" ht="15" x14ac:dyDescent="0.25">
      <c r="A8856" s="859">
        <f t="shared" si="148"/>
        <v>8855</v>
      </c>
      <c r="B8856" s="845" t="s">
        <v>2564</v>
      </c>
      <c r="C8856" s="1007">
        <f t="shared" si="147"/>
        <v>14</v>
      </c>
      <c r="D8856" s="1015"/>
      <c r="I8856" s="1011" t="str">
        <f>CONCATENATE("&lt;valeur&gt;",VLOOKUP(C8856,'T16 Amort'!A:K,5,0),"&lt;/valeur&gt;")</f>
        <v>&lt;valeur&gt;&lt;/valeur&gt;</v>
      </c>
      <c r="K8856" s="1013"/>
    </row>
    <row r="8857" spans="1:11" s="1011" customFormat="1" ht="15" x14ac:dyDescent="0.25">
      <c r="A8857" s="859">
        <f t="shared" si="148"/>
        <v>8856</v>
      </c>
      <c r="B8857" s="845" t="s">
        <v>2564</v>
      </c>
      <c r="C8857" s="1007">
        <f t="shared" si="147"/>
        <v>14</v>
      </c>
      <c r="D8857" s="1012"/>
      <c r="I8857" s="1011" t="str">
        <f>CONCATENATE("&lt;numeroLigne&gt;",C8857,"&lt;/numeroLigne&gt;")</f>
        <v>&lt;numeroLigne&gt;14&lt;/numeroLigne&gt;</v>
      </c>
      <c r="K8857" s="1013"/>
    </row>
    <row r="8858" spans="1:11" s="1011" customFormat="1" ht="15" x14ac:dyDescent="0.25">
      <c r="A8858" s="859">
        <f t="shared" si="148"/>
        <v>8857</v>
      </c>
      <c r="B8858" s="845" t="s">
        <v>2564</v>
      </c>
      <c r="C8858" s="1007">
        <f t="shared" si="147"/>
        <v>14</v>
      </c>
      <c r="D8858" s="1012"/>
      <c r="H8858" s="1011" t="s">
        <v>1010</v>
      </c>
      <c r="K8858" s="1013"/>
    </row>
    <row r="8859" spans="1:11" s="1011" customFormat="1" ht="15" x14ac:dyDescent="0.25">
      <c r="A8859" s="859">
        <f t="shared" si="148"/>
        <v>8858</v>
      </c>
      <c r="B8859" s="845" t="s">
        <v>2564</v>
      </c>
      <c r="C8859" s="1007">
        <f t="shared" si="147"/>
        <v>14</v>
      </c>
      <c r="D8859" s="1014"/>
      <c r="H8859" s="1011" t="s">
        <v>1007</v>
      </c>
      <c r="K8859" s="1013"/>
    </row>
    <row r="8860" spans="1:11" s="1011" customFormat="1" ht="15" x14ac:dyDescent="0.25">
      <c r="A8860" s="859">
        <f t="shared" si="148"/>
        <v>8859</v>
      </c>
      <c r="B8860" s="845" t="s">
        <v>2564</v>
      </c>
      <c r="C8860" s="1007">
        <f t="shared" si="147"/>
        <v>14</v>
      </c>
      <c r="D8860" s="1014"/>
      <c r="I8860" s="1011" t="s">
        <v>2178</v>
      </c>
      <c r="K8860" s="1013"/>
    </row>
    <row r="8861" spans="1:11" s="1011" customFormat="1" ht="15" x14ac:dyDescent="0.25">
      <c r="A8861" s="859">
        <f t="shared" si="148"/>
        <v>8860</v>
      </c>
      <c r="B8861" s="845" t="s">
        <v>2564</v>
      </c>
      <c r="C8861" s="1007">
        <f t="shared" si="147"/>
        <v>14</v>
      </c>
      <c r="D8861" s="1012"/>
      <c r="I8861" s="1011" t="str">
        <f>CONCATENATE("&lt;valeur&gt;",VLOOKUP(C8861,'T16 Amort'!A:K,6,0),"&lt;/valeur&gt;")</f>
        <v>&lt;valeur&gt;&lt;/valeur&gt;</v>
      </c>
      <c r="K8861" s="1013"/>
    </row>
    <row r="8862" spans="1:11" s="1011" customFormat="1" ht="15" x14ac:dyDescent="0.25">
      <c r="A8862" s="859">
        <f t="shared" si="148"/>
        <v>8861</v>
      </c>
      <c r="B8862" s="845" t="s">
        <v>2564</v>
      </c>
      <c r="C8862" s="1007">
        <f t="shared" si="147"/>
        <v>14</v>
      </c>
      <c r="D8862" s="1015"/>
      <c r="I8862" s="1011" t="str">
        <f>CONCATENATE("&lt;numeroLigne&gt;",C8862,"&lt;/numeroLigne&gt;")</f>
        <v>&lt;numeroLigne&gt;14&lt;/numeroLigne&gt;</v>
      </c>
      <c r="K8862" s="1013"/>
    </row>
    <row r="8863" spans="1:11" s="1011" customFormat="1" ht="15" x14ac:dyDescent="0.25">
      <c r="A8863" s="859">
        <f t="shared" si="148"/>
        <v>8862</v>
      </c>
      <c r="B8863" s="845" t="s">
        <v>2564</v>
      </c>
      <c r="C8863" s="1007">
        <f t="shared" si="147"/>
        <v>14</v>
      </c>
      <c r="D8863" s="1012"/>
      <c r="H8863" s="1011" t="s">
        <v>1010</v>
      </c>
      <c r="K8863" s="1013"/>
    </row>
    <row r="8864" spans="1:11" s="1011" customFormat="1" ht="15" x14ac:dyDescent="0.25">
      <c r="A8864" s="859">
        <f t="shared" si="148"/>
        <v>8863</v>
      </c>
      <c r="B8864" s="845" t="s">
        <v>2564</v>
      </c>
      <c r="C8864" s="1007">
        <f t="shared" si="147"/>
        <v>14</v>
      </c>
      <c r="D8864" s="1012"/>
      <c r="H8864" s="1011" t="s">
        <v>1007</v>
      </c>
      <c r="K8864" s="1013"/>
    </row>
    <row r="8865" spans="1:11" s="1011" customFormat="1" ht="15" x14ac:dyDescent="0.25">
      <c r="A8865" s="859">
        <f t="shared" si="148"/>
        <v>8864</v>
      </c>
      <c r="B8865" s="845" t="s">
        <v>2564</v>
      </c>
      <c r="C8865" s="1007">
        <f t="shared" si="147"/>
        <v>14</v>
      </c>
      <c r="D8865" s="1014"/>
      <c r="I8865" s="1011" t="s">
        <v>2179</v>
      </c>
      <c r="K8865" s="1013"/>
    </row>
    <row r="8866" spans="1:11" s="1011" customFormat="1" ht="15" x14ac:dyDescent="0.25">
      <c r="A8866" s="859">
        <f t="shared" si="148"/>
        <v>8865</v>
      </c>
      <c r="B8866" s="845" t="s">
        <v>2564</v>
      </c>
      <c r="C8866" s="1007">
        <f t="shared" si="147"/>
        <v>14</v>
      </c>
      <c r="D8866" s="1014"/>
      <c r="I8866" s="1011" t="str">
        <f>CONCATENATE("&lt;valeur&gt;",VLOOKUP(C8866,'T16 Amort'!A:K,7,0),"&lt;/valeur&gt;")</f>
        <v>&lt;valeur&gt;&lt;/valeur&gt;</v>
      </c>
      <c r="K8866" s="1013"/>
    </row>
    <row r="8867" spans="1:11" s="1011" customFormat="1" ht="15" x14ac:dyDescent="0.25">
      <c r="A8867" s="859">
        <f t="shared" si="148"/>
        <v>8866</v>
      </c>
      <c r="B8867" s="845" t="s">
        <v>2564</v>
      </c>
      <c r="C8867" s="1007">
        <f t="shared" si="147"/>
        <v>14</v>
      </c>
      <c r="D8867" s="1012"/>
      <c r="I8867" s="1011" t="str">
        <f>CONCATENATE("&lt;numeroLigne&gt;",C8867,"&lt;/numeroLigne&gt;")</f>
        <v>&lt;numeroLigne&gt;14&lt;/numeroLigne&gt;</v>
      </c>
      <c r="K8867" s="1013"/>
    </row>
    <row r="8868" spans="1:11" s="1011" customFormat="1" ht="15" x14ac:dyDescent="0.25">
      <c r="A8868" s="859">
        <f t="shared" si="148"/>
        <v>8867</v>
      </c>
      <c r="B8868" s="845" t="s">
        <v>2564</v>
      </c>
      <c r="C8868" s="1007">
        <f t="shared" si="147"/>
        <v>14</v>
      </c>
      <c r="D8868" s="1015"/>
      <c r="H8868" s="1011" t="s">
        <v>1010</v>
      </c>
      <c r="K8868" s="1013"/>
    </row>
    <row r="8869" spans="1:11" s="1011" customFormat="1" ht="15" x14ac:dyDescent="0.25">
      <c r="A8869" s="859">
        <f t="shared" si="148"/>
        <v>8868</v>
      </c>
      <c r="B8869" s="845" t="s">
        <v>2564</v>
      </c>
      <c r="C8869" s="1007">
        <f t="shared" si="147"/>
        <v>14</v>
      </c>
      <c r="D8869" s="1012"/>
      <c r="H8869" s="1011" t="s">
        <v>1007</v>
      </c>
      <c r="K8869" s="1013"/>
    </row>
    <row r="8870" spans="1:11" s="1011" customFormat="1" ht="15" x14ac:dyDescent="0.25">
      <c r="A8870" s="859">
        <f t="shared" si="148"/>
        <v>8869</v>
      </c>
      <c r="B8870" s="845" t="s">
        <v>2564</v>
      </c>
      <c r="C8870" s="1007">
        <f t="shared" si="147"/>
        <v>14</v>
      </c>
      <c r="D8870" s="1012"/>
      <c r="I8870" s="1011" t="s">
        <v>2180</v>
      </c>
      <c r="K8870" s="1013"/>
    </row>
    <row r="8871" spans="1:11" s="1011" customFormat="1" ht="15" x14ac:dyDescent="0.25">
      <c r="A8871" s="859">
        <f t="shared" si="148"/>
        <v>8870</v>
      </c>
      <c r="B8871" s="845" t="s">
        <v>2564</v>
      </c>
      <c r="C8871" s="1007">
        <f t="shared" si="147"/>
        <v>14</v>
      </c>
      <c r="D8871" s="1014"/>
      <c r="I8871" s="1011" t="str">
        <f>CONCATENATE("&lt;valeur&gt;",VLOOKUP(C8871,'T16 Amort'!A:K,8,0),"&lt;/valeur&gt;")</f>
        <v>&lt;valeur&gt;&lt;/valeur&gt;</v>
      </c>
      <c r="K8871" s="1013"/>
    </row>
    <row r="8872" spans="1:11" s="1011" customFormat="1" ht="15" x14ac:dyDescent="0.25">
      <c r="A8872" s="859">
        <f t="shared" si="148"/>
        <v>8871</v>
      </c>
      <c r="B8872" s="845" t="s">
        <v>2564</v>
      </c>
      <c r="C8872" s="1007">
        <f t="shared" si="147"/>
        <v>14</v>
      </c>
      <c r="D8872" s="1014"/>
      <c r="I8872" s="1011" t="str">
        <f>CONCATENATE("&lt;numeroLigne&gt;",C8872,"&lt;/numeroLigne&gt;")</f>
        <v>&lt;numeroLigne&gt;14&lt;/numeroLigne&gt;</v>
      </c>
      <c r="K8872" s="1013"/>
    </row>
    <row r="8873" spans="1:11" s="1011" customFormat="1" ht="15" x14ac:dyDescent="0.25">
      <c r="A8873" s="859">
        <f t="shared" si="148"/>
        <v>8872</v>
      </c>
      <c r="B8873" s="845" t="s">
        <v>2564</v>
      </c>
      <c r="C8873" s="1007">
        <f t="shared" si="147"/>
        <v>14</v>
      </c>
      <c r="D8873" s="1012"/>
      <c r="H8873" s="1011" t="s">
        <v>1010</v>
      </c>
      <c r="K8873" s="1013"/>
    </row>
    <row r="8874" spans="1:11" s="1011" customFormat="1" ht="15" x14ac:dyDescent="0.25">
      <c r="A8874" s="859">
        <f t="shared" si="148"/>
        <v>8873</v>
      </c>
      <c r="B8874" s="845" t="s">
        <v>2564</v>
      </c>
      <c r="C8874" s="1007">
        <f t="shared" si="147"/>
        <v>14</v>
      </c>
      <c r="D8874" s="1015"/>
      <c r="H8874" s="1011" t="s">
        <v>1007</v>
      </c>
      <c r="K8874" s="1013"/>
    </row>
    <row r="8875" spans="1:11" s="1011" customFormat="1" ht="15" x14ac:dyDescent="0.25">
      <c r="A8875" s="859">
        <f t="shared" si="148"/>
        <v>8874</v>
      </c>
      <c r="B8875" s="845" t="s">
        <v>2564</v>
      </c>
      <c r="C8875" s="1007">
        <f t="shared" si="147"/>
        <v>14</v>
      </c>
      <c r="D8875" s="1012"/>
      <c r="I8875" s="1011" t="s">
        <v>2181</v>
      </c>
      <c r="K8875" s="1013"/>
    </row>
    <row r="8876" spans="1:11" s="1011" customFormat="1" ht="15" x14ac:dyDescent="0.25">
      <c r="A8876" s="859">
        <f t="shared" si="148"/>
        <v>8875</v>
      </c>
      <c r="B8876" s="845" t="s">
        <v>2564</v>
      </c>
      <c r="C8876" s="1007">
        <f t="shared" si="147"/>
        <v>14</v>
      </c>
      <c r="D8876" s="1012"/>
      <c r="I8876" s="1011" t="str">
        <f>CONCATENATE("&lt;valeur&gt;",VLOOKUP(C8876,'T16 Amort'!A:K,9,0),"&lt;/valeur&gt;")</f>
        <v>&lt;valeur&gt;&lt;/valeur&gt;</v>
      </c>
      <c r="K8876" s="1013"/>
    </row>
    <row r="8877" spans="1:11" s="1011" customFormat="1" ht="15" x14ac:dyDescent="0.25">
      <c r="A8877" s="859">
        <f t="shared" si="148"/>
        <v>8876</v>
      </c>
      <c r="B8877" s="845" t="s">
        <v>2564</v>
      </c>
      <c r="C8877" s="1007">
        <f t="shared" si="147"/>
        <v>14</v>
      </c>
      <c r="D8877" s="1014"/>
      <c r="I8877" s="1011" t="str">
        <f>CONCATENATE("&lt;numeroLigne&gt;",C8877,"&lt;/numeroLigne&gt;")</f>
        <v>&lt;numeroLigne&gt;14&lt;/numeroLigne&gt;</v>
      </c>
      <c r="K8877" s="1013"/>
    </row>
    <row r="8878" spans="1:11" s="1011" customFormat="1" ht="15" x14ac:dyDescent="0.25">
      <c r="A8878" s="859">
        <f t="shared" si="148"/>
        <v>8877</v>
      </c>
      <c r="B8878" s="845" t="s">
        <v>2564</v>
      </c>
      <c r="C8878" s="1007">
        <f t="shared" si="147"/>
        <v>14</v>
      </c>
      <c r="D8878" s="1014"/>
      <c r="H8878" s="1011" t="s">
        <v>1010</v>
      </c>
      <c r="K8878" s="1013"/>
    </row>
    <row r="8879" spans="1:11" s="1011" customFormat="1" ht="15" x14ac:dyDescent="0.25">
      <c r="A8879" s="859">
        <f t="shared" si="148"/>
        <v>8878</v>
      </c>
      <c r="B8879" s="845" t="s">
        <v>2564</v>
      </c>
      <c r="C8879" s="1007">
        <f t="shared" ref="C8879:C8942" si="149">C8829+1</f>
        <v>14</v>
      </c>
      <c r="D8879" s="1012"/>
      <c r="H8879" s="1011" t="s">
        <v>1007</v>
      </c>
      <c r="K8879" s="1013"/>
    </row>
    <row r="8880" spans="1:11" s="1011" customFormat="1" ht="15" x14ac:dyDescent="0.25">
      <c r="A8880" s="859">
        <f t="shared" si="148"/>
        <v>8879</v>
      </c>
      <c r="B8880" s="845" t="s">
        <v>2564</v>
      </c>
      <c r="C8880" s="1007">
        <f t="shared" si="149"/>
        <v>14</v>
      </c>
      <c r="D8880" s="1015"/>
      <c r="I8880" s="1011" t="s">
        <v>2182</v>
      </c>
      <c r="K8880" s="1013"/>
    </row>
    <row r="8881" spans="1:11" s="1011" customFormat="1" ht="15" x14ac:dyDescent="0.25">
      <c r="A8881" s="859">
        <f t="shared" si="148"/>
        <v>8880</v>
      </c>
      <c r="B8881" s="845" t="s">
        <v>2564</v>
      </c>
      <c r="C8881" s="1007">
        <f t="shared" si="149"/>
        <v>14</v>
      </c>
      <c r="D8881" s="1012"/>
      <c r="I8881" s="1011" t="str">
        <f>CONCATENATE("&lt;valeur&gt;",VLOOKUP(C8881,'T16 Amort'!A:K,10,0),"&lt;/valeur&gt;")</f>
        <v>&lt;valeur&gt;&lt;/valeur&gt;</v>
      </c>
      <c r="K8881" s="1013"/>
    </row>
    <row r="8882" spans="1:11" s="1011" customFormat="1" ht="15" x14ac:dyDescent="0.25">
      <c r="A8882" s="859">
        <f t="shared" si="148"/>
        <v>8881</v>
      </c>
      <c r="B8882" s="845" t="s">
        <v>2564</v>
      </c>
      <c r="C8882" s="1007">
        <f t="shared" si="149"/>
        <v>14</v>
      </c>
      <c r="D8882" s="1012"/>
      <c r="I8882" s="1011" t="str">
        <f>CONCATENATE("&lt;numeroLigne&gt;",C8882,"&lt;/numeroLigne&gt;")</f>
        <v>&lt;numeroLigne&gt;14&lt;/numeroLigne&gt;</v>
      </c>
      <c r="K8882" s="1013"/>
    </row>
    <row r="8883" spans="1:11" s="1011" customFormat="1" ht="15" x14ac:dyDescent="0.25">
      <c r="A8883" s="859">
        <f t="shared" si="148"/>
        <v>8882</v>
      </c>
      <c r="B8883" s="845" t="s">
        <v>2564</v>
      </c>
      <c r="C8883" s="1007">
        <f t="shared" si="149"/>
        <v>14</v>
      </c>
      <c r="D8883" s="1014"/>
      <c r="H8883" s="1011" t="s">
        <v>1010</v>
      </c>
      <c r="K8883" s="1013"/>
    </row>
    <row r="8884" spans="1:11" s="1011" customFormat="1" ht="15" x14ac:dyDescent="0.25">
      <c r="A8884" s="859">
        <f t="shared" si="148"/>
        <v>8883</v>
      </c>
      <c r="B8884" s="845" t="s">
        <v>2564</v>
      </c>
      <c r="C8884" s="1007">
        <f t="shared" si="149"/>
        <v>14</v>
      </c>
      <c r="D8884" s="1014"/>
      <c r="H8884" s="1011" t="s">
        <v>1007</v>
      </c>
      <c r="K8884" s="1013"/>
    </row>
    <row r="8885" spans="1:11" s="1011" customFormat="1" ht="15" x14ac:dyDescent="0.25">
      <c r="A8885" s="859">
        <f t="shared" si="148"/>
        <v>8884</v>
      </c>
      <c r="B8885" s="845" t="s">
        <v>2564</v>
      </c>
      <c r="C8885" s="1007">
        <f t="shared" si="149"/>
        <v>14</v>
      </c>
      <c r="D8885" s="1012"/>
      <c r="I8885" s="1011" t="s">
        <v>2183</v>
      </c>
      <c r="K8885" s="1013"/>
    </row>
    <row r="8886" spans="1:11" s="1011" customFormat="1" ht="15" x14ac:dyDescent="0.25">
      <c r="A8886" s="859">
        <f t="shared" si="148"/>
        <v>8885</v>
      </c>
      <c r="B8886" s="845" t="s">
        <v>2564</v>
      </c>
      <c r="C8886" s="1007">
        <f t="shared" si="149"/>
        <v>14</v>
      </c>
      <c r="D8886" s="1015"/>
      <c r="I8886" s="1011" t="str">
        <f>CONCATENATE("&lt;valeur&gt;",VLOOKUP(C8886,'T16 Amort'!A:K,11,0),"&lt;/valeur&gt;")</f>
        <v>&lt;valeur&gt;&lt;/valeur&gt;</v>
      </c>
      <c r="K8886" s="1013"/>
    </row>
    <row r="8887" spans="1:11" s="1011" customFormat="1" ht="15" x14ac:dyDescent="0.25">
      <c r="A8887" s="859">
        <f t="shared" si="148"/>
        <v>8886</v>
      </c>
      <c r="B8887" s="845" t="s">
        <v>2564</v>
      </c>
      <c r="C8887" s="1007">
        <f t="shared" si="149"/>
        <v>14</v>
      </c>
      <c r="D8887" s="1012"/>
      <c r="I8887" s="1011" t="str">
        <f>CONCATENATE("&lt;numeroLigne&gt;",C8887,"&lt;/numeroLigne&gt;")</f>
        <v>&lt;numeroLigne&gt;14&lt;/numeroLigne&gt;</v>
      </c>
      <c r="K8887" s="1013"/>
    </row>
    <row r="8888" spans="1:11" s="1011" customFormat="1" ht="15" x14ac:dyDescent="0.25">
      <c r="A8888" s="859">
        <f t="shared" si="148"/>
        <v>8887</v>
      </c>
      <c r="B8888" s="845" t="s">
        <v>2564</v>
      </c>
      <c r="C8888" s="1007">
        <f t="shared" si="149"/>
        <v>14</v>
      </c>
      <c r="D8888" s="1016"/>
      <c r="E8888" s="1017"/>
      <c r="F8888" s="1017"/>
      <c r="G8888" s="1017"/>
      <c r="H8888" s="1017" t="s">
        <v>1010</v>
      </c>
      <c r="I8888" s="1017"/>
      <c r="J8888" s="1017"/>
      <c r="K8888" s="1018"/>
    </row>
    <row r="8889" spans="1:11" s="1011" customFormat="1" ht="15" x14ac:dyDescent="0.25">
      <c r="A8889" s="859">
        <f t="shared" si="148"/>
        <v>8888</v>
      </c>
      <c r="B8889" s="845" t="s">
        <v>2564</v>
      </c>
      <c r="C8889" s="1007">
        <f t="shared" si="149"/>
        <v>15</v>
      </c>
      <c r="D8889" s="1008"/>
      <c r="E8889" s="1009"/>
      <c r="F8889" s="1009"/>
      <c r="G8889" s="1009"/>
      <c r="H8889" s="1009" t="s">
        <v>1007</v>
      </c>
      <c r="I8889" s="1009"/>
      <c r="J8889" s="1009"/>
      <c r="K8889" s="1010"/>
    </row>
    <row r="8890" spans="1:11" s="1011" customFormat="1" ht="15" x14ac:dyDescent="0.25">
      <c r="A8890" s="859">
        <f t="shared" si="148"/>
        <v>8889</v>
      </c>
      <c r="B8890" s="845" t="s">
        <v>2564</v>
      </c>
      <c r="C8890" s="1007">
        <f t="shared" si="149"/>
        <v>15</v>
      </c>
      <c r="D8890" s="1012"/>
      <c r="I8890" s="1011" t="s">
        <v>2174</v>
      </c>
      <c r="K8890" s="1013"/>
    </row>
    <row r="8891" spans="1:11" s="1011" customFormat="1" ht="15" x14ac:dyDescent="0.25">
      <c r="A8891" s="859">
        <f t="shared" si="148"/>
        <v>8890</v>
      </c>
      <c r="B8891" s="845" t="s">
        <v>2564</v>
      </c>
      <c r="C8891" s="1007">
        <f t="shared" si="149"/>
        <v>15</v>
      </c>
      <c r="D8891" s="1014"/>
      <c r="I8891" s="1011" t="str">
        <f>CONCATENATE("&lt;valeur&gt;",VLOOKUP(C8891,'T16 Amort'!A:K,2,0),"&lt;/valeur&gt;")</f>
        <v>&lt;valeur&gt;&lt;/valeur&gt;</v>
      </c>
      <c r="K8891" s="1013"/>
    </row>
    <row r="8892" spans="1:11" s="1011" customFormat="1" ht="15" x14ac:dyDescent="0.25">
      <c r="A8892" s="859">
        <f t="shared" si="148"/>
        <v>8891</v>
      </c>
      <c r="B8892" s="845" t="s">
        <v>2564</v>
      </c>
      <c r="C8892" s="1007">
        <f t="shared" si="149"/>
        <v>15</v>
      </c>
      <c r="D8892" s="1014"/>
      <c r="I8892" s="1011" t="str">
        <f>CONCATENATE("&lt;numeroLigne&gt;",C8892,"&lt;/numeroLigne&gt;")</f>
        <v>&lt;numeroLigne&gt;15&lt;/numeroLigne&gt;</v>
      </c>
      <c r="K8892" s="1013"/>
    </row>
    <row r="8893" spans="1:11" s="1011" customFormat="1" ht="15" x14ac:dyDescent="0.25">
      <c r="A8893" s="859">
        <f t="shared" si="148"/>
        <v>8892</v>
      </c>
      <c r="B8893" s="845" t="s">
        <v>2564</v>
      </c>
      <c r="C8893" s="1007">
        <f t="shared" si="149"/>
        <v>15</v>
      </c>
      <c r="D8893" s="1012"/>
      <c r="H8893" s="1011" t="s">
        <v>1010</v>
      </c>
      <c r="K8893" s="1013"/>
    </row>
    <row r="8894" spans="1:11" s="1011" customFormat="1" ht="15" x14ac:dyDescent="0.25">
      <c r="A8894" s="859">
        <f t="shared" si="148"/>
        <v>8893</v>
      </c>
      <c r="B8894" s="845" t="s">
        <v>2564</v>
      </c>
      <c r="C8894" s="1007">
        <f t="shared" si="149"/>
        <v>15</v>
      </c>
      <c r="D8894" s="1015"/>
      <c r="H8894" s="1011" t="s">
        <v>1007</v>
      </c>
      <c r="K8894" s="1013"/>
    </row>
    <row r="8895" spans="1:11" s="1011" customFormat="1" ht="15" x14ac:dyDescent="0.25">
      <c r="A8895" s="859">
        <f t="shared" si="148"/>
        <v>8894</v>
      </c>
      <c r="B8895" s="845" t="s">
        <v>2564</v>
      </c>
      <c r="C8895" s="1007">
        <f t="shared" si="149"/>
        <v>15</v>
      </c>
      <c r="D8895" s="1012"/>
      <c r="I8895" s="1011" t="s">
        <v>2175</v>
      </c>
      <c r="K8895" s="1013"/>
    </row>
    <row r="8896" spans="1:11" s="1011" customFormat="1" ht="15" x14ac:dyDescent="0.25">
      <c r="A8896" s="859">
        <f t="shared" si="148"/>
        <v>8895</v>
      </c>
      <c r="B8896" s="845" t="s">
        <v>2564</v>
      </c>
      <c r="C8896" s="1007">
        <f t="shared" si="149"/>
        <v>15</v>
      </c>
      <c r="D8896" s="1012"/>
      <c r="I8896" s="1011" t="str">
        <f>CONCATENATE("&lt;valeur&gt;",VLOOKUP(C8896,'T16 Amort'!A:K,3,0),"&lt;/valeur&gt;")</f>
        <v>&lt;valeur&gt;&lt;/valeur&gt;</v>
      </c>
      <c r="K8896" s="1013"/>
    </row>
    <row r="8897" spans="1:11" s="1011" customFormat="1" ht="15" x14ac:dyDescent="0.25">
      <c r="A8897" s="859">
        <f t="shared" si="148"/>
        <v>8896</v>
      </c>
      <c r="B8897" s="845" t="s">
        <v>2564</v>
      </c>
      <c r="C8897" s="1007">
        <f t="shared" si="149"/>
        <v>15</v>
      </c>
      <c r="D8897" s="1014"/>
      <c r="I8897" s="1011" t="str">
        <f>CONCATENATE("&lt;numeroLigne&gt;",C8897,"&lt;/numeroLigne&gt;")</f>
        <v>&lt;numeroLigne&gt;15&lt;/numeroLigne&gt;</v>
      </c>
      <c r="K8897" s="1013"/>
    </row>
    <row r="8898" spans="1:11" s="1011" customFormat="1" ht="15" x14ac:dyDescent="0.25">
      <c r="A8898" s="859">
        <f t="shared" si="148"/>
        <v>8897</v>
      </c>
      <c r="B8898" s="845" t="s">
        <v>2564</v>
      </c>
      <c r="C8898" s="1007">
        <f t="shared" si="149"/>
        <v>15</v>
      </c>
      <c r="D8898" s="1014"/>
      <c r="H8898" s="1011" t="s">
        <v>1010</v>
      </c>
      <c r="K8898" s="1013"/>
    </row>
    <row r="8899" spans="1:11" s="1011" customFormat="1" ht="15" x14ac:dyDescent="0.25">
      <c r="A8899" s="859">
        <f t="shared" si="148"/>
        <v>8898</v>
      </c>
      <c r="B8899" s="845" t="s">
        <v>2564</v>
      </c>
      <c r="C8899" s="1007">
        <f t="shared" si="149"/>
        <v>15</v>
      </c>
      <c r="D8899" s="1012"/>
      <c r="H8899" s="1011" t="s">
        <v>1007</v>
      </c>
      <c r="K8899" s="1013"/>
    </row>
    <row r="8900" spans="1:11" s="1011" customFormat="1" ht="15" x14ac:dyDescent="0.25">
      <c r="A8900" s="859">
        <f t="shared" ref="A8900:A8963" si="150">+A8899+1</f>
        <v>8899</v>
      </c>
      <c r="B8900" s="845" t="s">
        <v>2564</v>
      </c>
      <c r="C8900" s="1007">
        <f t="shared" si="149"/>
        <v>15</v>
      </c>
      <c r="D8900" s="1015"/>
      <c r="I8900" s="1011" t="s">
        <v>2176</v>
      </c>
      <c r="K8900" s="1013"/>
    </row>
    <row r="8901" spans="1:11" s="1011" customFormat="1" ht="15" x14ac:dyDescent="0.25">
      <c r="A8901" s="859">
        <f t="shared" si="150"/>
        <v>8900</v>
      </c>
      <c r="B8901" s="845" t="s">
        <v>2564</v>
      </c>
      <c r="C8901" s="1007">
        <f t="shared" si="149"/>
        <v>15</v>
      </c>
      <c r="D8901" s="1012"/>
      <c r="I8901" s="1011" t="str">
        <f>CONCATENATE("&lt;valeur&gt;",VLOOKUP(C8901,'T16 Amort'!A:K,4,0),"&lt;/valeur&gt;")</f>
        <v>&lt;valeur&gt;&lt;/valeur&gt;</v>
      </c>
      <c r="K8901" s="1013"/>
    </row>
    <row r="8902" spans="1:11" s="1011" customFormat="1" ht="15" x14ac:dyDescent="0.25">
      <c r="A8902" s="859">
        <f t="shared" si="150"/>
        <v>8901</v>
      </c>
      <c r="B8902" s="845" t="s">
        <v>2564</v>
      </c>
      <c r="C8902" s="1007">
        <f t="shared" si="149"/>
        <v>15</v>
      </c>
      <c r="D8902" s="1012"/>
      <c r="I8902" s="1011" t="str">
        <f>CONCATENATE("&lt;numeroLigne&gt;",C8902,"&lt;/numeroLigne&gt;")</f>
        <v>&lt;numeroLigne&gt;15&lt;/numeroLigne&gt;</v>
      </c>
      <c r="K8902" s="1013"/>
    </row>
    <row r="8903" spans="1:11" s="1011" customFormat="1" ht="15" x14ac:dyDescent="0.25">
      <c r="A8903" s="859">
        <f t="shared" si="150"/>
        <v>8902</v>
      </c>
      <c r="B8903" s="845" t="s">
        <v>2564</v>
      </c>
      <c r="C8903" s="1007">
        <f t="shared" si="149"/>
        <v>15</v>
      </c>
      <c r="D8903" s="1014"/>
      <c r="H8903" s="1011" t="s">
        <v>1010</v>
      </c>
      <c r="K8903" s="1013"/>
    </row>
    <row r="8904" spans="1:11" s="1011" customFormat="1" ht="15" x14ac:dyDescent="0.25">
      <c r="A8904" s="859">
        <f t="shared" si="150"/>
        <v>8903</v>
      </c>
      <c r="B8904" s="845" t="s">
        <v>2564</v>
      </c>
      <c r="C8904" s="1007">
        <f t="shared" si="149"/>
        <v>15</v>
      </c>
      <c r="D8904" s="1014"/>
      <c r="H8904" s="1011" t="s">
        <v>1007</v>
      </c>
      <c r="K8904" s="1013"/>
    </row>
    <row r="8905" spans="1:11" s="1011" customFormat="1" ht="15" x14ac:dyDescent="0.25">
      <c r="A8905" s="859">
        <f t="shared" si="150"/>
        <v>8904</v>
      </c>
      <c r="B8905" s="845" t="s">
        <v>2564</v>
      </c>
      <c r="C8905" s="1007">
        <f t="shared" si="149"/>
        <v>15</v>
      </c>
      <c r="D8905" s="1012"/>
      <c r="I8905" s="1011" t="s">
        <v>2177</v>
      </c>
      <c r="K8905" s="1013"/>
    </row>
    <row r="8906" spans="1:11" s="1011" customFormat="1" ht="15" x14ac:dyDescent="0.25">
      <c r="A8906" s="859">
        <f t="shared" si="150"/>
        <v>8905</v>
      </c>
      <c r="B8906" s="845" t="s">
        <v>2564</v>
      </c>
      <c r="C8906" s="1007">
        <f t="shared" si="149"/>
        <v>15</v>
      </c>
      <c r="D8906" s="1015"/>
      <c r="I8906" s="1011" t="str">
        <f>CONCATENATE("&lt;valeur&gt;",VLOOKUP(C8906,'T16 Amort'!A:K,5,0),"&lt;/valeur&gt;")</f>
        <v>&lt;valeur&gt;&lt;/valeur&gt;</v>
      </c>
      <c r="K8906" s="1013"/>
    </row>
    <row r="8907" spans="1:11" s="1011" customFormat="1" ht="15" x14ac:dyDescent="0.25">
      <c r="A8907" s="859">
        <f t="shared" si="150"/>
        <v>8906</v>
      </c>
      <c r="B8907" s="845" t="s">
        <v>2564</v>
      </c>
      <c r="C8907" s="1007">
        <f t="shared" si="149"/>
        <v>15</v>
      </c>
      <c r="D8907" s="1012"/>
      <c r="I8907" s="1011" t="str">
        <f>CONCATENATE("&lt;numeroLigne&gt;",C8907,"&lt;/numeroLigne&gt;")</f>
        <v>&lt;numeroLigne&gt;15&lt;/numeroLigne&gt;</v>
      </c>
      <c r="K8907" s="1013"/>
    </row>
    <row r="8908" spans="1:11" s="1011" customFormat="1" ht="15" x14ac:dyDescent="0.25">
      <c r="A8908" s="859">
        <f t="shared" si="150"/>
        <v>8907</v>
      </c>
      <c r="B8908" s="845" t="s">
        <v>2564</v>
      </c>
      <c r="C8908" s="1007">
        <f t="shared" si="149"/>
        <v>15</v>
      </c>
      <c r="D8908" s="1012"/>
      <c r="H8908" s="1011" t="s">
        <v>1010</v>
      </c>
      <c r="K8908" s="1013"/>
    </row>
    <row r="8909" spans="1:11" s="1011" customFormat="1" ht="15" x14ac:dyDescent="0.25">
      <c r="A8909" s="859">
        <f t="shared" si="150"/>
        <v>8908</v>
      </c>
      <c r="B8909" s="845" t="s">
        <v>2564</v>
      </c>
      <c r="C8909" s="1007">
        <f t="shared" si="149"/>
        <v>15</v>
      </c>
      <c r="D8909" s="1014"/>
      <c r="H8909" s="1011" t="s">
        <v>1007</v>
      </c>
      <c r="K8909" s="1013"/>
    </row>
    <row r="8910" spans="1:11" s="1011" customFormat="1" ht="15" x14ac:dyDescent="0.25">
      <c r="A8910" s="859">
        <f t="shared" si="150"/>
        <v>8909</v>
      </c>
      <c r="B8910" s="845" t="s">
        <v>2564</v>
      </c>
      <c r="C8910" s="1007">
        <f t="shared" si="149"/>
        <v>15</v>
      </c>
      <c r="D8910" s="1014"/>
      <c r="I8910" s="1011" t="s">
        <v>2178</v>
      </c>
      <c r="K8910" s="1013"/>
    </row>
    <row r="8911" spans="1:11" s="1011" customFormat="1" ht="15" x14ac:dyDescent="0.25">
      <c r="A8911" s="859">
        <f t="shared" si="150"/>
        <v>8910</v>
      </c>
      <c r="B8911" s="845" t="s">
        <v>2564</v>
      </c>
      <c r="C8911" s="1007">
        <f t="shared" si="149"/>
        <v>15</v>
      </c>
      <c r="D8911" s="1012"/>
      <c r="I8911" s="1011" t="str">
        <f>CONCATENATE("&lt;valeur&gt;",VLOOKUP(C8911,'T16 Amort'!A:K,6,0),"&lt;/valeur&gt;")</f>
        <v>&lt;valeur&gt;&lt;/valeur&gt;</v>
      </c>
      <c r="K8911" s="1013"/>
    </row>
    <row r="8912" spans="1:11" s="1011" customFormat="1" ht="15" x14ac:dyDescent="0.25">
      <c r="A8912" s="859">
        <f t="shared" si="150"/>
        <v>8911</v>
      </c>
      <c r="B8912" s="845" t="s">
        <v>2564</v>
      </c>
      <c r="C8912" s="1007">
        <f t="shared" si="149"/>
        <v>15</v>
      </c>
      <c r="D8912" s="1015"/>
      <c r="I8912" s="1011" t="str">
        <f>CONCATENATE("&lt;numeroLigne&gt;",C8912,"&lt;/numeroLigne&gt;")</f>
        <v>&lt;numeroLigne&gt;15&lt;/numeroLigne&gt;</v>
      </c>
      <c r="K8912" s="1013"/>
    </row>
    <row r="8913" spans="1:11" s="1011" customFormat="1" ht="15" x14ac:dyDescent="0.25">
      <c r="A8913" s="859">
        <f t="shared" si="150"/>
        <v>8912</v>
      </c>
      <c r="B8913" s="845" t="s">
        <v>2564</v>
      </c>
      <c r="C8913" s="1007">
        <f t="shared" si="149"/>
        <v>15</v>
      </c>
      <c r="D8913" s="1012"/>
      <c r="H8913" s="1011" t="s">
        <v>1010</v>
      </c>
      <c r="K8913" s="1013"/>
    </row>
    <row r="8914" spans="1:11" s="1011" customFormat="1" ht="15" x14ac:dyDescent="0.25">
      <c r="A8914" s="859">
        <f t="shared" si="150"/>
        <v>8913</v>
      </c>
      <c r="B8914" s="845" t="s">
        <v>2564</v>
      </c>
      <c r="C8914" s="1007">
        <f t="shared" si="149"/>
        <v>15</v>
      </c>
      <c r="D8914" s="1012"/>
      <c r="H8914" s="1011" t="s">
        <v>1007</v>
      </c>
      <c r="K8914" s="1013"/>
    </row>
    <row r="8915" spans="1:11" s="1011" customFormat="1" ht="15" x14ac:dyDescent="0.25">
      <c r="A8915" s="859">
        <f t="shared" si="150"/>
        <v>8914</v>
      </c>
      <c r="B8915" s="845" t="s">
        <v>2564</v>
      </c>
      <c r="C8915" s="1007">
        <f t="shared" si="149"/>
        <v>15</v>
      </c>
      <c r="D8915" s="1014"/>
      <c r="I8915" s="1011" t="s">
        <v>2179</v>
      </c>
      <c r="K8915" s="1013"/>
    </row>
    <row r="8916" spans="1:11" s="1011" customFormat="1" ht="15" x14ac:dyDescent="0.25">
      <c r="A8916" s="859">
        <f t="shared" si="150"/>
        <v>8915</v>
      </c>
      <c r="B8916" s="845" t="s">
        <v>2564</v>
      </c>
      <c r="C8916" s="1007">
        <f t="shared" si="149"/>
        <v>15</v>
      </c>
      <c r="D8916" s="1014"/>
      <c r="I8916" s="1011" t="str">
        <f>CONCATENATE("&lt;valeur&gt;",VLOOKUP(C8916,'T16 Amort'!A:K,7,0),"&lt;/valeur&gt;")</f>
        <v>&lt;valeur&gt;&lt;/valeur&gt;</v>
      </c>
      <c r="K8916" s="1013"/>
    </row>
    <row r="8917" spans="1:11" s="1011" customFormat="1" ht="15" x14ac:dyDescent="0.25">
      <c r="A8917" s="859">
        <f t="shared" si="150"/>
        <v>8916</v>
      </c>
      <c r="B8917" s="845" t="s">
        <v>2564</v>
      </c>
      <c r="C8917" s="1007">
        <f t="shared" si="149"/>
        <v>15</v>
      </c>
      <c r="D8917" s="1012"/>
      <c r="I8917" s="1011" t="str">
        <f>CONCATENATE("&lt;numeroLigne&gt;",C8917,"&lt;/numeroLigne&gt;")</f>
        <v>&lt;numeroLigne&gt;15&lt;/numeroLigne&gt;</v>
      </c>
      <c r="K8917" s="1013"/>
    </row>
    <row r="8918" spans="1:11" s="1011" customFormat="1" ht="15" x14ac:dyDescent="0.25">
      <c r="A8918" s="859">
        <f t="shared" si="150"/>
        <v>8917</v>
      </c>
      <c r="B8918" s="845" t="s">
        <v>2564</v>
      </c>
      <c r="C8918" s="1007">
        <f t="shared" si="149"/>
        <v>15</v>
      </c>
      <c r="D8918" s="1015"/>
      <c r="H8918" s="1011" t="s">
        <v>1010</v>
      </c>
      <c r="K8918" s="1013"/>
    </row>
    <row r="8919" spans="1:11" s="1011" customFormat="1" ht="15" x14ac:dyDescent="0.25">
      <c r="A8919" s="859">
        <f t="shared" si="150"/>
        <v>8918</v>
      </c>
      <c r="B8919" s="845" t="s">
        <v>2564</v>
      </c>
      <c r="C8919" s="1007">
        <f t="shared" si="149"/>
        <v>15</v>
      </c>
      <c r="D8919" s="1012"/>
      <c r="H8919" s="1011" t="s">
        <v>1007</v>
      </c>
      <c r="K8919" s="1013"/>
    </row>
    <row r="8920" spans="1:11" s="1011" customFormat="1" ht="15" x14ac:dyDescent="0.25">
      <c r="A8920" s="859">
        <f t="shared" si="150"/>
        <v>8919</v>
      </c>
      <c r="B8920" s="845" t="s">
        <v>2564</v>
      </c>
      <c r="C8920" s="1007">
        <f t="shared" si="149"/>
        <v>15</v>
      </c>
      <c r="D8920" s="1012"/>
      <c r="I8920" s="1011" t="s">
        <v>2180</v>
      </c>
      <c r="K8920" s="1013"/>
    </row>
    <row r="8921" spans="1:11" s="1011" customFormat="1" ht="15" x14ac:dyDescent="0.25">
      <c r="A8921" s="859">
        <f t="shared" si="150"/>
        <v>8920</v>
      </c>
      <c r="B8921" s="845" t="s">
        <v>2564</v>
      </c>
      <c r="C8921" s="1007">
        <f t="shared" si="149"/>
        <v>15</v>
      </c>
      <c r="D8921" s="1014"/>
      <c r="I8921" s="1011" t="str">
        <f>CONCATENATE("&lt;valeur&gt;",VLOOKUP(C8921,'T16 Amort'!A:K,8,0),"&lt;/valeur&gt;")</f>
        <v>&lt;valeur&gt;&lt;/valeur&gt;</v>
      </c>
      <c r="K8921" s="1013"/>
    </row>
    <row r="8922" spans="1:11" s="1011" customFormat="1" ht="15" x14ac:dyDescent="0.25">
      <c r="A8922" s="859">
        <f t="shared" si="150"/>
        <v>8921</v>
      </c>
      <c r="B8922" s="845" t="s">
        <v>2564</v>
      </c>
      <c r="C8922" s="1007">
        <f t="shared" si="149"/>
        <v>15</v>
      </c>
      <c r="D8922" s="1014"/>
      <c r="I8922" s="1011" t="str">
        <f>CONCATENATE("&lt;numeroLigne&gt;",C8922,"&lt;/numeroLigne&gt;")</f>
        <v>&lt;numeroLigne&gt;15&lt;/numeroLigne&gt;</v>
      </c>
      <c r="K8922" s="1013"/>
    </row>
    <row r="8923" spans="1:11" s="1011" customFormat="1" ht="15" x14ac:dyDescent="0.25">
      <c r="A8923" s="859">
        <f t="shared" si="150"/>
        <v>8922</v>
      </c>
      <c r="B8923" s="845" t="s">
        <v>2564</v>
      </c>
      <c r="C8923" s="1007">
        <f t="shared" si="149"/>
        <v>15</v>
      </c>
      <c r="D8923" s="1012"/>
      <c r="H8923" s="1011" t="s">
        <v>1010</v>
      </c>
      <c r="K8923" s="1013"/>
    </row>
    <row r="8924" spans="1:11" s="1011" customFormat="1" ht="15" x14ac:dyDescent="0.25">
      <c r="A8924" s="859">
        <f t="shared" si="150"/>
        <v>8923</v>
      </c>
      <c r="B8924" s="845" t="s">
        <v>2564</v>
      </c>
      <c r="C8924" s="1007">
        <f t="shared" si="149"/>
        <v>15</v>
      </c>
      <c r="D8924" s="1015"/>
      <c r="H8924" s="1011" t="s">
        <v>1007</v>
      </c>
      <c r="K8924" s="1013"/>
    </row>
    <row r="8925" spans="1:11" s="1011" customFormat="1" ht="15" x14ac:dyDescent="0.25">
      <c r="A8925" s="859">
        <f t="shared" si="150"/>
        <v>8924</v>
      </c>
      <c r="B8925" s="845" t="s">
        <v>2564</v>
      </c>
      <c r="C8925" s="1007">
        <f t="shared" si="149"/>
        <v>15</v>
      </c>
      <c r="D8925" s="1012"/>
      <c r="I8925" s="1011" t="s">
        <v>2181</v>
      </c>
      <c r="K8925" s="1013"/>
    </row>
    <row r="8926" spans="1:11" s="1011" customFormat="1" ht="15" x14ac:dyDescent="0.25">
      <c r="A8926" s="859">
        <f t="shared" si="150"/>
        <v>8925</v>
      </c>
      <c r="B8926" s="845" t="s">
        <v>2564</v>
      </c>
      <c r="C8926" s="1007">
        <f t="shared" si="149"/>
        <v>15</v>
      </c>
      <c r="D8926" s="1012"/>
      <c r="I8926" s="1011" t="str">
        <f>CONCATENATE("&lt;valeur&gt;",VLOOKUP(C8926,'T16 Amort'!A:K,9,0),"&lt;/valeur&gt;")</f>
        <v>&lt;valeur&gt;&lt;/valeur&gt;</v>
      </c>
      <c r="K8926" s="1013"/>
    </row>
    <row r="8927" spans="1:11" s="1011" customFormat="1" ht="15" x14ac:dyDescent="0.25">
      <c r="A8927" s="859">
        <f t="shared" si="150"/>
        <v>8926</v>
      </c>
      <c r="B8927" s="845" t="s">
        <v>2564</v>
      </c>
      <c r="C8927" s="1007">
        <f t="shared" si="149"/>
        <v>15</v>
      </c>
      <c r="D8927" s="1014"/>
      <c r="I8927" s="1011" t="str">
        <f>CONCATENATE("&lt;numeroLigne&gt;",C8927,"&lt;/numeroLigne&gt;")</f>
        <v>&lt;numeroLigne&gt;15&lt;/numeroLigne&gt;</v>
      </c>
      <c r="K8927" s="1013"/>
    </row>
    <row r="8928" spans="1:11" s="1011" customFormat="1" ht="15" x14ac:dyDescent="0.25">
      <c r="A8928" s="859">
        <f t="shared" si="150"/>
        <v>8927</v>
      </c>
      <c r="B8928" s="845" t="s">
        <v>2564</v>
      </c>
      <c r="C8928" s="1007">
        <f t="shared" si="149"/>
        <v>15</v>
      </c>
      <c r="D8928" s="1014"/>
      <c r="H8928" s="1011" t="s">
        <v>1010</v>
      </c>
      <c r="K8928" s="1013"/>
    </row>
    <row r="8929" spans="1:11" s="1011" customFormat="1" ht="15" x14ac:dyDescent="0.25">
      <c r="A8929" s="859">
        <f t="shared" si="150"/>
        <v>8928</v>
      </c>
      <c r="B8929" s="845" t="s">
        <v>2564</v>
      </c>
      <c r="C8929" s="1007">
        <f t="shared" si="149"/>
        <v>15</v>
      </c>
      <c r="D8929" s="1012"/>
      <c r="H8929" s="1011" t="s">
        <v>1007</v>
      </c>
      <c r="K8929" s="1013"/>
    </row>
    <row r="8930" spans="1:11" s="1011" customFormat="1" ht="15" x14ac:dyDescent="0.25">
      <c r="A8930" s="859">
        <f t="shared" si="150"/>
        <v>8929</v>
      </c>
      <c r="B8930" s="845" t="s">
        <v>2564</v>
      </c>
      <c r="C8930" s="1007">
        <f t="shared" si="149"/>
        <v>15</v>
      </c>
      <c r="D8930" s="1015"/>
      <c r="I8930" s="1011" t="s">
        <v>2182</v>
      </c>
      <c r="K8930" s="1013"/>
    </row>
    <row r="8931" spans="1:11" s="1011" customFormat="1" ht="15" x14ac:dyDescent="0.25">
      <c r="A8931" s="859">
        <f t="shared" si="150"/>
        <v>8930</v>
      </c>
      <c r="B8931" s="845" t="s">
        <v>2564</v>
      </c>
      <c r="C8931" s="1007">
        <f t="shared" si="149"/>
        <v>15</v>
      </c>
      <c r="D8931" s="1012"/>
      <c r="I8931" s="1011" t="str">
        <f>CONCATENATE("&lt;valeur&gt;",VLOOKUP(C8931,'T16 Amort'!A:K,10,0),"&lt;/valeur&gt;")</f>
        <v>&lt;valeur&gt;&lt;/valeur&gt;</v>
      </c>
      <c r="K8931" s="1013"/>
    </row>
    <row r="8932" spans="1:11" s="1011" customFormat="1" ht="15" x14ac:dyDescent="0.25">
      <c r="A8932" s="859">
        <f t="shared" si="150"/>
        <v>8931</v>
      </c>
      <c r="B8932" s="845" t="s">
        <v>2564</v>
      </c>
      <c r="C8932" s="1007">
        <f t="shared" si="149"/>
        <v>15</v>
      </c>
      <c r="D8932" s="1012"/>
      <c r="I8932" s="1011" t="str">
        <f>CONCATENATE("&lt;numeroLigne&gt;",C8932,"&lt;/numeroLigne&gt;")</f>
        <v>&lt;numeroLigne&gt;15&lt;/numeroLigne&gt;</v>
      </c>
      <c r="K8932" s="1013"/>
    </row>
    <row r="8933" spans="1:11" s="1011" customFormat="1" ht="15" x14ac:dyDescent="0.25">
      <c r="A8933" s="859">
        <f t="shared" si="150"/>
        <v>8932</v>
      </c>
      <c r="B8933" s="845" t="s">
        <v>2564</v>
      </c>
      <c r="C8933" s="1007">
        <f t="shared" si="149"/>
        <v>15</v>
      </c>
      <c r="D8933" s="1014"/>
      <c r="H8933" s="1011" t="s">
        <v>1010</v>
      </c>
      <c r="K8933" s="1013"/>
    </row>
    <row r="8934" spans="1:11" s="1011" customFormat="1" ht="15" x14ac:dyDescent="0.25">
      <c r="A8934" s="859">
        <f t="shared" si="150"/>
        <v>8933</v>
      </c>
      <c r="B8934" s="845" t="s">
        <v>2564</v>
      </c>
      <c r="C8934" s="1007">
        <f t="shared" si="149"/>
        <v>15</v>
      </c>
      <c r="D8934" s="1014"/>
      <c r="H8934" s="1011" t="s">
        <v>1007</v>
      </c>
      <c r="K8934" s="1013"/>
    </row>
    <row r="8935" spans="1:11" s="1011" customFormat="1" ht="15" x14ac:dyDescent="0.25">
      <c r="A8935" s="859">
        <f t="shared" si="150"/>
        <v>8934</v>
      </c>
      <c r="B8935" s="845" t="s">
        <v>2564</v>
      </c>
      <c r="C8935" s="1007">
        <f t="shared" si="149"/>
        <v>15</v>
      </c>
      <c r="D8935" s="1012"/>
      <c r="I8935" s="1011" t="s">
        <v>2183</v>
      </c>
      <c r="K8935" s="1013"/>
    </row>
    <row r="8936" spans="1:11" s="1011" customFormat="1" ht="15" x14ac:dyDescent="0.25">
      <c r="A8936" s="859">
        <f t="shared" si="150"/>
        <v>8935</v>
      </c>
      <c r="B8936" s="845" t="s">
        <v>2564</v>
      </c>
      <c r="C8936" s="1007">
        <f t="shared" si="149"/>
        <v>15</v>
      </c>
      <c r="D8936" s="1015"/>
      <c r="I8936" s="1011" t="str">
        <f>CONCATENATE("&lt;valeur&gt;",VLOOKUP(C8936,'T16 Amort'!A:K,11,0),"&lt;/valeur&gt;")</f>
        <v>&lt;valeur&gt;&lt;/valeur&gt;</v>
      </c>
      <c r="K8936" s="1013"/>
    </row>
    <row r="8937" spans="1:11" s="1011" customFormat="1" ht="15" x14ac:dyDescent="0.25">
      <c r="A8937" s="859">
        <f t="shared" si="150"/>
        <v>8936</v>
      </c>
      <c r="B8937" s="845" t="s">
        <v>2564</v>
      </c>
      <c r="C8937" s="1007">
        <f t="shared" si="149"/>
        <v>15</v>
      </c>
      <c r="D8937" s="1012"/>
      <c r="I8937" s="1011" t="str">
        <f>CONCATENATE("&lt;numeroLigne&gt;",C8937,"&lt;/numeroLigne&gt;")</f>
        <v>&lt;numeroLigne&gt;15&lt;/numeroLigne&gt;</v>
      </c>
      <c r="K8937" s="1013"/>
    </row>
    <row r="8938" spans="1:11" s="1011" customFormat="1" ht="15" x14ac:dyDescent="0.25">
      <c r="A8938" s="859">
        <f t="shared" si="150"/>
        <v>8937</v>
      </c>
      <c r="B8938" s="845" t="s">
        <v>2564</v>
      </c>
      <c r="C8938" s="1007">
        <f t="shared" si="149"/>
        <v>15</v>
      </c>
      <c r="D8938" s="1016"/>
      <c r="E8938" s="1017"/>
      <c r="F8938" s="1017"/>
      <c r="G8938" s="1017"/>
      <c r="H8938" s="1017" t="s">
        <v>1010</v>
      </c>
      <c r="I8938" s="1017"/>
      <c r="J8938" s="1017"/>
      <c r="K8938" s="1018"/>
    </row>
    <row r="8939" spans="1:11" s="1011" customFormat="1" ht="15" x14ac:dyDescent="0.25">
      <c r="A8939" s="859">
        <f t="shared" si="150"/>
        <v>8938</v>
      </c>
      <c r="B8939" s="845" t="s">
        <v>2564</v>
      </c>
      <c r="C8939" s="1007">
        <f t="shared" si="149"/>
        <v>16</v>
      </c>
      <c r="D8939" s="1008"/>
      <c r="E8939" s="1009"/>
      <c r="F8939" s="1009"/>
      <c r="G8939" s="1009"/>
      <c r="H8939" s="1009" t="s">
        <v>1007</v>
      </c>
      <c r="I8939" s="1009"/>
      <c r="J8939" s="1009"/>
      <c r="K8939" s="1010"/>
    </row>
    <row r="8940" spans="1:11" s="1011" customFormat="1" ht="15" x14ac:dyDescent="0.25">
      <c r="A8940" s="859">
        <f t="shared" si="150"/>
        <v>8939</v>
      </c>
      <c r="B8940" s="845" t="s">
        <v>2564</v>
      </c>
      <c r="C8940" s="1007">
        <f t="shared" si="149"/>
        <v>16</v>
      </c>
      <c r="D8940" s="1012"/>
      <c r="I8940" s="1011" t="s">
        <v>2174</v>
      </c>
      <c r="K8940" s="1013"/>
    </row>
    <row r="8941" spans="1:11" s="1011" customFormat="1" ht="15" x14ac:dyDescent="0.25">
      <c r="A8941" s="859">
        <f t="shared" si="150"/>
        <v>8940</v>
      </c>
      <c r="B8941" s="845" t="s">
        <v>2564</v>
      </c>
      <c r="C8941" s="1007">
        <f t="shared" si="149"/>
        <v>16</v>
      </c>
      <c r="D8941" s="1014"/>
      <c r="I8941" s="1011" t="str">
        <f>CONCATENATE("&lt;valeur&gt;",VLOOKUP(C8941,'T16 Amort'!A:K,2,0),"&lt;/valeur&gt;")</f>
        <v>&lt;valeur&gt;&lt;/valeur&gt;</v>
      </c>
      <c r="K8941" s="1013"/>
    </row>
    <row r="8942" spans="1:11" s="1011" customFormat="1" ht="15" x14ac:dyDescent="0.25">
      <c r="A8942" s="859">
        <f t="shared" si="150"/>
        <v>8941</v>
      </c>
      <c r="B8942" s="845" t="s">
        <v>2564</v>
      </c>
      <c r="C8942" s="1007">
        <f t="shared" si="149"/>
        <v>16</v>
      </c>
      <c r="D8942" s="1014"/>
      <c r="I8942" s="1011" t="str">
        <f>CONCATENATE("&lt;numeroLigne&gt;",C8942,"&lt;/numeroLigne&gt;")</f>
        <v>&lt;numeroLigne&gt;16&lt;/numeroLigne&gt;</v>
      </c>
      <c r="K8942" s="1013"/>
    </row>
    <row r="8943" spans="1:11" s="1011" customFormat="1" ht="15" x14ac:dyDescent="0.25">
      <c r="A8943" s="859">
        <f t="shared" si="150"/>
        <v>8942</v>
      </c>
      <c r="B8943" s="845" t="s">
        <v>2564</v>
      </c>
      <c r="C8943" s="1007">
        <f t="shared" ref="C8943:C9006" si="151">C8893+1</f>
        <v>16</v>
      </c>
      <c r="D8943" s="1012"/>
      <c r="H8943" s="1011" t="s">
        <v>1010</v>
      </c>
      <c r="K8943" s="1013"/>
    </row>
    <row r="8944" spans="1:11" s="1011" customFormat="1" ht="15" x14ac:dyDescent="0.25">
      <c r="A8944" s="859">
        <f t="shared" si="150"/>
        <v>8943</v>
      </c>
      <c r="B8944" s="845" t="s">
        <v>2564</v>
      </c>
      <c r="C8944" s="1007">
        <f t="shared" si="151"/>
        <v>16</v>
      </c>
      <c r="D8944" s="1015"/>
      <c r="H8944" s="1011" t="s">
        <v>1007</v>
      </c>
      <c r="K8944" s="1013"/>
    </row>
    <row r="8945" spans="1:11" s="1011" customFormat="1" ht="15" x14ac:dyDescent="0.25">
      <c r="A8945" s="859">
        <f t="shared" si="150"/>
        <v>8944</v>
      </c>
      <c r="B8945" s="845" t="s">
        <v>2564</v>
      </c>
      <c r="C8945" s="1007">
        <f t="shared" si="151"/>
        <v>16</v>
      </c>
      <c r="D8945" s="1012"/>
      <c r="I8945" s="1011" t="s">
        <v>2175</v>
      </c>
      <c r="K8945" s="1013"/>
    </row>
    <row r="8946" spans="1:11" s="1011" customFormat="1" ht="15" x14ac:dyDescent="0.25">
      <c r="A8946" s="859">
        <f t="shared" si="150"/>
        <v>8945</v>
      </c>
      <c r="B8946" s="845" t="s">
        <v>2564</v>
      </c>
      <c r="C8946" s="1007">
        <f t="shared" si="151"/>
        <v>16</v>
      </c>
      <c r="D8946" s="1012"/>
      <c r="I8946" s="1011" t="str">
        <f>CONCATENATE("&lt;valeur&gt;",VLOOKUP(C8946,'T16 Amort'!A:K,3,0),"&lt;/valeur&gt;")</f>
        <v>&lt;valeur&gt;&lt;/valeur&gt;</v>
      </c>
      <c r="K8946" s="1013"/>
    </row>
    <row r="8947" spans="1:11" s="1011" customFormat="1" ht="15" x14ac:dyDescent="0.25">
      <c r="A8947" s="859">
        <f t="shared" si="150"/>
        <v>8946</v>
      </c>
      <c r="B8947" s="845" t="s">
        <v>2564</v>
      </c>
      <c r="C8947" s="1007">
        <f t="shared" si="151"/>
        <v>16</v>
      </c>
      <c r="D8947" s="1014"/>
      <c r="I8947" s="1011" t="str">
        <f>CONCATENATE("&lt;numeroLigne&gt;",C8947,"&lt;/numeroLigne&gt;")</f>
        <v>&lt;numeroLigne&gt;16&lt;/numeroLigne&gt;</v>
      </c>
      <c r="K8947" s="1013"/>
    </row>
    <row r="8948" spans="1:11" s="1011" customFormat="1" ht="15" x14ac:dyDescent="0.25">
      <c r="A8948" s="859">
        <f t="shared" si="150"/>
        <v>8947</v>
      </c>
      <c r="B8948" s="845" t="s">
        <v>2564</v>
      </c>
      <c r="C8948" s="1007">
        <f t="shared" si="151"/>
        <v>16</v>
      </c>
      <c r="D8948" s="1014"/>
      <c r="H8948" s="1011" t="s">
        <v>1010</v>
      </c>
      <c r="K8948" s="1013"/>
    </row>
    <row r="8949" spans="1:11" s="1011" customFormat="1" ht="15" x14ac:dyDescent="0.25">
      <c r="A8949" s="859">
        <f t="shared" si="150"/>
        <v>8948</v>
      </c>
      <c r="B8949" s="845" t="s">
        <v>2564</v>
      </c>
      <c r="C8949" s="1007">
        <f t="shared" si="151"/>
        <v>16</v>
      </c>
      <c r="D8949" s="1012"/>
      <c r="H8949" s="1011" t="s">
        <v>1007</v>
      </c>
      <c r="K8949" s="1013"/>
    </row>
    <row r="8950" spans="1:11" s="1011" customFormat="1" ht="15" x14ac:dyDescent="0.25">
      <c r="A8950" s="859">
        <f t="shared" si="150"/>
        <v>8949</v>
      </c>
      <c r="B8950" s="845" t="s">
        <v>2564</v>
      </c>
      <c r="C8950" s="1007">
        <f t="shared" si="151"/>
        <v>16</v>
      </c>
      <c r="D8950" s="1015"/>
      <c r="I8950" s="1011" t="s">
        <v>2176</v>
      </c>
      <c r="K8950" s="1013"/>
    </row>
    <row r="8951" spans="1:11" s="1011" customFormat="1" ht="15" x14ac:dyDescent="0.25">
      <c r="A8951" s="859">
        <f t="shared" si="150"/>
        <v>8950</v>
      </c>
      <c r="B8951" s="845" t="s">
        <v>2564</v>
      </c>
      <c r="C8951" s="1007">
        <f t="shared" si="151"/>
        <v>16</v>
      </c>
      <c r="D8951" s="1012"/>
      <c r="I8951" s="1011" t="str">
        <f>CONCATENATE("&lt;valeur&gt;",VLOOKUP(C8951,'T16 Amort'!A:K,4,0),"&lt;/valeur&gt;")</f>
        <v>&lt;valeur&gt;&lt;/valeur&gt;</v>
      </c>
      <c r="K8951" s="1013"/>
    </row>
    <row r="8952" spans="1:11" s="1011" customFormat="1" ht="15" x14ac:dyDescent="0.25">
      <c r="A8952" s="859">
        <f t="shared" si="150"/>
        <v>8951</v>
      </c>
      <c r="B8952" s="845" t="s">
        <v>2564</v>
      </c>
      <c r="C8952" s="1007">
        <f t="shared" si="151"/>
        <v>16</v>
      </c>
      <c r="D8952" s="1012"/>
      <c r="I8952" s="1011" t="str">
        <f>CONCATENATE("&lt;numeroLigne&gt;",C8952,"&lt;/numeroLigne&gt;")</f>
        <v>&lt;numeroLigne&gt;16&lt;/numeroLigne&gt;</v>
      </c>
      <c r="K8952" s="1013"/>
    </row>
    <row r="8953" spans="1:11" s="1011" customFormat="1" ht="15" x14ac:dyDescent="0.25">
      <c r="A8953" s="859">
        <f t="shared" si="150"/>
        <v>8952</v>
      </c>
      <c r="B8953" s="845" t="s">
        <v>2564</v>
      </c>
      <c r="C8953" s="1007">
        <f t="shared" si="151"/>
        <v>16</v>
      </c>
      <c r="D8953" s="1014"/>
      <c r="H8953" s="1011" t="s">
        <v>1010</v>
      </c>
      <c r="K8953" s="1013"/>
    </row>
    <row r="8954" spans="1:11" s="1011" customFormat="1" ht="15" x14ac:dyDescent="0.25">
      <c r="A8954" s="859">
        <f t="shared" si="150"/>
        <v>8953</v>
      </c>
      <c r="B8954" s="845" t="s">
        <v>2564</v>
      </c>
      <c r="C8954" s="1007">
        <f t="shared" si="151"/>
        <v>16</v>
      </c>
      <c r="D8954" s="1014"/>
      <c r="H8954" s="1011" t="s">
        <v>1007</v>
      </c>
      <c r="K8954" s="1013"/>
    </row>
    <row r="8955" spans="1:11" s="1011" customFormat="1" ht="15" x14ac:dyDescent="0.25">
      <c r="A8955" s="859">
        <f t="shared" si="150"/>
        <v>8954</v>
      </c>
      <c r="B8955" s="845" t="s">
        <v>2564</v>
      </c>
      <c r="C8955" s="1007">
        <f t="shared" si="151"/>
        <v>16</v>
      </c>
      <c r="D8955" s="1012"/>
      <c r="I8955" s="1011" t="s">
        <v>2177</v>
      </c>
      <c r="K8955" s="1013"/>
    </row>
    <row r="8956" spans="1:11" s="1011" customFormat="1" ht="15" x14ac:dyDescent="0.25">
      <c r="A8956" s="859">
        <f t="shared" si="150"/>
        <v>8955</v>
      </c>
      <c r="B8956" s="845" t="s">
        <v>2564</v>
      </c>
      <c r="C8956" s="1007">
        <f t="shared" si="151"/>
        <v>16</v>
      </c>
      <c r="D8956" s="1015"/>
      <c r="I8956" s="1011" t="str">
        <f>CONCATENATE("&lt;valeur&gt;",VLOOKUP(C8956,'T16 Amort'!A:K,5,0),"&lt;/valeur&gt;")</f>
        <v>&lt;valeur&gt;&lt;/valeur&gt;</v>
      </c>
      <c r="K8956" s="1013"/>
    </row>
    <row r="8957" spans="1:11" s="1011" customFormat="1" ht="15" x14ac:dyDescent="0.25">
      <c r="A8957" s="859">
        <f t="shared" si="150"/>
        <v>8956</v>
      </c>
      <c r="B8957" s="845" t="s">
        <v>2564</v>
      </c>
      <c r="C8957" s="1007">
        <f t="shared" si="151"/>
        <v>16</v>
      </c>
      <c r="D8957" s="1012"/>
      <c r="I8957" s="1011" t="str">
        <f>CONCATENATE("&lt;numeroLigne&gt;",C8957,"&lt;/numeroLigne&gt;")</f>
        <v>&lt;numeroLigne&gt;16&lt;/numeroLigne&gt;</v>
      </c>
      <c r="K8957" s="1013"/>
    </row>
    <row r="8958" spans="1:11" s="1011" customFormat="1" ht="15" x14ac:dyDescent="0.25">
      <c r="A8958" s="859">
        <f t="shared" si="150"/>
        <v>8957</v>
      </c>
      <c r="B8958" s="845" t="s">
        <v>2564</v>
      </c>
      <c r="C8958" s="1007">
        <f t="shared" si="151"/>
        <v>16</v>
      </c>
      <c r="D8958" s="1012"/>
      <c r="H8958" s="1011" t="s">
        <v>1010</v>
      </c>
      <c r="K8958" s="1013"/>
    </row>
    <row r="8959" spans="1:11" s="1011" customFormat="1" ht="15" x14ac:dyDescent="0.25">
      <c r="A8959" s="859">
        <f t="shared" si="150"/>
        <v>8958</v>
      </c>
      <c r="B8959" s="845" t="s">
        <v>2564</v>
      </c>
      <c r="C8959" s="1007">
        <f t="shared" si="151"/>
        <v>16</v>
      </c>
      <c r="D8959" s="1014"/>
      <c r="H8959" s="1011" t="s">
        <v>1007</v>
      </c>
      <c r="K8959" s="1013"/>
    </row>
    <row r="8960" spans="1:11" s="1011" customFormat="1" ht="15" x14ac:dyDescent="0.25">
      <c r="A8960" s="859">
        <f t="shared" si="150"/>
        <v>8959</v>
      </c>
      <c r="B8960" s="845" t="s">
        <v>2564</v>
      </c>
      <c r="C8960" s="1007">
        <f t="shared" si="151"/>
        <v>16</v>
      </c>
      <c r="D8960" s="1014"/>
      <c r="I8960" s="1011" t="s">
        <v>2178</v>
      </c>
      <c r="K8960" s="1013"/>
    </row>
    <row r="8961" spans="1:11" s="1011" customFormat="1" ht="15" x14ac:dyDescent="0.25">
      <c r="A8961" s="859">
        <f t="shared" si="150"/>
        <v>8960</v>
      </c>
      <c r="B8961" s="845" t="s">
        <v>2564</v>
      </c>
      <c r="C8961" s="1007">
        <f t="shared" si="151"/>
        <v>16</v>
      </c>
      <c r="D8961" s="1012"/>
      <c r="I8961" s="1011" t="str">
        <f>CONCATENATE("&lt;valeur&gt;",VLOOKUP(C8961,'T16 Amort'!A:K,6,0),"&lt;/valeur&gt;")</f>
        <v>&lt;valeur&gt;&lt;/valeur&gt;</v>
      </c>
      <c r="K8961" s="1013"/>
    </row>
    <row r="8962" spans="1:11" s="1011" customFormat="1" ht="15" x14ac:dyDescent="0.25">
      <c r="A8962" s="859">
        <f t="shared" si="150"/>
        <v>8961</v>
      </c>
      <c r="B8962" s="845" t="s">
        <v>2564</v>
      </c>
      <c r="C8962" s="1007">
        <f t="shared" si="151"/>
        <v>16</v>
      </c>
      <c r="D8962" s="1015"/>
      <c r="I8962" s="1011" t="str">
        <f>CONCATENATE("&lt;numeroLigne&gt;",C8962,"&lt;/numeroLigne&gt;")</f>
        <v>&lt;numeroLigne&gt;16&lt;/numeroLigne&gt;</v>
      </c>
      <c r="K8962" s="1013"/>
    </row>
    <row r="8963" spans="1:11" s="1011" customFormat="1" ht="15" x14ac:dyDescent="0.25">
      <c r="A8963" s="859">
        <f t="shared" si="150"/>
        <v>8962</v>
      </c>
      <c r="B8963" s="845" t="s">
        <v>2564</v>
      </c>
      <c r="C8963" s="1007">
        <f t="shared" si="151"/>
        <v>16</v>
      </c>
      <c r="D8963" s="1012"/>
      <c r="H8963" s="1011" t="s">
        <v>1010</v>
      </c>
      <c r="K8963" s="1013"/>
    </row>
    <row r="8964" spans="1:11" s="1011" customFormat="1" ht="15" x14ac:dyDescent="0.25">
      <c r="A8964" s="859">
        <f t="shared" ref="A8964:A9027" si="152">+A8963+1</f>
        <v>8963</v>
      </c>
      <c r="B8964" s="845" t="s">
        <v>2564</v>
      </c>
      <c r="C8964" s="1007">
        <f t="shared" si="151"/>
        <v>16</v>
      </c>
      <c r="D8964" s="1012"/>
      <c r="H8964" s="1011" t="s">
        <v>1007</v>
      </c>
      <c r="K8964" s="1013"/>
    </row>
    <row r="8965" spans="1:11" s="1011" customFormat="1" ht="15" x14ac:dyDescent="0.25">
      <c r="A8965" s="859">
        <f t="shared" si="152"/>
        <v>8964</v>
      </c>
      <c r="B8965" s="845" t="s">
        <v>2564</v>
      </c>
      <c r="C8965" s="1007">
        <f t="shared" si="151"/>
        <v>16</v>
      </c>
      <c r="D8965" s="1014"/>
      <c r="I8965" s="1011" t="s">
        <v>2179</v>
      </c>
      <c r="K8965" s="1013"/>
    </row>
    <row r="8966" spans="1:11" s="1011" customFormat="1" ht="15" x14ac:dyDescent="0.25">
      <c r="A8966" s="859">
        <f t="shared" si="152"/>
        <v>8965</v>
      </c>
      <c r="B8966" s="845" t="s">
        <v>2564</v>
      </c>
      <c r="C8966" s="1007">
        <f t="shared" si="151"/>
        <v>16</v>
      </c>
      <c r="D8966" s="1014"/>
      <c r="I8966" s="1011" t="str">
        <f>CONCATENATE("&lt;valeur&gt;",VLOOKUP(C8966,'T16 Amort'!A:K,7,0),"&lt;/valeur&gt;")</f>
        <v>&lt;valeur&gt;&lt;/valeur&gt;</v>
      </c>
      <c r="K8966" s="1013"/>
    </row>
    <row r="8967" spans="1:11" s="1011" customFormat="1" ht="15" x14ac:dyDescent="0.25">
      <c r="A8967" s="859">
        <f t="shared" si="152"/>
        <v>8966</v>
      </c>
      <c r="B8967" s="845" t="s">
        <v>2564</v>
      </c>
      <c r="C8967" s="1007">
        <f t="shared" si="151"/>
        <v>16</v>
      </c>
      <c r="D8967" s="1012"/>
      <c r="I8967" s="1011" t="str">
        <f>CONCATENATE("&lt;numeroLigne&gt;",C8967,"&lt;/numeroLigne&gt;")</f>
        <v>&lt;numeroLigne&gt;16&lt;/numeroLigne&gt;</v>
      </c>
      <c r="K8967" s="1013"/>
    </row>
    <row r="8968" spans="1:11" s="1011" customFormat="1" ht="15" x14ac:dyDescent="0.25">
      <c r="A8968" s="859">
        <f t="shared" si="152"/>
        <v>8967</v>
      </c>
      <c r="B8968" s="845" t="s">
        <v>2564</v>
      </c>
      <c r="C8968" s="1007">
        <f t="shared" si="151"/>
        <v>16</v>
      </c>
      <c r="D8968" s="1015"/>
      <c r="H8968" s="1011" t="s">
        <v>1010</v>
      </c>
      <c r="K8968" s="1013"/>
    </row>
    <row r="8969" spans="1:11" s="1011" customFormat="1" ht="15" x14ac:dyDescent="0.25">
      <c r="A8969" s="859">
        <f t="shared" si="152"/>
        <v>8968</v>
      </c>
      <c r="B8969" s="845" t="s">
        <v>2564</v>
      </c>
      <c r="C8969" s="1007">
        <f t="shared" si="151"/>
        <v>16</v>
      </c>
      <c r="D8969" s="1012"/>
      <c r="H8969" s="1011" t="s">
        <v>1007</v>
      </c>
      <c r="K8969" s="1013"/>
    </row>
    <row r="8970" spans="1:11" s="1011" customFormat="1" ht="15" x14ac:dyDescent="0.25">
      <c r="A8970" s="859">
        <f t="shared" si="152"/>
        <v>8969</v>
      </c>
      <c r="B8970" s="845" t="s">
        <v>2564</v>
      </c>
      <c r="C8970" s="1007">
        <f t="shared" si="151"/>
        <v>16</v>
      </c>
      <c r="D8970" s="1012"/>
      <c r="I8970" s="1011" t="s">
        <v>2180</v>
      </c>
      <c r="K8970" s="1013"/>
    </row>
    <row r="8971" spans="1:11" s="1011" customFormat="1" ht="15" x14ac:dyDescent="0.25">
      <c r="A8971" s="859">
        <f t="shared" si="152"/>
        <v>8970</v>
      </c>
      <c r="B8971" s="845" t="s">
        <v>2564</v>
      </c>
      <c r="C8971" s="1007">
        <f t="shared" si="151"/>
        <v>16</v>
      </c>
      <c r="D8971" s="1014"/>
      <c r="I8971" s="1011" t="str">
        <f>CONCATENATE("&lt;valeur&gt;",VLOOKUP(C8971,'T16 Amort'!A:K,8,0),"&lt;/valeur&gt;")</f>
        <v>&lt;valeur&gt;&lt;/valeur&gt;</v>
      </c>
      <c r="K8971" s="1013"/>
    </row>
    <row r="8972" spans="1:11" s="1011" customFormat="1" ht="15" x14ac:dyDescent="0.25">
      <c r="A8972" s="859">
        <f t="shared" si="152"/>
        <v>8971</v>
      </c>
      <c r="B8972" s="845" t="s">
        <v>2564</v>
      </c>
      <c r="C8972" s="1007">
        <f t="shared" si="151"/>
        <v>16</v>
      </c>
      <c r="D8972" s="1014"/>
      <c r="I8972" s="1011" t="str">
        <f>CONCATENATE("&lt;numeroLigne&gt;",C8972,"&lt;/numeroLigne&gt;")</f>
        <v>&lt;numeroLigne&gt;16&lt;/numeroLigne&gt;</v>
      </c>
      <c r="K8972" s="1013"/>
    </row>
    <row r="8973" spans="1:11" s="1011" customFormat="1" ht="15" x14ac:dyDescent="0.25">
      <c r="A8973" s="859">
        <f t="shared" si="152"/>
        <v>8972</v>
      </c>
      <c r="B8973" s="845" t="s">
        <v>2564</v>
      </c>
      <c r="C8973" s="1007">
        <f t="shared" si="151"/>
        <v>16</v>
      </c>
      <c r="D8973" s="1012"/>
      <c r="H8973" s="1011" t="s">
        <v>1010</v>
      </c>
      <c r="K8973" s="1013"/>
    </row>
    <row r="8974" spans="1:11" s="1011" customFormat="1" ht="15" x14ac:dyDescent="0.25">
      <c r="A8974" s="859">
        <f t="shared" si="152"/>
        <v>8973</v>
      </c>
      <c r="B8974" s="845" t="s">
        <v>2564</v>
      </c>
      <c r="C8974" s="1007">
        <f t="shared" si="151"/>
        <v>16</v>
      </c>
      <c r="D8974" s="1015"/>
      <c r="H8974" s="1011" t="s">
        <v>1007</v>
      </c>
      <c r="K8974" s="1013"/>
    </row>
    <row r="8975" spans="1:11" s="1011" customFormat="1" ht="15" x14ac:dyDescent="0.25">
      <c r="A8975" s="859">
        <f t="shared" si="152"/>
        <v>8974</v>
      </c>
      <c r="B8975" s="845" t="s">
        <v>2564</v>
      </c>
      <c r="C8975" s="1007">
        <f t="shared" si="151"/>
        <v>16</v>
      </c>
      <c r="D8975" s="1012"/>
      <c r="I8975" s="1011" t="s">
        <v>2181</v>
      </c>
      <c r="K8975" s="1013"/>
    </row>
    <row r="8976" spans="1:11" s="1011" customFormat="1" ht="15" x14ac:dyDescent="0.25">
      <c r="A8976" s="859">
        <f t="shared" si="152"/>
        <v>8975</v>
      </c>
      <c r="B8976" s="845" t="s">
        <v>2564</v>
      </c>
      <c r="C8976" s="1007">
        <f t="shared" si="151"/>
        <v>16</v>
      </c>
      <c r="D8976" s="1012"/>
      <c r="I8976" s="1011" t="str">
        <f>CONCATENATE("&lt;valeur&gt;",VLOOKUP(C8976,'T16 Amort'!A:K,9,0),"&lt;/valeur&gt;")</f>
        <v>&lt;valeur&gt;&lt;/valeur&gt;</v>
      </c>
      <c r="K8976" s="1013"/>
    </row>
    <row r="8977" spans="1:11" s="1011" customFormat="1" ht="15" x14ac:dyDescent="0.25">
      <c r="A8977" s="859">
        <f t="shared" si="152"/>
        <v>8976</v>
      </c>
      <c r="B8977" s="845" t="s">
        <v>2564</v>
      </c>
      <c r="C8977" s="1007">
        <f t="shared" si="151"/>
        <v>16</v>
      </c>
      <c r="D8977" s="1014"/>
      <c r="I8977" s="1011" t="str">
        <f>CONCATENATE("&lt;numeroLigne&gt;",C8977,"&lt;/numeroLigne&gt;")</f>
        <v>&lt;numeroLigne&gt;16&lt;/numeroLigne&gt;</v>
      </c>
      <c r="K8977" s="1013"/>
    </row>
    <row r="8978" spans="1:11" s="1011" customFormat="1" ht="15" x14ac:dyDescent="0.25">
      <c r="A8978" s="859">
        <f t="shared" si="152"/>
        <v>8977</v>
      </c>
      <c r="B8978" s="845" t="s">
        <v>2564</v>
      </c>
      <c r="C8978" s="1007">
        <f t="shared" si="151"/>
        <v>16</v>
      </c>
      <c r="D8978" s="1014"/>
      <c r="H8978" s="1011" t="s">
        <v>1010</v>
      </c>
      <c r="K8978" s="1013"/>
    </row>
    <row r="8979" spans="1:11" s="1011" customFormat="1" ht="15" x14ac:dyDescent="0.25">
      <c r="A8979" s="859">
        <f t="shared" si="152"/>
        <v>8978</v>
      </c>
      <c r="B8979" s="845" t="s">
        <v>2564</v>
      </c>
      <c r="C8979" s="1007">
        <f t="shared" si="151"/>
        <v>16</v>
      </c>
      <c r="D8979" s="1012"/>
      <c r="H8979" s="1011" t="s">
        <v>1007</v>
      </c>
      <c r="K8979" s="1013"/>
    </row>
    <row r="8980" spans="1:11" s="1011" customFormat="1" ht="15" x14ac:dyDescent="0.25">
      <c r="A8980" s="859">
        <f t="shared" si="152"/>
        <v>8979</v>
      </c>
      <c r="B8980" s="845" t="s">
        <v>2564</v>
      </c>
      <c r="C8980" s="1007">
        <f t="shared" si="151"/>
        <v>16</v>
      </c>
      <c r="D8980" s="1015"/>
      <c r="I8980" s="1011" t="s">
        <v>2182</v>
      </c>
      <c r="K8980" s="1013"/>
    </row>
    <row r="8981" spans="1:11" s="1011" customFormat="1" ht="15" x14ac:dyDescent="0.25">
      <c r="A8981" s="859">
        <f t="shared" si="152"/>
        <v>8980</v>
      </c>
      <c r="B8981" s="845" t="s">
        <v>2564</v>
      </c>
      <c r="C8981" s="1007">
        <f t="shared" si="151"/>
        <v>16</v>
      </c>
      <c r="D8981" s="1012"/>
      <c r="I8981" s="1011" t="str">
        <f>CONCATENATE("&lt;valeur&gt;",VLOOKUP(C8981,'T16 Amort'!A:K,10,0),"&lt;/valeur&gt;")</f>
        <v>&lt;valeur&gt;&lt;/valeur&gt;</v>
      </c>
      <c r="K8981" s="1013"/>
    </row>
    <row r="8982" spans="1:11" s="1011" customFormat="1" ht="15" x14ac:dyDescent="0.25">
      <c r="A8982" s="859">
        <f t="shared" si="152"/>
        <v>8981</v>
      </c>
      <c r="B8982" s="845" t="s">
        <v>2564</v>
      </c>
      <c r="C8982" s="1007">
        <f t="shared" si="151"/>
        <v>16</v>
      </c>
      <c r="D8982" s="1012"/>
      <c r="I8982" s="1011" t="str">
        <f>CONCATENATE("&lt;numeroLigne&gt;",C8982,"&lt;/numeroLigne&gt;")</f>
        <v>&lt;numeroLigne&gt;16&lt;/numeroLigne&gt;</v>
      </c>
      <c r="K8982" s="1013"/>
    </row>
    <row r="8983" spans="1:11" s="1011" customFormat="1" ht="15" x14ac:dyDescent="0.25">
      <c r="A8983" s="859">
        <f t="shared" si="152"/>
        <v>8982</v>
      </c>
      <c r="B8983" s="845" t="s">
        <v>2564</v>
      </c>
      <c r="C8983" s="1007">
        <f t="shared" si="151"/>
        <v>16</v>
      </c>
      <c r="D8983" s="1014"/>
      <c r="H8983" s="1011" t="s">
        <v>1010</v>
      </c>
      <c r="K8983" s="1013"/>
    </row>
    <row r="8984" spans="1:11" s="1011" customFormat="1" ht="15" x14ac:dyDescent="0.25">
      <c r="A8984" s="859">
        <f t="shared" si="152"/>
        <v>8983</v>
      </c>
      <c r="B8984" s="845" t="s">
        <v>2564</v>
      </c>
      <c r="C8984" s="1007">
        <f t="shared" si="151"/>
        <v>16</v>
      </c>
      <c r="D8984" s="1014"/>
      <c r="H8984" s="1011" t="s">
        <v>1007</v>
      </c>
      <c r="K8984" s="1013"/>
    </row>
    <row r="8985" spans="1:11" s="1011" customFormat="1" ht="15" x14ac:dyDescent="0.25">
      <c r="A8985" s="859">
        <f t="shared" si="152"/>
        <v>8984</v>
      </c>
      <c r="B8985" s="845" t="s">
        <v>2564</v>
      </c>
      <c r="C8985" s="1007">
        <f t="shared" si="151"/>
        <v>16</v>
      </c>
      <c r="D8985" s="1012"/>
      <c r="I8985" s="1011" t="s">
        <v>2183</v>
      </c>
      <c r="K8985" s="1013"/>
    </row>
    <row r="8986" spans="1:11" s="1011" customFormat="1" ht="15" x14ac:dyDescent="0.25">
      <c r="A8986" s="859">
        <f t="shared" si="152"/>
        <v>8985</v>
      </c>
      <c r="B8986" s="845" t="s">
        <v>2564</v>
      </c>
      <c r="C8986" s="1007">
        <f t="shared" si="151"/>
        <v>16</v>
      </c>
      <c r="D8986" s="1015"/>
      <c r="I8986" s="1011" t="str">
        <f>CONCATENATE("&lt;valeur&gt;",VLOOKUP(C8986,'T16 Amort'!A:K,11,0),"&lt;/valeur&gt;")</f>
        <v>&lt;valeur&gt;&lt;/valeur&gt;</v>
      </c>
      <c r="K8986" s="1013"/>
    </row>
    <row r="8987" spans="1:11" s="1011" customFormat="1" ht="15" x14ac:dyDescent="0.25">
      <c r="A8987" s="859">
        <f t="shared" si="152"/>
        <v>8986</v>
      </c>
      <c r="B8987" s="845" t="s">
        <v>2564</v>
      </c>
      <c r="C8987" s="1007">
        <f t="shared" si="151"/>
        <v>16</v>
      </c>
      <c r="D8987" s="1012"/>
      <c r="I8987" s="1011" t="str">
        <f>CONCATENATE("&lt;numeroLigne&gt;",C8987,"&lt;/numeroLigne&gt;")</f>
        <v>&lt;numeroLigne&gt;16&lt;/numeroLigne&gt;</v>
      </c>
      <c r="K8987" s="1013"/>
    </row>
    <row r="8988" spans="1:11" s="1011" customFormat="1" ht="15" x14ac:dyDescent="0.25">
      <c r="A8988" s="859">
        <f t="shared" si="152"/>
        <v>8987</v>
      </c>
      <c r="B8988" s="845" t="s">
        <v>2564</v>
      </c>
      <c r="C8988" s="1007">
        <f t="shared" si="151"/>
        <v>16</v>
      </c>
      <c r="D8988" s="1016"/>
      <c r="E8988" s="1017"/>
      <c r="F8988" s="1017"/>
      <c r="G8988" s="1017"/>
      <c r="H8988" s="1017" t="s">
        <v>1010</v>
      </c>
      <c r="I8988" s="1017"/>
      <c r="J8988" s="1017"/>
      <c r="K8988" s="1018"/>
    </row>
    <row r="8989" spans="1:11" s="1011" customFormat="1" ht="15" x14ac:dyDescent="0.25">
      <c r="A8989" s="859">
        <f t="shared" si="152"/>
        <v>8988</v>
      </c>
      <c r="B8989" s="845" t="s">
        <v>2564</v>
      </c>
      <c r="C8989" s="1007">
        <f t="shared" si="151"/>
        <v>17</v>
      </c>
      <c r="D8989" s="1008"/>
      <c r="E8989" s="1009"/>
      <c r="F8989" s="1009"/>
      <c r="G8989" s="1009"/>
      <c r="H8989" s="1009" t="s">
        <v>1007</v>
      </c>
      <c r="I8989" s="1009"/>
      <c r="J8989" s="1009"/>
      <c r="K8989" s="1010"/>
    </row>
    <row r="8990" spans="1:11" s="1011" customFormat="1" ht="15" x14ac:dyDescent="0.25">
      <c r="A8990" s="859">
        <f t="shared" si="152"/>
        <v>8989</v>
      </c>
      <c r="B8990" s="845" t="s">
        <v>2564</v>
      </c>
      <c r="C8990" s="1007">
        <f t="shared" si="151"/>
        <v>17</v>
      </c>
      <c r="D8990" s="1012"/>
      <c r="I8990" s="1011" t="s">
        <v>2174</v>
      </c>
      <c r="K8990" s="1013"/>
    </row>
    <row r="8991" spans="1:11" s="1011" customFormat="1" ht="15" x14ac:dyDescent="0.25">
      <c r="A8991" s="859">
        <f t="shared" si="152"/>
        <v>8990</v>
      </c>
      <c r="B8991" s="845" t="s">
        <v>2564</v>
      </c>
      <c r="C8991" s="1007">
        <f t="shared" si="151"/>
        <v>17</v>
      </c>
      <c r="D8991" s="1014"/>
      <c r="I8991" s="1011" t="str">
        <f>CONCATENATE("&lt;valeur&gt;",VLOOKUP(C8991,'T16 Amort'!A:K,2,0),"&lt;/valeur&gt;")</f>
        <v>&lt;valeur&gt;&lt;/valeur&gt;</v>
      </c>
      <c r="K8991" s="1013"/>
    </row>
    <row r="8992" spans="1:11" s="1011" customFormat="1" ht="15" x14ac:dyDescent="0.25">
      <c r="A8992" s="859">
        <f t="shared" si="152"/>
        <v>8991</v>
      </c>
      <c r="B8992" s="845" t="s">
        <v>2564</v>
      </c>
      <c r="C8992" s="1007">
        <f t="shared" si="151"/>
        <v>17</v>
      </c>
      <c r="D8992" s="1014"/>
      <c r="I8992" s="1011" t="str">
        <f>CONCATENATE("&lt;numeroLigne&gt;",C8992,"&lt;/numeroLigne&gt;")</f>
        <v>&lt;numeroLigne&gt;17&lt;/numeroLigne&gt;</v>
      </c>
      <c r="K8992" s="1013"/>
    </row>
    <row r="8993" spans="1:11" s="1011" customFormat="1" ht="15" x14ac:dyDescent="0.25">
      <c r="A8993" s="859">
        <f t="shared" si="152"/>
        <v>8992</v>
      </c>
      <c r="B8993" s="845" t="s">
        <v>2564</v>
      </c>
      <c r="C8993" s="1007">
        <f t="shared" si="151"/>
        <v>17</v>
      </c>
      <c r="D8993" s="1012"/>
      <c r="H8993" s="1011" t="s">
        <v>1010</v>
      </c>
      <c r="K8993" s="1013"/>
    </row>
    <row r="8994" spans="1:11" s="1011" customFormat="1" ht="15" x14ac:dyDescent="0.25">
      <c r="A8994" s="859">
        <f t="shared" si="152"/>
        <v>8993</v>
      </c>
      <c r="B8994" s="845" t="s">
        <v>2564</v>
      </c>
      <c r="C8994" s="1007">
        <f t="shared" si="151"/>
        <v>17</v>
      </c>
      <c r="D8994" s="1015"/>
      <c r="H8994" s="1011" t="s">
        <v>1007</v>
      </c>
      <c r="K8994" s="1013"/>
    </row>
    <row r="8995" spans="1:11" s="1011" customFormat="1" ht="15" x14ac:dyDescent="0.25">
      <c r="A8995" s="859">
        <f t="shared" si="152"/>
        <v>8994</v>
      </c>
      <c r="B8995" s="845" t="s">
        <v>2564</v>
      </c>
      <c r="C8995" s="1007">
        <f t="shared" si="151"/>
        <v>17</v>
      </c>
      <c r="D8995" s="1012"/>
      <c r="I8995" s="1011" t="s">
        <v>2175</v>
      </c>
      <c r="K8995" s="1013"/>
    </row>
    <row r="8996" spans="1:11" s="1011" customFormat="1" ht="15" x14ac:dyDescent="0.25">
      <c r="A8996" s="859">
        <f t="shared" si="152"/>
        <v>8995</v>
      </c>
      <c r="B8996" s="845" t="s">
        <v>2564</v>
      </c>
      <c r="C8996" s="1007">
        <f t="shared" si="151"/>
        <v>17</v>
      </c>
      <c r="D8996" s="1012"/>
      <c r="I8996" s="1011" t="str">
        <f>CONCATENATE("&lt;valeur&gt;",VLOOKUP(C8996,'T16 Amort'!A:K,3,0),"&lt;/valeur&gt;")</f>
        <v>&lt;valeur&gt;&lt;/valeur&gt;</v>
      </c>
      <c r="K8996" s="1013"/>
    </row>
    <row r="8997" spans="1:11" s="1011" customFormat="1" ht="15" x14ac:dyDescent="0.25">
      <c r="A8997" s="859">
        <f t="shared" si="152"/>
        <v>8996</v>
      </c>
      <c r="B8997" s="845" t="s">
        <v>2564</v>
      </c>
      <c r="C8997" s="1007">
        <f t="shared" si="151"/>
        <v>17</v>
      </c>
      <c r="D8997" s="1014"/>
      <c r="I8997" s="1011" t="str">
        <f>CONCATENATE("&lt;numeroLigne&gt;",C8997,"&lt;/numeroLigne&gt;")</f>
        <v>&lt;numeroLigne&gt;17&lt;/numeroLigne&gt;</v>
      </c>
      <c r="K8997" s="1013"/>
    </row>
    <row r="8998" spans="1:11" s="1011" customFormat="1" ht="15" x14ac:dyDescent="0.25">
      <c r="A8998" s="859">
        <f t="shared" si="152"/>
        <v>8997</v>
      </c>
      <c r="B8998" s="845" t="s">
        <v>2564</v>
      </c>
      <c r="C8998" s="1007">
        <f t="shared" si="151"/>
        <v>17</v>
      </c>
      <c r="D8998" s="1014"/>
      <c r="H8998" s="1011" t="s">
        <v>1010</v>
      </c>
      <c r="K8998" s="1013"/>
    </row>
    <row r="8999" spans="1:11" s="1011" customFormat="1" ht="15" x14ac:dyDescent="0.25">
      <c r="A8999" s="859">
        <f t="shared" si="152"/>
        <v>8998</v>
      </c>
      <c r="B8999" s="845" t="s">
        <v>2564</v>
      </c>
      <c r="C8999" s="1007">
        <f t="shared" si="151"/>
        <v>17</v>
      </c>
      <c r="D8999" s="1012"/>
      <c r="H8999" s="1011" t="s">
        <v>1007</v>
      </c>
      <c r="K8999" s="1013"/>
    </row>
    <row r="9000" spans="1:11" s="1011" customFormat="1" ht="15" x14ac:dyDescent="0.25">
      <c r="A9000" s="859">
        <f t="shared" si="152"/>
        <v>8999</v>
      </c>
      <c r="B9000" s="845" t="s">
        <v>2564</v>
      </c>
      <c r="C9000" s="1007">
        <f t="shared" si="151"/>
        <v>17</v>
      </c>
      <c r="D9000" s="1015"/>
      <c r="I9000" s="1011" t="s">
        <v>2176</v>
      </c>
      <c r="K9000" s="1013"/>
    </row>
    <row r="9001" spans="1:11" s="1011" customFormat="1" ht="15" x14ac:dyDescent="0.25">
      <c r="A9001" s="859">
        <f t="shared" si="152"/>
        <v>9000</v>
      </c>
      <c r="B9001" s="845" t="s">
        <v>2564</v>
      </c>
      <c r="C9001" s="1007">
        <f t="shared" si="151"/>
        <v>17</v>
      </c>
      <c r="D9001" s="1012"/>
      <c r="I9001" s="1011" t="str">
        <f>CONCATENATE("&lt;valeur&gt;",VLOOKUP(C9001,'T16 Amort'!A:K,4,0),"&lt;/valeur&gt;")</f>
        <v>&lt;valeur&gt;&lt;/valeur&gt;</v>
      </c>
      <c r="K9001" s="1013"/>
    </row>
    <row r="9002" spans="1:11" s="1011" customFormat="1" ht="15" x14ac:dyDescent="0.25">
      <c r="A9002" s="859">
        <f t="shared" si="152"/>
        <v>9001</v>
      </c>
      <c r="B9002" s="845" t="s">
        <v>2564</v>
      </c>
      <c r="C9002" s="1007">
        <f t="shared" si="151"/>
        <v>17</v>
      </c>
      <c r="D9002" s="1012"/>
      <c r="I9002" s="1011" t="str">
        <f>CONCATENATE("&lt;numeroLigne&gt;",C9002,"&lt;/numeroLigne&gt;")</f>
        <v>&lt;numeroLigne&gt;17&lt;/numeroLigne&gt;</v>
      </c>
      <c r="K9002" s="1013"/>
    </row>
    <row r="9003" spans="1:11" s="1011" customFormat="1" ht="15" x14ac:dyDescent="0.25">
      <c r="A9003" s="859">
        <f t="shared" si="152"/>
        <v>9002</v>
      </c>
      <c r="B9003" s="845" t="s">
        <v>2564</v>
      </c>
      <c r="C9003" s="1007">
        <f t="shared" si="151"/>
        <v>17</v>
      </c>
      <c r="D9003" s="1014"/>
      <c r="H9003" s="1011" t="s">
        <v>1010</v>
      </c>
      <c r="K9003" s="1013"/>
    </row>
    <row r="9004" spans="1:11" s="1011" customFormat="1" ht="15" x14ac:dyDescent="0.25">
      <c r="A9004" s="859">
        <f t="shared" si="152"/>
        <v>9003</v>
      </c>
      <c r="B9004" s="845" t="s">
        <v>2564</v>
      </c>
      <c r="C9004" s="1007">
        <f t="shared" si="151"/>
        <v>17</v>
      </c>
      <c r="D9004" s="1014"/>
      <c r="H9004" s="1011" t="s">
        <v>1007</v>
      </c>
      <c r="K9004" s="1013"/>
    </row>
    <row r="9005" spans="1:11" s="1011" customFormat="1" ht="15" x14ac:dyDescent="0.25">
      <c r="A9005" s="859">
        <f t="shared" si="152"/>
        <v>9004</v>
      </c>
      <c r="B9005" s="845" t="s">
        <v>2564</v>
      </c>
      <c r="C9005" s="1007">
        <f t="shared" si="151"/>
        <v>17</v>
      </c>
      <c r="D9005" s="1012"/>
      <c r="I9005" s="1011" t="s">
        <v>2177</v>
      </c>
      <c r="K9005" s="1013"/>
    </row>
    <row r="9006" spans="1:11" s="1011" customFormat="1" ht="15" x14ac:dyDescent="0.25">
      <c r="A9006" s="859">
        <f t="shared" si="152"/>
        <v>9005</v>
      </c>
      <c r="B9006" s="845" t="s">
        <v>2564</v>
      </c>
      <c r="C9006" s="1007">
        <f t="shared" si="151"/>
        <v>17</v>
      </c>
      <c r="D9006" s="1015"/>
      <c r="I9006" s="1011" t="str">
        <f>CONCATENATE("&lt;valeur&gt;",VLOOKUP(C9006,'T16 Amort'!A:K,5,0),"&lt;/valeur&gt;")</f>
        <v>&lt;valeur&gt;&lt;/valeur&gt;</v>
      </c>
      <c r="K9006" s="1013"/>
    </row>
    <row r="9007" spans="1:11" s="1011" customFormat="1" ht="15" x14ac:dyDescent="0.25">
      <c r="A9007" s="859">
        <f t="shared" si="152"/>
        <v>9006</v>
      </c>
      <c r="B9007" s="845" t="s">
        <v>2564</v>
      </c>
      <c r="C9007" s="1007">
        <f t="shared" ref="C9007:C9070" si="153">C8957+1</f>
        <v>17</v>
      </c>
      <c r="D9007" s="1012"/>
      <c r="I9007" s="1011" t="str">
        <f>CONCATENATE("&lt;numeroLigne&gt;",C9007,"&lt;/numeroLigne&gt;")</f>
        <v>&lt;numeroLigne&gt;17&lt;/numeroLigne&gt;</v>
      </c>
      <c r="K9007" s="1013"/>
    </row>
    <row r="9008" spans="1:11" s="1011" customFormat="1" ht="15" x14ac:dyDescent="0.25">
      <c r="A9008" s="859">
        <f t="shared" si="152"/>
        <v>9007</v>
      </c>
      <c r="B9008" s="845" t="s">
        <v>2564</v>
      </c>
      <c r="C9008" s="1007">
        <f t="shared" si="153"/>
        <v>17</v>
      </c>
      <c r="D9008" s="1012"/>
      <c r="H9008" s="1011" t="s">
        <v>1010</v>
      </c>
      <c r="K9008" s="1013"/>
    </row>
    <row r="9009" spans="1:11" s="1011" customFormat="1" ht="15" x14ac:dyDescent="0.25">
      <c r="A9009" s="859">
        <f t="shared" si="152"/>
        <v>9008</v>
      </c>
      <c r="B9009" s="845" t="s">
        <v>2564</v>
      </c>
      <c r="C9009" s="1007">
        <f t="shared" si="153"/>
        <v>17</v>
      </c>
      <c r="D9009" s="1014"/>
      <c r="H9009" s="1011" t="s">
        <v>1007</v>
      </c>
      <c r="K9009" s="1013"/>
    </row>
    <row r="9010" spans="1:11" s="1011" customFormat="1" ht="15" x14ac:dyDescent="0.25">
      <c r="A9010" s="859">
        <f t="shared" si="152"/>
        <v>9009</v>
      </c>
      <c r="B9010" s="845" t="s">
        <v>2564</v>
      </c>
      <c r="C9010" s="1007">
        <f t="shared" si="153"/>
        <v>17</v>
      </c>
      <c r="D9010" s="1014"/>
      <c r="I9010" s="1011" t="s">
        <v>2178</v>
      </c>
      <c r="K9010" s="1013"/>
    </row>
    <row r="9011" spans="1:11" s="1011" customFormat="1" ht="15" x14ac:dyDescent="0.25">
      <c r="A9011" s="859">
        <f t="shared" si="152"/>
        <v>9010</v>
      </c>
      <c r="B9011" s="845" t="s">
        <v>2564</v>
      </c>
      <c r="C9011" s="1007">
        <f t="shared" si="153"/>
        <v>17</v>
      </c>
      <c r="D9011" s="1012"/>
      <c r="I9011" s="1011" t="str">
        <f>CONCATENATE("&lt;valeur&gt;",VLOOKUP(C9011,'T16 Amort'!A:K,6,0),"&lt;/valeur&gt;")</f>
        <v>&lt;valeur&gt;&lt;/valeur&gt;</v>
      </c>
      <c r="K9011" s="1013"/>
    </row>
    <row r="9012" spans="1:11" s="1011" customFormat="1" ht="15" x14ac:dyDescent="0.25">
      <c r="A9012" s="859">
        <f t="shared" si="152"/>
        <v>9011</v>
      </c>
      <c r="B9012" s="845" t="s">
        <v>2564</v>
      </c>
      <c r="C9012" s="1007">
        <f t="shared" si="153"/>
        <v>17</v>
      </c>
      <c r="D9012" s="1015"/>
      <c r="I9012" s="1011" t="str">
        <f>CONCATENATE("&lt;numeroLigne&gt;",C9012,"&lt;/numeroLigne&gt;")</f>
        <v>&lt;numeroLigne&gt;17&lt;/numeroLigne&gt;</v>
      </c>
      <c r="K9012" s="1013"/>
    </row>
    <row r="9013" spans="1:11" s="1011" customFormat="1" ht="15" x14ac:dyDescent="0.25">
      <c r="A9013" s="859">
        <f t="shared" si="152"/>
        <v>9012</v>
      </c>
      <c r="B9013" s="845" t="s">
        <v>2564</v>
      </c>
      <c r="C9013" s="1007">
        <f t="shared" si="153"/>
        <v>17</v>
      </c>
      <c r="D9013" s="1012"/>
      <c r="H9013" s="1011" t="s">
        <v>1010</v>
      </c>
      <c r="K9013" s="1013"/>
    </row>
    <row r="9014" spans="1:11" s="1011" customFormat="1" ht="15" x14ac:dyDescent="0.25">
      <c r="A9014" s="859">
        <f t="shared" si="152"/>
        <v>9013</v>
      </c>
      <c r="B9014" s="845" t="s">
        <v>2564</v>
      </c>
      <c r="C9014" s="1007">
        <f t="shared" si="153"/>
        <v>17</v>
      </c>
      <c r="D9014" s="1012"/>
      <c r="H9014" s="1011" t="s">
        <v>1007</v>
      </c>
      <c r="K9014" s="1013"/>
    </row>
    <row r="9015" spans="1:11" s="1011" customFormat="1" ht="15" x14ac:dyDescent="0.25">
      <c r="A9015" s="859">
        <f t="shared" si="152"/>
        <v>9014</v>
      </c>
      <c r="B9015" s="845" t="s">
        <v>2564</v>
      </c>
      <c r="C9015" s="1007">
        <f t="shared" si="153"/>
        <v>17</v>
      </c>
      <c r="D9015" s="1014"/>
      <c r="I9015" s="1011" t="s">
        <v>2179</v>
      </c>
      <c r="K9015" s="1013"/>
    </row>
    <row r="9016" spans="1:11" s="1011" customFormat="1" ht="15" x14ac:dyDescent="0.25">
      <c r="A9016" s="859">
        <f t="shared" si="152"/>
        <v>9015</v>
      </c>
      <c r="B9016" s="845" t="s">
        <v>2564</v>
      </c>
      <c r="C9016" s="1007">
        <f t="shared" si="153"/>
        <v>17</v>
      </c>
      <c r="D9016" s="1014"/>
      <c r="I9016" s="1011" t="str">
        <f>CONCATENATE("&lt;valeur&gt;",VLOOKUP(C9016,'T16 Amort'!A:K,7,0),"&lt;/valeur&gt;")</f>
        <v>&lt;valeur&gt;&lt;/valeur&gt;</v>
      </c>
      <c r="K9016" s="1013"/>
    </row>
    <row r="9017" spans="1:11" s="1011" customFormat="1" ht="15" x14ac:dyDescent="0.25">
      <c r="A9017" s="859">
        <f t="shared" si="152"/>
        <v>9016</v>
      </c>
      <c r="B9017" s="845" t="s">
        <v>2564</v>
      </c>
      <c r="C9017" s="1007">
        <f t="shared" si="153"/>
        <v>17</v>
      </c>
      <c r="D9017" s="1012"/>
      <c r="I9017" s="1011" t="str">
        <f>CONCATENATE("&lt;numeroLigne&gt;",C9017,"&lt;/numeroLigne&gt;")</f>
        <v>&lt;numeroLigne&gt;17&lt;/numeroLigne&gt;</v>
      </c>
      <c r="K9017" s="1013"/>
    </row>
    <row r="9018" spans="1:11" s="1011" customFormat="1" ht="15" x14ac:dyDescent="0.25">
      <c r="A9018" s="859">
        <f t="shared" si="152"/>
        <v>9017</v>
      </c>
      <c r="B9018" s="845" t="s">
        <v>2564</v>
      </c>
      <c r="C9018" s="1007">
        <f t="shared" si="153"/>
        <v>17</v>
      </c>
      <c r="D9018" s="1015"/>
      <c r="H9018" s="1011" t="s">
        <v>1010</v>
      </c>
      <c r="K9018" s="1013"/>
    </row>
    <row r="9019" spans="1:11" s="1011" customFormat="1" ht="15" x14ac:dyDescent="0.25">
      <c r="A9019" s="859">
        <f t="shared" si="152"/>
        <v>9018</v>
      </c>
      <c r="B9019" s="845" t="s">
        <v>2564</v>
      </c>
      <c r="C9019" s="1007">
        <f t="shared" si="153"/>
        <v>17</v>
      </c>
      <c r="D9019" s="1012"/>
      <c r="H9019" s="1011" t="s">
        <v>1007</v>
      </c>
      <c r="K9019" s="1013"/>
    </row>
    <row r="9020" spans="1:11" s="1011" customFormat="1" ht="15" x14ac:dyDescent="0.25">
      <c r="A9020" s="859">
        <f t="shared" si="152"/>
        <v>9019</v>
      </c>
      <c r="B9020" s="845" t="s">
        <v>2564</v>
      </c>
      <c r="C9020" s="1007">
        <f t="shared" si="153"/>
        <v>17</v>
      </c>
      <c r="D9020" s="1012"/>
      <c r="I9020" s="1011" t="s">
        <v>2180</v>
      </c>
      <c r="K9020" s="1013"/>
    </row>
    <row r="9021" spans="1:11" s="1011" customFormat="1" ht="15" x14ac:dyDescent="0.25">
      <c r="A9021" s="859">
        <f t="shared" si="152"/>
        <v>9020</v>
      </c>
      <c r="B9021" s="845" t="s">
        <v>2564</v>
      </c>
      <c r="C9021" s="1007">
        <f t="shared" si="153"/>
        <v>17</v>
      </c>
      <c r="D9021" s="1014"/>
      <c r="I9021" s="1011" t="str">
        <f>CONCATENATE("&lt;valeur&gt;",VLOOKUP(C9021,'T16 Amort'!A:K,8,0),"&lt;/valeur&gt;")</f>
        <v>&lt;valeur&gt;&lt;/valeur&gt;</v>
      </c>
      <c r="K9021" s="1013"/>
    </row>
    <row r="9022" spans="1:11" s="1011" customFormat="1" ht="15" x14ac:dyDescent="0.25">
      <c r="A9022" s="859">
        <f t="shared" si="152"/>
        <v>9021</v>
      </c>
      <c r="B9022" s="845" t="s">
        <v>2564</v>
      </c>
      <c r="C9022" s="1007">
        <f t="shared" si="153"/>
        <v>17</v>
      </c>
      <c r="D9022" s="1014"/>
      <c r="I9022" s="1011" t="str">
        <f>CONCATENATE("&lt;numeroLigne&gt;",C9022,"&lt;/numeroLigne&gt;")</f>
        <v>&lt;numeroLigne&gt;17&lt;/numeroLigne&gt;</v>
      </c>
      <c r="K9022" s="1013"/>
    </row>
    <row r="9023" spans="1:11" s="1011" customFormat="1" ht="15" x14ac:dyDescent="0.25">
      <c r="A9023" s="859">
        <f t="shared" si="152"/>
        <v>9022</v>
      </c>
      <c r="B9023" s="845" t="s">
        <v>2564</v>
      </c>
      <c r="C9023" s="1007">
        <f t="shared" si="153"/>
        <v>17</v>
      </c>
      <c r="D9023" s="1012"/>
      <c r="H9023" s="1011" t="s">
        <v>1010</v>
      </c>
      <c r="K9023" s="1013"/>
    </row>
    <row r="9024" spans="1:11" s="1011" customFormat="1" ht="15" x14ac:dyDescent="0.25">
      <c r="A9024" s="859">
        <f t="shared" si="152"/>
        <v>9023</v>
      </c>
      <c r="B9024" s="845" t="s">
        <v>2564</v>
      </c>
      <c r="C9024" s="1007">
        <f t="shared" si="153"/>
        <v>17</v>
      </c>
      <c r="D9024" s="1015"/>
      <c r="H9024" s="1011" t="s">
        <v>1007</v>
      </c>
      <c r="K9024" s="1013"/>
    </row>
    <row r="9025" spans="1:11" s="1011" customFormat="1" ht="15" x14ac:dyDescent="0.25">
      <c r="A9025" s="859">
        <f t="shared" si="152"/>
        <v>9024</v>
      </c>
      <c r="B9025" s="845" t="s">
        <v>2564</v>
      </c>
      <c r="C9025" s="1007">
        <f t="shared" si="153"/>
        <v>17</v>
      </c>
      <c r="D9025" s="1012"/>
      <c r="I9025" s="1011" t="s">
        <v>2181</v>
      </c>
      <c r="K9025" s="1013"/>
    </row>
    <row r="9026" spans="1:11" s="1011" customFormat="1" ht="15" x14ac:dyDescent="0.25">
      <c r="A9026" s="859">
        <f t="shared" si="152"/>
        <v>9025</v>
      </c>
      <c r="B9026" s="845" t="s">
        <v>2564</v>
      </c>
      <c r="C9026" s="1007">
        <f t="shared" si="153"/>
        <v>17</v>
      </c>
      <c r="D9026" s="1012"/>
      <c r="I9026" s="1011" t="str">
        <f>CONCATENATE("&lt;valeur&gt;",VLOOKUP(C9026,'T16 Amort'!A:K,9,0),"&lt;/valeur&gt;")</f>
        <v>&lt;valeur&gt;&lt;/valeur&gt;</v>
      </c>
      <c r="K9026" s="1013"/>
    </row>
    <row r="9027" spans="1:11" s="1011" customFormat="1" ht="15" x14ac:dyDescent="0.25">
      <c r="A9027" s="859">
        <f t="shared" si="152"/>
        <v>9026</v>
      </c>
      <c r="B9027" s="845" t="s">
        <v>2564</v>
      </c>
      <c r="C9027" s="1007">
        <f t="shared" si="153"/>
        <v>17</v>
      </c>
      <c r="D9027" s="1014"/>
      <c r="I9027" s="1011" t="str">
        <f>CONCATENATE("&lt;numeroLigne&gt;",C9027,"&lt;/numeroLigne&gt;")</f>
        <v>&lt;numeroLigne&gt;17&lt;/numeroLigne&gt;</v>
      </c>
      <c r="K9027" s="1013"/>
    </row>
    <row r="9028" spans="1:11" s="1011" customFormat="1" ht="15" x14ac:dyDescent="0.25">
      <c r="A9028" s="859">
        <f t="shared" ref="A9028:A9091" si="154">+A9027+1</f>
        <v>9027</v>
      </c>
      <c r="B9028" s="845" t="s">
        <v>2564</v>
      </c>
      <c r="C9028" s="1007">
        <f t="shared" si="153"/>
        <v>17</v>
      </c>
      <c r="D9028" s="1014"/>
      <c r="H9028" s="1011" t="s">
        <v>1010</v>
      </c>
      <c r="K9028" s="1013"/>
    </row>
    <row r="9029" spans="1:11" s="1011" customFormat="1" ht="15" x14ac:dyDescent="0.25">
      <c r="A9029" s="859">
        <f t="shared" si="154"/>
        <v>9028</v>
      </c>
      <c r="B9029" s="845" t="s">
        <v>2564</v>
      </c>
      <c r="C9029" s="1007">
        <f t="shared" si="153"/>
        <v>17</v>
      </c>
      <c r="D9029" s="1012"/>
      <c r="H9029" s="1011" t="s">
        <v>1007</v>
      </c>
      <c r="K9029" s="1013"/>
    </row>
    <row r="9030" spans="1:11" s="1011" customFormat="1" ht="15" x14ac:dyDescent="0.25">
      <c r="A9030" s="859">
        <f t="shared" si="154"/>
        <v>9029</v>
      </c>
      <c r="B9030" s="845" t="s">
        <v>2564</v>
      </c>
      <c r="C9030" s="1007">
        <f t="shared" si="153"/>
        <v>17</v>
      </c>
      <c r="D9030" s="1015"/>
      <c r="I9030" s="1011" t="s">
        <v>2182</v>
      </c>
      <c r="K9030" s="1013"/>
    </row>
    <row r="9031" spans="1:11" s="1011" customFormat="1" ht="15" x14ac:dyDescent="0.25">
      <c r="A9031" s="859">
        <f t="shared" si="154"/>
        <v>9030</v>
      </c>
      <c r="B9031" s="845" t="s">
        <v>2564</v>
      </c>
      <c r="C9031" s="1007">
        <f t="shared" si="153"/>
        <v>17</v>
      </c>
      <c r="D9031" s="1012"/>
      <c r="I9031" s="1011" t="str">
        <f>CONCATENATE("&lt;valeur&gt;",VLOOKUP(C9031,'T16 Amort'!A:K,10,0),"&lt;/valeur&gt;")</f>
        <v>&lt;valeur&gt;&lt;/valeur&gt;</v>
      </c>
      <c r="K9031" s="1013"/>
    </row>
    <row r="9032" spans="1:11" s="1011" customFormat="1" ht="15" x14ac:dyDescent="0.25">
      <c r="A9032" s="859">
        <f t="shared" si="154"/>
        <v>9031</v>
      </c>
      <c r="B9032" s="845" t="s">
        <v>2564</v>
      </c>
      <c r="C9032" s="1007">
        <f t="shared" si="153"/>
        <v>17</v>
      </c>
      <c r="D9032" s="1012"/>
      <c r="I9032" s="1011" t="str">
        <f>CONCATENATE("&lt;numeroLigne&gt;",C9032,"&lt;/numeroLigne&gt;")</f>
        <v>&lt;numeroLigne&gt;17&lt;/numeroLigne&gt;</v>
      </c>
      <c r="K9032" s="1013"/>
    </row>
    <row r="9033" spans="1:11" s="1011" customFormat="1" ht="15" x14ac:dyDescent="0.25">
      <c r="A9033" s="859">
        <f t="shared" si="154"/>
        <v>9032</v>
      </c>
      <c r="B9033" s="845" t="s">
        <v>2564</v>
      </c>
      <c r="C9033" s="1007">
        <f t="shared" si="153"/>
        <v>17</v>
      </c>
      <c r="D9033" s="1014"/>
      <c r="H9033" s="1011" t="s">
        <v>1010</v>
      </c>
      <c r="K9033" s="1013"/>
    </row>
    <row r="9034" spans="1:11" s="1011" customFormat="1" ht="15" x14ac:dyDescent="0.25">
      <c r="A9034" s="859">
        <f t="shared" si="154"/>
        <v>9033</v>
      </c>
      <c r="B9034" s="845" t="s">
        <v>2564</v>
      </c>
      <c r="C9034" s="1007">
        <f t="shared" si="153"/>
        <v>17</v>
      </c>
      <c r="D9034" s="1014"/>
      <c r="H9034" s="1011" t="s">
        <v>1007</v>
      </c>
      <c r="K9034" s="1013"/>
    </row>
    <row r="9035" spans="1:11" s="1011" customFormat="1" ht="15" x14ac:dyDescent="0.25">
      <c r="A9035" s="859">
        <f t="shared" si="154"/>
        <v>9034</v>
      </c>
      <c r="B9035" s="845" t="s">
        <v>2564</v>
      </c>
      <c r="C9035" s="1007">
        <f t="shared" si="153"/>
        <v>17</v>
      </c>
      <c r="D9035" s="1012"/>
      <c r="I9035" s="1011" t="s">
        <v>2183</v>
      </c>
      <c r="K9035" s="1013"/>
    </row>
    <row r="9036" spans="1:11" s="1011" customFormat="1" ht="15" x14ac:dyDescent="0.25">
      <c r="A9036" s="859">
        <f t="shared" si="154"/>
        <v>9035</v>
      </c>
      <c r="B9036" s="845" t="s">
        <v>2564</v>
      </c>
      <c r="C9036" s="1007">
        <f t="shared" si="153"/>
        <v>17</v>
      </c>
      <c r="D9036" s="1015"/>
      <c r="I9036" s="1011" t="str">
        <f>CONCATENATE("&lt;valeur&gt;",VLOOKUP(C9036,'T16 Amort'!A:K,11,0),"&lt;/valeur&gt;")</f>
        <v>&lt;valeur&gt;&lt;/valeur&gt;</v>
      </c>
      <c r="K9036" s="1013"/>
    </row>
    <row r="9037" spans="1:11" s="1011" customFormat="1" ht="15" x14ac:dyDescent="0.25">
      <c r="A9037" s="859">
        <f t="shared" si="154"/>
        <v>9036</v>
      </c>
      <c r="B9037" s="845" t="s">
        <v>2564</v>
      </c>
      <c r="C9037" s="1007">
        <f t="shared" si="153"/>
        <v>17</v>
      </c>
      <c r="D9037" s="1012"/>
      <c r="I9037" s="1011" t="str">
        <f>CONCATENATE("&lt;numeroLigne&gt;",C9037,"&lt;/numeroLigne&gt;")</f>
        <v>&lt;numeroLigne&gt;17&lt;/numeroLigne&gt;</v>
      </c>
      <c r="K9037" s="1013"/>
    </row>
    <row r="9038" spans="1:11" s="1011" customFormat="1" ht="15" x14ac:dyDescent="0.25">
      <c r="A9038" s="859">
        <f t="shared" si="154"/>
        <v>9037</v>
      </c>
      <c r="B9038" s="845" t="s">
        <v>2564</v>
      </c>
      <c r="C9038" s="1007">
        <f t="shared" si="153"/>
        <v>17</v>
      </c>
      <c r="D9038" s="1016"/>
      <c r="E9038" s="1017"/>
      <c r="F9038" s="1017"/>
      <c r="G9038" s="1017"/>
      <c r="H9038" s="1017" t="s">
        <v>1010</v>
      </c>
      <c r="I9038" s="1017"/>
      <c r="J9038" s="1017"/>
      <c r="K9038" s="1018"/>
    </row>
    <row r="9039" spans="1:11" s="1011" customFormat="1" ht="15" x14ac:dyDescent="0.25">
      <c r="A9039" s="859">
        <f t="shared" si="154"/>
        <v>9038</v>
      </c>
      <c r="B9039" s="845" t="s">
        <v>2564</v>
      </c>
      <c r="C9039" s="1007">
        <f t="shared" si="153"/>
        <v>18</v>
      </c>
      <c r="D9039" s="1008"/>
      <c r="E9039" s="1009"/>
      <c r="F9039" s="1009"/>
      <c r="G9039" s="1009"/>
      <c r="H9039" s="1009" t="s">
        <v>1007</v>
      </c>
      <c r="I9039" s="1009"/>
      <c r="J9039" s="1009"/>
      <c r="K9039" s="1010"/>
    </row>
    <row r="9040" spans="1:11" s="1011" customFormat="1" ht="15" x14ac:dyDescent="0.25">
      <c r="A9040" s="859">
        <f t="shared" si="154"/>
        <v>9039</v>
      </c>
      <c r="B9040" s="845" t="s">
        <v>2564</v>
      </c>
      <c r="C9040" s="1007">
        <f t="shared" si="153"/>
        <v>18</v>
      </c>
      <c r="D9040" s="1012"/>
      <c r="I9040" s="1011" t="s">
        <v>2174</v>
      </c>
      <c r="K9040" s="1013"/>
    </row>
    <row r="9041" spans="1:11" s="1011" customFormat="1" ht="15" x14ac:dyDescent="0.25">
      <c r="A9041" s="859">
        <f t="shared" si="154"/>
        <v>9040</v>
      </c>
      <c r="B9041" s="845" t="s">
        <v>2564</v>
      </c>
      <c r="C9041" s="1007">
        <f t="shared" si="153"/>
        <v>18</v>
      </c>
      <c r="D9041" s="1014"/>
      <c r="I9041" s="1011" t="str">
        <f>CONCATENATE("&lt;valeur&gt;",VLOOKUP(C9041,'T16 Amort'!A:K,2,0),"&lt;/valeur&gt;")</f>
        <v>&lt;valeur&gt;&lt;/valeur&gt;</v>
      </c>
      <c r="K9041" s="1013"/>
    </row>
    <row r="9042" spans="1:11" s="1011" customFormat="1" ht="15" x14ac:dyDescent="0.25">
      <c r="A9042" s="859">
        <f t="shared" si="154"/>
        <v>9041</v>
      </c>
      <c r="B9042" s="845" t="s">
        <v>2564</v>
      </c>
      <c r="C9042" s="1007">
        <f t="shared" si="153"/>
        <v>18</v>
      </c>
      <c r="D9042" s="1014"/>
      <c r="I9042" s="1011" t="str">
        <f>CONCATENATE("&lt;numeroLigne&gt;",C9042,"&lt;/numeroLigne&gt;")</f>
        <v>&lt;numeroLigne&gt;18&lt;/numeroLigne&gt;</v>
      </c>
      <c r="K9042" s="1013"/>
    </row>
    <row r="9043" spans="1:11" s="1011" customFormat="1" ht="15" x14ac:dyDescent="0.25">
      <c r="A9043" s="859">
        <f t="shared" si="154"/>
        <v>9042</v>
      </c>
      <c r="B9043" s="845" t="s">
        <v>2564</v>
      </c>
      <c r="C9043" s="1007">
        <f t="shared" si="153"/>
        <v>18</v>
      </c>
      <c r="D9043" s="1012"/>
      <c r="H9043" s="1011" t="s">
        <v>1010</v>
      </c>
      <c r="K9043" s="1013"/>
    </row>
    <row r="9044" spans="1:11" s="1011" customFormat="1" ht="15" x14ac:dyDescent="0.25">
      <c r="A9044" s="859">
        <f t="shared" si="154"/>
        <v>9043</v>
      </c>
      <c r="B9044" s="845" t="s">
        <v>2564</v>
      </c>
      <c r="C9044" s="1007">
        <f t="shared" si="153"/>
        <v>18</v>
      </c>
      <c r="D9044" s="1015"/>
      <c r="H9044" s="1011" t="s">
        <v>1007</v>
      </c>
      <c r="K9044" s="1013"/>
    </row>
    <row r="9045" spans="1:11" s="1011" customFormat="1" ht="15" x14ac:dyDescent="0.25">
      <c r="A9045" s="859">
        <f t="shared" si="154"/>
        <v>9044</v>
      </c>
      <c r="B9045" s="845" t="s">
        <v>2564</v>
      </c>
      <c r="C9045" s="1007">
        <f t="shared" si="153"/>
        <v>18</v>
      </c>
      <c r="D9045" s="1012"/>
      <c r="I9045" s="1011" t="s">
        <v>2175</v>
      </c>
      <c r="K9045" s="1013"/>
    </row>
    <row r="9046" spans="1:11" s="1011" customFormat="1" ht="15" x14ac:dyDescent="0.25">
      <c r="A9046" s="859">
        <f t="shared" si="154"/>
        <v>9045</v>
      </c>
      <c r="B9046" s="845" t="s">
        <v>2564</v>
      </c>
      <c r="C9046" s="1007">
        <f t="shared" si="153"/>
        <v>18</v>
      </c>
      <c r="D9046" s="1012"/>
      <c r="I9046" s="1011" t="str">
        <f>CONCATENATE("&lt;valeur&gt;",VLOOKUP(C9046,'T16 Amort'!A:K,3,0),"&lt;/valeur&gt;")</f>
        <v>&lt;valeur&gt;&lt;/valeur&gt;</v>
      </c>
      <c r="K9046" s="1013"/>
    </row>
    <row r="9047" spans="1:11" s="1011" customFormat="1" ht="15" x14ac:dyDescent="0.25">
      <c r="A9047" s="859">
        <f t="shared" si="154"/>
        <v>9046</v>
      </c>
      <c r="B9047" s="845" t="s">
        <v>2564</v>
      </c>
      <c r="C9047" s="1007">
        <f t="shared" si="153"/>
        <v>18</v>
      </c>
      <c r="D9047" s="1014"/>
      <c r="I9047" s="1011" t="str">
        <f>CONCATENATE("&lt;numeroLigne&gt;",C9047,"&lt;/numeroLigne&gt;")</f>
        <v>&lt;numeroLigne&gt;18&lt;/numeroLigne&gt;</v>
      </c>
      <c r="K9047" s="1013"/>
    </row>
    <row r="9048" spans="1:11" s="1011" customFormat="1" ht="15" x14ac:dyDescent="0.25">
      <c r="A9048" s="859">
        <f t="shared" si="154"/>
        <v>9047</v>
      </c>
      <c r="B9048" s="845" t="s">
        <v>2564</v>
      </c>
      <c r="C9048" s="1007">
        <f t="shared" si="153"/>
        <v>18</v>
      </c>
      <c r="D9048" s="1014"/>
      <c r="H9048" s="1011" t="s">
        <v>1010</v>
      </c>
      <c r="K9048" s="1013"/>
    </row>
    <row r="9049" spans="1:11" s="1011" customFormat="1" ht="15" x14ac:dyDescent="0.25">
      <c r="A9049" s="859">
        <f t="shared" si="154"/>
        <v>9048</v>
      </c>
      <c r="B9049" s="845" t="s">
        <v>2564</v>
      </c>
      <c r="C9049" s="1007">
        <f t="shared" si="153"/>
        <v>18</v>
      </c>
      <c r="D9049" s="1012"/>
      <c r="H9049" s="1011" t="s">
        <v>1007</v>
      </c>
      <c r="K9049" s="1013"/>
    </row>
    <row r="9050" spans="1:11" s="1011" customFormat="1" ht="15" x14ac:dyDescent="0.25">
      <c r="A9050" s="859">
        <f t="shared" si="154"/>
        <v>9049</v>
      </c>
      <c r="B9050" s="845" t="s">
        <v>2564</v>
      </c>
      <c r="C9050" s="1007">
        <f t="shared" si="153"/>
        <v>18</v>
      </c>
      <c r="D9050" s="1015"/>
      <c r="I9050" s="1011" t="s">
        <v>2176</v>
      </c>
      <c r="K9050" s="1013"/>
    </row>
    <row r="9051" spans="1:11" s="1011" customFormat="1" ht="15" x14ac:dyDescent="0.25">
      <c r="A9051" s="859">
        <f t="shared" si="154"/>
        <v>9050</v>
      </c>
      <c r="B9051" s="845" t="s">
        <v>2564</v>
      </c>
      <c r="C9051" s="1007">
        <f t="shared" si="153"/>
        <v>18</v>
      </c>
      <c r="D9051" s="1012"/>
      <c r="I9051" s="1011" t="str">
        <f>CONCATENATE("&lt;valeur&gt;",VLOOKUP(C9051,'T16 Amort'!A:K,4,0),"&lt;/valeur&gt;")</f>
        <v>&lt;valeur&gt;&lt;/valeur&gt;</v>
      </c>
      <c r="K9051" s="1013"/>
    </row>
    <row r="9052" spans="1:11" s="1011" customFormat="1" ht="15" x14ac:dyDescent="0.25">
      <c r="A9052" s="859">
        <f t="shared" si="154"/>
        <v>9051</v>
      </c>
      <c r="B9052" s="845" t="s">
        <v>2564</v>
      </c>
      <c r="C9052" s="1007">
        <f t="shared" si="153"/>
        <v>18</v>
      </c>
      <c r="D9052" s="1012"/>
      <c r="I9052" s="1011" t="str">
        <f>CONCATENATE("&lt;numeroLigne&gt;",C9052,"&lt;/numeroLigne&gt;")</f>
        <v>&lt;numeroLigne&gt;18&lt;/numeroLigne&gt;</v>
      </c>
      <c r="K9052" s="1013"/>
    </row>
    <row r="9053" spans="1:11" s="1011" customFormat="1" ht="15" x14ac:dyDescent="0.25">
      <c r="A9053" s="859">
        <f t="shared" si="154"/>
        <v>9052</v>
      </c>
      <c r="B9053" s="845" t="s">
        <v>2564</v>
      </c>
      <c r="C9053" s="1007">
        <f t="shared" si="153"/>
        <v>18</v>
      </c>
      <c r="D9053" s="1014"/>
      <c r="H9053" s="1011" t="s">
        <v>1010</v>
      </c>
      <c r="K9053" s="1013"/>
    </row>
    <row r="9054" spans="1:11" s="1011" customFormat="1" ht="15" x14ac:dyDescent="0.25">
      <c r="A9054" s="859">
        <f t="shared" si="154"/>
        <v>9053</v>
      </c>
      <c r="B9054" s="845" t="s">
        <v>2564</v>
      </c>
      <c r="C9054" s="1007">
        <f t="shared" si="153"/>
        <v>18</v>
      </c>
      <c r="D9054" s="1014"/>
      <c r="H9054" s="1011" t="s">
        <v>1007</v>
      </c>
      <c r="K9054" s="1013"/>
    </row>
    <row r="9055" spans="1:11" s="1011" customFormat="1" ht="15" x14ac:dyDescent="0.25">
      <c r="A9055" s="859">
        <f t="shared" si="154"/>
        <v>9054</v>
      </c>
      <c r="B9055" s="845" t="s">
        <v>2564</v>
      </c>
      <c r="C9055" s="1007">
        <f t="shared" si="153"/>
        <v>18</v>
      </c>
      <c r="D9055" s="1012"/>
      <c r="I9055" s="1011" t="s">
        <v>2177</v>
      </c>
      <c r="K9055" s="1013"/>
    </row>
    <row r="9056" spans="1:11" s="1011" customFormat="1" ht="15" x14ac:dyDescent="0.25">
      <c r="A9056" s="859">
        <f t="shared" si="154"/>
        <v>9055</v>
      </c>
      <c r="B9056" s="845" t="s">
        <v>2564</v>
      </c>
      <c r="C9056" s="1007">
        <f t="shared" si="153"/>
        <v>18</v>
      </c>
      <c r="D9056" s="1015"/>
      <c r="I9056" s="1011" t="str">
        <f>CONCATENATE("&lt;valeur&gt;",VLOOKUP(C9056,'T16 Amort'!A:K,5,0),"&lt;/valeur&gt;")</f>
        <v>&lt;valeur&gt;&lt;/valeur&gt;</v>
      </c>
      <c r="K9056" s="1013"/>
    </row>
    <row r="9057" spans="1:11" s="1011" customFormat="1" ht="15" x14ac:dyDescent="0.25">
      <c r="A9057" s="859">
        <f t="shared" si="154"/>
        <v>9056</v>
      </c>
      <c r="B9057" s="845" t="s">
        <v>2564</v>
      </c>
      <c r="C9057" s="1007">
        <f t="shared" si="153"/>
        <v>18</v>
      </c>
      <c r="D9057" s="1012"/>
      <c r="I9057" s="1011" t="str">
        <f>CONCATENATE("&lt;numeroLigne&gt;",C9057,"&lt;/numeroLigne&gt;")</f>
        <v>&lt;numeroLigne&gt;18&lt;/numeroLigne&gt;</v>
      </c>
      <c r="K9057" s="1013"/>
    </row>
    <row r="9058" spans="1:11" s="1011" customFormat="1" ht="15" x14ac:dyDescent="0.25">
      <c r="A9058" s="859">
        <f t="shared" si="154"/>
        <v>9057</v>
      </c>
      <c r="B9058" s="845" t="s">
        <v>2564</v>
      </c>
      <c r="C9058" s="1007">
        <f t="shared" si="153"/>
        <v>18</v>
      </c>
      <c r="D9058" s="1012"/>
      <c r="H9058" s="1011" t="s">
        <v>1010</v>
      </c>
      <c r="K9058" s="1013"/>
    </row>
    <row r="9059" spans="1:11" s="1011" customFormat="1" ht="15" x14ac:dyDescent="0.25">
      <c r="A9059" s="859">
        <f t="shared" si="154"/>
        <v>9058</v>
      </c>
      <c r="B9059" s="845" t="s">
        <v>2564</v>
      </c>
      <c r="C9059" s="1007">
        <f t="shared" si="153"/>
        <v>18</v>
      </c>
      <c r="D9059" s="1014"/>
      <c r="H9059" s="1011" t="s">
        <v>1007</v>
      </c>
      <c r="K9059" s="1013"/>
    </row>
    <row r="9060" spans="1:11" s="1011" customFormat="1" ht="15" x14ac:dyDescent="0.25">
      <c r="A9060" s="859">
        <f t="shared" si="154"/>
        <v>9059</v>
      </c>
      <c r="B9060" s="845" t="s">
        <v>2564</v>
      </c>
      <c r="C9060" s="1007">
        <f t="shared" si="153"/>
        <v>18</v>
      </c>
      <c r="D9060" s="1014"/>
      <c r="I9060" s="1011" t="s">
        <v>2178</v>
      </c>
      <c r="K9060" s="1013"/>
    </row>
    <row r="9061" spans="1:11" s="1011" customFormat="1" ht="15" x14ac:dyDescent="0.25">
      <c r="A9061" s="859">
        <f t="shared" si="154"/>
        <v>9060</v>
      </c>
      <c r="B9061" s="845" t="s">
        <v>2564</v>
      </c>
      <c r="C9061" s="1007">
        <f t="shared" si="153"/>
        <v>18</v>
      </c>
      <c r="D9061" s="1012"/>
      <c r="I9061" s="1011" t="str">
        <f>CONCATENATE("&lt;valeur&gt;",VLOOKUP(C9061,'T16 Amort'!A:K,6,0),"&lt;/valeur&gt;")</f>
        <v>&lt;valeur&gt;&lt;/valeur&gt;</v>
      </c>
      <c r="K9061" s="1013"/>
    </row>
    <row r="9062" spans="1:11" s="1011" customFormat="1" ht="15" x14ac:dyDescent="0.25">
      <c r="A9062" s="859">
        <f t="shared" si="154"/>
        <v>9061</v>
      </c>
      <c r="B9062" s="845" t="s">
        <v>2564</v>
      </c>
      <c r="C9062" s="1007">
        <f t="shared" si="153"/>
        <v>18</v>
      </c>
      <c r="D9062" s="1015"/>
      <c r="I9062" s="1011" t="str">
        <f>CONCATENATE("&lt;numeroLigne&gt;",C9062,"&lt;/numeroLigne&gt;")</f>
        <v>&lt;numeroLigne&gt;18&lt;/numeroLigne&gt;</v>
      </c>
      <c r="K9062" s="1013"/>
    </row>
    <row r="9063" spans="1:11" s="1011" customFormat="1" ht="15" x14ac:dyDescent="0.25">
      <c r="A9063" s="859">
        <f t="shared" si="154"/>
        <v>9062</v>
      </c>
      <c r="B9063" s="845" t="s">
        <v>2564</v>
      </c>
      <c r="C9063" s="1007">
        <f t="shared" si="153"/>
        <v>18</v>
      </c>
      <c r="D9063" s="1012"/>
      <c r="H9063" s="1011" t="s">
        <v>1010</v>
      </c>
      <c r="K9063" s="1013"/>
    </row>
    <row r="9064" spans="1:11" s="1011" customFormat="1" ht="15" x14ac:dyDescent="0.25">
      <c r="A9064" s="859">
        <f t="shared" si="154"/>
        <v>9063</v>
      </c>
      <c r="B9064" s="845" t="s">
        <v>2564</v>
      </c>
      <c r="C9064" s="1007">
        <f t="shared" si="153"/>
        <v>18</v>
      </c>
      <c r="D9064" s="1012"/>
      <c r="H9064" s="1011" t="s">
        <v>1007</v>
      </c>
      <c r="K9064" s="1013"/>
    </row>
    <row r="9065" spans="1:11" s="1011" customFormat="1" ht="15" x14ac:dyDescent="0.25">
      <c r="A9065" s="859">
        <f t="shared" si="154"/>
        <v>9064</v>
      </c>
      <c r="B9065" s="845" t="s">
        <v>2564</v>
      </c>
      <c r="C9065" s="1007">
        <f t="shared" si="153"/>
        <v>18</v>
      </c>
      <c r="D9065" s="1014"/>
      <c r="I9065" s="1011" t="s">
        <v>2179</v>
      </c>
      <c r="K9065" s="1013"/>
    </row>
    <row r="9066" spans="1:11" s="1011" customFormat="1" ht="15" x14ac:dyDescent="0.25">
      <c r="A9066" s="859">
        <f t="shared" si="154"/>
        <v>9065</v>
      </c>
      <c r="B9066" s="845" t="s">
        <v>2564</v>
      </c>
      <c r="C9066" s="1007">
        <f t="shared" si="153"/>
        <v>18</v>
      </c>
      <c r="D9066" s="1014"/>
      <c r="I9066" s="1011" t="str">
        <f>CONCATENATE("&lt;valeur&gt;",VLOOKUP(C9066,'T16 Amort'!A:K,7,0),"&lt;/valeur&gt;")</f>
        <v>&lt;valeur&gt;&lt;/valeur&gt;</v>
      </c>
      <c r="K9066" s="1013"/>
    </row>
    <row r="9067" spans="1:11" s="1011" customFormat="1" ht="15" x14ac:dyDescent="0.25">
      <c r="A9067" s="859">
        <f t="shared" si="154"/>
        <v>9066</v>
      </c>
      <c r="B9067" s="845" t="s">
        <v>2564</v>
      </c>
      <c r="C9067" s="1007">
        <f t="shared" si="153"/>
        <v>18</v>
      </c>
      <c r="D9067" s="1012"/>
      <c r="I9067" s="1011" t="str">
        <f>CONCATENATE("&lt;numeroLigne&gt;",C9067,"&lt;/numeroLigne&gt;")</f>
        <v>&lt;numeroLigne&gt;18&lt;/numeroLigne&gt;</v>
      </c>
      <c r="K9067" s="1013"/>
    </row>
    <row r="9068" spans="1:11" s="1011" customFormat="1" ht="15" x14ac:dyDescent="0.25">
      <c r="A9068" s="859">
        <f t="shared" si="154"/>
        <v>9067</v>
      </c>
      <c r="B9068" s="845" t="s">
        <v>2564</v>
      </c>
      <c r="C9068" s="1007">
        <f t="shared" si="153"/>
        <v>18</v>
      </c>
      <c r="D9068" s="1015"/>
      <c r="H9068" s="1011" t="s">
        <v>1010</v>
      </c>
      <c r="K9068" s="1013"/>
    </row>
    <row r="9069" spans="1:11" s="1011" customFormat="1" ht="15" x14ac:dyDescent="0.25">
      <c r="A9069" s="859">
        <f t="shared" si="154"/>
        <v>9068</v>
      </c>
      <c r="B9069" s="845" t="s">
        <v>2564</v>
      </c>
      <c r="C9069" s="1007">
        <f t="shared" si="153"/>
        <v>18</v>
      </c>
      <c r="D9069" s="1012"/>
      <c r="H9069" s="1011" t="s">
        <v>1007</v>
      </c>
      <c r="K9069" s="1013"/>
    </row>
    <row r="9070" spans="1:11" s="1011" customFormat="1" ht="15" x14ac:dyDescent="0.25">
      <c r="A9070" s="859">
        <f t="shared" si="154"/>
        <v>9069</v>
      </c>
      <c r="B9070" s="845" t="s">
        <v>2564</v>
      </c>
      <c r="C9070" s="1007">
        <f t="shared" si="153"/>
        <v>18</v>
      </c>
      <c r="D9070" s="1012"/>
      <c r="I9070" s="1011" t="s">
        <v>2180</v>
      </c>
      <c r="K9070" s="1013"/>
    </row>
    <row r="9071" spans="1:11" s="1011" customFormat="1" ht="15" x14ac:dyDescent="0.25">
      <c r="A9071" s="859">
        <f t="shared" si="154"/>
        <v>9070</v>
      </c>
      <c r="B9071" s="845" t="s">
        <v>2564</v>
      </c>
      <c r="C9071" s="1007">
        <f t="shared" ref="C9071:C9134" si="155">C9021+1</f>
        <v>18</v>
      </c>
      <c r="D9071" s="1014"/>
      <c r="I9071" s="1011" t="str">
        <f>CONCATENATE("&lt;valeur&gt;",VLOOKUP(C9071,'T16 Amort'!A:K,8,0),"&lt;/valeur&gt;")</f>
        <v>&lt;valeur&gt;&lt;/valeur&gt;</v>
      </c>
      <c r="K9071" s="1013"/>
    </row>
    <row r="9072" spans="1:11" s="1011" customFormat="1" ht="15" x14ac:dyDescent="0.25">
      <c r="A9072" s="859">
        <f t="shared" si="154"/>
        <v>9071</v>
      </c>
      <c r="B9072" s="845" t="s">
        <v>2564</v>
      </c>
      <c r="C9072" s="1007">
        <f t="shared" si="155"/>
        <v>18</v>
      </c>
      <c r="D9072" s="1014"/>
      <c r="I9072" s="1011" t="str">
        <f>CONCATENATE("&lt;numeroLigne&gt;",C9072,"&lt;/numeroLigne&gt;")</f>
        <v>&lt;numeroLigne&gt;18&lt;/numeroLigne&gt;</v>
      </c>
      <c r="K9072" s="1013"/>
    </row>
    <row r="9073" spans="1:11" s="1011" customFormat="1" ht="15" x14ac:dyDescent="0.25">
      <c r="A9073" s="859">
        <f t="shared" si="154"/>
        <v>9072</v>
      </c>
      <c r="B9073" s="845" t="s">
        <v>2564</v>
      </c>
      <c r="C9073" s="1007">
        <f t="shared" si="155"/>
        <v>18</v>
      </c>
      <c r="D9073" s="1012"/>
      <c r="H9073" s="1011" t="s">
        <v>1010</v>
      </c>
      <c r="K9073" s="1013"/>
    </row>
    <row r="9074" spans="1:11" s="1011" customFormat="1" ht="15" x14ac:dyDescent="0.25">
      <c r="A9074" s="859">
        <f t="shared" si="154"/>
        <v>9073</v>
      </c>
      <c r="B9074" s="845" t="s">
        <v>2564</v>
      </c>
      <c r="C9074" s="1007">
        <f t="shared" si="155"/>
        <v>18</v>
      </c>
      <c r="D9074" s="1015"/>
      <c r="H9074" s="1011" t="s">
        <v>1007</v>
      </c>
      <c r="K9074" s="1013"/>
    </row>
    <row r="9075" spans="1:11" s="1011" customFormat="1" ht="15" x14ac:dyDescent="0.25">
      <c r="A9075" s="859">
        <f t="shared" si="154"/>
        <v>9074</v>
      </c>
      <c r="B9075" s="845" t="s">
        <v>2564</v>
      </c>
      <c r="C9075" s="1007">
        <f t="shared" si="155"/>
        <v>18</v>
      </c>
      <c r="D9075" s="1012"/>
      <c r="I9075" s="1011" t="s">
        <v>2181</v>
      </c>
      <c r="K9075" s="1013"/>
    </row>
    <row r="9076" spans="1:11" s="1011" customFormat="1" ht="15" x14ac:dyDescent="0.25">
      <c r="A9076" s="859">
        <f t="shared" si="154"/>
        <v>9075</v>
      </c>
      <c r="B9076" s="845" t="s">
        <v>2564</v>
      </c>
      <c r="C9076" s="1007">
        <f t="shared" si="155"/>
        <v>18</v>
      </c>
      <c r="D9076" s="1012"/>
      <c r="I9076" s="1011" t="str">
        <f>CONCATENATE("&lt;valeur&gt;",VLOOKUP(C9076,'T16 Amort'!A:K,9,0),"&lt;/valeur&gt;")</f>
        <v>&lt;valeur&gt;&lt;/valeur&gt;</v>
      </c>
      <c r="K9076" s="1013"/>
    </row>
    <row r="9077" spans="1:11" s="1011" customFormat="1" ht="15" x14ac:dyDescent="0.25">
      <c r="A9077" s="859">
        <f t="shared" si="154"/>
        <v>9076</v>
      </c>
      <c r="B9077" s="845" t="s">
        <v>2564</v>
      </c>
      <c r="C9077" s="1007">
        <f t="shared" si="155"/>
        <v>18</v>
      </c>
      <c r="D9077" s="1014"/>
      <c r="I9077" s="1011" t="str">
        <f>CONCATENATE("&lt;numeroLigne&gt;",C9077,"&lt;/numeroLigne&gt;")</f>
        <v>&lt;numeroLigne&gt;18&lt;/numeroLigne&gt;</v>
      </c>
      <c r="K9077" s="1013"/>
    </row>
    <row r="9078" spans="1:11" s="1011" customFormat="1" ht="15" x14ac:dyDescent="0.25">
      <c r="A9078" s="859">
        <f t="shared" si="154"/>
        <v>9077</v>
      </c>
      <c r="B9078" s="845" t="s">
        <v>2564</v>
      </c>
      <c r="C9078" s="1007">
        <f t="shared" si="155"/>
        <v>18</v>
      </c>
      <c r="D9078" s="1014"/>
      <c r="H9078" s="1011" t="s">
        <v>1010</v>
      </c>
      <c r="K9078" s="1013"/>
    </row>
    <row r="9079" spans="1:11" s="1011" customFormat="1" ht="15" x14ac:dyDescent="0.25">
      <c r="A9079" s="859">
        <f t="shared" si="154"/>
        <v>9078</v>
      </c>
      <c r="B9079" s="845" t="s">
        <v>2564</v>
      </c>
      <c r="C9079" s="1007">
        <f t="shared" si="155"/>
        <v>18</v>
      </c>
      <c r="D9079" s="1012"/>
      <c r="H9079" s="1011" t="s">
        <v>1007</v>
      </c>
      <c r="K9079" s="1013"/>
    </row>
    <row r="9080" spans="1:11" s="1011" customFormat="1" ht="15" x14ac:dyDescent="0.25">
      <c r="A9080" s="859">
        <f t="shared" si="154"/>
        <v>9079</v>
      </c>
      <c r="B9080" s="845" t="s">
        <v>2564</v>
      </c>
      <c r="C9080" s="1007">
        <f t="shared" si="155"/>
        <v>18</v>
      </c>
      <c r="D9080" s="1015"/>
      <c r="I9080" s="1011" t="s">
        <v>2182</v>
      </c>
      <c r="K9080" s="1013"/>
    </row>
    <row r="9081" spans="1:11" s="1011" customFormat="1" ht="15" x14ac:dyDescent="0.25">
      <c r="A9081" s="859">
        <f t="shared" si="154"/>
        <v>9080</v>
      </c>
      <c r="B9081" s="845" t="s">
        <v>2564</v>
      </c>
      <c r="C9081" s="1007">
        <f t="shared" si="155"/>
        <v>18</v>
      </c>
      <c r="D9081" s="1012"/>
      <c r="I9081" s="1011" t="str">
        <f>CONCATENATE("&lt;valeur&gt;",VLOOKUP(C9081,'T16 Amort'!A:K,10,0),"&lt;/valeur&gt;")</f>
        <v>&lt;valeur&gt;&lt;/valeur&gt;</v>
      </c>
      <c r="K9081" s="1013"/>
    </row>
    <row r="9082" spans="1:11" s="1011" customFormat="1" ht="15" x14ac:dyDescent="0.25">
      <c r="A9082" s="859">
        <f t="shared" si="154"/>
        <v>9081</v>
      </c>
      <c r="B9082" s="845" t="s">
        <v>2564</v>
      </c>
      <c r="C9082" s="1007">
        <f t="shared" si="155"/>
        <v>18</v>
      </c>
      <c r="D9082" s="1012"/>
      <c r="I9082" s="1011" t="str">
        <f>CONCATENATE("&lt;numeroLigne&gt;",C9082,"&lt;/numeroLigne&gt;")</f>
        <v>&lt;numeroLigne&gt;18&lt;/numeroLigne&gt;</v>
      </c>
      <c r="K9082" s="1013"/>
    </row>
    <row r="9083" spans="1:11" s="1011" customFormat="1" ht="15" x14ac:dyDescent="0.25">
      <c r="A9083" s="859">
        <f t="shared" si="154"/>
        <v>9082</v>
      </c>
      <c r="B9083" s="845" t="s">
        <v>2564</v>
      </c>
      <c r="C9083" s="1007">
        <f t="shared" si="155"/>
        <v>18</v>
      </c>
      <c r="D9083" s="1014"/>
      <c r="H9083" s="1011" t="s">
        <v>1010</v>
      </c>
      <c r="K9083" s="1013"/>
    </row>
    <row r="9084" spans="1:11" s="1011" customFormat="1" ht="15" x14ac:dyDescent="0.25">
      <c r="A9084" s="859">
        <f t="shared" si="154"/>
        <v>9083</v>
      </c>
      <c r="B9084" s="845" t="s">
        <v>2564</v>
      </c>
      <c r="C9084" s="1007">
        <f t="shared" si="155"/>
        <v>18</v>
      </c>
      <c r="D9084" s="1014"/>
      <c r="H9084" s="1011" t="s">
        <v>1007</v>
      </c>
      <c r="K9084" s="1013"/>
    </row>
    <row r="9085" spans="1:11" s="1011" customFormat="1" ht="15" x14ac:dyDescent="0.25">
      <c r="A9085" s="859">
        <f t="shared" si="154"/>
        <v>9084</v>
      </c>
      <c r="B9085" s="845" t="s">
        <v>2564</v>
      </c>
      <c r="C9085" s="1007">
        <f t="shared" si="155"/>
        <v>18</v>
      </c>
      <c r="D9085" s="1012"/>
      <c r="I9085" s="1011" t="s">
        <v>2183</v>
      </c>
      <c r="K9085" s="1013"/>
    </row>
    <row r="9086" spans="1:11" s="1011" customFormat="1" ht="15" x14ac:dyDescent="0.25">
      <c r="A9086" s="859">
        <f t="shared" si="154"/>
        <v>9085</v>
      </c>
      <c r="B9086" s="845" t="s">
        <v>2564</v>
      </c>
      <c r="C9086" s="1007">
        <f t="shared" si="155"/>
        <v>18</v>
      </c>
      <c r="D9086" s="1015"/>
      <c r="I9086" s="1011" t="str">
        <f>CONCATENATE("&lt;valeur&gt;",VLOOKUP(C9086,'T16 Amort'!A:K,11,0),"&lt;/valeur&gt;")</f>
        <v>&lt;valeur&gt;&lt;/valeur&gt;</v>
      </c>
      <c r="K9086" s="1013"/>
    </row>
    <row r="9087" spans="1:11" s="1011" customFormat="1" ht="15" x14ac:dyDescent="0.25">
      <c r="A9087" s="859">
        <f t="shared" si="154"/>
        <v>9086</v>
      </c>
      <c r="B9087" s="845" t="s">
        <v>2564</v>
      </c>
      <c r="C9087" s="1007">
        <f t="shared" si="155"/>
        <v>18</v>
      </c>
      <c r="D9087" s="1012"/>
      <c r="I9087" s="1011" t="str">
        <f>CONCATENATE("&lt;numeroLigne&gt;",C9087,"&lt;/numeroLigne&gt;")</f>
        <v>&lt;numeroLigne&gt;18&lt;/numeroLigne&gt;</v>
      </c>
      <c r="K9087" s="1013"/>
    </row>
    <row r="9088" spans="1:11" s="1011" customFormat="1" ht="15" x14ac:dyDescent="0.25">
      <c r="A9088" s="859">
        <f t="shared" si="154"/>
        <v>9087</v>
      </c>
      <c r="B9088" s="845" t="s">
        <v>2564</v>
      </c>
      <c r="C9088" s="1007">
        <f t="shared" si="155"/>
        <v>18</v>
      </c>
      <c r="D9088" s="1016"/>
      <c r="E9088" s="1017"/>
      <c r="F9088" s="1017"/>
      <c r="G9088" s="1017"/>
      <c r="H9088" s="1017" t="s">
        <v>1010</v>
      </c>
      <c r="I9088" s="1017"/>
      <c r="J9088" s="1017"/>
      <c r="K9088" s="1018"/>
    </row>
    <row r="9089" spans="1:11" s="1011" customFormat="1" ht="15" x14ac:dyDescent="0.25">
      <c r="A9089" s="859">
        <f t="shared" si="154"/>
        <v>9088</v>
      </c>
      <c r="B9089" s="845" t="s">
        <v>2564</v>
      </c>
      <c r="C9089" s="1007">
        <f t="shared" si="155"/>
        <v>19</v>
      </c>
      <c r="D9089" s="1008"/>
      <c r="E9089" s="1009"/>
      <c r="F9089" s="1009"/>
      <c r="G9089" s="1009"/>
      <c r="H9089" s="1009" t="s">
        <v>1007</v>
      </c>
      <c r="I9089" s="1009"/>
      <c r="J9089" s="1009"/>
      <c r="K9089" s="1010"/>
    </row>
    <row r="9090" spans="1:11" s="1011" customFormat="1" ht="15" x14ac:dyDescent="0.25">
      <c r="A9090" s="859">
        <f t="shared" si="154"/>
        <v>9089</v>
      </c>
      <c r="B9090" s="845" t="s">
        <v>2564</v>
      </c>
      <c r="C9090" s="1007">
        <f t="shared" si="155"/>
        <v>19</v>
      </c>
      <c r="D9090" s="1012"/>
      <c r="I9090" s="1011" t="s">
        <v>2174</v>
      </c>
      <c r="K9090" s="1013"/>
    </row>
    <row r="9091" spans="1:11" s="1011" customFormat="1" ht="15" x14ac:dyDescent="0.25">
      <c r="A9091" s="859">
        <f t="shared" si="154"/>
        <v>9090</v>
      </c>
      <c r="B9091" s="845" t="s">
        <v>2564</v>
      </c>
      <c r="C9091" s="1007">
        <f t="shared" si="155"/>
        <v>19</v>
      </c>
      <c r="D9091" s="1014"/>
      <c r="I9091" s="1011" t="str">
        <f>CONCATENATE("&lt;valeur&gt;",VLOOKUP(C9091,'T16 Amort'!A:K,2,0),"&lt;/valeur&gt;")</f>
        <v>&lt;valeur&gt;&lt;/valeur&gt;</v>
      </c>
      <c r="K9091" s="1013"/>
    </row>
    <row r="9092" spans="1:11" s="1011" customFormat="1" ht="15" x14ac:dyDescent="0.25">
      <c r="A9092" s="859">
        <f t="shared" ref="A9092:A9155" si="156">+A9091+1</f>
        <v>9091</v>
      </c>
      <c r="B9092" s="845" t="s">
        <v>2564</v>
      </c>
      <c r="C9092" s="1007">
        <f t="shared" si="155"/>
        <v>19</v>
      </c>
      <c r="D9092" s="1014"/>
      <c r="I9092" s="1011" t="str">
        <f>CONCATENATE("&lt;numeroLigne&gt;",C9092,"&lt;/numeroLigne&gt;")</f>
        <v>&lt;numeroLigne&gt;19&lt;/numeroLigne&gt;</v>
      </c>
      <c r="K9092" s="1013"/>
    </row>
    <row r="9093" spans="1:11" s="1011" customFormat="1" ht="15" x14ac:dyDescent="0.25">
      <c r="A9093" s="859">
        <f t="shared" si="156"/>
        <v>9092</v>
      </c>
      <c r="B9093" s="845" t="s">
        <v>2564</v>
      </c>
      <c r="C9093" s="1007">
        <f t="shared" si="155"/>
        <v>19</v>
      </c>
      <c r="D9093" s="1012"/>
      <c r="H9093" s="1011" t="s">
        <v>1010</v>
      </c>
      <c r="K9093" s="1013"/>
    </row>
    <row r="9094" spans="1:11" s="1011" customFormat="1" ht="15" x14ac:dyDescent="0.25">
      <c r="A9094" s="859">
        <f t="shared" si="156"/>
        <v>9093</v>
      </c>
      <c r="B9094" s="845" t="s">
        <v>2564</v>
      </c>
      <c r="C9094" s="1007">
        <f t="shared" si="155"/>
        <v>19</v>
      </c>
      <c r="D9094" s="1015"/>
      <c r="H9094" s="1011" t="s">
        <v>1007</v>
      </c>
      <c r="K9094" s="1013"/>
    </row>
    <row r="9095" spans="1:11" s="1011" customFormat="1" ht="15" x14ac:dyDescent="0.25">
      <c r="A9095" s="859">
        <f t="shared" si="156"/>
        <v>9094</v>
      </c>
      <c r="B9095" s="845" t="s">
        <v>2564</v>
      </c>
      <c r="C9095" s="1007">
        <f t="shared" si="155"/>
        <v>19</v>
      </c>
      <c r="D9095" s="1012"/>
      <c r="I9095" s="1011" t="s">
        <v>2175</v>
      </c>
      <c r="K9095" s="1013"/>
    </row>
    <row r="9096" spans="1:11" s="1011" customFormat="1" ht="15" x14ac:dyDescent="0.25">
      <c r="A9096" s="859">
        <f t="shared" si="156"/>
        <v>9095</v>
      </c>
      <c r="B9096" s="845" t="s">
        <v>2564</v>
      </c>
      <c r="C9096" s="1007">
        <f t="shared" si="155"/>
        <v>19</v>
      </c>
      <c r="D9096" s="1012"/>
      <c r="I9096" s="1011" t="str">
        <f>CONCATENATE("&lt;valeur&gt;",VLOOKUP(C9096,'T16 Amort'!A:K,3,0),"&lt;/valeur&gt;")</f>
        <v>&lt;valeur&gt;&lt;/valeur&gt;</v>
      </c>
      <c r="K9096" s="1013"/>
    </row>
    <row r="9097" spans="1:11" s="1011" customFormat="1" ht="15" x14ac:dyDescent="0.25">
      <c r="A9097" s="859">
        <f t="shared" si="156"/>
        <v>9096</v>
      </c>
      <c r="B9097" s="845" t="s">
        <v>2564</v>
      </c>
      <c r="C9097" s="1007">
        <f t="shared" si="155"/>
        <v>19</v>
      </c>
      <c r="D9097" s="1014"/>
      <c r="I9097" s="1011" t="str">
        <f>CONCATENATE("&lt;numeroLigne&gt;",C9097,"&lt;/numeroLigne&gt;")</f>
        <v>&lt;numeroLigne&gt;19&lt;/numeroLigne&gt;</v>
      </c>
      <c r="K9097" s="1013"/>
    </row>
    <row r="9098" spans="1:11" s="1011" customFormat="1" ht="15" x14ac:dyDescent="0.25">
      <c r="A9098" s="859">
        <f t="shared" si="156"/>
        <v>9097</v>
      </c>
      <c r="B9098" s="845" t="s">
        <v>2564</v>
      </c>
      <c r="C9098" s="1007">
        <f t="shared" si="155"/>
        <v>19</v>
      </c>
      <c r="D9098" s="1014"/>
      <c r="H9098" s="1011" t="s">
        <v>1010</v>
      </c>
      <c r="K9098" s="1013"/>
    </row>
    <row r="9099" spans="1:11" s="1011" customFormat="1" ht="15" x14ac:dyDescent="0.25">
      <c r="A9099" s="859">
        <f t="shared" si="156"/>
        <v>9098</v>
      </c>
      <c r="B9099" s="845" t="s">
        <v>2564</v>
      </c>
      <c r="C9099" s="1007">
        <f t="shared" si="155"/>
        <v>19</v>
      </c>
      <c r="D9099" s="1012"/>
      <c r="H9099" s="1011" t="s">
        <v>1007</v>
      </c>
      <c r="K9099" s="1013"/>
    </row>
    <row r="9100" spans="1:11" s="1011" customFormat="1" ht="15" x14ac:dyDescent="0.25">
      <c r="A9100" s="859">
        <f t="shared" si="156"/>
        <v>9099</v>
      </c>
      <c r="B9100" s="845" t="s">
        <v>2564</v>
      </c>
      <c r="C9100" s="1007">
        <f t="shared" si="155"/>
        <v>19</v>
      </c>
      <c r="D9100" s="1015"/>
      <c r="I9100" s="1011" t="s">
        <v>2176</v>
      </c>
      <c r="K9100" s="1013"/>
    </row>
    <row r="9101" spans="1:11" s="1011" customFormat="1" ht="15" x14ac:dyDescent="0.25">
      <c r="A9101" s="859">
        <f t="shared" si="156"/>
        <v>9100</v>
      </c>
      <c r="B9101" s="845" t="s">
        <v>2564</v>
      </c>
      <c r="C9101" s="1007">
        <f t="shared" si="155"/>
        <v>19</v>
      </c>
      <c r="D9101" s="1012"/>
      <c r="I9101" s="1011" t="str">
        <f>CONCATENATE("&lt;valeur&gt;",VLOOKUP(C9101,'T16 Amort'!A:K,4,0),"&lt;/valeur&gt;")</f>
        <v>&lt;valeur&gt;&lt;/valeur&gt;</v>
      </c>
      <c r="K9101" s="1013"/>
    </row>
    <row r="9102" spans="1:11" s="1011" customFormat="1" ht="15" x14ac:dyDescent="0.25">
      <c r="A9102" s="859">
        <f t="shared" si="156"/>
        <v>9101</v>
      </c>
      <c r="B9102" s="845" t="s">
        <v>2564</v>
      </c>
      <c r="C9102" s="1007">
        <f t="shared" si="155"/>
        <v>19</v>
      </c>
      <c r="D9102" s="1012"/>
      <c r="I9102" s="1011" t="str">
        <f>CONCATENATE("&lt;numeroLigne&gt;",C9102,"&lt;/numeroLigne&gt;")</f>
        <v>&lt;numeroLigne&gt;19&lt;/numeroLigne&gt;</v>
      </c>
      <c r="K9102" s="1013"/>
    </row>
    <row r="9103" spans="1:11" s="1011" customFormat="1" ht="15" x14ac:dyDescent="0.25">
      <c r="A9103" s="859">
        <f t="shared" si="156"/>
        <v>9102</v>
      </c>
      <c r="B9103" s="845" t="s">
        <v>2564</v>
      </c>
      <c r="C9103" s="1007">
        <f t="shared" si="155"/>
        <v>19</v>
      </c>
      <c r="D9103" s="1014"/>
      <c r="H9103" s="1011" t="s">
        <v>1010</v>
      </c>
      <c r="K9103" s="1013"/>
    </row>
    <row r="9104" spans="1:11" s="1011" customFormat="1" ht="15" x14ac:dyDescent="0.25">
      <c r="A9104" s="859">
        <f t="shared" si="156"/>
        <v>9103</v>
      </c>
      <c r="B9104" s="845" t="s">
        <v>2564</v>
      </c>
      <c r="C9104" s="1007">
        <f t="shared" si="155"/>
        <v>19</v>
      </c>
      <c r="D9104" s="1014"/>
      <c r="H9104" s="1011" t="s">
        <v>1007</v>
      </c>
      <c r="K9104" s="1013"/>
    </row>
    <row r="9105" spans="1:11" s="1011" customFormat="1" ht="15" x14ac:dyDescent="0.25">
      <c r="A9105" s="859">
        <f t="shared" si="156"/>
        <v>9104</v>
      </c>
      <c r="B9105" s="845" t="s">
        <v>2564</v>
      </c>
      <c r="C9105" s="1007">
        <f t="shared" si="155"/>
        <v>19</v>
      </c>
      <c r="D9105" s="1012"/>
      <c r="I9105" s="1011" t="s">
        <v>2177</v>
      </c>
      <c r="K9105" s="1013"/>
    </row>
    <row r="9106" spans="1:11" s="1011" customFormat="1" ht="15" x14ac:dyDescent="0.25">
      <c r="A9106" s="859">
        <f t="shared" si="156"/>
        <v>9105</v>
      </c>
      <c r="B9106" s="845" t="s">
        <v>2564</v>
      </c>
      <c r="C9106" s="1007">
        <f t="shared" si="155"/>
        <v>19</v>
      </c>
      <c r="D9106" s="1015"/>
      <c r="I9106" s="1011" t="str">
        <f>CONCATENATE("&lt;valeur&gt;",VLOOKUP(C9106,'T16 Amort'!A:K,5,0),"&lt;/valeur&gt;")</f>
        <v>&lt;valeur&gt;&lt;/valeur&gt;</v>
      </c>
      <c r="K9106" s="1013"/>
    </row>
    <row r="9107" spans="1:11" s="1011" customFormat="1" ht="15" x14ac:dyDescent="0.25">
      <c r="A9107" s="859">
        <f t="shared" si="156"/>
        <v>9106</v>
      </c>
      <c r="B9107" s="845" t="s">
        <v>2564</v>
      </c>
      <c r="C9107" s="1007">
        <f t="shared" si="155"/>
        <v>19</v>
      </c>
      <c r="D9107" s="1012"/>
      <c r="I9107" s="1011" t="str">
        <f>CONCATENATE("&lt;numeroLigne&gt;",C9107,"&lt;/numeroLigne&gt;")</f>
        <v>&lt;numeroLigne&gt;19&lt;/numeroLigne&gt;</v>
      </c>
      <c r="K9107" s="1013"/>
    </row>
    <row r="9108" spans="1:11" s="1011" customFormat="1" ht="15" x14ac:dyDescent="0.25">
      <c r="A9108" s="859">
        <f t="shared" si="156"/>
        <v>9107</v>
      </c>
      <c r="B9108" s="845" t="s">
        <v>2564</v>
      </c>
      <c r="C9108" s="1007">
        <f t="shared" si="155"/>
        <v>19</v>
      </c>
      <c r="D9108" s="1012"/>
      <c r="H9108" s="1011" t="s">
        <v>1010</v>
      </c>
      <c r="K9108" s="1013"/>
    </row>
    <row r="9109" spans="1:11" s="1011" customFormat="1" ht="15" x14ac:dyDescent="0.25">
      <c r="A9109" s="859">
        <f t="shared" si="156"/>
        <v>9108</v>
      </c>
      <c r="B9109" s="845" t="s">
        <v>2564</v>
      </c>
      <c r="C9109" s="1007">
        <f t="shared" si="155"/>
        <v>19</v>
      </c>
      <c r="D9109" s="1014"/>
      <c r="H9109" s="1011" t="s">
        <v>1007</v>
      </c>
      <c r="K9109" s="1013"/>
    </row>
    <row r="9110" spans="1:11" s="1011" customFormat="1" ht="15" x14ac:dyDescent="0.25">
      <c r="A9110" s="859">
        <f t="shared" si="156"/>
        <v>9109</v>
      </c>
      <c r="B9110" s="845" t="s">
        <v>2564</v>
      </c>
      <c r="C9110" s="1007">
        <f t="shared" si="155"/>
        <v>19</v>
      </c>
      <c r="D9110" s="1014"/>
      <c r="I9110" s="1011" t="s">
        <v>2178</v>
      </c>
      <c r="K9110" s="1013"/>
    </row>
    <row r="9111" spans="1:11" s="1011" customFormat="1" ht="15" x14ac:dyDescent="0.25">
      <c r="A9111" s="859">
        <f t="shared" si="156"/>
        <v>9110</v>
      </c>
      <c r="B9111" s="845" t="s">
        <v>2564</v>
      </c>
      <c r="C9111" s="1007">
        <f t="shared" si="155"/>
        <v>19</v>
      </c>
      <c r="D9111" s="1012"/>
      <c r="I9111" s="1011" t="str">
        <f>CONCATENATE("&lt;valeur&gt;",VLOOKUP(C9111,'T16 Amort'!A:K,6,0),"&lt;/valeur&gt;")</f>
        <v>&lt;valeur&gt;&lt;/valeur&gt;</v>
      </c>
      <c r="K9111" s="1013"/>
    </row>
    <row r="9112" spans="1:11" s="1011" customFormat="1" ht="15" x14ac:dyDescent="0.25">
      <c r="A9112" s="859">
        <f t="shared" si="156"/>
        <v>9111</v>
      </c>
      <c r="B9112" s="845" t="s">
        <v>2564</v>
      </c>
      <c r="C9112" s="1007">
        <f t="shared" si="155"/>
        <v>19</v>
      </c>
      <c r="D9112" s="1015"/>
      <c r="I9112" s="1011" t="str">
        <f>CONCATENATE("&lt;numeroLigne&gt;",C9112,"&lt;/numeroLigne&gt;")</f>
        <v>&lt;numeroLigne&gt;19&lt;/numeroLigne&gt;</v>
      </c>
      <c r="K9112" s="1013"/>
    </row>
    <row r="9113" spans="1:11" s="1011" customFormat="1" ht="15" x14ac:dyDescent="0.25">
      <c r="A9113" s="859">
        <f t="shared" si="156"/>
        <v>9112</v>
      </c>
      <c r="B9113" s="845" t="s">
        <v>2564</v>
      </c>
      <c r="C9113" s="1007">
        <f t="shared" si="155"/>
        <v>19</v>
      </c>
      <c r="D9113" s="1012"/>
      <c r="H9113" s="1011" t="s">
        <v>1010</v>
      </c>
      <c r="K9113" s="1013"/>
    </row>
    <row r="9114" spans="1:11" s="1011" customFormat="1" ht="15" x14ac:dyDescent="0.25">
      <c r="A9114" s="859">
        <f t="shared" si="156"/>
        <v>9113</v>
      </c>
      <c r="B9114" s="845" t="s">
        <v>2564</v>
      </c>
      <c r="C9114" s="1007">
        <f t="shared" si="155"/>
        <v>19</v>
      </c>
      <c r="D9114" s="1012"/>
      <c r="H9114" s="1011" t="s">
        <v>1007</v>
      </c>
      <c r="K9114" s="1013"/>
    </row>
    <row r="9115" spans="1:11" s="1011" customFormat="1" ht="15" x14ac:dyDescent="0.25">
      <c r="A9115" s="859">
        <f t="shared" si="156"/>
        <v>9114</v>
      </c>
      <c r="B9115" s="845" t="s">
        <v>2564</v>
      </c>
      <c r="C9115" s="1007">
        <f t="shared" si="155"/>
        <v>19</v>
      </c>
      <c r="D9115" s="1014"/>
      <c r="I9115" s="1011" t="s">
        <v>2179</v>
      </c>
      <c r="K9115" s="1013"/>
    </row>
    <row r="9116" spans="1:11" s="1011" customFormat="1" ht="15" x14ac:dyDescent="0.25">
      <c r="A9116" s="859">
        <f t="shared" si="156"/>
        <v>9115</v>
      </c>
      <c r="B9116" s="845" t="s">
        <v>2564</v>
      </c>
      <c r="C9116" s="1007">
        <f t="shared" si="155"/>
        <v>19</v>
      </c>
      <c r="D9116" s="1014"/>
      <c r="I9116" s="1011" t="str">
        <f>CONCATENATE("&lt;valeur&gt;",VLOOKUP(C9116,'T16 Amort'!A:K,7,0),"&lt;/valeur&gt;")</f>
        <v>&lt;valeur&gt;&lt;/valeur&gt;</v>
      </c>
      <c r="K9116" s="1013"/>
    </row>
    <row r="9117" spans="1:11" s="1011" customFormat="1" ht="15" x14ac:dyDescent="0.25">
      <c r="A9117" s="859">
        <f t="shared" si="156"/>
        <v>9116</v>
      </c>
      <c r="B9117" s="845" t="s">
        <v>2564</v>
      </c>
      <c r="C9117" s="1007">
        <f t="shared" si="155"/>
        <v>19</v>
      </c>
      <c r="D9117" s="1012"/>
      <c r="I9117" s="1011" t="str">
        <f>CONCATENATE("&lt;numeroLigne&gt;",C9117,"&lt;/numeroLigne&gt;")</f>
        <v>&lt;numeroLigne&gt;19&lt;/numeroLigne&gt;</v>
      </c>
      <c r="K9117" s="1013"/>
    </row>
    <row r="9118" spans="1:11" s="1011" customFormat="1" ht="15" x14ac:dyDescent="0.25">
      <c r="A9118" s="859">
        <f t="shared" si="156"/>
        <v>9117</v>
      </c>
      <c r="B9118" s="845" t="s">
        <v>2564</v>
      </c>
      <c r="C9118" s="1007">
        <f t="shared" si="155"/>
        <v>19</v>
      </c>
      <c r="D9118" s="1015"/>
      <c r="H9118" s="1011" t="s">
        <v>1010</v>
      </c>
      <c r="K9118" s="1013"/>
    </row>
    <row r="9119" spans="1:11" s="1011" customFormat="1" ht="15" x14ac:dyDescent="0.25">
      <c r="A9119" s="859">
        <f t="shared" si="156"/>
        <v>9118</v>
      </c>
      <c r="B9119" s="845" t="s">
        <v>2564</v>
      </c>
      <c r="C9119" s="1007">
        <f t="shared" si="155"/>
        <v>19</v>
      </c>
      <c r="D9119" s="1012"/>
      <c r="H9119" s="1011" t="s">
        <v>1007</v>
      </c>
      <c r="K9119" s="1013"/>
    </row>
    <row r="9120" spans="1:11" s="1011" customFormat="1" ht="15" x14ac:dyDescent="0.25">
      <c r="A9120" s="859">
        <f t="shared" si="156"/>
        <v>9119</v>
      </c>
      <c r="B9120" s="845" t="s">
        <v>2564</v>
      </c>
      <c r="C9120" s="1007">
        <f t="shared" si="155"/>
        <v>19</v>
      </c>
      <c r="D9120" s="1012"/>
      <c r="I9120" s="1011" t="s">
        <v>2180</v>
      </c>
      <c r="K9120" s="1013"/>
    </row>
    <row r="9121" spans="1:11" s="1011" customFormat="1" ht="15" x14ac:dyDescent="0.25">
      <c r="A9121" s="859">
        <f t="shared" si="156"/>
        <v>9120</v>
      </c>
      <c r="B9121" s="845" t="s">
        <v>2564</v>
      </c>
      <c r="C9121" s="1007">
        <f t="shared" si="155"/>
        <v>19</v>
      </c>
      <c r="D9121" s="1014"/>
      <c r="I9121" s="1011" t="str">
        <f>CONCATENATE("&lt;valeur&gt;",VLOOKUP(C9121,'T16 Amort'!A:K,8,0),"&lt;/valeur&gt;")</f>
        <v>&lt;valeur&gt;&lt;/valeur&gt;</v>
      </c>
      <c r="K9121" s="1013"/>
    </row>
    <row r="9122" spans="1:11" s="1011" customFormat="1" ht="15" x14ac:dyDescent="0.25">
      <c r="A9122" s="859">
        <f t="shared" si="156"/>
        <v>9121</v>
      </c>
      <c r="B9122" s="845" t="s">
        <v>2564</v>
      </c>
      <c r="C9122" s="1007">
        <f t="shared" si="155"/>
        <v>19</v>
      </c>
      <c r="D9122" s="1014"/>
      <c r="I9122" s="1011" t="str">
        <f>CONCATENATE("&lt;numeroLigne&gt;",C9122,"&lt;/numeroLigne&gt;")</f>
        <v>&lt;numeroLigne&gt;19&lt;/numeroLigne&gt;</v>
      </c>
      <c r="K9122" s="1013"/>
    </row>
    <row r="9123" spans="1:11" s="1011" customFormat="1" ht="15" x14ac:dyDescent="0.25">
      <c r="A9123" s="859">
        <f t="shared" si="156"/>
        <v>9122</v>
      </c>
      <c r="B9123" s="845" t="s">
        <v>2564</v>
      </c>
      <c r="C9123" s="1007">
        <f t="shared" si="155"/>
        <v>19</v>
      </c>
      <c r="D9123" s="1012"/>
      <c r="H9123" s="1011" t="s">
        <v>1010</v>
      </c>
      <c r="K9123" s="1013"/>
    </row>
    <row r="9124" spans="1:11" s="1011" customFormat="1" ht="15" x14ac:dyDescent="0.25">
      <c r="A9124" s="859">
        <f t="shared" si="156"/>
        <v>9123</v>
      </c>
      <c r="B9124" s="845" t="s">
        <v>2564</v>
      </c>
      <c r="C9124" s="1007">
        <f t="shared" si="155"/>
        <v>19</v>
      </c>
      <c r="D9124" s="1015"/>
      <c r="H9124" s="1011" t="s">
        <v>1007</v>
      </c>
      <c r="K9124" s="1013"/>
    </row>
    <row r="9125" spans="1:11" s="1011" customFormat="1" ht="15" x14ac:dyDescent="0.25">
      <c r="A9125" s="859">
        <f t="shared" si="156"/>
        <v>9124</v>
      </c>
      <c r="B9125" s="845" t="s">
        <v>2564</v>
      </c>
      <c r="C9125" s="1007">
        <f t="shared" si="155"/>
        <v>19</v>
      </c>
      <c r="D9125" s="1012"/>
      <c r="I9125" s="1011" t="s">
        <v>2181</v>
      </c>
      <c r="K9125" s="1013"/>
    </row>
    <row r="9126" spans="1:11" s="1011" customFormat="1" ht="15" x14ac:dyDescent="0.25">
      <c r="A9126" s="859">
        <f t="shared" si="156"/>
        <v>9125</v>
      </c>
      <c r="B9126" s="845" t="s">
        <v>2564</v>
      </c>
      <c r="C9126" s="1007">
        <f t="shared" si="155"/>
        <v>19</v>
      </c>
      <c r="D9126" s="1012"/>
      <c r="I9126" s="1011" t="str">
        <f>CONCATENATE("&lt;valeur&gt;",VLOOKUP(C9126,'T16 Amort'!A:K,9,0),"&lt;/valeur&gt;")</f>
        <v>&lt;valeur&gt;&lt;/valeur&gt;</v>
      </c>
      <c r="K9126" s="1013"/>
    </row>
    <row r="9127" spans="1:11" s="1011" customFormat="1" ht="15" x14ac:dyDescent="0.25">
      <c r="A9127" s="859">
        <f t="shared" si="156"/>
        <v>9126</v>
      </c>
      <c r="B9127" s="845" t="s">
        <v>2564</v>
      </c>
      <c r="C9127" s="1007">
        <f t="shared" si="155"/>
        <v>19</v>
      </c>
      <c r="D9127" s="1014"/>
      <c r="I9127" s="1011" t="str">
        <f>CONCATENATE("&lt;numeroLigne&gt;",C9127,"&lt;/numeroLigne&gt;")</f>
        <v>&lt;numeroLigne&gt;19&lt;/numeroLigne&gt;</v>
      </c>
      <c r="K9127" s="1013"/>
    </row>
    <row r="9128" spans="1:11" s="1011" customFormat="1" ht="15" x14ac:dyDescent="0.25">
      <c r="A9128" s="859">
        <f t="shared" si="156"/>
        <v>9127</v>
      </c>
      <c r="B9128" s="845" t="s">
        <v>2564</v>
      </c>
      <c r="C9128" s="1007">
        <f t="shared" si="155"/>
        <v>19</v>
      </c>
      <c r="D9128" s="1014"/>
      <c r="H9128" s="1011" t="s">
        <v>1010</v>
      </c>
      <c r="K9128" s="1013"/>
    </row>
    <row r="9129" spans="1:11" s="1011" customFormat="1" ht="15" x14ac:dyDescent="0.25">
      <c r="A9129" s="859">
        <f t="shared" si="156"/>
        <v>9128</v>
      </c>
      <c r="B9129" s="845" t="s">
        <v>2564</v>
      </c>
      <c r="C9129" s="1007">
        <f t="shared" si="155"/>
        <v>19</v>
      </c>
      <c r="D9129" s="1012"/>
      <c r="H9129" s="1011" t="s">
        <v>1007</v>
      </c>
      <c r="K9129" s="1013"/>
    </row>
    <row r="9130" spans="1:11" s="1011" customFormat="1" ht="15" x14ac:dyDescent="0.25">
      <c r="A9130" s="859">
        <f t="shared" si="156"/>
        <v>9129</v>
      </c>
      <c r="B9130" s="845" t="s">
        <v>2564</v>
      </c>
      <c r="C9130" s="1007">
        <f t="shared" si="155"/>
        <v>19</v>
      </c>
      <c r="D9130" s="1015"/>
      <c r="I9130" s="1011" t="s">
        <v>2182</v>
      </c>
      <c r="K9130" s="1013"/>
    </row>
    <row r="9131" spans="1:11" s="1011" customFormat="1" ht="15" x14ac:dyDescent="0.25">
      <c r="A9131" s="859">
        <f t="shared" si="156"/>
        <v>9130</v>
      </c>
      <c r="B9131" s="845" t="s">
        <v>2564</v>
      </c>
      <c r="C9131" s="1007">
        <f t="shared" si="155"/>
        <v>19</v>
      </c>
      <c r="D9131" s="1012"/>
      <c r="I9131" s="1011" t="str">
        <f>CONCATENATE("&lt;valeur&gt;",VLOOKUP(C9131,'T16 Amort'!A:K,10,0),"&lt;/valeur&gt;")</f>
        <v>&lt;valeur&gt;&lt;/valeur&gt;</v>
      </c>
      <c r="K9131" s="1013"/>
    </row>
    <row r="9132" spans="1:11" s="1011" customFormat="1" ht="15" x14ac:dyDescent="0.25">
      <c r="A9132" s="859">
        <f t="shared" si="156"/>
        <v>9131</v>
      </c>
      <c r="B9132" s="845" t="s">
        <v>2564</v>
      </c>
      <c r="C9132" s="1007">
        <f t="shared" si="155"/>
        <v>19</v>
      </c>
      <c r="D9132" s="1012"/>
      <c r="I9132" s="1011" t="str">
        <f>CONCATENATE("&lt;numeroLigne&gt;",C9132,"&lt;/numeroLigne&gt;")</f>
        <v>&lt;numeroLigne&gt;19&lt;/numeroLigne&gt;</v>
      </c>
      <c r="K9132" s="1013"/>
    </row>
    <row r="9133" spans="1:11" s="1011" customFormat="1" ht="15" x14ac:dyDescent="0.25">
      <c r="A9133" s="859">
        <f t="shared" si="156"/>
        <v>9132</v>
      </c>
      <c r="B9133" s="845" t="s">
        <v>2564</v>
      </c>
      <c r="C9133" s="1007">
        <f t="shared" si="155"/>
        <v>19</v>
      </c>
      <c r="D9133" s="1014"/>
      <c r="H9133" s="1011" t="s">
        <v>1010</v>
      </c>
      <c r="K9133" s="1013"/>
    </row>
    <row r="9134" spans="1:11" s="1011" customFormat="1" ht="15" x14ac:dyDescent="0.25">
      <c r="A9134" s="859">
        <f t="shared" si="156"/>
        <v>9133</v>
      </c>
      <c r="B9134" s="845" t="s">
        <v>2564</v>
      </c>
      <c r="C9134" s="1007">
        <f t="shared" si="155"/>
        <v>19</v>
      </c>
      <c r="D9134" s="1014"/>
      <c r="H9134" s="1011" t="s">
        <v>1007</v>
      </c>
      <c r="K9134" s="1013"/>
    </row>
    <row r="9135" spans="1:11" s="1011" customFormat="1" ht="15" x14ac:dyDescent="0.25">
      <c r="A9135" s="859">
        <f t="shared" si="156"/>
        <v>9134</v>
      </c>
      <c r="B9135" s="845" t="s">
        <v>2564</v>
      </c>
      <c r="C9135" s="1007">
        <f t="shared" ref="C9135:C9198" si="157">C9085+1</f>
        <v>19</v>
      </c>
      <c r="D9135" s="1012"/>
      <c r="I9135" s="1011" t="s">
        <v>2183</v>
      </c>
      <c r="K9135" s="1013"/>
    </row>
    <row r="9136" spans="1:11" s="1011" customFormat="1" ht="15" x14ac:dyDescent="0.25">
      <c r="A9136" s="859">
        <f t="shared" si="156"/>
        <v>9135</v>
      </c>
      <c r="B9136" s="845" t="s">
        <v>2564</v>
      </c>
      <c r="C9136" s="1007">
        <f t="shared" si="157"/>
        <v>19</v>
      </c>
      <c r="D9136" s="1015"/>
      <c r="I9136" s="1011" t="str">
        <f>CONCATENATE("&lt;valeur&gt;",VLOOKUP(C9136,'T16 Amort'!A:K,11,0),"&lt;/valeur&gt;")</f>
        <v>&lt;valeur&gt;&lt;/valeur&gt;</v>
      </c>
      <c r="K9136" s="1013"/>
    </row>
    <row r="9137" spans="1:11" s="1011" customFormat="1" ht="15" x14ac:dyDescent="0.25">
      <c r="A9137" s="859">
        <f t="shared" si="156"/>
        <v>9136</v>
      </c>
      <c r="B9137" s="845" t="s">
        <v>2564</v>
      </c>
      <c r="C9137" s="1007">
        <f t="shared" si="157"/>
        <v>19</v>
      </c>
      <c r="D9137" s="1012"/>
      <c r="I9137" s="1011" t="str">
        <f>CONCATENATE("&lt;numeroLigne&gt;",C9137,"&lt;/numeroLigne&gt;")</f>
        <v>&lt;numeroLigne&gt;19&lt;/numeroLigne&gt;</v>
      </c>
      <c r="K9137" s="1013"/>
    </row>
    <row r="9138" spans="1:11" s="1011" customFormat="1" ht="15" x14ac:dyDescent="0.25">
      <c r="A9138" s="859">
        <f t="shared" si="156"/>
        <v>9137</v>
      </c>
      <c r="B9138" s="845" t="s">
        <v>2564</v>
      </c>
      <c r="C9138" s="1007">
        <f t="shared" si="157"/>
        <v>19</v>
      </c>
      <c r="D9138" s="1016"/>
      <c r="E9138" s="1017"/>
      <c r="F9138" s="1017"/>
      <c r="G9138" s="1017"/>
      <c r="H9138" s="1017" t="s">
        <v>1010</v>
      </c>
      <c r="I9138" s="1017"/>
      <c r="J9138" s="1017"/>
      <c r="K9138" s="1018"/>
    </row>
    <row r="9139" spans="1:11" s="1011" customFormat="1" ht="15" x14ac:dyDescent="0.25">
      <c r="A9139" s="859">
        <f t="shared" si="156"/>
        <v>9138</v>
      </c>
      <c r="B9139" s="845" t="s">
        <v>2564</v>
      </c>
      <c r="C9139" s="1007">
        <f t="shared" si="157"/>
        <v>20</v>
      </c>
      <c r="D9139" s="1008"/>
      <c r="E9139" s="1009"/>
      <c r="F9139" s="1009"/>
      <c r="G9139" s="1009"/>
      <c r="H9139" s="1009" t="s">
        <v>1007</v>
      </c>
      <c r="I9139" s="1009"/>
      <c r="J9139" s="1009"/>
      <c r="K9139" s="1010"/>
    </row>
    <row r="9140" spans="1:11" s="1011" customFormat="1" ht="15" x14ac:dyDescent="0.25">
      <c r="A9140" s="859">
        <f t="shared" si="156"/>
        <v>9139</v>
      </c>
      <c r="B9140" s="845" t="s">
        <v>2564</v>
      </c>
      <c r="C9140" s="1007">
        <f t="shared" si="157"/>
        <v>20</v>
      </c>
      <c r="D9140" s="1012"/>
      <c r="I9140" s="1011" t="s">
        <v>2174</v>
      </c>
      <c r="K9140" s="1013"/>
    </row>
    <row r="9141" spans="1:11" s="1011" customFormat="1" ht="15" x14ac:dyDescent="0.25">
      <c r="A9141" s="859">
        <f t="shared" si="156"/>
        <v>9140</v>
      </c>
      <c r="B9141" s="845" t="s">
        <v>2564</v>
      </c>
      <c r="C9141" s="1007">
        <f t="shared" si="157"/>
        <v>20</v>
      </c>
      <c r="D9141" s="1014"/>
      <c r="I9141" s="1011" t="str">
        <f>CONCATENATE("&lt;valeur&gt;",VLOOKUP(C9141,'T16 Amort'!A:K,2,0),"&lt;/valeur&gt;")</f>
        <v>&lt;valeur&gt;&lt;/valeur&gt;</v>
      </c>
      <c r="K9141" s="1013"/>
    </row>
    <row r="9142" spans="1:11" s="1011" customFormat="1" ht="15" x14ac:dyDescent="0.25">
      <c r="A9142" s="859">
        <f t="shared" si="156"/>
        <v>9141</v>
      </c>
      <c r="B9142" s="845" t="s">
        <v>2564</v>
      </c>
      <c r="C9142" s="1007">
        <f t="shared" si="157"/>
        <v>20</v>
      </c>
      <c r="D9142" s="1014"/>
      <c r="I9142" s="1011" t="str">
        <f>CONCATENATE("&lt;numeroLigne&gt;",C9142,"&lt;/numeroLigne&gt;")</f>
        <v>&lt;numeroLigne&gt;20&lt;/numeroLigne&gt;</v>
      </c>
      <c r="K9142" s="1013"/>
    </row>
    <row r="9143" spans="1:11" s="1011" customFormat="1" ht="15" x14ac:dyDescent="0.25">
      <c r="A9143" s="859">
        <f t="shared" si="156"/>
        <v>9142</v>
      </c>
      <c r="B9143" s="845" t="s">
        <v>2564</v>
      </c>
      <c r="C9143" s="1007">
        <f t="shared" si="157"/>
        <v>20</v>
      </c>
      <c r="D9143" s="1012"/>
      <c r="H9143" s="1011" t="s">
        <v>1010</v>
      </c>
      <c r="K9143" s="1013"/>
    </row>
    <row r="9144" spans="1:11" s="1011" customFormat="1" ht="15" x14ac:dyDescent="0.25">
      <c r="A9144" s="859">
        <f t="shared" si="156"/>
        <v>9143</v>
      </c>
      <c r="B9144" s="845" t="s">
        <v>2564</v>
      </c>
      <c r="C9144" s="1007">
        <f t="shared" si="157"/>
        <v>20</v>
      </c>
      <c r="D9144" s="1015"/>
      <c r="H9144" s="1011" t="s">
        <v>1007</v>
      </c>
      <c r="K9144" s="1013"/>
    </row>
    <row r="9145" spans="1:11" s="1011" customFormat="1" ht="15" x14ac:dyDescent="0.25">
      <c r="A9145" s="859">
        <f t="shared" si="156"/>
        <v>9144</v>
      </c>
      <c r="B9145" s="845" t="s">
        <v>2564</v>
      </c>
      <c r="C9145" s="1007">
        <f t="shared" si="157"/>
        <v>20</v>
      </c>
      <c r="D9145" s="1012"/>
      <c r="I9145" s="1011" t="s">
        <v>2175</v>
      </c>
      <c r="K9145" s="1013"/>
    </row>
    <row r="9146" spans="1:11" s="1011" customFormat="1" ht="15" x14ac:dyDescent="0.25">
      <c r="A9146" s="859">
        <f t="shared" si="156"/>
        <v>9145</v>
      </c>
      <c r="B9146" s="845" t="s">
        <v>2564</v>
      </c>
      <c r="C9146" s="1007">
        <f t="shared" si="157"/>
        <v>20</v>
      </c>
      <c r="D9146" s="1012"/>
      <c r="I9146" s="1011" t="str">
        <f>CONCATENATE("&lt;valeur&gt;",VLOOKUP(C9146,'T16 Amort'!A:K,3,0),"&lt;/valeur&gt;")</f>
        <v>&lt;valeur&gt;&lt;/valeur&gt;</v>
      </c>
      <c r="K9146" s="1013"/>
    </row>
    <row r="9147" spans="1:11" s="1011" customFormat="1" ht="15" x14ac:dyDescent="0.25">
      <c r="A9147" s="859">
        <f t="shared" si="156"/>
        <v>9146</v>
      </c>
      <c r="B9147" s="845" t="s">
        <v>2564</v>
      </c>
      <c r="C9147" s="1007">
        <f t="shared" si="157"/>
        <v>20</v>
      </c>
      <c r="D9147" s="1014"/>
      <c r="I9147" s="1011" t="str">
        <f>CONCATENATE("&lt;numeroLigne&gt;",C9147,"&lt;/numeroLigne&gt;")</f>
        <v>&lt;numeroLigne&gt;20&lt;/numeroLigne&gt;</v>
      </c>
      <c r="K9147" s="1013"/>
    </row>
    <row r="9148" spans="1:11" s="1011" customFormat="1" ht="15" x14ac:dyDescent="0.25">
      <c r="A9148" s="859">
        <f t="shared" si="156"/>
        <v>9147</v>
      </c>
      <c r="B9148" s="845" t="s">
        <v>2564</v>
      </c>
      <c r="C9148" s="1007">
        <f t="shared" si="157"/>
        <v>20</v>
      </c>
      <c r="D9148" s="1014"/>
      <c r="H9148" s="1011" t="s">
        <v>1010</v>
      </c>
      <c r="K9148" s="1013"/>
    </row>
    <row r="9149" spans="1:11" s="1011" customFormat="1" ht="15" x14ac:dyDescent="0.25">
      <c r="A9149" s="859">
        <f t="shared" si="156"/>
        <v>9148</v>
      </c>
      <c r="B9149" s="845" t="s">
        <v>2564</v>
      </c>
      <c r="C9149" s="1007">
        <f t="shared" si="157"/>
        <v>20</v>
      </c>
      <c r="D9149" s="1012"/>
      <c r="H9149" s="1011" t="s">
        <v>1007</v>
      </c>
      <c r="K9149" s="1013"/>
    </row>
    <row r="9150" spans="1:11" s="1011" customFormat="1" ht="15" x14ac:dyDescent="0.25">
      <c r="A9150" s="859">
        <f t="shared" si="156"/>
        <v>9149</v>
      </c>
      <c r="B9150" s="845" t="s">
        <v>2564</v>
      </c>
      <c r="C9150" s="1007">
        <f t="shared" si="157"/>
        <v>20</v>
      </c>
      <c r="D9150" s="1015"/>
      <c r="I9150" s="1011" t="s">
        <v>2176</v>
      </c>
      <c r="K9150" s="1013"/>
    </row>
    <row r="9151" spans="1:11" s="1011" customFormat="1" ht="15" x14ac:dyDescent="0.25">
      <c r="A9151" s="859">
        <f t="shared" si="156"/>
        <v>9150</v>
      </c>
      <c r="B9151" s="845" t="s">
        <v>2564</v>
      </c>
      <c r="C9151" s="1007">
        <f t="shared" si="157"/>
        <v>20</v>
      </c>
      <c r="D9151" s="1012"/>
      <c r="I9151" s="1011" t="str">
        <f>CONCATENATE("&lt;valeur&gt;",VLOOKUP(C9151,'T16 Amort'!A:K,4,0),"&lt;/valeur&gt;")</f>
        <v>&lt;valeur&gt;&lt;/valeur&gt;</v>
      </c>
      <c r="K9151" s="1013"/>
    </row>
    <row r="9152" spans="1:11" s="1011" customFormat="1" ht="15" x14ac:dyDescent="0.25">
      <c r="A9152" s="859">
        <f t="shared" si="156"/>
        <v>9151</v>
      </c>
      <c r="B9152" s="845" t="s">
        <v>2564</v>
      </c>
      <c r="C9152" s="1007">
        <f t="shared" si="157"/>
        <v>20</v>
      </c>
      <c r="D9152" s="1012"/>
      <c r="I9152" s="1011" t="str">
        <f>CONCATENATE("&lt;numeroLigne&gt;",C9152,"&lt;/numeroLigne&gt;")</f>
        <v>&lt;numeroLigne&gt;20&lt;/numeroLigne&gt;</v>
      </c>
      <c r="K9152" s="1013"/>
    </row>
    <row r="9153" spans="1:11" s="1011" customFormat="1" ht="15" x14ac:dyDescent="0.25">
      <c r="A9153" s="859">
        <f t="shared" si="156"/>
        <v>9152</v>
      </c>
      <c r="B9153" s="845" t="s">
        <v>2564</v>
      </c>
      <c r="C9153" s="1007">
        <f t="shared" si="157"/>
        <v>20</v>
      </c>
      <c r="D9153" s="1014"/>
      <c r="H9153" s="1011" t="s">
        <v>1010</v>
      </c>
      <c r="K9153" s="1013"/>
    </row>
    <row r="9154" spans="1:11" s="1011" customFormat="1" ht="15" x14ac:dyDescent="0.25">
      <c r="A9154" s="859">
        <f t="shared" si="156"/>
        <v>9153</v>
      </c>
      <c r="B9154" s="845" t="s">
        <v>2564</v>
      </c>
      <c r="C9154" s="1007">
        <f t="shared" si="157"/>
        <v>20</v>
      </c>
      <c r="D9154" s="1014"/>
      <c r="H9154" s="1011" t="s">
        <v>1007</v>
      </c>
      <c r="K9154" s="1013"/>
    </row>
    <row r="9155" spans="1:11" s="1011" customFormat="1" ht="15" x14ac:dyDescent="0.25">
      <c r="A9155" s="859">
        <f t="shared" si="156"/>
        <v>9154</v>
      </c>
      <c r="B9155" s="845" t="s">
        <v>2564</v>
      </c>
      <c r="C9155" s="1007">
        <f t="shared" si="157"/>
        <v>20</v>
      </c>
      <c r="D9155" s="1012"/>
      <c r="I9155" s="1011" t="s">
        <v>2177</v>
      </c>
      <c r="K9155" s="1013"/>
    </row>
    <row r="9156" spans="1:11" s="1011" customFormat="1" ht="15" x14ac:dyDescent="0.25">
      <c r="A9156" s="859">
        <f t="shared" ref="A9156:A9219" si="158">+A9155+1</f>
        <v>9155</v>
      </c>
      <c r="B9156" s="845" t="s">
        <v>2564</v>
      </c>
      <c r="C9156" s="1007">
        <f t="shared" si="157"/>
        <v>20</v>
      </c>
      <c r="D9156" s="1015"/>
      <c r="I9156" s="1011" t="str">
        <f>CONCATENATE("&lt;valeur&gt;",VLOOKUP(C9156,'T16 Amort'!A:K,5,0),"&lt;/valeur&gt;")</f>
        <v>&lt;valeur&gt;&lt;/valeur&gt;</v>
      </c>
      <c r="K9156" s="1013"/>
    </row>
    <row r="9157" spans="1:11" s="1011" customFormat="1" ht="15" x14ac:dyDescent="0.25">
      <c r="A9157" s="859">
        <f t="shared" si="158"/>
        <v>9156</v>
      </c>
      <c r="B9157" s="845" t="s">
        <v>2564</v>
      </c>
      <c r="C9157" s="1007">
        <f t="shared" si="157"/>
        <v>20</v>
      </c>
      <c r="D9157" s="1012"/>
      <c r="I9157" s="1011" t="str">
        <f>CONCATENATE("&lt;numeroLigne&gt;",C9157,"&lt;/numeroLigne&gt;")</f>
        <v>&lt;numeroLigne&gt;20&lt;/numeroLigne&gt;</v>
      </c>
      <c r="K9157" s="1013"/>
    </row>
    <row r="9158" spans="1:11" s="1011" customFormat="1" ht="15" x14ac:dyDescent="0.25">
      <c r="A9158" s="859">
        <f t="shared" si="158"/>
        <v>9157</v>
      </c>
      <c r="B9158" s="845" t="s">
        <v>2564</v>
      </c>
      <c r="C9158" s="1007">
        <f t="shared" si="157"/>
        <v>20</v>
      </c>
      <c r="D9158" s="1012"/>
      <c r="H9158" s="1011" t="s">
        <v>1010</v>
      </c>
      <c r="K9158" s="1013"/>
    </row>
    <row r="9159" spans="1:11" s="1011" customFormat="1" ht="15" x14ac:dyDescent="0.25">
      <c r="A9159" s="859">
        <f t="shared" si="158"/>
        <v>9158</v>
      </c>
      <c r="B9159" s="845" t="s">
        <v>2564</v>
      </c>
      <c r="C9159" s="1007">
        <f t="shared" si="157"/>
        <v>20</v>
      </c>
      <c r="D9159" s="1014"/>
      <c r="H9159" s="1011" t="s">
        <v>1007</v>
      </c>
      <c r="K9159" s="1013"/>
    </row>
    <row r="9160" spans="1:11" s="1011" customFormat="1" ht="15" x14ac:dyDescent="0.25">
      <c r="A9160" s="859">
        <f t="shared" si="158"/>
        <v>9159</v>
      </c>
      <c r="B9160" s="845" t="s">
        <v>2564</v>
      </c>
      <c r="C9160" s="1007">
        <f t="shared" si="157"/>
        <v>20</v>
      </c>
      <c r="D9160" s="1014"/>
      <c r="I9160" s="1011" t="s">
        <v>2178</v>
      </c>
      <c r="K9160" s="1013"/>
    </row>
    <row r="9161" spans="1:11" s="1011" customFormat="1" ht="15" x14ac:dyDescent="0.25">
      <c r="A9161" s="859">
        <f t="shared" si="158"/>
        <v>9160</v>
      </c>
      <c r="B9161" s="845" t="s">
        <v>2564</v>
      </c>
      <c r="C9161" s="1007">
        <f t="shared" si="157"/>
        <v>20</v>
      </c>
      <c r="D9161" s="1012"/>
      <c r="I9161" s="1011" t="str">
        <f>CONCATENATE("&lt;valeur&gt;",VLOOKUP(C9161,'T16 Amort'!A:K,6,0),"&lt;/valeur&gt;")</f>
        <v>&lt;valeur&gt;&lt;/valeur&gt;</v>
      </c>
      <c r="K9161" s="1013"/>
    </row>
    <row r="9162" spans="1:11" s="1011" customFormat="1" ht="15" x14ac:dyDescent="0.25">
      <c r="A9162" s="859">
        <f t="shared" si="158"/>
        <v>9161</v>
      </c>
      <c r="B9162" s="845" t="s">
        <v>2564</v>
      </c>
      <c r="C9162" s="1007">
        <f t="shared" si="157"/>
        <v>20</v>
      </c>
      <c r="D9162" s="1015"/>
      <c r="I9162" s="1011" t="str">
        <f>CONCATENATE("&lt;numeroLigne&gt;",C9162,"&lt;/numeroLigne&gt;")</f>
        <v>&lt;numeroLigne&gt;20&lt;/numeroLigne&gt;</v>
      </c>
      <c r="K9162" s="1013"/>
    </row>
    <row r="9163" spans="1:11" s="1011" customFormat="1" ht="15" x14ac:dyDescent="0.25">
      <c r="A9163" s="859">
        <f t="shared" si="158"/>
        <v>9162</v>
      </c>
      <c r="B9163" s="845" t="s">
        <v>2564</v>
      </c>
      <c r="C9163" s="1007">
        <f t="shared" si="157"/>
        <v>20</v>
      </c>
      <c r="D9163" s="1012"/>
      <c r="H9163" s="1011" t="s">
        <v>1010</v>
      </c>
      <c r="K9163" s="1013"/>
    </row>
    <row r="9164" spans="1:11" s="1011" customFormat="1" ht="15" x14ac:dyDescent="0.25">
      <c r="A9164" s="859">
        <f t="shared" si="158"/>
        <v>9163</v>
      </c>
      <c r="B9164" s="845" t="s">
        <v>2564</v>
      </c>
      <c r="C9164" s="1007">
        <f t="shared" si="157"/>
        <v>20</v>
      </c>
      <c r="D9164" s="1012"/>
      <c r="H9164" s="1011" t="s">
        <v>1007</v>
      </c>
      <c r="K9164" s="1013"/>
    </row>
    <row r="9165" spans="1:11" s="1011" customFormat="1" ht="15" x14ac:dyDescent="0.25">
      <c r="A9165" s="859">
        <f t="shared" si="158"/>
        <v>9164</v>
      </c>
      <c r="B9165" s="845" t="s">
        <v>2564</v>
      </c>
      <c r="C9165" s="1007">
        <f t="shared" si="157"/>
        <v>20</v>
      </c>
      <c r="D9165" s="1014"/>
      <c r="I9165" s="1011" t="s">
        <v>2179</v>
      </c>
      <c r="K9165" s="1013"/>
    </row>
    <row r="9166" spans="1:11" s="1011" customFormat="1" ht="15" x14ac:dyDescent="0.25">
      <c r="A9166" s="859">
        <f t="shared" si="158"/>
        <v>9165</v>
      </c>
      <c r="B9166" s="845" t="s">
        <v>2564</v>
      </c>
      <c r="C9166" s="1007">
        <f t="shared" si="157"/>
        <v>20</v>
      </c>
      <c r="D9166" s="1014"/>
      <c r="I9166" s="1011" t="str">
        <f>CONCATENATE("&lt;valeur&gt;",VLOOKUP(C9166,'T16 Amort'!A:K,7,0),"&lt;/valeur&gt;")</f>
        <v>&lt;valeur&gt;&lt;/valeur&gt;</v>
      </c>
      <c r="K9166" s="1013"/>
    </row>
    <row r="9167" spans="1:11" s="1011" customFormat="1" ht="15" x14ac:dyDescent="0.25">
      <c r="A9167" s="859">
        <f t="shared" si="158"/>
        <v>9166</v>
      </c>
      <c r="B9167" s="845" t="s">
        <v>2564</v>
      </c>
      <c r="C9167" s="1007">
        <f t="shared" si="157"/>
        <v>20</v>
      </c>
      <c r="D9167" s="1012"/>
      <c r="I9167" s="1011" t="str">
        <f>CONCATENATE("&lt;numeroLigne&gt;",C9167,"&lt;/numeroLigne&gt;")</f>
        <v>&lt;numeroLigne&gt;20&lt;/numeroLigne&gt;</v>
      </c>
      <c r="K9167" s="1013"/>
    </row>
    <row r="9168" spans="1:11" s="1011" customFormat="1" ht="15" x14ac:dyDescent="0.25">
      <c r="A9168" s="859">
        <f t="shared" si="158"/>
        <v>9167</v>
      </c>
      <c r="B9168" s="845" t="s">
        <v>2564</v>
      </c>
      <c r="C9168" s="1007">
        <f t="shared" si="157"/>
        <v>20</v>
      </c>
      <c r="D9168" s="1015"/>
      <c r="H9168" s="1011" t="s">
        <v>1010</v>
      </c>
      <c r="K9168" s="1013"/>
    </row>
    <row r="9169" spans="1:11" s="1011" customFormat="1" ht="15" x14ac:dyDescent="0.25">
      <c r="A9169" s="859">
        <f t="shared" si="158"/>
        <v>9168</v>
      </c>
      <c r="B9169" s="845" t="s">
        <v>2564</v>
      </c>
      <c r="C9169" s="1007">
        <f t="shared" si="157"/>
        <v>20</v>
      </c>
      <c r="D9169" s="1012"/>
      <c r="H9169" s="1011" t="s">
        <v>1007</v>
      </c>
      <c r="K9169" s="1013"/>
    </row>
    <row r="9170" spans="1:11" s="1011" customFormat="1" ht="15" x14ac:dyDescent="0.25">
      <c r="A9170" s="859">
        <f t="shared" si="158"/>
        <v>9169</v>
      </c>
      <c r="B9170" s="845" t="s">
        <v>2564</v>
      </c>
      <c r="C9170" s="1007">
        <f t="shared" si="157"/>
        <v>20</v>
      </c>
      <c r="D9170" s="1012"/>
      <c r="I9170" s="1011" t="s">
        <v>2180</v>
      </c>
      <c r="K9170" s="1013"/>
    </row>
    <row r="9171" spans="1:11" s="1011" customFormat="1" ht="15" x14ac:dyDescent="0.25">
      <c r="A9171" s="859">
        <f t="shared" si="158"/>
        <v>9170</v>
      </c>
      <c r="B9171" s="845" t="s">
        <v>2564</v>
      </c>
      <c r="C9171" s="1007">
        <f t="shared" si="157"/>
        <v>20</v>
      </c>
      <c r="D9171" s="1014"/>
      <c r="I9171" s="1011" t="str">
        <f>CONCATENATE("&lt;valeur&gt;",VLOOKUP(C9171,'T16 Amort'!A:K,8,0),"&lt;/valeur&gt;")</f>
        <v>&lt;valeur&gt;&lt;/valeur&gt;</v>
      </c>
      <c r="K9171" s="1013"/>
    </row>
    <row r="9172" spans="1:11" s="1011" customFormat="1" ht="15" x14ac:dyDescent="0.25">
      <c r="A9172" s="859">
        <f t="shared" si="158"/>
        <v>9171</v>
      </c>
      <c r="B9172" s="845" t="s">
        <v>2564</v>
      </c>
      <c r="C9172" s="1007">
        <f t="shared" si="157"/>
        <v>20</v>
      </c>
      <c r="D9172" s="1014"/>
      <c r="I9172" s="1011" t="str">
        <f>CONCATENATE("&lt;numeroLigne&gt;",C9172,"&lt;/numeroLigne&gt;")</f>
        <v>&lt;numeroLigne&gt;20&lt;/numeroLigne&gt;</v>
      </c>
      <c r="K9172" s="1013"/>
    </row>
    <row r="9173" spans="1:11" s="1011" customFormat="1" ht="15" x14ac:dyDescent="0.25">
      <c r="A9173" s="859">
        <f t="shared" si="158"/>
        <v>9172</v>
      </c>
      <c r="B9173" s="845" t="s">
        <v>2564</v>
      </c>
      <c r="C9173" s="1007">
        <f t="shared" si="157"/>
        <v>20</v>
      </c>
      <c r="D9173" s="1012"/>
      <c r="H9173" s="1011" t="s">
        <v>1010</v>
      </c>
      <c r="K9173" s="1013"/>
    </row>
    <row r="9174" spans="1:11" s="1011" customFormat="1" ht="15" x14ac:dyDescent="0.25">
      <c r="A9174" s="859">
        <f t="shared" si="158"/>
        <v>9173</v>
      </c>
      <c r="B9174" s="845" t="s">
        <v>2564</v>
      </c>
      <c r="C9174" s="1007">
        <f t="shared" si="157"/>
        <v>20</v>
      </c>
      <c r="D9174" s="1015"/>
      <c r="H9174" s="1011" t="s">
        <v>1007</v>
      </c>
      <c r="K9174" s="1013"/>
    </row>
    <row r="9175" spans="1:11" s="1011" customFormat="1" ht="15" x14ac:dyDescent="0.25">
      <c r="A9175" s="859">
        <f t="shared" si="158"/>
        <v>9174</v>
      </c>
      <c r="B9175" s="845" t="s">
        <v>2564</v>
      </c>
      <c r="C9175" s="1007">
        <f t="shared" si="157"/>
        <v>20</v>
      </c>
      <c r="D9175" s="1012"/>
      <c r="I9175" s="1011" t="s">
        <v>2181</v>
      </c>
      <c r="K9175" s="1013"/>
    </row>
    <row r="9176" spans="1:11" s="1011" customFormat="1" ht="15" x14ac:dyDescent="0.25">
      <c r="A9176" s="859">
        <f t="shared" si="158"/>
        <v>9175</v>
      </c>
      <c r="B9176" s="845" t="s">
        <v>2564</v>
      </c>
      <c r="C9176" s="1007">
        <f t="shared" si="157"/>
        <v>20</v>
      </c>
      <c r="D9176" s="1012"/>
      <c r="I9176" s="1011" t="str">
        <f>CONCATENATE("&lt;valeur&gt;",VLOOKUP(C9176,'T16 Amort'!A:K,9,0),"&lt;/valeur&gt;")</f>
        <v>&lt;valeur&gt;&lt;/valeur&gt;</v>
      </c>
      <c r="K9176" s="1013"/>
    </row>
    <row r="9177" spans="1:11" s="1011" customFormat="1" ht="15" x14ac:dyDescent="0.25">
      <c r="A9177" s="859">
        <f t="shared" si="158"/>
        <v>9176</v>
      </c>
      <c r="B9177" s="845" t="s">
        <v>2564</v>
      </c>
      <c r="C9177" s="1007">
        <f t="shared" si="157"/>
        <v>20</v>
      </c>
      <c r="D9177" s="1014"/>
      <c r="I9177" s="1011" t="str">
        <f>CONCATENATE("&lt;numeroLigne&gt;",C9177,"&lt;/numeroLigne&gt;")</f>
        <v>&lt;numeroLigne&gt;20&lt;/numeroLigne&gt;</v>
      </c>
      <c r="K9177" s="1013"/>
    </row>
    <row r="9178" spans="1:11" s="1011" customFormat="1" ht="15" x14ac:dyDescent="0.25">
      <c r="A9178" s="859">
        <f t="shared" si="158"/>
        <v>9177</v>
      </c>
      <c r="B9178" s="845" t="s">
        <v>2564</v>
      </c>
      <c r="C9178" s="1007">
        <f t="shared" si="157"/>
        <v>20</v>
      </c>
      <c r="D9178" s="1014"/>
      <c r="H9178" s="1011" t="s">
        <v>1010</v>
      </c>
      <c r="K9178" s="1013"/>
    </row>
    <row r="9179" spans="1:11" s="1011" customFormat="1" ht="15" x14ac:dyDescent="0.25">
      <c r="A9179" s="859">
        <f t="shared" si="158"/>
        <v>9178</v>
      </c>
      <c r="B9179" s="845" t="s">
        <v>2564</v>
      </c>
      <c r="C9179" s="1007">
        <f t="shared" si="157"/>
        <v>20</v>
      </c>
      <c r="D9179" s="1012"/>
      <c r="H9179" s="1011" t="s">
        <v>1007</v>
      </c>
      <c r="K9179" s="1013"/>
    </row>
    <row r="9180" spans="1:11" s="1011" customFormat="1" ht="15" x14ac:dyDescent="0.25">
      <c r="A9180" s="859">
        <f t="shared" si="158"/>
        <v>9179</v>
      </c>
      <c r="B9180" s="845" t="s">
        <v>2564</v>
      </c>
      <c r="C9180" s="1007">
        <f t="shared" si="157"/>
        <v>20</v>
      </c>
      <c r="D9180" s="1015"/>
      <c r="I9180" s="1011" t="s">
        <v>2182</v>
      </c>
      <c r="K9180" s="1013"/>
    </row>
    <row r="9181" spans="1:11" s="1011" customFormat="1" ht="15" x14ac:dyDescent="0.25">
      <c r="A9181" s="859">
        <f t="shared" si="158"/>
        <v>9180</v>
      </c>
      <c r="B9181" s="845" t="s">
        <v>2564</v>
      </c>
      <c r="C9181" s="1007">
        <f t="shared" si="157"/>
        <v>20</v>
      </c>
      <c r="D9181" s="1012"/>
      <c r="I9181" s="1011" t="str">
        <f>CONCATENATE("&lt;valeur&gt;",VLOOKUP(C9181,'T16 Amort'!A:K,10,0),"&lt;/valeur&gt;")</f>
        <v>&lt;valeur&gt;&lt;/valeur&gt;</v>
      </c>
      <c r="K9181" s="1013"/>
    </row>
    <row r="9182" spans="1:11" s="1011" customFormat="1" ht="15" x14ac:dyDescent="0.25">
      <c r="A9182" s="859">
        <f t="shared" si="158"/>
        <v>9181</v>
      </c>
      <c r="B9182" s="845" t="s">
        <v>2564</v>
      </c>
      <c r="C9182" s="1007">
        <f t="shared" si="157"/>
        <v>20</v>
      </c>
      <c r="D9182" s="1012"/>
      <c r="I9182" s="1011" t="str">
        <f>CONCATENATE("&lt;numeroLigne&gt;",C9182,"&lt;/numeroLigne&gt;")</f>
        <v>&lt;numeroLigne&gt;20&lt;/numeroLigne&gt;</v>
      </c>
      <c r="K9182" s="1013"/>
    </row>
    <row r="9183" spans="1:11" s="1011" customFormat="1" ht="15" x14ac:dyDescent="0.25">
      <c r="A9183" s="859">
        <f t="shared" si="158"/>
        <v>9182</v>
      </c>
      <c r="B9183" s="845" t="s">
        <v>2564</v>
      </c>
      <c r="C9183" s="1007">
        <f t="shared" si="157"/>
        <v>20</v>
      </c>
      <c r="D9183" s="1014"/>
      <c r="H9183" s="1011" t="s">
        <v>1010</v>
      </c>
      <c r="K9183" s="1013"/>
    </row>
    <row r="9184" spans="1:11" s="1011" customFormat="1" ht="15" x14ac:dyDescent="0.25">
      <c r="A9184" s="859">
        <f t="shared" si="158"/>
        <v>9183</v>
      </c>
      <c r="B9184" s="845" t="s">
        <v>2564</v>
      </c>
      <c r="C9184" s="1007">
        <f t="shared" si="157"/>
        <v>20</v>
      </c>
      <c r="D9184" s="1014"/>
      <c r="H9184" s="1011" t="s">
        <v>1007</v>
      </c>
      <c r="K9184" s="1013"/>
    </row>
    <row r="9185" spans="1:11" s="1011" customFormat="1" ht="15" x14ac:dyDescent="0.25">
      <c r="A9185" s="859">
        <f t="shared" si="158"/>
        <v>9184</v>
      </c>
      <c r="B9185" s="845" t="s">
        <v>2564</v>
      </c>
      <c r="C9185" s="1007">
        <f t="shared" si="157"/>
        <v>20</v>
      </c>
      <c r="D9185" s="1012"/>
      <c r="I9185" s="1011" t="s">
        <v>2183</v>
      </c>
      <c r="K9185" s="1013"/>
    </row>
    <row r="9186" spans="1:11" s="1011" customFormat="1" ht="15" x14ac:dyDescent="0.25">
      <c r="A9186" s="859">
        <f t="shared" si="158"/>
        <v>9185</v>
      </c>
      <c r="B9186" s="845" t="s">
        <v>2564</v>
      </c>
      <c r="C9186" s="1007">
        <f t="shared" si="157"/>
        <v>20</v>
      </c>
      <c r="D9186" s="1015"/>
      <c r="I9186" s="1011" t="str">
        <f>CONCATENATE("&lt;valeur&gt;",VLOOKUP(C9186,'T16 Amort'!A:K,11,0),"&lt;/valeur&gt;")</f>
        <v>&lt;valeur&gt;&lt;/valeur&gt;</v>
      </c>
      <c r="K9186" s="1013"/>
    </row>
    <row r="9187" spans="1:11" s="1011" customFormat="1" ht="15" x14ac:dyDescent="0.25">
      <c r="A9187" s="859">
        <f t="shared" si="158"/>
        <v>9186</v>
      </c>
      <c r="B9187" s="845" t="s">
        <v>2564</v>
      </c>
      <c r="C9187" s="1007">
        <f t="shared" si="157"/>
        <v>20</v>
      </c>
      <c r="D9187" s="1012"/>
      <c r="I9187" s="1011" t="str">
        <f>CONCATENATE("&lt;numeroLigne&gt;",C9187,"&lt;/numeroLigne&gt;")</f>
        <v>&lt;numeroLigne&gt;20&lt;/numeroLigne&gt;</v>
      </c>
      <c r="K9187" s="1013"/>
    </row>
    <row r="9188" spans="1:11" s="1011" customFormat="1" ht="15" x14ac:dyDescent="0.25">
      <c r="A9188" s="859">
        <f t="shared" si="158"/>
        <v>9187</v>
      </c>
      <c r="B9188" s="845" t="s">
        <v>2564</v>
      </c>
      <c r="C9188" s="1007">
        <f t="shared" si="157"/>
        <v>20</v>
      </c>
      <c r="D9188" s="1016"/>
      <c r="E9188" s="1017"/>
      <c r="F9188" s="1017"/>
      <c r="G9188" s="1017"/>
      <c r="H9188" s="1017" t="s">
        <v>1010</v>
      </c>
      <c r="I9188" s="1017"/>
      <c r="J9188" s="1017"/>
      <c r="K9188" s="1018"/>
    </row>
    <row r="9189" spans="1:11" s="1011" customFormat="1" ht="15" x14ac:dyDescent="0.25">
      <c r="A9189" s="859">
        <f t="shared" si="158"/>
        <v>9188</v>
      </c>
      <c r="B9189" s="845" t="s">
        <v>2564</v>
      </c>
      <c r="C9189" s="1007">
        <f t="shared" si="157"/>
        <v>21</v>
      </c>
      <c r="D9189" s="1008"/>
      <c r="E9189" s="1009"/>
      <c r="F9189" s="1009"/>
      <c r="G9189" s="1009"/>
      <c r="H9189" s="1009" t="s">
        <v>1007</v>
      </c>
      <c r="I9189" s="1009"/>
      <c r="J9189" s="1009"/>
      <c r="K9189" s="1010"/>
    </row>
    <row r="9190" spans="1:11" s="1011" customFormat="1" ht="15" x14ac:dyDescent="0.25">
      <c r="A9190" s="859">
        <f t="shared" si="158"/>
        <v>9189</v>
      </c>
      <c r="B9190" s="845" t="s">
        <v>2564</v>
      </c>
      <c r="C9190" s="1007">
        <f t="shared" si="157"/>
        <v>21</v>
      </c>
      <c r="D9190" s="1012"/>
      <c r="I9190" s="1011" t="s">
        <v>2174</v>
      </c>
      <c r="K9190" s="1013"/>
    </row>
    <row r="9191" spans="1:11" s="1011" customFormat="1" ht="15" x14ac:dyDescent="0.25">
      <c r="A9191" s="859">
        <f t="shared" si="158"/>
        <v>9190</v>
      </c>
      <c r="B9191" s="845" t="s">
        <v>2564</v>
      </c>
      <c r="C9191" s="1007">
        <f t="shared" si="157"/>
        <v>21</v>
      </c>
      <c r="D9191" s="1014"/>
      <c r="I9191" s="1011" t="str">
        <f>CONCATENATE("&lt;valeur&gt;",VLOOKUP(C9191,'T16 Amort'!A:K,2,0),"&lt;/valeur&gt;")</f>
        <v>&lt;valeur&gt;&lt;/valeur&gt;</v>
      </c>
      <c r="K9191" s="1013"/>
    </row>
    <row r="9192" spans="1:11" s="1011" customFormat="1" ht="15" x14ac:dyDescent="0.25">
      <c r="A9192" s="859">
        <f t="shared" si="158"/>
        <v>9191</v>
      </c>
      <c r="B9192" s="845" t="s">
        <v>2564</v>
      </c>
      <c r="C9192" s="1007">
        <f t="shared" si="157"/>
        <v>21</v>
      </c>
      <c r="D9192" s="1014"/>
      <c r="I9192" s="1011" t="str">
        <f>CONCATENATE("&lt;numeroLigne&gt;",C9192,"&lt;/numeroLigne&gt;")</f>
        <v>&lt;numeroLigne&gt;21&lt;/numeroLigne&gt;</v>
      </c>
      <c r="K9192" s="1013"/>
    </row>
    <row r="9193" spans="1:11" s="1011" customFormat="1" ht="15" x14ac:dyDescent="0.25">
      <c r="A9193" s="859">
        <f t="shared" si="158"/>
        <v>9192</v>
      </c>
      <c r="B9193" s="845" t="s">
        <v>2564</v>
      </c>
      <c r="C9193" s="1007">
        <f t="shared" si="157"/>
        <v>21</v>
      </c>
      <c r="D9193" s="1012"/>
      <c r="H9193" s="1011" t="s">
        <v>1010</v>
      </c>
      <c r="K9193" s="1013"/>
    </row>
    <row r="9194" spans="1:11" s="1011" customFormat="1" ht="15" x14ac:dyDescent="0.25">
      <c r="A9194" s="859">
        <f t="shared" si="158"/>
        <v>9193</v>
      </c>
      <c r="B9194" s="845" t="s">
        <v>2564</v>
      </c>
      <c r="C9194" s="1007">
        <f t="shared" si="157"/>
        <v>21</v>
      </c>
      <c r="D9194" s="1015"/>
      <c r="H9194" s="1011" t="s">
        <v>1007</v>
      </c>
      <c r="K9194" s="1013"/>
    </row>
    <row r="9195" spans="1:11" s="1011" customFormat="1" ht="15" x14ac:dyDescent="0.25">
      <c r="A9195" s="859">
        <f t="shared" si="158"/>
        <v>9194</v>
      </c>
      <c r="B9195" s="845" t="s">
        <v>2564</v>
      </c>
      <c r="C9195" s="1007">
        <f t="shared" si="157"/>
        <v>21</v>
      </c>
      <c r="D9195" s="1012"/>
      <c r="I9195" s="1011" t="s">
        <v>2175</v>
      </c>
      <c r="K9195" s="1013"/>
    </row>
    <row r="9196" spans="1:11" s="1011" customFormat="1" ht="15" x14ac:dyDescent="0.25">
      <c r="A9196" s="859">
        <f t="shared" si="158"/>
        <v>9195</v>
      </c>
      <c r="B9196" s="845" t="s">
        <v>2564</v>
      </c>
      <c r="C9196" s="1007">
        <f t="shared" si="157"/>
        <v>21</v>
      </c>
      <c r="D9196" s="1012"/>
      <c r="I9196" s="1011" t="str">
        <f>CONCATENATE("&lt;valeur&gt;",VLOOKUP(C9196,'T16 Amort'!A:K,3,0),"&lt;/valeur&gt;")</f>
        <v>&lt;valeur&gt;&lt;/valeur&gt;</v>
      </c>
      <c r="K9196" s="1013"/>
    </row>
    <row r="9197" spans="1:11" s="1011" customFormat="1" ht="15" x14ac:dyDescent="0.25">
      <c r="A9197" s="859">
        <f t="shared" si="158"/>
        <v>9196</v>
      </c>
      <c r="B9197" s="845" t="s">
        <v>2564</v>
      </c>
      <c r="C9197" s="1007">
        <f t="shared" si="157"/>
        <v>21</v>
      </c>
      <c r="D9197" s="1014"/>
      <c r="I9197" s="1011" t="str">
        <f>CONCATENATE("&lt;numeroLigne&gt;",C9197,"&lt;/numeroLigne&gt;")</f>
        <v>&lt;numeroLigne&gt;21&lt;/numeroLigne&gt;</v>
      </c>
      <c r="K9197" s="1013"/>
    </row>
    <row r="9198" spans="1:11" s="1011" customFormat="1" ht="15" x14ac:dyDescent="0.25">
      <c r="A9198" s="859">
        <f t="shared" si="158"/>
        <v>9197</v>
      </c>
      <c r="B9198" s="845" t="s">
        <v>2564</v>
      </c>
      <c r="C9198" s="1007">
        <f t="shared" si="157"/>
        <v>21</v>
      </c>
      <c r="D9198" s="1014"/>
      <c r="H9198" s="1011" t="s">
        <v>1010</v>
      </c>
      <c r="K9198" s="1013"/>
    </row>
    <row r="9199" spans="1:11" s="1011" customFormat="1" ht="15" x14ac:dyDescent="0.25">
      <c r="A9199" s="859">
        <f t="shared" si="158"/>
        <v>9198</v>
      </c>
      <c r="B9199" s="845" t="s">
        <v>2564</v>
      </c>
      <c r="C9199" s="1007">
        <f t="shared" ref="C9199:C9262" si="159">C9149+1</f>
        <v>21</v>
      </c>
      <c r="D9199" s="1012"/>
      <c r="H9199" s="1011" t="s">
        <v>1007</v>
      </c>
      <c r="K9199" s="1013"/>
    </row>
    <row r="9200" spans="1:11" s="1011" customFormat="1" ht="15" x14ac:dyDescent="0.25">
      <c r="A9200" s="859">
        <f t="shared" si="158"/>
        <v>9199</v>
      </c>
      <c r="B9200" s="845" t="s">
        <v>2564</v>
      </c>
      <c r="C9200" s="1007">
        <f t="shared" si="159"/>
        <v>21</v>
      </c>
      <c r="D9200" s="1015"/>
      <c r="I9200" s="1011" t="s">
        <v>2176</v>
      </c>
      <c r="K9200" s="1013"/>
    </row>
    <row r="9201" spans="1:11" s="1011" customFormat="1" ht="15" x14ac:dyDescent="0.25">
      <c r="A9201" s="859">
        <f t="shared" si="158"/>
        <v>9200</v>
      </c>
      <c r="B9201" s="845" t="s">
        <v>2564</v>
      </c>
      <c r="C9201" s="1007">
        <f t="shared" si="159"/>
        <v>21</v>
      </c>
      <c r="D9201" s="1012"/>
      <c r="I9201" s="1011" t="str">
        <f>CONCATENATE("&lt;valeur&gt;",VLOOKUP(C9201,'T16 Amort'!A:K,4,0),"&lt;/valeur&gt;")</f>
        <v>&lt;valeur&gt;&lt;/valeur&gt;</v>
      </c>
      <c r="K9201" s="1013"/>
    </row>
    <row r="9202" spans="1:11" s="1011" customFormat="1" ht="15" x14ac:dyDescent="0.25">
      <c r="A9202" s="859">
        <f t="shared" si="158"/>
        <v>9201</v>
      </c>
      <c r="B9202" s="845" t="s">
        <v>2564</v>
      </c>
      <c r="C9202" s="1007">
        <f t="shared" si="159"/>
        <v>21</v>
      </c>
      <c r="D9202" s="1012"/>
      <c r="I9202" s="1011" t="str">
        <f>CONCATENATE("&lt;numeroLigne&gt;",C9202,"&lt;/numeroLigne&gt;")</f>
        <v>&lt;numeroLigne&gt;21&lt;/numeroLigne&gt;</v>
      </c>
      <c r="K9202" s="1013"/>
    </row>
    <row r="9203" spans="1:11" s="1011" customFormat="1" ht="15" x14ac:dyDescent="0.25">
      <c r="A9203" s="859">
        <f t="shared" si="158"/>
        <v>9202</v>
      </c>
      <c r="B9203" s="845" t="s">
        <v>2564</v>
      </c>
      <c r="C9203" s="1007">
        <f t="shared" si="159"/>
        <v>21</v>
      </c>
      <c r="D9203" s="1014"/>
      <c r="H9203" s="1011" t="s">
        <v>1010</v>
      </c>
      <c r="K9203" s="1013"/>
    </row>
    <row r="9204" spans="1:11" s="1011" customFormat="1" ht="15" x14ac:dyDescent="0.25">
      <c r="A9204" s="859">
        <f t="shared" si="158"/>
        <v>9203</v>
      </c>
      <c r="B9204" s="845" t="s">
        <v>2564</v>
      </c>
      <c r="C9204" s="1007">
        <f t="shared" si="159"/>
        <v>21</v>
      </c>
      <c r="D9204" s="1014"/>
      <c r="H9204" s="1011" t="s">
        <v>1007</v>
      </c>
      <c r="K9204" s="1013"/>
    </row>
    <row r="9205" spans="1:11" s="1011" customFormat="1" ht="15" x14ac:dyDescent="0.25">
      <c r="A9205" s="859">
        <f t="shared" si="158"/>
        <v>9204</v>
      </c>
      <c r="B9205" s="845" t="s">
        <v>2564</v>
      </c>
      <c r="C9205" s="1007">
        <f t="shared" si="159"/>
        <v>21</v>
      </c>
      <c r="D9205" s="1012"/>
      <c r="I9205" s="1011" t="s">
        <v>2177</v>
      </c>
      <c r="K9205" s="1013"/>
    </row>
    <row r="9206" spans="1:11" s="1011" customFormat="1" ht="15" x14ac:dyDescent="0.25">
      <c r="A9206" s="859">
        <f t="shared" si="158"/>
        <v>9205</v>
      </c>
      <c r="B9206" s="845" t="s">
        <v>2564</v>
      </c>
      <c r="C9206" s="1007">
        <f t="shared" si="159"/>
        <v>21</v>
      </c>
      <c r="D9206" s="1015"/>
      <c r="I9206" s="1011" t="str">
        <f>CONCATENATE("&lt;valeur&gt;",VLOOKUP(C9206,'T16 Amort'!A:K,5,0),"&lt;/valeur&gt;")</f>
        <v>&lt;valeur&gt;&lt;/valeur&gt;</v>
      </c>
      <c r="K9206" s="1013"/>
    </row>
    <row r="9207" spans="1:11" s="1011" customFormat="1" ht="15" x14ac:dyDescent="0.25">
      <c r="A9207" s="859">
        <f t="shared" si="158"/>
        <v>9206</v>
      </c>
      <c r="B9207" s="845" t="s">
        <v>2564</v>
      </c>
      <c r="C9207" s="1007">
        <f t="shared" si="159"/>
        <v>21</v>
      </c>
      <c r="D9207" s="1012"/>
      <c r="I9207" s="1011" t="str">
        <f>CONCATENATE("&lt;numeroLigne&gt;",C9207,"&lt;/numeroLigne&gt;")</f>
        <v>&lt;numeroLigne&gt;21&lt;/numeroLigne&gt;</v>
      </c>
      <c r="K9207" s="1013"/>
    </row>
    <row r="9208" spans="1:11" s="1011" customFormat="1" ht="15" x14ac:dyDescent="0.25">
      <c r="A9208" s="859">
        <f t="shared" si="158"/>
        <v>9207</v>
      </c>
      <c r="B9208" s="845" t="s">
        <v>2564</v>
      </c>
      <c r="C9208" s="1007">
        <f t="shared" si="159"/>
        <v>21</v>
      </c>
      <c r="D9208" s="1012"/>
      <c r="H9208" s="1011" t="s">
        <v>1010</v>
      </c>
      <c r="K9208" s="1013"/>
    </row>
    <row r="9209" spans="1:11" s="1011" customFormat="1" ht="15" x14ac:dyDescent="0.25">
      <c r="A9209" s="859">
        <f t="shared" si="158"/>
        <v>9208</v>
      </c>
      <c r="B9209" s="845" t="s">
        <v>2564</v>
      </c>
      <c r="C9209" s="1007">
        <f t="shared" si="159"/>
        <v>21</v>
      </c>
      <c r="D9209" s="1014"/>
      <c r="H9209" s="1011" t="s">
        <v>1007</v>
      </c>
      <c r="K9209" s="1013"/>
    </row>
    <row r="9210" spans="1:11" s="1011" customFormat="1" ht="15" x14ac:dyDescent="0.25">
      <c r="A9210" s="859">
        <f t="shared" si="158"/>
        <v>9209</v>
      </c>
      <c r="B9210" s="845" t="s">
        <v>2564</v>
      </c>
      <c r="C9210" s="1007">
        <f t="shared" si="159"/>
        <v>21</v>
      </c>
      <c r="D9210" s="1014"/>
      <c r="I9210" s="1011" t="s">
        <v>2178</v>
      </c>
      <c r="K9210" s="1013"/>
    </row>
    <row r="9211" spans="1:11" s="1011" customFormat="1" ht="15" x14ac:dyDescent="0.25">
      <c r="A9211" s="859">
        <f t="shared" si="158"/>
        <v>9210</v>
      </c>
      <c r="B9211" s="845" t="s">
        <v>2564</v>
      </c>
      <c r="C9211" s="1007">
        <f t="shared" si="159"/>
        <v>21</v>
      </c>
      <c r="D9211" s="1012"/>
      <c r="I9211" s="1011" t="str">
        <f>CONCATENATE("&lt;valeur&gt;",VLOOKUP(C9211,'T16 Amort'!A:K,6,0),"&lt;/valeur&gt;")</f>
        <v>&lt;valeur&gt;&lt;/valeur&gt;</v>
      </c>
      <c r="K9211" s="1013"/>
    </row>
    <row r="9212" spans="1:11" s="1011" customFormat="1" ht="15" x14ac:dyDescent="0.25">
      <c r="A9212" s="859">
        <f t="shared" si="158"/>
        <v>9211</v>
      </c>
      <c r="B9212" s="845" t="s">
        <v>2564</v>
      </c>
      <c r="C9212" s="1007">
        <f t="shared" si="159"/>
        <v>21</v>
      </c>
      <c r="D9212" s="1015"/>
      <c r="I9212" s="1011" t="str">
        <f>CONCATENATE("&lt;numeroLigne&gt;",C9212,"&lt;/numeroLigne&gt;")</f>
        <v>&lt;numeroLigne&gt;21&lt;/numeroLigne&gt;</v>
      </c>
      <c r="K9212" s="1013"/>
    </row>
    <row r="9213" spans="1:11" s="1011" customFormat="1" ht="15" x14ac:dyDescent="0.25">
      <c r="A9213" s="859">
        <f t="shared" si="158"/>
        <v>9212</v>
      </c>
      <c r="B9213" s="845" t="s">
        <v>2564</v>
      </c>
      <c r="C9213" s="1007">
        <f t="shared" si="159"/>
        <v>21</v>
      </c>
      <c r="D9213" s="1012"/>
      <c r="H9213" s="1011" t="s">
        <v>1010</v>
      </c>
      <c r="K9213" s="1013"/>
    </row>
    <row r="9214" spans="1:11" s="1011" customFormat="1" ht="15" x14ac:dyDescent="0.25">
      <c r="A9214" s="859">
        <f t="shared" si="158"/>
        <v>9213</v>
      </c>
      <c r="B9214" s="845" t="s">
        <v>2564</v>
      </c>
      <c r="C9214" s="1007">
        <f t="shared" si="159"/>
        <v>21</v>
      </c>
      <c r="D9214" s="1012"/>
      <c r="H9214" s="1011" t="s">
        <v>1007</v>
      </c>
      <c r="K9214" s="1013"/>
    </row>
    <row r="9215" spans="1:11" s="1011" customFormat="1" ht="15" x14ac:dyDescent="0.25">
      <c r="A9215" s="859">
        <f t="shared" si="158"/>
        <v>9214</v>
      </c>
      <c r="B9215" s="845" t="s">
        <v>2564</v>
      </c>
      <c r="C9215" s="1007">
        <f t="shared" si="159"/>
        <v>21</v>
      </c>
      <c r="D9215" s="1014"/>
      <c r="I9215" s="1011" t="s">
        <v>2179</v>
      </c>
      <c r="K9215" s="1013"/>
    </row>
    <row r="9216" spans="1:11" s="1011" customFormat="1" ht="15" x14ac:dyDescent="0.25">
      <c r="A9216" s="859">
        <f t="shared" si="158"/>
        <v>9215</v>
      </c>
      <c r="B9216" s="845" t="s">
        <v>2564</v>
      </c>
      <c r="C9216" s="1007">
        <f t="shared" si="159"/>
        <v>21</v>
      </c>
      <c r="D9216" s="1014"/>
      <c r="I9216" s="1011" t="str">
        <f>CONCATENATE("&lt;valeur&gt;",VLOOKUP(C9216,'T16 Amort'!A:K,7,0),"&lt;/valeur&gt;")</f>
        <v>&lt;valeur&gt;&lt;/valeur&gt;</v>
      </c>
      <c r="K9216" s="1013"/>
    </row>
    <row r="9217" spans="1:11" s="1011" customFormat="1" ht="15" x14ac:dyDescent="0.25">
      <c r="A9217" s="859">
        <f t="shared" si="158"/>
        <v>9216</v>
      </c>
      <c r="B9217" s="845" t="s">
        <v>2564</v>
      </c>
      <c r="C9217" s="1007">
        <f t="shared" si="159"/>
        <v>21</v>
      </c>
      <c r="D9217" s="1012"/>
      <c r="I9217" s="1011" t="str">
        <f>CONCATENATE("&lt;numeroLigne&gt;",C9217,"&lt;/numeroLigne&gt;")</f>
        <v>&lt;numeroLigne&gt;21&lt;/numeroLigne&gt;</v>
      </c>
      <c r="K9217" s="1013"/>
    </row>
    <row r="9218" spans="1:11" s="1011" customFormat="1" ht="15" x14ac:dyDescent="0.25">
      <c r="A9218" s="859">
        <f t="shared" si="158"/>
        <v>9217</v>
      </c>
      <c r="B9218" s="845" t="s">
        <v>2564</v>
      </c>
      <c r="C9218" s="1007">
        <f t="shared" si="159"/>
        <v>21</v>
      </c>
      <c r="D9218" s="1015"/>
      <c r="H9218" s="1011" t="s">
        <v>1010</v>
      </c>
      <c r="K9218" s="1013"/>
    </row>
    <row r="9219" spans="1:11" s="1011" customFormat="1" ht="15" x14ac:dyDescent="0.25">
      <c r="A9219" s="859">
        <f t="shared" si="158"/>
        <v>9218</v>
      </c>
      <c r="B9219" s="845" t="s">
        <v>2564</v>
      </c>
      <c r="C9219" s="1007">
        <f t="shared" si="159"/>
        <v>21</v>
      </c>
      <c r="D9219" s="1012"/>
      <c r="H9219" s="1011" t="s">
        <v>1007</v>
      </c>
      <c r="K9219" s="1013"/>
    </row>
    <row r="9220" spans="1:11" s="1011" customFormat="1" ht="15" x14ac:dyDescent="0.25">
      <c r="A9220" s="859">
        <f t="shared" ref="A9220:A9283" si="160">+A9219+1</f>
        <v>9219</v>
      </c>
      <c r="B9220" s="845" t="s">
        <v>2564</v>
      </c>
      <c r="C9220" s="1007">
        <f t="shared" si="159"/>
        <v>21</v>
      </c>
      <c r="D9220" s="1012"/>
      <c r="I9220" s="1011" t="s">
        <v>2180</v>
      </c>
      <c r="K9220" s="1013"/>
    </row>
    <row r="9221" spans="1:11" s="1011" customFormat="1" ht="15" x14ac:dyDescent="0.25">
      <c r="A9221" s="859">
        <f t="shared" si="160"/>
        <v>9220</v>
      </c>
      <c r="B9221" s="845" t="s">
        <v>2564</v>
      </c>
      <c r="C9221" s="1007">
        <f t="shared" si="159"/>
        <v>21</v>
      </c>
      <c r="D9221" s="1014"/>
      <c r="I9221" s="1011" t="str">
        <f>CONCATENATE("&lt;valeur&gt;",VLOOKUP(C9221,'T16 Amort'!A:K,8,0),"&lt;/valeur&gt;")</f>
        <v>&lt;valeur&gt;&lt;/valeur&gt;</v>
      </c>
      <c r="K9221" s="1013"/>
    </row>
    <row r="9222" spans="1:11" s="1011" customFormat="1" ht="15" x14ac:dyDescent="0.25">
      <c r="A9222" s="859">
        <f t="shared" si="160"/>
        <v>9221</v>
      </c>
      <c r="B9222" s="845" t="s">
        <v>2564</v>
      </c>
      <c r="C9222" s="1007">
        <f t="shared" si="159"/>
        <v>21</v>
      </c>
      <c r="D9222" s="1014"/>
      <c r="I9222" s="1011" t="str">
        <f>CONCATENATE("&lt;numeroLigne&gt;",C9222,"&lt;/numeroLigne&gt;")</f>
        <v>&lt;numeroLigne&gt;21&lt;/numeroLigne&gt;</v>
      </c>
      <c r="K9222" s="1013"/>
    </row>
    <row r="9223" spans="1:11" s="1011" customFormat="1" ht="15" x14ac:dyDescent="0.25">
      <c r="A9223" s="859">
        <f t="shared" si="160"/>
        <v>9222</v>
      </c>
      <c r="B9223" s="845" t="s">
        <v>2564</v>
      </c>
      <c r="C9223" s="1007">
        <f t="shared" si="159"/>
        <v>21</v>
      </c>
      <c r="D9223" s="1012"/>
      <c r="H9223" s="1011" t="s">
        <v>1010</v>
      </c>
      <c r="K9223" s="1013"/>
    </row>
    <row r="9224" spans="1:11" s="1011" customFormat="1" ht="15" x14ac:dyDescent="0.25">
      <c r="A9224" s="859">
        <f t="shared" si="160"/>
        <v>9223</v>
      </c>
      <c r="B9224" s="845" t="s">
        <v>2564</v>
      </c>
      <c r="C9224" s="1007">
        <f t="shared" si="159"/>
        <v>21</v>
      </c>
      <c r="D9224" s="1015"/>
      <c r="H9224" s="1011" t="s">
        <v>1007</v>
      </c>
      <c r="K9224" s="1013"/>
    </row>
    <row r="9225" spans="1:11" s="1011" customFormat="1" ht="15" x14ac:dyDescent="0.25">
      <c r="A9225" s="859">
        <f t="shared" si="160"/>
        <v>9224</v>
      </c>
      <c r="B9225" s="845" t="s">
        <v>2564</v>
      </c>
      <c r="C9225" s="1007">
        <f t="shared" si="159"/>
        <v>21</v>
      </c>
      <c r="D9225" s="1012"/>
      <c r="I9225" s="1011" t="s">
        <v>2181</v>
      </c>
      <c r="K9225" s="1013"/>
    </row>
    <row r="9226" spans="1:11" s="1011" customFormat="1" ht="15" x14ac:dyDescent="0.25">
      <c r="A9226" s="859">
        <f t="shared" si="160"/>
        <v>9225</v>
      </c>
      <c r="B9226" s="845" t="s">
        <v>2564</v>
      </c>
      <c r="C9226" s="1007">
        <f t="shared" si="159"/>
        <v>21</v>
      </c>
      <c r="D9226" s="1012"/>
      <c r="I9226" s="1011" t="str">
        <f>CONCATENATE("&lt;valeur&gt;",VLOOKUP(C9226,'T16 Amort'!A:K,9,0),"&lt;/valeur&gt;")</f>
        <v>&lt;valeur&gt;&lt;/valeur&gt;</v>
      </c>
      <c r="K9226" s="1013"/>
    </row>
    <row r="9227" spans="1:11" s="1011" customFormat="1" ht="15" x14ac:dyDescent="0.25">
      <c r="A9227" s="859">
        <f t="shared" si="160"/>
        <v>9226</v>
      </c>
      <c r="B9227" s="845" t="s">
        <v>2564</v>
      </c>
      <c r="C9227" s="1007">
        <f t="shared" si="159"/>
        <v>21</v>
      </c>
      <c r="D9227" s="1014"/>
      <c r="I9227" s="1011" t="str">
        <f>CONCATENATE("&lt;numeroLigne&gt;",C9227,"&lt;/numeroLigne&gt;")</f>
        <v>&lt;numeroLigne&gt;21&lt;/numeroLigne&gt;</v>
      </c>
      <c r="K9227" s="1013"/>
    </row>
    <row r="9228" spans="1:11" s="1011" customFormat="1" ht="15" x14ac:dyDescent="0.25">
      <c r="A9228" s="859">
        <f t="shared" si="160"/>
        <v>9227</v>
      </c>
      <c r="B9228" s="845" t="s">
        <v>2564</v>
      </c>
      <c r="C9228" s="1007">
        <f t="shared" si="159"/>
        <v>21</v>
      </c>
      <c r="D9228" s="1014"/>
      <c r="H9228" s="1011" t="s">
        <v>1010</v>
      </c>
      <c r="K9228" s="1013"/>
    </row>
    <row r="9229" spans="1:11" s="1011" customFormat="1" ht="15" x14ac:dyDescent="0.25">
      <c r="A9229" s="859">
        <f t="shared" si="160"/>
        <v>9228</v>
      </c>
      <c r="B9229" s="845" t="s">
        <v>2564</v>
      </c>
      <c r="C9229" s="1007">
        <f t="shared" si="159"/>
        <v>21</v>
      </c>
      <c r="D9229" s="1012"/>
      <c r="H9229" s="1011" t="s">
        <v>1007</v>
      </c>
      <c r="K9229" s="1013"/>
    </row>
    <row r="9230" spans="1:11" s="1011" customFormat="1" ht="15" x14ac:dyDescent="0.25">
      <c r="A9230" s="859">
        <f t="shared" si="160"/>
        <v>9229</v>
      </c>
      <c r="B9230" s="845" t="s">
        <v>2564</v>
      </c>
      <c r="C9230" s="1007">
        <f t="shared" si="159"/>
        <v>21</v>
      </c>
      <c r="D9230" s="1015"/>
      <c r="I9230" s="1011" t="s">
        <v>2182</v>
      </c>
      <c r="K9230" s="1013"/>
    </row>
    <row r="9231" spans="1:11" s="1011" customFormat="1" ht="15" x14ac:dyDescent="0.25">
      <c r="A9231" s="859">
        <f t="shared" si="160"/>
        <v>9230</v>
      </c>
      <c r="B9231" s="845" t="s">
        <v>2564</v>
      </c>
      <c r="C9231" s="1007">
        <f t="shared" si="159"/>
        <v>21</v>
      </c>
      <c r="D9231" s="1012"/>
      <c r="I9231" s="1011" t="str">
        <f>CONCATENATE("&lt;valeur&gt;",VLOOKUP(C9231,'T16 Amort'!A:K,10,0),"&lt;/valeur&gt;")</f>
        <v>&lt;valeur&gt;&lt;/valeur&gt;</v>
      </c>
      <c r="K9231" s="1013"/>
    </row>
    <row r="9232" spans="1:11" s="1011" customFormat="1" ht="15" x14ac:dyDescent="0.25">
      <c r="A9232" s="859">
        <f t="shared" si="160"/>
        <v>9231</v>
      </c>
      <c r="B9232" s="845" t="s">
        <v>2564</v>
      </c>
      <c r="C9232" s="1007">
        <f t="shared" si="159"/>
        <v>21</v>
      </c>
      <c r="D9232" s="1012"/>
      <c r="I9232" s="1011" t="str">
        <f>CONCATENATE("&lt;numeroLigne&gt;",C9232,"&lt;/numeroLigne&gt;")</f>
        <v>&lt;numeroLigne&gt;21&lt;/numeroLigne&gt;</v>
      </c>
      <c r="K9232" s="1013"/>
    </row>
    <row r="9233" spans="1:11" s="1011" customFormat="1" ht="15" x14ac:dyDescent="0.25">
      <c r="A9233" s="859">
        <f t="shared" si="160"/>
        <v>9232</v>
      </c>
      <c r="B9233" s="845" t="s">
        <v>2564</v>
      </c>
      <c r="C9233" s="1007">
        <f t="shared" si="159"/>
        <v>21</v>
      </c>
      <c r="D9233" s="1014"/>
      <c r="H9233" s="1011" t="s">
        <v>1010</v>
      </c>
      <c r="K9233" s="1013"/>
    </row>
    <row r="9234" spans="1:11" s="1011" customFormat="1" ht="15" x14ac:dyDescent="0.25">
      <c r="A9234" s="859">
        <f t="shared" si="160"/>
        <v>9233</v>
      </c>
      <c r="B9234" s="845" t="s">
        <v>2564</v>
      </c>
      <c r="C9234" s="1007">
        <f t="shared" si="159"/>
        <v>21</v>
      </c>
      <c r="D9234" s="1014"/>
      <c r="H9234" s="1011" t="s">
        <v>1007</v>
      </c>
      <c r="K9234" s="1013"/>
    </row>
    <row r="9235" spans="1:11" s="1011" customFormat="1" ht="15" x14ac:dyDescent="0.25">
      <c r="A9235" s="859">
        <f t="shared" si="160"/>
        <v>9234</v>
      </c>
      <c r="B9235" s="845" t="s">
        <v>2564</v>
      </c>
      <c r="C9235" s="1007">
        <f t="shared" si="159"/>
        <v>21</v>
      </c>
      <c r="D9235" s="1012"/>
      <c r="I9235" s="1011" t="s">
        <v>2183</v>
      </c>
      <c r="K9235" s="1013"/>
    </row>
    <row r="9236" spans="1:11" s="1011" customFormat="1" ht="15" x14ac:dyDescent="0.25">
      <c r="A9236" s="859">
        <f t="shared" si="160"/>
        <v>9235</v>
      </c>
      <c r="B9236" s="845" t="s">
        <v>2564</v>
      </c>
      <c r="C9236" s="1007">
        <f t="shared" si="159"/>
        <v>21</v>
      </c>
      <c r="D9236" s="1015"/>
      <c r="I9236" s="1011" t="str">
        <f>CONCATENATE("&lt;valeur&gt;",VLOOKUP(C9236,'T16 Amort'!A:K,11,0),"&lt;/valeur&gt;")</f>
        <v>&lt;valeur&gt;&lt;/valeur&gt;</v>
      </c>
      <c r="K9236" s="1013"/>
    </row>
    <row r="9237" spans="1:11" s="1011" customFormat="1" ht="15" x14ac:dyDescent="0.25">
      <c r="A9237" s="859">
        <f t="shared" si="160"/>
        <v>9236</v>
      </c>
      <c r="B9237" s="845" t="s">
        <v>2564</v>
      </c>
      <c r="C9237" s="1007">
        <f t="shared" si="159"/>
        <v>21</v>
      </c>
      <c r="D9237" s="1012"/>
      <c r="I9237" s="1011" t="str">
        <f>CONCATENATE("&lt;numeroLigne&gt;",C9237,"&lt;/numeroLigne&gt;")</f>
        <v>&lt;numeroLigne&gt;21&lt;/numeroLigne&gt;</v>
      </c>
      <c r="K9237" s="1013"/>
    </row>
    <row r="9238" spans="1:11" s="1011" customFormat="1" ht="15" x14ac:dyDescent="0.25">
      <c r="A9238" s="859">
        <f t="shared" si="160"/>
        <v>9237</v>
      </c>
      <c r="B9238" s="845" t="s">
        <v>2564</v>
      </c>
      <c r="C9238" s="1007">
        <f t="shared" si="159"/>
        <v>21</v>
      </c>
      <c r="D9238" s="1016"/>
      <c r="E9238" s="1017"/>
      <c r="F9238" s="1017"/>
      <c r="G9238" s="1017"/>
      <c r="H9238" s="1017" t="s">
        <v>1010</v>
      </c>
      <c r="I9238" s="1017"/>
      <c r="J9238" s="1017"/>
      <c r="K9238" s="1018"/>
    </row>
    <row r="9239" spans="1:11" s="1011" customFormat="1" ht="15" x14ac:dyDescent="0.25">
      <c r="A9239" s="859">
        <f t="shared" si="160"/>
        <v>9238</v>
      </c>
      <c r="B9239" s="845" t="s">
        <v>2564</v>
      </c>
      <c r="C9239" s="1007">
        <f t="shared" si="159"/>
        <v>22</v>
      </c>
      <c r="D9239" s="1008"/>
      <c r="E9239" s="1009"/>
      <c r="F9239" s="1009"/>
      <c r="G9239" s="1009"/>
      <c r="H9239" s="1009" t="s">
        <v>1007</v>
      </c>
      <c r="I9239" s="1009"/>
      <c r="J9239" s="1009"/>
      <c r="K9239" s="1010"/>
    </row>
    <row r="9240" spans="1:11" s="1011" customFormat="1" ht="15" x14ac:dyDescent="0.25">
      <c r="A9240" s="859">
        <f t="shared" si="160"/>
        <v>9239</v>
      </c>
      <c r="B9240" s="845" t="s">
        <v>2564</v>
      </c>
      <c r="C9240" s="1007">
        <f t="shared" si="159"/>
        <v>22</v>
      </c>
      <c r="D9240" s="1012"/>
      <c r="I9240" s="1011" t="s">
        <v>2174</v>
      </c>
      <c r="K9240" s="1013"/>
    </row>
    <row r="9241" spans="1:11" s="1011" customFormat="1" ht="15" x14ac:dyDescent="0.25">
      <c r="A9241" s="859">
        <f t="shared" si="160"/>
        <v>9240</v>
      </c>
      <c r="B9241" s="845" t="s">
        <v>2564</v>
      </c>
      <c r="C9241" s="1007">
        <f t="shared" si="159"/>
        <v>22</v>
      </c>
      <c r="D9241" s="1014"/>
      <c r="I9241" s="1011" t="str">
        <f>CONCATENATE("&lt;valeur&gt;",VLOOKUP(C9241,'T16 Amort'!A:K,2,0),"&lt;/valeur&gt;")</f>
        <v>&lt;valeur&gt;&lt;/valeur&gt;</v>
      </c>
      <c r="K9241" s="1013"/>
    </row>
    <row r="9242" spans="1:11" s="1011" customFormat="1" ht="15" x14ac:dyDescent="0.25">
      <c r="A9242" s="859">
        <f t="shared" si="160"/>
        <v>9241</v>
      </c>
      <c r="B9242" s="845" t="s">
        <v>2564</v>
      </c>
      <c r="C9242" s="1007">
        <f t="shared" si="159"/>
        <v>22</v>
      </c>
      <c r="D9242" s="1014"/>
      <c r="I9242" s="1011" t="str">
        <f>CONCATENATE("&lt;numeroLigne&gt;",C9242,"&lt;/numeroLigne&gt;")</f>
        <v>&lt;numeroLigne&gt;22&lt;/numeroLigne&gt;</v>
      </c>
      <c r="K9242" s="1013"/>
    </row>
    <row r="9243" spans="1:11" s="1011" customFormat="1" ht="15" x14ac:dyDescent="0.25">
      <c r="A9243" s="859">
        <f t="shared" si="160"/>
        <v>9242</v>
      </c>
      <c r="B9243" s="845" t="s">
        <v>2564</v>
      </c>
      <c r="C9243" s="1007">
        <f t="shared" si="159"/>
        <v>22</v>
      </c>
      <c r="D9243" s="1012"/>
      <c r="H9243" s="1011" t="s">
        <v>1010</v>
      </c>
      <c r="K9243" s="1013"/>
    </row>
    <row r="9244" spans="1:11" s="1011" customFormat="1" ht="15" x14ac:dyDescent="0.25">
      <c r="A9244" s="859">
        <f t="shared" si="160"/>
        <v>9243</v>
      </c>
      <c r="B9244" s="845" t="s">
        <v>2564</v>
      </c>
      <c r="C9244" s="1007">
        <f t="shared" si="159"/>
        <v>22</v>
      </c>
      <c r="D9244" s="1015"/>
      <c r="H9244" s="1011" t="s">
        <v>1007</v>
      </c>
      <c r="K9244" s="1013"/>
    </row>
    <row r="9245" spans="1:11" s="1011" customFormat="1" ht="15" x14ac:dyDescent="0.25">
      <c r="A9245" s="859">
        <f t="shared" si="160"/>
        <v>9244</v>
      </c>
      <c r="B9245" s="845" t="s">
        <v>2564</v>
      </c>
      <c r="C9245" s="1007">
        <f t="shared" si="159"/>
        <v>22</v>
      </c>
      <c r="D9245" s="1012"/>
      <c r="I9245" s="1011" t="s">
        <v>2175</v>
      </c>
      <c r="K9245" s="1013"/>
    </row>
    <row r="9246" spans="1:11" s="1011" customFormat="1" ht="15" x14ac:dyDescent="0.25">
      <c r="A9246" s="859">
        <f t="shared" si="160"/>
        <v>9245</v>
      </c>
      <c r="B9246" s="845" t="s">
        <v>2564</v>
      </c>
      <c r="C9246" s="1007">
        <f t="shared" si="159"/>
        <v>22</v>
      </c>
      <c r="D9246" s="1012"/>
      <c r="I9246" s="1011" t="str">
        <f>CONCATENATE("&lt;valeur&gt;",VLOOKUP(C9246,'T16 Amort'!A:K,3,0),"&lt;/valeur&gt;")</f>
        <v>&lt;valeur&gt;&lt;/valeur&gt;</v>
      </c>
      <c r="K9246" s="1013"/>
    </row>
    <row r="9247" spans="1:11" s="1011" customFormat="1" ht="15" x14ac:dyDescent="0.25">
      <c r="A9247" s="859">
        <f t="shared" si="160"/>
        <v>9246</v>
      </c>
      <c r="B9247" s="845" t="s">
        <v>2564</v>
      </c>
      <c r="C9247" s="1007">
        <f t="shared" si="159"/>
        <v>22</v>
      </c>
      <c r="D9247" s="1014"/>
      <c r="I9247" s="1011" t="str">
        <f>CONCATENATE("&lt;numeroLigne&gt;",C9247,"&lt;/numeroLigne&gt;")</f>
        <v>&lt;numeroLigne&gt;22&lt;/numeroLigne&gt;</v>
      </c>
      <c r="K9247" s="1013"/>
    </row>
    <row r="9248" spans="1:11" s="1011" customFormat="1" ht="15" x14ac:dyDescent="0.25">
      <c r="A9248" s="859">
        <f t="shared" si="160"/>
        <v>9247</v>
      </c>
      <c r="B9248" s="845" t="s">
        <v>2564</v>
      </c>
      <c r="C9248" s="1007">
        <f t="shared" si="159"/>
        <v>22</v>
      </c>
      <c r="D9248" s="1014"/>
      <c r="H9248" s="1011" t="s">
        <v>1010</v>
      </c>
      <c r="K9248" s="1013"/>
    </row>
    <row r="9249" spans="1:11" s="1011" customFormat="1" ht="15" x14ac:dyDescent="0.25">
      <c r="A9249" s="859">
        <f t="shared" si="160"/>
        <v>9248</v>
      </c>
      <c r="B9249" s="845" t="s">
        <v>2564</v>
      </c>
      <c r="C9249" s="1007">
        <f t="shared" si="159"/>
        <v>22</v>
      </c>
      <c r="D9249" s="1012"/>
      <c r="H9249" s="1011" t="s">
        <v>1007</v>
      </c>
      <c r="K9249" s="1013"/>
    </row>
    <row r="9250" spans="1:11" s="1011" customFormat="1" ht="15" x14ac:dyDescent="0.25">
      <c r="A9250" s="859">
        <f t="shared" si="160"/>
        <v>9249</v>
      </c>
      <c r="B9250" s="845" t="s">
        <v>2564</v>
      </c>
      <c r="C9250" s="1007">
        <f t="shared" si="159"/>
        <v>22</v>
      </c>
      <c r="D9250" s="1015"/>
      <c r="I9250" s="1011" t="s">
        <v>2176</v>
      </c>
      <c r="K9250" s="1013"/>
    </row>
    <row r="9251" spans="1:11" s="1011" customFormat="1" ht="15" x14ac:dyDescent="0.25">
      <c r="A9251" s="859">
        <f t="shared" si="160"/>
        <v>9250</v>
      </c>
      <c r="B9251" s="845" t="s">
        <v>2564</v>
      </c>
      <c r="C9251" s="1007">
        <f t="shared" si="159"/>
        <v>22</v>
      </c>
      <c r="D9251" s="1012"/>
      <c r="I9251" s="1011" t="str">
        <f>CONCATENATE("&lt;valeur&gt;",VLOOKUP(C9251,'T16 Amort'!A:K,4,0),"&lt;/valeur&gt;")</f>
        <v>&lt;valeur&gt;&lt;/valeur&gt;</v>
      </c>
      <c r="K9251" s="1013"/>
    </row>
    <row r="9252" spans="1:11" s="1011" customFormat="1" ht="15" x14ac:dyDescent="0.25">
      <c r="A9252" s="859">
        <f t="shared" si="160"/>
        <v>9251</v>
      </c>
      <c r="B9252" s="845" t="s">
        <v>2564</v>
      </c>
      <c r="C9252" s="1007">
        <f t="shared" si="159"/>
        <v>22</v>
      </c>
      <c r="D9252" s="1012"/>
      <c r="I9252" s="1011" t="str">
        <f>CONCATENATE("&lt;numeroLigne&gt;",C9252,"&lt;/numeroLigne&gt;")</f>
        <v>&lt;numeroLigne&gt;22&lt;/numeroLigne&gt;</v>
      </c>
      <c r="K9252" s="1013"/>
    </row>
    <row r="9253" spans="1:11" s="1011" customFormat="1" ht="15" x14ac:dyDescent="0.25">
      <c r="A9253" s="859">
        <f t="shared" si="160"/>
        <v>9252</v>
      </c>
      <c r="B9253" s="845" t="s">
        <v>2564</v>
      </c>
      <c r="C9253" s="1007">
        <f t="shared" si="159"/>
        <v>22</v>
      </c>
      <c r="D9253" s="1014"/>
      <c r="H9253" s="1011" t="s">
        <v>1010</v>
      </c>
      <c r="K9253" s="1013"/>
    </row>
    <row r="9254" spans="1:11" s="1011" customFormat="1" ht="15" x14ac:dyDescent="0.25">
      <c r="A9254" s="859">
        <f t="shared" si="160"/>
        <v>9253</v>
      </c>
      <c r="B9254" s="845" t="s">
        <v>2564</v>
      </c>
      <c r="C9254" s="1007">
        <f t="shared" si="159"/>
        <v>22</v>
      </c>
      <c r="D9254" s="1014"/>
      <c r="H9254" s="1011" t="s">
        <v>1007</v>
      </c>
      <c r="K9254" s="1013"/>
    </row>
    <row r="9255" spans="1:11" s="1011" customFormat="1" ht="15" x14ac:dyDescent="0.25">
      <c r="A9255" s="859">
        <f t="shared" si="160"/>
        <v>9254</v>
      </c>
      <c r="B9255" s="845" t="s">
        <v>2564</v>
      </c>
      <c r="C9255" s="1007">
        <f t="shared" si="159"/>
        <v>22</v>
      </c>
      <c r="D9255" s="1012"/>
      <c r="I9255" s="1011" t="s">
        <v>2177</v>
      </c>
      <c r="K9255" s="1013"/>
    </row>
    <row r="9256" spans="1:11" s="1011" customFormat="1" ht="15" x14ac:dyDescent="0.25">
      <c r="A9256" s="859">
        <f t="shared" si="160"/>
        <v>9255</v>
      </c>
      <c r="B9256" s="845" t="s">
        <v>2564</v>
      </c>
      <c r="C9256" s="1007">
        <f t="shared" si="159"/>
        <v>22</v>
      </c>
      <c r="D9256" s="1015"/>
      <c r="I9256" s="1011" t="str">
        <f>CONCATENATE("&lt;valeur&gt;",VLOOKUP(C9256,'T16 Amort'!A:K,5,0),"&lt;/valeur&gt;")</f>
        <v>&lt;valeur&gt;&lt;/valeur&gt;</v>
      </c>
      <c r="K9256" s="1013"/>
    </row>
    <row r="9257" spans="1:11" s="1011" customFormat="1" ht="15" x14ac:dyDescent="0.25">
      <c r="A9257" s="859">
        <f t="shared" si="160"/>
        <v>9256</v>
      </c>
      <c r="B9257" s="845" t="s">
        <v>2564</v>
      </c>
      <c r="C9257" s="1007">
        <f t="shared" si="159"/>
        <v>22</v>
      </c>
      <c r="D9257" s="1012"/>
      <c r="I9257" s="1011" t="str">
        <f>CONCATENATE("&lt;numeroLigne&gt;",C9257,"&lt;/numeroLigne&gt;")</f>
        <v>&lt;numeroLigne&gt;22&lt;/numeroLigne&gt;</v>
      </c>
      <c r="K9257" s="1013"/>
    </row>
    <row r="9258" spans="1:11" s="1011" customFormat="1" ht="15" x14ac:dyDescent="0.25">
      <c r="A9258" s="859">
        <f t="shared" si="160"/>
        <v>9257</v>
      </c>
      <c r="B9258" s="845" t="s">
        <v>2564</v>
      </c>
      <c r="C9258" s="1007">
        <f t="shared" si="159"/>
        <v>22</v>
      </c>
      <c r="D9258" s="1012"/>
      <c r="H9258" s="1011" t="s">
        <v>1010</v>
      </c>
      <c r="K9258" s="1013"/>
    </row>
    <row r="9259" spans="1:11" s="1011" customFormat="1" ht="15" x14ac:dyDescent="0.25">
      <c r="A9259" s="859">
        <f t="shared" si="160"/>
        <v>9258</v>
      </c>
      <c r="B9259" s="845" t="s">
        <v>2564</v>
      </c>
      <c r="C9259" s="1007">
        <f t="shared" si="159"/>
        <v>22</v>
      </c>
      <c r="D9259" s="1014"/>
      <c r="H9259" s="1011" t="s">
        <v>1007</v>
      </c>
      <c r="K9259" s="1013"/>
    </row>
    <row r="9260" spans="1:11" s="1011" customFormat="1" ht="15" x14ac:dyDescent="0.25">
      <c r="A9260" s="859">
        <f t="shared" si="160"/>
        <v>9259</v>
      </c>
      <c r="B9260" s="845" t="s">
        <v>2564</v>
      </c>
      <c r="C9260" s="1007">
        <f t="shared" si="159"/>
        <v>22</v>
      </c>
      <c r="D9260" s="1014"/>
      <c r="I9260" s="1011" t="s">
        <v>2178</v>
      </c>
      <c r="K9260" s="1013"/>
    </row>
    <row r="9261" spans="1:11" s="1011" customFormat="1" ht="15" x14ac:dyDescent="0.25">
      <c r="A9261" s="859">
        <f t="shared" si="160"/>
        <v>9260</v>
      </c>
      <c r="B9261" s="845" t="s">
        <v>2564</v>
      </c>
      <c r="C9261" s="1007">
        <f t="shared" si="159"/>
        <v>22</v>
      </c>
      <c r="D9261" s="1012"/>
      <c r="I9261" s="1011" t="str">
        <f>CONCATENATE("&lt;valeur&gt;",VLOOKUP(C9261,'T16 Amort'!A:K,6,0),"&lt;/valeur&gt;")</f>
        <v>&lt;valeur&gt;&lt;/valeur&gt;</v>
      </c>
      <c r="K9261" s="1013"/>
    </row>
    <row r="9262" spans="1:11" s="1011" customFormat="1" ht="15" x14ac:dyDescent="0.25">
      <c r="A9262" s="859">
        <f t="shared" si="160"/>
        <v>9261</v>
      </c>
      <c r="B9262" s="845" t="s">
        <v>2564</v>
      </c>
      <c r="C9262" s="1007">
        <f t="shared" si="159"/>
        <v>22</v>
      </c>
      <c r="D9262" s="1015"/>
      <c r="I9262" s="1011" t="str">
        <f>CONCATENATE("&lt;numeroLigne&gt;",C9262,"&lt;/numeroLigne&gt;")</f>
        <v>&lt;numeroLigne&gt;22&lt;/numeroLigne&gt;</v>
      </c>
      <c r="K9262" s="1013"/>
    </row>
    <row r="9263" spans="1:11" s="1011" customFormat="1" ht="15" x14ac:dyDescent="0.25">
      <c r="A9263" s="859">
        <f t="shared" si="160"/>
        <v>9262</v>
      </c>
      <c r="B9263" s="845" t="s">
        <v>2564</v>
      </c>
      <c r="C9263" s="1007">
        <f t="shared" ref="C9263:C9326" si="161">C9213+1</f>
        <v>22</v>
      </c>
      <c r="D9263" s="1012"/>
      <c r="H9263" s="1011" t="s">
        <v>1010</v>
      </c>
      <c r="K9263" s="1013"/>
    </row>
    <row r="9264" spans="1:11" s="1011" customFormat="1" ht="15" x14ac:dyDescent="0.25">
      <c r="A9264" s="859">
        <f t="shared" si="160"/>
        <v>9263</v>
      </c>
      <c r="B9264" s="845" t="s">
        <v>2564</v>
      </c>
      <c r="C9264" s="1007">
        <f t="shared" si="161"/>
        <v>22</v>
      </c>
      <c r="D9264" s="1012"/>
      <c r="H9264" s="1011" t="s">
        <v>1007</v>
      </c>
      <c r="K9264" s="1013"/>
    </row>
    <row r="9265" spans="1:11" s="1011" customFormat="1" ht="15" x14ac:dyDescent="0.25">
      <c r="A9265" s="859">
        <f t="shared" si="160"/>
        <v>9264</v>
      </c>
      <c r="B9265" s="845" t="s">
        <v>2564</v>
      </c>
      <c r="C9265" s="1007">
        <f t="shared" si="161"/>
        <v>22</v>
      </c>
      <c r="D9265" s="1014"/>
      <c r="I9265" s="1011" t="s">
        <v>2179</v>
      </c>
      <c r="K9265" s="1013"/>
    </row>
    <row r="9266" spans="1:11" s="1011" customFormat="1" ht="15" x14ac:dyDescent="0.25">
      <c r="A9266" s="859">
        <f t="shared" si="160"/>
        <v>9265</v>
      </c>
      <c r="B9266" s="845" t="s">
        <v>2564</v>
      </c>
      <c r="C9266" s="1007">
        <f t="shared" si="161"/>
        <v>22</v>
      </c>
      <c r="D9266" s="1014"/>
      <c r="I9266" s="1011" t="str">
        <f>CONCATENATE("&lt;valeur&gt;",VLOOKUP(C9266,'T16 Amort'!A:K,7,0),"&lt;/valeur&gt;")</f>
        <v>&lt;valeur&gt;&lt;/valeur&gt;</v>
      </c>
      <c r="K9266" s="1013"/>
    </row>
    <row r="9267" spans="1:11" s="1011" customFormat="1" ht="15" x14ac:dyDescent="0.25">
      <c r="A9267" s="859">
        <f t="shared" si="160"/>
        <v>9266</v>
      </c>
      <c r="B9267" s="845" t="s">
        <v>2564</v>
      </c>
      <c r="C9267" s="1007">
        <f t="shared" si="161"/>
        <v>22</v>
      </c>
      <c r="D9267" s="1012"/>
      <c r="I9267" s="1011" t="str">
        <f>CONCATENATE("&lt;numeroLigne&gt;",C9267,"&lt;/numeroLigne&gt;")</f>
        <v>&lt;numeroLigne&gt;22&lt;/numeroLigne&gt;</v>
      </c>
      <c r="K9267" s="1013"/>
    </row>
    <row r="9268" spans="1:11" s="1011" customFormat="1" ht="15" x14ac:dyDescent="0.25">
      <c r="A9268" s="859">
        <f t="shared" si="160"/>
        <v>9267</v>
      </c>
      <c r="B9268" s="845" t="s">
        <v>2564</v>
      </c>
      <c r="C9268" s="1007">
        <f t="shared" si="161"/>
        <v>22</v>
      </c>
      <c r="D9268" s="1015"/>
      <c r="H9268" s="1011" t="s">
        <v>1010</v>
      </c>
      <c r="K9268" s="1013"/>
    </row>
    <row r="9269" spans="1:11" s="1011" customFormat="1" ht="15" x14ac:dyDescent="0.25">
      <c r="A9269" s="859">
        <f t="shared" si="160"/>
        <v>9268</v>
      </c>
      <c r="B9269" s="845" t="s">
        <v>2564</v>
      </c>
      <c r="C9269" s="1007">
        <f t="shared" si="161"/>
        <v>22</v>
      </c>
      <c r="D9269" s="1012"/>
      <c r="H9269" s="1011" t="s">
        <v>1007</v>
      </c>
      <c r="K9269" s="1013"/>
    </row>
    <row r="9270" spans="1:11" s="1011" customFormat="1" ht="15" x14ac:dyDescent="0.25">
      <c r="A9270" s="859">
        <f t="shared" si="160"/>
        <v>9269</v>
      </c>
      <c r="B9270" s="845" t="s">
        <v>2564</v>
      </c>
      <c r="C9270" s="1007">
        <f t="shared" si="161"/>
        <v>22</v>
      </c>
      <c r="D9270" s="1012"/>
      <c r="I9270" s="1011" t="s">
        <v>2180</v>
      </c>
      <c r="K9270" s="1013"/>
    </row>
    <row r="9271" spans="1:11" s="1011" customFormat="1" ht="15" x14ac:dyDescent="0.25">
      <c r="A9271" s="859">
        <f t="shared" si="160"/>
        <v>9270</v>
      </c>
      <c r="B9271" s="845" t="s">
        <v>2564</v>
      </c>
      <c r="C9271" s="1007">
        <f t="shared" si="161"/>
        <v>22</v>
      </c>
      <c r="D9271" s="1014"/>
      <c r="I9271" s="1011" t="str">
        <f>CONCATENATE("&lt;valeur&gt;",VLOOKUP(C9271,'T16 Amort'!A:K,8,0),"&lt;/valeur&gt;")</f>
        <v>&lt;valeur&gt;&lt;/valeur&gt;</v>
      </c>
      <c r="K9271" s="1013"/>
    </row>
    <row r="9272" spans="1:11" s="1011" customFormat="1" ht="15" x14ac:dyDescent="0.25">
      <c r="A9272" s="859">
        <f t="shared" si="160"/>
        <v>9271</v>
      </c>
      <c r="B9272" s="845" t="s">
        <v>2564</v>
      </c>
      <c r="C9272" s="1007">
        <f t="shared" si="161"/>
        <v>22</v>
      </c>
      <c r="D9272" s="1014"/>
      <c r="I9272" s="1011" t="str">
        <f>CONCATENATE("&lt;numeroLigne&gt;",C9272,"&lt;/numeroLigne&gt;")</f>
        <v>&lt;numeroLigne&gt;22&lt;/numeroLigne&gt;</v>
      </c>
      <c r="K9272" s="1013"/>
    </row>
    <row r="9273" spans="1:11" s="1011" customFormat="1" ht="15" x14ac:dyDescent="0.25">
      <c r="A9273" s="859">
        <f t="shared" si="160"/>
        <v>9272</v>
      </c>
      <c r="B9273" s="845" t="s">
        <v>2564</v>
      </c>
      <c r="C9273" s="1007">
        <f t="shared" si="161"/>
        <v>22</v>
      </c>
      <c r="D9273" s="1012"/>
      <c r="H9273" s="1011" t="s">
        <v>1010</v>
      </c>
      <c r="K9273" s="1013"/>
    </row>
    <row r="9274" spans="1:11" s="1011" customFormat="1" ht="15" x14ac:dyDescent="0.25">
      <c r="A9274" s="859">
        <f t="shared" si="160"/>
        <v>9273</v>
      </c>
      <c r="B9274" s="845" t="s">
        <v>2564</v>
      </c>
      <c r="C9274" s="1007">
        <f t="shared" si="161"/>
        <v>22</v>
      </c>
      <c r="D9274" s="1015"/>
      <c r="H9274" s="1011" t="s">
        <v>1007</v>
      </c>
      <c r="K9274" s="1013"/>
    </row>
    <row r="9275" spans="1:11" s="1011" customFormat="1" ht="15" x14ac:dyDescent="0.25">
      <c r="A9275" s="859">
        <f t="shared" si="160"/>
        <v>9274</v>
      </c>
      <c r="B9275" s="845" t="s">
        <v>2564</v>
      </c>
      <c r="C9275" s="1007">
        <f t="shared" si="161"/>
        <v>22</v>
      </c>
      <c r="D9275" s="1012"/>
      <c r="I9275" s="1011" t="s">
        <v>2181</v>
      </c>
      <c r="K9275" s="1013"/>
    </row>
    <row r="9276" spans="1:11" s="1011" customFormat="1" ht="15" x14ac:dyDescent="0.25">
      <c r="A9276" s="859">
        <f t="shared" si="160"/>
        <v>9275</v>
      </c>
      <c r="B9276" s="845" t="s">
        <v>2564</v>
      </c>
      <c r="C9276" s="1007">
        <f t="shared" si="161"/>
        <v>22</v>
      </c>
      <c r="D9276" s="1012"/>
      <c r="I9276" s="1011" t="str">
        <f>CONCATENATE("&lt;valeur&gt;",VLOOKUP(C9276,'T16 Amort'!A:K,9,0),"&lt;/valeur&gt;")</f>
        <v>&lt;valeur&gt;&lt;/valeur&gt;</v>
      </c>
      <c r="K9276" s="1013"/>
    </row>
    <row r="9277" spans="1:11" s="1011" customFormat="1" ht="15" x14ac:dyDescent="0.25">
      <c r="A9277" s="859">
        <f t="shared" si="160"/>
        <v>9276</v>
      </c>
      <c r="B9277" s="845" t="s">
        <v>2564</v>
      </c>
      <c r="C9277" s="1007">
        <f t="shared" si="161"/>
        <v>22</v>
      </c>
      <c r="D9277" s="1014"/>
      <c r="I9277" s="1011" t="str">
        <f>CONCATENATE("&lt;numeroLigne&gt;",C9277,"&lt;/numeroLigne&gt;")</f>
        <v>&lt;numeroLigne&gt;22&lt;/numeroLigne&gt;</v>
      </c>
      <c r="K9277" s="1013"/>
    </row>
    <row r="9278" spans="1:11" s="1011" customFormat="1" ht="15" x14ac:dyDescent="0.25">
      <c r="A9278" s="859">
        <f t="shared" si="160"/>
        <v>9277</v>
      </c>
      <c r="B9278" s="845" t="s">
        <v>2564</v>
      </c>
      <c r="C9278" s="1007">
        <f t="shared" si="161"/>
        <v>22</v>
      </c>
      <c r="D9278" s="1014"/>
      <c r="H9278" s="1011" t="s">
        <v>1010</v>
      </c>
      <c r="K9278" s="1013"/>
    </row>
    <row r="9279" spans="1:11" s="1011" customFormat="1" ht="15" x14ac:dyDescent="0.25">
      <c r="A9279" s="859">
        <f t="shared" si="160"/>
        <v>9278</v>
      </c>
      <c r="B9279" s="845" t="s">
        <v>2564</v>
      </c>
      <c r="C9279" s="1007">
        <f t="shared" si="161"/>
        <v>22</v>
      </c>
      <c r="D9279" s="1012"/>
      <c r="H9279" s="1011" t="s">
        <v>1007</v>
      </c>
      <c r="K9279" s="1013"/>
    </row>
    <row r="9280" spans="1:11" s="1011" customFormat="1" ht="15" x14ac:dyDescent="0.25">
      <c r="A9280" s="859">
        <f t="shared" si="160"/>
        <v>9279</v>
      </c>
      <c r="B9280" s="845" t="s">
        <v>2564</v>
      </c>
      <c r="C9280" s="1007">
        <f t="shared" si="161"/>
        <v>22</v>
      </c>
      <c r="D9280" s="1015"/>
      <c r="I9280" s="1011" t="s">
        <v>2182</v>
      </c>
      <c r="K9280" s="1013"/>
    </row>
    <row r="9281" spans="1:11" s="1011" customFormat="1" ht="15" x14ac:dyDescent="0.25">
      <c r="A9281" s="859">
        <f t="shared" si="160"/>
        <v>9280</v>
      </c>
      <c r="B9281" s="845" t="s">
        <v>2564</v>
      </c>
      <c r="C9281" s="1007">
        <f t="shared" si="161"/>
        <v>22</v>
      </c>
      <c r="D9281" s="1012"/>
      <c r="I9281" s="1011" t="str">
        <f>CONCATENATE("&lt;valeur&gt;",VLOOKUP(C9281,'T16 Amort'!A:K,10,0),"&lt;/valeur&gt;")</f>
        <v>&lt;valeur&gt;&lt;/valeur&gt;</v>
      </c>
      <c r="K9281" s="1013"/>
    </row>
    <row r="9282" spans="1:11" s="1011" customFormat="1" ht="15" x14ac:dyDescent="0.25">
      <c r="A9282" s="859">
        <f t="shared" si="160"/>
        <v>9281</v>
      </c>
      <c r="B9282" s="845" t="s">
        <v>2564</v>
      </c>
      <c r="C9282" s="1007">
        <f t="shared" si="161"/>
        <v>22</v>
      </c>
      <c r="D9282" s="1012"/>
      <c r="I9282" s="1011" t="str">
        <f>CONCATENATE("&lt;numeroLigne&gt;",C9282,"&lt;/numeroLigne&gt;")</f>
        <v>&lt;numeroLigne&gt;22&lt;/numeroLigne&gt;</v>
      </c>
      <c r="K9282" s="1013"/>
    </row>
    <row r="9283" spans="1:11" s="1011" customFormat="1" ht="15" x14ac:dyDescent="0.25">
      <c r="A9283" s="859">
        <f t="shared" si="160"/>
        <v>9282</v>
      </c>
      <c r="B9283" s="845" t="s">
        <v>2564</v>
      </c>
      <c r="C9283" s="1007">
        <f t="shared" si="161"/>
        <v>22</v>
      </c>
      <c r="D9283" s="1014"/>
      <c r="H9283" s="1011" t="s">
        <v>1010</v>
      </c>
      <c r="K9283" s="1013"/>
    </row>
    <row r="9284" spans="1:11" s="1011" customFormat="1" ht="15" x14ac:dyDescent="0.25">
      <c r="A9284" s="859">
        <f t="shared" ref="A9284:A9347" si="162">+A9283+1</f>
        <v>9283</v>
      </c>
      <c r="B9284" s="845" t="s">
        <v>2564</v>
      </c>
      <c r="C9284" s="1007">
        <f t="shared" si="161"/>
        <v>22</v>
      </c>
      <c r="D9284" s="1014"/>
      <c r="H9284" s="1011" t="s">
        <v>1007</v>
      </c>
      <c r="K9284" s="1013"/>
    </row>
    <row r="9285" spans="1:11" s="1011" customFormat="1" ht="15" x14ac:dyDescent="0.25">
      <c r="A9285" s="859">
        <f t="shared" si="162"/>
        <v>9284</v>
      </c>
      <c r="B9285" s="845" t="s">
        <v>2564</v>
      </c>
      <c r="C9285" s="1007">
        <f t="shared" si="161"/>
        <v>22</v>
      </c>
      <c r="D9285" s="1012"/>
      <c r="I9285" s="1011" t="s">
        <v>2183</v>
      </c>
      <c r="K9285" s="1013"/>
    </row>
    <row r="9286" spans="1:11" s="1011" customFormat="1" ht="15" x14ac:dyDescent="0.25">
      <c r="A9286" s="859">
        <f t="shared" si="162"/>
        <v>9285</v>
      </c>
      <c r="B9286" s="845" t="s">
        <v>2564</v>
      </c>
      <c r="C9286" s="1007">
        <f t="shared" si="161"/>
        <v>22</v>
      </c>
      <c r="D9286" s="1015"/>
      <c r="I9286" s="1011" t="str">
        <f>CONCATENATE("&lt;valeur&gt;",VLOOKUP(C9286,'T16 Amort'!A:K,11,0),"&lt;/valeur&gt;")</f>
        <v>&lt;valeur&gt;&lt;/valeur&gt;</v>
      </c>
      <c r="K9286" s="1013"/>
    </row>
    <row r="9287" spans="1:11" s="1011" customFormat="1" ht="15" x14ac:dyDescent="0.25">
      <c r="A9287" s="859">
        <f t="shared" si="162"/>
        <v>9286</v>
      </c>
      <c r="B9287" s="845" t="s">
        <v>2564</v>
      </c>
      <c r="C9287" s="1007">
        <f t="shared" si="161"/>
        <v>22</v>
      </c>
      <c r="D9287" s="1012"/>
      <c r="I9287" s="1011" t="str">
        <f>CONCATENATE("&lt;numeroLigne&gt;",C9287,"&lt;/numeroLigne&gt;")</f>
        <v>&lt;numeroLigne&gt;22&lt;/numeroLigne&gt;</v>
      </c>
      <c r="K9287" s="1013"/>
    </row>
    <row r="9288" spans="1:11" s="1011" customFormat="1" ht="15" x14ac:dyDescent="0.25">
      <c r="A9288" s="859">
        <f t="shared" si="162"/>
        <v>9287</v>
      </c>
      <c r="B9288" s="845" t="s">
        <v>2564</v>
      </c>
      <c r="C9288" s="1007">
        <f t="shared" si="161"/>
        <v>22</v>
      </c>
      <c r="D9288" s="1016"/>
      <c r="E9288" s="1017"/>
      <c r="F9288" s="1017"/>
      <c r="G9288" s="1017"/>
      <c r="H9288" s="1017" t="s">
        <v>1010</v>
      </c>
      <c r="I9288" s="1017"/>
      <c r="J9288" s="1017"/>
      <c r="K9288" s="1018"/>
    </row>
    <row r="9289" spans="1:11" s="1011" customFormat="1" ht="15" x14ac:dyDescent="0.25">
      <c r="A9289" s="859">
        <f t="shared" si="162"/>
        <v>9288</v>
      </c>
      <c r="B9289" s="845" t="s">
        <v>2564</v>
      </c>
      <c r="C9289" s="1007">
        <f t="shared" si="161"/>
        <v>23</v>
      </c>
      <c r="D9289" s="1008"/>
      <c r="E9289" s="1009"/>
      <c r="F9289" s="1009"/>
      <c r="G9289" s="1009"/>
      <c r="H9289" s="1009" t="s">
        <v>1007</v>
      </c>
      <c r="I9289" s="1009"/>
      <c r="J9289" s="1009"/>
      <c r="K9289" s="1010"/>
    </row>
    <row r="9290" spans="1:11" s="1011" customFormat="1" ht="15" x14ac:dyDescent="0.25">
      <c r="A9290" s="859">
        <f t="shared" si="162"/>
        <v>9289</v>
      </c>
      <c r="B9290" s="845" t="s">
        <v>2564</v>
      </c>
      <c r="C9290" s="1007">
        <f t="shared" si="161"/>
        <v>23</v>
      </c>
      <c r="D9290" s="1012"/>
      <c r="I9290" s="1011" t="s">
        <v>2174</v>
      </c>
      <c r="K9290" s="1013"/>
    </row>
    <row r="9291" spans="1:11" s="1011" customFormat="1" ht="15" x14ac:dyDescent="0.25">
      <c r="A9291" s="859">
        <f t="shared" si="162"/>
        <v>9290</v>
      </c>
      <c r="B9291" s="845" t="s">
        <v>2564</v>
      </c>
      <c r="C9291" s="1007">
        <f t="shared" si="161"/>
        <v>23</v>
      </c>
      <c r="D9291" s="1014"/>
      <c r="I9291" s="1011" t="str">
        <f>CONCATENATE("&lt;valeur&gt;",VLOOKUP(C9291,'T16 Amort'!A:K,2,0),"&lt;/valeur&gt;")</f>
        <v>&lt;valeur&gt;&lt;/valeur&gt;</v>
      </c>
      <c r="K9291" s="1013"/>
    </row>
    <row r="9292" spans="1:11" s="1011" customFormat="1" ht="15" x14ac:dyDescent="0.25">
      <c r="A9292" s="859">
        <f t="shared" si="162"/>
        <v>9291</v>
      </c>
      <c r="B9292" s="845" t="s">
        <v>2564</v>
      </c>
      <c r="C9292" s="1007">
        <f t="shared" si="161"/>
        <v>23</v>
      </c>
      <c r="D9292" s="1014"/>
      <c r="I9292" s="1011" t="str">
        <f>CONCATENATE("&lt;numeroLigne&gt;",C9292,"&lt;/numeroLigne&gt;")</f>
        <v>&lt;numeroLigne&gt;23&lt;/numeroLigne&gt;</v>
      </c>
      <c r="K9292" s="1013"/>
    </row>
    <row r="9293" spans="1:11" s="1011" customFormat="1" ht="15" x14ac:dyDescent="0.25">
      <c r="A9293" s="859">
        <f t="shared" si="162"/>
        <v>9292</v>
      </c>
      <c r="B9293" s="845" t="s">
        <v>2564</v>
      </c>
      <c r="C9293" s="1007">
        <f t="shared" si="161"/>
        <v>23</v>
      </c>
      <c r="D9293" s="1012"/>
      <c r="H9293" s="1011" t="s">
        <v>1010</v>
      </c>
      <c r="K9293" s="1013"/>
    </row>
    <row r="9294" spans="1:11" s="1011" customFormat="1" ht="15" x14ac:dyDescent="0.25">
      <c r="A9294" s="859">
        <f t="shared" si="162"/>
        <v>9293</v>
      </c>
      <c r="B9294" s="845" t="s">
        <v>2564</v>
      </c>
      <c r="C9294" s="1007">
        <f t="shared" si="161"/>
        <v>23</v>
      </c>
      <c r="D9294" s="1015"/>
      <c r="H9294" s="1011" t="s">
        <v>1007</v>
      </c>
      <c r="K9294" s="1013"/>
    </row>
    <row r="9295" spans="1:11" s="1011" customFormat="1" ht="15" x14ac:dyDescent="0.25">
      <c r="A9295" s="859">
        <f t="shared" si="162"/>
        <v>9294</v>
      </c>
      <c r="B9295" s="845" t="s">
        <v>2564</v>
      </c>
      <c r="C9295" s="1007">
        <f t="shared" si="161"/>
        <v>23</v>
      </c>
      <c r="D9295" s="1012"/>
      <c r="I9295" s="1011" t="s">
        <v>2175</v>
      </c>
      <c r="K9295" s="1013"/>
    </row>
    <row r="9296" spans="1:11" s="1011" customFormat="1" ht="15" x14ac:dyDescent="0.25">
      <c r="A9296" s="859">
        <f t="shared" si="162"/>
        <v>9295</v>
      </c>
      <c r="B9296" s="845" t="s">
        <v>2564</v>
      </c>
      <c r="C9296" s="1007">
        <f t="shared" si="161"/>
        <v>23</v>
      </c>
      <c r="D9296" s="1012"/>
      <c r="I9296" s="1011" t="str">
        <f>CONCATENATE("&lt;valeur&gt;",VLOOKUP(C9296,'T16 Amort'!A:K,3,0),"&lt;/valeur&gt;")</f>
        <v>&lt;valeur&gt;&lt;/valeur&gt;</v>
      </c>
      <c r="K9296" s="1013"/>
    </row>
    <row r="9297" spans="1:11" s="1011" customFormat="1" ht="15" x14ac:dyDescent="0.25">
      <c r="A9297" s="859">
        <f t="shared" si="162"/>
        <v>9296</v>
      </c>
      <c r="B9297" s="845" t="s">
        <v>2564</v>
      </c>
      <c r="C9297" s="1007">
        <f t="shared" si="161"/>
        <v>23</v>
      </c>
      <c r="D9297" s="1014"/>
      <c r="I9297" s="1011" t="str">
        <f>CONCATENATE("&lt;numeroLigne&gt;",C9297,"&lt;/numeroLigne&gt;")</f>
        <v>&lt;numeroLigne&gt;23&lt;/numeroLigne&gt;</v>
      </c>
      <c r="K9297" s="1013"/>
    </row>
    <row r="9298" spans="1:11" s="1011" customFormat="1" ht="15" x14ac:dyDescent="0.25">
      <c r="A9298" s="859">
        <f t="shared" si="162"/>
        <v>9297</v>
      </c>
      <c r="B9298" s="845" t="s">
        <v>2564</v>
      </c>
      <c r="C9298" s="1007">
        <f t="shared" si="161"/>
        <v>23</v>
      </c>
      <c r="D9298" s="1014"/>
      <c r="H9298" s="1011" t="s">
        <v>1010</v>
      </c>
      <c r="K9298" s="1013"/>
    </row>
    <row r="9299" spans="1:11" s="1011" customFormat="1" ht="15" x14ac:dyDescent="0.25">
      <c r="A9299" s="859">
        <f t="shared" si="162"/>
        <v>9298</v>
      </c>
      <c r="B9299" s="845" t="s">
        <v>2564</v>
      </c>
      <c r="C9299" s="1007">
        <f t="shared" si="161"/>
        <v>23</v>
      </c>
      <c r="D9299" s="1012"/>
      <c r="H9299" s="1011" t="s">
        <v>1007</v>
      </c>
      <c r="K9299" s="1013"/>
    </row>
    <row r="9300" spans="1:11" s="1011" customFormat="1" ht="15" x14ac:dyDescent="0.25">
      <c r="A9300" s="859">
        <f t="shared" si="162"/>
        <v>9299</v>
      </c>
      <c r="B9300" s="845" t="s">
        <v>2564</v>
      </c>
      <c r="C9300" s="1007">
        <f t="shared" si="161"/>
        <v>23</v>
      </c>
      <c r="D9300" s="1015"/>
      <c r="I9300" s="1011" t="s">
        <v>2176</v>
      </c>
      <c r="K9300" s="1013"/>
    </row>
    <row r="9301" spans="1:11" s="1011" customFormat="1" ht="15" x14ac:dyDescent="0.25">
      <c r="A9301" s="859">
        <f t="shared" si="162"/>
        <v>9300</v>
      </c>
      <c r="B9301" s="845" t="s">
        <v>2564</v>
      </c>
      <c r="C9301" s="1007">
        <f t="shared" si="161"/>
        <v>23</v>
      </c>
      <c r="D9301" s="1012"/>
      <c r="I9301" s="1011" t="str">
        <f>CONCATENATE("&lt;valeur&gt;",VLOOKUP(C9301,'T16 Amort'!A:K,4,0),"&lt;/valeur&gt;")</f>
        <v>&lt;valeur&gt;&lt;/valeur&gt;</v>
      </c>
      <c r="K9301" s="1013"/>
    </row>
    <row r="9302" spans="1:11" s="1011" customFormat="1" ht="15" x14ac:dyDescent="0.25">
      <c r="A9302" s="859">
        <f t="shared" si="162"/>
        <v>9301</v>
      </c>
      <c r="B9302" s="845" t="s">
        <v>2564</v>
      </c>
      <c r="C9302" s="1007">
        <f t="shared" si="161"/>
        <v>23</v>
      </c>
      <c r="D9302" s="1012"/>
      <c r="I9302" s="1011" t="str">
        <f>CONCATENATE("&lt;numeroLigne&gt;",C9302,"&lt;/numeroLigne&gt;")</f>
        <v>&lt;numeroLigne&gt;23&lt;/numeroLigne&gt;</v>
      </c>
      <c r="K9302" s="1013"/>
    </row>
    <row r="9303" spans="1:11" s="1011" customFormat="1" ht="15" x14ac:dyDescent="0.25">
      <c r="A9303" s="859">
        <f t="shared" si="162"/>
        <v>9302</v>
      </c>
      <c r="B9303" s="845" t="s">
        <v>2564</v>
      </c>
      <c r="C9303" s="1007">
        <f t="shared" si="161"/>
        <v>23</v>
      </c>
      <c r="D9303" s="1014"/>
      <c r="H9303" s="1011" t="s">
        <v>1010</v>
      </c>
      <c r="K9303" s="1013"/>
    </row>
    <row r="9304" spans="1:11" s="1011" customFormat="1" ht="15" x14ac:dyDescent="0.25">
      <c r="A9304" s="859">
        <f t="shared" si="162"/>
        <v>9303</v>
      </c>
      <c r="B9304" s="845" t="s">
        <v>2564</v>
      </c>
      <c r="C9304" s="1007">
        <f t="shared" si="161"/>
        <v>23</v>
      </c>
      <c r="D9304" s="1014"/>
      <c r="H9304" s="1011" t="s">
        <v>1007</v>
      </c>
      <c r="K9304" s="1013"/>
    </row>
    <row r="9305" spans="1:11" s="1011" customFormat="1" ht="15" x14ac:dyDescent="0.25">
      <c r="A9305" s="859">
        <f t="shared" si="162"/>
        <v>9304</v>
      </c>
      <c r="B9305" s="845" t="s">
        <v>2564</v>
      </c>
      <c r="C9305" s="1007">
        <f t="shared" si="161"/>
        <v>23</v>
      </c>
      <c r="D9305" s="1012"/>
      <c r="I9305" s="1011" t="s">
        <v>2177</v>
      </c>
      <c r="K9305" s="1013"/>
    </row>
    <row r="9306" spans="1:11" s="1011" customFormat="1" ht="15" x14ac:dyDescent="0.25">
      <c r="A9306" s="859">
        <f t="shared" si="162"/>
        <v>9305</v>
      </c>
      <c r="B9306" s="845" t="s">
        <v>2564</v>
      </c>
      <c r="C9306" s="1007">
        <f t="shared" si="161"/>
        <v>23</v>
      </c>
      <c r="D9306" s="1015"/>
      <c r="I9306" s="1011" t="str">
        <f>CONCATENATE("&lt;valeur&gt;",VLOOKUP(C9306,'T16 Amort'!A:K,5,0),"&lt;/valeur&gt;")</f>
        <v>&lt;valeur&gt;&lt;/valeur&gt;</v>
      </c>
      <c r="K9306" s="1013"/>
    </row>
    <row r="9307" spans="1:11" s="1011" customFormat="1" ht="15" x14ac:dyDescent="0.25">
      <c r="A9307" s="859">
        <f t="shared" si="162"/>
        <v>9306</v>
      </c>
      <c r="B9307" s="845" t="s">
        <v>2564</v>
      </c>
      <c r="C9307" s="1007">
        <f t="shared" si="161"/>
        <v>23</v>
      </c>
      <c r="D9307" s="1012"/>
      <c r="I9307" s="1011" t="str">
        <f>CONCATENATE("&lt;numeroLigne&gt;",C9307,"&lt;/numeroLigne&gt;")</f>
        <v>&lt;numeroLigne&gt;23&lt;/numeroLigne&gt;</v>
      </c>
      <c r="K9307" s="1013"/>
    </row>
    <row r="9308" spans="1:11" s="1011" customFormat="1" ht="15" x14ac:dyDescent="0.25">
      <c r="A9308" s="859">
        <f t="shared" si="162"/>
        <v>9307</v>
      </c>
      <c r="B9308" s="845" t="s">
        <v>2564</v>
      </c>
      <c r="C9308" s="1007">
        <f t="shared" si="161"/>
        <v>23</v>
      </c>
      <c r="D9308" s="1012"/>
      <c r="H9308" s="1011" t="s">
        <v>1010</v>
      </c>
      <c r="K9308" s="1013"/>
    </row>
    <row r="9309" spans="1:11" s="1011" customFormat="1" ht="15" x14ac:dyDescent="0.25">
      <c r="A9309" s="859">
        <f t="shared" si="162"/>
        <v>9308</v>
      </c>
      <c r="B9309" s="845" t="s">
        <v>2564</v>
      </c>
      <c r="C9309" s="1007">
        <f t="shared" si="161"/>
        <v>23</v>
      </c>
      <c r="D9309" s="1014"/>
      <c r="H9309" s="1011" t="s">
        <v>1007</v>
      </c>
      <c r="K9309" s="1013"/>
    </row>
    <row r="9310" spans="1:11" s="1011" customFormat="1" ht="15" x14ac:dyDescent="0.25">
      <c r="A9310" s="859">
        <f t="shared" si="162"/>
        <v>9309</v>
      </c>
      <c r="B9310" s="845" t="s">
        <v>2564</v>
      </c>
      <c r="C9310" s="1007">
        <f t="shared" si="161"/>
        <v>23</v>
      </c>
      <c r="D9310" s="1014"/>
      <c r="I9310" s="1011" t="s">
        <v>2178</v>
      </c>
      <c r="K9310" s="1013"/>
    </row>
    <row r="9311" spans="1:11" s="1011" customFormat="1" ht="15" x14ac:dyDescent="0.25">
      <c r="A9311" s="859">
        <f t="shared" si="162"/>
        <v>9310</v>
      </c>
      <c r="B9311" s="845" t="s">
        <v>2564</v>
      </c>
      <c r="C9311" s="1007">
        <f t="shared" si="161"/>
        <v>23</v>
      </c>
      <c r="D9311" s="1012"/>
      <c r="I9311" s="1011" t="str">
        <f>CONCATENATE("&lt;valeur&gt;",VLOOKUP(C9311,'T16 Amort'!A:K,6,0),"&lt;/valeur&gt;")</f>
        <v>&lt;valeur&gt;&lt;/valeur&gt;</v>
      </c>
      <c r="K9311" s="1013"/>
    </row>
    <row r="9312" spans="1:11" s="1011" customFormat="1" ht="15" x14ac:dyDescent="0.25">
      <c r="A9312" s="859">
        <f t="shared" si="162"/>
        <v>9311</v>
      </c>
      <c r="B9312" s="845" t="s">
        <v>2564</v>
      </c>
      <c r="C9312" s="1007">
        <f t="shared" si="161"/>
        <v>23</v>
      </c>
      <c r="D9312" s="1015"/>
      <c r="I9312" s="1011" t="str">
        <f>CONCATENATE("&lt;numeroLigne&gt;",C9312,"&lt;/numeroLigne&gt;")</f>
        <v>&lt;numeroLigne&gt;23&lt;/numeroLigne&gt;</v>
      </c>
      <c r="K9312" s="1013"/>
    </row>
    <row r="9313" spans="1:11" s="1011" customFormat="1" ht="15" x14ac:dyDescent="0.25">
      <c r="A9313" s="859">
        <f t="shared" si="162"/>
        <v>9312</v>
      </c>
      <c r="B9313" s="845" t="s">
        <v>2564</v>
      </c>
      <c r="C9313" s="1007">
        <f t="shared" si="161"/>
        <v>23</v>
      </c>
      <c r="D9313" s="1012"/>
      <c r="H9313" s="1011" t="s">
        <v>1010</v>
      </c>
      <c r="K9313" s="1013"/>
    </row>
    <row r="9314" spans="1:11" s="1011" customFormat="1" ht="15" x14ac:dyDescent="0.25">
      <c r="A9314" s="859">
        <f t="shared" si="162"/>
        <v>9313</v>
      </c>
      <c r="B9314" s="845" t="s">
        <v>2564</v>
      </c>
      <c r="C9314" s="1007">
        <f t="shared" si="161"/>
        <v>23</v>
      </c>
      <c r="D9314" s="1012"/>
      <c r="H9314" s="1011" t="s">
        <v>1007</v>
      </c>
      <c r="K9314" s="1013"/>
    </row>
    <row r="9315" spans="1:11" s="1011" customFormat="1" ht="15" x14ac:dyDescent="0.25">
      <c r="A9315" s="859">
        <f t="shared" si="162"/>
        <v>9314</v>
      </c>
      <c r="B9315" s="845" t="s">
        <v>2564</v>
      </c>
      <c r="C9315" s="1007">
        <f t="shared" si="161"/>
        <v>23</v>
      </c>
      <c r="D9315" s="1014"/>
      <c r="I9315" s="1011" t="s">
        <v>2179</v>
      </c>
      <c r="K9315" s="1013"/>
    </row>
    <row r="9316" spans="1:11" s="1011" customFormat="1" ht="15" x14ac:dyDescent="0.25">
      <c r="A9316" s="859">
        <f t="shared" si="162"/>
        <v>9315</v>
      </c>
      <c r="B9316" s="845" t="s">
        <v>2564</v>
      </c>
      <c r="C9316" s="1007">
        <f t="shared" si="161"/>
        <v>23</v>
      </c>
      <c r="D9316" s="1014"/>
      <c r="I9316" s="1011" t="str">
        <f>CONCATENATE("&lt;valeur&gt;",VLOOKUP(C9316,'T16 Amort'!A:K,7,0),"&lt;/valeur&gt;")</f>
        <v>&lt;valeur&gt;&lt;/valeur&gt;</v>
      </c>
      <c r="K9316" s="1013"/>
    </row>
    <row r="9317" spans="1:11" s="1011" customFormat="1" ht="15" x14ac:dyDescent="0.25">
      <c r="A9317" s="859">
        <f t="shared" si="162"/>
        <v>9316</v>
      </c>
      <c r="B9317" s="845" t="s">
        <v>2564</v>
      </c>
      <c r="C9317" s="1007">
        <f t="shared" si="161"/>
        <v>23</v>
      </c>
      <c r="D9317" s="1012"/>
      <c r="I9317" s="1011" t="str">
        <f>CONCATENATE("&lt;numeroLigne&gt;",C9317,"&lt;/numeroLigne&gt;")</f>
        <v>&lt;numeroLigne&gt;23&lt;/numeroLigne&gt;</v>
      </c>
      <c r="K9317" s="1013"/>
    </row>
    <row r="9318" spans="1:11" s="1011" customFormat="1" ht="15" x14ac:dyDescent="0.25">
      <c r="A9318" s="859">
        <f t="shared" si="162"/>
        <v>9317</v>
      </c>
      <c r="B9318" s="845" t="s">
        <v>2564</v>
      </c>
      <c r="C9318" s="1007">
        <f t="shared" si="161"/>
        <v>23</v>
      </c>
      <c r="D9318" s="1015"/>
      <c r="H9318" s="1011" t="s">
        <v>1010</v>
      </c>
      <c r="K9318" s="1013"/>
    </row>
    <row r="9319" spans="1:11" s="1011" customFormat="1" ht="15" x14ac:dyDescent="0.25">
      <c r="A9319" s="859">
        <f t="shared" si="162"/>
        <v>9318</v>
      </c>
      <c r="B9319" s="845" t="s">
        <v>2564</v>
      </c>
      <c r="C9319" s="1007">
        <f t="shared" si="161"/>
        <v>23</v>
      </c>
      <c r="D9319" s="1012"/>
      <c r="H9319" s="1011" t="s">
        <v>1007</v>
      </c>
      <c r="K9319" s="1013"/>
    </row>
    <row r="9320" spans="1:11" s="1011" customFormat="1" ht="15" x14ac:dyDescent="0.25">
      <c r="A9320" s="859">
        <f t="shared" si="162"/>
        <v>9319</v>
      </c>
      <c r="B9320" s="845" t="s">
        <v>2564</v>
      </c>
      <c r="C9320" s="1007">
        <f t="shared" si="161"/>
        <v>23</v>
      </c>
      <c r="D9320" s="1012"/>
      <c r="I9320" s="1011" t="s">
        <v>2180</v>
      </c>
      <c r="K9320" s="1013"/>
    </row>
    <row r="9321" spans="1:11" s="1011" customFormat="1" ht="15" x14ac:dyDescent="0.25">
      <c r="A9321" s="859">
        <f t="shared" si="162"/>
        <v>9320</v>
      </c>
      <c r="B9321" s="845" t="s">
        <v>2564</v>
      </c>
      <c r="C9321" s="1007">
        <f t="shared" si="161"/>
        <v>23</v>
      </c>
      <c r="D9321" s="1014"/>
      <c r="I9321" s="1011" t="str">
        <f>CONCATENATE("&lt;valeur&gt;",VLOOKUP(C9321,'T16 Amort'!A:K,8,0),"&lt;/valeur&gt;")</f>
        <v>&lt;valeur&gt;&lt;/valeur&gt;</v>
      </c>
      <c r="K9321" s="1013"/>
    </row>
    <row r="9322" spans="1:11" s="1011" customFormat="1" ht="15" x14ac:dyDescent="0.25">
      <c r="A9322" s="859">
        <f t="shared" si="162"/>
        <v>9321</v>
      </c>
      <c r="B9322" s="845" t="s">
        <v>2564</v>
      </c>
      <c r="C9322" s="1007">
        <f t="shared" si="161"/>
        <v>23</v>
      </c>
      <c r="D9322" s="1014"/>
      <c r="I9322" s="1011" t="str">
        <f>CONCATENATE("&lt;numeroLigne&gt;",C9322,"&lt;/numeroLigne&gt;")</f>
        <v>&lt;numeroLigne&gt;23&lt;/numeroLigne&gt;</v>
      </c>
      <c r="K9322" s="1013"/>
    </row>
    <row r="9323" spans="1:11" s="1011" customFormat="1" ht="15" x14ac:dyDescent="0.25">
      <c r="A9323" s="859">
        <f t="shared" si="162"/>
        <v>9322</v>
      </c>
      <c r="B9323" s="845" t="s">
        <v>2564</v>
      </c>
      <c r="C9323" s="1007">
        <f t="shared" si="161"/>
        <v>23</v>
      </c>
      <c r="D9323" s="1012"/>
      <c r="H9323" s="1011" t="s">
        <v>1010</v>
      </c>
      <c r="K9323" s="1013"/>
    </row>
    <row r="9324" spans="1:11" s="1011" customFormat="1" ht="15" x14ac:dyDescent="0.25">
      <c r="A9324" s="859">
        <f t="shared" si="162"/>
        <v>9323</v>
      </c>
      <c r="B9324" s="845" t="s">
        <v>2564</v>
      </c>
      <c r="C9324" s="1007">
        <f t="shared" si="161"/>
        <v>23</v>
      </c>
      <c r="D9324" s="1015"/>
      <c r="H9324" s="1011" t="s">
        <v>1007</v>
      </c>
      <c r="K9324" s="1013"/>
    </row>
    <row r="9325" spans="1:11" s="1011" customFormat="1" ht="15" x14ac:dyDescent="0.25">
      <c r="A9325" s="859">
        <f t="shared" si="162"/>
        <v>9324</v>
      </c>
      <c r="B9325" s="845" t="s">
        <v>2564</v>
      </c>
      <c r="C9325" s="1007">
        <f t="shared" si="161"/>
        <v>23</v>
      </c>
      <c r="D9325" s="1012"/>
      <c r="I9325" s="1011" t="s">
        <v>2181</v>
      </c>
      <c r="K9325" s="1013"/>
    </row>
    <row r="9326" spans="1:11" s="1011" customFormat="1" ht="15" x14ac:dyDescent="0.25">
      <c r="A9326" s="859">
        <f t="shared" si="162"/>
        <v>9325</v>
      </c>
      <c r="B9326" s="845" t="s">
        <v>2564</v>
      </c>
      <c r="C9326" s="1007">
        <f t="shared" si="161"/>
        <v>23</v>
      </c>
      <c r="D9326" s="1012"/>
      <c r="I9326" s="1011" t="str">
        <f>CONCATENATE("&lt;valeur&gt;",VLOOKUP(C9326,'T16 Amort'!A:K,9,0),"&lt;/valeur&gt;")</f>
        <v>&lt;valeur&gt;&lt;/valeur&gt;</v>
      </c>
      <c r="K9326" s="1013"/>
    </row>
    <row r="9327" spans="1:11" s="1011" customFormat="1" ht="15" x14ac:dyDescent="0.25">
      <c r="A9327" s="859">
        <f t="shared" si="162"/>
        <v>9326</v>
      </c>
      <c r="B9327" s="845" t="s">
        <v>2564</v>
      </c>
      <c r="C9327" s="1007">
        <f t="shared" ref="C9327:C9390" si="163">C9277+1</f>
        <v>23</v>
      </c>
      <c r="D9327" s="1014"/>
      <c r="I9327" s="1011" t="str">
        <f>CONCATENATE("&lt;numeroLigne&gt;",C9327,"&lt;/numeroLigne&gt;")</f>
        <v>&lt;numeroLigne&gt;23&lt;/numeroLigne&gt;</v>
      </c>
      <c r="K9327" s="1013"/>
    </row>
    <row r="9328" spans="1:11" s="1011" customFormat="1" ht="15" x14ac:dyDescent="0.25">
      <c r="A9328" s="859">
        <f t="shared" si="162"/>
        <v>9327</v>
      </c>
      <c r="B9328" s="845" t="s">
        <v>2564</v>
      </c>
      <c r="C9328" s="1007">
        <f t="shared" si="163"/>
        <v>23</v>
      </c>
      <c r="D9328" s="1014"/>
      <c r="H9328" s="1011" t="s">
        <v>1010</v>
      </c>
      <c r="K9328" s="1013"/>
    </row>
    <row r="9329" spans="1:11" s="1011" customFormat="1" ht="15" x14ac:dyDescent="0.25">
      <c r="A9329" s="859">
        <f t="shared" si="162"/>
        <v>9328</v>
      </c>
      <c r="B9329" s="845" t="s">
        <v>2564</v>
      </c>
      <c r="C9329" s="1007">
        <f t="shared" si="163"/>
        <v>23</v>
      </c>
      <c r="D9329" s="1012"/>
      <c r="H9329" s="1011" t="s">
        <v>1007</v>
      </c>
      <c r="K9329" s="1013"/>
    </row>
    <row r="9330" spans="1:11" s="1011" customFormat="1" ht="15" x14ac:dyDescent="0.25">
      <c r="A9330" s="859">
        <f t="shared" si="162"/>
        <v>9329</v>
      </c>
      <c r="B9330" s="845" t="s">
        <v>2564</v>
      </c>
      <c r="C9330" s="1007">
        <f t="shared" si="163"/>
        <v>23</v>
      </c>
      <c r="D9330" s="1015"/>
      <c r="I9330" s="1011" t="s">
        <v>2182</v>
      </c>
      <c r="K9330" s="1013"/>
    </row>
    <row r="9331" spans="1:11" s="1011" customFormat="1" ht="15" x14ac:dyDescent="0.25">
      <c r="A9331" s="859">
        <f t="shared" si="162"/>
        <v>9330</v>
      </c>
      <c r="B9331" s="845" t="s">
        <v>2564</v>
      </c>
      <c r="C9331" s="1007">
        <f t="shared" si="163"/>
        <v>23</v>
      </c>
      <c r="D9331" s="1012"/>
      <c r="I9331" s="1011" t="str">
        <f>CONCATENATE("&lt;valeur&gt;",VLOOKUP(C9331,'T16 Amort'!A:K,10,0),"&lt;/valeur&gt;")</f>
        <v>&lt;valeur&gt;&lt;/valeur&gt;</v>
      </c>
      <c r="K9331" s="1013"/>
    </row>
    <row r="9332" spans="1:11" s="1011" customFormat="1" ht="15" x14ac:dyDescent="0.25">
      <c r="A9332" s="859">
        <f t="shared" si="162"/>
        <v>9331</v>
      </c>
      <c r="B9332" s="845" t="s">
        <v>2564</v>
      </c>
      <c r="C9332" s="1007">
        <f t="shared" si="163"/>
        <v>23</v>
      </c>
      <c r="D9332" s="1012"/>
      <c r="I9332" s="1011" t="str">
        <f>CONCATENATE("&lt;numeroLigne&gt;",C9332,"&lt;/numeroLigne&gt;")</f>
        <v>&lt;numeroLigne&gt;23&lt;/numeroLigne&gt;</v>
      </c>
      <c r="K9332" s="1013"/>
    </row>
    <row r="9333" spans="1:11" s="1011" customFormat="1" ht="15" x14ac:dyDescent="0.25">
      <c r="A9333" s="859">
        <f t="shared" si="162"/>
        <v>9332</v>
      </c>
      <c r="B9333" s="845" t="s">
        <v>2564</v>
      </c>
      <c r="C9333" s="1007">
        <f t="shared" si="163"/>
        <v>23</v>
      </c>
      <c r="D9333" s="1014"/>
      <c r="H9333" s="1011" t="s">
        <v>1010</v>
      </c>
      <c r="K9333" s="1013"/>
    </row>
    <row r="9334" spans="1:11" s="1011" customFormat="1" ht="15" x14ac:dyDescent="0.25">
      <c r="A9334" s="859">
        <f t="shared" si="162"/>
        <v>9333</v>
      </c>
      <c r="B9334" s="845" t="s">
        <v>2564</v>
      </c>
      <c r="C9334" s="1007">
        <f t="shared" si="163"/>
        <v>23</v>
      </c>
      <c r="D9334" s="1014"/>
      <c r="H9334" s="1011" t="s">
        <v>1007</v>
      </c>
      <c r="K9334" s="1013"/>
    </row>
    <row r="9335" spans="1:11" s="1011" customFormat="1" ht="15" x14ac:dyDescent="0.25">
      <c r="A9335" s="859">
        <f t="shared" si="162"/>
        <v>9334</v>
      </c>
      <c r="B9335" s="845" t="s">
        <v>2564</v>
      </c>
      <c r="C9335" s="1007">
        <f t="shared" si="163"/>
        <v>23</v>
      </c>
      <c r="D9335" s="1012"/>
      <c r="I9335" s="1011" t="s">
        <v>2183</v>
      </c>
      <c r="K9335" s="1013"/>
    </row>
    <row r="9336" spans="1:11" s="1011" customFormat="1" ht="15" x14ac:dyDescent="0.25">
      <c r="A9336" s="859">
        <f t="shared" si="162"/>
        <v>9335</v>
      </c>
      <c r="B9336" s="845" t="s">
        <v>2564</v>
      </c>
      <c r="C9336" s="1007">
        <f t="shared" si="163"/>
        <v>23</v>
      </c>
      <c r="D9336" s="1015"/>
      <c r="I9336" s="1011" t="str">
        <f>CONCATENATE("&lt;valeur&gt;",VLOOKUP(C9336,'T16 Amort'!A:K,11,0),"&lt;/valeur&gt;")</f>
        <v>&lt;valeur&gt;&lt;/valeur&gt;</v>
      </c>
      <c r="K9336" s="1013"/>
    </row>
    <row r="9337" spans="1:11" s="1011" customFormat="1" ht="15" x14ac:dyDescent="0.25">
      <c r="A9337" s="859">
        <f t="shared" si="162"/>
        <v>9336</v>
      </c>
      <c r="B9337" s="845" t="s">
        <v>2564</v>
      </c>
      <c r="C9337" s="1007">
        <f t="shared" si="163"/>
        <v>23</v>
      </c>
      <c r="D9337" s="1012"/>
      <c r="I9337" s="1011" t="str">
        <f>CONCATENATE("&lt;numeroLigne&gt;",C9337,"&lt;/numeroLigne&gt;")</f>
        <v>&lt;numeroLigne&gt;23&lt;/numeroLigne&gt;</v>
      </c>
      <c r="K9337" s="1013"/>
    </row>
    <row r="9338" spans="1:11" s="1011" customFormat="1" ht="15" x14ac:dyDescent="0.25">
      <c r="A9338" s="859">
        <f t="shared" si="162"/>
        <v>9337</v>
      </c>
      <c r="B9338" s="845" t="s">
        <v>2564</v>
      </c>
      <c r="C9338" s="1007">
        <f t="shared" si="163"/>
        <v>23</v>
      </c>
      <c r="D9338" s="1016"/>
      <c r="E9338" s="1017"/>
      <c r="F9338" s="1017"/>
      <c r="G9338" s="1017"/>
      <c r="H9338" s="1017" t="s">
        <v>1010</v>
      </c>
      <c r="I9338" s="1017"/>
      <c r="J9338" s="1017"/>
      <c r="K9338" s="1018"/>
    </row>
    <row r="9339" spans="1:11" s="1011" customFormat="1" ht="15" x14ac:dyDescent="0.25">
      <c r="A9339" s="859">
        <f t="shared" si="162"/>
        <v>9338</v>
      </c>
      <c r="B9339" s="845" t="s">
        <v>2564</v>
      </c>
      <c r="C9339" s="1007">
        <f t="shared" si="163"/>
        <v>24</v>
      </c>
      <c r="D9339" s="1008"/>
      <c r="E9339" s="1009"/>
      <c r="F9339" s="1009"/>
      <c r="G9339" s="1009"/>
      <c r="H9339" s="1009" t="s">
        <v>1007</v>
      </c>
      <c r="I9339" s="1009"/>
      <c r="J9339" s="1009"/>
      <c r="K9339" s="1010"/>
    </row>
    <row r="9340" spans="1:11" s="1011" customFormat="1" ht="15" x14ac:dyDescent="0.25">
      <c r="A9340" s="859">
        <f t="shared" si="162"/>
        <v>9339</v>
      </c>
      <c r="B9340" s="845" t="s">
        <v>2564</v>
      </c>
      <c r="C9340" s="1007">
        <f t="shared" si="163"/>
        <v>24</v>
      </c>
      <c r="D9340" s="1012"/>
      <c r="I9340" s="1011" t="s">
        <v>2174</v>
      </c>
      <c r="K9340" s="1013"/>
    </row>
    <row r="9341" spans="1:11" s="1011" customFormat="1" ht="15" x14ac:dyDescent="0.25">
      <c r="A9341" s="859">
        <f t="shared" si="162"/>
        <v>9340</v>
      </c>
      <c r="B9341" s="845" t="s">
        <v>2564</v>
      </c>
      <c r="C9341" s="1007">
        <f t="shared" si="163"/>
        <v>24</v>
      </c>
      <c r="D9341" s="1014"/>
      <c r="I9341" s="1011" t="str">
        <f>CONCATENATE("&lt;valeur&gt;",VLOOKUP(C9341,'T16 Amort'!A:K,2,0),"&lt;/valeur&gt;")</f>
        <v>&lt;valeur&gt;&lt;/valeur&gt;</v>
      </c>
      <c r="K9341" s="1013"/>
    </row>
    <row r="9342" spans="1:11" s="1011" customFormat="1" ht="15" x14ac:dyDescent="0.25">
      <c r="A9342" s="859">
        <f t="shared" si="162"/>
        <v>9341</v>
      </c>
      <c r="B9342" s="845" t="s">
        <v>2564</v>
      </c>
      <c r="C9342" s="1007">
        <f t="shared" si="163"/>
        <v>24</v>
      </c>
      <c r="D9342" s="1014"/>
      <c r="I9342" s="1011" t="str">
        <f>CONCATENATE("&lt;numeroLigne&gt;",C9342,"&lt;/numeroLigne&gt;")</f>
        <v>&lt;numeroLigne&gt;24&lt;/numeroLigne&gt;</v>
      </c>
      <c r="K9342" s="1013"/>
    </row>
    <row r="9343" spans="1:11" s="1011" customFormat="1" ht="15" x14ac:dyDescent="0.25">
      <c r="A9343" s="859">
        <f t="shared" si="162"/>
        <v>9342</v>
      </c>
      <c r="B9343" s="845" t="s">
        <v>2564</v>
      </c>
      <c r="C9343" s="1007">
        <f t="shared" si="163"/>
        <v>24</v>
      </c>
      <c r="D9343" s="1012"/>
      <c r="H9343" s="1011" t="s">
        <v>1010</v>
      </c>
      <c r="K9343" s="1013"/>
    </row>
    <row r="9344" spans="1:11" s="1011" customFormat="1" ht="15" x14ac:dyDescent="0.25">
      <c r="A9344" s="859">
        <f t="shared" si="162"/>
        <v>9343</v>
      </c>
      <c r="B9344" s="845" t="s">
        <v>2564</v>
      </c>
      <c r="C9344" s="1007">
        <f t="shared" si="163"/>
        <v>24</v>
      </c>
      <c r="D9344" s="1015"/>
      <c r="H9344" s="1011" t="s">
        <v>1007</v>
      </c>
      <c r="K9344" s="1013"/>
    </row>
    <row r="9345" spans="1:11" s="1011" customFormat="1" ht="15" x14ac:dyDescent="0.25">
      <c r="A9345" s="859">
        <f t="shared" si="162"/>
        <v>9344</v>
      </c>
      <c r="B9345" s="845" t="s">
        <v>2564</v>
      </c>
      <c r="C9345" s="1007">
        <f t="shared" si="163"/>
        <v>24</v>
      </c>
      <c r="D9345" s="1012"/>
      <c r="I9345" s="1011" t="s">
        <v>2175</v>
      </c>
      <c r="K9345" s="1013"/>
    </row>
    <row r="9346" spans="1:11" s="1011" customFormat="1" ht="15" x14ac:dyDescent="0.25">
      <c r="A9346" s="859">
        <f t="shared" si="162"/>
        <v>9345</v>
      </c>
      <c r="B9346" s="845" t="s">
        <v>2564</v>
      </c>
      <c r="C9346" s="1007">
        <f t="shared" si="163"/>
        <v>24</v>
      </c>
      <c r="D9346" s="1012"/>
      <c r="I9346" s="1011" t="str">
        <f>CONCATENATE("&lt;valeur&gt;",VLOOKUP(C9346,'T16 Amort'!A:K,3,0),"&lt;/valeur&gt;")</f>
        <v>&lt;valeur&gt;&lt;/valeur&gt;</v>
      </c>
      <c r="K9346" s="1013"/>
    </row>
    <row r="9347" spans="1:11" s="1011" customFormat="1" ht="15" x14ac:dyDescent="0.25">
      <c r="A9347" s="859">
        <f t="shared" si="162"/>
        <v>9346</v>
      </c>
      <c r="B9347" s="845" t="s">
        <v>2564</v>
      </c>
      <c r="C9347" s="1007">
        <f t="shared" si="163"/>
        <v>24</v>
      </c>
      <c r="D9347" s="1014"/>
      <c r="I9347" s="1011" t="str">
        <f>CONCATENATE("&lt;numeroLigne&gt;",C9347,"&lt;/numeroLigne&gt;")</f>
        <v>&lt;numeroLigne&gt;24&lt;/numeroLigne&gt;</v>
      </c>
      <c r="K9347" s="1013"/>
    </row>
    <row r="9348" spans="1:11" s="1011" customFormat="1" ht="15" x14ac:dyDescent="0.25">
      <c r="A9348" s="859">
        <f t="shared" ref="A9348:A9411" si="164">+A9347+1</f>
        <v>9347</v>
      </c>
      <c r="B9348" s="845" t="s">
        <v>2564</v>
      </c>
      <c r="C9348" s="1007">
        <f t="shared" si="163"/>
        <v>24</v>
      </c>
      <c r="D9348" s="1014"/>
      <c r="H9348" s="1011" t="s">
        <v>1010</v>
      </c>
      <c r="K9348" s="1013"/>
    </row>
    <row r="9349" spans="1:11" s="1011" customFormat="1" ht="15" x14ac:dyDescent="0.25">
      <c r="A9349" s="859">
        <f t="shared" si="164"/>
        <v>9348</v>
      </c>
      <c r="B9349" s="845" t="s">
        <v>2564</v>
      </c>
      <c r="C9349" s="1007">
        <f t="shared" si="163"/>
        <v>24</v>
      </c>
      <c r="D9349" s="1012"/>
      <c r="H9349" s="1011" t="s">
        <v>1007</v>
      </c>
      <c r="K9349" s="1013"/>
    </row>
    <row r="9350" spans="1:11" s="1011" customFormat="1" ht="15" x14ac:dyDescent="0.25">
      <c r="A9350" s="859">
        <f t="shared" si="164"/>
        <v>9349</v>
      </c>
      <c r="B9350" s="845" t="s">
        <v>2564</v>
      </c>
      <c r="C9350" s="1007">
        <f t="shared" si="163"/>
        <v>24</v>
      </c>
      <c r="D9350" s="1015"/>
      <c r="I9350" s="1011" t="s">
        <v>2176</v>
      </c>
      <c r="K9350" s="1013"/>
    </row>
    <row r="9351" spans="1:11" s="1011" customFormat="1" ht="15" x14ac:dyDescent="0.25">
      <c r="A9351" s="859">
        <f t="shared" si="164"/>
        <v>9350</v>
      </c>
      <c r="B9351" s="845" t="s">
        <v>2564</v>
      </c>
      <c r="C9351" s="1007">
        <f t="shared" si="163"/>
        <v>24</v>
      </c>
      <c r="D9351" s="1012"/>
      <c r="I9351" s="1011" t="str">
        <f>CONCATENATE("&lt;valeur&gt;",VLOOKUP(C9351,'T16 Amort'!A:K,4,0),"&lt;/valeur&gt;")</f>
        <v>&lt;valeur&gt;&lt;/valeur&gt;</v>
      </c>
      <c r="K9351" s="1013"/>
    </row>
    <row r="9352" spans="1:11" s="1011" customFormat="1" ht="15" x14ac:dyDescent="0.25">
      <c r="A9352" s="859">
        <f t="shared" si="164"/>
        <v>9351</v>
      </c>
      <c r="B9352" s="845" t="s">
        <v>2564</v>
      </c>
      <c r="C9352" s="1007">
        <f t="shared" si="163"/>
        <v>24</v>
      </c>
      <c r="D9352" s="1012"/>
      <c r="I9352" s="1011" t="str">
        <f>CONCATENATE("&lt;numeroLigne&gt;",C9352,"&lt;/numeroLigne&gt;")</f>
        <v>&lt;numeroLigne&gt;24&lt;/numeroLigne&gt;</v>
      </c>
      <c r="K9352" s="1013"/>
    </row>
    <row r="9353" spans="1:11" s="1011" customFormat="1" ht="15" x14ac:dyDescent="0.25">
      <c r="A9353" s="859">
        <f t="shared" si="164"/>
        <v>9352</v>
      </c>
      <c r="B9353" s="845" t="s">
        <v>2564</v>
      </c>
      <c r="C9353" s="1007">
        <f t="shared" si="163"/>
        <v>24</v>
      </c>
      <c r="D9353" s="1014"/>
      <c r="H9353" s="1011" t="s">
        <v>1010</v>
      </c>
      <c r="K9353" s="1013"/>
    </row>
    <row r="9354" spans="1:11" s="1011" customFormat="1" ht="15" x14ac:dyDescent="0.25">
      <c r="A9354" s="859">
        <f t="shared" si="164"/>
        <v>9353</v>
      </c>
      <c r="B9354" s="845" t="s">
        <v>2564</v>
      </c>
      <c r="C9354" s="1007">
        <f t="shared" si="163"/>
        <v>24</v>
      </c>
      <c r="D9354" s="1014"/>
      <c r="H9354" s="1011" t="s">
        <v>1007</v>
      </c>
      <c r="K9354" s="1013"/>
    </row>
    <row r="9355" spans="1:11" s="1011" customFormat="1" ht="15" x14ac:dyDescent="0.25">
      <c r="A9355" s="859">
        <f t="shared" si="164"/>
        <v>9354</v>
      </c>
      <c r="B9355" s="845" t="s">
        <v>2564</v>
      </c>
      <c r="C9355" s="1007">
        <f t="shared" si="163"/>
        <v>24</v>
      </c>
      <c r="D9355" s="1012"/>
      <c r="I9355" s="1011" t="s">
        <v>2177</v>
      </c>
      <c r="K9355" s="1013"/>
    </row>
    <row r="9356" spans="1:11" s="1011" customFormat="1" ht="15" x14ac:dyDescent="0.25">
      <c r="A9356" s="859">
        <f t="shared" si="164"/>
        <v>9355</v>
      </c>
      <c r="B9356" s="845" t="s">
        <v>2564</v>
      </c>
      <c r="C9356" s="1007">
        <f t="shared" si="163"/>
        <v>24</v>
      </c>
      <c r="D9356" s="1015"/>
      <c r="I9356" s="1011" t="str">
        <f>CONCATENATE("&lt;valeur&gt;",VLOOKUP(C9356,'T16 Amort'!A:K,5,0),"&lt;/valeur&gt;")</f>
        <v>&lt;valeur&gt;&lt;/valeur&gt;</v>
      </c>
      <c r="K9356" s="1013"/>
    </row>
    <row r="9357" spans="1:11" s="1011" customFormat="1" ht="15" x14ac:dyDescent="0.25">
      <c r="A9357" s="859">
        <f t="shared" si="164"/>
        <v>9356</v>
      </c>
      <c r="B9357" s="845" t="s">
        <v>2564</v>
      </c>
      <c r="C9357" s="1007">
        <f t="shared" si="163"/>
        <v>24</v>
      </c>
      <c r="D9357" s="1012"/>
      <c r="I9357" s="1011" t="str">
        <f>CONCATENATE("&lt;numeroLigne&gt;",C9357,"&lt;/numeroLigne&gt;")</f>
        <v>&lt;numeroLigne&gt;24&lt;/numeroLigne&gt;</v>
      </c>
      <c r="K9357" s="1013"/>
    </row>
    <row r="9358" spans="1:11" s="1011" customFormat="1" ht="15" x14ac:dyDescent="0.25">
      <c r="A9358" s="859">
        <f t="shared" si="164"/>
        <v>9357</v>
      </c>
      <c r="B9358" s="845" t="s">
        <v>2564</v>
      </c>
      <c r="C9358" s="1007">
        <f t="shared" si="163"/>
        <v>24</v>
      </c>
      <c r="D9358" s="1012"/>
      <c r="H9358" s="1011" t="s">
        <v>1010</v>
      </c>
      <c r="K9358" s="1013"/>
    </row>
    <row r="9359" spans="1:11" s="1011" customFormat="1" ht="15" x14ac:dyDescent="0.25">
      <c r="A9359" s="859">
        <f t="shared" si="164"/>
        <v>9358</v>
      </c>
      <c r="B9359" s="845" t="s">
        <v>2564</v>
      </c>
      <c r="C9359" s="1007">
        <f t="shared" si="163"/>
        <v>24</v>
      </c>
      <c r="D9359" s="1014"/>
      <c r="H9359" s="1011" t="s">
        <v>1007</v>
      </c>
      <c r="K9359" s="1013"/>
    </row>
    <row r="9360" spans="1:11" s="1011" customFormat="1" ht="15" x14ac:dyDescent="0.25">
      <c r="A9360" s="859">
        <f t="shared" si="164"/>
        <v>9359</v>
      </c>
      <c r="B9360" s="845" t="s">
        <v>2564</v>
      </c>
      <c r="C9360" s="1007">
        <f t="shared" si="163"/>
        <v>24</v>
      </c>
      <c r="D9360" s="1014"/>
      <c r="I9360" s="1011" t="s">
        <v>2178</v>
      </c>
      <c r="K9360" s="1013"/>
    </row>
    <row r="9361" spans="1:11" s="1011" customFormat="1" ht="15" x14ac:dyDescent="0.25">
      <c r="A9361" s="859">
        <f t="shared" si="164"/>
        <v>9360</v>
      </c>
      <c r="B9361" s="845" t="s">
        <v>2564</v>
      </c>
      <c r="C9361" s="1007">
        <f t="shared" si="163"/>
        <v>24</v>
      </c>
      <c r="D9361" s="1012"/>
      <c r="I9361" s="1011" t="str">
        <f>CONCATENATE("&lt;valeur&gt;",VLOOKUP(C9361,'T16 Amort'!A:K,6,0),"&lt;/valeur&gt;")</f>
        <v>&lt;valeur&gt;&lt;/valeur&gt;</v>
      </c>
      <c r="K9361" s="1013"/>
    </row>
    <row r="9362" spans="1:11" s="1011" customFormat="1" ht="15" x14ac:dyDescent="0.25">
      <c r="A9362" s="859">
        <f t="shared" si="164"/>
        <v>9361</v>
      </c>
      <c r="B9362" s="845" t="s">
        <v>2564</v>
      </c>
      <c r="C9362" s="1007">
        <f t="shared" si="163"/>
        <v>24</v>
      </c>
      <c r="D9362" s="1015"/>
      <c r="I9362" s="1011" t="str">
        <f>CONCATENATE("&lt;numeroLigne&gt;",C9362,"&lt;/numeroLigne&gt;")</f>
        <v>&lt;numeroLigne&gt;24&lt;/numeroLigne&gt;</v>
      </c>
      <c r="K9362" s="1013"/>
    </row>
    <row r="9363" spans="1:11" s="1011" customFormat="1" ht="15" x14ac:dyDescent="0.25">
      <c r="A9363" s="859">
        <f t="shared" si="164"/>
        <v>9362</v>
      </c>
      <c r="B9363" s="845" t="s">
        <v>2564</v>
      </c>
      <c r="C9363" s="1007">
        <f t="shared" si="163"/>
        <v>24</v>
      </c>
      <c r="D9363" s="1012"/>
      <c r="H9363" s="1011" t="s">
        <v>1010</v>
      </c>
      <c r="K9363" s="1013"/>
    </row>
    <row r="9364" spans="1:11" s="1011" customFormat="1" ht="15" x14ac:dyDescent="0.25">
      <c r="A9364" s="859">
        <f t="shared" si="164"/>
        <v>9363</v>
      </c>
      <c r="B9364" s="845" t="s">
        <v>2564</v>
      </c>
      <c r="C9364" s="1007">
        <f t="shared" si="163"/>
        <v>24</v>
      </c>
      <c r="D9364" s="1012"/>
      <c r="H9364" s="1011" t="s">
        <v>1007</v>
      </c>
      <c r="K9364" s="1013"/>
    </row>
    <row r="9365" spans="1:11" s="1011" customFormat="1" ht="15" x14ac:dyDescent="0.25">
      <c r="A9365" s="859">
        <f t="shared" si="164"/>
        <v>9364</v>
      </c>
      <c r="B9365" s="845" t="s">
        <v>2564</v>
      </c>
      <c r="C9365" s="1007">
        <f t="shared" si="163"/>
        <v>24</v>
      </c>
      <c r="D9365" s="1014"/>
      <c r="I9365" s="1011" t="s">
        <v>2179</v>
      </c>
      <c r="K9365" s="1013"/>
    </row>
    <row r="9366" spans="1:11" s="1011" customFormat="1" ht="15" x14ac:dyDescent="0.25">
      <c r="A9366" s="859">
        <f t="shared" si="164"/>
        <v>9365</v>
      </c>
      <c r="B9366" s="845" t="s">
        <v>2564</v>
      </c>
      <c r="C9366" s="1007">
        <f t="shared" si="163"/>
        <v>24</v>
      </c>
      <c r="D9366" s="1014"/>
      <c r="I9366" s="1011" t="str">
        <f>CONCATENATE("&lt;valeur&gt;",VLOOKUP(C9366,'T16 Amort'!A:K,7,0),"&lt;/valeur&gt;")</f>
        <v>&lt;valeur&gt;&lt;/valeur&gt;</v>
      </c>
      <c r="K9366" s="1013"/>
    </row>
    <row r="9367" spans="1:11" s="1011" customFormat="1" ht="15" x14ac:dyDescent="0.25">
      <c r="A9367" s="859">
        <f t="shared" si="164"/>
        <v>9366</v>
      </c>
      <c r="B9367" s="845" t="s">
        <v>2564</v>
      </c>
      <c r="C9367" s="1007">
        <f t="shared" si="163"/>
        <v>24</v>
      </c>
      <c r="D9367" s="1012"/>
      <c r="I9367" s="1011" t="str">
        <f>CONCATENATE("&lt;numeroLigne&gt;",C9367,"&lt;/numeroLigne&gt;")</f>
        <v>&lt;numeroLigne&gt;24&lt;/numeroLigne&gt;</v>
      </c>
      <c r="K9367" s="1013"/>
    </row>
    <row r="9368" spans="1:11" s="1011" customFormat="1" ht="15" x14ac:dyDescent="0.25">
      <c r="A9368" s="859">
        <f t="shared" si="164"/>
        <v>9367</v>
      </c>
      <c r="B9368" s="845" t="s">
        <v>2564</v>
      </c>
      <c r="C9368" s="1007">
        <f t="shared" si="163"/>
        <v>24</v>
      </c>
      <c r="D9368" s="1015"/>
      <c r="H9368" s="1011" t="s">
        <v>1010</v>
      </c>
      <c r="K9368" s="1013"/>
    </row>
    <row r="9369" spans="1:11" s="1011" customFormat="1" ht="15" x14ac:dyDescent="0.25">
      <c r="A9369" s="859">
        <f t="shared" si="164"/>
        <v>9368</v>
      </c>
      <c r="B9369" s="845" t="s">
        <v>2564</v>
      </c>
      <c r="C9369" s="1007">
        <f t="shared" si="163"/>
        <v>24</v>
      </c>
      <c r="D9369" s="1012"/>
      <c r="H9369" s="1011" t="s">
        <v>1007</v>
      </c>
      <c r="K9369" s="1013"/>
    </row>
    <row r="9370" spans="1:11" s="1011" customFormat="1" ht="15" x14ac:dyDescent="0.25">
      <c r="A9370" s="859">
        <f t="shared" si="164"/>
        <v>9369</v>
      </c>
      <c r="B9370" s="845" t="s">
        <v>2564</v>
      </c>
      <c r="C9370" s="1007">
        <f t="shared" si="163"/>
        <v>24</v>
      </c>
      <c r="D9370" s="1012"/>
      <c r="I9370" s="1011" t="s">
        <v>2180</v>
      </c>
      <c r="K9370" s="1013"/>
    </row>
    <row r="9371" spans="1:11" s="1011" customFormat="1" ht="15" x14ac:dyDescent="0.25">
      <c r="A9371" s="859">
        <f t="shared" si="164"/>
        <v>9370</v>
      </c>
      <c r="B9371" s="845" t="s">
        <v>2564</v>
      </c>
      <c r="C9371" s="1007">
        <f t="shared" si="163"/>
        <v>24</v>
      </c>
      <c r="D9371" s="1014"/>
      <c r="I9371" s="1011" t="str">
        <f>CONCATENATE("&lt;valeur&gt;",VLOOKUP(C9371,'T16 Amort'!A:K,8,0),"&lt;/valeur&gt;")</f>
        <v>&lt;valeur&gt;&lt;/valeur&gt;</v>
      </c>
      <c r="K9371" s="1013"/>
    </row>
    <row r="9372" spans="1:11" s="1011" customFormat="1" ht="15" x14ac:dyDescent="0.25">
      <c r="A9372" s="859">
        <f t="shared" si="164"/>
        <v>9371</v>
      </c>
      <c r="B9372" s="845" t="s">
        <v>2564</v>
      </c>
      <c r="C9372" s="1007">
        <f t="shared" si="163"/>
        <v>24</v>
      </c>
      <c r="D9372" s="1014"/>
      <c r="I9372" s="1011" t="str">
        <f>CONCATENATE("&lt;numeroLigne&gt;",C9372,"&lt;/numeroLigne&gt;")</f>
        <v>&lt;numeroLigne&gt;24&lt;/numeroLigne&gt;</v>
      </c>
      <c r="K9372" s="1013"/>
    </row>
    <row r="9373" spans="1:11" s="1011" customFormat="1" ht="15" x14ac:dyDescent="0.25">
      <c r="A9373" s="859">
        <f t="shared" si="164"/>
        <v>9372</v>
      </c>
      <c r="B9373" s="845" t="s">
        <v>2564</v>
      </c>
      <c r="C9373" s="1007">
        <f t="shared" si="163"/>
        <v>24</v>
      </c>
      <c r="D9373" s="1012"/>
      <c r="H9373" s="1011" t="s">
        <v>1010</v>
      </c>
      <c r="K9373" s="1013"/>
    </row>
    <row r="9374" spans="1:11" s="1011" customFormat="1" ht="15" x14ac:dyDescent="0.25">
      <c r="A9374" s="859">
        <f t="shared" si="164"/>
        <v>9373</v>
      </c>
      <c r="B9374" s="845" t="s">
        <v>2564</v>
      </c>
      <c r="C9374" s="1007">
        <f t="shared" si="163"/>
        <v>24</v>
      </c>
      <c r="D9374" s="1015"/>
      <c r="H9374" s="1011" t="s">
        <v>1007</v>
      </c>
      <c r="K9374" s="1013"/>
    </row>
    <row r="9375" spans="1:11" s="1011" customFormat="1" ht="15" x14ac:dyDescent="0.25">
      <c r="A9375" s="859">
        <f t="shared" si="164"/>
        <v>9374</v>
      </c>
      <c r="B9375" s="845" t="s">
        <v>2564</v>
      </c>
      <c r="C9375" s="1007">
        <f t="shared" si="163"/>
        <v>24</v>
      </c>
      <c r="D9375" s="1012"/>
      <c r="I9375" s="1011" t="s">
        <v>2181</v>
      </c>
      <c r="K9375" s="1013"/>
    </row>
    <row r="9376" spans="1:11" s="1011" customFormat="1" ht="15" x14ac:dyDescent="0.25">
      <c r="A9376" s="859">
        <f t="shared" si="164"/>
        <v>9375</v>
      </c>
      <c r="B9376" s="845" t="s">
        <v>2564</v>
      </c>
      <c r="C9376" s="1007">
        <f t="shared" si="163"/>
        <v>24</v>
      </c>
      <c r="D9376" s="1012"/>
      <c r="I9376" s="1011" t="str">
        <f>CONCATENATE("&lt;valeur&gt;",VLOOKUP(C9376,'T16 Amort'!A:K,9,0),"&lt;/valeur&gt;")</f>
        <v>&lt;valeur&gt;&lt;/valeur&gt;</v>
      </c>
      <c r="K9376" s="1013"/>
    </row>
    <row r="9377" spans="1:11" s="1011" customFormat="1" ht="15" x14ac:dyDescent="0.25">
      <c r="A9377" s="859">
        <f t="shared" si="164"/>
        <v>9376</v>
      </c>
      <c r="B9377" s="845" t="s">
        <v>2564</v>
      </c>
      <c r="C9377" s="1007">
        <f t="shared" si="163"/>
        <v>24</v>
      </c>
      <c r="D9377" s="1014"/>
      <c r="I9377" s="1011" t="str">
        <f>CONCATENATE("&lt;numeroLigne&gt;",C9377,"&lt;/numeroLigne&gt;")</f>
        <v>&lt;numeroLigne&gt;24&lt;/numeroLigne&gt;</v>
      </c>
      <c r="K9377" s="1013"/>
    </row>
    <row r="9378" spans="1:11" s="1011" customFormat="1" ht="15" x14ac:dyDescent="0.25">
      <c r="A9378" s="859">
        <f t="shared" si="164"/>
        <v>9377</v>
      </c>
      <c r="B9378" s="845" t="s">
        <v>2564</v>
      </c>
      <c r="C9378" s="1007">
        <f t="shared" si="163"/>
        <v>24</v>
      </c>
      <c r="D9378" s="1014"/>
      <c r="H9378" s="1011" t="s">
        <v>1010</v>
      </c>
      <c r="K9378" s="1013"/>
    </row>
    <row r="9379" spans="1:11" s="1011" customFormat="1" ht="15" x14ac:dyDescent="0.25">
      <c r="A9379" s="859">
        <f t="shared" si="164"/>
        <v>9378</v>
      </c>
      <c r="B9379" s="845" t="s">
        <v>2564</v>
      </c>
      <c r="C9379" s="1007">
        <f t="shared" si="163"/>
        <v>24</v>
      </c>
      <c r="D9379" s="1012"/>
      <c r="H9379" s="1011" t="s">
        <v>1007</v>
      </c>
      <c r="K9379" s="1013"/>
    </row>
    <row r="9380" spans="1:11" s="1011" customFormat="1" ht="15" x14ac:dyDescent="0.25">
      <c r="A9380" s="859">
        <f t="shared" si="164"/>
        <v>9379</v>
      </c>
      <c r="B9380" s="845" t="s">
        <v>2564</v>
      </c>
      <c r="C9380" s="1007">
        <f t="shared" si="163"/>
        <v>24</v>
      </c>
      <c r="D9380" s="1015"/>
      <c r="I9380" s="1011" t="s">
        <v>2182</v>
      </c>
      <c r="K9380" s="1013"/>
    </row>
    <row r="9381" spans="1:11" s="1011" customFormat="1" ht="15" x14ac:dyDescent="0.25">
      <c r="A9381" s="859">
        <f t="shared" si="164"/>
        <v>9380</v>
      </c>
      <c r="B9381" s="845" t="s">
        <v>2564</v>
      </c>
      <c r="C9381" s="1007">
        <f t="shared" si="163"/>
        <v>24</v>
      </c>
      <c r="D9381" s="1012"/>
      <c r="I9381" s="1011" t="str">
        <f>CONCATENATE("&lt;valeur&gt;",VLOOKUP(C9381,'T16 Amort'!A:K,10,0),"&lt;/valeur&gt;")</f>
        <v>&lt;valeur&gt;&lt;/valeur&gt;</v>
      </c>
      <c r="K9381" s="1013"/>
    </row>
    <row r="9382" spans="1:11" s="1011" customFormat="1" ht="15" x14ac:dyDescent="0.25">
      <c r="A9382" s="859">
        <f t="shared" si="164"/>
        <v>9381</v>
      </c>
      <c r="B9382" s="845" t="s">
        <v>2564</v>
      </c>
      <c r="C9382" s="1007">
        <f t="shared" si="163"/>
        <v>24</v>
      </c>
      <c r="D9382" s="1012"/>
      <c r="I9382" s="1011" t="str">
        <f>CONCATENATE("&lt;numeroLigne&gt;",C9382,"&lt;/numeroLigne&gt;")</f>
        <v>&lt;numeroLigne&gt;24&lt;/numeroLigne&gt;</v>
      </c>
      <c r="K9382" s="1013"/>
    </row>
    <row r="9383" spans="1:11" s="1011" customFormat="1" ht="15" x14ac:dyDescent="0.25">
      <c r="A9383" s="859">
        <f t="shared" si="164"/>
        <v>9382</v>
      </c>
      <c r="B9383" s="845" t="s">
        <v>2564</v>
      </c>
      <c r="C9383" s="1007">
        <f t="shared" si="163"/>
        <v>24</v>
      </c>
      <c r="D9383" s="1014"/>
      <c r="H9383" s="1011" t="s">
        <v>1010</v>
      </c>
      <c r="K9383" s="1013"/>
    </row>
    <row r="9384" spans="1:11" s="1011" customFormat="1" ht="15" x14ac:dyDescent="0.25">
      <c r="A9384" s="859">
        <f t="shared" si="164"/>
        <v>9383</v>
      </c>
      <c r="B9384" s="845" t="s">
        <v>2564</v>
      </c>
      <c r="C9384" s="1007">
        <f t="shared" si="163"/>
        <v>24</v>
      </c>
      <c r="D9384" s="1014"/>
      <c r="H9384" s="1011" t="s">
        <v>1007</v>
      </c>
      <c r="K9384" s="1013"/>
    </row>
    <row r="9385" spans="1:11" s="1011" customFormat="1" ht="15" x14ac:dyDescent="0.25">
      <c r="A9385" s="859">
        <f t="shared" si="164"/>
        <v>9384</v>
      </c>
      <c r="B9385" s="845" t="s">
        <v>2564</v>
      </c>
      <c r="C9385" s="1007">
        <f t="shared" si="163"/>
        <v>24</v>
      </c>
      <c r="D9385" s="1012"/>
      <c r="I9385" s="1011" t="s">
        <v>2183</v>
      </c>
      <c r="K9385" s="1013"/>
    </row>
    <row r="9386" spans="1:11" s="1011" customFormat="1" ht="15" x14ac:dyDescent="0.25">
      <c r="A9386" s="859">
        <f t="shared" si="164"/>
        <v>9385</v>
      </c>
      <c r="B9386" s="845" t="s">
        <v>2564</v>
      </c>
      <c r="C9386" s="1007">
        <f t="shared" si="163"/>
        <v>24</v>
      </c>
      <c r="D9386" s="1015"/>
      <c r="I9386" s="1011" t="str">
        <f>CONCATENATE("&lt;valeur&gt;",VLOOKUP(C9386,'T16 Amort'!A:K,11,0),"&lt;/valeur&gt;")</f>
        <v>&lt;valeur&gt;&lt;/valeur&gt;</v>
      </c>
      <c r="K9386" s="1013"/>
    </row>
    <row r="9387" spans="1:11" s="1011" customFormat="1" ht="15" x14ac:dyDescent="0.25">
      <c r="A9387" s="859">
        <f t="shared" si="164"/>
        <v>9386</v>
      </c>
      <c r="B9387" s="845" t="s">
        <v>2564</v>
      </c>
      <c r="C9387" s="1007">
        <f t="shared" si="163"/>
        <v>24</v>
      </c>
      <c r="D9387" s="1012"/>
      <c r="I9387" s="1011" t="str">
        <f>CONCATENATE("&lt;numeroLigne&gt;",C9387,"&lt;/numeroLigne&gt;")</f>
        <v>&lt;numeroLigne&gt;24&lt;/numeroLigne&gt;</v>
      </c>
      <c r="K9387" s="1013"/>
    </row>
    <row r="9388" spans="1:11" s="1011" customFormat="1" ht="15" x14ac:dyDescent="0.25">
      <c r="A9388" s="859">
        <f t="shared" si="164"/>
        <v>9387</v>
      </c>
      <c r="B9388" s="845" t="s">
        <v>2564</v>
      </c>
      <c r="C9388" s="1007">
        <f t="shared" si="163"/>
        <v>24</v>
      </c>
      <c r="D9388" s="1016"/>
      <c r="E9388" s="1017"/>
      <c r="F9388" s="1017"/>
      <c r="G9388" s="1017"/>
      <c r="H9388" s="1017" t="s">
        <v>1010</v>
      </c>
      <c r="I9388" s="1017"/>
      <c r="J9388" s="1017"/>
      <c r="K9388" s="1018"/>
    </row>
    <row r="9389" spans="1:11" s="1011" customFormat="1" ht="15" x14ac:dyDescent="0.25">
      <c r="A9389" s="859">
        <f t="shared" si="164"/>
        <v>9388</v>
      </c>
      <c r="B9389" s="845" t="s">
        <v>2564</v>
      </c>
      <c r="C9389" s="1007">
        <f t="shared" si="163"/>
        <v>25</v>
      </c>
      <c r="D9389" s="1008"/>
      <c r="E9389" s="1009"/>
      <c r="F9389" s="1009"/>
      <c r="G9389" s="1009"/>
      <c r="H9389" s="1009" t="s">
        <v>1007</v>
      </c>
      <c r="I9389" s="1009"/>
      <c r="J9389" s="1009"/>
      <c r="K9389" s="1010"/>
    </row>
    <row r="9390" spans="1:11" s="1011" customFormat="1" ht="15" x14ac:dyDescent="0.25">
      <c r="A9390" s="859">
        <f t="shared" si="164"/>
        <v>9389</v>
      </c>
      <c r="B9390" s="845" t="s">
        <v>2564</v>
      </c>
      <c r="C9390" s="1007">
        <f t="shared" si="163"/>
        <v>25</v>
      </c>
      <c r="D9390" s="1012"/>
      <c r="I9390" s="1011" t="s">
        <v>2174</v>
      </c>
      <c r="K9390" s="1013"/>
    </row>
    <row r="9391" spans="1:11" s="1011" customFormat="1" ht="15" x14ac:dyDescent="0.25">
      <c r="A9391" s="859">
        <f t="shared" si="164"/>
        <v>9390</v>
      </c>
      <c r="B9391" s="845" t="s">
        <v>2564</v>
      </c>
      <c r="C9391" s="1007">
        <f t="shared" ref="C9391:C9454" si="165">C9341+1</f>
        <v>25</v>
      </c>
      <c r="D9391" s="1014"/>
      <c r="I9391" s="1011" t="str">
        <f>CONCATENATE("&lt;valeur&gt;",VLOOKUP(C9391,'T16 Amort'!A:K,2,0),"&lt;/valeur&gt;")</f>
        <v>&lt;valeur&gt;&lt;/valeur&gt;</v>
      </c>
      <c r="K9391" s="1013"/>
    </row>
    <row r="9392" spans="1:11" s="1011" customFormat="1" ht="15" x14ac:dyDescent="0.25">
      <c r="A9392" s="859">
        <f t="shared" si="164"/>
        <v>9391</v>
      </c>
      <c r="B9392" s="845" t="s">
        <v>2564</v>
      </c>
      <c r="C9392" s="1007">
        <f t="shared" si="165"/>
        <v>25</v>
      </c>
      <c r="D9392" s="1014"/>
      <c r="I9392" s="1011" t="str">
        <f>CONCATENATE("&lt;numeroLigne&gt;",C9392,"&lt;/numeroLigne&gt;")</f>
        <v>&lt;numeroLigne&gt;25&lt;/numeroLigne&gt;</v>
      </c>
      <c r="K9392" s="1013"/>
    </row>
    <row r="9393" spans="1:11" s="1011" customFormat="1" ht="15" x14ac:dyDescent="0.25">
      <c r="A9393" s="859">
        <f t="shared" si="164"/>
        <v>9392</v>
      </c>
      <c r="B9393" s="845" t="s">
        <v>2564</v>
      </c>
      <c r="C9393" s="1007">
        <f t="shared" si="165"/>
        <v>25</v>
      </c>
      <c r="D9393" s="1012"/>
      <c r="H9393" s="1011" t="s">
        <v>1010</v>
      </c>
      <c r="K9393" s="1013"/>
    </row>
    <row r="9394" spans="1:11" s="1011" customFormat="1" ht="15" x14ac:dyDescent="0.25">
      <c r="A9394" s="859">
        <f t="shared" si="164"/>
        <v>9393</v>
      </c>
      <c r="B9394" s="845" t="s">
        <v>2564</v>
      </c>
      <c r="C9394" s="1007">
        <f t="shared" si="165"/>
        <v>25</v>
      </c>
      <c r="D9394" s="1015"/>
      <c r="H9394" s="1011" t="s">
        <v>1007</v>
      </c>
      <c r="K9394" s="1013"/>
    </row>
    <row r="9395" spans="1:11" s="1011" customFormat="1" ht="15" x14ac:dyDescent="0.25">
      <c r="A9395" s="859">
        <f t="shared" si="164"/>
        <v>9394</v>
      </c>
      <c r="B9395" s="845" t="s">
        <v>2564</v>
      </c>
      <c r="C9395" s="1007">
        <f t="shared" si="165"/>
        <v>25</v>
      </c>
      <c r="D9395" s="1012"/>
      <c r="I9395" s="1011" t="s">
        <v>2175</v>
      </c>
      <c r="K9395" s="1013"/>
    </row>
    <row r="9396" spans="1:11" s="1011" customFormat="1" ht="15" x14ac:dyDescent="0.25">
      <c r="A9396" s="859">
        <f t="shared" si="164"/>
        <v>9395</v>
      </c>
      <c r="B9396" s="845" t="s">
        <v>2564</v>
      </c>
      <c r="C9396" s="1007">
        <f t="shared" si="165"/>
        <v>25</v>
      </c>
      <c r="D9396" s="1012"/>
      <c r="I9396" s="1011" t="str">
        <f>CONCATENATE("&lt;valeur&gt;",VLOOKUP(C9396,'T16 Amort'!A:K,3,0),"&lt;/valeur&gt;")</f>
        <v>&lt;valeur&gt;&lt;/valeur&gt;</v>
      </c>
      <c r="K9396" s="1013"/>
    </row>
    <row r="9397" spans="1:11" s="1011" customFormat="1" ht="15" x14ac:dyDescent="0.25">
      <c r="A9397" s="859">
        <f t="shared" si="164"/>
        <v>9396</v>
      </c>
      <c r="B9397" s="845" t="s">
        <v>2564</v>
      </c>
      <c r="C9397" s="1007">
        <f t="shared" si="165"/>
        <v>25</v>
      </c>
      <c r="D9397" s="1014"/>
      <c r="I9397" s="1011" t="str">
        <f>CONCATENATE("&lt;numeroLigne&gt;",C9397,"&lt;/numeroLigne&gt;")</f>
        <v>&lt;numeroLigne&gt;25&lt;/numeroLigne&gt;</v>
      </c>
      <c r="K9397" s="1013"/>
    </row>
    <row r="9398" spans="1:11" s="1011" customFormat="1" ht="15" x14ac:dyDescent="0.25">
      <c r="A9398" s="859">
        <f t="shared" si="164"/>
        <v>9397</v>
      </c>
      <c r="B9398" s="845" t="s">
        <v>2564</v>
      </c>
      <c r="C9398" s="1007">
        <f t="shared" si="165"/>
        <v>25</v>
      </c>
      <c r="D9398" s="1014"/>
      <c r="H9398" s="1011" t="s">
        <v>1010</v>
      </c>
      <c r="K9398" s="1013"/>
    </row>
    <row r="9399" spans="1:11" s="1011" customFormat="1" ht="15" x14ac:dyDescent="0.25">
      <c r="A9399" s="859">
        <f t="shared" si="164"/>
        <v>9398</v>
      </c>
      <c r="B9399" s="845" t="s">
        <v>2564</v>
      </c>
      <c r="C9399" s="1007">
        <f t="shared" si="165"/>
        <v>25</v>
      </c>
      <c r="D9399" s="1012"/>
      <c r="H9399" s="1011" t="s">
        <v>1007</v>
      </c>
      <c r="K9399" s="1013"/>
    </row>
    <row r="9400" spans="1:11" s="1011" customFormat="1" ht="15" x14ac:dyDescent="0.25">
      <c r="A9400" s="859">
        <f t="shared" si="164"/>
        <v>9399</v>
      </c>
      <c r="B9400" s="845" t="s">
        <v>2564</v>
      </c>
      <c r="C9400" s="1007">
        <f t="shared" si="165"/>
        <v>25</v>
      </c>
      <c r="D9400" s="1015"/>
      <c r="I9400" s="1011" t="s">
        <v>2176</v>
      </c>
      <c r="K9400" s="1013"/>
    </row>
    <row r="9401" spans="1:11" s="1011" customFormat="1" ht="15" x14ac:dyDescent="0.25">
      <c r="A9401" s="859">
        <f t="shared" si="164"/>
        <v>9400</v>
      </c>
      <c r="B9401" s="845" t="s">
        <v>2564</v>
      </c>
      <c r="C9401" s="1007">
        <f t="shared" si="165"/>
        <v>25</v>
      </c>
      <c r="D9401" s="1012"/>
      <c r="I9401" s="1011" t="str">
        <f>CONCATENATE("&lt;valeur&gt;",VLOOKUP(C9401,'T16 Amort'!A:K,4,0),"&lt;/valeur&gt;")</f>
        <v>&lt;valeur&gt;&lt;/valeur&gt;</v>
      </c>
      <c r="K9401" s="1013"/>
    </row>
    <row r="9402" spans="1:11" s="1011" customFormat="1" ht="15" x14ac:dyDescent="0.25">
      <c r="A9402" s="859">
        <f t="shared" si="164"/>
        <v>9401</v>
      </c>
      <c r="B9402" s="845" t="s">
        <v>2564</v>
      </c>
      <c r="C9402" s="1007">
        <f t="shared" si="165"/>
        <v>25</v>
      </c>
      <c r="D9402" s="1012"/>
      <c r="I9402" s="1011" t="str">
        <f>CONCATENATE("&lt;numeroLigne&gt;",C9402,"&lt;/numeroLigne&gt;")</f>
        <v>&lt;numeroLigne&gt;25&lt;/numeroLigne&gt;</v>
      </c>
      <c r="K9402" s="1013"/>
    </row>
    <row r="9403" spans="1:11" s="1011" customFormat="1" ht="15" x14ac:dyDescent="0.25">
      <c r="A9403" s="859">
        <f t="shared" si="164"/>
        <v>9402</v>
      </c>
      <c r="B9403" s="845" t="s">
        <v>2564</v>
      </c>
      <c r="C9403" s="1007">
        <f t="shared" si="165"/>
        <v>25</v>
      </c>
      <c r="D9403" s="1014"/>
      <c r="H9403" s="1011" t="s">
        <v>1010</v>
      </c>
      <c r="K9403" s="1013"/>
    </row>
    <row r="9404" spans="1:11" s="1011" customFormat="1" ht="15" x14ac:dyDescent="0.25">
      <c r="A9404" s="859">
        <f t="shared" si="164"/>
        <v>9403</v>
      </c>
      <c r="B9404" s="845" t="s">
        <v>2564</v>
      </c>
      <c r="C9404" s="1007">
        <f t="shared" si="165"/>
        <v>25</v>
      </c>
      <c r="D9404" s="1014"/>
      <c r="H9404" s="1011" t="s">
        <v>1007</v>
      </c>
      <c r="K9404" s="1013"/>
    </row>
    <row r="9405" spans="1:11" s="1011" customFormat="1" ht="15" x14ac:dyDescent="0.25">
      <c r="A9405" s="859">
        <f t="shared" si="164"/>
        <v>9404</v>
      </c>
      <c r="B9405" s="845" t="s">
        <v>2564</v>
      </c>
      <c r="C9405" s="1007">
        <f t="shared" si="165"/>
        <v>25</v>
      </c>
      <c r="D9405" s="1012"/>
      <c r="I9405" s="1011" t="s">
        <v>2177</v>
      </c>
      <c r="K9405" s="1013"/>
    </row>
    <row r="9406" spans="1:11" s="1011" customFormat="1" ht="15" x14ac:dyDescent="0.25">
      <c r="A9406" s="859">
        <f t="shared" si="164"/>
        <v>9405</v>
      </c>
      <c r="B9406" s="845" t="s">
        <v>2564</v>
      </c>
      <c r="C9406" s="1007">
        <f t="shared" si="165"/>
        <v>25</v>
      </c>
      <c r="D9406" s="1015"/>
      <c r="I9406" s="1011" t="str">
        <f>CONCATENATE("&lt;valeur&gt;",VLOOKUP(C9406,'T16 Amort'!A:K,5,0),"&lt;/valeur&gt;")</f>
        <v>&lt;valeur&gt;&lt;/valeur&gt;</v>
      </c>
      <c r="K9406" s="1013"/>
    </row>
    <row r="9407" spans="1:11" s="1011" customFormat="1" ht="15" x14ac:dyDescent="0.25">
      <c r="A9407" s="859">
        <f t="shared" si="164"/>
        <v>9406</v>
      </c>
      <c r="B9407" s="845" t="s">
        <v>2564</v>
      </c>
      <c r="C9407" s="1007">
        <f t="shared" si="165"/>
        <v>25</v>
      </c>
      <c r="D9407" s="1012"/>
      <c r="I9407" s="1011" t="str">
        <f>CONCATENATE("&lt;numeroLigne&gt;",C9407,"&lt;/numeroLigne&gt;")</f>
        <v>&lt;numeroLigne&gt;25&lt;/numeroLigne&gt;</v>
      </c>
      <c r="K9407" s="1013"/>
    </row>
    <row r="9408" spans="1:11" s="1011" customFormat="1" ht="15" x14ac:dyDescent="0.25">
      <c r="A9408" s="859">
        <f t="shared" si="164"/>
        <v>9407</v>
      </c>
      <c r="B9408" s="845" t="s">
        <v>2564</v>
      </c>
      <c r="C9408" s="1007">
        <f t="shared" si="165"/>
        <v>25</v>
      </c>
      <c r="D9408" s="1012"/>
      <c r="H9408" s="1011" t="s">
        <v>1010</v>
      </c>
      <c r="K9408" s="1013"/>
    </row>
    <row r="9409" spans="1:11" s="1011" customFormat="1" ht="15" x14ac:dyDescent="0.25">
      <c r="A9409" s="859">
        <f t="shared" si="164"/>
        <v>9408</v>
      </c>
      <c r="B9409" s="845" t="s">
        <v>2564</v>
      </c>
      <c r="C9409" s="1007">
        <f t="shared" si="165"/>
        <v>25</v>
      </c>
      <c r="D9409" s="1014"/>
      <c r="H9409" s="1011" t="s">
        <v>1007</v>
      </c>
      <c r="K9409" s="1013"/>
    </row>
    <row r="9410" spans="1:11" s="1011" customFormat="1" ht="15" x14ac:dyDescent="0.25">
      <c r="A9410" s="859">
        <f t="shared" si="164"/>
        <v>9409</v>
      </c>
      <c r="B9410" s="845" t="s">
        <v>2564</v>
      </c>
      <c r="C9410" s="1007">
        <f t="shared" si="165"/>
        <v>25</v>
      </c>
      <c r="D9410" s="1014"/>
      <c r="I9410" s="1011" t="s">
        <v>2178</v>
      </c>
      <c r="K9410" s="1013"/>
    </row>
    <row r="9411" spans="1:11" s="1011" customFormat="1" ht="15" x14ac:dyDescent="0.25">
      <c r="A9411" s="859">
        <f t="shared" si="164"/>
        <v>9410</v>
      </c>
      <c r="B9411" s="845" t="s">
        <v>2564</v>
      </c>
      <c r="C9411" s="1007">
        <f t="shared" si="165"/>
        <v>25</v>
      </c>
      <c r="D9411" s="1012"/>
      <c r="I9411" s="1011" t="str">
        <f>CONCATENATE("&lt;valeur&gt;",VLOOKUP(C9411,'T16 Amort'!A:K,6,0),"&lt;/valeur&gt;")</f>
        <v>&lt;valeur&gt;&lt;/valeur&gt;</v>
      </c>
      <c r="K9411" s="1013"/>
    </row>
    <row r="9412" spans="1:11" s="1011" customFormat="1" ht="15" x14ac:dyDescent="0.25">
      <c r="A9412" s="859">
        <f t="shared" ref="A9412:A9475" si="166">+A9411+1</f>
        <v>9411</v>
      </c>
      <c r="B9412" s="845" t="s">
        <v>2564</v>
      </c>
      <c r="C9412" s="1007">
        <f t="shared" si="165"/>
        <v>25</v>
      </c>
      <c r="D9412" s="1015"/>
      <c r="I9412" s="1011" t="str">
        <f>CONCATENATE("&lt;numeroLigne&gt;",C9412,"&lt;/numeroLigne&gt;")</f>
        <v>&lt;numeroLigne&gt;25&lt;/numeroLigne&gt;</v>
      </c>
      <c r="K9412" s="1013"/>
    </row>
    <row r="9413" spans="1:11" s="1011" customFormat="1" ht="15" x14ac:dyDescent="0.25">
      <c r="A9413" s="859">
        <f t="shared" si="166"/>
        <v>9412</v>
      </c>
      <c r="B9413" s="845" t="s">
        <v>2564</v>
      </c>
      <c r="C9413" s="1007">
        <f t="shared" si="165"/>
        <v>25</v>
      </c>
      <c r="D9413" s="1012"/>
      <c r="H9413" s="1011" t="s">
        <v>1010</v>
      </c>
      <c r="K9413" s="1013"/>
    </row>
    <row r="9414" spans="1:11" s="1011" customFormat="1" ht="15" x14ac:dyDescent="0.25">
      <c r="A9414" s="859">
        <f t="shared" si="166"/>
        <v>9413</v>
      </c>
      <c r="B9414" s="845" t="s">
        <v>2564</v>
      </c>
      <c r="C9414" s="1007">
        <f t="shared" si="165"/>
        <v>25</v>
      </c>
      <c r="D9414" s="1012"/>
      <c r="H9414" s="1011" t="s">
        <v>1007</v>
      </c>
      <c r="K9414" s="1013"/>
    </row>
    <row r="9415" spans="1:11" s="1011" customFormat="1" ht="15" x14ac:dyDescent="0.25">
      <c r="A9415" s="859">
        <f t="shared" si="166"/>
        <v>9414</v>
      </c>
      <c r="B9415" s="845" t="s">
        <v>2564</v>
      </c>
      <c r="C9415" s="1007">
        <f t="shared" si="165"/>
        <v>25</v>
      </c>
      <c r="D9415" s="1014"/>
      <c r="I9415" s="1011" t="s">
        <v>2179</v>
      </c>
      <c r="K9415" s="1013"/>
    </row>
    <row r="9416" spans="1:11" s="1011" customFormat="1" ht="15" x14ac:dyDescent="0.25">
      <c r="A9416" s="859">
        <f t="shared" si="166"/>
        <v>9415</v>
      </c>
      <c r="B9416" s="845" t="s">
        <v>2564</v>
      </c>
      <c r="C9416" s="1007">
        <f t="shared" si="165"/>
        <v>25</v>
      </c>
      <c r="D9416" s="1014"/>
      <c r="I9416" s="1011" t="str">
        <f>CONCATENATE("&lt;valeur&gt;",VLOOKUP(C9416,'T16 Amort'!A:K,7,0),"&lt;/valeur&gt;")</f>
        <v>&lt;valeur&gt;&lt;/valeur&gt;</v>
      </c>
      <c r="K9416" s="1013"/>
    </row>
    <row r="9417" spans="1:11" s="1011" customFormat="1" ht="15" x14ac:dyDescent="0.25">
      <c r="A9417" s="859">
        <f t="shared" si="166"/>
        <v>9416</v>
      </c>
      <c r="B9417" s="845" t="s">
        <v>2564</v>
      </c>
      <c r="C9417" s="1007">
        <f t="shared" si="165"/>
        <v>25</v>
      </c>
      <c r="D9417" s="1012"/>
      <c r="I9417" s="1011" t="str">
        <f>CONCATENATE("&lt;numeroLigne&gt;",C9417,"&lt;/numeroLigne&gt;")</f>
        <v>&lt;numeroLigne&gt;25&lt;/numeroLigne&gt;</v>
      </c>
      <c r="K9417" s="1013"/>
    </row>
    <row r="9418" spans="1:11" s="1011" customFormat="1" ht="15" x14ac:dyDescent="0.25">
      <c r="A9418" s="859">
        <f t="shared" si="166"/>
        <v>9417</v>
      </c>
      <c r="B9418" s="845" t="s">
        <v>2564</v>
      </c>
      <c r="C9418" s="1007">
        <f t="shared" si="165"/>
        <v>25</v>
      </c>
      <c r="D9418" s="1015"/>
      <c r="H9418" s="1011" t="s">
        <v>1010</v>
      </c>
      <c r="K9418" s="1013"/>
    </row>
    <row r="9419" spans="1:11" s="1011" customFormat="1" ht="15" x14ac:dyDescent="0.25">
      <c r="A9419" s="859">
        <f t="shared" si="166"/>
        <v>9418</v>
      </c>
      <c r="B9419" s="845" t="s">
        <v>2564</v>
      </c>
      <c r="C9419" s="1007">
        <f t="shared" si="165"/>
        <v>25</v>
      </c>
      <c r="D9419" s="1012"/>
      <c r="H9419" s="1011" t="s">
        <v>1007</v>
      </c>
      <c r="K9419" s="1013"/>
    </row>
    <row r="9420" spans="1:11" s="1011" customFormat="1" ht="15" x14ac:dyDescent="0.25">
      <c r="A9420" s="859">
        <f t="shared" si="166"/>
        <v>9419</v>
      </c>
      <c r="B9420" s="845" t="s">
        <v>2564</v>
      </c>
      <c r="C9420" s="1007">
        <f t="shared" si="165"/>
        <v>25</v>
      </c>
      <c r="D9420" s="1012"/>
      <c r="I9420" s="1011" t="s">
        <v>2180</v>
      </c>
      <c r="K9420" s="1013"/>
    </row>
    <row r="9421" spans="1:11" s="1011" customFormat="1" ht="15" x14ac:dyDescent="0.25">
      <c r="A9421" s="859">
        <f t="shared" si="166"/>
        <v>9420</v>
      </c>
      <c r="B9421" s="845" t="s">
        <v>2564</v>
      </c>
      <c r="C9421" s="1007">
        <f t="shared" si="165"/>
        <v>25</v>
      </c>
      <c r="D9421" s="1014"/>
      <c r="I9421" s="1011" t="str">
        <f>CONCATENATE("&lt;valeur&gt;",VLOOKUP(C9421,'T16 Amort'!A:K,8,0),"&lt;/valeur&gt;")</f>
        <v>&lt;valeur&gt;&lt;/valeur&gt;</v>
      </c>
      <c r="K9421" s="1013"/>
    </row>
    <row r="9422" spans="1:11" s="1011" customFormat="1" ht="15" x14ac:dyDescent="0.25">
      <c r="A9422" s="859">
        <f t="shared" si="166"/>
        <v>9421</v>
      </c>
      <c r="B9422" s="845" t="s">
        <v>2564</v>
      </c>
      <c r="C9422" s="1007">
        <f t="shared" si="165"/>
        <v>25</v>
      </c>
      <c r="D9422" s="1014"/>
      <c r="I9422" s="1011" t="str">
        <f>CONCATENATE("&lt;numeroLigne&gt;",C9422,"&lt;/numeroLigne&gt;")</f>
        <v>&lt;numeroLigne&gt;25&lt;/numeroLigne&gt;</v>
      </c>
      <c r="K9422" s="1013"/>
    </row>
    <row r="9423" spans="1:11" s="1011" customFormat="1" ht="15" x14ac:dyDescent="0.25">
      <c r="A9423" s="859">
        <f t="shared" si="166"/>
        <v>9422</v>
      </c>
      <c r="B9423" s="845" t="s">
        <v>2564</v>
      </c>
      <c r="C9423" s="1007">
        <f t="shared" si="165"/>
        <v>25</v>
      </c>
      <c r="D9423" s="1012"/>
      <c r="H9423" s="1011" t="s">
        <v>1010</v>
      </c>
      <c r="K9423" s="1013"/>
    </row>
    <row r="9424" spans="1:11" s="1011" customFormat="1" ht="15" x14ac:dyDescent="0.25">
      <c r="A9424" s="859">
        <f t="shared" si="166"/>
        <v>9423</v>
      </c>
      <c r="B9424" s="845" t="s">
        <v>2564</v>
      </c>
      <c r="C9424" s="1007">
        <f t="shared" si="165"/>
        <v>25</v>
      </c>
      <c r="D9424" s="1015"/>
      <c r="H9424" s="1011" t="s">
        <v>1007</v>
      </c>
      <c r="K9424" s="1013"/>
    </row>
    <row r="9425" spans="1:11" s="1011" customFormat="1" ht="15" x14ac:dyDescent="0.25">
      <c r="A9425" s="859">
        <f t="shared" si="166"/>
        <v>9424</v>
      </c>
      <c r="B9425" s="845" t="s">
        <v>2564</v>
      </c>
      <c r="C9425" s="1007">
        <f t="shared" si="165"/>
        <v>25</v>
      </c>
      <c r="D9425" s="1012"/>
      <c r="I9425" s="1011" t="s">
        <v>2181</v>
      </c>
      <c r="K9425" s="1013"/>
    </row>
    <row r="9426" spans="1:11" s="1011" customFormat="1" ht="15" x14ac:dyDescent="0.25">
      <c r="A9426" s="859">
        <f t="shared" si="166"/>
        <v>9425</v>
      </c>
      <c r="B9426" s="845" t="s">
        <v>2564</v>
      </c>
      <c r="C9426" s="1007">
        <f t="shared" si="165"/>
        <v>25</v>
      </c>
      <c r="D9426" s="1012"/>
      <c r="I9426" s="1011" t="str">
        <f>CONCATENATE("&lt;valeur&gt;",VLOOKUP(C9426,'T16 Amort'!A:K,9,0),"&lt;/valeur&gt;")</f>
        <v>&lt;valeur&gt;&lt;/valeur&gt;</v>
      </c>
      <c r="K9426" s="1013"/>
    </row>
    <row r="9427" spans="1:11" s="1011" customFormat="1" ht="15" x14ac:dyDescent="0.25">
      <c r="A9427" s="859">
        <f t="shared" si="166"/>
        <v>9426</v>
      </c>
      <c r="B9427" s="845" t="s">
        <v>2564</v>
      </c>
      <c r="C9427" s="1007">
        <f t="shared" si="165"/>
        <v>25</v>
      </c>
      <c r="D9427" s="1014"/>
      <c r="I9427" s="1011" t="str">
        <f>CONCATENATE("&lt;numeroLigne&gt;",C9427,"&lt;/numeroLigne&gt;")</f>
        <v>&lt;numeroLigne&gt;25&lt;/numeroLigne&gt;</v>
      </c>
      <c r="K9427" s="1013"/>
    </row>
    <row r="9428" spans="1:11" s="1011" customFormat="1" ht="15" x14ac:dyDescent="0.25">
      <c r="A9428" s="859">
        <f t="shared" si="166"/>
        <v>9427</v>
      </c>
      <c r="B9428" s="845" t="s">
        <v>2564</v>
      </c>
      <c r="C9428" s="1007">
        <f t="shared" si="165"/>
        <v>25</v>
      </c>
      <c r="D9428" s="1014"/>
      <c r="H9428" s="1011" t="s">
        <v>1010</v>
      </c>
      <c r="K9428" s="1013"/>
    </row>
    <row r="9429" spans="1:11" s="1011" customFormat="1" ht="15" x14ac:dyDescent="0.25">
      <c r="A9429" s="859">
        <f t="shared" si="166"/>
        <v>9428</v>
      </c>
      <c r="B9429" s="845" t="s">
        <v>2564</v>
      </c>
      <c r="C9429" s="1007">
        <f t="shared" si="165"/>
        <v>25</v>
      </c>
      <c r="D9429" s="1012"/>
      <c r="H9429" s="1011" t="s">
        <v>1007</v>
      </c>
      <c r="K9429" s="1013"/>
    </row>
    <row r="9430" spans="1:11" s="1011" customFormat="1" ht="15" x14ac:dyDescent="0.25">
      <c r="A9430" s="859">
        <f t="shared" si="166"/>
        <v>9429</v>
      </c>
      <c r="B9430" s="845" t="s">
        <v>2564</v>
      </c>
      <c r="C9430" s="1007">
        <f t="shared" si="165"/>
        <v>25</v>
      </c>
      <c r="D9430" s="1015"/>
      <c r="I9430" s="1011" t="s">
        <v>2182</v>
      </c>
      <c r="K9430" s="1013"/>
    </row>
    <row r="9431" spans="1:11" s="1011" customFormat="1" ht="15" x14ac:dyDescent="0.25">
      <c r="A9431" s="859">
        <f t="shared" si="166"/>
        <v>9430</v>
      </c>
      <c r="B9431" s="845" t="s">
        <v>2564</v>
      </c>
      <c r="C9431" s="1007">
        <f t="shared" si="165"/>
        <v>25</v>
      </c>
      <c r="D9431" s="1012"/>
      <c r="I9431" s="1011" t="str">
        <f>CONCATENATE("&lt;valeur&gt;",VLOOKUP(C9431,'T16 Amort'!A:K,10,0),"&lt;/valeur&gt;")</f>
        <v>&lt;valeur&gt;&lt;/valeur&gt;</v>
      </c>
      <c r="K9431" s="1013"/>
    </row>
    <row r="9432" spans="1:11" s="1011" customFormat="1" ht="15" x14ac:dyDescent="0.25">
      <c r="A9432" s="859">
        <f t="shared" si="166"/>
        <v>9431</v>
      </c>
      <c r="B9432" s="845" t="s">
        <v>2564</v>
      </c>
      <c r="C9432" s="1007">
        <f t="shared" si="165"/>
        <v>25</v>
      </c>
      <c r="D9432" s="1012"/>
      <c r="I9432" s="1011" t="str">
        <f>CONCATENATE("&lt;numeroLigne&gt;",C9432,"&lt;/numeroLigne&gt;")</f>
        <v>&lt;numeroLigne&gt;25&lt;/numeroLigne&gt;</v>
      </c>
      <c r="K9432" s="1013"/>
    </row>
    <row r="9433" spans="1:11" s="1011" customFormat="1" ht="15" x14ac:dyDescent="0.25">
      <c r="A9433" s="859">
        <f t="shared" si="166"/>
        <v>9432</v>
      </c>
      <c r="B9433" s="845" t="s">
        <v>2564</v>
      </c>
      <c r="C9433" s="1007">
        <f t="shared" si="165"/>
        <v>25</v>
      </c>
      <c r="D9433" s="1014"/>
      <c r="H9433" s="1011" t="s">
        <v>1010</v>
      </c>
      <c r="K9433" s="1013"/>
    </row>
    <row r="9434" spans="1:11" s="1011" customFormat="1" ht="15" x14ac:dyDescent="0.25">
      <c r="A9434" s="859">
        <f t="shared" si="166"/>
        <v>9433</v>
      </c>
      <c r="B9434" s="845" t="s">
        <v>2564</v>
      </c>
      <c r="C9434" s="1007">
        <f t="shared" si="165"/>
        <v>25</v>
      </c>
      <c r="D9434" s="1014"/>
      <c r="H9434" s="1011" t="s">
        <v>1007</v>
      </c>
      <c r="K9434" s="1013"/>
    </row>
    <row r="9435" spans="1:11" s="1011" customFormat="1" ht="15" x14ac:dyDescent="0.25">
      <c r="A9435" s="859">
        <f t="shared" si="166"/>
        <v>9434</v>
      </c>
      <c r="B9435" s="845" t="s">
        <v>2564</v>
      </c>
      <c r="C9435" s="1007">
        <f t="shared" si="165"/>
        <v>25</v>
      </c>
      <c r="D9435" s="1012"/>
      <c r="I9435" s="1011" t="s">
        <v>2183</v>
      </c>
      <c r="K9435" s="1013"/>
    </row>
    <row r="9436" spans="1:11" s="1011" customFormat="1" ht="15" x14ac:dyDescent="0.25">
      <c r="A9436" s="859">
        <f t="shared" si="166"/>
        <v>9435</v>
      </c>
      <c r="B9436" s="845" t="s">
        <v>2564</v>
      </c>
      <c r="C9436" s="1007">
        <f t="shared" si="165"/>
        <v>25</v>
      </c>
      <c r="D9436" s="1015"/>
      <c r="I9436" s="1011" t="str">
        <f>CONCATENATE("&lt;valeur&gt;",VLOOKUP(C9436,'T16 Amort'!A:K,11,0),"&lt;/valeur&gt;")</f>
        <v>&lt;valeur&gt;&lt;/valeur&gt;</v>
      </c>
      <c r="K9436" s="1013"/>
    </row>
    <row r="9437" spans="1:11" s="1011" customFormat="1" ht="15" x14ac:dyDescent="0.25">
      <c r="A9437" s="859">
        <f t="shared" si="166"/>
        <v>9436</v>
      </c>
      <c r="B9437" s="845" t="s">
        <v>2564</v>
      </c>
      <c r="C9437" s="1007">
        <f t="shared" si="165"/>
        <v>25</v>
      </c>
      <c r="D9437" s="1012"/>
      <c r="I9437" s="1011" t="str">
        <f>CONCATENATE("&lt;numeroLigne&gt;",C9437,"&lt;/numeroLigne&gt;")</f>
        <v>&lt;numeroLigne&gt;25&lt;/numeroLigne&gt;</v>
      </c>
      <c r="K9437" s="1013"/>
    </row>
    <row r="9438" spans="1:11" s="1011" customFormat="1" ht="15" x14ac:dyDescent="0.25">
      <c r="A9438" s="859">
        <f t="shared" si="166"/>
        <v>9437</v>
      </c>
      <c r="B9438" s="845" t="s">
        <v>2564</v>
      </c>
      <c r="C9438" s="1007">
        <f t="shared" si="165"/>
        <v>25</v>
      </c>
      <c r="D9438" s="1016"/>
      <c r="E9438" s="1017"/>
      <c r="F9438" s="1017"/>
      <c r="G9438" s="1017"/>
      <c r="H9438" s="1017" t="s">
        <v>1010</v>
      </c>
      <c r="I9438" s="1017"/>
      <c r="J9438" s="1017"/>
      <c r="K9438" s="1018"/>
    </row>
    <row r="9439" spans="1:11" s="1011" customFormat="1" ht="15" x14ac:dyDescent="0.25">
      <c r="A9439" s="859">
        <f t="shared" si="166"/>
        <v>9438</v>
      </c>
      <c r="B9439" s="845" t="s">
        <v>2564</v>
      </c>
      <c r="C9439" s="1007">
        <f t="shared" si="165"/>
        <v>26</v>
      </c>
      <c r="D9439" s="1008"/>
      <c r="E9439" s="1009"/>
      <c r="F9439" s="1009"/>
      <c r="G9439" s="1009"/>
      <c r="H9439" s="1009" t="s">
        <v>1007</v>
      </c>
      <c r="I9439" s="1009"/>
      <c r="J9439" s="1009"/>
      <c r="K9439" s="1010"/>
    </row>
    <row r="9440" spans="1:11" s="1011" customFormat="1" ht="15" x14ac:dyDescent="0.25">
      <c r="A9440" s="859">
        <f t="shared" si="166"/>
        <v>9439</v>
      </c>
      <c r="B9440" s="845" t="s">
        <v>2564</v>
      </c>
      <c r="C9440" s="1007">
        <f t="shared" si="165"/>
        <v>26</v>
      </c>
      <c r="D9440" s="1012"/>
      <c r="I9440" s="1011" t="s">
        <v>2174</v>
      </c>
      <c r="K9440" s="1013"/>
    </row>
    <row r="9441" spans="1:11" s="1011" customFormat="1" ht="15" x14ac:dyDescent="0.25">
      <c r="A9441" s="859">
        <f t="shared" si="166"/>
        <v>9440</v>
      </c>
      <c r="B9441" s="845" t="s">
        <v>2564</v>
      </c>
      <c r="C9441" s="1007">
        <f t="shared" si="165"/>
        <v>26</v>
      </c>
      <c r="D9441" s="1014"/>
      <c r="I9441" s="1011" t="str">
        <f>CONCATENATE("&lt;valeur&gt;",VLOOKUP(C9441,'T16 Amort'!A:K,2,0),"&lt;/valeur&gt;")</f>
        <v>&lt;valeur&gt;&lt;/valeur&gt;</v>
      </c>
      <c r="K9441" s="1013"/>
    </row>
    <row r="9442" spans="1:11" s="1011" customFormat="1" ht="15" x14ac:dyDescent="0.25">
      <c r="A9442" s="859">
        <f t="shared" si="166"/>
        <v>9441</v>
      </c>
      <c r="B9442" s="845" t="s">
        <v>2564</v>
      </c>
      <c r="C9442" s="1007">
        <f t="shared" si="165"/>
        <v>26</v>
      </c>
      <c r="D9442" s="1014"/>
      <c r="I9442" s="1011" t="str">
        <f>CONCATENATE("&lt;numeroLigne&gt;",C9442,"&lt;/numeroLigne&gt;")</f>
        <v>&lt;numeroLigne&gt;26&lt;/numeroLigne&gt;</v>
      </c>
      <c r="K9442" s="1013"/>
    </row>
    <row r="9443" spans="1:11" s="1011" customFormat="1" ht="15" x14ac:dyDescent="0.25">
      <c r="A9443" s="859">
        <f t="shared" si="166"/>
        <v>9442</v>
      </c>
      <c r="B9443" s="845" t="s">
        <v>2564</v>
      </c>
      <c r="C9443" s="1007">
        <f t="shared" si="165"/>
        <v>26</v>
      </c>
      <c r="D9443" s="1012"/>
      <c r="H9443" s="1011" t="s">
        <v>1010</v>
      </c>
      <c r="K9443" s="1013"/>
    </row>
    <row r="9444" spans="1:11" s="1011" customFormat="1" ht="15" x14ac:dyDescent="0.25">
      <c r="A9444" s="859">
        <f t="shared" si="166"/>
        <v>9443</v>
      </c>
      <c r="B9444" s="845" t="s">
        <v>2564</v>
      </c>
      <c r="C9444" s="1007">
        <f t="shared" si="165"/>
        <v>26</v>
      </c>
      <c r="D9444" s="1015"/>
      <c r="H9444" s="1011" t="s">
        <v>1007</v>
      </c>
      <c r="K9444" s="1013"/>
    </row>
    <row r="9445" spans="1:11" s="1011" customFormat="1" ht="15" x14ac:dyDescent="0.25">
      <c r="A9445" s="859">
        <f t="shared" si="166"/>
        <v>9444</v>
      </c>
      <c r="B9445" s="845" t="s">
        <v>2564</v>
      </c>
      <c r="C9445" s="1007">
        <f t="shared" si="165"/>
        <v>26</v>
      </c>
      <c r="D9445" s="1012"/>
      <c r="I9445" s="1011" t="s">
        <v>2175</v>
      </c>
      <c r="K9445" s="1013"/>
    </row>
    <row r="9446" spans="1:11" s="1011" customFormat="1" ht="15" x14ac:dyDescent="0.25">
      <c r="A9446" s="859">
        <f t="shared" si="166"/>
        <v>9445</v>
      </c>
      <c r="B9446" s="845" t="s">
        <v>2564</v>
      </c>
      <c r="C9446" s="1007">
        <f t="shared" si="165"/>
        <v>26</v>
      </c>
      <c r="D9446" s="1012"/>
      <c r="I9446" s="1011" t="str">
        <f>CONCATENATE("&lt;valeur&gt;",VLOOKUP(C9446,'T16 Amort'!A:K,3,0),"&lt;/valeur&gt;")</f>
        <v>&lt;valeur&gt;&lt;/valeur&gt;</v>
      </c>
      <c r="K9446" s="1013"/>
    </row>
    <row r="9447" spans="1:11" s="1011" customFormat="1" ht="15" x14ac:dyDescent="0.25">
      <c r="A9447" s="859">
        <f t="shared" si="166"/>
        <v>9446</v>
      </c>
      <c r="B9447" s="845" t="s">
        <v>2564</v>
      </c>
      <c r="C9447" s="1007">
        <f t="shared" si="165"/>
        <v>26</v>
      </c>
      <c r="D9447" s="1014"/>
      <c r="I9447" s="1011" t="str">
        <f>CONCATENATE("&lt;numeroLigne&gt;",C9447,"&lt;/numeroLigne&gt;")</f>
        <v>&lt;numeroLigne&gt;26&lt;/numeroLigne&gt;</v>
      </c>
      <c r="K9447" s="1013"/>
    </row>
    <row r="9448" spans="1:11" s="1011" customFormat="1" ht="15" x14ac:dyDescent="0.25">
      <c r="A9448" s="859">
        <f t="shared" si="166"/>
        <v>9447</v>
      </c>
      <c r="B9448" s="845" t="s">
        <v>2564</v>
      </c>
      <c r="C9448" s="1007">
        <f t="shared" si="165"/>
        <v>26</v>
      </c>
      <c r="D9448" s="1014"/>
      <c r="H9448" s="1011" t="s">
        <v>1010</v>
      </c>
      <c r="K9448" s="1013"/>
    </row>
    <row r="9449" spans="1:11" s="1011" customFormat="1" ht="15" x14ac:dyDescent="0.25">
      <c r="A9449" s="859">
        <f t="shared" si="166"/>
        <v>9448</v>
      </c>
      <c r="B9449" s="845" t="s">
        <v>2564</v>
      </c>
      <c r="C9449" s="1007">
        <f t="shared" si="165"/>
        <v>26</v>
      </c>
      <c r="D9449" s="1012"/>
      <c r="H9449" s="1011" t="s">
        <v>1007</v>
      </c>
      <c r="K9449" s="1013"/>
    </row>
    <row r="9450" spans="1:11" s="1011" customFormat="1" ht="15" x14ac:dyDescent="0.25">
      <c r="A9450" s="859">
        <f t="shared" si="166"/>
        <v>9449</v>
      </c>
      <c r="B9450" s="845" t="s">
        <v>2564</v>
      </c>
      <c r="C9450" s="1007">
        <f t="shared" si="165"/>
        <v>26</v>
      </c>
      <c r="D9450" s="1015"/>
      <c r="I9450" s="1011" t="s">
        <v>2176</v>
      </c>
      <c r="K9450" s="1013"/>
    </row>
    <row r="9451" spans="1:11" s="1011" customFormat="1" ht="15" x14ac:dyDescent="0.25">
      <c r="A9451" s="859">
        <f t="shared" si="166"/>
        <v>9450</v>
      </c>
      <c r="B9451" s="845" t="s">
        <v>2564</v>
      </c>
      <c r="C9451" s="1007">
        <f t="shared" si="165"/>
        <v>26</v>
      </c>
      <c r="D9451" s="1012"/>
      <c r="I9451" s="1011" t="str">
        <f>CONCATENATE("&lt;valeur&gt;",VLOOKUP(C9451,'T16 Amort'!A:K,4,0),"&lt;/valeur&gt;")</f>
        <v>&lt;valeur&gt;&lt;/valeur&gt;</v>
      </c>
      <c r="K9451" s="1013"/>
    </row>
    <row r="9452" spans="1:11" s="1011" customFormat="1" ht="15" x14ac:dyDescent="0.25">
      <c r="A9452" s="859">
        <f t="shared" si="166"/>
        <v>9451</v>
      </c>
      <c r="B9452" s="845" t="s">
        <v>2564</v>
      </c>
      <c r="C9452" s="1007">
        <f t="shared" si="165"/>
        <v>26</v>
      </c>
      <c r="D9452" s="1012"/>
      <c r="I9452" s="1011" t="str">
        <f>CONCATENATE("&lt;numeroLigne&gt;",C9452,"&lt;/numeroLigne&gt;")</f>
        <v>&lt;numeroLigne&gt;26&lt;/numeroLigne&gt;</v>
      </c>
      <c r="K9452" s="1013"/>
    </row>
    <row r="9453" spans="1:11" s="1011" customFormat="1" ht="15" x14ac:dyDescent="0.25">
      <c r="A9453" s="859">
        <f t="shared" si="166"/>
        <v>9452</v>
      </c>
      <c r="B9453" s="845" t="s">
        <v>2564</v>
      </c>
      <c r="C9453" s="1007">
        <f t="shared" si="165"/>
        <v>26</v>
      </c>
      <c r="D9453" s="1014"/>
      <c r="H9453" s="1011" t="s">
        <v>1010</v>
      </c>
      <c r="K9453" s="1013"/>
    </row>
    <row r="9454" spans="1:11" s="1011" customFormat="1" ht="15" x14ac:dyDescent="0.25">
      <c r="A9454" s="859">
        <f t="shared" si="166"/>
        <v>9453</v>
      </c>
      <c r="B9454" s="845" t="s">
        <v>2564</v>
      </c>
      <c r="C9454" s="1007">
        <f t="shared" si="165"/>
        <v>26</v>
      </c>
      <c r="D9454" s="1014"/>
      <c r="H9454" s="1011" t="s">
        <v>1007</v>
      </c>
      <c r="K9454" s="1013"/>
    </row>
    <row r="9455" spans="1:11" s="1011" customFormat="1" ht="15" x14ac:dyDescent="0.25">
      <c r="A9455" s="859">
        <f t="shared" si="166"/>
        <v>9454</v>
      </c>
      <c r="B9455" s="845" t="s">
        <v>2564</v>
      </c>
      <c r="C9455" s="1007">
        <f t="shared" ref="C9455:C9518" si="167">C9405+1</f>
        <v>26</v>
      </c>
      <c r="D9455" s="1012"/>
      <c r="I9455" s="1011" t="s">
        <v>2177</v>
      </c>
      <c r="K9455" s="1013"/>
    </row>
    <row r="9456" spans="1:11" s="1011" customFormat="1" ht="15" x14ac:dyDescent="0.25">
      <c r="A9456" s="859">
        <f t="shared" si="166"/>
        <v>9455</v>
      </c>
      <c r="B9456" s="845" t="s">
        <v>2564</v>
      </c>
      <c r="C9456" s="1007">
        <f t="shared" si="167"/>
        <v>26</v>
      </c>
      <c r="D9456" s="1015"/>
      <c r="I9456" s="1011" t="str">
        <f>CONCATENATE("&lt;valeur&gt;",VLOOKUP(C9456,'T16 Amort'!A:K,5,0),"&lt;/valeur&gt;")</f>
        <v>&lt;valeur&gt;&lt;/valeur&gt;</v>
      </c>
      <c r="K9456" s="1013"/>
    </row>
    <row r="9457" spans="1:11" s="1011" customFormat="1" ht="15" x14ac:dyDescent="0.25">
      <c r="A9457" s="859">
        <f t="shared" si="166"/>
        <v>9456</v>
      </c>
      <c r="B9457" s="845" t="s">
        <v>2564</v>
      </c>
      <c r="C9457" s="1007">
        <f t="shared" si="167"/>
        <v>26</v>
      </c>
      <c r="D9457" s="1012"/>
      <c r="I9457" s="1011" t="str">
        <f>CONCATENATE("&lt;numeroLigne&gt;",C9457,"&lt;/numeroLigne&gt;")</f>
        <v>&lt;numeroLigne&gt;26&lt;/numeroLigne&gt;</v>
      </c>
      <c r="K9457" s="1013"/>
    </row>
    <row r="9458" spans="1:11" s="1011" customFormat="1" ht="15" x14ac:dyDescent="0.25">
      <c r="A9458" s="859">
        <f t="shared" si="166"/>
        <v>9457</v>
      </c>
      <c r="B9458" s="845" t="s">
        <v>2564</v>
      </c>
      <c r="C9458" s="1007">
        <f t="shared" si="167"/>
        <v>26</v>
      </c>
      <c r="D9458" s="1012"/>
      <c r="H9458" s="1011" t="s">
        <v>1010</v>
      </c>
      <c r="K9458" s="1013"/>
    </row>
    <row r="9459" spans="1:11" s="1011" customFormat="1" ht="15" x14ac:dyDescent="0.25">
      <c r="A9459" s="859">
        <f t="shared" si="166"/>
        <v>9458</v>
      </c>
      <c r="B9459" s="845" t="s">
        <v>2564</v>
      </c>
      <c r="C9459" s="1007">
        <f t="shared" si="167"/>
        <v>26</v>
      </c>
      <c r="D9459" s="1014"/>
      <c r="H9459" s="1011" t="s">
        <v>1007</v>
      </c>
      <c r="K9459" s="1013"/>
    </row>
    <row r="9460" spans="1:11" s="1011" customFormat="1" ht="15" x14ac:dyDescent="0.25">
      <c r="A9460" s="859">
        <f t="shared" si="166"/>
        <v>9459</v>
      </c>
      <c r="B9460" s="845" t="s">
        <v>2564</v>
      </c>
      <c r="C9460" s="1007">
        <f t="shared" si="167"/>
        <v>26</v>
      </c>
      <c r="D9460" s="1014"/>
      <c r="I9460" s="1011" t="s">
        <v>2178</v>
      </c>
      <c r="K9460" s="1013"/>
    </row>
    <row r="9461" spans="1:11" s="1011" customFormat="1" ht="15" x14ac:dyDescent="0.25">
      <c r="A9461" s="859">
        <f t="shared" si="166"/>
        <v>9460</v>
      </c>
      <c r="B9461" s="845" t="s">
        <v>2564</v>
      </c>
      <c r="C9461" s="1007">
        <f t="shared" si="167"/>
        <v>26</v>
      </c>
      <c r="D9461" s="1012"/>
      <c r="I9461" s="1011" t="str">
        <f>CONCATENATE("&lt;valeur&gt;",VLOOKUP(C9461,'T16 Amort'!A:K,6,0),"&lt;/valeur&gt;")</f>
        <v>&lt;valeur&gt;&lt;/valeur&gt;</v>
      </c>
      <c r="K9461" s="1013"/>
    </row>
    <row r="9462" spans="1:11" s="1011" customFormat="1" ht="15" x14ac:dyDescent="0.25">
      <c r="A9462" s="859">
        <f t="shared" si="166"/>
        <v>9461</v>
      </c>
      <c r="B9462" s="845" t="s">
        <v>2564</v>
      </c>
      <c r="C9462" s="1007">
        <f t="shared" si="167"/>
        <v>26</v>
      </c>
      <c r="D9462" s="1015"/>
      <c r="I9462" s="1011" t="str">
        <f>CONCATENATE("&lt;numeroLigne&gt;",C9462,"&lt;/numeroLigne&gt;")</f>
        <v>&lt;numeroLigne&gt;26&lt;/numeroLigne&gt;</v>
      </c>
      <c r="K9462" s="1013"/>
    </row>
    <row r="9463" spans="1:11" s="1011" customFormat="1" ht="15" x14ac:dyDescent="0.25">
      <c r="A9463" s="859">
        <f t="shared" si="166"/>
        <v>9462</v>
      </c>
      <c r="B9463" s="845" t="s">
        <v>2564</v>
      </c>
      <c r="C9463" s="1007">
        <f t="shared" si="167"/>
        <v>26</v>
      </c>
      <c r="D9463" s="1012"/>
      <c r="H9463" s="1011" t="s">
        <v>1010</v>
      </c>
      <c r="K9463" s="1013"/>
    </row>
    <row r="9464" spans="1:11" s="1011" customFormat="1" ht="15" x14ac:dyDescent="0.25">
      <c r="A9464" s="859">
        <f t="shared" si="166"/>
        <v>9463</v>
      </c>
      <c r="B9464" s="845" t="s">
        <v>2564</v>
      </c>
      <c r="C9464" s="1007">
        <f t="shared" si="167"/>
        <v>26</v>
      </c>
      <c r="D9464" s="1012"/>
      <c r="H9464" s="1011" t="s">
        <v>1007</v>
      </c>
      <c r="K9464" s="1013"/>
    </row>
    <row r="9465" spans="1:11" s="1011" customFormat="1" ht="15" x14ac:dyDescent="0.25">
      <c r="A9465" s="859">
        <f t="shared" si="166"/>
        <v>9464</v>
      </c>
      <c r="B9465" s="845" t="s">
        <v>2564</v>
      </c>
      <c r="C9465" s="1007">
        <f t="shared" si="167"/>
        <v>26</v>
      </c>
      <c r="D9465" s="1014"/>
      <c r="I9465" s="1011" t="s">
        <v>2179</v>
      </c>
      <c r="K9465" s="1013"/>
    </row>
    <row r="9466" spans="1:11" s="1011" customFormat="1" ht="15" x14ac:dyDescent="0.25">
      <c r="A9466" s="859">
        <f t="shared" si="166"/>
        <v>9465</v>
      </c>
      <c r="B9466" s="845" t="s">
        <v>2564</v>
      </c>
      <c r="C9466" s="1007">
        <f t="shared" si="167"/>
        <v>26</v>
      </c>
      <c r="D9466" s="1014"/>
      <c r="I9466" s="1011" t="str">
        <f>CONCATENATE("&lt;valeur&gt;",VLOOKUP(C9466,'T16 Amort'!A:K,7,0),"&lt;/valeur&gt;")</f>
        <v>&lt;valeur&gt;&lt;/valeur&gt;</v>
      </c>
      <c r="K9466" s="1013"/>
    </row>
    <row r="9467" spans="1:11" s="1011" customFormat="1" ht="15" x14ac:dyDescent="0.25">
      <c r="A9467" s="859">
        <f t="shared" si="166"/>
        <v>9466</v>
      </c>
      <c r="B9467" s="845" t="s">
        <v>2564</v>
      </c>
      <c r="C9467" s="1007">
        <f t="shared" si="167"/>
        <v>26</v>
      </c>
      <c r="D9467" s="1012"/>
      <c r="I9467" s="1011" t="str">
        <f>CONCATENATE("&lt;numeroLigne&gt;",C9467,"&lt;/numeroLigne&gt;")</f>
        <v>&lt;numeroLigne&gt;26&lt;/numeroLigne&gt;</v>
      </c>
      <c r="K9467" s="1013"/>
    </row>
    <row r="9468" spans="1:11" s="1011" customFormat="1" ht="15" x14ac:dyDescent="0.25">
      <c r="A9468" s="859">
        <f t="shared" si="166"/>
        <v>9467</v>
      </c>
      <c r="B9468" s="845" t="s">
        <v>2564</v>
      </c>
      <c r="C9468" s="1007">
        <f t="shared" si="167"/>
        <v>26</v>
      </c>
      <c r="D9468" s="1015"/>
      <c r="H9468" s="1011" t="s">
        <v>1010</v>
      </c>
      <c r="K9468" s="1013"/>
    </row>
    <row r="9469" spans="1:11" s="1011" customFormat="1" ht="15" x14ac:dyDescent="0.25">
      <c r="A9469" s="859">
        <f t="shared" si="166"/>
        <v>9468</v>
      </c>
      <c r="B9469" s="845" t="s">
        <v>2564</v>
      </c>
      <c r="C9469" s="1007">
        <f t="shared" si="167"/>
        <v>26</v>
      </c>
      <c r="D9469" s="1012"/>
      <c r="H9469" s="1011" t="s">
        <v>1007</v>
      </c>
      <c r="K9469" s="1013"/>
    </row>
    <row r="9470" spans="1:11" s="1011" customFormat="1" ht="15" x14ac:dyDescent="0.25">
      <c r="A9470" s="859">
        <f t="shared" si="166"/>
        <v>9469</v>
      </c>
      <c r="B9470" s="845" t="s">
        <v>2564</v>
      </c>
      <c r="C9470" s="1007">
        <f t="shared" si="167"/>
        <v>26</v>
      </c>
      <c r="D9470" s="1012"/>
      <c r="I9470" s="1011" t="s">
        <v>2180</v>
      </c>
      <c r="K9470" s="1013"/>
    </row>
    <row r="9471" spans="1:11" s="1011" customFormat="1" ht="15" x14ac:dyDescent="0.25">
      <c r="A9471" s="859">
        <f t="shared" si="166"/>
        <v>9470</v>
      </c>
      <c r="B9471" s="845" t="s">
        <v>2564</v>
      </c>
      <c r="C9471" s="1007">
        <f t="shared" si="167"/>
        <v>26</v>
      </c>
      <c r="D9471" s="1014"/>
      <c r="I9471" s="1011" t="str">
        <f>CONCATENATE("&lt;valeur&gt;",VLOOKUP(C9471,'T16 Amort'!A:K,8,0),"&lt;/valeur&gt;")</f>
        <v>&lt;valeur&gt;&lt;/valeur&gt;</v>
      </c>
      <c r="K9471" s="1013"/>
    </row>
    <row r="9472" spans="1:11" s="1011" customFormat="1" ht="15" x14ac:dyDescent="0.25">
      <c r="A9472" s="859">
        <f t="shared" si="166"/>
        <v>9471</v>
      </c>
      <c r="B9472" s="845" t="s">
        <v>2564</v>
      </c>
      <c r="C9472" s="1007">
        <f t="shared" si="167"/>
        <v>26</v>
      </c>
      <c r="D9472" s="1014"/>
      <c r="I9472" s="1011" t="str">
        <f>CONCATENATE("&lt;numeroLigne&gt;",C9472,"&lt;/numeroLigne&gt;")</f>
        <v>&lt;numeroLigne&gt;26&lt;/numeroLigne&gt;</v>
      </c>
      <c r="K9472" s="1013"/>
    </row>
    <row r="9473" spans="1:11" s="1011" customFormat="1" ht="15" x14ac:dyDescent="0.25">
      <c r="A9473" s="859">
        <f t="shared" si="166"/>
        <v>9472</v>
      </c>
      <c r="B9473" s="845" t="s">
        <v>2564</v>
      </c>
      <c r="C9473" s="1007">
        <f t="shared" si="167"/>
        <v>26</v>
      </c>
      <c r="D9473" s="1012"/>
      <c r="H9473" s="1011" t="s">
        <v>1010</v>
      </c>
      <c r="K9473" s="1013"/>
    </row>
    <row r="9474" spans="1:11" s="1011" customFormat="1" ht="15" x14ac:dyDescent="0.25">
      <c r="A9474" s="859">
        <f t="shared" si="166"/>
        <v>9473</v>
      </c>
      <c r="B9474" s="845" t="s">
        <v>2564</v>
      </c>
      <c r="C9474" s="1007">
        <f t="shared" si="167"/>
        <v>26</v>
      </c>
      <c r="D9474" s="1015"/>
      <c r="H9474" s="1011" t="s">
        <v>1007</v>
      </c>
      <c r="K9474" s="1013"/>
    </row>
    <row r="9475" spans="1:11" s="1011" customFormat="1" ht="15" x14ac:dyDescent="0.25">
      <c r="A9475" s="859">
        <f t="shared" si="166"/>
        <v>9474</v>
      </c>
      <c r="B9475" s="845" t="s">
        <v>2564</v>
      </c>
      <c r="C9475" s="1007">
        <f t="shared" si="167"/>
        <v>26</v>
      </c>
      <c r="D9475" s="1012"/>
      <c r="I9475" s="1011" t="s">
        <v>2181</v>
      </c>
      <c r="K9475" s="1013"/>
    </row>
    <row r="9476" spans="1:11" s="1011" customFormat="1" ht="15" x14ac:dyDescent="0.25">
      <c r="A9476" s="859">
        <f t="shared" ref="A9476:A9539" si="168">+A9475+1</f>
        <v>9475</v>
      </c>
      <c r="B9476" s="845" t="s">
        <v>2564</v>
      </c>
      <c r="C9476" s="1007">
        <f t="shared" si="167"/>
        <v>26</v>
      </c>
      <c r="D9476" s="1012"/>
      <c r="I9476" s="1011" t="str">
        <f>CONCATENATE("&lt;valeur&gt;",VLOOKUP(C9476,'T16 Amort'!A:K,9,0),"&lt;/valeur&gt;")</f>
        <v>&lt;valeur&gt;&lt;/valeur&gt;</v>
      </c>
      <c r="K9476" s="1013"/>
    </row>
    <row r="9477" spans="1:11" s="1011" customFormat="1" ht="15" x14ac:dyDescent="0.25">
      <c r="A9477" s="859">
        <f t="shared" si="168"/>
        <v>9476</v>
      </c>
      <c r="B9477" s="845" t="s">
        <v>2564</v>
      </c>
      <c r="C9477" s="1007">
        <f t="shared" si="167"/>
        <v>26</v>
      </c>
      <c r="D9477" s="1014"/>
      <c r="I9477" s="1011" t="str">
        <f>CONCATENATE("&lt;numeroLigne&gt;",C9477,"&lt;/numeroLigne&gt;")</f>
        <v>&lt;numeroLigne&gt;26&lt;/numeroLigne&gt;</v>
      </c>
      <c r="K9477" s="1013"/>
    </row>
    <row r="9478" spans="1:11" s="1011" customFormat="1" ht="15" x14ac:dyDescent="0.25">
      <c r="A9478" s="859">
        <f t="shared" si="168"/>
        <v>9477</v>
      </c>
      <c r="B9478" s="845" t="s">
        <v>2564</v>
      </c>
      <c r="C9478" s="1007">
        <f t="shared" si="167"/>
        <v>26</v>
      </c>
      <c r="D9478" s="1014"/>
      <c r="H9478" s="1011" t="s">
        <v>1010</v>
      </c>
      <c r="K9478" s="1013"/>
    </row>
    <row r="9479" spans="1:11" s="1011" customFormat="1" ht="15" x14ac:dyDescent="0.25">
      <c r="A9479" s="859">
        <f t="shared" si="168"/>
        <v>9478</v>
      </c>
      <c r="B9479" s="845" t="s">
        <v>2564</v>
      </c>
      <c r="C9479" s="1007">
        <f t="shared" si="167"/>
        <v>26</v>
      </c>
      <c r="D9479" s="1012"/>
      <c r="H9479" s="1011" t="s">
        <v>1007</v>
      </c>
      <c r="K9479" s="1013"/>
    </row>
    <row r="9480" spans="1:11" s="1011" customFormat="1" ht="15" x14ac:dyDescent="0.25">
      <c r="A9480" s="859">
        <f t="shared" si="168"/>
        <v>9479</v>
      </c>
      <c r="B9480" s="845" t="s">
        <v>2564</v>
      </c>
      <c r="C9480" s="1007">
        <f t="shared" si="167"/>
        <v>26</v>
      </c>
      <c r="D9480" s="1015"/>
      <c r="I9480" s="1011" t="s">
        <v>2182</v>
      </c>
      <c r="K9480" s="1013"/>
    </row>
    <row r="9481" spans="1:11" s="1011" customFormat="1" ht="15" x14ac:dyDescent="0.25">
      <c r="A9481" s="859">
        <f t="shared" si="168"/>
        <v>9480</v>
      </c>
      <c r="B9481" s="845" t="s">
        <v>2564</v>
      </c>
      <c r="C9481" s="1007">
        <f t="shared" si="167"/>
        <v>26</v>
      </c>
      <c r="D9481" s="1012"/>
      <c r="I9481" s="1011" t="str">
        <f>CONCATENATE("&lt;valeur&gt;",VLOOKUP(C9481,'T16 Amort'!A:K,10,0),"&lt;/valeur&gt;")</f>
        <v>&lt;valeur&gt;&lt;/valeur&gt;</v>
      </c>
      <c r="K9481" s="1013"/>
    </row>
    <row r="9482" spans="1:11" s="1011" customFormat="1" ht="15" x14ac:dyDescent="0.25">
      <c r="A9482" s="859">
        <f t="shared" si="168"/>
        <v>9481</v>
      </c>
      <c r="B9482" s="845" t="s">
        <v>2564</v>
      </c>
      <c r="C9482" s="1007">
        <f t="shared" si="167"/>
        <v>26</v>
      </c>
      <c r="D9482" s="1012"/>
      <c r="I9482" s="1011" t="str">
        <f>CONCATENATE("&lt;numeroLigne&gt;",C9482,"&lt;/numeroLigne&gt;")</f>
        <v>&lt;numeroLigne&gt;26&lt;/numeroLigne&gt;</v>
      </c>
      <c r="K9482" s="1013"/>
    </row>
    <row r="9483" spans="1:11" s="1011" customFormat="1" ht="15" x14ac:dyDescent="0.25">
      <c r="A9483" s="859">
        <f t="shared" si="168"/>
        <v>9482</v>
      </c>
      <c r="B9483" s="845" t="s">
        <v>2564</v>
      </c>
      <c r="C9483" s="1007">
        <f t="shared" si="167"/>
        <v>26</v>
      </c>
      <c r="D9483" s="1014"/>
      <c r="H9483" s="1011" t="s">
        <v>1010</v>
      </c>
      <c r="K9483" s="1013"/>
    </row>
    <row r="9484" spans="1:11" s="1011" customFormat="1" ht="15" x14ac:dyDescent="0.25">
      <c r="A9484" s="859">
        <f t="shared" si="168"/>
        <v>9483</v>
      </c>
      <c r="B9484" s="845" t="s">
        <v>2564</v>
      </c>
      <c r="C9484" s="1007">
        <f t="shared" si="167"/>
        <v>26</v>
      </c>
      <c r="D9484" s="1014"/>
      <c r="H9484" s="1011" t="s">
        <v>1007</v>
      </c>
      <c r="K9484" s="1013"/>
    </row>
    <row r="9485" spans="1:11" s="1011" customFormat="1" ht="15" x14ac:dyDescent="0.25">
      <c r="A9485" s="859">
        <f t="shared" si="168"/>
        <v>9484</v>
      </c>
      <c r="B9485" s="845" t="s">
        <v>2564</v>
      </c>
      <c r="C9485" s="1007">
        <f t="shared" si="167"/>
        <v>26</v>
      </c>
      <c r="D9485" s="1012"/>
      <c r="I9485" s="1011" t="s">
        <v>2183</v>
      </c>
      <c r="K9485" s="1013"/>
    </row>
    <row r="9486" spans="1:11" s="1011" customFormat="1" ht="15" x14ac:dyDescent="0.25">
      <c r="A9486" s="859">
        <f t="shared" si="168"/>
        <v>9485</v>
      </c>
      <c r="B9486" s="845" t="s">
        <v>2564</v>
      </c>
      <c r="C9486" s="1007">
        <f t="shared" si="167"/>
        <v>26</v>
      </c>
      <c r="D9486" s="1015"/>
      <c r="I9486" s="1011" t="str">
        <f>CONCATENATE("&lt;valeur&gt;",VLOOKUP(C9486,'T16 Amort'!A:K,11,0),"&lt;/valeur&gt;")</f>
        <v>&lt;valeur&gt;&lt;/valeur&gt;</v>
      </c>
      <c r="K9486" s="1013"/>
    </row>
    <row r="9487" spans="1:11" s="1011" customFormat="1" ht="15" x14ac:dyDescent="0.25">
      <c r="A9487" s="859">
        <f t="shared" si="168"/>
        <v>9486</v>
      </c>
      <c r="B9487" s="845" t="s">
        <v>2564</v>
      </c>
      <c r="C9487" s="1007">
        <f t="shared" si="167"/>
        <v>26</v>
      </c>
      <c r="D9487" s="1012"/>
      <c r="I9487" s="1011" t="str">
        <f>CONCATENATE("&lt;numeroLigne&gt;",C9487,"&lt;/numeroLigne&gt;")</f>
        <v>&lt;numeroLigne&gt;26&lt;/numeroLigne&gt;</v>
      </c>
      <c r="K9487" s="1013"/>
    </row>
    <row r="9488" spans="1:11" s="1011" customFormat="1" ht="15" x14ac:dyDescent="0.25">
      <c r="A9488" s="859">
        <f t="shared" si="168"/>
        <v>9487</v>
      </c>
      <c r="B9488" s="845" t="s">
        <v>2564</v>
      </c>
      <c r="C9488" s="1007">
        <f t="shared" si="167"/>
        <v>26</v>
      </c>
      <c r="D9488" s="1016"/>
      <c r="E9488" s="1017"/>
      <c r="F9488" s="1017"/>
      <c r="G9488" s="1017"/>
      <c r="H9488" s="1017" t="s">
        <v>1010</v>
      </c>
      <c r="I9488" s="1017"/>
      <c r="J9488" s="1017"/>
      <c r="K9488" s="1018"/>
    </row>
    <row r="9489" spans="1:11" s="1011" customFormat="1" ht="15" x14ac:dyDescent="0.25">
      <c r="A9489" s="859">
        <f t="shared" si="168"/>
        <v>9488</v>
      </c>
      <c r="B9489" s="845" t="s">
        <v>2564</v>
      </c>
      <c r="C9489" s="1007">
        <f t="shared" si="167"/>
        <v>27</v>
      </c>
      <c r="D9489" s="1008"/>
      <c r="E9489" s="1009"/>
      <c r="F9489" s="1009"/>
      <c r="G9489" s="1009"/>
      <c r="H9489" s="1009" t="s">
        <v>1007</v>
      </c>
      <c r="I9489" s="1009"/>
      <c r="J9489" s="1009"/>
      <c r="K9489" s="1010"/>
    </row>
    <row r="9490" spans="1:11" s="1011" customFormat="1" ht="15" x14ac:dyDescent="0.25">
      <c r="A9490" s="859">
        <f t="shared" si="168"/>
        <v>9489</v>
      </c>
      <c r="B9490" s="845" t="s">
        <v>2564</v>
      </c>
      <c r="C9490" s="1007">
        <f t="shared" si="167"/>
        <v>27</v>
      </c>
      <c r="D9490" s="1012"/>
      <c r="I9490" s="1011" t="s">
        <v>2174</v>
      </c>
      <c r="K9490" s="1013"/>
    </row>
    <row r="9491" spans="1:11" s="1011" customFormat="1" ht="15" x14ac:dyDescent="0.25">
      <c r="A9491" s="859">
        <f t="shared" si="168"/>
        <v>9490</v>
      </c>
      <c r="B9491" s="845" t="s">
        <v>2564</v>
      </c>
      <c r="C9491" s="1007">
        <f t="shared" si="167"/>
        <v>27</v>
      </c>
      <c r="D9491" s="1014"/>
      <c r="I9491" s="1011" t="str">
        <f>CONCATENATE("&lt;valeur&gt;",VLOOKUP(C9491,'T16 Amort'!A:K,2,0),"&lt;/valeur&gt;")</f>
        <v>&lt;valeur&gt;&lt;/valeur&gt;</v>
      </c>
      <c r="K9491" s="1013"/>
    </row>
    <row r="9492" spans="1:11" s="1011" customFormat="1" ht="15" x14ac:dyDescent="0.25">
      <c r="A9492" s="859">
        <f t="shared" si="168"/>
        <v>9491</v>
      </c>
      <c r="B9492" s="845" t="s">
        <v>2564</v>
      </c>
      <c r="C9492" s="1007">
        <f t="shared" si="167"/>
        <v>27</v>
      </c>
      <c r="D9492" s="1014"/>
      <c r="I9492" s="1011" t="str">
        <f>CONCATENATE("&lt;numeroLigne&gt;",C9492,"&lt;/numeroLigne&gt;")</f>
        <v>&lt;numeroLigne&gt;27&lt;/numeroLigne&gt;</v>
      </c>
      <c r="K9492" s="1013"/>
    </row>
    <row r="9493" spans="1:11" s="1011" customFormat="1" ht="15" x14ac:dyDescent="0.25">
      <c r="A9493" s="859">
        <f t="shared" si="168"/>
        <v>9492</v>
      </c>
      <c r="B9493" s="845" t="s">
        <v>2564</v>
      </c>
      <c r="C9493" s="1007">
        <f t="shared" si="167"/>
        <v>27</v>
      </c>
      <c r="D9493" s="1012"/>
      <c r="H9493" s="1011" t="s">
        <v>1010</v>
      </c>
      <c r="K9493" s="1013"/>
    </row>
    <row r="9494" spans="1:11" s="1011" customFormat="1" ht="15" x14ac:dyDescent="0.25">
      <c r="A9494" s="859">
        <f t="shared" si="168"/>
        <v>9493</v>
      </c>
      <c r="B9494" s="845" t="s">
        <v>2564</v>
      </c>
      <c r="C9494" s="1007">
        <f t="shared" si="167"/>
        <v>27</v>
      </c>
      <c r="D9494" s="1015"/>
      <c r="H9494" s="1011" t="s">
        <v>1007</v>
      </c>
      <c r="K9494" s="1013"/>
    </row>
    <row r="9495" spans="1:11" s="1011" customFormat="1" ht="15" x14ac:dyDescent="0.25">
      <c r="A9495" s="859">
        <f t="shared" si="168"/>
        <v>9494</v>
      </c>
      <c r="B9495" s="845" t="s">
        <v>2564</v>
      </c>
      <c r="C9495" s="1007">
        <f t="shared" si="167"/>
        <v>27</v>
      </c>
      <c r="D9495" s="1012"/>
      <c r="I9495" s="1011" t="s">
        <v>2175</v>
      </c>
      <c r="K9495" s="1013"/>
    </row>
    <row r="9496" spans="1:11" s="1011" customFormat="1" ht="15" x14ac:dyDescent="0.25">
      <c r="A9496" s="859">
        <f t="shared" si="168"/>
        <v>9495</v>
      </c>
      <c r="B9496" s="845" t="s">
        <v>2564</v>
      </c>
      <c r="C9496" s="1007">
        <f t="shared" si="167"/>
        <v>27</v>
      </c>
      <c r="D9496" s="1012"/>
      <c r="I9496" s="1011" t="str">
        <f>CONCATENATE("&lt;valeur&gt;",VLOOKUP(C9496,'T16 Amort'!A:K,3,0),"&lt;/valeur&gt;")</f>
        <v>&lt;valeur&gt;&lt;/valeur&gt;</v>
      </c>
      <c r="K9496" s="1013"/>
    </row>
    <row r="9497" spans="1:11" s="1011" customFormat="1" ht="15" x14ac:dyDescent="0.25">
      <c r="A9497" s="859">
        <f t="shared" si="168"/>
        <v>9496</v>
      </c>
      <c r="B9497" s="845" t="s">
        <v>2564</v>
      </c>
      <c r="C9497" s="1007">
        <f t="shared" si="167"/>
        <v>27</v>
      </c>
      <c r="D9497" s="1014"/>
      <c r="I9497" s="1011" t="str">
        <f>CONCATENATE("&lt;numeroLigne&gt;",C9497,"&lt;/numeroLigne&gt;")</f>
        <v>&lt;numeroLigne&gt;27&lt;/numeroLigne&gt;</v>
      </c>
      <c r="K9497" s="1013"/>
    </row>
    <row r="9498" spans="1:11" s="1011" customFormat="1" ht="15" x14ac:dyDescent="0.25">
      <c r="A9498" s="859">
        <f t="shared" si="168"/>
        <v>9497</v>
      </c>
      <c r="B9498" s="845" t="s">
        <v>2564</v>
      </c>
      <c r="C9498" s="1007">
        <f t="shared" si="167"/>
        <v>27</v>
      </c>
      <c r="D9498" s="1014"/>
      <c r="H9498" s="1011" t="s">
        <v>1010</v>
      </c>
      <c r="K9498" s="1013"/>
    </row>
    <row r="9499" spans="1:11" s="1011" customFormat="1" ht="15" x14ac:dyDescent="0.25">
      <c r="A9499" s="859">
        <f t="shared" si="168"/>
        <v>9498</v>
      </c>
      <c r="B9499" s="845" t="s">
        <v>2564</v>
      </c>
      <c r="C9499" s="1007">
        <f t="shared" si="167"/>
        <v>27</v>
      </c>
      <c r="D9499" s="1012"/>
      <c r="H9499" s="1011" t="s">
        <v>1007</v>
      </c>
      <c r="K9499" s="1013"/>
    </row>
    <row r="9500" spans="1:11" s="1011" customFormat="1" ht="15" x14ac:dyDescent="0.25">
      <c r="A9500" s="859">
        <f t="shared" si="168"/>
        <v>9499</v>
      </c>
      <c r="B9500" s="845" t="s">
        <v>2564</v>
      </c>
      <c r="C9500" s="1007">
        <f t="shared" si="167"/>
        <v>27</v>
      </c>
      <c r="D9500" s="1015"/>
      <c r="I9500" s="1011" t="s">
        <v>2176</v>
      </c>
      <c r="K9500" s="1013"/>
    </row>
    <row r="9501" spans="1:11" s="1011" customFormat="1" ht="15" x14ac:dyDescent="0.25">
      <c r="A9501" s="859">
        <f t="shared" si="168"/>
        <v>9500</v>
      </c>
      <c r="B9501" s="845" t="s">
        <v>2564</v>
      </c>
      <c r="C9501" s="1007">
        <f t="shared" si="167"/>
        <v>27</v>
      </c>
      <c r="D9501" s="1012"/>
      <c r="I9501" s="1011" t="str">
        <f>CONCATENATE("&lt;valeur&gt;",VLOOKUP(C9501,'T16 Amort'!A:K,4,0),"&lt;/valeur&gt;")</f>
        <v>&lt;valeur&gt;&lt;/valeur&gt;</v>
      </c>
      <c r="K9501" s="1013"/>
    </row>
    <row r="9502" spans="1:11" s="1011" customFormat="1" ht="15" x14ac:dyDescent="0.25">
      <c r="A9502" s="859">
        <f t="shared" si="168"/>
        <v>9501</v>
      </c>
      <c r="B9502" s="845" t="s">
        <v>2564</v>
      </c>
      <c r="C9502" s="1007">
        <f t="shared" si="167"/>
        <v>27</v>
      </c>
      <c r="D9502" s="1012"/>
      <c r="I9502" s="1011" t="str">
        <f>CONCATENATE("&lt;numeroLigne&gt;",C9502,"&lt;/numeroLigne&gt;")</f>
        <v>&lt;numeroLigne&gt;27&lt;/numeroLigne&gt;</v>
      </c>
      <c r="K9502" s="1013"/>
    </row>
    <row r="9503" spans="1:11" s="1011" customFormat="1" ht="15" x14ac:dyDescent="0.25">
      <c r="A9503" s="859">
        <f t="shared" si="168"/>
        <v>9502</v>
      </c>
      <c r="B9503" s="845" t="s">
        <v>2564</v>
      </c>
      <c r="C9503" s="1007">
        <f t="shared" si="167"/>
        <v>27</v>
      </c>
      <c r="D9503" s="1014"/>
      <c r="H9503" s="1011" t="s">
        <v>1010</v>
      </c>
      <c r="K9503" s="1013"/>
    </row>
    <row r="9504" spans="1:11" s="1011" customFormat="1" ht="15" x14ac:dyDescent="0.25">
      <c r="A9504" s="859">
        <f t="shared" si="168"/>
        <v>9503</v>
      </c>
      <c r="B9504" s="845" t="s">
        <v>2564</v>
      </c>
      <c r="C9504" s="1007">
        <f t="shared" si="167"/>
        <v>27</v>
      </c>
      <c r="D9504" s="1014"/>
      <c r="H9504" s="1011" t="s">
        <v>1007</v>
      </c>
      <c r="K9504" s="1013"/>
    </row>
    <row r="9505" spans="1:11" s="1011" customFormat="1" ht="15" x14ac:dyDescent="0.25">
      <c r="A9505" s="859">
        <f t="shared" si="168"/>
        <v>9504</v>
      </c>
      <c r="B9505" s="845" t="s">
        <v>2564</v>
      </c>
      <c r="C9505" s="1007">
        <f t="shared" si="167"/>
        <v>27</v>
      </c>
      <c r="D9505" s="1012"/>
      <c r="I9505" s="1011" t="s">
        <v>2177</v>
      </c>
      <c r="K9505" s="1013"/>
    </row>
    <row r="9506" spans="1:11" s="1011" customFormat="1" ht="15" x14ac:dyDescent="0.25">
      <c r="A9506" s="859">
        <f t="shared" si="168"/>
        <v>9505</v>
      </c>
      <c r="B9506" s="845" t="s">
        <v>2564</v>
      </c>
      <c r="C9506" s="1007">
        <f t="shared" si="167"/>
        <v>27</v>
      </c>
      <c r="D9506" s="1015"/>
      <c r="I9506" s="1011" t="str">
        <f>CONCATENATE("&lt;valeur&gt;",VLOOKUP(C9506,'T16 Amort'!A:K,5,0),"&lt;/valeur&gt;")</f>
        <v>&lt;valeur&gt;&lt;/valeur&gt;</v>
      </c>
      <c r="K9506" s="1013"/>
    </row>
    <row r="9507" spans="1:11" s="1011" customFormat="1" ht="15" x14ac:dyDescent="0.25">
      <c r="A9507" s="859">
        <f t="shared" si="168"/>
        <v>9506</v>
      </c>
      <c r="B9507" s="845" t="s">
        <v>2564</v>
      </c>
      <c r="C9507" s="1007">
        <f t="shared" si="167"/>
        <v>27</v>
      </c>
      <c r="D9507" s="1012"/>
      <c r="I9507" s="1011" t="str">
        <f>CONCATENATE("&lt;numeroLigne&gt;",C9507,"&lt;/numeroLigne&gt;")</f>
        <v>&lt;numeroLigne&gt;27&lt;/numeroLigne&gt;</v>
      </c>
      <c r="K9507" s="1013"/>
    </row>
    <row r="9508" spans="1:11" s="1011" customFormat="1" ht="15" x14ac:dyDescent="0.25">
      <c r="A9508" s="859">
        <f t="shared" si="168"/>
        <v>9507</v>
      </c>
      <c r="B9508" s="845" t="s">
        <v>2564</v>
      </c>
      <c r="C9508" s="1007">
        <f t="shared" si="167"/>
        <v>27</v>
      </c>
      <c r="D9508" s="1012"/>
      <c r="H9508" s="1011" t="s">
        <v>1010</v>
      </c>
      <c r="K9508" s="1013"/>
    </row>
    <row r="9509" spans="1:11" s="1011" customFormat="1" ht="15" x14ac:dyDescent="0.25">
      <c r="A9509" s="859">
        <f t="shared" si="168"/>
        <v>9508</v>
      </c>
      <c r="B9509" s="845" t="s">
        <v>2564</v>
      </c>
      <c r="C9509" s="1007">
        <f t="shared" si="167"/>
        <v>27</v>
      </c>
      <c r="D9509" s="1014"/>
      <c r="H9509" s="1011" t="s">
        <v>1007</v>
      </c>
      <c r="K9509" s="1013"/>
    </row>
    <row r="9510" spans="1:11" s="1011" customFormat="1" ht="15" x14ac:dyDescent="0.25">
      <c r="A9510" s="859">
        <f t="shared" si="168"/>
        <v>9509</v>
      </c>
      <c r="B9510" s="845" t="s">
        <v>2564</v>
      </c>
      <c r="C9510" s="1007">
        <f t="shared" si="167"/>
        <v>27</v>
      </c>
      <c r="D9510" s="1014"/>
      <c r="I9510" s="1011" t="s">
        <v>2178</v>
      </c>
      <c r="K9510" s="1013"/>
    </row>
    <row r="9511" spans="1:11" s="1011" customFormat="1" ht="15" x14ac:dyDescent="0.25">
      <c r="A9511" s="859">
        <f t="shared" si="168"/>
        <v>9510</v>
      </c>
      <c r="B9511" s="845" t="s">
        <v>2564</v>
      </c>
      <c r="C9511" s="1007">
        <f t="shared" si="167"/>
        <v>27</v>
      </c>
      <c r="D9511" s="1012"/>
      <c r="I9511" s="1011" t="str">
        <f>CONCATENATE("&lt;valeur&gt;",VLOOKUP(C9511,'T16 Amort'!A:K,6,0),"&lt;/valeur&gt;")</f>
        <v>&lt;valeur&gt;&lt;/valeur&gt;</v>
      </c>
      <c r="K9511" s="1013"/>
    </row>
    <row r="9512" spans="1:11" s="1011" customFormat="1" ht="15" x14ac:dyDescent="0.25">
      <c r="A9512" s="859">
        <f t="shared" si="168"/>
        <v>9511</v>
      </c>
      <c r="B9512" s="845" t="s">
        <v>2564</v>
      </c>
      <c r="C9512" s="1007">
        <f t="shared" si="167"/>
        <v>27</v>
      </c>
      <c r="D9512" s="1015"/>
      <c r="I9512" s="1011" t="str">
        <f>CONCATENATE("&lt;numeroLigne&gt;",C9512,"&lt;/numeroLigne&gt;")</f>
        <v>&lt;numeroLigne&gt;27&lt;/numeroLigne&gt;</v>
      </c>
      <c r="K9512" s="1013"/>
    </row>
    <row r="9513" spans="1:11" s="1011" customFormat="1" ht="15" x14ac:dyDescent="0.25">
      <c r="A9513" s="859">
        <f t="shared" si="168"/>
        <v>9512</v>
      </c>
      <c r="B9513" s="845" t="s">
        <v>2564</v>
      </c>
      <c r="C9513" s="1007">
        <f t="shared" si="167"/>
        <v>27</v>
      </c>
      <c r="D9513" s="1012"/>
      <c r="H9513" s="1011" t="s">
        <v>1010</v>
      </c>
      <c r="K9513" s="1013"/>
    </row>
    <row r="9514" spans="1:11" s="1011" customFormat="1" ht="15" x14ac:dyDescent="0.25">
      <c r="A9514" s="859">
        <f t="shared" si="168"/>
        <v>9513</v>
      </c>
      <c r="B9514" s="845" t="s">
        <v>2564</v>
      </c>
      <c r="C9514" s="1007">
        <f t="shared" si="167"/>
        <v>27</v>
      </c>
      <c r="D9514" s="1012"/>
      <c r="H9514" s="1011" t="s">
        <v>1007</v>
      </c>
      <c r="K9514" s="1013"/>
    </row>
    <row r="9515" spans="1:11" s="1011" customFormat="1" ht="15" x14ac:dyDescent="0.25">
      <c r="A9515" s="859">
        <f t="shared" si="168"/>
        <v>9514</v>
      </c>
      <c r="B9515" s="845" t="s">
        <v>2564</v>
      </c>
      <c r="C9515" s="1007">
        <f t="shared" si="167"/>
        <v>27</v>
      </c>
      <c r="D9515" s="1014"/>
      <c r="I9515" s="1011" t="s">
        <v>2179</v>
      </c>
      <c r="K9515" s="1013"/>
    </row>
    <row r="9516" spans="1:11" s="1011" customFormat="1" ht="15" x14ac:dyDescent="0.25">
      <c r="A9516" s="859">
        <f t="shared" si="168"/>
        <v>9515</v>
      </c>
      <c r="B9516" s="845" t="s">
        <v>2564</v>
      </c>
      <c r="C9516" s="1007">
        <f t="shared" si="167"/>
        <v>27</v>
      </c>
      <c r="D9516" s="1014"/>
      <c r="I9516" s="1011" t="str">
        <f>CONCATENATE("&lt;valeur&gt;",VLOOKUP(C9516,'T16 Amort'!A:K,7,0),"&lt;/valeur&gt;")</f>
        <v>&lt;valeur&gt;&lt;/valeur&gt;</v>
      </c>
      <c r="K9516" s="1013"/>
    </row>
    <row r="9517" spans="1:11" s="1011" customFormat="1" ht="15" x14ac:dyDescent="0.25">
      <c r="A9517" s="859">
        <f t="shared" si="168"/>
        <v>9516</v>
      </c>
      <c r="B9517" s="845" t="s">
        <v>2564</v>
      </c>
      <c r="C9517" s="1007">
        <f t="shared" si="167"/>
        <v>27</v>
      </c>
      <c r="D9517" s="1012"/>
      <c r="I9517" s="1011" t="str">
        <f>CONCATENATE("&lt;numeroLigne&gt;",C9517,"&lt;/numeroLigne&gt;")</f>
        <v>&lt;numeroLigne&gt;27&lt;/numeroLigne&gt;</v>
      </c>
      <c r="K9517" s="1013"/>
    </row>
    <row r="9518" spans="1:11" s="1011" customFormat="1" ht="15" x14ac:dyDescent="0.25">
      <c r="A9518" s="859">
        <f t="shared" si="168"/>
        <v>9517</v>
      </c>
      <c r="B9518" s="845" t="s">
        <v>2564</v>
      </c>
      <c r="C9518" s="1007">
        <f t="shared" si="167"/>
        <v>27</v>
      </c>
      <c r="D9518" s="1015"/>
      <c r="H9518" s="1011" t="s">
        <v>1010</v>
      </c>
      <c r="K9518" s="1013"/>
    </row>
    <row r="9519" spans="1:11" s="1011" customFormat="1" ht="15" x14ac:dyDescent="0.25">
      <c r="A9519" s="859">
        <f t="shared" si="168"/>
        <v>9518</v>
      </c>
      <c r="B9519" s="845" t="s">
        <v>2564</v>
      </c>
      <c r="C9519" s="1007">
        <f t="shared" ref="C9519:C9582" si="169">C9469+1</f>
        <v>27</v>
      </c>
      <c r="D9519" s="1012"/>
      <c r="H9519" s="1011" t="s">
        <v>1007</v>
      </c>
      <c r="K9519" s="1013"/>
    </row>
    <row r="9520" spans="1:11" s="1011" customFormat="1" ht="15" x14ac:dyDescent="0.25">
      <c r="A9520" s="859">
        <f t="shared" si="168"/>
        <v>9519</v>
      </c>
      <c r="B9520" s="845" t="s">
        <v>2564</v>
      </c>
      <c r="C9520" s="1007">
        <f t="shared" si="169"/>
        <v>27</v>
      </c>
      <c r="D9520" s="1012"/>
      <c r="I9520" s="1011" t="s">
        <v>2180</v>
      </c>
      <c r="K9520" s="1013"/>
    </row>
    <row r="9521" spans="1:11" s="1011" customFormat="1" ht="15" x14ac:dyDescent="0.25">
      <c r="A9521" s="859">
        <f t="shared" si="168"/>
        <v>9520</v>
      </c>
      <c r="B9521" s="845" t="s">
        <v>2564</v>
      </c>
      <c r="C9521" s="1007">
        <f t="shared" si="169"/>
        <v>27</v>
      </c>
      <c r="D9521" s="1014"/>
      <c r="I9521" s="1011" t="str">
        <f>CONCATENATE("&lt;valeur&gt;",VLOOKUP(C9521,'T16 Amort'!A:K,8,0),"&lt;/valeur&gt;")</f>
        <v>&lt;valeur&gt;&lt;/valeur&gt;</v>
      </c>
      <c r="K9521" s="1013"/>
    </row>
    <row r="9522" spans="1:11" s="1011" customFormat="1" ht="15" x14ac:dyDescent="0.25">
      <c r="A9522" s="859">
        <f t="shared" si="168"/>
        <v>9521</v>
      </c>
      <c r="B9522" s="845" t="s">
        <v>2564</v>
      </c>
      <c r="C9522" s="1007">
        <f t="shared" si="169"/>
        <v>27</v>
      </c>
      <c r="D9522" s="1014"/>
      <c r="I9522" s="1011" t="str">
        <f>CONCATENATE("&lt;numeroLigne&gt;",C9522,"&lt;/numeroLigne&gt;")</f>
        <v>&lt;numeroLigne&gt;27&lt;/numeroLigne&gt;</v>
      </c>
      <c r="K9522" s="1013"/>
    </row>
    <row r="9523" spans="1:11" s="1011" customFormat="1" ht="15" x14ac:dyDescent="0.25">
      <c r="A9523" s="859">
        <f t="shared" si="168"/>
        <v>9522</v>
      </c>
      <c r="B9523" s="845" t="s">
        <v>2564</v>
      </c>
      <c r="C9523" s="1007">
        <f t="shared" si="169"/>
        <v>27</v>
      </c>
      <c r="D9523" s="1012"/>
      <c r="H9523" s="1011" t="s">
        <v>1010</v>
      </c>
      <c r="K9523" s="1013"/>
    </row>
    <row r="9524" spans="1:11" s="1011" customFormat="1" ht="15" x14ac:dyDescent="0.25">
      <c r="A9524" s="859">
        <f t="shared" si="168"/>
        <v>9523</v>
      </c>
      <c r="B9524" s="845" t="s">
        <v>2564</v>
      </c>
      <c r="C9524" s="1007">
        <f t="shared" si="169"/>
        <v>27</v>
      </c>
      <c r="D9524" s="1015"/>
      <c r="H9524" s="1011" t="s">
        <v>1007</v>
      </c>
      <c r="K9524" s="1013"/>
    </row>
    <row r="9525" spans="1:11" s="1011" customFormat="1" ht="15" x14ac:dyDescent="0.25">
      <c r="A9525" s="859">
        <f t="shared" si="168"/>
        <v>9524</v>
      </c>
      <c r="B9525" s="845" t="s">
        <v>2564</v>
      </c>
      <c r="C9525" s="1007">
        <f t="shared" si="169"/>
        <v>27</v>
      </c>
      <c r="D9525" s="1012"/>
      <c r="I9525" s="1011" t="s">
        <v>2181</v>
      </c>
      <c r="K9525" s="1013"/>
    </row>
    <row r="9526" spans="1:11" s="1011" customFormat="1" ht="15" x14ac:dyDescent="0.25">
      <c r="A9526" s="859">
        <f t="shared" si="168"/>
        <v>9525</v>
      </c>
      <c r="B9526" s="845" t="s">
        <v>2564</v>
      </c>
      <c r="C9526" s="1007">
        <f t="shared" si="169"/>
        <v>27</v>
      </c>
      <c r="D9526" s="1012"/>
      <c r="I9526" s="1011" t="str">
        <f>CONCATENATE("&lt;valeur&gt;",VLOOKUP(C9526,'T16 Amort'!A:K,9,0),"&lt;/valeur&gt;")</f>
        <v>&lt;valeur&gt;&lt;/valeur&gt;</v>
      </c>
      <c r="K9526" s="1013"/>
    </row>
    <row r="9527" spans="1:11" s="1011" customFormat="1" ht="15" x14ac:dyDescent="0.25">
      <c r="A9527" s="859">
        <f t="shared" si="168"/>
        <v>9526</v>
      </c>
      <c r="B9527" s="845" t="s">
        <v>2564</v>
      </c>
      <c r="C9527" s="1007">
        <f t="shared" si="169"/>
        <v>27</v>
      </c>
      <c r="D9527" s="1014"/>
      <c r="I9527" s="1011" t="str">
        <f>CONCATENATE("&lt;numeroLigne&gt;",C9527,"&lt;/numeroLigne&gt;")</f>
        <v>&lt;numeroLigne&gt;27&lt;/numeroLigne&gt;</v>
      </c>
      <c r="K9527" s="1013"/>
    </row>
    <row r="9528" spans="1:11" s="1011" customFormat="1" ht="15" x14ac:dyDescent="0.25">
      <c r="A9528" s="859">
        <f t="shared" si="168"/>
        <v>9527</v>
      </c>
      <c r="B9528" s="845" t="s">
        <v>2564</v>
      </c>
      <c r="C9528" s="1007">
        <f t="shared" si="169"/>
        <v>27</v>
      </c>
      <c r="D9528" s="1014"/>
      <c r="H9528" s="1011" t="s">
        <v>1010</v>
      </c>
      <c r="K9528" s="1013"/>
    </row>
    <row r="9529" spans="1:11" s="1011" customFormat="1" ht="15" x14ac:dyDescent="0.25">
      <c r="A9529" s="859">
        <f t="shared" si="168"/>
        <v>9528</v>
      </c>
      <c r="B9529" s="845" t="s">
        <v>2564</v>
      </c>
      <c r="C9529" s="1007">
        <f t="shared" si="169"/>
        <v>27</v>
      </c>
      <c r="D9529" s="1012"/>
      <c r="H9529" s="1011" t="s">
        <v>1007</v>
      </c>
      <c r="K9529" s="1013"/>
    </row>
    <row r="9530" spans="1:11" s="1011" customFormat="1" ht="15" x14ac:dyDescent="0.25">
      <c r="A9530" s="859">
        <f t="shared" si="168"/>
        <v>9529</v>
      </c>
      <c r="B9530" s="845" t="s">
        <v>2564</v>
      </c>
      <c r="C9530" s="1007">
        <f t="shared" si="169"/>
        <v>27</v>
      </c>
      <c r="D9530" s="1015"/>
      <c r="I9530" s="1011" t="s">
        <v>2182</v>
      </c>
      <c r="K9530" s="1013"/>
    </row>
    <row r="9531" spans="1:11" s="1011" customFormat="1" ht="15" x14ac:dyDescent="0.25">
      <c r="A9531" s="859">
        <f t="shared" si="168"/>
        <v>9530</v>
      </c>
      <c r="B9531" s="845" t="s">
        <v>2564</v>
      </c>
      <c r="C9531" s="1007">
        <f t="shared" si="169"/>
        <v>27</v>
      </c>
      <c r="D9531" s="1012"/>
      <c r="I9531" s="1011" t="str">
        <f>CONCATENATE("&lt;valeur&gt;",VLOOKUP(C9531,'T16 Amort'!A:K,10,0),"&lt;/valeur&gt;")</f>
        <v>&lt;valeur&gt;&lt;/valeur&gt;</v>
      </c>
      <c r="K9531" s="1013"/>
    </row>
    <row r="9532" spans="1:11" s="1011" customFormat="1" ht="15" x14ac:dyDescent="0.25">
      <c r="A9532" s="859">
        <f t="shared" si="168"/>
        <v>9531</v>
      </c>
      <c r="B9532" s="845" t="s">
        <v>2564</v>
      </c>
      <c r="C9532" s="1007">
        <f t="shared" si="169"/>
        <v>27</v>
      </c>
      <c r="D9532" s="1012"/>
      <c r="I9532" s="1011" t="str">
        <f>CONCATENATE("&lt;numeroLigne&gt;",C9532,"&lt;/numeroLigne&gt;")</f>
        <v>&lt;numeroLigne&gt;27&lt;/numeroLigne&gt;</v>
      </c>
      <c r="K9532" s="1013"/>
    </row>
    <row r="9533" spans="1:11" s="1011" customFormat="1" ht="15" x14ac:dyDescent="0.25">
      <c r="A9533" s="859">
        <f t="shared" si="168"/>
        <v>9532</v>
      </c>
      <c r="B9533" s="845" t="s">
        <v>2564</v>
      </c>
      <c r="C9533" s="1007">
        <f t="shared" si="169"/>
        <v>27</v>
      </c>
      <c r="D9533" s="1014"/>
      <c r="H9533" s="1011" t="s">
        <v>1010</v>
      </c>
      <c r="K9533" s="1013"/>
    </row>
    <row r="9534" spans="1:11" s="1011" customFormat="1" ht="15" x14ac:dyDescent="0.25">
      <c r="A9534" s="859">
        <f t="shared" si="168"/>
        <v>9533</v>
      </c>
      <c r="B9534" s="845" t="s">
        <v>2564</v>
      </c>
      <c r="C9534" s="1007">
        <f t="shared" si="169"/>
        <v>27</v>
      </c>
      <c r="D9534" s="1014"/>
      <c r="H9534" s="1011" t="s">
        <v>1007</v>
      </c>
      <c r="K9534" s="1013"/>
    </row>
    <row r="9535" spans="1:11" s="1011" customFormat="1" ht="15" x14ac:dyDescent="0.25">
      <c r="A9535" s="859">
        <f t="shared" si="168"/>
        <v>9534</v>
      </c>
      <c r="B9535" s="845" t="s">
        <v>2564</v>
      </c>
      <c r="C9535" s="1007">
        <f t="shared" si="169"/>
        <v>27</v>
      </c>
      <c r="D9535" s="1012"/>
      <c r="I9535" s="1011" t="s">
        <v>2183</v>
      </c>
      <c r="K9535" s="1013"/>
    </row>
    <row r="9536" spans="1:11" s="1011" customFormat="1" ht="15" x14ac:dyDescent="0.25">
      <c r="A9536" s="859">
        <f t="shared" si="168"/>
        <v>9535</v>
      </c>
      <c r="B9536" s="845" t="s">
        <v>2564</v>
      </c>
      <c r="C9536" s="1007">
        <f t="shared" si="169"/>
        <v>27</v>
      </c>
      <c r="D9536" s="1015"/>
      <c r="I9536" s="1011" t="str">
        <f>CONCATENATE("&lt;valeur&gt;",VLOOKUP(C9536,'T16 Amort'!A:K,11,0),"&lt;/valeur&gt;")</f>
        <v>&lt;valeur&gt;&lt;/valeur&gt;</v>
      </c>
      <c r="K9536" s="1013"/>
    </row>
    <row r="9537" spans="1:11" s="1011" customFormat="1" ht="15" x14ac:dyDescent="0.25">
      <c r="A9537" s="859">
        <f t="shared" si="168"/>
        <v>9536</v>
      </c>
      <c r="B9537" s="845" t="s">
        <v>2564</v>
      </c>
      <c r="C9537" s="1007">
        <f t="shared" si="169"/>
        <v>27</v>
      </c>
      <c r="D9537" s="1012"/>
      <c r="I9537" s="1011" t="str">
        <f>CONCATENATE("&lt;numeroLigne&gt;",C9537,"&lt;/numeroLigne&gt;")</f>
        <v>&lt;numeroLigne&gt;27&lt;/numeroLigne&gt;</v>
      </c>
      <c r="K9537" s="1013"/>
    </row>
    <row r="9538" spans="1:11" s="1011" customFormat="1" ht="15" x14ac:dyDescent="0.25">
      <c r="A9538" s="859">
        <f t="shared" si="168"/>
        <v>9537</v>
      </c>
      <c r="B9538" s="845" t="s">
        <v>2564</v>
      </c>
      <c r="C9538" s="1007">
        <f t="shared" si="169"/>
        <v>27</v>
      </c>
      <c r="D9538" s="1016"/>
      <c r="E9538" s="1017"/>
      <c r="F9538" s="1017"/>
      <c r="G9538" s="1017"/>
      <c r="H9538" s="1017" t="s">
        <v>1010</v>
      </c>
      <c r="I9538" s="1017"/>
      <c r="J9538" s="1017"/>
      <c r="K9538" s="1018"/>
    </row>
    <row r="9539" spans="1:11" s="1011" customFormat="1" ht="15" x14ac:dyDescent="0.25">
      <c r="A9539" s="859">
        <f t="shared" si="168"/>
        <v>9538</v>
      </c>
      <c r="B9539" s="845" t="s">
        <v>2564</v>
      </c>
      <c r="C9539" s="1007">
        <f t="shared" si="169"/>
        <v>28</v>
      </c>
      <c r="D9539" s="1008"/>
      <c r="E9539" s="1009"/>
      <c r="F9539" s="1009"/>
      <c r="G9539" s="1009"/>
      <c r="H9539" s="1009" t="s">
        <v>1007</v>
      </c>
      <c r="I9539" s="1009"/>
      <c r="J9539" s="1009"/>
      <c r="K9539" s="1010"/>
    </row>
    <row r="9540" spans="1:11" s="1011" customFormat="1" ht="15" x14ac:dyDescent="0.25">
      <c r="A9540" s="859">
        <f t="shared" ref="A9540:A9603" si="170">+A9539+1</f>
        <v>9539</v>
      </c>
      <c r="B9540" s="845" t="s">
        <v>2564</v>
      </c>
      <c r="C9540" s="1007">
        <f t="shared" si="169"/>
        <v>28</v>
      </c>
      <c r="D9540" s="1012"/>
      <c r="I9540" s="1011" t="s">
        <v>2174</v>
      </c>
      <c r="K9540" s="1013"/>
    </row>
    <row r="9541" spans="1:11" s="1011" customFormat="1" ht="15" x14ac:dyDescent="0.25">
      <c r="A9541" s="859">
        <f t="shared" si="170"/>
        <v>9540</v>
      </c>
      <c r="B9541" s="845" t="s">
        <v>2564</v>
      </c>
      <c r="C9541" s="1007">
        <f t="shared" si="169"/>
        <v>28</v>
      </c>
      <c r="D9541" s="1014"/>
      <c r="I9541" s="1011" t="str">
        <f>CONCATENATE("&lt;valeur&gt;",VLOOKUP(C9541,'T16 Amort'!A:K,2,0),"&lt;/valeur&gt;")</f>
        <v>&lt;valeur&gt;&lt;/valeur&gt;</v>
      </c>
      <c r="K9541" s="1013"/>
    </row>
    <row r="9542" spans="1:11" s="1011" customFormat="1" ht="15" x14ac:dyDescent="0.25">
      <c r="A9542" s="859">
        <f t="shared" si="170"/>
        <v>9541</v>
      </c>
      <c r="B9542" s="845" t="s">
        <v>2564</v>
      </c>
      <c r="C9542" s="1007">
        <f t="shared" si="169"/>
        <v>28</v>
      </c>
      <c r="D9542" s="1014"/>
      <c r="I9542" s="1011" t="str">
        <f>CONCATENATE("&lt;numeroLigne&gt;",C9542,"&lt;/numeroLigne&gt;")</f>
        <v>&lt;numeroLigne&gt;28&lt;/numeroLigne&gt;</v>
      </c>
      <c r="K9542" s="1013"/>
    </row>
    <row r="9543" spans="1:11" s="1011" customFormat="1" ht="15" x14ac:dyDescent="0.25">
      <c r="A9543" s="859">
        <f t="shared" si="170"/>
        <v>9542</v>
      </c>
      <c r="B9543" s="845" t="s">
        <v>2564</v>
      </c>
      <c r="C9543" s="1007">
        <f t="shared" si="169"/>
        <v>28</v>
      </c>
      <c r="D9543" s="1012"/>
      <c r="H9543" s="1011" t="s">
        <v>1010</v>
      </c>
      <c r="K9543" s="1013"/>
    </row>
    <row r="9544" spans="1:11" s="1011" customFormat="1" ht="15" x14ac:dyDescent="0.25">
      <c r="A9544" s="859">
        <f t="shared" si="170"/>
        <v>9543</v>
      </c>
      <c r="B9544" s="845" t="s">
        <v>2564</v>
      </c>
      <c r="C9544" s="1007">
        <f t="shared" si="169"/>
        <v>28</v>
      </c>
      <c r="D9544" s="1015"/>
      <c r="H9544" s="1011" t="s">
        <v>1007</v>
      </c>
      <c r="K9544" s="1013"/>
    </row>
    <row r="9545" spans="1:11" s="1011" customFormat="1" ht="15" x14ac:dyDescent="0.25">
      <c r="A9545" s="859">
        <f t="shared" si="170"/>
        <v>9544</v>
      </c>
      <c r="B9545" s="845" t="s">
        <v>2564</v>
      </c>
      <c r="C9545" s="1007">
        <f t="shared" si="169"/>
        <v>28</v>
      </c>
      <c r="D9545" s="1012"/>
      <c r="I9545" s="1011" t="s">
        <v>2175</v>
      </c>
      <c r="K9545" s="1013"/>
    </row>
    <row r="9546" spans="1:11" s="1011" customFormat="1" ht="15" x14ac:dyDescent="0.25">
      <c r="A9546" s="859">
        <f t="shared" si="170"/>
        <v>9545</v>
      </c>
      <c r="B9546" s="845" t="s">
        <v>2564</v>
      </c>
      <c r="C9546" s="1007">
        <f t="shared" si="169"/>
        <v>28</v>
      </c>
      <c r="D9546" s="1012"/>
      <c r="I9546" s="1011" t="str">
        <f>CONCATENATE("&lt;valeur&gt;",VLOOKUP(C9546,'T16 Amort'!A:K,3,0),"&lt;/valeur&gt;")</f>
        <v>&lt;valeur&gt;&lt;/valeur&gt;</v>
      </c>
      <c r="K9546" s="1013"/>
    </row>
    <row r="9547" spans="1:11" s="1011" customFormat="1" ht="15" x14ac:dyDescent="0.25">
      <c r="A9547" s="859">
        <f t="shared" si="170"/>
        <v>9546</v>
      </c>
      <c r="B9547" s="845" t="s">
        <v>2564</v>
      </c>
      <c r="C9547" s="1007">
        <f t="shared" si="169"/>
        <v>28</v>
      </c>
      <c r="D9547" s="1014"/>
      <c r="I9547" s="1011" t="str">
        <f>CONCATENATE("&lt;numeroLigne&gt;",C9547,"&lt;/numeroLigne&gt;")</f>
        <v>&lt;numeroLigne&gt;28&lt;/numeroLigne&gt;</v>
      </c>
      <c r="K9547" s="1013"/>
    </row>
    <row r="9548" spans="1:11" s="1011" customFormat="1" ht="15" x14ac:dyDescent="0.25">
      <c r="A9548" s="859">
        <f t="shared" si="170"/>
        <v>9547</v>
      </c>
      <c r="B9548" s="845" t="s">
        <v>2564</v>
      </c>
      <c r="C9548" s="1007">
        <f t="shared" si="169"/>
        <v>28</v>
      </c>
      <c r="D9548" s="1014"/>
      <c r="H9548" s="1011" t="s">
        <v>1010</v>
      </c>
      <c r="K9548" s="1013"/>
    </row>
    <row r="9549" spans="1:11" s="1011" customFormat="1" ht="15" x14ac:dyDescent="0.25">
      <c r="A9549" s="859">
        <f t="shared" si="170"/>
        <v>9548</v>
      </c>
      <c r="B9549" s="845" t="s">
        <v>2564</v>
      </c>
      <c r="C9549" s="1007">
        <f t="shared" si="169"/>
        <v>28</v>
      </c>
      <c r="D9549" s="1012"/>
      <c r="H9549" s="1011" t="s">
        <v>1007</v>
      </c>
      <c r="K9549" s="1013"/>
    </row>
    <row r="9550" spans="1:11" s="1011" customFormat="1" ht="15" x14ac:dyDescent="0.25">
      <c r="A9550" s="859">
        <f t="shared" si="170"/>
        <v>9549</v>
      </c>
      <c r="B9550" s="845" t="s">
        <v>2564</v>
      </c>
      <c r="C9550" s="1007">
        <f t="shared" si="169"/>
        <v>28</v>
      </c>
      <c r="D9550" s="1015"/>
      <c r="I9550" s="1011" t="s">
        <v>2176</v>
      </c>
      <c r="K9550" s="1013"/>
    </row>
    <row r="9551" spans="1:11" s="1011" customFormat="1" ht="15" x14ac:dyDescent="0.25">
      <c r="A9551" s="859">
        <f t="shared" si="170"/>
        <v>9550</v>
      </c>
      <c r="B9551" s="845" t="s">
        <v>2564</v>
      </c>
      <c r="C9551" s="1007">
        <f t="shared" si="169"/>
        <v>28</v>
      </c>
      <c r="D9551" s="1012"/>
      <c r="I9551" s="1011" t="str">
        <f>CONCATENATE("&lt;valeur&gt;",VLOOKUP(C9551,'T16 Amort'!A:K,4,0),"&lt;/valeur&gt;")</f>
        <v>&lt;valeur&gt;&lt;/valeur&gt;</v>
      </c>
      <c r="K9551" s="1013"/>
    </row>
    <row r="9552" spans="1:11" s="1011" customFormat="1" ht="15" x14ac:dyDescent="0.25">
      <c r="A9552" s="859">
        <f t="shared" si="170"/>
        <v>9551</v>
      </c>
      <c r="B9552" s="845" t="s">
        <v>2564</v>
      </c>
      <c r="C9552" s="1007">
        <f t="shared" si="169"/>
        <v>28</v>
      </c>
      <c r="D9552" s="1012"/>
      <c r="I9552" s="1011" t="str">
        <f>CONCATENATE("&lt;numeroLigne&gt;",C9552,"&lt;/numeroLigne&gt;")</f>
        <v>&lt;numeroLigne&gt;28&lt;/numeroLigne&gt;</v>
      </c>
      <c r="K9552" s="1013"/>
    </row>
    <row r="9553" spans="1:11" s="1011" customFormat="1" ht="15" x14ac:dyDescent="0.25">
      <c r="A9553" s="859">
        <f t="shared" si="170"/>
        <v>9552</v>
      </c>
      <c r="B9553" s="845" t="s">
        <v>2564</v>
      </c>
      <c r="C9553" s="1007">
        <f t="shared" si="169"/>
        <v>28</v>
      </c>
      <c r="D9553" s="1014"/>
      <c r="H9553" s="1011" t="s">
        <v>1010</v>
      </c>
      <c r="K9553" s="1013"/>
    </row>
    <row r="9554" spans="1:11" s="1011" customFormat="1" ht="15" x14ac:dyDescent="0.25">
      <c r="A9554" s="859">
        <f t="shared" si="170"/>
        <v>9553</v>
      </c>
      <c r="B9554" s="845" t="s">
        <v>2564</v>
      </c>
      <c r="C9554" s="1007">
        <f t="shared" si="169"/>
        <v>28</v>
      </c>
      <c r="D9554" s="1014"/>
      <c r="H9554" s="1011" t="s">
        <v>1007</v>
      </c>
      <c r="K9554" s="1013"/>
    </row>
    <row r="9555" spans="1:11" s="1011" customFormat="1" ht="15" x14ac:dyDescent="0.25">
      <c r="A9555" s="859">
        <f t="shared" si="170"/>
        <v>9554</v>
      </c>
      <c r="B9555" s="845" t="s">
        <v>2564</v>
      </c>
      <c r="C9555" s="1007">
        <f t="shared" si="169"/>
        <v>28</v>
      </c>
      <c r="D9555" s="1012"/>
      <c r="I9555" s="1011" t="s">
        <v>2177</v>
      </c>
      <c r="K9555" s="1013"/>
    </row>
    <row r="9556" spans="1:11" s="1011" customFormat="1" ht="15" x14ac:dyDescent="0.25">
      <c r="A9556" s="859">
        <f t="shared" si="170"/>
        <v>9555</v>
      </c>
      <c r="B9556" s="845" t="s">
        <v>2564</v>
      </c>
      <c r="C9556" s="1007">
        <f t="shared" si="169"/>
        <v>28</v>
      </c>
      <c r="D9556" s="1015"/>
      <c r="I9556" s="1011" t="str">
        <f>CONCATENATE("&lt;valeur&gt;",VLOOKUP(C9556,'T16 Amort'!A:K,5,0),"&lt;/valeur&gt;")</f>
        <v>&lt;valeur&gt;&lt;/valeur&gt;</v>
      </c>
      <c r="K9556" s="1013"/>
    </row>
    <row r="9557" spans="1:11" s="1011" customFormat="1" ht="15" x14ac:dyDescent="0.25">
      <c r="A9557" s="859">
        <f t="shared" si="170"/>
        <v>9556</v>
      </c>
      <c r="B9557" s="845" t="s">
        <v>2564</v>
      </c>
      <c r="C9557" s="1007">
        <f t="shared" si="169"/>
        <v>28</v>
      </c>
      <c r="D9557" s="1012"/>
      <c r="I9557" s="1011" t="str">
        <f>CONCATENATE("&lt;numeroLigne&gt;",C9557,"&lt;/numeroLigne&gt;")</f>
        <v>&lt;numeroLigne&gt;28&lt;/numeroLigne&gt;</v>
      </c>
      <c r="K9557" s="1013"/>
    </row>
    <row r="9558" spans="1:11" s="1011" customFormat="1" ht="15" x14ac:dyDescent="0.25">
      <c r="A9558" s="859">
        <f t="shared" si="170"/>
        <v>9557</v>
      </c>
      <c r="B9558" s="845" t="s">
        <v>2564</v>
      </c>
      <c r="C9558" s="1007">
        <f t="shared" si="169"/>
        <v>28</v>
      </c>
      <c r="D9558" s="1012"/>
      <c r="H9558" s="1011" t="s">
        <v>1010</v>
      </c>
      <c r="K9558" s="1013"/>
    </row>
    <row r="9559" spans="1:11" s="1011" customFormat="1" ht="15" x14ac:dyDescent="0.25">
      <c r="A9559" s="859">
        <f t="shared" si="170"/>
        <v>9558</v>
      </c>
      <c r="B9559" s="845" t="s">
        <v>2564</v>
      </c>
      <c r="C9559" s="1007">
        <f t="shared" si="169"/>
        <v>28</v>
      </c>
      <c r="D9559" s="1014"/>
      <c r="H9559" s="1011" t="s">
        <v>1007</v>
      </c>
      <c r="K9559" s="1013"/>
    </row>
    <row r="9560" spans="1:11" s="1011" customFormat="1" ht="15" x14ac:dyDescent="0.25">
      <c r="A9560" s="859">
        <f t="shared" si="170"/>
        <v>9559</v>
      </c>
      <c r="B9560" s="845" t="s">
        <v>2564</v>
      </c>
      <c r="C9560" s="1007">
        <f t="shared" si="169"/>
        <v>28</v>
      </c>
      <c r="D9560" s="1014"/>
      <c r="I9560" s="1011" t="s">
        <v>2178</v>
      </c>
      <c r="K9560" s="1013"/>
    </row>
    <row r="9561" spans="1:11" s="1011" customFormat="1" ht="15" x14ac:dyDescent="0.25">
      <c r="A9561" s="859">
        <f t="shared" si="170"/>
        <v>9560</v>
      </c>
      <c r="B9561" s="845" t="s">
        <v>2564</v>
      </c>
      <c r="C9561" s="1007">
        <f t="shared" si="169"/>
        <v>28</v>
      </c>
      <c r="D9561" s="1012"/>
      <c r="I9561" s="1011" t="str">
        <f>CONCATENATE("&lt;valeur&gt;",VLOOKUP(C9561,'T16 Amort'!A:K,6,0),"&lt;/valeur&gt;")</f>
        <v>&lt;valeur&gt;&lt;/valeur&gt;</v>
      </c>
      <c r="K9561" s="1013"/>
    </row>
    <row r="9562" spans="1:11" s="1011" customFormat="1" ht="15" x14ac:dyDescent="0.25">
      <c r="A9562" s="859">
        <f t="shared" si="170"/>
        <v>9561</v>
      </c>
      <c r="B9562" s="845" t="s">
        <v>2564</v>
      </c>
      <c r="C9562" s="1007">
        <f t="shared" si="169"/>
        <v>28</v>
      </c>
      <c r="D9562" s="1015"/>
      <c r="I9562" s="1011" t="str">
        <f>CONCATENATE("&lt;numeroLigne&gt;",C9562,"&lt;/numeroLigne&gt;")</f>
        <v>&lt;numeroLigne&gt;28&lt;/numeroLigne&gt;</v>
      </c>
      <c r="K9562" s="1013"/>
    </row>
    <row r="9563" spans="1:11" s="1011" customFormat="1" ht="15" x14ac:dyDescent="0.25">
      <c r="A9563" s="859">
        <f t="shared" si="170"/>
        <v>9562</v>
      </c>
      <c r="B9563" s="845" t="s">
        <v>2564</v>
      </c>
      <c r="C9563" s="1007">
        <f t="shared" si="169"/>
        <v>28</v>
      </c>
      <c r="D9563" s="1012"/>
      <c r="H9563" s="1011" t="s">
        <v>1010</v>
      </c>
      <c r="K9563" s="1013"/>
    </row>
    <row r="9564" spans="1:11" s="1011" customFormat="1" ht="15" x14ac:dyDescent="0.25">
      <c r="A9564" s="859">
        <f t="shared" si="170"/>
        <v>9563</v>
      </c>
      <c r="B9564" s="845" t="s">
        <v>2564</v>
      </c>
      <c r="C9564" s="1007">
        <f t="shared" si="169"/>
        <v>28</v>
      </c>
      <c r="D9564" s="1012"/>
      <c r="H9564" s="1011" t="s">
        <v>1007</v>
      </c>
      <c r="K9564" s="1013"/>
    </row>
    <row r="9565" spans="1:11" s="1011" customFormat="1" ht="15" x14ac:dyDescent="0.25">
      <c r="A9565" s="859">
        <f t="shared" si="170"/>
        <v>9564</v>
      </c>
      <c r="B9565" s="845" t="s">
        <v>2564</v>
      </c>
      <c r="C9565" s="1007">
        <f t="shared" si="169"/>
        <v>28</v>
      </c>
      <c r="D9565" s="1014"/>
      <c r="I9565" s="1011" t="s">
        <v>2179</v>
      </c>
      <c r="K9565" s="1013"/>
    </row>
    <row r="9566" spans="1:11" s="1011" customFormat="1" ht="15" x14ac:dyDescent="0.25">
      <c r="A9566" s="859">
        <f t="shared" si="170"/>
        <v>9565</v>
      </c>
      <c r="B9566" s="845" t="s">
        <v>2564</v>
      </c>
      <c r="C9566" s="1007">
        <f t="shared" si="169"/>
        <v>28</v>
      </c>
      <c r="D9566" s="1014"/>
      <c r="I9566" s="1011" t="str">
        <f>CONCATENATE("&lt;valeur&gt;",VLOOKUP(C9566,'T16 Amort'!A:K,7,0),"&lt;/valeur&gt;")</f>
        <v>&lt;valeur&gt;&lt;/valeur&gt;</v>
      </c>
      <c r="K9566" s="1013"/>
    </row>
    <row r="9567" spans="1:11" s="1011" customFormat="1" ht="15" x14ac:dyDescent="0.25">
      <c r="A9567" s="859">
        <f t="shared" si="170"/>
        <v>9566</v>
      </c>
      <c r="B9567" s="845" t="s">
        <v>2564</v>
      </c>
      <c r="C9567" s="1007">
        <f t="shared" si="169"/>
        <v>28</v>
      </c>
      <c r="D9567" s="1012"/>
      <c r="I9567" s="1011" t="str">
        <f>CONCATENATE("&lt;numeroLigne&gt;",C9567,"&lt;/numeroLigne&gt;")</f>
        <v>&lt;numeroLigne&gt;28&lt;/numeroLigne&gt;</v>
      </c>
      <c r="K9567" s="1013"/>
    </row>
    <row r="9568" spans="1:11" s="1011" customFormat="1" ht="15" x14ac:dyDescent="0.25">
      <c r="A9568" s="859">
        <f t="shared" si="170"/>
        <v>9567</v>
      </c>
      <c r="B9568" s="845" t="s">
        <v>2564</v>
      </c>
      <c r="C9568" s="1007">
        <f t="shared" si="169"/>
        <v>28</v>
      </c>
      <c r="D9568" s="1015"/>
      <c r="H9568" s="1011" t="s">
        <v>1010</v>
      </c>
      <c r="K9568" s="1013"/>
    </row>
    <row r="9569" spans="1:11" s="1011" customFormat="1" ht="15" x14ac:dyDescent="0.25">
      <c r="A9569" s="859">
        <f t="shared" si="170"/>
        <v>9568</v>
      </c>
      <c r="B9569" s="845" t="s">
        <v>2564</v>
      </c>
      <c r="C9569" s="1007">
        <f t="shared" si="169"/>
        <v>28</v>
      </c>
      <c r="D9569" s="1012"/>
      <c r="H9569" s="1011" t="s">
        <v>1007</v>
      </c>
      <c r="K9569" s="1013"/>
    </row>
    <row r="9570" spans="1:11" s="1011" customFormat="1" ht="15" x14ac:dyDescent="0.25">
      <c r="A9570" s="859">
        <f t="shared" si="170"/>
        <v>9569</v>
      </c>
      <c r="B9570" s="845" t="s">
        <v>2564</v>
      </c>
      <c r="C9570" s="1007">
        <f t="shared" si="169"/>
        <v>28</v>
      </c>
      <c r="D9570" s="1012"/>
      <c r="I9570" s="1011" t="s">
        <v>2180</v>
      </c>
      <c r="K9570" s="1013"/>
    </row>
    <row r="9571" spans="1:11" s="1011" customFormat="1" ht="15" x14ac:dyDescent="0.25">
      <c r="A9571" s="859">
        <f t="shared" si="170"/>
        <v>9570</v>
      </c>
      <c r="B9571" s="845" t="s">
        <v>2564</v>
      </c>
      <c r="C9571" s="1007">
        <f t="shared" si="169"/>
        <v>28</v>
      </c>
      <c r="D9571" s="1014"/>
      <c r="I9571" s="1011" t="str">
        <f>CONCATENATE("&lt;valeur&gt;",VLOOKUP(C9571,'T16 Amort'!A:K,8,0),"&lt;/valeur&gt;")</f>
        <v>&lt;valeur&gt;&lt;/valeur&gt;</v>
      </c>
      <c r="K9571" s="1013"/>
    </row>
    <row r="9572" spans="1:11" s="1011" customFormat="1" ht="15" x14ac:dyDescent="0.25">
      <c r="A9572" s="859">
        <f t="shared" si="170"/>
        <v>9571</v>
      </c>
      <c r="B9572" s="845" t="s">
        <v>2564</v>
      </c>
      <c r="C9572" s="1007">
        <f t="shared" si="169"/>
        <v>28</v>
      </c>
      <c r="D9572" s="1014"/>
      <c r="I9572" s="1011" t="str">
        <f>CONCATENATE("&lt;numeroLigne&gt;",C9572,"&lt;/numeroLigne&gt;")</f>
        <v>&lt;numeroLigne&gt;28&lt;/numeroLigne&gt;</v>
      </c>
      <c r="K9572" s="1013"/>
    </row>
    <row r="9573" spans="1:11" s="1011" customFormat="1" ht="15" x14ac:dyDescent="0.25">
      <c r="A9573" s="859">
        <f t="shared" si="170"/>
        <v>9572</v>
      </c>
      <c r="B9573" s="845" t="s">
        <v>2564</v>
      </c>
      <c r="C9573" s="1007">
        <f t="shared" si="169"/>
        <v>28</v>
      </c>
      <c r="D9573" s="1012"/>
      <c r="H9573" s="1011" t="s">
        <v>1010</v>
      </c>
      <c r="K9573" s="1013"/>
    </row>
    <row r="9574" spans="1:11" s="1011" customFormat="1" ht="15" x14ac:dyDescent="0.25">
      <c r="A9574" s="859">
        <f t="shared" si="170"/>
        <v>9573</v>
      </c>
      <c r="B9574" s="845" t="s">
        <v>2564</v>
      </c>
      <c r="C9574" s="1007">
        <f t="shared" si="169"/>
        <v>28</v>
      </c>
      <c r="D9574" s="1015"/>
      <c r="H9574" s="1011" t="s">
        <v>1007</v>
      </c>
      <c r="K9574" s="1013"/>
    </row>
    <row r="9575" spans="1:11" s="1011" customFormat="1" ht="15" x14ac:dyDescent="0.25">
      <c r="A9575" s="859">
        <f t="shared" si="170"/>
        <v>9574</v>
      </c>
      <c r="B9575" s="845" t="s">
        <v>2564</v>
      </c>
      <c r="C9575" s="1007">
        <f t="shared" si="169"/>
        <v>28</v>
      </c>
      <c r="D9575" s="1012"/>
      <c r="I9575" s="1011" t="s">
        <v>2181</v>
      </c>
      <c r="K9575" s="1013"/>
    </row>
    <row r="9576" spans="1:11" s="1011" customFormat="1" ht="15" x14ac:dyDescent="0.25">
      <c r="A9576" s="859">
        <f t="shared" si="170"/>
        <v>9575</v>
      </c>
      <c r="B9576" s="845" t="s">
        <v>2564</v>
      </c>
      <c r="C9576" s="1007">
        <f t="shared" si="169"/>
        <v>28</v>
      </c>
      <c r="D9576" s="1012"/>
      <c r="I9576" s="1011" t="str">
        <f>CONCATENATE("&lt;valeur&gt;",VLOOKUP(C9576,'T16 Amort'!A:K,9,0),"&lt;/valeur&gt;")</f>
        <v>&lt;valeur&gt;&lt;/valeur&gt;</v>
      </c>
      <c r="K9576" s="1013"/>
    </row>
    <row r="9577" spans="1:11" s="1011" customFormat="1" ht="15" x14ac:dyDescent="0.25">
      <c r="A9577" s="859">
        <f t="shared" si="170"/>
        <v>9576</v>
      </c>
      <c r="B9577" s="845" t="s">
        <v>2564</v>
      </c>
      <c r="C9577" s="1007">
        <f t="shared" si="169"/>
        <v>28</v>
      </c>
      <c r="D9577" s="1014"/>
      <c r="I9577" s="1011" t="str">
        <f>CONCATENATE("&lt;numeroLigne&gt;",C9577,"&lt;/numeroLigne&gt;")</f>
        <v>&lt;numeroLigne&gt;28&lt;/numeroLigne&gt;</v>
      </c>
      <c r="K9577" s="1013"/>
    </row>
    <row r="9578" spans="1:11" s="1011" customFormat="1" ht="15" x14ac:dyDescent="0.25">
      <c r="A9578" s="859">
        <f t="shared" si="170"/>
        <v>9577</v>
      </c>
      <c r="B9578" s="845" t="s">
        <v>2564</v>
      </c>
      <c r="C9578" s="1007">
        <f t="shared" si="169"/>
        <v>28</v>
      </c>
      <c r="D9578" s="1014"/>
      <c r="H9578" s="1011" t="s">
        <v>1010</v>
      </c>
      <c r="K9578" s="1013"/>
    </row>
    <row r="9579" spans="1:11" s="1011" customFormat="1" ht="15" x14ac:dyDescent="0.25">
      <c r="A9579" s="859">
        <f t="shared" si="170"/>
        <v>9578</v>
      </c>
      <c r="B9579" s="845" t="s">
        <v>2564</v>
      </c>
      <c r="C9579" s="1007">
        <f t="shared" si="169"/>
        <v>28</v>
      </c>
      <c r="D9579" s="1012"/>
      <c r="H9579" s="1011" t="s">
        <v>1007</v>
      </c>
      <c r="K9579" s="1013"/>
    </row>
    <row r="9580" spans="1:11" s="1011" customFormat="1" ht="15" x14ac:dyDescent="0.25">
      <c r="A9580" s="859">
        <f t="shared" si="170"/>
        <v>9579</v>
      </c>
      <c r="B9580" s="845" t="s">
        <v>2564</v>
      </c>
      <c r="C9580" s="1007">
        <f t="shared" si="169"/>
        <v>28</v>
      </c>
      <c r="D9580" s="1015"/>
      <c r="I9580" s="1011" t="s">
        <v>2182</v>
      </c>
      <c r="K9580" s="1013"/>
    </row>
    <row r="9581" spans="1:11" s="1011" customFormat="1" ht="15" x14ac:dyDescent="0.25">
      <c r="A9581" s="859">
        <f t="shared" si="170"/>
        <v>9580</v>
      </c>
      <c r="B9581" s="845" t="s">
        <v>2564</v>
      </c>
      <c r="C9581" s="1007">
        <f t="shared" si="169"/>
        <v>28</v>
      </c>
      <c r="D9581" s="1012"/>
      <c r="I9581" s="1011" t="str">
        <f>CONCATENATE("&lt;valeur&gt;",VLOOKUP(C9581,'T16 Amort'!A:K,10,0),"&lt;/valeur&gt;")</f>
        <v>&lt;valeur&gt;&lt;/valeur&gt;</v>
      </c>
      <c r="K9581" s="1013"/>
    </row>
    <row r="9582" spans="1:11" s="1011" customFormat="1" ht="15" x14ac:dyDescent="0.25">
      <c r="A9582" s="859">
        <f t="shared" si="170"/>
        <v>9581</v>
      </c>
      <c r="B9582" s="845" t="s">
        <v>2564</v>
      </c>
      <c r="C9582" s="1007">
        <f t="shared" si="169"/>
        <v>28</v>
      </c>
      <c r="D9582" s="1012"/>
      <c r="I9582" s="1011" t="str">
        <f>CONCATENATE("&lt;numeroLigne&gt;",C9582,"&lt;/numeroLigne&gt;")</f>
        <v>&lt;numeroLigne&gt;28&lt;/numeroLigne&gt;</v>
      </c>
      <c r="K9582" s="1013"/>
    </row>
    <row r="9583" spans="1:11" s="1011" customFormat="1" ht="15" x14ac:dyDescent="0.25">
      <c r="A9583" s="859">
        <f t="shared" si="170"/>
        <v>9582</v>
      </c>
      <c r="B9583" s="845" t="s">
        <v>2564</v>
      </c>
      <c r="C9583" s="1007">
        <f t="shared" ref="C9583:C9646" si="171">C9533+1</f>
        <v>28</v>
      </c>
      <c r="D9583" s="1014"/>
      <c r="H9583" s="1011" t="s">
        <v>1010</v>
      </c>
      <c r="K9583" s="1013"/>
    </row>
    <row r="9584" spans="1:11" s="1011" customFormat="1" ht="15" x14ac:dyDescent="0.25">
      <c r="A9584" s="859">
        <f t="shared" si="170"/>
        <v>9583</v>
      </c>
      <c r="B9584" s="845" t="s">
        <v>2564</v>
      </c>
      <c r="C9584" s="1007">
        <f t="shared" si="171"/>
        <v>28</v>
      </c>
      <c r="D9584" s="1014"/>
      <c r="H9584" s="1011" t="s">
        <v>1007</v>
      </c>
      <c r="K9584" s="1013"/>
    </row>
    <row r="9585" spans="1:11" s="1011" customFormat="1" ht="15" x14ac:dyDescent="0.25">
      <c r="A9585" s="859">
        <f t="shared" si="170"/>
        <v>9584</v>
      </c>
      <c r="B9585" s="845" t="s">
        <v>2564</v>
      </c>
      <c r="C9585" s="1007">
        <f t="shared" si="171"/>
        <v>28</v>
      </c>
      <c r="D9585" s="1012"/>
      <c r="I9585" s="1011" t="s">
        <v>2183</v>
      </c>
      <c r="K9585" s="1013"/>
    </row>
    <row r="9586" spans="1:11" s="1011" customFormat="1" ht="15" x14ac:dyDescent="0.25">
      <c r="A9586" s="859">
        <f t="shared" si="170"/>
        <v>9585</v>
      </c>
      <c r="B9586" s="845" t="s">
        <v>2564</v>
      </c>
      <c r="C9586" s="1007">
        <f t="shared" si="171"/>
        <v>28</v>
      </c>
      <c r="D9586" s="1015"/>
      <c r="I9586" s="1011" t="str">
        <f>CONCATENATE("&lt;valeur&gt;",VLOOKUP(C9586,'T16 Amort'!A:K,11,0),"&lt;/valeur&gt;")</f>
        <v>&lt;valeur&gt;&lt;/valeur&gt;</v>
      </c>
      <c r="K9586" s="1013"/>
    </row>
    <row r="9587" spans="1:11" s="1011" customFormat="1" ht="15" x14ac:dyDescent="0.25">
      <c r="A9587" s="859">
        <f t="shared" si="170"/>
        <v>9586</v>
      </c>
      <c r="B9587" s="845" t="s">
        <v>2564</v>
      </c>
      <c r="C9587" s="1007">
        <f t="shared" si="171"/>
        <v>28</v>
      </c>
      <c r="D9587" s="1012"/>
      <c r="I9587" s="1011" t="str">
        <f>CONCATENATE("&lt;numeroLigne&gt;",C9587,"&lt;/numeroLigne&gt;")</f>
        <v>&lt;numeroLigne&gt;28&lt;/numeroLigne&gt;</v>
      </c>
      <c r="K9587" s="1013"/>
    </row>
    <row r="9588" spans="1:11" s="1011" customFormat="1" ht="15" x14ac:dyDescent="0.25">
      <c r="A9588" s="859">
        <f t="shared" si="170"/>
        <v>9587</v>
      </c>
      <c r="B9588" s="845" t="s">
        <v>2564</v>
      </c>
      <c r="C9588" s="1007">
        <f t="shared" si="171"/>
        <v>28</v>
      </c>
      <c r="D9588" s="1016"/>
      <c r="E9588" s="1017"/>
      <c r="F9588" s="1017"/>
      <c r="G9588" s="1017"/>
      <c r="H9588" s="1017" t="s">
        <v>1010</v>
      </c>
      <c r="I9588" s="1017"/>
      <c r="J9588" s="1017"/>
      <c r="K9588" s="1018"/>
    </row>
    <row r="9589" spans="1:11" s="1011" customFormat="1" ht="15" x14ac:dyDescent="0.25">
      <c r="A9589" s="859">
        <f t="shared" si="170"/>
        <v>9588</v>
      </c>
      <c r="B9589" s="845" t="s">
        <v>2564</v>
      </c>
      <c r="C9589" s="1007">
        <f t="shared" si="171"/>
        <v>29</v>
      </c>
      <c r="D9589" s="1008"/>
      <c r="E9589" s="1009"/>
      <c r="F9589" s="1009"/>
      <c r="G9589" s="1009"/>
      <c r="H9589" s="1009" t="s">
        <v>1007</v>
      </c>
      <c r="I9589" s="1009"/>
      <c r="J9589" s="1009"/>
      <c r="K9589" s="1010"/>
    </row>
    <row r="9590" spans="1:11" s="1011" customFormat="1" ht="15" x14ac:dyDescent="0.25">
      <c r="A9590" s="859">
        <f t="shared" si="170"/>
        <v>9589</v>
      </c>
      <c r="B9590" s="845" t="s">
        <v>2564</v>
      </c>
      <c r="C9590" s="1007">
        <f t="shared" si="171"/>
        <v>29</v>
      </c>
      <c r="D9590" s="1012"/>
      <c r="I9590" s="1011" t="s">
        <v>2174</v>
      </c>
      <c r="K9590" s="1013"/>
    </row>
    <row r="9591" spans="1:11" s="1011" customFormat="1" ht="15" x14ac:dyDescent="0.25">
      <c r="A9591" s="859">
        <f t="shared" si="170"/>
        <v>9590</v>
      </c>
      <c r="B9591" s="845" t="s">
        <v>2564</v>
      </c>
      <c r="C9591" s="1007">
        <f t="shared" si="171"/>
        <v>29</v>
      </c>
      <c r="D9591" s="1014"/>
      <c r="I9591" s="1011" t="str">
        <f>CONCATENATE("&lt;valeur&gt;",VLOOKUP(C9591,'T16 Amort'!A:K,2,0),"&lt;/valeur&gt;")</f>
        <v>&lt;valeur&gt;&lt;/valeur&gt;</v>
      </c>
      <c r="K9591" s="1013"/>
    </row>
    <row r="9592" spans="1:11" s="1011" customFormat="1" ht="15" x14ac:dyDescent="0.25">
      <c r="A9592" s="859">
        <f t="shared" si="170"/>
        <v>9591</v>
      </c>
      <c r="B9592" s="845" t="s">
        <v>2564</v>
      </c>
      <c r="C9592" s="1007">
        <f t="shared" si="171"/>
        <v>29</v>
      </c>
      <c r="D9592" s="1014"/>
      <c r="I9592" s="1011" t="str">
        <f>CONCATENATE("&lt;numeroLigne&gt;",C9592,"&lt;/numeroLigne&gt;")</f>
        <v>&lt;numeroLigne&gt;29&lt;/numeroLigne&gt;</v>
      </c>
      <c r="K9592" s="1013"/>
    </row>
    <row r="9593" spans="1:11" s="1011" customFormat="1" ht="15" x14ac:dyDescent="0.25">
      <c r="A9593" s="859">
        <f t="shared" si="170"/>
        <v>9592</v>
      </c>
      <c r="B9593" s="845" t="s">
        <v>2564</v>
      </c>
      <c r="C9593" s="1007">
        <f t="shared" si="171"/>
        <v>29</v>
      </c>
      <c r="D9593" s="1012"/>
      <c r="H9593" s="1011" t="s">
        <v>1010</v>
      </c>
      <c r="K9593" s="1013"/>
    </row>
    <row r="9594" spans="1:11" s="1011" customFormat="1" ht="15" x14ac:dyDescent="0.25">
      <c r="A9594" s="859">
        <f t="shared" si="170"/>
        <v>9593</v>
      </c>
      <c r="B9594" s="845" t="s">
        <v>2564</v>
      </c>
      <c r="C9594" s="1007">
        <f t="shared" si="171"/>
        <v>29</v>
      </c>
      <c r="D9594" s="1015"/>
      <c r="H9594" s="1011" t="s">
        <v>1007</v>
      </c>
      <c r="K9594" s="1013"/>
    </row>
    <row r="9595" spans="1:11" s="1011" customFormat="1" ht="15" x14ac:dyDescent="0.25">
      <c r="A9595" s="859">
        <f t="shared" si="170"/>
        <v>9594</v>
      </c>
      <c r="B9595" s="845" t="s">
        <v>2564</v>
      </c>
      <c r="C9595" s="1007">
        <f t="shared" si="171"/>
        <v>29</v>
      </c>
      <c r="D9595" s="1012"/>
      <c r="I9595" s="1011" t="s">
        <v>2175</v>
      </c>
      <c r="K9595" s="1013"/>
    </row>
    <row r="9596" spans="1:11" s="1011" customFormat="1" ht="15" x14ac:dyDescent="0.25">
      <c r="A9596" s="859">
        <f t="shared" si="170"/>
        <v>9595</v>
      </c>
      <c r="B9596" s="845" t="s">
        <v>2564</v>
      </c>
      <c r="C9596" s="1007">
        <f t="shared" si="171"/>
        <v>29</v>
      </c>
      <c r="D9596" s="1012"/>
      <c r="I9596" s="1011" t="str">
        <f>CONCATENATE("&lt;valeur&gt;",VLOOKUP(C9596,'T16 Amort'!A:K,3,0),"&lt;/valeur&gt;")</f>
        <v>&lt;valeur&gt;&lt;/valeur&gt;</v>
      </c>
      <c r="K9596" s="1013"/>
    </row>
    <row r="9597" spans="1:11" s="1011" customFormat="1" ht="15" x14ac:dyDescent="0.25">
      <c r="A9597" s="859">
        <f t="shared" si="170"/>
        <v>9596</v>
      </c>
      <c r="B9597" s="845" t="s">
        <v>2564</v>
      </c>
      <c r="C9597" s="1007">
        <f t="shared" si="171"/>
        <v>29</v>
      </c>
      <c r="D9597" s="1014"/>
      <c r="I9597" s="1011" t="str">
        <f>CONCATENATE("&lt;numeroLigne&gt;",C9597,"&lt;/numeroLigne&gt;")</f>
        <v>&lt;numeroLigne&gt;29&lt;/numeroLigne&gt;</v>
      </c>
      <c r="K9597" s="1013"/>
    </row>
    <row r="9598" spans="1:11" s="1011" customFormat="1" ht="15" x14ac:dyDescent="0.25">
      <c r="A9598" s="859">
        <f t="shared" si="170"/>
        <v>9597</v>
      </c>
      <c r="B9598" s="845" t="s">
        <v>2564</v>
      </c>
      <c r="C9598" s="1007">
        <f t="shared" si="171"/>
        <v>29</v>
      </c>
      <c r="D9598" s="1014"/>
      <c r="H9598" s="1011" t="s">
        <v>1010</v>
      </c>
      <c r="K9598" s="1013"/>
    </row>
    <row r="9599" spans="1:11" s="1011" customFormat="1" ht="15" x14ac:dyDescent="0.25">
      <c r="A9599" s="859">
        <f t="shared" si="170"/>
        <v>9598</v>
      </c>
      <c r="B9599" s="845" t="s">
        <v>2564</v>
      </c>
      <c r="C9599" s="1007">
        <f t="shared" si="171"/>
        <v>29</v>
      </c>
      <c r="D9599" s="1012"/>
      <c r="H9599" s="1011" t="s">
        <v>1007</v>
      </c>
      <c r="K9599" s="1013"/>
    </row>
    <row r="9600" spans="1:11" s="1011" customFormat="1" ht="15" x14ac:dyDescent="0.25">
      <c r="A9600" s="859">
        <f t="shared" si="170"/>
        <v>9599</v>
      </c>
      <c r="B9600" s="845" t="s">
        <v>2564</v>
      </c>
      <c r="C9600" s="1007">
        <f t="shared" si="171"/>
        <v>29</v>
      </c>
      <c r="D9600" s="1015"/>
      <c r="I9600" s="1011" t="s">
        <v>2176</v>
      </c>
      <c r="K9600" s="1013"/>
    </row>
    <row r="9601" spans="1:11" s="1011" customFormat="1" ht="15" x14ac:dyDescent="0.25">
      <c r="A9601" s="859">
        <f t="shared" si="170"/>
        <v>9600</v>
      </c>
      <c r="B9601" s="845" t="s">
        <v>2564</v>
      </c>
      <c r="C9601" s="1007">
        <f t="shared" si="171"/>
        <v>29</v>
      </c>
      <c r="D9601" s="1012"/>
      <c r="I9601" s="1011" t="str">
        <f>CONCATENATE("&lt;valeur&gt;",VLOOKUP(C9601,'T16 Amort'!A:K,4,0),"&lt;/valeur&gt;")</f>
        <v>&lt;valeur&gt;&lt;/valeur&gt;</v>
      </c>
      <c r="K9601" s="1013"/>
    </row>
    <row r="9602" spans="1:11" s="1011" customFormat="1" ht="15" x14ac:dyDescent="0.25">
      <c r="A9602" s="859">
        <f t="shared" si="170"/>
        <v>9601</v>
      </c>
      <c r="B9602" s="845" t="s">
        <v>2564</v>
      </c>
      <c r="C9602" s="1007">
        <f t="shared" si="171"/>
        <v>29</v>
      </c>
      <c r="D9602" s="1012"/>
      <c r="I9602" s="1011" t="str">
        <f>CONCATENATE("&lt;numeroLigne&gt;",C9602,"&lt;/numeroLigne&gt;")</f>
        <v>&lt;numeroLigne&gt;29&lt;/numeroLigne&gt;</v>
      </c>
      <c r="K9602" s="1013"/>
    </row>
    <row r="9603" spans="1:11" s="1011" customFormat="1" ht="15" x14ac:dyDescent="0.25">
      <c r="A9603" s="859">
        <f t="shared" si="170"/>
        <v>9602</v>
      </c>
      <c r="B9603" s="845" t="s">
        <v>2564</v>
      </c>
      <c r="C9603" s="1007">
        <f t="shared" si="171"/>
        <v>29</v>
      </c>
      <c r="D9603" s="1014"/>
      <c r="H9603" s="1011" t="s">
        <v>1010</v>
      </c>
      <c r="K9603" s="1013"/>
    </row>
    <row r="9604" spans="1:11" s="1011" customFormat="1" ht="15" x14ac:dyDescent="0.25">
      <c r="A9604" s="859">
        <f t="shared" ref="A9604:A9667" si="172">+A9603+1</f>
        <v>9603</v>
      </c>
      <c r="B9604" s="845" t="s">
        <v>2564</v>
      </c>
      <c r="C9604" s="1007">
        <f t="shared" si="171"/>
        <v>29</v>
      </c>
      <c r="D9604" s="1014"/>
      <c r="H9604" s="1011" t="s">
        <v>1007</v>
      </c>
      <c r="K9604" s="1013"/>
    </row>
    <row r="9605" spans="1:11" s="1011" customFormat="1" ht="15" x14ac:dyDescent="0.25">
      <c r="A9605" s="859">
        <f t="shared" si="172"/>
        <v>9604</v>
      </c>
      <c r="B9605" s="845" t="s">
        <v>2564</v>
      </c>
      <c r="C9605" s="1007">
        <f t="shared" si="171"/>
        <v>29</v>
      </c>
      <c r="D9605" s="1012"/>
      <c r="I9605" s="1011" t="s">
        <v>2177</v>
      </c>
      <c r="K9605" s="1013"/>
    </row>
    <row r="9606" spans="1:11" s="1011" customFormat="1" ht="15" x14ac:dyDescent="0.25">
      <c r="A9606" s="859">
        <f t="shared" si="172"/>
        <v>9605</v>
      </c>
      <c r="B9606" s="845" t="s">
        <v>2564</v>
      </c>
      <c r="C9606" s="1007">
        <f t="shared" si="171"/>
        <v>29</v>
      </c>
      <c r="D9606" s="1015"/>
      <c r="I9606" s="1011" t="str">
        <f>CONCATENATE("&lt;valeur&gt;",VLOOKUP(C9606,'T16 Amort'!A:K,5,0),"&lt;/valeur&gt;")</f>
        <v>&lt;valeur&gt;&lt;/valeur&gt;</v>
      </c>
      <c r="K9606" s="1013"/>
    </row>
    <row r="9607" spans="1:11" s="1011" customFormat="1" ht="15" x14ac:dyDescent="0.25">
      <c r="A9607" s="859">
        <f t="shared" si="172"/>
        <v>9606</v>
      </c>
      <c r="B9607" s="845" t="s">
        <v>2564</v>
      </c>
      <c r="C9607" s="1007">
        <f t="shared" si="171"/>
        <v>29</v>
      </c>
      <c r="D9607" s="1012"/>
      <c r="I9607" s="1011" t="str">
        <f>CONCATENATE("&lt;numeroLigne&gt;",C9607,"&lt;/numeroLigne&gt;")</f>
        <v>&lt;numeroLigne&gt;29&lt;/numeroLigne&gt;</v>
      </c>
      <c r="K9607" s="1013"/>
    </row>
    <row r="9608" spans="1:11" s="1011" customFormat="1" ht="15" x14ac:dyDescent="0.25">
      <c r="A9608" s="859">
        <f t="shared" si="172"/>
        <v>9607</v>
      </c>
      <c r="B9608" s="845" t="s">
        <v>2564</v>
      </c>
      <c r="C9608" s="1007">
        <f t="shared" si="171"/>
        <v>29</v>
      </c>
      <c r="D9608" s="1012"/>
      <c r="H9608" s="1011" t="s">
        <v>1010</v>
      </c>
      <c r="K9608" s="1013"/>
    </row>
    <row r="9609" spans="1:11" s="1011" customFormat="1" ht="15" x14ac:dyDescent="0.25">
      <c r="A9609" s="859">
        <f t="shared" si="172"/>
        <v>9608</v>
      </c>
      <c r="B9609" s="845" t="s">
        <v>2564</v>
      </c>
      <c r="C9609" s="1007">
        <f t="shared" si="171"/>
        <v>29</v>
      </c>
      <c r="D9609" s="1014"/>
      <c r="H9609" s="1011" t="s">
        <v>1007</v>
      </c>
      <c r="K9609" s="1013"/>
    </row>
    <row r="9610" spans="1:11" s="1011" customFormat="1" ht="15" x14ac:dyDescent="0.25">
      <c r="A9610" s="859">
        <f t="shared" si="172"/>
        <v>9609</v>
      </c>
      <c r="B9610" s="845" t="s">
        <v>2564</v>
      </c>
      <c r="C9610" s="1007">
        <f t="shared" si="171"/>
        <v>29</v>
      </c>
      <c r="D9610" s="1014"/>
      <c r="I9610" s="1011" t="s">
        <v>2178</v>
      </c>
      <c r="K9610" s="1013"/>
    </row>
    <row r="9611" spans="1:11" s="1011" customFormat="1" ht="15" x14ac:dyDescent="0.25">
      <c r="A9611" s="859">
        <f t="shared" si="172"/>
        <v>9610</v>
      </c>
      <c r="B9611" s="845" t="s">
        <v>2564</v>
      </c>
      <c r="C9611" s="1007">
        <f t="shared" si="171"/>
        <v>29</v>
      </c>
      <c r="D9611" s="1012"/>
      <c r="I9611" s="1011" t="str">
        <f>CONCATENATE("&lt;valeur&gt;",VLOOKUP(C9611,'T16 Amort'!A:K,6,0),"&lt;/valeur&gt;")</f>
        <v>&lt;valeur&gt;&lt;/valeur&gt;</v>
      </c>
      <c r="K9611" s="1013"/>
    </row>
    <row r="9612" spans="1:11" s="1011" customFormat="1" ht="15" x14ac:dyDescent="0.25">
      <c r="A9612" s="859">
        <f t="shared" si="172"/>
        <v>9611</v>
      </c>
      <c r="B9612" s="845" t="s">
        <v>2564</v>
      </c>
      <c r="C9612" s="1007">
        <f t="shared" si="171"/>
        <v>29</v>
      </c>
      <c r="D9612" s="1015"/>
      <c r="I9612" s="1011" t="str">
        <f>CONCATENATE("&lt;numeroLigne&gt;",C9612,"&lt;/numeroLigne&gt;")</f>
        <v>&lt;numeroLigne&gt;29&lt;/numeroLigne&gt;</v>
      </c>
      <c r="K9612" s="1013"/>
    </row>
    <row r="9613" spans="1:11" s="1011" customFormat="1" ht="15" x14ac:dyDescent="0.25">
      <c r="A9613" s="859">
        <f t="shared" si="172"/>
        <v>9612</v>
      </c>
      <c r="B9613" s="845" t="s">
        <v>2564</v>
      </c>
      <c r="C9613" s="1007">
        <f t="shared" si="171"/>
        <v>29</v>
      </c>
      <c r="D9613" s="1012"/>
      <c r="H9613" s="1011" t="s">
        <v>1010</v>
      </c>
      <c r="K9613" s="1013"/>
    </row>
    <row r="9614" spans="1:11" s="1011" customFormat="1" ht="15" x14ac:dyDescent="0.25">
      <c r="A9614" s="859">
        <f t="shared" si="172"/>
        <v>9613</v>
      </c>
      <c r="B9614" s="845" t="s">
        <v>2564</v>
      </c>
      <c r="C9614" s="1007">
        <f t="shared" si="171"/>
        <v>29</v>
      </c>
      <c r="D9614" s="1012"/>
      <c r="H9614" s="1011" t="s">
        <v>1007</v>
      </c>
      <c r="K9614" s="1013"/>
    </row>
    <row r="9615" spans="1:11" s="1011" customFormat="1" ht="15" x14ac:dyDescent="0.25">
      <c r="A9615" s="859">
        <f t="shared" si="172"/>
        <v>9614</v>
      </c>
      <c r="B9615" s="845" t="s">
        <v>2564</v>
      </c>
      <c r="C9615" s="1007">
        <f t="shared" si="171"/>
        <v>29</v>
      </c>
      <c r="D9615" s="1014"/>
      <c r="I9615" s="1011" t="s">
        <v>2179</v>
      </c>
      <c r="K9615" s="1013"/>
    </row>
    <row r="9616" spans="1:11" s="1011" customFormat="1" ht="15" x14ac:dyDescent="0.25">
      <c r="A9616" s="859">
        <f t="shared" si="172"/>
        <v>9615</v>
      </c>
      <c r="B9616" s="845" t="s">
        <v>2564</v>
      </c>
      <c r="C9616" s="1007">
        <f t="shared" si="171"/>
        <v>29</v>
      </c>
      <c r="D9616" s="1014"/>
      <c r="I9616" s="1011" t="str">
        <f>CONCATENATE("&lt;valeur&gt;",VLOOKUP(C9616,'T16 Amort'!A:K,7,0),"&lt;/valeur&gt;")</f>
        <v>&lt;valeur&gt;&lt;/valeur&gt;</v>
      </c>
      <c r="K9616" s="1013"/>
    </row>
    <row r="9617" spans="1:11" s="1011" customFormat="1" ht="15" x14ac:dyDescent="0.25">
      <c r="A9617" s="859">
        <f t="shared" si="172"/>
        <v>9616</v>
      </c>
      <c r="B9617" s="845" t="s">
        <v>2564</v>
      </c>
      <c r="C9617" s="1007">
        <f t="shared" si="171"/>
        <v>29</v>
      </c>
      <c r="D9617" s="1012"/>
      <c r="I9617" s="1011" t="str">
        <f>CONCATENATE("&lt;numeroLigne&gt;",C9617,"&lt;/numeroLigne&gt;")</f>
        <v>&lt;numeroLigne&gt;29&lt;/numeroLigne&gt;</v>
      </c>
      <c r="K9617" s="1013"/>
    </row>
    <row r="9618" spans="1:11" s="1011" customFormat="1" ht="15" x14ac:dyDescent="0.25">
      <c r="A9618" s="859">
        <f t="shared" si="172"/>
        <v>9617</v>
      </c>
      <c r="B9618" s="845" t="s">
        <v>2564</v>
      </c>
      <c r="C9618" s="1007">
        <f t="shared" si="171"/>
        <v>29</v>
      </c>
      <c r="D9618" s="1015"/>
      <c r="H9618" s="1011" t="s">
        <v>1010</v>
      </c>
      <c r="K9618" s="1013"/>
    </row>
    <row r="9619" spans="1:11" s="1011" customFormat="1" ht="15" x14ac:dyDescent="0.25">
      <c r="A9619" s="859">
        <f t="shared" si="172"/>
        <v>9618</v>
      </c>
      <c r="B9619" s="845" t="s">
        <v>2564</v>
      </c>
      <c r="C9619" s="1007">
        <f t="shared" si="171"/>
        <v>29</v>
      </c>
      <c r="D9619" s="1012"/>
      <c r="H9619" s="1011" t="s">
        <v>1007</v>
      </c>
      <c r="K9619" s="1013"/>
    </row>
    <row r="9620" spans="1:11" s="1011" customFormat="1" ht="15" x14ac:dyDescent="0.25">
      <c r="A9620" s="859">
        <f t="shared" si="172"/>
        <v>9619</v>
      </c>
      <c r="B9620" s="845" t="s">
        <v>2564</v>
      </c>
      <c r="C9620" s="1007">
        <f t="shared" si="171"/>
        <v>29</v>
      </c>
      <c r="D9620" s="1012"/>
      <c r="I9620" s="1011" t="s">
        <v>2180</v>
      </c>
      <c r="K9620" s="1013"/>
    </row>
    <row r="9621" spans="1:11" s="1011" customFormat="1" ht="15" x14ac:dyDescent="0.25">
      <c r="A9621" s="859">
        <f t="shared" si="172"/>
        <v>9620</v>
      </c>
      <c r="B9621" s="845" t="s">
        <v>2564</v>
      </c>
      <c r="C9621" s="1007">
        <f t="shared" si="171"/>
        <v>29</v>
      </c>
      <c r="D9621" s="1014"/>
      <c r="I9621" s="1011" t="str">
        <f>CONCATENATE("&lt;valeur&gt;",VLOOKUP(C9621,'T16 Amort'!A:K,8,0),"&lt;/valeur&gt;")</f>
        <v>&lt;valeur&gt;&lt;/valeur&gt;</v>
      </c>
      <c r="K9621" s="1013"/>
    </row>
    <row r="9622" spans="1:11" s="1011" customFormat="1" ht="15" x14ac:dyDescent="0.25">
      <c r="A9622" s="859">
        <f t="shared" si="172"/>
        <v>9621</v>
      </c>
      <c r="B9622" s="845" t="s">
        <v>2564</v>
      </c>
      <c r="C9622" s="1007">
        <f t="shared" si="171"/>
        <v>29</v>
      </c>
      <c r="D9622" s="1014"/>
      <c r="I9622" s="1011" t="str">
        <f>CONCATENATE("&lt;numeroLigne&gt;",C9622,"&lt;/numeroLigne&gt;")</f>
        <v>&lt;numeroLigne&gt;29&lt;/numeroLigne&gt;</v>
      </c>
      <c r="K9622" s="1013"/>
    </row>
    <row r="9623" spans="1:11" s="1011" customFormat="1" ht="15" x14ac:dyDescent="0.25">
      <c r="A9623" s="859">
        <f t="shared" si="172"/>
        <v>9622</v>
      </c>
      <c r="B9623" s="845" t="s">
        <v>2564</v>
      </c>
      <c r="C9623" s="1007">
        <f t="shared" si="171"/>
        <v>29</v>
      </c>
      <c r="D9623" s="1012"/>
      <c r="H9623" s="1011" t="s">
        <v>1010</v>
      </c>
      <c r="K9623" s="1013"/>
    </row>
    <row r="9624" spans="1:11" s="1011" customFormat="1" ht="15" x14ac:dyDescent="0.25">
      <c r="A9624" s="859">
        <f t="shared" si="172"/>
        <v>9623</v>
      </c>
      <c r="B9624" s="845" t="s">
        <v>2564</v>
      </c>
      <c r="C9624" s="1007">
        <f t="shared" si="171"/>
        <v>29</v>
      </c>
      <c r="D9624" s="1015"/>
      <c r="H9624" s="1011" t="s">
        <v>1007</v>
      </c>
      <c r="K9624" s="1013"/>
    </row>
    <row r="9625" spans="1:11" s="1011" customFormat="1" ht="15" x14ac:dyDescent="0.25">
      <c r="A9625" s="859">
        <f t="shared" si="172"/>
        <v>9624</v>
      </c>
      <c r="B9625" s="845" t="s">
        <v>2564</v>
      </c>
      <c r="C9625" s="1007">
        <f t="shared" si="171"/>
        <v>29</v>
      </c>
      <c r="D9625" s="1012"/>
      <c r="I9625" s="1011" t="s">
        <v>2181</v>
      </c>
      <c r="K9625" s="1013"/>
    </row>
    <row r="9626" spans="1:11" s="1011" customFormat="1" ht="15" x14ac:dyDescent="0.25">
      <c r="A9626" s="859">
        <f t="shared" si="172"/>
        <v>9625</v>
      </c>
      <c r="B9626" s="845" t="s">
        <v>2564</v>
      </c>
      <c r="C9626" s="1007">
        <f t="shared" si="171"/>
        <v>29</v>
      </c>
      <c r="D9626" s="1012"/>
      <c r="I9626" s="1011" t="str">
        <f>CONCATENATE("&lt;valeur&gt;",VLOOKUP(C9626,'T16 Amort'!A:K,9,0),"&lt;/valeur&gt;")</f>
        <v>&lt;valeur&gt;&lt;/valeur&gt;</v>
      </c>
      <c r="K9626" s="1013"/>
    </row>
    <row r="9627" spans="1:11" s="1011" customFormat="1" ht="15" x14ac:dyDescent="0.25">
      <c r="A9627" s="859">
        <f t="shared" si="172"/>
        <v>9626</v>
      </c>
      <c r="B9627" s="845" t="s">
        <v>2564</v>
      </c>
      <c r="C9627" s="1007">
        <f t="shared" si="171"/>
        <v>29</v>
      </c>
      <c r="D9627" s="1014"/>
      <c r="I9627" s="1011" t="str">
        <f>CONCATENATE("&lt;numeroLigne&gt;",C9627,"&lt;/numeroLigne&gt;")</f>
        <v>&lt;numeroLigne&gt;29&lt;/numeroLigne&gt;</v>
      </c>
      <c r="K9627" s="1013"/>
    </row>
    <row r="9628" spans="1:11" s="1011" customFormat="1" ht="15" x14ac:dyDescent="0.25">
      <c r="A9628" s="859">
        <f t="shared" si="172"/>
        <v>9627</v>
      </c>
      <c r="B9628" s="845" t="s">
        <v>2564</v>
      </c>
      <c r="C9628" s="1007">
        <f t="shared" si="171"/>
        <v>29</v>
      </c>
      <c r="D9628" s="1014"/>
      <c r="H9628" s="1011" t="s">
        <v>1010</v>
      </c>
      <c r="K9628" s="1013"/>
    </row>
    <row r="9629" spans="1:11" s="1011" customFormat="1" ht="15" x14ac:dyDescent="0.25">
      <c r="A9629" s="859">
        <f t="shared" si="172"/>
        <v>9628</v>
      </c>
      <c r="B9629" s="845" t="s">
        <v>2564</v>
      </c>
      <c r="C9629" s="1007">
        <f t="shared" si="171"/>
        <v>29</v>
      </c>
      <c r="D9629" s="1012"/>
      <c r="H9629" s="1011" t="s">
        <v>1007</v>
      </c>
      <c r="K9629" s="1013"/>
    </row>
    <row r="9630" spans="1:11" s="1011" customFormat="1" ht="15" x14ac:dyDescent="0.25">
      <c r="A9630" s="859">
        <f t="shared" si="172"/>
        <v>9629</v>
      </c>
      <c r="B9630" s="845" t="s">
        <v>2564</v>
      </c>
      <c r="C9630" s="1007">
        <f t="shared" si="171"/>
        <v>29</v>
      </c>
      <c r="D9630" s="1015"/>
      <c r="I9630" s="1011" t="s">
        <v>2182</v>
      </c>
      <c r="K9630" s="1013"/>
    </row>
    <row r="9631" spans="1:11" s="1011" customFormat="1" ht="15" x14ac:dyDescent="0.25">
      <c r="A9631" s="859">
        <f t="shared" si="172"/>
        <v>9630</v>
      </c>
      <c r="B9631" s="845" t="s">
        <v>2564</v>
      </c>
      <c r="C9631" s="1007">
        <f t="shared" si="171"/>
        <v>29</v>
      </c>
      <c r="D9631" s="1012"/>
      <c r="I9631" s="1011" t="str">
        <f>CONCATENATE("&lt;valeur&gt;",VLOOKUP(C9631,'T16 Amort'!A:K,10,0),"&lt;/valeur&gt;")</f>
        <v>&lt;valeur&gt;&lt;/valeur&gt;</v>
      </c>
      <c r="K9631" s="1013"/>
    </row>
    <row r="9632" spans="1:11" s="1011" customFormat="1" ht="15" x14ac:dyDescent="0.25">
      <c r="A9632" s="859">
        <f t="shared" si="172"/>
        <v>9631</v>
      </c>
      <c r="B9632" s="845" t="s">
        <v>2564</v>
      </c>
      <c r="C9632" s="1007">
        <f t="shared" si="171"/>
        <v>29</v>
      </c>
      <c r="D9632" s="1012"/>
      <c r="I9632" s="1011" t="str">
        <f>CONCATENATE("&lt;numeroLigne&gt;",C9632,"&lt;/numeroLigne&gt;")</f>
        <v>&lt;numeroLigne&gt;29&lt;/numeroLigne&gt;</v>
      </c>
      <c r="K9632" s="1013"/>
    </row>
    <row r="9633" spans="1:11" s="1011" customFormat="1" ht="15" x14ac:dyDescent="0.25">
      <c r="A9633" s="859">
        <f t="shared" si="172"/>
        <v>9632</v>
      </c>
      <c r="B9633" s="845" t="s">
        <v>2564</v>
      </c>
      <c r="C9633" s="1007">
        <f t="shared" si="171"/>
        <v>29</v>
      </c>
      <c r="D9633" s="1014"/>
      <c r="H9633" s="1011" t="s">
        <v>1010</v>
      </c>
      <c r="K9633" s="1013"/>
    </row>
    <row r="9634" spans="1:11" s="1011" customFormat="1" ht="15" x14ac:dyDescent="0.25">
      <c r="A9634" s="859">
        <f t="shared" si="172"/>
        <v>9633</v>
      </c>
      <c r="B9634" s="845" t="s">
        <v>2564</v>
      </c>
      <c r="C9634" s="1007">
        <f t="shared" si="171"/>
        <v>29</v>
      </c>
      <c r="D9634" s="1014"/>
      <c r="H9634" s="1011" t="s">
        <v>1007</v>
      </c>
      <c r="K9634" s="1013"/>
    </row>
    <row r="9635" spans="1:11" s="1011" customFormat="1" ht="15" x14ac:dyDescent="0.25">
      <c r="A9635" s="859">
        <f t="shared" si="172"/>
        <v>9634</v>
      </c>
      <c r="B9635" s="845" t="s">
        <v>2564</v>
      </c>
      <c r="C9635" s="1007">
        <f t="shared" si="171"/>
        <v>29</v>
      </c>
      <c r="D9635" s="1012"/>
      <c r="I9635" s="1011" t="s">
        <v>2183</v>
      </c>
      <c r="K9635" s="1013"/>
    </row>
    <row r="9636" spans="1:11" s="1011" customFormat="1" ht="15" x14ac:dyDescent="0.25">
      <c r="A9636" s="859">
        <f t="shared" si="172"/>
        <v>9635</v>
      </c>
      <c r="B9636" s="845" t="s">
        <v>2564</v>
      </c>
      <c r="C9636" s="1007">
        <f t="shared" si="171"/>
        <v>29</v>
      </c>
      <c r="D9636" s="1015"/>
      <c r="I9636" s="1011" t="str">
        <f>CONCATENATE("&lt;valeur&gt;",VLOOKUP(C9636,'T16 Amort'!A:K,11,0),"&lt;/valeur&gt;")</f>
        <v>&lt;valeur&gt;&lt;/valeur&gt;</v>
      </c>
      <c r="K9636" s="1013"/>
    </row>
    <row r="9637" spans="1:11" s="1011" customFormat="1" ht="15" x14ac:dyDescent="0.25">
      <c r="A9637" s="859">
        <f t="shared" si="172"/>
        <v>9636</v>
      </c>
      <c r="B9637" s="845" t="s">
        <v>2564</v>
      </c>
      <c r="C9637" s="1007">
        <f t="shared" si="171"/>
        <v>29</v>
      </c>
      <c r="D9637" s="1012"/>
      <c r="I9637" s="1011" t="str">
        <f>CONCATENATE("&lt;numeroLigne&gt;",C9637,"&lt;/numeroLigne&gt;")</f>
        <v>&lt;numeroLigne&gt;29&lt;/numeroLigne&gt;</v>
      </c>
      <c r="K9637" s="1013"/>
    </row>
    <row r="9638" spans="1:11" s="1011" customFormat="1" ht="15" x14ac:dyDescent="0.25">
      <c r="A9638" s="859">
        <f t="shared" si="172"/>
        <v>9637</v>
      </c>
      <c r="B9638" s="845" t="s">
        <v>2564</v>
      </c>
      <c r="C9638" s="1007">
        <f t="shared" si="171"/>
        <v>29</v>
      </c>
      <c r="D9638" s="1016"/>
      <c r="E9638" s="1017"/>
      <c r="F9638" s="1017"/>
      <c r="G9638" s="1017"/>
      <c r="H9638" s="1017" t="s">
        <v>1010</v>
      </c>
      <c r="I9638" s="1017"/>
      <c r="J9638" s="1017"/>
      <c r="K9638" s="1018"/>
    </row>
    <row r="9639" spans="1:11" s="1011" customFormat="1" ht="15" x14ac:dyDescent="0.25">
      <c r="A9639" s="859">
        <f t="shared" si="172"/>
        <v>9638</v>
      </c>
      <c r="B9639" s="845" t="s">
        <v>2564</v>
      </c>
      <c r="C9639" s="1007">
        <f t="shared" si="171"/>
        <v>30</v>
      </c>
      <c r="D9639" s="1008"/>
      <c r="E9639" s="1009"/>
      <c r="F9639" s="1009"/>
      <c r="G9639" s="1009"/>
      <c r="H9639" s="1009" t="s">
        <v>1007</v>
      </c>
      <c r="I9639" s="1009"/>
      <c r="J9639" s="1009"/>
      <c r="K9639" s="1010"/>
    </row>
    <row r="9640" spans="1:11" s="1011" customFormat="1" ht="15" x14ac:dyDescent="0.25">
      <c r="A9640" s="859">
        <f t="shared" si="172"/>
        <v>9639</v>
      </c>
      <c r="B9640" s="845" t="s">
        <v>2564</v>
      </c>
      <c r="C9640" s="1007">
        <f t="shared" si="171"/>
        <v>30</v>
      </c>
      <c r="D9640" s="1012"/>
      <c r="I9640" s="1011" t="s">
        <v>2174</v>
      </c>
      <c r="K9640" s="1013"/>
    </row>
    <row r="9641" spans="1:11" s="1011" customFormat="1" ht="15" x14ac:dyDescent="0.25">
      <c r="A9641" s="859">
        <f t="shared" si="172"/>
        <v>9640</v>
      </c>
      <c r="B9641" s="845" t="s">
        <v>2564</v>
      </c>
      <c r="C9641" s="1007">
        <f t="shared" si="171"/>
        <v>30</v>
      </c>
      <c r="D9641" s="1014"/>
      <c r="I9641" s="1011" t="str">
        <f>CONCATENATE("&lt;valeur&gt;",VLOOKUP(C9641,'T16 Amort'!A:K,2,0),"&lt;/valeur&gt;")</f>
        <v>&lt;valeur&gt;&lt;/valeur&gt;</v>
      </c>
      <c r="K9641" s="1013"/>
    </row>
    <row r="9642" spans="1:11" s="1011" customFormat="1" ht="15" x14ac:dyDescent="0.25">
      <c r="A9642" s="859">
        <f t="shared" si="172"/>
        <v>9641</v>
      </c>
      <c r="B9642" s="845" t="s">
        <v>2564</v>
      </c>
      <c r="C9642" s="1007">
        <f t="shared" si="171"/>
        <v>30</v>
      </c>
      <c r="D9642" s="1014"/>
      <c r="I9642" s="1011" t="str">
        <f>CONCATENATE("&lt;numeroLigne&gt;",C9642,"&lt;/numeroLigne&gt;")</f>
        <v>&lt;numeroLigne&gt;30&lt;/numeroLigne&gt;</v>
      </c>
      <c r="K9642" s="1013"/>
    </row>
    <row r="9643" spans="1:11" s="1011" customFormat="1" ht="15" x14ac:dyDescent="0.25">
      <c r="A9643" s="859">
        <f t="shared" si="172"/>
        <v>9642</v>
      </c>
      <c r="B9643" s="845" t="s">
        <v>2564</v>
      </c>
      <c r="C9643" s="1007">
        <f t="shared" si="171"/>
        <v>30</v>
      </c>
      <c r="D9643" s="1012"/>
      <c r="H9643" s="1011" t="s">
        <v>1010</v>
      </c>
      <c r="K9643" s="1013"/>
    </row>
    <row r="9644" spans="1:11" s="1011" customFormat="1" ht="15" x14ac:dyDescent="0.25">
      <c r="A9644" s="859">
        <f t="shared" si="172"/>
        <v>9643</v>
      </c>
      <c r="B9644" s="845" t="s">
        <v>2564</v>
      </c>
      <c r="C9644" s="1007">
        <f t="shared" si="171"/>
        <v>30</v>
      </c>
      <c r="D9644" s="1015"/>
      <c r="H9644" s="1011" t="s">
        <v>1007</v>
      </c>
      <c r="K9644" s="1013"/>
    </row>
    <row r="9645" spans="1:11" s="1011" customFormat="1" ht="15" x14ac:dyDescent="0.25">
      <c r="A9645" s="859">
        <f t="shared" si="172"/>
        <v>9644</v>
      </c>
      <c r="B9645" s="845" t="s">
        <v>2564</v>
      </c>
      <c r="C9645" s="1007">
        <f t="shared" si="171"/>
        <v>30</v>
      </c>
      <c r="D9645" s="1012"/>
      <c r="I9645" s="1011" t="s">
        <v>2175</v>
      </c>
      <c r="K9645" s="1013"/>
    </row>
    <row r="9646" spans="1:11" s="1011" customFormat="1" ht="15" x14ac:dyDescent="0.25">
      <c r="A9646" s="859">
        <f t="shared" si="172"/>
        <v>9645</v>
      </c>
      <c r="B9646" s="845" t="s">
        <v>2564</v>
      </c>
      <c r="C9646" s="1007">
        <f t="shared" si="171"/>
        <v>30</v>
      </c>
      <c r="D9646" s="1012"/>
      <c r="I9646" s="1011" t="str">
        <f>CONCATENATE("&lt;valeur&gt;",VLOOKUP(C9646,'T16 Amort'!A:K,3,0),"&lt;/valeur&gt;")</f>
        <v>&lt;valeur&gt;&lt;/valeur&gt;</v>
      </c>
      <c r="K9646" s="1013"/>
    </row>
    <row r="9647" spans="1:11" s="1011" customFormat="1" ht="15" x14ac:dyDescent="0.25">
      <c r="A9647" s="859">
        <f t="shared" si="172"/>
        <v>9646</v>
      </c>
      <c r="B9647" s="845" t="s">
        <v>2564</v>
      </c>
      <c r="C9647" s="1007">
        <f t="shared" ref="C9647:C9710" si="173">C9597+1</f>
        <v>30</v>
      </c>
      <c r="D9647" s="1014"/>
      <c r="I9647" s="1011" t="str">
        <f>CONCATENATE("&lt;numeroLigne&gt;",C9647,"&lt;/numeroLigne&gt;")</f>
        <v>&lt;numeroLigne&gt;30&lt;/numeroLigne&gt;</v>
      </c>
      <c r="K9647" s="1013"/>
    </row>
    <row r="9648" spans="1:11" s="1011" customFormat="1" ht="15" x14ac:dyDescent="0.25">
      <c r="A9648" s="859">
        <f t="shared" si="172"/>
        <v>9647</v>
      </c>
      <c r="B9648" s="845" t="s">
        <v>2564</v>
      </c>
      <c r="C9648" s="1007">
        <f t="shared" si="173"/>
        <v>30</v>
      </c>
      <c r="D9648" s="1014"/>
      <c r="H9648" s="1011" t="s">
        <v>1010</v>
      </c>
      <c r="K9648" s="1013"/>
    </row>
    <row r="9649" spans="1:11" s="1011" customFormat="1" ht="15" x14ac:dyDescent="0.25">
      <c r="A9649" s="859">
        <f t="shared" si="172"/>
        <v>9648</v>
      </c>
      <c r="B9649" s="845" t="s">
        <v>2564</v>
      </c>
      <c r="C9649" s="1007">
        <f t="shared" si="173"/>
        <v>30</v>
      </c>
      <c r="D9649" s="1012"/>
      <c r="H9649" s="1011" t="s">
        <v>1007</v>
      </c>
      <c r="K9649" s="1013"/>
    </row>
    <row r="9650" spans="1:11" s="1011" customFormat="1" ht="15" x14ac:dyDescent="0.25">
      <c r="A9650" s="859">
        <f t="shared" si="172"/>
        <v>9649</v>
      </c>
      <c r="B9650" s="845" t="s">
        <v>2564</v>
      </c>
      <c r="C9650" s="1007">
        <f t="shared" si="173"/>
        <v>30</v>
      </c>
      <c r="D9650" s="1015"/>
      <c r="I9650" s="1011" t="s">
        <v>2176</v>
      </c>
      <c r="K9650" s="1013"/>
    </row>
    <row r="9651" spans="1:11" s="1011" customFormat="1" ht="15" x14ac:dyDescent="0.25">
      <c r="A9651" s="859">
        <f t="shared" si="172"/>
        <v>9650</v>
      </c>
      <c r="B9651" s="845" t="s">
        <v>2564</v>
      </c>
      <c r="C9651" s="1007">
        <f t="shared" si="173"/>
        <v>30</v>
      </c>
      <c r="D9651" s="1012"/>
      <c r="I9651" s="1011" t="str">
        <f>CONCATENATE("&lt;valeur&gt;",VLOOKUP(C9651,'T16 Amort'!A:K,4,0),"&lt;/valeur&gt;")</f>
        <v>&lt;valeur&gt;&lt;/valeur&gt;</v>
      </c>
      <c r="K9651" s="1013"/>
    </row>
    <row r="9652" spans="1:11" s="1011" customFormat="1" ht="15" x14ac:dyDescent="0.25">
      <c r="A9652" s="859">
        <f t="shared" si="172"/>
        <v>9651</v>
      </c>
      <c r="B9652" s="845" t="s">
        <v>2564</v>
      </c>
      <c r="C9652" s="1007">
        <f t="shared" si="173"/>
        <v>30</v>
      </c>
      <c r="D9652" s="1012"/>
      <c r="I9652" s="1011" t="str">
        <f>CONCATENATE("&lt;numeroLigne&gt;",C9652,"&lt;/numeroLigne&gt;")</f>
        <v>&lt;numeroLigne&gt;30&lt;/numeroLigne&gt;</v>
      </c>
      <c r="K9652" s="1013"/>
    </row>
    <row r="9653" spans="1:11" s="1011" customFormat="1" ht="15" x14ac:dyDescent="0.25">
      <c r="A9653" s="859">
        <f t="shared" si="172"/>
        <v>9652</v>
      </c>
      <c r="B9653" s="845" t="s">
        <v>2564</v>
      </c>
      <c r="C9653" s="1007">
        <f t="shared" si="173"/>
        <v>30</v>
      </c>
      <c r="D9653" s="1014"/>
      <c r="H9653" s="1011" t="s">
        <v>1010</v>
      </c>
      <c r="K9653" s="1013"/>
    </row>
    <row r="9654" spans="1:11" s="1011" customFormat="1" ht="15" x14ac:dyDescent="0.25">
      <c r="A9654" s="859">
        <f t="shared" si="172"/>
        <v>9653</v>
      </c>
      <c r="B9654" s="845" t="s">
        <v>2564</v>
      </c>
      <c r="C9654" s="1007">
        <f t="shared" si="173"/>
        <v>30</v>
      </c>
      <c r="D9654" s="1014"/>
      <c r="H9654" s="1011" t="s">
        <v>1007</v>
      </c>
      <c r="K9654" s="1013"/>
    </row>
    <row r="9655" spans="1:11" s="1011" customFormat="1" ht="15" x14ac:dyDescent="0.25">
      <c r="A9655" s="859">
        <f t="shared" si="172"/>
        <v>9654</v>
      </c>
      <c r="B9655" s="845" t="s">
        <v>2564</v>
      </c>
      <c r="C9655" s="1007">
        <f t="shared" si="173"/>
        <v>30</v>
      </c>
      <c r="D9655" s="1012"/>
      <c r="I9655" s="1011" t="s">
        <v>2177</v>
      </c>
      <c r="K9655" s="1013"/>
    </row>
    <row r="9656" spans="1:11" s="1011" customFormat="1" ht="15" x14ac:dyDescent="0.25">
      <c r="A9656" s="859">
        <f t="shared" si="172"/>
        <v>9655</v>
      </c>
      <c r="B9656" s="845" t="s">
        <v>2564</v>
      </c>
      <c r="C9656" s="1007">
        <f t="shared" si="173"/>
        <v>30</v>
      </c>
      <c r="D9656" s="1015"/>
      <c r="I9656" s="1011" t="str">
        <f>CONCATENATE("&lt;valeur&gt;",VLOOKUP(C9656,'T16 Amort'!A:K,5,0),"&lt;/valeur&gt;")</f>
        <v>&lt;valeur&gt;&lt;/valeur&gt;</v>
      </c>
      <c r="K9656" s="1013"/>
    </row>
    <row r="9657" spans="1:11" s="1011" customFormat="1" ht="15" x14ac:dyDescent="0.25">
      <c r="A9657" s="859">
        <f t="shared" si="172"/>
        <v>9656</v>
      </c>
      <c r="B9657" s="845" t="s">
        <v>2564</v>
      </c>
      <c r="C9657" s="1007">
        <f t="shared" si="173"/>
        <v>30</v>
      </c>
      <c r="D9657" s="1012"/>
      <c r="I9657" s="1011" t="str">
        <f>CONCATENATE("&lt;numeroLigne&gt;",C9657,"&lt;/numeroLigne&gt;")</f>
        <v>&lt;numeroLigne&gt;30&lt;/numeroLigne&gt;</v>
      </c>
      <c r="K9657" s="1013"/>
    </row>
    <row r="9658" spans="1:11" s="1011" customFormat="1" ht="15" x14ac:dyDescent="0.25">
      <c r="A9658" s="859">
        <f t="shared" si="172"/>
        <v>9657</v>
      </c>
      <c r="B9658" s="845" t="s">
        <v>2564</v>
      </c>
      <c r="C9658" s="1007">
        <f t="shared" si="173"/>
        <v>30</v>
      </c>
      <c r="D9658" s="1012"/>
      <c r="H9658" s="1011" t="s">
        <v>1010</v>
      </c>
      <c r="K9658" s="1013"/>
    </row>
    <row r="9659" spans="1:11" s="1011" customFormat="1" ht="15" x14ac:dyDescent="0.25">
      <c r="A9659" s="859">
        <f t="shared" si="172"/>
        <v>9658</v>
      </c>
      <c r="B9659" s="845" t="s">
        <v>2564</v>
      </c>
      <c r="C9659" s="1007">
        <f t="shared" si="173"/>
        <v>30</v>
      </c>
      <c r="D9659" s="1014"/>
      <c r="H9659" s="1011" t="s">
        <v>1007</v>
      </c>
      <c r="K9659" s="1013"/>
    </row>
    <row r="9660" spans="1:11" s="1011" customFormat="1" ht="15" x14ac:dyDescent="0.25">
      <c r="A9660" s="859">
        <f t="shared" si="172"/>
        <v>9659</v>
      </c>
      <c r="B9660" s="845" t="s">
        <v>2564</v>
      </c>
      <c r="C9660" s="1007">
        <f t="shared" si="173"/>
        <v>30</v>
      </c>
      <c r="D9660" s="1014"/>
      <c r="I9660" s="1011" t="s">
        <v>2178</v>
      </c>
      <c r="K9660" s="1013"/>
    </row>
    <row r="9661" spans="1:11" s="1011" customFormat="1" ht="15" x14ac:dyDescent="0.25">
      <c r="A9661" s="859">
        <f t="shared" si="172"/>
        <v>9660</v>
      </c>
      <c r="B9661" s="845" t="s">
        <v>2564</v>
      </c>
      <c r="C9661" s="1007">
        <f t="shared" si="173"/>
        <v>30</v>
      </c>
      <c r="D9661" s="1012"/>
      <c r="I9661" s="1011" t="str">
        <f>CONCATENATE("&lt;valeur&gt;",VLOOKUP(C9661,'T16 Amort'!A:K,6,0),"&lt;/valeur&gt;")</f>
        <v>&lt;valeur&gt;&lt;/valeur&gt;</v>
      </c>
      <c r="K9661" s="1013"/>
    </row>
    <row r="9662" spans="1:11" s="1011" customFormat="1" ht="15" x14ac:dyDescent="0.25">
      <c r="A9662" s="859">
        <f t="shared" si="172"/>
        <v>9661</v>
      </c>
      <c r="B9662" s="845" t="s">
        <v>2564</v>
      </c>
      <c r="C9662" s="1007">
        <f t="shared" si="173"/>
        <v>30</v>
      </c>
      <c r="D9662" s="1015"/>
      <c r="I9662" s="1011" t="str">
        <f>CONCATENATE("&lt;numeroLigne&gt;",C9662,"&lt;/numeroLigne&gt;")</f>
        <v>&lt;numeroLigne&gt;30&lt;/numeroLigne&gt;</v>
      </c>
      <c r="K9662" s="1013"/>
    </row>
    <row r="9663" spans="1:11" s="1011" customFormat="1" ht="15" x14ac:dyDescent="0.25">
      <c r="A9663" s="859">
        <f t="shared" si="172"/>
        <v>9662</v>
      </c>
      <c r="B9663" s="845" t="s">
        <v>2564</v>
      </c>
      <c r="C9663" s="1007">
        <f t="shared" si="173"/>
        <v>30</v>
      </c>
      <c r="D9663" s="1012"/>
      <c r="H9663" s="1011" t="s">
        <v>1010</v>
      </c>
      <c r="K9663" s="1013"/>
    </row>
    <row r="9664" spans="1:11" s="1011" customFormat="1" ht="15" x14ac:dyDescent="0.25">
      <c r="A9664" s="859">
        <f t="shared" si="172"/>
        <v>9663</v>
      </c>
      <c r="B9664" s="845" t="s">
        <v>2564</v>
      </c>
      <c r="C9664" s="1007">
        <f t="shared" si="173"/>
        <v>30</v>
      </c>
      <c r="D9664" s="1012"/>
      <c r="H9664" s="1011" t="s">
        <v>1007</v>
      </c>
      <c r="K9664" s="1013"/>
    </row>
    <row r="9665" spans="1:11" s="1011" customFormat="1" ht="15" x14ac:dyDescent="0.25">
      <c r="A9665" s="859">
        <f t="shared" si="172"/>
        <v>9664</v>
      </c>
      <c r="B9665" s="845" t="s">
        <v>2564</v>
      </c>
      <c r="C9665" s="1007">
        <f t="shared" si="173"/>
        <v>30</v>
      </c>
      <c r="D9665" s="1014"/>
      <c r="I9665" s="1011" t="s">
        <v>2179</v>
      </c>
      <c r="K9665" s="1013"/>
    </row>
    <row r="9666" spans="1:11" s="1011" customFormat="1" ht="15" x14ac:dyDescent="0.25">
      <c r="A9666" s="859">
        <f t="shared" si="172"/>
        <v>9665</v>
      </c>
      <c r="B9666" s="845" t="s">
        <v>2564</v>
      </c>
      <c r="C9666" s="1007">
        <f t="shared" si="173"/>
        <v>30</v>
      </c>
      <c r="D9666" s="1014"/>
      <c r="I9666" s="1011" t="str">
        <f>CONCATENATE("&lt;valeur&gt;",VLOOKUP(C9666,'T16 Amort'!A:K,7,0),"&lt;/valeur&gt;")</f>
        <v>&lt;valeur&gt;&lt;/valeur&gt;</v>
      </c>
      <c r="K9666" s="1013"/>
    </row>
    <row r="9667" spans="1:11" s="1011" customFormat="1" ht="15" x14ac:dyDescent="0.25">
      <c r="A9667" s="859">
        <f t="shared" si="172"/>
        <v>9666</v>
      </c>
      <c r="B9667" s="845" t="s">
        <v>2564</v>
      </c>
      <c r="C9667" s="1007">
        <f t="shared" si="173"/>
        <v>30</v>
      </c>
      <c r="D9667" s="1012"/>
      <c r="I9667" s="1011" t="str">
        <f>CONCATENATE("&lt;numeroLigne&gt;",C9667,"&lt;/numeroLigne&gt;")</f>
        <v>&lt;numeroLigne&gt;30&lt;/numeroLigne&gt;</v>
      </c>
      <c r="K9667" s="1013"/>
    </row>
    <row r="9668" spans="1:11" s="1011" customFormat="1" ht="15" x14ac:dyDescent="0.25">
      <c r="A9668" s="859">
        <f t="shared" ref="A9668:A9731" si="174">+A9667+1</f>
        <v>9667</v>
      </c>
      <c r="B9668" s="845" t="s">
        <v>2564</v>
      </c>
      <c r="C9668" s="1007">
        <f t="shared" si="173"/>
        <v>30</v>
      </c>
      <c r="D9668" s="1015"/>
      <c r="H9668" s="1011" t="s">
        <v>1010</v>
      </c>
      <c r="K9668" s="1013"/>
    </row>
    <row r="9669" spans="1:11" s="1011" customFormat="1" ht="15" x14ac:dyDescent="0.25">
      <c r="A9669" s="859">
        <f t="shared" si="174"/>
        <v>9668</v>
      </c>
      <c r="B9669" s="845" t="s">
        <v>2564</v>
      </c>
      <c r="C9669" s="1007">
        <f t="shared" si="173"/>
        <v>30</v>
      </c>
      <c r="D9669" s="1012"/>
      <c r="H9669" s="1011" t="s">
        <v>1007</v>
      </c>
      <c r="K9669" s="1013"/>
    </row>
    <row r="9670" spans="1:11" s="1011" customFormat="1" ht="15" x14ac:dyDescent="0.25">
      <c r="A9670" s="859">
        <f t="shared" si="174"/>
        <v>9669</v>
      </c>
      <c r="B9670" s="845" t="s">
        <v>2564</v>
      </c>
      <c r="C9670" s="1007">
        <f t="shared" si="173"/>
        <v>30</v>
      </c>
      <c r="D9670" s="1012"/>
      <c r="I9670" s="1011" t="s">
        <v>2180</v>
      </c>
      <c r="K9670" s="1013"/>
    </row>
    <row r="9671" spans="1:11" s="1011" customFormat="1" ht="15" x14ac:dyDescent="0.25">
      <c r="A9671" s="859">
        <f t="shared" si="174"/>
        <v>9670</v>
      </c>
      <c r="B9671" s="845" t="s">
        <v>2564</v>
      </c>
      <c r="C9671" s="1007">
        <f t="shared" si="173"/>
        <v>30</v>
      </c>
      <c r="D9671" s="1014"/>
      <c r="I9671" s="1011" t="str">
        <f>CONCATENATE("&lt;valeur&gt;",VLOOKUP(C9671,'T16 Amort'!A:K,8,0),"&lt;/valeur&gt;")</f>
        <v>&lt;valeur&gt;&lt;/valeur&gt;</v>
      </c>
      <c r="K9671" s="1013"/>
    </row>
    <row r="9672" spans="1:11" s="1011" customFormat="1" ht="15" x14ac:dyDescent="0.25">
      <c r="A9672" s="859">
        <f t="shared" si="174"/>
        <v>9671</v>
      </c>
      <c r="B9672" s="845" t="s">
        <v>2564</v>
      </c>
      <c r="C9672" s="1007">
        <f t="shared" si="173"/>
        <v>30</v>
      </c>
      <c r="D9672" s="1014"/>
      <c r="I9672" s="1011" t="str">
        <f>CONCATENATE("&lt;numeroLigne&gt;",C9672,"&lt;/numeroLigne&gt;")</f>
        <v>&lt;numeroLigne&gt;30&lt;/numeroLigne&gt;</v>
      </c>
      <c r="K9672" s="1013"/>
    </row>
    <row r="9673" spans="1:11" s="1011" customFormat="1" ht="15" x14ac:dyDescent="0.25">
      <c r="A9673" s="859">
        <f t="shared" si="174"/>
        <v>9672</v>
      </c>
      <c r="B9673" s="845" t="s">
        <v>2564</v>
      </c>
      <c r="C9673" s="1007">
        <f t="shared" si="173"/>
        <v>30</v>
      </c>
      <c r="D9673" s="1012"/>
      <c r="H9673" s="1011" t="s">
        <v>1010</v>
      </c>
      <c r="K9673" s="1013"/>
    </row>
    <row r="9674" spans="1:11" s="1011" customFormat="1" ht="15" x14ac:dyDescent="0.25">
      <c r="A9674" s="859">
        <f t="shared" si="174"/>
        <v>9673</v>
      </c>
      <c r="B9674" s="845" t="s">
        <v>2564</v>
      </c>
      <c r="C9674" s="1007">
        <f t="shared" si="173"/>
        <v>30</v>
      </c>
      <c r="D9674" s="1015"/>
      <c r="H9674" s="1011" t="s">
        <v>1007</v>
      </c>
      <c r="K9674" s="1013"/>
    </row>
    <row r="9675" spans="1:11" s="1011" customFormat="1" ht="15" x14ac:dyDescent="0.25">
      <c r="A9675" s="859">
        <f t="shared" si="174"/>
        <v>9674</v>
      </c>
      <c r="B9675" s="845" t="s">
        <v>2564</v>
      </c>
      <c r="C9675" s="1007">
        <f t="shared" si="173"/>
        <v>30</v>
      </c>
      <c r="D9675" s="1012"/>
      <c r="I9675" s="1011" t="s">
        <v>2181</v>
      </c>
      <c r="K9675" s="1013"/>
    </row>
    <row r="9676" spans="1:11" s="1011" customFormat="1" ht="15" x14ac:dyDescent="0.25">
      <c r="A9676" s="859">
        <f t="shared" si="174"/>
        <v>9675</v>
      </c>
      <c r="B9676" s="845" t="s">
        <v>2564</v>
      </c>
      <c r="C9676" s="1007">
        <f t="shared" si="173"/>
        <v>30</v>
      </c>
      <c r="D9676" s="1012"/>
      <c r="I9676" s="1011" t="str">
        <f>CONCATENATE("&lt;valeur&gt;",VLOOKUP(C9676,'T16 Amort'!A:K,9,0),"&lt;/valeur&gt;")</f>
        <v>&lt;valeur&gt;&lt;/valeur&gt;</v>
      </c>
      <c r="K9676" s="1013"/>
    </row>
    <row r="9677" spans="1:11" s="1011" customFormat="1" ht="15" x14ac:dyDescent="0.25">
      <c r="A9677" s="859">
        <f t="shared" si="174"/>
        <v>9676</v>
      </c>
      <c r="B9677" s="845" t="s">
        <v>2564</v>
      </c>
      <c r="C9677" s="1007">
        <f t="shared" si="173"/>
        <v>30</v>
      </c>
      <c r="D9677" s="1014"/>
      <c r="I9677" s="1011" t="str">
        <f>CONCATENATE("&lt;numeroLigne&gt;",C9677,"&lt;/numeroLigne&gt;")</f>
        <v>&lt;numeroLigne&gt;30&lt;/numeroLigne&gt;</v>
      </c>
      <c r="K9677" s="1013"/>
    </row>
    <row r="9678" spans="1:11" s="1011" customFormat="1" ht="15" x14ac:dyDescent="0.25">
      <c r="A9678" s="859">
        <f t="shared" si="174"/>
        <v>9677</v>
      </c>
      <c r="B9678" s="845" t="s">
        <v>2564</v>
      </c>
      <c r="C9678" s="1007">
        <f t="shared" si="173"/>
        <v>30</v>
      </c>
      <c r="D9678" s="1014"/>
      <c r="H9678" s="1011" t="s">
        <v>1010</v>
      </c>
      <c r="K9678" s="1013"/>
    </row>
    <row r="9679" spans="1:11" s="1011" customFormat="1" ht="15" x14ac:dyDescent="0.25">
      <c r="A9679" s="859">
        <f t="shared" si="174"/>
        <v>9678</v>
      </c>
      <c r="B9679" s="845" t="s">
        <v>2564</v>
      </c>
      <c r="C9679" s="1007">
        <f t="shared" si="173"/>
        <v>30</v>
      </c>
      <c r="D9679" s="1012"/>
      <c r="H9679" s="1011" t="s">
        <v>1007</v>
      </c>
      <c r="K9679" s="1013"/>
    </row>
    <row r="9680" spans="1:11" s="1011" customFormat="1" ht="15" x14ac:dyDescent="0.25">
      <c r="A9680" s="859">
        <f t="shared" si="174"/>
        <v>9679</v>
      </c>
      <c r="B9680" s="845" t="s">
        <v>2564</v>
      </c>
      <c r="C9680" s="1007">
        <f t="shared" si="173"/>
        <v>30</v>
      </c>
      <c r="D9680" s="1015"/>
      <c r="I9680" s="1011" t="s">
        <v>2182</v>
      </c>
      <c r="K9680" s="1013"/>
    </row>
    <row r="9681" spans="1:11" s="1011" customFormat="1" ht="15" x14ac:dyDescent="0.25">
      <c r="A9681" s="859">
        <f t="shared" si="174"/>
        <v>9680</v>
      </c>
      <c r="B9681" s="845" t="s">
        <v>2564</v>
      </c>
      <c r="C9681" s="1007">
        <f t="shared" si="173"/>
        <v>30</v>
      </c>
      <c r="D9681" s="1012"/>
      <c r="I9681" s="1011" t="str">
        <f>CONCATENATE("&lt;valeur&gt;",VLOOKUP(C9681,'T16 Amort'!A:K,10,0),"&lt;/valeur&gt;")</f>
        <v>&lt;valeur&gt;&lt;/valeur&gt;</v>
      </c>
      <c r="K9681" s="1013"/>
    </row>
    <row r="9682" spans="1:11" s="1011" customFormat="1" ht="15" x14ac:dyDescent="0.25">
      <c r="A9682" s="859">
        <f t="shared" si="174"/>
        <v>9681</v>
      </c>
      <c r="B9682" s="845" t="s">
        <v>2564</v>
      </c>
      <c r="C9682" s="1007">
        <f t="shared" si="173"/>
        <v>30</v>
      </c>
      <c r="D9682" s="1012"/>
      <c r="I9682" s="1011" t="str">
        <f>CONCATENATE("&lt;numeroLigne&gt;",C9682,"&lt;/numeroLigne&gt;")</f>
        <v>&lt;numeroLigne&gt;30&lt;/numeroLigne&gt;</v>
      </c>
      <c r="K9682" s="1013"/>
    </row>
    <row r="9683" spans="1:11" s="1011" customFormat="1" ht="15" x14ac:dyDescent="0.25">
      <c r="A9683" s="859">
        <f t="shared" si="174"/>
        <v>9682</v>
      </c>
      <c r="B9683" s="845" t="s">
        <v>2564</v>
      </c>
      <c r="C9683" s="1007">
        <f t="shared" si="173"/>
        <v>30</v>
      </c>
      <c r="D9683" s="1014"/>
      <c r="H9683" s="1011" t="s">
        <v>1010</v>
      </c>
      <c r="K9683" s="1013"/>
    </row>
    <row r="9684" spans="1:11" s="1011" customFormat="1" ht="15" x14ac:dyDescent="0.25">
      <c r="A9684" s="859">
        <f t="shared" si="174"/>
        <v>9683</v>
      </c>
      <c r="B9684" s="845" t="s">
        <v>2564</v>
      </c>
      <c r="C9684" s="1007">
        <f t="shared" si="173"/>
        <v>30</v>
      </c>
      <c r="D9684" s="1014"/>
      <c r="H9684" s="1011" t="s">
        <v>1007</v>
      </c>
      <c r="K9684" s="1013"/>
    </row>
    <row r="9685" spans="1:11" s="1011" customFormat="1" ht="15" x14ac:dyDescent="0.25">
      <c r="A9685" s="859">
        <f t="shared" si="174"/>
        <v>9684</v>
      </c>
      <c r="B9685" s="845" t="s">
        <v>2564</v>
      </c>
      <c r="C9685" s="1007">
        <f t="shared" si="173"/>
        <v>30</v>
      </c>
      <c r="D9685" s="1012"/>
      <c r="I9685" s="1011" t="s">
        <v>2183</v>
      </c>
      <c r="K9685" s="1013"/>
    </row>
    <row r="9686" spans="1:11" s="1011" customFormat="1" ht="15" x14ac:dyDescent="0.25">
      <c r="A9686" s="859">
        <f t="shared" si="174"/>
        <v>9685</v>
      </c>
      <c r="B9686" s="845" t="s">
        <v>2564</v>
      </c>
      <c r="C9686" s="1007">
        <f t="shared" si="173"/>
        <v>30</v>
      </c>
      <c r="D9686" s="1015"/>
      <c r="I9686" s="1011" t="str">
        <f>CONCATENATE("&lt;valeur&gt;",VLOOKUP(C9686,'T16 Amort'!A:K,11,0),"&lt;/valeur&gt;")</f>
        <v>&lt;valeur&gt;&lt;/valeur&gt;</v>
      </c>
      <c r="K9686" s="1013"/>
    </row>
    <row r="9687" spans="1:11" s="1011" customFormat="1" ht="15" x14ac:dyDescent="0.25">
      <c r="A9687" s="859">
        <f t="shared" si="174"/>
        <v>9686</v>
      </c>
      <c r="B9687" s="845" t="s">
        <v>2564</v>
      </c>
      <c r="C9687" s="1007">
        <f t="shared" si="173"/>
        <v>30</v>
      </c>
      <c r="D9687" s="1012"/>
      <c r="I9687" s="1011" t="str">
        <f>CONCATENATE("&lt;numeroLigne&gt;",C9687,"&lt;/numeroLigne&gt;")</f>
        <v>&lt;numeroLigne&gt;30&lt;/numeroLigne&gt;</v>
      </c>
      <c r="K9687" s="1013"/>
    </row>
    <row r="9688" spans="1:11" s="1011" customFormat="1" ht="15" x14ac:dyDescent="0.25">
      <c r="A9688" s="859">
        <f t="shared" si="174"/>
        <v>9687</v>
      </c>
      <c r="B9688" s="845" t="s">
        <v>2564</v>
      </c>
      <c r="C9688" s="1007">
        <f t="shared" si="173"/>
        <v>30</v>
      </c>
      <c r="D9688" s="1016"/>
      <c r="E9688" s="1017"/>
      <c r="F9688" s="1017"/>
      <c r="G9688" s="1017"/>
      <c r="H9688" s="1017" t="s">
        <v>1010</v>
      </c>
      <c r="I9688" s="1017"/>
      <c r="J9688" s="1017"/>
      <c r="K9688" s="1018"/>
    </row>
    <row r="9689" spans="1:11" s="1011" customFormat="1" ht="15" x14ac:dyDescent="0.25">
      <c r="A9689" s="859">
        <f t="shared" si="174"/>
        <v>9688</v>
      </c>
      <c r="B9689" s="845" t="s">
        <v>2564</v>
      </c>
      <c r="C9689" s="1007">
        <f t="shared" si="173"/>
        <v>31</v>
      </c>
      <c r="D9689" s="1008"/>
      <c r="E9689" s="1009"/>
      <c r="F9689" s="1009"/>
      <c r="G9689" s="1009"/>
      <c r="H9689" s="1009" t="s">
        <v>1007</v>
      </c>
      <c r="I9689" s="1009"/>
      <c r="J9689" s="1009"/>
      <c r="K9689" s="1010"/>
    </row>
    <row r="9690" spans="1:11" s="1011" customFormat="1" ht="15" x14ac:dyDescent="0.25">
      <c r="A9690" s="859">
        <f t="shared" si="174"/>
        <v>9689</v>
      </c>
      <c r="B9690" s="845" t="s">
        <v>2564</v>
      </c>
      <c r="C9690" s="1007">
        <f t="shared" si="173"/>
        <v>31</v>
      </c>
      <c r="D9690" s="1012"/>
      <c r="I9690" s="1011" t="s">
        <v>2174</v>
      </c>
      <c r="K9690" s="1013"/>
    </row>
    <row r="9691" spans="1:11" s="1011" customFormat="1" ht="15" x14ac:dyDescent="0.25">
      <c r="A9691" s="859">
        <f t="shared" si="174"/>
        <v>9690</v>
      </c>
      <c r="B9691" s="845" t="s">
        <v>2564</v>
      </c>
      <c r="C9691" s="1007">
        <f t="shared" si="173"/>
        <v>31</v>
      </c>
      <c r="D9691" s="1014"/>
      <c r="I9691" s="1011" t="str">
        <f>CONCATENATE("&lt;valeur&gt;",VLOOKUP(C9691,'T16 Amort'!A:K,2,0),"&lt;/valeur&gt;")</f>
        <v>&lt;valeur&gt;&lt;/valeur&gt;</v>
      </c>
      <c r="K9691" s="1013"/>
    </row>
    <row r="9692" spans="1:11" s="1011" customFormat="1" ht="15" x14ac:dyDescent="0.25">
      <c r="A9692" s="859">
        <f t="shared" si="174"/>
        <v>9691</v>
      </c>
      <c r="B9692" s="845" t="s">
        <v>2564</v>
      </c>
      <c r="C9692" s="1007">
        <f t="shared" si="173"/>
        <v>31</v>
      </c>
      <c r="D9692" s="1014"/>
      <c r="I9692" s="1011" t="str">
        <f>CONCATENATE("&lt;numeroLigne&gt;",C9692,"&lt;/numeroLigne&gt;")</f>
        <v>&lt;numeroLigne&gt;31&lt;/numeroLigne&gt;</v>
      </c>
      <c r="K9692" s="1013"/>
    </row>
    <row r="9693" spans="1:11" s="1011" customFormat="1" ht="15" x14ac:dyDescent="0.25">
      <c r="A9693" s="859">
        <f t="shared" si="174"/>
        <v>9692</v>
      </c>
      <c r="B9693" s="845" t="s">
        <v>2564</v>
      </c>
      <c r="C9693" s="1007">
        <f t="shared" si="173"/>
        <v>31</v>
      </c>
      <c r="D9693" s="1012"/>
      <c r="H9693" s="1011" t="s">
        <v>1010</v>
      </c>
      <c r="K9693" s="1013"/>
    </row>
    <row r="9694" spans="1:11" s="1011" customFormat="1" ht="15" x14ac:dyDescent="0.25">
      <c r="A9694" s="859">
        <f t="shared" si="174"/>
        <v>9693</v>
      </c>
      <c r="B9694" s="845" t="s">
        <v>2564</v>
      </c>
      <c r="C9694" s="1007">
        <f t="shared" si="173"/>
        <v>31</v>
      </c>
      <c r="D9694" s="1015"/>
      <c r="H9694" s="1011" t="s">
        <v>1007</v>
      </c>
      <c r="K9694" s="1013"/>
    </row>
    <row r="9695" spans="1:11" s="1011" customFormat="1" ht="15" x14ac:dyDescent="0.25">
      <c r="A9695" s="859">
        <f t="shared" si="174"/>
        <v>9694</v>
      </c>
      <c r="B9695" s="845" t="s">
        <v>2564</v>
      </c>
      <c r="C9695" s="1007">
        <f t="shared" si="173"/>
        <v>31</v>
      </c>
      <c r="D9695" s="1012"/>
      <c r="I9695" s="1011" t="s">
        <v>2175</v>
      </c>
      <c r="K9695" s="1013"/>
    </row>
    <row r="9696" spans="1:11" s="1011" customFormat="1" ht="15" x14ac:dyDescent="0.25">
      <c r="A9696" s="859">
        <f t="shared" si="174"/>
        <v>9695</v>
      </c>
      <c r="B9696" s="845" t="s">
        <v>2564</v>
      </c>
      <c r="C9696" s="1007">
        <f t="shared" si="173"/>
        <v>31</v>
      </c>
      <c r="D9696" s="1012"/>
      <c r="I9696" s="1011" t="str">
        <f>CONCATENATE("&lt;valeur&gt;",VLOOKUP(C9696,'T16 Amort'!A:K,3,0),"&lt;/valeur&gt;")</f>
        <v>&lt;valeur&gt;&lt;/valeur&gt;</v>
      </c>
      <c r="K9696" s="1013"/>
    </row>
    <row r="9697" spans="1:11" s="1011" customFormat="1" ht="15" x14ac:dyDescent="0.25">
      <c r="A9697" s="859">
        <f t="shared" si="174"/>
        <v>9696</v>
      </c>
      <c r="B9697" s="845" t="s">
        <v>2564</v>
      </c>
      <c r="C9697" s="1007">
        <f t="shared" si="173"/>
        <v>31</v>
      </c>
      <c r="D9697" s="1014"/>
      <c r="I9697" s="1011" t="str">
        <f>CONCATENATE("&lt;numeroLigne&gt;",C9697,"&lt;/numeroLigne&gt;")</f>
        <v>&lt;numeroLigne&gt;31&lt;/numeroLigne&gt;</v>
      </c>
      <c r="K9697" s="1013"/>
    </row>
    <row r="9698" spans="1:11" s="1011" customFormat="1" ht="15" x14ac:dyDescent="0.25">
      <c r="A9698" s="859">
        <f t="shared" si="174"/>
        <v>9697</v>
      </c>
      <c r="B9698" s="845" t="s">
        <v>2564</v>
      </c>
      <c r="C9698" s="1007">
        <f t="shared" si="173"/>
        <v>31</v>
      </c>
      <c r="D9698" s="1014"/>
      <c r="H9698" s="1011" t="s">
        <v>1010</v>
      </c>
      <c r="K9698" s="1013"/>
    </row>
    <row r="9699" spans="1:11" s="1011" customFormat="1" ht="15" x14ac:dyDescent="0.25">
      <c r="A9699" s="859">
        <f t="shared" si="174"/>
        <v>9698</v>
      </c>
      <c r="B9699" s="845" t="s">
        <v>2564</v>
      </c>
      <c r="C9699" s="1007">
        <f t="shared" si="173"/>
        <v>31</v>
      </c>
      <c r="D9699" s="1012"/>
      <c r="H9699" s="1011" t="s">
        <v>1007</v>
      </c>
      <c r="K9699" s="1013"/>
    </row>
    <row r="9700" spans="1:11" s="1011" customFormat="1" ht="15" x14ac:dyDescent="0.25">
      <c r="A9700" s="859">
        <f t="shared" si="174"/>
        <v>9699</v>
      </c>
      <c r="B9700" s="845" t="s">
        <v>2564</v>
      </c>
      <c r="C9700" s="1007">
        <f t="shared" si="173"/>
        <v>31</v>
      </c>
      <c r="D9700" s="1015"/>
      <c r="I9700" s="1011" t="s">
        <v>2176</v>
      </c>
      <c r="K9700" s="1013"/>
    </row>
    <row r="9701" spans="1:11" s="1011" customFormat="1" ht="15" x14ac:dyDescent="0.25">
      <c r="A9701" s="859">
        <f t="shared" si="174"/>
        <v>9700</v>
      </c>
      <c r="B9701" s="845" t="s">
        <v>2564</v>
      </c>
      <c r="C9701" s="1007">
        <f t="shared" si="173"/>
        <v>31</v>
      </c>
      <c r="D9701" s="1012"/>
      <c r="I9701" s="1011" t="str">
        <f>CONCATENATE("&lt;valeur&gt;",VLOOKUP(C9701,'T16 Amort'!A:K,4,0),"&lt;/valeur&gt;")</f>
        <v>&lt;valeur&gt;&lt;/valeur&gt;</v>
      </c>
      <c r="K9701" s="1013"/>
    </row>
    <row r="9702" spans="1:11" s="1011" customFormat="1" ht="15" x14ac:dyDescent="0.25">
      <c r="A9702" s="859">
        <f t="shared" si="174"/>
        <v>9701</v>
      </c>
      <c r="B9702" s="845" t="s">
        <v>2564</v>
      </c>
      <c r="C9702" s="1007">
        <f t="shared" si="173"/>
        <v>31</v>
      </c>
      <c r="D9702" s="1012"/>
      <c r="I9702" s="1011" t="str">
        <f>CONCATENATE("&lt;numeroLigne&gt;",C9702,"&lt;/numeroLigne&gt;")</f>
        <v>&lt;numeroLigne&gt;31&lt;/numeroLigne&gt;</v>
      </c>
      <c r="K9702" s="1013"/>
    </row>
    <row r="9703" spans="1:11" s="1011" customFormat="1" ht="15" x14ac:dyDescent="0.25">
      <c r="A9703" s="859">
        <f t="shared" si="174"/>
        <v>9702</v>
      </c>
      <c r="B9703" s="845" t="s">
        <v>2564</v>
      </c>
      <c r="C9703" s="1007">
        <f t="shared" si="173"/>
        <v>31</v>
      </c>
      <c r="D9703" s="1014"/>
      <c r="H9703" s="1011" t="s">
        <v>1010</v>
      </c>
      <c r="K9703" s="1013"/>
    </row>
    <row r="9704" spans="1:11" s="1011" customFormat="1" ht="15" x14ac:dyDescent="0.25">
      <c r="A9704" s="859">
        <f t="shared" si="174"/>
        <v>9703</v>
      </c>
      <c r="B9704" s="845" t="s">
        <v>2564</v>
      </c>
      <c r="C9704" s="1007">
        <f t="shared" si="173"/>
        <v>31</v>
      </c>
      <c r="D9704" s="1014"/>
      <c r="H9704" s="1011" t="s">
        <v>1007</v>
      </c>
      <c r="K9704" s="1013"/>
    </row>
    <row r="9705" spans="1:11" s="1011" customFormat="1" ht="15" x14ac:dyDescent="0.25">
      <c r="A9705" s="859">
        <f t="shared" si="174"/>
        <v>9704</v>
      </c>
      <c r="B9705" s="845" t="s">
        <v>2564</v>
      </c>
      <c r="C9705" s="1007">
        <f t="shared" si="173"/>
        <v>31</v>
      </c>
      <c r="D9705" s="1012"/>
      <c r="I9705" s="1011" t="s">
        <v>2177</v>
      </c>
      <c r="K9705" s="1013"/>
    </row>
    <row r="9706" spans="1:11" s="1011" customFormat="1" ht="15" x14ac:dyDescent="0.25">
      <c r="A9706" s="859">
        <f t="shared" si="174"/>
        <v>9705</v>
      </c>
      <c r="B9706" s="845" t="s">
        <v>2564</v>
      </c>
      <c r="C9706" s="1007">
        <f t="shared" si="173"/>
        <v>31</v>
      </c>
      <c r="D9706" s="1015"/>
      <c r="I9706" s="1011" t="str">
        <f>CONCATENATE("&lt;valeur&gt;",VLOOKUP(C9706,'T16 Amort'!A:K,5,0),"&lt;/valeur&gt;")</f>
        <v>&lt;valeur&gt;&lt;/valeur&gt;</v>
      </c>
      <c r="K9706" s="1013"/>
    </row>
    <row r="9707" spans="1:11" s="1011" customFormat="1" ht="15" x14ac:dyDescent="0.25">
      <c r="A9707" s="859">
        <f t="shared" si="174"/>
        <v>9706</v>
      </c>
      <c r="B9707" s="845" t="s">
        <v>2564</v>
      </c>
      <c r="C9707" s="1007">
        <f t="shared" si="173"/>
        <v>31</v>
      </c>
      <c r="D9707" s="1012"/>
      <c r="I9707" s="1011" t="str">
        <f>CONCATENATE("&lt;numeroLigne&gt;",C9707,"&lt;/numeroLigne&gt;")</f>
        <v>&lt;numeroLigne&gt;31&lt;/numeroLigne&gt;</v>
      </c>
      <c r="K9707" s="1013"/>
    </row>
    <row r="9708" spans="1:11" s="1011" customFormat="1" ht="15" x14ac:dyDescent="0.25">
      <c r="A9708" s="859">
        <f t="shared" si="174"/>
        <v>9707</v>
      </c>
      <c r="B9708" s="845" t="s">
        <v>2564</v>
      </c>
      <c r="C9708" s="1007">
        <f t="shared" si="173"/>
        <v>31</v>
      </c>
      <c r="D9708" s="1012"/>
      <c r="H9708" s="1011" t="s">
        <v>1010</v>
      </c>
      <c r="K9708" s="1013"/>
    </row>
    <row r="9709" spans="1:11" s="1011" customFormat="1" ht="15" x14ac:dyDescent="0.25">
      <c r="A9709" s="859">
        <f t="shared" si="174"/>
        <v>9708</v>
      </c>
      <c r="B9709" s="845" t="s">
        <v>2564</v>
      </c>
      <c r="C9709" s="1007">
        <f t="shared" si="173"/>
        <v>31</v>
      </c>
      <c r="D9709" s="1014"/>
      <c r="H9709" s="1011" t="s">
        <v>1007</v>
      </c>
      <c r="K9709" s="1013"/>
    </row>
    <row r="9710" spans="1:11" s="1011" customFormat="1" ht="15" x14ac:dyDescent="0.25">
      <c r="A9710" s="859">
        <f t="shared" si="174"/>
        <v>9709</v>
      </c>
      <c r="B9710" s="845" t="s">
        <v>2564</v>
      </c>
      <c r="C9710" s="1007">
        <f t="shared" si="173"/>
        <v>31</v>
      </c>
      <c r="D9710" s="1014"/>
      <c r="I9710" s="1011" t="s">
        <v>2178</v>
      </c>
      <c r="K9710" s="1013"/>
    </row>
    <row r="9711" spans="1:11" s="1011" customFormat="1" ht="15" x14ac:dyDescent="0.25">
      <c r="A9711" s="859">
        <f t="shared" si="174"/>
        <v>9710</v>
      </c>
      <c r="B9711" s="845" t="s">
        <v>2564</v>
      </c>
      <c r="C9711" s="1007">
        <f t="shared" ref="C9711:C9774" si="175">C9661+1</f>
        <v>31</v>
      </c>
      <c r="D9711" s="1012"/>
      <c r="I9711" s="1011" t="str">
        <f>CONCATENATE("&lt;valeur&gt;",VLOOKUP(C9711,'T16 Amort'!A:K,6,0),"&lt;/valeur&gt;")</f>
        <v>&lt;valeur&gt;&lt;/valeur&gt;</v>
      </c>
      <c r="K9711" s="1013"/>
    </row>
    <row r="9712" spans="1:11" s="1011" customFormat="1" ht="15" x14ac:dyDescent="0.25">
      <c r="A9712" s="859">
        <f t="shared" si="174"/>
        <v>9711</v>
      </c>
      <c r="B9712" s="845" t="s">
        <v>2564</v>
      </c>
      <c r="C9712" s="1007">
        <f t="shared" si="175"/>
        <v>31</v>
      </c>
      <c r="D9712" s="1015"/>
      <c r="I9712" s="1011" t="str">
        <f>CONCATENATE("&lt;numeroLigne&gt;",C9712,"&lt;/numeroLigne&gt;")</f>
        <v>&lt;numeroLigne&gt;31&lt;/numeroLigne&gt;</v>
      </c>
      <c r="K9712" s="1013"/>
    </row>
    <row r="9713" spans="1:11" s="1011" customFormat="1" ht="15" x14ac:dyDescent="0.25">
      <c r="A9713" s="859">
        <f t="shared" si="174"/>
        <v>9712</v>
      </c>
      <c r="B9713" s="845" t="s">
        <v>2564</v>
      </c>
      <c r="C9713" s="1007">
        <f t="shared" si="175"/>
        <v>31</v>
      </c>
      <c r="D9713" s="1012"/>
      <c r="H9713" s="1011" t="s">
        <v>1010</v>
      </c>
      <c r="K9713" s="1013"/>
    </row>
    <row r="9714" spans="1:11" s="1011" customFormat="1" ht="15" x14ac:dyDescent="0.25">
      <c r="A9714" s="859">
        <f t="shared" si="174"/>
        <v>9713</v>
      </c>
      <c r="B9714" s="845" t="s">
        <v>2564</v>
      </c>
      <c r="C9714" s="1007">
        <f t="shared" si="175"/>
        <v>31</v>
      </c>
      <c r="D9714" s="1012"/>
      <c r="H9714" s="1011" t="s">
        <v>1007</v>
      </c>
      <c r="K9714" s="1013"/>
    </row>
    <row r="9715" spans="1:11" s="1011" customFormat="1" ht="15" x14ac:dyDescent="0.25">
      <c r="A9715" s="859">
        <f t="shared" si="174"/>
        <v>9714</v>
      </c>
      <c r="B9715" s="845" t="s">
        <v>2564</v>
      </c>
      <c r="C9715" s="1007">
        <f t="shared" si="175"/>
        <v>31</v>
      </c>
      <c r="D9715" s="1014"/>
      <c r="I9715" s="1011" t="s">
        <v>2179</v>
      </c>
      <c r="K9715" s="1013"/>
    </row>
    <row r="9716" spans="1:11" s="1011" customFormat="1" ht="15" x14ac:dyDescent="0.25">
      <c r="A9716" s="859">
        <f t="shared" si="174"/>
        <v>9715</v>
      </c>
      <c r="B9716" s="845" t="s">
        <v>2564</v>
      </c>
      <c r="C9716" s="1007">
        <f t="shared" si="175"/>
        <v>31</v>
      </c>
      <c r="D9716" s="1014"/>
      <c r="I9716" s="1011" t="str">
        <f>CONCATENATE("&lt;valeur&gt;",VLOOKUP(C9716,'T16 Amort'!A:K,7,0),"&lt;/valeur&gt;")</f>
        <v>&lt;valeur&gt;&lt;/valeur&gt;</v>
      </c>
      <c r="K9716" s="1013"/>
    </row>
    <row r="9717" spans="1:11" s="1011" customFormat="1" ht="15" x14ac:dyDescent="0.25">
      <c r="A9717" s="859">
        <f t="shared" si="174"/>
        <v>9716</v>
      </c>
      <c r="B9717" s="845" t="s">
        <v>2564</v>
      </c>
      <c r="C9717" s="1007">
        <f t="shared" si="175"/>
        <v>31</v>
      </c>
      <c r="D9717" s="1012"/>
      <c r="I9717" s="1011" t="str">
        <f>CONCATENATE("&lt;numeroLigne&gt;",C9717,"&lt;/numeroLigne&gt;")</f>
        <v>&lt;numeroLigne&gt;31&lt;/numeroLigne&gt;</v>
      </c>
      <c r="K9717" s="1013"/>
    </row>
    <row r="9718" spans="1:11" s="1011" customFormat="1" ht="15" x14ac:dyDescent="0.25">
      <c r="A9718" s="859">
        <f t="shared" si="174"/>
        <v>9717</v>
      </c>
      <c r="B9718" s="845" t="s">
        <v>2564</v>
      </c>
      <c r="C9718" s="1007">
        <f t="shared" si="175"/>
        <v>31</v>
      </c>
      <c r="D9718" s="1015"/>
      <c r="H9718" s="1011" t="s">
        <v>1010</v>
      </c>
      <c r="K9718" s="1013"/>
    </row>
    <row r="9719" spans="1:11" s="1011" customFormat="1" ht="15" x14ac:dyDescent="0.25">
      <c r="A9719" s="859">
        <f t="shared" si="174"/>
        <v>9718</v>
      </c>
      <c r="B9719" s="845" t="s">
        <v>2564</v>
      </c>
      <c r="C9719" s="1007">
        <f t="shared" si="175"/>
        <v>31</v>
      </c>
      <c r="D9719" s="1012"/>
      <c r="H9719" s="1011" t="s">
        <v>1007</v>
      </c>
      <c r="K9719" s="1013"/>
    </row>
    <row r="9720" spans="1:11" s="1011" customFormat="1" ht="15" x14ac:dyDescent="0.25">
      <c r="A9720" s="859">
        <f t="shared" si="174"/>
        <v>9719</v>
      </c>
      <c r="B9720" s="845" t="s">
        <v>2564</v>
      </c>
      <c r="C9720" s="1007">
        <f t="shared" si="175"/>
        <v>31</v>
      </c>
      <c r="D9720" s="1012"/>
      <c r="I9720" s="1011" t="s">
        <v>2180</v>
      </c>
      <c r="K9720" s="1013"/>
    </row>
    <row r="9721" spans="1:11" s="1011" customFormat="1" ht="15" x14ac:dyDescent="0.25">
      <c r="A9721" s="859">
        <f t="shared" si="174"/>
        <v>9720</v>
      </c>
      <c r="B9721" s="845" t="s">
        <v>2564</v>
      </c>
      <c r="C9721" s="1007">
        <f t="shared" si="175"/>
        <v>31</v>
      </c>
      <c r="D9721" s="1014"/>
      <c r="I9721" s="1011" t="str">
        <f>CONCATENATE("&lt;valeur&gt;",VLOOKUP(C9721,'T16 Amort'!A:K,8,0),"&lt;/valeur&gt;")</f>
        <v>&lt;valeur&gt;&lt;/valeur&gt;</v>
      </c>
      <c r="K9721" s="1013"/>
    </row>
    <row r="9722" spans="1:11" s="1011" customFormat="1" ht="15" x14ac:dyDescent="0.25">
      <c r="A9722" s="859">
        <f t="shared" si="174"/>
        <v>9721</v>
      </c>
      <c r="B9722" s="845" t="s">
        <v>2564</v>
      </c>
      <c r="C9722" s="1007">
        <f t="shared" si="175"/>
        <v>31</v>
      </c>
      <c r="D9722" s="1014"/>
      <c r="I9722" s="1011" t="str">
        <f>CONCATENATE("&lt;numeroLigne&gt;",C9722,"&lt;/numeroLigne&gt;")</f>
        <v>&lt;numeroLigne&gt;31&lt;/numeroLigne&gt;</v>
      </c>
      <c r="K9722" s="1013"/>
    </row>
    <row r="9723" spans="1:11" s="1011" customFormat="1" ht="15" x14ac:dyDescent="0.25">
      <c r="A9723" s="859">
        <f t="shared" si="174"/>
        <v>9722</v>
      </c>
      <c r="B9723" s="845" t="s">
        <v>2564</v>
      </c>
      <c r="C9723" s="1007">
        <f t="shared" si="175"/>
        <v>31</v>
      </c>
      <c r="D9723" s="1012"/>
      <c r="H9723" s="1011" t="s">
        <v>1010</v>
      </c>
      <c r="K9723" s="1013"/>
    </row>
    <row r="9724" spans="1:11" s="1011" customFormat="1" ht="15" x14ac:dyDescent="0.25">
      <c r="A9724" s="859">
        <f t="shared" si="174"/>
        <v>9723</v>
      </c>
      <c r="B9724" s="845" t="s">
        <v>2564</v>
      </c>
      <c r="C9724" s="1007">
        <f t="shared" si="175"/>
        <v>31</v>
      </c>
      <c r="D9724" s="1015"/>
      <c r="H9724" s="1011" t="s">
        <v>1007</v>
      </c>
      <c r="K9724" s="1013"/>
    </row>
    <row r="9725" spans="1:11" s="1011" customFormat="1" ht="15" x14ac:dyDescent="0.25">
      <c r="A9725" s="859">
        <f t="shared" si="174"/>
        <v>9724</v>
      </c>
      <c r="B9725" s="845" t="s">
        <v>2564</v>
      </c>
      <c r="C9725" s="1007">
        <f t="shared" si="175"/>
        <v>31</v>
      </c>
      <c r="D9725" s="1012"/>
      <c r="I9725" s="1011" t="s">
        <v>2181</v>
      </c>
      <c r="K9725" s="1013"/>
    </row>
    <row r="9726" spans="1:11" s="1011" customFormat="1" ht="15" x14ac:dyDescent="0.25">
      <c r="A9726" s="859">
        <f t="shared" si="174"/>
        <v>9725</v>
      </c>
      <c r="B9726" s="845" t="s">
        <v>2564</v>
      </c>
      <c r="C9726" s="1007">
        <f t="shared" si="175"/>
        <v>31</v>
      </c>
      <c r="D9726" s="1012"/>
      <c r="I9726" s="1011" t="str">
        <f>CONCATENATE("&lt;valeur&gt;",VLOOKUP(C9726,'T16 Amort'!A:K,9,0),"&lt;/valeur&gt;")</f>
        <v>&lt;valeur&gt;&lt;/valeur&gt;</v>
      </c>
      <c r="K9726" s="1013"/>
    </row>
    <row r="9727" spans="1:11" s="1011" customFormat="1" ht="15" x14ac:dyDescent="0.25">
      <c r="A9727" s="859">
        <f t="shared" si="174"/>
        <v>9726</v>
      </c>
      <c r="B9727" s="845" t="s">
        <v>2564</v>
      </c>
      <c r="C9727" s="1007">
        <f t="shared" si="175"/>
        <v>31</v>
      </c>
      <c r="D9727" s="1014"/>
      <c r="I9727" s="1011" t="str">
        <f>CONCATENATE("&lt;numeroLigne&gt;",C9727,"&lt;/numeroLigne&gt;")</f>
        <v>&lt;numeroLigne&gt;31&lt;/numeroLigne&gt;</v>
      </c>
      <c r="K9727" s="1013"/>
    </row>
    <row r="9728" spans="1:11" s="1011" customFormat="1" ht="15" x14ac:dyDescent="0.25">
      <c r="A9728" s="859">
        <f t="shared" si="174"/>
        <v>9727</v>
      </c>
      <c r="B9728" s="845" t="s">
        <v>2564</v>
      </c>
      <c r="C9728" s="1007">
        <f t="shared" si="175"/>
        <v>31</v>
      </c>
      <c r="D9728" s="1014"/>
      <c r="H9728" s="1011" t="s">
        <v>1010</v>
      </c>
      <c r="K9728" s="1013"/>
    </row>
    <row r="9729" spans="1:11" s="1011" customFormat="1" ht="15" x14ac:dyDescent="0.25">
      <c r="A9729" s="859">
        <f t="shared" si="174"/>
        <v>9728</v>
      </c>
      <c r="B9729" s="845" t="s">
        <v>2564</v>
      </c>
      <c r="C9729" s="1007">
        <f t="shared" si="175"/>
        <v>31</v>
      </c>
      <c r="D9729" s="1012"/>
      <c r="H9729" s="1011" t="s">
        <v>1007</v>
      </c>
      <c r="K9729" s="1013"/>
    </row>
    <row r="9730" spans="1:11" s="1011" customFormat="1" ht="15" x14ac:dyDescent="0.25">
      <c r="A9730" s="859">
        <f t="shared" si="174"/>
        <v>9729</v>
      </c>
      <c r="B9730" s="845" t="s">
        <v>2564</v>
      </c>
      <c r="C9730" s="1007">
        <f t="shared" si="175"/>
        <v>31</v>
      </c>
      <c r="D9730" s="1015"/>
      <c r="I9730" s="1011" t="s">
        <v>2182</v>
      </c>
      <c r="K9730" s="1013"/>
    </row>
    <row r="9731" spans="1:11" s="1011" customFormat="1" ht="15" x14ac:dyDescent="0.25">
      <c r="A9731" s="859">
        <f t="shared" si="174"/>
        <v>9730</v>
      </c>
      <c r="B9731" s="845" t="s">
        <v>2564</v>
      </c>
      <c r="C9731" s="1007">
        <f t="shared" si="175"/>
        <v>31</v>
      </c>
      <c r="D9731" s="1012"/>
      <c r="I9731" s="1011" t="str">
        <f>CONCATENATE("&lt;valeur&gt;",VLOOKUP(C9731,'T16 Amort'!A:K,10,0),"&lt;/valeur&gt;")</f>
        <v>&lt;valeur&gt;&lt;/valeur&gt;</v>
      </c>
      <c r="K9731" s="1013"/>
    </row>
    <row r="9732" spans="1:11" s="1011" customFormat="1" ht="15" x14ac:dyDescent="0.25">
      <c r="A9732" s="859">
        <f t="shared" ref="A9732:A9795" si="176">+A9731+1</f>
        <v>9731</v>
      </c>
      <c r="B9732" s="845" t="s">
        <v>2564</v>
      </c>
      <c r="C9732" s="1007">
        <f t="shared" si="175"/>
        <v>31</v>
      </c>
      <c r="D9732" s="1012"/>
      <c r="I9732" s="1011" t="str">
        <f>CONCATENATE("&lt;numeroLigne&gt;",C9732,"&lt;/numeroLigne&gt;")</f>
        <v>&lt;numeroLigne&gt;31&lt;/numeroLigne&gt;</v>
      </c>
      <c r="K9732" s="1013"/>
    </row>
    <row r="9733" spans="1:11" s="1011" customFormat="1" ht="15" x14ac:dyDescent="0.25">
      <c r="A9733" s="859">
        <f t="shared" si="176"/>
        <v>9732</v>
      </c>
      <c r="B9733" s="845" t="s">
        <v>2564</v>
      </c>
      <c r="C9733" s="1007">
        <f t="shared" si="175"/>
        <v>31</v>
      </c>
      <c r="D9733" s="1014"/>
      <c r="H9733" s="1011" t="s">
        <v>1010</v>
      </c>
      <c r="K9733" s="1013"/>
    </row>
    <row r="9734" spans="1:11" s="1011" customFormat="1" ht="15" x14ac:dyDescent="0.25">
      <c r="A9734" s="859">
        <f t="shared" si="176"/>
        <v>9733</v>
      </c>
      <c r="B9734" s="845" t="s">
        <v>2564</v>
      </c>
      <c r="C9734" s="1007">
        <f t="shared" si="175"/>
        <v>31</v>
      </c>
      <c r="D9734" s="1014"/>
      <c r="H9734" s="1011" t="s">
        <v>1007</v>
      </c>
      <c r="K9734" s="1013"/>
    </row>
    <row r="9735" spans="1:11" s="1011" customFormat="1" ht="15" x14ac:dyDescent="0.25">
      <c r="A9735" s="859">
        <f t="shared" si="176"/>
        <v>9734</v>
      </c>
      <c r="B9735" s="845" t="s">
        <v>2564</v>
      </c>
      <c r="C9735" s="1007">
        <f t="shared" si="175"/>
        <v>31</v>
      </c>
      <c r="D9735" s="1012"/>
      <c r="I9735" s="1011" t="s">
        <v>2183</v>
      </c>
      <c r="K9735" s="1013"/>
    </row>
    <row r="9736" spans="1:11" s="1011" customFormat="1" ht="15" x14ac:dyDescent="0.25">
      <c r="A9736" s="859">
        <f t="shared" si="176"/>
        <v>9735</v>
      </c>
      <c r="B9736" s="845" t="s">
        <v>2564</v>
      </c>
      <c r="C9736" s="1007">
        <f t="shared" si="175"/>
        <v>31</v>
      </c>
      <c r="D9736" s="1015"/>
      <c r="I9736" s="1011" t="str">
        <f>CONCATENATE("&lt;valeur&gt;",VLOOKUP(C9736,'T16 Amort'!A:K,11,0),"&lt;/valeur&gt;")</f>
        <v>&lt;valeur&gt;&lt;/valeur&gt;</v>
      </c>
      <c r="K9736" s="1013"/>
    </row>
    <row r="9737" spans="1:11" s="1011" customFormat="1" ht="15" x14ac:dyDescent="0.25">
      <c r="A9737" s="859">
        <f t="shared" si="176"/>
        <v>9736</v>
      </c>
      <c r="B9737" s="845" t="s">
        <v>2564</v>
      </c>
      <c r="C9737" s="1007">
        <f t="shared" si="175"/>
        <v>31</v>
      </c>
      <c r="D9737" s="1012"/>
      <c r="I9737" s="1011" t="str">
        <f>CONCATENATE("&lt;numeroLigne&gt;",C9737,"&lt;/numeroLigne&gt;")</f>
        <v>&lt;numeroLigne&gt;31&lt;/numeroLigne&gt;</v>
      </c>
      <c r="K9737" s="1013"/>
    </row>
    <row r="9738" spans="1:11" s="1011" customFormat="1" ht="15" x14ac:dyDescent="0.25">
      <c r="A9738" s="859">
        <f t="shared" si="176"/>
        <v>9737</v>
      </c>
      <c r="B9738" s="845" t="s">
        <v>2564</v>
      </c>
      <c r="C9738" s="1007">
        <f t="shared" si="175"/>
        <v>31</v>
      </c>
      <c r="D9738" s="1016"/>
      <c r="E9738" s="1017"/>
      <c r="F9738" s="1017"/>
      <c r="G9738" s="1017"/>
      <c r="H9738" s="1017" t="s">
        <v>1010</v>
      </c>
      <c r="I9738" s="1017"/>
      <c r="J9738" s="1017"/>
      <c r="K9738" s="1018"/>
    </row>
    <row r="9739" spans="1:11" s="1011" customFormat="1" ht="15" x14ac:dyDescent="0.25">
      <c r="A9739" s="859">
        <f t="shared" si="176"/>
        <v>9738</v>
      </c>
      <c r="B9739" s="845" t="s">
        <v>2564</v>
      </c>
      <c r="C9739" s="1007">
        <f t="shared" si="175"/>
        <v>32</v>
      </c>
      <c r="D9739" s="1008"/>
      <c r="E9739" s="1009"/>
      <c r="F9739" s="1009"/>
      <c r="G9739" s="1009"/>
      <c r="H9739" s="1009" t="s">
        <v>1007</v>
      </c>
      <c r="I9739" s="1009"/>
      <c r="J9739" s="1009"/>
      <c r="K9739" s="1010"/>
    </row>
    <row r="9740" spans="1:11" s="1011" customFormat="1" ht="15" x14ac:dyDescent="0.25">
      <c r="A9740" s="859">
        <f t="shared" si="176"/>
        <v>9739</v>
      </c>
      <c r="B9740" s="845" t="s">
        <v>2564</v>
      </c>
      <c r="C9740" s="1007">
        <f t="shared" si="175"/>
        <v>32</v>
      </c>
      <c r="D9740" s="1012"/>
      <c r="I9740" s="1011" t="s">
        <v>2174</v>
      </c>
      <c r="K9740" s="1013"/>
    </row>
    <row r="9741" spans="1:11" s="1011" customFormat="1" ht="15" x14ac:dyDescent="0.25">
      <c r="A9741" s="859">
        <f t="shared" si="176"/>
        <v>9740</v>
      </c>
      <c r="B9741" s="845" t="s">
        <v>2564</v>
      </c>
      <c r="C9741" s="1007">
        <f t="shared" si="175"/>
        <v>32</v>
      </c>
      <c r="D9741" s="1014"/>
      <c r="I9741" s="1011" t="str">
        <f>CONCATENATE("&lt;valeur&gt;",VLOOKUP(C9741,'T16 Amort'!A:K,2,0),"&lt;/valeur&gt;")</f>
        <v>&lt;valeur&gt;&lt;/valeur&gt;</v>
      </c>
      <c r="K9741" s="1013"/>
    </row>
    <row r="9742" spans="1:11" s="1011" customFormat="1" ht="15" x14ac:dyDescent="0.25">
      <c r="A9742" s="859">
        <f t="shared" si="176"/>
        <v>9741</v>
      </c>
      <c r="B9742" s="845" t="s">
        <v>2564</v>
      </c>
      <c r="C9742" s="1007">
        <f t="shared" si="175"/>
        <v>32</v>
      </c>
      <c r="D9742" s="1014"/>
      <c r="I9742" s="1011" t="str">
        <f>CONCATENATE("&lt;numeroLigne&gt;",C9742,"&lt;/numeroLigne&gt;")</f>
        <v>&lt;numeroLigne&gt;32&lt;/numeroLigne&gt;</v>
      </c>
      <c r="K9742" s="1013"/>
    </row>
    <row r="9743" spans="1:11" s="1011" customFormat="1" ht="15" x14ac:dyDescent="0.25">
      <c r="A9743" s="859">
        <f t="shared" si="176"/>
        <v>9742</v>
      </c>
      <c r="B9743" s="845" t="s">
        <v>2564</v>
      </c>
      <c r="C9743" s="1007">
        <f t="shared" si="175"/>
        <v>32</v>
      </c>
      <c r="D9743" s="1012"/>
      <c r="H9743" s="1011" t="s">
        <v>1010</v>
      </c>
      <c r="K9743" s="1013"/>
    </row>
    <row r="9744" spans="1:11" s="1011" customFormat="1" ht="15" x14ac:dyDescent="0.25">
      <c r="A9744" s="859">
        <f t="shared" si="176"/>
        <v>9743</v>
      </c>
      <c r="B9744" s="845" t="s">
        <v>2564</v>
      </c>
      <c r="C9744" s="1007">
        <f t="shared" si="175"/>
        <v>32</v>
      </c>
      <c r="D9744" s="1015"/>
      <c r="H9744" s="1011" t="s">
        <v>1007</v>
      </c>
      <c r="K9744" s="1013"/>
    </row>
    <row r="9745" spans="1:11" s="1011" customFormat="1" ht="15" x14ac:dyDescent="0.25">
      <c r="A9745" s="859">
        <f t="shared" si="176"/>
        <v>9744</v>
      </c>
      <c r="B9745" s="845" t="s">
        <v>2564</v>
      </c>
      <c r="C9745" s="1007">
        <f t="shared" si="175"/>
        <v>32</v>
      </c>
      <c r="D9745" s="1012"/>
      <c r="I9745" s="1011" t="s">
        <v>2175</v>
      </c>
      <c r="K9745" s="1013"/>
    </row>
    <row r="9746" spans="1:11" s="1011" customFormat="1" ht="15" x14ac:dyDescent="0.25">
      <c r="A9746" s="859">
        <f t="shared" si="176"/>
        <v>9745</v>
      </c>
      <c r="B9746" s="845" t="s">
        <v>2564</v>
      </c>
      <c r="C9746" s="1007">
        <f t="shared" si="175"/>
        <v>32</v>
      </c>
      <c r="D9746" s="1012"/>
      <c r="I9746" s="1011" t="str">
        <f>CONCATENATE("&lt;valeur&gt;",VLOOKUP(C9746,'T16 Amort'!A:K,3,0),"&lt;/valeur&gt;")</f>
        <v>&lt;valeur&gt;&lt;/valeur&gt;</v>
      </c>
      <c r="K9746" s="1013"/>
    </row>
    <row r="9747" spans="1:11" s="1011" customFormat="1" ht="15" x14ac:dyDescent="0.25">
      <c r="A9747" s="859">
        <f t="shared" si="176"/>
        <v>9746</v>
      </c>
      <c r="B9747" s="845" t="s">
        <v>2564</v>
      </c>
      <c r="C9747" s="1007">
        <f t="shared" si="175"/>
        <v>32</v>
      </c>
      <c r="D9747" s="1014"/>
      <c r="I9747" s="1011" t="str">
        <f>CONCATENATE("&lt;numeroLigne&gt;",C9747,"&lt;/numeroLigne&gt;")</f>
        <v>&lt;numeroLigne&gt;32&lt;/numeroLigne&gt;</v>
      </c>
      <c r="K9747" s="1013"/>
    </row>
    <row r="9748" spans="1:11" s="1011" customFormat="1" ht="15" x14ac:dyDescent="0.25">
      <c r="A9748" s="859">
        <f t="shared" si="176"/>
        <v>9747</v>
      </c>
      <c r="B9748" s="845" t="s">
        <v>2564</v>
      </c>
      <c r="C9748" s="1007">
        <f t="shared" si="175"/>
        <v>32</v>
      </c>
      <c r="D9748" s="1014"/>
      <c r="H9748" s="1011" t="s">
        <v>1010</v>
      </c>
      <c r="K9748" s="1013"/>
    </row>
    <row r="9749" spans="1:11" s="1011" customFormat="1" ht="15" x14ac:dyDescent="0.25">
      <c r="A9749" s="859">
        <f t="shared" si="176"/>
        <v>9748</v>
      </c>
      <c r="B9749" s="845" t="s">
        <v>2564</v>
      </c>
      <c r="C9749" s="1007">
        <f t="shared" si="175"/>
        <v>32</v>
      </c>
      <c r="D9749" s="1012"/>
      <c r="H9749" s="1011" t="s">
        <v>1007</v>
      </c>
      <c r="K9749" s="1013"/>
    </row>
    <row r="9750" spans="1:11" s="1011" customFormat="1" ht="15" x14ac:dyDescent="0.25">
      <c r="A9750" s="859">
        <f t="shared" si="176"/>
        <v>9749</v>
      </c>
      <c r="B9750" s="845" t="s">
        <v>2564</v>
      </c>
      <c r="C9750" s="1007">
        <f t="shared" si="175"/>
        <v>32</v>
      </c>
      <c r="D9750" s="1015"/>
      <c r="I9750" s="1011" t="s">
        <v>2176</v>
      </c>
      <c r="K9750" s="1013"/>
    </row>
    <row r="9751" spans="1:11" s="1011" customFormat="1" ht="15" x14ac:dyDescent="0.25">
      <c r="A9751" s="859">
        <f t="shared" si="176"/>
        <v>9750</v>
      </c>
      <c r="B9751" s="845" t="s">
        <v>2564</v>
      </c>
      <c r="C9751" s="1007">
        <f t="shared" si="175"/>
        <v>32</v>
      </c>
      <c r="D9751" s="1012"/>
      <c r="I9751" s="1011" t="str">
        <f>CONCATENATE("&lt;valeur&gt;",VLOOKUP(C9751,'T16 Amort'!A:K,4,0),"&lt;/valeur&gt;")</f>
        <v>&lt;valeur&gt;&lt;/valeur&gt;</v>
      </c>
      <c r="K9751" s="1013"/>
    </row>
    <row r="9752" spans="1:11" s="1011" customFormat="1" ht="15" x14ac:dyDescent="0.25">
      <c r="A9752" s="859">
        <f t="shared" si="176"/>
        <v>9751</v>
      </c>
      <c r="B9752" s="845" t="s">
        <v>2564</v>
      </c>
      <c r="C9752" s="1007">
        <f t="shared" si="175"/>
        <v>32</v>
      </c>
      <c r="D9752" s="1012"/>
      <c r="I9752" s="1011" t="str">
        <f>CONCATENATE("&lt;numeroLigne&gt;",C9752,"&lt;/numeroLigne&gt;")</f>
        <v>&lt;numeroLigne&gt;32&lt;/numeroLigne&gt;</v>
      </c>
      <c r="K9752" s="1013"/>
    </row>
    <row r="9753" spans="1:11" s="1011" customFormat="1" ht="15" x14ac:dyDescent="0.25">
      <c r="A9753" s="859">
        <f t="shared" si="176"/>
        <v>9752</v>
      </c>
      <c r="B9753" s="845" t="s">
        <v>2564</v>
      </c>
      <c r="C9753" s="1007">
        <f t="shared" si="175"/>
        <v>32</v>
      </c>
      <c r="D9753" s="1014"/>
      <c r="H9753" s="1011" t="s">
        <v>1010</v>
      </c>
      <c r="K9753" s="1013"/>
    </row>
    <row r="9754" spans="1:11" s="1011" customFormat="1" ht="15" x14ac:dyDescent="0.25">
      <c r="A9754" s="859">
        <f t="shared" si="176"/>
        <v>9753</v>
      </c>
      <c r="B9754" s="845" t="s">
        <v>2564</v>
      </c>
      <c r="C9754" s="1007">
        <f t="shared" si="175"/>
        <v>32</v>
      </c>
      <c r="D9754" s="1014"/>
      <c r="H9754" s="1011" t="s">
        <v>1007</v>
      </c>
      <c r="K9754" s="1013"/>
    </row>
    <row r="9755" spans="1:11" s="1011" customFormat="1" ht="15" x14ac:dyDescent="0.25">
      <c r="A9755" s="859">
        <f t="shared" si="176"/>
        <v>9754</v>
      </c>
      <c r="B9755" s="845" t="s">
        <v>2564</v>
      </c>
      <c r="C9755" s="1007">
        <f t="shared" si="175"/>
        <v>32</v>
      </c>
      <c r="D9755" s="1012"/>
      <c r="I9755" s="1011" t="s">
        <v>2177</v>
      </c>
      <c r="K9755" s="1013"/>
    </row>
    <row r="9756" spans="1:11" s="1011" customFormat="1" ht="15" x14ac:dyDescent="0.25">
      <c r="A9756" s="859">
        <f t="shared" si="176"/>
        <v>9755</v>
      </c>
      <c r="B9756" s="845" t="s">
        <v>2564</v>
      </c>
      <c r="C9756" s="1007">
        <f t="shared" si="175"/>
        <v>32</v>
      </c>
      <c r="D9756" s="1015"/>
      <c r="I9756" s="1011" t="str">
        <f>CONCATENATE("&lt;valeur&gt;",VLOOKUP(C9756,'T16 Amort'!A:K,5,0),"&lt;/valeur&gt;")</f>
        <v>&lt;valeur&gt;&lt;/valeur&gt;</v>
      </c>
      <c r="K9756" s="1013"/>
    </row>
    <row r="9757" spans="1:11" s="1011" customFormat="1" ht="15" x14ac:dyDescent="0.25">
      <c r="A9757" s="859">
        <f t="shared" si="176"/>
        <v>9756</v>
      </c>
      <c r="B9757" s="845" t="s">
        <v>2564</v>
      </c>
      <c r="C9757" s="1007">
        <f t="shared" si="175"/>
        <v>32</v>
      </c>
      <c r="D9757" s="1012"/>
      <c r="I9757" s="1011" t="str">
        <f>CONCATENATE("&lt;numeroLigne&gt;",C9757,"&lt;/numeroLigne&gt;")</f>
        <v>&lt;numeroLigne&gt;32&lt;/numeroLigne&gt;</v>
      </c>
      <c r="K9757" s="1013"/>
    </row>
    <row r="9758" spans="1:11" s="1011" customFormat="1" ht="15" x14ac:dyDescent="0.25">
      <c r="A9758" s="859">
        <f t="shared" si="176"/>
        <v>9757</v>
      </c>
      <c r="B9758" s="845" t="s">
        <v>2564</v>
      </c>
      <c r="C9758" s="1007">
        <f t="shared" si="175"/>
        <v>32</v>
      </c>
      <c r="D9758" s="1012"/>
      <c r="H9758" s="1011" t="s">
        <v>1010</v>
      </c>
      <c r="K9758" s="1013"/>
    </row>
    <row r="9759" spans="1:11" s="1011" customFormat="1" ht="15" x14ac:dyDescent="0.25">
      <c r="A9759" s="859">
        <f t="shared" si="176"/>
        <v>9758</v>
      </c>
      <c r="B9759" s="845" t="s">
        <v>2564</v>
      </c>
      <c r="C9759" s="1007">
        <f t="shared" si="175"/>
        <v>32</v>
      </c>
      <c r="D9759" s="1014"/>
      <c r="H9759" s="1011" t="s">
        <v>1007</v>
      </c>
      <c r="K9759" s="1013"/>
    </row>
    <row r="9760" spans="1:11" s="1011" customFormat="1" ht="15" x14ac:dyDescent="0.25">
      <c r="A9760" s="859">
        <f t="shared" si="176"/>
        <v>9759</v>
      </c>
      <c r="B9760" s="845" t="s">
        <v>2564</v>
      </c>
      <c r="C9760" s="1007">
        <f t="shared" si="175"/>
        <v>32</v>
      </c>
      <c r="D9760" s="1014"/>
      <c r="I9760" s="1011" t="s">
        <v>2178</v>
      </c>
      <c r="K9760" s="1013"/>
    </row>
    <row r="9761" spans="1:11" s="1011" customFormat="1" ht="15" x14ac:dyDescent="0.25">
      <c r="A9761" s="859">
        <f t="shared" si="176"/>
        <v>9760</v>
      </c>
      <c r="B9761" s="845" t="s">
        <v>2564</v>
      </c>
      <c r="C9761" s="1007">
        <f t="shared" si="175"/>
        <v>32</v>
      </c>
      <c r="D9761" s="1012"/>
      <c r="I9761" s="1011" t="str">
        <f>CONCATENATE("&lt;valeur&gt;",VLOOKUP(C9761,'T16 Amort'!A:K,6,0),"&lt;/valeur&gt;")</f>
        <v>&lt;valeur&gt;&lt;/valeur&gt;</v>
      </c>
      <c r="K9761" s="1013"/>
    </row>
    <row r="9762" spans="1:11" s="1011" customFormat="1" ht="15" x14ac:dyDescent="0.25">
      <c r="A9762" s="859">
        <f t="shared" si="176"/>
        <v>9761</v>
      </c>
      <c r="B9762" s="845" t="s">
        <v>2564</v>
      </c>
      <c r="C9762" s="1007">
        <f t="shared" si="175"/>
        <v>32</v>
      </c>
      <c r="D9762" s="1015"/>
      <c r="I9762" s="1011" t="str">
        <f>CONCATENATE("&lt;numeroLigne&gt;",C9762,"&lt;/numeroLigne&gt;")</f>
        <v>&lt;numeroLigne&gt;32&lt;/numeroLigne&gt;</v>
      </c>
      <c r="K9762" s="1013"/>
    </row>
    <row r="9763" spans="1:11" s="1011" customFormat="1" ht="15" x14ac:dyDescent="0.25">
      <c r="A9763" s="859">
        <f t="shared" si="176"/>
        <v>9762</v>
      </c>
      <c r="B9763" s="845" t="s">
        <v>2564</v>
      </c>
      <c r="C9763" s="1007">
        <f t="shared" si="175"/>
        <v>32</v>
      </c>
      <c r="D9763" s="1012"/>
      <c r="H9763" s="1011" t="s">
        <v>1010</v>
      </c>
      <c r="K9763" s="1013"/>
    </row>
    <row r="9764" spans="1:11" s="1011" customFormat="1" ht="15" x14ac:dyDescent="0.25">
      <c r="A9764" s="859">
        <f t="shared" si="176"/>
        <v>9763</v>
      </c>
      <c r="B9764" s="845" t="s">
        <v>2564</v>
      </c>
      <c r="C9764" s="1007">
        <f t="shared" si="175"/>
        <v>32</v>
      </c>
      <c r="D9764" s="1012"/>
      <c r="H9764" s="1011" t="s">
        <v>1007</v>
      </c>
      <c r="K9764" s="1013"/>
    </row>
    <row r="9765" spans="1:11" s="1011" customFormat="1" ht="15" x14ac:dyDescent="0.25">
      <c r="A9765" s="859">
        <f t="shared" si="176"/>
        <v>9764</v>
      </c>
      <c r="B9765" s="845" t="s">
        <v>2564</v>
      </c>
      <c r="C9765" s="1007">
        <f t="shared" si="175"/>
        <v>32</v>
      </c>
      <c r="D9765" s="1014"/>
      <c r="I9765" s="1011" t="s">
        <v>2179</v>
      </c>
      <c r="K9765" s="1013"/>
    </row>
    <row r="9766" spans="1:11" s="1011" customFormat="1" ht="15" x14ac:dyDescent="0.25">
      <c r="A9766" s="859">
        <f t="shared" si="176"/>
        <v>9765</v>
      </c>
      <c r="B9766" s="845" t="s">
        <v>2564</v>
      </c>
      <c r="C9766" s="1007">
        <f t="shared" si="175"/>
        <v>32</v>
      </c>
      <c r="D9766" s="1014"/>
      <c r="I9766" s="1011" t="str">
        <f>CONCATENATE("&lt;valeur&gt;",VLOOKUP(C9766,'T16 Amort'!A:K,7,0),"&lt;/valeur&gt;")</f>
        <v>&lt;valeur&gt;&lt;/valeur&gt;</v>
      </c>
      <c r="K9766" s="1013"/>
    </row>
    <row r="9767" spans="1:11" s="1011" customFormat="1" ht="15" x14ac:dyDescent="0.25">
      <c r="A9767" s="859">
        <f t="shared" si="176"/>
        <v>9766</v>
      </c>
      <c r="B9767" s="845" t="s">
        <v>2564</v>
      </c>
      <c r="C9767" s="1007">
        <f t="shared" si="175"/>
        <v>32</v>
      </c>
      <c r="D9767" s="1012"/>
      <c r="I9767" s="1011" t="str">
        <f>CONCATENATE("&lt;numeroLigne&gt;",C9767,"&lt;/numeroLigne&gt;")</f>
        <v>&lt;numeroLigne&gt;32&lt;/numeroLigne&gt;</v>
      </c>
      <c r="K9767" s="1013"/>
    </row>
    <row r="9768" spans="1:11" s="1011" customFormat="1" ht="15" x14ac:dyDescent="0.25">
      <c r="A9768" s="859">
        <f t="shared" si="176"/>
        <v>9767</v>
      </c>
      <c r="B9768" s="845" t="s">
        <v>2564</v>
      </c>
      <c r="C9768" s="1007">
        <f t="shared" si="175"/>
        <v>32</v>
      </c>
      <c r="D9768" s="1015"/>
      <c r="H9768" s="1011" t="s">
        <v>1010</v>
      </c>
      <c r="K9768" s="1013"/>
    </row>
    <row r="9769" spans="1:11" s="1011" customFormat="1" ht="15" x14ac:dyDescent="0.25">
      <c r="A9769" s="859">
        <f t="shared" si="176"/>
        <v>9768</v>
      </c>
      <c r="B9769" s="845" t="s">
        <v>2564</v>
      </c>
      <c r="C9769" s="1007">
        <f t="shared" si="175"/>
        <v>32</v>
      </c>
      <c r="D9769" s="1012"/>
      <c r="H9769" s="1011" t="s">
        <v>1007</v>
      </c>
      <c r="K9769" s="1013"/>
    </row>
    <row r="9770" spans="1:11" s="1011" customFormat="1" ht="15" x14ac:dyDescent="0.25">
      <c r="A9770" s="859">
        <f t="shared" si="176"/>
        <v>9769</v>
      </c>
      <c r="B9770" s="845" t="s">
        <v>2564</v>
      </c>
      <c r="C9770" s="1007">
        <f t="shared" si="175"/>
        <v>32</v>
      </c>
      <c r="D9770" s="1012"/>
      <c r="I9770" s="1011" t="s">
        <v>2180</v>
      </c>
      <c r="K9770" s="1013"/>
    </row>
    <row r="9771" spans="1:11" s="1011" customFormat="1" ht="15" x14ac:dyDescent="0.25">
      <c r="A9771" s="859">
        <f t="shared" si="176"/>
        <v>9770</v>
      </c>
      <c r="B9771" s="845" t="s">
        <v>2564</v>
      </c>
      <c r="C9771" s="1007">
        <f t="shared" si="175"/>
        <v>32</v>
      </c>
      <c r="D9771" s="1014"/>
      <c r="I9771" s="1011" t="str">
        <f>CONCATENATE("&lt;valeur&gt;",VLOOKUP(C9771,'T16 Amort'!A:K,8,0),"&lt;/valeur&gt;")</f>
        <v>&lt;valeur&gt;&lt;/valeur&gt;</v>
      </c>
      <c r="K9771" s="1013"/>
    </row>
    <row r="9772" spans="1:11" s="1011" customFormat="1" ht="15" x14ac:dyDescent="0.25">
      <c r="A9772" s="859">
        <f t="shared" si="176"/>
        <v>9771</v>
      </c>
      <c r="B9772" s="845" t="s">
        <v>2564</v>
      </c>
      <c r="C9772" s="1007">
        <f t="shared" si="175"/>
        <v>32</v>
      </c>
      <c r="D9772" s="1014"/>
      <c r="I9772" s="1011" t="str">
        <f>CONCATENATE("&lt;numeroLigne&gt;",C9772,"&lt;/numeroLigne&gt;")</f>
        <v>&lt;numeroLigne&gt;32&lt;/numeroLigne&gt;</v>
      </c>
      <c r="K9772" s="1013"/>
    </row>
    <row r="9773" spans="1:11" s="1011" customFormat="1" ht="15" x14ac:dyDescent="0.25">
      <c r="A9773" s="859">
        <f t="shared" si="176"/>
        <v>9772</v>
      </c>
      <c r="B9773" s="845" t="s">
        <v>2564</v>
      </c>
      <c r="C9773" s="1007">
        <f t="shared" si="175"/>
        <v>32</v>
      </c>
      <c r="D9773" s="1012"/>
      <c r="H9773" s="1011" t="s">
        <v>1010</v>
      </c>
      <c r="K9773" s="1013"/>
    </row>
    <row r="9774" spans="1:11" s="1011" customFormat="1" ht="15" x14ac:dyDescent="0.25">
      <c r="A9774" s="859">
        <f t="shared" si="176"/>
        <v>9773</v>
      </c>
      <c r="B9774" s="845" t="s">
        <v>2564</v>
      </c>
      <c r="C9774" s="1007">
        <f t="shared" si="175"/>
        <v>32</v>
      </c>
      <c r="D9774" s="1015"/>
      <c r="H9774" s="1011" t="s">
        <v>1007</v>
      </c>
      <c r="K9774" s="1013"/>
    </row>
    <row r="9775" spans="1:11" s="1011" customFormat="1" ht="15" x14ac:dyDescent="0.25">
      <c r="A9775" s="859">
        <f t="shared" si="176"/>
        <v>9774</v>
      </c>
      <c r="B9775" s="845" t="s">
        <v>2564</v>
      </c>
      <c r="C9775" s="1007">
        <f t="shared" ref="C9775:C9838" si="177">C9725+1</f>
        <v>32</v>
      </c>
      <c r="D9775" s="1012"/>
      <c r="I9775" s="1011" t="s">
        <v>2181</v>
      </c>
      <c r="K9775" s="1013"/>
    </row>
    <row r="9776" spans="1:11" s="1011" customFormat="1" ht="15" x14ac:dyDescent="0.25">
      <c r="A9776" s="859">
        <f t="shared" si="176"/>
        <v>9775</v>
      </c>
      <c r="B9776" s="845" t="s">
        <v>2564</v>
      </c>
      <c r="C9776" s="1007">
        <f t="shared" si="177"/>
        <v>32</v>
      </c>
      <c r="D9776" s="1012"/>
      <c r="I9776" s="1011" t="str">
        <f>CONCATENATE("&lt;valeur&gt;",VLOOKUP(C9776,'T16 Amort'!A:K,9,0),"&lt;/valeur&gt;")</f>
        <v>&lt;valeur&gt;&lt;/valeur&gt;</v>
      </c>
      <c r="K9776" s="1013"/>
    </row>
    <row r="9777" spans="1:11" s="1011" customFormat="1" ht="15" x14ac:dyDescent="0.25">
      <c r="A9777" s="859">
        <f t="shared" si="176"/>
        <v>9776</v>
      </c>
      <c r="B9777" s="845" t="s">
        <v>2564</v>
      </c>
      <c r="C9777" s="1007">
        <f t="shared" si="177"/>
        <v>32</v>
      </c>
      <c r="D9777" s="1014"/>
      <c r="I9777" s="1011" t="str">
        <f>CONCATENATE("&lt;numeroLigne&gt;",C9777,"&lt;/numeroLigne&gt;")</f>
        <v>&lt;numeroLigne&gt;32&lt;/numeroLigne&gt;</v>
      </c>
      <c r="K9777" s="1013"/>
    </row>
    <row r="9778" spans="1:11" s="1011" customFormat="1" ht="15" x14ac:dyDescent="0.25">
      <c r="A9778" s="859">
        <f t="shared" si="176"/>
        <v>9777</v>
      </c>
      <c r="B9778" s="845" t="s">
        <v>2564</v>
      </c>
      <c r="C9778" s="1007">
        <f t="shared" si="177"/>
        <v>32</v>
      </c>
      <c r="D9778" s="1014"/>
      <c r="H9778" s="1011" t="s">
        <v>1010</v>
      </c>
      <c r="K9778" s="1013"/>
    </row>
    <row r="9779" spans="1:11" s="1011" customFormat="1" ht="15" x14ac:dyDescent="0.25">
      <c r="A9779" s="859">
        <f t="shared" si="176"/>
        <v>9778</v>
      </c>
      <c r="B9779" s="845" t="s">
        <v>2564</v>
      </c>
      <c r="C9779" s="1007">
        <f t="shared" si="177"/>
        <v>32</v>
      </c>
      <c r="D9779" s="1012"/>
      <c r="H9779" s="1011" t="s">
        <v>1007</v>
      </c>
      <c r="K9779" s="1013"/>
    </row>
    <row r="9780" spans="1:11" s="1011" customFormat="1" ht="15" x14ac:dyDescent="0.25">
      <c r="A9780" s="859">
        <f t="shared" si="176"/>
        <v>9779</v>
      </c>
      <c r="B9780" s="845" t="s">
        <v>2564</v>
      </c>
      <c r="C9780" s="1007">
        <f t="shared" si="177"/>
        <v>32</v>
      </c>
      <c r="D9780" s="1015"/>
      <c r="I9780" s="1011" t="s">
        <v>2182</v>
      </c>
      <c r="K9780" s="1013"/>
    </row>
    <row r="9781" spans="1:11" s="1011" customFormat="1" ht="15" x14ac:dyDescent="0.25">
      <c r="A9781" s="859">
        <f t="shared" si="176"/>
        <v>9780</v>
      </c>
      <c r="B9781" s="845" t="s">
        <v>2564</v>
      </c>
      <c r="C9781" s="1007">
        <f t="shared" si="177"/>
        <v>32</v>
      </c>
      <c r="D9781" s="1012"/>
      <c r="I9781" s="1011" t="str">
        <f>CONCATENATE("&lt;valeur&gt;",VLOOKUP(C9781,'T16 Amort'!A:K,10,0),"&lt;/valeur&gt;")</f>
        <v>&lt;valeur&gt;&lt;/valeur&gt;</v>
      </c>
      <c r="K9781" s="1013"/>
    </row>
    <row r="9782" spans="1:11" s="1011" customFormat="1" ht="15" x14ac:dyDescent="0.25">
      <c r="A9782" s="859">
        <f t="shared" si="176"/>
        <v>9781</v>
      </c>
      <c r="B9782" s="845" t="s">
        <v>2564</v>
      </c>
      <c r="C9782" s="1007">
        <f t="shared" si="177"/>
        <v>32</v>
      </c>
      <c r="D9782" s="1012"/>
      <c r="I9782" s="1011" t="str">
        <f>CONCATENATE("&lt;numeroLigne&gt;",C9782,"&lt;/numeroLigne&gt;")</f>
        <v>&lt;numeroLigne&gt;32&lt;/numeroLigne&gt;</v>
      </c>
      <c r="K9782" s="1013"/>
    </row>
    <row r="9783" spans="1:11" s="1011" customFormat="1" ht="15" x14ac:dyDescent="0.25">
      <c r="A9783" s="859">
        <f t="shared" si="176"/>
        <v>9782</v>
      </c>
      <c r="B9783" s="845" t="s">
        <v>2564</v>
      </c>
      <c r="C9783" s="1007">
        <f t="shared" si="177"/>
        <v>32</v>
      </c>
      <c r="D9783" s="1014"/>
      <c r="H9783" s="1011" t="s">
        <v>1010</v>
      </c>
      <c r="K9783" s="1013"/>
    </row>
    <row r="9784" spans="1:11" s="1011" customFormat="1" ht="15" x14ac:dyDescent="0.25">
      <c r="A9784" s="859">
        <f t="shared" si="176"/>
        <v>9783</v>
      </c>
      <c r="B9784" s="845" t="s">
        <v>2564</v>
      </c>
      <c r="C9784" s="1007">
        <f t="shared" si="177"/>
        <v>32</v>
      </c>
      <c r="D9784" s="1014"/>
      <c r="H9784" s="1011" t="s">
        <v>1007</v>
      </c>
      <c r="K9784" s="1013"/>
    </row>
    <row r="9785" spans="1:11" s="1011" customFormat="1" ht="15" x14ac:dyDescent="0.25">
      <c r="A9785" s="859">
        <f t="shared" si="176"/>
        <v>9784</v>
      </c>
      <c r="B9785" s="845" t="s">
        <v>2564</v>
      </c>
      <c r="C9785" s="1007">
        <f t="shared" si="177"/>
        <v>32</v>
      </c>
      <c r="D9785" s="1012"/>
      <c r="I9785" s="1011" t="s">
        <v>2183</v>
      </c>
      <c r="K9785" s="1013"/>
    </row>
    <row r="9786" spans="1:11" s="1011" customFormat="1" ht="15" x14ac:dyDescent="0.25">
      <c r="A9786" s="859">
        <f t="shared" si="176"/>
        <v>9785</v>
      </c>
      <c r="B9786" s="845" t="s">
        <v>2564</v>
      </c>
      <c r="C9786" s="1007">
        <f t="shared" si="177"/>
        <v>32</v>
      </c>
      <c r="D9786" s="1015"/>
      <c r="I9786" s="1011" t="str">
        <f>CONCATENATE("&lt;valeur&gt;",VLOOKUP(C9786,'T16 Amort'!A:K,11,0),"&lt;/valeur&gt;")</f>
        <v>&lt;valeur&gt;&lt;/valeur&gt;</v>
      </c>
      <c r="K9786" s="1013"/>
    </row>
    <row r="9787" spans="1:11" s="1011" customFormat="1" ht="15" x14ac:dyDescent="0.25">
      <c r="A9787" s="859">
        <f t="shared" si="176"/>
        <v>9786</v>
      </c>
      <c r="B9787" s="845" t="s">
        <v>2564</v>
      </c>
      <c r="C9787" s="1007">
        <f t="shared" si="177"/>
        <v>32</v>
      </c>
      <c r="D9787" s="1012"/>
      <c r="I9787" s="1011" t="str">
        <f>CONCATENATE("&lt;numeroLigne&gt;",C9787,"&lt;/numeroLigne&gt;")</f>
        <v>&lt;numeroLigne&gt;32&lt;/numeroLigne&gt;</v>
      </c>
      <c r="K9787" s="1013"/>
    </row>
    <row r="9788" spans="1:11" s="1011" customFormat="1" ht="15" x14ac:dyDescent="0.25">
      <c r="A9788" s="859">
        <f t="shared" si="176"/>
        <v>9787</v>
      </c>
      <c r="B9788" s="845" t="s">
        <v>2564</v>
      </c>
      <c r="C9788" s="1007">
        <f t="shared" si="177"/>
        <v>32</v>
      </c>
      <c r="D9788" s="1016"/>
      <c r="E9788" s="1017"/>
      <c r="F9788" s="1017"/>
      <c r="G9788" s="1017"/>
      <c r="H9788" s="1017" t="s">
        <v>1010</v>
      </c>
      <c r="I9788" s="1017"/>
      <c r="J9788" s="1017"/>
      <c r="K9788" s="1018"/>
    </row>
    <row r="9789" spans="1:11" s="1011" customFormat="1" ht="15" x14ac:dyDescent="0.25">
      <c r="A9789" s="859">
        <f t="shared" si="176"/>
        <v>9788</v>
      </c>
      <c r="B9789" s="845" t="s">
        <v>2564</v>
      </c>
      <c r="C9789" s="1007">
        <f t="shared" si="177"/>
        <v>33</v>
      </c>
      <c r="D9789" s="1008"/>
      <c r="E9789" s="1009"/>
      <c r="F9789" s="1009"/>
      <c r="G9789" s="1009"/>
      <c r="H9789" s="1009" t="s">
        <v>1007</v>
      </c>
      <c r="I9789" s="1009"/>
      <c r="J9789" s="1009"/>
      <c r="K9789" s="1010"/>
    </row>
    <row r="9790" spans="1:11" s="1011" customFormat="1" ht="15" x14ac:dyDescent="0.25">
      <c r="A9790" s="859">
        <f t="shared" si="176"/>
        <v>9789</v>
      </c>
      <c r="B9790" s="845" t="s">
        <v>2564</v>
      </c>
      <c r="C9790" s="1007">
        <f t="shared" si="177"/>
        <v>33</v>
      </c>
      <c r="D9790" s="1012"/>
      <c r="I9790" s="1011" t="s">
        <v>2174</v>
      </c>
      <c r="K9790" s="1013"/>
    </row>
    <row r="9791" spans="1:11" s="1011" customFormat="1" ht="15" x14ac:dyDescent="0.25">
      <c r="A9791" s="859">
        <f t="shared" si="176"/>
        <v>9790</v>
      </c>
      <c r="B9791" s="845" t="s">
        <v>2564</v>
      </c>
      <c r="C9791" s="1007">
        <f t="shared" si="177"/>
        <v>33</v>
      </c>
      <c r="D9791" s="1014"/>
      <c r="I9791" s="1011" t="str">
        <f>CONCATENATE("&lt;valeur&gt;",VLOOKUP(C9791,'T16 Amort'!A:K,2,0),"&lt;/valeur&gt;")</f>
        <v>&lt;valeur&gt;&lt;/valeur&gt;</v>
      </c>
      <c r="K9791" s="1013"/>
    </row>
    <row r="9792" spans="1:11" s="1011" customFormat="1" ht="15" x14ac:dyDescent="0.25">
      <c r="A9792" s="859">
        <f t="shared" si="176"/>
        <v>9791</v>
      </c>
      <c r="B9792" s="845" t="s">
        <v>2564</v>
      </c>
      <c r="C9792" s="1007">
        <f t="shared" si="177"/>
        <v>33</v>
      </c>
      <c r="D9792" s="1014"/>
      <c r="I9792" s="1011" t="str">
        <f>CONCATENATE("&lt;numeroLigne&gt;",C9792,"&lt;/numeroLigne&gt;")</f>
        <v>&lt;numeroLigne&gt;33&lt;/numeroLigne&gt;</v>
      </c>
      <c r="K9792" s="1013"/>
    </row>
    <row r="9793" spans="1:11" s="1011" customFormat="1" ht="15" x14ac:dyDescent="0.25">
      <c r="A9793" s="859">
        <f t="shared" si="176"/>
        <v>9792</v>
      </c>
      <c r="B9793" s="845" t="s">
        <v>2564</v>
      </c>
      <c r="C9793" s="1007">
        <f t="shared" si="177"/>
        <v>33</v>
      </c>
      <c r="D9793" s="1012"/>
      <c r="H9793" s="1011" t="s">
        <v>1010</v>
      </c>
      <c r="K9793" s="1013"/>
    </row>
    <row r="9794" spans="1:11" s="1011" customFormat="1" ht="15" x14ac:dyDescent="0.25">
      <c r="A9794" s="859">
        <f t="shared" si="176"/>
        <v>9793</v>
      </c>
      <c r="B9794" s="845" t="s">
        <v>2564</v>
      </c>
      <c r="C9794" s="1007">
        <f t="shared" si="177"/>
        <v>33</v>
      </c>
      <c r="D9794" s="1015"/>
      <c r="H9794" s="1011" t="s">
        <v>1007</v>
      </c>
      <c r="K9794" s="1013"/>
    </row>
    <row r="9795" spans="1:11" s="1011" customFormat="1" ht="15" x14ac:dyDescent="0.25">
      <c r="A9795" s="859">
        <f t="shared" si="176"/>
        <v>9794</v>
      </c>
      <c r="B9795" s="845" t="s">
        <v>2564</v>
      </c>
      <c r="C9795" s="1007">
        <f t="shared" si="177"/>
        <v>33</v>
      </c>
      <c r="D9795" s="1012"/>
      <c r="I9795" s="1011" t="s">
        <v>2175</v>
      </c>
      <c r="K9795" s="1013"/>
    </row>
    <row r="9796" spans="1:11" s="1011" customFormat="1" ht="15" x14ac:dyDescent="0.25">
      <c r="A9796" s="859">
        <f t="shared" ref="A9796:A9859" si="178">+A9795+1</f>
        <v>9795</v>
      </c>
      <c r="B9796" s="845" t="s">
        <v>2564</v>
      </c>
      <c r="C9796" s="1007">
        <f t="shared" si="177"/>
        <v>33</v>
      </c>
      <c r="D9796" s="1012"/>
      <c r="I9796" s="1011" t="str">
        <f>CONCATENATE("&lt;valeur&gt;",VLOOKUP(C9796,'T16 Amort'!A:K,3,0),"&lt;/valeur&gt;")</f>
        <v>&lt;valeur&gt;&lt;/valeur&gt;</v>
      </c>
      <c r="K9796" s="1013"/>
    </row>
    <row r="9797" spans="1:11" s="1011" customFormat="1" ht="15" x14ac:dyDescent="0.25">
      <c r="A9797" s="859">
        <f t="shared" si="178"/>
        <v>9796</v>
      </c>
      <c r="B9797" s="845" t="s">
        <v>2564</v>
      </c>
      <c r="C9797" s="1007">
        <f t="shared" si="177"/>
        <v>33</v>
      </c>
      <c r="D9797" s="1014"/>
      <c r="I9797" s="1011" t="str">
        <f>CONCATENATE("&lt;numeroLigne&gt;",C9797,"&lt;/numeroLigne&gt;")</f>
        <v>&lt;numeroLigne&gt;33&lt;/numeroLigne&gt;</v>
      </c>
      <c r="K9797" s="1013"/>
    </row>
    <row r="9798" spans="1:11" s="1011" customFormat="1" ht="15" x14ac:dyDescent="0.25">
      <c r="A9798" s="859">
        <f t="shared" si="178"/>
        <v>9797</v>
      </c>
      <c r="B9798" s="845" t="s">
        <v>2564</v>
      </c>
      <c r="C9798" s="1007">
        <f t="shared" si="177"/>
        <v>33</v>
      </c>
      <c r="D9798" s="1014"/>
      <c r="H9798" s="1011" t="s">
        <v>1010</v>
      </c>
      <c r="K9798" s="1013"/>
    </row>
    <row r="9799" spans="1:11" s="1011" customFormat="1" ht="15" x14ac:dyDescent="0.25">
      <c r="A9799" s="859">
        <f t="shared" si="178"/>
        <v>9798</v>
      </c>
      <c r="B9799" s="845" t="s">
        <v>2564</v>
      </c>
      <c r="C9799" s="1007">
        <f t="shared" si="177"/>
        <v>33</v>
      </c>
      <c r="D9799" s="1012"/>
      <c r="H9799" s="1011" t="s">
        <v>1007</v>
      </c>
      <c r="K9799" s="1013"/>
    </row>
    <row r="9800" spans="1:11" s="1011" customFormat="1" ht="15" x14ac:dyDescent="0.25">
      <c r="A9800" s="859">
        <f t="shared" si="178"/>
        <v>9799</v>
      </c>
      <c r="B9800" s="845" t="s">
        <v>2564</v>
      </c>
      <c r="C9800" s="1007">
        <f t="shared" si="177"/>
        <v>33</v>
      </c>
      <c r="D9800" s="1015"/>
      <c r="I9800" s="1011" t="s">
        <v>2176</v>
      </c>
      <c r="K9800" s="1013"/>
    </row>
    <row r="9801" spans="1:11" s="1011" customFormat="1" ht="15" x14ac:dyDescent="0.25">
      <c r="A9801" s="859">
        <f t="shared" si="178"/>
        <v>9800</v>
      </c>
      <c r="B9801" s="845" t="s">
        <v>2564</v>
      </c>
      <c r="C9801" s="1007">
        <f t="shared" si="177"/>
        <v>33</v>
      </c>
      <c r="D9801" s="1012"/>
      <c r="I9801" s="1011" t="str">
        <f>CONCATENATE("&lt;valeur&gt;",VLOOKUP(C9801,'T16 Amort'!A:K,4,0),"&lt;/valeur&gt;")</f>
        <v>&lt;valeur&gt;&lt;/valeur&gt;</v>
      </c>
      <c r="K9801" s="1013"/>
    </row>
    <row r="9802" spans="1:11" s="1011" customFormat="1" ht="15" x14ac:dyDescent="0.25">
      <c r="A9802" s="859">
        <f t="shared" si="178"/>
        <v>9801</v>
      </c>
      <c r="B9802" s="845" t="s">
        <v>2564</v>
      </c>
      <c r="C9802" s="1007">
        <f t="shared" si="177"/>
        <v>33</v>
      </c>
      <c r="D9802" s="1012"/>
      <c r="I9802" s="1011" t="str">
        <f>CONCATENATE("&lt;numeroLigne&gt;",C9802,"&lt;/numeroLigne&gt;")</f>
        <v>&lt;numeroLigne&gt;33&lt;/numeroLigne&gt;</v>
      </c>
      <c r="K9802" s="1013"/>
    </row>
    <row r="9803" spans="1:11" s="1011" customFormat="1" ht="15" x14ac:dyDescent="0.25">
      <c r="A9803" s="859">
        <f t="shared" si="178"/>
        <v>9802</v>
      </c>
      <c r="B9803" s="845" t="s">
        <v>2564</v>
      </c>
      <c r="C9803" s="1007">
        <f t="shared" si="177"/>
        <v>33</v>
      </c>
      <c r="D9803" s="1014"/>
      <c r="H9803" s="1011" t="s">
        <v>1010</v>
      </c>
      <c r="K9803" s="1013"/>
    </row>
    <row r="9804" spans="1:11" s="1011" customFormat="1" ht="15" x14ac:dyDescent="0.25">
      <c r="A9804" s="859">
        <f t="shared" si="178"/>
        <v>9803</v>
      </c>
      <c r="B9804" s="845" t="s">
        <v>2564</v>
      </c>
      <c r="C9804" s="1007">
        <f t="shared" si="177"/>
        <v>33</v>
      </c>
      <c r="D9804" s="1014"/>
      <c r="H9804" s="1011" t="s">
        <v>1007</v>
      </c>
      <c r="K9804" s="1013"/>
    </row>
    <row r="9805" spans="1:11" s="1011" customFormat="1" ht="15" x14ac:dyDescent="0.25">
      <c r="A9805" s="859">
        <f t="shared" si="178"/>
        <v>9804</v>
      </c>
      <c r="B9805" s="845" t="s">
        <v>2564</v>
      </c>
      <c r="C9805" s="1007">
        <f t="shared" si="177"/>
        <v>33</v>
      </c>
      <c r="D9805" s="1012"/>
      <c r="I9805" s="1011" t="s">
        <v>2177</v>
      </c>
      <c r="K9805" s="1013"/>
    </row>
    <row r="9806" spans="1:11" s="1011" customFormat="1" ht="15" x14ac:dyDescent="0.25">
      <c r="A9806" s="859">
        <f t="shared" si="178"/>
        <v>9805</v>
      </c>
      <c r="B9806" s="845" t="s">
        <v>2564</v>
      </c>
      <c r="C9806" s="1007">
        <f t="shared" si="177"/>
        <v>33</v>
      </c>
      <c r="D9806" s="1015"/>
      <c r="I9806" s="1011" t="str">
        <f>CONCATENATE("&lt;valeur&gt;",VLOOKUP(C9806,'T16 Amort'!A:K,5,0),"&lt;/valeur&gt;")</f>
        <v>&lt;valeur&gt;&lt;/valeur&gt;</v>
      </c>
      <c r="K9806" s="1013"/>
    </row>
    <row r="9807" spans="1:11" s="1011" customFormat="1" ht="15" x14ac:dyDescent="0.25">
      <c r="A9807" s="859">
        <f t="shared" si="178"/>
        <v>9806</v>
      </c>
      <c r="B9807" s="845" t="s">
        <v>2564</v>
      </c>
      <c r="C9807" s="1007">
        <f t="shared" si="177"/>
        <v>33</v>
      </c>
      <c r="D9807" s="1012"/>
      <c r="I9807" s="1011" t="str">
        <f>CONCATENATE("&lt;numeroLigne&gt;",C9807,"&lt;/numeroLigne&gt;")</f>
        <v>&lt;numeroLigne&gt;33&lt;/numeroLigne&gt;</v>
      </c>
      <c r="K9807" s="1013"/>
    </row>
    <row r="9808" spans="1:11" s="1011" customFormat="1" ht="15" x14ac:dyDescent="0.25">
      <c r="A9808" s="859">
        <f t="shared" si="178"/>
        <v>9807</v>
      </c>
      <c r="B9808" s="845" t="s">
        <v>2564</v>
      </c>
      <c r="C9808" s="1007">
        <f t="shared" si="177"/>
        <v>33</v>
      </c>
      <c r="D9808" s="1012"/>
      <c r="H9808" s="1011" t="s">
        <v>1010</v>
      </c>
      <c r="K9808" s="1013"/>
    </row>
    <row r="9809" spans="1:11" s="1011" customFormat="1" ht="15" x14ac:dyDescent="0.25">
      <c r="A9809" s="859">
        <f t="shared" si="178"/>
        <v>9808</v>
      </c>
      <c r="B9809" s="845" t="s">
        <v>2564</v>
      </c>
      <c r="C9809" s="1007">
        <f t="shared" si="177"/>
        <v>33</v>
      </c>
      <c r="D9809" s="1014"/>
      <c r="H9809" s="1011" t="s">
        <v>1007</v>
      </c>
      <c r="K9809" s="1013"/>
    </row>
    <row r="9810" spans="1:11" s="1011" customFormat="1" ht="15" x14ac:dyDescent="0.25">
      <c r="A9810" s="859">
        <f t="shared" si="178"/>
        <v>9809</v>
      </c>
      <c r="B9810" s="845" t="s">
        <v>2564</v>
      </c>
      <c r="C9810" s="1007">
        <f t="shared" si="177"/>
        <v>33</v>
      </c>
      <c r="D9810" s="1014"/>
      <c r="I9810" s="1011" t="s">
        <v>2178</v>
      </c>
      <c r="K9810" s="1013"/>
    </row>
    <row r="9811" spans="1:11" s="1011" customFormat="1" ht="15" x14ac:dyDescent="0.25">
      <c r="A9811" s="859">
        <f t="shared" si="178"/>
        <v>9810</v>
      </c>
      <c r="B9811" s="845" t="s">
        <v>2564</v>
      </c>
      <c r="C9811" s="1007">
        <f t="shared" si="177"/>
        <v>33</v>
      </c>
      <c r="D9811" s="1012"/>
      <c r="I9811" s="1011" t="str">
        <f>CONCATENATE("&lt;valeur&gt;",VLOOKUP(C9811,'T16 Amort'!A:K,6,0),"&lt;/valeur&gt;")</f>
        <v>&lt;valeur&gt;&lt;/valeur&gt;</v>
      </c>
      <c r="K9811" s="1013"/>
    </row>
    <row r="9812" spans="1:11" s="1011" customFormat="1" ht="15" x14ac:dyDescent="0.25">
      <c r="A9812" s="859">
        <f t="shared" si="178"/>
        <v>9811</v>
      </c>
      <c r="B9812" s="845" t="s">
        <v>2564</v>
      </c>
      <c r="C9812" s="1007">
        <f t="shared" si="177"/>
        <v>33</v>
      </c>
      <c r="D9812" s="1015"/>
      <c r="I9812" s="1011" t="str">
        <f>CONCATENATE("&lt;numeroLigne&gt;",C9812,"&lt;/numeroLigne&gt;")</f>
        <v>&lt;numeroLigne&gt;33&lt;/numeroLigne&gt;</v>
      </c>
      <c r="K9812" s="1013"/>
    </row>
    <row r="9813" spans="1:11" s="1011" customFormat="1" ht="15" x14ac:dyDescent="0.25">
      <c r="A9813" s="859">
        <f t="shared" si="178"/>
        <v>9812</v>
      </c>
      <c r="B9813" s="845" t="s">
        <v>2564</v>
      </c>
      <c r="C9813" s="1007">
        <f t="shared" si="177"/>
        <v>33</v>
      </c>
      <c r="D9813" s="1012"/>
      <c r="H9813" s="1011" t="s">
        <v>1010</v>
      </c>
      <c r="K9813" s="1013"/>
    </row>
    <row r="9814" spans="1:11" s="1011" customFormat="1" ht="15" x14ac:dyDescent="0.25">
      <c r="A9814" s="859">
        <f t="shared" si="178"/>
        <v>9813</v>
      </c>
      <c r="B9814" s="845" t="s">
        <v>2564</v>
      </c>
      <c r="C9814" s="1007">
        <f t="shared" si="177"/>
        <v>33</v>
      </c>
      <c r="D9814" s="1012"/>
      <c r="H9814" s="1011" t="s">
        <v>1007</v>
      </c>
      <c r="K9814" s="1013"/>
    </row>
    <row r="9815" spans="1:11" s="1011" customFormat="1" ht="15" x14ac:dyDescent="0.25">
      <c r="A9815" s="859">
        <f t="shared" si="178"/>
        <v>9814</v>
      </c>
      <c r="B9815" s="845" t="s">
        <v>2564</v>
      </c>
      <c r="C9815" s="1007">
        <f t="shared" si="177"/>
        <v>33</v>
      </c>
      <c r="D9815" s="1014"/>
      <c r="I9815" s="1011" t="s">
        <v>2179</v>
      </c>
      <c r="K9815" s="1013"/>
    </row>
    <row r="9816" spans="1:11" s="1011" customFormat="1" ht="15" x14ac:dyDescent="0.25">
      <c r="A9816" s="859">
        <f t="shared" si="178"/>
        <v>9815</v>
      </c>
      <c r="B9816" s="845" t="s">
        <v>2564</v>
      </c>
      <c r="C9816" s="1007">
        <f t="shared" si="177"/>
        <v>33</v>
      </c>
      <c r="D9816" s="1014"/>
      <c r="I9816" s="1011" t="str">
        <f>CONCATENATE("&lt;valeur&gt;",VLOOKUP(C9816,'T16 Amort'!A:K,7,0),"&lt;/valeur&gt;")</f>
        <v>&lt;valeur&gt;&lt;/valeur&gt;</v>
      </c>
      <c r="K9816" s="1013"/>
    </row>
    <row r="9817" spans="1:11" s="1011" customFormat="1" ht="15" x14ac:dyDescent="0.25">
      <c r="A9817" s="859">
        <f t="shared" si="178"/>
        <v>9816</v>
      </c>
      <c r="B9817" s="845" t="s">
        <v>2564</v>
      </c>
      <c r="C9817" s="1007">
        <f t="shared" si="177"/>
        <v>33</v>
      </c>
      <c r="D9817" s="1012"/>
      <c r="I9817" s="1011" t="str">
        <f>CONCATENATE("&lt;numeroLigne&gt;",C9817,"&lt;/numeroLigne&gt;")</f>
        <v>&lt;numeroLigne&gt;33&lt;/numeroLigne&gt;</v>
      </c>
      <c r="K9817" s="1013"/>
    </row>
    <row r="9818" spans="1:11" s="1011" customFormat="1" ht="15" x14ac:dyDescent="0.25">
      <c r="A9818" s="859">
        <f t="shared" si="178"/>
        <v>9817</v>
      </c>
      <c r="B9818" s="845" t="s">
        <v>2564</v>
      </c>
      <c r="C9818" s="1007">
        <f t="shared" si="177"/>
        <v>33</v>
      </c>
      <c r="D9818" s="1015"/>
      <c r="H9818" s="1011" t="s">
        <v>1010</v>
      </c>
      <c r="K9818" s="1013"/>
    </row>
    <row r="9819" spans="1:11" s="1011" customFormat="1" ht="15" x14ac:dyDescent="0.25">
      <c r="A9819" s="859">
        <f t="shared" si="178"/>
        <v>9818</v>
      </c>
      <c r="B9819" s="845" t="s">
        <v>2564</v>
      </c>
      <c r="C9819" s="1007">
        <f t="shared" si="177"/>
        <v>33</v>
      </c>
      <c r="D9819" s="1012"/>
      <c r="H9819" s="1011" t="s">
        <v>1007</v>
      </c>
      <c r="K9819" s="1013"/>
    </row>
    <row r="9820" spans="1:11" s="1011" customFormat="1" ht="15" x14ac:dyDescent="0.25">
      <c r="A9820" s="859">
        <f t="shared" si="178"/>
        <v>9819</v>
      </c>
      <c r="B9820" s="845" t="s">
        <v>2564</v>
      </c>
      <c r="C9820" s="1007">
        <f t="shared" si="177"/>
        <v>33</v>
      </c>
      <c r="D9820" s="1012"/>
      <c r="I9820" s="1011" t="s">
        <v>2180</v>
      </c>
      <c r="K9820" s="1013"/>
    </row>
    <row r="9821" spans="1:11" s="1011" customFormat="1" ht="15" x14ac:dyDescent="0.25">
      <c r="A9821" s="859">
        <f t="shared" si="178"/>
        <v>9820</v>
      </c>
      <c r="B9821" s="845" t="s">
        <v>2564</v>
      </c>
      <c r="C9821" s="1007">
        <f t="shared" si="177"/>
        <v>33</v>
      </c>
      <c r="D9821" s="1014"/>
      <c r="I9821" s="1011" t="str">
        <f>CONCATENATE("&lt;valeur&gt;",VLOOKUP(C9821,'T16 Amort'!A:K,8,0),"&lt;/valeur&gt;")</f>
        <v>&lt;valeur&gt;&lt;/valeur&gt;</v>
      </c>
      <c r="K9821" s="1013"/>
    </row>
    <row r="9822" spans="1:11" s="1011" customFormat="1" ht="15" x14ac:dyDescent="0.25">
      <c r="A9822" s="859">
        <f t="shared" si="178"/>
        <v>9821</v>
      </c>
      <c r="B9822" s="845" t="s">
        <v>2564</v>
      </c>
      <c r="C9822" s="1007">
        <f t="shared" si="177"/>
        <v>33</v>
      </c>
      <c r="D9822" s="1014"/>
      <c r="I9822" s="1011" t="str">
        <f>CONCATENATE("&lt;numeroLigne&gt;",C9822,"&lt;/numeroLigne&gt;")</f>
        <v>&lt;numeroLigne&gt;33&lt;/numeroLigne&gt;</v>
      </c>
      <c r="K9822" s="1013"/>
    </row>
    <row r="9823" spans="1:11" s="1011" customFormat="1" ht="15" x14ac:dyDescent="0.25">
      <c r="A9823" s="859">
        <f t="shared" si="178"/>
        <v>9822</v>
      </c>
      <c r="B9823" s="845" t="s">
        <v>2564</v>
      </c>
      <c r="C9823" s="1007">
        <f t="shared" si="177"/>
        <v>33</v>
      </c>
      <c r="D9823" s="1012"/>
      <c r="H9823" s="1011" t="s">
        <v>1010</v>
      </c>
      <c r="K9823" s="1013"/>
    </row>
    <row r="9824" spans="1:11" s="1011" customFormat="1" ht="15" x14ac:dyDescent="0.25">
      <c r="A9824" s="859">
        <f t="shared" si="178"/>
        <v>9823</v>
      </c>
      <c r="B9824" s="845" t="s">
        <v>2564</v>
      </c>
      <c r="C9824" s="1007">
        <f t="shared" si="177"/>
        <v>33</v>
      </c>
      <c r="D9824" s="1015"/>
      <c r="H9824" s="1011" t="s">
        <v>1007</v>
      </c>
      <c r="K9824" s="1013"/>
    </row>
    <row r="9825" spans="1:11" s="1011" customFormat="1" ht="15" x14ac:dyDescent="0.25">
      <c r="A9825" s="859">
        <f t="shared" si="178"/>
        <v>9824</v>
      </c>
      <c r="B9825" s="845" t="s">
        <v>2564</v>
      </c>
      <c r="C9825" s="1007">
        <f t="shared" si="177"/>
        <v>33</v>
      </c>
      <c r="D9825" s="1012"/>
      <c r="I9825" s="1011" t="s">
        <v>2181</v>
      </c>
      <c r="K9825" s="1013"/>
    </row>
    <row r="9826" spans="1:11" s="1011" customFormat="1" ht="15" x14ac:dyDescent="0.25">
      <c r="A9826" s="859">
        <f t="shared" si="178"/>
        <v>9825</v>
      </c>
      <c r="B9826" s="845" t="s">
        <v>2564</v>
      </c>
      <c r="C9826" s="1007">
        <f t="shared" si="177"/>
        <v>33</v>
      </c>
      <c r="D9826" s="1012"/>
      <c r="I9826" s="1011" t="str">
        <f>CONCATENATE("&lt;valeur&gt;",VLOOKUP(C9826,'T16 Amort'!A:K,9,0),"&lt;/valeur&gt;")</f>
        <v>&lt;valeur&gt;&lt;/valeur&gt;</v>
      </c>
      <c r="K9826" s="1013"/>
    </row>
    <row r="9827" spans="1:11" s="1011" customFormat="1" ht="15" x14ac:dyDescent="0.25">
      <c r="A9827" s="859">
        <f t="shared" si="178"/>
        <v>9826</v>
      </c>
      <c r="B9827" s="845" t="s">
        <v>2564</v>
      </c>
      <c r="C9827" s="1007">
        <f t="shared" si="177"/>
        <v>33</v>
      </c>
      <c r="D9827" s="1014"/>
      <c r="I9827" s="1011" t="str">
        <f>CONCATENATE("&lt;numeroLigne&gt;",C9827,"&lt;/numeroLigne&gt;")</f>
        <v>&lt;numeroLigne&gt;33&lt;/numeroLigne&gt;</v>
      </c>
      <c r="K9827" s="1013"/>
    </row>
    <row r="9828" spans="1:11" s="1011" customFormat="1" ht="15" x14ac:dyDescent="0.25">
      <c r="A9828" s="859">
        <f t="shared" si="178"/>
        <v>9827</v>
      </c>
      <c r="B9828" s="845" t="s">
        <v>2564</v>
      </c>
      <c r="C9828" s="1007">
        <f t="shared" si="177"/>
        <v>33</v>
      </c>
      <c r="D9828" s="1014"/>
      <c r="H9828" s="1011" t="s">
        <v>1010</v>
      </c>
      <c r="K9828" s="1013"/>
    </row>
    <row r="9829" spans="1:11" s="1011" customFormat="1" ht="15" x14ac:dyDescent="0.25">
      <c r="A9829" s="859">
        <f t="shared" si="178"/>
        <v>9828</v>
      </c>
      <c r="B9829" s="845" t="s">
        <v>2564</v>
      </c>
      <c r="C9829" s="1007">
        <f t="shared" si="177"/>
        <v>33</v>
      </c>
      <c r="D9829" s="1012"/>
      <c r="H9829" s="1011" t="s">
        <v>1007</v>
      </c>
      <c r="K9829" s="1013"/>
    </row>
    <row r="9830" spans="1:11" s="1011" customFormat="1" ht="15" x14ac:dyDescent="0.25">
      <c r="A9830" s="859">
        <f t="shared" si="178"/>
        <v>9829</v>
      </c>
      <c r="B9830" s="845" t="s">
        <v>2564</v>
      </c>
      <c r="C9830" s="1007">
        <f t="shared" si="177"/>
        <v>33</v>
      </c>
      <c r="D9830" s="1015"/>
      <c r="I9830" s="1011" t="s">
        <v>2182</v>
      </c>
      <c r="K9830" s="1013"/>
    </row>
    <row r="9831" spans="1:11" s="1011" customFormat="1" ht="15" x14ac:dyDescent="0.25">
      <c r="A9831" s="859">
        <f t="shared" si="178"/>
        <v>9830</v>
      </c>
      <c r="B9831" s="845" t="s">
        <v>2564</v>
      </c>
      <c r="C9831" s="1007">
        <f t="shared" si="177"/>
        <v>33</v>
      </c>
      <c r="D9831" s="1012"/>
      <c r="I9831" s="1011" t="str">
        <f>CONCATENATE("&lt;valeur&gt;",VLOOKUP(C9831,'T16 Amort'!A:K,10,0),"&lt;/valeur&gt;")</f>
        <v>&lt;valeur&gt;&lt;/valeur&gt;</v>
      </c>
      <c r="K9831" s="1013"/>
    </row>
    <row r="9832" spans="1:11" s="1011" customFormat="1" ht="15" x14ac:dyDescent="0.25">
      <c r="A9832" s="859">
        <f t="shared" si="178"/>
        <v>9831</v>
      </c>
      <c r="B9832" s="845" t="s">
        <v>2564</v>
      </c>
      <c r="C9832" s="1007">
        <f t="shared" si="177"/>
        <v>33</v>
      </c>
      <c r="D9832" s="1012"/>
      <c r="I9832" s="1011" t="str">
        <f>CONCATENATE("&lt;numeroLigne&gt;",C9832,"&lt;/numeroLigne&gt;")</f>
        <v>&lt;numeroLigne&gt;33&lt;/numeroLigne&gt;</v>
      </c>
      <c r="K9832" s="1013"/>
    </row>
    <row r="9833" spans="1:11" s="1011" customFormat="1" ht="15" x14ac:dyDescent="0.25">
      <c r="A9833" s="859">
        <f t="shared" si="178"/>
        <v>9832</v>
      </c>
      <c r="B9833" s="845" t="s">
        <v>2564</v>
      </c>
      <c r="C9833" s="1007">
        <f t="shared" si="177"/>
        <v>33</v>
      </c>
      <c r="D9833" s="1014"/>
      <c r="H9833" s="1011" t="s">
        <v>1010</v>
      </c>
      <c r="K9833" s="1013"/>
    </row>
    <row r="9834" spans="1:11" s="1011" customFormat="1" ht="15" x14ac:dyDescent="0.25">
      <c r="A9834" s="859">
        <f t="shared" si="178"/>
        <v>9833</v>
      </c>
      <c r="B9834" s="845" t="s">
        <v>2564</v>
      </c>
      <c r="C9834" s="1007">
        <f t="shared" si="177"/>
        <v>33</v>
      </c>
      <c r="D9834" s="1014"/>
      <c r="H9834" s="1011" t="s">
        <v>1007</v>
      </c>
      <c r="K9834" s="1013"/>
    </row>
    <row r="9835" spans="1:11" s="1011" customFormat="1" ht="15" x14ac:dyDescent="0.25">
      <c r="A9835" s="859">
        <f t="shared" si="178"/>
        <v>9834</v>
      </c>
      <c r="B9835" s="845" t="s">
        <v>2564</v>
      </c>
      <c r="C9835" s="1007">
        <f t="shared" si="177"/>
        <v>33</v>
      </c>
      <c r="D9835" s="1012"/>
      <c r="I9835" s="1011" t="s">
        <v>2183</v>
      </c>
      <c r="K9835" s="1013"/>
    </row>
    <row r="9836" spans="1:11" s="1011" customFormat="1" ht="15" x14ac:dyDescent="0.25">
      <c r="A9836" s="859">
        <f t="shared" si="178"/>
        <v>9835</v>
      </c>
      <c r="B9836" s="845" t="s">
        <v>2564</v>
      </c>
      <c r="C9836" s="1007">
        <f t="shared" si="177"/>
        <v>33</v>
      </c>
      <c r="D9836" s="1015"/>
      <c r="I9836" s="1011" t="str">
        <f>CONCATENATE("&lt;valeur&gt;",VLOOKUP(C9836,'T16 Amort'!A:K,11,0),"&lt;/valeur&gt;")</f>
        <v>&lt;valeur&gt;&lt;/valeur&gt;</v>
      </c>
      <c r="K9836" s="1013"/>
    </row>
    <row r="9837" spans="1:11" s="1011" customFormat="1" ht="15" x14ac:dyDescent="0.25">
      <c r="A9837" s="859">
        <f t="shared" si="178"/>
        <v>9836</v>
      </c>
      <c r="B9837" s="845" t="s">
        <v>2564</v>
      </c>
      <c r="C9837" s="1007">
        <f t="shared" si="177"/>
        <v>33</v>
      </c>
      <c r="D9837" s="1012"/>
      <c r="I9837" s="1011" t="str">
        <f>CONCATENATE("&lt;numeroLigne&gt;",C9837,"&lt;/numeroLigne&gt;")</f>
        <v>&lt;numeroLigne&gt;33&lt;/numeroLigne&gt;</v>
      </c>
      <c r="K9837" s="1013"/>
    </row>
    <row r="9838" spans="1:11" s="1011" customFormat="1" ht="15" x14ac:dyDescent="0.25">
      <c r="A9838" s="859">
        <f t="shared" si="178"/>
        <v>9837</v>
      </c>
      <c r="B9838" s="845" t="s">
        <v>2564</v>
      </c>
      <c r="C9838" s="1007">
        <f t="shared" si="177"/>
        <v>33</v>
      </c>
      <c r="D9838" s="1016"/>
      <c r="E9838" s="1017"/>
      <c r="F9838" s="1017"/>
      <c r="G9838" s="1017"/>
      <c r="H9838" s="1017" t="s">
        <v>1010</v>
      </c>
      <c r="I9838" s="1017"/>
      <c r="J9838" s="1017"/>
      <c r="K9838" s="1018"/>
    </row>
    <row r="9839" spans="1:11" s="1011" customFormat="1" ht="15" x14ac:dyDescent="0.25">
      <c r="A9839" s="859">
        <f t="shared" si="178"/>
        <v>9838</v>
      </c>
      <c r="B9839" s="845" t="s">
        <v>2564</v>
      </c>
      <c r="C9839" s="1007">
        <f t="shared" ref="C9839:C9902" si="179">C9789+1</f>
        <v>34</v>
      </c>
      <c r="D9839" s="1008"/>
      <c r="E9839" s="1009"/>
      <c r="F9839" s="1009"/>
      <c r="G9839" s="1009"/>
      <c r="H9839" s="1009" t="s">
        <v>1007</v>
      </c>
      <c r="I9839" s="1009"/>
      <c r="J9839" s="1009"/>
      <c r="K9839" s="1010"/>
    </row>
    <row r="9840" spans="1:11" s="1011" customFormat="1" ht="15" x14ac:dyDescent="0.25">
      <c r="A9840" s="859">
        <f t="shared" si="178"/>
        <v>9839</v>
      </c>
      <c r="B9840" s="845" t="s">
        <v>2564</v>
      </c>
      <c r="C9840" s="1007">
        <f t="shared" si="179"/>
        <v>34</v>
      </c>
      <c r="D9840" s="1012"/>
      <c r="I9840" s="1011" t="s">
        <v>2174</v>
      </c>
      <c r="K9840" s="1013"/>
    </row>
    <row r="9841" spans="1:11" s="1011" customFormat="1" ht="15" x14ac:dyDescent="0.25">
      <c r="A9841" s="859">
        <f t="shared" si="178"/>
        <v>9840</v>
      </c>
      <c r="B9841" s="845" t="s">
        <v>2564</v>
      </c>
      <c r="C9841" s="1007">
        <f t="shared" si="179"/>
        <v>34</v>
      </c>
      <c r="D9841" s="1014"/>
      <c r="I9841" s="1011" t="str">
        <f>CONCATENATE("&lt;valeur&gt;",VLOOKUP(C9841,'T16 Amort'!A:K,2,0),"&lt;/valeur&gt;")</f>
        <v>&lt;valeur&gt;&lt;/valeur&gt;</v>
      </c>
      <c r="K9841" s="1013"/>
    </row>
    <row r="9842" spans="1:11" s="1011" customFormat="1" ht="15" x14ac:dyDescent="0.25">
      <c r="A9842" s="859">
        <f t="shared" si="178"/>
        <v>9841</v>
      </c>
      <c r="B9842" s="845" t="s">
        <v>2564</v>
      </c>
      <c r="C9842" s="1007">
        <f t="shared" si="179"/>
        <v>34</v>
      </c>
      <c r="D9842" s="1014"/>
      <c r="I9842" s="1011" t="str">
        <f>CONCATENATE("&lt;numeroLigne&gt;",C9842,"&lt;/numeroLigne&gt;")</f>
        <v>&lt;numeroLigne&gt;34&lt;/numeroLigne&gt;</v>
      </c>
      <c r="K9842" s="1013"/>
    </row>
    <row r="9843" spans="1:11" s="1011" customFormat="1" ht="15" x14ac:dyDescent="0.25">
      <c r="A9843" s="859">
        <f t="shared" si="178"/>
        <v>9842</v>
      </c>
      <c r="B9843" s="845" t="s">
        <v>2564</v>
      </c>
      <c r="C9843" s="1007">
        <f t="shared" si="179"/>
        <v>34</v>
      </c>
      <c r="D9843" s="1012"/>
      <c r="H9843" s="1011" t="s">
        <v>1010</v>
      </c>
      <c r="K9843" s="1013"/>
    </row>
    <row r="9844" spans="1:11" s="1011" customFormat="1" ht="15" x14ac:dyDescent="0.25">
      <c r="A9844" s="859">
        <f t="shared" si="178"/>
        <v>9843</v>
      </c>
      <c r="B9844" s="845" t="s">
        <v>2564</v>
      </c>
      <c r="C9844" s="1007">
        <f t="shared" si="179"/>
        <v>34</v>
      </c>
      <c r="D9844" s="1015"/>
      <c r="H9844" s="1011" t="s">
        <v>1007</v>
      </c>
      <c r="K9844" s="1013"/>
    </row>
    <row r="9845" spans="1:11" s="1011" customFormat="1" ht="15" x14ac:dyDescent="0.25">
      <c r="A9845" s="859">
        <f t="shared" si="178"/>
        <v>9844</v>
      </c>
      <c r="B9845" s="845" t="s">
        <v>2564</v>
      </c>
      <c r="C9845" s="1007">
        <f t="shared" si="179"/>
        <v>34</v>
      </c>
      <c r="D9845" s="1012"/>
      <c r="I9845" s="1011" t="s">
        <v>2175</v>
      </c>
      <c r="K9845" s="1013"/>
    </row>
    <row r="9846" spans="1:11" s="1011" customFormat="1" ht="15" x14ac:dyDescent="0.25">
      <c r="A9846" s="859">
        <f t="shared" si="178"/>
        <v>9845</v>
      </c>
      <c r="B9846" s="845" t="s">
        <v>2564</v>
      </c>
      <c r="C9846" s="1007">
        <f t="shared" si="179"/>
        <v>34</v>
      </c>
      <c r="D9846" s="1012"/>
      <c r="I9846" s="1011" t="str">
        <f>CONCATENATE("&lt;valeur&gt;",VLOOKUP(C9846,'T16 Amort'!A:K,3,0),"&lt;/valeur&gt;")</f>
        <v>&lt;valeur&gt;&lt;/valeur&gt;</v>
      </c>
      <c r="K9846" s="1013"/>
    </row>
    <row r="9847" spans="1:11" s="1011" customFormat="1" ht="15" x14ac:dyDescent="0.25">
      <c r="A9847" s="859">
        <f t="shared" si="178"/>
        <v>9846</v>
      </c>
      <c r="B9847" s="845" t="s">
        <v>2564</v>
      </c>
      <c r="C9847" s="1007">
        <f t="shared" si="179"/>
        <v>34</v>
      </c>
      <c r="D9847" s="1014"/>
      <c r="I9847" s="1011" t="str">
        <f>CONCATENATE("&lt;numeroLigne&gt;",C9847,"&lt;/numeroLigne&gt;")</f>
        <v>&lt;numeroLigne&gt;34&lt;/numeroLigne&gt;</v>
      </c>
      <c r="K9847" s="1013"/>
    </row>
    <row r="9848" spans="1:11" s="1011" customFormat="1" ht="15" x14ac:dyDescent="0.25">
      <c r="A9848" s="859">
        <f t="shared" si="178"/>
        <v>9847</v>
      </c>
      <c r="B9848" s="845" t="s">
        <v>2564</v>
      </c>
      <c r="C9848" s="1007">
        <f t="shared" si="179"/>
        <v>34</v>
      </c>
      <c r="D9848" s="1014"/>
      <c r="H9848" s="1011" t="s">
        <v>1010</v>
      </c>
      <c r="K9848" s="1013"/>
    </row>
    <row r="9849" spans="1:11" s="1011" customFormat="1" ht="15" x14ac:dyDescent="0.25">
      <c r="A9849" s="859">
        <f t="shared" si="178"/>
        <v>9848</v>
      </c>
      <c r="B9849" s="845" t="s">
        <v>2564</v>
      </c>
      <c r="C9849" s="1007">
        <f t="shared" si="179"/>
        <v>34</v>
      </c>
      <c r="D9849" s="1012"/>
      <c r="H9849" s="1011" t="s">
        <v>1007</v>
      </c>
      <c r="K9849" s="1013"/>
    </row>
    <row r="9850" spans="1:11" s="1011" customFormat="1" ht="15" x14ac:dyDescent="0.25">
      <c r="A9850" s="859">
        <f t="shared" si="178"/>
        <v>9849</v>
      </c>
      <c r="B9850" s="845" t="s">
        <v>2564</v>
      </c>
      <c r="C9850" s="1007">
        <f t="shared" si="179"/>
        <v>34</v>
      </c>
      <c r="D9850" s="1015"/>
      <c r="I9850" s="1011" t="s">
        <v>2176</v>
      </c>
      <c r="K9850" s="1013"/>
    </row>
    <row r="9851" spans="1:11" s="1011" customFormat="1" ht="15" x14ac:dyDescent="0.25">
      <c r="A9851" s="859">
        <f t="shared" si="178"/>
        <v>9850</v>
      </c>
      <c r="B9851" s="845" t="s">
        <v>2564</v>
      </c>
      <c r="C9851" s="1007">
        <f t="shared" si="179"/>
        <v>34</v>
      </c>
      <c r="D9851" s="1012"/>
      <c r="I9851" s="1011" t="str">
        <f>CONCATENATE("&lt;valeur&gt;",VLOOKUP(C9851,'T16 Amort'!A:K,4,0),"&lt;/valeur&gt;")</f>
        <v>&lt;valeur&gt;&lt;/valeur&gt;</v>
      </c>
      <c r="K9851" s="1013"/>
    </row>
    <row r="9852" spans="1:11" s="1011" customFormat="1" ht="15" x14ac:dyDescent="0.25">
      <c r="A9852" s="859">
        <f t="shared" si="178"/>
        <v>9851</v>
      </c>
      <c r="B9852" s="845" t="s">
        <v>2564</v>
      </c>
      <c r="C9852" s="1007">
        <f t="shared" si="179"/>
        <v>34</v>
      </c>
      <c r="D9852" s="1012"/>
      <c r="I9852" s="1011" t="str">
        <f>CONCATENATE("&lt;numeroLigne&gt;",C9852,"&lt;/numeroLigne&gt;")</f>
        <v>&lt;numeroLigne&gt;34&lt;/numeroLigne&gt;</v>
      </c>
      <c r="K9852" s="1013"/>
    </row>
    <row r="9853" spans="1:11" s="1011" customFormat="1" ht="15" x14ac:dyDescent="0.25">
      <c r="A9853" s="859">
        <f t="shared" si="178"/>
        <v>9852</v>
      </c>
      <c r="B9853" s="845" t="s">
        <v>2564</v>
      </c>
      <c r="C9853" s="1007">
        <f t="shared" si="179"/>
        <v>34</v>
      </c>
      <c r="D9853" s="1014"/>
      <c r="H9853" s="1011" t="s">
        <v>1010</v>
      </c>
      <c r="K9853" s="1013"/>
    </row>
    <row r="9854" spans="1:11" s="1011" customFormat="1" ht="15" x14ac:dyDescent="0.25">
      <c r="A9854" s="859">
        <f t="shared" si="178"/>
        <v>9853</v>
      </c>
      <c r="B9854" s="845" t="s">
        <v>2564</v>
      </c>
      <c r="C9854" s="1007">
        <f t="shared" si="179"/>
        <v>34</v>
      </c>
      <c r="D9854" s="1014"/>
      <c r="H9854" s="1011" t="s">
        <v>1007</v>
      </c>
      <c r="K9854" s="1013"/>
    </row>
    <row r="9855" spans="1:11" s="1011" customFormat="1" ht="15" x14ac:dyDescent="0.25">
      <c r="A9855" s="859">
        <f t="shared" si="178"/>
        <v>9854</v>
      </c>
      <c r="B9855" s="845" t="s">
        <v>2564</v>
      </c>
      <c r="C9855" s="1007">
        <f t="shared" si="179"/>
        <v>34</v>
      </c>
      <c r="D9855" s="1012"/>
      <c r="I9855" s="1011" t="s">
        <v>2177</v>
      </c>
      <c r="K9855" s="1013"/>
    </row>
    <row r="9856" spans="1:11" s="1011" customFormat="1" ht="15" x14ac:dyDescent="0.25">
      <c r="A9856" s="859">
        <f t="shared" si="178"/>
        <v>9855</v>
      </c>
      <c r="B9856" s="845" t="s">
        <v>2564</v>
      </c>
      <c r="C9856" s="1007">
        <f t="shared" si="179"/>
        <v>34</v>
      </c>
      <c r="D9856" s="1015"/>
      <c r="I9856" s="1011" t="str">
        <f>CONCATENATE("&lt;valeur&gt;",VLOOKUP(C9856,'T16 Amort'!A:K,5,0),"&lt;/valeur&gt;")</f>
        <v>&lt;valeur&gt;&lt;/valeur&gt;</v>
      </c>
      <c r="K9856" s="1013"/>
    </row>
    <row r="9857" spans="1:11" s="1011" customFormat="1" ht="15" x14ac:dyDescent="0.25">
      <c r="A9857" s="859">
        <f t="shared" si="178"/>
        <v>9856</v>
      </c>
      <c r="B9857" s="845" t="s">
        <v>2564</v>
      </c>
      <c r="C9857" s="1007">
        <f t="shared" si="179"/>
        <v>34</v>
      </c>
      <c r="D9857" s="1012"/>
      <c r="I9857" s="1011" t="str">
        <f>CONCATENATE("&lt;numeroLigne&gt;",C9857,"&lt;/numeroLigne&gt;")</f>
        <v>&lt;numeroLigne&gt;34&lt;/numeroLigne&gt;</v>
      </c>
      <c r="K9857" s="1013"/>
    </row>
    <row r="9858" spans="1:11" s="1011" customFormat="1" ht="15" x14ac:dyDescent="0.25">
      <c r="A9858" s="859">
        <f t="shared" si="178"/>
        <v>9857</v>
      </c>
      <c r="B9858" s="845" t="s">
        <v>2564</v>
      </c>
      <c r="C9858" s="1007">
        <f t="shared" si="179"/>
        <v>34</v>
      </c>
      <c r="D9858" s="1012"/>
      <c r="H9858" s="1011" t="s">
        <v>1010</v>
      </c>
      <c r="K9858" s="1013"/>
    </row>
    <row r="9859" spans="1:11" s="1011" customFormat="1" ht="15" x14ac:dyDescent="0.25">
      <c r="A9859" s="859">
        <f t="shared" si="178"/>
        <v>9858</v>
      </c>
      <c r="B9859" s="845" t="s">
        <v>2564</v>
      </c>
      <c r="C9859" s="1007">
        <f t="shared" si="179"/>
        <v>34</v>
      </c>
      <c r="D9859" s="1014"/>
      <c r="H9859" s="1011" t="s">
        <v>1007</v>
      </c>
      <c r="K9859" s="1013"/>
    </row>
    <row r="9860" spans="1:11" s="1011" customFormat="1" ht="15" x14ac:dyDescent="0.25">
      <c r="A9860" s="859">
        <f t="shared" ref="A9860:A9923" si="180">+A9859+1</f>
        <v>9859</v>
      </c>
      <c r="B9860" s="845" t="s">
        <v>2564</v>
      </c>
      <c r="C9860" s="1007">
        <f t="shared" si="179"/>
        <v>34</v>
      </c>
      <c r="D9860" s="1014"/>
      <c r="I9860" s="1011" t="s">
        <v>2178</v>
      </c>
      <c r="K9860" s="1013"/>
    </row>
    <row r="9861" spans="1:11" s="1011" customFormat="1" ht="15" x14ac:dyDescent="0.25">
      <c r="A9861" s="859">
        <f t="shared" si="180"/>
        <v>9860</v>
      </c>
      <c r="B9861" s="845" t="s">
        <v>2564</v>
      </c>
      <c r="C9861" s="1007">
        <f t="shared" si="179"/>
        <v>34</v>
      </c>
      <c r="D9861" s="1012"/>
      <c r="I9861" s="1011" t="str">
        <f>CONCATENATE("&lt;valeur&gt;",VLOOKUP(C9861,'T16 Amort'!A:K,6,0),"&lt;/valeur&gt;")</f>
        <v>&lt;valeur&gt;&lt;/valeur&gt;</v>
      </c>
      <c r="K9861" s="1013"/>
    </row>
    <row r="9862" spans="1:11" s="1011" customFormat="1" ht="15" x14ac:dyDescent="0.25">
      <c r="A9862" s="859">
        <f t="shared" si="180"/>
        <v>9861</v>
      </c>
      <c r="B9862" s="845" t="s">
        <v>2564</v>
      </c>
      <c r="C9862" s="1007">
        <f t="shared" si="179"/>
        <v>34</v>
      </c>
      <c r="D9862" s="1015"/>
      <c r="I9862" s="1011" t="str">
        <f>CONCATENATE("&lt;numeroLigne&gt;",C9862,"&lt;/numeroLigne&gt;")</f>
        <v>&lt;numeroLigne&gt;34&lt;/numeroLigne&gt;</v>
      </c>
      <c r="K9862" s="1013"/>
    </row>
    <row r="9863" spans="1:11" s="1011" customFormat="1" ht="15" x14ac:dyDescent="0.25">
      <c r="A9863" s="859">
        <f t="shared" si="180"/>
        <v>9862</v>
      </c>
      <c r="B9863" s="845" t="s">
        <v>2564</v>
      </c>
      <c r="C9863" s="1007">
        <f t="shared" si="179"/>
        <v>34</v>
      </c>
      <c r="D9863" s="1012"/>
      <c r="H9863" s="1011" t="s">
        <v>1010</v>
      </c>
      <c r="K9863" s="1013"/>
    </row>
    <row r="9864" spans="1:11" s="1011" customFormat="1" ht="15" x14ac:dyDescent="0.25">
      <c r="A9864" s="859">
        <f t="shared" si="180"/>
        <v>9863</v>
      </c>
      <c r="B9864" s="845" t="s">
        <v>2564</v>
      </c>
      <c r="C9864" s="1007">
        <f t="shared" si="179"/>
        <v>34</v>
      </c>
      <c r="D9864" s="1012"/>
      <c r="H9864" s="1011" t="s">
        <v>1007</v>
      </c>
      <c r="K9864" s="1013"/>
    </row>
    <row r="9865" spans="1:11" s="1011" customFormat="1" ht="15" x14ac:dyDescent="0.25">
      <c r="A9865" s="859">
        <f t="shared" si="180"/>
        <v>9864</v>
      </c>
      <c r="B9865" s="845" t="s">
        <v>2564</v>
      </c>
      <c r="C9865" s="1007">
        <f t="shared" si="179"/>
        <v>34</v>
      </c>
      <c r="D9865" s="1014"/>
      <c r="I9865" s="1011" t="s">
        <v>2179</v>
      </c>
      <c r="K9865" s="1013"/>
    </row>
    <row r="9866" spans="1:11" s="1011" customFormat="1" ht="15" x14ac:dyDescent="0.25">
      <c r="A9866" s="859">
        <f t="shared" si="180"/>
        <v>9865</v>
      </c>
      <c r="B9866" s="845" t="s">
        <v>2564</v>
      </c>
      <c r="C9866" s="1007">
        <f t="shared" si="179"/>
        <v>34</v>
      </c>
      <c r="D9866" s="1014"/>
      <c r="I9866" s="1011" t="str">
        <f>CONCATENATE("&lt;valeur&gt;",VLOOKUP(C9866,'T16 Amort'!A:K,7,0),"&lt;/valeur&gt;")</f>
        <v>&lt;valeur&gt;&lt;/valeur&gt;</v>
      </c>
      <c r="K9866" s="1013"/>
    </row>
    <row r="9867" spans="1:11" s="1011" customFormat="1" ht="15" x14ac:dyDescent="0.25">
      <c r="A9867" s="859">
        <f t="shared" si="180"/>
        <v>9866</v>
      </c>
      <c r="B9867" s="845" t="s">
        <v>2564</v>
      </c>
      <c r="C9867" s="1007">
        <f t="shared" si="179"/>
        <v>34</v>
      </c>
      <c r="D9867" s="1012"/>
      <c r="I9867" s="1011" t="str">
        <f>CONCATENATE("&lt;numeroLigne&gt;",C9867,"&lt;/numeroLigne&gt;")</f>
        <v>&lt;numeroLigne&gt;34&lt;/numeroLigne&gt;</v>
      </c>
      <c r="K9867" s="1013"/>
    </row>
    <row r="9868" spans="1:11" s="1011" customFormat="1" ht="15" x14ac:dyDescent="0.25">
      <c r="A9868" s="859">
        <f t="shared" si="180"/>
        <v>9867</v>
      </c>
      <c r="B9868" s="845" t="s">
        <v>2564</v>
      </c>
      <c r="C9868" s="1007">
        <f t="shared" si="179"/>
        <v>34</v>
      </c>
      <c r="D9868" s="1015"/>
      <c r="H9868" s="1011" t="s">
        <v>1010</v>
      </c>
      <c r="K9868" s="1013"/>
    </row>
    <row r="9869" spans="1:11" s="1011" customFormat="1" ht="15" x14ac:dyDescent="0.25">
      <c r="A9869" s="859">
        <f t="shared" si="180"/>
        <v>9868</v>
      </c>
      <c r="B9869" s="845" t="s">
        <v>2564</v>
      </c>
      <c r="C9869" s="1007">
        <f t="shared" si="179"/>
        <v>34</v>
      </c>
      <c r="D9869" s="1012"/>
      <c r="H9869" s="1011" t="s">
        <v>1007</v>
      </c>
      <c r="K9869" s="1013"/>
    </row>
    <row r="9870" spans="1:11" s="1011" customFormat="1" ht="15" x14ac:dyDescent="0.25">
      <c r="A9870" s="859">
        <f t="shared" si="180"/>
        <v>9869</v>
      </c>
      <c r="B9870" s="845" t="s">
        <v>2564</v>
      </c>
      <c r="C9870" s="1007">
        <f t="shared" si="179"/>
        <v>34</v>
      </c>
      <c r="D9870" s="1012"/>
      <c r="I9870" s="1011" t="s">
        <v>2180</v>
      </c>
      <c r="K9870" s="1013"/>
    </row>
    <row r="9871" spans="1:11" s="1011" customFormat="1" ht="15" x14ac:dyDescent="0.25">
      <c r="A9871" s="859">
        <f t="shared" si="180"/>
        <v>9870</v>
      </c>
      <c r="B9871" s="845" t="s">
        <v>2564</v>
      </c>
      <c r="C9871" s="1007">
        <f t="shared" si="179"/>
        <v>34</v>
      </c>
      <c r="D9871" s="1014"/>
      <c r="I9871" s="1011" t="str">
        <f>CONCATENATE("&lt;valeur&gt;",VLOOKUP(C9871,'T16 Amort'!A:K,8,0),"&lt;/valeur&gt;")</f>
        <v>&lt;valeur&gt;&lt;/valeur&gt;</v>
      </c>
      <c r="K9871" s="1013"/>
    </row>
    <row r="9872" spans="1:11" s="1011" customFormat="1" ht="15" x14ac:dyDescent="0.25">
      <c r="A9872" s="859">
        <f t="shared" si="180"/>
        <v>9871</v>
      </c>
      <c r="B9872" s="845" t="s">
        <v>2564</v>
      </c>
      <c r="C9872" s="1007">
        <f t="shared" si="179"/>
        <v>34</v>
      </c>
      <c r="D9872" s="1014"/>
      <c r="I9872" s="1011" t="str">
        <f>CONCATENATE("&lt;numeroLigne&gt;",C9872,"&lt;/numeroLigne&gt;")</f>
        <v>&lt;numeroLigne&gt;34&lt;/numeroLigne&gt;</v>
      </c>
      <c r="K9872" s="1013"/>
    </row>
    <row r="9873" spans="1:11" s="1011" customFormat="1" ht="15" x14ac:dyDescent="0.25">
      <c r="A9873" s="859">
        <f t="shared" si="180"/>
        <v>9872</v>
      </c>
      <c r="B9873" s="845" t="s">
        <v>2564</v>
      </c>
      <c r="C9873" s="1007">
        <f t="shared" si="179"/>
        <v>34</v>
      </c>
      <c r="D9873" s="1012"/>
      <c r="H9873" s="1011" t="s">
        <v>1010</v>
      </c>
      <c r="K9873" s="1013"/>
    </row>
    <row r="9874" spans="1:11" s="1011" customFormat="1" ht="15" x14ac:dyDescent="0.25">
      <c r="A9874" s="859">
        <f t="shared" si="180"/>
        <v>9873</v>
      </c>
      <c r="B9874" s="845" t="s">
        <v>2564</v>
      </c>
      <c r="C9874" s="1007">
        <f t="shared" si="179"/>
        <v>34</v>
      </c>
      <c r="D9874" s="1015"/>
      <c r="H9874" s="1011" t="s">
        <v>1007</v>
      </c>
      <c r="K9874" s="1013"/>
    </row>
    <row r="9875" spans="1:11" s="1011" customFormat="1" ht="15" x14ac:dyDescent="0.25">
      <c r="A9875" s="859">
        <f t="shared" si="180"/>
        <v>9874</v>
      </c>
      <c r="B9875" s="845" t="s">
        <v>2564</v>
      </c>
      <c r="C9875" s="1007">
        <f t="shared" si="179"/>
        <v>34</v>
      </c>
      <c r="D9875" s="1012"/>
      <c r="I9875" s="1011" t="s">
        <v>2181</v>
      </c>
      <c r="K9875" s="1013"/>
    </row>
    <row r="9876" spans="1:11" s="1011" customFormat="1" ht="15" x14ac:dyDescent="0.25">
      <c r="A9876" s="859">
        <f t="shared" si="180"/>
        <v>9875</v>
      </c>
      <c r="B9876" s="845" t="s">
        <v>2564</v>
      </c>
      <c r="C9876" s="1007">
        <f t="shared" si="179"/>
        <v>34</v>
      </c>
      <c r="D9876" s="1012"/>
      <c r="I9876" s="1011" t="str">
        <f>CONCATENATE("&lt;valeur&gt;",VLOOKUP(C9876,'T16 Amort'!A:K,9,0),"&lt;/valeur&gt;")</f>
        <v>&lt;valeur&gt;&lt;/valeur&gt;</v>
      </c>
      <c r="K9876" s="1013"/>
    </row>
    <row r="9877" spans="1:11" s="1011" customFormat="1" ht="15" x14ac:dyDescent="0.25">
      <c r="A9877" s="859">
        <f t="shared" si="180"/>
        <v>9876</v>
      </c>
      <c r="B9877" s="845" t="s">
        <v>2564</v>
      </c>
      <c r="C9877" s="1007">
        <f t="shared" si="179"/>
        <v>34</v>
      </c>
      <c r="D9877" s="1014"/>
      <c r="I9877" s="1011" t="str">
        <f>CONCATENATE("&lt;numeroLigne&gt;",C9877,"&lt;/numeroLigne&gt;")</f>
        <v>&lt;numeroLigne&gt;34&lt;/numeroLigne&gt;</v>
      </c>
      <c r="K9877" s="1013"/>
    </row>
    <row r="9878" spans="1:11" s="1011" customFormat="1" ht="15" x14ac:dyDescent="0.25">
      <c r="A9878" s="859">
        <f t="shared" si="180"/>
        <v>9877</v>
      </c>
      <c r="B9878" s="845" t="s">
        <v>2564</v>
      </c>
      <c r="C9878" s="1007">
        <f t="shared" si="179"/>
        <v>34</v>
      </c>
      <c r="D9878" s="1014"/>
      <c r="H9878" s="1011" t="s">
        <v>1010</v>
      </c>
      <c r="K9878" s="1013"/>
    </row>
    <row r="9879" spans="1:11" s="1011" customFormat="1" ht="15" x14ac:dyDescent="0.25">
      <c r="A9879" s="859">
        <f t="shared" si="180"/>
        <v>9878</v>
      </c>
      <c r="B9879" s="845" t="s">
        <v>2564</v>
      </c>
      <c r="C9879" s="1007">
        <f t="shared" si="179"/>
        <v>34</v>
      </c>
      <c r="D9879" s="1012"/>
      <c r="H9879" s="1011" t="s">
        <v>1007</v>
      </c>
      <c r="K9879" s="1013"/>
    </row>
    <row r="9880" spans="1:11" s="1011" customFormat="1" ht="15" x14ac:dyDescent="0.25">
      <c r="A9880" s="859">
        <f t="shared" si="180"/>
        <v>9879</v>
      </c>
      <c r="B9880" s="845" t="s">
        <v>2564</v>
      </c>
      <c r="C9880" s="1007">
        <f t="shared" si="179"/>
        <v>34</v>
      </c>
      <c r="D9880" s="1015"/>
      <c r="I9880" s="1011" t="s">
        <v>2182</v>
      </c>
      <c r="K9880" s="1013"/>
    </row>
    <row r="9881" spans="1:11" s="1011" customFormat="1" ht="15" x14ac:dyDescent="0.25">
      <c r="A9881" s="859">
        <f t="shared" si="180"/>
        <v>9880</v>
      </c>
      <c r="B9881" s="845" t="s">
        <v>2564</v>
      </c>
      <c r="C9881" s="1007">
        <f t="shared" si="179"/>
        <v>34</v>
      </c>
      <c r="D9881" s="1012"/>
      <c r="I9881" s="1011" t="str">
        <f>CONCATENATE("&lt;valeur&gt;",VLOOKUP(C9881,'T16 Amort'!A:K,10,0),"&lt;/valeur&gt;")</f>
        <v>&lt;valeur&gt;&lt;/valeur&gt;</v>
      </c>
      <c r="K9881" s="1013"/>
    </row>
    <row r="9882" spans="1:11" s="1011" customFormat="1" ht="15" x14ac:dyDescent="0.25">
      <c r="A9882" s="859">
        <f t="shared" si="180"/>
        <v>9881</v>
      </c>
      <c r="B9882" s="845" t="s">
        <v>2564</v>
      </c>
      <c r="C9882" s="1007">
        <f t="shared" si="179"/>
        <v>34</v>
      </c>
      <c r="D9882" s="1012"/>
      <c r="I9882" s="1011" t="str">
        <f>CONCATENATE("&lt;numeroLigne&gt;",C9882,"&lt;/numeroLigne&gt;")</f>
        <v>&lt;numeroLigne&gt;34&lt;/numeroLigne&gt;</v>
      </c>
      <c r="K9882" s="1013"/>
    </row>
    <row r="9883" spans="1:11" s="1011" customFormat="1" ht="15" x14ac:dyDescent="0.25">
      <c r="A9883" s="859">
        <f t="shared" si="180"/>
        <v>9882</v>
      </c>
      <c r="B9883" s="845" t="s">
        <v>2564</v>
      </c>
      <c r="C9883" s="1007">
        <f t="shared" si="179"/>
        <v>34</v>
      </c>
      <c r="D9883" s="1014"/>
      <c r="H9883" s="1011" t="s">
        <v>1010</v>
      </c>
      <c r="K9883" s="1013"/>
    </row>
    <row r="9884" spans="1:11" s="1011" customFormat="1" ht="15" x14ac:dyDescent="0.25">
      <c r="A9884" s="859">
        <f t="shared" si="180"/>
        <v>9883</v>
      </c>
      <c r="B9884" s="845" t="s">
        <v>2564</v>
      </c>
      <c r="C9884" s="1007">
        <f t="shared" si="179"/>
        <v>34</v>
      </c>
      <c r="D9884" s="1014"/>
      <c r="H9884" s="1011" t="s">
        <v>1007</v>
      </c>
      <c r="K9884" s="1013"/>
    </row>
    <row r="9885" spans="1:11" s="1011" customFormat="1" ht="15" x14ac:dyDescent="0.25">
      <c r="A9885" s="859">
        <f t="shared" si="180"/>
        <v>9884</v>
      </c>
      <c r="B9885" s="845" t="s">
        <v>2564</v>
      </c>
      <c r="C9885" s="1007">
        <f t="shared" si="179"/>
        <v>34</v>
      </c>
      <c r="D9885" s="1012"/>
      <c r="I9885" s="1011" t="s">
        <v>2183</v>
      </c>
      <c r="K9885" s="1013"/>
    </row>
    <row r="9886" spans="1:11" s="1011" customFormat="1" ht="15" x14ac:dyDescent="0.25">
      <c r="A9886" s="859">
        <f t="shared" si="180"/>
        <v>9885</v>
      </c>
      <c r="B9886" s="845" t="s">
        <v>2564</v>
      </c>
      <c r="C9886" s="1007">
        <f t="shared" si="179"/>
        <v>34</v>
      </c>
      <c r="D9886" s="1015"/>
      <c r="I9886" s="1011" t="str">
        <f>CONCATENATE("&lt;valeur&gt;",VLOOKUP(C9886,'T16 Amort'!A:K,11,0),"&lt;/valeur&gt;")</f>
        <v>&lt;valeur&gt;&lt;/valeur&gt;</v>
      </c>
      <c r="K9886" s="1013"/>
    </row>
    <row r="9887" spans="1:11" s="1011" customFormat="1" ht="15" x14ac:dyDescent="0.25">
      <c r="A9887" s="859">
        <f t="shared" si="180"/>
        <v>9886</v>
      </c>
      <c r="B9887" s="845" t="s">
        <v>2564</v>
      </c>
      <c r="C9887" s="1007">
        <f t="shared" si="179"/>
        <v>34</v>
      </c>
      <c r="D9887" s="1012"/>
      <c r="I9887" s="1011" t="str">
        <f>CONCATENATE("&lt;numeroLigne&gt;",C9887,"&lt;/numeroLigne&gt;")</f>
        <v>&lt;numeroLigne&gt;34&lt;/numeroLigne&gt;</v>
      </c>
      <c r="K9887" s="1013"/>
    </row>
    <row r="9888" spans="1:11" s="1011" customFormat="1" ht="15" x14ac:dyDescent="0.25">
      <c r="A9888" s="859">
        <f t="shared" si="180"/>
        <v>9887</v>
      </c>
      <c r="B9888" s="845" t="s">
        <v>2564</v>
      </c>
      <c r="C9888" s="1007">
        <f t="shared" si="179"/>
        <v>34</v>
      </c>
      <c r="D9888" s="1016"/>
      <c r="E9888" s="1017"/>
      <c r="F9888" s="1017"/>
      <c r="G9888" s="1017"/>
      <c r="H9888" s="1017" t="s">
        <v>1010</v>
      </c>
      <c r="I9888" s="1017"/>
      <c r="J9888" s="1017"/>
      <c r="K9888" s="1018"/>
    </row>
    <row r="9889" spans="1:11" s="1011" customFormat="1" ht="15" x14ac:dyDescent="0.25">
      <c r="A9889" s="859">
        <f t="shared" si="180"/>
        <v>9888</v>
      </c>
      <c r="B9889" s="845" t="s">
        <v>2564</v>
      </c>
      <c r="C9889" s="1007">
        <f t="shared" si="179"/>
        <v>35</v>
      </c>
      <c r="D9889" s="1008"/>
      <c r="E9889" s="1009"/>
      <c r="F9889" s="1009"/>
      <c r="G9889" s="1009"/>
      <c r="H9889" s="1009" t="s">
        <v>1007</v>
      </c>
      <c r="I9889" s="1009"/>
      <c r="J9889" s="1009"/>
      <c r="K9889" s="1010"/>
    </row>
    <row r="9890" spans="1:11" s="1011" customFormat="1" ht="15" x14ac:dyDescent="0.25">
      <c r="A9890" s="859">
        <f t="shared" si="180"/>
        <v>9889</v>
      </c>
      <c r="B9890" s="845" t="s">
        <v>2564</v>
      </c>
      <c r="C9890" s="1007">
        <f t="shared" si="179"/>
        <v>35</v>
      </c>
      <c r="D9890" s="1012"/>
      <c r="I9890" s="1011" t="s">
        <v>2174</v>
      </c>
      <c r="K9890" s="1013"/>
    </row>
    <row r="9891" spans="1:11" s="1011" customFormat="1" ht="15" x14ac:dyDescent="0.25">
      <c r="A9891" s="859">
        <f t="shared" si="180"/>
        <v>9890</v>
      </c>
      <c r="B9891" s="845" t="s">
        <v>2564</v>
      </c>
      <c r="C9891" s="1007">
        <f t="shared" si="179"/>
        <v>35</v>
      </c>
      <c r="D9891" s="1014"/>
      <c r="I9891" s="1011" t="str">
        <f>CONCATENATE("&lt;valeur&gt;",VLOOKUP(C9891,'T16 Amort'!A:K,2,0),"&lt;/valeur&gt;")</f>
        <v>&lt;valeur&gt;&lt;/valeur&gt;</v>
      </c>
      <c r="K9891" s="1013"/>
    </row>
    <row r="9892" spans="1:11" s="1011" customFormat="1" ht="15" x14ac:dyDescent="0.25">
      <c r="A9892" s="859">
        <f t="shared" si="180"/>
        <v>9891</v>
      </c>
      <c r="B9892" s="845" t="s">
        <v>2564</v>
      </c>
      <c r="C9892" s="1007">
        <f t="shared" si="179"/>
        <v>35</v>
      </c>
      <c r="D9892" s="1014"/>
      <c r="I9892" s="1011" t="str">
        <f>CONCATENATE("&lt;numeroLigne&gt;",C9892,"&lt;/numeroLigne&gt;")</f>
        <v>&lt;numeroLigne&gt;35&lt;/numeroLigne&gt;</v>
      </c>
      <c r="K9892" s="1013"/>
    </row>
    <row r="9893" spans="1:11" s="1011" customFormat="1" ht="15" x14ac:dyDescent="0.25">
      <c r="A9893" s="859">
        <f t="shared" si="180"/>
        <v>9892</v>
      </c>
      <c r="B9893" s="845" t="s">
        <v>2564</v>
      </c>
      <c r="C9893" s="1007">
        <f t="shared" si="179"/>
        <v>35</v>
      </c>
      <c r="D9893" s="1012"/>
      <c r="H9893" s="1011" t="s">
        <v>1010</v>
      </c>
      <c r="K9893" s="1013"/>
    </row>
    <row r="9894" spans="1:11" s="1011" customFormat="1" ht="15" x14ac:dyDescent="0.25">
      <c r="A9894" s="859">
        <f t="shared" si="180"/>
        <v>9893</v>
      </c>
      <c r="B9894" s="845" t="s">
        <v>2564</v>
      </c>
      <c r="C9894" s="1007">
        <f t="shared" si="179"/>
        <v>35</v>
      </c>
      <c r="D9894" s="1015"/>
      <c r="H9894" s="1011" t="s">
        <v>1007</v>
      </c>
      <c r="K9894" s="1013"/>
    </row>
    <row r="9895" spans="1:11" s="1011" customFormat="1" ht="15" x14ac:dyDescent="0.25">
      <c r="A9895" s="859">
        <f t="shared" si="180"/>
        <v>9894</v>
      </c>
      <c r="B9895" s="845" t="s">
        <v>2564</v>
      </c>
      <c r="C9895" s="1007">
        <f t="shared" si="179"/>
        <v>35</v>
      </c>
      <c r="D9895" s="1012"/>
      <c r="I9895" s="1011" t="s">
        <v>2175</v>
      </c>
      <c r="K9895" s="1013"/>
    </row>
    <row r="9896" spans="1:11" s="1011" customFormat="1" ht="15" x14ac:dyDescent="0.25">
      <c r="A9896" s="859">
        <f t="shared" si="180"/>
        <v>9895</v>
      </c>
      <c r="B9896" s="845" t="s">
        <v>2564</v>
      </c>
      <c r="C9896" s="1007">
        <f t="shared" si="179"/>
        <v>35</v>
      </c>
      <c r="D9896" s="1012"/>
      <c r="I9896" s="1011" t="str">
        <f>CONCATENATE("&lt;valeur&gt;",VLOOKUP(C9896,'T16 Amort'!A:K,3,0),"&lt;/valeur&gt;")</f>
        <v>&lt;valeur&gt;&lt;/valeur&gt;</v>
      </c>
      <c r="K9896" s="1013"/>
    </row>
    <row r="9897" spans="1:11" s="1011" customFormat="1" ht="15" x14ac:dyDescent="0.25">
      <c r="A9897" s="859">
        <f t="shared" si="180"/>
        <v>9896</v>
      </c>
      <c r="B9897" s="845" t="s">
        <v>2564</v>
      </c>
      <c r="C9897" s="1007">
        <f t="shared" si="179"/>
        <v>35</v>
      </c>
      <c r="D9897" s="1014"/>
      <c r="I9897" s="1011" t="str">
        <f>CONCATENATE("&lt;numeroLigne&gt;",C9897,"&lt;/numeroLigne&gt;")</f>
        <v>&lt;numeroLigne&gt;35&lt;/numeroLigne&gt;</v>
      </c>
      <c r="K9897" s="1013"/>
    </row>
    <row r="9898" spans="1:11" s="1011" customFormat="1" ht="15" x14ac:dyDescent="0.25">
      <c r="A9898" s="859">
        <f t="shared" si="180"/>
        <v>9897</v>
      </c>
      <c r="B9898" s="845" t="s">
        <v>2564</v>
      </c>
      <c r="C9898" s="1007">
        <f t="shared" si="179"/>
        <v>35</v>
      </c>
      <c r="D9898" s="1014"/>
      <c r="H9898" s="1011" t="s">
        <v>1010</v>
      </c>
      <c r="K9898" s="1013"/>
    </row>
    <row r="9899" spans="1:11" s="1011" customFormat="1" ht="15" x14ac:dyDescent="0.25">
      <c r="A9899" s="859">
        <f t="shared" si="180"/>
        <v>9898</v>
      </c>
      <c r="B9899" s="845" t="s">
        <v>2564</v>
      </c>
      <c r="C9899" s="1007">
        <f t="shared" si="179"/>
        <v>35</v>
      </c>
      <c r="D9899" s="1012"/>
      <c r="H9899" s="1011" t="s">
        <v>1007</v>
      </c>
      <c r="K9899" s="1013"/>
    </row>
    <row r="9900" spans="1:11" s="1011" customFormat="1" ht="15" x14ac:dyDescent="0.25">
      <c r="A9900" s="859">
        <f t="shared" si="180"/>
        <v>9899</v>
      </c>
      <c r="B9900" s="845" t="s">
        <v>2564</v>
      </c>
      <c r="C9900" s="1007">
        <f t="shared" si="179"/>
        <v>35</v>
      </c>
      <c r="D9900" s="1015"/>
      <c r="I9900" s="1011" t="s">
        <v>2176</v>
      </c>
      <c r="K9900" s="1013"/>
    </row>
    <row r="9901" spans="1:11" s="1011" customFormat="1" ht="15" x14ac:dyDescent="0.25">
      <c r="A9901" s="859">
        <f t="shared" si="180"/>
        <v>9900</v>
      </c>
      <c r="B9901" s="845" t="s">
        <v>2564</v>
      </c>
      <c r="C9901" s="1007">
        <f t="shared" si="179"/>
        <v>35</v>
      </c>
      <c r="D9901" s="1012"/>
      <c r="I9901" s="1011" t="str">
        <f>CONCATENATE("&lt;valeur&gt;",VLOOKUP(C9901,'T16 Amort'!A:K,4,0),"&lt;/valeur&gt;")</f>
        <v>&lt;valeur&gt;&lt;/valeur&gt;</v>
      </c>
      <c r="K9901" s="1013"/>
    </row>
    <row r="9902" spans="1:11" s="1011" customFormat="1" ht="15" x14ac:dyDescent="0.25">
      <c r="A9902" s="859">
        <f t="shared" si="180"/>
        <v>9901</v>
      </c>
      <c r="B9902" s="845" t="s">
        <v>2564</v>
      </c>
      <c r="C9902" s="1007">
        <f t="shared" si="179"/>
        <v>35</v>
      </c>
      <c r="D9902" s="1012"/>
      <c r="I9902" s="1011" t="str">
        <f>CONCATENATE("&lt;numeroLigne&gt;",C9902,"&lt;/numeroLigne&gt;")</f>
        <v>&lt;numeroLigne&gt;35&lt;/numeroLigne&gt;</v>
      </c>
      <c r="K9902" s="1013"/>
    </row>
    <row r="9903" spans="1:11" s="1011" customFormat="1" ht="15" x14ac:dyDescent="0.25">
      <c r="A9903" s="859">
        <f t="shared" si="180"/>
        <v>9902</v>
      </c>
      <c r="B9903" s="845" t="s">
        <v>2564</v>
      </c>
      <c r="C9903" s="1007">
        <f t="shared" ref="C9903:C9966" si="181">C9853+1</f>
        <v>35</v>
      </c>
      <c r="D9903" s="1014"/>
      <c r="H9903" s="1011" t="s">
        <v>1010</v>
      </c>
      <c r="K9903" s="1013"/>
    </row>
    <row r="9904" spans="1:11" s="1011" customFormat="1" ht="15" x14ac:dyDescent="0.25">
      <c r="A9904" s="859">
        <f t="shared" si="180"/>
        <v>9903</v>
      </c>
      <c r="B9904" s="845" t="s">
        <v>2564</v>
      </c>
      <c r="C9904" s="1007">
        <f t="shared" si="181"/>
        <v>35</v>
      </c>
      <c r="D9904" s="1014"/>
      <c r="H9904" s="1011" t="s">
        <v>1007</v>
      </c>
      <c r="K9904" s="1013"/>
    </row>
    <row r="9905" spans="1:11" s="1011" customFormat="1" ht="15" x14ac:dyDescent="0.25">
      <c r="A9905" s="859">
        <f t="shared" si="180"/>
        <v>9904</v>
      </c>
      <c r="B9905" s="845" t="s">
        <v>2564</v>
      </c>
      <c r="C9905" s="1007">
        <f t="shared" si="181"/>
        <v>35</v>
      </c>
      <c r="D9905" s="1012"/>
      <c r="I9905" s="1011" t="s">
        <v>2177</v>
      </c>
      <c r="K9905" s="1013"/>
    </row>
    <row r="9906" spans="1:11" s="1011" customFormat="1" ht="15" x14ac:dyDescent="0.25">
      <c r="A9906" s="859">
        <f t="shared" si="180"/>
        <v>9905</v>
      </c>
      <c r="B9906" s="845" t="s">
        <v>2564</v>
      </c>
      <c r="C9906" s="1007">
        <f t="shared" si="181"/>
        <v>35</v>
      </c>
      <c r="D9906" s="1015"/>
      <c r="I9906" s="1011" t="str">
        <f>CONCATENATE("&lt;valeur&gt;",VLOOKUP(C9906,'T16 Amort'!A:K,5,0),"&lt;/valeur&gt;")</f>
        <v>&lt;valeur&gt;&lt;/valeur&gt;</v>
      </c>
      <c r="K9906" s="1013"/>
    </row>
    <row r="9907" spans="1:11" s="1011" customFormat="1" ht="15" x14ac:dyDescent="0.25">
      <c r="A9907" s="859">
        <f t="shared" si="180"/>
        <v>9906</v>
      </c>
      <c r="B9907" s="845" t="s">
        <v>2564</v>
      </c>
      <c r="C9907" s="1007">
        <f t="shared" si="181"/>
        <v>35</v>
      </c>
      <c r="D9907" s="1012"/>
      <c r="I9907" s="1011" t="str">
        <f>CONCATENATE("&lt;numeroLigne&gt;",C9907,"&lt;/numeroLigne&gt;")</f>
        <v>&lt;numeroLigne&gt;35&lt;/numeroLigne&gt;</v>
      </c>
      <c r="K9907" s="1013"/>
    </row>
    <row r="9908" spans="1:11" s="1011" customFormat="1" ht="15" x14ac:dyDescent="0.25">
      <c r="A9908" s="859">
        <f t="shared" si="180"/>
        <v>9907</v>
      </c>
      <c r="B9908" s="845" t="s">
        <v>2564</v>
      </c>
      <c r="C9908" s="1007">
        <f t="shared" si="181"/>
        <v>35</v>
      </c>
      <c r="D9908" s="1012"/>
      <c r="H9908" s="1011" t="s">
        <v>1010</v>
      </c>
      <c r="K9908" s="1013"/>
    </row>
    <row r="9909" spans="1:11" s="1011" customFormat="1" ht="15" x14ac:dyDescent="0.25">
      <c r="A9909" s="859">
        <f t="shared" si="180"/>
        <v>9908</v>
      </c>
      <c r="B9909" s="845" t="s">
        <v>2564</v>
      </c>
      <c r="C9909" s="1007">
        <f t="shared" si="181"/>
        <v>35</v>
      </c>
      <c r="D9909" s="1014"/>
      <c r="H9909" s="1011" t="s">
        <v>1007</v>
      </c>
      <c r="K9909" s="1013"/>
    </row>
    <row r="9910" spans="1:11" s="1011" customFormat="1" ht="15" x14ac:dyDescent="0.25">
      <c r="A9910" s="859">
        <f t="shared" si="180"/>
        <v>9909</v>
      </c>
      <c r="B9910" s="845" t="s">
        <v>2564</v>
      </c>
      <c r="C9910" s="1007">
        <f t="shared" si="181"/>
        <v>35</v>
      </c>
      <c r="D9910" s="1014"/>
      <c r="I9910" s="1011" t="s">
        <v>2178</v>
      </c>
      <c r="K9910" s="1013"/>
    </row>
    <row r="9911" spans="1:11" s="1011" customFormat="1" ht="15" x14ac:dyDescent="0.25">
      <c r="A9911" s="859">
        <f t="shared" si="180"/>
        <v>9910</v>
      </c>
      <c r="B9911" s="845" t="s">
        <v>2564</v>
      </c>
      <c r="C9911" s="1007">
        <f t="shared" si="181"/>
        <v>35</v>
      </c>
      <c r="D9911" s="1012"/>
      <c r="I9911" s="1011" t="str">
        <f>CONCATENATE("&lt;valeur&gt;",VLOOKUP(C9911,'T16 Amort'!A:K,6,0),"&lt;/valeur&gt;")</f>
        <v>&lt;valeur&gt;&lt;/valeur&gt;</v>
      </c>
      <c r="K9911" s="1013"/>
    </row>
    <row r="9912" spans="1:11" s="1011" customFormat="1" ht="15" x14ac:dyDescent="0.25">
      <c r="A9912" s="859">
        <f t="shared" si="180"/>
        <v>9911</v>
      </c>
      <c r="B9912" s="845" t="s">
        <v>2564</v>
      </c>
      <c r="C9912" s="1007">
        <f t="shared" si="181"/>
        <v>35</v>
      </c>
      <c r="D9912" s="1015"/>
      <c r="I9912" s="1011" t="str">
        <f>CONCATENATE("&lt;numeroLigne&gt;",C9912,"&lt;/numeroLigne&gt;")</f>
        <v>&lt;numeroLigne&gt;35&lt;/numeroLigne&gt;</v>
      </c>
      <c r="K9912" s="1013"/>
    </row>
    <row r="9913" spans="1:11" s="1011" customFormat="1" ht="15" x14ac:dyDescent="0.25">
      <c r="A9913" s="859">
        <f t="shared" si="180"/>
        <v>9912</v>
      </c>
      <c r="B9913" s="845" t="s">
        <v>2564</v>
      </c>
      <c r="C9913" s="1007">
        <f t="shared" si="181"/>
        <v>35</v>
      </c>
      <c r="D9913" s="1012"/>
      <c r="H9913" s="1011" t="s">
        <v>1010</v>
      </c>
      <c r="K9913" s="1013"/>
    </row>
    <row r="9914" spans="1:11" s="1011" customFormat="1" ht="15" x14ac:dyDescent="0.25">
      <c r="A9914" s="859">
        <f t="shared" si="180"/>
        <v>9913</v>
      </c>
      <c r="B9914" s="845" t="s">
        <v>2564</v>
      </c>
      <c r="C9914" s="1007">
        <f t="shared" si="181"/>
        <v>35</v>
      </c>
      <c r="D9914" s="1012"/>
      <c r="H9914" s="1011" t="s">
        <v>1007</v>
      </c>
      <c r="K9914" s="1013"/>
    </row>
    <row r="9915" spans="1:11" s="1011" customFormat="1" ht="15" x14ac:dyDescent="0.25">
      <c r="A9915" s="859">
        <f t="shared" si="180"/>
        <v>9914</v>
      </c>
      <c r="B9915" s="845" t="s">
        <v>2564</v>
      </c>
      <c r="C9915" s="1007">
        <f t="shared" si="181"/>
        <v>35</v>
      </c>
      <c r="D9915" s="1014"/>
      <c r="I9915" s="1011" t="s">
        <v>2179</v>
      </c>
      <c r="K9915" s="1013"/>
    </row>
    <row r="9916" spans="1:11" s="1011" customFormat="1" ht="15" x14ac:dyDescent="0.25">
      <c r="A9916" s="859">
        <f t="shared" si="180"/>
        <v>9915</v>
      </c>
      <c r="B9916" s="845" t="s">
        <v>2564</v>
      </c>
      <c r="C9916" s="1007">
        <f t="shared" si="181"/>
        <v>35</v>
      </c>
      <c r="D9916" s="1014"/>
      <c r="I9916" s="1011" t="str">
        <f>CONCATENATE("&lt;valeur&gt;",VLOOKUP(C9916,'T16 Amort'!A:K,7,0),"&lt;/valeur&gt;")</f>
        <v>&lt;valeur&gt;&lt;/valeur&gt;</v>
      </c>
      <c r="K9916" s="1013"/>
    </row>
    <row r="9917" spans="1:11" s="1011" customFormat="1" ht="15" x14ac:dyDescent="0.25">
      <c r="A9917" s="859">
        <f t="shared" si="180"/>
        <v>9916</v>
      </c>
      <c r="B9917" s="845" t="s">
        <v>2564</v>
      </c>
      <c r="C9917" s="1007">
        <f t="shared" si="181"/>
        <v>35</v>
      </c>
      <c r="D9917" s="1012"/>
      <c r="I9917" s="1011" t="str">
        <f>CONCATENATE("&lt;numeroLigne&gt;",C9917,"&lt;/numeroLigne&gt;")</f>
        <v>&lt;numeroLigne&gt;35&lt;/numeroLigne&gt;</v>
      </c>
      <c r="K9917" s="1013"/>
    </row>
    <row r="9918" spans="1:11" s="1011" customFormat="1" ht="15" x14ac:dyDescent="0.25">
      <c r="A9918" s="859">
        <f t="shared" si="180"/>
        <v>9917</v>
      </c>
      <c r="B9918" s="845" t="s">
        <v>2564</v>
      </c>
      <c r="C9918" s="1007">
        <f t="shared" si="181"/>
        <v>35</v>
      </c>
      <c r="D9918" s="1015"/>
      <c r="H9918" s="1011" t="s">
        <v>1010</v>
      </c>
      <c r="K9918" s="1013"/>
    </row>
    <row r="9919" spans="1:11" s="1011" customFormat="1" ht="15" x14ac:dyDescent="0.25">
      <c r="A9919" s="859">
        <f t="shared" si="180"/>
        <v>9918</v>
      </c>
      <c r="B9919" s="845" t="s">
        <v>2564</v>
      </c>
      <c r="C9919" s="1007">
        <f t="shared" si="181"/>
        <v>35</v>
      </c>
      <c r="D9919" s="1012"/>
      <c r="H9919" s="1011" t="s">
        <v>1007</v>
      </c>
      <c r="K9919" s="1013"/>
    </row>
    <row r="9920" spans="1:11" s="1011" customFormat="1" ht="15" x14ac:dyDescent="0.25">
      <c r="A9920" s="859">
        <f t="shared" si="180"/>
        <v>9919</v>
      </c>
      <c r="B9920" s="845" t="s">
        <v>2564</v>
      </c>
      <c r="C9920" s="1007">
        <f t="shared" si="181"/>
        <v>35</v>
      </c>
      <c r="D9920" s="1012"/>
      <c r="I9920" s="1011" t="s">
        <v>2180</v>
      </c>
      <c r="K9920" s="1013"/>
    </row>
    <row r="9921" spans="1:11" s="1011" customFormat="1" ht="15" x14ac:dyDescent="0.25">
      <c r="A9921" s="859">
        <f t="shared" si="180"/>
        <v>9920</v>
      </c>
      <c r="B9921" s="845" t="s">
        <v>2564</v>
      </c>
      <c r="C9921" s="1007">
        <f t="shared" si="181"/>
        <v>35</v>
      </c>
      <c r="D9921" s="1014"/>
      <c r="I9921" s="1011" t="str">
        <f>CONCATENATE("&lt;valeur&gt;",VLOOKUP(C9921,'T16 Amort'!A:K,8,0),"&lt;/valeur&gt;")</f>
        <v>&lt;valeur&gt;&lt;/valeur&gt;</v>
      </c>
      <c r="K9921" s="1013"/>
    </row>
    <row r="9922" spans="1:11" s="1011" customFormat="1" ht="15" x14ac:dyDescent="0.25">
      <c r="A9922" s="859">
        <f t="shared" si="180"/>
        <v>9921</v>
      </c>
      <c r="B9922" s="845" t="s">
        <v>2564</v>
      </c>
      <c r="C9922" s="1007">
        <f t="shared" si="181"/>
        <v>35</v>
      </c>
      <c r="D9922" s="1014"/>
      <c r="I9922" s="1011" t="str">
        <f>CONCATENATE("&lt;numeroLigne&gt;",C9922,"&lt;/numeroLigne&gt;")</f>
        <v>&lt;numeroLigne&gt;35&lt;/numeroLigne&gt;</v>
      </c>
      <c r="K9922" s="1013"/>
    </row>
    <row r="9923" spans="1:11" s="1011" customFormat="1" ht="15" x14ac:dyDescent="0.25">
      <c r="A9923" s="859">
        <f t="shared" si="180"/>
        <v>9922</v>
      </c>
      <c r="B9923" s="845" t="s">
        <v>2564</v>
      </c>
      <c r="C9923" s="1007">
        <f t="shared" si="181"/>
        <v>35</v>
      </c>
      <c r="D9923" s="1012"/>
      <c r="H9923" s="1011" t="s">
        <v>1010</v>
      </c>
      <c r="K9923" s="1013"/>
    </row>
    <row r="9924" spans="1:11" s="1011" customFormat="1" ht="15" x14ac:dyDescent="0.25">
      <c r="A9924" s="859">
        <f t="shared" ref="A9924:A9987" si="182">+A9923+1</f>
        <v>9923</v>
      </c>
      <c r="B9924" s="845" t="s">
        <v>2564</v>
      </c>
      <c r="C9924" s="1007">
        <f t="shared" si="181"/>
        <v>35</v>
      </c>
      <c r="D9924" s="1015"/>
      <c r="H9924" s="1011" t="s">
        <v>1007</v>
      </c>
      <c r="K9924" s="1013"/>
    </row>
    <row r="9925" spans="1:11" s="1011" customFormat="1" ht="15" x14ac:dyDescent="0.25">
      <c r="A9925" s="859">
        <f t="shared" si="182"/>
        <v>9924</v>
      </c>
      <c r="B9925" s="845" t="s">
        <v>2564</v>
      </c>
      <c r="C9925" s="1007">
        <f t="shared" si="181"/>
        <v>35</v>
      </c>
      <c r="D9925" s="1012"/>
      <c r="I9925" s="1011" t="s">
        <v>2181</v>
      </c>
      <c r="K9925" s="1013"/>
    </row>
    <row r="9926" spans="1:11" s="1011" customFormat="1" ht="15" x14ac:dyDescent="0.25">
      <c r="A9926" s="859">
        <f t="shared" si="182"/>
        <v>9925</v>
      </c>
      <c r="B9926" s="845" t="s">
        <v>2564</v>
      </c>
      <c r="C9926" s="1007">
        <f t="shared" si="181"/>
        <v>35</v>
      </c>
      <c r="D9926" s="1012"/>
      <c r="I9926" s="1011" t="str">
        <f>CONCATENATE("&lt;valeur&gt;",VLOOKUP(C9926,'T16 Amort'!A:K,9,0),"&lt;/valeur&gt;")</f>
        <v>&lt;valeur&gt;&lt;/valeur&gt;</v>
      </c>
      <c r="K9926" s="1013"/>
    </row>
    <row r="9927" spans="1:11" s="1011" customFormat="1" ht="15" x14ac:dyDescent="0.25">
      <c r="A9927" s="859">
        <f t="shared" si="182"/>
        <v>9926</v>
      </c>
      <c r="B9927" s="845" t="s">
        <v>2564</v>
      </c>
      <c r="C9927" s="1007">
        <f t="shared" si="181"/>
        <v>35</v>
      </c>
      <c r="D9927" s="1014"/>
      <c r="I9927" s="1011" t="str">
        <f>CONCATENATE("&lt;numeroLigne&gt;",C9927,"&lt;/numeroLigne&gt;")</f>
        <v>&lt;numeroLigne&gt;35&lt;/numeroLigne&gt;</v>
      </c>
      <c r="K9927" s="1013"/>
    </row>
    <row r="9928" spans="1:11" s="1011" customFormat="1" ht="15" x14ac:dyDescent="0.25">
      <c r="A9928" s="859">
        <f t="shared" si="182"/>
        <v>9927</v>
      </c>
      <c r="B9928" s="845" t="s">
        <v>2564</v>
      </c>
      <c r="C9928" s="1007">
        <f t="shared" si="181"/>
        <v>35</v>
      </c>
      <c r="D9928" s="1014"/>
      <c r="H9928" s="1011" t="s">
        <v>1010</v>
      </c>
      <c r="K9928" s="1013"/>
    </row>
    <row r="9929" spans="1:11" s="1011" customFormat="1" ht="15" x14ac:dyDescent="0.25">
      <c r="A9929" s="859">
        <f t="shared" si="182"/>
        <v>9928</v>
      </c>
      <c r="B9929" s="845" t="s">
        <v>2564</v>
      </c>
      <c r="C9929" s="1007">
        <f t="shared" si="181"/>
        <v>35</v>
      </c>
      <c r="D9929" s="1012"/>
      <c r="H9929" s="1011" t="s">
        <v>1007</v>
      </c>
      <c r="K9929" s="1013"/>
    </row>
    <row r="9930" spans="1:11" s="1011" customFormat="1" ht="15" x14ac:dyDescent="0.25">
      <c r="A9930" s="859">
        <f t="shared" si="182"/>
        <v>9929</v>
      </c>
      <c r="B9930" s="845" t="s">
        <v>2564</v>
      </c>
      <c r="C9930" s="1007">
        <f t="shared" si="181"/>
        <v>35</v>
      </c>
      <c r="D9930" s="1015"/>
      <c r="I9930" s="1011" t="s">
        <v>2182</v>
      </c>
      <c r="K9930" s="1013"/>
    </row>
    <row r="9931" spans="1:11" s="1011" customFormat="1" ht="15" x14ac:dyDescent="0.25">
      <c r="A9931" s="859">
        <f t="shared" si="182"/>
        <v>9930</v>
      </c>
      <c r="B9931" s="845" t="s">
        <v>2564</v>
      </c>
      <c r="C9931" s="1007">
        <f t="shared" si="181"/>
        <v>35</v>
      </c>
      <c r="D9931" s="1012"/>
      <c r="I9931" s="1011" t="str">
        <f>CONCATENATE("&lt;valeur&gt;",VLOOKUP(C9931,'T16 Amort'!A:K,10,0),"&lt;/valeur&gt;")</f>
        <v>&lt;valeur&gt;&lt;/valeur&gt;</v>
      </c>
      <c r="K9931" s="1013"/>
    </row>
    <row r="9932" spans="1:11" s="1011" customFormat="1" ht="15" x14ac:dyDescent="0.25">
      <c r="A9932" s="859">
        <f t="shared" si="182"/>
        <v>9931</v>
      </c>
      <c r="B9932" s="845" t="s">
        <v>2564</v>
      </c>
      <c r="C9932" s="1007">
        <f t="shared" si="181"/>
        <v>35</v>
      </c>
      <c r="D9932" s="1012"/>
      <c r="I9932" s="1011" t="str">
        <f>CONCATENATE("&lt;numeroLigne&gt;",C9932,"&lt;/numeroLigne&gt;")</f>
        <v>&lt;numeroLigne&gt;35&lt;/numeroLigne&gt;</v>
      </c>
      <c r="K9932" s="1013"/>
    </row>
    <row r="9933" spans="1:11" s="1011" customFormat="1" ht="15" x14ac:dyDescent="0.25">
      <c r="A9933" s="859">
        <f t="shared" si="182"/>
        <v>9932</v>
      </c>
      <c r="B9933" s="845" t="s">
        <v>2564</v>
      </c>
      <c r="C9933" s="1007">
        <f t="shared" si="181"/>
        <v>35</v>
      </c>
      <c r="D9933" s="1014"/>
      <c r="H9933" s="1011" t="s">
        <v>1010</v>
      </c>
      <c r="K9933" s="1013"/>
    </row>
    <row r="9934" spans="1:11" s="1011" customFormat="1" ht="15" x14ac:dyDescent="0.25">
      <c r="A9934" s="859">
        <f t="shared" si="182"/>
        <v>9933</v>
      </c>
      <c r="B9934" s="845" t="s">
        <v>2564</v>
      </c>
      <c r="C9934" s="1007">
        <f t="shared" si="181"/>
        <v>35</v>
      </c>
      <c r="D9934" s="1014"/>
      <c r="H9934" s="1011" t="s">
        <v>1007</v>
      </c>
      <c r="K9934" s="1013"/>
    </row>
    <row r="9935" spans="1:11" s="1011" customFormat="1" ht="15" x14ac:dyDescent="0.25">
      <c r="A9935" s="859">
        <f t="shared" si="182"/>
        <v>9934</v>
      </c>
      <c r="B9935" s="845" t="s">
        <v>2564</v>
      </c>
      <c r="C9935" s="1007">
        <f t="shared" si="181"/>
        <v>35</v>
      </c>
      <c r="D9935" s="1012"/>
      <c r="I9935" s="1011" t="s">
        <v>2183</v>
      </c>
      <c r="K9935" s="1013"/>
    </row>
    <row r="9936" spans="1:11" s="1011" customFormat="1" ht="15" x14ac:dyDescent="0.25">
      <c r="A9936" s="859">
        <f t="shared" si="182"/>
        <v>9935</v>
      </c>
      <c r="B9936" s="845" t="s">
        <v>2564</v>
      </c>
      <c r="C9936" s="1007">
        <f t="shared" si="181"/>
        <v>35</v>
      </c>
      <c r="D9936" s="1015"/>
      <c r="I9936" s="1011" t="str">
        <f>CONCATENATE("&lt;valeur&gt;",VLOOKUP(C9936,'T16 Amort'!A:K,11,0),"&lt;/valeur&gt;")</f>
        <v>&lt;valeur&gt;&lt;/valeur&gt;</v>
      </c>
      <c r="K9936" s="1013"/>
    </row>
    <row r="9937" spans="1:11" s="1011" customFormat="1" ht="15" x14ac:dyDescent="0.25">
      <c r="A9937" s="859">
        <f t="shared" si="182"/>
        <v>9936</v>
      </c>
      <c r="B9937" s="845" t="s">
        <v>2564</v>
      </c>
      <c r="C9937" s="1007">
        <f t="shared" si="181"/>
        <v>35</v>
      </c>
      <c r="D9937" s="1012"/>
      <c r="I9937" s="1011" t="str">
        <f>CONCATENATE("&lt;numeroLigne&gt;",C9937,"&lt;/numeroLigne&gt;")</f>
        <v>&lt;numeroLigne&gt;35&lt;/numeroLigne&gt;</v>
      </c>
      <c r="K9937" s="1013"/>
    </row>
    <row r="9938" spans="1:11" s="1011" customFormat="1" ht="15" x14ac:dyDescent="0.25">
      <c r="A9938" s="859">
        <f t="shared" si="182"/>
        <v>9937</v>
      </c>
      <c r="B9938" s="845" t="s">
        <v>2564</v>
      </c>
      <c r="C9938" s="1007">
        <f t="shared" si="181"/>
        <v>35</v>
      </c>
      <c r="D9938" s="1016"/>
      <c r="E9938" s="1017"/>
      <c r="F9938" s="1017"/>
      <c r="G9938" s="1017"/>
      <c r="H9938" s="1017" t="s">
        <v>1010</v>
      </c>
      <c r="I9938" s="1017"/>
      <c r="J9938" s="1017"/>
      <c r="K9938" s="1018"/>
    </row>
    <row r="9939" spans="1:11" s="1011" customFormat="1" ht="15" x14ac:dyDescent="0.25">
      <c r="A9939" s="859">
        <f t="shared" si="182"/>
        <v>9938</v>
      </c>
      <c r="B9939" s="845" t="s">
        <v>2564</v>
      </c>
      <c r="C9939" s="1007">
        <f t="shared" si="181"/>
        <v>36</v>
      </c>
      <c r="D9939" s="1008"/>
      <c r="E9939" s="1009"/>
      <c r="F9939" s="1009"/>
      <c r="G9939" s="1009"/>
      <c r="H9939" s="1009" t="s">
        <v>1007</v>
      </c>
      <c r="I9939" s="1009"/>
      <c r="J9939" s="1009"/>
      <c r="K9939" s="1010"/>
    </row>
    <row r="9940" spans="1:11" s="1011" customFormat="1" ht="15" x14ac:dyDescent="0.25">
      <c r="A9940" s="859">
        <f t="shared" si="182"/>
        <v>9939</v>
      </c>
      <c r="B9940" s="845" t="s">
        <v>2564</v>
      </c>
      <c r="C9940" s="1007">
        <f t="shared" si="181"/>
        <v>36</v>
      </c>
      <c r="D9940" s="1012"/>
      <c r="I9940" s="1011" t="s">
        <v>2174</v>
      </c>
      <c r="K9940" s="1013"/>
    </row>
    <row r="9941" spans="1:11" s="1011" customFormat="1" ht="15" x14ac:dyDescent="0.25">
      <c r="A9941" s="859">
        <f t="shared" si="182"/>
        <v>9940</v>
      </c>
      <c r="B9941" s="845" t="s">
        <v>2564</v>
      </c>
      <c r="C9941" s="1007">
        <f t="shared" si="181"/>
        <v>36</v>
      </c>
      <c r="D9941" s="1014"/>
      <c r="I9941" s="1011" t="str">
        <f>CONCATENATE("&lt;valeur&gt;",VLOOKUP(C9941,'T16 Amort'!A:K,2,0),"&lt;/valeur&gt;")</f>
        <v>&lt;valeur&gt;&lt;/valeur&gt;</v>
      </c>
      <c r="K9941" s="1013"/>
    </row>
    <row r="9942" spans="1:11" s="1011" customFormat="1" ht="15" x14ac:dyDescent="0.25">
      <c r="A9942" s="859">
        <f t="shared" si="182"/>
        <v>9941</v>
      </c>
      <c r="B9942" s="845" t="s">
        <v>2564</v>
      </c>
      <c r="C9942" s="1007">
        <f t="shared" si="181"/>
        <v>36</v>
      </c>
      <c r="D9942" s="1014"/>
      <c r="I9942" s="1011" t="str">
        <f>CONCATENATE("&lt;numeroLigne&gt;",C9942,"&lt;/numeroLigne&gt;")</f>
        <v>&lt;numeroLigne&gt;36&lt;/numeroLigne&gt;</v>
      </c>
      <c r="K9942" s="1013"/>
    </row>
    <row r="9943" spans="1:11" s="1011" customFormat="1" ht="15" x14ac:dyDescent="0.25">
      <c r="A9943" s="859">
        <f t="shared" si="182"/>
        <v>9942</v>
      </c>
      <c r="B9943" s="845" t="s">
        <v>2564</v>
      </c>
      <c r="C9943" s="1007">
        <f t="shared" si="181"/>
        <v>36</v>
      </c>
      <c r="D9943" s="1012"/>
      <c r="H9943" s="1011" t="s">
        <v>1010</v>
      </c>
      <c r="K9943" s="1013"/>
    </row>
    <row r="9944" spans="1:11" s="1011" customFormat="1" ht="15" x14ac:dyDescent="0.25">
      <c r="A9944" s="859">
        <f t="shared" si="182"/>
        <v>9943</v>
      </c>
      <c r="B9944" s="845" t="s">
        <v>2564</v>
      </c>
      <c r="C9944" s="1007">
        <f t="shared" si="181"/>
        <v>36</v>
      </c>
      <c r="D9944" s="1015"/>
      <c r="H9944" s="1011" t="s">
        <v>1007</v>
      </c>
      <c r="K9944" s="1013"/>
    </row>
    <row r="9945" spans="1:11" s="1011" customFormat="1" ht="15" x14ac:dyDescent="0.25">
      <c r="A9945" s="859">
        <f t="shared" si="182"/>
        <v>9944</v>
      </c>
      <c r="B9945" s="845" t="s">
        <v>2564</v>
      </c>
      <c r="C9945" s="1007">
        <f t="shared" si="181"/>
        <v>36</v>
      </c>
      <c r="D9945" s="1012"/>
      <c r="I9945" s="1011" t="s">
        <v>2175</v>
      </c>
      <c r="K9945" s="1013"/>
    </row>
    <row r="9946" spans="1:11" s="1011" customFormat="1" ht="15" x14ac:dyDescent="0.25">
      <c r="A9946" s="859">
        <f t="shared" si="182"/>
        <v>9945</v>
      </c>
      <c r="B9946" s="845" t="s">
        <v>2564</v>
      </c>
      <c r="C9946" s="1007">
        <f t="shared" si="181"/>
        <v>36</v>
      </c>
      <c r="D9946" s="1012"/>
      <c r="I9946" s="1011" t="str">
        <f>CONCATENATE("&lt;valeur&gt;",VLOOKUP(C9946,'T16 Amort'!A:K,3,0),"&lt;/valeur&gt;")</f>
        <v>&lt;valeur&gt;&lt;/valeur&gt;</v>
      </c>
      <c r="K9946" s="1013"/>
    </row>
    <row r="9947" spans="1:11" s="1011" customFormat="1" ht="15" x14ac:dyDescent="0.25">
      <c r="A9947" s="859">
        <f t="shared" si="182"/>
        <v>9946</v>
      </c>
      <c r="B9947" s="845" t="s">
        <v>2564</v>
      </c>
      <c r="C9947" s="1007">
        <f t="shared" si="181"/>
        <v>36</v>
      </c>
      <c r="D9947" s="1014"/>
      <c r="I9947" s="1011" t="str">
        <f>CONCATENATE("&lt;numeroLigne&gt;",C9947,"&lt;/numeroLigne&gt;")</f>
        <v>&lt;numeroLigne&gt;36&lt;/numeroLigne&gt;</v>
      </c>
      <c r="K9947" s="1013"/>
    </row>
    <row r="9948" spans="1:11" s="1011" customFormat="1" ht="15" x14ac:dyDescent="0.25">
      <c r="A9948" s="859">
        <f t="shared" si="182"/>
        <v>9947</v>
      </c>
      <c r="B9948" s="845" t="s">
        <v>2564</v>
      </c>
      <c r="C9948" s="1007">
        <f t="shared" si="181"/>
        <v>36</v>
      </c>
      <c r="D9948" s="1014"/>
      <c r="H9948" s="1011" t="s">
        <v>1010</v>
      </c>
      <c r="K9948" s="1013"/>
    </row>
    <row r="9949" spans="1:11" s="1011" customFormat="1" ht="15" x14ac:dyDescent="0.25">
      <c r="A9949" s="859">
        <f t="shared" si="182"/>
        <v>9948</v>
      </c>
      <c r="B9949" s="845" t="s">
        <v>2564</v>
      </c>
      <c r="C9949" s="1007">
        <f t="shared" si="181"/>
        <v>36</v>
      </c>
      <c r="D9949" s="1012"/>
      <c r="H9949" s="1011" t="s">
        <v>1007</v>
      </c>
      <c r="K9949" s="1013"/>
    </row>
    <row r="9950" spans="1:11" s="1011" customFormat="1" ht="15" x14ac:dyDescent="0.25">
      <c r="A9950" s="859">
        <f t="shared" si="182"/>
        <v>9949</v>
      </c>
      <c r="B9950" s="845" t="s">
        <v>2564</v>
      </c>
      <c r="C9950" s="1007">
        <f t="shared" si="181"/>
        <v>36</v>
      </c>
      <c r="D9950" s="1015"/>
      <c r="I9950" s="1011" t="s">
        <v>2176</v>
      </c>
      <c r="K9950" s="1013"/>
    </row>
    <row r="9951" spans="1:11" s="1011" customFormat="1" ht="15" x14ac:dyDescent="0.25">
      <c r="A9951" s="859">
        <f t="shared" si="182"/>
        <v>9950</v>
      </c>
      <c r="B9951" s="845" t="s">
        <v>2564</v>
      </c>
      <c r="C9951" s="1007">
        <f t="shared" si="181"/>
        <v>36</v>
      </c>
      <c r="D9951" s="1012"/>
      <c r="I9951" s="1011" t="str">
        <f>CONCATENATE("&lt;valeur&gt;",VLOOKUP(C9951,'T16 Amort'!A:K,4,0),"&lt;/valeur&gt;")</f>
        <v>&lt;valeur&gt;&lt;/valeur&gt;</v>
      </c>
      <c r="K9951" s="1013"/>
    </row>
    <row r="9952" spans="1:11" s="1011" customFormat="1" ht="15" x14ac:dyDescent="0.25">
      <c r="A9952" s="859">
        <f t="shared" si="182"/>
        <v>9951</v>
      </c>
      <c r="B9952" s="845" t="s">
        <v>2564</v>
      </c>
      <c r="C9952" s="1007">
        <f t="shared" si="181"/>
        <v>36</v>
      </c>
      <c r="D9952" s="1012"/>
      <c r="I9952" s="1011" t="str">
        <f>CONCATENATE("&lt;numeroLigne&gt;",C9952,"&lt;/numeroLigne&gt;")</f>
        <v>&lt;numeroLigne&gt;36&lt;/numeroLigne&gt;</v>
      </c>
      <c r="K9952" s="1013"/>
    </row>
    <row r="9953" spans="1:11" s="1011" customFormat="1" ht="15" x14ac:dyDescent="0.25">
      <c r="A9953" s="859">
        <f t="shared" si="182"/>
        <v>9952</v>
      </c>
      <c r="B9953" s="845" t="s">
        <v>2564</v>
      </c>
      <c r="C9953" s="1007">
        <f t="shared" si="181"/>
        <v>36</v>
      </c>
      <c r="D9953" s="1014"/>
      <c r="H9953" s="1011" t="s">
        <v>1010</v>
      </c>
      <c r="K9953" s="1013"/>
    </row>
    <row r="9954" spans="1:11" s="1011" customFormat="1" ht="15" x14ac:dyDescent="0.25">
      <c r="A9954" s="859">
        <f t="shared" si="182"/>
        <v>9953</v>
      </c>
      <c r="B9954" s="845" t="s">
        <v>2564</v>
      </c>
      <c r="C9954" s="1007">
        <f t="shared" si="181"/>
        <v>36</v>
      </c>
      <c r="D9954" s="1014"/>
      <c r="H9954" s="1011" t="s">
        <v>1007</v>
      </c>
      <c r="K9954" s="1013"/>
    </row>
    <row r="9955" spans="1:11" s="1011" customFormat="1" ht="15" x14ac:dyDescent="0.25">
      <c r="A9955" s="859">
        <f t="shared" si="182"/>
        <v>9954</v>
      </c>
      <c r="B9955" s="845" t="s">
        <v>2564</v>
      </c>
      <c r="C9955" s="1007">
        <f t="shared" si="181"/>
        <v>36</v>
      </c>
      <c r="D9955" s="1012"/>
      <c r="I9955" s="1011" t="s">
        <v>2177</v>
      </c>
      <c r="K9955" s="1013"/>
    </row>
    <row r="9956" spans="1:11" s="1011" customFormat="1" ht="15" x14ac:dyDescent="0.25">
      <c r="A9956" s="859">
        <f t="shared" si="182"/>
        <v>9955</v>
      </c>
      <c r="B9956" s="845" t="s">
        <v>2564</v>
      </c>
      <c r="C9956" s="1007">
        <f t="shared" si="181"/>
        <v>36</v>
      </c>
      <c r="D9956" s="1015"/>
      <c r="I9956" s="1011" t="str">
        <f>CONCATENATE("&lt;valeur&gt;",VLOOKUP(C9956,'T16 Amort'!A:K,5,0),"&lt;/valeur&gt;")</f>
        <v>&lt;valeur&gt;&lt;/valeur&gt;</v>
      </c>
      <c r="K9956" s="1013"/>
    </row>
    <row r="9957" spans="1:11" s="1011" customFormat="1" ht="15" x14ac:dyDescent="0.25">
      <c r="A9957" s="859">
        <f t="shared" si="182"/>
        <v>9956</v>
      </c>
      <c r="B9957" s="845" t="s">
        <v>2564</v>
      </c>
      <c r="C9957" s="1007">
        <f t="shared" si="181"/>
        <v>36</v>
      </c>
      <c r="D9957" s="1012"/>
      <c r="I9957" s="1011" t="str">
        <f>CONCATENATE("&lt;numeroLigne&gt;",C9957,"&lt;/numeroLigne&gt;")</f>
        <v>&lt;numeroLigne&gt;36&lt;/numeroLigne&gt;</v>
      </c>
      <c r="K9957" s="1013"/>
    </row>
    <row r="9958" spans="1:11" s="1011" customFormat="1" ht="15" x14ac:dyDescent="0.25">
      <c r="A9958" s="859">
        <f t="shared" si="182"/>
        <v>9957</v>
      </c>
      <c r="B9958" s="845" t="s">
        <v>2564</v>
      </c>
      <c r="C9958" s="1007">
        <f t="shared" si="181"/>
        <v>36</v>
      </c>
      <c r="D9958" s="1012"/>
      <c r="H9958" s="1011" t="s">
        <v>1010</v>
      </c>
      <c r="K9958" s="1013"/>
    </row>
    <row r="9959" spans="1:11" s="1011" customFormat="1" ht="15" x14ac:dyDescent="0.25">
      <c r="A9959" s="859">
        <f t="shared" si="182"/>
        <v>9958</v>
      </c>
      <c r="B9959" s="845" t="s">
        <v>2564</v>
      </c>
      <c r="C9959" s="1007">
        <f t="shared" si="181"/>
        <v>36</v>
      </c>
      <c r="D9959" s="1014"/>
      <c r="H9959" s="1011" t="s">
        <v>1007</v>
      </c>
      <c r="K9959" s="1013"/>
    </row>
    <row r="9960" spans="1:11" s="1011" customFormat="1" ht="15" x14ac:dyDescent="0.25">
      <c r="A9960" s="859">
        <f t="shared" si="182"/>
        <v>9959</v>
      </c>
      <c r="B9960" s="845" t="s">
        <v>2564</v>
      </c>
      <c r="C9960" s="1007">
        <f t="shared" si="181"/>
        <v>36</v>
      </c>
      <c r="D9960" s="1014"/>
      <c r="I9960" s="1011" t="s">
        <v>2178</v>
      </c>
      <c r="K9960" s="1013"/>
    </row>
    <row r="9961" spans="1:11" s="1011" customFormat="1" ht="15" x14ac:dyDescent="0.25">
      <c r="A9961" s="859">
        <f t="shared" si="182"/>
        <v>9960</v>
      </c>
      <c r="B9961" s="845" t="s">
        <v>2564</v>
      </c>
      <c r="C9961" s="1007">
        <f t="shared" si="181"/>
        <v>36</v>
      </c>
      <c r="D9961" s="1012"/>
      <c r="I9961" s="1011" t="str">
        <f>CONCATENATE("&lt;valeur&gt;",VLOOKUP(C9961,'T16 Amort'!A:K,6,0),"&lt;/valeur&gt;")</f>
        <v>&lt;valeur&gt;&lt;/valeur&gt;</v>
      </c>
      <c r="K9961" s="1013"/>
    </row>
    <row r="9962" spans="1:11" s="1011" customFormat="1" ht="15" x14ac:dyDescent="0.25">
      <c r="A9962" s="859">
        <f t="shared" si="182"/>
        <v>9961</v>
      </c>
      <c r="B9962" s="845" t="s">
        <v>2564</v>
      </c>
      <c r="C9962" s="1007">
        <f t="shared" si="181"/>
        <v>36</v>
      </c>
      <c r="D9962" s="1015"/>
      <c r="I9962" s="1011" t="str">
        <f>CONCATENATE("&lt;numeroLigne&gt;",C9962,"&lt;/numeroLigne&gt;")</f>
        <v>&lt;numeroLigne&gt;36&lt;/numeroLigne&gt;</v>
      </c>
      <c r="K9962" s="1013"/>
    </row>
    <row r="9963" spans="1:11" s="1011" customFormat="1" ht="15" x14ac:dyDescent="0.25">
      <c r="A9963" s="859">
        <f t="shared" si="182"/>
        <v>9962</v>
      </c>
      <c r="B9963" s="845" t="s">
        <v>2564</v>
      </c>
      <c r="C9963" s="1007">
        <f t="shared" si="181"/>
        <v>36</v>
      </c>
      <c r="D9963" s="1012"/>
      <c r="H9963" s="1011" t="s">
        <v>1010</v>
      </c>
      <c r="K9963" s="1013"/>
    </row>
    <row r="9964" spans="1:11" s="1011" customFormat="1" ht="15" x14ac:dyDescent="0.25">
      <c r="A9964" s="859">
        <f t="shared" si="182"/>
        <v>9963</v>
      </c>
      <c r="B9964" s="845" t="s">
        <v>2564</v>
      </c>
      <c r="C9964" s="1007">
        <f t="shared" si="181"/>
        <v>36</v>
      </c>
      <c r="D9964" s="1012"/>
      <c r="H9964" s="1011" t="s">
        <v>1007</v>
      </c>
      <c r="K9964" s="1013"/>
    </row>
    <row r="9965" spans="1:11" s="1011" customFormat="1" ht="15" x14ac:dyDescent="0.25">
      <c r="A9965" s="859">
        <f t="shared" si="182"/>
        <v>9964</v>
      </c>
      <c r="B9965" s="845" t="s">
        <v>2564</v>
      </c>
      <c r="C9965" s="1007">
        <f t="shared" si="181"/>
        <v>36</v>
      </c>
      <c r="D9965" s="1014"/>
      <c r="I9965" s="1011" t="s">
        <v>2179</v>
      </c>
      <c r="K9965" s="1013"/>
    </row>
    <row r="9966" spans="1:11" s="1011" customFormat="1" ht="15" x14ac:dyDescent="0.25">
      <c r="A9966" s="859">
        <f t="shared" si="182"/>
        <v>9965</v>
      </c>
      <c r="B9966" s="845" t="s">
        <v>2564</v>
      </c>
      <c r="C9966" s="1007">
        <f t="shared" si="181"/>
        <v>36</v>
      </c>
      <c r="D9966" s="1014"/>
      <c r="I9966" s="1011" t="str">
        <f>CONCATENATE("&lt;valeur&gt;",VLOOKUP(C9966,'T16 Amort'!A:K,7,0),"&lt;/valeur&gt;")</f>
        <v>&lt;valeur&gt;&lt;/valeur&gt;</v>
      </c>
      <c r="K9966" s="1013"/>
    </row>
    <row r="9967" spans="1:11" s="1011" customFormat="1" ht="15" x14ac:dyDescent="0.25">
      <c r="A9967" s="859">
        <f t="shared" si="182"/>
        <v>9966</v>
      </c>
      <c r="B9967" s="845" t="s">
        <v>2564</v>
      </c>
      <c r="C9967" s="1007">
        <f t="shared" ref="C9967:C10030" si="183">C9917+1</f>
        <v>36</v>
      </c>
      <c r="D9967" s="1012"/>
      <c r="I9967" s="1011" t="str">
        <f>CONCATENATE("&lt;numeroLigne&gt;",C9967,"&lt;/numeroLigne&gt;")</f>
        <v>&lt;numeroLigne&gt;36&lt;/numeroLigne&gt;</v>
      </c>
      <c r="K9967" s="1013"/>
    </row>
    <row r="9968" spans="1:11" s="1011" customFormat="1" ht="15" x14ac:dyDescent="0.25">
      <c r="A9968" s="859">
        <f t="shared" si="182"/>
        <v>9967</v>
      </c>
      <c r="B9968" s="845" t="s">
        <v>2564</v>
      </c>
      <c r="C9968" s="1007">
        <f t="shared" si="183"/>
        <v>36</v>
      </c>
      <c r="D9968" s="1015"/>
      <c r="H9968" s="1011" t="s">
        <v>1010</v>
      </c>
      <c r="K9968" s="1013"/>
    </row>
    <row r="9969" spans="1:11" s="1011" customFormat="1" ht="15" x14ac:dyDescent="0.25">
      <c r="A9969" s="859">
        <f t="shared" si="182"/>
        <v>9968</v>
      </c>
      <c r="B9969" s="845" t="s">
        <v>2564</v>
      </c>
      <c r="C9969" s="1007">
        <f t="shared" si="183"/>
        <v>36</v>
      </c>
      <c r="D9969" s="1012"/>
      <c r="H9969" s="1011" t="s">
        <v>1007</v>
      </c>
      <c r="K9969" s="1013"/>
    </row>
    <row r="9970" spans="1:11" s="1011" customFormat="1" ht="15" x14ac:dyDescent="0.25">
      <c r="A9970" s="859">
        <f t="shared" si="182"/>
        <v>9969</v>
      </c>
      <c r="B9970" s="845" t="s">
        <v>2564</v>
      </c>
      <c r="C9970" s="1007">
        <f t="shared" si="183"/>
        <v>36</v>
      </c>
      <c r="D9970" s="1012"/>
      <c r="I9970" s="1011" t="s">
        <v>2180</v>
      </c>
      <c r="K9970" s="1013"/>
    </row>
    <row r="9971" spans="1:11" s="1011" customFormat="1" ht="15" x14ac:dyDescent="0.25">
      <c r="A9971" s="859">
        <f t="shared" si="182"/>
        <v>9970</v>
      </c>
      <c r="B9971" s="845" t="s">
        <v>2564</v>
      </c>
      <c r="C9971" s="1007">
        <f t="shared" si="183"/>
        <v>36</v>
      </c>
      <c r="D9971" s="1014"/>
      <c r="I9971" s="1011" t="str">
        <f>CONCATENATE("&lt;valeur&gt;",VLOOKUP(C9971,'T16 Amort'!A:K,8,0),"&lt;/valeur&gt;")</f>
        <v>&lt;valeur&gt;&lt;/valeur&gt;</v>
      </c>
      <c r="K9971" s="1013"/>
    </row>
    <row r="9972" spans="1:11" s="1011" customFormat="1" ht="15" x14ac:dyDescent="0.25">
      <c r="A9972" s="859">
        <f t="shared" si="182"/>
        <v>9971</v>
      </c>
      <c r="B9972" s="845" t="s">
        <v>2564</v>
      </c>
      <c r="C9972" s="1007">
        <f t="shared" si="183"/>
        <v>36</v>
      </c>
      <c r="D9972" s="1014"/>
      <c r="I9972" s="1011" t="str">
        <f>CONCATENATE("&lt;numeroLigne&gt;",C9972,"&lt;/numeroLigne&gt;")</f>
        <v>&lt;numeroLigne&gt;36&lt;/numeroLigne&gt;</v>
      </c>
      <c r="K9972" s="1013"/>
    </row>
    <row r="9973" spans="1:11" s="1011" customFormat="1" ht="15" x14ac:dyDescent="0.25">
      <c r="A9973" s="859">
        <f t="shared" si="182"/>
        <v>9972</v>
      </c>
      <c r="B9973" s="845" t="s">
        <v>2564</v>
      </c>
      <c r="C9973" s="1007">
        <f t="shared" si="183"/>
        <v>36</v>
      </c>
      <c r="D9973" s="1012"/>
      <c r="H9973" s="1011" t="s">
        <v>1010</v>
      </c>
      <c r="K9973" s="1013"/>
    </row>
    <row r="9974" spans="1:11" s="1011" customFormat="1" ht="15" x14ac:dyDescent="0.25">
      <c r="A9974" s="859">
        <f t="shared" si="182"/>
        <v>9973</v>
      </c>
      <c r="B9974" s="845" t="s">
        <v>2564</v>
      </c>
      <c r="C9974" s="1007">
        <f t="shared" si="183"/>
        <v>36</v>
      </c>
      <c r="D9974" s="1015"/>
      <c r="H9974" s="1011" t="s">
        <v>1007</v>
      </c>
      <c r="K9974" s="1013"/>
    </row>
    <row r="9975" spans="1:11" s="1011" customFormat="1" ht="15" x14ac:dyDescent="0.25">
      <c r="A9975" s="859">
        <f t="shared" si="182"/>
        <v>9974</v>
      </c>
      <c r="B9975" s="845" t="s">
        <v>2564</v>
      </c>
      <c r="C9975" s="1007">
        <f t="shared" si="183"/>
        <v>36</v>
      </c>
      <c r="D9975" s="1012"/>
      <c r="I9975" s="1011" t="s">
        <v>2181</v>
      </c>
      <c r="K9975" s="1013"/>
    </row>
    <row r="9976" spans="1:11" s="1011" customFormat="1" ht="15" x14ac:dyDescent="0.25">
      <c r="A9976" s="859">
        <f t="shared" si="182"/>
        <v>9975</v>
      </c>
      <c r="B9976" s="845" t="s">
        <v>2564</v>
      </c>
      <c r="C9976" s="1007">
        <f t="shared" si="183"/>
        <v>36</v>
      </c>
      <c r="D9976" s="1012"/>
      <c r="I9976" s="1011" t="str">
        <f>CONCATENATE("&lt;valeur&gt;",VLOOKUP(C9976,'T16 Amort'!A:K,9,0),"&lt;/valeur&gt;")</f>
        <v>&lt;valeur&gt;&lt;/valeur&gt;</v>
      </c>
      <c r="K9976" s="1013"/>
    </row>
    <row r="9977" spans="1:11" s="1011" customFormat="1" ht="15" x14ac:dyDescent="0.25">
      <c r="A9977" s="859">
        <f t="shared" si="182"/>
        <v>9976</v>
      </c>
      <c r="B9977" s="845" t="s">
        <v>2564</v>
      </c>
      <c r="C9977" s="1007">
        <f t="shared" si="183"/>
        <v>36</v>
      </c>
      <c r="D9977" s="1014"/>
      <c r="I9977" s="1011" t="str">
        <f>CONCATENATE("&lt;numeroLigne&gt;",C9977,"&lt;/numeroLigne&gt;")</f>
        <v>&lt;numeroLigne&gt;36&lt;/numeroLigne&gt;</v>
      </c>
      <c r="K9977" s="1013"/>
    </row>
    <row r="9978" spans="1:11" s="1011" customFormat="1" ht="15" x14ac:dyDescent="0.25">
      <c r="A9978" s="859">
        <f t="shared" si="182"/>
        <v>9977</v>
      </c>
      <c r="B9978" s="845" t="s">
        <v>2564</v>
      </c>
      <c r="C9978" s="1007">
        <f t="shared" si="183"/>
        <v>36</v>
      </c>
      <c r="D9978" s="1014"/>
      <c r="H9978" s="1011" t="s">
        <v>1010</v>
      </c>
      <c r="K9978" s="1013"/>
    </row>
    <row r="9979" spans="1:11" s="1011" customFormat="1" ht="15" x14ac:dyDescent="0.25">
      <c r="A9979" s="859">
        <f t="shared" si="182"/>
        <v>9978</v>
      </c>
      <c r="B9979" s="845" t="s">
        <v>2564</v>
      </c>
      <c r="C9979" s="1007">
        <f t="shared" si="183"/>
        <v>36</v>
      </c>
      <c r="D9979" s="1012"/>
      <c r="H9979" s="1011" t="s">
        <v>1007</v>
      </c>
      <c r="K9979" s="1013"/>
    </row>
    <row r="9980" spans="1:11" s="1011" customFormat="1" ht="15" x14ac:dyDescent="0.25">
      <c r="A9980" s="859">
        <f t="shared" si="182"/>
        <v>9979</v>
      </c>
      <c r="B9980" s="845" t="s">
        <v>2564</v>
      </c>
      <c r="C9980" s="1007">
        <f t="shared" si="183"/>
        <v>36</v>
      </c>
      <c r="D9980" s="1015"/>
      <c r="I9980" s="1011" t="s">
        <v>2182</v>
      </c>
      <c r="K9980" s="1013"/>
    </row>
    <row r="9981" spans="1:11" s="1011" customFormat="1" ht="15" x14ac:dyDescent="0.25">
      <c r="A9981" s="859">
        <f t="shared" si="182"/>
        <v>9980</v>
      </c>
      <c r="B9981" s="845" t="s">
        <v>2564</v>
      </c>
      <c r="C9981" s="1007">
        <f t="shared" si="183"/>
        <v>36</v>
      </c>
      <c r="D9981" s="1012"/>
      <c r="I9981" s="1011" t="str">
        <f>CONCATENATE("&lt;valeur&gt;",VLOOKUP(C9981,'T16 Amort'!A:K,10,0),"&lt;/valeur&gt;")</f>
        <v>&lt;valeur&gt;&lt;/valeur&gt;</v>
      </c>
      <c r="K9981" s="1013"/>
    </row>
    <row r="9982" spans="1:11" s="1011" customFormat="1" ht="15" x14ac:dyDescent="0.25">
      <c r="A9982" s="859">
        <f t="shared" si="182"/>
        <v>9981</v>
      </c>
      <c r="B9982" s="845" t="s">
        <v>2564</v>
      </c>
      <c r="C9982" s="1007">
        <f t="shared" si="183"/>
        <v>36</v>
      </c>
      <c r="D9982" s="1012"/>
      <c r="I9982" s="1011" t="str">
        <f>CONCATENATE("&lt;numeroLigne&gt;",C9982,"&lt;/numeroLigne&gt;")</f>
        <v>&lt;numeroLigne&gt;36&lt;/numeroLigne&gt;</v>
      </c>
      <c r="K9982" s="1013"/>
    </row>
    <row r="9983" spans="1:11" s="1011" customFormat="1" ht="15" x14ac:dyDescent="0.25">
      <c r="A9983" s="859">
        <f t="shared" si="182"/>
        <v>9982</v>
      </c>
      <c r="B9983" s="845" t="s">
        <v>2564</v>
      </c>
      <c r="C9983" s="1007">
        <f t="shared" si="183"/>
        <v>36</v>
      </c>
      <c r="D9983" s="1014"/>
      <c r="H9983" s="1011" t="s">
        <v>1010</v>
      </c>
      <c r="K9983" s="1013"/>
    </row>
    <row r="9984" spans="1:11" s="1011" customFormat="1" ht="15" x14ac:dyDescent="0.25">
      <c r="A9984" s="859">
        <f t="shared" si="182"/>
        <v>9983</v>
      </c>
      <c r="B9984" s="845" t="s">
        <v>2564</v>
      </c>
      <c r="C9984" s="1007">
        <f t="shared" si="183"/>
        <v>36</v>
      </c>
      <c r="D9984" s="1014"/>
      <c r="H9984" s="1011" t="s">
        <v>1007</v>
      </c>
      <c r="K9984" s="1013"/>
    </row>
    <row r="9985" spans="1:11" s="1011" customFormat="1" ht="15" x14ac:dyDescent="0.25">
      <c r="A9985" s="859">
        <f t="shared" si="182"/>
        <v>9984</v>
      </c>
      <c r="B9985" s="845" t="s">
        <v>2564</v>
      </c>
      <c r="C9985" s="1007">
        <f t="shared" si="183"/>
        <v>36</v>
      </c>
      <c r="D9985" s="1012"/>
      <c r="I9985" s="1011" t="s">
        <v>2183</v>
      </c>
      <c r="K9985" s="1013"/>
    </row>
    <row r="9986" spans="1:11" s="1011" customFormat="1" ht="15" x14ac:dyDescent="0.25">
      <c r="A9986" s="859">
        <f t="shared" si="182"/>
        <v>9985</v>
      </c>
      <c r="B9986" s="845" t="s">
        <v>2564</v>
      </c>
      <c r="C9986" s="1007">
        <f t="shared" si="183"/>
        <v>36</v>
      </c>
      <c r="D9986" s="1015"/>
      <c r="I9986" s="1011" t="str">
        <f>CONCATENATE("&lt;valeur&gt;",VLOOKUP(C9986,'T16 Amort'!A:K,11,0),"&lt;/valeur&gt;")</f>
        <v>&lt;valeur&gt;&lt;/valeur&gt;</v>
      </c>
      <c r="K9986" s="1013"/>
    </row>
    <row r="9987" spans="1:11" s="1011" customFormat="1" ht="15" x14ac:dyDescent="0.25">
      <c r="A9987" s="859">
        <f t="shared" si="182"/>
        <v>9986</v>
      </c>
      <c r="B9987" s="845" t="s">
        <v>2564</v>
      </c>
      <c r="C9987" s="1007">
        <f t="shared" si="183"/>
        <v>36</v>
      </c>
      <c r="D9987" s="1012"/>
      <c r="I9987" s="1011" t="str">
        <f>CONCATENATE("&lt;numeroLigne&gt;",C9987,"&lt;/numeroLigne&gt;")</f>
        <v>&lt;numeroLigne&gt;36&lt;/numeroLigne&gt;</v>
      </c>
      <c r="K9987" s="1013"/>
    </row>
    <row r="9988" spans="1:11" s="1011" customFormat="1" ht="15" x14ac:dyDescent="0.25">
      <c r="A9988" s="859">
        <f t="shared" ref="A9988:A10051" si="184">+A9987+1</f>
        <v>9987</v>
      </c>
      <c r="B9988" s="845" t="s">
        <v>2564</v>
      </c>
      <c r="C9988" s="1007">
        <f t="shared" si="183"/>
        <v>36</v>
      </c>
      <c r="D9988" s="1016"/>
      <c r="E9988" s="1017"/>
      <c r="F9988" s="1017"/>
      <c r="G9988" s="1017"/>
      <c r="H9988" s="1017" t="s">
        <v>1010</v>
      </c>
      <c r="I9988" s="1017"/>
      <c r="J9988" s="1017"/>
      <c r="K9988" s="1018"/>
    </row>
    <row r="9989" spans="1:11" s="1011" customFormat="1" ht="15" x14ac:dyDescent="0.25">
      <c r="A9989" s="859">
        <f t="shared" si="184"/>
        <v>9988</v>
      </c>
      <c r="B9989" s="845" t="s">
        <v>2564</v>
      </c>
      <c r="C9989" s="1007">
        <f t="shared" si="183"/>
        <v>37</v>
      </c>
      <c r="D9989" s="1008"/>
      <c r="E9989" s="1009"/>
      <c r="F9989" s="1009"/>
      <c r="G9989" s="1009"/>
      <c r="H9989" s="1009" t="s">
        <v>1007</v>
      </c>
      <c r="I9989" s="1009"/>
      <c r="J9989" s="1009"/>
      <c r="K9989" s="1010"/>
    </row>
    <row r="9990" spans="1:11" s="1011" customFormat="1" ht="15" x14ac:dyDescent="0.25">
      <c r="A9990" s="859">
        <f t="shared" si="184"/>
        <v>9989</v>
      </c>
      <c r="B9990" s="845" t="s">
        <v>2564</v>
      </c>
      <c r="C9990" s="1007">
        <f t="shared" si="183"/>
        <v>37</v>
      </c>
      <c r="D9990" s="1012"/>
      <c r="I9990" s="1011" t="s">
        <v>2174</v>
      </c>
      <c r="K9990" s="1013"/>
    </row>
    <row r="9991" spans="1:11" s="1011" customFormat="1" ht="15" x14ac:dyDescent="0.25">
      <c r="A9991" s="859">
        <f t="shared" si="184"/>
        <v>9990</v>
      </c>
      <c r="B9991" s="845" t="s">
        <v>2564</v>
      </c>
      <c r="C9991" s="1007">
        <f t="shared" si="183"/>
        <v>37</v>
      </c>
      <c r="D9991" s="1014"/>
      <c r="I9991" s="1011" t="str">
        <f>CONCATENATE("&lt;valeur&gt;",VLOOKUP(C9991,'T16 Amort'!A:K,2,0),"&lt;/valeur&gt;")</f>
        <v>&lt;valeur&gt;&lt;/valeur&gt;</v>
      </c>
      <c r="K9991" s="1013"/>
    </row>
    <row r="9992" spans="1:11" s="1011" customFormat="1" ht="15" x14ac:dyDescent="0.25">
      <c r="A9992" s="859">
        <f t="shared" si="184"/>
        <v>9991</v>
      </c>
      <c r="B9992" s="845" t="s">
        <v>2564</v>
      </c>
      <c r="C9992" s="1007">
        <f t="shared" si="183"/>
        <v>37</v>
      </c>
      <c r="D9992" s="1014"/>
      <c r="I9992" s="1011" t="str">
        <f>CONCATENATE("&lt;numeroLigne&gt;",C9992,"&lt;/numeroLigne&gt;")</f>
        <v>&lt;numeroLigne&gt;37&lt;/numeroLigne&gt;</v>
      </c>
      <c r="K9992" s="1013"/>
    </row>
    <row r="9993" spans="1:11" s="1011" customFormat="1" ht="15" x14ac:dyDescent="0.25">
      <c r="A9993" s="859">
        <f t="shared" si="184"/>
        <v>9992</v>
      </c>
      <c r="B9993" s="845" t="s">
        <v>2564</v>
      </c>
      <c r="C9993" s="1007">
        <f t="shared" si="183"/>
        <v>37</v>
      </c>
      <c r="D9993" s="1012"/>
      <c r="H9993" s="1011" t="s">
        <v>1010</v>
      </c>
      <c r="K9993" s="1013"/>
    </row>
    <row r="9994" spans="1:11" s="1011" customFormat="1" ht="15" x14ac:dyDescent="0.25">
      <c r="A9994" s="859">
        <f t="shared" si="184"/>
        <v>9993</v>
      </c>
      <c r="B9994" s="845" t="s">
        <v>2564</v>
      </c>
      <c r="C9994" s="1007">
        <f t="shared" si="183"/>
        <v>37</v>
      </c>
      <c r="D9994" s="1015"/>
      <c r="H9994" s="1011" t="s">
        <v>1007</v>
      </c>
      <c r="K9994" s="1013"/>
    </row>
    <row r="9995" spans="1:11" s="1011" customFormat="1" ht="15" x14ac:dyDescent="0.25">
      <c r="A9995" s="859">
        <f t="shared" si="184"/>
        <v>9994</v>
      </c>
      <c r="B9995" s="845" t="s">
        <v>2564</v>
      </c>
      <c r="C9995" s="1007">
        <f t="shared" si="183"/>
        <v>37</v>
      </c>
      <c r="D9995" s="1012"/>
      <c r="I9995" s="1011" t="s">
        <v>2175</v>
      </c>
      <c r="K9995" s="1013"/>
    </row>
    <row r="9996" spans="1:11" s="1011" customFormat="1" ht="15" x14ac:dyDescent="0.25">
      <c r="A9996" s="859">
        <f t="shared" si="184"/>
        <v>9995</v>
      </c>
      <c r="B9996" s="845" t="s">
        <v>2564</v>
      </c>
      <c r="C9996" s="1007">
        <f t="shared" si="183"/>
        <v>37</v>
      </c>
      <c r="D9996" s="1012"/>
      <c r="I9996" s="1011" t="str">
        <f>CONCATENATE("&lt;valeur&gt;",VLOOKUP(C9996,'T16 Amort'!A:K,3,0),"&lt;/valeur&gt;")</f>
        <v>&lt;valeur&gt;&lt;/valeur&gt;</v>
      </c>
      <c r="K9996" s="1013"/>
    </row>
    <row r="9997" spans="1:11" s="1011" customFormat="1" ht="15" x14ac:dyDescent="0.25">
      <c r="A9997" s="859">
        <f t="shared" si="184"/>
        <v>9996</v>
      </c>
      <c r="B9997" s="845" t="s">
        <v>2564</v>
      </c>
      <c r="C9997" s="1007">
        <f t="shared" si="183"/>
        <v>37</v>
      </c>
      <c r="D9997" s="1014"/>
      <c r="I9997" s="1011" t="str">
        <f>CONCATENATE("&lt;numeroLigne&gt;",C9997,"&lt;/numeroLigne&gt;")</f>
        <v>&lt;numeroLigne&gt;37&lt;/numeroLigne&gt;</v>
      </c>
      <c r="K9997" s="1013"/>
    </row>
    <row r="9998" spans="1:11" s="1011" customFormat="1" ht="15" x14ac:dyDescent="0.25">
      <c r="A9998" s="859">
        <f t="shared" si="184"/>
        <v>9997</v>
      </c>
      <c r="B9998" s="845" t="s">
        <v>2564</v>
      </c>
      <c r="C9998" s="1007">
        <f t="shared" si="183"/>
        <v>37</v>
      </c>
      <c r="D9998" s="1014"/>
      <c r="H9998" s="1011" t="s">
        <v>1010</v>
      </c>
      <c r="K9998" s="1013"/>
    </row>
    <row r="9999" spans="1:11" s="1011" customFormat="1" ht="15" x14ac:dyDescent="0.25">
      <c r="A9999" s="859">
        <f t="shared" si="184"/>
        <v>9998</v>
      </c>
      <c r="B9999" s="845" t="s">
        <v>2564</v>
      </c>
      <c r="C9999" s="1007">
        <f t="shared" si="183"/>
        <v>37</v>
      </c>
      <c r="D9999" s="1012"/>
      <c r="H9999" s="1011" t="s">
        <v>1007</v>
      </c>
      <c r="K9999" s="1013"/>
    </row>
    <row r="10000" spans="1:11" s="1011" customFormat="1" ht="15" x14ac:dyDescent="0.25">
      <c r="A10000" s="859">
        <f t="shared" si="184"/>
        <v>9999</v>
      </c>
      <c r="B10000" s="845" t="s">
        <v>2564</v>
      </c>
      <c r="C10000" s="1007">
        <f t="shared" si="183"/>
        <v>37</v>
      </c>
      <c r="D10000" s="1015"/>
      <c r="I10000" s="1011" t="s">
        <v>2176</v>
      </c>
      <c r="K10000" s="1013"/>
    </row>
    <row r="10001" spans="1:11" s="1011" customFormat="1" ht="15" x14ac:dyDescent="0.25">
      <c r="A10001" s="859">
        <f t="shared" si="184"/>
        <v>10000</v>
      </c>
      <c r="B10001" s="845" t="s">
        <v>2564</v>
      </c>
      <c r="C10001" s="1007">
        <f t="shared" si="183"/>
        <v>37</v>
      </c>
      <c r="D10001" s="1012"/>
      <c r="I10001" s="1011" t="str">
        <f>CONCATENATE("&lt;valeur&gt;",VLOOKUP(C10001,'T16 Amort'!A:K,4,0),"&lt;/valeur&gt;")</f>
        <v>&lt;valeur&gt;&lt;/valeur&gt;</v>
      </c>
      <c r="K10001" s="1013"/>
    </row>
    <row r="10002" spans="1:11" s="1011" customFormat="1" ht="15" x14ac:dyDescent="0.25">
      <c r="A10002" s="859">
        <f t="shared" si="184"/>
        <v>10001</v>
      </c>
      <c r="B10002" s="845" t="s">
        <v>2564</v>
      </c>
      <c r="C10002" s="1007">
        <f t="shared" si="183"/>
        <v>37</v>
      </c>
      <c r="D10002" s="1012"/>
      <c r="I10002" s="1011" t="str">
        <f>CONCATENATE("&lt;numeroLigne&gt;",C10002,"&lt;/numeroLigne&gt;")</f>
        <v>&lt;numeroLigne&gt;37&lt;/numeroLigne&gt;</v>
      </c>
      <c r="K10002" s="1013"/>
    </row>
    <row r="10003" spans="1:11" s="1011" customFormat="1" ht="15" x14ac:dyDescent="0.25">
      <c r="A10003" s="859">
        <f t="shared" si="184"/>
        <v>10002</v>
      </c>
      <c r="B10003" s="845" t="s">
        <v>2564</v>
      </c>
      <c r="C10003" s="1007">
        <f t="shared" si="183"/>
        <v>37</v>
      </c>
      <c r="D10003" s="1014"/>
      <c r="H10003" s="1011" t="s">
        <v>1010</v>
      </c>
      <c r="K10003" s="1013"/>
    </row>
    <row r="10004" spans="1:11" s="1011" customFormat="1" ht="15" x14ac:dyDescent="0.25">
      <c r="A10004" s="859">
        <f t="shared" si="184"/>
        <v>10003</v>
      </c>
      <c r="B10004" s="845" t="s">
        <v>2564</v>
      </c>
      <c r="C10004" s="1007">
        <f t="shared" si="183"/>
        <v>37</v>
      </c>
      <c r="D10004" s="1014"/>
      <c r="H10004" s="1011" t="s">
        <v>1007</v>
      </c>
      <c r="K10004" s="1013"/>
    </row>
    <row r="10005" spans="1:11" s="1011" customFormat="1" ht="15" x14ac:dyDescent="0.25">
      <c r="A10005" s="859">
        <f t="shared" si="184"/>
        <v>10004</v>
      </c>
      <c r="B10005" s="845" t="s">
        <v>2564</v>
      </c>
      <c r="C10005" s="1007">
        <f t="shared" si="183"/>
        <v>37</v>
      </c>
      <c r="D10005" s="1012"/>
      <c r="I10005" s="1011" t="s">
        <v>2177</v>
      </c>
      <c r="K10005" s="1013"/>
    </row>
    <row r="10006" spans="1:11" s="1011" customFormat="1" ht="15" x14ac:dyDescent="0.25">
      <c r="A10006" s="859">
        <f t="shared" si="184"/>
        <v>10005</v>
      </c>
      <c r="B10006" s="845" t="s">
        <v>2564</v>
      </c>
      <c r="C10006" s="1007">
        <f t="shared" si="183"/>
        <v>37</v>
      </c>
      <c r="D10006" s="1015"/>
      <c r="I10006" s="1011" t="str">
        <f>CONCATENATE("&lt;valeur&gt;",VLOOKUP(C10006,'T16 Amort'!A:K,5,0),"&lt;/valeur&gt;")</f>
        <v>&lt;valeur&gt;&lt;/valeur&gt;</v>
      </c>
      <c r="K10006" s="1013"/>
    </row>
    <row r="10007" spans="1:11" s="1011" customFormat="1" ht="15" x14ac:dyDescent="0.25">
      <c r="A10007" s="859">
        <f t="shared" si="184"/>
        <v>10006</v>
      </c>
      <c r="B10007" s="845" t="s">
        <v>2564</v>
      </c>
      <c r="C10007" s="1007">
        <f t="shared" si="183"/>
        <v>37</v>
      </c>
      <c r="D10007" s="1012"/>
      <c r="I10007" s="1011" t="str">
        <f>CONCATENATE("&lt;numeroLigne&gt;",C10007,"&lt;/numeroLigne&gt;")</f>
        <v>&lt;numeroLigne&gt;37&lt;/numeroLigne&gt;</v>
      </c>
      <c r="K10007" s="1013"/>
    </row>
    <row r="10008" spans="1:11" s="1011" customFormat="1" ht="15" x14ac:dyDescent="0.25">
      <c r="A10008" s="859">
        <f t="shared" si="184"/>
        <v>10007</v>
      </c>
      <c r="B10008" s="845" t="s">
        <v>2564</v>
      </c>
      <c r="C10008" s="1007">
        <f t="shared" si="183"/>
        <v>37</v>
      </c>
      <c r="D10008" s="1012"/>
      <c r="H10008" s="1011" t="s">
        <v>1010</v>
      </c>
      <c r="K10008" s="1013"/>
    </row>
    <row r="10009" spans="1:11" s="1011" customFormat="1" ht="15" x14ac:dyDescent="0.25">
      <c r="A10009" s="859">
        <f t="shared" si="184"/>
        <v>10008</v>
      </c>
      <c r="B10009" s="845" t="s">
        <v>2564</v>
      </c>
      <c r="C10009" s="1007">
        <f t="shared" si="183"/>
        <v>37</v>
      </c>
      <c r="D10009" s="1014"/>
      <c r="H10009" s="1011" t="s">
        <v>1007</v>
      </c>
      <c r="K10009" s="1013"/>
    </row>
    <row r="10010" spans="1:11" s="1011" customFormat="1" ht="15" x14ac:dyDescent="0.25">
      <c r="A10010" s="859">
        <f t="shared" si="184"/>
        <v>10009</v>
      </c>
      <c r="B10010" s="845" t="s">
        <v>2564</v>
      </c>
      <c r="C10010" s="1007">
        <f t="shared" si="183"/>
        <v>37</v>
      </c>
      <c r="D10010" s="1014"/>
      <c r="I10010" s="1011" t="s">
        <v>2178</v>
      </c>
      <c r="K10010" s="1013"/>
    </row>
    <row r="10011" spans="1:11" s="1011" customFormat="1" ht="15" x14ac:dyDescent="0.25">
      <c r="A10011" s="859">
        <f t="shared" si="184"/>
        <v>10010</v>
      </c>
      <c r="B10011" s="845" t="s">
        <v>2564</v>
      </c>
      <c r="C10011" s="1007">
        <f t="shared" si="183"/>
        <v>37</v>
      </c>
      <c r="D10011" s="1012"/>
      <c r="I10011" s="1011" t="str">
        <f>CONCATENATE("&lt;valeur&gt;",VLOOKUP(C10011,'T16 Amort'!A:K,6,0),"&lt;/valeur&gt;")</f>
        <v>&lt;valeur&gt;&lt;/valeur&gt;</v>
      </c>
      <c r="K10011" s="1013"/>
    </row>
    <row r="10012" spans="1:11" s="1011" customFormat="1" ht="15" x14ac:dyDescent="0.25">
      <c r="A10012" s="859">
        <f t="shared" si="184"/>
        <v>10011</v>
      </c>
      <c r="B10012" s="845" t="s">
        <v>2564</v>
      </c>
      <c r="C10012" s="1007">
        <f t="shared" si="183"/>
        <v>37</v>
      </c>
      <c r="D10012" s="1015"/>
      <c r="I10012" s="1011" t="str">
        <f>CONCATENATE("&lt;numeroLigne&gt;",C10012,"&lt;/numeroLigne&gt;")</f>
        <v>&lt;numeroLigne&gt;37&lt;/numeroLigne&gt;</v>
      </c>
      <c r="K10012" s="1013"/>
    </row>
    <row r="10013" spans="1:11" s="1011" customFormat="1" ht="15" x14ac:dyDescent="0.25">
      <c r="A10013" s="859">
        <f t="shared" si="184"/>
        <v>10012</v>
      </c>
      <c r="B10013" s="845" t="s">
        <v>2564</v>
      </c>
      <c r="C10013" s="1007">
        <f t="shared" si="183"/>
        <v>37</v>
      </c>
      <c r="D10013" s="1012"/>
      <c r="H10013" s="1011" t="s">
        <v>1010</v>
      </c>
      <c r="K10013" s="1013"/>
    </row>
    <row r="10014" spans="1:11" s="1011" customFormat="1" ht="15" x14ac:dyDescent="0.25">
      <c r="A10014" s="859">
        <f t="shared" si="184"/>
        <v>10013</v>
      </c>
      <c r="B10014" s="845" t="s">
        <v>2564</v>
      </c>
      <c r="C10014" s="1007">
        <f t="shared" si="183"/>
        <v>37</v>
      </c>
      <c r="D10014" s="1012"/>
      <c r="H10014" s="1011" t="s">
        <v>1007</v>
      </c>
      <c r="K10014" s="1013"/>
    </row>
    <row r="10015" spans="1:11" s="1011" customFormat="1" ht="15" x14ac:dyDescent="0.25">
      <c r="A10015" s="859">
        <f t="shared" si="184"/>
        <v>10014</v>
      </c>
      <c r="B10015" s="845" t="s">
        <v>2564</v>
      </c>
      <c r="C10015" s="1007">
        <f t="shared" si="183"/>
        <v>37</v>
      </c>
      <c r="D10015" s="1014"/>
      <c r="I10015" s="1011" t="s">
        <v>2179</v>
      </c>
      <c r="K10015" s="1013"/>
    </row>
    <row r="10016" spans="1:11" s="1011" customFormat="1" ht="15" x14ac:dyDescent="0.25">
      <c r="A10016" s="859">
        <f t="shared" si="184"/>
        <v>10015</v>
      </c>
      <c r="B10016" s="845" t="s">
        <v>2564</v>
      </c>
      <c r="C10016" s="1007">
        <f t="shared" si="183"/>
        <v>37</v>
      </c>
      <c r="D10016" s="1014"/>
      <c r="I10016" s="1011" t="str">
        <f>CONCATENATE("&lt;valeur&gt;",VLOOKUP(C10016,'T16 Amort'!A:K,7,0),"&lt;/valeur&gt;")</f>
        <v>&lt;valeur&gt;&lt;/valeur&gt;</v>
      </c>
      <c r="K10016" s="1013"/>
    </row>
    <row r="10017" spans="1:11" s="1011" customFormat="1" ht="15" x14ac:dyDescent="0.25">
      <c r="A10017" s="859">
        <f t="shared" si="184"/>
        <v>10016</v>
      </c>
      <c r="B10017" s="845" t="s">
        <v>2564</v>
      </c>
      <c r="C10017" s="1007">
        <f t="shared" si="183"/>
        <v>37</v>
      </c>
      <c r="D10017" s="1012"/>
      <c r="I10017" s="1011" t="str">
        <f>CONCATENATE("&lt;numeroLigne&gt;",C10017,"&lt;/numeroLigne&gt;")</f>
        <v>&lt;numeroLigne&gt;37&lt;/numeroLigne&gt;</v>
      </c>
      <c r="K10017" s="1013"/>
    </row>
    <row r="10018" spans="1:11" s="1011" customFormat="1" ht="15" x14ac:dyDescent="0.25">
      <c r="A10018" s="859">
        <f t="shared" si="184"/>
        <v>10017</v>
      </c>
      <c r="B10018" s="845" t="s">
        <v>2564</v>
      </c>
      <c r="C10018" s="1007">
        <f t="shared" si="183"/>
        <v>37</v>
      </c>
      <c r="D10018" s="1015"/>
      <c r="H10018" s="1011" t="s">
        <v>1010</v>
      </c>
      <c r="K10018" s="1013"/>
    </row>
    <row r="10019" spans="1:11" s="1011" customFormat="1" ht="15" x14ac:dyDescent="0.25">
      <c r="A10019" s="859">
        <f t="shared" si="184"/>
        <v>10018</v>
      </c>
      <c r="B10019" s="845" t="s">
        <v>2564</v>
      </c>
      <c r="C10019" s="1007">
        <f t="shared" si="183"/>
        <v>37</v>
      </c>
      <c r="D10019" s="1012"/>
      <c r="H10019" s="1011" t="s">
        <v>1007</v>
      </c>
      <c r="K10019" s="1013"/>
    </row>
    <row r="10020" spans="1:11" s="1011" customFormat="1" ht="15" x14ac:dyDescent="0.25">
      <c r="A10020" s="859">
        <f t="shared" si="184"/>
        <v>10019</v>
      </c>
      <c r="B10020" s="845" t="s">
        <v>2564</v>
      </c>
      <c r="C10020" s="1007">
        <f t="shared" si="183"/>
        <v>37</v>
      </c>
      <c r="D10020" s="1012"/>
      <c r="I10020" s="1011" t="s">
        <v>2180</v>
      </c>
      <c r="K10020" s="1013"/>
    </row>
    <row r="10021" spans="1:11" s="1011" customFormat="1" ht="15" x14ac:dyDescent="0.25">
      <c r="A10021" s="859">
        <f t="shared" si="184"/>
        <v>10020</v>
      </c>
      <c r="B10021" s="845" t="s">
        <v>2564</v>
      </c>
      <c r="C10021" s="1007">
        <f t="shared" si="183"/>
        <v>37</v>
      </c>
      <c r="D10021" s="1014"/>
      <c r="I10021" s="1011" t="str">
        <f>CONCATENATE("&lt;valeur&gt;",VLOOKUP(C10021,'T16 Amort'!A:K,8,0),"&lt;/valeur&gt;")</f>
        <v>&lt;valeur&gt;&lt;/valeur&gt;</v>
      </c>
      <c r="K10021" s="1013"/>
    </row>
    <row r="10022" spans="1:11" s="1011" customFormat="1" ht="15" x14ac:dyDescent="0.25">
      <c r="A10022" s="859">
        <f t="shared" si="184"/>
        <v>10021</v>
      </c>
      <c r="B10022" s="845" t="s">
        <v>2564</v>
      </c>
      <c r="C10022" s="1007">
        <f t="shared" si="183"/>
        <v>37</v>
      </c>
      <c r="D10022" s="1014"/>
      <c r="I10022" s="1011" t="str">
        <f>CONCATENATE("&lt;numeroLigne&gt;",C10022,"&lt;/numeroLigne&gt;")</f>
        <v>&lt;numeroLigne&gt;37&lt;/numeroLigne&gt;</v>
      </c>
      <c r="K10022" s="1013"/>
    </row>
    <row r="10023" spans="1:11" s="1011" customFormat="1" ht="15" x14ac:dyDescent="0.25">
      <c r="A10023" s="859">
        <f t="shared" si="184"/>
        <v>10022</v>
      </c>
      <c r="B10023" s="845" t="s">
        <v>2564</v>
      </c>
      <c r="C10023" s="1007">
        <f t="shared" si="183"/>
        <v>37</v>
      </c>
      <c r="D10023" s="1012"/>
      <c r="H10023" s="1011" t="s">
        <v>1010</v>
      </c>
      <c r="K10023" s="1013"/>
    </row>
    <row r="10024" spans="1:11" s="1011" customFormat="1" ht="15" x14ac:dyDescent="0.25">
      <c r="A10024" s="859">
        <f t="shared" si="184"/>
        <v>10023</v>
      </c>
      <c r="B10024" s="845" t="s">
        <v>2564</v>
      </c>
      <c r="C10024" s="1007">
        <f t="shared" si="183"/>
        <v>37</v>
      </c>
      <c r="D10024" s="1015"/>
      <c r="H10024" s="1011" t="s">
        <v>1007</v>
      </c>
      <c r="K10024" s="1013"/>
    </row>
    <row r="10025" spans="1:11" s="1011" customFormat="1" ht="15" x14ac:dyDescent="0.25">
      <c r="A10025" s="859">
        <f t="shared" si="184"/>
        <v>10024</v>
      </c>
      <c r="B10025" s="845" t="s">
        <v>2564</v>
      </c>
      <c r="C10025" s="1007">
        <f t="shared" si="183"/>
        <v>37</v>
      </c>
      <c r="D10025" s="1012"/>
      <c r="I10025" s="1011" t="s">
        <v>2181</v>
      </c>
      <c r="K10025" s="1013"/>
    </row>
    <row r="10026" spans="1:11" s="1011" customFormat="1" ht="15" x14ac:dyDescent="0.25">
      <c r="A10026" s="859">
        <f t="shared" si="184"/>
        <v>10025</v>
      </c>
      <c r="B10026" s="845" t="s">
        <v>2564</v>
      </c>
      <c r="C10026" s="1007">
        <f t="shared" si="183"/>
        <v>37</v>
      </c>
      <c r="D10026" s="1012"/>
      <c r="I10026" s="1011" t="str">
        <f>CONCATENATE("&lt;valeur&gt;",VLOOKUP(C10026,'T16 Amort'!A:K,9,0),"&lt;/valeur&gt;")</f>
        <v>&lt;valeur&gt;&lt;/valeur&gt;</v>
      </c>
      <c r="K10026" s="1013"/>
    </row>
    <row r="10027" spans="1:11" s="1011" customFormat="1" ht="15" x14ac:dyDescent="0.25">
      <c r="A10027" s="859">
        <f t="shared" si="184"/>
        <v>10026</v>
      </c>
      <c r="B10027" s="845" t="s">
        <v>2564</v>
      </c>
      <c r="C10027" s="1007">
        <f t="shared" si="183"/>
        <v>37</v>
      </c>
      <c r="D10027" s="1014"/>
      <c r="I10027" s="1011" t="str">
        <f>CONCATENATE("&lt;numeroLigne&gt;",C10027,"&lt;/numeroLigne&gt;")</f>
        <v>&lt;numeroLigne&gt;37&lt;/numeroLigne&gt;</v>
      </c>
      <c r="K10027" s="1013"/>
    </row>
    <row r="10028" spans="1:11" s="1011" customFormat="1" ht="15" x14ac:dyDescent="0.25">
      <c r="A10028" s="859">
        <f t="shared" si="184"/>
        <v>10027</v>
      </c>
      <c r="B10028" s="845" t="s">
        <v>2564</v>
      </c>
      <c r="C10028" s="1007">
        <f t="shared" si="183"/>
        <v>37</v>
      </c>
      <c r="D10028" s="1014"/>
      <c r="H10028" s="1011" t="s">
        <v>1010</v>
      </c>
      <c r="K10028" s="1013"/>
    </row>
    <row r="10029" spans="1:11" s="1011" customFormat="1" ht="15" x14ac:dyDescent="0.25">
      <c r="A10029" s="859">
        <f t="shared" si="184"/>
        <v>10028</v>
      </c>
      <c r="B10029" s="845" t="s">
        <v>2564</v>
      </c>
      <c r="C10029" s="1007">
        <f t="shared" si="183"/>
        <v>37</v>
      </c>
      <c r="D10029" s="1012"/>
      <c r="H10029" s="1011" t="s">
        <v>1007</v>
      </c>
      <c r="K10029" s="1013"/>
    </row>
    <row r="10030" spans="1:11" s="1011" customFormat="1" ht="15" x14ac:dyDescent="0.25">
      <c r="A10030" s="859">
        <f t="shared" si="184"/>
        <v>10029</v>
      </c>
      <c r="B10030" s="845" t="s">
        <v>2564</v>
      </c>
      <c r="C10030" s="1007">
        <f t="shared" si="183"/>
        <v>37</v>
      </c>
      <c r="D10030" s="1015"/>
      <c r="I10030" s="1011" t="s">
        <v>2182</v>
      </c>
      <c r="K10030" s="1013"/>
    </row>
    <row r="10031" spans="1:11" s="1011" customFormat="1" ht="15" x14ac:dyDescent="0.25">
      <c r="A10031" s="859">
        <f t="shared" si="184"/>
        <v>10030</v>
      </c>
      <c r="B10031" s="845" t="s">
        <v>2564</v>
      </c>
      <c r="C10031" s="1007">
        <f t="shared" ref="C10031:C10094" si="185">C9981+1</f>
        <v>37</v>
      </c>
      <c r="D10031" s="1012"/>
      <c r="I10031" s="1011" t="str">
        <f>CONCATENATE("&lt;valeur&gt;",VLOOKUP(C10031,'T16 Amort'!A:K,10,0),"&lt;/valeur&gt;")</f>
        <v>&lt;valeur&gt;&lt;/valeur&gt;</v>
      </c>
      <c r="K10031" s="1013"/>
    </row>
    <row r="10032" spans="1:11" s="1011" customFormat="1" ht="15" x14ac:dyDescent="0.25">
      <c r="A10032" s="859">
        <f t="shared" si="184"/>
        <v>10031</v>
      </c>
      <c r="B10032" s="845" t="s">
        <v>2564</v>
      </c>
      <c r="C10032" s="1007">
        <f t="shared" si="185"/>
        <v>37</v>
      </c>
      <c r="D10032" s="1012"/>
      <c r="I10032" s="1011" t="str">
        <f>CONCATENATE("&lt;numeroLigne&gt;",C10032,"&lt;/numeroLigne&gt;")</f>
        <v>&lt;numeroLigne&gt;37&lt;/numeroLigne&gt;</v>
      </c>
      <c r="K10032" s="1013"/>
    </row>
    <row r="10033" spans="1:11" s="1011" customFormat="1" ht="15" x14ac:dyDescent="0.25">
      <c r="A10033" s="859">
        <f t="shared" si="184"/>
        <v>10032</v>
      </c>
      <c r="B10033" s="845" t="s">
        <v>2564</v>
      </c>
      <c r="C10033" s="1007">
        <f t="shared" si="185"/>
        <v>37</v>
      </c>
      <c r="D10033" s="1014"/>
      <c r="H10033" s="1011" t="s">
        <v>1010</v>
      </c>
      <c r="K10033" s="1013"/>
    </row>
    <row r="10034" spans="1:11" s="1011" customFormat="1" ht="15" x14ac:dyDescent="0.25">
      <c r="A10034" s="859">
        <f t="shared" si="184"/>
        <v>10033</v>
      </c>
      <c r="B10034" s="845" t="s">
        <v>2564</v>
      </c>
      <c r="C10034" s="1007">
        <f t="shared" si="185"/>
        <v>37</v>
      </c>
      <c r="D10034" s="1014"/>
      <c r="H10034" s="1011" t="s">
        <v>1007</v>
      </c>
      <c r="K10034" s="1013"/>
    </row>
    <row r="10035" spans="1:11" s="1011" customFormat="1" ht="15" x14ac:dyDescent="0.25">
      <c r="A10035" s="859">
        <f t="shared" si="184"/>
        <v>10034</v>
      </c>
      <c r="B10035" s="845" t="s">
        <v>2564</v>
      </c>
      <c r="C10035" s="1007">
        <f t="shared" si="185"/>
        <v>37</v>
      </c>
      <c r="D10035" s="1012"/>
      <c r="I10035" s="1011" t="s">
        <v>2183</v>
      </c>
      <c r="K10035" s="1013"/>
    </row>
    <row r="10036" spans="1:11" s="1011" customFormat="1" ht="15" x14ac:dyDescent="0.25">
      <c r="A10036" s="859">
        <f t="shared" si="184"/>
        <v>10035</v>
      </c>
      <c r="B10036" s="845" t="s">
        <v>2564</v>
      </c>
      <c r="C10036" s="1007">
        <f t="shared" si="185"/>
        <v>37</v>
      </c>
      <c r="D10036" s="1015"/>
      <c r="I10036" s="1011" t="str">
        <f>CONCATENATE("&lt;valeur&gt;",VLOOKUP(C10036,'T16 Amort'!A:K,11,0),"&lt;/valeur&gt;")</f>
        <v>&lt;valeur&gt;&lt;/valeur&gt;</v>
      </c>
      <c r="K10036" s="1013"/>
    </row>
    <row r="10037" spans="1:11" s="1011" customFormat="1" ht="15" x14ac:dyDescent="0.25">
      <c r="A10037" s="859">
        <f t="shared" si="184"/>
        <v>10036</v>
      </c>
      <c r="B10037" s="845" t="s">
        <v>2564</v>
      </c>
      <c r="C10037" s="1007">
        <f t="shared" si="185"/>
        <v>37</v>
      </c>
      <c r="D10037" s="1012"/>
      <c r="I10037" s="1011" t="str">
        <f>CONCATENATE("&lt;numeroLigne&gt;",C10037,"&lt;/numeroLigne&gt;")</f>
        <v>&lt;numeroLigne&gt;37&lt;/numeroLigne&gt;</v>
      </c>
      <c r="K10037" s="1013"/>
    </row>
    <row r="10038" spans="1:11" s="1011" customFormat="1" ht="15" x14ac:dyDescent="0.25">
      <c r="A10038" s="859">
        <f t="shared" si="184"/>
        <v>10037</v>
      </c>
      <c r="B10038" s="845" t="s">
        <v>2564</v>
      </c>
      <c r="C10038" s="1007">
        <f t="shared" si="185"/>
        <v>37</v>
      </c>
      <c r="D10038" s="1016"/>
      <c r="E10038" s="1017"/>
      <c r="F10038" s="1017"/>
      <c r="G10038" s="1017"/>
      <c r="H10038" s="1017" t="s">
        <v>1010</v>
      </c>
      <c r="I10038" s="1017"/>
      <c r="J10038" s="1017"/>
      <c r="K10038" s="1018"/>
    </row>
    <row r="10039" spans="1:11" s="1011" customFormat="1" ht="15" x14ac:dyDescent="0.25">
      <c r="A10039" s="859">
        <f t="shared" si="184"/>
        <v>10038</v>
      </c>
      <c r="B10039" s="845" t="s">
        <v>2564</v>
      </c>
      <c r="C10039" s="1007">
        <f t="shared" si="185"/>
        <v>38</v>
      </c>
      <c r="D10039" s="1008"/>
      <c r="E10039" s="1009"/>
      <c r="F10039" s="1009"/>
      <c r="G10039" s="1009"/>
      <c r="H10039" s="1009" t="s">
        <v>1007</v>
      </c>
      <c r="I10039" s="1009"/>
      <c r="J10039" s="1009"/>
      <c r="K10039" s="1010"/>
    </row>
    <row r="10040" spans="1:11" s="1011" customFormat="1" ht="15" x14ac:dyDescent="0.25">
      <c r="A10040" s="859">
        <f t="shared" si="184"/>
        <v>10039</v>
      </c>
      <c r="B10040" s="845" t="s">
        <v>2564</v>
      </c>
      <c r="C10040" s="1007">
        <f t="shared" si="185"/>
        <v>38</v>
      </c>
      <c r="D10040" s="1012"/>
      <c r="I10040" s="1011" t="s">
        <v>2174</v>
      </c>
      <c r="K10040" s="1013"/>
    </row>
    <row r="10041" spans="1:11" s="1011" customFormat="1" ht="15" x14ac:dyDescent="0.25">
      <c r="A10041" s="859">
        <f t="shared" si="184"/>
        <v>10040</v>
      </c>
      <c r="B10041" s="845" t="s">
        <v>2564</v>
      </c>
      <c r="C10041" s="1007">
        <f t="shared" si="185"/>
        <v>38</v>
      </c>
      <c r="D10041" s="1014"/>
      <c r="I10041" s="1011" t="str">
        <f>CONCATENATE("&lt;valeur&gt;",VLOOKUP(C10041,'T16 Amort'!A:K,2,0),"&lt;/valeur&gt;")</f>
        <v>&lt;valeur&gt;&lt;/valeur&gt;</v>
      </c>
      <c r="K10041" s="1013"/>
    </row>
    <row r="10042" spans="1:11" s="1011" customFormat="1" ht="15" x14ac:dyDescent="0.25">
      <c r="A10042" s="859">
        <f t="shared" si="184"/>
        <v>10041</v>
      </c>
      <c r="B10042" s="845" t="s">
        <v>2564</v>
      </c>
      <c r="C10042" s="1007">
        <f t="shared" si="185"/>
        <v>38</v>
      </c>
      <c r="D10042" s="1014"/>
      <c r="I10042" s="1011" t="str">
        <f>CONCATENATE("&lt;numeroLigne&gt;",C10042,"&lt;/numeroLigne&gt;")</f>
        <v>&lt;numeroLigne&gt;38&lt;/numeroLigne&gt;</v>
      </c>
      <c r="K10042" s="1013"/>
    </row>
    <row r="10043" spans="1:11" s="1011" customFormat="1" ht="15" x14ac:dyDescent="0.25">
      <c r="A10043" s="859">
        <f t="shared" si="184"/>
        <v>10042</v>
      </c>
      <c r="B10043" s="845" t="s">
        <v>2564</v>
      </c>
      <c r="C10043" s="1007">
        <f t="shared" si="185"/>
        <v>38</v>
      </c>
      <c r="D10043" s="1012"/>
      <c r="H10043" s="1011" t="s">
        <v>1010</v>
      </c>
      <c r="K10043" s="1013"/>
    </row>
    <row r="10044" spans="1:11" s="1011" customFormat="1" ht="15" x14ac:dyDescent="0.25">
      <c r="A10044" s="859">
        <f t="shared" si="184"/>
        <v>10043</v>
      </c>
      <c r="B10044" s="845" t="s">
        <v>2564</v>
      </c>
      <c r="C10044" s="1007">
        <f t="shared" si="185"/>
        <v>38</v>
      </c>
      <c r="D10044" s="1015"/>
      <c r="H10044" s="1011" t="s">
        <v>1007</v>
      </c>
      <c r="K10044" s="1013"/>
    </row>
    <row r="10045" spans="1:11" s="1011" customFormat="1" ht="15" x14ac:dyDescent="0.25">
      <c r="A10045" s="859">
        <f t="shared" si="184"/>
        <v>10044</v>
      </c>
      <c r="B10045" s="845" t="s">
        <v>2564</v>
      </c>
      <c r="C10045" s="1007">
        <f t="shared" si="185"/>
        <v>38</v>
      </c>
      <c r="D10045" s="1012"/>
      <c r="I10045" s="1011" t="s">
        <v>2175</v>
      </c>
      <c r="K10045" s="1013"/>
    </row>
    <row r="10046" spans="1:11" s="1011" customFormat="1" ht="15" x14ac:dyDescent="0.25">
      <c r="A10046" s="859">
        <f t="shared" si="184"/>
        <v>10045</v>
      </c>
      <c r="B10046" s="845" t="s">
        <v>2564</v>
      </c>
      <c r="C10046" s="1007">
        <f t="shared" si="185"/>
        <v>38</v>
      </c>
      <c r="D10046" s="1012"/>
      <c r="I10046" s="1011" t="str">
        <f>CONCATENATE("&lt;valeur&gt;",VLOOKUP(C10046,'T16 Amort'!A:K,3,0),"&lt;/valeur&gt;")</f>
        <v>&lt;valeur&gt;&lt;/valeur&gt;</v>
      </c>
      <c r="K10046" s="1013"/>
    </row>
    <row r="10047" spans="1:11" s="1011" customFormat="1" ht="15" x14ac:dyDescent="0.25">
      <c r="A10047" s="859">
        <f t="shared" si="184"/>
        <v>10046</v>
      </c>
      <c r="B10047" s="845" t="s">
        <v>2564</v>
      </c>
      <c r="C10047" s="1007">
        <f t="shared" si="185"/>
        <v>38</v>
      </c>
      <c r="D10047" s="1014"/>
      <c r="I10047" s="1011" t="str">
        <f>CONCATENATE("&lt;numeroLigne&gt;",C10047,"&lt;/numeroLigne&gt;")</f>
        <v>&lt;numeroLigne&gt;38&lt;/numeroLigne&gt;</v>
      </c>
      <c r="K10047" s="1013"/>
    </row>
    <row r="10048" spans="1:11" s="1011" customFormat="1" ht="15" x14ac:dyDescent="0.25">
      <c r="A10048" s="859">
        <f t="shared" si="184"/>
        <v>10047</v>
      </c>
      <c r="B10048" s="845" t="s">
        <v>2564</v>
      </c>
      <c r="C10048" s="1007">
        <f t="shared" si="185"/>
        <v>38</v>
      </c>
      <c r="D10048" s="1014"/>
      <c r="H10048" s="1011" t="s">
        <v>1010</v>
      </c>
      <c r="K10048" s="1013"/>
    </row>
    <row r="10049" spans="1:11" s="1011" customFormat="1" ht="15" x14ac:dyDescent="0.25">
      <c r="A10049" s="859">
        <f t="shared" si="184"/>
        <v>10048</v>
      </c>
      <c r="B10049" s="845" t="s">
        <v>2564</v>
      </c>
      <c r="C10049" s="1007">
        <f t="shared" si="185"/>
        <v>38</v>
      </c>
      <c r="D10049" s="1012"/>
      <c r="H10049" s="1011" t="s">
        <v>1007</v>
      </c>
      <c r="K10049" s="1013"/>
    </row>
    <row r="10050" spans="1:11" s="1011" customFormat="1" ht="15" x14ac:dyDescent="0.25">
      <c r="A10050" s="859">
        <f t="shared" si="184"/>
        <v>10049</v>
      </c>
      <c r="B10050" s="845" t="s">
        <v>2564</v>
      </c>
      <c r="C10050" s="1007">
        <f t="shared" si="185"/>
        <v>38</v>
      </c>
      <c r="D10050" s="1015"/>
      <c r="I10050" s="1011" t="s">
        <v>2176</v>
      </c>
      <c r="K10050" s="1013"/>
    </row>
    <row r="10051" spans="1:11" s="1011" customFormat="1" ht="15" x14ac:dyDescent="0.25">
      <c r="A10051" s="859">
        <f t="shared" si="184"/>
        <v>10050</v>
      </c>
      <c r="B10051" s="845" t="s">
        <v>2564</v>
      </c>
      <c r="C10051" s="1007">
        <f t="shared" si="185"/>
        <v>38</v>
      </c>
      <c r="D10051" s="1012"/>
      <c r="I10051" s="1011" t="str">
        <f>CONCATENATE("&lt;valeur&gt;",VLOOKUP(C10051,'T16 Amort'!A:K,4,0),"&lt;/valeur&gt;")</f>
        <v>&lt;valeur&gt;&lt;/valeur&gt;</v>
      </c>
      <c r="K10051" s="1013"/>
    </row>
    <row r="10052" spans="1:11" s="1011" customFormat="1" ht="15" x14ac:dyDescent="0.25">
      <c r="A10052" s="859">
        <f t="shared" ref="A10052:A10115" si="186">+A10051+1</f>
        <v>10051</v>
      </c>
      <c r="B10052" s="845" t="s">
        <v>2564</v>
      </c>
      <c r="C10052" s="1007">
        <f t="shared" si="185"/>
        <v>38</v>
      </c>
      <c r="D10052" s="1012"/>
      <c r="I10052" s="1011" t="str">
        <f>CONCATENATE("&lt;numeroLigne&gt;",C10052,"&lt;/numeroLigne&gt;")</f>
        <v>&lt;numeroLigne&gt;38&lt;/numeroLigne&gt;</v>
      </c>
      <c r="K10052" s="1013"/>
    </row>
    <row r="10053" spans="1:11" s="1011" customFormat="1" ht="15" x14ac:dyDescent="0.25">
      <c r="A10053" s="859">
        <f t="shared" si="186"/>
        <v>10052</v>
      </c>
      <c r="B10053" s="845" t="s">
        <v>2564</v>
      </c>
      <c r="C10053" s="1007">
        <f t="shared" si="185"/>
        <v>38</v>
      </c>
      <c r="D10053" s="1014"/>
      <c r="H10053" s="1011" t="s">
        <v>1010</v>
      </c>
      <c r="K10053" s="1013"/>
    </row>
    <row r="10054" spans="1:11" s="1011" customFormat="1" ht="15" x14ac:dyDescent="0.25">
      <c r="A10054" s="859">
        <f t="shared" si="186"/>
        <v>10053</v>
      </c>
      <c r="B10054" s="845" t="s">
        <v>2564</v>
      </c>
      <c r="C10054" s="1007">
        <f t="shared" si="185"/>
        <v>38</v>
      </c>
      <c r="D10054" s="1014"/>
      <c r="H10054" s="1011" t="s">
        <v>1007</v>
      </c>
      <c r="K10054" s="1013"/>
    </row>
    <row r="10055" spans="1:11" s="1011" customFormat="1" ht="15" x14ac:dyDescent="0.25">
      <c r="A10055" s="859">
        <f t="shared" si="186"/>
        <v>10054</v>
      </c>
      <c r="B10055" s="845" t="s">
        <v>2564</v>
      </c>
      <c r="C10055" s="1007">
        <f t="shared" si="185"/>
        <v>38</v>
      </c>
      <c r="D10055" s="1012"/>
      <c r="I10055" s="1011" t="s">
        <v>2177</v>
      </c>
      <c r="K10055" s="1013"/>
    </row>
    <row r="10056" spans="1:11" s="1011" customFormat="1" ht="15" x14ac:dyDescent="0.25">
      <c r="A10056" s="859">
        <f t="shared" si="186"/>
        <v>10055</v>
      </c>
      <c r="B10056" s="845" t="s">
        <v>2564</v>
      </c>
      <c r="C10056" s="1007">
        <f t="shared" si="185"/>
        <v>38</v>
      </c>
      <c r="D10056" s="1015"/>
      <c r="I10056" s="1011" t="str">
        <f>CONCATENATE("&lt;valeur&gt;",VLOOKUP(C10056,'T16 Amort'!A:K,5,0),"&lt;/valeur&gt;")</f>
        <v>&lt;valeur&gt;&lt;/valeur&gt;</v>
      </c>
      <c r="K10056" s="1013"/>
    </row>
    <row r="10057" spans="1:11" s="1011" customFormat="1" ht="15" x14ac:dyDescent="0.25">
      <c r="A10057" s="859">
        <f t="shared" si="186"/>
        <v>10056</v>
      </c>
      <c r="B10057" s="845" t="s">
        <v>2564</v>
      </c>
      <c r="C10057" s="1007">
        <f t="shared" si="185"/>
        <v>38</v>
      </c>
      <c r="D10057" s="1012"/>
      <c r="I10057" s="1011" t="str">
        <f>CONCATENATE("&lt;numeroLigne&gt;",C10057,"&lt;/numeroLigne&gt;")</f>
        <v>&lt;numeroLigne&gt;38&lt;/numeroLigne&gt;</v>
      </c>
      <c r="K10057" s="1013"/>
    </row>
    <row r="10058" spans="1:11" s="1011" customFormat="1" ht="15" x14ac:dyDescent="0.25">
      <c r="A10058" s="859">
        <f t="shared" si="186"/>
        <v>10057</v>
      </c>
      <c r="B10058" s="845" t="s">
        <v>2564</v>
      </c>
      <c r="C10058" s="1007">
        <f t="shared" si="185"/>
        <v>38</v>
      </c>
      <c r="D10058" s="1012"/>
      <c r="H10058" s="1011" t="s">
        <v>1010</v>
      </c>
      <c r="K10058" s="1013"/>
    </row>
    <row r="10059" spans="1:11" s="1011" customFormat="1" ht="15" x14ac:dyDescent="0.25">
      <c r="A10059" s="859">
        <f t="shared" si="186"/>
        <v>10058</v>
      </c>
      <c r="B10059" s="845" t="s">
        <v>2564</v>
      </c>
      <c r="C10059" s="1007">
        <f t="shared" si="185"/>
        <v>38</v>
      </c>
      <c r="D10059" s="1014"/>
      <c r="H10059" s="1011" t="s">
        <v>1007</v>
      </c>
      <c r="K10059" s="1013"/>
    </row>
    <row r="10060" spans="1:11" s="1011" customFormat="1" ht="15" x14ac:dyDescent="0.25">
      <c r="A10060" s="859">
        <f t="shared" si="186"/>
        <v>10059</v>
      </c>
      <c r="B10060" s="845" t="s">
        <v>2564</v>
      </c>
      <c r="C10060" s="1007">
        <f t="shared" si="185"/>
        <v>38</v>
      </c>
      <c r="D10060" s="1014"/>
      <c r="I10060" s="1011" t="s">
        <v>2178</v>
      </c>
      <c r="K10060" s="1013"/>
    </row>
    <row r="10061" spans="1:11" s="1011" customFormat="1" ht="15" x14ac:dyDescent="0.25">
      <c r="A10061" s="859">
        <f t="shared" si="186"/>
        <v>10060</v>
      </c>
      <c r="B10061" s="845" t="s">
        <v>2564</v>
      </c>
      <c r="C10061" s="1007">
        <f t="shared" si="185"/>
        <v>38</v>
      </c>
      <c r="D10061" s="1012"/>
      <c r="I10061" s="1011" t="str">
        <f>CONCATENATE("&lt;valeur&gt;",VLOOKUP(C10061,'T16 Amort'!A:K,6,0),"&lt;/valeur&gt;")</f>
        <v>&lt;valeur&gt;&lt;/valeur&gt;</v>
      </c>
      <c r="K10061" s="1013"/>
    </row>
    <row r="10062" spans="1:11" s="1011" customFormat="1" ht="15" x14ac:dyDescent="0.25">
      <c r="A10062" s="859">
        <f t="shared" si="186"/>
        <v>10061</v>
      </c>
      <c r="B10062" s="845" t="s">
        <v>2564</v>
      </c>
      <c r="C10062" s="1007">
        <f t="shared" si="185"/>
        <v>38</v>
      </c>
      <c r="D10062" s="1015"/>
      <c r="I10062" s="1011" t="str">
        <f>CONCATENATE("&lt;numeroLigne&gt;",C10062,"&lt;/numeroLigne&gt;")</f>
        <v>&lt;numeroLigne&gt;38&lt;/numeroLigne&gt;</v>
      </c>
      <c r="K10062" s="1013"/>
    </row>
    <row r="10063" spans="1:11" s="1011" customFormat="1" ht="15" x14ac:dyDescent="0.25">
      <c r="A10063" s="859">
        <f t="shared" si="186"/>
        <v>10062</v>
      </c>
      <c r="B10063" s="845" t="s">
        <v>2564</v>
      </c>
      <c r="C10063" s="1007">
        <f t="shared" si="185"/>
        <v>38</v>
      </c>
      <c r="D10063" s="1012"/>
      <c r="H10063" s="1011" t="s">
        <v>1010</v>
      </c>
      <c r="K10063" s="1013"/>
    </row>
    <row r="10064" spans="1:11" s="1011" customFormat="1" ht="15" x14ac:dyDescent="0.25">
      <c r="A10064" s="859">
        <f t="shared" si="186"/>
        <v>10063</v>
      </c>
      <c r="B10064" s="845" t="s">
        <v>2564</v>
      </c>
      <c r="C10064" s="1007">
        <f t="shared" si="185"/>
        <v>38</v>
      </c>
      <c r="D10064" s="1012"/>
      <c r="H10064" s="1011" t="s">
        <v>1007</v>
      </c>
      <c r="K10064" s="1013"/>
    </row>
    <row r="10065" spans="1:11" s="1011" customFormat="1" ht="15" x14ac:dyDescent="0.25">
      <c r="A10065" s="859">
        <f t="shared" si="186"/>
        <v>10064</v>
      </c>
      <c r="B10065" s="845" t="s">
        <v>2564</v>
      </c>
      <c r="C10065" s="1007">
        <f t="shared" si="185"/>
        <v>38</v>
      </c>
      <c r="D10065" s="1014"/>
      <c r="I10065" s="1011" t="s">
        <v>2179</v>
      </c>
      <c r="K10065" s="1013"/>
    </row>
    <row r="10066" spans="1:11" s="1011" customFormat="1" ht="15" x14ac:dyDescent="0.25">
      <c r="A10066" s="859">
        <f t="shared" si="186"/>
        <v>10065</v>
      </c>
      <c r="B10066" s="845" t="s">
        <v>2564</v>
      </c>
      <c r="C10066" s="1007">
        <f t="shared" si="185"/>
        <v>38</v>
      </c>
      <c r="D10066" s="1014"/>
      <c r="I10066" s="1011" t="str">
        <f>CONCATENATE("&lt;valeur&gt;",VLOOKUP(C10066,'T16 Amort'!A:K,7,0),"&lt;/valeur&gt;")</f>
        <v>&lt;valeur&gt;&lt;/valeur&gt;</v>
      </c>
      <c r="K10066" s="1013"/>
    </row>
    <row r="10067" spans="1:11" s="1011" customFormat="1" ht="15" x14ac:dyDescent="0.25">
      <c r="A10067" s="859">
        <f t="shared" si="186"/>
        <v>10066</v>
      </c>
      <c r="B10067" s="845" t="s">
        <v>2564</v>
      </c>
      <c r="C10067" s="1007">
        <f t="shared" si="185"/>
        <v>38</v>
      </c>
      <c r="D10067" s="1012"/>
      <c r="I10067" s="1011" t="str">
        <f>CONCATENATE("&lt;numeroLigne&gt;",C10067,"&lt;/numeroLigne&gt;")</f>
        <v>&lt;numeroLigne&gt;38&lt;/numeroLigne&gt;</v>
      </c>
      <c r="K10067" s="1013"/>
    </row>
    <row r="10068" spans="1:11" s="1011" customFormat="1" ht="15" x14ac:dyDescent="0.25">
      <c r="A10068" s="859">
        <f t="shared" si="186"/>
        <v>10067</v>
      </c>
      <c r="B10068" s="845" t="s">
        <v>2564</v>
      </c>
      <c r="C10068" s="1007">
        <f t="shared" si="185"/>
        <v>38</v>
      </c>
      <c r="D10068" s="1015"/>
      <c r="H10068" s="1011" t="s">
        <v>1010</v>
      </c>
      <c r="K10068" s="1013"/>
    </row>
    <row r="10069" spans="1:11" s="1011" customFormat="1" ht="15" x14ac:dyDescent="0.25">
      <c r="A10069" s="859">
        <f t="shared" si="186"/>
        <v>10068</v>
      </c>
      <c r="B10069" s="845" t="s">
        <v>2564</v>
      </c>
      <c r="C10069" s="1007">
        <f t="shared" si="185"/>
        <v>38</v>
      </c>
      <c r="D10069" s="1012"/>
      <c r="H10069" s="1011" t="s">
        <v>1007</v>
      </c>
      <c r="K10069" s="1013"/>
    </row>
    <row r="10070" spans="1:11" s="1011" customFormat="1" ht="15" x14ac:dyDescent="0.25">
      <c r="A10070" s="859">
        <f t="shared" si="186"/>
        <v>10069</v>
      </c>
      <c r="B10070" s="845" t="s">
        <v>2564</v>
      </c>
      <c r="C10070" s="1007">
        <f t="shared" si="185"/>
        <v>38</v>
      </c>
      <c r="D10070" s="1012"/>
      <c r="I10070" s="1011" t="s">
        <v>2180</v>
      </c>
      <c r="K10070" s="1013"/>
    </row>
    <row r="10071" spans="1:11" s="1011" customFormat="1" ht="15" x14ac:dyDescent="0.25">
      <c r="A10071" s="859">
        <f t="shared" si="186"/>
        <v>10070</v>
      </c>
      <c r="B10071" s="845" t="s">
        <v>2564</v>
      </c>
      <c r="C10071" s="1007">
        <f t="shared" si="185"/>
        <v>38</v>
      </c>
      <c r="D10071" s="1014"/>
      <c r="I10071" s="1011" t="str">
        <f>CONCATENATE("&lt;valeur&gt;",VLOOKUP(C10071,'T16 Amort'!A:K,8,0),"&lt;/valeur&gt;")</f>
        <v>&lt;valeur&gt;&lt;/valeur&gt;</v>
      </c>
      <c r="K10071" s="1013"/>
    </row>
    <row r="10072" spans="1:11" s="1011" customFormat="1" ht="15" x14ac:dyDescent="0.25">
      <c r="A10072" s="859">
        <f t="shared" si="186"/>
        <v>10071</v>
      </c>
      <c r="B10072" s="845" t="s">
        <v>2564</v>
      </c>
      <c r="C10072" s="1007">
        <f t="shared" si="185"/>
        <v>38</v>
      </c>
      <c r="D10072" s="1014"/>
      <c r="I10072" s="1011" t="str">
        <f>CONCATENATE("&lt;numeroLigne&gt;",C10072,"&lt;/numeroLigne&gt;")</f>
        <v>&lt;numeroLigne&gt;38&lt;/numeroLigne&gt;</v>
      </c>
      <c r="K10072" s="1013"/>
    </row>
    <row r="10073" spans="1:11" s="1011" customFormat="1" ht="15" x14ac:dyDescent="0.25">
      <c r="A10073" s="859">
        <f t="shared" si="186"/>
        <v>10072</v>
      </c>
      <c r="B10073" s="845" t="s">
        <v>2564</v>
      </c>
      <c r="C10073" s="1007">
        <f t="shared" si="185"/>
        <v>38</v>
      </c>
      <c r="D10073" s="1012"/>
      <c r="H10073" s="1011" t="s">
        <v>1010</v>
      </c>
      <c r="K10073" s="1013"/>
    </row>
    <row r="10074" spans="1:11" s="1011" customFormat="1" ht="15" x14ac:dyDescent="0.25">
      <c r="A10074" s="859">
        <f t="shared" si="186"/>
        <v>10073</v>
      </c>
      <c r="B10074" s="845" t="s">
        <v>2564</v>
      </c>
      <c r="C10074" s="1007">
        <f t="shared" si="185"/>
        <v>38</v>
      </c>
      <c r="D10074" s="1015"/>
      <c r="H10074" s="1011" t="s">
        <v>1007</v>
      </c>
      <c r="K10074" s="1013"/>
    </row>
    <row r="10075" spans="1:11" s="1011" customFormat="1" ht="15" x14ac:dyDescent="0.25">
      <c r="A10075" s="859">
        <f t="shared" si="186"/>
        <v>10074</v>
      </c>
      <c r="B10075" s="845" t="s">
        <v>2564</v>
      </c>
      <c r="C10075" s="1007">
        <f t="shared" si="185"/>
        <v>38</v>
      </c>
      <c r="D10075" s="1012"/>
      <c r="I10075" s="1011" t="s">
        <v>2181</v>
      </c>
      <c r="K10075" s="1013"/>
    </row>
    <row r="10076" spans="1:11" s="1011" customFormat="1" ht="15" x14ac:dyDescent="0.25">
      <c r="A10076" s="859">
        <f t="shared" si="186"/>
        <v>10075</v>
      </c>
      <c r="B10076" s="845" t="s">
        <v>2564</v>
      </c>
      <c r="C10076" s="1007">
        <f t="shared" si="185"/>
        <v>38</v>
      </c>
      <c r="D10076" s="1012"/>
      <c r="I10076" s="1011" t="str">
        <f>CONCATENATE("&lt;valeur&gt;",VLOOKUP(C10076,'T16 Amort'!A:K,9,0),"&lt;/valeur&gt;")</f>
        <v>&lt;valeur&gt;&lt;/valeur&gt;</v>
      </c>
      <c r="K10076" s="1013"/>
    </row>
    <row r="10077" spans="1:11" s="1011" customFormat="1" ht="15" x14ac:dyDescent="0.25">
      <c r="A10077" s="859">
        <f t="shared" si="186"/>
        <v>10076</v>
      </c>
      <c r="B10077" s="845" t="s">
        <v>2564</v>
      </c>
      <c r="C10077" s="1007">
        <f t="shared" si="185"/>
        <v>38</v>
      </c>
      <c r="D10077" s="1014"/>
      <c r="I10077" s="1011" t="str">
        <f>CONCATENATE("&lt;numeroLigne&gt;",C10077,"&lt;/numeroLigne&gt;")</f>
        <v>&lt;numeroLigne&gt;38&lt;/numeroLigne&gt;</v>
      </c>
      <c r="K10077" s="1013"/>
    </row>
    <row r="10078" spans="1:11" s="1011" customFormat="1" ht="15" x14ac:dyDescent="0.25">
      <c r="A10078" s="859">
        <f t="shared" si="186"/>
        <v>10077</v>
      </c>
      <c r="B10078" s="845" t="s">
        <v>2564</v>
      </c>
      <c r="C10078" s="1007">
        <f t="shared" si="185"/>
        <v>38</v>
      </c>
      <c r="D10078" s="1014"/>
      <c r="H10078" s="1011" t="s">
        <v>1010</v>
      </c>
      <c r="K10078" s="1013"/>
    </row>
    <row r="10079" spans="1:11" s="1011" customFormat="1" ht="15" x14ac:dyDescent="0.25">
      <c r="A10079" s="859">
        <f t="shared" si="186"/>
        <v>10078</v>
      </c>
      <c r="B10079" s="845" t="s">
        <v>2564</v>
      </c>
      <c r="C10079" s="1007">
        <f t="shared" si="185"/>
        <v>38</v>
      </c>
      <c r="D10079" s="1012"/>
      <c r="H10079" s="1011" t="s">
        <v>1007</v>
      </c>
      <c r="K10079" s="1013"/>
    </row>
    <row r="10080" spans="1:11" s="1011" customFormat="1" ht="15" x14ac:dyDescent="0.25">
      <c r="A10080" s="859">
        <f t="shared" si="186"/>
        <v>10079</v>
      </c>
      <c r="B10080" s="845" t="s">
        <v>2564</v>
      </c>
      <c r="C10080" s="1007">
        <f t="shared" si="185"/>
        <v>38</v>
      </c>
      <c r="D10080" s="1015"/>
      <c r="I10080" s="1011" t="s">
        <v>2182</v>
      </c>
      <c r="K10080" s="1013"/>
    </row>
    <row r="10081" spans="1:11" s="1011" customFormat="1" ht="15" x14ac:dyDescent="0.25">
      <c r="A10081" s="859">
        <f t="shared" si="186"/>
        <v>10080</v>
      </c>
      <c r="B10081" s="845" t="s">
        <v>2564</v>
      </c>
      <c r="C10081" s="1007">
        <f t="shared" si="185"/>
        <v>38</v>
      </c>
      <c r="D10081" s="1012"/>
      <c r="I10081" s="1011" t="str">
        <f>CONCATENATE("&lt;valeur&gt;",VLOOKUP(C10081,'T16 Amort'!A:K,10,0),"&lt;/valeur&gt;")</f>
        <v>&lt;valeur&gt;&lt;/valeur&gt;</v>
      </c>
      <c r="K10081" s="1013"/>
    </row>
    <row r="10082" spans="1:11" s="1011" customFormat="1" ht="15" x14ac:dyDescent="0.25">
      <c r="A10082" s="859">
        <f t="shared" si="186"/>
        <v>10081</v>
      </c>
      <c r="B10082" s="845" t="s">
        <v>2564</v>
      </c>
      <c r="C10082" s="1007">
        <f t="shared" si="185"/>
        <v>38</v>
      </c>
      <c r="D10082" s="1012"/>
      <c r="I10082" s="1011" t="str">
        <f>CONCATENATE("&lt;numeroLigne&gt;",C10082,"&lt;/numeroLigne&gt;")</f>
        <v>&lt;numeroLigne&gt;38&lt;/numeroLigne&gt;</v>
      </c>
      <c r="K10082" s="1013"/>
    </row>
    <row r="10083" spans="1:11" s="1011" customFormat="1" ht="15" x14ac:dyDescent="0.25">
      <c r="A10083" s="859">
        <f t="shared" si="186"/>
        <v>10082</v>
      </c>
      <c r="B10083" s="845" t="s">
        <v>2564</v>
      </c>
      <c r="C10083" s="1007">
        <f t="shared" si="185"/>
        <v>38</v>
      </c>
      <c r="D10083" s="1014"/>
      <c r="H10083" s="1011" t="s">
        <v>1010</v>
      </c>
      <c r="K10083" s="1013"/>
    </row>
    <row r="10084" spans="1:11" s="1011" customFormat="1" ht="15" x14ac:dyDescent="0.25">
      <c r="A10084" s="859">
        <f t="shared" si="186"/>
        <v>10083</v>
      </c>
      <c r="B10084" s="845" t="s">
        <v>2564</v>
      </c>
      <c r="C10084" s="1007">
        <f t="shared" si="185"/>
        <v>38</v>
      </c>
      <c r="D10084" s="1014"/>
      <c r="H10084" s="1011" t="s">
        <v>1007</v>
      </c>
      <c r="K10084" s="1013"/>
    </row>
    <row r="10085" spans="1:11" s="1011" customFormat="1" ht="15" x14ac:dyDescent="0.25">
      <c r="A10085" s="859">
        <f t="shared" si="186"/>
        <v>10084</v>
      </c>
      <c r="B10085" s="845" t="s">
        <v>2564</v>
      </c>
      <c r="C10085" s="1007">
        <f t="shared" si="185"/>
        <v>38</v>
      </c>
      <c r="D10085" s="1012"/>
      <c r="I10085" s="1011" t="s">
        <v>2183</v>
      </c>
      <c r="K10085" s="1013"/>
    </row>
    <row r="10086" spans="1:11" s="1011" customFormat="1" ht="15" x14ac:dyDescent="0.25">
      <c r="A10086" s="859">
        <f t="shared" si="186"/>
        <v>10085</v>
      </c>
      <c r="B10086" s="845" t="s">
        <v>2564</v>
      </c>
      <c r="C10086" s="1007">
        <f t="shared" si="185"/>
        <v>38</v>
      </c>
      <c r="D10086" s="1015"/>
      <c r="I10086" s="1011" t="str">
        <f>CONCATENATE("&lt;valeur&gt;",VLOOKUP(C10086,'T16 Amort'!A:K,11,0),"&lt;/valeur&gt;")</f>
        <v>&lt;valeur&gt;&lt;/valeur&gt;</v>
      </c>
      <c r="K10086" s="1013"/>
    </row>
    <row r="10087" spans="1:11" s="1011" customFormat="1" ht="15" x14ac:dyDescent="0.25">
      <c r="A10087" s="859">
        <f t="shared" si="186"/>
        <v>10086</v>
      </c>
      <c r="B10087" s="845" t="s">
        <v>2564</v>
      </c>
      <c r="C10087" s="1007">
        <f t="shared" si="185"/>
        <v>38</v>
      </c>
      <c r="D10087" s="1012"/>
      <c r="I10087" s="1011" t="str">
        <f>CONCATENATE("&lt;numeroLigne&gt;",C10087,"&lt;/numeroLigne&gt;")</f>
        <v>&lt;numeroLigne&gt;38&lt;/numeroLigne&gt;</v>
      </c>
      <c r="K10087" s="1013"/>
    </row>
    <row r="10088" spans="1:11" s="1011" customFormat="1" ht="15" x14ac:dyDescent="0.25">
      <c r="A10088" s="859">
        <f t="shared" si="186"/>
        <v>10087</v>
      </c>
      <c r="B10088" s="845" t="s">
        <v>2564</v>
      </c>
      <c r="C10088" s="1007">
        <f t="shared" si="185"/>
        <v>38</v>
      </c>
      <c r="D10088" s="1016"/>
      <c r="E10088" s="1017"/>
      <c r="F10088" s="1017"/>
      <c r="G10088" s="1017"/>
      <c r="H10088" s="1017" t="s">
        <v>1010</v>
      </c>
      <c r="I10088" s="1017"/>
      <c r="J10088" s="1017"/>
      <c r="K10088" s="1018"/>
    </row>
    <row r="10089" spans="1:11" s="1011" customFormat="1" ht="15" x14ac:dyDescent="0.25">
      <c r="A10089" s="859">
        <f t="shared" si="186"/>
        <v>10088</v>
      </c>
      <c r="B10089" s="845" t="s">
        <v>2564</v>
      </c>
      <c r="C10089" s="1007">
        <f t="shared" si="185"/>
        <v>39</v>
      </c>
      <c r="D10089" s="1008"/>
      <c r="E10089" s="1009"/>
      <c r="F10089" s="1009"/>
      <c r="G10089" s="1009"/>
      <c r="H10089" s="1009" t="s">
        <v>1007</v>
      </c>
      <c r="I10089" s="1009"/>
      <c r="J10089" s="1009"/>
      <c r="K10089" s="1010"/>
    </row>
    <row r="10090" spans="1:11" s="1011" customFormat="1" ht="15" x14ac:dyDescent="0.25">
      <c r="A10090" s="859">
        <f t="shared" si="186"/>
        <v>10089</v>
      </c>
      <c r="B10090" s="845" t="s">
        <v>2564</v>
      </c>
      <c r="C10090" s="1007">
        <f t="shared" si="185"/>
        <v>39</v>
      </c>
      <c r="D10090" s="1012"/>
      <c r="I10090" s="1011" t="s">
        <v>2174</v>
      </c>
      <c r="K10090" s="1013"/>
    </row>
    <row r="10091" spans="1:11" s="1011" customFormat="1" ht="15" x14ac:dyDescent="0.25">
      <c r="A10091" s="859">
        <f t="shared" si="186"/>
        <v>10090</v>
      </c>
      <c r="B10091" s="845" t="s">
        <v>2564</v>
      </c>
      <c r="C10091" s="1007">
        <f t="shared" si="185"/>
        <v>39</v>
      </c>
      <c r="D10091" s="1014"/>
      <c r="I10091" s="1011" t="str">
        <f>CONCATENATE("&lt;valeur&gt;",VLOOKUP(C10091,'T16 Amort'!A:K,2,0),"&lt;/valeur&gt;")</f>
        <v>&lt;valeur&gt;&lt;/valeur&gt;</v>
      </c>
      <c r="K10091" s="1013"/>
    </row>
    <row r="10092" spans="1:11" s="1011" customFormat="1" ht="15" x14ac:dyDescent="0.25">
      <c r="A10092" s="859">
        <f t="shared" si="186"/>
        <v>10091</v>
      </c>
      <c r="B10092" s="845" t="s">
        <v>2564</v>
      </c>
      <c r="C10092" s="1007">
        <f t="shared" si="185"/>
        <v>39</v>
      </c>
      <c r="D10092" s="1014"/>
      <c r="I10092" s="1011" t="str">
        <f>CONCATENATE("&lt;numeroLigne&gt;",C10092,"&lt;/numeroLigne&gt;")</f>
        <v>&lt;numeroLigne&gt;39&lt;/numeroLigne&gt;</v>
      </c>
      <c r="K10092" s="1013"/>
    </row>
    <row r="10093" spans="1:11" s="1011" customFormat="1" ht="15" x14ac:dyDescent="0.25">
      <c r="A10093" s="859">
        <f t="shared" si="186"/>
        <v>10092</v>
      </c>
      <c r="B10093" s="845" t="s">
        <v>2564</v>
      </c>
      <c r="C10093" s="1007">
        <f t="shared" si="185"/>
        <v>39</v>
      </c>
      <c r="D10093" s="1012"/>
      <c r="H10093" s="1011" t="s">
        <v>1010</v>
      </c>
      <c r="K10093" s="1013"/>
    </row>
    <row r="10094" spans="1:11" s="1011" customFormat="1" ht="15" x14ac:dyDescent="0.25">
      <c r="A10094" s="859">
        <f t="shared" si="186"/>
        <v>10093</v>
      </c>
      <c r="B10094" s="845" t="s">
        <v>2564</v>
      </c>
      <c r="C10094" s="1007">
        <f t="shared" si="185"/>
        <v>39</v>
      </c>
      <c r="D10094" s="1015"/>
      <c r="H10094" s="1011" t="s">
        <v>1007</v>
      </c>
      <c r="K10094" s="1013"/>
    </row>
    <row r="10095" spans="1:11" s="1011" customFormat="1" ht="15" x14ac:dyDescent="0.25">
      <c r="A10095" s="859">
        <f t="shared" si="186"/>
        <v>10094</v>
      </c>
      <c r="B10095" s="845" t="s">
        <v>2564</v>
      </c>
      <c r="C10095" s="1007">
        <f t="shared" ref="C10095:C10158" si="187">C10045+1</f>
        <v>39</v>
      </c>
      <c r="D10095" s="1012"/>
      <c r="I10095" s="1011" t="s">
        <v>2175</v>
      </c>
      <c r="K10095" s="1013"/>
    </row>
    <row r="10096" spans="1:11" s="1011" customFormat="1" ht="15" x14ac:dyDescent="0.25">
      <c r="A10096" s="859">
        <f t="shared" si="186"/>
        <v>10095</v>
      </c>
      <c r="B10096" s="845" t="s">
        <v>2564</v>
      </c>
      <c r="C10096" s="1007">
        <f t="shared" si="187"/>
        <v>39</v>
      </c>
      <c r="D10096" s="1012"/>
      <c r="I10096" s="1011" t="str">
        <f>CONCATENATE("&lt;valeur&gt;",VLOOKUP(C10096,'T16 Amort'!A:K,3,0),"&lt;/valeur&gt;")</f>
        <v>&lt;valeur&gt;&lt;/valeur&gt;</v>
      </c>
      <c r="K10096" s="1013"/>
    </row>
    <row r="10097" spans="1:11" s="1011" customFormat="1" ht="15" x14ac:dyDescent="0.25">
      <c r="A10097" s="859">
        <f t="shared" si="186"/>
        <v>10096</v>
      </c>
      <c r="B10097" s="845" t="s">
        <v>2564</v>
      </c>
      <c r="C10097" s="1007">
        <f t="shared" si="187"/>
        <v>39</v>
      </c>
      <c r="D10097" s="1014"/>
      <c r="I10097" s="1011" t="str">
        <f>CONCATENATE("&lt;numeroLigne&gt;",C10097,"&lt;/numeroLigne&gt;")</f>
        <v>&lt;numeroLigne&gt;39&lt;/numeroLigne&gt;</v>
      </c>
      <c r="K10097" s="1013"/>
    </row>
    <row r="10098" spans="1:11" s="1011" customFormat="1" ht="15" x14ac:dyDescent="0.25">
      <c r="A10098" s="859">
        <f t="shared" si="186"/>
        <v>10097</v>
      </c>
      <c r="B10098" s="845" t="s">
        <v>2564</v>
      </c>
      <c r="C10098" s="1007">
        <f t="shared" si="187"/>
        <v>39</v>
      </c>
      <c r="D10098" s="1014"/>
      <c r="H10098" s="1011" t="s">
        <v>1010</v>
      </c>
      <c r="K10098" s="1013"/>
    </row>
    <row r="10099" spans="1:11" s="1011" customFormat="1" ht="15" x14ac:dyDescent="0.25">
      <c r="A10099" s="859">
        <f t="shared" si="186"/>
        <v>10098</v>
      </c>
      <c r="B10099" s="845" t="s">
        <v>2564</v>
      </c>
      <c r="C10099" s="1007">
        <f t="shared" si="187"/>
        <v>39</v>
      </c>
      <c r="D10099" s="1012"/>
      <c r="H10099" s="1011" t="s">
        <v>1007</v>
      </c>
      <c r="K10099" s="1013"/>
    </row>
    <row r="10100" spans="1:11" s="1011" customFormat="1" ht="15" x14ac:dyDescent="0.25">
      <c r="A10100" s="859">
        <f t="shared" si="186"/>
        <v>10099</v>
      </c>
      <c r="B10100" s="845" t="s">
        <v>2564</v>
      </c>
      <c r="C10100" s="1007">
        <f t="shared" si="187"/>
        <v>39</v>
      </c>
      <c r="D10100" s="1015"/>
      <c r="I10100" s="1011" t="s">
        <v>2176</v>
      </c>
      <c r="K10100" s="1013"/>
    </row>
    <row r="10101" spans="1:11" s="1011" customFormat="1" ht="15" x14ac:dyDescent="0.25">
      <c r="A10101" s="859">
        <f t="shared" si="186"/>
        <v>10100</v>
      </c>
      <c r="B10101" s="845" t="s">
        <v>2564</v>
      </c>
      <c r="C10101" s="1007">
        <f t="shared" si="187"/>
        <v>39</v>
      </c>
      <c r="D10101" s="1012"/>
      <c r="I10101" s="1011" t="str">
        <f>CONCATENATE("&lt;valeur&gt;",VLOOKUP(C10101,'T16 Amort'!A:K,4,0),"&lt;/valeur&gt;")</f>
        <v>&lt;valeur&gt;&lt;/valeur&gt;</v>
      </c>
      <c r="K10101" s="1013"/>
    </row>
    <row r="10102" spans="1:11" s="1011" customFormat="1" ht="15" x14ac:dyDescent="0.25">
      <c r="A10102" s="859">
        <f t="shared" si="186"/>
        <v>10101</v>
      </c>
      <c r="B10102" s="845" t="s">
        <v>2564</v>
      </c>
      <c r="C10102" s="1007">
        <f t="shared" si="187"/>
        <v>39</v>
      </c>
      <c r="D10102" s="1012"/>
      <c r="I10102" s="1011" t="str">
        <f>CONCATENATE("&lt;numeroLigne&gt;",C10102,"&lt;/numeroLigne&gt;")</f>
        <v>&lt;numeroLigne&gt;39&lt;/numeroLigne&gt;</v>
      </c>
      <c r="K10102" s="1013"/>
    </row>
    <row r="10103" spans="1:11" s="1011" customFormat="1" ht="15" x14ac:dyDescent="0.25">
      <c r="A10103" s="859">
        <f t="shared" si="186"/>
        <v>10102</v>
      </c>
      <c r="B10103" s="845" t="s">
        <v>2564</v>
      </c>
      <c r="C10103" s="1007">
        <f t="shared" si="187"/>
        <v>39</v>
      </c>
      <c r="D10103" s="1014"/>
      <c r="H10103" s="1011" t="s">
        <v>1010</v>
      </c>
      <c r="K10103" s="1013"/>
    </row>
    <row r="10104" spans="1:11" s="1011" customFormat="1" ht="15" x14ac:dyDescent="0.25">
      <c r="A10104" s="859">
        <f t="shared" si="186"/>
        <v>10103</v>
      </c>
      <c r="B10104" s="845" t="s">
        <v>2564</v>
      </c>
      <c r="C10104" s="1007">
        <f t="shared" si="187"/>
        <v>39</v>
      </c>
      <c r="D10104" s="1014"/>
      <c r="H10104" s="1011" t="s">
        <v>1007</v>
      </c>
      <c r="K10104" s="1013"/>
    </row>
    <row r="10105" spans="1:11" s="1011" customFormat="1" ht="15" x14ac:dyDescent="0.25">
      <c r="A10105" s="859">
        <f t="shared" si="186"/>
        <v>10104</v>
      </c>
      <c r="B10105" s="845" t="s">
        <v>2564</v>
      </c>
      <c r="C10105" s="1007">
        <f t="shared" si="187"/>
        <v>39</v>
      </c>
      <c r="D10105" s="1012"/>
      <c r="I10105" s="1011" t="s">
        <v>2177</v>
      </c>
      <c r="K10105" s="1013"/>
    </row>
    <row r="10106" spans="1:11" s="1011" customFormat="1" ht="15" x14ac:dyDescent="0.25">
      <c r="A10106" s="859">
        <f t="shared" si="186"/>
        <v>10105</v>
      </c>
      <c r="B10106" s="845" t="s">
        <v>2564</v>
      </c>
      <c r="C10106" s="1007">
        <f t="shared" si="187"/>
        <v>39</v>
      </c>
      <c r="D10106" s="1015"/>
      <c r="I10106" s="1011" t="str">
        <f>CONCATENATE("&lt;valeur&gt;",VLOOKUP(C10106,'T16 Amort'!A:K,5,0),"&lt;/valeur&gt;")</f>
        <v>&lt;valeur&gt;&lt;/valeur&gt;</v>
      </c>
      <c r="K10106" s="1013"/>
    </row>
    <row r="10107" spans="1:11" s="1011" customFormat="1" ht="15" x14ac:dyDescent="0.25">
      <c r="A10107" s="859">
        <f t="shared" si="186"/>
        <v>10106</v>
      </c>
      <c r="B10107" s="845" t="s">
        <v>2564</v>
      </c>
      <c r="C10107" s="1007">
        <f t="shared" si="187"/>
        <v>39</v>
      </c>
      <c r="D10107" s="1012"/>
      <c r="I10107" s="1011" t="str">
        <f>CONCATENATE("&lt;numeroLigne&gt;",C10107,"&lt;/numeroLigne&gt;")</f>
        <v>&lt;numeroLigne&gt;39&lt;/numeroLigne&gt;</v>
      </c>
      <c r="K10107" s="1013"/>
    </row>
    <row r="10108" spans="1:11" s="1011" customFormat="1" ht="15" x14ac:dyDescent="0.25">
      <c r="A10108" s="859">
        <f t="shared" si="186"/>
        <v>10107</v>
      </c>
      <c r="B10108" s="845" t="s">
        <v>2564</v>
      </c>
      <c r="C10108" s="1007">
        <f t="shared" si="187"/>
        <v>39</v>
      </c>
      <c r="D10108" s="1012"/>
      <c r="H10108" s="1011" t="s">
        <v>1010</v>
      </c>
      <c r="K10108" s="1013"/>
    </row>
    <row r="10109" spans="1:11" s="1011" customFormat="1" ht="15" x14ac:dyDescent="0.25">
      <c r="A10109" s="859">
        <f t="shared" si="186"/>
        <v>10108</v>
      </c>
      <c r="B10109" s="845" t="s">
        <v>2564</v>
      </c>
      <c r="C10109" s="1007">
        <f t="shared" si="187"/>
        <v>39</v>
      </c>
      <c r="D10109" s="1014"/>
      <c r="H10109" s="1011" t="s">
        <v>1007</v>
      </c>
      <c r="K10109" s="1013"/>
    </row>
    <row r="10110" spans="1:11" s="1011" customFormat="1" ht="15" x14ac:dyDescent="0.25">
      <c r="A10110" s="859">
        <f t="shared" si="186"/>
        <v>10109</v>
      </c>
      <c r="B10110" s="845" t="s">
        <v>2564</v>
      </c>
      <c r="C10110" s="1007">
        <f t="shared" si="187"/>
        <v>39</v>
      </c>
      <c r="D10110" s="1014"/>
      <c r="I10110" s="1011" t="s">
        <v>2178</v>
      </c>
      <c r="K10110" s="1013"/>
    </row>
    <row r="10111" spans="1:11" s="1011" customFormat="1" ht="15" x14ac:dyDescent="0.25">
      <c r="A10111" s="859">
        <f t="shared" si="186"/>
        <v>10110</v>
      </c>
      <c r="B10111" s="845" t="s">
        <v>2564</v>
      </c>
      <c r="C10111" s="1007">
        <f t="shared" si="187"/>
        <v>39</v>
      </c>
      <c r="D10111" s="1012"/>
      <c r="I10111" s="1011" t="str">
        <f>CONCATENATE("&lt;valeur&gt;",VLOOKUP(C10111,'T16 Amort'!A:K,6,0),"&lt;/valeur&gt;")</f>
        <v>&lt;valeur&gt;&lt;/valeur&gt;</v>
      </c>
      <c r="K10111" s="1013"/>
    </row>
    <row r="10112" spans="1:11" s="1011" customFormat="1" ht="15" x14ac:dyDescent="0.25">
      <c r="A10112" s="859">
        <f t="shared" si="186"/>
        <v>10111</v>
      </c>
      <c r="B10112" s="845" t="s">
        <v>2564</v>
      </c>
      <c r="C10112" s="1007">
        <f t="shared" si="187"/>
        <v>39</v>
      </c>
      <c r="D10112" s="1015"/>
      <c r="I10112" s="1011" t="str">
        <f>CONCATENATE("&lt;numeroLigne&gt;",C10112,"&lt;/numeroLigne&gt;")</f>
        <v>&lt;numeroLigne&gt;39&lt;/numeroLigne&gt;</v>
      </c>
      <c r="K10112" s="1013"/>
    </row>
    <row r="10113" spans="1:11" s="1011" customFormat="1" ht="15" x14ac:dyDescent="0.25">
      <c r="A10113" s="859">
        <f t="shared" si="186"/>
        <v>10112</v>
      </c>
      <c r="B10113" s="845" t="s">
        <v>2564</v>
      </c>
      <c r="C10113" s="1007">
        <f t="shared" si="187"/>
        <v>39</v>
      </c>
      <c r="D10113" s="1012"/>
      <c r="H10113" s="1011" t="s">
        <v>1010</v>
      </c>
      <c r="K10113" s="1013"/>
    </row>
    <row r="10114" spans="1:11" s="1011" customFormat="1" ht="15" x14ac:dyDescent="0.25">
      <c r="A10114" s="859">
        <f t="shared" si="186"/>
        <v>10113</v>
      </c>
      <c r="B10114" s="845" t="s">
        <v>2564</v>
      </c>
      <c r="C10114" s="1007">
        <f t="shared" si="187"/>
        <v>39</v>
      </c>
      <c r="D10114" s="1012"/>
      <c r="H10114" s="1011" t="s">
        <v>1007</v>
      </c>
      <c r="K10114" s="1013"/>
    </row>
    <row r="10115" spans="1:11" s="1011" customFormat="1" ht="15" x14ac:dyDescent="0.25">
      <c r="A10115" s="859">
        <f t="shared" si="186"/>
        <v>10114</v>
      </c>
      <c r="B10115" s="845" t="s">
        <v>2564</v>
      </c>
      <c r="C10115" s="1007">
        <f t="shared" si="187"/>
        <v>39</v>
      </c>
      <c r="D10115" s="1014"/>
      <c r="I10115" s="1011" t="s">
        <v>2179</v>
      </c>
      <c r="K10115" s="1013"/>
    </row>
    <row r="10116" spans="1:11" s="1011" customFormat="1" ht="15" x14ac:dyDescent="0.25">
      <c r="A10116" s="859">
        <f t="shared" ref="A10116:A10179" si="188">+A10115+1</f>
        <v>10115</v>
      </c>
      <c r="B10116" s="845" t="s">
        <v>2564</v>
      </c>
      <c r="C10116" s="1007">
        <f t="shared" si="187"/>
        <v>39</v>
      </c>
      <c r="D10116" s="1014"/>
      <c r="I10116" s="1011" t="str">
        <f>CONCATENATE("&lt;valeur&gt;",VLOOKUP(C10116,'T16 Amort'!A:K,7,0),"&lt;/valeur&gt;")</f>
        <v>&lt;valeur&gt;&lt;/valeur&gt;</v>
      </c>
      <c r="K10116" s="1013"/>
    </row>
    <row r="10117" spans="1:11" s="1011" customFormat="1" ht="15" x14ac:dyDescent="0.25">
      <c r="A10117" s="859">
        <f t="shared" si="188"/>
        <v>10116</v>
      </c>
      <c r="B10117" s="845" t="s">
        <v>2564</v>
      </c>
      <c r="C10117" s="1007">
        <f t="shared" si="187"/>
        <v>39</v>
      </c>
      <c r="D10117" s="1012"/>
      <c r="I10117" s="1011" t="str">
        <f>CONCATENATE("&lt;numeroLigne&gt;",C10117,"&lt;/numeroLigne&gt;")</f>
        <v>&lt;numeroLigne&gt;39&lt;/numeroLigne&gt;</v>
      </c>
      <c r="K10117" s="1013"/>
    </row>
    <row r="10118" spans="1:11" s="1011" customFormat="1" ht="15" x14ac:dyDescent="0.25">
      <c r="A10118" s="859">
        <f t="shared" si="188"/>
        <v>10117</v>
      </c>
      <c r="B10118" s="845" t="s">
        <v>2564</v>
      </c>
      <c r="C10118" s="1007">
        <f t="shared" si="187"/>
        <v>39</v>
      </c>
      <c r="D10118" s="1015"/>
      <c r="H10118" s="1011" t="s">
        <v>1010</v>
      </c>
      <c r="K10118" s="1013"/>
    </row>
    <row r="10119" spans="1:11" s="1011" customFormat="1" ht="15" x14ac:dyDescent="0.25">
      <c r="A10119" s="859">
        <f t="shared" si="188"/>
        <v>10118</v>
      </c>
      <c r="B10119" s="845" t="s">
        <v>2564</v>
      </c>
      <c r="C10119" s="1007">
        <f t="shared" si="187"/>
        <v>39</v>
      </c>
      <c r="D10119" s="1012"/>
      <c r="H10119" s="1011" t="s">
        <v>1007</v>
      </c>
      <c r="K10119" s="1013"/>
    </row>
    <row r="10120" spans="1:11" s="1011" customFormat="1" ht="15" x14ac:dyDescent="0.25">
      <c r="A10120" s="859">
        <f t="shared" si="188"/>
        <v>10119</v>
      </c>
      <c r="B10120" s="845" t="s">
        <v>2564</v>
      </c>
      <c r="C10120" s="1007">
        <f t="shared" si="187"/>
        <v>39</v>
      </c>
      <c r="D10120" s="1012"/>
      <c r="I10120" s="1011" t="s">
        <v>2180</v>
      </c>
      <c r="K10120" s="1013"/>
    </row>
    <row r="10121" spans="1:11" s="1011" customFormat="1" ht="15" x14ac:dyDescent="0.25">
      <c r="A10121" s="859">
        <f t="shared" si="188"/>
        <v>10120</v>
      </c>
      <c r="B10121" s="845" t="s">
        <v>2564</v>
      </c>
      <c r="C10121" s="1007">
        <f t="shared" si="187"/>
        <v>39</v>
      </c>
      <c r="D10121" s="1014"/>
      <c r="I10121" s="1011" t="str">
        <f>CONCATENATE("&lt;valeur&gt;",VLOOKUP(C10121,'T16 Amort'!A:K,8,0),"&lt;/valeur&gt;")</f>
        <v>&lt;valeur&gt;&lt;/valeur&gt;</v>
      </c>
      <c r="K10121" s="1013"/>
    </row>
    <row r="10122" spans="1:11" s="1011" customFormat="1" ht="15" x14ac:dyDescent="0.25">
      <c r="A10122" s="859">
        <f t="shared" si="188"/>
        <v>10121</v>
      </c>
      <c r="B10122" s="845" t="s">
        <v>2564</v>
      </c>
      <c r="C10122" s="1007">
        <f t="shared" si="187"/>
        <v>39</v>
      </c>
      <c r="D10122" s="1014"/>
      <c r="I10122" s="1011" t="str">
        <f>CONCATENATE("&lt;numeroLigne&gt;",C10122,"&lt;/numeroLigne&gt;")</f>
        <v>&lt;numeroLigne&gt;39&lt;/numeroLigne&gt;</v>
      </c>
      <c r="K10122" s="1013"/>
    </row>
    <row r="10123" spans="1:11" s="1011" customFormat="1" ht="15" x14ac:dyDescent="0.25">
      <c r="A10123" s="859">
        <f t="shared" si="188"/>
        <v>10122</v>
      </c>
      <c r="B10123" s="845" t="s">
        <v>2564</v>
      </c>
      <c r="C10123" s="1007">
        <f t="shared" si="187"/>
        <v>39</v>
      </c>
      <c r="D10123" s="1012"/>
      <c r="H10123" s="1011" t="s">
        <v>1010</v>
      </c>
      <c r="K10123" s="1013"/>
    </row>
    <row r="10124" spans="1:11" s="1011" customFormat="1" ht="15" x14ac:dyDescent="0.25">
      <c r="A10124" s="859">
        <f t="shared" si="188"/>
        <v>10123</v>
      </c>
      <c r="B10124" s="845" t="s">
        <v>2564</v>
      </c>
      <c r="C10124" s="1007">
        <f t="shared" si="187"/>
        <v>39</v>
      </c>
      <c r="D10124" s="1015"/>
      <c r="H10124" s="1011" t="s">
        <v>1007</v>
      </c>
      <c r="K10124" s="1013"/>
    </row>
    <row r="10125" spans="1:11" s="1011" customFormat="1" ht="15" x14ac:dyDescent="0.25">
      <c r="A10125" s="859">
        <f t="shared" si="188"/>
        <v>10124</v>
      </c>
      <c r="B10125" s="845" t="s">
        <v>2564</v>
      </c>
      <c r="C10125" s="1007">
        <f t="shared" si="187"/>
        <v>39</v>
      </c>
      <c r="D10125" s="1012"/>
      <c r="I10125" s="1011" t="s">
        <v>2181</v>
      </c>
      <c r="K10125" s="1013"/>
    </row>
    <row r="10126" spans="1:11" s="1011" customFormat="1" ht="15" x14ac:dyDescent="0.25">
      <c r="A10126" s="859">
        <f t="shared" si="188"/>
        <v>10125</v>
      </c>
      <c r="B10126" s="845" t="s">
        <v>2564</v>
      </c>
      <c r="C10126" s="1007">
        <f t="shared" si="187"/>
        <v>39</v>
      </c>
      <c r="D10126" s="1012"/>
      <c r="I10126" s="1011" t="str">
        <f>CONCATENATE("&lt;valeur&gt;",VLOOKUP(C10126,'T16 Amort'!A:K,9,0),"&lt;/valeur&gt;")</f>
        <v>&lt;valeur&gt;&lt;/valeur&gt;</v>
      </c>
      <c r="K10126" s="1013"/>
    </row>
    <row r="10127" spans="1:11" s="1011" customFormat="1" ht="15" x14ac:dyDescent="0.25">
      <c r="A10127" s="859">
        <f t="shared" si="188"/>
        <v>10126</v>
      </c>
      <c r="B10127" s="845" t="s">
        <v>2564</v>
      </c>
      <c r="C10127" s="1007">
        <f t="shared" si="187"/>
        <v>39</v>
      </c>
      <c r="D10127" s="1014"/>
      <c r="I10127" s="1011" t="str">
        <f>CONCATENATE("&lt;numeroLigne&gt;",C10127,"&lt;/numeroLigne&gt;")</f>
        <v>&lt;numeroLigne&gt;39&lt;/numeroLigne&gt;</v>
      </c>
      <c r="K10127" s="1013"/>
    </row>
    <row r="10128" spans="1:11" s="1011" customFormat="1" ht="15" x14ac:dyDescent="0.25">
      <c r="A10128" s="859">
        <f t="shared" si="188"/>
        <v>10127</v>
      </c>
      <c r="B10128" s="845" t="s">
        <v>2564</v>
      </c>
      <c r="C10128" s="1007">
        <f t="shared" si="187"/>
        <v>39</v>
      </c>
      <c r="D10128" s="1014"/>
      <c r="H10128" s="1011" t="s">
        <v>1010</v>
      </c>
      <c r="K10128" s="1013"/>
    </row>
    <row r="10129" spans="1:11" s="1011" customFormat="1" ht="15" x14ac:dyDescent="0.25">
      <c r="A10129" s="859">
        <f t="shared" si="188"/>
        <v>10128</v>
      </c>
      <c r="B10129" s="845" t="s">
        <v>2564</v>
      </c>
      <c r="C10129" s="1007">
        <f t="shared" si="187"/>
        <v>39</v>
      </c>
      <c r="D10129" s="1012"/>
      <c r="H10129" s="1011" t="s">
        <v>1007</v>
      </c>
      <c r="K10129" s="1013"/>
    </row>
    <row r="10130" spans="1:11" s="1011" customFormat="1" ht="15" x14ac:dyDescent="0.25">
      <c r="A10130" s="859">
        <f t="shared" si="188"/>
        <v>10129</v>
      </c>
      <c r="B10130" s="845" t="s">
        <v>2564</v>
      </c>
      <c r="C10130" s="1007">
        <f t="shared" si="187"/>
        <v>39</v>
      </c>
      <c r="D10130" s="1015"/>
      <c r="I10130" s="1011" t="s">
        <v>2182</v>
      </c>
      <c r="K10130" s="1013"/>
    </row>
    <row r="10131" spans="1:11" s="1011" customFormat="1" ht="15" x14ac:dyDescent="0.25">
      <c r="A10131" s="859">
        <f t="shared" si="188"/>
        <v>10130</v>
      </c>
      <c r="B10131" s="845" t="s">
        <v>2564</v>
      </c>
      <c r="C10131" s="1007">
        <f t="shared" si="187"/>
        <v>39</v>
      </c>
      <c r="D10131" s="1012"/>
      <c r="I10131" s="1011" t="str">
        <f>CONCATENATE("&lt;valeur&gt;",VLOOKUP(C10131,'T16 Amort'!A:K,10,0),"&lt;/valeur&gt;")</f>
        <v>&lt;valeur&gt;&lt;/valeur&gt;</v>
      </c>
      <c r="K10131" s="1013"/>
    </row>
    <row r="10132" spans="1:11" s="1011" customFormat="1" ht="15" x14ac:dyDescent="0.25">
      <c r="A10132" s="859">
        <f t="shared" si="188"/>
        <v>10131</v>
      </c>
      <c r="B10132" s="845" t="s">
        <v>2564</v>
      </c>
      <c r="C10132" s="1007">
        <f t="shared" si="187"/>
        <v>39</v>
      </c>
      <c r="D10132" s="1012"/>
      <c r="I10132" s="1011" t="str">
        <f>CONCATENATE("&lt;numeroLigne&gt;",C10132,"&lt;/numeroLigne&gt;")</f>
        <v>&lt;numeroLigne&gt;39&lt;/numeroLigne&gt;</v>
      </c>
      <c r="K10132" s="1013"/>
    </row>
    <row r="10133" spans="1:11" s="1011" customFormat="1" ht="15" x14ac:dyDescent="0.25">
      <c r="A10133" s="859">
        <f t="shared" si="188"/>
        <v>10132</v>
      </c>
      <c r="B10133" s="845" t="s">
        <v>2564</v>
      </c>
      <c r="C10133" s="1007">
        <f t="shared" si="187"/>
        <v>39</v>
      </c>
      <c r="D10133" s="1014"/>
      <c r="H10133" s="1011" t="s">
        <v>1010</v>
      </c>
      <c r="K10133" s="1013"/>
    </row>
    <row r="10134" spans="1:11" s="1011" customFormat="1" ht="15" x14ac:dyDescent="0.25">
      <c r="A10134" s="859">
        <f t="shared" si="188"/>
        <v>10133</v>
      </c>
      <c r="B10134" s="845" t="s">
        <v>2564</v>
      </c>
      <c r="C10134" s="1007">
        <f t="shared" si="187"/>
        <v>39</v>
      </c>
      <c r="D10134" s="1014"/>
      <c r="H10134" s="1011" t="s">
        <v>1007</v>
      </c>
      <c r="K10134" s="1013"/>
    </row>
    <row r="10135" spans="1:11" s="1011" customFormat="1" ht="15" x14ac:dyDescent="0.25">
      <c r="A10135" s="859">
        <f t="shared" si="188"/>
        <v>10134</v>
      </c>
      <c r="B10135" s="845" t="s">
        <v>2564</v>
      </c>
      <c r="C10135" s="1007">
        <f t="shared" si="187"/>
        <v>39</v>
      </c>
      <c r="D10135" s="1012"/>
      <c r="I10135" s="1011" t="s">
        <v>2183</v>
      </c>
      <c r="K10135" s="1013"/>
    </row>
    <row r="10136" spans="1:11" s="1011" customFormat="1" ht="15" x14ac:dyDescent="0.25">
      <c r="A10136" s="859">
        <f t="shared" si="188"/>
        <v>10135</v>
      </c>
      <c r="B10136" s="845" t="s">
        <v>2564</v>
      </c>
      <c r="C10136" s="1007">
        <f t="shared" si="187"/>
        <v>39</v>
      </c>
      <c r="D10136" s="1015"/>
      <c r="I10136" s="1011" t="str">
        <f>CONCATENATE("&lt;valeur&gt;",VLOOKUP(C10136,'T16 Amort'!A:K,11,0),"&lt;/valeur&gt;")</f>
        <v>&lt;valeur&gt;&lt;/valeur&gt;</v>
      </c>
      <c r="K10136" s="1013"/>
    </row>
    <row r="10137" spans="1:11" s="1011" customFormat="1" ht="15" x14ac:dyDescent="0.25">
      <c r="A10137" s="859">
        <f t="shared" si="188"/>
        <v>10136</v>
      </c>
      <c r="B10137" s="845" t="s">
        <v>2564</v>
      </c>
      <c r="C10137" s="1007">
        <f t="shared" si="187"/>
        <v>39</v>
      </c>
      <c r="D10137" s="1012"/>
      <c r="I10137" s="1011" t="str">
        <f>CONCATENATE("&lt;numeroLigne&gt;",C10137,"&lt;/numeroLigne&gt;")</f>
        <v>&lt;numeroLigne&gt;39&lt;/numeroLigne&gt;</v>
      </c>
      <c r="K10137" s="1013"/>
    </row>
    <row r="10138" spans="1:11" s="1011" customFormat="1" ht="15" x14ac:dyDescent="0.25">
      <c r="A10138" s="859">
        <f t="shared" si="188"/>
        <v>10137</v>
      </c>
      <c r="B10138" s="845" t="s">
        <v>2564</v>
      </c>
      <c r="C10138" s="1007">
        <f t="shared" si="187"/>
        <v>39</v>
      </c>
      <c r="D10138" s="1016"/>
      <c r="E10138" s="1017"/>
      <c r="F10138" s="1017"/>
      <c r="G10138" s="1017"/>
      <c r="H10138" s="1017" t="s">
        <v>1010</v>
      </c>
      <c r="I10138" s="1017"/>
      <c r="J10138" s="1017"/>
      <c r="K10138" s="1018"/>
    </row>
    <row r="10139" spans="1:11" s="1011" customFormat="1" ht="15" x14ac:dyDescent="0.25">
      <c r="A10139" s="859">
        <f t="shared" si="188"/>
        <v>10138</v>
      </c>
      <c r="B10139" s="845" t="s">
        <v>2564</v>
      </c>
      <c r="C10139" s="1007">
        <f t="shared" si="187"/>
        <v>40</v>
      </c>
      <c r="D10139" s="1008"/>
      <c r="E10139" s="1009"/>
      <c r="F10139" s="1009"/>
      <c r="G10139" s="1009"/>
      <c r="H10139" s="1009" t="s">
        <v>1007</v>
      </c>
      <c r="I10139" s="1009"/>
      <c r="J10139" s="1009"/>
      <c r="K10139" s="1010"/>
    </row>
    <row r="10140" spans="1:11" s="1011" customFormat="1" ht="15" x14ac:dyDescent="0.25">
      <c r="A10140" s="859">
        <f t="shared" si="188"/>
        <v>10139</v>
      </c>
      <c r="B10140" s="845" t="s">
        <v>2564</v>
      </c>
      <c r="C10140" s="1007">
        <f t="shared" si="187"/>
        <v>40</v>
      </c>
      <c r="D10140" s="1012"/>
      <c r="I10140" s="1011" t="s">
        <v>2174</v>
      </c>
      <c r="K10140" s="1013"/>
    </row>
    <row r="10141" spans="1:11" s="1011" customFormat="1" ht="15" x14ac:dyDescent="0.25">
      <c r="A10141" s="859">
        <f t="shared" si="188"/>
        <v>10140</v>
      </c>
      <c r="B10141" s="845" t="s">
        <v>2564</v>
      </c>
      <c r="C10141" s="1007">
        <f t="shared" si="187"/>
        <v>40</v>
      </c>
      <c r="D10141" s="1014"/>
      <c r="I10141" s="1011" t="str">
        <f>CONCATENATE("&lt;valeur&gt;",VLOOKUP(C10141,'T16 Amort'!A:K,2,0),"&lt;/valeur&gt;")</f>
        <v>&lt;valeur&gt;&lt;/valeur&gt;</v>
      </c>
      <c r="K10141" s="1013"/>
    </row>
    <row r="10142" spans="1:11" s="1011" customFormat="1" ht="15" x14ac:dyDescent="0.25">
      <c r="A10142" s="859">
        <f t="shared" si="188"/>
        <v>10141</v>
      </c>
      <c r="B10142" s="845" t="s">
        <v>2564</v>
      </c>
      <c r="C10142" s="1007">
        <f t="shared" si="187"/>
        <v>40</v>
      </c>
      <c r="D10142" s="1014"/>
      <c r="I10142" s="1011" t="str">
        <f>CONCATENATE("&lt;numeroLigne&gt;",C10142,"&lt;/numeroLigne&gt;")</f>
        <v>&lt;numeroLigne&gt;40&lt;/numeroLigne&gt;</v>
      </c>
      <c r="K10142" s="1013"/>
    </row>
    <row r="10143" spans="1:11" s="1011" customFormat="1" ht="15" x14ac:dyDescent="0.25">
      <c r="A10143" s="859">
        <f t="shared" si="188"/>
        <v>10142</v>
      </c>
      <c r="B10143" s="845" t="s">
        <v>2564</v>
      </c>
      <c r="C10143" s="1007">
        <f t="shared" si="187"/>
        <v>40</v>
      </c>
      <c r="D10143" s="1012"/>
      <c r="H10143" s="1011" t="s">
        <v>1010</v>
      </c>
      <c r="K10143" s="1013"/>
    </row>
    <row r="10144" spans="1:11" s="1011" customFormat="1" ht="15" x14ac:dyDescent="0.25">
      <c r="A10144" s="859">
        <f t="shared" si="188"/>
        <v>10143</v>
      </c>
      <c r="B10144" s="845" t="s">
        <v>2564</v>
      </c>
      <c r="C10144" s="1007">
        <f t="shared" si="187"/>
        <v>40</v>
      </c>
      <c r="D10144" s="1015"/>
      <c r="H10144" s="1011" t="s">
        <v>1007</v>
      </c>
      <c r="K10144" s="1013"/>
    </row>
    <row r="10145" spans="1:11" s="1011" customFormat="1" ht="15" x14ac:dyDescent="0.25">
      <c r="A10145" s="859">
        <f t="shared" si="188"/>
        <v>10144</v>
      </c>
      <c r="B10145" s="845" t="s">
        <v>2564</v>
      </c>
      <c r="C10145" s="1007">
        <f t="shared" si="187"/>
        <v>40</v>
      </c>
      <c r="D10145" s="1012"/>
      <c r="I10145" s="1011" t="s">
        <v>2175</v>
      </c>
      <c r="K10145" s="1013"/>
    </row>
    <row r="10146" spans="1:11" s="1011" customFormat="1" ht="15" x14ac:dyDescent="0.25">
      <c r="A10146" s="859">
        <f t="shared" si="188"/>
        <v>10145</v>
      </c>
      <c r="B10146" s="845" t="s">
        <v>2564</v>
      </c>
      <c r="C10146" s="1007">
        <f t="shared" si="187"/>
        <v>40</v>
      </c>
      <c r="D10146" s="1012"/>
      <c r="I10146" s="1011" t="str">
        <f>CONCATENATE("&lt;valeur&gt;",VLOOKUP(C10146,'T16 Amort'!A:K,3,0),"&lt;/valeur&gt;")</f>
        <v>&lt;valeur&gt;&lt;/valeur&gt;</v>
      </c>
      <c r="K10146" s="1013"/>
    </row>
    <row r="10147" spans="1:11" s="1011" customFormat="1" ht="15" x14ac:dyDescent="0.25">
      <c r="A10147" s="859">
        <f t="shared" si="188"/>
        <v>10146</v>
      </c>
      <c r="B10147" s="845" t="s">
        <v>2564</v>
      </c>
      <c r="C10147" s="1007">
        <f t="shared" si="187"/>
        <v>40</v>
      </c>
      <c r="D10147" s="1014"/>
      <c r="I10147" s="1011" t="str">
        <f>CONCATENATE("&lt;numeroLigne&gt;",C10147,"&lt;/numeroLigne&gt;")</f>
        <v>&lt;numeroLigne&gt;40&lt;/numeroLigne&gt;</v>
      </c>
      <c r="K10147" s="1013"/>
    </row>
    <row r="10148" spans="1:11" s="1011" customFormat="1" ht="15" x14ac:dyDescent="0.25">
      <c r="A10148" s="859">
        <f t="shared" si="188"/>
        <v>10147</v>
      </c>
      <c r="B10148" s="845" t="s">
        <v>2564</v>
      </c>
      <c r="C10148" s="1007">
        <f t="shared" si="187"/>
        <v>40</v>
      </c>
      <c r="D10148" s="1014"/>
      <c r="H10148" s="1011" t="s">
        <v>1010</v>
      </c>
      <c r="K10148" s="1013"/>
    </row>
    <row r="10149" spans="1:11" s="1011" customFormat="1" ht="15" x14ac:dyDescent="0.25">
      <c r="A10149" s="859">
        <f t="shared" si="188"/>
        <v>10148</v>
      </c>
      <c r="B10149" s="845" t="s">
        <v>2564</v>
      </c>
      <c r="C10149" s="1007">
        <f t="shared" si="187"/>
        <v>40</v>
      </c>
      <c r="D10149" s="1012"/>
      <c r="H10149" s="1011" t="s">
        <v>1007</v>
      </c>
      <c r="K10149" s="1013"/>
    </row>
    <row r="10150" spans="1:11" s="1011" customFormat="1" ht="15" x14ac:dyDescent="0.25">
      <c r="A10150" s="859">
        <f t="shared" si="188"/>
        <v>10149</v>
      </c>
      <c r="B10150" s="845" t="s">
        <v>2564</v>
      </c>
      <c r="C10150" s="1007">
        <f t="shared" si="187"/>
        <v>40</v>
      </c>
      <c r="D10150" s="1015"/>
      <c r="I10150" s="1011" t="s">
        <v>2176</v>
      </c>
      <c r="K10150" s="1013"/>
    </row>
    <row r="10151" spans="1:11" s="1011" customFormat="1" ht="15" x14ac:dyDescent="0.25">
      <c r="A10151" s="859">
        <f t="shared" si="188"/>
        <v>10150</v>
      </c>
      <c r="B10151" s="845" t="s">
        <v>2564</v>
      </c>
      <c r="C10151" s="1007">
        <f t="shared" si="187"/>
        <v>40</v>
      </c>
      <c r="D10151" s="1012"/>
      <c r="I10151" s="1011" t="str">
        <f>CONCATENATE("&lt;valeur&gt;",VLOOKUP(C10151,'T16 Amort'!A:K,4,0),"&lt;/valeur&gt;")</f>
        <v>&lt;valeur&gt;&lt;/valeur&gt;</v>
      </c>
      <c r="K10151" s="1013"/>
    </row>
    <row r="10152" spans="1:11" s="1011" customFormat="1" ht="15" x14ac:dyDescent="0.25">
      <c r="A10152" s="859">
        <f t="shared" si="188"/>
        <v>10151</v>
      </c>
      <c r="B10152" s="845" t="s">
        <v>2564</v>
      </c>
      <c r="C10152" s="1007">
        <f t="shared" si="187"/>
        <v>40</v>
      </c>
      <c r="D10152" s="1012"/>
      <c r="I10152" s="1011" t="str">
        <f>CONCATENATE("&lt;numeroLigne&gt;",C10152,"&lt;/numeroLigne&gt;")</f>
        <v>&lt;numeroLigne&gt;40&lt;/numeroLigne&gt;</v>
      </c>
      <c r="K10152" s="1013"/>
    </row>
    <row r="10153" spans="1:11" s="1011" customFormat="1" ht="15" x14ac:dyDescent="0.25">
      <c r="A10153" s="859">
        <f t="shared" si="188"/>
        <v>10152</v>
      </c>
      <c r="B10153" s="845" t="s">
        <v>2564</v>
      </c>
      <c r="C10153" s="1007">
        <f t="shared" si="187"/>
        <v>40</v>
      </c>
      <c r="D10153" s="1014"/>
      <c r="H10153" s="1011" t="s">
        <v>1010</v>
      </c>
      <c r="K10153" s="1013"/>
    </row>
    <row r="10154" spans="1:11" s="1011" customFormat="1" ht="15" x14ac:dyDescent="0.25">
      <c r="A10154" s="859">
        <f t="shared" si="188"/>
        <v>10153</v>
      </c>
      <c r="B10154" s="845" t="s">
        <v>2564</v>
      </c>
      <c r="C10154" s="1007">
        <f t="shared" si="187"/>
        <v>40</v>
      </c>
      <c r="D10154" s="1014"/>
      <c r="H10154" s="1011" t="s">
        <v>1007</v>
      </c>
      <c r="K10154" s="1013"/>
    </row>
    <row r="10155" spans="1:11" s="1011" customFormat="1" ht="15" x14ac:dyDescent="0.25">
      <c r="A10155" s="859">
        <f t="shared" si="188"/>
        <v>10154</v>
      </c>
      <c r="B10155" s="845" t="s">
        <v>2564</v>
      </c>
      <c r="C10155" s="1007">
        <f t="shared" si="187"/>
        <v>40</v>
      </c>
      <c r="D10155" s="1012"/>
      <c r="I10155" s="1011" t="s">
        <v>2177</v>
      </c>
      <c r="K10155" s="1013"/>
    </row>
    <row r="10156" spans="1:11" s="1011" customFormat="1" ht="15" x14ac:dyDescent="0.25">
      <c r="A10156" s="859">
        <f t="shared" si="188"/>
        <v>10155</v>
      </c>
      <c r="B10156" s="845" t="s">
        <v>2564</v>
      </c>
      <c r="C10156" s="1007">
        <f t="shared" si="187"/>
        <v>40</v>
      </c>
      <c r="D10156" s="1015"/>
      <c r="I10156" s="1011" t="str">
        <f>CONCATENATE("&lt;valeur&gt;",VLOOKUP(C10156,'T16 Amort'!A:K,5,0),"&lt;/valeur&gt;")</f>
        <v>&lt;valeur&gt;&lt;/valeur&gt;</v>
      </c>
      <c r="K10156" s="1013"/>
    </row>
    <row r="10157" spans="1:11" s="1011" customFormat="1" ht="15" x14ac:dyDescent="0.25">
      <c r="A10157" s="859">
        <f t="shared" si="188"/>
        <v>10156</v>
      </c>
      <c r="B10157" s="845" t="s">
        <v>2564</v>
      </c>
      <c r="C10157" s="1007">
        <f t="shared" si="187"/>
        <v>40</v>
      </c>
      <c r="D10157" s="1012"/>
      <c r="I10157" s="1011" t="str">
        <f>CONCATENATE("&lt;numeroLigne&gt;",C10157,"&lt;/numeroLigne&gt;")</f>
        <v>&lt;numeroLigne&gt;40&lt;/numeroLigne&gt;</v>
      </c>
      <c r="K10157" s="1013"/>
    </row>
    <row r="10158" spans="1:11" s="1011" customFormat="1" ht="15" x14ac:dyDescent="0.25">
      <c r="A10158" s="859">
        <f t="shared" si="188"/>
        <v>10157</v>
      </c>
      <c r="B10158" s="845" t="s">
        <v>2564</v>
      </c>
      <c r="C10158" s="1007">
        <f t="shared" si="187"/>
        <v>40</v>
      </c>
      <c r="D10158" s="1012"/>
      <c r="H10158" s="1011" t="s">
        <v>1010</v>
      </c>
      <c r="K10158" s="1013"/>
    </row>
    <row r="10159" spans="1:11" s="1011" customFormat="1" ht="15" x14ac:dyDescent="0.25">
      <c r="A10159" s="859">
        <f t="shared" si="188"/>
        <v>10158</v>
      </c>
      <c r="B10159" s="845" t="s">
        <v>2564</v>
      </c>
      <c r="C10159" s="1007">
        <f t="shared" ref="C10159:C10222" si="189">C10109+1</f>
        <v>40</v>
      </c>
      <c r="D10159" s="1014"/>
      <c r="H10159" s="1011" t="s">
        <v>1007</v>
      </c>
      <c r="K10159" s="1013"/>
    </row>
    <row r="10160" spans="1:11" s="1011" customFormat="1" ht="15" x14ac:dyDescent="0.25">
      <c r="A10160" s="859">
        <f t="shared" si="188"/>
        <v>10159</v>
      </c>
      <c r="B10160" s="845" t="s">
        <v>2564</v>
      </c>
      <c r="C10160" s="1007">
        <f t="shared" si="189"/>
        <v>40</v>
      </c>
      <c r="D10160" s="1014"/>
      <c r="I10160" s="1011" t="s">
        <v>2178</v>
      </c>
      <c r="K10160" s="1013"/>
    </row>
    <row r="10161" spans="1:11" s="1011" customFormat="1" ht="15" x14ac:dyDescent="0.25">
      <c r="A10161" s="859">
        <f t="shared" si="188"/>
        <v>10160</v>
      </c>
      <c r="B10161" s="845" t="s">
        <v>2564</v>
      </c>
      <c r="C10161" s="1007">
        <f t="shared" si="189"/>
        <v>40</v>
      </c>
      <c r="D10161" s="1012"/>
      <c r="I10161" s="1011" t="str">
        <f>CONCATENATE("&lt;valeur&gt;",VLOOKUP(C10161,'T16 Amort'!A:K,6,0),"&lt;/valeur&gt;")</f>
        <v>&lt;valeur&gt;&lt;/valeur&gt;</v>
      </c>
      <c r="K10161" s="1013"/>
    </row>
    <row r="10162" spans="1:11" s="1011" customFormat="1" ht="15" x14ac:dyDescent="0.25">
      <c r="A10162" s="859">
        <f t="shared" si="188"/>
        <v>10161</v>
      </c>
      <c r="B10162" s="845" t="s">
        <v>2564</v>
      </c>
      <c r="C10162" s="1007">
        <f t="shared" si="189"/>
        <v>40</v>
      </c>
      <c r="D10162" s="1015"/>
      <c r="I10162" s="1011" t="str">
        <f>CONCATENATE("&lt;numeroLigne&gt;",C10162,"&lt;/numeroLigne&gt;")</f>
        <v>&lt;numeroLigne&gt;40&lt;/numeroLigne&gt;</v>
      </c>
      <c r="K10162" s="1013"/>
    </row>
    <row r="10163" spans="1:11" s="1011" customFormat="1" ht="15" x14ac:dyDescent="0.25">
      <c r="A10163" s="859">
        <f t="shared" si="188"/>
        <v>10162</v>
      </c>
      <c r="B10163" s="845" t="s">
        <v>2564</v>
      </c>
      <c r="C10163" s="1007">
        <f t="shared" si="189"/>
        <v>40</v>
      </c>
      <c r="D10163" s="1012"/>
      <c r="H10163" s="1011" t="s">
        <v>1010</v>
      </c>
      <c r="K10163" s="1013"/>
    </row>
    <row r="10164" spans="1:11" s="1011" customFormat="1" ht="15" x14ac:dyDescent="0.25">
      <c r="A10164" s="859">
        <f t="shared" si="188"/>
        <v>10163</v>
      </c>
      <c r="B10164" s="845" t="s">
        <v>2564</v>
      </c>
      <c r="C10164" s="1007">
        <f t="shared" si="189"/>
        <v>40</v>
      </c>
      <c r="D10164" s="1012"/>
      <c r="H10164" s="1011" t="s">
        <v>1007</v>
      </c>
      <c r="K10164" s="1013"/>
    </row>
    <row r="10165" spans="1:11" s="1011" customFormat="1" ht="15" x14ac:dyDescent="0.25">
      <c r="A10165" s="859">
        <f t="shared" si="188"/>
        <v>10164</v>
      </c>
      <c r="B10165" s="845" t="s">
        <v>2564</v>
      </c>
      <c r="C10165" s="1007">
        <f t="shared" si="189"/>
        <v>40</v>
      </c>
      <c r="D10165" s="1014"/>
      <c r="I10165" s="1011" t="s">
        <v>2179</v>
      </c>
      <c r="K10165" s="1013"/>
    </row>
    <row r="10166" spans="1:11" s="1011" customFormat="1" ht="15" x14ac:dyDescent="0.25">
      <c r="A10166" s="859">
        <f t="shared" si="188"/>
        <v>10165</v>
      </c>
      <c r="B10166" s="845" t="s">
        <v>2564</v>
      </c>
      <c r="C10166" s="1007">
        <f t="shared" si="189"/>
        <v>40</v>
      </c>
      <c r="D10166" s="1014"/>
      <c r="I10166" s="1011" t="str">
        <f>CONCATENATE("&lt;valeur&gt;",VLOOKUP(C10166,'T16 Amort'!A:K,7,0),"&lt;/valeur&gt;")</f>
        <v>&lt;valeur&gt;&lt;/valeur&gt;</v>
      </c>
      <c r="K10166" s="1013"/>
    </row>
    <row r="10167" spans="1:11" s="1011" customFormat="1" ht="15" x14ac:dyDescent="0.25">
      <c r="A10167" s="859">
        <f t="shared" si="188"/>
        <v>10166</v>
      </c>
      <c r="B10167" s="845" t="s">
        <v>2564</v>
      </c>
      <c r="C10167" s="1007">
        <f t="shared" si="189"/>
        <v>40</v>
      </c>
      <c r="D10167" s="1012"/>
      <c r="I10167" s="1011" t="str">
        <f>CONCATENATE("&lt;numeroLigne&gt;",C10167,"&lt;/numeroLigne&gt;")</f>
        <v>&lt;numeroLigne&gt;40&lt;/numeroLigne&gt;</v>
      </c>
      <c r="K10167" s="1013"/>
    </row>
    <row r="10168" spans="1:11" s="1011" customFormat="1" ht="15" x14ac:dyDescent="0.25">
      <c r="A10168" s="859">
        <f t="shared" si="188"/>
        <v>10167</v>
      </c>
      <c r="B10168" s="845" t="s">
        <v>2564</v>
      </c>
      <c r="C10168" s="1007">
        <f t="shared" si="189"/>
        <v>40</v>
      </c>
      <c r="D10168" s="1015"/>
      <c r="H10168" s="1011" t="s">
        <v>1010</v>
      </c>
      <c r="K10168" s="1013"/>
    </row>
    <row r="10169" spans="1:11" s="1011" customFormat="1" ht="15" x14ac:dyDescent="0.25">
      <c r="A10169" s="859">
        <f t="shared" si="188"/>
        <v>10168</v>
      </c>
      <c r="B10169" s="845" t="s">
        <v>2564</v>
      </c>
      <c r="C10169" s="1007">
        <f t="shared" si="189"/>
        <v>40</v>
      </c>
      <c r="D10169" s="1012"/>
      <c r="H10169" s="1011" t="s">
        <v>1007</v>
      </c>
      <c r="K10169" s="1013"/>
    </row>
    <row r="10170" spans="1:11" s="1011" customFormat="1" ht="15" x14ac:dyDescent="0.25">
      <c r="A10170" s="859">
        <f t="shared" si="188"/>
        <v>10169</v>
      </c>
      <c r="B10170" s="845" t="s">
        <v>2564</v>
      </c>
      <c r="C10170" s="1007">
        <f t="shared" si="189"/>
        <v>40</v>
      </c>
      <c r="D10170" s="1012"/>
      <c r="I10170" s="1011" t="s">
        <v>2180</v>
      </c>
      <c r="K10170" s="1013"/>
    </row>
    <row r="10171" spans="1:11" s="1011" customFormat="1" ht="15" x14ac:dyDescent="0.25">
      <c r="A10171" s="859">
        <f t="shared" si="188"/>
        <v>10170</v>
      </c>
      <c r="B10171" s="845" t="s">
        <v>2564</v>
      </c>
      <c r="C10171" s="1007">
        <f t="shared" si="189"/>
        <v>40</v>
      </c>
      <c r="D10171" s="1014"/>
      <c r="I10171" s="1011" t="str">
        <f>CONCATENATE("&lt;valeur&gt;",VLOOKUP(C10171,'T16 Amort'!A:K,8,0),"&lt;/valeur&gt;")</f>
        <v>&lt;valeur&gt;&lt;/valeur&gt;</v>
      </c>
      <c r="K10171" s="1013"/>
    </row>
    <row r="10172" spans="1:11" s="1011" customFormat="1" ht="15" x14ac:dyDescent="0.25">
      <c r="A10172" s="859">
        <f t="shared" si="188"/>
        <v>10171</v>
      </c>
      <c r="B10172" s="845" t="s">
        <v>2564</v>
      </c>
      <c r="C10172" s="1007">
        <f t="shared" si="189"/>
        <v>40</v>
      </c>
      <c r="D10172" s="1014"/>
      <c r="I10172" s="1011" t="str">
        <f>CONCATENATE("&lt;numeroLigne&gt;",C10172,"&lt;/numeroLigne&gt;")</f>
        <v>&lt;numeroLigne&gt;40&lt;/numeroLigne&gt;</v>
      </c>
      <c r="K10172" s="1013"/>
    </row>
    <row r="10173" spans="1:11" s="1011" customFormat="1" ht="15" x14ac:dyDescent="0.25">
      <c r="A10173" s="859">
        <f t="shared" si="188"/>
        <v>10172</v>
      </c>
      <c r="B10173" s="845" t="s">
        <v>2564</v>
      </c>
      <c r="C10173" s="1007">
        <f t="shared" si="189"/>
        <v>40</v>
      </c>
      <c r="D10173" s="1012"/>
      <c r="H10173" s="1011" t="s">
        <v>1010</v>
      </c>
      <c r="K10173" s="1013"/>
    </row>
    <row r="10174" spans="1:11" s="1011" customFormat="1" ht="15" x14ac:dyDescent="0.25">
      <c r="A10174" s="859">
        <f t="shared" si="188"/>
        <v>10173</v>
      </c>
      <c r="B10174" s="845" t="s">
        <v>2564</v>
      </c>
      <c r="C10174" s="1007">
        <f t="shared" si="189"/>
        <v>40</v>
      </c>
      <c r="D10174" s="1015"/>
      <c r="H10174" s="1011" t="s">
        <v>1007</v>
      </c>
      <c r="K10174" s="1013"/>
    </row>
    <row r="10175" spans="1:11" s="1011" customFormat="1" ht="15" x14ac:dyDescent="0.25">
      <c r="A10175" s="859">
        <f t="shared" si="188"/>
        <v>10174</v>
      </c>
      <c r="B10175" s="845" t="s">
        <v>2564</v>
      </c>
      <c r="C10175" s="1007">
        <f t="shared" si="189"/>
        <v>40</v>
      </c>
      <c r="D10175" s="1012"/>
      <c r="I10175" s="1011" t="s">
        <v>2181</v>
      </c>
      <c r="K10175" s="1013"/>
    </row>
    <row r="10176" spans="1:11" s="1011" customFormat="1" ht="15" x14ac:dyDescent="0.25">
      <c r="A10176" s="859">
        <f t="shared" si="188"/>
        <v>10175</v>
      </c>
      <c r="B10176" s="845" t="s">
        <v>2564</v>
      </c>
      <c r="C10176" s="1007">
        <f t="shared" si="189"/>
        <v>40</v>
      </c>
      <c r="D10176" s="1012"/>
      <c r="I10176" s="1011" t="str">
        <f>CONCATENATE("&lt;valeur&gt;",VLOOKUP(C10176,'T16 Amort'!A:K,9,0),"&lt;/valeur&gt;")</f>
        <v>&lt;valeur&gt;&lt;/valeur&gt;</v>
      </c>
      <c r="K10176" s="1013"/>
    </row>
    <row r="10177" spans="1:11" s="1011" customFormat="1" ht="15" x14ac:dyDescent="0.25">
      <c r="A10177" s="859">
        <f t="shared" si="188"/>
        <v>10176</v>
      </c>
      <c r="B10177" s="845" t="s">
        <v>2564</v>
      </c>
      <c r="C10177" s="1007">
        <f t="shared" si="189"/>
        <v>40</v>
      </c>
      <c r="D10177" s="1014"/>
      <c r="I10177" s="1011" t="str">
        <f>CONCATENATE("&lt;numeroLigne&gt;",C10177,"&lt;/numeroLigne&gt;")</f>
        <v>&lt;numeroLigne&gt;40&lt;/numeroLigne&gt;</v>
      </c>
      <c r="K10177" s="1013"/>
    </row>
    <row r="10178" spans="1:11" s="1011" customFormat="1" ht="15" x14ac:dyDescent="0.25">
      <c r="A10178" s="859">
        <f t="shared" si="188"/>
        <v>10177</v>
      </c>
      <c r="B10178" s="845" t="s">
        <v>2564</v>
      </c>
      <c r="C10178" s="1007">
        <f t="shared" si="189"/>
        <v>40</v>
      </c>
      <c r="D10178" s="1014"/>
      <c r="H10178" s="1011" t="s">
        <v>1010</v>
      </c>
      <c r="K10178" s="1013"/>
    </row>
    <row r="10179" spans="1:11" s="1011" customFormat="1" ht="15" x14ac:dyDescent="0.25">
      <c r="A10179" s="859">
        <f t="shared" si="188"/>
        <v>10178</v>
      </c>
      <c r="B10179" s="845" t="s">
        <v>2564</v>
      </c>
      <c r="C10179" s="1007">
        <f t="shared" si="189"/>
        <v>40</v>
      </c>
      <c r="D10179" s="1012"/>
      <c r="H10179" s="1011" t="s">
        <v>1007</v>
      </c>
      <c r="K10179" s="1013"/>
    </row>
    <row r="10180" spans="1:11" s="1011" customFormat="1" ht="15" x14ac:dyDescent="0.25">
      <c r="A10180" s="859">
        <f t="shared" ref="A10180:A10243" si="190">+A10179+1</f>
        <v>10179</v>
      </c>
      <c r="B10180" s="845" t="s">
        <v>2564</v>
      </c>
      <c r="C10180" s="1007">
        <f t="shared" si="189"/>
        <v>40</v>
      </c>
      <c r="D10180" s="1015"/>
      <c r="I10180" s="1011" t="s">
        <v>2182</v>
      </c>
      <c r="K10180" s="1013"/>
    </row>
    <row r="10181" spans="1:11" s="1011" customFormat="1" ht="15" x14ac:dyDescent="0.25">
      <c r="A10181" s="859">
        <f t="shared" si="190"/>
        <v>10180</v>
      </c>
      <c r="B10181" s="845" t="s">
        <v>2564</v>
      </c>
      <c r="C10181" s="1007">
        <f t="shared" si="189"/>
        <v>40</v>
      </c>
      <c r="D10181" s="1012"/>
      <c r="I10181" s="1011" t="str">
        <f>CONCATENATE("&lt;valeur&gt;",VLOOKUP(C10181,'T16 Amort'!A:K,10,0),"&lt;/valeur&gt;")</f>
        <v>&lt;valeur&gt;&lt;/valeur&gt;</v>
      </c>
      <c r="K10181" s="1013"/>
    </row>
    <row r="10182" spans="1:11" s="1011" customFormat="1" ht="15" x14ac:dyDescent="0.25">
      <c r="A10182" s="859">
        <f t="shared" si="190"/>
        <v>10181</v>
      </c>
      <c r="B10182" s="845" t="s">
        <v>2564</v>
      </c>
      <c r="C10182" s="1007">
        <f t="shared" si="189"/>
        <v>40</v>
      </c>
      <c r="D10182" s="1012"/>
      <c r="I10182" s="1011" t="str">
        <f>CONCATENATE("&lt;numeroLigne&gt;",C10182,"&lt;/numeroLigne&gt;")</f>
        <v>&lt;numeroLigne&gt;40&lt;/numeroLigne&gt;</v>
      </c>
      <c r="K10182" s="1013"/>
    </row>
    <row r="10183" spans="1:11" s="1011" customFormat="1" ht="15" x14ac:dyDescent="0.25">
      <c r="A10183" s="859">
        <f t="shared" si="190"/>
        <v>10182</v>
      </c>
      <c r="B10183" s="845" t="s">
        <v>2564</v>
      </c>
      <c r="C10183" s="1007">
        <f t="shared" si="189"/>
        <v>40</v>
      </c>
      <c r="D10183" s="1014"/>
      <c r="H10183" s="1011" t="s">
        <v>1010</v>
      </c>
      <c r="K10183" s="1013"/>
    </row>
    <row r="10184" spans="1:11" s="1011" customFormat="1" ht="15" x14ac:dyDescent="0.25">
      <c r="A10184" s="859">
        <f t="shared" si="190"/>
        <v>10183</v>
      </c>
      <c r="B10184" s="845" t="s">
        <v>2564</v>
      </c>
      <c r="C10184" s="1007">
        <f t="shared" si="189"/>
        <v>40</v>
      </c>
      <c r="D10184" s="1014"/>
      <c r="H10184" s="1011" t="s">
        <v>1007</v>
      </c>
      <c r="K10184" s="1013"/>
    </row>
    <row r="10185" spans="1:11" s="1011" customFormat="1" ht="15" x14ac:dyDescent="0.25">
      <c r="A10185" s="859">
        <f t="shared" si="190"/>
        <v>10184</v>
      </c>
      <c r="B10185" s="845" t="s">
        <v>2564</v>
      </c>
      <c r="C10185" s="1007">
        <f t="shared" si="189"/>
        <v>40</v>
      </c>
      <c r="D10185" s="1012"/>
      <c r="I10185" s="1011" t="s">
        <v>2183</v>
      </c>
      <c r="K10185" s="1013"/>
    </row>
    <row r="10186" spans="1:11" s="1011" customFormat="1" ht="15" x14ac:dyDescent="0.25">
      <c r="A10186" s="859">
        <f t="shared" si="190"/>
        <v>10185</v>
      </c>
      <c r="B10186" s="845" t="s">
        <v>2564</v>
      </c>
      <c r="C10186" s="1007">
        <f t="shared" si="189"/>
        <v>40</v>
      </c>
      <c r="D10186" s="1015"/>
      <c r="I10186" s="1011" t="str">
        <f>CONCATENATE("&lt;valeur&gt;",VLOOKUP(C10186,'T16 Amort'!A:K,11,0),"&lt;/valeur&gt;")</f>
        <v>&lt;valeur&gt;&lt;/valeur&gt;</v>
      </c>
      <c r="K10186" s="1013"/>
    </row>
    <row r="10187" spans="1:11" s="1011" customFormat="1" ht="15" x14ac:dyDescent="0.25">
      <c r="A10187" s="859">
        <f t="shared" si="190"/>
        <v>10186</v>
      </c>
      <c r="B10187" s="845" t="s">
        <v>2564</v>
      </c>
      <c r="C10187" s="1007">
        <f t="shared" si="189"/>
        <v>40</v>
      </c>
      <c r="D10187" s="1012"/>
      <c r="I10187" s="1011" t="str">
        <f>CONCATENATE("&lt;numeroLigne&gt;",C10187,"&lt;/numeroLigne&gt;")</f>
        <v>&lt;numeroLigne&gt;40&lt;/numeroLigne&gt;</v>
      </c>
      <c r="K10187" s="1013"/>
    </row>
    <row r="10188" spans="1:11" s="1011" customFormat="1" ht="15" x14ac:dyDescent="0.25">
      <c r="A10188" s="859">
        <f t="shared" si="190"/>
        <v>10187</v>
      </c>
      <c r="B10188" s="845" t="s">
        <v>2564</v>
      </c>
      <c r="C10188" s="1007">
        <f t="shared" si="189"/>
        <v>40</v>
      </c>
      <c r="D10188" s="1016"/>
      <c r="E10188" s="1017"/>
      <c r="F10188" s="1017"/>
      <c r="G10188" s="1017"/>
      <c r="H10188" s="1017" t="s">
        <v>1010</v>
      </c>
      <c r="I10188" s="1017"/>
      <c r="J10188" s="1017"/>
      <c r="K10188" s="1018"/>
    </row>
    <row r="10189" spans="1:11" s="1011" customFormat="1" ht="15" x14ac:dyDescent="0.25">
      <c r="A10189" s="859">
        <f t="shared" si="190"/>
        <v>10188</v>
      </c>
      <c r="B10189" s="845" t="s">
        <v>2564</v>
      </c>
      <c r="C10189" s="1007">
        <f t="shared" si="189"/>
        <v>41</v>
      </c>
      <c r="D10189" s="1008"/>
      <c r="E10189" s="1009"/>
      <c r="F10189" s="1009"/>
      <c r="G10189" s="1009"/>
      <c r="H10189" s="1009" t="s">
        <v>1007</v>
      </c>
      <c r="I10189" s="1009"/>
      <c r="J10189" s="1009"/>
      <c r="K10189" s="1010"/>
    </row>
    <row r="10190" spans="1:11" s="1011" customFormat="1" ht="15" x14ac:dyDescent="0.25">
      <c r="A10190" s="859">
        <f t="shared" si="190"/>
        <v>10189</v>
      </c>
      <c r="B10190" s="845" t="s">
        <v>2564</v>
      </c>
      <c r="C10190" s="1007">
        <f t="shared" si="189"/>
        <v>41</v>
      </c>
      <c r="D10190" s="1012"/>
      <c r="I10190" s="1011" t="s">
        <v>2174</v>
      </c>
      <c r="K10190" s="1013"/>
    </row>
    <row r="10191" spans="1:11" s="1011" customFormat="1" ht="15" x14ac:dyDescent="0.25">
      <c r="A10191" s="859">
        <f t="shared" si="190"/>
        <v>10190</v>
      </c>
      <c r="B10191" s="845" t="s">
        <v>2564</v>
      </c>
      <c r="C10191" s="1007">
        <f t="shared" si="189"/>
        <v>41</v>
      </c>
      <c r="D10191" s="1014"/>
      <c r="I10191" s="1011" t="str">
        <f>CONCATENATE("&lt;valeur&gt;",VLOOKUP(C10191,'T16 Amort'!A:K,2,0),"&lt;/valeur&gt;")</f>
        <v>&lt;valeur&gt;&lt;/valeur&gt;</v>
      </c>
      <c r="K10191" s="1013"/>
    </row>
    <row r="10192" spans="1:11" s="1011" customFormat="1" ht="15" x14ac:dyDescent="0.25">
      <c r="A10192" s="859">
        <f t="shared" si="190"/>
        <v>10191</v>
      </c>
      <c r="B10192" s="845" t="s">
        <v>2564</v>
      </c>
      <c r="C10192" s="1007">
        <f t="shared" si="189"/>
        <v>41</v>
      </c>
      <c r="D10192" s="1014"/>
      <c r="I10192" s="1011" t="str">
        <f>CONCATENATE("&lt;numeroLigne&gt;",C10192,"&lt;/numeroLigne&gt;")</f>
        <v>&lt;numeroLigne&gt;41&lt;/numeroLigne&gt;</v>
      </c>
      <c r="K10192" s="1013"/>
    </row>
    <row r="10193" spans="1:11" s="1011" customFormat="1" ht="15" x14ac:dyDescent="0.25">
      <c r="A10193" s="859">
        <f t="shared" si="190"/>
        <v>10192</v>
      </c>
      <c r="B10193" s="845" t="s">
        <v>2564</v>
      </c>
      <c r="C10193" s="1007">
        <f t="shared" si="189"/>
        <v>41</v>
      </c>
      <c r="D10193" s="1012"/>
      <c r="H10193" s="1011" t="s">
        <v>1010</v>
      </c>
      <c r="K10193" s="1013"/>
    </row>
    <row r="10194" spans="1:11" s="1011" customFormat="1" ht="15" x14ac:dyDescent="0.25">
      <c r="A10194" s="859">
        <f t="shared" si="190"/>
        <v>10193</v>
      </c>
      <c r="B10194" s="845" t="s">
        <v>2564</v>
      </c>
      <c r="C10194" s="1007">
        <f t="shared" si="189"/>
        <v>41</v>
      </c>
      <c r="D10194" s="1015"/>
      <c r="H10194" s="1011" t="s">
        <v>1007</v>
      </c>
      <c r="K10194" s="1013"/>
    </row>
    <row r="10195" spans="1:11" s="1011" customFormat="1" ht="15" x14ac:dyDescent="0.25">
      <c r="A10195" s="859">
        <f t="shared" si="190"/>
        <v>10194</v>
      </c>
      <c r="B10195" s="845" t="s">
        <v>2564</v>
      </c>
      <c r="C10195" s="1007">
        <f t="shared" si="189"/>
        <v>41</v>
      </c>
      <c r="D10195" s="1012"/>
      <c r="I10195" s="1011" t="s">
        <v>2175</v>
      </c>
      <c r="K10195" s="1013"/>
    </row>
    <row r="10196" spans="1:11" s="1011" customFormat="1" ht="15" x14ac:dyDescent="0.25">
      <c r="A10196" s="859">
        <f t="shared" si="190"/>
        <v>10195</v>
      </c>
      <c r="B10196" s="845" t="s">
        <v>2564</v>
      </c>
      <c r="C10196" s="1007">
        <f t="shared" si="189"/>
        <v>41</v>
      </c>
      <c r="D10196" s="1012"/>
      <c r="I10196" s="1011" t="str">
        <f>CONCATENATE("&lt;valeur&gt;",VLOOKUP(C10196,'T16 Amort'!A:K,3,0),"&lt;/valeur&gt;")</f>
        <v>&lt;valeur&gt;&lt;/valeur&gt;</v>
      </c>
      <c r="K10196" s="1013"/>
    </row>
    <row r="10197" spans="1:11" s="1011" customFormat="1" ht="15" x14ac:dyDescent="0.25">
      <c r="A10197" s="859">
        <f t="shared" si="190"/>
        <v>10196</v>
      </c>
      <c r="B10197" s="845" t="s">
        <v>2564</v>
      </c>
      <c r="C10197" s="1007">
        <f t="shared" si="189"/>
        <v>41</v>
      </c>
      <c r="D10197" s="1014"/>
      <c r="I10197" s="1011" t="str">
        <f>CONCATENATE("&lt;numeroLigne&gt;",C10197,"&lt;/numeroLigne&gt;")</f>
        <v>&lt;numeroLigne&gt;41&lt;/numeroLigne&gt;</v>
      </c>
      <c r="K10197" s="1013"/>
    </row>
    <row r="10198" spans="1:11" s="1011" customFormat="1" ht="15" x14ac:dyDescent="0.25">
      <c r="A10198" s="859">
        <f t="shared" si="190"/>
        <v>10197</v>
      </c>
      <c r="B10198" s="845" t="s">
        <v>2564</v>
      </c>
      <c r="C10198" s="1007">
        <f t="shared" si="189"/>
        <v>41</v>
      </c>
      <c r="D10198" s="1014"/>
      <c r="H10198" s="1011" t="s">
        <v>1010</v>
      </c>
      <c r="K10198" s="1013"/>
    </row>
    <row r="10199" spans="1:11" s="1011" customFormat="1" ht="15" x14ac:dyDescent="0.25">
      <c r="A10199" s="859">
        <f t="shared" si="190"/>
        <v>10198</v>
      </c>
      <c r="B10199" s="845" t="s">
        <v>2564</v>
      </c>
      <c r="C10199" s="1007">
        <f t="shared" si="189"/>
        <v>41</v>
      </c>
      <c r="D10199" s="1012"/>
      <c r="H10199" s="1011" t="s">
        <v>1007</v>
      </c>
      <c r="K10199" s="1013"/>
    </row>
    <row r="10200" spans="1:11" s="1011" customFormat="1" ht="15" x14ac:dyDescent="0.25">
      <c r="A10200" s="859">
        <f t="shared" si="190"/>
        <v>10199</v>
      </c>
      <c r="B10200" s="845" t="s">
        <v>2564</v>
      </c>
      <c r="C10200" s="1007">
        <f t="shared" si="189"/>
        <v>41</v>
      </c>
      <c r="D10200" s="1015"/>
      <c r="I10200" s="1011" t="s">
        <v>2176</v>
      </c>
      <c r="K10200" s="1013"/>
    </row>
    <row r="10201" spans="1:11" s="1011" customFormat="1" ht="15" x14ac:dyDescent="0.25">
      <c r="A10201" s="859">
        <f t="shared" si="190"/>
        <v>10200</v>
      </c>
      <c r="B10201" s="845" t="s">
        <v>2564</v>
      </c>
      <c r="C10201" s="1007">
        <f t="shared" si="189"/>
        <v>41</v>
      </c>
      <c r="D10201" s="1012"/>
      <c r="I10201" s="1011" t="str">
        <f>CONCATENATE("&lt;valeur&gt;",VLOOKUP(C10201,'T16 Amort'!A:K,4,0),"&lt;/valeur&gt;")</f>
        <v>&lt;valeur&gt;&lt;/valeur&gt;</v>
      </c>
      <c r="K10201" s="1013"/>
    </row>
    <row r="10202" spans="1:11" s="1011" customFormat="1" ht="15" x14ac:dyDescent="0.25">
      <c r="A10202" s="859">
        <f t="shared" si="190"/>
        <v>10201</v>
      </c>
      <c r="B10202" s="845" t="s">
        <v>2564</v>
      </c>
      <c r="C10202" s="1007">
        <f t="shared" si="189"/>
        <v>41</v>
      </c>
      <c r="D10202" s="1012"/>
      <c r="I10202" s="1011" t="str">
        <f>CONCATENATE("&lt;numeroLigne&gt;",C10202,"&lt;/numeroLigne&gt;")</f>
        <v>&lt;numeroLigne&gt;41&lt;/numeroLigne&gt;</v>
      </c>
      <c r="K10202" s="1013"/>
    </row>
    <row r="10203" spans="1:11" s="1011" customFormat="1" ht="15" x14ac:dyDescent="0.25">
      <c r="A10203" s="859">
        <f t="shared" si="190"/>
        <v>10202</v>
      </c>
      <c r="B10203" s="845" t="s">
        <v>2564</v>
      </c>
      <c r="C10203" s="1007">
        <f t="shared" si="189"/>
        <v>41</v>
      </c>
      <c r="D10203" s="1014"/>
      <c r="H10203" s="1011" t="s">
        <v>1010</v>
      </c>
      <c r="K10203" s="1013"/>
    </row>
    <row r="10204" spans="1:11" s="1011" customFormat="1" ht="15" x14ac:dyDescent="0.25">
      <c r="A10204" s="859">
        <f t="shared" si="190"/>
        <v>10203</v>
      </c>
      <c r="B10204" s="845" t="s">
        <v>2564</v>
      </c>
      <c r="C10204" s="1007">
        <f t="shared" si="189"/>
        <v>41</v>
      </c>
      <c r="D10204" s="1014"/>
      <c r="H10204" s="1011" t="s">
        <v>1007</v>
      </c>
      <c r="K10204" s="1013"/>
    </row>
    <row r="10205" spans="1:11" s="1011" customFormat="1" ht="15" x14ac:dyDescent="0.25">
      <c r="A10205" s="859">
        <f t="shared" si="190"/>
        <v>10204</v>
      </c>
      <c r="B10205" s="845" t="s">
        <v>2564</v>
      </c>
      <c r="C10205" s="1007">
        <f t="shared" si="189"/>
        <v>41</v>
      </c>
      <c r="D10205" s="1012"/>
      <c r="I10205" s="1011" t="s">
        <v>2177</v>
      </c>
      <c r="K10205" s="1013"/>
    </row>
    <row r="10206" spans="1:11" s="1011" customFormat="1" ht="15" x14ac:dyDescent="0.25">
      <c r="A10206" s="859">
        <f t="shared" si="190"/>
        <v>10205</v>
      </c>
      <c r="B10206" s="845" t="s">
        <v>2564</v>
      </c>
      <c r="C10206" s="1007">
        <f t="shared" si="189"/>
        <v>41</v>
      </c>
      <c r="D10206" s="1015"/>
      <c r="I10206" s="1011" t="str">
        <f>CONCATENATE("&lt;valeur&gt;",VLOOKUP(C10206,'T16 Amort'!A:K,5,0),"&lt;/valeur&gt;")</f>
        <v>&lt;valeur&gt;&lt;/valeur&gt;</v>
      </c>
      <c r="K10206" s="1013"/>
    </row>
    <row r="10207" spans="1:11" s="1011" customFormat="1" ht="15" x14ac:dyDescent="0.25">
      <c r="A10207" s="859">
        <f t="shared" si="190"/>
        <v>10206</v>
      </c>
      <c r="B10207" s="845" t="s">
        <v>2564</v>
      </c>
      <c r="C10207" s="1007">
        <f t="shared" si="189"/>
        <v>41</v>
      </c>
      <c r="D10207" s="1012"/>
      <c r="I10207" s="1011" t="str">
        <f>CONCATENATE("&lt;numeroLigne&gt;",C10207,"&lt;/numeroLigne&gt;")</f>
        <v>&lt;numeroLigne&gt;41&lt;/numeroLigne&gt;</v>
      </c>
      <c r="K10207" s="1013"/>
    </row>
    <row r="10208" spans="1:11" s="1011" customFormat="1" ht="15" x14ac:dyDescent="0.25">
      <c r="A10208" s="859">
        <f t="shared" si="190"/>
        <v>10207</v>
      </c>
      <c r="B10208" s="845" t="s">
        <v>2564</v>
      </c>
      <c r="C10208" s="1007">
        <f t="shared" si="189"/>
        <v>41</v>
      </c>
      <c r="D10208" s="1012"/>
      <c r="H10208" s="1011" t="s">
        <v>1010</v>
      </c>
      <c r="K10208" s="1013"/>
    </row>
    <row r="10209" spans="1:11" s="1011" customFormat="1" ht="15" x14ac:dyDescent="0.25">
      <c r="A10209" s="859">
        <f t="shared" si="190"/>
        <v>10208</v>
      </c>
      <c r="B10209" s="845" t="s">
        <v>2564</v>
      </c>
      <c r="C10209" s="1007">
        <f t="shared" si="189"/>
        <v>41</v>
      </c>
      <c r="D10209" s="1014"/>
      <c r="H10209" s="1011" t="s">
        <v>1007</v>
      </c>
      <c r="K10209" s="1013"/>
    </row>
    <row r="10210" spans="1:11" s="1011" customFormat="1" ht="15" x14ac:dyDescent="0.25">
      <c r="A10210" s="859">
        <f t="shared" si="190"/>
        <v>10209</v>
      </c>
      <c r="B10210" s="845" t="s">
        <v>2564</v>
      </c>
      <c r="C10210" s="1007">
        <f t="shared" si="189"/>
        <v>41</v>
      </c>
      <c r="D10210" s="1014"/>
      <c r="I10210" s="1011" t="s">
        <v>2178</v>
      </c>
      <c r="K10210" s="1013"/>
    </row>
    <row r="10211" spans="1:11" s="1011" customFormat="1" ht="15" x14ac:dyDescent="0.25">
      <c r="A10211" s="859">
        <f t="shared" si="190"/>
        <v>10210</v>
      </c>
      <c r="B10211" s="845" t="s">
        <v>2564</v>
      </c>
      <c r="C10211" s="1007">
        <f t="shared" si="189"/>
        <v>41</v>
      </c>
      <c r="D10211" s="1012"/>
      <c r="I10211" s="1011" t="str">
        <f>CONCATENATE("&lt;valeur&gt;",VLOOKUP(C10211,'T16 Amort'!A:K,6,0),"&lt;/valeur&gt;")</f>
        <v>&lt;valeur&gt;&lt;/valeur&gt;</v>
      </c>
      <c r="K10211" s="1013"/>
    </row>
    <row r="10212" spans="1:11" s="1011" customFormat="1" ht="15" x14ac:dyDescent="0.25">
      <c r="A10212" s="859">
        <f t="shared" si="190"/>
        <v>10211</v>
      </c>
      <c r="B10212" s="845" t="s">
        <v>2564</v>
      </c>
      <c r="C10212" s="1007">
        <f t="shared" si="189"/>
        <v>41</v>
      </c>
      <c r="D10212" s="1015"/>
      <c r="I10212" s="1011" t="str">
        <f>CONCATENATE("&lt;numeroLigne&gt;",C10212,"&lt;/numeroLigne&gt;")</f>
        <v>&lt;numeroLigne&gt;41&lt;/numeroLigne&gt;</v>
      </c>
      <c r="K10212" s="1013"/>
    </row>
    <row r="10213" spans="1:11" s="1011" customFormat="1" ht="15" x14ac:dyDescent="0.25">
      <c r="A10213" s="859">
        <f t="shared" si="190"/>
        <v>10212</v>
      </c>
      <c r="B10213" s="845" t="s">
        <v>2564</v>
      </c>
      <c r="C10213" s="1007">
        <f t="shared" si="189"/>
        <v>41</v>
      </c>
      <c r="D10213" s="1012"/>
      <c r="H10213" s="1011" t="s">
        <v>1010</v>
      </c>
      <c r="K10213" s="1013"/>
    </row>
    <row r="10214" spans="1:11" s="1011" customFormat="1" ht="15" x14ac:dyDescent="0.25">
      <c r="A10214" s="859">
        <f t="shared" si="190"/>
        <v>10213</v>
      </c>
      <c r="B10214" s="845" t="s">
        <v>2564</v>
      </c>
      <c r="C10214" s="1007">
        <f t="shared" si="189"/>
        <v>41</v>
      </c>
      <c r="D10214" s="1012"/>
      <c r="H10214" s="1011" t="s">
        <v>1007</v>
      </c>
      <c r="K10214" s="1013"/>
    </row>
    <row r="10215" spans="1:11" s="1011" customFormat="1" ht="15" x14ac:dyDescent="0.25">
      <c r="A10215" s="859">
        <f t="shared" si="190"/>
        <v>10214</v>
      </c>
      <c r="B10215" s="845" t="s">
        <v>2564</v>
      </c>
      <c r="C10215" s="1007">
        <f t="shared" si="189"/>
        <v>41</v>
      </c>
      <c r="D10215" s="1014"/>
      <c r="I10215" s="1011" t="s">
        <v>2179</v>
      </c>
      <c r="K10215" s="1013"/>
    </row>
    <row r="10216" spans="1:11" s="1011" customFormat="1" ht="15" x14ac:dyDescent="0.25">
      <c r="A10216" s="859">
        <f t="shared" si="190"/>
        <v>10215</v>
      </c>
      <c r="B10216" s="845" t="s">
        <v>2564</v>
      </c>
      <c r="C10216" s="1007">
        <f t="shared" si="189"/>
        <v>41</v>
      </c>
      <c r="D10216" s="1014"/>
      <c r="I10216" s="1011" t="str">
        <f>CONCATENATE("&lt;valeur&gt;",VLOOKUP(C10216,'T16 Amort'!A:K,7,0),"&lt;/valeur&gt;")</f>
        <v>&lt;valeur&gt;&lt;/valeur&gt;</v>
      </c>
      <c r="K10216" s="1013"/>
    </row>
    <row r="10217" spans="1:11" s="1011" customFormat="1" ht="15" x14ac:dyDescent="0.25">
      <c r="A10217" s="859">
        <f t="shared" si="190"/>
        <v>10216</v>
      </c>
      <c r="B10217" s="845" t="s">
        <v>2564</v>
      </c>
      <c r="C10217" s="1007">
        <f t="shared" si="189"/>
        <v>41</v>
      </c>
      <c r="D10217" s="1012"/>
      <c r="I10217" s="1011" t="str">
        <f>CONCATENATE("&lt;numeroLigne&gt;",C10217,"&lt;/numeroLigne&gt;")</f>
        <v>&lt;numeroLigne&gt;41&lt;/numeroLigne&gt;</v>
      </c>
      <c r="K10217" s="1013"/>
    </row>
    <row r="10218" spans="1:11" s="1011" customFormat="1" ht="15" x14ac:dyDescent="0.25">
      <c r="A10218" s="859">
        <f t="shared" si="190"/>
        <v>10217</v>
      </c>
      <c r="B10218" s="845" t="s">
        <v>2564</v>
      </c>
      <c r="C10218" s="1007">
        <f t="shared" si="189"/>
        <v>41</v>
      </c>
      <c r="D10218" s="1015"/>
      <c r="H10218" s="1011" t="s">
        <v>1010</v>
      </c>
      <c r="K10218" s="1013"/>
    </row>
    <row r="10219" spans="1:11" s="1011" customFormat="1" ht="15" x14ac:dyDescent="0.25">
      <c r="A10219" s="859">
        <f t="shared" si="190"/>
        <v>10218</v>
      </c>
      <c r="B10219" s="845" t="s">
        <v>2564</v>
      </c>
      <c r="C10219" s="1007">
        <f t="shared" si="189"/>
        <v>41</v>
      </c>
      <c r="D10219" s="1012"/>
      <c r="H10219" s="1011" t="s">
        <v>1007</v>
      </c>
      <c r="K10219" s="1013"/>
    </row>
    <row r="10220" spans="1:11" s="1011" customFormat="1" ht="15" x14ac:dyDescent="0.25">
      <c r="A10220" s="859">
        <f t="shared" si="190"/>
        <v>10219</v>
      </c>
      <c r="B10220" s="845" t="s">
        <v>2564</v>
      </c>
      <c r="C10220" s="1007">
        <f t="shared" si="189"/>
        <v>41</v>
      </c>
      <c r="D10220" s="1012"/>
      <c r="I10220" s="1011" t="s">
        <v>2180</v>
      </c>
      <c r="K10220" s="1013"/>
    </row>
    <row r="10221" spans="1:11" s="1011" customFormat="1" ht="15" x14ac:dyDescent="0.25">
      <c r="A10221" s="859">
        <f t="shared" si="190"/>
        <v>10220</v>
      </c>
      <c r="B10221" s="845" t="s">
        <v>2564</v>
      </c>
      <c r="C10221" s="1007">
        <f t="shared" si="189"/>
        <v>41</v>
      </c>
      <c r="D10221" s="1014"/>
      <c r="I10221" s="1011" t="str">
        <f>CONCATENATE("&lt;valeur&gt;",VLOOKUP(C10221,'T16 Amort'!A:K,8,0),"&lt;/valeur&gt;")</f>
        <v>&lt;valeur&gt;&lt;/valeur&gt;</v>
      </c>
      <c r="K10221" s="1013"/>
    </row>
    <row r="10222" spans="1:11" s="1011" customFormat="1" ht="15" x14ac:dyDescent="0.25">
      <c r="A10222" s="859">
        <f t="shared" si="190"/>
        <v>10221</v>
      </c>
      <c r="B10222" s="845" t="s">
        <v>2564</v>
      </c>
      <c r="C10222" s="1007">
        <f t="shared" si="189"/>
        <v>41</v>
      </c>
      <c r="D10222" s="1014"/>
      <c r="I10222" s="1011" t="str">
        <f>CONCATENATE("&lt;numeroLigne&gt;",C10222,"&lt;/numeroLigne&gt;")</f>
        <v>&lt;numeroLigne&gt;41&lt;/numeroLigne&gt;</v>
      </c>
      <c r="K10222" s="1013"/>
    </row>
    <row r="10223" spans="1:11" s="1011" customFormat="1" ht="15" x14ac:dyDescent="0.25">
      <c r="A10223" s="859">
        <f t="shared" si="190"/>
        <v>10222</v>
      </c>
      <c r="B10223" s="845" t="s">
        <v>2564</v>
      </c>
      <c r="C10223" s="1007">
        <f t="shared" ref="C10223:C10286" si="191">C10173+1</f>
        <v>41</v>
      </c>
      <c r="D10223" s="1012"/>
      <c r="H10223" s="1011" t="s">
        <v>1010</v>
      </c>
      <c r="K10223" s="1013"/>
    </row>
    <row r="10224" spans="1:11" s="1011" customFormat="1" ht="15" x14ac:dyDescent="0.25">
      <c r="A10224" s="859">
        <f t="shared" si="190"/>
        <v>10223</v>
      </c>
      <c r="B10224" s="845" t="s">
        <v>2564</v>
      </c>
      <c r="C10224" s="1007">
        <f t="shared" si="191"/>
        <v>41</v>
      </c>
      <c r="D10224" s="1015"/>
      <c r="H10224" s="1011" t="s">
        <v>1007</v>
      </c>
      <c r="K10224" s="1013"/>
    </row>
    <row r="10225" spans="1:11" s="1011" customFormat="1" ht="15" x14ac:dyDescent="0.25">
      <c r="A10225" s="859">
        <f t="shared" si="190"/>
        <v>10224</v>
      </c>
      <c r="B10225" s="845" t="s">
        <v>2564</v>
      </c>
      <c r="C10225" s="1007">
        <f t="shared" si="191"/>
        <v>41</v>
      </c>
      <c r="D10225" s="1012"/>
      <c r="I10225" s="1011" t="s">
        <v>2181</v>
      </c>
      <c r="K10225" s="1013"/>
    </row>
    <row r="10226" spans="1:11" s="1011" customFormat="1" ht="15" x14ac:dyDescent="0.25">
      <c r="A10226" s="859">
        <f t="shared" si="190"/>
        <v>10225</v>
      </c>
      <c r="B10226" s="845" t="s">
        <v>2564</v>
      </c>
      <c r="C10226" s="1007">
        <f t="shared" si="191"/>
        <v>41</v>
      </c>
      <c r="D10226" s="1012"/>
      <c r="I10226" s="1011" t="str">
        <f>CONCATENATE("&lt;valeur&gt;",VLOOKUP(C10226,'T16 Amort'!A:K,9,0),"&lt;/valeur&gt;")</f>
        <v>&lt;valeur&gt;&lt;/valeur&gt;</v>
      </c>
      <c r="K10226" s="1013"/>
    </row>
    <row r="10227" spans="1:11" s="1011" customFormat="1" ht="15" x14ac:dyDescent="0.25">
      <c r="A10227" s="859">
        <f t="shared" si="190"/>
        <v>10226</v>
      </c>
      <c r="B10227" s="845" t="s">
        <v>2564</v>
      </c>
      <c r="C10227" s="1007">
        <f t="shared" si="191"/>
        <v>41</v>
      </c>
      <c r="D10227" s="1014"/>
      <c r="I10227" s="1011" t="str">
        <f>CONCATENATE("&lt;numeroLigne&gt;",C10227,"&lt;/numeroLigne&gt;")</f>
        <v>&lt;numeroLigne&gt;41&lt;/numeroLigne&gt;</v>
      </c>
      <c r="K10227" s="1013"/>
    </row>
    <row r="10228" spans="1:11" s="1011" customFormat="1" ht="15" x14ac:dyDescent="0.25">
      <c r="A10228" s="859">
        <f t="shared" si="190"/>
        <v>10227</v>
      </c>
      <c r="B10228" s="845" t="s">
        <v>2564</v>
      </c>
      <c r="C10228" s="1007">
        <f t="shared" si="191"/>
        <v>41</v>
      </c>
      <c r="D10228" s="1014"/>
      <c r="H10228" s="1011" t="s">
        <v>1010</v>
      </c>
      <c r="K10228" s="1013"/>
    </row>
    <row r="10229" spans="1:11" s="1011" customFormat="1" ht="15" x14ac:dyDescent="0.25">
      <c r="A10229" s="859">
        <f t="shared" si="190"/>
        <v>10228</v>
      </c>
      <c r="B10229" s="845" t="s">
        <v>2564</v>
      </c>
      <c r="C10229" s="1007">
        <f t="shared" si="191"/>
        <v>41</v>
      </c>
      <c r="D10229" s="1012"/>
      <c r="H10229" s="1011" t="s">
        <v>1007</v>
      </c>
      <c r="K10229" s="1013"/>
    </row>
    <row r="10230" spans="1:11" s="1011" customFormat="1" ht="15" x14ac:dyDescent="0.25">
      <c r="A10230" s="859">
        <f t="shared" si="190"/>
        <v>10229</v>
      </c>
      <c r="B10230" s="845" t="s">
        <v>2564</v>
      </c>
      <c r="C10230" s="1007">
        <f t="shared" si="191"/>
        <v>41</v>
      </c>
      <c r="D10230" s="1015"/>
      <c r="I10230" s="1011" t="s">
        <v>2182</v>
      </c>
      <c r="K10230" s="1013"/>
    </row>
    <row r="10231" spans="1:11" s="1011" customFormat="1" ht="15" x14ac:dyDescent="0.25">
      <c r="A10231" s="859">
        <f t="shared" si="190"/>
        <v>10230</v>
      </c>
      <c r="B10231" s="845" t="s">
        <v>2564</v>
      </c>
      <c r="C10231" s="1007">
        <f t="shared" si="191"/>
        <v>41</v>
      </c>
      <c r="D10231" s="1012"/>
      <c r="I10231" s="1011" t="str">
        <f>CONCATENATE("&lt;valeur&gt;",VLOOKUP(C10231,'T16 Amort'!A:K,10,0),"&lt;/valeur&gt;")</f>
        <v>&lt;valeur&gt;&lt;/valeur&gt;</v>
      </c>
      <c r="K10231" s="1013"/>
    </row>
    <row r="10232" spans="1:11" s="1011" customFormat="1" ht="15" x14ac:dyDescent="0.25">
      <c r="A10232" s="859">
        <f t="shared" si="190"/>
        <v>10231</v>
      </c>
      <c r="B10232" s="845" t="s">
        <v>2564</v>
      </c>
      <c r="C10232" s="1007">
        <f t="shared" si="191"/>
        <v>41</v>
      </c>
      <c r="D10232" s="1012"/>
      <c r="I10232" s="1011" t="str">
        <f>CONCATENATE("&lt;numeroLigne&gt;",C10232,"&lt;/numeroLigne&gt;")</f>
        <v>&lt;numeroLigne&gt;41&lt;/numeroLigne&gt;</v>
      </c>
      <c r="K10232" s="1013"/>
    </row>
    <row r="10233" spans="1:11" s="1011" customFormat="1" ht="15" x14ac:dyDescent="0.25">
      <c r="A10233" s="859">
        <f t="shared" si="190"/>
        <v>10232</v>
      </c>
      <c r="B10233" s="845" t="s">
        <v>2564</v>
      </c>
      <c r="C10233" s="1007">
        <f t="shared" si="191"/>
        <v>41</v>
      </c>
      <c r="D10233" s="1014"/>
      <c r="H10233" s="1011" t="s">
        <v>1010</v>
      </c>
      <c r="K10233" s="1013"/>
    </row>
    <row r="10234" spans="1:11" s="1011" customFormat="1" ht="15" x14ac:dyDescent="0.25">
      <c r="A10234" s="859">
        <f t="shared" si="190"/>
        <v>10233</v>
      </c>
      <c r="B10234" s="845" t="s">
        <v>2564</v>
      </c>
      <c r="C10234" s="1007">
        <f t="shared" si="191"/>
        <v>41</v>
      </c>
      <c r="D10234" s="1014"/>
      <c r="H10234" s="1011" t="s">
        <v>1007</v>
      </c>
      <c r="K10234" s="1013"/>
    </row>
    <row r="10235" spans="1:11" s="1011" customFormat="1" ht="15" x14ac:dyDescent="0.25">
      <c r="A10235" s="859">
        <f t="shared" si="190"/>
        <v>10234</v>
      </c>
      <c r="B10235" s="845" t="s">
        <v>2564</v>
      </c>
      <c r="C10235" s="1007">
        <f t="shared" si="191"/>
        <v>41</v>
      </c>
      <c r="D10235" s="1012"/>
      <c r="I10235" s="1011" t="s">
        <v>2183</v>
      </c>
      <c r="K10235" s="1013"/>
    </row>
    <row r="10236" spans="1:11" s="1011" customFormat="1" ht="15" x14ac:dyDescent="0.25">
      <c r="A10236" s="859">
        <f t="shared" si="190"/>
        <v>10235</v>
      </c>
      <c r="B10236" s="845" t="s">
        <v>2564</v>
      </c>
      <c r="C10236" s="1007">
        <f t="shared" si="191"/>
        <v>41</v>
      </c>
      <c r="D10236" s="1015"/>
      <c r="I10236" s="1011" t="str">
        <f>CONCATENATE("&lt;valeur&gt;",VLOOKUP(C10236,'T16 Amort'!A:K,11,0),"&lt;/valeur&gt;")</f>
        <v>&lt;valeur&gt;&lt;/valeur&gt;</v>
      </c>
      <c r="K10236" s="1013"/>
    </row>
    <row r="10237" spans="1:11" s="1011" customFormat="1" ht="15" x14ac:dyDescent="0.25">
      <c r="A10237" s="859">
        <f t="shared" si="190"/>
        <v>10236</v>
      </c>
      <c r="B10237" s="845" t="s">
        <v>2564</v>
      </c>
      <c r="C10237" s="1007">
        <f t="shared" si="191"/>
        <v>41</v>
      </c>
      <c r="D10237" s="1012"/>
      <c r="I10237" s="1011" t="str">
        <f>CONCATENATE("&lt;numeroLigne&gt;",C10237,"&lt;/numeroLigne&gt;")</f>
        <v>&lt;numeroLigne&gt;41&lt;/numeroLigne&gt;</v>
      </c>
      <c r="K10237" s="1013"/>
    </row>
    <row r="10238" spans="1:11" s="1011" customFormat="1" ht="15" x14ac:dyDescent="0.25">
      <c r="A10238" s="859">
        <f t="shared" si="190"/>
        <v>10237</v>
      </c>
      <c r="B10238" s="845" t="s">
        <v>2564</v>
      </c>
      <c r="C10238" s="1007">
        <f t="shared" si="191"/>
        <v>41</v>
      </c>
      <c r="D10238" s="1016"/>
      <c r="E10238" s="1017"/>
      <c r="F10238" s="1017"/>
      <c r="G10238" s="1017"/>
      <c r="H10238" s="1017" t="s">
        <v>1010</v>
      </c>
      <c r="I10238" s="1017"/>
      <c r="J10238" s="1017"/>
      <c r="K10238" s="1018"/>
    </row>
    <row r="10239" spans="1:11" s="1011" customFormat="1" ht="15" x14ac:dyDescent="0.25">
      <c r="A10239" s="859">
        <f t="shared" si="190"/>
        <v>10238</v>
      </c>
      <c r="B10239" s="845" t="s">
        <v>2564</v>
      </c>
      <c r="C10239" s="1007">
        <f t="shared" si="191"/>
        <v>42</v>
      </c>
      <c r="D10239" s="1008"/>
      <c r="E10239" s="1009"/>
      <c r="F10239" s="1009"/>
      <c r="G10239" s="1009"/>
      <c r="H10239" s="1009" t="s">
        <v>1007</v>
      </c>
      <c r="I10239" s="1009"/>
      <c r="J10239" s="1009"/>
      <c r="K10239" s="1010"/>
    </row>
    <row r="10240" spans="1:11" s="1011" customFormat="1" ht="15" x14ac:dyDescent="0.25">
      <c r="A10240" s="859">
        <f t="shared" si="190"/>
        <v>10239</v>
      </c>
      <c r="B10240" s="845" t="s">
        <v>2564</v>
      </c>
      <c r="C10240" s="1007">
        <f t="shared" si="191"/>
        <v>42</v>
      </c>
      <c r="D10240" s="1012"/>
      <c r="I10240" s="1011" t="s">
        <v>2174</v>
      </c>
      <c r="K10240" s="1013"/>
    </row>
    <row r="10241" spans="1:11" s="1011" customFormat="1" ht="15" x14ac:dyDescent="0.25">
      <c r="A10241" s="859">
        <f t="shared" si="190"/>
        <v>10240</v>
      </c>
      <c r="B10241" s="845" t="s">
        <v>2564</v>
      </c>
      <c r="C10241" s="1007">
        <f t="shared" si="191"/>
        <v>42</v>
      </c>
      <c r="D10241" s="1014"/>
      <c r="I10241" s="1011" t="str">
        <f>CONCATENATE("&lt;valeur&gt;",VLOOKUP(C10241,'T16 Amort'!A:K,2,0),"&lt;/valeur&gt;")</f>
        <v>&lt;valeur&gt;&lt;/valeur&gt;</v>
      </c>
      <c r="K10241" s="1013"/>
    </row>
    <row r="10242" spans="1:11" s="1011" customFormat="1" ht="15" x14ac:dyDescent="0.25">
      <c r="A10242" s="859">
        <f t="shared" si="190"/>
        <v>10241</v>
      </c>
      <c r="B10242" s="845" t="s">
        <v>2564</v>
      </c>
      <c r="C10242" s="1007">
        <f t="shared" si="191"/>
        <v>42</v>
      </c>
      <c r="D10242" s="1014"/>
      <c r="I10242" s="1011" t="str">
        <f>CONCATENATE("&lt;numeroLigne&gt;",C10242,"&lt;/numeroLigne&gt;")</f>
        <v>&lt;numeroLigne&gt;42&lt;/numeroLigne&gt;</v>
      </c>
      <c r="K10242" s="1013"/>
    </row>
    <row r="10243" spans="1:11" s="1011" customFormat="1" ht="15" x14ac:dyDescent="0.25">
      <c r="A10243" s="859">
        <f t="shared" si="190"/>
        <v>10242</v>
      </c>
      <c r="B10243" s="845" t="s">
        <v>2564</v>
      </c>
      <c r="C10243" s="1007">
        <f t="shared" si="191"/>
        <v>42</v>
      </c>
      <c r="D10243" s="1012"/>
      <c r="H10243" s="1011" t="s">
        <v>1010</v>
      </c>
      <c r="K10243" s="1013"/>
    </row>
    <row r="10244" spans="1:11" s="1011" customFormat="1" ht="15" x14ac:dyDescent="0.25">
      <c r="A10244" s="859">
        <f t="shared" ref="A10244:A10307" si="192">+A10243+1</f>
        <v>10243</v>
      </c>
      <c r="B10244" s="845" t="s">
        <v>2564</v>
      </c>
      <c r="C10244" s="1007">
        <f t="shared" si="191"/>
        <v>42</v>
      </c>
      <c r="D10244" s="1015"/>
      <c r="H10244" s="1011" t="s">
        <v>1007</v>
      </c>
      <c r="K10244" s="1013"/>
    </row>
    <row r="10245" spans="1:11" s="1011" customFormat="1" ht="15" x14ac:dyDescent="0.25">
      <c r="A10245" s="859">
        <f t="shared" si="192"/>
        <v>10244</v>
      </c>
      <c r="B10245" s="845" t="s">
        <v>2564</v>
      </c>
      <c r="C10245" s="1007">
        <f t="shared" si="191"/>
        <v>42</v>
      </c>
      <c r="D10245" s="1012"/>
      <c r="I10245" s="1011" t="s">
        <v>2175</v>
      </c>
      <c r="K10245" s="1013"/>
    </row>
    <row r="10246" spans="1:11" s="1011" customFormat="1" ht="15" x14ac:dyDescent="0.25">
      <c r="A10246" s="859">
        <f t="shared" si="192"/>
        <v>10245</v>
      </c>
      <c r="B10246" s="845" t="s">
        <v>2564</v>
      </c>
      <c r="C10246" s="1007">
        <f t="shared" si="191"/>
        <v>42</v>
      </c>
      <c r="D10246" s="1012"/>
      <c r="I10246" s="1011" t="str">
        <f>CONCATENATE("&lt;valeur&gt;",VLOOKUP(C10246,'T16 Amort'!A:K,3,0),"&lt;/valeur&gt;")</f>
        <v>&lt;valeur&gt;&lt;/valeur&gt;</v>
      </c>
      <c r="K10246" s="1013"/>
    </row>
    <row r="10247" spans="1:11" s="1011" customFormat="1" ht="15" x14ac:dyDescent="0.25">
      <c r="A10247" s="859">
        <f t="shared" si="192"/>
        <v>10246</v>
      </c>
      <c r="B10247" s="845" t="s">
        <v>2564</v>
      </c>
      <c r="C10247" s="1007">
        <f t="shared" si="191"/>
        <v>42</v>
      </c>
      <c r="D10247" s="1014"/>
      <c r="I10247" s="1011" t="str">
        <f>CONCATENATE("&lt;numeroLigne&gt;",C10247,"&lt;/numeroLigne&gt;")</f>
        <v>&lt;numeroLigne&gt;42&lt;/numeroLigne&gt;</v>
      </c>
      <c r="K10247" s="1013"/>
    </row>
    <row r="10248" spans="1:11" s="1011" customFormat="1" ht="15" x14ac:dyDescent="0.25">
      <c r="A10248" s="859">
        <f t="shared" si="192"/>
        <v>10247</v>
      </c>
      <c r="B10248" s="845" t="s">
        <v>2564</v>
      </c>
      <c r="C10248" s="1007">
        <f t="shared" si="191"/>
        <v>42</v>
      </c>
      <c r="D10248" s="1014"/>
      <c r="H10248" s="1011" t="s">
        <v>1010</v>
      </c>
      <c r="K10248" s="1013"/>
    </row>
    <row r="10249" spans="1:11" s="1011" customFormat="1" ht="15" x14ac:dyDescent="0.25">
      <c r="A10249" s="859">
        <f t="shared" si="192"/>
        <v>10248</v>
      </c>
      <c r="B10249" s="845" t="s">
        <v>2564</v>
      </c>
      <c r="C10249" s="1007">
        <f t="shared" si="191"/>
        <v>42</v>
      </c>
      <c r="D10249" s="1012"/>
      <c r="H10249" s="1011" t="s">
        <v>1007</v>
      </c>
      <c r="K10249" s="1013"/>
    </row>
    <row r="10250" spans="1:11" s="1011" customFormat="1" ht="15" x14ac:dyDescent="0.25">
      <c r="A10250" s="859">
        <f t="shared" si="192"/>
        <v>10249</v>
      </c>
      <c r="B10250" s="845" t="s">
        <v>2564</v>
      </c>
      <c r="C10250" s="1007">
        <f t="shared" si="191"/>
        <v>42</v>
      </c>
      <c r="D10250" s="1015"/>
      <c r="I10250" s="1011" t="s">
        <v>2176</v>
      </c>
      <c r="K10250" s="1013"/>
    </row>
    <row r="10251" spans="1:11" s="1011" customFormat="1" ht="15" x14ac:dyDescent="0.25">
      <c r="A10251" s="859">
        <f t="shared" si="192"/>
        <v>10250</v>
      </c>
      <c r="B10251" s="845" t="s">
        <v>2564</v>
      </c>
      <c r="C10251" s="1007">
        <f t="shared" si="191"/>
        <v>42</v>
      </c>
      <c r="D10251" s="1012"/>
      <c r="I10251" s="1011" t="str">
        <f>CONCATENATE("&lt;valeur&gt;",VLOOKUP(C10251,'T16 Amort'!A:K,4,0),"&lt;/valeur&gt;")</f>
        <v>&lt;valeur&gt;&lt;/valeur&gt;</v>
      </c>
      <c r="K10251" s="1013"/>
    </row>
    <row r="10252" spans="1:11" s="1011" customFormat="1" ht="15" x14ac:dyDescent="0.25">
      <c r="A10252" s="859">
        <f t="shared" si="192"/>
        <v>10251</v>
      </c>
      <c r="B10252" s="845" t="s">
        <v>2564</v>
      </c>
      <c r="C10252" s="1007">
        <f t="shared" si="191"/>
        <v>42</v>
      </c>
      <c r="D10252" s="1012"/>
      <c r="I10252" s="1011" t="str">
        <f>CONCATENATE("&lt;numeroLigne&gt;",C10252,"&lt;/numeroLigne&gt;")</f>
        <v>&lt;numeroLigne&gt;42&lt;/numeroLigne&gt;</v>
      </c>
      <c r="K10252" s="1013"/>
    </row>
    <row r="10253" spans="1:11" s="1011" customFormat="1" ht="15" x14ac:dyDescent="0.25">
      <c r="A10253" s="859">
        <f t="shared" si="192"/>
        <v>10252</v>
      </c>
      <c r="B10253" s="845" t="s">
        <v>2564</v>
      </c>
      <c r="C10253" s="1007">
        <f t="shared" si="191"/>
        <v>42</v>
      </c>
      <c r="D10253" s="1014"/>
      <c r="H10253" s="1011" t="s">
        <v>1010</v>
      </c>
      <c r="K10253" s="1013"/>
    </row>
    <row r="10254" spans="1:11" s="1011" customFormat="1" ht="15" x14ac:dyDescent="0.25">
      <c r="A10254" s="859">
        <f t="shared" si="192"/>
        <v>10253</v>
      </c>
      <c r="B10254" s="845" t="s">
        <v>2564</v>
      </c>
      <c r="C10254" s="1007">
        <f t="shared" si="191"/>
        <v>42</v>
      </c>
      <c r="D10254" s="1014"/>
      <c r="H10254" s="1011" t="s">
        <v>1007</v>
      </c>
      <c r="K10254" s="1013"/>
    </row>
    <row r="10255" spans="1:11" s="1011" customFormat="1" ht="15" x14ac:dyDescent="0.25">
      <c r="A10255" s="859">
        <f t="shared" si="192"/>
        <v>10254</v>
      </c>
      <c r="B10255" s="845" t="s">
        <v>2564</v>
      </c>
      <c r="C10255" s="1007">
        <f t="shared" si="191"/>
        <v>42</v>
      </c>
      <c r="D10255" s="1012"/>
      <c r="I10255" s="1011" t="s">
        <v>2177</v>
      </c>
      <c r="K10255" s="1013"/>
    </row>
    <row r="10256" spans="1:11" s="1011" customFormat="1" ht="15" x14ac:dyDescent="0.25">
      <c r="A10256" s="859">
        <f t="shared" si="192"/>
        <v>10255</v>
      </c>
      <c r="B10256" s="845" t="s">
        <v>2564</v>
      </c>
      <c r="C10256" s="1007">
        <f t="shared" si="191"/>
        <v>42</v>
      </c>
      <c r="D10256" s="1015"/>
      <c r="I10256" s="1011" t="str">
        <f>CONCATENATE("&lt;valeur&gt;",VLOOKUP(C10256,'T16 Amort'!A:K,5,0),"&lt;/valeur&gt;")</f>
        <v>&lt;valeur&gt;&lt;/valeur&gt;</v>
      </c>
      <c r="K10256" s="1013"/>
    </row>
    <row r="10257" spans="1:11" s="1011" customFormat="1" ht="15" x14ac:dyDescent="0.25">
      <c r="A10257" s="859">
        <f t="shared" si="192"/>
        <v>10256</v>
      </c>
      <c r="B10257" s="845" t="s">
        <v>2564</v>
      </c>
      <c r="C10257" s="1007">
        <f t="shared" si="191"/>
        <v>42</v>
      </c>
      <c r="D10257" s="1012"/>
      <c r="I10257" s="1011" t="str">
        <f>CONCATENATE("&lt;numeroLigne&gt;",C10257,"&lt;/numeroLigne&gt;")</f>
        <v>&lt;numeroLigne&gt;42&lt;/numeroLigne&gt;</v>
      </c>
      <c r="K10257" s="1013"/>
    </row>
    <row r="10258" spans="1:11" s="1011" customFormat="1" ht="15" x14ac:dyDescent="0.25">
      <c r="A10258" s="859">
        <f t="shared" si="192"/>
        <v>10257</v>
      </c>
      <c r="B10258" s="845" t="s">
        <v>2564</v>
      </c>
      <c r="C10258" s="1007">
        <f t="shared" si="191"/>
        <v>42</v>
      </c>
      <c r="D10258" s="1012"/>
      <c r="H10258" s="1011" t="s">
        <v>1010</v>
      </c>
      <c r="K10258" s="1013"/>
    </row>
    <row r="10259" spans="1:11" s="1011" customFormat="1" ht="15" x14ac:dyDescent="0.25">
      <c r="A10259" s="859">
        <f t="shared" si="192"/>
        <v>10258</v>
      </c>
      <c r="B10259" s="845" t="s">
        <v>2564</v>
      </c>
      <c r="C10259" s="1007">
        <f t="shared" si="191"/>
        <v>42</v>
      </c>
      <c r="D10259" s="1014"/>
      <c r="H10259" s="1011" t="s">
        <v>1007</v>
      </c>
      <c r="K10259" s="1013"/>
    </row>
    <row r="10260" spans="1:11" s="1011" customFormat="1" ht="15" x14ac:dyDescent="0.25">
      <c r="A10260" s="859">
        <f t="shared" si="192"/>
        <v>10259</v>
      </c>
      <c r="B10260" s="845" t="s">
        <v>2564</v>
      </c>
      <c r="C10260" s="1007">
        <f t="shared" si="191"/>
        <v>42</v>
      </c>
      <c r="D10260" s="1014"/>
      <c r="I10260" s="1011" t="s">
        <v>2178</v>
      </c>
      <c r="K10260" s="1013"/>
    </row>
    <row r="10261" spans="1:11" s="1011" customFormat="1" ht="15" x14ac:dyDescent="0.25">
      <c r="A10261" s="859">
        <f t="shared" si="192"/>
        <v>10260</v>
      </c>
      <c r="B10261" s="845" t="s">
        <v>2564</v>
      </c>
      <c r="C10261" s="1007">
        <f t="shared" si="191"/>
        <v>42</v>
      </c>
      <c r="D10261" s="1012"/>
      <c r="I10261" s="1011" t="str">
        <f>CONCATENATE("&lt;valeur&gt;",VLOOKUP(C10261,'T16 Amort'!A:K,6,0),"&lt;/valeur&gt;")</f>
        <v>&lt;valeur&gt;&lt;/valeur&gt;</v>
      </c>
      <c r="K10261" s="1013"/>
    </row>
    <row r="10262" spans="1:11" s="1011" customFormat="1" ht="15" x14ac:dyDescent="0.25">
      <c r="A10262" s="859">
        <f t="shared" si="192"/>
        <v>10261</v>
      </c>
      <c r="B10262" s="845" t="s">
        <v>2564</v>
      </c>
      <c r="C10262" s="1007">
        <f t="shared" si="191"/>
        <v>42</v>
      </c>
      <c r="D10262" s="1015"/>
      <c r="I10262" s="1011" t="str">
        <f>CONCATENATE("&lt;numeroLigne&gt;",C10262,"&lt;/numeroLigne&gt;")</f>
        <v>&lt;numeroLigne&gt;42&lt;/numeroLigne&gt;</v>
      </c>
      <c r="K10262" s="1013"/>
    </row>
    <row r="10263" spans="1:11" s="1011" customFormat="1" ht="15" x14ac:dyDescent="0.25">
      <c r="A10263" s="859">
        <f t="shared" si="192"/>
        <v>10262</v>
      </c>
      <c r="B10263" s="845" t="s">
        <v>2564</v>
      </c>
      <c r="C10263" s="1007">
        <f t="shared" si="191"/>
        <v>42</v>
      </c>
      <c r="D10263" s="1012"/>
      <c r="H10263" s="1011" t="s">
        <v>1010</v>
      </c>
      <c r="K10263" s="1013"/>
    </row>
    <row r="10264" spans="1:11" s="1011" customFormat="1" ht="15" x14ac:dyDescent="0.25">
      <c r="A10264" s="859">
        <f t="shared" si="192"/>
        <v>10263</v>
      </c>
      <c r="B10264" s="845" t="s">
        <v>2564</v>
      </c>
      <c r="C10264" s="1007">
        <f t="shared" si="191"/>
        <v>42</v>
      </c>
      <c r="D10264" s="1012"/>
      <c r="H10264" s="1011" t="s">
        <v>1007</v>
      </c>
      <c r="K10264" s="1013"/>
    </row>
    <row r="10265" spans="1:11" s="1011" customFormat="1" ht="15" x14ac:dyDescent="0.25">
      <c r="A10265" s="859">
        <f t="shared" si="192"/>
        <v>10264</v>
      </c>
      <c r="B10265" s="845" t="s">
        <v>2564</v>
      </c>
      <c r="C10265" s="1007">
        <f t="shared" si="191"/>
        <v>42</v>
      </c>
      <c r="D10265" s="1014"/>
      <c r="I10265" s="1011" t="s">
        <v>2179</v>
      </c>
      <c r="K10265" s="1013"/>
    </row>
    <row r="10266" spans="1:11" s="1011" customFormat="1" ht="15" x14ac:dyDescent="0.25">
      <c r="A10266" s="859">
        <f t="shared" si="192"/>
        <v>10265</v>
      </c>
      <c r="B10266" s="845" t="s">
        <v>2564</v>
      </c>
      <c r="C10266" s="1007">
        <f t="shared" si="191"/>
        <v>42</v>
      </c>
      <c r="D10266" s="1014"/>
      <c r="I10266" s="1011" t="str">
        <f>CONCATENATE("&lt;valeur&gt;",VLOOKUP(C10266,'T16 Amort'!A:K,7,0),"&lt;/valeur&gt;")</f>
        <v>&lt;valeur&gt;&lt;/valeur&gt;</v>
      </c>
      <c r="K10266" s="1013"/>
    </row>
    <row r="10267" spans="1:11" s="1011" customFormat="1" ht="15" x14ac:dyDescent="0.25">
      <c r="A10267" s="859">
        <f t="shared" si="192"/>
        <v>10266</v>
      </c>
      <c r="B10267" s="845" t="s">
        <v>2564</v>
      </c>
      <c r="C10267" s="1007">
        <f t="shared" si="191"/>
        <v>42</v>
      </c>
      <c r="D10267" s="1012"/>
      <c r="I10267" s="1011" t="str">
        <f>CONCATENATE("&lt;numeroLigne&gt;",C10267,"&lt;/numeroLigne&gt;")</f>
        <v>&lt;numeroLigne&gt;42&lt;/numeroLigne&gt;</v>
      </c>
      <c r="K10267" s="1013"/>
    </row>
    <row r="10268" spans="1:11" s="1011" customFormat="1" ht="15" x14ac:dyDescent="0.25">
      <c r="A10268" s="859">
        <f t="shared" si="192"/>
        <v>10267</v>
      </c>
      <c r="B10268" s="845" t="s">
        <v>2564</v>
      </c>
      <c r="C10268" s="1007">
        <f t="shared" si="191"/>
        <v>42</v>
      </c>
      <c r="D10268" s="1015"/>
      <c r="H10268" s="1011" t="s">
        <v>1010</v>
      </c>
      <c r="K10268" s="1013"/>
    </row>
    <row r="10269" spans="1:11" s="1011" customFormat="1" ht="15" x14ac:dyDescent="0.25">
      <c r="A10269" s="859">
        <f t="shared" si="192"/>
        <v>10268</v>
      </c>
      <c r="B10269" s="845" t="s">
        <v>2564</v>
      </c>
      <c r="C10269" s="1007">
        <f t="shared" si="191"/>
        <v>42</v>
      </c>
      <c r="D10269" s="1012"/>
      <c r="H10269" s="1011" t="s">
        <v>1007</v>
      </c>
      <c r="K10269" s="1013"/>
    </row>
    <row r="10270" spans="1:11" s="1011" customFormat="1" ht="15" x14ac:dyDescent="0.25">
      <c r="A10270" s="859">
        <f t="shared" si="192"/>
        <v>10269</v>
      </c>
      <c r="B10270" s="845" t="s">
        <v>2564</v>
      </c>
      <c r="C10270" s="1007">
        <f t="shared" si="191"/>
        <v>42</v>
      </c>
      <c r="D10270" s="1012"/>
      <c r="I10270" s="1011" t="s">
        <v>2180</v>
      </c>
      <c r="K10270" s="1013"/>
    </row>
    <row r="10271" spans="1:11" s="1011" customFormat="1" ht="15" x14ac:dyDescent="0.25">
      <c r="A10271" s="859">
        <f t="shared" si="192"/>
        <v>10270</v>
      </c>
      <c r="B10271" s="845" t="s">
        <v>2564</v>
      </c>
      <c r="C10271" s="1007">
        <f t="shared" si="191"/>
        <v>42</v>
      </c>
      <c r="D10271" s="1014"/>
      <c r="I10271" s="1011" t="str">
        <f>CONCATENATE("&lt;valeur&gt;",VLOOKUP(C10271,'T16 Amort'!A:K,8,0),"&lt;/valeur&gt;")</f>
        <v>&lt;valeur&gt;&lt;/valeur&gt;</v>
      </c>
      <c r="K10271" s="1013"/>
    </row>
    <row r="10272" spans="1:11" s="1011" customFormat="1" ht="15" x14ac:dyDescent="0.25">
      <c r="A10272" s="859">
        <f t="shared" si="192"/>
        <v>10271</v>
      </c>
      <c r="B10272" s="845" t="s">
        <v>2564</v>
      </c>
      <c r="C10272" s="1007">
        <f t="shared" si="191"/>
        <v>42</v>
      </c>
      <c r="D10272" s="1014"/>
      <c r="I10272" s="1011" t="str">
        <f>CONCATENATE("&lt;numeroLigne&gt;",C10272,"&lt;/numeroLigne&gt;")</f>
        <v>&lt;numeroLigne&gt;42&lt;/numeroLigne&gt;</v>
      </c>
      <c r="K10272" s="1013"/>
    </row>
    <row r="10273" spans="1:11" s="1011" customFormat="1" ht="15" x14ac:dyDescent="0.25">
      <c r="A10273" s="859">
        <f t="shared" si="192"/>
        <v>10272</v>
      </c>
      <c r="B10273" s="845" t="s">
        <v>2564</v>
      </c>
      <c r="C10273" s="1007">
        <f t="shared" si="191"/>
        <v>42</v>
      </c>
      <c r="D10273" s="1012"/>
      <c r="H10273" s="1011" t="s">
        <v>1010</v>
      </c>
      <c r="K10273" s="1013"/>
    </row>
    <row r="10274" spans="1:11" s="1011" customFormat="1" ht="15" x14ac:dyDescent="0.25">
      <c r="A10274" s="859">
        <f t="shared" si="192"/>
        <v>10273</v>
      </c>
      <c r="B10274" s="845" t="s">
        <v>2564</v>
      </c>
      <c r="C10274" s="1007">
        <f t="shared" si="191"/>
        <v>42</v>
      </c>
      <c r="D10274" s="1015"/>
      <c r="H10274" s="1011" t="s">
        <v>1007</v>
      </c>
      <c r="K10274" s="1013"/>
    </row>
    <row r="10275" spans="1:11" s="1011" customFormat="1" ht="15" x14ac:dyDescent="0.25">
      <c r="A10275" s="859">
        <f t="shared" si="192"/>
        <v>10274</v>
      </c>
      <c r="B10275" s="845" t="s">
        <v>2564</v>
      </c>
      <c r="C10275" s="1007">
        <f t="shared" si="191"/>
        <v>42</v>
      </c>
      <c r="D10275" s="1012"/>
      <c r="I10275" s="1011" t="s">
        <v>2181</v>
      </c>
      <c r="K10275" s="1013"/>
    </row>
    <row r="10276" spans="1:11" s="1011" customFormat="1" ht="15" x14ac:dyDescent="0.25">
      <c r="A10276" s="859">
        <f t="shared" si="192"/>
        <v>10275</v>
      </c>
      <c r="B10276" s="845" t="s">
        <v>2564</v>
      </c>
      <c r="C10276" s="1007">
        <f t="shared" si="191"/>
        <v>42</v>
      </c>
      <c r="D10276" s="1012"/>
      <c r="I10276" s="1011" t="str">
        <f>CONCATENATE("&lt;valeur&gt;",VLOOKUP(C10276,'T16 Amort'!A:K,9,0),"&lt;/valeur&gt;")</f>
        <v>&lt;valeur&gt;&lt;/valeur&gt;</v>
      </c>
      <c r="K10276" s="1013"/>
    </row>
    <row r="10277" spans="1:11" s="1011" customFormat="1" ht="15" x14ac:dyDescent="0.25">
      <c r="A10277" s="859">
        <f t="shared" si="192"/>
        <v>10276</v>
      </c>
      <c r="B10277" s="845" t="s">
        <v>2564</v>
      </c>
      <c r="C10277" s="1007">
        <f t="shared" si="191"/>
        <v>42</v>
      </c>
      <c r="D10277" s="1014"/>
      <c r="I10277" s="1011" t="str">
        <f>CONCATENATE("&lt;numeroLigne&gt;",C10277,"&lt;/numeroLigne&gt;")</f>
        <v>&lt;numeroLigne&gt;42&lt;/numeroLigne&gt;</v>
      </c>
      <c r="K10277" s="1013"/>
    </row>
    <row r="10278" spans="1:11" s="1011" customFormat="1" ht="15" x14ac:dyDescent="0.25">
      <c r="A10278" s="859">
        <f t="shared" si="192"/>
        <v>10277</v>
      </c>
      <c r="B10278" s="845" t="s">
        <v>2564</v>
      </c>
      <c r="C10278" s="1007">
        <f t="shared" si="191"/>
        <v>42</v>
      </c>
      <c r="D10278" s="1014"/>
      <c r="H10278" s="1011" t="s">
        <v>1010</v>
      </c>
      <c r="K10278" s="1013"/>
    </row>
    <row r="10279" spans="1:11" s="1011" customFormat="1" ht="15" x14ac:dyDescent="0.25">
      <c r="A10279" s="859">
        <f t="shared" si="192"/>
        <v>10278</v>
      </c>
      <c r="B10279" s="845" t="s">
        <v>2564</v>
      </c>
      <c r="C10279" s="1007">
        <f t="shared" si="191"/>
        <v>42</v>
      </c>
      <c r="D10279" s="1012"/>
      <c r="H10279" s="1011" t="s">
        <v>1007</v>
      </c>
      <c r="K10279" s="1013"/>
    </row>
    <row r="10280" spans="1:11" s="1011" customFormat="1" ht="15" x14ac:dyDescent="0.25">
      <c r="A10280" s="859">
        <f t="shared" si="192"/>
        <v>10279</v>
      </c>
      <c r="B10280" s="845" t="s">
        <v>2564</v>
      </c>
      <c r="C10280" s="1007">
        <f t="shared" si="191"/>
        <v>42</v>
      </c>
      <c r="D10280" s="1015"/>
      <c r="I10280" s="1011" t="s">
        <v>2182</v>
      </c>
      <c r="K10280" s="1013"/>
    </row>
    <row r="10281" spans="1:11" s="1011" customFormat="1" ht="15" x14ac:dyDescent="0.25">
      <c r="A10281" s="859">
        <f t="shared" si="192"/>
        <v>10280</v>
      </c>
      <c r="B10281" s="845" t="s">
        <v>2564</v>
      </c>
      <c r="C10281" s="1007">
        <f t="shared" si="191"/>
        <v>42</v>
      </c>
      <c r="D10281" s="1012"/>
      <c r="I10281" s="1011" t="str">
        <f>CONCATENATE("&lt;valeur&gt;",VLOOKUP(C10281,'T16 Amort'!A:K,10,0),"&lt;/valeur&gt;")</f>
        <v>&lt;valeur&gt;&lt;/valeur&gt;</v>
      </c>
      <c r="K10281" s="1013"/>
    </row>
    <row r="10282" spans="1:11" s="1011" customFormat="1" ht="15" x14ac:dyDescent="0.25">
      <c r="A10282" s="859">
        <f t="shared" si="192"/>
        <v>10281</v>
      </c>
      <c r="B10282" s="845" t="s">
        <v>2564</v>
      </c>
      <c r="C10282" s="1007">
        <f t="shared" si="191"/>
        <v>42</v>
      </c>
      <c r="D10282" s="1012"/>
      <c r="I10282" s="1011" t="str">
        <f>CONCATENATE("&lt;numeroLigne&gt;",C10282,"&lt;/numeroLigne&gt;")</f>
        <v>&lt;numeroLigne&gt;42&lt;/numeroLigne&gt;</v>
      </c>
      <c r="K10282" s="1013"/>
    </row>
    <row r="10283" spans="1:11" s="1011" customFormat="1" ht="15" x14ac:dyDescent="0.25">
      <c r="A10283" s="859">
        <f t="shared" si="192"/>
        <v>10282</v>
      </c>
      <c r="B10283" s="845" t="s">
        <v>2564</v>
      </c>
      <c r="C10283" s="1007">
        <f t="shared" si="191"/>
        <v>42</v>
      </c>
      <c r="D10283" s="1014"/>
      <c r="H10283" s="1011" t="s">
        <v>1010</v>
      </c>
      <c r="K10283" s="1013"/>
    </row>
    <row r="10284" spans="1:11" s="1011" customFormat="1" ht="15" x14ac:dyDescent="0.25">
      <c r="A10284" s="859">
        <f t="shared" si="192"/>
        <v>10283</v>
      </c>
      <c r="B10284" s="845" t="s">
        <v>2564</v>
      </c>
      <c r="C10284" s="1007">
        <f t="shared" si="191"/>
        <v>42</v>
      </c>
      <c r="D10284" s="1014"/>
      <c r="H10284" s="1011" t="s">
        <v>1007</v>
      </c>
      <c r="K10284" s="1013"/>
    </row>
    <row r="10285" spans="1:11" s="1011" customFormat="1" ht="15" x14ac:dyDescent="0.25">
      <c r="A10285" s="859">
        <f t="shared" si="192"/>
        <v>10284</v>
      </c>
      <c r="B10285" s="845" t="s">
        <v>2564</v>
      </c>
      <c r="C10285" s="1007">
        <f t="shared" si="191"/>
        <v>42</v>
      </c>
      <c r="D10285" s="1012"/>
      <c r="I10285" s="1011" t="s">
        <v>2183</v>
      </c>
      <c r="K10285" s="1013"/>
    </row>
    <row r="10286" spans="1:11" s="1011" customFormat="1" ht="15" x14ac:dyDescent="0.25">
      <c r="A10286" s="859">
        <f t="shared" si="192"/>
        <v>10285</v>
      </c>
      <c r="B10286" s="845" t="s">
        <v>2564</v>
      </c>
      <c r="C10286" s="1007">
        <f t="shared" si="191"/>
        <v>42</v>
      </c>
      <c r="D10286" s="1015"/>
      <c r="I10286" s="1011" t="str">
        <f>CONCATENATE("&lt;valeur&gt;",VLOOKUP(C10286,'T16 Amort'!A:K,11,0),"&lt;/valeur&gt;")</f>
        <v>&lt;valeur&gt;&lt;/valeur&gt;</v>
      </c>
      <c r="K10286" s="1013"/>
    </row>
    <row r="10287" spans="1:11" s="1011" customFormat="1" ht="15" x14ac:dyDescent="0.25">
      <c r="A10287" s="859">
        <f t="shared" si="192"/>
        <v>10286</v>
      </c>
      <c r="B10287" s="845" t="s">
        <v>2564</v>
      </c>
      <c r="C10287" s="1007">
        <f t="shared" ref="C10287:C10350" si="193">C10237+1</f>
        <v>42</v>
      </c>
      <c r="D10287" s="1012"/>
      <c r="I10287" s="1011" t="str">
        <f>CONCATENATE("&lt;numeroLigne&gt;",C10287,"&lt;/numeroLigne&gt;")</f>
        <v>&lt;numeroLigne&gt;42&lt;/numeroLigne&gt;</v>
      </c>
      <c r="K10287" s="1013"/>
    </row>
    <row r="10288" spans="1:11" s="1011" customFormat="1" ht="15" x14ac:dyDescent="0.25">
      <c r="A10288" s="859">
        <f t="shared" si="192"/>
        <v>10287</v>
      </c>
      <c r="B10288" s="845" t="s">
        <v>2564</v>
      </c>
      <c r="C10288" s="1007">
        <f t="shared" si="193"/>
        <v>42</v>
      </c>
      <c r="D10288" s="1016"/>
      <c r="E10288" s="1017"/>
      <c r="F10288" s="1017"/>
      <c r="G10288" s="1017"/>
      <c r="H10288" s="1017" t="s">
        <v>1010</v>
      </c>
      <c r="I10288" s="1017"/>
      <c r="J10288" s="1017"/>
      <c r="K10288" s="1018"/>
    </row>
    <row r="10289" spans="1:11" s="1011" customFormat="1" ht="15" x14ac:dyDescent="0.25">
      <c r="A10289" s="859">
        <f t="shared" si="192"/>
        <v>10288</v>
      </c>
      <c r="B10289" s="845" t="s">
        <v>2564</v>
      </c>
      <c r="C10289" s="1007">
        <f t="shared" si="193"/>
        <v>43</v>
      </c>
      <c r="D10289" s="1008"/>
      <c r="E10289" s="1009"/>
      <c r="F10289" s="1009"/>
      <c r="G10289" s="1009"/>
      <c r="H10289" s="1009" t="s">
        <v>1007</v>
      </c>
      <c r="I10289" s="1009"/>
      <c r="J10289" s="1009"/>
      <c r="K10289" s="1010"/>
    </row>
    <row r="10290" spans="1:11" s="1011" customFormat="1" ht="15" x14ac:dyDescent="0.25">
      <c r="A10290" s="859">
        <f t="shared" si="192"/>
        <v>10289</v>
      </c>
      <c r="B10290" s="845" t="s">
        <v>2564</v>
      </c>
      <c r="C10290" s="1007">
        <f t="shared" si="193"/>
        <v>43</v>
      </c>
      <c r="D10290" s="1012"/>
      <c r="I10290" s="1011" t="s">
        <v>2174</v>
      </c>
      <c r="K10290" s="1013"/>
    </row>
    <row r="10291" spans="1:11" s="1011" customFormat="1" ht="15" x14ac:dyDescent="0.25">
      <c r="A10291" s="859">
        <f t="shared" si="192"/>
        <v>10290</v>
      </c>
      <c r="B10291" s="845" t="s">
        <v>2564</v>
      </c>
      <c r="C10291" s="1007">
        <f t="shared" si="193"/>
        <v>43</v>
      </c>
      <c r="D10291" s="1014"/>
      <c r="I10291" s="1011" t="str">
        <f>CONCATENATE("&lt;valeur&gt;",VLOOKUP(C10291,'T16 Amort'!A:K,2,0),"&lt;/valeur&gt;")</f>
        <v>&lt;valeur&gt;&lt;/valeur&gt;</v>
      </c>
      <c r="K10291" s="1013"/>
    </row>
    <row r="10292" spans="1:11" s="1011" customFormat="1" ht="15" x14ac:dyDescent="0.25">
      <c r="A10292" s="859">
        <f t="shared" si="192"/>
        <v>10291</v>
      </c>
      <c r="B10292" s="845" t="s">
        <v>2564</v>
      </c>
      <c r="C10292" s="1007">
        <f t="shared" si="193"/>
        <v>43</v>
      </c>
      <c r="D10292" s="1014"/>
      <c r="I10292" s="1011" t="str">
        <f>CONCATENATE("&lt;numeroLigne&gt;",C10292,"&lt;/numeroLigne&gt;")</f>
        <v>&lt;numeroLigne&gt;43&lt;/numeroLigne&gt;</v>
      </c>
      <c r="K10292" s="1013"/>
    </row>
    <row r="10293" spans="1:11" s="1011" customFormat="1" ht="15" x14ac:dyDescent="0.25">
      <c r="A10293" s="859">
        <f t="shared" si="192"/>
        <v>10292</v>
      </c>
      <c r="B10293" s="845" t="s">
        <v>2564</v>
      </c>
      <c r="C10293" s="1007">
        <f t="shared" si="193"/>
        <v>43</v>
      </c>
      <c r="D10293" s="1012"/>
      <c r="H10293" s="1011" t="s">
        <v>1010</v>
      </c>
      <c r="K10293" s="1013"/>
    </row>
    <row r="10294" spans="1:11" s="1011" customFormat="1" ht="15" x14ac:dyDescent="0.25">
      <c r="A10294" s="859">
        <f t="shared" si="192"/>
        <v>10293</v>
      </c>
      <c r="B10294" s="845" t="s">
        <v>2564</v>
      </c>
      <c r="C10294" s="1007">
        <f t="shared" si="193"/>
        <v>43</v>
      </c>
      <c r="D10294" s="1015"/>
      <c r="H10294" s="1011" t="s">
        <v>1007</v>
      </c>
      <c r="K10294" s="1013"/>
    </row>
    <row r="10295" spans="1:11" s="1011" customFormat="1" ht="15" x14ac:dyDescent="0.25">
      <c r="A10295" s="859">
        <f t="shared" si="192"/>
        <v>10294</v>
      </c>
      <c r="B10295" s="845" t="s">
        <v>2564</v>
      </c>
      <c r="C10295" s="1007">
        <f t="shared" si="193"/>
        <v>43</v>
      </c>
      <c r="D10295" s="1012"/>
      <c r="I10295" s="1011" t="s">
        <v>2175</v>
      </c>
      <c r="K10295" s="1013"/>
    </row>
    <row r="10296" spans="1:11" s="1011" customFormat="1" ht="15" x14ac:dyDescent="0.25">
      <c r="A10296" s="859">
        <f t="shared" si="192"/>
        <v>10295</v>
      </c>
      <c r="B10296" s="845" t="s">
        <v>2564</v>
      </c>
      <c r="C10296" s="1007">
        <f t="shared" si="193"/>
        <v>43</v>
      </c>
      <c r="D10296" s="1012"/>
      <c r="I10296" s="1011" t="str">
        <f>CONCATENATE("&lt;valeur&gt;",VLOOKUP(C10296,'T16 Amort'!A:K,3,0),"&lt;/valeur&gt;")</f>
        <v>&lt;valeur&gt;&lt;/valeur&gt;</v>
      </c>
      <c r="K10296" s="1013"/>
    </row>
    <row r="10297" spans="1:11" s="1011" customFormat="1" ht="15" x14ac:dyDescent="0.25">
      <c r="A10297" s="859">
        <f t="shared" si="192"/>
        <v>10296</v>
      </c>
      <c r="B10297" s="845" t="s">
        <v>2564</v>
      </c>
      <c r="C10297" s="1007">
        <f t="shared" si="193"/>
        <v>43</v>
      </c>
      <c r="D10297" s="1014"/>
      <c r="I10297" s="1011" t="str">
        <f>CONCATENATE("&lt;numeroLigne&gt;",C10297,"&lt;/numeroLigne&gt;")</f>
        <v>&lt;numeroLigne&gt;43&lt;/numeroLigne&gt;</v>
      </c>
      <c r="K10297" s="1013"/>
    </row>
    <row r="10298" spans="1:11" s="1011" customFormat="1" ht="15" x14ac:dyDescent="0.25">
      <c r="A10298" s="859">
        <f t="shared" si="192"/>
        <v>10297</v>
      </c>
      <c r="B10298" s="845" t="s">
        <v>2564</v>
      </c>
      <c r="C10298" s="1007">
        <f t="shared" si="193"/>
        <v>43</v>
      </c>
      <c r="D10298" s="1014"/>
      <c r="H10298" s="1011" t="s">
        <v>1010</v>
      </c>
      <c r="K10298" s="1013"/>
    </row>
    <row r="10299" spans="1:11" s="1011" customFormat="1" ht="15" x14ac:dyDescent="0.25">
      <c r="A10299" s="859">
        <f t="shared" si="192"/>
        <v>10298</v>
      </c>
      <c r="B10299" s="845" t="s">
        <v>2564</v>
      </c>
      <c r="C10299" s="1007">
        <f t="shared" si="193"/>
        <v>43</v>
      </c>
      <c r="D10299" s="1012"/>
      <c r="H10299" s="1011" t="s">
        <v>1007</v>
      </c>
      <c r="K10299" s="1013"/>
    </row>
    <row r="10300" spans="1:11" s="1011" customFormat="1" ht="15" x14ac:dyDescent="0.25">
      <c r="A10300" s="859">
        <f t="shared" si="192"/>
        <v>10299</v>
      </c>
      <c r="B10300" s="845" t="s">
        <v>2564</v>
      </c>
      <c r="C10300" s="1007">
        <f t="shared" si="193"/>
        <v>43</v>
      </c>
      <c r="D10300" s="1015"/>
      <c r="I10300" s="1011" t="s">
        <v>2176</v>
      </c>
      <c r="K10300" s="1013"/>
    </row>
    <row r="10301" spans="1:11" s="1011" customFormat="1" ht="15" x14ac:dyDescent="0.25">
      <c r="A10301" s="859">
        <f t="shared" si="192"/>
        <v>10300</v>
      </c>
      <c r="B10301" s="845" t="s">
        <v>2564</v>
      </c>
      <c r="C10301" s="1007">
        <f t="shared" si="193"/>
        <v>43</v>
      </c>
      <c r="D10301" s="1012"/>
      <c r="I10301" s="1011" t="str">
        <f>CONCATENATE("&lt;valeur&gt;",VLOOKUP(C10301,'T16 Amort'!A:K,4,0),"&lt;/valeur&gt;")</f>
        <v>&lt;valeur&gt;&lt;/valeur&gt;</v>
      </c>
      <c r="K10301" s="1013"/>
    </row>
    <row r="10302" spans="1:11" s="1011" customFormat="1" ht="15" x14ac:dyDescent="0.25">
      <c r="A10302" s="859">
        <f t="shared" si="192"/>
        <v>10301</v>
      </c>
      <c r="B10302" s="845" t="s">
        <v>2564</v>
      </c>
      <c r="C10302" s="1007">
        <f t="shared" si="193"/>
        <v>43</v>
      </c>
      <c r="D10302" s="1012"/>
      <c r="I10302" s="1011" t="str">
        <f>CONCATENATE("&lt;numeroLigne&gt;",C10302,"&lt;/numeroLigne&gt;")</f>
        <v>&lt;numeroLigne&gt;43&lt;/numeroLigne&gt;</v>
      </c>
      <c r="K10302" s="1013"/>
    </row>
    <row r="10303" spans="1:11" s="1011" customFormat="1" ht="15" x14ac:dyDescent="0.25">
      <c r="A10303" s="859">
        <f t="shared" si="192"/>
        <v>10302</v>
      </c>
      <c r="B10303" s="845" t="s">
        <v>2564</v>
      </c>
      <c r="C10303" s="1007">
        <f t="shared" si="193"/>
        <v>43</v>
      </c>
      <c r="D10303" s="1014"/>
      <c r="H10303" s="1011" t="s">
        <v>1010</v>
      </c>
      <c r="K10303" s="1013"/>
    </row>
    <row r="10304" spans="1:11" s="1011" customFormat="1" ht="15" x14ac:dyDescent="0.25">
      <c r="A10304" s="859">
        <f t="shared" si="192"/>
        <v>10303</v>
      </c>
      <c r="B10304" s="845" t="s">
        <v>2564</v>
      </c>
      <c r="C10304" s="1007">
        <f t="shared" si="193"/>
        <v>43</v>
      </c>
      <c r="D10304" s="1014"/>
      <c r="H10304" s="1011" t="s">
        <v>1007</v>
      </c>
      <c r="K10304" s="1013"/>
    </row>
    <row r="10305" spans="1:11" s="1011" customFormat="1" ht="15" x14ac:dyDescent="0.25">
      <c r="A10305" s="859">
        <f t="shared" si="192"/>
        <v>10304</v>
      </c>
      <c r="B10305" s="845" t="s">
        <v>2564</v>
      </c>
      <c r="C10305" s="1007">
        <f t="shared" si="193"/>
        <v>43</v>
      </c>
      <c r="D10305" s="1012"/>
      <c r="I10305" s="1011" t="s">
        <v>2177</v>
      </c>
      <c r="K10305" s="1013"/>
    </row>
    <row r="10306" spans="1:11" s="1011" customFormat="1" ht="15" x14ac:dyDescent="0.25">
      <c r="A10306" s="859">
        <f t="shared" si="192"/>
        <v>10305</v>
      </c>
      <c r="B10306" s="845" t="s">
        <v>2564</v>
      </c>
      <c r="C10306" s="1007">
        <f t="shared" si="193"/>
        <v>43</v>
      </c>
      <c r="D10306" s="1015"/>
      <c r="I10306" s="1011" t="str">
        <f>CONCATENATE("&lt;valeur&gt;",VLOOKUP(C10306,'T16 Amort'!A:K,5,0),"&lt;/valeur&gt;")</f>
        <v>&lt;valeur&gt;&lt;/valeur&gt;</v>
      </c>
      <c r="K10306" s="1013"/>
    </row>
    <row r="10307" spans="1:11" s="1011" customFormat="1" ht="15" x14ac:dyDescent="0.25">
      <c r="A10307" s="859">
        <f t="shared" si="192"/>
        <v>10306</v>
      </c>
      <c r="B10307" s="845" t="s">
        <v>2564</v>
      </c>
      <c r="C10307" s="1007">
        <f t="shared" si="193"/>
        <v>43</v>
      </c>
      <c r="D10307" s="1012"/>
      <c r="I10307" s="1011" t="str">
        <f>CONCATENATE("&lt;numeroLigne&gt;",C10307,"&lt;/numeroLigne&gt;")</f>
        <v>&lt;numeroLigne&gt;43&lt;/numeroLigne&gt;</v>
      </c>
      <c r="K10307" s="1013"/>
    </row>
    <row r="10308" spans="1:11" s="1011" customFormat="1" ht="15" x14ac:dyDescent="0.25">
      <c r="A10308" s="859">
        <f t="shared" ref="A10308:A10371" si="194">+A10307+1</f>
        <v>10307</v>
      </c>
      <c r="B10308" s="845" t="s">
        <v>2564</v>
      </c>
      <c r="C10308" s="1007">
        <f t="shared" si="193"/>
        <v>43</v>
      </c>
      <c r="D10308" s="1012"/>
      <c r="H10308" s="1011" t="s">
        <v>1010</v>
      </c>
      <c r="K10308" s="1013"/>
    </row>
    <row r="10309" spans="1:11" s="1011" customFormat="1" ht="15" x14ac:dyDescent="0.25">
      <c r="A10309" s="859">
        <f t="shared" si="194"/>
        <v>10308</v>
      </c>
      <c r="B10309" s="845" t="s">
        <v>2564</v>
      </c>
      <c r="C10309" s="1007">
        <f t="shared" si="193"/>
        <v>43</v>
      </c>
      <c r="D10309" s="1014"/>
      <c r="H10309" s="1011" t="s">
        <v>1007</v>
      </c>
      <c r="K10309" s="1013"/>
    </row>
    <row r="10310" spans="1:11" s="1011" customFormat="1" ht="15" x14ac:dyDescent="0.25">
      <c r="A10310" s="859">
        <f t="shared" si="194"/>
        <v>10309</v>
      </c>
      <c r="B10310" s="845" t="s">
        <v>2564</v>
      </c>
      <c r="C10310" s="1007">
        <f t="shared" si="193"/>
        <v>43</v>
      </c>
      <c r="D10310" s="1014"/>
      <c r="I10310" s="1011" t="s">
        <v>2178</v>
      </c>
      <c r="K10310" s="1013"/>
    </row>
    <row r="10311" spans="1:11" s="1011" customFormat="1" ht="15" x14ac:dyDescent="0.25">
      <c r="A10311" s="859">
        <f t="shared" si="194"/>
        <v>10310</v>
      </c>
      <c r="B10311" s="845" t="s">
        <v>2564</v>
      </c>
      <c r="C10311" s="1007">
        <f t="shared" si="193"/>
        <v>43</v>
      </c>
      <c r="D10311" s="1012"/>
      <c r="I10311" s="1011" t="str">
        <f>CONCATENATE("&lt;valeur&gt;",VLOOKUP(C10311,'T16 Amort'!A:K,6,0),"&lt;/valeur&gt;")</f>
        <v>&lt;valeur&gt;&lt;/valeur&gt;</v>
      </c>
      <c r="K10311" s="1013"/>
    </row>
    <row r="10312" spans="1:11" s="1011" customFormat="1" ht="15" x14ac:dyDescent="0.25">
      <c r="A10312" s="859">
        <f t="shared" si="194"/>
        <v>10311</v>
      </c>
      <c r="B10312" s="845" t="s">
        <v>2564</v>
      </c>
      <c r="C10312" s="1007">
        <f t="shared" si="193"/>
        <v>43</v>
      </c>
      <c r="D10312" s="1015"/>
      <c r="I10312" s="1011" t="str">
        <f>CONCATENATE("&lt;numeroLigne&gt;",C10312,"&lt;/numeroLigne&gt;")</f>
        <v>&lt;numeroLigne&gt;43&lt;/numeroLigne&gt;</v>
      </c>
      <c r="K10312" s="1013"/>
    </row>
    <row r="10313" spans="1:11" s="1011" customFormat="1" ht="15" x14ac:dyDescent="0.25">
      <c r="A10313" s="859">
        <f t="shared" si="194"/>
        <v>10312</v>
      </c>
      <c r="B10313" s="845" t="s">
        <v>2564</v>
      </c>
      <c r="C10313" s="1007">
        <f t="shared" si="193"/>
        <v>43</v>
      </c>
      <c r="D10313" s="1012"/>
      <c r="H10313" s="1011" t="s">
        <v>1010</v>
      </c>
      <c r="K10313" s="1013"/>
    </row>
    <row r="10314" spans="1:11" s="1011" customFormat="1" ht="15" x14ac:dyDescent="0.25">
      <c r="A10314" s="859">
        <f t="shared" si="194"/>
        <v>10313</v>
      </c>
      <c r="B10314" s="845" t="s">
        <v>2564</v>
      </c>
      <c r="C10314" s="1007">
        <f t="shared" si="193"/>
        <v>43</v>
      </c>
      <c r="D10314" s="1012"/>
      <c r="H10314" s="1011" t="s">
        <v>1007</v>
      </c>
      <c r="K10314" s="1013"/>
    </row>
    <row r="10315" spans="1:11" s="1011" customFormat="1" ht="15" x14ac:dyDescent="0.25">
      <c r="A10315" s="859">
        <f t="shared" si="194"/>
        <v>10314</v>
      </c>
      <c r="B10315" s="845" t="s">
        <v>2564</v>
      </c>
      <c r="C10315" s="1007">
        <f t="shared" si="193"/>
        <v>43</v>
      </c>
      <c r="D10315" s="1014"/>
      <c r="I10315" s="1011" t="s">
        <v>2179</v>
      </c>
      <c r="K10315" s="1013"/>
    </row>
    <row r="10316" spans="1:11" s="1011" customFormat="1" ht="15" x14ac:dyDescent="0.25">
      <c r="A10316" s="859">
        <f t="shared" si="194"/>
        <v>10315</v>
      </c>
      <c r="B10316" s="845" t="s">
        <v>2564</v>
      </c>
      <c r="C10316" s="1007">
        <f t="shared" si="193"/>
        <v>43</v>
      </c>
      <c r="D10316" s="1014"/>
      <c r="I10316" s="1011" t="str">
        <f>CONCATENATE("&lt;valeur&gt;",VLOOKUP(C10316,'T16 Amort'!A:K,7,0),"&lt;/valeur&gt;")</f>
        <v>&lt;valeur&gt;&lt;/valeur&gt;</v>
      </c>
      <c r="K10316" s="1013"/>
    </row>
    <row r="10317" spans="1:11" s="1011" customFormat="1" ht="15" x14ac:dyDescent="0.25">
      <c r="A10317" s="859">
        <f t="shared" si="194"/>
        <v>10316</v>
      </c>
      <c r="B10317" s="845" t="s">
        <v>2564</v>
      </c>
      <c r="C10317" s="1007">
        <f t="shared" si="193"/>
        <v>43</v>
      </c>
      <c r="D10317" s="1012"/>
      <c r="I10317" s="1011" t="str">
        <f>CONCATENATE("&lt;numeroLigne&gt;",C10317,"&lt;/numeroLigne&gt;")</f>
        <v>&lt;numeroLigne&gt;43&lt;/numeroLigne&gt;</v>
      </c>
      <c r="K10317" s="1013"/>
    </row>
    <row r="10318" spans="1:11" s="1011" customFormat="1" ht="15" x14ac:dyDescent="0.25">
      <c r="A10318" s="859">
        <f t="shared" si="194"/>
        <v>10317</v>
      </c>
      <c r="B10318" s="845" t="s">
        <v>2564</v>
      </c>
      <c r="C10318" s="1007">
        <f t="shared" si="193"/>
        <v>43</v>
      </c>
      <c r="D10318" s="1015"/>
      <c r="H10318" s="1011" t="s">
        <v>1010</v>
      </c>
      <c r="K10318" s="1013"/>
    </row>
    <row r="10319" spans="1:11" s="1011" customFormat="1" ht="15" x14ac:dyDescent="0.25">
      <c r="A10319" s="859">
        <f t="shared" si="194"/>
        <v>10318</v>
      </c>
      <c r="B10319" s="845" t="s">
        <v>2564</v>
      </c>
      <c r="C10319" s="1007">
        <f t="shared" si="193"/>
        <v>43</v>
      </c>
      <c r="D10319" s="1012"/>
      <c r="H10319" s="1011" t="s">
        <v>1007</v>
      </c>
      <c r="K10319" s="1013"/>
    </row>
    <row r="10320" spans="1:11" s="1011" customFormat="1" ht="15" x14ac:dyDescent="0.25">
      <c r="A10320" s="859">
        <f t="shared" si="194"/>
        <v>10319</v>
      </c>
      <c r="B10320" s="845" t="s">
        <v>2564</v>
      </c>
      <c r="C10320" s="1007">
        <f t="shared" si="193"/>
        <v>43</v>
      </c>
      <c r="D10320" s="1012"/>
      <c r="I10320" s="1011" t="s">
        <v>2180</v>
      </c>
      <c r="K10320" s="1013"/>
    </row>
    <row r="10321" spans="1:11" s="1011" customFormat="1" ht="15" x14ac:dyDescent="0.25">
      <c r="A10321" s="859">
        <f t="shared" si="194"/>
        <v>10320</v>
      </c>
      <c r="B10321" s="845" t="s">
        <v>2564</v>
      </c>
      <c r="C10321" s="1007">
        <f t="shared" si="193"/>
        <v>43</v>
      </c>
      <c r="D10321" s="1014"/>
      <c r="I10321" s="1011" t="str">
        <f>CONCATENATE("&lt;valeur&gt;",VLOOKUP(C10321,'T16 Amort'!A:K,8,0),"&lt;/valeur&gt;")</f>
        <v>&lt;valeur&gt;&lt;/valeur&gt;</v>
      </c>
      <c r="K10321" s="1013"/>
    </row>
    <row r="10322" spans="1:11" s="1011" customFormat="1" ht="15" x14ac:dyDescent="0.25">
      <c r="A10322" s="859">
        <f t="shared" si="194"/>
        <v>10321</v>
      </c>
      <c r="B10322" s="845" t="s">
        <v>2564</v>
      </c>
      <c r="C10322" s="1007">
        <f t="shared" si="193"/>
        <v>43</v>
      </c>
      <c r="D10322" s="1014"/>
      <c r="I10322" s="1011" t="str">
        <f>CONCATENATE("&lt;numeroLigne&gt;",C10322,"&lt;/numeroLigne&gt;")</f>
        <v>&lt;numeroLigne&gt;43&lt;/numeroLigne&gt;</v>
      </c>
      <c r="K10322" s="1013"/>
    </row>
    <row r="10323" spans="1:11" s="1011" customFormat="1" ht="15" x14ac:dyDescent="0.25">
      <c r="A10323" s="859">
        <f t="shared" si="194"/>
        <v>10322</v>
      </c>
      <c r="B10323" s="845" t="s">
        <v>2564</v>
      </c>
      <c r="C10323" s="1007">
        <f t="shared" si="193"/>
        <v>43</v>
      </c>
      <c r="D10323" s="1012"/>
      <c r="H10323" s="1011" t="s">
        <v>1010</v>
      </c>
      <c r="K10323" s="1013"/>
    </row>
    <row r="10324" spans="1:11" s="1011" customFormat="1" ht="15" x14ac:dyDescent="0.25">
      <c r="A10324" s="859">
        <f t="shared" si="194"/>
        <v>10323</v>
      </c>
      <c r="B10324" s="845" t="s">
        <v>2564</v>
      </c>
      <c r="C10324" s="1007">
        <f t="shared" si="193"/>
        <v>43</v>
      </c>
      <c r="D10324" s="1015"/>
      <c r="H10324" s="1011" t="s">
        <v>1007</v>
      </c>
      <c r="K10324" s="1013"/>
    </row>
    <row r="10325" spans="1:11" s="1011" customFormat="1" ht="15" x14ac:dyDescent="0.25">
      <c r="A10325" s="859">
        <f t="shared" si="194"/>
        <v>10324</v>
      </c>
      <c r="B10325" s="845" t="s">
        <v>2564</v>
      </c>
      <c r="C10325" s="1007">
        <f t="shared" si="193"/>
        <v>43</v>
      </c>
      <c r="D10325" s="1012"/>
      <c r="I10325" s="1011" t="s">
        <v>2181</v>
      </c>
      <c r="K10325" s="1013"/>
    </row>
    <row r="10326" spans="1:11" s="1011" customFormat="1" ht="15" x14ac:dyDescent="0.25">
      <c r="A10326" s="859">
        <f t="shared" si="194"/>
        <v>10325</v>
      </c>
      <c r="B10326" s="845" t="s">
        <v>2564</v>
      </c>
      <c r="C10326" s="1007">
        <f t="shared" si="193"/>
        <v>43</v>
      </c>
      <c r="D10326" s="1012"/>
      <c r="I10326" s="1011" t="str">
        <f>CONCATENATE("&lt;valeur&gt;",VLOOKUP(C10326,'T16 Amort'!A:K,9,0),"&lt;/valeur&gt;")</f>
        <v>&lt;valeur&gt;&lt;/valeur&gt;</v>
      </c>
      <c r="K10326" s="1013"/>
    </row>
    <row r="10327" spans="1:11" s="1011" customFormat="1" ht="15" x14ac:dyDescent="0.25">
      <c r="A10327" s="859">
        <f t="shared" si="194"/>
        <v>10326</v>
      </c>
      <c r="B10327" s="845" t="s">
        <v>2564</v>
      </c>
      <c r="C10327" s="1007">
        <f t="shared" si="193"/>
        <v>43</v>
      </c>
      <c r="D10327" s="1014"/>
      <c r="I10327" s="1011" t="str">
        <f>CONCATENATE("&lt;numeroLigne&gt;",C10327,"&lt;/numeroLigne&gt;")</f>
        <v>&lt;numeroLigne&gt;43&lt;/numeroLigne&gt;</v>
      </c>
      <c r="K10327" s="1013"/>
    </row>
    <row r="10328" spans="1:11" s="1011" customFormat="1" ht="15" x14ac:dyDescent="0.25">
      <c r="A10328" s="859">
        <f t="shared" si="194"/>
        <v>10327</v>
      </c>
      <c r="B10328" s="845" t="s">
        <v>2564</v>
      </c>
      <c r="C10328" s="1007">
        <f t="shared" si="193"/>
        <v>43</v>
      </c>
      <c r="D10328" s="1014"/>
      <c r="H10328" s="1011" t="s">
        <v>1010</v>
      </c>
      <c r="K10328" s="1013"/>
    </row>
    <row r="10329" spans="1:11" s="1011" customFormat="1" ht="15" x14ac:dyDescent="0.25">
      <c r="A10329" s="859">
        <f t="shared" si="194"/>
        <v>10328</v>
      </c>
      <c r="B10329" s="845" t="s">
        <v>2564</v>
      </c>
      <c r="C10329" s="1007">
        <f t="shared" si="193"/>
        <v>43</v>
      </c>
      <c r="D10329" s="1012"/>
      <c r="H10329" s="1011" t="s">
        <v>1007</v>
      </c>
      <c r="K10329" s="1013"/>
    </row>
    <row r="10330" spans="1:11" s="1011" customFormat="1" ht="15" x14ac:dyDescent="0.25">
      <c r="A10330" s="859">
        <f t="shared" si="194"/>
        <v>10329</v>
      </c>
      <c r="B10330" s="845" t="s">
        <v>2564</v>
      </c>
      <c r="C10330" s="1007">
        <f t="shared" si="193"/>
        <v>43</v>
      </c>
      <c r="D10330" s="1015"/>
      <c r="I10330" s="1011" t="s">
        <v>2182</v>
      </c>
      <c r="K10330" s="1013"/>
    </row>
    <row r="10331" spans="1:11" s="1011" customFormat="1" ht="15" x14ac:dyDescent="0.25">
      <c r="A10331" s="859">
        <f t="shared" si="194"/>
        <v>10330</v>
      </c>
      <c r="B10331" s="845" t="s">
        <v>2564</v>
      </c>
      <c r="C10331" s="1007">
        <f t="shared" si="193"/>
        <v>43</v>
      </c>
      <c r="D10331" s="1012"/>
      <c r="I10331" s="1011" t="str">
        <f>CONCATENATE("&lt;valeur&gt;",VLOOKUP(C10331,'T16 Amort'!A:K,10,0),"&lt;/valeur&gt;")</f>
        <v>&lt;valeur&gt;&lt;/valeur&gt;</v>
      </c>
      <c r="K10331" s="1013"/>
    </row>
    <row r="10332" spans="1:11" s="1011" customFormat="1" ht="15" x14ac:dyDescent="0.25">
      <c r="A10332" s="859">
        <f t="shared" si="194"/>
        <v>10331</v>
      </c>
      <c r="B10332" s="845" t="s">
        <v>2564</v>
      </c>
      <c r="C10332" s="1007">
        <f t="shared" si="193"/>
        <v>43</v>
      </c>
      <c r="D10332" s="1012"/>
      <c r="I10332" s="1011" t="str">
        <f>CONCATENATE("&lt;numeroLigne&gt;",C10332,"&lt;/numeroLigne&gt;")</f>
        <v>&lt;numeroLigne&gt;43&lt;/numeroLigne&gt;</v>
      </c>
      <c r="K10332" s="1013"/>
    </row>
    <row r="10333" spans="1:11" s="1011" customFormat="1" ht="15" x14ac:dyDescent="0.25">
      <c r="A10333" s="859">
        <f t="shared" si="194"/>
        <v>10332</v>
      </c>
      <c r="B10333" s="845" t="s">
        <v>2564</v>
      </c>
      <c r="C10333" s="1007">
        <f t="shared" si="193"/>
        <v>43</v>
      </c>
      <c r="D10333" s="1014"/>
      <c r="H10333" s="1011" t="s">
        <v>1010</v>
      </c>
      <c r="K10333" s="1013"/>
    </row>
    <row r="10334" spans="1:11" s="1011" customFormat="1" ht="15" x14ac:dyDescent="0.25">
      <c r="A10334" s="859">
        <f t="shared" si="194"/>
        <v>10333</v>
      </c>
      <c r="B10334" s="845" t="s">
        <v>2564</v>
      </c>
      <c r="C10334" s="1007">
        <f t="shared" si="193"/>
        <v>43</v>
      </c>
      <c r="D10334" s="1014"/>
      <c r="H10334" s="1011" t="s">
        <v>1007</v>
      </c>
      <c r="K10334" s="1013"/>
    </row>
    <row r="10335" spans="1:11" s="1011" customFormat="1" ht="15" x14ac:dyDescent="0.25">
      <c r="A10335" s="859">
        <f t="shared" si="194"/>
        <v>10334</v>
      </c>
      <c r="B10335" s="845" t="s">
        <v>2564</v>
      </c>
      <c r="C10335" s="1007">
        <f t="shared" si="193"/>
        <v>43</v>
      </c>
      <c r="D10335" s="1012"/>
      <c r="I10335" s="1011" t="s">
        <v>2183</v>
      </c>
      <c r="K10335" s="1013"/>
    </row>
    <row r="10336" spans="1:11" s="1011" customFormat="1" ht="15" x14ac:dyDescent="0.25">
      <c r="A10336" s="859">
        <f t="shared" si="194"/>
        <v>10335</v>
      </c>
      <c r="B10336" s="845" t="s">
        <v>2564</v>
      </c>
      <c r="C10336" s="1007">
        <f t="shared" si="193"/>
        <v>43</v>
      </c>
      <c r="D10336" s="1015"/>
      <c r="I10336" s="1011" t="str">
        <f>CONCATENATE("&lt;valeur&gt;",VLOOKUP(C10336,'T16 Amort'!A:K,11,0),"&lt;/valeur&gt;")</f>
        <v>&lt;valeur&gt;&lt;/valeur&gt;</v>
      </c>
      <c r="K10336" s="1013"/>
    </row>
    <row r="10337" spans="1:11" s="1011" customFormat="1" ht="15" x14ac:dyDescent="0.25">
      <c r="A10337" s="859">
        <f t="shared" si="194"/>
        <v>10336</v>
      </c>
      <c r="B10337" s="845" t="s">
        <v>2564</v>
      </c>
      <c r="C10337" s="1007">
        <f t="shared" si="193"/>
        <v>43</v>
      </c>
      <c r="D10337" s="1012"/>
      <c r="I10337" s="1011" t="str">
        <f>CONCATENATE("&lt;numeroLigne&gt;",C10337,"&lt;/numeroLigne&gt;")</f>
        <v>&lt;numeroLigne&gt;43&lt;/numeroLigne&gt;</v>
      </c>
      <c r="K10337" s="1013"/>
    </row>
    <row r="10338" spans="1:11" s="1011" customFormat="1" ht="15" x14ac:dyDescent="0.25">
      <c r="A10338" s="859">
        <f t="shared" si="194"/>
        <v>10337</v>
      </c>
      <c r="B10338" s="845" t="s">
        <v>2564</v>
      </c>
      <c r="C10338" s="1007">
        <f t="shared" si="193"/>
        <v>43</v>
      </c>
      <c r="D10338" s="1016"/>
      <c r="E10338" s="1017"/>
      <c r="F10338" s="1017"/>
      <c r="G10338" s="1017"/>
      <c r="H10338" s="1017" t="s">
        <v>1010</v>
      </c>
      <c r="I10338" s="1017"/>
      <c r="J10338" s="1017"/>
      <c r="K10338" s="1018"/>
    </row>
    <row r="10339" spans="1:11" s="1011" customFormat="1" ht="15" x14ac:dyDescent="0.25">
      <c r="A10339" s="859">
        <f t="shared" si="194"/>
        <v>10338</v>
      </c>
      <c r="B10339" s="845" t="s">
        <v>2564</v>
      </c>
      <c r="C10339" s="1007">
        <f t="shared" si="193"/>
        <v>44</v>
      </c>
      <c r="D10339" s="1008"/>
      <c r="E10339" s="1009"/>
      <c r="F10339" s="1009"/>
      <c r="G10339" s="1009"/>
      <c r="H10339" s="1009" t="s">
        <v>1007</v>
      </c>
      <c r="I10339" s="1009"/>
      <c r="J10339" s="1009"/>
      <c r="K10339" s="1010"/>
    </row>
    <row r="10340" spans="1:11" s="1011" customFormat="1" ht="15" x14ac:dyDescent="0.25">
      <c r="A10340" s="859">
        <f t="shared" si="194"/>
        <v>10339</v>
      </c>
      <c r="B10340" s="845" t="s">
        <v>2564</v>
      </c>
      <c r="C10340" s="1007">
        <f t="shared" si="193"/>
        <v>44</v>
      </c>
      <c r="D10340" s="1012"/>
      <c r="I10340" s="1011" t="s">
        <v>2174</v>
      </c>
      <c r="K10340" s="1013"/>
    </row>
    <row r="10341" spans="1:11" s="1011" customFormat="1" ht="15" x14ac:dyDescent="0.25">
      <c r="A10341" s="859">
        <f t="shared" si="194"/>
        <v>10340</v>
      </c>
      <c r="B10341" s="845" t="s">
        <v>2564</v>
      </c>
      <c r="C10341" s="1007">
        <f t="shared" si="193"/>
        <v>44</v>
      </c>
      <c r="D10341" s="1014"/>
      <c r="I10341" s="1011" t="str">
        <f>CONCATENATE("&lt;valeur&gt;",VLOOKUP(C10341,'T16 Amort'!A:K,2,0),"&lt;/valeur&gt;")</f>
        <v>&lt;valeur&gt;&lt;/valeur&gt;</v>
      </c>
      <c r="K10341" s="1013"/>
    </row>
    <row r="10342" spans="1:11" s="1011" customFormat="1" ht="15" x14ac:dyDescent="0.25">
      <c r="A10342" s="859">
        <f t="shared" si="194"/>
        <v>10341</v>
      </c>
      <c r="B10342" s="845" t="s">
        <v>2564</v>
      </c>
      <c r="C10342" s="1007">
        <f t="shared" si="193"/>
        <v>44</v>
      </c>
      <c r="D10342" s="1014"/>
      <c r="I10342" s="1011" t="str">
        <f>CONCATENATE("&lt;numeroLigne&gt;",C10342,"&lt;/numeroLigne&gt;")</f>
        <v>&lt;numeroLigne&gt;44&lt;/numeroLigne&gt;</v>
      </c>
      <c r="K10342" s="1013"/>
    </row>
    <row r="10343" spans="1:11" s="1011" customFormat="1" ht="15" x14ac:dyDescent="0.25">
      <c r="A10343" s="859">
        <f t="shared" si="194"/>
        <v>10342</v>
      </c>
      <c r="B10343" s="845" t="s">
        <v>2564</v>
      </c>
      <c r="C10343" s="1007">
        <f t="shared" si="193"/>
        <v>44</v>
      </c>
      <c r="D10343" s="1012"/>
      <c r="H10343" s="1011" t="s">
        <v>1010</v>
      </c>
      <c r="K10343" s="1013"/>
    </row>
    <row r="10344" spans="1:11" s="1011" customFormat="1" ht="15" x14ac:dyDescent="0.25">
      <c r="A10344" s="859">
        <f t="shared" si="194"/>
        <v>10343</v>
      </c>
      <c r="B10344" s="845" t="s">
        <v>2564</v>
      </c>
      <c r="C10344" s="1007">
        <f t="shared" si="193"/>
        <v>44</v>
      </c>
      <c r="D10344" s="1015"/>
      <c r="H10344" s="1011" t="s">
        <v>1007</v>
      </c>
      <c r="K10344" s="1013"/>
    </row>
    <row r="10345" spans="1:11" s="1011" customFormat="1" ht="15" x14ac:dyDescent="0.25">
      <c r="A10345" s="859">
        <f t="shared" si="194"/>
        <v>10344</v>
      </c>
      <c r="B10345" s="845" t="s">
        <v>2564</v>
      </c>
      <c r="C10345" s="1007">
        <f t="shared" si="193"/>
        <v>44</v>
      </c>
      <c r="D10345" s="1012"/>
      <c r="I10345" s="1011" t="s">
        <v>2175</v>
      </c>
      <c r="K10345" s="1013"/>
    </row>
    <row r="10346" spans="1:11" s="1011" customFormat="1" ht="15" x14ac:dyDescent="0.25">
      <c r="A10346" s="859">
        <f t="shared" si="194"/>
        <v>10345</v>
      </c>
      <c r="B10346" s="845" t="s">
        <v>2564</v>
      </c>
      <c r="C10346" s="1007">
        <f t="shared" si="193"/>
        <v>44</v>
      </c>
      <c r="D10346" s="1012"/>
      <c r="I10346" s="1011" t="str">
        <f>CONCATENATE("&lt;valeur&gt;",VLOOKUP(C10346,'T16 Amort'!A:K,3,0),"&lt;/valeur&gt;")</f>
        <v>&lt;valeur&gt;&lt;/valeur&gt;</v>
      </c>
      <c r="K10346" s="1013"/>
    </row>
    <row r="10347" spans="1:11" s="1011" customFormat="1" ht="15" x14ac:dyDescent="0.25">
      <c r="A10347" s="859">
        <f t="shared" si="194"/>
        <v>10346</v>
      </c>
      <c r="B10347" s="845" t="s">
        <v>2564</v>
      </c>
      <c r="C10347" s="1007">
        <f t="shared" si="193"/>
        <v>44</v>
      </c>
      <c r="D10347" s="1014"/>
      <c r="I10347" s="1011" t="str">
        <f>CONCATENATE("&lt;numeroLigne&gt;",C10347,"&lt;/numeroLigne&gt;")</f>
        <v>&lt;numeroLigne&gt;44&lt;/numeroLigne&gt;</v>
      </c>
      <c r="K10347" s="1013"/>
    </row>
    <row r="10348" spans="1:11" s="1011" customFormat="1" ht="15" x14ac:dyDescent="0.25">
      <c r="A10348" s="859">
        <f t="shared" si="194"/>
        <v>10347</v>
      </c>
      <c r="B10348" s="845" t="s">
        <v>2564</v>
      </c>
      <c r="C10348" s="1007">
        <f t="shared" si="193"/>
        <v>44</v>
      </c>
      <c r="D10348" s="1014"/>
      <c r="H10348" s="1011" t="s">
        <v>1010</v>
      </c>
      <c r="K10348" s="1013"/>
    </row>
    <row r="10349" spans="1:11" s="1011" customFormat="1" ht="15" x14ac:dyDescent="0.25">
      <c r="A10349" s="859">
        <f t="shared" si="194"/>
        <v>10348</v>
      </c>
      <c r="B10349" s="845" t="s">
        <v>2564</v>
      </c>
      <c r="C10349" s="1007">
        <f t="shared" si="193"/>
        <v>44</v>
      </c>
      <c r="D10349" s="1012"/>
      <c r="H10349" s="1011" t="s">
        <v>1007</v>
      </c>
      <c r="K10349" s="1013"/>
    </row>
    <row r="10350" spans="1:11" s="1011" customFormat="1" ht="15" x14ac:dyDescent="0.25">
      <c r="A10350" s="859">
        <f t="shared" si="194"/>
        <v>10349</v>
      </c>
      <c r="B10350" s="845" t="s">
        <v>2564</v>
      </c>
      <c r="C10350" s="1007">
        <f t="shared" si="193"/>
        <v>44</v>
      </c>
      <c r="D10350" s="1015"/>
      <c r="I10350" s="1011" t="s">
        <v>2176</v>
      </c>
      <c r="K10350" s="1013"/>
    </row>
    <row r="10351" spans="1:11" s="1011" customFormat="1" ht="15" x14ac:dyDescent="0.25">
      <c r="A10351" s="859">
        <f t="shared" si="194"/>
        <v>10350</v>
      </c>
      <c r="B10351" s="845" t="s">
        <v>2564</v>
      </c>
      <c r="C10351" s="1007">
        <f t="shared" ref="C10351:C10414" si="195">C10301+1</f>
        <v>44</v>
      </c>
      <c r="D10351" s="1012"/>
      <c r="I10351" s="1011" t="str">
        <f>CONCATENATE("&lt;valeur&gt;",VLOOKUP(C10351,'T16 Amort'!A:K,4,0),"&lt;/valeur&gt;")</f>
        <v>&lt;valeur&gt;&lt;/valeur&gt;</v>
      </c>
      <c r="K10351" s="1013"/>
    </row>
    <row r="10352" spans="1:11" s="1011" customFormat="1" ht="15" x14ac:dyDescent="0.25">
      <c r="A10352" s="859">
        <f t="shared" si="194"/>
        <v>10351</v>
      </c>
      <c r="B10352" s="845" t="s">
        <v>2564</v>
      </c>
      <c r="C10352" s="1007">
        <f t="shared" si="195"/>
        <v>44</v>
      </c>
      <c r="D10352" s="1012"/>
      <c r="I10352" s="1011" t="str">
        <f>CONCATENATE("&lt;numeroLigne&gt;",C10352,"&lt;/numeroLigne&gt;")</f>
        <v>&lt;numeroLigne&gt;44&lt;/numeroLigne&gt;</v>
      </c>
      <c r="K10352" s="1013"/>
    </row>
    <row r="10353" spans="1:11" s="1011" customFormat="1" ht="15" x14ac:dyDescent="0.25">
      <c r="A10353" s="859">
        <f t="shared" si="194"/>
        <v>10352</v>
      </c>
      <c r="B10353" s="845" t="s">
        <v>2564</v>
      </c>
      <c r="C10353" s="1007">
        <f t="shared" si="195"/>
        <v>44</v>
      </c>
      <c r="D10353" s="1014"/>
      <c r="H10353" s="1011" t="s">
        <v>1010</v>
      </c>
      <c r="K10353" s="1013"/>
    </row>
    <row r="10354" spans="1:11" s="1011" customFormat="1" ht="15" x14ac:dyDescent="0.25">
      <c r="A10354" s="859">
        <f t="shared" si="194"/>
        <v>10353</v>
      </c>
      <c r="B10354" s="845" t="s">
        <v>2564</v>
      </c>
      <c r="C10354" s="1007">
        <f t="shared" si="195"/>
        <v>44</v>
      </c>
      <c r="D10354" s="1014"/>
      <c r="H10354" s="1011" t="s">
        <v>1007</v>
      </c>
      <c r="K10354" s="1013"/>
    </row>
    <row r="10355" spans="1:11" s="1011" customFormat="1" ht="15" x14ac:dyDescent="0.25">
      <c r="A10355" s="859">
        <f t="shared" si="194"/>
        <v>10354</v>
      </c>
      <c r="B10355" s="845" t="s">
        <v>2564</v>
      </c>
      <c r="C10355" s="1007">
        <f t="shared" si="195"/>
        <v>44</v>
      </c>
      <c r="D10355" s="1012"/>
      <c r="I10355" s="1011" t="s">
        <v>2177</v>
      </c>
      <c r="K10355" s="1013"/>
    </row>
    <row r="10356" spans="1:11" s="1011" customFormat="1" ht="15" x14ac:dyDescent="0.25">
      <c r="A10356" s="859">
        <f t="shared" si="194"/>
        <v>10355</v>
      </c>
      <c r="B10356" s="845" t="s">
        <v>2564</v>
      </c>
      <c r="C10356" s="1007">
        <f t="shared" si="195"/>
        <v>44</v>
      </c>
      <c r="D10356" s="1015"/>
      <c r="I10356" s="1011" t="str">
        <f>CONCATENATE("&lt;valeur&gt;",VLOOKUP(C10356,'T16 Amort'!A:K,5,0),"&lt;/valeur&gt;")</f>
        <v>&lt;valeur&gt;&lt;/valeur&gt;</v>
      </c>
      <c r="K10356" s="1013"/>
    </row>
    <row r="10357" spans="1:11" s="1011" customFormat="1" ht="15" x14ac:dyDescent="0.25">
      <c r="A10357" s="859">
        <f t="shared" si="194"/>
        <v>10356</v>
      </c>
      <c r="B10357" s="845" t="s">
        <v>2564</v>
      </c>
      <c r="C10357" s="1007">
        <f t="shared" si="195"/>
        <v>44</v>
      </c>
      <c r="D10357" s="1012"/>
      <c r="I10357" s="1011" t="str">
        <f>CONCATENATE("&lt;numeroLigne&gt;",C10357,"&lt;/numeroLigne&gt;")</f>
        <v>&lt;numeroLigne&gt;44&lt;/numeroLigne&gt;</v>
      </c>
      <c r="K10357" s="1013"/>
    </row>
    <row r="10358" spans="1:11" s="1011" customFormat="1" ht="15" x14ac:dyDescent="0.25">
      <c r="A10358" s="859">
        <f t="shared" si="194"/>
        <v>10357</v>
      </c>
      <c r="B10358" s="845" t="s">
        <v>2564</v>
      </c>
      <c r="C10358" s="1007">
        <f t="shared" si="195"/>
        <v>44</v>
      </c>
      <c r="D10358" s="1012"/>
      <c r="H10358" s="1011" t="s">
        <v>1010</v>
      </c>
      <c r="K10358" s="1013"/>
    </row>
    <row r="10359" spans="1:11" s="1011" customFormat="1" ht="15" x14ac:dyDescent="0.25">
      <c r="A10359" s="859">
        <f t="shared" si="194"/>
        <v>10358</v>
      </c>
      <c r="B10359" s="845" t="s">
        <v>2564</v>
      </c>
      <c r="C10359" s="1007">
        <f t="shared" si="195"/>
        <v>44</v>
      </c>
      <c r="D10359" s="1014"/>
      <c r="H10359" s="1011" t="s">
        <v>1007</v>
      </c>
      <c r="K10359" s="1013"/>
    </row>
    <row r="10360" spans="1:11" s="1011" customFormat="1" ht="15" x14ac:dyDescent="0.25">
      <c r="A10360" s="859">
        <f t="shared" si="194"/>
        <v>10359</v>
      </c>
      <c r="B10360" s="845" t="s">
        <v>2564</v>
      </c>
      <c r="C10360" s="1007">
        <f t="shared" si="195"/>
        <v>44</v>
      </c>
      <c r="D10360" s="1014"/>
      <c r="I10360" s="1011" t="s">
        <v>2178</v>
      </c>
      <c r="K10360" s="1013"/>
    </row>
    <row r="10361" spans="1:11" s="1011" customFormat="1" ht="15" x14ac:dyDescent="0.25">
      <c r="A10361" s="859">
        <f t="shared" si="194"/>
        <v>10360</v>
      </c>
      <c r="B10361" s="845" t="s">
        <v>2564</v>
      </c>
      <c r="C10361" s="1007">
        <f t="shared" si="195"/>
        <v>44</v>
      </c>
      <c r="D10361" s="1012"/>
      <c r="I10361" s="1011" t="str">
        <f>CONCATENATE("&lt;valeur&gt;",VLOOKUP(C10361,'T16 Amort'!A:K,6,0),"&lt;/valeur&gt;")</f>
        <v>&lt;valeur&gt;&lt;/valeur&gt;</v>
      </c>
      <c r="K10361" s="1013"/>
    </row>
    <row r="10362" spans="1:11" s="1011" customFormat="1" ht="15" x14ac:dyDescent="0.25">
      <c r="A10362" s="859">
        <f t="shared" si="194"/>
        <v>10361</v>
      </c>
      <c r="B10362" s="845" t="s">
        <v>2564</v>
      </c>
      <c r="C10362" s="1007">
        <f t="shared" si="195"/>
        <v>44</v>
      </c>
      <c r="D10362" s="1015"/>
      <c r="I10362" s="1011" t="str">
        <f>CONCATENATE("&lt;numeroLigne&gt;",C10362,"&lt;/numeroLigne&gt;")</f>
        <v>&lt;numeroLigne&gt;44&lt;/numeroLigne&gt;</v>
      </c>
      <c r="K10362" s="1013"/>
    </row>
    <row r="10363" spans="1:11" s="1011" customFormat="1" ht="15" x14ac:dyDescent="0.25">
      <c r="A10363" s="859">
        <f t="shared" si="194"/>
        <v>10362</v>
      </c>
      <c r="B10363" s="845" t="s">
        <v>2564</v>
      </c>
      <c r="C10363" s="1007">
        <f t="shared" si="195"/>
        <v>44</v>
      </c>
      <c r="D10363" s="1012"/>
      <c r="H10363" s="1011" t="s">
        <v>1010</v>
      </c>
      <c r="K10363" s="1013"/>
    </row>
    <row r="10364" spans="1:11" s="1011" customFormat="1" ht="15" x14ac:dyDescent="0.25">
      <c r="A10364" s="859">
        <f t="shared" si="194"/>
        <v>10363</v>
      </c>
      <c r="B10364" s="845" t="s">
        <v>2564</v>
      </c>
      <c r="C10364" s="1007">
        <f t="shared" si="195"/>
        <v>44</v>
      </c>
      <c r="D10364" s="1012"/>
      <c r="H10364" s="1011" t="s">
        <v>1007</v>
      </c>
      <c r="K10364" s="1013"/>
    </row>
    <row r="10365" spans="1:11" s="1011" customFormat="1" ht="15" x14ac:dyDescent="0.25">
      <c r="A10365" s="859">
        <f t="shared" si="194"/>
        <v>10364</v>
      </c>
      <c r="B10365" s="845" t="s">
        <v>2564</v>
      </c>
      <c r="C10365" s="1007">
        <f t="shared" si="195"/>
        <v>44</v>
      </c>
      <c r="D10365" s="1014"/>
      <c r="I10365" s="1011" t="s">
        <v>2179</v>
      </c>
      <c r="K10365" s="1013"/>
    </row>
    <row r="10366" spans="1:11" s="1011" customFormat="1" ht="15" x14ac:dyDescent="0.25">
      <c r="A10366" s="859">
        <f t="shared" si="194"/>
        <v>10365</v>
      </c>
      <c r="B10366" s="845" t="s">
        <v>2564</v>
      </c>
      <c r="C10366" s="1007">
        <f t="shared" si="195"/>
        <v>44</v>
      </c>
      <c r="D10366" s="1014"/>
      <c r="I10366" s="1011" t="str">
        <f>CONCATENATE("&lt;valeur&gt;",VLOOKUP(C10366,'T16 Amort'!A:K,7,0),"&lt;/valeur&gt;")</f>
        <v>&lt;valeur&gt;&lt;/valeur&gt;</v>
      </c>
      <c r="K10366" s="1013"/>
    </row>
    <row r="10367" spans="1:11" s="1011" customFormat="1" ht="15" x14ac:dyDescent="0.25">
      <c r="A10367" s="859">
        <f t="shared" si="194"/>
        <v>10366</v>
      </c>
      <c r="B10367" s="845" t="s">
        <v>2564</v>
      </c>
      <c r="C10367" s="1007">
        <f t="shared" si="195"/>
        <v>44</v>
      </c>
      <c r="D10367" s="1012"/>
      <c r="I10367" s="1011" t="str">
        <f>CONCATENATE("&lt;numeroLigne&gt;",C10367,"&lt;/numeroLigne&gt;")</f>
        <v>&lt;numeroLigne&gt;44&lt;/numeroLigne&gt;</v>
      </c>
      <c r="K10367" s="1013"/>
    </row>
    <row r="10368" spans="1:11" s="1011" customFormat="1" ht="15" x14ac:dyDescent="0.25">
      <c r="A10368" s="859">
        <f t="shared" si="194"/>
        <v>10367</v>
      </c>
      <c r="B10368" s="845" t="s">
        <v>2564</v>
      </c>
      <c r="C10368" s="1007">
        <f t="shared" si="195"/>
        <v>44</v>
      </c>
      <c r="D10368" s="1015"/>
      <c r="H10368" s="1011" t="s">
        <v>1010</v>
      </c>
      <c r="K10368" s="1013"/>
    </row>
    <row r="10369" spans="1:11" s="1011" customFormat="1" ht="15" x14ac:dyDescent="0.25">
      <c r="A10369" s="859">
        <f t="shared" si="194"/>
        <v>10368</v>
      </c>
      <c r="B10369" s="845" t="s">
        <v>2564</v>
      </c>
      <c r="C10369" s="1007">
        <f t="shared" si="195"/>
        <v>44</v>
      </c>
      <c r="D10369" s="1012"/>
      <c r="H10369" s="1011" t="s">
        <v>1007</v>
      </c>
      <c r="K10369" s="1013"/>
    </row>
    <row r="10370" spans="1:11" s="1011" customFormat="1" ht="15" x14ac:dyDescent="0.25">
      <c r="A10370" s="859">
        <f t="shared" si="194"/>
        <v>10369</v>
      </c>
      <c r="B10370" s="845" t="s">
        <v>2564</v>
      </c>
      <c r="C10370" s="1007">
        <f t="shared" si="195"/>
        <v>44</v>
      </c>
      <c r="D10370" s="1012"/>
      <c r="I10370" s="1011" t="s">
        <v>2180</v>
      </c>
      <c r="K10370" s="1013"/>
    </row>
    <row r="10371" spans="1:11" s="1011" customFormat="1" ht="15" x14ac:dyDescent="0.25">
      <c r="A10371" s="859">
        <f t="shared" si="194"/>
        <v>10370</v>
      </c>
      <c r="B10371" s="845" t="s">
        <v>2564</v>
      </c>
      <c r="C10371" s="1007">
        <f t="shared" si="195"/>
        <v>44</v>
      </c>
      <c r="D10371" s="1014"/>
      <c r="I10371" s="1011" t="str">
        <f>CONCATENATE("&lt;valeur&gt;",VLOOKUP(C10371,'T16 Amort'!A:K,8,0),"&lt;/valeur&gt;")</f>
        <v>&lt;valeur&gt;&lt;/valeur&gt;</v>
      </c>
      <c r="K10371" s="1013"/>
    </row>
    <row r="10372" spans="1:11" s="1011" customFormat="1" ht="15" x14ac:dyDescent="0.25">
      <c r="A10372" s="859">
        <f t="shared" ref="A10372:A10435" si="196">+A10371+1</f>
        <v>10371</v>
      </c>
      <c r="B10372" s="845" t="s">
        <v>2564</v>
      </c>
      <c r="C10372" s="1007">
        <f t="shared" si="195"/>
        <v>44</v>
      </c>
      <c r="D10372" s="1014"/>
      <c r="I10372" s="1011" t="str">
        <f>CONCATENATE("&lt;numeroLigne&gt;",C10372,"&lt;/numeroLigne&gt;")</f>
        <v>&lt;numeroLigne&gt;44&lt;/numeroLigne&gt;</v>
      </c>
      <c r="K10372" s="1013"/>
    </row>
    <row r="10373" spans="1:11" s="1011" customFormat="1" ht="15" x14ac:dyDescent="0.25">
      <c r="A10373" s="859">
        <f t="shared" si="196"/>
        <v>10372</v>
      </c>
      <c r="B10373" s="845" t="s">
        <v>2564</v>
      </c>
      <c r="C10373" s="1007">
        <f t="shared" si="195"/>
        <v>44</v>
      </c>
      <c r="D10373" s="1012"/>
      <c r="H10373" s="1011" t="s">
        <v>1010</v>
      </c>
      <c r="K10373" s="1013"/>
    </row>
    <row r="10374" spans="1:11" s="1011" customFormat="1" ht="15" x14ac:dyDescent="0.25">
      <c r="A10374" s="859">
        <f t="shared" si="196"/>
        <v>10373</v>
      </c>
      <c r="B10374" s="845" t="s">
        <v>2564</v>
      </c>
      <c r="C10374" s="1007">
        <f t="shared" si="195"/>
        <v>44</v>
      </c>
      <c r="D10374" s="1015"/>
      <c r="H10374" s="1011" t="s">
        <v>1007</v>
      </c>
      <c r="K10374" s="1013"/>
    </row>
    <row r="10375" spans="1:11" s="1011" customFormat="1" ht="15" x14ac:dyDescent="0.25">
      <c r="A10375" s="859">
        <f t="shared" si="196"/>
        <v>10374</v>
      </c>
      <c r="B10375" s="845" t="s">
        <v>2564</v>
      </c>
      <c r="C10375" s="1007">
        <f t="shared" si="195"/>
        <v>44</v>
      </c>
      <c r="D10375" s="1012"/>
      <c r="I10375" s="1011" t="s">
        <v>2181</v>
      </c>
      <c r="K10375" s="1013"/>
    </row>
    <row r="10376" spans="1:11" s="1011" customFormat="1" ht="15" x14ac:dyDescent="0.25">
      <c r="A10376" s="859">
        <f t="shared" si="196"/>
        <v>10375</v>
      </c>
      <c r="B10376" s="845" t="s">
        <v>2564</v>
      </c>
      <c r="C10376" s="1007">
        <f t="shared" si="195"/>
        <v>44</v>
      </c>
      <c r="D10376" s="1012"/>
      <c r="I10376" s="1011" t="str">
        <f>CONCATENATE("&lt;valeur&gt;",VLOOKUP(C10376,'T16 Amort'!A:K,9,0),"&lt;/valeur&gt;")</f>
        <v>&lt;valeur&gt;&lt;/valeur&gt;</v>
      </c>
      <c r="K10376" s="1013"/>
    </row>
    <row r="10377" spans="1:11" s="1011" customFormat="1" ht="15" x14ac:dyDescent="0.25">
      <c r="A10377" s="859">
        <f t="shared" si="196"/>
        <v>10376</v>
      </c>
      <c r="B10377" s="845" t="s">
        <v>2564</v>
      </c>
      <c r="C10377" s="1007">
        <f t="shared" si="195"/>
        <v>44</v>
      </c>
      <c r="D10377" s="1014"/>
      <c r="I10377" s="1011" t="str">
        <f>CONCATENATE("&lt;numeroLigne&gt;",C10377,"&lt;/numeroLigne&gt;")</f>
        <v>&lt;numeroLigne&gt;44&lt;/numeroLigne&gt;</v>
      </c>
      <c r="K10377" s="1013"/>
    </row>
    <row r="10378" spans="1:11" s="1011" customFormat="1" ht="15" x14ac:dyDescent="0.25">
      <c r="A10378" s="859">
        <f t="shared" si="196"/>
        <v>10377</v>
      </c>
      <c r="B10378" s="845" t="s">
        <v>2564</v>
      </c>
      <c r="C10378" s="1007">
        <f t="shared" si="195"/>
        <v>44</v>
      </c>
      <c r="D10378" s="1014"/>
      <c r="H10378" s="1011" t="s">
        <v>1010</v>
      </c>
      <c r="K10378" s="1013"/>
    </row>
    <row r="10379" spans="1:11" s="1011" customFormat="1" ht="15" x14ac:dyDescent="0.25">
      <c r="A10379" s="859">
        <f t="shared" si="196"/>
        <v>10378</v>
      </c>
      <c r="B10379" s="845" t="s">
        <v>2564</v>
      </c>
      <c r="C10379" s="1007">
        <f t="shared" si="195"/>
        <v>44</v>
      </c>
      <c r="D10379" s="1012"/>
      <c r="H10379" s="1011" t="s">
        <v>1007</v>
      </c>
      <c r="K10379" s="1013"/>
    </row>
    <row r="10380" spans="1:11" s="1011" customFormat="1" ht="15" x14ac:dyDescent="0.25">
      <c r="A10380" s="859">
        <f t="shared" si="196"/>
        <v>10379</v>
      </c>
      <c r="B10380" s="845" t="s">
        <v>2564</v>
      </c>
      <c r="C10380" s="1007">
        <f t="shared" si="195"/>
        <v>44</v>
      </c>
      <c r="D10380" s="1015"/>
      <c r="I10380" s="1011" t="s">
        <v>2182</v>
      </c>
      <c r="K10380" s="1013"/>
    </row>
    <row r="10381" spans="1:11" s="1011" customFormat="1" ht="15" x14ac:dyDescent="0.25">
      <c r="A10381" s="859">
        <f t="shared" si="196"/>
        <v>10380</v>
      </c>
      <c r="B10381" s="845" t="s">
        <v>2564</v>
      </c>
      <c r="C10381" s="1007">
        <f t="shared" si="195"/>
        <v>44</v>
      </c>
      <c r="D10381" s="1012"/>
      <c r="I10381" s="1011" t="str">
        <f>CONCATENATE("&lt;valeur&gt;",VLOOKUP(C10381,'T16 Amort'!A:K,10,0),"&lt;/valeur&gt;")</f>
        <v>&lt;valeur&gt;&lt;/valeur&gt;</v>
      </c>
      <c r="K10381" s="1013"/>
    </row>
    <row r="10382" spans="1:11" s="1011" customFormat="1" ht="15" x14ac:dyDescent="0.25">
      <c r="A10382" s="859">
        <f t="shared" si="196"/>
        <v>10381</v>
      </c>
      <c r="B10382" s="845" t="s">
        <v>2564</v>
      </c>
      <c r="C10382" s="1007">
        <f t="shared" si="195"/>
        <v>44</v>
      </c>
      <c r="D10382" s="1012"/>
      <c r="I10382" s="1011" t="str">
        <f>CONCATENATE("&lt;numeroLigne&gt;",C10382,"&lt;/numeroLigne&gt;")</f>
        <v>&lt;numeroLigne&gt;44&lt;/numeroLigne&gt;</v>
      </c>
      <c r="K10382" s="1013"/>
    </row>
    <row r="10383" spans="1:11" s="1011" customFormat="1" ht="15" x14ac:dyDescent="0.25">
      <c r="A10383" s="859">
        <f t="shared" si="196"/>
        <v>10382</v>
      </c>
      <c r="B10383" s="845" t="s">
        <v>2564</v>
      </c>
      <c r="C10383" s="1007">
        <f t="shared" si="195"/>
        <v>44</v>
      </c>
      <c r="D10383" s="1014"/>
      <c r="H10383" s="1011" t="s">
        <v>1010</v>
      </c>
      <c r="K10383" s="1013"/>
    </row>
    <row r="10384" spans="1:11" s="1011" customFormat="1" ht="15" x14ac:dyDescent="0.25">
      <c r="A10384" s="859">
        <f t="shared" si="196"/>
        <v>10383</v>
      </c>
      <c r="B10384" s="845" t="s">
        <v>2564</v>
      </c>
      <c r="C10384" s="1007">
        <f t="shared" si="195"/>
        <v>44</v>
      </c>
      <c r="D10384" s="1014"/>
      <c r="H10384" s="1011" t="s">
        <v>1007</v>
      </c>
      <c r="K10384" s="1013"/>
    </row>
    <row r="10385" spans="1:11" s="1011" customFormat="1" ht="15" x14ac:dyDescent="0.25">
      <c r="A10385" s="859">
        <f t="shared" si="196"/>
        <v>10384</v>
      </c>
      <c r="B10385" s="845" t="s">
        <v>2564</v>
      </c>
      <c r="C10385" s="1007">
        <f t="shared" si="195"/>
        <v>44</v>
      </c>
      <c r="D10385" s="1012"/>
      <c r="I10385" s="1011" t="s">
        <v>2183</v>
      </c>
      <c r="K10385" s="1013"/>
    </row>
    <row r="10386" spans="1:11" s="1011" customFormat="1" ht="15" x14ac:dyDescent="0.25">
      <c r="A10386" s="859">
        <f t="shared" si="196"/>
        <v>10385</v>
      </c>
      <c r="B10386" s="845" t="s">
        <v>2564</v>
      </c>
      <c r="C10386" s="1007">
        <f t="shared" si="195"/>
        <v>44</v>
      </c>
      <c r="D10386" s="1015"/>
      <c r="I10386" s="1011" t="str">
        <f>CONCATENATE("&lt;valeur&gt;",VLOOKUP(C10386,'T16 Amort'!A:K,11,0),"&lt;/valeur&gt;")</f>
        <v>&lt;valeur&gt;&lt;/valeur&gt;</v>
      </c>
      <c r="K10386" s="1013"/>
    </row>
    <row r="10387" spans="1:11" s="1011" customFormat="1" ht="15" x14ac:dyDescent="0.25">
      <c r="A10387" s="859">
        <f t="shared" si="196"/>
        <v>10386</v>
      </c>
      <c r="B10387" s="845" t="s">
        <v>2564</v>
      </c>
      <c r="C10387" s="1007">
        <f t="shared" si="195"/>
        <v>44</v>
      </c>
      <c r="D10387" s="1012"/>
      <c r="I10387" s="1011" t="str">
        <f>CONCATENATE("&lt;numeroLigne&gt;",C10387,"&lt;/numeroLigne&gt;")</f>
        <v>&lt;numeroLigne&gt;44&lt;/numeroLigne&gt;</v>
      </c>
      <c r="K10387" s="1013"/>
    </row>
    <row r="10388" spans="1:11" s="1011" customFormat="1" ht="15" x14ac:dyDescent="0.25">
      <c r="A10388" s="859">
        <f t="shared" si="196"/>
        <v>10387</v>
      </c>
      <c r="B10388" s="845" t="s">
        <v>2564</v>
      </c>
      <c r="C10388" s="1007">
        <f t="shared" si="195"/>
        <v>44</v>
      </c>
      <c r="D10388" s="1016"/>
      <c r="E10388" s="1017"/>
      <c r="F10388" s="1017"/>
      <c r="G10388" s="1017"/>
      <c r="H10388" s="1017" t="s">
        <v>1010</v>
      </c>
      <c r="I10388" s="1017"/>
      <c r="J10388" s="1017"/>
      <c r="K10388" s="1018"/>
    </row>
    <row r="10389" spans="1:11" s="1011" customFormat="1" ht="15" x14ac:dyDescent="0.25">
      <c r="A10389" s="859">
        <f t="shared" si="196"/>
        <v>10388</v>
      </c>
      <c r="B10389" s="845" t="s">
        <v>2564</v>
      </c>
      <c r="C10389" s="1007">
        <f t="shared" si="195"/>
        <v>45</v>
      </c>
      <c r="D10389" s="1008"/>
      <c r="E10389" s="1009"/>
      <c r="F10389" s="1009"/>
      <c r="G10389" s="1009"/>
      <c r="H10389" s="1009" t="s">
        <v>1007</v>
      </c>
      <c r="I10389" s="1009"/>
      <c r="J10389" s="1009"/>
      <c r="K10389" s="1010"/>
    </row>
    <row r="10390" spans="1:11" s="1011" customFormat="1" ht="15" x14ac:dyDescent="0.25">
      <c r="A10390" s="859">
        <f t="shared" si="196"/>
        <v>10389</v>
      </c>
      <c r="B10390" s="845" t="s">
        <v>2564</v>
      </c>
      <c r="C10390" s="1007">
        <f t="shared" si="195"/>
        <v>45</v>
      </c>
      <c r="D10390" s="1012"/>
      <c r="I10390" s="1011" t="s">
        <v>2174</v>
      </c>
      <c r="K10390" s="1013"/>
    </row>
    <row r="10391" spans="1:11" s="1011" customFormat="1" ht="15" x14ac:dyDescent="0.25">
      <c r="A10391" s="859">
        <f t="shared" si="196"/>
        <v>10390</v>
      </c>
      <c r="B10391" s="845" t="s">
        <v>2564</v>
      </c>
      <c r="C10391" s="1007">
        <f t="shared" si="195"/>
        <v>45</v>
      </c>
      <c r="D10391" s="1014"/>
      <c r="I10391" s="1011" t="str">
        <f>CONCATENATE("&lt;valeur&gt;",VLOOKUP(C10391,'T16 Amort'!A:K,2,0),"&lt;/valeur&gt;")</f>
        <v>&lt;valeur&gt;&lt;/valeur&gt;</v>
      </c>
      <c r="K10391" s="1013"/>
    </row>
    <row r="10392" spans="1:11" s="1011" customFormat="1" ht="15" x14ac:dyDescent="0.25">
      <c r="A10392" s="859">
        <f t="shared" si="196"/>
        <v>10391</v>
      </c>
      <c r="B10392" s="845" t="s">
        <v>2564</v>
      </c>
      <c r="C10392" s="1007">
        <f t="shared" si="195"/>
        <v>45</v>
      </c>
      <c r="D10392" s="1014"/>
      <c r="I10392" s="1011" t="str">
        <f>CONCATENATE("&lt;numeroLigne&gt;",C10392,"&lt;/numeroLigne&gt;")</f>
        <v>&lt;numeroLigne&gt;45&lt;/numeroLigne&gt;</v>
      </c>
      <c r="K10392" s="1013"/>
    </row>
    <row r="10393" spans="1:11" s="1011" customFormat="1" ht="15" x14ac:dyDescent="0.25">
      <c r="A10393" s="859">
        <f t="shared" si="196"/>
        <v>10392</v>
      </c>
      <c r="B10393" s="845" t="s">
        <v>2564</v>
      </c>
      <c r="C10393" s="1007">
        <f t="shared" si="195"/>
        <v>45</v>
      </c>
      <c r="D10393" s="1012"/>
      <c r="H10393" s="1011" t="s">
        <v>1010</v>
      </c>
      <c r="K10393" s="1013"/>
    </row>
    <row r="10394" spans="1:11" s="1011" customFormat="1" ht="15" x14ac:dyDescent="0.25">
      <c r="A10394" s="859">
        <f t="shared" si="196"/>
        <v>10393</v>
      </c>
      <c r="B10394" s="845" t="s">
        <v>2564</v>
      </c>
      <c r="C10394" s="1007">
        <f t="shared" si="195"/>
        <v>45</v>
      </c>
      <c r="D10394" s="1015"/>
      <c r="H10394" s="1011" t="s">
        <v>1007</v>
      </c>
      <c r="K10394" s="1013"/>
    </row>
    <row r="10395" spans="1:11" s="1011" customFormat="1" ht="15" x14ac:dyDescent="0.25">
      <c r="A10395" s="859">
        <f t="shared" si="196"/>
        <v>10394</v>
      </c>
      <c r="B10395" s="845" t="s">
        <v>2564</v>
      </c>
      <c r="C10395" s="1007">
        <f t="shared" si="195"/>
        <v>45</v>
      </c>
      <c r="D10395" s="1012"/>
      <c r="I10395" s="1011" t="s">
        <v>2175</v>
      </c>
      <c r="K10395" s="1013"/>
    </row>
    <row r="10396" spans="1:11" s="1011" customFormat="1" ht="15" x14ac:dyDescent="0.25">
      <c r="A10396" s="859">
        <f t="shared" si="196"/>
        <v>10395</v>
      </c>
      <c r="B10396" s="845" t="s">
        <v>2564</v>
      </c>
      <c r="C10396" s="1007">
        <f t="shared" si="195"/>
        <v>45</v>
      </c>
      <c r="D10396" s="1012"/>
      <c r="I10396" s="1011" t="str">
        <f>CONCATENATE("&lt;valeur&gt;",VLOOKUP(C10396,'T16 Amort'!A:K,3,0),"&lt;/valeur&gt;")</f>
        <v>&lt;valeur&gt;&lt;/valeur&gt;</v>
      </c>
      <c r="K10396" s="1013"/>
    </row>
    <row r="10397" spans="1:11" s="1011" customFormat="1" ht="15" x14ac:dyDescent="0.25">
      <c r="A10397" s="859">
        <f t="shared" si="196"/>
        <v>10396</v>
      </c>
      <c r="B10397" s="845" t="s">
        <v>2564</v>
      </c>
      <c r="C10397" s="1007">
        <f t="shared" si="195"/>
        <v>45</v>
      </c>
      <c r="D10397" s="1014"/>
      <c r="I10397" s="1011" t="str">
        <f>CONCATENATE("&lt;numeroLigne&gt;",C10397,"&lt;/numeroLigne&gt;")</f>
        <v>&lt;numeroLigne&gt;45&lt;/numeroLigne&gt;</v>
      </c>
      <c r="K10397" s="1013"/>
    </row>
    <row r="10398" spans="1:11" s="1011" customFormat="1" ht="15" x14ac:dyDescent="0.25">
      <c r="A10398" s="859">
        <f t="shared" si="196"/>
        <v>10397</v>
      </c>
      <c r="B10398" s="845" t="s">
        <v>2564</v>
      </c>
      <c r="C10398" s="1007">
        <f t="shared" si="195"/>
        <v>45</v>
      </c>
      <c r="D10398" s="1014"/>
      <c r="H10398" s="1011" t="s">
        <v>1010</v>
      </c>
      <c r="K10398" s="1013"/>
    </row>
    <row r="10399" spans="1:11" s="1011" customFormat="1" ht="15" x14ac:dyDescent="0.25">
      <c r="A10399" s="859">
        <f t="shared" si="196"/>
        <v>10398</v>
      </c>
      <c r="B10399" s="845" t="s">
        <v>2564</v>
      </c>
      <c r="C10399" s="1007">
        <f t="shared" si="195"/>
        <v>45</v>
      </c>
      <c r="D10399" s="1012"/>
      <c r="H10399" s="1011" t="s">
        <v>1007</v>
      </c>
      <c r="K10399" s="1013"/>
    </row>
    <row r="10400" spans="1:11" s="1011" customFormat="1" ht="15" x14ac:dyDescent="0.25">
      <c r="A10400" s="859">
        <f t="shared" si="196"/>
        <v>10399</v>
      </c>
      <c r="B10400" s="845" t="s">
        <v>2564</v>
      </c>
      <c r="C10400" s="1007">
        <f t="shared" si="195"/>
        <v>45</v>
      </c>
      <c r="D10400" s="1015"/>
      <c r="I10400" s="1011" t="s">
        <v>2176</v>
      </c>
      <c r="K10400" s="1013"/>
    </row>
    <row r="10401" spans="1:11" s="1011" customFormat="1" ht="15" x14ac:dyDescent="0.25">
      <c r="A10401" s="859">
        <f t="shared" si="196"/>
        <v>10400</v>
      </c>
      <c r="B10401" s="845" t="s">
        <v>2564</v>
      </c>
      <c r="C10401" s="1007">
        <f t="shared" si="195"/>
        <v>45</v>
      </c>
      <c r="D10401" s="1012"/>
      <c r="I10401" s="1011" t="str">
        <f>CONCATENATE("&lt;valeur&gt;",VLOOKUP(C10401,'T16 Amort'!A:K,4,0),"&lt;/valeur&gt;")</f>
        <v>&lt;valeur&gt;&lt;/valeur&gt;</v>
      </c>
      <c r="K10401" s="1013"/>
    </row>
    <row r="10402" spans="1:11" s="1011" customFormat="1" ht="15" x14ac:dyDescent="0.25">
      <c r="A10402" s="859">
        <f t="shared" si="196"/>
        <v>10401</v>
      </c>
      <c r="B10402" s="845" t="s">
        <v>2564</v>
      </c>
      <c r="C10402" s="1007">
        <f t="shared" si="195"/>
        <v>45</v>
      </c>
      <c r="D10402" s="1012"/>
      <c r="I10402" s="1011" t="str">
        <f>CONCATENATE("&lt;numeroLigne&gt;",C10402,"&lt;/numeroLigne&gt;")</f>
        <v>&lt;numeroLigne&gt;45&lt;/numeroLigne&gt;</v>
      </c>
      <c r="K10402" s="1013"/>
    </row>
    <row r="10403" spans="1:11" s="1011" customFormat="1" ht="15" x14ac:dyDescent="0.25">
      <c r="A10403" s="859">
        <f t="shared" si="196"/>
        <v>10402</v>
      </c>
      <c r="B10403" s="845" t="s">
        <v>2564</v>
      </c>
      <c r="C10403" s="1007">
        <f t="shared" si="195"/>
        <v>45</v>
      </c>
      <c r="D10403" s="1014"/>
      <c r="H10403" s="1011" t="s">
        <v>1010</v>
      </c>
      <c r="K10403" s="1013"/>
    </row>
    <row r="10404" spans="1:11" s="1011" customFormat="1" ht="15" x14ac:dyDescent="0.25">
      <c r="A10404" s="859">
        <f t="shared" si="196"/>
        <v>10403</v>
      </c>
      <c r="B10404" s="845" t="s">
        <v>2564</v>
      </c>
      <c r="C10404" s="1007">
        <f t="shared" si="195"/>
        <v>45</v>
      </c>
      <c r="D10404" s="1014"/>
      <c r="H10404" s="1011" t="s">
        <v>1007</v>
      </c>
      <c r="K10404" s="1013"/>
    </row>
    <row r="10405" spans="1:11" s="1011" customFormat="1" ht="15" x14ac:dyDescent="0.25">
      <c r="A10405" s="859">
        <f t="shared" si="196"/>
        <v>10404</v>
      </c>
      <c r="B10405" s="845" t="s">
        <v>2564</v>
      </c>
      <c r="C10405" s="1007">
        <f t="shared" si="195"/>
        <v>45</v>
      </c>
      <c r="D10405" s="1012"/>
      <c r="I10405" s="1011" t="s">
        <v>2177</v>
      </c>
      <c r="K10405" s="1013"/>
    </row>
    <row r="10406" spans="1:11" s="1011" customFormat="1" ht="15" x14ac:dyDescent="0.25">
      <c r="A10406" s="859">
        <f t="shared" si="196"/>
        <v>10405</v>
      </c>
      <c r="B10406" s="845" t="s">
        <v>2564</v>
      </c>
      <c r="C10406" s="1007">
        <f t="shared" si="195"/>
        <v>45</v>
      </c>
      <c r="D10406" s="1015"/>
      <c r="I10406" s="1011" t="str">
        <f>CONCATENATE("&lt;valeur&gt;",VLOOKUP(C10406,'T16 Amort'!A:K,5,0),"&lt;/valeur&gt;")</f>
        <v>&lt;valeur&gt;&lt;/valeur&gt;</v>
      </c>
      <c r="K10406" s="1013"/>
    </row>
    <row r="10407" spans="1:11" s="1011" customFormat="1" ht="15" x14ac:dyDescent="0.25">
      <c r="A10407" s="859">
        <f t="shared" si="196"/>
        <v>10406</v>
      </c>
      <c r="B10407" s="845" t="s">
        <v>2564</v>
      </c>
      <c r="C10407" s="1007">
        <f t="shared" si="195"/>
        <v>45</v>
      </c>
      <c r="D10407" s="1012"/>
      <c r="I10407" s="1011" t="str">
        <f>CONCATENATE("&lt;numeroLigne&gt;",C10407,"&lt;/numeroLigne&gt;")</f>
        <v>&lt;numeroLigne&gt;45&lt;/numeroLigne&gt;</v>
      </c>
      <c r="K10407" s="1013"/>
    </row>
    <row r="10408" spans="1:11" s="1011" customFormat="1" ht="15" x14ac:dyDescent="0.25">
      <c r="A10408" s="859">
        <f t="shared" si="196"/>
        <v>10407</v>
      </c>
      <c r="B10408" s="845" t="s">
        <v>2564</v>
      </c>
      <c r="C10408" s="1007">
        <f t="shared" si="195"/>
        <v>45</v>
      </c>
      <c r="D10408" s="1012"/>
      <c r="H10408" s="1011" t="s">
        <v>1010</v>
      </c>
      <c r="K10408" s="1013"/>
    </row>
    <row r="10409" spans="1:11" s="1011" customFormat="1" ht="15" x14ac:dyDescent="0.25">
      <c r="A10409" s="859">
        <f t="shared" si="196"/>
        <v>10408</v>
      </c>
      <c r="B10409" s="845" t="s">
        <v>2564</v>
      </c>
      <c r="C10409" s="1007">
        <f t="shared" si="195"/>
        <v>45</v>
      </c>
      <c r="D10409" s="1014"/>
      <c r="H10409" s="1011" t="s">
        <v>1007</v>
      </c>
      <c r="K10409" s="1013"/>
    </row>
    <row r="10410" spans="1:11" s="1011" customFormat="1" ht="15" x14ac:dyDescent="0.25">
      <c r="A10410" s="859">
        <f t="shared" si="196"/>
        <v>10409</v>
      </c>
      <c r="B10410" s="845" t="s">
        <v>2564</v>
      </c>
      <c r="C10410" s="1007">
        <f t="shared" si="195"/>
        <v>45</v>
      </c>
      <c r="D10410" s="1014"/>
      <c r="I10410" s="1011" t="s">
        <v>2178</v>
      </c>
      <c r="K10410" s="1013"/>
    </row>
    <row r="10411" spans="1:11" s="1011" customFormat="1" ht="15" x14ac:dyDescent="0.25">
      <c r="A10411" s="859">
        <f t="shared" si="196"/>
        <v>10410</v>
      </c>
      <c r="B10411" s="845" t="s">
        <v>2564</v>
      </c>
      <c r="C10411" s="1007">
        <f t="shared" si="195"/>
        <v>45</v>
      </c>
      <c r="D10411" s="1012"/>
      <c r="I10411" s="1011" t="str">
        <f>CONCATENATE("&lt;valeur&gt;",VLOOKUP(C10411,'T16 Amort'!A:K,6,0),"&lt;/valeur&gt;")</f>
        <v>&lt;valeur&gt;&lt;/valeur&gt;</v>
      </c>
      <c r="K10411" s="1013"/>
    </row>
    <row r="10412" spans="1:11" s="1011" customFormat="1" ht="15" x14ac:dyDescent="0.25">
      <c r="A10412" s="859">
        <f t="shared" si="196"/>
        <v>10411</v>
      </c>
      <c r="B10412" s="845" t="s">
        <v>2564</v>
      </c>
      <c r="C10412" s="1007">
        <f t="shared" si="195"/>
        <v>45</v>
      </c>
      <c r="D10412" s="1015"/>
      <c r="I10412" s="1011" t="str">
        <f>CONCATENATE("&lt;numeroLigne&gt;",C10412,"&lt;/numeroLigne&gt;")</f>
        <v>&lt;numeroLigne&gt;45&lt;/numeroLigne&gt;</v>
      </c>
      <c r="K10412" s="1013"/>
    </row>
    <row r="10413" spans="1:11" s="1011" customFormat="1" ht="15" x14ac:dyDescent="0.25">
      <c r="A10413" s="859">
        <f t="shared" si="196"/>
        <v>10412</v>
      </c>
      <c r="B10413" s="845" t="s">
        <v>2564</v>
      </c>
      <c r="C10413" s="1007">
        <f t="shared" si="195"/>
        <v>45</v>
      </c>
      <c r="D10413" s="1012"/>
      <c r="H10413" s="1011" t="s">
        <v>1010</v>
      </c>
      <c r="K10413" s="1013"/>
    </row>
    <row r="10414" spans="1:11" s="1011" customFormat="1" ht="15" x14ac:dyDescent="0.25">
      <c r="A10414" s="859">
        <f t="shared" si="196"/>
        <v>10413</v>
      </c>
      <c r="B10414" s="845" t="s">
        <v>2564</v>
      </c>
      <c r="C10414" s="1007">
        <f t="shared" si="195"/>
        <v>45</v>
      </c>
      <c r="D10414" s="1012"/>
      <c r="H10414" s="1011" t="s">
        <v>1007</v>
      </c>
      <c r="K10414" s="1013"/>
    </row>
    <row r="10415" spans="1:11" s="1011" customFormat="1" ht="15" x14ac:dyDescent="0.25">
      <c r="A10415" s="859">
        <f t="shared" si="196"/>
        <v>10414</v>
      </c>
      <c r="B10415" s="845" t="s">
        <v>2564</v>
      </c>
      <c r="C10415" s="1007">
        <f t="shared" ref="C10415:C10478" si="197">C10365+1</f>
        <v>45</v>
      </c>
      <c r="D10415" s="1014"/>
      <c r="I10415" s="1011" t="s">
        <v>2179</v>
      </c>
      <c r="K10415" s="1013"/>
    </row>
    <row r="10416" spans="1:11" s="1011" customFormat="1" ht="15" x14ac:dyDescent="0.25">
      <c r="A10416" s="859">
        <f t="shared" si="196"/>
        <v>10415</v>
      </c>
      <c r="B10416" s="845" t="s">
        <v>2564</v>
      </c>
      <c r="C10416" s="1007">
        <f t="shared" si="197"/>
        <v>45</v>
      </c>
      <c r="D10416" s="1014"/>
      <c r="I10416" s="1011" t="str">
        <f>CONCATENATE("&lt;valeur&gt;",VLOOKUP(C10416,'T16 Amort'!A:K,7,0),"&lt;/valeur&gt;")</f>
        <v>&lt;valeur&gt;&lt;/valeur&gt;</v>
      </c>
      <c r="K10416" s="1013"/>
    </row>
    <row r="10417" spans="1:11" s="1011" customFormat="1" ht="15" x14ac:dyDescent="0.25">
      <c r="A10417" s="859">
        <f t="shared" si="196"/>
        <v>10416</v>
      </c>
      <c r="B10417" s="845" t="s">
        <v>2564</v>
      </c>
      <c r="C10417" s="1007">
        <f t="shared" si="197"/>
        <v>45</v>
      </c>
      <c r="D10417" s="1012"/>
      <c r="I10417" s="1011" t="str">
        <f>CONCATENATE("&lt;numeroLigne&gt;",C10417,"&lt;/numeroLigne&gt;")</f>
        <v>&lt;numeroLigne&gt;45&lt;/numeroLigne&gt;</v>
      </c>
      <c r="K10417" s="1013"/>
    </row>
    <row r="10418" spans="1:11" s="1011" customFormat="1" ht="15" x14ac:dyDescent="0.25">
      <c r="A10418" s="859">
        <f t="shared" si="196"/>
        <v>10417</v>
      </c>
      <c r="B10418" s="845" t="s">
        <v>2564</v>
      </c>
      <c r="C10418" s="1007">
        <f t="shared" si="197"/>
        <v>45</v>
      </c>
      <c r="D10418" s="1015"/>
      <c r="H10418" s="1011" t="s">
        <v>1010</v>
      </c>
      <c r="K10418" s="1013"/>
    </row>
    <row r="10419" spans="1:11" s="1011" customFormat="1" ht="15" x14ac:dyDescent="0.25">
      <c r="A10419" s="859">
        <f t="shared" si="196"/>
        <v>10418</v>
      </c>
      <c r="B10419" s="845" t="s">
        <v>2564</v>
      </c>
      <c r="C10419" s="1007">
        <f t="shared" si="197"/>
        <v>45</v>
      </c>
      <c r="D10419" s="1012"/>
      <c r="H10419" s="1011" t="s">
        <v>1007</v>
      </c>
      <c r="K10419" s="1013"/>
    </row>
    <row r="10420" spans="1:11" s="1011" customFormat="1" ht="15" x14ac:dyDescent="0.25">
      <c r="A10420" s="859">
        <f t="shared" si="196"/>
        <v>10419</v>
      </c>
      <c r="B10420" s="845" t="s">
        <v>2564</v>
      </c>
      <c r="C10420" s="1007">
        <f t="shared" si="197"/>
        <v>45</v>
      </c>
      <c r="D10420" s="1012"/>
      <c r="I10420" s="1011" t="s">
        <v>2180</v>
      </c>
      <c r="K10420" s="1013"/>
    </row>
    <row r="10421" spans="1:11" s="1011" customFormat="1" ht="15" x14ac:dyDescent="0.25">
      <c r="A10421" s="859">
        <f t="shared" si="196"/>
        <v>10420</v>
      </c>
      <c r="B10421" s="845" t="s">
        <v>2564</v>
      </c>
      <c r="C10421" s="1007">
        <f t="shared" si="197"/>
        <v>45</v>
      </c>
      <c r="D10421" s="1014"/>
      <c r="I10421" s="1011" t="str">
        <f>CONCATENATE("&lt;valeur&gt;",VLOOKUP(C10421,'T16 Amort'!A:K,8,0),"&lt;/valeur&gt;")</f>
        <v>&lt;valeur&gt;&lt;/valeur&gt;</v>
      </c>
      <c r="K10421" s="1013"/>
    </row>
    <row r="10422" spans="1:11" s="1011" customFormat="1" ht="15" x14ac:dyDescent="0.25">
      <c r="A10422" s="859">
        <f t="shared" si="196"/>
        <v>10421</v>
      </c>
      <c r="B10422" s="845" t="s">
        <v>2564</v>
      </c>
      <c r="C10422" s="1007">
        <f t="shared" si="197"/>
        <v>45</v>
      </c>
      <c r="D10422" s="1014"/>
      <c r="I10422" s="1011" t="str">
        <f>CONCATENATE("&lt;numeroLigne&gt;",C10422,"&lt;/numeroLigne&gt;")</f>
        <v>&lt;numeroLigne&gt;45&lt;/numeroLigne&gt;</v>
      </c>
      <c r="K10422" s="1013"/>
    </row>
    <row r="10423" spans="1:11" s="1011" customFormat="1" ht="15" x14ac:dyDescent="0.25">
      <c r="A10423" s="859">
        <f t="shared" si="196"/>
        <v>10422</v>
      </c>
      <c r="B10423" s="845" t="s">
        <v>2564</v>
      </c>
      <c r="C10423" s="1007">
        <f t="shared" si="197"/>
        <v>45</v>
      </c>
      <c r="D10423" s="1012"/>
      <c r="H10423" s="1011" t="s">
        <v>1010</v>
      </c>
      <c r="K10423" s="1013"/>
    </row>
    <row r="10424" spans="1:11" s="1011" customFormat="1" ht="15" x14ac:dyDescent="0.25">
      <c r="A10424" s="859">
        <f t="shared" si="196"/>
        <v>10423</v>
      </c>
      <c r="B10424" s="845" t="s">
        <v>2564</v>
      </c>
      <c r="C10424" s="1007">
        <f t="shared" si="197"/>
        <v>45</v>
      </c>
      <c r="D10424" s="1015"/>
      <c r="H10424" s="1011" t="s">
        <v>1007</v>
      </c>
      <c r="K10424" s="1013"/>
    </row>
    <row r="10425" spans="1:11" s="1011" customFormat="1" ht="15" x14ac:dyDescent="0.25">
      <c r="A10425" s="859">
        <f t="shared" si="196"/>
        <v>10424</v>
      </c>
      <c r="B10425" s="845" t="s">
        <v>2564</v>
      </c>
      <c r="C10425" s="1007">
        <f t="shared" si="197"/>
        <v>45</v>
      </c>
      <c r="D10425" s="1012"/>
      <c r="I10425" s="1011" t="s">
        <v>2181</v>
      </c>
      <c r="K10425" s="1013"/>
    </row>
    <row r="10426" spans="1:11" s="1011" customFormat="1" ht="15" x14ac:dyDescent="0.25">
      <c r="A10426" s="859">
        <f t="shared" si="196"/>
        <v>10425</v>
      </c>
      <c r="B10426" s="845" t="s">
        <v>2564</v>
      </c>
      <c r="C10426" s="1007">
        <f t="shared" si="197"/>
        <v>45</v>
      </c>
      <c r="D10426" s="1012"/>
      <c r="I10426" s="1011" t="str">
        <f>CONCATENATE("&lt;valeur&gt;",VLOOKUP(C10426,'T16 Amort'!A:K,9,0),"&lt;/valeur&gt;")</f>
        <v>&lt;valeur&gt;&lt;/valeur&gt;</v>
      </c>
      <c r="K10426" s="1013"/>
    </row>
    <row r="10427" spans="1:11" s="1011" customFormat="1" ht="15" x14ac:dyDescent="0.25">
      <c r="A10427" s="859">
        <f t="shared" si="196"/>
        <v>10426</v>
      </c>
      <c r="B10427" s="845" t="s">
        <v>2564</v>
      </c>
      <c r="C10427" s="1007">
        <f t="shared" si="197"/>
        <v>45</v>
      </c>
      <c r="D10427" s="1014"/>
      <c r="I10427" s="1011" t="str">
        <f>CONCATENATE("&lt;numeroLigne&gt;",C10427,"&lt;/numeroLigne&gt;")</f>
        <v>&lt;numeroLigne&gt;45&lt;/numeroLigne&gt;</v>
      </c>
      <c r="K10427" s="1013"/>
    </row>
    <row r="10428" spans="1:11" s="1011" customFormat="1" ht="15" x14ac:dyDescent="0.25">
      <c r="A10428" s="859">
        <f t="shared" si="196"/>
        <v>10427</v>
      </c>
      <c r="B10428" s="845" t="s">
        <v>2564</v>
      </c>
      <c r="C10428" s="1007">
        <f t="shared" si="197"/>
        <v>45</v>
      </c>
      <c r="D10428" s="1014"/>
      <c r="H10428" s="1011" t="s">
        <v>1010</v>
      </c>
      <c r="K10428" s="1013"/>
    </row>
    <row r="10429" spans="1:11" s="1011" customFormat="1" ht="15" x14ac:dyDescent="0.25">
      <c r="A10429" s="859">
        <f t="shared" si="196"/>
        <v>10428</v>
      </c>
      <c r="B10429" s="845" t="s">
        <v>2564</v>
      </c>
      <c r="C10429" s="1007">
        <f t="shared" si="197"/>
        <v>45</v>
      </c>
      <c r="D10429" s="1012"/>
      <c r="H10429" s="1011" t="s">
        <v>1007</v>
      </c>
      <c r="K10429" s="1013"/>
    </row>
    <row r="10430" spans="1:11" s="1011" customFormat="1" ht="15" x14ac:dyDescent="0.25">
      <c r="A10430" s="859">
        <f t="shared" si="196"/>
        <v>10429</v>
      </c>
      <c r="B10430" s="845" t="s">
        <v>2564</v>
      </c>
      <c r="C10430" s="1007">
        <f t="shared" si="197"/>
        <v>45</v>
      </c>
      <c r="D10430" s="1015"/>
      <c r="I10430" s="1011" t="s">
        <v>2182</v>
      </c>
      <c r="K10430" s="1013"/>
    </row>
    <row r="10431" spans="1:11" s="1011" customFormat="1" ht="15" x14ac:dyDescent="0.25">
      <c r="A10431" s="859">
        <f t="shared" si="196"/>
        <v>10430</v>
      </c>
      <c r="B10431" s="845" t="s">
        <v>2564</v>
      </c>
      <c r="C10431" s="1007">
        <f t="shared" si="197"/>
        <v>45</v>
      </c>
      <c r="D10431" s="1012"/>
      <c r="I10431" s="1011" t="str">
        <f>CONCATENATE("&lt;valeur&gt;",VLOOKUP(C10431,'T16 Amort'!A:K,10,0),"&lt;/valeur&gt;")</f>
        <v>&lt;valeur&gt;&lt;/valeur&gt;</v>
      </c>
      <c r="K10431" s="1013"/>
    </row>
    <row r="10432" spans="1:11" s="1011" customFormat="1" ht="15" x14ac:dyDescent="0.25">
      <c r="A10432" s="859">
        <f t="shared" si="196"/>
        <v>10431</v>
      </c>
      <c r="B10432" s="845" t="s">
        <v>2564</v>
      </c>
      <c r="C10432" s="1007">
        <f t="shared" si="197"/>
        <v>45</v>
      </c>
      <c r="D10432" s="1012"/>
      <c r="I10432" s="1011" t="str">
        <f>CONCATENATE("&lt;numeroLigne&gt;",C10432,"&lt;/numeroLigne&gt;")</f>
        <v>&lt;numeroLigne&gt;45&lt;/numeroLigne&gt;</v>
      </c>
      <c r="K10432" s="1013"/>
    </row>
    <row r="10433" spans="1:11" s="1011" customFormat="1" ht="15" x14ac:dyDescent="0.25">
      <c r="A10433" s="859">
        <f t="shared" si="196"/>
        <v>10432</v>
      </c>
      <c r="B10433" s="845" t="s">
        <v>2564</v>
      </c>
      <c r="C10433" s="1007">
        <f t="shared" si="197"/>
        <v>45</v>
      </c>
      <c r="D10433" s="1014"/>
      <c r="H10433" s="1011" t="s">
        <v>1010</v>
      </c>
      <c r="K10433" s="1013"/>
    </row>
    <row r="10434" spans="1:11" s="1011" customFormat="1" ht="15" x14ac:dyDescent="0.25">
      <c r="A10434" s="859">
        <f t="shared" si="196"/>
        <v>10433</v>
      </c>
      <c r="B10434" s="845" t="s">
        <v>2564</v>
      </c>
      <c r="C10434" s="1007">
        <f t="shared" si="197"/>
        <v>45</v>
      </c>
      <c r="D10434" s="1014"/>
      <c r="H10434" s="1011" t="s">
        <v>1007</v>
      </c>
      <c r="K10434" s="1013"/>
    </row>
    <row r="10435" spans="1:11" s="1011" customFormat="1" ht="15" x14ac:dyDescent="0.25">
      <c r="A10435" s="859">
        <f t="shared" si="196"/>
        <v>10434</v>
      </c>
      <c r="B10435" s="845" t="s">
        <v>2564</v>
      </c>
      <c r="C10435" s="1007">
        <f t="shared" si="197"/>
        <v>45</v>
      </c>
      <c r="D10435" s="1012"/>
      <c r="I10435" s="1011" t="s">
        <v>2183</v>
      </c>
      <c r="K10435" s="1013"/>
    </row>
    <row r="10436" spans="1:11" s="1011" customFormat="1" ht="15" x14ac:dyDescent="0.25">
      <c r="A10436" s="859">
        <f t="shared" ref="A10436:A10499" si="198">+A10435+1</f>
        <v>10435</v>
      </c>
      <c r="B10436" s="845" t="s">
        <v>2564</v>
      </c>
      <c r="C10436" s="1007">
        <f t="shared" si="197"/>
        <v>45</v>
      </c>
      <c r="D10436" s="1015"/>
      <c r="I10436" s="1011" t="str">
        <f>CONCATENATE("&lt;valeur&gt;",VLOOKUP(C10436,'T16 Amort'!A:K,11,0),"&lt;/valeur&gt;")</f>
        <v>&lt;valeur&gt;&lt;/valeur&gt;</v>
      </c>
      <c r="K10436" s="1013"/>
    </row>
    <row r="10437" spans="1:11" s="1011" customFormat="1" ht="15" x14ac:dyDescent="0.25">
      <c r="A10437" s="859">
        <f t="shared" si="198"/>
        <v>10436</v>
      </c>
      <c r="B10437" s="845" t="s">
        <v>2564</v>
      </c>
      <c r="C10437" s="1007">
        <f t="shared" si="197"/>
        <v>45</v>
      </c>
      <c r="D10437" s="1012"/>
      <c r="I10437" s="1011" t="str">
        <f>CONCATENATE("&lt;numeroLigne&gt;",C10437,"&lt;/numeroLigne&gt;")</f>
        <v>&lt;numeroLigne&gt;45&lt;/numeroLigne&gt;</v>
      </c>
      <c r="K10437" s="1013"/>
    </row>
    <row r="10438" spans="1:11" s="1011" customFormat="1" ht="15" x14ac:dyDescent="0.25">
      <c r="A10438" s="859">
        <f t="shared" si="198"/>
        <v>10437</v>
      </c>
      <c r="B10438" s="845" t="s">
        <v>2564</v>
      </c>
      <c r="C10438" s="1007">
        <f t="shared" si="197"/>
        <v>45</v>
      </c>
      <c r="D10438" s="1016"/>
      <c r="E10438" s="1017"/>
      <c r="F10438" s="1017"/>
      <c r="G10438" s="1017"/>
      <c r="H10438" s="1017" t="s">
        <v>1010</v>
      </c>
      <c r="I10438" s="1017"/>
      <c r="J10438" s="1017"/>
      <c r="K10438" s="1018"/>
    </row>
    <row r="10439" spans="1:11" s="1011" customFormat="1" ht="15" x14ac:dyDescent="0.25">
      <c r="A10439" s="859">
        <f t="shared" si="198"/>
        <v>10438</v>
      </c>
      <c r="B10439" s="845" t="s">
        <v>2564</v>
      </c>
      <c r="C10439" s="1007">
        <f t="shared" si="197"/>
        <v>46</v>
      </c>
      <c r="D10439" s="1008"/>
      <c r="E10439" s="1009"/>
      <c r="F10439" s="1009"/>
      <c r="G10439" s="1009"/>
      <c r="H10439" s="1009" t="s">
        <v>1007</v>
      </c>
      <c r="I10439" s="1009"/>
      <c r="J10439" s="1009"/>
      <c r="K10439" s="1010"/>
    </row>
    <row r="10440" spans="1:11" s="1011" customFormat="1" ht="15" x14ac:dyDescent="0.25">
      <c r="A10440" s="859">
        <f t="shared" si="198"/>
        <v>10439</v>
      </c>
      <c r="B10440" s="845" t="s">
        <v>2564</v>
      </c>
      <c r="C10440" s="1007">
        <f t="shared" si="197"/>
        <v>46</v>
      </c>
      <c r="D10440" s="1012"/>
      <c r="I10440" s="1011" t="s">
        <v>2174</v>
      </c>
      <c r="K10440" s="1013"/>
    </row>
    <row r="10441" spans="1:11" s="1011" customFormat="1" ht="15" x14ac:dyDescent="0.25">
      <c r="A10441" s="859">
        <f t="shared" si="198"/>
        <v>10440</v>
      </c>
      <c r="B10441" s="845" t="s">
        <v>2564</v>
      </c>
      <c r="C10441" s="1007">
        <f t="shared" si="197"/>
        <v>46</v>
      </c>
      <c r="D10441" s="1014"/>
      <c r="I10441" s="1011" t="str">
        <f>CONCATENATE("&lt;valeur&gt;",VLOOKUP(C10441,'T16 Amort'!A:K,2,0),"&lt;/valeur&gt;")</f>
        <v>&lt;valeur&gt;&lt;/valeur&gt;</v>
      </c>
      <c r="K10441" s="1013"/>
    </row>
    <row r="10442" spans="1:11" s="1011" customFormat="1" ht="15" x14ac:dyDescent="0.25">
      <c r="A10442" s="859">
        <f t="shared" si="198"/>
        <v>10441</v>
      </c>
      <c r="B10442" s="845" t="s">
        <v>2564</v>
      </c>
      <c r="C10442" s="1007">
        <f t="shared" si="197"/>
        <v>46</v>
      </c>
      <c r="D10442" s="1014"/>
      <c r="I10442" s="1011" t="str">
        <f>CONCATENATE("&lt;numeroLigne&gt;",C10442,"&lt;/numeroLigne&gt;")</f>
        <v>&lt;numeroLigne&gt;46&lt;/numeroLigne&gt;</v>
      </c>
      <c r="K10442" s="1013"/>
    </row>
    <row r="10443" spans="1:11" s="1011" customFormat="1" ht="15" x14ac:dyDescent="0.25">
      <c r="A10443" s="859">
        <f t="shared" si="198"/>
        <v>10442</v>
      </c>
      <c r="B10443" s="845" t="s">
        <v>2564</v>
      </c>
      <c r="C10443" s="1007">
        <f t="shared" si="197"/>
        <v>46</v>
      </c>
      <c r="D10443" s="1012"/>
      <c r="H10443" s="1011" t="s">
        <v>1010</v>
      </c>
      <c r="K10443" s="1013"/>
    </row>
    <row r="10444" spans="1:11" s="1011" customFormat="1" ht="15" x14ac:dyDescent="0.25">
      <c r="A10444" s="859">
        <f t="shared" si="198"/>
        <v>10443</v>
      </c>
      <c r="B10444" s="845" t="s">
        <v>2564</v>
      </c>
      <c r="C10444" s="1007">
        <f t="shared" si="197"/>
        <v>46</v>
      </c>
      <c r="D10444" s="1015"/>
      <c r="H10444" s="1011" t="s">
        <v>1007</v>
      </c>
      <c r="K10444" s="1013"/>
    </row>
    <row r="10445" spans="1:11" s="1011" customFormat="1" ht="15" x14ac:dyDescent="0.25">
      <c r="A10445" s="859">
        <f t="shared" si="198"/>
        <v>10444</v>
      </c>
      <c r="B10445" s="845" t="s">
        <v>2564</v>
      </c>
      <c r="C10445" s="1007">
        <f t="shared" si="197"/>
        <v>46</v>
      </c>
      <c r="D10445" s="1012"/>
      <c r="I10445" s="1011" t="s">
        <v>2175</v>
      </c>
      <c r="K10445" s="1013"/>
    </row>
    <row r="10446" spans="1:11" s="1011" customFormat="1" ht="15" x14ac:dyDescent="0.25">
      <c r="A10446" s="859">
        <f t="shared" si="198"/>
        <v>10445</v>
      </c>
      <c r="B10446" s="845" t="s">
        <v>2564</v>
      </c>
      <c r="C10446" s="1007">
        <f t="shared" si="197"/>
        <v>46</v>
      </c>
      <c r="D10446" s="1012"/>
      <c r="I10446" s="1011" t="str">
        <f>CONCATENATE("&lt;valeur&gt;",VLOOKUP(C10446,'T16 Amort'!A:K,3,0),"&lt;/valeur&gt;")</f>
        <v>&lt;valeur&gt;&lt;/valeur&gt;</v>
      </c>
      <c r="K10446" s="1013"/>
    </row>
    <row r="10447" spans="1:11" s="1011" customFormat="1" ht="15" x14ac:dyDescent="0.25">
      <c r="A10447" s="859">
        <f t="shared" si="198"/>
        <v>10446</v>
      </c>
      <c r="B10447" s="845" t="s">
        <v>2564</v>
      </c>
      <c r="C10447" s="1007">
        <f t="shared" si="197"/>
        <v>46</v>
      </c>
      <c r="D10447" s="1014"/>
      <c r="I10447" s="1011" t="str">
        <f>CONCATENATE("&lt;numeroLigne&gt;",C10447,"&lt;/numeroLigne&gt;")</f>
        <v>&lt;numeroLigne&gt;46&lt;/numeroLigne&gt;</v>
      </c>
      <c r="K10447" s="1013"/>
    </row>
    <row r="10448" spans="1:11" s="1011" customFormat="1" ht="15" x14ac:dyDescent="0.25">
      <c r="A10448" s="859">
        <f t="shared" si="198"/>
        <v>10447</v>
      </c>
      <c r="B10448" s="845" t="s">
        <v>2564</v>
      </c>
      <c r="C10448" s="1007">
        <f t="shared" si="197"/>
        <v>46</v>
      </c>
      <c r="D10448" s="1014"/>
      <c r="H10448" s="1011" t="s">
        <v>1010</v>
      </c>
      <c r="K10448" s="1013"/>
    </row>
    <row r="10449" spans="1:11" s="1011" customFormat="1" ht="15" x14ac:dyDescent="0.25">
      <c r="A10449" s="859">
        <f t="shared" si="198"/>
        <v>10448</v>
      </c>
      <c r="B10449" s="845" t="s">
        <v>2564</v>
      </c>
      <c r="C10449" s="1007">
        <f t="shared" si="197"/>
        <v>46</v>
      </c>
      <c r="D10449" s="1012"/>
      <c r="H10449" s="1011" t="s">
        <v>1007</v>
      </c>
      <c r="K10449" s="1013"/>
    </row>
    <row r="10450" spans="1:11" s="1011" customFormat="1" ht="15" x14ac:dyDescent="0.25">
      <c r="A10450" s="859">
        <f t="shared" si="198"/>
        <v>10449</v>
      </c>
      <c r="B10450" s="845" t="s">
        <v>2564</v>
      </c>
      <c r="C10450" s="1007">
        <f t="shared" si="197"/>
        <v>46</v>
      </c>
      <c r="D10450" s="1015"/>
      <c r="I10450" s="1011" t="s">
        <v>2176</v>
      </c>
      <c r="K10450" s="1013"/>
    </row>
    <row r="10451" spans="1:11" s="1011" customFormat="1" ht="15" x14ac:dyDescent="0.25">
      <c r="A10451" s="859">
        <f t="shared" si="198"/>
        <v>10450</v>
      </c>
      <c r="B10451" s="845" t="s">
        <v>2564</v>
      </c>
      <c r="C10451" s="1007">
        <f t="shared" si="197"/>
        <v>46</v>
      </c>
      <c r="D10451" s="1012"/>
      <c r="I10451" s="1011" t="str">
        <f>CONCATENATE("&lt;valeur&gt;",VLOOKUP(C10451,'T16 Amort'!A:K,4,0),"&lt;/valeur&gt;")</f>
        <v>&lt;valeur&gt;&lt;/valeur&gt;</v>
      </c>
      <c r="K10451" s="1013"/>
    </row>
    <row r="10452" spans="1:11" s="1011" customFormat="1" ht="15" x14ac:dyDescent="0.25">
      <c r="A10452" s="859">
        <f t="shared" si="198"/>
        <v>10451</v>
      </c>
      <c r="B10452" s="845" t="s">
        <v>2564</v>
      </c>
      <c r="C10452" s="1007">
        <f t="shared" si="197"/>
        <v>46</v>
      </c>
      <c r="D10452" s="1012"/>
      <c r="I10452" s="1011" t="str">
        <f>CONCATENATE("&lt;numeroLigne&gt;",C10452,"&lt;/numeroLigne&gt;")</f>
        <v>&lt;numeroLigne&gt;46&lt;/numeroLigne&gt;</v>
      </c>
      <c r="K10452" s="1013"/>
    </row>
    <row r="10453" spans="1:11" s="1011" customFormat="1" ht="15" x14ac:dyDescent="0.25">
      <c r="A10453" s="859">
        <f t="shared" si="198"/>
        <v>10452</v>
      </c>
      <c r="B10453" s="845" t="s">
        <v>2564</v>
      </c>
      <c r="C10453" s="1007">
        <f t="shared" si="197"/>
        <v>46</v>
      </c>
      <c r="D10453" s="1014"/>
      <c r="H10453" s="1011" t="s">
        <v>1010</v>
      </c>
      <c r="K10453" s="1013"/>
    </row>
    <row r="10454" spans="1:11" s="1011" customFormat="1" ht="15" x14ac:dyDescent="0.25">
      <c r="A10454" s="859">
        <f t="shared" si="198"/>
        <v>10453</v>
      </c>
      <c r="B10454" s="845" t="s">
        <v>2564</v>
      </c>
      <c r="C10454" s="1007">
        <f t="shared" si="197"/>
        <v>46</v>
      </c>
      <c r="D10454" s="1014"/>
      <c r="H10454" s="1011" t="s">
        <v>1007</v>
      </c>
      <c r="K10454" s="1013"/>
    </row>
    <row r="10455" spans="1:11" s="1011" customFormat="1" ht="15" x14ac:dyDescent="0.25">
      <c r="A10455" s="859">
        <f t="shared" si="198"/>
        <v>10454</v>
      </c>
      <c r="B10455" s="845" t="s">
        <v>2564</v>
      </c>
      <c r="C10455" s="1007">
        <f t="shared" si="197"/>
        <v>46</v>
      </c>
      <c r="D10455" s="1012"/>
      <c r="I10455" s="1011" t="s">
        <v>2177</v>
      </c>
      <c r="K10455" s="1013"/>
    </row>
    <row r="10456" spans="1:11" s="1011" customFormat="1" ht="15" x14ac:dyDescent="0.25">
      <c r="A10456" s="859">
        <f t="shared" si="198"/>
        <v>10455</v>
      </c>
      <c r="B10456" s="845" t="s">
        <v>2564</v>
      </c>
      <c r="C10456" s="1007">
        <f t="shared" si="197"/>
        <v>46</v>
      </c>
      <c r="D10456" s="1015"/>
      <c r="I10456" s="1011" t="str">
        <f>CONCATENATE("&lt;valeur&gt;",VLOOKUP(C10456,'T16 Amort'!A:K,5,0),"&lt;/valeur&gt;")</f>
        <v>&lt;valeur&gt;&lt;/valeur&gt;</v>
      </c>
      <c r="K10456" s="1013"/>
    </row>
    <row r="10457" spans="1:11" s="1011" customFormat="1" ht="15" x14ac:dyDescent="0.25">
      <c r="A10457" s="859">
        <f t="shared" si="198"/>
        <v>10456</v>
      </c>
      <c r="B10457" s="845" t="s">
        <v>2564</v>
      </c>
      <c r="C10457" s="1007">
        <f t="shared" si="197"/>
        <v>46</v>
      </c>
      <c r="D10457" s="1012"/>
      <c r="I10457" s="1011" t="str">
        <f>CONCATENATE("&lt;numeroLigne&gt;",C10457,"&lt;/numeroLigne&gt;")</f>
        <v>&lt;numeroLigne&gt;46&lt;/numeroLigne&gt;</v>
      </c>
      <c r="K10457" s="1013"/>
    </row>
    <row r="10458" spans="1:11" s="1011" customFormat="1" ht="15" x14ac:dyDescent="0.25">
      <c r="A10458" s="859">
        <f t="shared" si="198"/>
        <v>10457</v>
      </c>
      <c r="B10458" s="845" t="s">
        <v>2564</v>
      </c>
      <c r="C10458" s="1007">
        <f t="shared" si="197"/>
        <v>46</v>
      </c>
      <c r="D10458" s="1012"/>
      <c r="H10458" s="1011" t="s">
        <v>1010</v>
      </c>
      <c r="K10458" s="1013"/>
    </row>
    <row r="10459" spans="1:11" s="1011" customFormat="1" ht="15" x14ac:dyDescent="0.25">
      <c r="A10459" s="859">
        <f t="shared" si="198"/>
        <v>10458</v>
      </c>
      <c r="B10459" s="845" t="s">
        <v>2564</v>
      </c>
      <c r="C10459" s="1007">
        <f t="shared" si="197"/>
        <v>46</v>
      </c>
      <c r="D10459" s="1014"/>
      <c r="H10459" s="1011" t="s">
        <v>1007</v>
      </c>
      <c r="K10459" s="1013"/>
    </row>
    <row r="10460" spans="1:11" s="1011" customFormat="1" ht="15" x14ac:dyDescent="0.25">
      <c r="A10460" s="859">
        <f t="shared" si="198"/>
        <v>10459</v>
      </c>
      <c r="B10460" s="845" t="s">
        <v>2564</v>
      </c>
      <c r="C10460" s="1007">
        <f t="shared" si="197"/>
        <v>46</v>
      </c>
      <c r="D10460" s="1014"/>
      <c r="I10460" s="1011" t="s">
        <v>2178</v>
      </c>
      <c r="K10460" s="1013"/>
    </row>
    <row r="10461" spans="1:11" s="1011" customFormat="1" ht="15" x14ac:dyDescent="0.25">
      <c r="A10461" s="859">
        <f t="shared" si="198"/>
        <v>10460</v>
      </c>
      <c r="B10461" s="845" t="s">
        <v>2564</v>
      </c>
      <c r="C10461" s="1007">
        <f t="shared" si="197"/>
        <v>46</v>
      </c>
      <c r="D10461" s="1012"/>
      <c r="I10461" s="1011" t="str">
        <f>CONCATENATE("&lt;valeur&gt;",VLOOKUP(C10461,'T16 Amort'!A:K,6,0),"&lt;/valeur&gt;")</f>
        <v>&lt;valeur&gt;&lt;/valeur&gt;</v>
      </c>
      <c r="K10461" s="1013"/>
    </row>
    <row r="10462" spans="1:11" s="1011" customFormat="1" ht="15" x14ac:dyDescent="0.25">
      <c r="A10462" s="859">
        <f t="shared" si="198"/>
        <v>10461</v>
      </c>
      <c r="B10462" s="845" t="s">
        <v>2564</v>
      </c>
      <c r="C10462" s="1007">
        <f t="shared" si="197"/>
        <v>46</v>
      </c>
      <c r="D10462" s="1015"/>
      <c r="I10462" s="1011" t="str">
        <f>CONCATENATE("&lt;numeroLigne&gt;",C10462,"&lt;/numeroLigne&gt;")</f>
        <v>&lt;numeroLigne&gt;46&lt;/numeroLigne&gt;</v>
      </c>
      <c r="K10462" s="1013"/>
    </row>
    <row r="10463" spans="1:11" s="1011" customFormat="1" ht="15" x14ac:dyDescent="0.25">
      <c r="A10463" s="859">
        <f t="shared" si="198"/>
        <v>10462</v>
      </c>
      <c r="B10463" s="845" t="s">
        <v>2564</v>
      </c>
      <c r="C10463" s="1007">
        <f t="shared" si="197"/>
        <v>46</v>
      </c>
      <c r="D10463" s="1012"/>
      <c r="H10463" s="1011" t="s">
        <v>1010</v>
      </c>
      <c r="K10463" s="1013"/>
    </row>
    <row r="10464" spans="1:11" s="1011" customFormat="1" ht="15" x14ac:dyDescent="0.25">
      <c r="A10464" s="859">
        <f t="shared" si="198"/>
        <v>10463</v>
      </c>
      <c r="B10464" s="845" t="s">
        <v>2564</v>
      </c>
      <c r="C10464" s="1007">
        <f t="shared" si="197"/>
        <v>46</v>
      </c>
      <c r="D10464" s="1012"/>
      <c r="H10464" s="1011" t="s">
        <v>1007</v>
      </c>
      <c r="K10464" s="1013"/>
    </row>
    <row r="10465" spans="1:11" s="1011" customFormat="1" ht="15" x14ac:dyDescent="0.25">
      <c r="A10465" s="859">
        <f t="shared" si="198"/>
        <v>10464</v>
      </c>
      <c r="B10465" s="845" t="s">
        <v>2564</v>
      </c>
      <c r="C10465" s="1007">
        <f t="shared" si="197"/>
        <v>46</v>
      </c>
      <c r="D10465" s="1014"/>
      <c r="I10465" s="1011" t="s">
        <v>2179</v>
      </c>
      <c r="K10465" s="1013"/>
    </row>
    <row r="10466" spans="1:11" s="1011" customFormat="1" ht="15" x14ac:dyDescent="0.25">
      <c r="A10466" s="859">
        <f t="shared" si="198"/>
        <v>10465</v>
      </c>
      <c r="B10466" s="845" t="s">
        <v>2564</v>
      </c>
      <c r="C10466" s="1007">
        <f t="shared" si="197"/>
        <v>46</v>
      </c>
      <c r="D10466" s="1014"/>
      <c r="I10466" s="1011" t="str">
        <f>CONCATENATE("&lt;valeur&gt;",VLOOKUP(C10466,'T16 Amort'!A:K,7,0),"&lt;/valeur&gt;")</f>
        <v>&lt;valeur&gt;&lt;/valeur&gt;</v>
      </c>
      <c r="K10466" s="1013"/>
    </row>
    <row r="10467" spans="1:11" s="1011" customFormat="1" ht="15" x14ac:dyDescent="0.25">
      <c r="A10467" s="859">
        <f t="shared" si="198"/>
        <v>10466</v>
      </c>
      <c r="B10467" s="845" t="s">
        <v>2564</v>
      </c>
      <c r="C10467" s="1007">
        <f t="shared" si="197"/>
        <v>46</v>
      </c>
      <c r="D10467" s="1012"/>
      <c r="I10467" s="1011" t="str">
        <f>CONCATENATE("&lt;numeroLigne&gt;",C10467,"&lt;/numeroLigne&gt;")</f>
        <v>&lt;numeroLigne&gt;46&lt;/numeroLigne&gt;</v>
      </c>
      <c r="K10467" s="1013"/>
    </row>
    <row r="10468" spans="1:11" s="1011" customFormat="1" ht="15" x14ac:dyDescent="0.25">
      <c r="A10468" s="859">
        <f t="shared" si="198"/>
        <v>10467</v>
      </c>
      <c r="B10468" s="845" t="s">
        <v>2564</v>
      </c>
      <c r="C10468" s="1007">
        <f t="shared" si="197"/>
        <v>46</v>
      </c>
      <c r="D10468" s="1015"/>
      <c r="H10468" s="1011" t="s">
        <v>1010</v>
      </c>
      <c r="K10468" s="1013"/>
    </row>
    <row r="10469" spans="1:11" s="1011" customFormat="1" ht="15" x14ac:dyDescent="0.25">
      <c r="A10469" s="859">
        <f t="shared" si="198"/>
        <v>10468</v>
      </c>
      <c r="B10469" s="845" t="s">
        <v>2564</v>
      </c>
      <c r="C10469" s="1007">
        <f t="shared" si="197"/>
        <v>46</v>
      </c>
      <c r="D10469" s="1012"/>
      <c r="H10469" s="1011" t="s">
        <v>1007</v>
      </c>
      <c r="K10469" s="1013"/>
    </row>
    <row r="10470" spans="1:11" s="1011" customFormat="1" ht="15" x14ac:dyDescent="0.25">
      <c r="A10470" s="859">
        <f t="shared" si="198"/>
        <v>10469</v>
      </c>
      <c r="B10470" s="845" t="s">
        <v>2564</v>
      </c>
      <c r="C10470" s="1007">
        <f t="shared" si="197"/>
        <v>46</v>
      </c>
      <c r="D10470" s="1012"/>
      <c r="I10470" s="1011" t="s">
        <v>2180</v>
      </c>
      <c r="K10470" s="1013"/>
    </row>
    <row r="10471" spans="1:11" s="1011" customFormat="1" ht="15" x14ac:dyDescent="0.25">
      <c r="A10471" s="859">
        <f t="shared" si="198"/>
        <v>10470</v>
      </c>
      <c r="B10471" s="845" t="s">
        <v>2564</v>
      </c>
      <c r="C10471" s="1007">
        <f t="shared" si="197"/>
        <v>46</v>
      </c>
      <c r="D10471" s="1014"/>
      <c r="I10471" s="1011" t="str">
        <f>CONCATENATE("&lt;valeur&gt;",VLOOKUP(C10471,'T16 Amort'!A:K,8,0),"&lt;/valeur&gt;")</f>
        <v>&lt;valeur&gt;&lt;/valeur&gt;</v>
      </c>
      <c r="K10471" s="1013"/>
    </row>
    <row r="10472" spans="1:11" s="1011" customFormat="1" ht="15" x14ac:dyDescent="0.25">
      <c r="A10472" s="859">
        <f t="shared" si="198"/>
        <v>10471</v>
      </c>
      <c r="B10472" s="845" t="s">
        <v>2564</v>
      </c>
      <c r="C10472" s="1007">
        <f t="shared" si="197"/>
        <v>46</v>
      </c>
      <c r="D10472" s="1014"/>
      <c r="I10472" s="1011" t="str">
        <f>CONCATENATE("&lt;numeroLigne&gt;",C10472,"&lt;/numeroLigne&gt;")</f>
        <v>&lt;numeroLigne&gt;46&lt;/numeroLigne&gt;</v>
      </c>
      <c r="K10472" s="1013"/>
    </row>
    <row r="10473" spans="1:11" s="1011" customFormat="1" ht="15" x14ac:dyDescent="0.25">
      <c r="A10473" s="859">
        <f t="shared" si="198"/>
        <v>10472</v>
      </c>
      <c r="B10473" s="845" t="s">
        <v>2564</v>
      </c>
      <c r="C10473" s="1007">
        <f t="shared" si="197"/>
        <v>46</v>
      </c>
      <c r="D10473" s="1012"/>
      <c r="H10473" s="1011" t="s">
        <v>1010</v>
      </c>
      <c r="K10473" s="1013"/>
    </row>
    <row r="10474" spans="1:11" s="1011" customFormat="1" ht="15" x14ac:dyDescent="0.25">
      <c r="A10474" s="859">
        <f t="shared" si="198"/>
        <v>10473</v>
      </c>
      <c r="B10474" s="845" t="s">
        <v>2564</v>
      </c>
      <c r="C10474" s="1007">
        <f t="shared" si="197"/>
        <v>46</v>
      </c>
      <c r="D10474" s="1015"/>
      <c r="H10474" s="1011" t="s">
        <v>1007</v>
      </c>
      <c r="K10474" s="1013"/>
    </row>
    <row r="10475" spans="1:11" s="1011" customFormat="1" ht="15" x14ac:dyDescent="0.25">
      <c r="A10475" s="859">
        <f t="shared" si="198"/>
        <v>10474</v>
      </c>
      <c r="B10475" s="845" t="s">
        <v>2564</v>
      </c>
      <c r="C10475" s="1007">
        <f t="shared" si="197"/>
        <v>46</v>
      </c>
      <c r="D10475" s="1012"/>
      <c r="I10475" s="1011" t="s">
        <v>2181</v>
      </c>
      <c r="K10475" s="1013"/>
    </row>
    <row r="10476" spans="1:11" s="1011" customFormat="1" ht="15" x14ac:dyDescent="0.25">
      <c r="A10476" s="859">
        <f t="shared" si="198"/>
        <v>10475</v>
      </c>
      <c r="B10476" s="845" t="s">
        <v>2564</v>
      </c>
      <c r="C10476" s="1007">
        <f t="shared" si="197"/>
        <v>46</v>
      </c>
      <c r="D10476" s="1012"/>
      <c r="I10476" s="1011" t="str">
        <f>CONCATENATE("&lt;valeur&gt;",VLOOKUP(C10476,'T16 Amort'!A:K,9,0),"&lt;/valeur&gt;")</f>
        <v>&lt;valeur&gt;&lt;/valeur&gt;</v>
      </c>
      <c r="K10476" s="1013"/>
    </row>
    <row r="10477" spans="1:11" s="1011" customFormat="1" ht="15" x14ac:dyDescent="0.25">
      <c r="A10477" s="859">
        <f t="shared" si="198"/>
        <v>10476</v>
      </c>
      <c r="B10477" s="845" t="s">
        <v>2564</v>
      </c>
      <c r="C10477" s="1007">
        <f t="shared" si="197"/>
        <v>46</v>
      </c>
      <c r="D10477" s="1014"/>
      <c r="I10477" s="1011" t="str">
        <f>CONCATENATE("&lt;numeroLigne&gt;",C10477,"&lt;/numeroLigne&gt;")</f>
        <v>&lt;numeroLigne&gt;46&lt;/numeroLigne&gt;</v>
      </c>
      <c r="K10477" s="1013"/>
    </row>
    <row r="10478" spans="1:11" s="1011" customFormat="1" ht="15" x14ac:dyDescent="0.25">
      <c r="A10478" s="859">
        <f t="shared" si="198"/>
        <v>10477</v>
      </c>
      <c r="B10478" s="845" t="s">
        <v>2564</v>
      </c>
      <c r="C10478" s="1007">
        <f t="shared" si="197"/>
        <v>46</v>
      </c>
      <c r="D10478" s="1014"/>
      <c r="H10478" s="1011" t="s">
        <v>1010</v>
      </c>
      <c r="K10478" s="1013"/>
    </row>
    <row r="10479" spans="1:11" s="1011" customFormat="1" ht="15" x14ac:dyDescent="0.25">
      <c r="A10479" s="859">
        <f t="shared" si="198"/>
        <v>10478</v>
      </c>
      <c r="B10479" s="845" t="s">
        <v>2564</v>
      </c>
      <c r="C10479" s="1007">
        <f t="shared" ref="C10479:C10542" si="199">C10429+1</f>
        <v>46</v>
      </c>
      <c r="D10479" s="1012"/>
      <c r="H10479" s="1011" t="s">
        <v>1007</v>
      </c>
      <c r="K10479" s="1013"/>
    </row>
    <row r="10480" spans="1:11" s="1011" customFormat="1" ht="15" x14ac:dyDescent="0.25">
      <c r="A10480" s="859">
        <f t="shared" si="198"/>
        <v>10479</v>
      </c>
      <c r="B10480" s="845" t="s">
        <v>2564</v>
      </c>
      <c r="C10480" s="1007">
        <f t="shared" si="199"/>
        <v>46</v>
      </c>
      <c r="D10480" s="1015"/>
      <c r="I10480" s="1011" t="s">
        <v>2182</v>
      </c>
      <c r="K10480" s="1013"/>
    </row>
    <row r="10481" spans="1:11" s="1011" customFormat="1" ht="15" x14ac:dyDescent="0.25">
      <c r="A10481" s="859">
        <f t="shared" si="198"/>
        <v>10480</v>
      </c>
      <c r="B10481" s="845" t="s">
        <v>2564</v>
      </c>
      <c r="C10481" s="1007">
        <f t="shared" si="199"/>
        <v>46</v>
      </c>
      <c r="D10481" s="1012"/>
      <c r="I10481" s="1011" t="str">
        <f>CONCATENATE("&lt;valeur&gt;",VLOOKUP(C10481,'T16 Amort'!A:K,10,0),"&lt;/valeur&gt;")</f>
        <v>&lt;valeur&gt;&lt;/valeur&gt;</v>
      </c>
      <c r="K10481" s="1013"/>
    </row>
    <row r="10482" spans="1:11" s="1011" customFormat="1" ht="15" x14ac:dyDescent="0.25">
      <c r="A10482" s="859">
        <f t="shared" si="198"/>
        <v>10481</v>
      </c>
      <c r="B10482" s="845" t="s">
        <v>2564</v>
      </c>
      <c r="C10482" s="1007">
        <f t="shared" si="199"/>
        <v>46</v>
      </c>
      <c r="D10482" s="1012"/>
      <c r="I10482" s="1011" t="str">
        <f>CONCATENATE("&lt;numeroLigne&gt;",C10482,"&lt;/numeroLigne&gt;")</f>
        <v>&lt;numeroLigne&gt;46&lt;/numeroLigne&gt;</v>
      </c>
      <c r="K10482" s="1013"/>
    </row>
    <row r="10483" spans="1:11" s="1011" customFormat="1" ht="15" x14ac:dyDescent="0.25">
      <c r="A10483" s="859">
        <f t="shared" si="198"/>
        <v>10482</v>
      </c>
      <c r="B10483" s="845" t="s">
        <v>2564</v>
      </c>
      <c r="C10483" s="1007">
        <f t="shared" si="199"/>
        <v>46</v>
      </c>
      <c r="D10483" s="1014"/>
      <c r="H10483" s="1011" t="s">
        <v>1010</v>
      </c>
      <c r="K10483" s="1013"/>
    </row>
    <row r="10484" spans="1:11" s="1011" customFormat="1" ht="15" x14ac:dyDescent="0.25">
      <c r="A10484" s="859">
        <f t="shared" si="198"/>
        <v>10483</v>
      </c>
      <c r="B10484" s="845" t="s">
        <v>2564</v>
      </c>
      <c r="C10484" s="1007">
        <f t="shared" si="199"/>
        <v>46</v>
      </c>
      <c r="D10484" s="1014"/>
      <c r="H10484" s="1011" t="s">
        <v>1007</v>
      </c>
      <c r="K10484" s="1013"/>
    </row>
    <row r="10485" spans="1:11" s="1011" customFormat="1" ht="15" x14ac:dyDescent="0.25">
      <c r="A10485" s="859">
        <f t="shared" si="198"/>
        <v>10484</v>
      </c>
      <c r="B10485" s="845" t="s">
        <v>2564</v>
      </c>
      <c r="C10485" s="1007">
        <f t="shared" si="199"/>
        <v>46</v>
      </c>
      <c r="D10485" s="1012"/>
      <c r="I10485" s="1011" t="s">
        <v>2183</v>
      </c>
      <c r="K10485" s="1013"/>
    </row>
    <row r="10486" spans="1:11" s="1011" customFormat="1" ht="15" x14ac:dyDescent="0.25">
      <c r="A10486" s="859">
        <f t="shared" si="198"/>
        <v>10485</v>
      </c>
      <c r="B10486" s="845" t="s">
        <v>2564</v>
      </c>
      <c r="C10486" s="1007">
        <f t="shared" si="199"/>
        <v>46</v>
      </c>
      <c r="D10486" s="1015"/>
      <c r="I10486" s="1011" t="str">
        <f>CONCATENATE("&lt;valeur&gt;",VLOOKUP(C10486,'T16 Amort'!A:K,11,0),"&lt;/valeur&gt;")</f>
        <v>&lt;valeur&gt;&lt;/valeur&gt;</v>
      </c>
      <c r="K10486" s="1013"/>
    </row>
    <row r="10487" spans="1:11" s="1011" customFormat="1" ht="15" x14ac:dyDescent="0.25">
      <c r="A10487" s="859">
        <f t="shared" si="198"/>
        <v>10486</v>
      </c>
      <c r="B10487" s="845" t="s">
        <v>2564</v>
      </c>
      <c r="C10487" s="1007">
        <f t="shared" si="199"/>
        <v>46</v>
      </c>
      <c r="D10487" s="1012"/>
      <c r="I10487" s="1011" t="str">
        <f>CONCATENATE("&lt;numeroLigne&gt;",C10487,"&lt;/numeroLigne&gt;")</f>
        <v>&lt;numeroLigne&gt;46&lt;/numeroLigne&gt;</v>
      </c>
      <c r="K10487" s="1013"/>
    </row>
    <row r="10488" spans="1:11" s="1011" customFormat="1" ht="15" x14ac:dyDescent="0.25">
      <c r="A10488" s="859">
        <f t="shared" si="198"/>
        <v>10487</v>
      </c>
      <c r="B10488" s="845" t="s">
        <v>2564</v>
      </c>
      <c r="C10488" s="1007">
        <f t="shared" si="199"/>
        <v>46</v>
      </c>
      <c r="D10488" s="1016"/>
      <c r="E10488" s="1017"/>
      <c r="F10488" s="1017"/>
      <c r="G10488" s="1017"/>
      <c r="H10488" s="1017" t="s">
        <v>1010</v>
      </c>
      <c r="I10488" s="1017"/>
      <c r="J10488" s="1017"/>
      <c r="K10488" s="1018"/>
    </row>
    <row r="10489" spans="1:11" s="1011" customFormat="1" ht="15" x14ac:dyDescent="0.25">
      <c r="A10489" s="859">
        <f t="shared" si="198"/>
        <v>10488</v>
      </c>
      <c r="B10489" s="845" t="s">
        <v>2564</v>
      </c>
      <c r="C10489" s="1007">
        <f t="shared" si="199"/>
        <v>47</v>
      </c>
      <c r="D10489" s="1008"/>
      <c r="E10489" s="1009"/>
      <c r="F10489" s="1009"/>
      <c r="G10489" s="1009"/>
      <c r="H10489" s="1009" t="s">
        <v>1007</v>
      </c>
      <c r="I10489" s="1009"/>
      <c r="J10489" s="1009"/>
      <c r="K10489" s="1010"/>
    </row>
    <row r="10490" spans="1:11" s="1011" customFormat="1" ht="15" x14ac:dyDescent="0.25">
      <c r="A10490" s="859">
        <f t="shared" si="198"/>
        <v>10489</v>
      </c>
      <c r="B10490" s="845" t="s">
        <v>2564</v>
      </c>
      <c r="C10490" s="1007">
        <f t="shared" si="199"/>
        <v>47</v>
      </c>
      <c r="D10490" s="1012"/>
      <c r="I10490" s="1011" t="s">
        <v>2174</v>
      </c>
      <c r="K10490" s="1013"/>
    </row>
    <row r="10491" spans="1:11" s="1011" customFormat="1" ht="15" x14ac:dyDescent="0.25">
      <c r="A10491" s="859">
        <f t="shared" si="198"/>
        <v>10490</v>
      </c>
      <c r="B10491" s="845" t="s">
        <v>2564</v>
      </c>
      <c r="C10491" s="1007">
        <f t="shared" si="199"/>
        <v>47</v>
      </c>
      <c r="D10491" s="1014"/>
      <c r="I10491" s="1011" t="str">
        <f>CONCATENATE("&lt;valeur&gt;",VLOOKUP(C10491,'T16 Amort'!A:K,2,0),"&lt;/valeur&gt;")</f>
        <v>&lt;valeur&gt;&lt;/valeur&gt;</v>
      </c>
      <c r="K10491" s="1013"/>
    </row>
    <row r="10492" spans="1:11" s="1011" customFormat="1" ht="15" x14ac:dyDescent="0.25">
      <c r="A10492" s="859">
        <f t="shared" si="198"/>
        <v>10491</v>
      </c>
      <c r="B10492" s="845" t="s">
        <v>2564</v>
      </c>
      <c r="C10492" s="1007">
        <f t="shared" si="199"/>
        <v>47</v>
      </c>
      <c r="D10492" s="1014"/>
      <c r="I10492" s="1011" t="str">
        <f>CONCATENATE("&lt;numeroLigne&gt;",C10492,"&lt;/numeroLigne&gt;")</f>
        <v>&lt;numeroLigne&gt;47&lt;/numeroLigne&gt;</v>
      </c>
      <c r="K10492" s="1013"/>
    </row>
    <row r="10493" spans="1:11" s="1011" customFormat="1" ht="15" x14ac:dyDescent="0.25">
      <c r="A10493" s="859">
        <f t="shared" si="198"/>
        <v>10492</v>
      </c>
      <c r="B10493" s="845" t="s">
        <v>2564</v>
      </c>
      <c r="C10493" s="1007">
        <f t="shared" si="199"/>
        <v>47</v>
      </c>
      <c r="D10493" s="1012"/>
      <c r="H10493" s="1011" t="s">
        <v>1010</v>
      </c>
      <c r="K10493" s="1013"/>
    </row>
    <row r="10494" spans="1:11" s="1011" customFormat="1" ht="15" x14ac:dyDescent="0.25">
      <c r="A10494" s="859">
        <f t="shared" si="198"/>
        <v>10493</v>
      </c>
      <c r="B10494" s="845" t="s">
        <v>2564</v>
      </c>
      <c r="C10494" s="1007">
        <f t="shared" si="199"/>
        <v>47</v>
      </c>
      <c r="D10494" s="1015"/>
      <c r="H10494" s="1011" t="s">
        <v>1007</v>
      </c>
      <c r="K10494" s="1013"/>
    </row>
    <row r="10495" spans="1:11" s="1011" customFormat="1" ht="15" x14ac:dyDescent="0.25">
      <c r="A10495" s="859">
        <f t="shared" si="198"/>
        <v>10494</v>
      </c>
      <c r="B10495" s="845" t="s">
        <v>2564</v>
      </c>
      <c r="C10495" s="1007">
        <f t="shared" si="199"/>
        <v>47</v>
      </c>
      <c r="D10495" s="1012"/>
      <c r="I10495" s="1011" t="s">
        <v>2175</v>
      </c>
      <c r="K10495" s="1013"/>
    </row>
    <row r="10496" spans="1:11" s="1011" customFormat="1" ht="15" x14ac:dyDescent="0.25">
      <c r="A10496" s="859">
        <f t="shared" si="198"/>
        <v>10495</v>
      </c>
      <c r="B10496" s="845" t="s">
        <v>2564</v>
      </c>
      <c r="C10496" s="1007">
        <f t="shared" si="199"/>
        <v>47</v>
      </c>
      <c r="D10496" s="1012"/>
      <c r="I10496" s="1011" t="str">
        <f>CONCATENATE("&lt;valeur&gt;",VLOOKUP(C10496,'T16 Amort'!A:K,3,0),"&lt;/valeur&gt;")</f>
        <v>&lt;valeur&gt;&lt;/valeur&gt;</v>
      </c>
      <c r="K10496" s="1013"/>
    </row>
    <row r="10497" spans="1:11" s="1011" customFormat="1" ht="15" x14ac:dyDescent="0.25">
      <c r="A10497" s="859">
        <f t="shared" si="198"/>
        <v>10496</v>
      </c>
      <c r="B10497" s="845" t="s">
        <v>2564</v>
      </c>
      <c r="C10497" s="1007">
        <f t="shared" si="199"/>
        <v>47</v>
      </c>
      <c r="D10497" s="1014"/>
      <c r="I10497" s="1011" t="str">
        <f>CONCATENATE("&lt;numeroLigne&gt;",C10497,"&lt;/numeroLigne&gt;")</f>
        <v>&lt;numeroLigne&gt;47&lt;/numeroLigne&gt;</v>
      </c>
      <c r="K10497" s="1013"/>
    </row>
    <row r="10498" spans="1:11" s="1011" customFormat="1" ht="15" x14ac:dyDescent="0.25">
      <c r="A10498" s="859">
        <f t="shared" si="198"/>
        <v>10497</v>
      </c>
      <c r="B10498" s="845" t="s">
        <v>2564</v>
      </c>
      <c r="C10498" s="1007">
        <f t="shared" si="199"/>
        <v>47</v>
      </c>
      <c r="D10498" s="1014"/>
      <c r="H10498" s="1011" t="s">
        <v>1010</v>
      </c>
      <c r="K10498" s="1013"/>
    </row>
    <row r="10499" spans="1:11" s="1011" customFormat="1" ht="15" x14ac:dyDescent="0.25">
      <c r="A10499" s="859">
        <f t="shared" si="198"/>
        <v>10498</v>
      </c>
      <c r="B10499" s="845" t="s">
        <v>2564</v>
      </c>
      <c r="C10499" s="1007">
        <f t="shared" si="199"/>
        <v>47</v>
      </c>
      <c r="D10499" s="1012"/>
      <c r="H10499" s="1011" t="s">
        <v>1007</v>
      </c>
      <c r="K10499" s="1013"/>
    </row>
    <row r="10500" spans="1:11" s="1011" customFormat="1" ht="15" x14ac:dyDescent="0.25">
      <c r="A10500" s="859">
        <f t="shared" ref="A10500:A10563" si="200">+A10499+1</f>
        <v>10499</v>
      </c>
      <c r="B10500" s="845" t="s">
        <v>2564</v>
      </c>
      <c r="C10500" s="1007">
        <f t="shared" si="199"/>
        <v>47</v>
      </c>
      <c r="D10500" s="1015"/>
      <c r="I10500" s="1011" t="s">
        <v>2176</v>
      </c>
      <c r="K10500" s="1013"/>
    </row>
    <row r="10501" spans="1:11" s="1011" customFormat="1" ht="15" x14ac:dyDescent="0.25">
      <c r="A10501" s="859">
        <f t="shared" si="200"/>
        <v>10500</v>
      </c>
      <c r="B10501" s="845" t="s">
        <v>2564</v>
      </c>
      <c r="C10501" s="1007">
        <f t="shared" si="199"/>
        <v>47</v>
      </c>
      <c r="D10501" s="1012"/>
      <c r="I10501" s="1011" t="str">
        <f>CONCATENATE("&lt;valeur&gt;",VLOOKUP(C10501,'T16 Amort'!A:K,4,0),"&lt;/valeur&gt;")</f>
        <v>&lt;valeur&gt;&lt;/valeur&gt;</v>
      </c>
      <c r="K10501" s="1013"/>
    </row>
    <row r="10502" spans="1:11" s="1011" customFormat="1" ht="15" x14ac:dyDescent="0.25">
      <c r="A10502" s="859">
        <f t="shared" si="200"/>
        <v>10501</v>
      </c>
      <c r="B10502" s="845" t="s">
        <v>2564</v>
      </c>
      <c r="C10502" s="1007">
        <f t="shared" si="199"/>
        <v>47</v>
      </c>
      <c r="D10502" s="1012"/>
      <c r="I10502" s="1011" t="str">
        <f>CONCATENATE("&lt;numeroLigne&gt;",C10502,"&lt;/numeroLigne&gt;")</f>
        <v>&lt;numeroLigne&gt;47&lt;/numeroLigne&gt;</v>
      </c>
      <c r="K10502" s="1013"/>
    </row>
    <row r="10503" spans="1:11" s="1011" customFormat="1" ht="15" x14ac:dyDescent="0.25">
      <c r="A10503" s="859">
        <f t="shared" si="200"/>
        <v>10502</v>
      </c>
      <c r="B10503" s="845" t="s">
        <v>2564</v>
      </c>
      <c r="C10503" s="1007">
        <f t="shared" si="199"/>
        <v>47</v>
      </c>
      <c r="D10503" s="1014"/>
      <c r="H10503" s="1011" t="s">
        <v>1010</v>
      </c>
      <c r="K10503" s="1013"/>
    </row>
    <row r="10504" spans="1:11" s="1011" customFormat="1" ht="15" x14ac:dyDescent="0.25">
      <c r="A10504" s="859">
        <f t="shared" si="200"/>
        <v>10503</v>
      </c>
      <c r="B10504" s="845" t="s">
        <v>2564</v>
      </c>
      <c r="C10504" s="1007">
        <f t="shared" si="199"/>
        <v>47</v>
      </c>
      <c r="D10504" s="1014"/>
      <c r="H10504" s="1011" t="s">
        <v>1007</v>
      </c>
      <c r="K10504" s="1013"/>
    </row>
    <row r="10505" spans="1:11" s="1011" customFormat="1" ht="15" x14ac:dyDescent="0.25">
      <c r="A10505" s="859">
        <f t="shared" si="200"/>
        <v>10504</v>
      </c>
      <c r="B10505" s="845" t="s">
        <v>2564</v>
      </c>
      <c r="C10505" s="1007">
        <f t="shared" si="199"/>
        <v>47</v>
      </c>
      <c r="D10505" s="1012"/>
      <c r="I10505" s="1011" t="s">
        <v>2177</v>
      </c>
      <c r="K10505" s="1013"/>
    </row>
    <row r="10506" spans="1:11" s="1011" customFormat="1" ht="15" x14ac:dyDescent="0.25">
      <c r="A10506" s="859">
        <f t="shared" si="200"/>
        <v>10505</v>
      </c>
      <c r="B10506" s="845" t="s">
        <v>2564</v>
      </c>
      <c r="C10506" s="1007">
        <f t="shared" si="199"/>
        <v>47</v>
      </c>
      <c r="D10506" s="1015"/>
      <c r="I10506" s="1011" t="str">
        <f>CONCATENATE("&lt;valeur&gt;",VLOOKUP(C10506,'T16 Amort'!A:K,5,0),"&lt;/valeur&gt;")</f>
        <v>&lt;valeur&gt;&lt;/valeur&gt;</v>
      </c>
      <c r="K10506" s="1013"/>
    </row>
    <row r="10507" spans="1:11" s="1011" customFormat="1" ht="15" x14ac:dyDescent="0.25">
      <c r="A10507" s="859">
        <f t="shared" si="200"/>
        <v>10506</v>
      </c>
      <c r="B10507" s="845" t="s">
        <v>2564</v>
      </c>
      <c r="C10507" s="1007">
        <f t="shared" si="199"/>
        <v>47</v>
      </c>
      <c r="D10507" s="1012"/>
      <c r="I10507" s="1011" t="str">
        <f>CONCATENATE("&lt;numeroLigne&gt;",C10507,"&lt;/numeroLigne&gt;")</f>
        <v>&lt;numeroLigne&gt;47&lt;/numeroLigne&gt;</v>
      </c>
      <c r="K10507" s="1013"/>
    </row>
    <row r="10508" spans="1:11" s="1011" customFormat="1" ht="15" x14ac:dyDescent="0.25">
      <c r="A10508" s="859">
        <f t="shared" si="200"/>
        <v>10507</v>
      </c>
      <c r="B10508" s="845" t="s">
        <v>2564</v>
      </c>
      <c r="C10508" s="1007">
        <f t="shared" si="199"/>
        <v>47</v>
      </c>
      <c r="D10508" s="1012"/>
      <c r="H10508" s="1011" t="s">
        <v>1010</v>
      </c>
      <c r="K10508" s="1013"/>
    </row>
    <row r="10509" spans="1:11" s="1011" customFormat="1" ht="15" x14ac:dyDescent="0.25">
      <c r="A10509" s="859">
        <f t="shared" si="200"/>
        <v>10508</v>
      </c>
      <c r="B10509" s="845" t="s">
        <v>2564</v>
      </c>
      <c r="C10509" s="1007">
        <f t="shared" si="199"/>
        <v>47</v>
      </c>
      <c r="D10509" s="1014"/>
      <c r="H10509" s="1011" t="s">
        <v>1007</v>
      </c>
      <c r="K10509" s="1013"/>
    </row>
    <row r="10510" spans="1:11" s="1011" customFormat="1" ht="15" x14ac:dyDescent="0.25">
      <c r="A10510" s="859">
        <f t="shared" si="200"/>
        <v>10509</v>
      </c>
      <c r="B10510" s="845" t="s">
        <v>2564</v>
      </c>
      <c r="C10510" s="1007">
        <f t="shared" si="199"/>
        <v>47</v>
      </c>
      <c r="D10510" s="1014"/>
      <c r="I10510" s="1011" t="s">
        <v>2178</v>
      </c>
      <c r="K10510" s="1013"/>
    </row>
    <row r="10511" spans="1:11" s="1011" customFormat="1" ht="15" x14ac:dyDescent="0.25">
      <c r="A10511" s="859">
        <f t="shared" si="200"/>
        <v>10510</v>
      </c>
      <c r="B10511" s="845" t="s">
        <v>2564</v>
      </c>
      <c r="C10511" s="1007">
        <f t="shared" si="199"/>
        <v>47</v>
      </c>
      <c r="D10511" s="1012"/>
      <c r="I10511" s="1011" t="str">
        <f>CONCATENATE("&lt;valeur&gt;",VLOOKUP(C10511,'T16 Amort'!A:K,6,0),"&lt;/valeur&gt;")</f>
        <v>&lt;valeur&gt;&lt;/valeur&gt;</v>
      </c>
      <c r="K10511" s="1013"/>
    </row>
    <row r="10512" spans="1:11" s="1011" customFormat="1" ht="15" x14ac:dyDescent="0.25">
      <c r="A10512" s="859">
        <f t="shared" si="200"/>
        <v>10511</v>
      </c>
      <c r="B10512" s="845" t="s">
        <v>2564</v>
      </c>
      <c r="C10512" s="1007">
        <f t="shared" si="199"/>
        <v>47</v>
      </c>
      <c r="D10512" s="1015"/>
      <c r="I10512" s="1011" t="str">
        <f>CONCATENATE("&lt;numeroLigne&gt;",C10512,"&lt;/numeroLigne&gt;")</f>
        <v>&lt;numeroLigne&gt;47&lt;/numeroLigne&gt;</v>
      </c>
      <c r="K10512" s="1013"/>
    </row>
    <row r="10513" spans="1:11" s="1011" customFormat="1" ht="15" x14ac:dyDescent="0.25">
      <c r="A10513" s="859">
        <f t="shared" si="200"/>
        <v>10512</v>
      </c>
      <c r="B10513" s="845" t="s">
        <v>2564</v>
      </c>
      <c r="C10513" s="1007">
        <f t="shared" si="199"/>
        <v>47</v>
      </c>
      <c r="D10513" s="1012"/>
      <c r="H10513" s="1011" t="s">
        <v>1010</v>
      </c>
      <c r="K10513" s="1013"/>
    </row>
    <row r="10514" spans="1:11" s="1011" customFormat="1" ht="15" x14ac:dyDescent="0.25">
      <c r="A10514" s="859">
        <f t="shared" si="200"/>
        <v>10513</v>
      </c>
      <c r="B10514" s="845" t="s">
        <v>2564</v>
      </c>
      <c r="C10514" s="1007">
        <f t="shared" si="199"/>
        <v>47</v>
      </c>
      <c r="D10514" s="1012"/>
      <c r="H10514" s="1011" t="s">
        <v>1007</v>
      </c>
      <c r="K10514" s="1013"/>
    </row>
    <row r="10515" spans="1:11" s="1011" customFormat="1" ht="15" x14ac:dyDescent="0.25">
      <c r="A10515" s="859">
        <f t="shared" si="200"/>
        <v>10514</v>
      </c>
      <c r="B10515" s="845" t="s">
        <v>2564</v>
      </c>
      <c r="C10515" s="1007">
        <f t="shared" si="199"/>
        <v>47</v>
      </c>
      <c r="D10515" s="1014"/>
      <c r="I10515" s="1011" t="s">
        <v>2179</v>
      </c>
      <c r="K10515" s="1013"/>
    </row>
    <row r="10516" spans="1:11" s="1011" customFormat="1" ht="15" x14ac:dyDescent="0.25">
      <c r="A10516" s="859">
        <f t="shared" si="200"/>
        <v>10515</v>
      </c>
      <c r="B10516" s="845" t="s">
        <v>2564</v>
      </c>
      <c r="C10516" s="1007">
        <f t="shared" si="199"/>
        <v>47</v>
      </c>
      <c r="D10516" s="1014"/>
      <c r="I10516" s="1011" t="str">
        <f>CONCATENATE("&lt;valeur&gt;",VLOOKUP(C10516,'T16 Amort'!A:K,7,0),"&lt;/valeur&gt;")</f>
        <v>&lt;valeur&gt;&lt;/valeur&gt;</v>
      </c>
      <c r="K10516" s="1013"/>
    </row>
    <row r="10517" spans="1:11" s="1011" customFormat="1" ht="15" x14ac:dyDescent="0.25">
      <c r="A10517" s="859">
        <f t="shared" si="200"/>
        <v>10516</v>
      </c>
      <c r="B10517" s="845" t="s">
        <v>2564</v>
      </c>
      <c r="C10517" s="1007">
        <f t="shared" si="199"/>
        <v>47</v>
      </c>
      <c r="D10517" s="1012"/>
      <c r="I10517" s="1011" t="str">
        <f>CONCATENATE("&lt;numeroLigne&gt;",C10517,"&lt;/numeroLigne&gt;")</f>
        <v>&lt;numeroLigne&gt;47&lt;/numeroLigne&gt;</v>
      </c>
      <c r="K10517" s="1013"/>
    </row>
    <row r="10518" spans="1:11" s="1011" customFormat="1" ht="15" x14ac:dyDescent="0.25">
      <c r="A10518" s="859">
        <f t="shared" si="200"/>
        <v>10517</v>
      </c>
      <c r="B10518" s="845" t="s">
        <v>2564</v>
      </c>
      <c r="C10518" s="1007">
        <f t="shared" si="199"/>
        <v>47</v>
      </c>
      <c r="D10518" s="1015"/>
      <c r="H10518" s="1011" t="s">
        <v>1010</v>
      </c>
      <c r="K10518" s="1013"/>
    </row>
    <row r="10519" spans="1:11" s="1011" customFormat="1" ht="15" x14ac:dyDescent="0.25">
      <c r="A10519" s="859">
        <f t="shared" si="200"/>
        <v>10518</v>
      </c>
      <c r="B10519" s="845" t="s">
        <v>2564</v>
      </c>
      <c r="C10519" s="1007">
        <f t="shared" si="199"/>
        <v>47</v>
      </c>
      <c r="D10519" s="1012"/>
      <c r="H10519" s="1011" t="s">
        <v>1007</v>
      </c>
      <c r="K10519" s="1013"/>
    </row>
    <row r="10520" spans="1:11" s="1011" customFormat="1" ht="15" x14ac:dyDescent="0.25">
      <c r="A10520" s="859">
        <f t="shared" si="200"/>
        <v>10519</v>
      </c>
      <c r="B10520" s="845" t="s">
        <v>2564</v>
      </c>
      <c r="C10520" s="1007">
        <f t="shared" si="199"/>
        <v>47</v>
      </c>
      <c r="D10520" s="1012"/>
      <c r="I10520" s="1011" t="s">
        <v>2180</v>
      </c>
      <c r="K10520" s="1013"/>
    </row>
    <row r="10521" spans="1:11" s="1011" customFormat="1" ht="15" x14ac:dyDescent="0.25">
      <c r="A10521" s="859">
        <f t="shared" si="200"/>
        <v>10520</v>
      </c>
      <c r="B10521" s="845" t="s">
        <v>2564</v>
      </c>
      <c r="C10521" s="1007">
        <f t="shared" si="199"/>
        <v>47</v>
      </c>
      <c r="D10521" s="1014"/>
      <c r="I10521" s="1011" t="str">
        <f>CONCATENATE("&lt;valeur&gt;",VLOOKUP(C10521,'T16 Amort'!A:K,8,0),"&lt;/valeur&gt;")</f>
        <v>&lt;valeur&gt;&lt;/valeur&gt;</v>
      </c>
      <c r="K10521" s="1013"/>
    </row>
    <row r="10522" spans="1:11" s="1011" customFormat="1" ht="15" x14ac:dyDescent="0.25">
      <c r="A10522" s="859">
        <f t="shared" si="200"/>
        <v>10521</v>
      </c>
      <c r="B10522" s="845" t="s">
        <v>2564</v>
      </c>
      <c r="C10522" s="1007">
        <f t="shared" si="199"/>
        <v>47</v>
      </c>
      <c r="D10522" s="1014"/>
      <c r="I10522" s="1011" t="str">
        <f>CONCATENATE("&lt;numeroLigne&gt;",C10522,"&lt;/numeroLigne&gt;")</f>
        <v>&lt;numeroLigne&gt;47&lt;/numeroLigne&gt;</v>
      </c>
      <c r="K10522" s="1013"/>
    </row>
    <row r="10523" spans="1:11" s="1011" customFormat="1" ht="15" x14ac:dyDescent="0.25">
      <c r="A10523" s="859">
        <f t="shared" si="200"/>
        <v>10522</v>
      </c>
      <c r="B10523" s="845" t="s">
        <v>2564</v>
      </c>
      <c r="C10523" s="1007">
        <f t="shared" si="199"/>
        <v>47</v>
      </c>
      <c r="D10523" s="1012"/>
      <c r="H10523" s="1011" t="s">
        <v>1010</v>
      </c>
      <c r="K10523" s="1013"/>
    </row>
    <row r="10524" spans="1:11" s="1011" customFormat="1" ht="15" x14ac:dyDescent="0.25">
      <c r="A10524" s="859">
        <f t="shared" si="200"/>
        <v>10523</v>
      </c>
      <c r="B10524" s="845" t="s">
        <v>2564</v>
      </c>
      <c r="C10524" s="1007">
        <f t="shared" si="199"/>
        <v>47</v>
      </c>
      <c r="D10524" s="1015"/>
      <c r="H10524" s="1011" t="s">
        <v>1007</v>
      </c>
      <c r="K10524" s="1013"/>
    </row>
    <row r="10525" spans="1:11" s="1011" customFormat="1" ht="15" x14ac:dyDescent="0.25">
      <c r="A10525" s="859">
        <f t="shared" si="200"/>
        <v>10524</v>
      </c>
      <c r="B10525" s="845" t="s">
        <v>2564</v>
      </c>
      <c r="C10525" s="1007">
        <f t="shared" si="199"/>
        <v>47</v>
      </c>
      <c r="D10525" s="1012"/>
      <c r="I10525" s="1011" t="s">
        <v>2181</v>
      </c>
      <c r="K10525" s="1013"/>
    </row>
    <row r="10526" spans="1:11" s="1011" customFormat="1" ht="15" x14ac:dyDescent="0.25">
      <c r="A10526" s="859">
        <f t="shared" si="200"/>
        <v>10525</v>
      </c>
      <c r="B10526" s="845" t="s">
        <v>2564</v>
      </c>
      <c r="C10526" s="1007">
        <f t="shared" si="199"/>
        <v>47</v>
      </c>
      <c r="D10526" s="1012"/>
      <c r="I10526" s="1011" t="str">
        <f>CONCATENATE("&lt;valeur&gt;",VLOOKUP(C10526,'T16 Amort'!A:K,9,0),"&lt;/valeur&gt;")</f>
        <v>&lt;valeur&gt;&lt;/valeur&gt;</v>
      </c>
      <c r="K10526" s="1013"/>
    </row>
    <row r="10527" spans="1:11" s="1011" customFormat="1" ht="15" x14ac:dyDescent="0.25">
      <c r="A10527" s="859">
        <f t="shared" si="200"/>
        <v>10526</v>
      </c>
      <c r="B10527" s="845" t="s">
        <v>2564</v>
      </c>
      <c r="C10527" s="1007">
        <f t="shared" si="199"/>
        <v>47</v>
      </c>
      <c r="D10527" s="1014"/>
      <c r="I10527" s="1011" t="str">
        <f>CONCATENATE("&lt;numeroLigne&gt;",C10527,"&lt;/numeroLigne&gt;")</f>
        <v>&lt;numeroLigne&gt;47&lt;/numeroLigne&gt;</v>
      </c>
      <c r="K10527" s="1013"/>
    </row>
    <row r="10528" spans="1:11" s="1011" customFormat="1" ht="15" x14ac:dyDescent="0.25">
      <c r="A10528" s="859">
        <f t="shared" si="200"/>
        <v>10527</v>
      </c>
      <c r="B10528" s="845" t="s">
        <v>2564</v>
      </c>
      <c r="C10528" s="1007">
        <f t="shared" si="199"/>
        <v>47</v>
      </c>
      <c r="D10528" s="1014"/>
      <c r="H10528" s="1011" t="s">
        <v>1010</v>
      </c>
      <c r="K10528" s="1013"/>
    </row>
    <row r="10529" spans="1:11" s="1011" customFormat="1" ht="15" x14ac:dyDescent="0.25">
      <c r="A10529" s="859">
        <f t="shared" si="200"/>
        <v>10528</v>
      </c>
      <c r="B10529" s="845" t="s">
        <v>2564</v>
      </c>
      <c r="C10529" s="1007">
        <f t="shared" si="199"/>
        <v>47</v>
      </c>
      <c r="D10529" s="1012"/>
      <c r="H10529" s="1011" t="s">
        <v>1007</v>
      </c>
      <c r="K10529" s="1013"/>
    </row>
    <row r="10530" spans="1:11" s="1011" customFormat="1" ht="15" x14ac:dyDescent="0.25">
      <c r="A10530" s="859">
        <f t="shared" si="200"/>
        <v>10529</v>
      </c>
      <c r="B10530" s="845" t="s">
        <v>2564</v>
      </c>
      <c r="C10530" s="1007">
        <f t="shared" si="199"/>
        <v>47</v>
      </c>
      <c r="D10530" s="1015"/>
      <c r="I10530" s="1011" t="s">
        <v>2182</v>
      </c>
      <c r="K10530" s="1013"/>
    </row>
    <row r="10531" spans="1:11" s="1011" customFormat="1" ht="15" x14ac:dyDescent="0.25">
      <c r="A10531" s="859">
        <f t="shared" si="200"/>
        <v>10530</v>
      </c>
      <c r="B10531" s="845" t="s">
        <v>2564</v>
      </c>
      <c r="C10531" s="1007">
        <f t="shared" si="199"/>
        <v>47</v>
      </c>
      <c r="D10531" s="1012"/>
      <c r="I10531" s="1011" t="str">
        <f>CONCATENATE("&lt;valeur&gt;",VLOOKUP(C10531,'T16 Amort'!A:K,10,0),"&lt;/valeur&gt;")</f>
        <v>&lt;valeur&gt;&lt;/valeur&gt;</v>
      </c>
      <c r="K10531" s="1013"/>
    </row>
    <row r="10532" spans="1:11" s="1011" customFormat="1" ht="15" x14ac:dyDescent="0.25">
      <c r="A10532" s="859">
        <f t="shared" si="200"/>
        <v>10531</v>
      </c>
      <c r="B10532" s="845" t="s">
        <v>2564</v>
      </c>
      <c r="C10532" s="1007">
        <f t="shared" si="199"/>
        <v>47</v>
      </c>
      <c r="D10532" s="1012"/>
      <c r="I10532" s="1011" t="str">
        <f>CONCATENATE("&lt;numeroLigne&gt;",C10532,"&lt;/numeroLigne&gt;")</f>
        <v>&lt;numeroLigne&gt;47&lt;/numeroLigne&gt;</v>
      </c>
      <c r="K10532" s="1013"/>
    </row>
    <row r="10533" spans="1:11" s="1011" customFormat="1" ht="15" x14ac:dyDescent="0.25">
      <c r="A10533" s="859">
        <f t="shared" si="200"/>
        <v>10532</v>
      </c>
      <c r="B10533" s="845" t="s">
        <v>2564</v>
      </c>
      <c r="C10533" s="1007">
        <f t="shared" si="199"/>
        <v>47</v>
      </c>
      <c r="D10533" s="1014"/>
      <c r="H10533" s="1011" t="s">
        <v>1010</v>
      </c>
      <c r="K10533" s="1013"/>
    </row>
    <row r="10534" spans="1:11" s="1011" customFormat="1" ht="15" x14ac:dyDescent="0.25">
      <c r="A10534" s="859">
        <f t="shared" si="200"/>
        <v>10533</v>
      </c>
      <c r="B10534" s="845" t="s">
        <v>2564</v>
      </c>
      <c r="C10534" s="1007">
        <f t="shared" si="199"/>
        <v>47</v>
      </c>
      <c r="D10534" s="1014"/>
      <c r="H10534" s="1011" t="s">
        <v>1007</v>
      </c>
      <c r="K10534" s="1013"/>
    </row>
    <row r="10535" spans="1:11" s="1011" customFormat="1" ht="15" x14ac:dyDescent="0.25">
      <c r="A10535" s="859">
        <f t="shared" si="200"/>
        <v>10534</v>
      </c>
      <c r="B10535" s="845" t="s">
        <v>2564</v>
      </c>
      <c r="C10535" s="1007">
        <f t="shared" si="199"/>
        <v>47</v>
      </c>
      <c r="D10535" s="1012"/>
      <c r="I10535" s="1011" t="s">
        <v>2183</v>
      </c>
      <c r="K10535" s="1013"/>
    </row>
    <row r="10536" spans="1:11" s="1011" customFormat="1" ht="15" x14ac:dyDescent="0.25">
      <c r="A10536" s="859">
        <f t="shared" si="200"/>
        <v>10535</v>
      </c>
      <c r="B10536" s="845" t="s">
        <v>2564</v>
      </c>
      <c r="C10536" s="1007">
        <f t="shared" si="199"/>
        <v>47</v>
      </c>
      <c r="D10536" s="1015"/>
      <c r="I10536" s="1011" t="str">
        <f>CONCATENATE("&lt;valeur&gt;",VLOOKUP(C10536,'T16 Amort'!A:K,11,0),"&lt;/valeur&gt;")</f>
        <v>&lt;valeur&gt;&lt;/valeur&gt;</v>
      </c>
      <c r="K10536" s="1013"/>
    </row>
    <row r="10537" spans="1:11" s="1011" customFormat="1" ht="15" x14ac:dyDescent="0.25">
      <c r="A10537" s="859">
        <f t="shared" si="200"/>
        <v>10536</v>
      </c>
      <c r="B10537" s="845" t="s">
        <v>2564</v>
      </c>
      <c r="C10537" s="1007">
        <f t="shared" si="199"/>
        <v>47</v>
      </c>
      <c r="D10537" s="1012"/>
      <c r="I10537" s="1011" t="str">
        <f>CONCATENATE("&lt;numeroLigne&gt;",C10537,"&lt;/numeroLigne&gt;")</f>
        <v>&lt;numeroLigne&gt;47&lt;/numeroLigne&gt;</v>
      </c>
      <c r="K10537" s="1013"/>
    </row>
    <row r="10538" spans="1:11" s="1011" customFormat="1" ht="15" x14ac:dyDescent="0.25">
      <c r="A10538" s="859">
        <f t="shared" si="200"/>
        <v>10537</v>
      </c>
      <c r="B10538" s="845" t="s">
        <v>2564</v>
      </c>
      <c r="C10538" s="1007">
        <f t="shared" si="199"/>
        <v>47</v>
      </c>
      <c r="D10538" s="1016"/>
      <c r="E10538" s="1017"/>
      <c r="F10538" s="1017"/>
      <c r="G10538" s="1017"/>
      <c r="H10538" s="1017" t="s">
        <v>1010</v>
      </c>
      <c r="I10538" s="1017"/>
      <c r="J10538" s="1017"/>
      <c r="K10538" s="1018"/>
    </row>
    <row r="10539" spans="1:11" s="1011" customFormat="1" ht="15" x14ac:dyDescent="0.25">
      <c r="A10539" s="859">
        <f t="shared" si="200"/>
        <v>10538</v>
      </c>
      <c r="B10539" s="845" t="s">
        <v>2564</v>
      </c>
      <c r="C10539" s="1007">
        <f t="shared" si="199"/>
        <v>48</v>
      </c>
      <c r="D10539" s="1008"/>
      <c r="E10539" s="1009"/>
      <c r="F10539" s="1009"/>
      <c r="G10539" s="1009"/>
      <c r="H10539" s="1009" t="s">
        <v>1007</v>
      </c>
      <c r="I10539" s="1009"/>
      <c r="J10539" s="1009"/>
      <c r="K10539" s="1010"/>
    </row>
    <row r="10540" spans="1:11" s="1011" customFormat="1" ht="15" x14ac:dyDescent="0.25">
      <c r="A10540" s="859">
        <f t="shared" si="200"/>
        <v>10539</v>
      </c>
      <c r="B10540" s="845" t="s">
        <v>2564</v>
      </c>
      <c r="C10540" s="1007">
        <f t="shared" si="199"/>
        <v>48</v>
      </c>
      <c r="D10540" s="1012"/>
      <c r="I10540" s="1011" t="s">
        <v>2174</v>
      </c>
      <c r="K10540" s="1013"/>
    </row>
    <row r="10541" spans="1:11" s="1011" customFormat="1" ht="15" x14ac:dyDescent="0.25">
      <c r="A10541" s="859">
        <f t="shared" si="200"/>
        <v>10540</v>
      </c>
      <c r="B10541" s="845" t="s">
        <v>2564</v>
      </c>
      <c r="C10541" s="1007">
        <f t="shared" si="199"/>
        <v>48</v>
      </c>
      <c r="D10541" s="1014"/>
      <c r="I10541" s="1011" t="str">
        <f>CONCATENATE("&lt;valeur&gt;",VLOOKUP(C10541,'T16 Amort'!A:K,2,0),"&lt;/valeur&gt;")</f>
        <v>&lt;valeur&gt;&lt;/valeur&gt;</v>
      </c>
      <c r="K10541" s="1013"/>
    </row>
    <row r="10542" spans="1:11" s="1011" customFormat="1" ht="15" x14ac:dyDescent="0.25">
      <c r="A10542" s="859">
        <f t="shared" si="200"/>
        <v>10541</v>
      </c>
      <c r="B10542" s="845" t="s">
        <v>2564</v>
      </c>
      <c r="C10542" s="1007">
        <f t="shared" si="199"/>
        <v>48</v>
      </c>
      <c r="D10542" s="1014"/>
      <c r="I10542" s="1011" t="str">
        <f>CONCATENATE("&lt;numeroLigne&gt;",C10542,"&lt;/numeroLigne&gt;")</f>
        <v>&lt;numeroLigne&gt;48&lt;/numeroLigne&gt;</v>
      </c>
      <c r="K10542" s="1013"/>
    </row>
    <row r="10543" spans="1:11" s="1011" customFormat="1" ht="15" x14ac:dyDescent="0.25">
      <c r="A10543" s="859">
        <f t="shared" si="200"/>
        <v>10542</v>
      </c>
      <c r="B10543" s="845" t="s">
        <v>2564</v>
      </c>
      <c r="C10543" s="1007">
        <f t="shared" ref="C10543:C10606" si="201">C10493+1</f>
        <v>48</v>
      </c>
      <c r="D10543" s="1012"/>
      <c r="H10543" s="1011" t="s">
        <v>1010</v>
      </c>
      <c r="K10543" s="1013"/>
    </row>
    <row r="10544" spans="1:11" s="1011" customFormat="1" ht="15" x14ac:dyDescent="0.25">
      <c r="A10544" s="859">
        <f t="shared" si="200"/>
        <v>10543</v>
      </c>
      <c r="B10544" s="845" t="s">
        <v>2564</v>
      </c>
      <c r="C10544" s="1007">
        <f t="shared" si="201"/>
        <v>48</v>
      </c>
      <c r="D10544" s="1015"/>
      <c r="H10544" s="1011" t="s">
        <v>1007</v>
      </c>
      <c r="K10544" s="1013"/>
    </row>
    <row r="10545" spans="1:11" s="1011" customFormat="1" ht="15" x14ac:dyDescent="0.25">
      <c r="A10545" s="859">
        <f t="shared" si="200"/>
        <v>10544</v>
      </c>
      <c r="B10545" s="845" t="s">
        <v>2564</v>
      </c>
      <c r="C10545" s="1007">
        <f t="shared" si="201"/>
        <v>48</v>
      </c>
      <c r="D10545" s="1012"/>
      <c r="I10545" s="1011" t="s">
        <v>2175</v>
      </c>
      <c r="K10545" s="1013"/>
    </row>
    <row r="10546" spans="1:11" s="1011" customFormat="1" ht="15" x14ac:dyDescent="0.25">
      <c r="A10546" s="859">
        <f t="shared" si="200"/>
        <v>10545</v>
      </c>
      <c r="B10546" s="845" t="s">
        <v>2564</v>
      </c>
      <c r="C10546" s="1007">
        <f t="shared" si="201"/>
        <v>48</v>
      </c>
      <c r="D10546" s="1012"/>
      <c r="I10546" s="1011" t="str">
        <f>CONCATENATE("&lt;valeur&gt;",VLOOKUP(C10546,'T16 Amort'!A:K,3,0),"&lt;/valeur&gt;")</f>
        <v>&lt;valeur&gt;&lt;/valeur&gt;</v>
      </c>
      <c r="K10546" s="1013"/>
    </row>
    <row r="10547" spans="1:11" s="1011" customFormat="1" ht="15" x14ac:dyDescent="0.25">
      <c r="A10547" s="859">
        <f t="shared" si="200"/>
        <v>10546</v>
      </c>
      <c r="B10547" s="845" t="s">
        <v>2564</v>
      </c>
      <c r="C10547" s="1007">
        <f t="shared" si="201"/>
        <v>48</v>
      </c>
      <c r="D10547" s="1014"/>
      <c r="I10547" s="1011" t="str">
        <f>CONCATENATE("&lt;numeroLigne&gt;",C10547,"&lt;/numeroLigne&gt;")</f>
        <v>&lt;numeroLigne&gt;48&lt;/numeroLigne&gt;</v>
      </c>
      <c r="K10547" s="1013"/>
    </row>
    <row r="10548" spans="1:11" s="1011" customFormat="1" ht="15" x14ac:dyDescent="0.25">
      <c r="A10548" s="859">
        <f t="shared" si="200"/>
        <v>10547</v>
      </c>
      <c r="B10548" s="845" t="s">
        <v>2564</v>
      </c>
      <c r="C10548" s="1007">
        <f t="shared" si="201"/>
        <v>48</v>
      </c>
      <c r="D10548" s="1014"/>
      <c r="H10548" s="1011" t="s">
        <v>1010</v>
      </c>
      <c r="K10548" s="1013"/>
    </row>
    <row r="10549" spans="1:11" s="1011" customFormat="1" ht="15" x14ac:dyDescent="0.25">
      <c r="A10549" s="859">
        <f t="shared" si="200"/>
        <v>10548</v>
      </c>
      <c r="B10549" s="845" t="s">
        <v>2564</v>
      </c>
      <c r="C10549" s="1007">
        <f t="shared" si="201"/>
        <v>48</v>
      </c>
      <c r="D10549" s="1012"/>
      <c r="H10549" s="1011" t="s">
        <v>1007</v>
      </c>
      <c r="K10549" s="1013"/>
    </row>
    <row r="10550" spans="1:11" s="1011" customFormat="1" ht="15" x14ac:dyDescent="0.25">
      <c r="A10550" s="859">
        <f t="shared" si="200"/>
        <v>10549</v>
      </c>
      <c r="B10550" s="845" t="s">
        <v>2564</v>
      </c>
      <c r="C10550" s="1007">
        <f t="shared" si="201"/>
        <v>48</v>
      </c>
      <c r="D10550" s="1015"/>
      <c r="I10550" s="1011" t="s">
        <v>2176</v>
      </c>
      <c r="K10550" s="1013"/>
    </row>
    <row r="10551" spans="1:11" s="1011" customFormat="1" ht="15" x14ac:dyDescent="0.25">
      <c r="A10551" s="859">
        <f t="shared" si="200"/>
        <v>10550</v>
      </c>
      <c r="B10551" s="845" t="s">
        <v>2564</v>
      </c>
      <c r="C10551" s="1007">
        <f t="shared" si="201"/>
        <v>48</v>
      </c>
      <c r="D10551" s="1012"/>
      <c r="I10551" s="1011" t="str">
        <f>CONCATENATE("&lt;valeur&gt;",VLOOKUP(C10551,'T16 Amort'!A:K,4,0),"&lt;/valeur&gt;")</f>
        <v>&lt;valeur&gt;&lt;/valeur&gt;</v>
      </c>
      <c r="K10551" s="1013"/>
    </row>
    <row r="10552" spans="1:11" s="1011" customFormat="1" ht="15" x14ac:dyDescent="0.25">
      <c r="A10552" s="859">
        <f t="shared" si="200"/>
        <v>10551</v>
      </c>
      <c r="B10552" s="845" t="s">
        <v>2564</v>
      </c>
      <c r="C10552" s="1007">
        <f t="shared" si="201"/>
        <v>48</v>
      </c>
      <c r="D10552" s="1012"/>
      <c r="I10552" s="1011" t="str">
        <f>CONCATENATE("&lt;numeroLigne&gt;",C10552,"&lt;/numeroLigne&gt;")</f>
        <v>&lt;numeroLigne&gt;48&lt;/numeroLigne&gt;</v>
      </c>
      <c r="K10552" s="1013"/>
    </row>
    <row r="10553" spans="1:11" s="1011" customFormat="1" ht="15" x14ac:dyDescent="0.25">
      <c r="A10553" s="859">
        <f t="shared" si="200"/>
        <v>10552</v>
      </c>
      <c r="B10553" s="845" t="s">
        <v>2564</v>
      </c>
      <c r="C10553" s="1007">
        <f t="shared" si="201"/>
        <v>48</v>
      </c>
      <c r="D10553" s="1014"/>
      <c r="H10553" s="1011" t="s">
        <v>1010</v>
      </c>
      <c r="K10553" s="1013"/>
    </row>
    <row r="10554" spans="1:11" s="1011" customFormat="1" ht="15" x14ac:dyDescent="0.25">
      <c r="A10554" s="859">
        <f t="shared" si="200"/>
        <v>10553</v>
      </c>
      <c r="B10554" s="845" t="s">
        <v>2564</v>
      </c>
      <c r="C10554" s="1007">
        <f t="shared" si="201"/>
        <v>48</v>
      </c>
      <c r="D10554" s="1014"/>
      <c r="H10554" s="1011" t="s">
        <v>1007</v>
      </c>
      <c r="K10554" s="1013"/>
    </row>
    <row r="10555" spans="1:11" s="1011" customFormat="1" ht="15" x14ac:dyDescent="0.25">
      <c r="A10555" s="859">
        <f t="shared" si="200"/>
        <v>10554</v>
      </c>
      <c r="B10555" s="845" t="s">
        <v>2564</v>
      </c>
      <c r="C10555" s="1007">
        <f t="shared" si="201"/>
        <v>48</v>
      </c>
      <c r="D10555" s="1012"/>
      <c r="I10555" s="1011" t="s">
        <v>2177</v>
      </c>
      <c r="K10555" s="1013"/>
    </row>
    <row r="10556" spans="1:11" s="1011" customFormat="1" ht="15" x14ac:dyDescent="0.25">
      <c r="A10556" s="859">
        <f t="shared" si="200"/>
        <v>10555</v>
      </c>
      <c r="B10556" s="845" t="s">
        <v>2564</v>
      </c>
      <c r="C10556" s="1007">
        <f t="shared" si="201"/>
        <v>48</v>
      </c>
      <c r="D10556" s="1015"/>
      <c r="I10556" s="1011" t="str">
        <f>CONCATENATE("&lt;valeur&gt;",VLOOKUP(C10556,'T16 Amort'!A:K,5,0),"&lt;/valeur&gt;")</f>
        <v>&lt;valeur&gt;&lt;/valeur&gt;</v>
      </c>
      <c r="K10556" s="1013"/>
    </row>
    <row r="10557" spans="1:11" s="1011" customFormat="1" ht="15" x14ac:dyDescent="0.25">
      <c r="A10557" s="859">
        <f t="shared" si="200"/>
        <v>10556</v>
      </c>
      <c r="B10557" s="845" t="s">
        <v>2564</v>
      </c>
      <c r="C10557" s="1007">
        <f t="shared" si="201"/>
        <v>48</v>
      </c>
      <c r="D10557" s="1012"/>
      <c r="I10557" s="1011" t="str">
        <f>CONCATENATE("&lt;numeroLigne&gt;",C10557,"&lt;/numeroLigne&gt;")</f>
        <v>&lt;numeroLigne&gt;48&lt;/numeroLigne&gt;</v>
      </c>
      <c r="K10557" s="1013"/>
    </row>
    <row r="10558" spans="1:11" s="1011" customFormat="1" ht="15" x14ac:dyDescent="0.25">
      <c r="A10558" s="859">
        <f t="shared" si="200"/>
        <v>10557</v>
      </c>
      <c r="B10558" s="845" t="s">
        <v>2564</v>
      </c>
      <c r="C10558" s="1007">
        <f t="shared" si="201"/>
        <v>48</v>
      </c>
      <c r="D10558" s="1012"/>
      <c r="H10558" s="1011" t="s">
        <v>1010</v>
      </c>
      <c r="K10558" s="1013"/>
    </row>
    <row r="10559" spans="1:11" s="1011" customFormat="1" ht="15" x14ac:dyDescent="0.25">
      <c r="A10559" s="859">
        <f t="shared" si="200"/>
        <v>10558</v>
      </c>
      <c r="B10559" s="845" t="s">
        <v>2564</v>
      </c>
      <c r="C10559" s="1007">
        <f t="shared" si="201"/>
        <v>48</v>
      </c>
      <c r="D10559" s="1014"/>
      <c r="H10559" s="1011" t="s">
        <v>1007</v>
      </c>
      <c r="K10559" s="1013"/>
    </row>
    <row r="10560" spans="1:11" s="1011" customFormat="1" ht="15" x14ac:dyDescent="0.25">
      <c r="A10560" s="859">
        <f t="shared" si="200"/>
        <v>10559</v>
      </c>
      <c r="B10560" s="845" t="s">
        <v>2564</v>
      </c>
      <c r="C10560" s="1007">
        <f t="shared" si="201"/>
        <v>48</v>
      </c>
      <c r="D10560" s="1014"/>
      <c r="I10560" s="1011" t="s">
        <v>2178</v>
      </c>
      <c r="K10560" s="1013"/>
    </row>
    <row r="10561" spans="1:11" s="1011" customFormat="1" ht="15" x14ac:dyDescent="0.25">
      <c r="A10561" s="859">
        <f t="shared" si="200"/>
        <v>10560</v>
      </c>
      <c r="B10561" s="845" t="s">
        <v>2564</v>
      </c>
      <c r="C10561" s="1007">
        <f t="shared" si="201"/>
        <v>48</v>
      </c>
      <c r="D10561" s="1012"/>
      <c r="I10561" s="1011" t="str">
        <f>CONCATENATE("&lt;valeur&gt;",VLOOKUP(C10561,'T16 Amort'!A:K,6,0),"&lt;/valeur&gt;")</f>
        <v>&lt;valeur&gt;&lt;/valeur&gt;</v>
      </c>
      <c r="K10561" s="1013"/>
    </row>
    <row r="10562" spans="1:11" s="1011" customFormat="1" ht="15" x14ac:dyDescent="0.25">
      <c r="A10562" s="859">
        <f t="shared" si="200"/>
        <v>10561</v>
      </c>
      <c r="B10562" s="845" t="s">
        <v>2564</v>
      </c>
      <c r="C10562" s="1007">
        <f t="shared" si="201"/>
        <v>48</v>
      </c>
      <c r="D10562" s="1015"/>
      <c r="I10562" s="1011" t="str">
        <f>CONCATENATE("&lt;numeroLigne&gt;",C10562,"&lt;/numeroLigne&gt;")</f>
        <v>&lt;numeroLigne&gt;48&lt;/numeroLigne&gt;</v>
      </c>
      <c r="K10562" s="1013"/>
    </row>
    <row r="10563" spans="1:11" s="1011" customFormat="1" ht="15" x14ac:dyDescent="0.25">
      <c r="A10563" s="859">
        <f t="shared" si="200"/>
        <v>10562</v>
      </c>
      <c r="B10563" s="845" t="s">
        <v>2564</v>
      </c>
      <c r="C10563" s="1007">
        <f t="shared" si="201"/>
        <v>48</v>
      </c>
      <c r="D10563" s="1012"/>
      <c r="H10563" s="1011" t="s">
        <v>1010</v>
      </c>
      <c r="K10563" s="1013"/>
    </row>
    <row r="10564" spans="1:11" s="1011" customFormat="1" ht="15" x14ac:dyDescent="0.25">
      <c r="A10564" s="859">
        <f t="shared" ref="A10564:A10627" si="202">+A10563+1</f>
        <v>10563</v>
      </c>
      <c r="B10564" s="845" t="s">
        <v>2564</v>
      </c>
      <c r="C10564" s="1007">
        <f t="shared" si="201"/>
        <v>48</v>
      </c>
      <c r="D10564" s="1012"/>
      <c r="H10564" s="1011" t="s">
        <v>1007</v>
      </c>
      <c r="K10564" s="1013"/>
    </row>
    <row r="10565" spans="1:11" s="1011" customFormat="1" ht="15" x14ac:dyDescent="0.25">
      <c r="A10565" s="859">
        <f t="shared" si="202"/>
        <v>10564</v>
      </c>
      <c r="B10565" s="845" t="s">
        <v>2564</v>
      </c>
      <c r="C10565" s="1007">
        <f t="shared" si="201"/>
        <v>48</v>
      </c>
      <c r="D10565" s="1014"/>
      <c r="I10565" s="1011" t="s">
        <v>2179</v>
      </c>
      <c r="K10565" s="1013"/>
    </row>
    <row r="10566" spans="1:11" s="1011" customFormat="1" ht="15" x14ac:dyDescent="0.25">
      <c r="A10566" s="859">
        <f t="shared" si="202"/>
        <v>10565</v>
      </c>
      <c r="B10566" s="845" t="s">
        <v>2564</v>
      </c>
      <c r="C10566" s="1007">
        <f t="shared" si="201"/>
        <v>48</v>
      </c>
      <c r="D10566" s="1014"/>
      <c r="I10566" s="1011" t="str">
        <f>CONCATENATE("&lt;valeur&gt;",VLOOKUP(C10566,'T16 Amort'!A:K,7,0),"&lt;/valeur&gt;")</f>
        <v>&lt;valeur&gt;&lt;/valeur&gt;</v>
      </c>
      <c r="K10566" s="1013"/>
    </row>
    <row r="10567" spans="1:11" s="1011" customFormat="1" ht="15" x14ac:dyDescent="0.25">
      <c r="A10567" s="859">
        <f t="shared" si="202"/>
        <v>10566</v>
      </c>
      <c r="B10567" s="845" t="s">
        <v>2564</v>
      </c>
      <c r="C10567" s="1007">
        <f t="shared" si="201"/>
        <v>48</v>
      </c>
      <c r="D10567" s="1012"/>
      <c r="I10567" s="1011" t="str">
        <f>CONCATENATE("&lt;numeroLigne&gt;",C10567,"&lt;/numeroLigne&gt;")</f>
        <v>&lt;numeroLigne&gt;48&lt;/numeroLigne&gt;</v>
      </c>
      <c r="K10567" s="1013"/>
    </row>
    <row r="10568" spans="1:11" s="1011" customFormat="1" ht="15" x14ac:dyDescent="0.25">
      <c r="A10568" s="859">
        <f t="shared" si="202"/>
        <v>10567</v>
      </c>
      <c r="B10568" s="845" t="s">
        <v>2564</v>
      </c>
      <c r="C10568" s="1007">
        <f t="shared" si="201"/>
        <v>48</v>
      </c>
      <c r="D10568" s="1015"/>
      <c r="H10568" s="1011" t="s">
        <v>1010</v>
      </c>
      <c r="K10568" s="1013"/>
    </row>
    <row r="10569" spans="1:11" s="1011" customFormat="1" ht="15" x14ac:dyDescent="0.25">
      <c r="A10569" s="859">
        <f t="shared" si="202"/>
        <v>10568</v>
      </c>
      <c r="B10569" s="845" t="s">
        <v>2564</v>
      </c>
      <c r="C10569" s="1007">
        <f t="shared" si="201"/>
        <v>48</v>
      </c>
      <c r="D10569" s="1012"/>
      <c r="H10569" s="1011" t="s">
        <v>1007</v>
      </c>
      <c r="K10569" s="1013"/>
    </row>
    <row r="10570" spans="1:11" s="1011" customFormat="1" ht="15" x14ac:dyDescent="0.25">
      <c r="A10570" s="859">
        <f t="shared" si="202"/>
        <v>10569</v>
      </c>
      <c r="B10570" s="845" t="s">
        <v>2564</v>
      </c>
      <c r="C10570" s="1007">
        <f t="shared" si="201"/>
        <v>48</v>
      </c>
      <c r="D10570" s="1012"/>
      <c r="I10570" s="1011" t="s">
        <v>2180</v>
      </c>
      <c r="K10570" s="1013"/>
    </row>
    <row r="10571" spans="1:11" s="1011" customFormat="1" ht="15" x14ac:dyDescent="0.25">
      <c r="A10571" s="859">
        <f t="shared" si="202"/>
        <v>10570</v>
      </c>
      <c r="B10571" s="845" t="s">
        <v>2564</v>
      </c>
      <c r="C10571" s="1007">
        <f t="shared" si="201"/>
        <v>48</v>
      </c>
      <c r="D10571" s="1014"/>
      <c r="I10571" s="1011" t="str">
        <f>CONCATENATE("&lt;valeur&gt;",VLOOKUP(C10571,'T16 Amort'!A:K,8,0),"&lt;/valeur&gt;")</f>
        <v>&lt;valeur&gt;&lt;/valeur&gt;</v>
      </c>
      <c r="K10571" s="1013"/>
    </row>
    <row r="10572" spans="1:11" s="1011" customFormat="1" ht="15" x14ac:dyDescent="0.25">
      <c r="A10572" s="859">
        <f t="shared" si="202"/>
        <v>10571</v>
      </c>
      <c r="B10572" s="845" t="s">
        <v>2564</v>
      </c>
      <c r="C10572" s="1007">
        <f t="shared" si="201"/>
        <v>48</v>
      </c>
      <c r="D10572" s="1014"/>
      <c r="I10572" s="1011" t="str">
        <f>CONCATENATE("&lt;numeroLigne&gt;",C10572,"&lt;/numeroLigne&gt;")</f>
        <v>&lt;numeroLigne&gt;48&lt;/numeroLigne&gt;</v>
      </c>
      <c r="K10572" s="1013"/>
    </row>
    <row r="10573" spans="1:11" s="1011" customFormat="1" ht="15" x14ac:dyDescent="0.25">
      <c r="A10573" s="859">
        <f t="shared" si="202"/>
        <v>10572</v>
      </c>
      <c r="B10573" s="845" t="s">
        <v>2564</v>
      </c>
      <c r="C10573" s="1007">
        <f t="shared" si="201"/>
        <v>48</v>
      </c>
      <c r="D10573" s="1012"/>
      <c r="H10573" s="1011" t="s">
        <v>1010</v>
      </c>
      <c r="K10573" s="1013"/>
    </row>
    <row r="10574" spans="1:11" s="1011" customFormat="1" ht="15" x14ac:dyDescent="0.25">
      <c r="A10574" s="859">
        <f t="shared" si="202"/>
        <v>10573</v>
      </c>
      <c r="B10574" s="845" t="s">
        <v>2564</v>
      </c>
      <c r="C10574" s="1007">
        <f t="shared" si="201"/>
        <v>48</v>
      </c>
      <c r="D10574" s="1015"/>
      <c r="H10574" s="1011" t="s">
        <v>1007</v>
      </c>
      <c r="K10574" s="1013"/>
    </row>
    <row r="10575" spans="1:11" s="1011" customFormat="1" ht="15" x14ac:dyDescent="0.25">
      <c r="A10575" s="859">
        <f t="shared" si="202"/>
        <v>10574</v>
      </c>
      <c r="B10575" s="845" t="s">
        <v>2564</v>
      </c>
      <c r="C10575" s="1007">
        <f t="shared" si="201"/>
        <v>48</v>
      </c>
      <c r="D10575" s="1012"/>
      <c r="I10575" s="1011" t="s">
        <v>2181</v>
      </c>
      <c r="K10575" s="1013"/>
    </row>
    <row r="10576" spans="1:11" s="1011" customFormat="1" ht="15" x14ac:dyDescent="0.25">
      <c r="A10576" s="859">
        <f t="shared" si="202"/>
        <v>10575</v>
      </c>
      <c r="B10576" s="845" t="s">
        <v>2564</v>
      </c>
      <c r="C10576" s="1007">
        <f t="shared" si="201"/>
        <v>48</v>
      </c>
      <c r="D10576" s="1012"/>
      <c r="I10576" s="1011" t="str">
        <f>CONCATENATE("&lt;valeur&gt;",VLOOKUP(C10576,'T16 Amort'!A:K,9,0),"&lt;/valeur&gt;")</f>
        <v>&lt;valeur&gt;&lt;/valeur&gt;</v>
      </c>
      <c r="K10576" s="1013"/>
    </row>
    <row r="10577" spans="1:11" s="1011" customFormat="1" ht="15" x14ac:dyDescent="0.25">
      <c r="A10577" s="859">
        <f t="shared" si="202"/>
        <v>10576</v>
      </c>
      <c r="B10577" s="845" t="s">
        <v>2564</v>
      </c>
      <c r="C10577" s="1007">
        <f t="shared" si="201"/>
        <v>48</v>
      </c>
      <c r="D10577" s="1014"/>
      <c r="I10577" s="1011" t="str">
        <f>CONCATENATE("&lt;numeroLigne&gt;",C10577,"&lt;/numeroLigne&gt;")</f>
        <v>&lt;numeroLigne&gt;48&lt;/numeroLigne&gt;</v>
      </c>
      <c r="K10577" s="1013"/>
    </row>
    <row r="10578" spans="1:11" s="1011" customFormat="1" ht="15" x14ac:dyDescent="0.25">
      <c r="A10578" s="859">
        <f t="shared" si="202"/>
        <v>10577</v>
      </c>
      <c r="B10578" s="845" t="s">
        <v>2564</v>
      </c>
      <c r="C10578" s="1007">
        <f t="shared" si="201"/>
        <v>48</v>
      </c>
      <c r="D10578" s="1014"/>
      <c r="H10578" s="1011" t="s">
        <v>1010</v>
      </c>
      <c r="K10578" s="1013"/>
    </row>
    <row r="10579" spans="1:11" s="1011" customFormat="1" ht="15" x14ac:dyDescent="0.25">
      <c r="A10579" s="859">
        <f t="shared" si="202"/>
        <v>10578</v>
      </c>
      <c r="B10579" s="845" t="s">
        <v>2564</v>
      </c>
      <c r="C10579" s="1007">
        <f t="shared" si="201"/>
        <v>48</v>
      </c>
      <c r="D10579" s="1012"/>
      <c r="H10579" s="1011" t="s">
        <v>1007</v>
      </c>
      <c r="K10579" s="1013"/>
    </row>
    <row r="10580" spans="1:11" s="1011" customFormat="1" ht="15" x14ac:dyDescent="0.25">
      <c r="A10580" s="859">
        <f t="shared" si="202"/>
        <v>10579</v>
      </c>
      <c r="B10580" s="845" t="s">
        <v>2564</v>
      </c>
      <c r="C10580" s="1007">
        <f t="shared" si="201"/>
        <v>48</v>
      </c>
      <c r="D10580" s="1015"/>
      <c r="I10580" s="1011" t="s">
        <v>2182</v>
      </c>
      <c r="K10580" s="1013"/>
    </row>
    <row r="10581" spans="1:11" s="1011" customFormat="1" ht="15" x14ac:dyDescent="0.25">
      <c r="A10581" s="859">
        <f t="shared" si="202"/>
        <v>10580</v>
      </c>
      <c r="B10581" s="845" t="s">
        <v>2564</v>
      </c>
      <c r="C10581" s="1007">
        <f t="shared" si="201"/>
        <v>48</v>
      </c>
      <c r="D10581" s="1012"/>
      <c r="I10581" s="1011" t="str">
        <f>CONCATENATE("&lt;valeur&gt;",VLOOKUP(C10581,'T16 Amort'!A:K,10,0),"&lt;/valeur&gt;")</f>
        <v>&lt;valeur&gt;&lt;/valeur&gt;</v>
      </c>
      <c r="K10581" s="1013"/>
    </row>
    <row r="10582" spans="1:11" s="1011" customFormat="1" ht="15" x14ac:dyDescent="0.25">
      <c r="A10582" s="859">
        <f t="shared" si="202"/>
        <v>10581</v>
      </c>
      <c r="B10582" s="845" t="s">
        <v>2564</v>
      </c>
      <c r="C10582" s="1007">
        <f t="shared" si="201"/>
        <v>48</v>
      </c>
      <c r="D10582" s="1012"/>
      <c r="I10582" s="1011" t="str">
        <f>CONCATENATE("&lt;numeroLigne&gt;",C10582,"&lt;/numeroLigne&gt;")</f>
        <v>&lt;numeroLigne&gt;48&lt;/numeroLigne&gt;</v>
      </c>
      <c r="K10582" s="1013"/>
    </row>
    <row r="10583" spans="1:11" s="1011" customFormat="1" ht="15" x14ac:dyDescent="0.25">
      <c r="A10583" s="859">
        <f t="shared" si="202"/>
        <v>10582</v>
      </c>
      <c r="B10583" s="845" t="s">
        <v>2564</v>
      </c>
      <c r="C10583" s="1007">
        <f t="shared" si="201"/>
        <v>48</v>
      </c>
      <c r="D10583" s="1014"/>
      <c r="H10583" s="1011" t="s">
        <v>1010</v>
      </c>
      <c r="K10583" s="1013"/>
    </row>
    <row r="10584" spans="1:11" s="1011" customFormat="1" ht="15" x14ac:dyDescent="0.25">
      <c r="A10584" s="859">
        <f t="shared" si="202"/>
        <v>10583</v>
      </c>
      <c r="B10584" s="845" t="s">
        <v>2564</v>
      </c>
      <c r="C10584" s="1007">
        <f t="shared" si="201"/>
        <v>48</v>
      </c>
      <c r="D10584" s="1014"/>
      <c r="H10584" s="1011" t="s">
        <v>1007</v>
      </c>
      <c r="K10584" s="1013"/>
    </row>
    <row r="10585" spans="1:11" s="1011" customFormat="1" ht="15" x14ac:dyDescent="0.25">
      <c r="A10585" s="859">
        <f t="shared" si="202"/>
        <v>10584</v>
      </c>
      <c r="B10585" s="845" t="s">
        <v>2564</v>
      </c>
      <c r="C10585" s="1007">
        <f t="shared" si="201"/>
        <v>48</v>
      </c>
      <c r="D10585" s="1012"/>
      <c r="I10585" s="1011" t="s">
        <v>2183</v>
      </c>
      <c r="K10585" s="1013"/>
    </row>
    <row r="10586" spans="1:11" s="1011" customFormat="1" ht="15" x14ac:dyDescent="0.25">
      <c r="A10586" s="859">
        <f t="shared" si="202"/>
        <v>10585</v>
      </c>
      <c r="B10586" s="845" t="s">
        <v>2564</v>
      </c>
      <c r="C10586" s="1007">
        <f t="shared" si="201"/>
        <v>48</v>
      </c>
      <c r="D10586" s="1015"/>
      <c r="I10586" s="1011" t="str">
        <f>CONCATENATE("&lt;valeur&gt;",VLOOKUP(C10586,'T16 Amort'!A:K,11,0),"&lt;/valeur&gt;")</f>
        <v>&lt;valeur&gt;&lt;/valeur&gt;</v>
      </c>
      <c r="K10586" s="1013"/>
    </row>
    <row r="10587" spans="1:11" s="1011" customFormat="1" ht="15" x14ac:dyDescent="0.25">
      <c r="A10587" s="859">
        <f t="shared" si="202"/>
        <v>10586</v>
      </c>
      <c r="B10587" s="845" t="s">
        <v>2564</v>
      </c>
      <c r="C10587" s="1007">
        <f t="shared" si="201"/>
        <v>48</v>
      </c>
      <c r="D10587" s="1012"/>
      <c r="I10587" s="1011" t="str">
        <f>CONCATENATE("&lt;numeroLigne&gt;",C10587,"&lt;/numeroLigne&gt;")</f>
        <v>&lt;numeroLigne&gt;48&lt;/numeroLigne&gt;</v>
      </c>
      <c r="K10587" s="1013"/>
    </row>
    <row r="10588" spans="1:11" s="1011" customFormat="1" ht="15" x14ac:dyDescent="0.25">
      <c r="A10588" s="859">
        <f t="shared" si="202"/>
        <v>10587</v>
      </c>
      <c r="B10588" s="845" t="s">
        <v>2564</v>
      </c>
      <c r="C10588" s="1007">
        <f t="shared" si="201"/>
        <v>48</v>
      </c>
      <c r="D10588" s="1016"/>
      <c r="E10588" s="1017"/>
      <c r="F10588" s="1017"/>
      <c r="G10588" s="1017"/>
      <c r="H10588" s="1017" t="s">
        <v>1010</v>
      </c>
      <c r="I10588" s="1017"/>
      <c r="J10588" s="1017"/>
      <c r="K10588" s="1018"/>
    </row>
    <row r="10589" spans="1:11" s="1011" customFormat="1" ht="15" x14ac:dyDescent="0.25">
      <c r="A10589" s="859">
        <f t="shared" si="202"/>
        <v>10588</v>
      </c>
      <c r="B10589" s="845" t="s">
        <v>2564</v>
      </c>
      <c r="C10589" s="1007">
        <f t="shared" si="201"/>
        <v>49</v>
      </c>
      <c r="D10589" s="1008"/>
      <c r="E10589" s="1009"/>
      <c r="F10589" s="1009"/>
      <c r="G10589" s="1009"/>
      <c r="H10589" s="1009" t="s">
        <v>1007</v>
      </c>
      <c r="I10589" s="1009"/>
      <c r="J10589" s="1009"/>
      <c r="K10589" s="1010"/>
    </row>
    <row r="10590" spans="1:11" s="1011" customFormat="1" ht="15" x14ac:dyDescent="0.25">
      <c r="A10590" s="859">
        <f t="shared" si="202"/>
        <v>10589</v>
      </c>
      <c r="B10590" s="845" t="s">
        <v>2564</v>
      </c>
      <c r="C10590" s="1007">
        <f t="shared" si="201"/>
        <v>49</v>
      </c>
      <c r="D10590" s="1012"/>
      <c r="I10590" s="1011" t="s">
        <v>2174</v>
      </c>
      <c r="K10590" s="1013"/>
    </row>
    <row r="10591" spans="1:11" s="1011" customFormat="1" ht="15" x14ac:dyDescent="0.25">
      <c r="A10591" s="859">
        <f t="shared" si="202"/>
        <v>10590</v>
      </c>
      <c r="B10591" s="845" t="s">
        <v>2564</v>
      </c>
      <c r="C10591" s="1007">
        <f t="shared" si="201"/>
        <v>49</v>
      </c>
      <c r="D10591" s="1014"/>
      <c r="I10591" s="1011" t="str">
        <f>CONCATENATE("&lt;valeur&gt;",VLOOKUP(C10591,'T16 Amort'!A:K,2,0),"&lt;/valeur&gt;")</f>
        <v>&lt;valeur&gt;&lt;/valeur&gt;</v>
      </c>
      <c r="K10591" s="1013"/>
    </row>
    <row r="10592" spans="1:11" s="1011" customFormat="1" ht="15" x14ac:dyDescent="0.25">
      <c r="A10592" s="859">
        <f t="shared" si="202"/>
        <v>10591</v>
      </c>
      <c r="B10592" s="845" t="s">
        <v>2564</v>
      </c>
      <c r="C10592" s="1007">
        <f t="shared" si="201"/>
        <v>49</v>
      </c>
      <c r="D10592" s="1014"/>
      <c r="I10592" s="1011" t="str">
        <f>CONCATENATE("&lt;numeroLigne&gt;",C10592,"&lt;/numeroLigne&gt;")</f>
        <v>&lt;numeroLigne&gt;49&lt;/numeroLigne&gt;</v>
      </c>
      <c r="K10592" s="1013"/>
    </row>
    <row r="10593" spans="1:11" s="1011" customFormat="1" ht="15" x14ac:dyDescent="0.25">
      <c r="A10593" s="859">
        <f t="shared" si="202"/>
        <v>10592</v>
      </c>
      <c r="B10593" s="845" t="s">
        <v>2564</v>
      </c>
      <c r="C10593" s="1007">
        <f t="shared" si="201"/>
        <v>49</v>
      </c>
      <c r="D10593" s="1012"/>
      <c r="H10593" s="1011" t="s">
        <v>1010</v>
      </c>
      <c r="K10593" s="1013"/>
    </row>
    <row r="10594" spans="1:11" s="1011" customFormat="1" ht="15" x14ac:dyDescent="0.25">
      <c r="A10594" s="859">
        <f t="shared" si="202"/>
        <v>10593</v>
      </c>
      <c r="B10594" s="845" t="s">
        <v>2564</v>
      </c>
      <c r="C10594" s="1007">
        <f t="shared" si="201"/>
        <v>49</v>
      </c>
      <c r="D10594" s="1015"/>
      <c r="H10594" s="1011" t="s">
        <v>1007</v>
      </c>
      <c r="K10594" s="1013"/>
    </row>
    <row r="10595" spans="1:11" s="1011" customFormat="1" ht="15" x14ac:dyDescent="0.25">
      <c r="A10595" s="859">
        <f t="shared" si="202"/>
        <v>10594</v>
      </c>
      <c r="B10595" s="845" t="s">
        <v>2564</v>
      </c>
      <c r="C10595" s="1007">
        <f t="shared" si="201"/>
        <v>49</v>
      </c>
      <c r="D10595" s="1012"/>
      <c r="I10595" s="1011" t="s">
        <v>2175</v>
      </c>
      <c r="K10595" s="1013"/>
    </row>
    <row r="10596" spans="1:11" s="1011" customFormat="1" ht="15" x14ac:dyDescent="0.25">
      <c r="A10596" s="859">
        <f t="shared" si="202"/>
        <v>10595</v>
      </c>
      <c r="B10596" s="845" t="s">
        <v>2564</v>
      </c>
      <c r="C10596" s="1007">
        <f t="shared" si="201"/>
        <v>49</v>
      </c>
      <c r="D10596" s="1012"/>
      <c r="I10596" s="1011" t="str">
        <f>CONCATENATE("&lt;valeur&gt;",VLOOKUP(C10596,'T16 Amort'!A:K,3,0),"&lt;/valeur&gt;")</f>
        <v>&lt;valeur&gt;&lt;/valeur&gt;</v>
      </c>
      <c r="K10596" s="1013"/>
    </row>
    <row r="10597" spans="1:11" s="1011" customFormat="1" ht="15" x14ac:dyDescent="0.25">
      <c r="A10597" s="859">
        <f t="shared" si="202"/>
        <v>10596</v>
      </c>
      <c r="B10597" s="845" t="s">
        <v>2564</v>
      </c>
      <c r="C10597" s="1007">
        <f t="shared" si="201"/>
        <v>49</v>
      </c>
      <c r="D10597" s="1014"/>
      <c r="I10597" s="1011" t="str">
        <f>CONCATENATE("&lt;numeroLigne&gt;",C10597,"&lt;/numeroLigne&gt;")</f>
        <v>&lt;numeroLigne&gt;49&lt;/numeroLigne&gt;</v>
      </c>
      <c r="K10597" s="1013"/>
    </row>
    <row r="10598" spans="1:11" s="1011" customFormat="1" ht="15" x14ac:dyDescent="0.25">
      <c r="A10598" s="859">
        <f t="shared" si="202"/>
        <v>10597</v>
      </c>
      <c r="B10598" s="845" t="s">
        <v>2564</v>
      </c>
      <c r="C10598" s="1007">
        <f t="shared" si="201"/>
        <v>49</v>
      </c>
      <c r="D10598" s="1014"/>
      <c r="H10598" s="1011" t="s">
        <v>1010</v>
      </c>
      <c r="K10598" s="1013"/>
    </row>
    <row r="10599" spans="1:11" s="1011" customFormat="1" ht="15" x14ac:dyDescent="0.25">
      <c r="A10599" s="859">
        <f t="shared" si="202"/>
        <v>10598</v>
      </c>
      <c r="B10599" s="845" t="s">
        <v>2564</v>
      </c>
      <c r="C10599" s="1007">
        <f t="shared" si="201"/>
        <v>49</v>
      </c>
      <c r="D10599" s="1012"/>
      <c r="H10599" s="1011" t="s">
        <v>1007</v>
      </c>
      <c r="K10599" s="1013"/>
    </row>
    <row r="10600" spans="1:11" s="1011" customFormat="1" ht="15" x14ac:dyDescent="0.25">
      <c r="A10600" s="859">
        <f t="shared" si="202"/>
        <v>10599</v>
      </c>
      <c r="B10600" s="845" t="s">
        <v>2564</v>
      </c>
      <c r="C10600" s="1007">
        <f t="shared" si="201"/>
        <v>49</v>
      </c>
      <c r="D10600" s="1015"/>
      <c r="I10600" s="1011" t="s">
        <v>2176</v>
      </c>
      <c r="K10600" s="1013"/>
    </row>
    <row r="10601" spans="1:11" s="1011" customFormat="1" ht="15" x14ac:dyDescent="0.25">
      <c r="A10601" s="859">
        <f t="shared" si="202"/>
        <v>10600</v>
      </c>
      <c r="B10601" s="845" t="s">
        <v>2564</v>
      </c>
      <c r="C10601" s="1007">
        <f t="shared" si="201"/>
        <v>49</v>
      </c>
      <c r="D10601" s="1012"/>
      <c r="I10601" s="1011" t="str">
        <f>CONCATENATE("&lt;valeur&gt;",VLOOKUP(C10601,'T16 Amort'!A:K,4,0),"&lt;/valeur&gt;")</f>
        <v>&lt;valeur&gt;&lt;/valeur&gt;</v>
      </c>
      <c r="K10601" s="1013"/>
    </row>
    <row r="10602" spans="1:11" s="1011" customFormat="1" ht="15" x14ac:dyDescent="0.25">
      <c r="A10602" s="859">
        <f t="shared" si="202"/>
        <v>10601</v>
      </c>
      <c r="B10602" s="845" t="s">
        <v>2564</v>
      </c>
      <c r="C10602" s="1007">
        <f t="shared" si="201"/>
        <v>49</v>
      </c>
      <c r="D10602" s="1012"/>
      <c r="I10602" s="1011" t="str">
        <f>CONCATENATE("&lt;numeroLigne&gt;",C10602,"&lt;/numeroLigne&gt;")</f>
        <v>&lt;numeroLigne&gt;49&lt;/numeroLigne&gt;</v>
      </c>
      <c r="K10602" s="1013"/>
    </row>
    <row r="10603" spans="1:11" s="1011" customFormat="1" ht="15" x14ac:dyDescent="0.25">
      <c r="A10603" s="859">
        <f t="shared" si="202"/>
        <v>10602</v>
      </c>
      <c r="B10603" s="845" t="s">
        <v>2564</v>
      </c>
      <c r="C10603" s="1007">
        <f t="shared" si="201"/>
        <v>49</v>
      </c>
      <c r="D10603" s="1014"/>
      <c r="H10603" s="1011" t="s">
        <v>1010</v>
      </c>
      <c r="K10603" s="1013"/>
    </row>
    <row r="10604" spans="1:11" s="1011" customFormat="1" ht="15" x14ac:dyDescent="0.25">
      <c r="A10604" s="859">
        <f t="shared" si="202"/>
        <v>10603</v>
      </c>
      <c r="B10604" s="845" t="s">
        <v>2564</v>
      </c>
      <c r="C10604" s="1007">
        <f t="shared" si="201"/>
        <v>49</v>
      </c>
      <c r="D10604" s="1014"/>
      <c r="H10604" s="1011" t="s">
        <v>1007</v>
      </c>
      <c r="K10604" s="1013"/>
    </row>
    <row r="10605" spans="1:11" s="1011" customFormat="1" ht="15" x14ac:dyDescent="0.25">
      <c r="A10605" s="859">
        <f t="shared" si="202"/>
        <v>10604</v>
      </c>
      <c r="B10605" s="845" t="s">
        <v>2564</v>
      </c>
      <c r="C10605" s="1007">
        <f t="shared" si="201"/>
        <v>49</v>
      </c>
      <c r="D10605" s="1012"/>
      <c r="I10605" s="1011" t="s">
        <v>2177</v>
      </c>
      <c r="K10605" s="1013"/>
    </row>
    <row r="10606" spans="1:11" s="1011" customFormat="1" ht="15" x14ac:dyDescent="0.25">
      <c r="A10606" s="859">
        <f t="shared" si="202"/>
        <v>10605</v>
      </c>
      <c r="B10606" s="845" t="s">
        <v>2564</v>
      </c>
      <c r="C10606" s="1007">
        <f t="shared" si="201"/>
        <v>49</v>
      </c>
      <c r="D10606" s="1015"/>
      <c r="I10606" s="1011" t="str">
        <f>CONCATENATE("&lt;valeur&gt;",VLOOKUP(C10606,'T16 Amort'!A:K,5,0),"&lt;/valeur&gt;")</f>
        <v>&lt;valeur&gt;&lt;/valeur&gt;</v>
      </c>
      <c r="K10606" s="1013"/>
    </row>
    <row r="10607" spans="1:11" s="1011" customFormat="1" ht="15" x14ac:dyDescent="0.25">
      <c r="A10607" s="859">
        <f t="shared" si="202"/>
        <v>10606</v>
      </c>
      <c r="B10607" s="845" t="s">
        <v>2564</v>
      </c>
      <c r="C10607" s="1007">
        <f t="shared" ref="C10607:C10670" si="203">C10557+1</f>
        <v>49</v>
      </c>
      <c r="D10607" s="1012"/>
      <c r="I10607" s="1011" t="str">
        <f>CONCATENATE("&lt;numeroLigne&gt;",C10607,"&lt;/numeroLigne&gt;")</f>
        <v>&lt;numeroLigne&gt;49&lt;/numeroLigne&gt;</v>
      </c>
      <c r="K10607" s="1013"/>
    </row>
    <row r="10608" spans="1:11" s="1011" customFormat="1" ht="15" x14ac:dyDescent="0.25">
      <c r="A10608" s="859">
        <f t="shared" si="202"/>
        <v>10607</v>
      </c>
      <c r="B10608" s="845" t="s">
        <v>2564</v>
      </c>
      <c r="C10608" s="1007">
        <f t="shared" si="203"/>
        <v>49</v>
      </c>
      <c r="D10608" s="1012"/>
      <c r="H10608" s="1011" t="s">
        <v>1010</v>
      </c>
      <c r="K10608" s="1013"/>
    </row>
    <row r="10609" spans="1:11" s="1011" customFormat="1" ht="15" x14ac:dyDescent="0.25">
      <c r="A10609" s="859">
        <f t="shared" si="202"/>
        <v>10608</v>
      </c>
      <c r="B10609" s="845" t="s">
        <v>2564</v>
      </c>
      <c r="C10609" s="1007">
        <f t="shared" si="203"/>
        <v>49</v>
      </c>
      <c r="D10609" s="1014"/>
      <c r="H10609" s="1011" t="s">
        <v>1007</v>
      </c>
      <c r="K10609" s="1013"/>
    </row>
    <row r="10610" spans="1:11" s="1011" customFormat="1" ht="15" x14ac:dyDescent="0.25">
      <c r="A10610" s="859">
        <f t="shared" si="202"/>
        <v>10609</v>
      </c>
      <c r="B10610" s="845" t="s">
        <v>2564</v>
      </c>
      <c r="C10610" s="1007">
        <f t="shared" si="203"/>
        <v>49</v>
      </c>
      <c r="D10610" s="1014"/>
      <c r="I10610" s="1011" t="s">
        <v>2178</v>
      </c>
      <c r="K10610" s="1013"/>
    </row>
    <row r="10611" spans="1:11" s="1011" customFormat="1" ht="15" x14ac:dyDescent="0.25">
      <c r="A10611" s="859">
        <f t="shared" si="202"/>
        <v>10610</v>
      </c>
      <c r="B10611" s="845" t="s">
        <v>2564</v>
      </c>
      <c r="C10611" s="1007">
        <f t="shared" si="203"/>
        <v>49</v>
      </c>
      <c r="D10611" s="1012"/>
      <c r="I10611" s="1011" t="str">
        <f>CONCATENATE("&lt;valeur&gt;",VLOOKUP(C10611,'T16 Amort'!A:K,6,0),"&lt;/valeur&gt;")</f>
        <v>&lt;valeur&gt;&lt;/valeur&gt;</v>
      </c>
      <c r="K10611" s="1013"/>
    </row>
    <row r="10612" spans="1:11" s="1011" customFormat="1" ht="15" x14ac:dyDescent="0.25">
      <c r="A10612" s="859">
        <f t="shared" si="202"/>
        <v>10611</v>
      </c>
      <c r="B10612" s="845" t="s">
        <v>2564</v>
      </c>
      <c r="C10612" s="1007">
        <f t="shared" si="203"/>
        <v>49</v>
      </c>
      <c r="D10612" s="1015"/>
      <c r="I10612" s="1011" t="str">
        <f>CONCATENATE("&lt;numeroLigne&gt;",C10612,"&lt;/numeroLigne&gt;")</f>
        <v>&lt;numeroLigne&gt;49&lt;/numeroLigne&gt;</v>
      </c>
      <c r="K10612" s="1013"/>
    </row>
    <row r="10613" spans="1:11" s="1011" customFormat="1" ht="15" x14ac:dyDescent="0.25">
      <c r="A10613" s="859">
        <f t="shared" si="202"/>
        <v>10612</v>
      </c>
      <c r="B10613" s="845" t="s">
        <v>2564</v>
      </c>
      <c r="C10613" s="1007">
        <f t="shared" si="203"/>
        <v>49</v>
      </c>
      <c r="D10613" s="1012"/>
      <c r="H10613" s="1011" t="s">
        <v>1010</v>
      </c>
      <c r="K10613" s="1013"/>
    </row>
    <row r="10614" spans="1:11" s="1011" customFormat="1" ht="15" x14ac:dyDescent="0.25">
      <c r="A10614" s="859">
        <f t="shared" si="202"/>
        <v>10613</v>
      </c>
      <c r="B10614" s="845" t="s">
        <v>2564</v>
      </c>
      <c r="C10614" s="1007">
        <f t="shared" si="203"/>
        <v>49</v>
      </c>
      <c r="D10614" s="1012"/>
      <c r="H10614" s="1011" t="s">
        <v>1007</v>
      </c>
      <c r="K10614" s="1013"/>
    </row>
    <row r="10615" spans="1:11" s="1011" customFormat="1" ht="15" x14ac:dyDescent="0.25">
      <c r="A10615" s="859">
        <f t="shared" si="202"/>
        <v>10614</v>
      </c>
      <c r="B10615" s="845" t="s">
        <v>2564</v>
      </c>
      <c r="C10615" s="1007">
        <f t="shared" si="203"/>
        <v>49</v>
      </c>
      <c r="D10615" s="1014"/>
      <c r="I10615" s="1011" t="s">
        <v>2179</v>
      </c>
      <c r="K10615" s="1013"/>
    </row>
    <row r="10616" spans="1:11" s="1011" customFormat="1" ht="15" x14ac:dyDescent="0.25">
      <c r="A10616" s="859">
        <f t="shared" si="202"/>
        <v>10615</v>
      </c>
      <c r="B10616" s="845" t="s">
        <v>2564</v>
      </c>
      <c r="C10616" s="1007">
        <f t="shared" si="203"/>
        <v>49</v>
      </c>
      <c r="D10616" s="1014"/>
      <c r="I10616" s="1011" t="str">
        <f>CONCATENATE("&lt;valeur&gt;",VLOOKUP(C10616,'T16 Amort'!A:K,7,0),"&lt;/valeur&gt;")</f>
        <v>&lt;valeur&gt;&lt;/valeur&gt;</v>
      </c>
      <c r="K10616" s="1013"/>
    </row>
    <row r="10617" spans="1:11" s="1011" customFormat="1" ht="15" x14ac:dyDescent="0.25">
      <c r="A10617" s="859">
        <f t="shared" si="202"/>
        <v>10616</v>
      </c>
      <c r="B10617" s="845" t="s">
        <v>2564</v>
      </c>
      <c r="C10617" s="1007">
        <f t="shared" si="203"/>
        <v>49</v>
      </c>
      <c r="D10617" s="1012"/>
      <c r="I10617" s="1011" t="str">
        <f>CONCATENATE("&lt;numeroLigne&gt;",C10617,"&lt;/numeroLigne&gt;")</f>
        <v>&lt;numeroLigne&gt;49&lt;/numeroLigne&gt;</v>
      </c>
      <c r="K10617" s="1013"/>
    </row>
    <row r="10618" spans="1:11" s="1011" customFormat="1" ht="15" x14ac:dyDescent="0.25">
      <c r="A10618" s="859">
        <f t="shared" si="202"/>
        <v>10617</v>
      </c>
      <c r="B10618" s="845" t="s">
        <v>2564</v>
      </c>
      <c r="C10618" s="1007">
        <f t="shared" si="203"/>
        <v>49</v>
      </c>
      <c r="D10618" s="1015"/>
      <c r="H10618" s="1011" t="s">
        <v>1010</v>
      </c>
      <c r="K10618" s="1013"/>
    </row>
    <row r="10619" spans="1:11" s="1011" customFormat="1" ht="15" x14ac:dyDescent="0.25">
      <c r="A10619" s="859">
        <f t="shared" si="202"/>
        <v>10618</v>
      </c>
      <c r="B10619" s="845" t="s">
        <v>2564</v>
      </c>
      <c r="C10619" s="1007">
        <f t="shared" si="203"/>
        <v>49</v>
      </c>
      <c r="D10619" s="1012"/>
      <c r="H10619" s="1011" t="s">
        <v>1007</v>
      </c>
      <c r="K10619" s="1013"/>
    </row>
    <row r="10620" spans="1:11" s="1011" customFormat="1" ht="15" x14ac:dyDescent="0.25">
      <c r="A10620" s="859">
        <f t="shared" si="202"/>
        <v>10619</v>
      </c>
      <c r="B10620" s="845" t="s">
        <v>2564</v>
      </c>
      <c r="C10620" s="1007">
        <f t="shared" si="203"/>
        <v>49</v>
      </c>
      <c r="D10620" s="1012"/>
      <c r="I10620" s="1011" t="s">
        <v>2180</v>
      </c>
      <c r="K10620" s="1013"/>
    </row>
    <row r="10621" spans="1:11" s="1011" customFormat="1" ht="15" x14ac:dyDescent="0.25">
      <c r="A10621" s="859">
        <f t="shared" si="202"/>
        <v>10620</v>
      </c>
      <c r="B10621" s="845" t="s">
        <v>2564</v>
      </c>
      <c r="C10621" s="1007">
        <f t="shared" si="203"/>
        <v>49</v>
      </c>
      <c r="D10621" s="1014"/>
      <c r="I10621" s="1011" t="str">
        <f>CONCATENATE("&lt;valeur&gt;",VLOOKUP(C10621,'T16 Amort'!A:K,8,0),"&lt;/valeur&gt;")</f>
        <v>&lt;valeur&gt;&lt;/valeur&gt;</v>
      </c>
      <c r="K10621" s="1013"/>
    </row>
    <row r="10622" spans="1:11" s="1011" customFormat="1" ht="15" x14ac:dyDescent="0.25">
      <c r="A10622" s="859">
        <f t="shared" si="202"/>
        <v>10621</v>
      </c>
      <c r="B10622" s="845" t="s">
        <v>2564</v>
      </c>
      <c r="C10622" s="1007">
        <f t="shared" si="203"/>
        <v>49</v>
      </c>
      <c r="D10622" s="1014"/>
      <c r="I10622" s="1011" t="str">
        <f>CONCATENATE("&lt;numeroLigne&gt;",C10622,"&lt;/numeroLigne&gt;")</f>
        <v>&lt;numeroLigne&gt;49&lt;/numeroLigne&gt;</v>
      </c>
      <c r="K10622" s="1013"/>
    </row>
    <row r="10623" spans="1:11" s="1011" customFormat="1" ht="15" x14ac:dyDescent="0.25">
      <c r="A10623" s="859">
        <f t="shared" si="202"/>
        <v>10622</v>
      </c>
      <c r="B10623" s="845" t="s">
        <v>2564</v>
      </c>
      <c r="C10623" s="1007">
        <f t="shared" si="203"/>
        <v>49</v>
      </c>
      <c r="D10623" s="1012"/>
      <c r="H10623" s="1011" t="s">
        <v>1010</v>
      </c>
      <c r="K10623" s="1013"/>
    </row>
    <row r="10624" spans="1:11" s="1011" customFormat="1" ht="15" x14ac:dyDescent="0.25">
      <c r="A10624" s="859">
        <f t="shared" si="202"/>
        <v>10623</v>
      </c>
      <c r="B10624" s="845" t="s">
        <v>2564</v>
      </c>
      <c r="C10624" s="1007">
        <f t="shared" si="203"/>
        <v>49</v>
      </c>
      <c r="D10624" s="1015"/>
      <c r="H10624" s="1011" t="s">
        <v>1007</v>
      </c>
      <c r="K10624" s="1013"/>
    </row>
    <row r="10625" spans="1:11" s="1011" customFormat="1" ht="15" x14ac:dyDescent="0.25">
      <c r="A10625" s="859">
        <f t="shared" si="202"/>
        <v>10624</v>
      </c>
      <c r="B10625" s="845" t="s">
        <v>2564</v>
      </c>
      <c r="C10625" s="1007">
        <f t="shared" si="203"/>
        <v>49</v>
      </c>
      <c r="D10625" s="1012"/>
      <c r="I10625" s="1011" t="s">
        <v>2181</v>
      </c>
      <c r="K10625" s="1013"/>
    </row>
    <row r="10626" spans="1:11" s="1011" customFormat="1" ht="15" x14ac:dyDescent="0.25">
      <c r="A10626" s="859">
        <f t="shared" si="202"/>
        <v>10625</v>
      </c>
      <c r="B10626" s="845" t="s">
        <v>2564</v>
      </c>
      <c r="C10626" s="1007">
        <f t="shared" si="203"/>
        <v>49</v>
      </c>
      <c r="D10626" s="1012"/>
      <c r="I10626" s="1011" t="str">
        <f>CONCATENATE("&lt;valeur&gt;",VLOOKUP(C10626,'T16 Amort'!A:K,9,0),"&lt;/valeur&gt;")</f>
        <v>&lt;valeur&gt;&lt;/valeur&gt;</v>
      </c>
      <c r="K10626" s="1013"/>
    </row>
    <row r="10627" spans="1:11" s="1011" customFormat="1" ht="15" x14ac:dyDescent="0.25">
      <c r="A10627" s="859">
        <f t="shared" si="202"/>
        <v>10626</v>
      </c>
      <c r="B10627" s="845" t="s">
        <v>2564</v>
      </c>
      <c r="C10627" s="1007">
        <f t="shared" si="203"/>
        <v>49</v>
      </c>
      <c r="D10627" s="1014"/>
      <c r="I10627" s="1011" t="str">
        <f>CONCATENATE("&lt;numeroLigne&gt;",C10627,"&lt;/numeroLigne&gt;")</f>
        <v>&lt;numeroLigne&gt;49&lt;/numeroLigne&gt;</v>
      </c>
      <c r="K10627" s="1013"/>
    </row>
    <row r="10628" spans="1:11" s="1011" customFormat="1" ht="15" x14ac:dyDescent="0.25">
      <c r="A10628" s="859">
        <f t="shared" ref="A10628:A10691" si="204">+A10627+1</f>
        <v>10627</v>
      </c>
      <c r="B10628" s="845" t="s">
        <v>2564</v>
      </c>
      <c r="C10628" s="1007">
        <f t="shared" si="203"/>
        <v>49</v>
      </c>
      <c r="D10628" s="1014"/>
      <c r="H10628" s="1011" t="s">
        <v>1010</v>
      </c>
      <c r="K10628" s="1013"/>
    </row>
    <row r="10629" spans="1:11" s="1011" customFormat="1" ht="15" x14ac:dyDescent="0.25">
      <c r="A10629" s="859">
        <f t="shared" si="204"/>
        <v>10628</v>
      </c>
      <c r="B10629" s="845" t="s">
        <v>2564</v>
      </c>
      <c r="C10629" s="1007">
        <f t="shared" si="203"/>
        <v>49</v>
      </c>
      <c r="D10629" s="1012"/>
      <c r="H10629" s="1011" t="s">
        <v>1007</v>
      </c>
      <c r="K10629" s="1013"/>
    </row>
    <row r="10630" spans="1:11" s="1011" customFormat="1" ht="15" x14ac:dyDescent="0.25">
      <c r="A10630" s="859">
        <f t="shared" si="204"/>
        <v>10629</v>
      </c>
      <c r="B10630" s="845" t="s">
        <v>2564</v>
      </c>
      <c r="C10630" s="1007">
        <f t="shared" si="203"/>
        <v>49</v>
      </c>
      <c r="D10630" s="1015"/>
      <c r="I10630" s="1011" t="s">
        <v>2182</v>
      </c>
      <c r="K10630" s="1013"/>
    </row>
    <row r="10631" spans="1:11" s="1011" customFormat="1" ht="15" x14ac:dyDescent="0.25">
      <c r="A10631" s="859">
        <f t="shared" si="204"/>
        <v>10630</v>
      </c>
      <c r="B10631" s="845" t="s">
        <v>2564</v>
      </c>
      <c r="C10631" s="1007">
        <f t="shared" si="203"/>
        <v>49</v>
      </c>
      <c r="D10631" s="1012"/>
      <c r="I10631" s="1011" t="str">
        <f>CONCATENATE("&lt;valeur&gt;",VLOOKUP(C10631,'T16 Amort'!A:K,10,0),"&lt;/valeur&gt;")</f>
        <v>&lt;valeur&gt;&lt;/valeur&gt;</v>
      </c>
      <c r="K10631" s="1013"/>
    </row>
    <row r="10632" spans="1:11" s="1011" customFormat="1" ht="15" x14ac:dyDescent="0.25">
      <c r="A10632" s="859">
        <f t="shared" si="204"/>
        <v>10631</v>
      </c>
      <c r="B10632" s="845" t="s">
        <v>2564</v>
      </c>
      <c r="C10632" s="1007">
        <f t="shared" si="203"/>
        <v>49</v>
      </c>
      <c r="D10632" s="1012"/>
      <c r="I10632" s="1011" t="str">
        <f>CONCATENATE("&lt;numeroLigne&gt;",C10632,"&lt;/numeroLigne&gt;")</f>
        <v>&lt;numeroLigne&gt;49&lt;/numeroLigne&gt;</v>
      </c>
      <c r="K10632" s="1013"/>
    </row>
    <row r="10633" spans="1:11" s="1011" customFormat="1" ht="15" x14ac:dyDescent="0.25">
      <c r="A10633" s="859">
        <f t="shared" si="204"/>
        <v>10632</v>
      </c>
      <c r="B10633" s="845" t="s">
        <v>2564</v>
      </c>
      <c r="C10633" s="1007">
        <f t="shared" si="203"/>
        <v>49</v>
      </c>
      <c r="D10633" s="1014"/>
      <c r="H10633" s="1011" t="s">
        <v>1010</v>
      </c>
      <c r="K10633" s="1013"/>
    </row>
    <row r="10634" spans="1:11" s="1011" customFormat="1" ht="15" x14ac:dyDescent="0.25">
      <c r="A10634" s="859">
        <f t="shared" si="204"/>
        <v>10633</v>
      </c>
      <c r="B10634" s="845" t="s">
        <v>2564</v>
      </c>
      <c r="C10634" s="1007">
        <f t="shared" si="203"/>
        <v>49</v>
      </c>
      <c r="D10634" s="1014"/>
      <c r="H10634" s="1011" t="s">
        <v>1007</v>
      </c>
      <c r="K10634" s="1013"/>
    </row>
    <row r="10635" spans="1:11" s="1011" customFormat="1" ht="15" x14ac:dyDescent="0.25">
      <c r="A10635" s="859">
        <f t="shared" si="204"/>
        <v>10634</v>
      </c>
      <c r="B10635" s="845" t="s">
        <v>2564</v>
      </c>
      <c r="C10635" s="1007">
        <f t="shared" si="203"/>
        <v>49</v>
      </c>
      <c r="D10635" s="1012"/>
      <c r="I10635" s="1011" t="s">
        <v>2183</v>
      </c>
      <c r="K10635" s="1013"/>
    </row>
    <row r="10636" spans="1:11" s="1011" customFormat="1" ht="15" x14ac:dyDescent="0.25">
      <c r="A10636" s="859">
        <f t="shared" si="204"/>
        <v>10635</v>
      </c>
      <c r="B10636" s="845" t="s">
        <v>2564</v>
      </c>
      <c r="C10636" s="1007">
        <f t="shared" si="203"/>
        <v>49</v>
      </c>
      <c r="D10636" s="1015"/>
      <c r="I10636" s="1011" t="str">
        <f>CONCATENATE("&lt;valeur&gt;",VLOOKUP(C10636,'T16 Amort'!A:K,11,0),"&lt;/valeur&gt;")</f>
        <v>&lt;valeur&gt;&lt;/valeur&gt;</v>
      </c>
      <c r="K10636" s="1013"/>
    </row>
    <row r="10637" spans="1:11" s="1011" customFormat="1" ht="15" x14ac:dyDescent="0.25">
      <c r="A10637" s="859">
        <f t="shared" si="204"/>
        <v>10636</v>
      </c>
      <c r="B10637" s="845" t="s">
        <v>2564</v>
      </c>
      <c r="C10637" s="1007">
        <f t="shared" si="203"/>
        <v>49</v>
      </c>
      <c r="D10637" s="1012"/>
      <c r="I10637" s="1011" t="str">
        <f>CONCATENATE("&lt;numeroLigne&gt;",C10637,"&lt;/numeroLigne&gt;")</f>
        <v>&lt;numeroLigne&gt;49&lt;/numeroLigne&gt;</v>
      </c>
      <c r="K10637" s="1013"/>
    </row>
    <row r="10638" spans="1:11" s="1011" customFormat="1" ht="15" x14ac:dyDescent="0.25">
      <c r="A10638" s="859">
        <f t="shared" si="204"/>
        <v>10637</v>
      </c>
      <c r="B10638" s="845" t="s">
        <v>2564</v>
      </c>
      <c r="C10638" s="1007">
        <f t="shared" si="203"/>
        <v>49</v>
      </c>
      <c r="D10638" s="1016"/>
      <c r="E10638" s="1017"/>
      <c r="F10638" s="1017"/>
      <c r="G10638" s="1017"/>
      <c r="H10638" s="1017" t="s">
        <v>1010</v>
      </c>
      <c r="I10638" s="1017"/>
      <c r="J10638" s="1017"/>
      <c r="K10638" s="1018"/>
    </row>
    <row r="10639" spans="1:11" s="1011" customFormat="1" ht="15" x14ac:dyDescent="0.25">
      <c r="A10639" s="859">
        <f t="shared" si="204"/>
        <v>10638</v>
      </c>
      <c r="B10639" s="845" t="s">
        <v>2564</v>
      </c>
      <c r="C10639" s="1007">
        <f t="shared" si="203"/>
        <v>50</v>
      </c>
      <c r="D10639" s="1008"/>
      <c r="E10639" s="1009"/>
      <c r="F10639" s="1009"/>
      <c r="G10639" s="1009"/>
      <c r="H10639" s="1009" t="s">
        <v>1007</v>
      </c>
      <c r="I10639" s="1009"/>
      <c r="J10639" s="1009"/>
      <c r="K10639" s="1010"/>
    </row>
    <row r="10640" spans="1:11" s="1011" customFormat="1" ht="15" x14ac:dyDescent="0.25">
      <c r="A10640" s="859">
        <f t="shared" si="204"/>
        <v>10639</v>
      </c>
      <c r="B10640" s="845" t="s">
        <v>2564</v>
      </c>
      <c r="C10640" s="1007">
        <f t="shared" si="203"/>
        <v>50</v>
      </c>
      <c r="D10640" s="1012"/>
      <c r="I10640" s="1011" t="s">
        <v>2174</v>
      </c>
      <c r="K10640" s="1013"/>
    </row>
    <row r="10641" spans="1:11" s="1011" customFormat="1" ht="15" x14ac:dyDescent="0.25">
      <c r="A10641" s="859">
        <f t="shared" si="204"/>
        <v>10640</v>
      </c>
      <c r="B10641" s="845" t="s">
        <v>2564</v>
      </c>
      <c r="C10641" s="1007">
        <f t="shared" si="203"/>
        <v>50</v>
      </c>
      <c r="D10641" s="1014"/>
      <c r="I10641" s="1011" t="str">
        <f>CONCATENATE("&lt;valeur&gt;",VLOOKUP(C10641,'T16 Amort'!A:K,2,0),"&lt;/valeur&gt;")</f>
        <v>&lt;valeur&gt;&lt;/valeur&gt;</v>
      </c>
      <c r="K10641" s="1013"/>
    </row>
    <row r="10642" spans="1:11" s="1011" customFormat="1" ht="15" x14ac:dyDescent="0.25">
      <c r="A10642" s="859">
        <f t="shared" si="204"/>
        <v>10641</v>
      </c>
      <c r="B10642" s="845" t="s">
        <v>2564</v>
      </c>
      <c r="C10642" s="1007">
        <f t="shared" si="203"/>
        <v>50</v>
      </c>
      <c r="D10642" s="1014"/>
      <c r="I10642" s="1011" t="str">
        <f>CONCATENATE("&lt;numeroLigne&gt;",C10642,"&lt;/numeroLigne&gt;")</f>
        <v>&lt;numeroLigne&gt;50&lt;/numeroLigne&gt;</v>
      </c>
      <c r="K10642" s="1013"/>
    </row>
    <row r="10643" spans="1:11" s="1011" customFormat="1" ht="15" x14ac:dyDescent="0.25">
      <c r="A10643" s="859">
        <f t="shared" si="204"/>
        <v>10642</v>
      </c>
      <c r="B10643" s="845" t="s">
        <v>2564</v>
      </c>
      <c r="C10643" s="1007">
        <f t="shared" si="203"/>
        <v>50</v>
      </c>
      <c r="D10643" s="1012"/>
      <c r="H10643" s="1011" t="s">
        <v>1010</v>
      </c>
      <c r="K10643" s="1013"/>
    </row>
    <row r="10644" spans="1:11" s="1011" customFormat="1" ht="15" x14ac:dyDescent="0.25">
      <c r="A10644" s="859">
        <f t="shared" si="204"/>
        <v>10643</v>
      </c>
      <c r="B10644" s="845" t="s">
        <v>2564</v>
      </c>
      <c r="C10644" s="1007">
        <f t="shared" si="203"/>
        <v>50</v>
      </c>
      <c r="D10644" s="1015"/>
      <c r="H10644" s="1011" t="s">
        <v>1007</v>
      </c>
      <c r="K10644" s="1013"/>
    </row>
    <row r="10645" spans="1:11" s="1011" customFormat="1" ht="15" x14ac:dyDescent="0.25">
      <c r="A10645" s="859">
        <f t="shared" si="204"/>
        <v>10644</v>
      </c>
      <c r="B10645" s="845" t="s">
        <v>2564</v>
      </c>
      <c r="C10645" s="1007">
        <f t="shared" si="203"/>
        <v>50</v>
      </c>
      <c r="D10645" s="1012"/>
      <c r="I10645" s="1011" t="s">
        <v>2175</v>
      </c>
      <c r="K10645" s="1013"/>
    </row>
    <row r="10646" spans="1:11" s="1011" customFormat="1" ht="15" x14ac:dyDescent="0.25">
      <c r="A10646" s="859">
        <f t="shared" si="204"/>
        <v>10645</v>
      </c>
      <c r="B10646" s="845" t="s">
        <v>2564</v>
      </c>
      <c r="C10646" s="1007">
        <f t="shared" si="203"/>
        <v>50</v>
      </c>
      <c r="D10646" s="1012"/>
      <c r="I10646" s="1011" t="str">
        <f>CONCATENATE("&lt;valeur&gt;",VLOOKUP(C10646,'T16 Amort'!A:K,3,0),"&lt;/valeur&gt;")</f>
        <v>&lt;valeur&gt;&lt;/valeur&gt;</v>
      </c>
      <c r="K10646" s="1013"/>
    </row>
    <row r="10647" spans="1:11" s="1011" customFormat="1" ht="15" x14ac:dyDescent="0.25">
      <c r="A10647" s="859">
        <f t="shared" si="204"/>
        <v>10646</v>
      </c>
      <c r="B10647" s="845" t="s">
        <v>2564</v>
      </c>
      <c r="C10647" s="1007">
        <f t="shared" si="203"/>
        <v>50</v>
      </c>
      <c r="D10647" s="1014"/>
      <c r="I10647" s="1011" t="str">
        <f>CONCATENATE("&lt;numeroLigne&gt;",C10647,"&lt;/numeroLigne&gt;")</f>
        <v>&lt;numeroLigne&gt;50&lt;/numeroLigne&gt;</v>
      </c>
      <c r="K10647" s="1013"/>
    </row>
    <row r="10648" spans="1:11" s="1011" customFormat="1" ht="15" x14ac:dyDescent="0.25">
      <c r="A10648" s="859">
        <f t="shared" si="204"/>
        <v>10647</v>
      </c>
      <c r="B10648" s="845" t="s">
        <v>2564</v>
      </c>
      <c r="C10648" s="1007">
        <f t="shared" si="203"/>
        <v>50</v>
      </c>
      <c r="D10648" s="1014"/>
      <c r="H10648" s="1011" t="s">
        <v>1010</v>
      </c>
      <c r="K10648" s="1013"/>
    </row>
    <row r="10649" spans="1:11" s="1011" customFormat="1" ht="15" x14ac:dyDescent="0.25">
      <c r="A10649" s="859">
        <f t="shared" si="204"/>
        <v>10648</v>
      </c>
      <c r="B10649" s="845" t="s">
        <v>2564</v>
      </c>
      <c r="C10649" s="1007">
        <f t="shared" si="203"/>
        <v>50</v>
      </c>
      <c r="D10649" s="1012"/>
      <c r="H10649" s="1011" t="s">
        <v>1007</v>
      </c>
      <c r="K10649" s="1013"/>
    </row>
    <row r="10650" spans="1:11" s="1011" customFormat="1" ht="15" x14ac:dyDescent="0.25">
      <c r="A10650" s="859">
        <f t="shared" si="204"/>
        <v>10649</v>
      </c>
      <c r="B10650" s="845" t="s">
        <v>2564</v>
      </c>
      <c r="C10650" s="1007">
        <f t="shared" si="203"/>
        <v>50</v>
      </c>
      <c r="D10650" s="1015"/>
      <c r="I10650" s="1011" t="s">
        <v>2176</v>
      </c>
      <c r="K10650" s="1013"/>
    </row>
    <row r="10651" spans="1:11" s="1011" customFormat="1" ht="15" x14ac:dyDescent="0.25">
      <c r="A10651" s="859">
        <f t="shared" si="204"/>
        <v>10650</v>
      </c>
      <c r="B10651" s="845" t="s">
        <v>2564</v>
      </c>
      <c r="C10651" s="1007">
        <f t="shared" si="203"/>
        <v>50</v>
      </c>
      <c r="D10651" s="1012"/>
      <c r="I10651" s="1011" t="str">
        <f>CONCATENATE("&lt;valeur&gt;",VLOOKUP(C10651,'T16 Amort'!A:K,4,0),"&lt;/valeur&gt;")</f>
        <v>&lt;valeur&gt;&lt;/valeur&gt;</v>
      </c>
      <c r="K10651" s="1013"/>
    </row>
    <row r="10652" spans="1:11" s="1011" customFormat="1" ht="15" x14ac:dyDescent="0.25">
      <c r="A10652" s="859">
        <f t="shared" si="204"/>
        <v>10651</v>
      </c>
      <c r="B10652" s="845" t="s">
        <v>2564</v>
      </c>
      <c r="C10652" s="1007">
        <f t="shared" si="203"/>
        <v>50</v>
      </c>
      <c r="D10652" s="1012"/>
      <c r="I10652" s="1011" t="str">
        <f>CONCATENATE("&lt;numeroLigne&gt;",C10652,"&lt;/numeroLigne&gt;")</f>
        <v>&lt;numeroLigne&gt;50&lt;/numeroLigne&gt;</v>
      </c>
      <c r="K10652" s="1013"/>
    </row>
    <row r="10653" spans="1:11" s="1011" customFormat="1" ht="15" x14ac:dyDescent="0.25">
      <c r="A10653" s="859">
        <f t="shared" si="204"/>
        <v>10652</v>
      </c>
      <c r="B10653" s="845" t="s">
        <v>2564</v>
      </c>
      <c r="C10653" s="1007">
        <f t="shared" si="203"/>
        <v>50</v>
      </c>
      <c r="D10653" s="1014"/>
      <c r="H10653" s="1011" t="s">
        <v>1010</v>
      </c>
      <c r="K10653" s="1013"/>
    </row>
    <row r="10654" spans="1:11" s="1011" customFormat="1" ht="15" x14ac:dyDescent="0.25">
      <c r="A10654" s="859">
        <f t="shared" si="204"/>
        <v>10653</v>
      </c>
      <c r="B10654" s="845" t="s">
        <v>2564</v>
      </c>
      <c r="C10654" s="1007">
        <f t="shared" si="203"/>
        <v>50</v>
      </c>
      <c r="D10654" s="1014"/>
      <c r="H10654" s="1011" t="s">
        <v>1007</v>
      </c>
      <c r="K10654" s="1013"/>
    </row>
    <row r="10655" spans="1:11" s="1011" customFormat="1" ht="15" x14ac:dyDescent="0.25">
      <c r="A10655" s="859">
        <f t="shared" si="204"/>
        <v>10654</v>
      </c>
      <c r="B10655" s="845" t="s">
        <v>2564</v>
      </c>
      <c r="C10655" s="1007">
        <f t="shared" si="203"/>
        <v>50</v>
      </c>
      <c r="D10655" s="1012"/>
      <c r="I10655" s="1011" t="s">
        <v>2177</v>
      </c>
      <c r="K10655" s="1013"/>
    </row>
    <row r="10656" spans="1:11" s="1011" customFormat="1" ht="15" x14ac:dyDescent="0.25">
      <c r="A10656" s="859">
        <f t="shared" si="204"/>
        <v>10655</v>
      </c>
      <c r="B10656" s="845" t="s">
        <v>2564</v>
      </c>
      <c r="C10656" s="1007">
        <f t="shared" si="203"/>
        <v>50</v>
      </c>
      <c r="D10656" s="1015"/>
      <c r="I10656" s="1011" t="str">
        <f>CONCATENATE("&lt;valeur&gt;",VLOOKUP(C10656,'T16 Amort'!A:K,5,0),"&lt;/valeur&gt;")</f>
        <v>&lt;valeur&gt;&lt;/valeur&gt;</v>
      </c>
      <c r="K10656" s="1013"/>
    </row>
    <row r="10657" spans="1:11" s="1011" customFormat="1" ht="15" x14ac:dyDescent="0.25">
      <c r="A10657" s="859">
        <f t="shared" si="204"/>
        <v>10656</v>
      </c>
      <c r="B10657" s="845" t="s">
        <v>2564</v>
      </c>
      <c r="C10657" s="1007">
        <f t="shared" si="203"/>
        <v>50</v>
      </c>
      <c r="D10657" s="1012"/>
      <c r="I10657" s="1011" t="str">
        <f>CONCATENATE("&lt;numeroLigne&gt;",C10657,"&lt;/numeroLigne&gt;")</f>
        <v>&lt;numeroLigne&gt;50&lt;/numeroLigne&gt;</v>
      </c>
      <c r="K10657" s="1013"/>
    </row>
    <row r="10658" spans="1:11" s="1011" customFormat="1" ht="15" x14ac:dyDescent="0.25">
      <c r="A10658" s="859">
        <f t="shared" si="204"/>
        <v>10657</v>
      </c>
      <c r="B10658" s="845" t="s">
        <v>2564</v>
      </c>
      <c r="C10658" s="1007">
        <f t="shared" si="203"/>
        <v>50</v>
      </c>
      <c r="D10658" s="1012"/>
      <c r="H10658" s="1011" t="s">
        <v>1010</v>
      </c>
      <c r="K10658" s="1013"/>
    </row>
    <row r="10659" spans="1:11" s="1011" customFormat="1" ht="15" x14ac:dyDescent="0.25">
      <c r="A10659" s="859">
        <f t="shared" si="204"/>
        <v>10658</v>
      </c>
      <c r="B10659" s="845" t="s">
        <v>2564</v>
      </c>
      <c r="C10659" s="1007">
        <f t="shared" si="203"/>
        <v>50</v>
      </c>
      <c r="D10659" s="1014"/>
      <c r="H10659" s="1011" t="s">
        <v>1007</v>
      </c>
      <c r="K10659" s="1013"/>
    </row>
    <row r="10660" spans="1:11" s="1011" customFormat="1" ht="15" x14ac:dyDescent="0.25">
      <c r="A10660" s="859">
        <f t="shared" si="204"/>
        <v>10659</v>
      </c>
      <c r="B10660" s="845" t="s">
        <v>2564</v>
      </c>
      <c r="C10660" s="1007">
        <f t="shared" si="203"/>
        <v>50</v>
      </c>
      <c r="D10660" s="1014"/>
      <c r="I10660" s="1011" t="s">
        <v>2178</v>
      </c>
      <c r="K10660" s="1013"/>
    </row>
    <row r="10661" spans="1:11" s="1011" customFormat="1" ht="15" x14ac:dyDescent="0.25">
      <c r="A10661" s="859">
        <f t="shared" si="204"/>
        <v>10660</v>
      </c>
      <c r="B10661" s="845" t="s">
        <v>2564</v>
      </c>
      <c r="C10661" s="1007">
        <f t="shared" si="203"/>
        <v>50</v>
      </c>
      <c r="D10661" s="1012"/>
      <c r="I10661" s="1011" t="str">
        <f>CONCATENATE("&lt;valeur&gt;",VLOOKUP(C10661,'T16 Amort'!A:K,6,0),"&lt;/valeur&gt;")</f>
        <v>&lt;valeur&gt;&lt;/valeur&gt;</v>
      </c>
      <c r="K10661" s="1013"/>
    </row>
    <row r="10662" spans="1:11" s="1011" customFormat="1" ht="15" x14ac:dyDescent="0.25">
      <c r="A10662" s="859">
        <f t="shared" si="204"/>
        <v>10661</v>
      </c>
      <c r="B10662" s="845" t="s">
        <v>2564</v>
      </c>
      <c r="C10662" s="1007">
        <f t="shared" si="203"/>
        <v>50</v>
      </c>
      <c r="D10662" s="1015"/>
      <c r="I10662" s="1011" t="str">
        <f>CONCATENATE("&lt;numeroLigne&gt;",C10662,"&lt;/numeroLigne&gt;")</f>
        <v>&lt;numeroLigne&gt;50&lt;/numeroLigne&gt;</v>
      </c>
      <c r="K10662" s="1013"/>
    </row>
    <row r="10663" spans="1:11" s="1011" customFormat="1" ht="15" x14ac:dyDescent="0.25">
      <c r="A10663" s="859">
        <f t="shared" si="204"/>
        <v>10662</v>
      </c>
      <c r="B10663" s="845" t="s">
        <v>2564</v>
      </c>
      <c r="C10663" s="1007">
        <f t="shared" si="203"/>
        <v>50</v>
      </c>
      <c r="D10663" s="1012"/>
      <c r="H10663" s="1011" t="s">
        <v>1010</v>
      </c>
      <c r="K10663" s="1013"/>
    </row>
    <row r="10664" spans="1:11" s="1011" customFormat="1" ht="15" x14ac:dyDescent="0.25">
      <c r="A10664" s="859">
        <f t="shared" si="204"/>
        <v>10663</v>
      </c>
      <c r="B10664" s="845" t="s">
        <v>2564</v>
      </c>
      <c r="C10664" s="1007">
        <f t="shared" si="203"/>
        <v>50</v>
      </c>
      <c r="D10664" s="1012"/>
      <c r="H10664" s="1011" t="s">
        <v>1007</v>
      </c>
      <c r="K10664" s="1013"/>
    </row>
    <row r="10665" spans="1:11" s="1011" customFormat="1" ht="15" x14ac:dyDescent="0.25">
      <c r="A10665" s="859">
        <f t="shared" si="204"/>
        <v>10664</v>
      </c>
      <c r="B10665" s="845" t="s">
        <v>2564</v>
      </c>
      <c r="C10665" s="1007">
        <f t="shared" si="203"/>
        <v>50</v>
      </c>
      <c r="D10665" s="1014"/>
      <c r="I10665" s="1011" t="s">
        <v>2179</v>
      </c>
      <c r="K10665" s="1013"/>
    </row>
    <row r="10666" spans="1:11" s="1011" customFormat="1" ht="15" x14ac:dyDescent="0.25">
      <c r="A10666" s="859">
        <f t="shared" si="204"/>
        <v>10665</v>
      </c>
      <c r="B10666" s="845" t="s">
        <v>2564</v>
      </c>
      <c r="C10666" s="1007">
        <f t="shared" si="203"/>
        <v>50</v>
      </c>
      <c r="D10666" s="1014"/>
      <c r="I10666" s="1011" t="str">
        <f>CONCATENATE("&lt;valeur&gt;",VLOOKUP(C10666,'T16 Amort'!A:K,7,0),"&lt;/valeur&gt;")</f>
        <v>&lt;valeur&gt;&lt;/valeur&gt;</v>
      </c>
      <c r="K10666" s="1013"/>
    </row>
    <row r="10667" spans="1:11" s="1011" customFormat="1" ht="15" x14ac:dyDescent="0.25">
      <c r="A10667" s="859">
        <f t="shared" si="204"/>
        <v>10666</v>
      </c>
      <c r="B10667" s="845" t="s">
        <v>2564</v>
      </c>
      <c r="C10667" s="1007">
        <f t="shared" si="203"/>
        <v>50</v>
      </c>
      <c r="D10667" s="1012"/>
      <c r="I10667" s="1011" t="str">
        <f>CONCATENATE("&lt;numeroLigne&gt;",C10667,"&lt;/numeroLigne&gt;")</f>
        <v>&lt;numeroLigne&gt;50&lt;/numeroLigne&gt;</v>
      </c>
      <c r="K10667" s="1013"/>
    </row>
    <row r="10668" spans="1:11" s="1011" customFormat="1" ht="15" x14ac:dyDescent="0.25">
      <c r="A10668" s="859">
        <f t="shared" si="204"/>
        <v>10667</v>
      </c>
      <c r="B10668" s="845" t="s">
        <v>2564</v>
      </c>
      <c r="C10668" s="1007">
        <f t="shared" si="203"/>
        <v>50</v>
      </c>
      <c r="D10668" s="1015"/>
      <c r="H10668" s="1011" t="s">
        <v>1010</v>
      </c>
      <c r="K10668" s="1013"/>
    </row>
    <row r="10669" spans="1:11" s="1011" customFormat="1" ht="15" x14ac:dyDescent="0.25">
      <c r="A10669" s="859">
        <f t="shared" si="204"/>
        <v>10668</v>
      </c>
      <c r="B10669" s="845" t="s">
        <v>2564</v>
      </c>
      <c r="C10669" s="1007">
        <f t="shared" si="203"/>
        <v>50</v>
      </c>
      <c r="D10669" s="1012"/>
      <c r="H10669" s="1011" t="s">
        <v>1007</v>
      </c>
      <c r="K10669" s="1013"/>
    </row>
    <row r="10670" spans="1:11" s="1011" customFormat="1" ht="15" x14ac:dyDescent="0.25">
      <c r="A10670" s="859">
        <f t="shared" si="204"/>
        <v>10669</v>
      </c>
      <c r="B10670" s="845" t="s">
        <v>2564</v>
      </c>
      <c r="C10670" s="1007">
        <f t="shared" si="203"/>
        <v>50</v>
      </c>
      <c r="D10670" s="1012"/>
      <c r="I10670" s="1011" t="s">
        <v>2180</v>
      </c>
      <c r="K10670" s="1013"/>
    </row>
    <row r="10671" spans="1:11" s="1011" customFormat="1" ht="15" x14ac:dyDescent="0.25">
      <c r="A10671" s="859">
        <f t="shared" si="204"/>
        <v>10670</v>
      </c>
      <c r="B10671" s="845" t="s">
        <v>2564</v>
      </c>
      <c r="C10671" s="1007">
        <f t="shared" ref="C10671:C10734" si="205">C10621+1</f>
        <v>50</v>
      </c>
      <c r="D10671" s="1014"/>
      <c r="I10671" s="1011" t="str">
        <f>CONCATENATE("&lt;valeur&gt;",VLOOKUP(C10671,'T16 Amort'!A:K,8,0),"&lt;/valeur&gt;")</f>
        <v>&lt;valeur&gt;&lt;/valeur&gt;</v>
      </c>
      <c r="K10671" s="1013"/>
    </row>
    <row r="10672" spans="1:11" s="1011" customFormat="1" ht="15" x14ac:dyDescent="0.25">
      <c r="A10672" s="859">
        <f t="shared" si="204"/>
        <v>10671</v>
      </c>
      <c r="B10672" s="845" t="s">
        <v>2564</v>
      </c>
      <c r="C10672" s="1007">
        <f t="shared" si="205"/>
        <v>50</v>
      </c>
      <c r="D10672" s="1014"/>
      <c r="I10672" s="1011" t="str">
        <f>CONCATENATE("&lt;numeroLigne&gt;",C10672,"&lt;/numeroLigne&gt;")</f>
        <v>&lt;numeroLigne&gt;50&lt;/numeroLigne&gt;</v>
      </c>
      <c r="K10672" s="1013"/>
    </row>
    <row r="10673" spans="1:11" s="1011" customFormat="1" ht="15" x14ac:dyDescent="0.25">
      <c r="A10673" s="859">
        <f t="shared" si="204"/>
        <v>10672</v>
      </c>
      <c r="B10673" s="845" t="s">
        <v>2564</v>
      </c>
      <c r="C10673" s="1007">
        <f t="shared" si="205"/>
        <v>50</v>
      </c>
      <c r="D10673" s="1012"/>
      <c r="H10673" s="1011" t="s">
        <v>1010</v>
      </c>
      <c r="K10673" s="1013"/>
    </row>
    <row r="10674" spans="1:11" s="1011" customFormat="1" ht="15" x14ac:dyDescent="0.25">
      <c r="A10674" s="859">
        <f t="shared" si="204"/>
        <v>10673</v>
      </c>
      <c r="B10674" s="845" t="s">
        <v>2564</v>
      </c>
      <c r="C10674" s="1007">
        <f t="shared" si="205"/>
        <v>50</v>
      </c>
      <c r="D10674" s="1015"/>
      <c r="H10674" s="1011" t="s">
        <v>1007</v>
      </c>
      <c r="K10674" s="1013"/>
    </row>
    <row r="10675" spans="1:11" s="1011" customFormat="1" ht="15" x14ac:dyDescent="0.25">
      <c r="A10675" s="859">
        <f t="shared" si="204"/>
        <v>10674</v>
      </c>
      <c r="B10675" s="845" t="s">
        <v>2564</v>
      </c>
      <c r="C10675" s="1007">
        <f t="shared" si="205"/>
        <v>50</v>
      </c>
      <c r="D10675" s="1012"/>
      <c r="I10675" s="1011" t="s">
        <v>2181</v>
      </c>
      <c r="K10675" s="1013"/>
    </row>
    <row r="10676" spans="1:11" s="1011" customFormat="1" ht="15" x14ac:dyDescent="0.25">
      <c r="A10676" s="859">
        <f t="shared" si="204"/>
        <v>10675</v>
      </c>
      <c r="B10676" s="845" t="s">
        <v>2564</v>
      </c>
      <c r="C10676" s="1007">
        <f t="shared" si="205"/>
        <v>50</v>
      </c>
      <c r="D10676" s="1012"/>
      <c r="I10676" s="1011" t="str">
        <f>CONCATENATE("&lt;valeur&gt;",VLOOKUP(C10676,'T16 Amort'!A:K,9,0),"&lt;/valeur&gt;")</f>
        <v>&lt;valeur&gt;&lt;/valeur&gt;</v>
      </c>
      <c r="K10676" s="1013"/>
    </row>
    <row r="10677" spans="1:11" s="1011" customFormat="1" ht="15" x14ac:dyDescent="0.25">
      <c r="A10677" s="859">
        <f t="shared" si="204"/>
        <v>10676</v>
      </c>
      <c r="B10677" s="845" t="s">
        <v>2564</v>
      </c>
      <c r="C10677" s="1007">
        <f t="shared" si="205"/>
        <v>50</v>
      </c>
      <c r="D10677" s="1014"/>
      <c r="I10677" s="1011" t="str">
        <f>CONCATENATE("&lt;numeroLigne&gt;",C10677,"&lt;/numeroLigne&gt;")</f>
        <v>&lt;numeroLigne&gt;50&lt;/numeroLigne&gt;</v>
      </c>
      <c r="K10677" s="1013"/>
    </row>
    <row r="10678" spans="1:11" s="1011" customFormat="1" ht="15" x14ac:dyDescent="0.25">
      <c r="A10678" s="859">
        <f t="shared" si="204"/>
        <v>10677</v>
      </c>
      <c r="B10678" s="845" t="s">
        <v>2564</v>
      </c>
      <c r="C10678" s="1007">
        <f t="shared" si="205"/>
        <v>50</v>
      </c>
      <c r="D10678" s="1014"/>
      <c r="H10678" s="1011" t="s">
        <v>1010</v>
      </c>
      <c r="K10678" s="1013"/>
    </row>
    <row r="10679" spans="1:11" s="1011" customFormat="1" ht="15" x14ac:dyDescent="0.25">
      <c r="A10679" s="859">
        <f t="shared" si="204"/>
        <v>10678</v>
      </c>
      <c r="B10679" s="845" t="s">
        <v>2564</v>
      </c>
      <c r="C10679" s="1007">
        <f t="shared" si="205"/>
        <v>50</v>
      </c>
      <c r="D10679" s="1012"/>
      <c r="H10679" s="1011" t="s">
        <v>1007</v>
      </c>
      <c r="K10679" s="1013"/>
    </row>
    <row r="10680" spans="1:11" s="1011" customFormat="1" ht="15" x14ac:dyDescent="0.25">
      <c r="A10680" s="859">
        <f t="shared" si="204"/>
        <v>10679</v>
      </c>
      <c r="B10680" s="845" t="s">
        <v>2564</v>
      </c>
      <c r="C10680" s="1007">
        <f t="shared" si="205"/>
        <v>50</v>
      </c>
      <c r="D10680" s="1015"/>
      <c r="I10680" s="1011" t="s">
        <v>2182</v>
      </c>
      <c r="K10680" s="1013"/>
    </row>
    <row r="10681" spans="1:11" s="1011" customFormat="1" ht="15" x14ac:dyDescent="0.25">
      <c r="A10681" s="859">
        <f t="shared" si="204"/>
        <v>10680</v>
      </c>
      <c r="B10681" s="845" t="s">
        <v>2564</v>
      </c>
      <c r="C10681" s="1007">
        <f t="shared" si="205"/>
        <v>50</v>
      </c>
      <c r="D10681" s="1012"/>
      <c r="I10681" s="1011" t="str">
        <f>CONCATENATE("&lt;valeur&gt;",VLOOKUP(C10681,'T16 Amort'!A:K,10,0),"&lt;/valeur&gt;")</f>
        <v>&lt;valeur&gt;&lt;/valeur&gt;</v>
      </c>
      <c r="K10681" s="1013"/>
    </row>
    <row r="10682" spans="1:11" s="1011" customFormat="1" ht="15" x14ac:dyDescent="0.25">
      <c r="A10682" s="859">
        <f t="shared" si="204"/>
        <v>10681</v>
      </c>
      <c r="B10682" s="845" t="s">
        <v>2564</v>
      </c>
      <c r="C10682" s="1007">
        <f t="shared" si="205"/>
        <v>50</v>
      </c>
      <c r="D10682" s="1012"/>
      <c r="I10682" s="1011" t="str">
        <f>CONCATENATE("&lt;numeroLigne&gt;",C10682,"&lt;/numeroLigne&gt;")</f>
        <v>&lt;numeroLigne&gt;50&lt;/numeroLigne&gt;</v>
      </c>
      <c r="K10682" s="1013"/>
    </row>
    <row r="10683" spans="1:11" s="1011" customFormat="1" ht="15" x14ac:dyDescent="0.25">
      <c r="A10683" s="859">
        <f t="shared" si="204"/>
        <v>10682</v>
      </c>
      <c r="B10683" s="845" t="s">
        <v>2564</v>
      </c>
      <c r="C10683" s="1007">
        <f t="shared" si="205"/>
        <v>50</v>
      </c>
      <c r="D10683" s="1014"/>
      <c r="H10683" s="1011" t="s">
        <v>1010</v>
      </c>
      <c r="K10683" s="1013"/>
    </row>
    <row r="10684" spans="1:11" s="1011" customFormat="1" ht="15" x14ac:dyDescent="0.25">
      <c r="A10684" s="859">
        <f t="shared" si="204"/>
        <v>10683</v>
      </c>
      <c r="B10684" s="845" t="s">
        <v>2564</v>
      </c>
      <c r="C10684" s="1007">
        <f t="shared" si="205"/>
        <v>50</v>
      </c>
      <c r="D10684" s="1014"/>
      <c r="H10684" s="1011" t="s">
        <v>1007</v>
      </c>
      <c r="K10684" s="1013"/>
    </row>
    <row r="10685" spans="1:11" s="1011" customFormat="1" ht="15" x14ac:dyDescent="0.25">
      <c r="A10685" s="859">
        <f t="shared" si="204"/>
        <v>10684</v>
      </c>
      <c r="B10685" s="845" t="s">
        <v>2564</v>
      </c>
      <c r="C10685" s="1007">
        <f t="shared" si="205"/>
        <v>50</v>
      </c>
      <c r="D10685" s="1012"/>
      <c r="I10685" s="1011" t="s">
        <v>2183</v>
      </c>
      <c r="K10685" s="1013"/>
    </row>
    <row r="10686" spans="1:11" s="1011" customFormat="1" ht="15" x14ac:dyDescent="0.25">
      <c r="A10686" s="859">
        <f t="shared" si="204"/>
        <v>10685</v>
      </c>
      <c r="B10686" s="845" t="s">
        <v>2564</v>
      </c>
      <c r="C10686" s="1007">
        <f t="shared" si="205"/>
        <v>50</v>
      </c>
      <c r="D10686" s="1015"/>
      <c r="I10686" s="1011" t="str">
        <f>CONCATENATE("&lt;valeur&gt;",VLOOKUP(C10686,'T16 Amort'!A:K,11,0),"&lt;/valeur&gt;")</f>
        <v>&lt;valeur&gt;&lt;/valeur&gt;</v>
      </c>
      <c r="K10686" s="1013"/>
    </row>
    <row r="10687" spans="1:11" s="1011" customFormat="1" ht="15" x14ac:dyDescent="0.25">
      <c r="A10687" s="859">
        <f t="shared" si="204"/>
        <v>10686</v>
      </c>
      <c r="B10687" s="845" t="s">
        <v>2564</v>
      </c>
      <c r="C10687" s="1007">
        <f t="shared" si="205"/>
        <v>50</v>
      </c>
      <c r="D10687" s="1012"/>
      <c r="I10687" s="1011" t="str">
        <f>CONCATENATE("&lt;numeroLigne&gt;",C10687,"&lt;/numeroLigne&gt;")</f>
        <v>&lt;numeroLigne&gt;50&lt;/numeroLigne&gt;</v>
      </c>
      <c r="K10687" s="1013"/>
    </row>
    <row r="10688" spans="1:11" s="1011" customFormat="1" ht="15" x14ac:dyDescent="0.25">
      <c r="A10688" s="859">
        <f t="shared" si="204"/>
        <v>10687</v>
      </c>
      <c r="B10688" s="845" t="s">
        <v>2564</v>
      </c>
      <c r="C10688" s="1007">
        <f t="shared" si="205"/>
        <v>50</v>
      </c>
      <c r="D10688" s="1016"/>
      <c r="E10688" s="1017"/>
      <c r="F10688" s="1017"/>
      <c r="G10688" s="1017"/>
      <c r="H10688" s="1017" t="s">
        <v>1010</v>
      </c>
      <c r="I10688" s="1017"/>
      <c r="J10688" s="1017"/>
      <c r="K10688" s="1018"/>
    </row>
    <row r="10689" spans="1:11" s="1011" customFormat="1" ht="15" x14ac:dyDescent="0.25">
      <c r="A10689" s="859">
        <f t="shared" si="204"/>
        <v>10688</v>
      </c>
      <c r="B10689" s="845" t="s">
        <v>2564</v>
      </c>
      <c r="C10689" s="1007">
        <f t="shared" si="205"/>
        <v>51</v>
      </c>
      <c r="D10689" s="1008"/>
      <c r="E10689" s="1009"/>
      <c r="F10689" s="1009"/>
      <c r="G10689" s="1009"/>
      <c r="H10689" s="1009" t="s">
        <v>1007</v>
      </c>
      <c r="I10689" s="1009"/>
      <c r="J10689" s="1009"/>
      <c r="K10689" s="1010"/>
    </row>
    <row r="10690" spans="1:11" s="1011" customFormat="1" ht="15" x14ac:dyDescent="0.25">
      <c r="A10690" s="859">
        <f t="shared" si="204"/>
        <v>10689</v>
      </c>
      <c r="B10690" s="845" t="s">
        <v>2564</v>
      </c>
      <c r="C10690" s="1007">
        <f t="shared" si="205"/>
        <v>51</v>
      </c>
      <c r="D10690" s="1012"/>
      <c r="I10690" s="1011" t="s">
        <v>2174</v>
      </c>
      <c r="K10690" s="1013"/>
    </row>
    <row r="10691" spans="1:11" s="1011" customFormat="1" ht="15" x14ac:dyDescent="0.25">
      <c r="A10691" s="859">
        <f t="shared" si="204"/>
        <v>10690</v>
      </c>
      <c r="B10691" s="845" t="s">
        <v>2564</v>
      </c>
      <c r="C10691" s="1007">
        <f t="shared" si="205"/>
        <v>51</v>
      </c>
      <c r="D10691" s="1014"/>
      <c r="I10691" s="1011" t="str">
        <f>CONCATENATE("&lt;valeur&gt;",VLOOKUP(C10691,'T16 Amort'!A:K,2,0),"&lt;/valeur&gt;")</f>
        <v>&lt;valeur&gt;&lt;/valeur&gt;</v>
      </c>
      <c r="K10691" s="1013"/>
    </row>
    <row r="10692" spans="1:11" s="1011" customFormat="1" ht="15" x14ac:dyDescent="0.25">
      <c r="A10692" s="859">
        <f t="shared" ref="A10692:A10755" si="206">+A10691+1</f>
        <v>10691</v>
      </c>
      <c r="B10692" s="845" t="s">
        <v>2564</v>
      </c>
      <c r="C10692" s="1007">
        <f t="shared" si="205"/>
        <v>51</v>
      </c>
      <c r="D10692" s="1014"/>
      <c r="I10692" s="1011" t="str">
        <f>CONCATENATE("&lt;numeroLigne&gt;",C10692,"&lt;/numeroLigne&gt;")</f>
        <v>&lt;numeroLigne&gt;51&lt;/numeroLigne&gt;</v>
      </c>
      <c r="K10692" s="1013"/>
    </row>
    <row r="10693" spans="1:11" s="1011" customFormat="1" ht="15" x14ac:dyDescent="0.25">
      <c r="A10693" s="859">
        <f t="shared" si="206"/>
        <v>10692</v>
      </c>
      <c r="B10693" s="845" t="s">
        <v>2564</v>
      </c>
      <c r="C10693" s="1007">
        <f t="shared" si="205"/>
        <v>51</v>
      </c>
      <c r="D10693" s="1012"/>
      <c r="H10693" s="1011" t="s">
        <v>1010</v>
      </c>
      <c r="K10693" s="1013"/>
    </row>
    <row r="10694" spans="1:11" s="1011" customFormat="1" ht="15" x14ac:dyDescent="0.25">
      <c r="A10694" s="859">
        <f t="shared" si="206"/>
        <v>10693</v>
      </c>
      <c r="B10694" s="845" t="s">
        <v>2564</v>
      </c>
      <c r="C10694" s="1007">
        <f t="shared" si="205"/>
        <v>51</v>
      </c>
      <c r="D10694" s="1015"/>
      <c r="H10694" s="1011" t="s">
        <v>1007</v>
      </c>
      <c r="K10694" s="1013"/>
    </row>
    <row r="10695" spans="1:11" s="1011" customFormat="1" ht="15" x14ac:dyDescent="0.25">
      <c r="A10695" s="859">
        <f t="shared" si="206"/>
        <v>10694</v>
      </c>
      <c r="B10695" s="845" t="s">
        <v>2564</v>
      </c>
      <c r="C10695" s="1007">
        <f t="shared" si="205"/>
        <v>51</v>
      </c>
      <c r="D10695" s="1012"/>
      <c r="I10695" s="1011" t="s">
        <v>2175</v>
      </c>
      <c r="K10695" s="1013"/>
    </row>
    <row r="10696" spans="1:11" s="1011" customFormat="1" ht="15" x14ac:dyDescent="0.25">
      <c r="A10696" s="859">
        <f t="shared" si="206"/>
        <v>10695</v>
      </c>
      <c r="B10696" s="845" t="s">
        <v>2564</v>
      </c>
      <c r="C10696" s="1007">
        <f t="shared" si="205"/>
        <v>51</v>
      </c>
      <c r="D10696" s="1012"/>
      <c r="I10696" s="1011" t="str">
        <f>CONCATENATE("&lt;valeur&gt;",VLOOKUP(C10696,'T16 Amort'!A:K,3,0),"&lt;/valeur&gt;")</f>
        <v>&lt;valeur&gt;&lt;/valeur&gt;</v>
      </c>
      <c r="K10696" s="1013"/>
    </row>
    <row r="10697" spans="1:11" s="1011" customFormat="1" ht="15" x14ac:dyDescent="0.25">
      <c r="A10697" s="859">
        <f t="shared" si="206"/>
        <v>10696</v>
      </c>
      <c r="B10697" s="845" t="s">
        <v>2564</v>
      </c>
      <c r="C10697" s="1007">
        <f t="shared" si="205"/>
        <v>51</v>
      </c>
      <c r="D10697" s="1014"/>
      <c r="I10697" s="1011" t="str">
        <f>CONCATENATE("&lt;numeroLigne&gt;",C10697,"&lt;/numeroLigne&gt;")</f>
        <v>&lt;numeroLigne&gt;51&lt;/numeroLigne&gt;</v>
      </c>
      <c r="K10697" s="1013"/>
    </row>
    <row r="10698" spans="1:11" s="1011" customFormat="1" ht="15" x14ac:dyDescent="0.25">
      <c r="A10698" s="859">
        <f t="shared" si="206"/>
        <v>10697</v>
      </c>
      <c r="B10698" s="845" t="s">
        <v>2564</v>
      </c>
      <c r="C10698" s="1007">
        <f t="shared" si="205"/>
        <v>51</v>
      </c>
      <c r="D10698" s="1014"/>
      <c r="H10698" s="1011" t="s">
        <v>1010</v>
      </c>
      <c r="K10698" s="1013"/>
    </row>
    <row r="10699" spans="1:11" s="1011" customFormat="1" ht="15" x14ac:dyDescent="0.25">
      <c r="A10699" s="859">
        <f t="shared" si="206"/>
        <v>10698</v>
      </c>
      <c r="B10699" s="845" t="s">
        <v>2564</v>
      </c>
      <c r="C10699" s="1007">
        <f t="shared" si="205"/>
        <v>51</v>
      </c>
      <c r="D10699" s="1012"/>
      <c r="H10699" s="1011" t="s">
        <v>1007</v>
      </c>
      <c r="K10699" s="1013"/>
    </row>
    <row r="10700" spans="1:11" s="1011" customFormat="1" ht="15" x14ac:dyDescent="0.25">
      <c r="A10700" s="859">
        <f t="shared" si="206"/>
        <v>10699</v>
      </c>
      <c r="B10700" s="845" t="s">
        <v>2564</v>
      </c>
      <c r="C10700" s="1007">
        <f t="shared" si="205"/>
        <v>51</v>
      </c>
      <c r="D10700" s="1015"/>
      <c r="I10700" s="1011" t="s">
        <v>2176</v>
      </c>
      <c r="K10700" s="1013"/>
    </row>
    <row r="10701" spans="1:11" s="1011" customFormat="1" ht="15" x14ac:dyDescent="0.25">
      <c r="A10701" s="859">
        <f t="shared" si="206"/>
        <v>10700</v>
      </c>
      <c r="B10701" s="845" t="s">
        <v>2564</v>
      </c>
      <c r="C10701" s="1007">
        <f t="shared" si="205"/>
        <v>51</v>
      </c>
      <c r="D10701" s="1012"/>
      <c r="I10701" s="1011" t="str">
        <f>CONCATENATE("&lt;valeur&gt;",VLOOKUP(C10701,'T16 Amort'!A:K,4,0),"&lt;/valeur&gt;")</f>
        <v>&lt;valeur&gt;&lt;/valeur&gt;</v>
      </c>
      <c r="K10701" s="1013"/>
    </row>
    <row r="10702" spans="1:11" s="1011" customFormat="1" ht="15" x14ac:dyDescent="0.25">
      <c r="A10702" s="859">
        <f t="shared" si="206"/>
        <v>10701</v>
      </c>
      <c r="B10702" s="845" t="s">
        <v>2564</v>
      </c>
      <c r="C10702" s="1007">
        <f t="shared" si="205"/>
        <v>51</v>
      </c>
      <c r="D10702" s="1012"/>
      <c r="I10702" s="1011" t="str">
        <f>CONCATENATE("&lt;numeroLigne&gt;",C10702,"&lt;/numeroLigne&gt;")</f>
        <v>&lt;numeroLigne&gt;51&lt;/numeroLigne&gt;</v>
      </c>
      <c r="K10702" s="1013"/>
    </row>
    <row r="10703" spans="1:11" s="1011" customFormat="1" ht="15" x14ac:dyDescent="0.25">
      <c r="A10703" s="859">
        <f t="shared" si="206"/>
        <v>10702</v>
      </c>
      <c r="B10703" s="845" t="s">
        <v>2564</v>
      </c>
      <c r="C10703" s="1007">
        <f t="shared" si="205"/>
        <v>51</v>
      </c>
      <c r="D10703" s="1014"/>
      <c r="H10703" s="1011" t="s">
        <v>1010</v>
      </c>
      <c r="K10703" s="1013"/>
    </row>
    <row r="10704" spans="1:11" s="1011" customFormat="1" ht="15" x14ac:dyDescent="0.25">
      <c r="A10704" s="859">
        <f t="shared" si="206"/>
        <v>10703</v>
      </c>
      <c r="B10704" s="845" t="s">
        <v>2564</v>
      </c>
      <c r="C10704" s="1007">
        <f t="shared" si="205"/>
        <v>51</v>
      </c>
      <c r="D10704" s="1014"/>
      <c r="H10704" s="1011" t="s">
        <v>1007</v>
      </c>
      <c r="K10704" s="1013"/>
    </row>
    <row r="10705" spans="1:11" s="1011" customFormat="1" ht="15" x14ac:dyDescent="0.25">
      <c r="A10705" s="859">
        <f t="shared" si="206"/>
        <v>10704</v>
      </c>
      <c r="B10705" s="845" t="s">
        <v>2564</v>
      </c>
      <c r="C10705" s="1007">
        <f t="shared" si="205"/>
        <v>51</v>
      </c>
      <c r="D10705" s="1012"/>
      <c r="I10705" s="1011" t="s">
        <v>2177</v>
      </c>
      <c r="K10705" s="1013"/>
    </row>
    <row r="10706" spans="1:11" s="1011" customFormat="1" ht="15" x14ac:dyDescent="0.25">
      <c r="A10706" s="859">
        <f t="shared" si="206"/>
        <v>10705</v>
      </c>
      <c r="B10706" s="845" t="s">
        <v>2564</v>
      </c>
      <c r="C10706" s="1007">
        <f t="shared" si="205"/>
        <v>51</v>
      </c>
      <c r="D10706" s="1015"/>
      <c r="I10706" s="1011" t="str">
        <f>CONCATENATE("&lt;valeur&gt;",VLOOKUP(C10706,'T16 Amort'!A:K,5,0),"&lt;/valeur&gt;")</f>
        <v>&lt;valeur&gt;&lt;/valeur&gt;</v>
      </c>
      <c r="K10706" s="1013"/>
    </row>
    <row r="10707" spans="1:11" s="1011" customFormat="1" ht="15" x14ac:dyDescent="0.25">
      <c r="A10707" s="859">
        <f t="shared" si="206"/>
        <v>10706</v>
      </c>
      <c r="B10707" s="845" t="s">
        <v>2564</v>
      </c>
      <c r="C10707" s="1007">
        <f t="shared" si="205"/>
        <v>51</v>
      </c>
      <c r="D10707" s="1012"/>
      <c r="I10707" s="1011" t="str">
        <f>CONCATENATE("&lt;numeroLigne&gt;",C10707,"&lt;/numeroLigne&gt;")</f>
        <v>&lt;numeroLigne&gt;51&lt;/numeroLigne&gt;</v>
      </c>
      <c r="K10707" s="1013"/>
    </row>
    <row r="10708" spans="1:11" s="1011" customFormat="1" ht="15" x14ac:dyDescent="0.25">
      <c r="A10708" s="859">
        <f t="shared" si="206"/>
        <v>10707</v>
      </c>
      <c r="B10708" s="845" t="s">
        <v>2564</v>
      </c>
      <c r="C10708" s="1007">
        <f t="shared" si="205"/>
        <v>51</v>
      </c>
      <c r="D10708" s="1012"/>
      <c r="H10708" s="1011" t="s">
        <v>1010</v>
      </c>
      <c r="K10708" s="1013"/>
    </row>
    <row r="10709" spans="1:11" s="1011" customFormat="1" ht="15" x14ac:dyDescent="0.25">
      <c r="A10709" s="859">
        <f t="shared" si="206"/>
        <v>10708</v>
      </c>
      <c r="B10709" s="845" t="s">
        <v>2564</v>
      </c>
      <c r="C10709" s="1007">
        <f t="shared" si="205"/>
        <v>51</v>
      </c>
      <c r="D10709" s="1014"/>
      <c r="H10709" s="1011" t="s">
        <v>1007</v>
      </c>
      <c r="K10709" s="1013"/>
    </row>
    <row r="10710" spans="1:11" s="1011" customFormat="1" ht="15" x14ac:dyDescent="0.25">
      <c r="A10710" s="859">
        <f t="shared" si="206"/>
        <v>10709</v>
      </c>
      <c r="B10710" s="845" t="s">
        <v>2564</v>
      </c>
      <c r="C10710" s="1007">
        <f t="shared" si="205"/>
        <v>51</v>
      </c>
      <c r="D10710" s="1014"/>
      <c r="I10710" s="1011" t="s">
        <v>2178</v>
      </c>
      <c r="K10710" s="1013"/>
    </row>
    <row r="10711" spans="1:11" s="1011" customFormat="1" ht="15" x14ac:dyDescent="0.25">
      <c r="A10711" s="859">
        <f t="shared" si="206"/>
        <v>10710</v>
      </c>
      <c r="B10711" s="845" t="s">
        <v>2564</v>
      </c>
      <c r="C10711" s="1007">
        <f t="shared" si="205"/>
        <v>51</v>
      </c>
      <c r="D10711" s="1012"/>
      <c r="I10711" s="1011" t="str">
        <f>CONCATENATE("&lt;valeur&gt;",VLOOKUP(C10711,'T16 Amort'!A:K,6,0),"&lt;/valeur&gt;")</f>
        <v>&lt;valeur&gt;&lt;/valeur&gt;</v>
      </c>
      <c r="K10711" s="1013"/>
    </row>
    <row r="10712" spans="1:11" s="1011" customFormat="1" ht="15" x14ac:dyDescent="0.25">
      <c r="A10712" s="859">
        <f t="shared" si="206"/>
        <v>10711</v>
      </c>
      <c r="B10712" s="845" t="s">
        <v>2564</v>
      </c>
      <c r="C10712" s="1007">
        <f t="shared" si="205"/>
        <v>51</v>
      </c>
      <c r="D10712" s="1015"/>
      <c r="I10712" s="1011" t="str">
        <f>CONCATENATE("&lt;numeroLigne&gt;",C10712,"&lt;/numeroLigne&gt;")</f>
        <v>&lt;numeroLigne&gt;51&lt;/numeroLigne&gt;</v>
      </c>
      <c r="K10712" s="1013"/>
    </row>
    <row r="10713" spans="1:11" s="1011" customFormat="1" ht="15" x14ac:dyDescent="0.25">
      <c r="A10713" s="859">
        <f t="shared" si="206"/>
        <v>10712</v>
      </c>
      <c r="B10713" s="845" t="s">
        <v>2564</v>
      </c>
      <c r="C10713" s="1007">
        <f t="shared" si="205"/>
        <v>51</v>
      </c>
      <c r="D10713" s="1012"/>
      <c r="H10713" s="1011" t="s">
        <v>1010</v>
      </c>
      <c r="K10713" s="1013"/>
    </row>
    <row r="10714" spans="1:11" s="1011" customFormat="1" ht="15" x14ac:dyDescent="0.25">
      <c r="A10714" s="859">
        <f t="shared" si="206"/>
        <v>10713</v>
      </c>
      <c r="B10714" s="845" t="s">
        <v>2564</v>
      </c>
      <c r="C10714" s="1007">
        <f t="shared" si="205"/>
        <v>51</v>
      </c>
      <c r="D10714" s="1012"/>
      <c r="H10714" s="1011" t="s">
        <v>1007</v>
      </c>
      <c r="K10714" s="1013"/>
    </row>
    <row r="10715" spans="1:11" s="1011" customFormat="1" ht="15" x14ac:dyDescent="0.25">
      <c r="A10715" s="859">
        <f t="shared" si="206"/>
        <v>10714</v>
      </c>
      <c r="B10715" s="845" t="s">
        <v>2564</v>
      </c>
      <c r="C10715" s="1007">
        <f t="shared" si="205"/>
        <v>51</v>
      </c>
      <c r="D10715" s="1014"/>
      <c r="I10715" s="1011" t="s">
        <v>2179</v>
      </c>
      <c r="K10715" s="1013"/>
    </row>
    <row r="10716" spans="1:11" s="1011" customFormat="1" ht="15" x14ac:dyDescent="0.25">
      <c r="A10716" s="859">
        <f t="shared" si="206"/>
        <v>10715</v>
      </c>
      <c r="B10716" s="845" t="s">
        <v>2564</v>
      </c>
      <c r="C10716" s="1007">
        <f t="shared" si="205"/>
        <v>51</v>
      </c>
      <c r="D10716" s="1014"/>
      <c r="I10716" s="1011" t="str">
        <f>CONCATENATE("&lt;valeur&gt;",VLOOKUP(C10716,'T16 Amort'!A:K,7,0),"&lt;/valeur&gt;")</f>
        <v>&lt;valeur&gt;&lt;/valeur&gt;</v>
      </c>
      <c r="K10716" s="1013"/>
    </row>
    <row r="10717" spans="1:11" s="1011" customFormat="1" ht="15" x14ac:dyDescent="0.25">
      <c r="A10717" s="859">
        <f t="shared" si="206"/>
        <v>10716</v>
      </c>
      <c r="B10717" s="845" t="s">
        <v>2564</v>
      </c>
      <c r="C10717" s="1007">
        <f t="shared" si="205"/>
        <v>51</v>
      </c>
      <c r="D10717" s="1012"/>
      <c r="I10717" s="1011" t="str">
        <f>CONCATENATE("&lt;numeroLigne&gt;",C10717,"&lt;/numeroLigne&gt;")</f>
        <v>&lt;numeroLigne&gt;51&lt;/numeroLigne&gt;</v>
      </c>
      <c r="K10717" s="1013"/>
    </row>
    <row r="10718" spans="1:11" s="1011" customFormat="1" ht="15" x14ac:dyDescent="0.25">
      <c r="A10718" s="859">
        <f t="shared" si="206"/>
        <v>10717</v>
      </c>
      <c r="B10718" s="845" t="s">
        <v>2564</v>
      </c>
      <c r="C10718" s="1007">
        <f t="shared" si="205"/>
        <v>51</v>
      </c>
      <c r="D10718" s="1015"/>
      <c r="H10718" s="1011" t="s">
        <v>1010</v>
      </c>
      <c r="K10718" s="1013"/>
    </row>
    <row r="10719" spans="1:11" s="1011" customFormat="1" ht="15" x14ac:dyDescent="0.25">
      <c r="A10719" s="859">
        <f t="shared" si="206"/>
        <v>10718</v>
      </c>
      <c r="B10719" s="845" t="s">
        <v>2564</v>
      </c>
      <c r="C10719" s="1007">
        <f t="shared" si="205"/>
        <v>51</v>
      </c>
      <c r="D10719" s="1012"/>
      <c r="H10719" s="1011" t="s">
        <v>1007</v>
      </c>
      <c r="K10719" s="1013"/>
    </row>
    <row r="10720" spans="1:11" s="1011" customFormat="1" ht="15" x14ac:dyDescent="0.25">
      <c r="A10720" s="859">
        <f t="shared" si="206"/>
        <v>10719</v>
      </c>
      <c r="B10720" s="845" t="s">
        <v>2564</v>
      </c>
      <c r="C10720" s="1007">
        <f t="shared" si="205"/>
        <v>51</v>
      </c>
      <c r="D10720" s="1012"/>
      <c r="I10720" s="1011" t="s">
        <v>2180</v>
      </c>
      <c r="K10720" s="1013"/>
    </row>
    <row r="10721" spans="1:11" s="1011" customFormat="1" ht="15" x14ac:dyDescent="0.25">
      <c r="A10721" s="859">
        <f t="shared" si="206"/>
        <v>10720</v>
      </c>
      <c r="B10721" s="845" t="s">
        <v>2564</v>
      </c>
      <c r="C10721" s="1007">
        <f t="shared" si="205"/>
        <v>51</v>
      </c>
      <c r="D10721" s="1014"/>
      <c r="I10721" s="1011" t="str">
        <f>CONCATENATE("&lt;valeur&gt;",VLOOKUP(C10721,'T16 Amort'!A:K,8,0),"&lt;/valeur&gt;")</f>
        <v>&lt;valeur&gt;&lt;/valeur&gt;</v>
      </c>
      <c r="K10721" s="1013"/>
    </row>
    <row r="10722" spans="1:11" s="1011" customFormat="1" ht="15" x14ac:dyDescent="0.25">
      <c r="A10722" s="859">
        <f t="shared" si="206"/>
        <v>10721</v>
      </c>
      <c r="B10722" s="845" t="s">
        <v>2564</v>
      </c>
      <c r="C10722" s="1007">
        <f t="shared" si="205"/>
        <v>51</v>
      </c>
      <c r="D10722" s="1014"/>
      <c r="I10722" s="1011" t="str">
        <f>CONCATENATE("&lt;numeroLigne&gt;",C10722,"&lt;/numeroLigne&gt;")</f>
        <v>&lt;numeroLigne&gt;51&lt;/numeroLigne&gt;</v>
      </c>
      <c r="K10722" s="1013"/>
    </row>
    <row r="10723" spans="1:11" s="1011" customFormat="1" ht="15" x14ac:dyDescent="0.25">
      <c r="A10723" s="859">
        <f t="shared" si="206"/>
        <v>10722</v>
      </c>
      <c r="B10723" s="845" t="s">
        <v>2564</v>
      </c>
      <c r="C10723" s="1007">
        <f t="shared" si="205"/>
        <v>51</v>
      </c>
      <c r="D10723" s="1012"/>
      <c r="H10723" s="1011" t="s">
        <v>1010</v>
      </c>
      <c r="K10723" s="1013"/>
    </row>
    <row r="10724" spans="1:11" s="1011" customFormat="1" ht="15" x14ac:dyDescent="0.25">
      <c r="A10724" s="859">
        <f t="shared" si="206"/>
        <v>10723</v>
      </c>
      <c r="B10724" s="845" t="s">
        <v>2564</v>
      </c>
      <c r="C10724" s="1007">
        <f t="shared" si="205"/>
        <v>51</v>
      </c>
      <c r="D10724" s="1015"/>
      <c r="H10724" s="1011" t="s">
        <v>1007</v>
      </c>
      <c r="K10724" s="1013"/>
    </row>
    <row r="10725" spans="1:11" s="1011" customFormat="1" ht="15" x14ac:dyDescent="0.25">
      <c r="A10725" s="859">
        <f t="shared" si="206"/>
        <v>10724</v>
      </c>
      <c r="B10725" s="845" t="s">
        <v>2564</v>
      </c>
      <c r="C10725" s="1007">
        <f t="shared" si="205"/>
        <v>51</v>
      </c>
      <c r="D10725" s="1012"/>
      <c r="I10725" s="1011" t="s">
        <v>2181</v>
      </c>
      <c r="K10725" s="1013"/>
    </row>
    <row r="10726" spans="1:11" s="1011" customFormat="1" ht="15" x14ac:dyDescent="0.25">
      <c r="A10726" s="859">
        <f t="shared" si="206"/>
        <v>10725</v>
      </c>
      <c r="B10726" s="845" t="s">
        <v>2564</v>
      </c>
      <c r="C10726" s="1007">
        <f t="shared" si="205"/>
        <v>51</v>
      </c>
      <c r="D10726" s="1012"/>
      <c r="I10726" s="1011" t="str">
        <f>CONCATENATE("&lt;valeur&gt;",VLOOKUP(C10726,'T16 Amort'!A:K,9,0),"&lt;/valeur&gt;")</f>
        <v>&lt;valeur&gt;&lt;/valeur&gt;</v>
      </c>
      <c r="K10726" s="1013"/>
    </row>
    <row r="10727" spans="1:11" s="1011" customFormat="1" ht="15" x14ac:dyDescent="0.25">
      <c r="A10727" s="859">
        <f t="shared" si="206"/>
        <v>10726</v>
      </c>
      <c r="B10727" s="845" t="s">
        <v>2564</v>
      </c>
      <c r="C10727" s="1007">
        <f t="shared" si="205"/>
        <v>51</v>
      </c>
      <c r="D10727" s="1014"/>
      <c r="I10727" s="1011" t="str">
        <f>CONCATENATE("&lt;numeroLigne&gt;",C10727,"&lt;/numeroLigne&gt;")</f>
        <v>&lt;numeroLigne&gt;51&lt;/numeroLigne&gt;</v>
      </c>
      <c r="K10727" s="1013"/>
    </row>
    <row r="10728" spans="1:11" s="1011" customFormat="1" ht="15" x14ac:dyDescent="0.25">
      <c r="A10728" s="859">
        <f t="shared" si="206"/>
        <v>10727</v>
      </c>
      <c r="B10728" s="845" t="s">
        <v>2564</v>
      </c>
      <c r="C10728" s="1007">
        <f t="shared" si="205"/>
        <v>51</v>
      </c>
      <c r="D10728" s="1014"/>
      <c r="H10728" s="1011" t="s">
        <v>1010</v>
      </c>
      <c r="K10728" s="1013"/>
    </row>
    <row r="10729" spans="1:11" s="1011" customFormat="1" ht="15" x14ac:dyDescent="0.25">
      <c r="A10729" s="859">
        <f t="shared" si="206"/>
        <v>10728</v>
      </c>
      <c r="B10729" s="845" t="s">
        <v>2564</v>
      </c>
      <c r="C10729" s="1007">
        <f t="shared" si="205"/>
        <v>51</v>
      </c>
      <c r="D10729" s="1012"/>
      <c r="H10729" s="1011" t="s">
        <v>1007</v>
      </c>
      <c r="K10729" s="1013"/>
    </row>
    <row r="10730" spans="1:11" s="1011" customFormat="1" ht="15" x14ac:dyDescent="0.25">
      <c r="A10730" s="859">
        <f t="shared" si="206"/>
        <v>10729</v>
      </c>
      <c r="B10730" s="845" t="s">
        <v>2564</v>
      </c>
      <c r="C10730" s="1007">
        <f t="shared" si="205"/>
        <v>51</v>
      </c>
      <c r="D10730" s="1015"/>
      <c r="I10730" s="1011" t="s">
        <v>2182</v>
      </c>
      <c r="K10730" s="1013"/>
    </row>
    <row r="10731" spans="1:11" s="1011" customFormat="1" ht="15" x14ac:dyDescent="0.25">
      <c r="A10731" s="859">
        <f t="shared" si="206"/>
        <v>10730</v>
      </c>
      <c r="B10731" s="845" t="s">
        <v>2564</v>
      </c>
      <c r="C10731" s="1007">
        <f t="shared" si="205"/>
        <v>51</v>
      </c>
      <c r="D10731" s="1012"/>
      <c r="I10731" s="1011" t="str">
        <f>CONCATENATE("&lt;valeur&gt;",VLOOKUP(C10731,'T16 Amort'!A:K,10,0),"&lt;/valeur&gt;")</f>
        <v>&lt;valeur&gt;&lt;/valeur&gt;</v>
      </c>
      <c r="K10731" s="1013"/>
    </row>
    <row r="10732" spans="1:11" s="1011" customFormat="1" ht="15" x14ac:dyDescent="0.25">
      <c r="A10732" s="859">
        <f t="shared" si="206"/>
        <v>10731</v>
      </c>
      <c r="B10732" s="845" t="s">
        <v>2564</v>
      </c>
      <c r="C10732" s="1007">
        <f t="shared" si="205"/>
        <v>51</v>
      </c>
      <c r="D10732" s="1012"/>
      <c r="I10732" s="1011" t="str">
        <f>CONCATENATE("&lt;numeroLigne&gt;",C10732,"&lt;/numeroLigne&gt;")</f>
        <v>&lt;numeroLigne&gt;51&lt;/numeroLigne&gt;</v>
      </c>
      <c r="K10732" s="1013"/>
    </row>
    <row r="10733" spans="1:11" s="1011" customFormat="1" ht="15" x14ac:dyDescent="0.25">
      <c r="A10733" s="859">
        <f t="shared" si="206"/>
        <v>10732</v>
      </c>
      <c r="B10733" s="845" t="s">
        <v>2564</v>
      </c>
      <c r="C10733" s="1007">
        <f t="shared" si="205"/>
        <v>51</v>
      </c>
      <c r="D10733" s="1014"/>
      <c r="H10733" s="1011" t="s">
        <v>1010</v>
      </c>
      <c r="K10733" s="1013"/>
    </row>
    <row r="10734" spans="1:11" s="1011" customFormat="1" ht="15" x14ac:dyDescent="0.25">
      <c r="A10734" s="859">
        <f t="shared" si="206"/>
        <v>10733</v>
      </c>
      <c r="B10734" s="845" t="s">
        <v>2564</v>
      </c>
      <c r="C10734" s="1007">
        <f t="shared" si="205"/>
        <v>51</v>
      </c>
      <c r="D10734" s="1014"/>
      <c r="H10734" s="1011" t="s">
        <v>1007</v>
      </c>
      <c r="K10734" s="1013"/>
    </row>
    <row r="10735" spans="1:11" s="1011" customFormat="1" ht="15" x14ac:dyDescent="0.25">
      <c r="A10735" s="859">
        <f t="shared" si="206"/>
        <v>10734</v>
      </c>
      <c r="B10735" s="845" t="s">
        <v>2564</v>
      </c>
      <c r="C10735" s="1007">
        <f t="shared" ref="C10735:C10798" si="207">C10685+1</f>
        <v>51</v>
      </c>
      <c r="D10735" s="1012"/>
      <c r="I10735" s="1011" t="s">
        <v>2183</v>
      </c>
      <c r="K10735" s="1013"/>
    </row>
    <row r="10736" spans="1:11" s="1011" customFormat="1" ht="15" x14ac:dyDescent="0.25">
      <c r="A10736" s="859">
        <f t="shared" si="206"/>
        <v>10735</v>
      </c>
      <c r="B10736" s="845" t="s">
        <v>2564</v>
      </c>
      <c r="C10736" s="1007">
        <f t="shared" si="207"/>
        <v>51</v>
      </c>
      <c r="D10736" s="1015"/>
      <c r="I10736" s="1011" t="str">
        <f>CONCATENATE("&lt;valeur&gt;",VLOOKUP(C10736,'T16 Amort'!A:K,11,0),"&lt;/valeur&gt;")</f>
        <v>&lt;valeur&gt;&lt;/valeur&gt;</v>
      </c>
      <c r="K10736" s="1013"/>
    </row>
    <row r="10737" spans="1:11" s="1011" customFormat="1" ht="15" x14ac:dyDescent="0.25">
      <c r="A10737" s="859">
        <f t="shared" si="206"/>
        <v>10736</v>
      </c>
      <c r="B10737" s="845" t="s">
        <v>2564</v>
      </c>
      <c r="C10737" s="1007">
        <f t="shared" si="207"/>
        <v>51</v>
      </c>
      <c r="D10737" s="1012"/>
      <c r="I10737" s="1011" t="str">
        <f>CONCATENATE("&lt;numeroLigne&gt;",C10737,"&lt;/numeroLigne&gt;")</f>
        <v>&lt;numeroLigne&gt;51&lt;/numeroLigne&gt;</v>
      </c>
      <c r="K10737" s="1013"/>
    </row>
    <row r="10738" spans="1:11" s="1011" customFormat="1" ht="15" x14ac:dyDescent="0.25">
      <c r="A10738" s="859">
        <f t="shared" si="206"/>
        <v>10737</v>
      </c>
      <c r="B10738" s="845" t="s">
        <v>2564</v>
      </c>
      <c r="C10738" s="1007">
        <f t="shared" si="207"/>
        <v>51</v>
      </c>
      <c r="D10738" s="1016"/>
      <c r="E10738" s="1017"/>
      <c r="F10738" s="1017"/>
      <c r="G10738" s="1017"/>
      <c r="H10738" s="1017" t="s">
        <v>1010</v>
      </c>
      <c r="I10738" s="1017"/>
      <c r="J10738" s="1017"/>
      <c r="K10738" s="1018"/>
    </row>
    <row r="10739" spans="1:11" s="1011" customFormat="1" ht="15" x14ac:dyDescent="0.25">
      <c r="A10739" s="859">
        <f t="shared" si="206"/>
        <v>10738</v>
      </c>
      <c r="B10739" s="845" t="s">
        <v>2564</v>
      </c>
      <c r="C10739" s="1007">
        <f t="shared" si="207"/>
        <v>52</v>
      </c>
      <c r="D10739" s="1008"/>
      <c r="E10739" s="1009"/>
      <c r="F10739" s="1009"/>
      <c r="G10739" s="1009"/>
      <c r="H10739" s="1009" t="s">
        <v>1007</v>
      </c>
      <c r="I10739" s="1009"/>
      <c r="J10739" s="1009"/>
      <c r="K10739" s="1010"/>
    </row>
    <row r="10740" spans="1:11" s="1011" customFormat="1" ht="15" x14ac:dyDescent="0.25">
      <c r="A10740" s="859">
        <f t="shared" si="206"/>
        <v>10739</v>
      </c>
      <c r="B10740" s="845" t="s">
        <v>2564</v>
      </c>
      <c r="C10740" s="1007">
        <f t="shared" si="207"/>
        <v>52</v>
      </c>
      <c r="D10740" s="1012"/>
      <c r="I10740" s="1011" t="s">
        <v>2174</v>
      </c>
      <c r="K10740" s="1013"/>
    </row>
    <row r="10741" spans="1:11" s="1011" customFormat="1" ht="15" x14ac:dyDescent="0.25">
      <c r="A10741" s="859">
        <f t="shared" si="206"/>
        <v>10740</v>
      </c>
      <c r="B10741" s="845" t="s">
        <v>2564</v>
      </c>
      <c r="C10741" s="1007">
        <f t="shared" si="207"/>
        <v>52</v>
      </c>
      <c r="D10741" s="1014"/>
      <c r="I10741" s="1011" t="str">
        <f>CONCATENATE("&lt;valeur&gt;",VLOOKUP(C10741,'T16 Amort'!A:K,2,0),"&lt;/valeur&gt;")</f>
        <v>&lt;valeur&gt;&lt;/valeur&gt;</v>
      </c>
      <c r="K10741" s="1013"/>
    </row>
    <row r="10742" spans="1:11" s="1011" customFormat="1" ht="15" x14ac:dyDescent="0.25">
      <c r="A10742" s="859">
        <f t="shared" si="206"/>
        <v>10741</v>
      </c>
      <c r="B10742" s="845" t="s">
        <v>2564</v>
      </c>
      <c r="C10742" s="1007">
        <f t="shared" si="207"/>
        <v>52</v>
      </c>
      <c r="D10742" s="1014"/>
      <c r="I10742" s="1011" t="str">
        <f>CONCATENATE("&lt;numeroLigne&gt;",C10742,"&lt;/numeroLigne&gt;")</f>
        <v>&lt;numeroLigne&gt;52&lt;/numeroLigne&gt;</v>
      </c>
      <c r="K10742" s="1013"/>
    </row>
    <row r="10743" spans="1:11" s="1011" customFormat="1" ht="15" x14ac:dyDescent="0.25">
      <c r="A10743" s="859">
        <f t="shared" si="206"/>
        <v>10742</v>
      </c>
      <c r="B10743" s="845" t="s">
        <v>2564</v>
      </c>
      <c r="C10743" s="1007">
        <f t="shared" si="207"/>
        <v>52</v>
      </c>
      <c r="D10743" s="1012"/>
      <c r="H10743" s="1011" t="s">
        <v>1010</v>
      </c>
      <c r="K10743" s="1013"/>
    </row>
    <row r="10744" spans="1:11" s="1011" customFormat="1" ht="15" x14ac:dyDescent="0.25">
      <c r="A10744" s="859">
        <f t="shared" si="206"/>
        <v>10743</v>
      </c>
      <c r="B10744" s="845" t="s">
        <v>2564</v>
      </c>
      <c r="C10744" s="1007">
        <f t="shared" si="207"/>
        <v>52</v>
      </c>
      <c r="D10744" s="1015"/>
      <c r="H10744" s="1011" t="s">
        <v>1007</v>
      </c>
      <c r="K10744" s="1013"/>
    </row>
    <row r="10745" spans="1:11" s="1011" customFormat="1" ht="15" x14ac:dyDescent="0.25">
      <c r="A10745" s="859">
        <f t="shared" si="206"/>
        <v>10744</v>
      </c>
      <c r="B10745" s="845" t="s">
        <v>2564</v>
      </c>
      <c r="C10745" s="1007">
        <f t="shared" si="207"/>
        <v>52</v>
      </c>
      <c r="D10745" s="1012"/>
      <c r="I10745" s="1011" t="s">
        <v>2175</v>
      </c>
      <c r="K10745" s="1013"/>
    </row>
    <row r="10746" spans="1:11" s="1011" customFormat="1" ht="15" x14ac:dyDescent="0.25">
      <c r="A10746" s="859">
        <f t="shared" si="206"/>
        <v>10745</v>
      </c>
      <c r="B10746" s="845" t="s">
        <v>2564</v>
      </c>
      <c r="C10746" s="1007">
        <f t="shared" si="207"/>
        <v>52</v>
      </c>
      <c r="D10746" s="1012"/>
      <c r="I10746" s="1011" t="str">
        <f>CONCATENATE("&lt;valeur&gt;",VLOOKUP(C10746,'T16 Amort'!A:K,3,0),"&lt;/valeur&gt;")</f>
        <v>&lt;valeur&gt;&lt;/valeur&gt;</v>
      </c>
      <c r="K10746" s="1013"/>
    </row>
    <row r="10747" spans="1:11" s="1011" customFormat="1" ht="15" x14ac:dyDescent="0.25">
      <c r="A10747" s="859">
        <f t="shared" si="206"/>
        <v>10746</v>
      </c>
      <c r="B10747" s="845" t="s">
        <v>2564</v>
      </c>
      <c r="C10747" s="1007">
        <f t="shared" si="207"/>
        <v>52</v>
      </c>
      <c r="D10747" s="1014"/>
      <c r="I10747" s="1011" t="str">
        <f>CONCATENATE("&lt;numeroLigne&gt;",C10747,"&lt;/numeroLigne&gt;")</f>
        <v>&lt;numeroLigne&gt;52&lt;/numeroLigne&gt;</v>
      </c>
      <c r="K10747" s="1013"/>
    </row>
    <row r="10748" spans="1:11" s="1011" customFormat="1" ht="15" x14ac:dyDescent="0.25">
      <c r="A10748" s="859">
        <f t="shared" si="206"/>
        <v>10747</v>
      </c>
      <c r="B10748" s="845" t="s">
        <v>2564</v>
      </c>
      <c r="C10748" s="1007">
        <f t="shared" si="207"/>
        <v>52</v>
      </c>
      <c r="D10748" s="1014"/>
      <c r="H10748" s="1011" t="s">
        <v>1010</v>
      </c>
      <c r="K10748" s="1013"/>
    </row>
    <row r="10749" spans="1:11" s="1011" customFormat="1" ht="15" x14ac:dyDescent="0.25">
      <c r="A10749" s="859">
        <f t="shared" si="206"/>
        <v>10748</v>
      </c>
      <c r="B10749" s="845" t="s">
        <v>2564</v>
      </c>
      <c r="C10749" s="1007">
        <f t="shared" si="207"/>
        <v>52</v>
      </c>
      <c r="D10749" s="1012"/>
      <c r="H10749" s="1011" t="s">
        <v>1007</v>
      </c>
      <c r="K10749" s="1013"/>
    </row>
    <row r="10750" spans="1:11" s="1011" customFormat="1" ht="15" x14ac:dyDescent="0.25">
      <c r="A10750" s="859">
        <f t="shared" si="206"/>
        <v>10749</v>
      </c>
      <c r="B10750" s="845" t="s">
        <v>2564</v>
      </c>
      <c r="C10750" s="1007">
        <f t="shared" si="207"/>
        <v>52</v>
      </c>
      <c r="D10750" s="1015"/>
      <c r="I10750" s="1011" t="s">
        <v>2176</v>
      </c>
      <c r="K10750" s="1013"/>
    </row>
    <row r="10751" spans="1:11" s="1011" customFormat="1" ht="15" x14ac:dyDescent="0.25">
      <c r="A10751" s="859">
        <f t="shared" si="206"/>
        <v>10750</v>
      </c>
      <c r="B10751" s="845" t="s">
        <v>2564</v>
      </c>
      <c r="C10751" s="1007">
        <f t="shared" si="207"/>
        <v>52</v>
      </c>
      <c r="D10751" s="1012"/>
      <c r="I10751" s="1011" t="str">
        <f>CONCATENATE("&lt;valeur&gt;",VLOOKUP(C10751,'T16 Amort'!A:K,4,0),"&lt;/valeur&gt;")</f>
        <v>&lt;valeur&gt;&lt;/valeur&gt;</v>
      </c>
      <c r="K10751" s="1013"/>
    </row>
    <row r="10752" spans="1:11" s="1011" customFormat="1" ht="15" x14ac:dyDescent="0.25">
      <c r="A10752" s="859">
        <f t="shared" si="206"/>
        <v>10751</v>
      </c>
      <c r="B10752" s="845" t="s">
        <v>2564</v>
      </c>
      <c r="C10752" s="1007">
        <f t="shared" si="207"/>
        <v>52</v>
      </c>
      <c r="D10752" s="1012"/>
      <c r="I10752" s="1011" t="str">
        <f>CONCATENATE("&lt;numeroLigne&gt;",C10752,"&lt;/numeroLigne&gt;")</f>
        <v>&lt;numeroLigne&gt;52&lt;/numeroLigne&gt;</v>
      </c>
      <c r="K10752" s="1013"/>
    </row>
    <row r="10753" spans="1:11" s="1011" customFormat="1" ht="15" x14ac:dyDescent="0.25">
      <c r="A10753" s="859">
        <f t="shared" si="206"/>
        <v>10752</v>
      </c>
      <c r="B10753" s="845" t="s">
        <v>2564</v>
      </c>
      <c r="C10753" s="1007">
        <f t="shared" si="207"/>
        <v>52</v>
      </c>
      <c r="D10753" s="1014"/>
      <c r="H10753" s="1011" t="s">
        <v>1010</v>
      </c>
      <c r="K10753" s="1013"/>
    </row>
    <row r="10754" spans="1:11" s="1011" customFormat="1" ht="15" x14ac:dyDescent="0.25">
      <c r="A10754" s="859">
        <f t="shared" si="206"/>
        <v>10753</v>
      </c>
      <c r="B10754" s="845" t="s">
        <v>2564</v>
      </c>
      <c r="C10754" s="1007">
        <f t="shared" si="207"/>
        <v>52</v>
      </c>
      <c r="D10754" s="1014"/>
      <c r="H10754" s="1011" t="s">
        <v>1007</v>
      </c>
      <c r="K10754" s="1013"/>
    </row>
    <row r="10755" spans="1:11" s="1011" customFormat="1" ht="15" x14ac:dyDescent="0.25">
      <c r="A10755" s="859">
        <f t="shared" si="206"/>
        <v>10754</v>
      </c>
      <c r="B10755" s="845" t="s">
        <v>2564</v>
      </c>
      <c r="C10755" s="1007">
        <f t="shared" si="207"/>
        <v>52</v>
      </c>
      <c r="D10755" s="1012"/>
      <c r="I10755" s="1011" t="s">
        <v>2177</v>
      </c>
      <c r="K10755" s="1013"/>
    </row>
    <row r="10756" spans="1:11" s="1011" customFormat="1" ht="15" x14ac:dyDescent="0.25">
      <c r="A10756" s="859">
        <f t="shared" ref="A10756:A10819" si="208">+A10755+1</f>
        <v>10755</v>
      </c>
      <c r="B10756" s="845" t="s">
        <v>2564</v>
      </c>
      <c r="C10756" s="1007">
        <f t="shared" si="207"/>
        <v>52</v>
      </c>
      <c r="D10756" s="1015"/>
      <c r="I10756" s="1011" t="str">
        <f>CONCATENATE("&lt;valeur&gt;",VLOOKUP(C10756,'T16 Amort'!A:K,5,0),"&lt;/valeur&gt;")</f>
        <v>&lt;valeur&gt;&lt;/valeur&gt;</v>
      </c>
      <c r="K10756" s="1013"/>
    </row>
    <row r="10757" spans="1:11" s="1011" customFormat="1" ht="15" x14ac:dyDescent="0.25">
      <c r="A10757" s="859">
        <f t="shared" si="208"/>
        <v>10756</v>
      </c>
      <c r="B10757" s="845" t="s">
        <v>2564</v>
      </c>
      <c r="C10757" s="1007">
        <f t="shared" si="207"/>
        <v>52</v>
      </c>
      <c r="D10757" s="1012"/>
      <c r="I10757" s="1011" t="str">
        <f>CONCATENATE("&lt;numeroLigne&gt;",C10757,"&lt;/numeroLigne&gt;")</f>
        <v>&lt;numeroLigne&gt;52&lt;/numeroLigne&gt;</v>
      </c>
      <c r="K10757" s="1013"/>
    </row>
    <row r="10758" spans="1:11" s="1011" customFormat="1" ht="15" x14ac:dyDescent="0.25">
      <c r="A10758" s="859">
        <f t="shared" si="208"/>
        <v>10757</v>
      </c>
      <c r="B10758" s="845" t="s">
        <v>2564</v>
      </c>
      <c r="C10758" s="1007">
        <f t="shared" si="207"/>
        <v>52</v>
      </c>
      <c r="D10758" s="1012"/>
      <c r="H10758" s="1011" t="s">
        <v>1010</v>
      </c>
      <c r="K10758" s="1013"/>
    </row>
    <row r="10759" spans="1:11" s="1011" customFormat="1" ht="15" x14ac:dyDescent="0.25">
      <c r="A10759" s="859">
        <f t="shared" si="208"/>
        <v>10758</v>
      </c>
      <c r="B10759" s="845" t="s">
        <v>2564</v>
      </c>
      <c r="C10759" s="1007">
        <f t="shared" si="207"/>
        <v>52</v>
      </c>
      <c r="D10759" s="1014"/>
      <c r="H10759" s="1011" t="s">
        <v>1007</v>
      </c>
      <c r="K10759" s="1013"/>
    </row>
    <row r="10760" spans="1:11" s="1011" customFormat="1" ht="15" x14ac:dyDescent="0.25">
      <c r="A10760" s="859">
        <f t="shared" si="208"/>
        <v>10759</v>
      </c>
      <c r="B10760" s="845" t="s">
        <v>2564</v>
      </c>
      <c r="C10760" s="1007">
        <f t="shared" si="207"/>
        <v>52</v>
      </c>
      <c r="D10760" s="1014"/>
      <c r="I10760" s="1011" t="s">
        <v>2178</v>
      </c>
      <c r="K10760" s="1013"/>
    </row>
    <row r="10761" spans="1:11" s="1011" customFormat="1" ht="15" x14ac:dyDescent="0.25">
      <c r="A10761" s="859">
        <f t="shared" si="208"/>
        <v>10760</v>
      </c>
      <c r="B10761" s="845" t="s">
        <v>2564</v>
      </c>
      <c r="C10761" s="1007">
        <f t="shared" si="207"/>
        <v>52</v>
      </c>
      <c r="D10761" s="1012"/>
      <c r="I10761" s="1011" t="str">
        <f>CONCATENATE("&lt;valeur&gt;",VLOOKUP(C10761,'T16 Amort'!A:K,6,0),"&lt;/valeur&gt;")</f>
        <v>&lt;valeur&gt;&lt;/valeur&gt;</v>
      </c>
      <c r="K10761" s="1013"/>
    </row>
    <row r="10762" spans="1:11" s="1011" customFormat="1" ht="15" x14ac:dyDescent="0.25">
      <c r="A10762" s="859">
        <f t="shared" si="208"/>
        <v>10761</v>
      </c>
      <c r="B10762" s="845" t="s">
        <v>2564</v>
      </c>
      <c r="C10762" s="1007">
        <f t="shared" si="207"/>
        <v>52</v>
      </c>
      <c r="D10762" s="1015"/>
      <c r="I10762" s="1011" t="str">
        <f>CONCATENATE("&lt;numeroLigne&gt;",C10762,"&lt;/numeroLigne&gt;")</f>
        <v>&lt;numeroLigne&gt;52&lt;/numeroLigne&gt;</v>
      </c>
      <c r="K10762" s="1013"/>
    </row>
    <row r="10763" spans="1:11" s="1011" customFormat="1" ht="15" x14ac:dyDescent="0.25">
      <c r="A10763" s="859">
        <f t="shared" si="208"/>
        <v>10762</v>
      </c>
      <c r="B10763" s="845" t="s">
        <v>2564</v>
      </c>
      <c r="C10763" s="1007">
        <f t="shared" si="207"/>
        <v>52</v>
      </c>
      <c r="D10763" s="1012"/>
      <c r="H10763" s="1011" t="s">
        <v>1010</v>
      </c>
      <c r="K10763" s="1013"/>
    </row>
    <row r="10764" spans="1:11" s="1011" customFormat="1" ht="15" x14ac:dyDescent="0.25">
      <c r="A10764" s="859">
        <f t="shared" si="208"/>
        <v>10763</v>
      </c>
      <c r="B10764" s="845" t="s">
        <v>2564</v>
      </c>
      <c r="C10764" s="1007">
        <f t="shared" si="207"/>
        <v>52</v>
      </c>
      <c r="D10764" s="1012"/>
      <c r="H10764" s="1011" t="s">
        <v>1007</v>
      </c>
      <c r="K10764" s="1013"/>
    </row>
    <row r="10765" spans="1:11" s="1011" customFormat="1" ht="15" x14ac:dyDescent="0.25">
      <c r="A10765" s="859">
        <f t="shared" si="208"/>
        <v>10764</v>
      </c>
      <c r="B10765" s="845" t="s">
        <v>2564</v>
      </c>
      <c r="C10765" s="1007">
        <f t="shared" si="207"/>
        <v>52</v>
      </c>
      <c r="D10765" s="1014"/>
      <c r="I10765" s="1011" t="s">
        <v>2179</v>
      </c>
      <c r="K10765" s="1013"/>
    </row>
    <row r="10766" spans="1:11" s="1011" customFormat="1" ht="15" x14ac:dyDescent="0.25">
      <c r="A10766" s="859">
        <f t="shared" si="208"/>
        <v>10765</v>
      </c>
      <c r="B10766" s="845" t="s">
        <v>2564</v>
      </c>
      <c r="C10766" s="1007">
        <f t="shared" si="207"/>
        <v>52</v>
      </c>
      <c r="D10766" s="1014"/>
      <c r="I10766" s="1011" t="str">
        <f>CONCATENATE("&lt;valeur&gt;",VLOOKUP(C10766,'T16 Amort'!A:K,7,0),"&lt;/valeur&gt;")</f>
        <v>&lt;valeur&gt;&lt;/valeur&gt;</v>
      </c>
      <c r="K10766" s="1013"/>
    </row>
    <row r="10767" spans="1:11" s="1011" customFormat="1" ht="15" x14ac:dyDescent="0.25">
      <c r="A10767" s="859">
        <f t="shared" si="208"/>
        <v>10766</v>
      </c>
      <c r="B10767" s="845" t="s">
        <v>2564</v>
      </c>
      <c r="C10767" s="1007">
        <f t="shared" si="207"/>
        <v>52</v>
      </c>
      <c r="D10767" s="1012"/>
      <c r="I10767" s="1011" t="str">
        <f>CONCATENATE("&lt;numeroLigne&gt;",C10767,"&lt;/numeroLigne&gt;")</f>
        <v>&lt;numeroLigne&gt;52&lt;/numeroLigne&gt;</v>
      </c>
      <c r="K10767" s="1013"/>
    </row>
    <row r="10768" spans="1:11" s="1011" customFormat="1" ht="15" x14ac:dyDescent="0.25">
      <c r="A10768" s="859">
        <f t="shared" si="208"/>
        <v>10767</v>
      </c>
      <c r="B10768" s="845" t="s">
        <v>2564</v>
      </c>
      <c r="C10768" s="1007">
        <f t="shared" si="207"/>
        <v>52</v>
      </c>
      <c r="D10768" s="1015"/>
      <c r="H10768" s="1011" t="s">
        <v>1010</v>
      </c>
      <c r="K10768" s="1013"/>
    </row>
    <row r="10769" spans="1:11" s="1011" customFormat="1" ht="15" x14ac:dyDescent="0.25">
      <c r="A10769" s="859">
        <f t="shared" si="208"/>
        <v>10768</v>
      </c>
      <c r="B10769" s="845" t="s">
        <v>2564</v>
      </c>
      <c r="C10769" s="1007">
        <f t="shared" si="207"/>
        <v>52</v>
      </c>
      <c r="D10769" s="1012"/>
      <c r="H10769" s="1011" t="s">
        <v>1007</v>
      </c>
      <c r="K10769" s="1013"/>
    </row>
    <row r="10770" spans="1:11" s="1011" customFormat="1" ht="15" x14ac:dyDescent="0.25">
      <c r="A10770" s="859">
        <f t="shared" si="208"/>
        <v>10769</v>
      </c>
      <c r="B10770" s="845" t="s">
        <v>2564</v>
      </c>
      <c r="C10770" s="1007">
        <f t="shared" si="207"/>
        <v>52</v>
      </c>
      <c r="D10770" s="1012"/>
      <c r="I10770" s="1011" t="s">
        <v>2180</v>
      </c>
      <c r="K10770" s="1013"/>
    </row>
    <row r="10771" spans="1:11" s="1011" customFormat="1" ht="15" x14ac:dyDescent="0.25">
      <c r="A10771" s="859">
        <f t="shared" si="208"/>
        <v>10770</v>
      </c>
      <c r="B10771" s="845" t="s">
        <v>2564</v>
      </c>
      <c r="C10771" s="1007">
        <f t="shared" si="207"/>
        <v>52</v>
      </c>
      <c r="D10771" s="1014"/>
      <c r="I10771" s="1011" t="str">
        <f>CONCATENATE("&lt;valeur&gt;",VLOOKUP(C10771,'T16 Amort'!A:K,8,0),"&lt;/valeur&gt;")</f>
        <v>&lt;valeur&gt;&lt;/valeur&gt;</v>
      </c>
      <c r="K10771" s="1013"/>
    </row>
    <row r="10772" spans="1:11" s="1011" customFormat="1" ht="15" x14ac:dyDescent="0.25">
      <c r="A10772" s="859">
        <f t="shared" si="208"/>
        <v>10771</v>
      </c>
      <c r="B10772" s="845" t="s">
        <v>2564</v>
      </c>
      <c r="C10772" s="1007">
        <f t="shared" si="207"/>
        <v>52</v>
      </c>
      <c r="D10772" s="1014"/>
      <c r="I10772" s="1011" t="str">
        <f>CONCATENATE("&lt;numeroLigne&gt;",C10772,"&lt;/numeroLigne&gt;")</f>
        <v>&lt;numeroLigne&gt;52&lt;/numeroLigne&gt;</v>
      </c>
      <c r="K10772" s="1013"/>
    </row>
    <row r="10773" spans="1:11" s="1011" customFormat="1" ht="15" x14ac:dyDescent="0.25">
      <c r="A10773" s="859">
        <f t="shared" si="208"/>
        <v>10772</v>
      </c>
      <c r="B10773" s="845" t="s">
        <v>2564</v>
      </c>
      <c r="C10773" s="1007">
        <f t="shared" si="207"/>
        <v>52</v>
      </c>
      <c r="D10773" s="1012"/>
      <c r="H10773" s="1011" t="s">
        <v>1010</v>
      </c>
      <c r="K10773" s="1013"/>
    </row>
    <row r="10774" spans="1:11" s="1011" customFormat="1" ht="15" x14ac:dyDescent="0.25">
      <c r="A10774" s="859">
        <f t="shared" si="208"/>
        <v>10773</v>
      </c>
      <c r="B10774" s="845" t="s">
        <v>2564</v>
      </c>
      <c r="C10774" s="1007">
        <f t="shared" si="207"/>
        <v>52</v>
      </c>
      <c r="D10774" s="1015"/>
      <c r="H10774" s="1011" t="s">
        <v>1007</v>
      </c>
      <c r="K10774" s="1013"/>
    </row>
    <row r="10775" spans="1:11" s="1011" customFormat="1" ht="15" x14ac:dyDescent="0.25">
      <c r="A10775" s="859">
        <f t="shared" si="208"/>
        <v>10774</v>
      </c>
      <c r="B10775" s="845" t="s">
        <v>2564</v>
      </c>
      <c r="C10775" s="1007">
        <f t="shared" si="207"/>
        <v>52</v>
      </c>
      <c r="D10775" s="1012"/>
      <c r="I10775" s="1011" t="s">
        <v>2181</v>
      </c>
      <c r="K10775" s="1013"/>
    </row>
    <row r="10776" spans="1:11" s="1011" customFormat="1" ht="15" x14ac:dyDescent="0.25">
      <c r="A10776" s="859">
        <f t="shared" si="208"/>
        <v>10775</v>
      </c>
      <c r="B10776" s="845" t="s">
        <v>2564</v>
      </c>
      <c r="C10776" s="1007">
        <f t="shared" si="207"/>
        <v>52</v>
      </c>
      <c r="D10776" s="1012"/>
      <c r="I10776" s="1011" t="str">
        <f>CONCATENATE("&lt;valeur&gt;",VLOOKUP(C10776,'T16 Amort'!A:K,9,0),"&lt;/valeur&gt;")</f>
        <v>&lt;valeur&gt;&lt;/valeur&gt;</v>
      </c>
      <c r="K10776" s="1013"/>
    </row>
    <row r="10777" spans="1:11" s="1011" customFormat="1" ht="15" x14ac:dyDescent="0.25">
      <c r="A10777" s="859">
        <f t="shared" si="208"/>
        <v>10776</v>
      </c>
      <c r="B10777" s="845" t="s">
        <v>2564</v>
      </c>
      <c r="C10777" s="1007">
        <f t="shared" si="207"/>
        <v>52</v>
      </c>
      <c r="D10777" s="1014"/>
      <c r="I10777" s="1011" t="str">
        <f>CONCATENATE("&lt;numeroLigne&gt;",C10777,"&lt;/numeroLigne&gt;")</f>
        <v>&lt;numeroLigne&gt;52&lt;/numeroLigne&gt;</v>
      </c>
      <c r="K10777" s="1013"/>
    </row>
    <row r="10778" spans="1:11" s="1011" customFormat="1" ht="15" x14ac:dyDescent="0.25">
      <c r="A10778" s="859">
        <f t="shared" si="208"/>
        <v>10777</v>
      </c>
      <c r="B10778" s="845" t="s">
        <v>2564</v>
      </c>
      <c r="C10778" s="1007">
        <f t="shared" si="207"/>
        <v>52</v>
      </c>
      <c r="D10778" s="1014"/>
      <c r="H10778" s="1011" t="s">
        <v>1010</v>
      </c>
      <c r="K10778" s="1013"/>
    </row>
    <row r="10779" spans="1:11" s="1011" customFormat="1" ht="15" x14ac:dyDescent="0.25">
      <c r="A10779" s="859">
        <f t="shared" si="208"/>
        <v>10778</v>
      </c>
      <c r="B10779" s="845" t="s">
        <v>2564</v>
      </c>
      <c r="C10779" s="1007">
        <f t="shared" si="207"/>
        <v>52</v>
      </c>
      <c r="D10779" s="1012"/>
      <c r="H10779" s="1011" t="s">
        <v>1007</v>
      </c>
      <c r="K10779" s="1013"/>
    </row>
    <row r="10780" spans="1:11" s="1011" customFormat="1" ht="15" x14ac:dyDescent="0.25">
      <c r="A10780" s="859">
        <f t="shared" si="208"/>
        <v>10779</v>
      </c>
      <c r="B10780" s="845" t="s">
        <v>2564</v>
      </c>
      <c r="C10780" s="1007">
        <f t="shared" si="207"/>
        <v>52</v>
      </c>
      <c r="D10780" s="1015"/>
      <c r="I10780" s="1011" t="s">
        <v>2182</v>
      </c>
      <c r="K10780" s="1013"/>
    </row>
    <row r="10781" spans="1:11" s="1011" customFormat="1" ht="15" x14ac:dyDescent="0.25">
      <c r="A10781" s="859">
        <f t="shared" si="208"/>
        <v>10780</v>
      </c>
      <c r="B10781" s="845" t="s">
        <v>2564</v>
      </c>
      <c r="C10781" s="1007">
        <f t="shared" si="207"/>
        <v>52</v>
      </c>
      <c r="D10781" s="1012"/>
      <c r="I10781" s="1011" t="str">
        <f>CONCATENATE("&lt;valeur&gt;",VLOOKUP(C10781,'T16 Amort'!A:K,10,0),"&lt;/valeur&gt;")</f>
        <v>&lt;valeur&gt;&lt;/valeur&gt;</v>
      </c>
      <c r="K10781" s="1013"/>
    </row>
    <row r="10782" spans="1:11" s="1011" customFormat="1" ht="15" x14ac:dyDescent="0.25">
      <c r="A10782" s="859">
        <f t="shared" si="208"/>
        <v>10781</v>
      </c>
      <c r="B10782" s="845" t="s">
        <v>2564</v>
      </c>
      <c r="C10782" s="1007">
        <f t="shared" si="207"/>
        <v>52</v>
      </c>
      <c r="D10782" s="1012"/>
      <c r="I10782" s="1011" t="str">
        <f>CONCATENATE("&lt;numeroLigne&gt;",C10782,"&lt;/numeroLigne&gt;")</f>
        <v>&lt;numeroLigne&gt;52&lt;/numeroLigne&gt;</v>
      </c>
      <c r="K10782" s="1013"/>
    </row>
    <row r="10783" spans="1:11" s="1011" customFormat="1" ht="15" x14ac:dyDescent="0.25">
      <c r="A10783" s="859">
        <f t="shared" si="208"/>
        <v>10782</v>
      </c>
      <c r="B10783" s="845" t="s">
        <v>2564</v>
      </c>
      <c r="C10783" s="1007">
        <f t="shared" si="207"/>
        <v>52</v>
      </c>
      <c r="D10783" s="1014"/>
      <c r="H10783" s="1011" t="s">
        <v>1010</v>
      </c>
      <c r="K10783" s="1013"/>
    </row>
    <row r="10784" spans="1:11" s="1011" customFormat="1" ht="15" x14ac:dyDescent="0.25">
      <c r="A10784" s="859">
        <f t="shared" si="208"/>
        <v>10783</v>
      </c>
      <c r="B10784" s="845" t="s">
        <v>2564</v>
      </c>
      <c r="C10784" s="1007">
        <f t="shared" si="207"/>
        <v>52</v>
      </c>
      <c r="D10784" s="1014"/>
      <c r="H10784" s="1011" t="s">
        <v>1007</v>
      </c>
      <c r="K10784" s="1013"/>
    </row>
    <row r="10785" spans="1:11" s="1011" customFormat="1" ht="15" x14ac:dyDescent="0.25">
      <c r="A10785" s="859">
        <f t="shared" si="208"/>
        <v>10784</v>
      </c>
      <c r="B10785" s="845" t="s">
        <v>2564</v>
      </c>
      <c r="C10785" s="1007">
        <f t="shared" si="207"/>
        <v>52</v>
      </c>
      <c r="D10785" s="1012"/>
      <c r="I10785" s="1011" t="s">
        <v>2183</v>
      </c>
      <c r="K10785" s="1013"/>
    </row>
    <row r="10786" spans="1:11" s="1011" customFormat="1" ht="15" x14ac:dyDescent="0.25">
      <c r="A10786" s="859">
        <f t="shared" si="208"/>
        <v>10785</v>
      </c>
      <c r="B10786" s="845" t="s">
        <v>2564</v>
      </c>
      <c r="C10786" s="1007">
        <f t="shared" si="207"/>
        <v>52</v>
      </c>
      <c r="D10786" s="1015"/>
      <c r="I10786" s="1011" t="str">
        <f>CONCATENATE("&lt;valeur&gt;",VLOOKUP(C10786,'T16 Amort'!A:K,11,0),"&lt;/valeur&gt;")</f>
        <v>&lt;valeur&gt;&lt;/valeur&gt;</v>
      </c>
      <c r="K10786" s="1013"/>
    </row>
    <row r="10787" spans="1:11" s="1011" customFormat="1" ht="15" x14ac:dyDescent="0.25">
      <c r="A10787" s="859">
        <f t="shared" si="208"/>
        <v>10786</v>
      </c>
      <c r="B10787" s="845" t="s">
        <v>2564</v>
      </c>
      <c r="C10787" s="1007">
        <f t="shared" si="207"/>
        <v>52</v>
      </c>
      <c r="D10787" s="1012"/>
      <c r="I10787" s="1011" t="str">
        <f>CONCATENATE("&lt;numeroLigne&gt;",C10787,"&lt;/numeroLigne&gt;")</f>
        <v>&lt;numeroLigne&gt;52&lt;/numeroLigne&gt;</v>
      </c>
      <c r="K10787" s="1013"/>
    </row>
    <row r="10788" spans="1:11" s="1011" customFormat="1" ht="15" x14ac:dyDescent="0.25">
      <c r="A10788" s="859">
        <f t="shared" si="208"/>
        <v>10787</v>
      </c>
      <c r="B10788" s="845" t="s">
        <v>2564</v>
      </c>
      <c r="C10788" s="1007">
        <f t="shared" si="207"/>
        <v>52</v>
      </c>
      <c r="D10788" s="1016"/>
      <c r="E10788" s="1017"/>
      <c r="F10788" s="1017"/>
      <c r="G10788" s="1017"/>
      <c r="H10788" s="1017" t="s">
        <v>1010</v>
      </c>
      <c r="I10788" s="1017"/>
      <c r="J10788" s="1017"/>
      <c r="K10788" s="1018"/>
    </row>
    <row r="10789" spans="1:11" s="1011" customFormat="1" ht="15" x14ac:dyDescent="0.25">
      <c r="A10789" s="859">
        <f t="shared" si="208"/>
        <v>10788</v>
      </c>
      <c r="B10789" s="845" t="s">
        <v>2564</v>
      </c>
      <c r="C10789" s="1007">
        <f t="shared" si="207"/>
        <v>53</v>
      </c>
      <c r="D10789" s="1008"/>
      <c r="E10789" s="1009"/>
      <c r="F10789" s="1009"/>
      <c r="G10789" s="1009"/>
      <c r="H10789" s="1009" t="s">
        <v>1007</v>
      </c>
      <c r="I10789" s="1009"/>
      <c r="J10789" s="1009"/>
      <c r="K10789" s="1010"/>
    </row>
    <row r="10790" spans="1:11" s="1011" customFormat="1" ht="15" x14ac:dyDescent="0.25">
      <c r="A10790" s="859">
        <f t="shared" si="208"/>
        <v>10789</v>
      </c>
      <c r="B10790" s="845" t="s">
        <v>2564</v>
      </c>
      <c r="C10790" s="1007">
        <f t="shared" si="207"/>
        <v>53</v>
      </c>
      <c r="D10790" s="1012"/>
      <c r="I10790" s="1011" t="s">
        <v>2174</v>
      </c>
      <c r="K10790" s="1013"/>
    </row>
    <row r="10791" spans="1:11" s="1011" customFormat="1" ht="15" x14ac:dyDescent="0.25">
      <c r="A10791" s="859">
        <f t="shared" si="208"/>
        <v>10790</v>
      </c>
      <c r="B10791" s="845" t="s">
        <v>2564</v>
      </c>
      <c r="C10791" s="1007">
        <f t="shared" si="207"/>
        <v>53</v>
      </c>
      <c r="D10791" s="1014"/>
      <c r="I10791" s="1011" t="str">
        <f>CONCATENATE("&lt;valeur&gt;",VLOOKUP(C10791,'T16 Amort'!A:K,2,0),"&lt;/valeur&gt;")</f>
        <v>&lt;valeur&gt;&lt;/valeur&gt;</v>
      </c>
      <c r="K10791" s="1013"/>
    </row>
    <row r="10792" spans="1:11" s="1011" customFormat="1" ht="15" x14ac:dyDescent="0.25">
      <c r="A10792" s="859">
        <f t="shared" si="208"/>
        <v>10791</v>
      </c>
      <c r="B10792" s="845" t="s">
        <v>2564</v>
      </c>
      <c r="C10792" s="1007">
        <f t="shared" si="207"/>
        <v>53</v>
      </c>
      <c r="D10792" s="1014"/>
      <c r="I10792" s="1011" t="str">
        <f>CONCATENATE("&lt;numeroLigne&gt;",C10792,"&lt;/numeroLigne&gt;")</f>
        <v>&lt;numeroLigne&gt;53&lt;/numeroLigne&gt;</v>
      </c>
      <c r="K10792" s="1013"/>
    </row>
    <row r="10793" spans="1:11" s="1011" customFormat="1" ht="15" x14ac:dyDescent="0.25">
      <c r="A10793" s="859">
        <f t="shared" si="208"/>
        <v>10792</v>
      </c>
      <c r="B10793" s="845" t="s">
        <v>2564</v>
      </c>
      <c r="C10793" s="1007">
        <f t="shared" si="207"/>
        <v>53</v>
      </c>
      <c r="D10793" s="1012"/>
      <c r="H10793" s="1011" t="s">
        <v>1010</v>
      </c>
      <c r="K10793" s="1013"/>
    </row>
    <row r="10794" spans="1:11" s="1011" customFormat="1" ht="15" x14ac:dyDescent="0.25">
      <c r="A10794" s="859">
        <f t="shared" si="208"/>
        <v>10793</v>
      </c>
      <c r="B10794" s="845" t="s">
        <v>2564</v>
      </c>
      <c r="C10794" s="1007">
        <f t="shared" si="207"/>
        <v>53</v>
      </c>
      <c r="D10794" s="1015"/>
      <c r="H10794" s="1011" t="s">
        <v>1007</v>
      </c>
      <c r="K10794" s="1013"/>
    </row>
    <row r="10795" spans="1:11" s="1011" customFormat="1" ht="15" x14ac:dyDescent="0.25">
      <c r="A10795" s="859">
        <f t="shared" si="208"/>
        <v>10794</v>
      </c>
      <c r="B10795" s="845" t="s">
        <v>2564</v>
      </c>
      <c r="C10795" s="1007">
        <f t="shared" si="207"/>
        <v>53</v>
      </c>
      <c r="D10795" s="1012"/>
      <c r="I10795" s="1011" t="s">
        <v>2175</v>
      </c>
      <c r="K10795" s="1013"/>
    </row>
    <row r="10796" spans="1:11" s="1011" customFormat="1" ht="15" x14ac:dyDescent="0.25">
      <c r="A10796" s="859">
        <f t="shared" si="208"/>
        <v>10795</v>
      </c>
      <c r="B10796" s="845" t="s">
        <v>2564</v>
      </c>
      <c r="C10796" s="1007">
        <f t="shared" si="207"/>
        <v>53</v>
      </c>
      <c r="D10796" s="1012"/>
      <c r="I10796" s="1011" t="str">
        <f>CONCATENATE("&lt;valeur&gt;",VLOOKUP(C10796,'T16 Amort'!A:K,3,0),"&lt;/valeur&gt;")</f>
        <v>&lt;valeur&gt;&lt;/valeur&gt;</v>
      </c>
      <c r="K10796" s="1013"/>
    </row>
    <row r="10797" spans="1:11" s="1011" customFormat="1" ht="15" x14ac:dyDescent="0.25">
      <c r="A10797" s="859">
        <f t="shared" si="208"/>
        <v>10796</v>
      </c>
      <c r="B10797" s="845" t="s">
        <v>2564</v>
      </c>
      <c r="C10797" s="1007">
        <f t="shared" si="207"/>
        <v>53</v>
      </c>
      <c r="D10797" s="1014"/>
      <c r="I10797" s="1011" t="str">
        <f>CONCATENATE("&lt;numeroLigne&gt;",C10797,"&lt;/numeroLigne&gt;")</f>
        <v>&lt;numeroLigne&gt;53&lt;/numeroLigne&gt;</v>
      </c>
      <c r="K10797" s="1013"/>
    </row>
    <row r="10798" spans="1:11" s="1011" customFormat="1" ht="15" x14ac:dyDescent="0.25">
      <c r="A10798" s="859">
        <f t="shared" si="208"/>
        <v>10797</v>
      </c>
      <c r="B10798" s="845" t="s">
        <v>2564</v>
      </c>
      <c r="C10798" s="1007">
        <f t="shared" si="207"/>
        <v>53</v>
      </c>
      <c r="D10798" s="1014"/>
      <c r="H10798" s="1011" t="s">
        <v>1010</v>
      </c>
      <c r="K10798" s="1013"/>
    </row>
    <row r="10799" spans="1:11" s="1011" customFormat="1" ht="15" x14ac:dyDescent="0.25">
      <c r="A10799" s="859">
        <f t="shared" si="208"/>
        <v>10798</v>
      </c>
      <c r="B10799" s="845" t="s">
        <v>2564</v>
      </c>
      <c r="C10799" s="1007">
        <f t="shared" ref="C10799:C10862" si="209">C10749+1</f>
        <v>53</v>
      </c>
      <c r="D10799" s="1012"/>
      <c r="H10799" s="1011" t="s">
        <v>1007</v>
      </c>
      <c r="K10799" s="1013"/>
    </row>
    <row r="10800" spans="1:11" s="1011" customFormat="1" ht="15" x14ac:dyDescent="0.25">
      <c r="A10800" s="859">
        <f t="shared" si="208"/>
        <v>10799</v>
      </c>
      <c r="B10800" s="845" t="s">
        <v>2564</v>
      </c>
      <c r="C10800" s="1007">
        <f t="shared" si="209"/>
        <v>53</v>
      </c>
      <c r="D10800" s="1015"/>
      <c r="I10800" s="1011" t="s">
        <v>2176</v>
      </c>
      <c r="K10800" s="1013"/>
    </row>
    <row r="10801" spans="1:11" s="1011" customFormat="1" ht="15" x14ac:dyDescent="0.25">
      <c r="A10801" s="859">
        <f t="shared" si="208"/>
        <v>10800</v>
      </c>
      <c r="B10801" s="845" t="s">
        <v>2564</v>
      </c>
      <c r="C10801" s="1007">
        <f t="shared" si="209"/>
        <v>53</v>
      </c>
      <c r="D10801" s="1012"/>
      <c r="I10801" s="1011" t="str">
        <f>CONCATENATE("&lt;valeur&gt;",VLOOKUP(C10801,'T16 Amort'!A:K,4,0),"&lt;/valeur&gt;")</f>
        <v>&lt;valeur&gt;&lt;/valeur&gt;</v>
      </c>
      <c r="K10801" s="1013"/>
    </row>
    <row r="10802" spans="1:11" s="1011" customFormat="1" ht="15" x14ac:dyDescent="0.25">
      <c r="A10802" s="859">
        <f t="shared" si="208"/>
        <v>10801</v>
      </c>
      <c r="B10802" s="845" t="s">
        <v>2564</v>
      </c>
      <c r="C10802" s="1007">
        <f t="shared" si="209"/>
        <v>53</v>
      </c>
      <c r="D10802" s="1012"/>
      <c r="I10802" s="1011" t="str">
        <f>CONCATENATE("&lt;numeroLigne&gt;",C10802,"&lt;/numeroLigne&gt;")</f>
        <v>&lt;numeroLigne&gt;53&lt;/numeroLigne&gt;</v>
      </c>
      <c r="K10802" s="1013"/>
    </row>
    <row r="10803" spans="1:11" s="1011" customFormat="1" ht="15" x14ac:dyDescent="0.25">
      <c r="A10803" s="859">
        <f t="shared" si="208"/>
        <v>10802</v>
      </c>
      <c r="B10803" s="845" t="s">
        <v>2564</v>
      </c>
      <c r="C10803" s="1007">
        <f t="shared" si="209"/>
        <v>53</v>
      </c>
      <c r="D10803" s="1014"/>
      <c r="H10803" s="1011" t="s">
        <v>1010</v>
      </c>
      <c r="K10803" s="1013"/>
    </row>
    <row r="10804" spans="1:11" s="1011" customFormat="1" ht="15" x14ac:dyDescent="0.25">
      <c r="A10804" s="859">
        <f t="shared" si="208"/>
        <v>10803</v>
      </c>
      <c r="B10804" s="845" t="s">
        <v>2564</v>
      </c>
      <c r="C10804" s="1007">
        <f t="shared" si="209"/>
        <v>53</v>
      </c>
      <c r="D10804" s="1014"/>
      <c r="H10804" s="1011" t="s">
        <v>1007</v>
      </c>
      <c r="K10804" s="1013"/>
    </row>
    <row r="10805" spans="1:11" s="1011" customFormat="1" ht="15" x14ac:dyDescent="0.25">
      <c r="A10805" s="859">
        <f t="shared" si="208"/>
        <v>10804</v>
      </c>
      <c r="B10805" s="845" t="s">
        <v>2564</v>
      </c>
      <c r="C10805" s="1007">
        <f t="shared" si="209"/>
        <v>53</v>
      </c>
      <c r="D10805" s="1012"/>
      <c r="I10805" s="1011" t="s">
        <v>2177</v>
      </c>
      <c r="K10805" s="1013"/>
    </row>
    <row r="10806" spans="1:11" s="1011" customFormat="1" ht="15" x14ac:dyDescent="0.25">
      <c r="A10806" s="859">
        <f t="shared" si="208"/>
        <v>10805</v>
      </c>
      <c r="B10806" s="845" t="s">
        <v>2564</v>
      </c>
      <c r="C10806" s="1007">
        <f t="shared" si="209"/>
        <v>53</v>
      </c>
      <c r="D10806" s="1015"/>
      <c r="I10806" s="1011" t="str">
        <f>CONCATENATE("&lt;valeur&gt;",VLOOKUP(C10806,'T16 Amort'!A:K,5,0),"&lt;/valeur&gt;")</f>
        <v>&lt;valeur&gt;&lt;/valeur&gt;</v>
      </c>
      <c r="K10806" s="1013"/>
    </row>
    <row r="10807" spans="1:11" s="1011" customFormat="1" ht="15" x14ac:dyDescent="0.25">
      <c r="A10807" s="859">
        <f t="shared" si="208"/>
        <v>10806</v>
      </c>
      <c r="B10807" s="845" t="s">
        <v>2564</v>
      </c>
      <c r="C10807" s="1007">
        <f t="shared" si="209"/>
        <v>53</v>
      </c>
      <c r="D10807" s="1012"/>
      <c r="I10807" s="1011" t="str">
        <f>CONCATENATE("&lt;numeroLigne&gt;",C10807,"&lt;/numeroLigne&gt;")</f>
        <v>&lt;numeroLigne&gt;53&lt;/numeroLigne&gt;</v>
      </c>
      <c r="K10807" s="1013"/>
    </row>
    <row r="10808" spans="1:11" s="1011" customFormat="1" ht="15" x14ac:dyDescent="0.25">
      <c r="A10808" s="859">
        <f t="shared" si="208"/>
        <v>10807</v>
      </c>
      <c r="B10808" s="845" t="s">
        <v>2564</v>
      </c>
      <c r="C10808" s="1007">
        <f t="shared" si="209"/>
        <v>53</v>
      </c>
      <c r="D10808" s="1012"/>
      <c r="H10808" s="1011" t="s">
        <v>1010</v>
      </c>
      <c r="K10808" s="1013"/>
    </row>
    <row r="10809" spans="1:11" s="1011" customFormat="1" ht="15" x14ac:dyDescent="0.25">
      <c r="A10809" s="859">
        <f t="shared" si="208"/>
        <v>10808</v>
      </c>
      <c r="B10809" s="845" t="s">
        <v>2564</v>
      </c>
      <c r="C10809" s="1007">
        <f t="shared" si="209"/>
        <v>53</v>
      </c>
      <c r="D10809" s="1014"/>
      <c r="H10809" s="1011" t="s">
        <v>1007</v>
      </c>
      <c r="K10809" s="1013"/>
    </row>
    <row r="10810" spans="1:11" s="1011" customFormat="1" ht="15" x14ac:dyDescent="0.25">
      <c r="A10810" s="859">
        <f t="shared" si="208"/>
        <v>10809</v>
      </c>
      <c r="B10810" s="845" t="s">
        <v>2564</v>
      </c>
      <c r="C10810" s="1007">
        <f t="shared" si="209"/>
        <v>53</v>
      </c>
      <c r="D10810" s="1014"/>
      <c r="I10810" s="1011" t="s">
        <v>2178</v>
      </c>
      <c r="K10810" s="1013"/>
    </row>
    <row r="10811" spans="1:11" s="1011" customFormat="1" ht="15" x14ac:dyDescent="0.25">
      <c r="A10811" s="859">
        <f t="shared" si="208"/>
        <v>10810</v>
      </c>
      <c r="B10811" s="845" t="s">
        <v>2564</v>
      </c>
      <c r="C10811" s="1007">
        <f t="shared" si="209"/>
        <v>53</v>
      </c>
      <c r="D10811" s="1012"/>
      <c r="I10811" s="1011" t="str">
        <f>CONCATENATE("&lt;valeur&gt;",VLOOKUP(C10811,'T16 Amort'!A:K,6,0),"&lt;/valeur&gt;")</f>
        <v>&lt;valeur&gt;&lt;/valeur&gt;</v>
      </c>
      <c r="K10811" s="1013"/>
    </row>
    <row r="10812" spans="1:11" s="1011" customFormat="1" ht="15" x14ac:dyDescent="0.25">
      <c r="A10812" s="859">
        <f t="shared" si="208"/>
        <v>10811</v>
      </c>
      <c r="B10812" s="845" t="s">
        <v>2564</v>
      </c>
      <c r="C10812" s="1007">
        <f t="shared" si="209"/>
        <v>53</v>
      </c>
      <c r="D10812" s="1015"/>
      <c r="I10812" s="1011" t="str">
        <f>CONCATENATE("&lt;numeroLigne&gt;",C10812,"&lt;/numeroLigne&gt;")</f>
        <v>&lt;numeroLigne&gt;53&lt;/numeroLigne&gt;</v>
      </c>
      <c r="K10812" s="1013"/>
    </row>
    <row r="10813" spans="1:11" s="1011" customFormat="1" ht="15" x14ac:dyDescent="0.25">
      <c r="A10813" s="859">
        <f t="shared" si="208"/>
        <v>10812</v>
      </c>
      <c r="B10813" s="845" t="s">
        <v>2564</v>
      </c>
      <c r="C10813" s="1007">
        <f t="shared" si="209"/>
        <v>53</v>
      </c>
      <c r="D10813" s="1012"/>
      <c r="H10813" s="1011" t="s">
        <v>1010</v>
      </c>
      <c r="K10813" s="1013"/>
    </row>
    <row r="10814" spans="1:11" s="1011" customFormat="1" ht="15" x14ac:dyDescent="0.25">
      <c r="A10814" s="859">
        <f t="shared" si="208"/>
        <v>10813</v>
      </c>
      <c r="B10814" s="845" t="s">
        <v>2564</v>
      </c>
      <c r="C10814" s="1007">
        <f t="shared" si="209"/>
        <v>53</v>
      </c>
      <c r="D10814" s="1012"/>
      <c r="H10814" s="1011" t="s">
        <v>1007</v>
      </c>
      <c r="K10814" s="1013"/>
    </row>
    <row r="10815" spans="1:11" s="1011" customFormat="1" ht="15" x14ac:dyDescent="0.25">
      <c r="A10815" s="859">
        <f t="shared" si="208"/>
        <v>10814</v>
      </c>
      <c r="B10815" s="845" t="s">
        <v>2564</v>
      </c>
      <c r="C10815" s="1007">
        <f t="shared" si="209"/>
        <v>53</v>
      </c>
      <c r="D10815" s="1014"/>
      <c r="I10815" s="1011" t="s">
        <v>2179</v>
      </c>
      <c r="K10815" s="1013"/>
    </row>
    <row r="10816" spans="1:11" s="1011" customFormat="1" ht="15" x14ac:dyDescent="0.25">
      <c r="A10816" s="859">
        <f t="shared" si="208"/>
        <v>10815</v>
      </c>
      <c r="B10816" s="845" t="s">
        <v>2564</v>
      </c>
      <c r="C10816" s="1007">
        <f t="shared" si="209"/>
        <v>53</v>
      </c>
      <c r="D10816" s="1014"/>
      <c r="I10816" s="1011" t="str">
        <f>CONCATENATE("&lt;valeur&gt;",VLOOKUP(C10816,'T16 Amort'!A:K,7,0),"&lt;/valeur&gt;")</f>
        <v>&lt;valeur&gt;&lt;/valeur&gt;</v>
      </c>
      <c r="K10816" s="1013"/>
    </row>
    <row r="10817" spans="1:11" s="1011" customFormat="1" ht="15" x14ac:dyDescent="0.25">
      <c r="A10817" s="859">
        <f t="shared" si="208"/>
        <v>10816</v>
      </c>
      <c r="B10817" s="845" t="s">
        <v>2564</v>
      </c>
      <c r="C10817" s="1007">
        <f t="shared" si="209"/>
        <v>53</v>
      </c>
      <c r="D10817" s="1012"/>
      <c r="I10817" s="1011" t="str">
        <f>CONCATENATE("&lt;numeroLigne&gt;",C10817,"&lt;/numeroLigne&gt;")</f>
        <v>&lt;numeroLigne&gt;53&lt;/numeroLigne&gt;</v>
      </c>
      <c r="K10817" s="1013"/>
    </row>
    <row r="10818" spans="1:11" s="1011" customFormat="1" ht="15" x14ac:dyDescent="0.25">
      <c r="A10818" s="859">
        <f t="shared" si="208"/>
        <v>10817</v>
      </c>
      <c r="B10818" s="845" t="s">
        <v>2564</v>
      </c>
      <c r="C10818" s="1007">
        <f t="shared" si="209"/>
        <v>53</v>
      </c>
      <c r="D10818" s="1015"/>
      <c r="H10818" s="1011" t="s">
        <v>1010</v>
      </c>
      <c r="K10818" s="1013"/>
    </row>
    <row r="10819" spans="1:11" s="1011" customFormat="1" ht="15" x14ac:dyDescent="0.25">
      <c r="A10819" s="859">
        <f t="shared" si="208"/>
        <v>10818</v>
      </c>
      <c r="B10819" s="845" t="s">
        <v>2564</v>
      </c>
      <c r="C10819" s="1007">
        <f t="shared" si="209"/>
        <v>53</v>
      </c>
      <c r="D10819" s="1012"/>
      <c r="H10819" s="1011" t="s">
        <v>1007</v>
      </c>
      <c r="K10819" s="1013"/>
    </row>
    <row r="10820" spans="1:11" s="1011" customFormat="1" ht="15" x14ac:dyDescent="0.25">
      <c r="A10820" s="859">
        <f t="shared" ref="A10820:A10883" si="210">+A10819+1</f>
        <v>10819</v>
      </c>
      <c r="B10820" s="845" t="s">
        <v>2564</v>
      </c>
      <c r="C10820" s="1007">
        <f t="shared" si="209"/>
        <v>53</v>
      </c>
      <c r="D10820" s="1012"/>
      <c r="I10820" s="1011" t="s">
        <v>2180</v>
      </c>
      <c r="K10820" s="1013"/>
    </row>
    <row r="10821" spans="1:11" s="1011" customFormat="1" ht="15" x14ac:dyDescent="0.25">
      <c r="A10821" s="859">
        <f t="shared" si="210"/>
        <v>10820</v>
      </c>
      <c r="B10821" s="845" t="s">
        <v>2564</v>
      </c>
      <c r="C10821" s="1007">
        <f t="shared" si="209"/>
        <v>53</v>
      </c>
      <c r="D10821" s="1014"/>
      <c r="I10821" s="1011" t="str">
        <f>CONCATENATE("&lt;valeur&gt;",VLOOKUP(C10821,'T16 Amort'!A:K,8,0),"&lt;/valeur&gt;")</f>
        <v>&lt;valeur&gt;&lt;/valeur&gt;</v>
      </c>
      <c r="K10821" s="1013"/>
    </row>
    <row r="10822" spans="1:11" s="1011" customFormat="1" ht="15" x14ac:dyDescent="0.25">
      <c r="A10822" s="859">
        <f t="shared" si="210"/>
        <v>10821</v>
      </c>
      <c r="B10822" s="845" t="s">
        <v>2564</v>
      </c>
      <c r="C10822" s="1007">
        <f t="shared" si="209"/>
        <v>53</v>
      </c>
      <c r="D10822" s="1014"/>
      <c r="I10822" s="1011" t="str">
        <f>CONCATENATE("&lt;numeroLigne&gt;",C10822,"&lt;/numeroLigne&gt;")</f>
        <v>&lt;numeroLigne&gt;53&lt;/numeroLigne&gt;</v>
      </c>
      <c r="K10822" s="1013"/>
    </row>
    <row r="10823" spans="1:11" s="1011" customFormat="1" ht="15" x14ac:dyDescent="0.25">
      <c r="A10823" s="859">
        <f t="shared" si="210"/>
        <v>10822</v>
      </c>
      <c r="B10823" s="845" t="s">
        <v>2564</v>
      </c>
      <c r="C10823" s="1007">
        <f t="shared" si="209"/>
        <v>53</v>
      </c>
      <c r="D10823" s="1012"/>
      <c r="H10823" s="1011" t="s">
        <v>1010</v>
      </c>
      <c r="K10823" s="1013"/>
    </row>
    <row r="10824" spans="1:11" s="1011" customFormat="1" ht="15" x14ac:dyDescent="0.25">
      <c r="A10824" s="859">
        <f t="shared" si="210"/>
        <v>10823</v>
      </c>
      <c r="B10824" s="845" t="s">
        <v>2564</v>
      </c>
      <c r="C10824" s="1007">
        <f t="shared" si="209"/>
        <v>53</v>
      </c>
      <c r="D10824" s="1015"/>
      <c r="H10824" s="1011" t="s">
        <v>1007</v>
      </c>
      <c r="K10824" s="1013"/>
    </row>
    <row r="10825" spans="1:11" s="1011" customFormat="1" ht="15" x14ac:dyDescent="0.25">
      <c r="A10825" s="859">
        <f t="shared" si="210"/>
        <v>10824</v>
      </c>
      <c r="B10825" s="845" t="s">
        <v>2564</v>
      </c>
      <c r="C10825" s="1007">
        <f t="shared" si="209"/>
        <v>53</v>
      </c>
      <c r="D10825" s="1012"/>
      <c r="I10825" s="1011" t="s">
        <v>2181</v>
      </c>
      <c r="K10825" s="1013"/>
    </row>
    <row r="10826" spans="1:11" s="1011" customFormat="1" ht="15" x14ac:dyDescent="0.25">
      <c r="A10826" s="859">
        <f t="shared" si="210"/>
        <v>10825</v>
      </c>
      <c r="B10826" s="845" t="s">
        <v>2564</v>
      </c>
      <c r="C10826" s="1007">
        <f t="shared" si="209"/>
        <v>53</v>
      </c>
      <c r="D10826" s="1012"/>
      <c r="I10826" s="1011" t="str">
        <f>CONCATENATE("&lt;valeur&gt;",VLOOKUP(C10826,'T16 Amort'!A:K,9,0),"&lt;/valeur&gt;")</f>
        <v>&lt;valeur&gt;&lt;/valeur&gt;</v>
      </c>
      <c r="K10826" s="1013"/>
    </row>
    <row r="10827" spans="1:11" s="1011" customFormat="1" ht="15" x14ac:dyDescent="0.25">
      <c r="A10827" s="859">
        <f t="shared" si="210"/>
        <v>10826</v>
      </c>
      <c r="B10827" s="845" t="s">
        <v>2564</v>
      </c>
      <c r="C10827" s="1007">
        <f t="shared" si="209"/>
        <v>53</v>
      </c>
      <c r="D10827" s="1014"/>
      <c r="I10827" s="1011" t="str">
        <f>CONCATENATE("&lt;numeroLigne&gt;",C10827,"&lt;/numeroLigne&gt;")</f>
        <v>&lt;numeroLigne&gt;53&lt;/numeroLigne&gt;</v>
      </c>
      <c r="K10827" s="1013"/>
    </row>
    <row r="10828" spans="1:11" s="1011" customFormat="1" ht="15" x14ac:dyDescent="0.25">
      <c r="A10828" s="859">
        <f t="shared" si="210"/>
        <v>10827</v>
      </c>
      <c r="B10828" s="845" t="s">
        <v>2564</v>
      </c>
      <c r="C10828" s="1007">
        <f t="shared" si="209"/>
        <v>53</v>
      </c>
      <c r="D10828" s="1014"/>
      <c r="H10828" s="1011" t="s">
        <v>1010</v>
      </c>
      <c r="K10828" s="1013"/>
    </row>
    <row r="10829" spans="1:11" s="1011" customFormat="1" ht="15" x14ac:dyDescent="0.25">
      <c r="A10829" s="859">
        <f t="shared" si="210"/>
        <v>10828</v>
      </c>
      <c r="B10829" s="845" t="s">
        <v>2564</v>
      </c>
      <c r="C10829" s="1007">
        <f t="shared" si="209"/>
        <v>53</v>
      </c>
      <c r="D10829" s="1012"/>
      <c r="H10829" s="1011" t="s">
        <v>1007</v>
      </c>
      <c r="K10829" s="1013"/>
    </row>
    <row r="10830" spans="1:11" s="1011" customFormat="1" ht="15" x14ac:dyDescent="0.25">
      <c r="A10830" s="859">
        <f t="shared" si="210"/>
        <v>10829</v>
      </c>
      <c r="B10830" s="845" t="s">
        <v>2564</v>
      </c>
      <c r="C10830" s="1007">
        <f t="shared" si="209"/>
        <v>53</v>
      </c>
      <c r="D10830" s="1015"/>
      <c r="I10830" s="1011" t="s">
        <v>2182</v>
      </c>
      <c r="K10830" s="1013"/>
    </row>
    <row r="10831" spans="1:11" s="1011" customFormat="1" ht="15" x14ac:dyDescent="0.25">
      <c r="A10831" s="859">
        <f t="shared" si="210"/>
        <v>10830</v>
      </c>
      <c r="B10831" s="845" t="s">
        <v>2564</v>
      </c>
      <c r="C10831" s="1007">
        <f t="shared" si="209"/>
        <v>53</v>
      </c>
      <c r="D10831" s="1012"/>
      <c r="I10831" s="1011" t="str">
        <f>CONCATENATE("&lt;valeur&gt;",VLOOKUP(C10831,'T16 Amort'!A:K,10,0),"&lt;/valeur&gt;")</f>
        <v>&lt;valeur&gt;&lt;/valeur&gt;</v>
      </c>
      <c r="K10831" s="1013"/>
    </row>
    <row r="10832" spans="1:11" s="1011" customFormat="1" ht="15" x14ac:dyDescent="0.25">
      <c r="A10832" s="859">
        <f t="shared" si="210"/>
        <v>10831</v>
      </c>
      <c r="B10832" s="845" t="s">
        <v>2564</v>
      </c>
      <c r="C10832" s="1007">
        <f t="shared" si="209"/>
        <v>53</v>
      </c>
      <c r="D10832" s="1012"/>
      <c r="I10832" s="1011" t="str">
        <f>CONCATENATE("&lt;numeroLigne&gt;",C10832,"&lt;/numeroLigne&gt;")</f>
        <v>&lt;numeroLigne&gt;53&lt;/numeroLigne&gt;</v>
      </c>
      <c r="K10832" s="1013"/>
    </row>
    <row r="10833" spans="1:11" s="1011" customFormat="1" ht="15" x14ac:dyDescent="0.25">
      <c r="A10833" s="859">
        <f t="shared" si="210"/>
        <v>10832</v>
      </c>
      <c r="B10833" s="845" t="s">
        <v>2564</v>
      </c>
      <c r="C10833" s="1007">
        <f t="shared" si="209"/>
        <v>53</v>
      </c>
      <c r="D10833" s="1014"/>
      <c r="H10833" s="1011" t="s">
        <v>1010</v>
      </c>
      <c r="K10833" s="1013"/>
    </row>
    <row r="10834" spans="1:11" s="1011" customFormat="1" ht="15" x14ac:dyDescent="0.25">
      <c r="A10834" s="859">
        <f t="shared" si="210"/>
        <v>10833</v>
      </c>
      <c r="B10834" s="845" t="s">
        <v>2564</v>
      </c>
      <c r="C10834" s="1007">
        <f t="shared" si="209"/>
        <v>53</v>
      </c>
      <c r="D10834" s="1014"/>
      <c r="H10834" s="1011" t="s">
        <v>1007</v>
      </c>
      <c r="K10834" s="1013"/>
    </row>
    <row r="10835" spans="1:11" s="1011" customFormat="1" ht="15" x14ac:dyDescent="0.25">
      <c r="A10835" s="859">
        <f t="shared" si="210"/>
        <v>10834</v>
      </c>
      <c r="B10835" s="845" t="s">
        <v>2564</v>
      </c>
      <c r="C10835" s="1007">
        <f t="shared" si="209"/>
        <v>53</v>
      </c>
      <c r="D10835" s="1012"/>
      <c r="I10835" s="1011" t="s">
        <v>2183</v>
      </c>
      <c r="K10835" s="1013"/>
    </row>
    <row r="10836" spans="1:11" s="1011" customFormat="1" ht="15" x14ac:dyDescent="0.25">
      <c r="A10836" s="859">
        <f t="shared" si="210"/>
        <v>10835</v>
      </c>
      <c r="B10836" s="845" t="s">
        <v>2564</v>
      </c>
      <c r="C10836" s="1007">
        <f t="shared" si="209"/>
        <v>53</v>
      </c>
      <c r="D10836" s="1015"/>
      <c r="I10836" s="1011" t="str">
        <f>CONCATENATE("&lt;valeur&gt;",VLOOKUP(C10836,'T16 Amort'!A:K,11,0),"&lt;/valeur&gt;")</f>
        <v>&lt;valeur&gt;&lt;/valeur&gt;</v>
      </c>
      <c r="K10836" s="1013"/>
    </row>
    <row r="10837" spans="1:11" s="1011" customFormat="1" ht="15" x14ac:dyDescent="0.25">
      <c r="A10837" s="859">
        <f t="shared" si="210"/>
        <v>10836</v>
      </c>
      <c r="B10837" s="845" t="s">
        <v>2564</v>
      </c>
      <c r="C10837" s="1007">
        <f t="shared" si="209"/>
        <v>53</v>
      </c>
      <c r="D10837" s="1012"/>
      <c r="I10837" s="1011" t="str">
        <f>CONCATENATE("&lt;numeroLigne&gt;",C10837,"&lt;/numeroLigne&gt;")</f>
        <v>&lt;numeroLigne&gt;53&lt;/numeroLigne&gt;</v>
      </c>
      <c r="K10837" s="1013"/>
    </row>
    <row r="10838" spans="1:11" s="1011" customFormat="1" ht="15" x14ac:dyDescent="0.25">
      <c r="A10838" s="859">
        <f t="shared" si="210"/>
        <v>10837</v>
      </c>
      <c r="B10838" s="845" t="s">
        <v>2564</v>
      </c>
      <c r="C10838" s="1007">
        <f t="shared" si="209"/>
        <v>53</v>
      </c>
      <c r="D10838" s="1016"/>
      <c r="E10838" s="1017"/>
      <c r="F10838" s="1017"/>
      <c r="G10838" s="1017"/>
      <c r="H10838" s="1017" t="s">
        <v>1010</v>
      </c>
      <c r="I10838" s="1017"/>
      <c r="J10838" s="1017"/>
      <c r="K10838" s="1018"/>
    </row>
    <row r="10839" spans="1:11" s="1011" customFormat="1" ht="15" x14ac:dyDescent="0.25">
      <c r="A10839" s="859">
        <f t="shared" si="210"/>
        <v>10838</v>
      </c>
      <c r="B10839" s="845" t="s">
        <v>2564</v>
      </c>
      <c r="C10839" s="1007">
        <f t="shared" si="209"/>
        <v>54</v>
      </c>
      <c r="D10839" s="1008"/>
      <c r="E10839" s="1009"/>
      <c r="F10839" s="1009"/>
      <c r="G10839" s="1009"/>
      <c r="H10839" s="1009" t="s">
        <v>1007</v>
      </c>
      <c r="I10839" s="1009"/>
      <c r="J10839" s="1009"/>
      <c r="K10839" s="1010"/>
    </row>
    <row r="10840" spans="1:11" s="1011" customFormat="1" ht="15" x14ac:dyDescent="0.25">
      <c r="A10840" s="859">
        <f t="shared" si="210"/>
        <v>10839</v>
      </c>
      <c r="B10840" s="845" t="s">
        <v>2564</v>
      </c>
      <c r="C10840" s="1007">
        <f t="shared" si="209"/>
        <v>54</v>
      </c>
      <c r="D10840" s="1012"/>
      <c r="I10840" s="1011" t="s">
        <v>2174</v>
      </c>
      <c r="K10840" s="1013"/>
    </row>
    <row r="10841" spans="1:11" s="1011" customFormat="1" ht="15" x14ac:dyDescent="0.25">
      <c r="A10841" s="859">
        <f t="shared" si="210"/>
        <v>10840</v>
      </c>
      <c r="B10841" s="845" t="s">
        <v>2564</v>
      </c>
      <c r="C10841" s="1007">
        <f t="shared" si="209"/>
        <v>54</v>
      </c>
      <c r="D10841" s="1014"/>
      <c r="I10841" s="1011" t="str">
        <f>CONCATENATE("&lt;valeur&gt;",VLOOKUP(C10841,'T16 Amort'!A:K,2,0),"&lt;/valeur&gt;")</f>
        <v>&lt;valeur&gt;&lt;/valeur&gt;</v>
      </c>
      <c r="K10841" s="1013"/>
    </row>
    <row r="10842" spans="1:11" s="1011" customFormat="1" ht="15" x14ac:dyDescent="0.25">
      <c r="A10842" s="859">
        <f t="shared" si="210"/>
        <v>10841</v>
      </c>
      <c r="B10842" s="845" t="s">
        <v>2564</v>
      </c>
      <c r="C10842" s="1007">
        <f t="shared" si="209"/>
        <v>54</v>
      </c>
      <c r="D10842" s="1014"/>
      <c r="I10842" s="1011" t="str">
        <f>CONCATENATE("&lt;numeroLigne&gt;",C10842,"&lt;/numeroLigne&gt;")</f>
        <v>&lt;numeroLigne&gt;54&lt;/numeroLigne&gt;</v>
      </c>
      <c r="K10842" s="1013"/>
    </row>
    <row r="10843" spans="1:11" s="1011" customFormat="1" ht="15" x14ac:dyDescent="0.25">
      <c r="A10843" s="859">
        <f t="shared" si="210"/>
        <v>10842</v>
      </c>
      <c r="B10843" s="845" t="s">
        <v>2564</v>
      </c>
      <c r="C10843" s="1007">
        <f t="shared" si="209"/>
        <v>54</v>
      </c>
      <c r="D10843" s="1012"/>
      <c r="H10843" s="1011" t="s">
        <v>1010</v>
      </c>
      <c r="K10843" s="1013"/>
    </row>
    <row r="10844" spans="1:11" s="1011" customFormat="1" ht="15" x14ac:dyDescent="0.25">
      <c r="A10844" s="859">
        <f t="shared" si="210"/>
        <v>10843</v>
      </c>
      <c r="B10844" s="845" t="s">
        <v>2564</v>
      </c>
      <c r="C10844" s="1007">
        <f t="shared" si="209"/>
        <v>54</v>
      </c>
      <c r="D10844" s="1015"/>
      <c r="H10844" s="1011" t="s">
        <v>1007</v>
      </c>
      <c r="K10844" s="1013"/>
    </row>
    <row r="10845" spans="1:11" s="1011" customFormat="1" ht="15" x14ac:dyDescent="0.25">
      <c r="A10845" s="859">
        <f t="shared" si="210"/>
        <v>10844</v>
      </c>
      <c r="B10845" s="845" t="s">
        <v>2564</v>
      </c>
      <c r="C10845" s="1007">
        <f t="shared" si="209"/>
        <v>54</v>
      </c>
      <c r="D10845" s="1012"/>
      <c r="I10845" s="1011" t="s">
        <v>2175</v>
      </c>
      <c r="K10845" s="1013"/>
    </row>
    <row r="10846" spans="1:11" s="1011" customFormat="1" ht="15" x14ac:dyDescent="0.25">
      <c r="A10846" s="859">
        <f t="shared" si="210"/>
        <v>10845</v>
      </c>
      <c r="B10846" s="845" t="s">
        <v>2564</v>
      </c>
      <c r="C10846" s="1007">
        <f t="shared" si="209"/>
        <v>54</v>
      </c>
      <c r="D10846" s="1012"/>
      <c r="I10846" s="1011" t="str">
        <f>CONCATENATE("&lt;valeur&gt;",VLOOKUP(C10846,'T16 Amort'!A:K,3,0),"&lt;/valeur&gt;")</f>
        <v>&lt;valeur&gt;&lt;/valeur&gt;</v>
      </c>
      <c r="K10846" s="1013"/>
    </row>
    <row r="10847" spans="1:11" s="1011" customFormat="1" ht="15" x14ac:dyDescent="0.25">
      <c r="A10847" s="859">
        <f t="shared" si="210"/>
        <v>10846</v>
      </c>
      <c r="B10847" s="845" t="s">
        <v>2564</v>
      </c>
      <c r="C10847" s="1007">
        <f t="shared" si="209"/>
        <v>54</v>
      </c>
      <c r="D10847" s="1014"/>
      <c r="I10847" s="1011" t="str">
        <f>CONCATENATE("&lt;numeroLigne&gt;",C10847,"&lt;/numeroLigne&gt;")</f>
        <v>&lt;numeroLigne&gt;54&lt;/numeroLigne&gt;</v>
      </c>
      <c r="K10847" s="1013"/>
    </row>
    <row r="10848" spans="1:11" s="1011" customFormat="1" ht="15" x14ac:dyDescent="0.25">
      <c r="A10848" s="859">
        <f t="shared" si="210"/>
        <v>10847</v>
      </c>
      <c r="B10848" s="845" t="s">
        <v>2564</v>
      </c>
      <c r="C10848" s="1007">
        <f t="shared" si="209"/>
        <v>54</v>
      </c>
      <c r="D10848" s="1014"/>
      <c r="H10848" s="1011" t="s">
        <v>1010</v>
      </c>
      <c r="K10848" s="1013"/>
    </row>
    <row r="10849" spans="1:11" s="1011" customFormat="1" ht="15" x14ac:dyDescent="0.25">
      <c r="A10849" s="859">
        <f t="shared" si="210"/>
        <v>10848</v>
      </c>
      <c r="B10849" s="845" t="s">
        <v>2564</v>
      </c>
      <c r="C10849" s="1007">
        <f t="shared" si="209"/>
        <v>54</v>
      </c>
      <c r="D10849" s="1012"/>
      <c r="H10849" s="1011" t="s">
        <v>1007</v>
      </c>
      <c r="K10849" s="1013"/>
    </row>
    <row r="10850" spans="1:11" s="1011" customFormat="1" ht="15" x14ac:dyDescent="0.25">
      <c r="A10850" s="859">
        <f t="shared" si="210"/>
        <v>10849</v>
      </c>
      <c r="B10850" s="845" t="s">
        <v>2564</v>
      </c>
      <c r="C10850" s="1007">
        <f t="shared" si="209"/>
        <v>54</v>
      </c>
      <c r="D10850" s="1015"/>
      <c r="I10850" s="1011" t="s">
        <v>2176</v>
      </c>
      <c r="K10850" s="1013"/>
    </row>
    <row r="10851" spans="1:11" s="1011" customFormat="1" ht="15" x14ac:dyDescent="0.25">
      <c r="A10851" s="859">
        <f t="shared" si="210"/>
        <v>10850</v>
      </c>
      <c r="B10851" s="845" t="s">
        <v>2564</v>
      </c>
      <c r="C10851" s="1007">
        <f t="shared" si="209"/>
        <v>54</v>
      </c>
      <c r="D10851" s="1012"/>
      <c r="I10851" s="1011" t="str">
        <f>CONCATENATE("&lt;valeur&gt;",VLOOKUP(C10851,'T16 Amort'!A:K,4,0),"&lt;/valeur&gt;")</f>
        <v>&lt;valeur&gt;&lt;/valeur&gt;</v>
      </c>
      <c r="K10851" s="1013"/>
    </row>
    <row r="10852" spans="1:11" s="1011" customFormat="1" ht="15" x14ac:dyDescent="0.25">
      <c r="A10852" s="859">
        <f t="shared" si="210"/>
        <v>10851</v>
      </c>
      <c r="B10852" s="845" t="s">
        <v>2564</v>
      </c>
      <c r="C10852" s="1007">
        <f t="shared" si="209"/>
        <v>54</v>
      </c>
      <c r="D10852" s="1012"/>
      <c r="I10852" s="1011" t="str">
        <f>CONCATENATE("&lt;numeroLigne&gt;",C10852,"&lt;/numeroLigne&gt;")</f>
        <v>&lt;numeroLigne&gt;54&lt;/numeroLigne&gt;</v>
      </c>
      <c r="K10852" s="1013"/>
    </row>
    <row r="10853" spans="1:11" s="1011" customFormat="1" ht="15" x14ac:dyDescent="0.25">
      <c r="A10853" s="859">
        <f t="shared" si="210"/>
        <v>10852</v>
      </c>
      <c r="B10853" s="845" t="s">
        <v>2564</v>
      </c>
      <c r="C10853" s="1007">
        <f t="shared" si="209"/>
        <v>54</v>
      </c>
      <c r="D10853" s="1014"/>
      <c r="H10853" s="1011" t="s">
        <v>1010</v>
      </c>
      <c r="K10853" s="1013"/>
    </row>
    <row r="10854" spans="1:11" s="1011" customFormat="1" ht="15" x14ac:dyDescent="0.25">
      <c r="A10854" s="859">
        <f t="shared" si="210"/>
        <v>10853</v>
      </c>
      <c r="B10854" s="845" t="s">
        <v>2564</v>
      </c>
      <c r="C10854" s="1007">
        <f t="shared" si="209"/>
        <v>54</v>
      </c>
      <c r="D10854" s="1014"/>
      <c r="H10854" s="1011" t="s">
        <v>1007</v>
      </c>
      <c r="K10854" s="1013"/>
    </row>
    <row r="10855" spans="1:11" s="1011" customFormat="1" ht="15" x14ac:dyDescent="0.25">
      <c r="A10855" s="859">
        <f t="shared" si="210"/>
        <v>10854</v>
      </c>
      <c r="B10855" s="845" t="s">
        <v>2564</v>
      </c>
      <c r="C10855" s="1007">
        <f t="shared" si="209"/>
        <v>54</v>
      </c>
      <c r="D10855" s="1012"/>
      <c r="I10855" s="1011" t="s">
        <v>2177</v>
      </c>
      <c r="K10855" s="1013"/>
    </row>
    <row r="10856" spans="1:11" s="1011" customFormat="1" ht="15" x14ac:dyDescent="0.25">
      <c r="A10856" s="859">
        <f t="shared" si="210"/>
        <v>10855</v>
      </c>
      <c r="B10856" s="845" t="s">
        <v>2564</v>
      </c>
      <c r="C10856" s="1007">
        <f t="shared" si="209"/>
        <v>54</v>
      </c>
      <c r="D10856" s="1015"/>
      <c r="I10856" s="1011" t="str">
        <f>CONCATENATE("&lt;valeur&gt;",VLOOKUP(C10856,'T16 Amort'!A:K,5,0),"&lt;/valeur&gt;")</f>
        <v>&lt;valeur&gt;&lt;/valeur&gt;</v>
      </c>
      <c r="K10856" s="1013"/>
    </row>
    <row r="10857" spans="1:11" s="1011" customFormat="1" ht="15" x14ac:dyDescent="0.25">
      <c r="A10857" s="859">
        <f t="shared" si="210"/>
        <v>10856</v>
      </c>
      <c r="B10857" s="845" t="s">
        <v>2564</v>
      </c>
      <c r="C10857" s="1007">
        <f t="shared" si="209"/>
        <v>54</v>
      </c>
      <c r="D10857" s="1012"/>
      <c r="I10857" s="1011" t="str">
        <f>CONCATENATE("&lt;numeroLigne&gt;",C10857,"&lt;/numeroLigne&gt;")</f>
        <v>&lt;numeroLigne&gt;54&lt;/numeroLigne&gt;</v>
      </c>
      <c r="K10857" s="1013"/>
    </row>
    <row r="10858" spans="1:11" s="1011" customFormat="1" ht="15" x14ac:dyDescent="0.25">
      <c r="A10858" s="859">
        <f t="shared" si="210"/>
        <v>10857</v>
      </c>
      <c r="B10858" s="845" t="s">
        <v>2564</v>
      </c>
      <c r="C10858" s="1007">
        <f t="shared" si="209"/>
        <v>54</v>
      </c>
      <c r="D10858" s="1012"/>
      <c r="H10858" s="1011" t="s">
        <v>1010</v>
      </c>
      <c r="K10858" s="1013"/>
    </row>
    <row r="10859" spans="1:11" s="1011" customFormat="1" ht="15" x14ac:dyDescent="0.25">
      <c r="A10859" s="859">
        <f t="shared" si="210"/>
        <v>10858</v>
      </c>
      <c r="B10859" s="845" t="s">
        <v>2564</v>
      </c>
      <c r="C10859" s="1007">
        <f t="shared" si="209"/>
        <v>54</v>
      </c>
      <c r="D10859" s="1014"/>
      <c r="H10859" s="1011" t="s">
        <v>1007</v>
      </c>
      <c r="K10859" s="1013"/>
    </row>
    <row r="10860" spans="1:11" s="1011" customFormat="1" ht="15" x14ac:dyDescent="0.25">
      <c r="A10860" s="859">
        <f t="shared" si="210"/>
        <v>10859</v>
      </c>
      <c r="B10860" s="845" t="s">
        <v>2564</v>
      </c>
      <c r="C10860" s="1007">
        <f t="shared" si="209"/>
        <v>54</v>
      </c>
      <c r="D10860" s="1014"/>
      <c r="I10860" s="1011" t="s">
        <v>2178</v>
      </c>
      <c r="K10860" s="1013"/>
    </row>
    <row r="10861" spans="1:11" s="1011" customFormat="1" ht="15" x14ac:dyDescent="0.25">
      <c r="A10861" s="859">
        <f t="shared" si="210"/>
        <v>10860</v>
      </c>
      <c r="B10861" s="845" t="s">
        <v>2564</v>
      </c>
      <c r="C10861" s="1007">
        <f t="shared" si="209"/>
        <v>54</v>
      </c>
      <c r="D10861" s="1012"/>
      <c r="I10861" s="1011" t="str">
        <f>CONCATENATE("&lt;valeur&gt;",VLOOKUP(C10861,'T16 Amort'!A:K,6,0),"&lt;/valeur&gt;")</f>
        <v>&lt;valeur&gt;&lt;/valeur&gt;</v>
      </c>
      <c r="K10861" s="1013"/>
    </row>
    <row r="10862" spans="1:11" s="1011" customFormat="1" ht="15" x14ac:dyDescent="0.25">
      <c r="A10862" s="859">
        <f t="shared" si="210"/>
        <v>10861</v>
      </c>
      <c r="B10862" s="845" t="s">
        <v>2564</v>
      </c>
      <c r="C10862" s="1007">
        <f t="shared" si="209"/>
        <v>54</v>
      </c>
      <c r="D10862" s="1015"/>
      <c r="I10862" s="1011" t="str">
        <f>CONCATENATE("&lt;numeroLigne&gt;",C10862,"&lt;/numeroLigne&gt;")</f>
        <v>&lt;numeroLigne&gt;54&lt;/numeroLigne&gt;</v>
      </c>
      <c r="K10862" s="1013"/>
    </row>
    <row r="10863" spans="1:11" s="1011" customFormat="1" ht="15" x14ac:dyDescent="0.25">
      <c r="A10863" s="859">
        <f t="shared" si="210"/>
        <v>10862</v>
      </c>
      <c r="B10863" s="845" t="s">
        <v>2564</v>
      </c>
      <c r="C10863" s="1007">
        <f t="shared" ref="C10863:C10926" si="211">C10813+1</f>
        <v>54</v>
      </c>
      <c r="D10863" s="1012"/>
      <c r="H10863" s="1011" t="s">
        <v>1010</v>
      </c>
      <c r="K10863" s="1013"/>
    </row>
    <row r="10864" spans="1:11" s="1011" customFormat="1" ht="15" x14ac:dyDescent="0.25">
      <c r="A10864" s="859">
        <f t="shared" si="210"/>
        <v>10863</v>
      </c>
      <c r="B10864" s="845" t="s">
        <v>2564</v>
      </c>
      <c r="C10864" s="1007">
        <f t="shared" si="211"/>
        <v>54</v>
      </c>
      <c r="D10864" s="1012"/>
      <c r="H10864" s="1011" t="s">
        <v>1007</v>
      </c>
      <c r="K10864" s="1013"/>
    </row>
    <row r="10865" spans="1:11" s="1011" customFormat="1" ht="15" x14ac:dyDescent="0.25">
      <c r="A10865" s="859">
        <f t="shared" si="210"/>
        <v>10864</v>
      </c>
      <c r="B10865" s="845" t="s">
        <v>2564</v>
      </c>
      <c r="C10865" s="1007">
        <f t="shared" si="211"/>
        <v>54</v>
      </c>
      <c r="D10865" s="1014"/>
      <c r="I10865" s="1011" t="s">
        <v>2179</v>
      </c>
      <c r="K10865" s="1013"/>
    </row>
    <row r="10866" spans="1:11" s="1011" customFormat="1" ht="15" x14ac:dyDescent="0.25">
      <c r="A10866" s="859">
        <f t="shared" si="210"/>
        <v>10865</v>
      </c>
      <c r="B10866" s="845" t="s">
        <v>2564</v>
      </c>
      <c r="C10866" s="1007">
        <f t="shared" si="211"/>
        <v>54</v>
      </c>
      <c r="D10866" s="1014"/>
      <c r="I10866" s="1011" t="str">
        <f>CONCATENATE("&lt;valeur&gt;",VLOOKUP(C10866,'T16 Amort'!A:K,7,0),"&lt;/valeur&gt;")</f>
        <v>&lt;valeur&gt;&lt;/valeur&gt;</v>
      </c>
      <c r="K10866" s="1013"/>
    </row>
    <row r="10867" spans="1:11" s="1011" customFormat="1" ht="15" x14ac:dyDescent="0.25">
      <c r="A10867" s="859">
        <f t="shared" si="210"/>
        <v>10866</v>
      </c>
      <c r="B10867" s="845" t="s">
        <v>2564</v>
      </c>
      <c r="C10867" s="1007">
        <f t="shared" si="211"/>
        <v>54</v>
      </c>
      <c r="D10867" s="1012"/>
      <c r="I10867" s="1011" t="str">
        <f>CONCATENATE("&lt;numeroLigne&gt;",C10867,"&lt;/numeroLigne&gt;")</f>
        <v>&lt;numeroLigne&gt;54&lt;/numeroLigne&gt;</v>
      </c>
      <c r="K10867" s="1013"/>
    </row>
    <row r="10868" spans="1:11" s="1011" customFormat="1" ht="15" x14ac:dyDescent="0.25">
      <c r="A10868" s="859">
        <f t="shared" si="210"/>
        <v>10867</v>
      </c>
      <c r="B10868" s="845" t="s">
        <v>2564</v>
      </c>
      <c r="C10868" s="1007">
        <f t="shared" si="211"/>
        <v>54</v>
      </c>
      <c r="D10868" s="1015"/>
      <c r="H10868" s="1011" t="s">
        <v>1010</v>
      </c>
      <c r="K10868" s="1013"/>
    </row>
    <row r="10869" spans="1:11" s="1011" customFormat="1" ht="15" x14ac:dyDescent="0.25">
      <c r="A10869" s="859">
        <f t="shared" si="210"/>
        <v>10868</v>
      </c>
      <c r="B10869" s="845" t="s">
        <v>2564</v>
      </c>
      <c r="C10869" s="1007">
        <f t="shared" si="211"/>
        <v>54</v>
      </c>
      <c r="D10869" s="1012"/>
      <c r="H10869" s="1011" t="s">
        <v>1007</v>
      </c>
      <c r="K10869" s="1013"/>
    </row>
    <row r="10870" spans="1:11" s="1011" customFormat="1" ht="15" x14ac:dyDescent="0.25">
      <c r="A10870" s="859">
        <f t="shared" si="210"/>
        <v>10869</v>
      </c>
      <c r="B10870" s="845" t="s">
        <v>2564</v>
      </c>
      <c r="C10870" s="1007">
        <f t="shared" si="211"/>
        <v>54</v>
      </c>
      <c r="D10870" s="1012"/>
      <c r="I10870" s="1011" t="s">
        <v>2180</v>
      </c>
      <c r="K10870" s="1013"/>
    </row>
    <row r="10871" spans="1:11" s="1011" customFormat="1" ht="15" x14ac:dyDescent="0.25">
      <c r="A10871" s="859">
        <f t="shared" si="210"/>
        <v>10870</v>
      </c>
      <c r="B10871" s="845" t="s">
        <v>2564</v>
      </c>
      <c r="C10871" s="1007">
        <f t="shared" si="211"/>
        <v>54</v>
      </c>
      <c r="D10871" s="1014"/>
      <c r="I10871" s="1011" t="str">
        <f>CONCATENATE("&lt;valeur&gt;",VLOOKUP(C10871,'T16 Amort'!A:K,8,0),"&lt;/valeur&gt;")</f>
        <v>&lt;valeur&gt;&lt;/valeur&gt;</v>
      </c>
      <c r="K10871" s="1013"/>
    </row>
    <row r="10872" spans="1:11" s="1011" customFormat="1" ht="15" x14ac:dyDescent="0.25">
      <c r="A10872" s="859">
        <f t="shared" si="210"/>
        <v>10871</v>
      </c>
      <c r="B10872" s="845" t="s">
        <v>2564</v>
      </c>
      <c r="C10872" s="1007">
        <f t="shared" si="211"/>
        <v>54</v>
      </c>
      <c r="D10872" s="1014"/>
      <c r="I10872" s="1011" t="str">
        <f>CONCATENATE("&lt;numeroLigne&gt;",C10872,"&lt;/numeroLigne&gt;")</f>
        <v>&lt;numeroLigne&gt;54&lt;/numeroLigne&gt;</v>
      </c>
      <c r="K10872" s="1013"/>
    </row>
    <row r="10873" spans="1:11" s="1011" customFormat="1" ht="15" x14ac:dyDescent="0.25">
      <c r="A10873" s="859">
        <f t="shared" si="210"/>
        <v>10872</v>
      </c>
      <c r="B10873" s="845" t="s">
        <v>2564</v>
      </c>
      <c r="C10873" s="1007">
        <f t="shared" si="211"/>
        <v>54</v>
      </c>
      <c r="D10873" s="1012"/>
      <c r="H10873" s="1011" t="s">
        <v>1010</v>
      </c>
      <c r="K10873" s="1013"/>
    </row>
    <row r="10874" spans="1:11" s="1011" customFormat="1" ht="15" x14ac:dyDescent="0.25">
      <c r="A10874" s="859">
        <f t="shared" si="210"/>
        <v>10873</v>
      </c>
      <c r="B10874" s="845" t="s">
        <v>2564</v>
      </c>
      <c r="C10874" s="1007">
        <f t="shared" si="211"/>
        <v>54</v>
      </c>
      <c r="D10874" s="1015"/>
      <c r="H10874" s="1011" t="s">
        <v>1007</v>
      </c>
      <c r="K10874" s="1013"/>
    </row>
    <row r="10875" spans="1:11" s="1011" customFormat="1" ht="15" x14ac:dyDescent="0.25">
      <c r="A10875" s="859">
        <f t="shared" si="210"/>
        <v>10874</v>
      </c>
      <c r="B10875" s="845" t="s">
        <v>2564</v>
      </c>
      <c r="C10875" s="1007">
        <f t="shared" si="211"/>
        <v>54</v>
      </c>
      <c r="D10875" s="1012"/>
      <c r="I10875" s="1011" t="s">
        <v>2181</v>
      </c>
      <c r="K10875" s="1013"/>
    </row>
    <row r="10876" spans="1:11" s="1011" customFormat="1" ht="15" x14ac:dyDescent="0.25">
      <c r="A10876" s="859">
        <f t="shared" si="210"/>
        <v>10875</v>
      </c>
      <c r="B10876" s="845" t="s">
        <v>2564</v>
      </c>
      <c r="C10876" s="1007">
        <f t="shared" si="211"/>
        <v>54</v>
      </c>
      <c r="D10876" s="1012"/>
      <c r="I10876" s="1011" t="str">
        <f>CONCATENATE("&lt;valeur&gt;",VLOOKUP(C10876,'T16 Amort'!A:K,9,0),"&lt;/valeur&gt;")</f>
        <v>&lt;valeur&gt;&lt;/valeur&gt;</v>
      </c>
      <c r="K10876" s="1013"/>
    </row>
    <row r="10877" spans="1:11" s="1011" customFormat="1" ht="15" x14ac:dyDescent="0.25">
      <c r="A10877" s="859">
        <f t="shared" si="210"/>
        <v>10876</v>
      </c>
      <c r="B10877" s="845" t="s">
        <v>2564</v>
      </c>
      <c r="C10877" s="1007">
        <f t="shared" si="211"/>
        <v>54</v>
      </c>
      <c r="D10877" s="1014"/>
      <c r="I10877" s="1011" t="str">
        <f>CONCATENATE("&lt;numeroLigne&gt;",C10877,"&lt;/numeroLigne&gt;")</f>
        <v>&lt;numeroLigne&gt;54&lt;/numeroLigne&gt;</v>
      </c>
      <c r="K10877" s="1013"/>
    </row>
    <row r="10878" spans="1:11" s="1011" customFormat="1" ht="15" x14ac:dyDescent="0.25">
      <c r="A10878" s="859">
        <f t="shared" si="210"/>
        <v>10877</v>
      </c>
      <c r="B10878" s="845" t="s">
        <v>2564</v>
      </c>
      <c r="C10878" s="1007">
        <f t="shared" si="211"/>
        <v>54</v>
      </c>
      <c r="D10878" s="1014"/>
      <c r="H10878" s="1011" t="s">
        <v>1010</v>
      </c>
      <c r="K10878" s="1013"/>
    </row>
    <row r="10879" spans="1:11" s="1011" customFormat="1" ht="15" x14ac:dyDescent="0.25">
      <c r="A10879" s="859">
        <f t="shared" si="210"/>
        <v>10878</v>
      </c>
      <c r="B10879" s="845" t="s">
        <v>2564</v>
      </c>
      <c r="C10879" s="1007">
        <f t="shared" si="211"/>
        <v>54</v>
      </c>
      <c r="D10879" s="1012"/>
      <c r="H10879" s="1011" t="s">
        <v>1007</v>
      </c>
      <c r="K10879" s="1013"/>
    </row>
    <row r="10880" spans="1:11" s="1011" customFormat="1" ht="15" x14ac:dyDescent="0.25">
      <c r="A10880" s="859">
        <f t="shared" si="210"/>
        <v>10879</v>
      </c>
      <c r="B10880" s="845" t="s">
        <v>2564</v>
      </c>
      <c r="C10880" s="1007">
        <f t="shared" si="211"/>
        <v>54</v>
      </c>
      <c r="D10880" s="1015"/>
      <c r="I10880" s="1011" t="s">
        <v>2182</v>
      </c>
      <c r="K10880" s="1013"/>
    </row>
    <row r="10881" spans="1:11" s="1011" customFormat="1" ht="15" x14ac:dyDescent="0.25">
      <c r="A10881" s="859">
        <f t="shared" si="210"/>
        <v>10880</v>
      </c>
      <c r="B10881" s="845" t="s">
        <v>2564</v>
      </c>
      <c r="C10881" s="1007">
        <f t="shared" si="211"/>
        <v>54</v>
      </c>
      <c r="D10881" s="1012"/>
      <c r="I10881" s="1011" t="str">
        <f>CONCATENATE("&lt;valeur&gt;",VLOOKUP(C10881,'T16 Amort'!A:K,10,0),"&lt;/valeur&gt;")</f>
        <v>&lt;valeur&gt;&lt;/valeur&gt;</v>
      </c>
      <c r="K10881" s="1013"/>
    </row>
    <row r="10882" spans="1:11" s="1011" customFormat="1" ht="15" x14ac:dyDescent="0.25">
      <c r="A10882" s="859">
        <f t="shared" si="210"/>
        <v>10881</v>
      </c>
      <c r="B10882" s="845" t="s">
        <v>2564</v>
      </c>
      <c r="C10882" s="1007">
        <f t="shared" si="211"/>
        <v>54</v>
      </c>
      <c r="D10882" s="1012"/>
      <c r="I10882" s="1011" t="str">
        <f>CONCATENATE("&lt;numeroLigne&gt;",C10882,"&lt;/numeroLigne&gt;")</f>
        <v>&lt;numeroLigne&gt;54&lt;/numeroLigne&gt;</v>
      </c>
      <c r="K10882" s="1013"/>
    </row>
    <row r="10883" spans="1:11" s="1011" customFormat="1" ht="15" x14ac:dyDescent="0.25">
      <c r="A10883" s="859">
        <f t="shared" si="210"/>
        <v>10882</v>
      </c>
      <c r="B10883" s="845" t="s">
        <v>2564</v>
      </c>
      <c r="C10883" s="1007">
        <f t="shared" si="211"/>
        <v>54</v>
      </c>
      <c r="D10883" s="1014"/>
      <c r="H10883" s="1011" t="s">
        <v>1010</v>
      </c>
      <c r="K10883" s="1013"/>
    </row>
    <row r="10884" spans="1:11" s="1011" customFormat="1" ht="15" x14ac:dyDescent="0.25">
      <c r="A10884" s="859">
        <f t="shared" ref="A10884:A10947" si="212">+A10883+1</f>
        <v>10883</v>
      </c>
      <c r="B10884" s="845" t="s">
        <v>2564</v>
      </c>
      <c r="C10884" s="1007">
        <f t="shared" si="211"/>
        <v>54</v>
      </c>
      <c r="D10884" s="1014"/>
      <c r="H10884" s="1011" t="s">
        <v>1007</v>
      </c>
      <c r="K10884" s="1013"/>
    </row>
    <row r="10885" spans="1:11" s="1011" customFormat="1" ht="15" x14ac:dyDescent="0.25">
      <c r="A10885" s="859">
        <f t="shared" si="212"/>
        <v>10884</v>
      </c>
      <c r="B10885" s="845" t="s">
        <v>2564</v>
      </c>
      <c r="C10885" s="1007">
        <f t="shared" si="211"/>
        <v>54</v>
      </c>
      <c r="D10885" s="1012"/>
      <c r="I10885" s="1011" t="s">
        <v>2183</v>
      </c>
      <c r="K10885" s="1013"/>
    </row>
    <row r="10886" spans="1:11" s="1011" customFormat="1" ht="15" x14ac:dyDescent="0.25">
      <c r="A10886" s="859">
        <f t="shared" si="212"/>
        <v>10885</v>
      </c>
      <c r="B10886" s="845" t="s">
        <v>2564</v>
      </c>
      <c r="C10886" s="1007">
        <f t="shared" si="211"/>
        <v>54</v>
      </c>
      <c r="D10886" s="1015"/>
      <c r="I10886" s="1011" t="str">
        <f>CONCATENATE("&lt;valeur&gt;",VLOOKUP(C10886,'T16 Amort'!A:K,11,0),"&lt;/valeur&gt;")</f>
        <v>&lt;valeur&gt;&lt;/valeur&gt;</v>
      </c>
      <c r="K10886" s="1013"/>
    </row>
    <row r="10887" spans="1:11" s="1011" customFormat="1" ht="15" x14ac:dyDescent="0.25">
      <c r="A10887" s="859">
        <f t="shared" si="212"/>
        <v>10886</v>
      </c>
      <c r="B10887" s="845" t="s">
        <v>2564</v>
      </c>
      <c r="C10887" s="1007">
        <f t="shared" si="211"/>
        <v>54</v>
      </c>
      <c r="D10887" s="1012"/>
      <c r="I10887" s="1011" t="str">
        <f>CONCATENATE("&lt;numeroLigne&gt;",C10887,"&lt;/numeroLigne&gt;")</f>
        <v>&lt;numeroLigne&gt;54&lt;/numeroLigne&gt;</v>
      </c>
      <c r="K10887" s="1013"/>
    </row>
    <row r="10888" spans="1:11" s="1011" customFormat="1" ht="15" x14ac:dyDescent="0.25">
      <c r="A10888" s="859">
        <f t="shared" si="212"/>
        <v>10887</v>
      </c>
      <c r="B10888" s="845" t="s">
        <v>2564</v>
      </c>
      <c r="C10888" s="1007">
        <f t="shared" si="211"/>
        <v>54</v>
      </c>
      <c r="D10888" s="1016"/>
      <c r="E10888" s="1017"/>
      <c r="F10888" s="1017"/>
      <c r="G10888" s="1017"/>
      <c r="H10888" s="1017" t="s">
        <v>1010</v>
      </c>
      <c r="I10888" s="1017"/>
      <c r="J10888" s="1017"/>
      <c r="K10888" s="1018"/>
    </row>
    <row r="10889" spans="1:11" s="1011" customFormat="1" ht="15" x14ac:dyDescent="0.25">
      <c r="A10889" s="859">
        <f t="shared" si="212"/>
        <v>10888</v>
      </c>
      <c r="B10889" s="845" t="s">
        <v>2564</v>
      </c>
      <c r="C10889" s="1007">
        <f t="shared" si="211"/>
        <v>55</v>
      </c>
      <c r="D10889" s="1008"/>
      <c r="E10889" s="1009"/>
      <c r="F10889" s="1009"/>
      <c r="G10889" s="1009"/>
      <c r="H10889" s="1009" t="s">
        <v>1007</v>
      </c>
      <c r="I10889" s="1009"/>
      <c r="J10889" s="1009"/>
      <c r="K10889" s="1010"/>
    </row>
    <row r="10890" spans="1:11" s="1011" customFormat="1" ht="15" x14ac:dyDescent="0.25">
      <c r="A10890" s="859">
        <f t="shared" si="212"/>
        <v>10889</v>
      </c>
      <c r="B10890" s="845" t="s">
        <v>2564</v>
      </c>
      <c r="C10890" s="1007">
        <f t="shared" si="211"/>
        <v>55</v>
      </c>
      <c r="D10890" s="1012"/>
      <c r="I10890" s="1011" t="s">
        <v>2174</v>
      </c>
      <c r="K10890" s="1013"/>
    </row>
    <row r="10891" spans="1:11" s="1011" customFormat="1" ht="15" x14ac:dyDescent="0.25">
      <c r="A10891" s="859">
        <f t="shared" si="212"/>
        <v>10890</v>
      </c>
      <c r="B10891" s="845" t="s">
        <v>2564</v>
      </c>
      <c r="C10891" s="1007">
        <f t="shared" si="211"/>
        <v>55</v>
      </c>
      <c r="D10891" s="1014"/>
      <c r="I10891" s="1011" t="str">
        <f>CONCATENATE("&lt;valeur&gt;",VLOOKUP(C10891,'T16 Amort'!A:K,2,0),"&lt;/valeur&gt;")</f>
        <v>&lt;valeur&gt;&lt;/valeur&gt;</v>
      </c>
      <c r="K10891" s="1013"/>
    </row>
    <row r="10892" spans="1:11" s="1011" customFormat="1" ht="15" x14ac:dyDescent="0.25">
      <c r="A10892" s="859">
        <f t="shared" si="212"/>
        <v>10891</v>
      </c>
      <c r="B10892" s="845" t="s">
        <v>2564</v>
      </c>
      <c r="C10892" s="1007">
        <f t="shared" si="211"/>
        <v>55</v>
      </c>
      <c r="D10892" s="1014"/>
      <c r="I10892" s="1011" t="str">
        <f>CONCATENATE("&lt;numeroLigne&gt;",C10892,"&lt;/numeroLigne&gt;")</f>
        <v>&lt;numeroLigne&gt;55&lt;/numeroLigne&gt;</v>
      </c>
      <c r="K10892" s="1013"/>
    </row>
    <row r="10893" spans="1:11" s="1011" customFormat="1" ht="15" x14ac:dyDescent="0.25">
      <c r="A10893" s="859">
        <f t="shared" si="212"/>
        <v>10892</v>
      </c>
      <c r="B10893" s="845" t="s">
        <v>2564</v>
      </c>
      <c r="C10893" s="1007">
        <f t="shared" si="211"/>
        <v>55</v>
      </c>
      <c r="D10893" s="1012"/>
      <c r="H10893" s="1011" t="s">
        <v>1010</v>
      </c>
      <c r="K10893" s="1013"/>
    </row>
    <row r="10894" spans="1:11" s="1011" customFormat="1" ht="15" x14ac:dyDescent="0.25">
      <c r="A10894" s="859">
        <f t="shared" si="212"/>
        <v>10893</v>
      </c>
      <c r="B10894" s="845" t="s">
        <v>2564</v>
      </c>
      <c r="C10894" s="1007">
        <f t="shared" si="211"/>
        <v>55</v>
      </c>
      <c r="D10894" s="1015"/>
      <c r="H10894" s="1011" t="s">
        <v>1007</v>
      </c>
      <c r="K10894" s="1013"/>
    </row>
    <row r="10895" spans="1:11" s="1011" customFormat="1" ht="15" x14ac:dyDescent="0.25">
      <c r="A10895" s="859">
        <f t="shared" si="212"/>
        <v>10894</v>
      </c>
      <c r="B10895" s="845" t="s">
        <v>2564</v>
      </c>
      <c r="C10895" s="1007">
        <f t="shared" si="211"/>
        <v>55</v>
      </c>
      <c r="D10895" s="1012"/>
      <c r="I10895" s="1011" t="s">
        <v>2175</v>
      </c>
      <c r="K10895" s="1013"/>
    </row>
    <row r="10896" spans="1:11" s="1011" customFormat="1" ht="15" x14ac:dyDescent="0.25">
      <c r="A10896" s="859">
        <f t="shared" si="212"/>
        <v>10895</v>
      </c>
      <c r="B10896" s="845" t="s">
        <v>2564</v>
      </c>
      <c r="C10896" s="1007">
        <f t="shared" si="211"/>
        <v>55</v>
      </c>
      <c r="D10896" s="1012"/>
      <c r="I10896" s="1011" t="str">
        <f>CONCATENATE("&lt;valeur&gt;",VLOOKUP(C10896,'T16 Amort'!A:K,3,0),"&lt;/valeur&gt;")</f>
        <v>&lt;valeur&gt;&lt;/valeur&gt;</v>
      </c>
      <c r="K10896" s="1013"/>
    </row>
    <row r="10897" spans="1:11" s="1011" customFormat="1" ht="15" x14ac:dyDescent="0.25">
      <c r="A10897" s="859">
        <f t="shared" si="212"/>
        <v>10896</v>
      </c>
      <c r="B10897" s="845" t="s">
        <v>2564</v>
      </c>
      <c r="C10897" s="1007">
        <f t="shared" si="211"/>
        <v>55</v>
      </c>
      <c r="D10897" s="1014"/>
      <c r="I10897" s="1011" t="str">
        <f>CONCATENATE("&lt;numeroLigne&gt;",C10897,"&lt;/numeroLigne&gt;")</f>
        <v>&lt;numeroLigne&gt;55&lt;/numeroLigne&gt;</v>
      </c>
      <c r="K10897" s="1013"/>
    </row>
    <row r="10898" spans="1:11" s="1011" customFormat="1" ht="15" x14ac:dyDescent="0.25">
      <c r="A10898" s="859">
        <f t="shared" si="212"/>
        <v>10897</v>
      </c>
      <c r="B10898" s="845" t="s">
        <v>2564</v>
      </c>
      <c r="C10898" s="1007">
        <f t="shared" si="211"/>
        <v>55</v>
      </c>
      <c r="D10898" s="1014"/>
      <c r="H10898" s="1011" t="s">
        <v>1010</v>
      </c>
      <c r="K10898" s="1013"/>
    </row>
    <row r="10899" spans="1:11" s="1011" customFormat="1" ht="15" x14ac:dyDescent="0.25">
      <c r="A10899" s="859">
        <f t="shared" si="212"/>
        <v>10898</v>
      </c>
      <c r="B10899" s="845" t="s">
        <v>2564</v>
      </c>
      <c r="C10899" s="1007">
        <f t="shared" si="211"/>
        <v>55</v>
      </c>
      <c r="D10899" s="1012"/>
      <c r="H10899" s="1011" t="s">
        <v>1007</v>
      </c>
      <c r="K10899" s="1013"/>
    </row>
    <row r="10900" spans="1:11" s="1011" customFormat="1" ht="15" x14ac:dyDescent="0.25">
      <c r="A10900" s="859">
        <f t="shared" si="212"/>
        <v>10899</v>
      </c>
      <c r="B10900" s="845" t="s">
        <v>2564</v>
      </c>
      <c r="C10900" s="1007">
        <f t="shared" si="211"/>
        <v>55</v>
      </c>
      <c r="D10900" s="1015"/>
      <c r="I10900" s="1011" t="s">
        <v>2176</v>
      </c>
      <c r="K10900" s="1013"/>
    </row>
    <row r="10901" spans="1:11" s="1011" customFormat="1" ht="15" x14ac:dyDescent="0.25">
      <c r="A10901" s="859">
        <f t="shared" si="212"/>
        <v>10900</v>
      </c>
      <c r="B10901" s="845" t="s">
        <v>2564</v>
      </c>
      <c r="C10901" s="1007">
        <f t="shared" si="211"/>
        <v>55</v>
      </c>
      <c r="D10901" s="1012"/>
      <c r="I10901" s="1011" t="str">
        <f>CONCATENATE("&lt;valeur&gt;",VLOOKUP(C10901,'T16 Amort'!A:K,4,0),"&lt;/valeur&gt;")</f>
        <v>&lt;valeur&gt;&lt;/valeur&gt;</v>
      </c>
      <c r="K10901" s="1013"/>
    </row>
    <row r="10902" spans="1:11" s="1011" customFormat="1" ht="15" x14ac:dyDescent="0.25">
      <c r="A10902" s="859">
        <f t="shared" si="212"/>
        <v>10901</v>
      </c>
      <c r="B10902" s="845" t="s">
        <v>2564</v>
      </c>
      <c r="C10902" s="1007">
        <f t="shared" si="211"/>
        <v>55</v>
      </c>
      <c r="D10902" s="1012"/>
      <c r="I10902" s="1011" t="str">
        <f>CONCATENATE("&lt;numeroLigne&gt;",C10902,"&lt;/numeroLigne&gt;")</f>
        <v>&lt;numeroLigne&gt;55&lt;/numeroLigne&gt;</v>
      </c>
      <c r="K10902" s="1013"/>
    </row>
    <row r="10903" spans="1:11" s="1011" customFormat="1" ht="15" x14ac:dyDescent="0.25">
      <c r="A10903" s="859">
        <f t="shared" si="212"/>
        <v>10902</v>
      </c>
      <c r="B10903" s="845" t="s">
        <v>2564</v>
      </c>
      <c r="C10903" s="1007">
        <f t="shared" si="211"/>
        <v>55</v>
      </c>
      <c r="D10903" s="1014"/>
      <c r="H10903" s="1011" t="s">
        <v>1010</v>
      </c>
      <c r="K10903" s="1013"/>
    </row>
    <row r="10904" spans="1:11" s="1011" customFormat="1" ht="15" x14ac:dyDescent="0.25">
      <c r="A10904" s="859">
        <f t="shared" si="212"/>
        <v>10903</v>
      </c>
      <c r="B10904" s="845" t="s">
        <v>2564</v>
      </c>
      <c r="C10904" s="1007">
        <f t="shared" si="211"/>
        <v>55</v>
      </c>
      <c r="D10904" s="1014"/>
      <c r="H10904" s="1011" t="s">
        <v>1007</v>
      </c>
      <c r="K10904" s="1013"/>
    </row>
    <row r="10905" spans="1:11" s="1011" customFormat="1" ht="15" x14ac:dyDescent="0.25">
      <c r="A10905" s="859">
        <f t="shared" si="212"/>
        <v>10904</v>
      </c>
      <c r="B10905" s="845" t="s">
        <v>2564</v>
      </c>
      <c r="C10905" s="1007">
        <f t="shared" si="211"/>
        <v>55</v>
      </c>
      <c r="D10905" s="1012"/>
      <c r="I10905" s="1011" t="s">
        <v>2177</v>
      </c>
      <c r="K10905" s="1013"/>
    </row>
    <row r="10906" spans="1:11" s="1011" customFormat="1" ht="15" x14ac:dyDescent="0.25">
      <c r="A10906" s="859">
        <f t="shared" si="212"/>
        <v>10905</v>
      </c>
      <c r="B10906" s="845" t="s">
        <v>2564</v>
      </c>
      <c r="C10906" s="1007">
        <f t="shared" si="211"/>
        <v>55</v>
      </c>
      <c r="D10906" s="1015"/>
      <c r="I10906" s="1011" t="str">
        <f>CONCATENATE("&lt;valeur&gt;",VLOOKUP(C10906,'T16 Amort'!A:K,5,0),"&lt;/valeur&gt;")</f>
        <v>&lt;valeur&gt;&lt;/valeur&gt;</v>
      </c>
      <c r="K10906" s="1013"/>
    </row>
    <row r="10907" spans="1:11" s="1011" customFormat="1" ht="15" x14ac:dyDescent="0.25">
      <c r="A10907" s="859">
        <f t="shared" si="212"/>
        <v>10906</v>
      </c>
      <c r="B10907" s="845" t="s">
        <v>2564</v>
      </c>
      <c r="C10907" s="1007">
        <f t="shared" si="211"/>
        <v>55</v>
      </c>
      <c r="D10907" s="1012"/>
      <c r="I10907" s="1011" t="str">
        <f>CONCATENATE("&lt;numeroLigne&gt;",C10907,"&lt;/numeroLigne&gt;")</f>
        <v>&lt;numeroLigne&gt;55&lt;/numeroLigne&gt;</v>
      </c>
      <c r="K10907" s="1013"/>
    </row>
    <row r="10908" spans="1:11" s="1011" customFormat="1" ht="15" x14ac:dyDescent="0.25">
      <c r="A10908" s="859">
        <f t="shared" si="212"/>
        <v>10907</v>
      </c>
      <c r="B10908" s="845" t="s">
        <v>2564</v>
      </c>
      <c r="C10908" s="1007">
        <f t="shared" si="211"/>
        <v>55</v>
      </c>
      <c r="D10908" s="1012"/>
      <c r="H10908" s="1011" t="s">
        <v>1010</v>
      </c>
      <c r="K10908" s="1013"/>
    </row>
    <row r="10909" spans="1:11" s="1011" customFormat="1" ht="15" x14ac:dyDescent="0.25">
      <c r="A10909" s="859">
        <f t="shared" si="212"/>
        <v>10908</v>
      </c>
      <c r="B10909" s="845" t="s">
        <v>2564</v>
      </c>
      <c r="C10909" s="1007">
        <f t="shared" si="211"/>
        <v>55</v>
      </c>
      <c r="D10909" s="1014"/>
      <c r="H10909" s="1011" t="s">
        <v>1007</v>
      </c>
      <c r="K10909" s="1013"/>
    </row>
    <row r="10910" spans="1:11" s="1011" customFormat="1" ht="15" x14ac:dyDescent="0.25">
      <c r="A10910" s="859">
        <f t="shared" si="212"/>
        <v>10909</v>
      </c>
      <c r="B10910" s="845" t="s">
        <v>2564</v>
      </c>
      <c r="C10910" s="1007">
        <f t="shared" si="211"/>
        <v>55</v>
      </c>
      <c r="D10910" s="1014"/>
      <c r="I10910" s="1011" t="s">
        <v>2178</v>
      </c>
      <c r="K10910" s="1013"/>
    </row>
    <row r="10911" spans="1:11" s="1011" customFormat="1" ht="15" x14ac:dyDescent="0.25">
      <c r="A10911" s="859">
        <f t="shared" si="212"/>
        <v>10910</v>
      </c>
      <c r="B10911" s="845" t="s">
        <v>2564</v>
      </c>
      <c r="C10911" s="1007">
        <f t="shared" si="211"/>
        <v>55</v>
      </c>
      <c r="D10911" s="1012"/>
      <c r="I10911" s="1011" t="str">
        <f>CONCATENATE("&lt;valeur&gt;",VLOOKUP(C10911,'T16 Amort'!A:K,6,0),"&lt;/valeur&gt;")</f>
        <v>&lt;valeur&gt;&lt;/valeur&gt;</v>
      </c>
      <c r="K10911" s="1013"/>
    </row>
    <row r="10912" spans="1:11" s="1011" customFormat="1" ht="15" x14ac:dyDescent="0.25">
      <c r="A10912" s="859">
        <f t="shared" si="212"/>
        <v>10911</v>
      </c>
      <c r="B10912" s="845" t="s">
        <v>2564</v>
      </c>
      <c r="C10912" s="1007">
        <f t="shared" si="211"/>
        <v>55</v>
      </c>
      <c r="D10912" s="1015"/>
      <c r="I10912" s="1011" t="str">
        <f>CONCATENATE("&lt;numeroLigne&gt;",C10912,"&lt;/numeroLigne&gt;")</f>
        <v>&lt;numeroLigne&gt;55&lt;/numeroLigne&gt;</v>
      </c>
      <c r="K10912" s="1013"/>
    </row>
    <row r="10913" spans="1:11" s="1011" customFormat="1" ht="15" x14ac:dyDescent="0.25">
      <c r="A10913" s="859">
        <f t="shared" si="212"/>
        <v>10912</v>
      </c>
      <c r="B10913" s="845" t="s">
        <v>2564</v>
      </c>
      <c r="C10913" s="1007">
        <f t="shared" si="211"/>
        <v>55</v>
      </c>
      <c r="D10913" s="1012"/>
      <c r="H10913" s="1011" t="s">
        <v>1010</v>
      </c>
      <c r="K10913" s="1013"/>
    </row>
    <row r="10914" spans="1:11" s="1011" customFormat="1" ht="15" x14ac:dyDescent="0.25">
      <c r="A10914" s="859">
        <f t="shared" si="212"/>
        <v>10913</v>
      </c>
      <c r="B10914" s="845" t="s">
        <v>2564</v>
      </c>
      <c r="C10914" s="1007">
        <f t="shared" si="211"/>
        <v>55</v>
      </c>
      <c r="D10914" s="1012"/>
      <c r="H10914" s="1011" t="s">
        <v>1007</v>
      </c>
      <c r="K10914" s="1013"/>
    </row>
    <row r="10915" spans="1:11" s="1011" customFormat="1" ht="15" x14ac:dyDescent="0.25">
      <c r="A10915" s="859">
        <f t="shared" si="212"/>
        <v>10914</v>
      </c>
      <c r="B10915" s="845" t="s">
        <v>2564</v>
      </c>
      <c r="C10915" s="1007">
        <f t="shared" si="211"/>
        <v>55</v>
      </c>
      <c r="D10915" s="1014"/>
      <c r="I10915" s="1011" t="s">
        <v>2179</v>
      </c>
      <c r="K10915" s="1013"/>
    </row>
    <row r="10916" spans="1:11" s="1011" customFormat="1" ht="15" x14ac:dyDescent="0.25">
      <c r="A10916" s="859">
        <f t="shared" si="212"/>
        <v>10915</v>
      </c>
      <c r="B10916" s="845" t="s">
        <v>2564</v>
      </c>
      <c r="C10916" s="1007">
        <f t="shared" si="211"/>
        <v>55</v>
      </c>
      <c r="D10916" s="1014"/>
      <c r="I10916" s="1011" t="str">
        <f>CONCATENATE("&lt;valeur&gt;",VLOOKUP(C10916,'T16 Amort'!A:K,7,0),"&lt;/valeur&gt;")</f>
        <v>&lt;valeur&gt;&lt;/valeur&gt;</v>
      </c>
      <c r="K10916" s="1013"/>
    </row>
    <row r="10917" spans="1:11" s="1011" customFormat="1" ht="15" x14ac:dyDescent="0.25">
      <c r="A10917" s="859">
        <f t="shared" si="212"/>
        <v>10916</v>
      </c>
      <c r="B10917" s="845" t="s">
        <v>2564</v>
      </c>
      <c r="C10917" s="1007">
        <f t="shared" si="211"/>
        <v>55</v>
      </c>
      <c r="D10917" s="1012"/>
      <c r="I10917" s="1011" t="str">
        <f>CONCATENATE("&lt;numeroLigne&gt;",C10917,"&lt;/numeroLigne&gt;")</f>
        <v>&lt;numeroLigne&gt;55&lt;/numeroLigne&gt;</v>
      </c>
      <c r="K10917" s="1013"/>
    </row>
    <row r="10918" spans="1:11" s="1011" customFormat="1" ht="15" x14ac:dyDescent="0.25">
      <c r="A10918" s="859">
        <f t="shared" si="212"/>
        <v>10917</v>
      </c>
      <c r="B10918" s="845" t="s">
        <v>2564</v>
      </c>
      <c r="C10918" s="1007">
        <f t="shared" si="211"/>
        <v>55</v>
      </c>
      <c r="D10918" s="1015"/>
      <c r="H10918" s="1011" t="s">
        <v>1010</v>
      </c>
      <c r="K10918" s="1013"/>
    </row>
    <row r="10919" spans="1:11" s="1011" customFormat="1" ht="15" x14ac:dyDescent="0.25">
      <c r="A10919" s="859">
        <f t="shared" si="212"/>
        <v>10918</v>
      </c>
      <c r="B10919" s="845" t="s">
        <v>2564</v>
      </c>
      <c r="C10919" s="1007">
        <f t="shared" si="211"/>
        <v>55</v>
      </c>
      <c r="D10919" s="1012"/>
      <c r="H10919" s="1011" t="s">
        <v>1007</v>
      </c>
      <c r="K10919" s="1013"/>
    </row>
    <row r="10920" spans="1:11" s="1011" customFormat="1" ht="15" x14ac:dyDescent="0.25">
      <c r="A10920" s="859">
        <f t="shared" si="212"/>
        <v>10919</v>
      </c>
      <c r="B10920" s="845" t="s">
        <v>2564</v>
      </c>
      <c r="C10920" s="1007">
        <f t="shared" si="211"/>
        <v>55</v>
      </c>
      <c r="D10920" s="1012"/>
      <c r="I10920" s="1011" t="s">
        <v>2180</v>
      </c>
      <c r="K10920" s="1013"/>
    </row>
    <row r="10921" spans="1:11" s="1011" customFormat="1" ht="15" x14ac:dyDescent="0.25">
      <c r="A10921" s="859">
        <f t="shared" si="212"/>
        <v>10920</v>
      </c>
      <c r="B10921" s="845" t="s">
        <v>2564</v>
      </c>
      <c r="C10921" s="1007">
        <f t="shared" si="211"/>
        <v>55</v>
      </c>
      <c r="D10921" s="1014"/>
      <c r="I10921" s="1011" t="str">
        <f>CONCATENATE("&lt;valeur&gt;",VLOOKUP(C10921,'T16 Amort'!A:K,8,0),"&lt;/valeur&gt;")</f>
        <v>&lt;valeur&gt;&lt;/valeur&gt;</v>
      </c>
      <c r="K10921" s="1013"/>
    </row>
    <row r="10922" spans="1:11" s="1011" customFormat="1" ht="15" x14ac:dyDescent="0.25">
      <c r="A10922" s="859">
        <f t="shared" si="212"/>
        <v>10921</v>
      </c>
      <c r="B10922" s="845" t="s">
        <v>2564</v>
      </c>
      <c r="C10922" s="1007">
        <f t="shared" si="211"/>
        <v>55</v>
      </c>
      <c r="D10922" s="1014"/>
      <c r="I10922" s="1011" t="str">
        <f>CONCATENATE("&lt;numeroLigne&gt;",C10922,"&lt;/numeroLigne&gt;")</f>
        <v>&lt;numeroLigne&gt;55&lt;/numeroLigne&gt;</v>
      </c>
      <c r="K10922" s="1013"/>
    </row>
    <row r="10923" spans="1:11" s="1011" customFormat="1" ht="15" x14ac:dyDescent="0.25">
      <c r="A10923" s="859">
        <f t="shared" si="212"/>
        <v>10922</v>
      </c>
      <c r="B10923" s="845" t="s">
        <v>2564</v>
      </c>
      <c r="C10923" s="1007">
        <f t="shared" si="211"/>
        <v>55</v>
      </c>
      <c r="D10923" s="1012"/>
      <c r="H10923" s="1011" t="s">
        <v>1010</v>
      </c>
      <c r="K10923" s="1013"/>
    </row>
    <row r="10924" spans="1:11" s="1011" customFormat="1" ht="15" x14ac:dyDescent="0.25">
      <c r="A10924" s="859">
        <f t="shared" si="212"/>
        <v>10923</v>
      </c>
      <c r="B10924" s="845" t="s">
        <v>2564</v>
      </c>
      <c r="C10924" s="1007">
        <f t="shared" si="211"/>
        <v>55</v>
      </c>
      <c r="D10924" s="1015"/>
      <c r="H10924" s="1011" t="s">
        <v>1007</v>
      </c>
      <c r="K10924" s="1013"/>
    </row>
    <row r="10925" spans="1:11" s="1011" customFormat="1" ht="15" x14ac:dyDescent="0.25">
      <c r="A10925" s="859">
        <f t="shared" si="212"/>
        <v>10924</v>
      </c>
      <c r="B10925" s="845" t="s">
        <v>2564</v>
      </c>
      <c r="C10925" s="1007">
        <f t="shared" si="211"/>
        <v>55</v>
      </c>
      <c r="D10925" s="1012"/>
      <c r="I10925" s="1011" t="s">
        <v>2181</v>
      </c>
      <c r="K10925" s="1013"/>
    </row>
    <row r="10926" spans="1:11" s="1011" customFormat="1" ht="15" x14ac:dyDescent="0.25">
      <c r="A10926" s="859">
        <f t="shared" si="212"/>
        <v>10925</v>
      </c>
      <c r="B10926" s="845" t="s">
        <v>2564</v>
      </c>
      <c r="C10926" s="1007">
        <f t="shared" si="211"/>
        <v>55</v>
      </c>
      <c r="D10926" s="1012"/>
      <c r="I10926" s="1011" t="str">
        <f>CONCATENATE("&lt;valeur&gt;",VLOOKUP(C10926,'T16 Amort'!A:K,9,0),"&lt;/valeur&gt;")</f>
        <v>&lt;valeur&gt;&lt;/valeur&gt;</v>
      </c>
      <c r="K10926" s="1013"/>
    </row>
    <row r="10927" spans="1:11" s="1011" customFormat="1" ht="15" x14ac:dyDescent="0.25">
      <c r="A10927" s="859">
        <f t="shared" si="212"/>
        <v>10926</v>
      </c>
      <c r="B10927" s="845" t="s">
        <v>2564</v>
      </c>
      <c r="C10927" s="1007">
        <f t="shared" ref="C10927:C10990" si="213">C10877+1</f>
        <v>55</v>
      </c>
      <c r="D10927" s="1014"/>
      <c r="I10927" s="1011" t="str">
        <f>CONCATENATE("&lt;numeroLigne&gt;",C10927,"&lt;/numeroLigne&gt;")</f>
        <v>&lt;numeroLigne&gt;55&lt;/numeroLigne&gt;</v>
      </c>
      <c r="K10927" s="1013"/>
    </row>
    <row r="10928" spans="1:11" s="1011" customFormat="1" ht="15" x14ac:dyDescent="0.25">
      <c r="A10928" s="859">
        <f t="shared" si="212"/>
        <v>10927</v>
      </c>
      <c r="B10928" s="845" t="s">
        <v>2564</v>
      </c>
      <c r="C10928" s="1007">
        <f t="shared" si="213"/>
        <v>55</v>
      </c>
      <c r="D10928" s="1014"/>
      <c r="H10928" s="1011" t="s">
        <v>1010</v>
      </c>
      <c r="K10928" s="1013"/>
    </row>
    <row r="10929" spans="1:11" s="1011" customFormat="1" ht="15" x14ac:dyDescent="0.25">
      <c r="A10929" s="859">
        <f t="shared" si="212"/>
        <v>10928</v>
      </c>
      <c r="B10929" s="845" t="s">
        <v>2564</v>
      </c>
      <c r="C10929" s="1007">
        <f t="shared" si="213"/>
        <v>55</v>
      </c>
      <c r="D10929" s="1012"/>
      <c r="H10929" s="1011" t="s">
        <v>1007</v>
      </c>
      <c r="K10929" s="1013"/>
    </row>
    <row r="10930" spans="1:11" s="1011" customFormat="1" ht="15" x14ac:dyDescent="0.25">
      <c r="A10930" s="859">
        <f t="shared" si="212"/>
        <v>10929</v>
      </c>
      <c r="B10930" s="845" t="s">
        <v>2564</v>
      </c>
      <c r="C10930" s="1007">
        <f t="shared" si="213"/>
        <v>55</v>
      </c>
      <c r="D10930" s="1015"/>
      <c r="I10930" s="1011" t="s">
        <v>2182</v>
      </c>
      <c r="K10930" s="1013"/>
    </row>
    <row r="10931" spans="1:11" s="1011" customFormat="1" ht="15" x14ac:dyDescent="0.25">
      <c r="A10931" s="859">
        <f t="shared" si="212"/>
        <v>10930</v>
      </c>
      <c r="B10931" s="845" t="s">
        <v>2564</v>
      </c>
      <c r="C10931" s="1007">
        <f t="shared" si="213"/>
        <v>55</v>
      </c>
      <c r="D10931" s="1012"/>
      <c r="I10931" s="1011" t="str">
        <f>CONCATENATE("&lt;valeur&gt;",VLOOKUP(C10931,'T16 Amort'!A:K,10,0),"&lt;/valeur&gt;")</f>
        <v>&lt;valeur&gt;&lt;/valeur&gt;</v>
      </c>
      <c r="K10931" s="1013"/>
    </row>
    <row r="10932" spans="1:11" s="1011" customFormat="1" ht="15" x14ac:dyDescent="0.25">
      <c r="A10932" s="859">
        <f t="shared" si="212"/>
        <v>10931</v>
      </c>
      <c r="B10932" s="845" t="s">
        <v>2564</v>
      </c>
      <c r="C10932" s="1007">
        <f t="shared" si="213"/>
        <v>55</v>
      </c>
      <c r="D10932" s="1012"/>
      <c r="I10932" s="1011" t="str">
        <f>CONCATENATE("&lt;numeroLigne&gt;",C10932,"&lt;/numeroLigne&gt;")</f>
        <v>&lt;numeroLigne&gt;55&lt;/numeroLigne&gt;</v>
      </c>
      <c r="K10932" s="1013"/>
    </row>
    <row r="10933" spans="1:11" s="1011" customFormat="1" ht="15" x14ac:dyDescent="0.25">
      <c r="A10933" s="859">
        <f t="shared" si="212"/>
        <v>10932</v>
      </c>
      <c r="B10933" s="845" t="s">
        <v>2564</v>
      </c>
      <c r="C10933" s="1007">
        <f t="shared" si="213"/>
        <v>55</v>
      </c>
      <c r="D10933" s="1014"/>
      <c r="H10933" s="1011" t="s">
        <v>1010</v>
      </c>
      <c r="K10933" s="1013"/>
    </row>
    <row r="10934" spans="1:11" s="1011" customFormat="1" ht="15" x14ac:dyDescent="0.25">
      <c r="A10934" s="859">
        <f t="shared" si="212"/>
        <v>10933</v>
      </c>
      <c r="B10934" s="845" t="s">
        <v>2564</v>
      </c>
      <c r="C10934" s="1007">
        <f t="shared" si="213"/>
        <v>55</v>
      </c>
      <c r="D10934" s="1014"/>
      <c r="H10934" s="1011" t="s">
        <v>1007</v>
      </c>
      <c r="K10934" s="1013"/>
    </row>
    <row r="10935" spans="1:11" s="1011" customFormat="1" ht="15" x14ac:dyDescent="0.25">
      <c r="A10935" s="859">
        <f t="shared" si="212"/>
        <v>10934</v>
      </c>
      <c r="B10935" s="845" t="s">
        <v>2564</v>
      </c>
      <c r="C10935" s="1007">
        <f t="shared" si="213"/>
        <v>55</v>
      </c>
      <c r="D10935" s="1012"/>
      <c r="I10935" s="1011" t="s">
        <v>2183</v>
      </c>
      <c r="K10935" s="1013"/>
    </row>
    <row r="10936" spans="1:11" s="1011" customFormat="1" ht="15" x14ac:dyDescent="0.25">
      <c r="A10936" s="859">
        <f t="shared" si="212"/>
        <v>10935</v>
      </c>
      <c r="B10936" s="845" t="s">
        <v>2564</v>
      </c>
      <c r="C10936" s="1007">
        <f t="shared" si="213"/>
        <v>55</v>
      </c>
      <c r="D10936" s="1015"/>
      <c r="I10936" s="1011" t="str">
        <f>CONCATENATE("&lt;valeur&gt;",VLOOKUP(C10936,'T16 Amort'!A:K,11,0),"&lt;/valeur&gt;")</f>
        <v>&lt;valeur&gt;&lt;/valeur&gt;</v>
      </c>
      <c r="K10936" s="1013"/>
    </row>
    <row r="10937" spans="1:11" s="1011" customFormat="1" ht="15" x14ac:dyDescent="0.25">
      <c r="A10937" s="859">
        <f t="shared" si="212"/>
        <v>10936</v>
      </c>
      <c r="B10937" s="845" t="s">
        <v>2564</v>
      </c>
      <c r="C10937" s="1007">
        <f t="shared" si="213"/>
        <v>55</v>
      </c>
      <c r="D10937" s="1012"/>
      <c r="I10937" s="1011" t="str">
        <f>CONCATENATE("&lt;numeroLigne&gt;",C10937,"&lt;/numeroLigne&gt;")</f>
        <v>&lt;numeroLigne&gt;55&lt;/numeroLigne&gt;</v>
      </c>
      <c r="K10937" s="1013"/>
    </row>
    <row r="10938" spans="1:11" s="1011" customFormat="1" ht="15" x14ac:dyDescent="0.25">
      <c r="A10938" s="859">
        <f t="shared" si="212"/>
        <v>10937</v>
      </c>
      <c r="B10938" s="845" t="s">
        <v>2564</v>
      </c>
      <c r="C10938" s="1007">
        <f t="shared" si="213"/>
        <v>55</v>
      </c>
      <c r="D10938" s="1016"/>
      <c r="E10938" s="1017"/>
      <c r="F10938" s="1017"/>
      <c r="G10938" s="1017"/>
      <c r="H10938" s="1017" t="s">
        <v>1010</v>
      </c>
      <c r="I10938" s="1017"/>
      <c r="J10938" s="1017"/>
      <c r="K10938" s="1018"/>
    </row>
    <row r="10939" spans="1:11" s="1011" customFormat="1" ht="15" x14ac:dyDescent="0.25">
      <c r="A10939" s="859">
        <f t="shared" si="212"/>
        <v>10938</v>
      </c>
      <c r="B10939" s="845" t="s">
        <v>2564</v>
      </c>
      <c r="C10939" s="1007">
        <f t="shared" si="213"/>
        <v>56</v>
      </c>
      <c r="D10939" s="1008"/>
      <c r="E10939" s="1009"/>
      <c r="F10939" s="1009"/>
      <c r="G10939" s="1009"/>
      <c r="H10939" s="1009" t="s">
        <v>1007</v>
      </c>
      <c r="I10939" s="1009"/>
      <c r="J10939" s="1009"/>
      <c r="K10939" s="1010"/>
    </row>
    <row r="10940" spans="1:11" s="1011" customFormat="1" ht="15" x14ac:dyDescent="0.25">
      <c r="A10940" s="859">
        <f t="shared" si="212"/>
        <v>10939</v>
      </c>
      <c r="B10940" s="845" t="s">
        <v>2564</v>
      </c>
      <c r="C10940" s="1007">
        <f t="shared" si="213"/>
        <v>56</v>
      </c>
      <c r="D10940" s="1012"/>
      <c r="I10940" s="1011" t="s">
        <v>2174</v>
      </c>
      <c r="K10940" s="1013"/>
    </row>
    <row r="10941" spans="1:11" s="1011" customFormat="1" ht="15" x14ac:dyDescent="0.25">
      <c r="A10941" s="859">
        <f t="shared" si="212"/>
        <v>10940</v>
      </c>
      <c r="B10941" s="845" t="s">
        <v>2564</v>
      </c>
      <c r="C10941" s="1007">
        <f t="shared" si="213"/>
        <v>56</v>
      </c>
      <c r="D10941" s="1014"/>
      <c r="I10941" s="1011" t="str">
        <f>CONCATENATE("&lt;valeur&gt;",VLOOKUP(C10941,'T16 Amort'!A:K,2,0),"&lt;/valeur&gt;")</f>
        <v>&lt;valeur&gt;&lt;/valeur&gt;</v>
      </c>
      <c r="K10941" s="1013"/>
    </row>
    <row r="10942" spans="1:11" s="1011" customFormat="1" ht="15" x14ac:dyDescent="0.25">
      <c r="A10942" s="859">
        <f t="shared" si="212"/>
        <v>10941</v>
      </c>
      <c r="B10942" s="845" t="s">
        <v>2564</v>
      </c>
      <c r="C10942" s="1007">
        <f t="shared" si="213"/>
        <v>56</v>
      </c>
      <c r="D10942" s="1014"/>
      <c r="I10942" s="1011" t="str">
        <f>CONCATENATE("&lt;numeroLigne&gt;",C10942,"&lt;/numeroLigne&gt;")</f>
        <v>&lt;numeroLigne&gt;56&lt;/numeroLigne&gt;</v>
      </c>
      <c r="K10942" s="1013"/>
    </row>
    <row r="10943" spans="1:11" s="1011" customFormat="1" ht="15" x14ac:dyDescent="0.25">
      <c r="A10943" s="859">
        <f t="shared" si="212"/>
        <v>10942</v>
      </c>
      <c r="B10943" s="845" t="s">
        <v>2564</v>
      </c>
      <c r="C10943" s="1007">
        <f t="shared" si="213"/>
        <v>56</v>
      </c>
      <c r="D10943" s="1012"/>
      <c r="H10943" s="1011" t="s">
        <v>1010</v>
      </c>
      <c r="K10943" s="1013"/>
    </row>
    <row r="10944" spans="1:11" s="1011" customFormat="1" ht="15" x14ac:dyDescent="0.25">
      <c r="A10944" s="859">
        <f t="shared" si="212"/>
        <v>10943</v>
      </c>
      <c r="B10944" s="845" t="s">
        <v>2564</v>
      </c>
      <c r="C10944" s="1007">
        <f t="shared" si="213"/>
        <v>56</v>
      </c>
      <c r="D10944" s="1015"/>
      <c r="H10944" s="1011" t="s">
        <v>1007</v>
      </c>
      <c r="K10944" s="1013"/>
    </row>
    <row r="10945" spans="1:11" s="1011" customFormat="1" ht="15" x14ac:dyDescent="0.25">
      <c r="A10945" s="859">
        <f t="shared" si="212"/>
        <v>10944</v>
      </c>
      <c r="B10945" s="845" t="s">
        <v>2564</v>
      </c>
      <c r="C10945" s="1007">
        <f t="shared" si="213"/>
        <v>56</v>
      </c>
      <c r="D10945" s="1012"/>
      <c r="I10945" s="1011" t="s">
        <v>2175</v>
      </c>
      <c r="K10945" s="1013"/>
    </row>
    <row r="10946" spans="1:11" s="1011" customFormat="1" ht="15" x14ac:dyDescent="0.25">
      <c r="A10946" s="859">
        <f t="shared" si="212"/>
        <v>10945</v>
      </c>
      <c r="B10946" s="845" t="s">
        <v>2564</v>
      </c>
      <c r="C10946" s="1007">
        <f t="shared" si="213"/>
        <v>56</v>
      </c>
      <c r="D10946" s="1012"/>
      <c r="I10946" s="1011" t="str">
        <f>CONCATENATE("&lt;valeur&gt;",VLOOKUP(C10946,'T16 Amort'!A:K,3,0),"&lt;/valeur&gt;")</f>
        <v>&lt;valeur&gt;&lt;/valeur&gt;</v>
      </c>
      <c r="K10946" s="1013"/>
    </row>
    <row r="10947" spans="1:11" s="1011" customFormat="1" ht="15" x14ac:dyDescent="0.25">
      <c r="A10947" s="859">
        <f t="shared" si="212"/>
        <v>10946</v>
      </c>
      <c r="B10947" s="845" t="s">
        <v>2564</v>
      </c>
      <c r="C10947" s="1007">
        <f t="shared" si="213"/>
        <v>56</v>
      </c>
      <c r="D10947" s="1014"/>
      <c r="I10947" s="1011" t="str">
        <f>CONCATENATE("&lt;numeroLigne&gt;",C10947,"&lt;/numeroLigne&gt;")</f>
        <v>&lt;numeroLigne&gt;56&lt;/numeroLigne&gt;</v>
      </c>
      <c r="K10947" s="1013"/>
    </row>
    <row r="10948" spans="1:11" s="1011" customFormat="1" ht="15" x14ac:dyDescent="0.25">
      <c r="A10948" s="859">
        <f t="shared" ref="A10948:A11011" si="214">+A10947+1</f>
        <v>10947</v>
      </c>
      <c r="B10948" s="845" t="s">
        <v>2564</v>
      </c>
      <c r="C10948" s="1007">
        <f t="shared" si="213"/>
        <v>56</v>
      </c>
      <c r="D10948" s="1014"/>
      <c r="H10948" s="1011" t="s">
        <v>1010</v>
      </c>
      <c r="K10948" s="1013"/>
    </row>
    <row r="10949" spans="1:11" s="1011" customFormat="1" ht="15" x14ac:dyDescent="0.25">
      <c r="A10949" s="859">
        <f t="shared" si="214"/>
        <v>10948</v>
      </c>
      <c r="B10949" s="845" t="s">
        <v>2564</v>
      </c>
      <c r="C10949" s="1007">
        <f t="shared" si="213"/>
        <v>56</v>
      </c>
      <c r="D10949" s="1012"/>
      <c r="H10949" s="1011" t="s">
        <v>1007</v>
      </c>
      <c r="K10949" s="1013"/>
    </row>
    <row r="10950" spans="1:11" s="1011" customFormat="1" ht="15" x14ac:dyDescent="0.25">
      <c r="A10950" s="859">
        <f t="shared" si="214"/>
        <v>10949</v>
      </c>
      <c r="B10950" s="845" t="s">
        <v>2564</v>
      </c>
      <c r="C10950" s="1007">
        <f t="shared" si="213"/>
        <v>56</v>
      </c>
      <c r="D10950" s="1015"/>
      <c r="I10950" s="1011" t="s">
        <v>2176</v>
      </c>
      <c r="K10950" s="1013"/>
    </row>
    <row r="10951" spans="1:11" s="1011" customFormat="1" ht="15" x14ac:dyDescent="0.25">
      <c r="A10951" s="859">
        <f t="shared" si="214"/>
        <v>10950</v>
      </c>
      <c r="B10951" s="845" t="s">
        <v>2564</v>
      </c>
      <c r="C10951" s="1007">
        <f t="shared" si="213"/>
        <v>56</v>
      </c>
      <c r="D10951" s="1012"/>
      <c r="I10951" s="1011" t="str">
        <f>CONCATENATE("&lt;valeur&gt;",VLOOKUP(C10951,'T16 Amort'!A:K,4,0),"&lt;/valeur&gt;")</f>
        <v>&lt;valeur&gt;&lt;/valeur&gt;</v>
      </c>
      <c r="K10951" s="1013"/>
    </row>
    <row r="10952" spans="1:11" s="1011" customFormat="1" ht="15" x14ac:dyDescent="0.25">
      <c r="A10952" s="859">
        <f t="shared" si="214"/>
        <v>10951</v>
      </c>
      <c r="B10952" s="845" t="s">
        <v>2564</v>
      </c>
      <c r="C10952" s="1007">
        <f t="shared" si="213"/>
        <v>56</v>
      </c>
      <c r="D10952" s="1012"/>
      <c r="I10952" s="1011" t="str">
        <f>CONCATENATE("&lt;numeroLigne&gt;",C10952,"&lt;/numeroLigne&gt;")</f>
        <v>&lt;numeroLigne&gt;56&lt;/numeroLigne&gt;</v>
      </c>
      <c r="K10952" s="1013"/>
    </row>
    <row r="10953" spans="1:11" s="1011" customFormat="1" ht="15" x14ac:dyDescent="0.25">
      <c r="A10953" s="859">
        <f t="shared" si="214"/>
        <v>10952</v>
      </c>
      <c r="B10953" s="845" t="s">
        <v>2564</v>
      </c>
      <c r="C10953" s="1007">
        <f t="shared" si="213"/>
        <v>56</v>
      </c>
      <c r="D10953" s="1014"/>
      <c r="H10953" s="1011" t="s">
        <v>1010</v>
      </c>
      <c r="K10953" s="1013"/>
    </row>
    <row r="10954" spans="1:11" s="1011" customFormat="1" ht="15" x14ac:dyDescent="0.25">
      <c r="A10954" s="859">
        <f t="shared" si="214"/>
        <v>10953</v>
      </c>
      <c r="B10954" s="845" t="s">
        <v>2564</v>
      </c>
      <c r="C10954" s="1007">
        <f t="shared" si="213"/>
        <v>56</v>
      </c>
      <c r="D10954" s="1014"/>
      <c r="H10954" s="1011" t="s">
        <v>1007</v>
      </c>
      <c r="K10954" s="1013"/>
    </row>
    <row r="10955" spans="1:11" s="1011" customFormat="1" ht="15" x14ac:dyDescent="0.25">
      <c r="A10955" s="859">
        <f t="shared" si="214"/>
        <v>10954</v>
      </c>
      <c r="B10955" s="845" t="s">
        <v>2564</v>
      </c>
      <c r="C10955" s="1007">
        <f t="shared" si="213"/>
        <v>56</v>
      </c>
      <c r="D10955" s="1012"/>
      <c r="I10955" s="1011" t="s">
        <v>2177</v>
      </c>
      <c r="K10955" s="1013"/>
    </row>
    <row r="10956" spans="1:11" s="1011" customFormat="1" ht="15" x14ac:dyDescent="0.25">
      <c r="A10956" s="859">
        <f t="shared" si="214"/>
        <v>10955</v>
      </c>
      <c r="B10956" s="845" t="s">
        <v>2564</v>
      </c>
      <c r="C10956" s="1007">
        <f t="shared" si="213"/>
        <v>56</v>
      </c>
      <c r="D10956" s="1015"/>
      <c r="I10956" s="1011" t="str">
        <f>CONCATENATE("&lt;valeur&gt;",VLOOKUP(C10956,'T16 Amort'!A:K,5,0),"&lt;/valeur&gt;")</f>
        <v>&lt;valeur&gt;&lt;/valeur&gt;</v>
      </c>
      <c r="K10956" s="1013"/>
    </row>
    <row r="10957" spans="1:11" s="1011" customFormat="1" ht="15" x14ac:dyDescent="0.25">
      <c r="A10957" s="859">
        <f t="shared" si="214"/>
        <v>10956</v>
      </c>
      <c r="B10957" s="845" t="s">
        <v>2564</v>
      </c>
      <c r="C10957" s="1007">
        <f t="shared" si="213"/>
        <v>56</v>
      </c>
      <c r="D10957" s="1012"/>
      <c r="I10957" s="1011" t="str">
        <f>CONCATENATE("&lt;numeroLigne&gt;",C10957,"&lt;/numeroLigne&gt;")</f>
        <v>&lt;numeroLigne&gt;56&lt;/numeroLigne&gt;</v>
      </c>
      <c r="K10957" s="1013"/>
    </row>
    <row r="10958" spans="1:11" s="1011" customFormat="1" ht="15" x14ac:dyDescent="0.25">
      <c r="A10958" s="859">
        <f t="shared" si="214"/>
        <v>10957</v>
      </c>
      <c r="B10958" s="845" t="s">
        <v>2564</v>
      </c>
      <c r="C10958" s="1007">
        <f t="shared" si="213"/>
        <v>56</v>
      </c>
      <c r="D10958" s="1012"/>
      <c r="H10958" s="1011" t="s">
        <v>1010</v>
      </c>
      <c r="K10958" s="1013"/>
    </row>
    <row r="10959" spans="1:11" s="1011" customFormat="1" ht="15" x14ac:dyDescent="0.25">
      <c r="A10959" s="859">
        <f t="shared" si="214"/>
        <v>10958</v>
      </c>
      <c r="B10959" s="845" t="s">
        <v>2564</v>
      </c>
      <c r="C10959" s="1007">
        <f t="shared" si="213"/>
        <v>56</v>
      </c>
      <c r="D10959" s="1014"/>
      <c r="H10959" s="1011" t="s">
        <v>1007</v>
      </c>
      <c r="K10959" s="1013"/>
    </row>
    <row r="10960" spans="1:11" s="1011" customFormat="1" ht="15" x14ac:dyDescent="0.25">
      <c r="A10960" s="859">
        <f t="shared" si="214"/>
        <v>10959</v>
      </c>
      <c r="B10960" s="845" t="s">
        <v>2564</v>
      </c>
      <c r="C10960" s="1007">
        <f t="shared" si="213"/>
        <v>56</v>
      </c>
      <c r="D10960" s="1014"/>
      <c r="I10960" s="1011" t="s">
        <v>2178</v>
      </c>
      <c r="K10960" s="1013"/>
    </row>
    <row r="10961" spans="1:11" s="1011" customFormat="1" ht="15" x14ac:dyDescent="0.25">
      <c r="A10961" s="859">
        <f t="shared" si="214"/>
        <v>10960</v>
      </c>
      <c r="B10961" s="845" t="s">
        <v>2564</v>
      </c>
      <c r="C10961" s="1007">
        <f t="shared" si="213"/>
        <v>56</v>
      </c>
      <c r="D10961" s="1012"/>
      <c r="I10961" s="1011" t="str">
        <f>CONCATENATE("&lt;valeur&gt;",VLOOKUP(C10961,'T16 Amort'!A:K,6,0),"&lt;/valeur&gt;")</f>
        <v>&lt;valeur&gt;&lt;/valeur&gt;</v>
      </c>
      <c r="K10961" s="1013"/>
    </row>
    <row r="10962" spans="1:11" s="1011" customFormat="1" ht="15" x14ac:dyDescent="0.25">
      <c r="A10962" s="859">
        <f t="shared" si="214"/>
        <v>10961</v>
      </c>
      <c r="B10962" s="845" t="s">
        <v>2564</v>
      </c>
      <c r="C10962" s="1007">
        <f t="shared" si="213"/>
        <v>56</v>
      </c>
      <c r="D10962" s="1015"/>
      <c r="I10962" s="1011" t="str">
        <f>CONCATENATE("&lt;numeroLigne&gt;",C10962,"&lt;/numeroLigne&gt;")</f>
        <v>&lt;numeroLigne&gt;56&lt;/numeroLigne&gt;</v>
      </c>
      <c r="K10962" s="1013"/>
    </row>
    <row r="10963" spans="1:11" s="1011" customFormat="1" ht="15" x14ac:dyDescent="0.25">
      <c r="A10963" s="859">
        <f t="shared" si="214"/>
        <v>10962</v>
      </c>
      <c r="B10963" s="845" t="s">
        <v>2564</v>
      </c>
      <c r="C10963" s="1007">
        <f t="shared" si="213"/>
        <v>56</v>
      </c>
      <c r="D10963" s="1012"/>
      <c r="H10963" s="1011" t="s">
        <v>1010</v>
      </c>
      <c r="K10963" s="1013"/>
    </row>
    <row r="10964" spans="1:11" s="1011" customFormat="1" ht="15" x14ac:dyDescent="0.25">
      <c r="A10964" s="859">
        <f t="shared" si="214"/>
        <v>10963</v>
      </c>
      <c r="B10964" s="845" t="s">
        <v>2564</v>
      </c>
      <c r="C10964" s="1007">
        <f t="shared" si="213"/>
        <v>56</v>
      </c>
      <c r="D10964" s="1012"/>
      <c r="H10964" s="1011" t="s">
        <v>1007</v>
      </c>
      <c r="K10964" s="1013"/>
    </row>
    <row r="10965" spans="1:11" s="1011" customFormat="1" ht="15" x14ac:dyDescent="0.25">
      <c r="A10965" s="859">
        <f t="shared" si="214"/>
        <v>10964</v>
      </c>
      <c r="B10965" s="845" t="s">
        <v>2564</v>
      </c>
      <c r="C10965" s="1007">
        <f t="shared" si="213"/>
        <v>56</v>
      </c>
      <c r="D10965" s="1014"/>
      <c r="I10965" s="1011" t="s">
        <v>2179</v>
      </c>
      <c r="K10965" s="1013"/>
    </row>
    <row r="10966" spans="1:11" s="1011" customFormat="1" ht="15" x14ac:dyDescent="0.25">
      <c r="A10966" s="859">
        <f t="shared" si="214"/>
        <v>10965</v>
      </c>
      <c r="B10966" s="845" t="s">
        <v>2564</v>
      </c>
      <c r="C10966" s="1007">
        <f t="shared" si="213"/>
        <v>56</v>
      </c>
      <c r="D10966" s="1014"/>
      <c r="I10966" s="1011" t="str">
        <f>CONCATENATE("&lt;valeur&gt;",VLOOKUP(C10966,'T16 Amort'!A:K,7,0),"&lt;/valeur&gt;")</f>
        <v>&lt;valeur&gt;&lt;/valeur&gt;</v>
      </c>
      <c r="K10966" s="1013"/>
    </row>
    <row r="10967" spans="1:11" s="1011" customFormat="1" ht="15" x14ac:dyDescent="0.25">
      <c r="A10967" s="859">
        <f t="shared" si="214"/>
        <v>10966</v>
      </c>
      <c r="B10967" s="845" t="s">
        <v>2564</v>
      </c>
      <c r="C10967" s="1007">
        <f t="shared" si="213"/>
        <v>56</v>
      </c>
      <c r="D10967" s="1012"/>
      <c r="I10967" s="1011" t="str">
        <f>CONCATENATE("&lt;numeroLigne&gt;",C10967,"&lt;/numeroLigne&gt;")</f>
        <v>&lt;numeroLigne&gt;56&lt;/numeroLigne&gt;</v>
      </c>
      <c r="K10967" s="1013"/>
    </row>
    <row r="10968" spans="1:11" s="1011" customFormat="1" ht="15" x14ac:dyDescent="0.25">
      <c r="A10968" s="859">
        <f t="shared" si="214"/>
        <v>10967</v>
      </c>
      <c r="B10968" s="845" t="s">
        <v>2564</v>
      </c>
      <c r="C10968" s="1007">
        <f t="shared" si="213"/>
        <v>56</v>
      </c>
      <c r="D10968" s="1015"/>
      <c r="H10968" s="1011" t="s">
        <v>1010</v>
      </c>
      <c r="K10968" s="1013"/>
    </row>
    <row r="10969" spans="1:11" s="1011" customFormat="1" ht="15" x14ac:dyDescent="0.25">
      <c r="A10969" s="859">
        <f t="shared" si="214"/>
        <v>10968</v>
      </c>
      <c r="B10969" s="845" t="s">
        <v>2564</v>
      </c>
      <c r="C10969" s="1007">
        <f t="shared" si="213"/>
        <v>56</v>
      </c>
      <c r="D10969" s="1012"/>
      <c r="H10969" s="1011" t="s">
        <v>1007</v>
      </c>
      <c r="K10969" s="1013"/>
    </row>
    <row r="10970" spans="1:11" s="1011" customFormat="1" ht="15" x14ac:dyDescent="0.25">
      <c r="A10970" s="859">
        <f t="shared" si="214"/>
        <v>10969</v>
      </c>
      <c r="B10970" s="845" t="s">
        <v>2564</v>
      </c>
      <c r="C10970" s="1007">
        <f t="shared" si="213"/>
        <v>56</v>
      </c>
      <c r="D10970" s="1012"/>
      <c r="I10970" s="1011" t="s">
        <v>2180</v>
      </c>
      <c r="K10970" s="1013"/>
    </row>
    <row r="10971" spans="1:11" s="1011" customFormat="1" ht="15" x14ac:dyDescent="0.25">
      <c r="A10971" s="859">
        <f t="shared" si="214"/>
        <v>10970</v>
      </c>
      <c r="B10971" s="845" t="s">
        <v>2564</v>
      </c>
      <c r="C10971" s="1007">
        <f t="shared" si="213"/>
        <v>56</v>
      </c>
      <c r="D10971" s="1014"/>
      <c r="I10971" s="1011" t="str">
        <f>CONCATENATE("&lt;valeur&gt;",VLOOKUP(C10971,'T16 Amort'!A:K,8,0),"&lt;/valeur&gt;")</f>
        <v>&lt;valeur&gt;&lt;/valeur&gt;</v>
      </c>
      <c r="K10971" s="1013"/>
    </row>
    <row r="10972" spans="1:11" s="1011" customFormat="1" ht="15" x14ac:dyDescent="0.25">
      <c r="A10972" s="859">
        <f t="shared" si="214"/>
        <v>10971</v>
      </c>
      <c r="B10972" s="845" t="s">
        <v>2564</v>
      </c>
      <c r="C10972" s="1007">
        <f t="shared" si="213"/>
        <v>56</v>
      </c>
      <c r="D10972" s="1014"/>
      <c r="I10972" s="1011" t="str">
        <f>CONCATENATE("&lt;numeroLigne&gt;",C10972,"&lt;/numeroLigne&gt;")</f>
        <v>&lt;numeroLigne&gt;56&lt;/numeroLigne&gt;</v>
      </c>
      <c r="K10972" s="1013"/>
    </row>
    <row r="10973" spans="1:11" s="1011" customFormat="1" ht="15" x14ac:dyDescent="0.25">
      <c r="A10973" s="859">
        <f t="shared" si="214"/>
        <v>10972</v>
      </c>
      <c r="B10973" s="845" t="s">
        <v>2564</v>
      </c>
      <c r="C10973" s="1007">
        <f t="shared" si="213"/>
        <v>56</v>
      </c>
      <c r="D10973" s="1012"/>
      <c r="H10973" s="1011" t="s">
        <v>1010</v>
      </c>
      <c r="K10973" s="1013"/>
    </row>
    <row r="10974" spans="1:11" s="1011" customFormat="1" ht="15" x14ac:dyDescent="0.25">
      <c r="A10974" s="859">
        <f t="shared" si="214"/>
        <v>10973</v>
      </c>
      <c r="B10974" s="845" t="s">
        <v>2564</v>
      </c>
      <c r="C10974" s="1007">
        <f t="shared" si="213"/>
        <v>56</v>
      </c>
      <c r="D10974" s="1015"/>
      <c r="H10974" s="1011" t="s">
        <v>1007</v>
      </c>
      <c r="K10974" s="1013"/>
    </row>
    <row r="10975" spans="1:11" s="1011" customFormat="1" ht="15" x14ac:dyDescent="0.25">
      <c r="A10975" s="859">
        <f t="shared" si="214"/>
        <v>10974</v>
      </c>
      <c r="B10975" s="845" t="s">
        <v>2564</v>
      </c>
      <c r="C10975" s="1007">
        <f t="shared" si="213"/>
        <v>56</v>
      </c>
      <c r="D10975" s="1012"/>
      <c r="I10975" s="1011" t="s">
        <v>2181</v>
      </c>
      <c r="K10975" s="1013"/>
    </row>
    <row r="10976" spans="1:11" s="1011" customFormat="1" ht="15" x14ac:dyDescent="0.25">
      <c r="A10976" s="859">
        <f t="shared" si="214"/>
        <v>10975</v>
      </c>
      <c r="B10976" s="845" t="s">
        <v>2564</v>
      </c>
      <c r="C10976" s="1007">
        <f t="shared" si="213"/>
        <v>56</v>
      </c>
      <c r="D10976" s="1012"/>
      <c r="I10976" s="1011" t="str">
        <f>CONCATENATE("&lt;valeur&gt;",VLOOKUP(C10976,'T16 Amort'!A:K,9,0),"&lt;/valeur&gt;")</f>
        <v>&lt;valeur&gt;&lt;/valeur&gt;</v>
      </c>
      <c r="K10976" s="1013"/>
    </row>
    <row r="10977" spans="1:11" s="1011" customFormat="1" ht="15" x14ac:dyDescent="0.25">
      <c r="A10977" s="859">
        <f t="shared" si="214"/>
        <v>10976</v>
      </c>
      <c r="B10977" s="845" t="s">
        <v>2564</v>
      </c>
      <c r="C10977" s="1007">
        <f t="shared" si="213"/>
        <v>56</v>
      </c>
      <c r="D10977" s="1014"/>
      <c r="I10977" s="1011" t="str">
        <f>CONCATENATE("&lt;numeroLigne&gt;",C10977,"&lt;/numeroLigne&gt;")</f>
        <v>&lt;numeroLigne&gt;56&lt;/numeroLigne&gt;</v>
      </c>
      <c r="K10977" s="1013"/>
    </row>
    <row r="10978" spans="1:11" s="1011" customFormat="1" ht="15" x14ac:dyDescent="0.25">
      <c r="A10978" s="859">
        <f t="shared" si="214"/>
        <v>10977</v>
      </c>
      <c r="B10978" s="845" t="s">
        <v>2564</v>
      </c>
      <c r="C10978" s="1007">
        <f t="shared" si="213"/>
        <v>56</v>
      </c>
      <c r="D10978" s="1014"/>
      <c r="H10978" s="1011" t="s">
        <v>1010</v>
      </c>
      <c r="K10978" s="1013"/>
    </row>
    <row r="10979" spans="1:11" s="1011" customFormat="1" ht="15" x14ac:dyDescent="0.25">
      <c r="A10979" s="859">
        <f t="shared" si="214"/>
        <v>10978</v>
      </c>
      <c r="B10979" s="845" t="s">
        <v>2564</v>
      </c>
      <c r="C10979" s="1007">
        <f t="shared" si="213"/>
        <v>56</v>
      </c>
      <c r="D10979" s="1012"/>
      <c r="H10979" s="1011" t="s">
        <v>1007</v>
      </c>
      <c r="K10979" s="1013"/>
    </row>
    <row r="10980" spans="1:11" s="1011" customFormat="1" ht="15" x14ac:dyDescent="0.25">
      <c r="A10980" s="859">
        <f t="shared" si="214"/>
        <v>10979</v>
      </c>
      <c r="B10980" s="845" t="s">
        <v>2564</v>
      </c>
      <c r="C10980" s="1007">
        <f t="shared" si="213"/>
        <v>56</v>
      </c>
      <c r="D10980" s="1015"/>
      <c r="I10980" s="1011" t="s">
        <v>2182</v>
      </c>
      <c r="K10980" s="1013"/>
    </row>
    <row r="10981" spans="1:11" s="1011" customFormat="1" ht="15" x14ac:dyDescent="0.25">
      <c r="A10981" s="859">
        <f t="shared" si="214"/>
        <v>10980</v>
      </c>
      <c r="B10981" s="845" t="s">
        <v>2564</v>
      </c>
      <c r="C10981" s="1007">
        <f t="shared" si="213"/>
        <v>56</v>
      </c>
      <c r="D10981" s="1012"/>
      <c r="I10981" s="1011" t="str">
        <f>CONCATENATE("&lt;valeur&gt;",VLOOKUP(C10981,'T16 Amort'!A:K,10,0),"&lt;/valeur&gt;")</f>
        <v>&lt;valeur&gt;&lt;/valeur&gt;</v>
      </c>
      <c r="K10981" s="1013"/>
    </row>
    <row r="10982" spans="1:11" s="1011" customFormat="1" ht="15" x14ac:dyDescent="0.25">
      <c r="A10982" s="859">
        <f t="shared" si="214"/>
        <v>10981</v>
      </c>
      <c r="B10982" s="845" t="s">
        <v>2564</v>
      </c>
      <c r="C10982" s="1007">
        <f t="shared" si="213"/>
        <v>56</v>
      </c>
      <c r="D10982" s="1012"/>
      <c r="I10982" s="1011" t="str">
        <f>CONCATENATE("&lt;numeroLigne&gt;",C10982,"&lt;/numeroLigne&gt;")</f>
        <v>&lt;numeroLigne&gt;56&lt;/numeroLigne&gt;</v>
      </c>
      <c r="K10982" s="1013"/>
    </row>
    <row r="10983" spans="1:11" s="1011" customFormat="1" ht="15" x14ac:dyDescent="0.25">
      <c r="A10983" s="859">
        <f t="shared" si="214"/>
        <v>10982</v>
      </c>
      <c r="B10983" s="845" t="s">
        <v>2564</v>
      </c>
      <c r="C10983" s="1007">
        <f t="shared" si="213"/>
        <v>56</v>
      </c>
      <c r="D10983" s="1014"/>
      <c r="H10983" s="1011" t="s">
        <v>1010</v>
      </c>
      <c r="K10983" s="1013"/>
    </row>
    <row r="10984" spans="1:11" s="1011" customFormat="1" ht="15" x14ac:dyDescent="0.25">
      <c r="A10984" s="859">
        <f t="shared" si="214"/>
        <v>10983</v>
      </c>
      <c r="B10984" s="845" t="s">
        <v>2564</v>
      </c>
      <c r="C10984" s="1007">
        <f t="shared" si="213"/>
        <v>56</v>
      </c>
      <c r="D10984" s="1014"/>
      <c r="H10984" s="1011" t="s">
        <v>1007</v>
      </c>
      <c r="K10984" s="1013"/>
    </row>
    <row r="10985" spans="1:11" s="1011" customFormat="1" ht="15" x14ac:dyDescent="0.25">
      <c r="A10985" s="859">
        <f t="shared" si="214"/>
        <v>10984</v>
      </c>
      <c r="B10985" s="845" t="s">
        <v>2564</v>
      </c>
      <c r="C10985" s="1007">
        <f t="shared" si="213"/>
        <v>56</v>
      </c>
      <c r="D10985" s="1012"/>
      <c r="I10985" s="1011" t="s">
        <v>2183</v>
      </c>
      <c r="K10985" s="1013"/>
    </row>
    <row r="10986" spans="1:11" s="1011" customFormat="1" ht="15" x14ac:dyDescent="0.25">
      <c r="A10986" s="859">
        <f t="shared" si="214"/>
        <v>10985</v>
      </c>
      <c r="B10986" s="845" t="s">
        <v>2564</v>
      </c>
      <c r="C10986" s="1007">
        <f t="shared" si="213"/>
        <v>56</v>
      </c>
      <c r="D10986" s="1015"/>
      <c r="I10986" s="1011" t="str">
        <f>CONCATENATE("&lt;valeur&gt;",VLOOKUP(C10986,'T16 Amort'!A:K,11,0),"&lt;/valeur&gt;")</f>
        <v>&lt;valeur&gt;&lt;/valeur&gt;</v>
      </c>
      <c r="K10986" s="1013"/>
    </row>
    <row r="10987" spans="1:11" s="1011" customFormat="1" ht="15" x14ac:dyDescent="0.25">
      <c r="A10987" s="859">
        <f t="shared" si="214"/>
        <v>10986</v>
      </c>
      <c r="B10987" s="845" t="s">
        <v>2564</v>
      </c>
      <c r="C10987" s="1007">
        <f t="shared" si="213"/>
        <v>56</v>
      </c>
      <c r="D10987" s="1012"/>
      <c r="I10987" s="1011" t="str">
        <f>CONCATENATE("&lt;numeroLigne&gt;",C10987,"&lt;/numeroLigne&gt;")</f>
        <v>&lt;numeroLigne&gt;56&lt;/numeroLigne&gt;</v>
      </c>
      <c r="K10987" s="1013"/>
    </row>
    <row r="10988" spans="1:11" s="1011" customFormat="1" ht="15" x14ac:dyDescent="0.25">
      <c r="A10988" s="859">
        <f t="shared" si="214"/>
        <v>10987</v>
      </c>
      <c r="B10988" s="845" t="s">
        <v>2564</v>
      </c>
      <c r="C10988" s="1007">
        <f t="shared" si="213"/>
        <v>56</v>
      </c>
      <c r="D10988" s="1016"/>
      <c r="E10988" s="1017"/>
      <c r="F10988" s="1017"/>
      <c r="G10988" s="1017"/>
      <c r="H10988" s="1017" t="s">
        <v>1010</v>
      </c>
      <c r="I10988" s="1017"/>
      <c r="J10988" s="1017"/>
      <c r="K10988" s="1018"/>
    </row>
    <row r="10989" spans="1:11" s="1011" customFormat="1" ht="15" x14ac:dyDescent="0.25">
      <c r="A10989" s="859">
        <f t="shared" si="214"/>
        <v>10988</v>
      </c>
      <c r="B10989" s="845" t="s">
        <v>2564</v>
      </c>
      <c r="C10989" s="1007">
        <f t="shared" si="213"/>
        <v>57</v>
      </c>
      <c r="D10989" s="1008"/>
      <c r="E10989" s="1009"/>
      <c r="F10989" s="1009"/>
      <c r="G10989" s="1009"/>
      <c r="H10989" s="1009" t="s">
        <v>1007</v>
      </c>
      <c r="I10989" s="1009"/>
      <c r="J10989" s="1009"/>
      <c r="K10989" s="1010"/>
    </row>
    <row r="10990" spans="1:11" s="1011" customFormat="1" ht="15" x14ac:dyDescent="0.25">
      <c r="A10990" s="859">
        <f t="shared" si="214"/>
        <v>10989</v>
      </c>
      <c r="B10990" s="845" t="s">
        <v>2564</v>
      </c>
      <c r="C10990" s="1007">
        <f t="shared" si="213"/>
        <v>57</v>
      </c>
      <c r="D10990" s="1012"/>
      <c r="I10990" s="1011" t="s">
        <v>2174</v>
      </c>
      <c r="K10990" s="1013"/>
    </row>
    <row r="10991" spans="1:11" s="1011" customFormat="1" ht="15" x14ac:dyDescent="0.25">
      <c r="A10991" s="859">
        <f t="shared" si="214"/>
        <v>10990</v>
      </c>
      <c r="B10991" s="845" t="s">
        <v>2564</v>
      </c>
      <c r="C10991" s="1007">
        <f t="shared" ref="C10991:C11054" si="215">C10941+1</f>
        <v>57</v>
      </c>
      <c r="D10991" s="1014"/>
      <c r="I10991" s="1011" t="str">
        <f>CONCATENATE("&lt;valeur&gt;",VLOOKUP(C10991,'T16 Amort'!A:K,2,0),"&lt;/valeur&gt;")</f>
        <v>&lt;valeur&gt;&lt;/valeur&gt;</v>
      </c>
      <c r="K10991" s="1013"/>
    </row>
    <row r="10992" spans="1:11" s="1011" customFormat="1" ht="15" x14ac:dyDescent="0.25">
      <c r="A10992" s="859">
        <f t="shared" si="214"/>
        <v>10991</v>
      </c>
      <c r="B10992" s="845" t="s">
        <v>2564</v>
      </c>
      <c r="C10992" s="1007">
        <f t="shared" si="215"/>
        <v>57</v>
      </c>
      <c r="D10992" s="1014"/>
      <c r="I10992" s="1011" t="str">
        <f>CONCATENATE("&lt;numeroLigne&gt;",C10992,"&lt;/numeroLigne&gt;")</f>
        <v>&lt;numeroLigne&gt;57&lt;/numeroLigne&gt;</v>
      </c>
      <c r="K10992" s="1013"/>
    </row>
    <row r="10993" spans="1:11" s="1011" customFormat="1" ht="15" x14ac:dyDescent="0.25">
      <c r="A10993" s="859">
        <f t="shared" si="214"/>
        <v>10992</v>
      </c>
      <c r="B10993" s="845" t="s">
        <v>2564</v>
      </c>
      <c r="C10993" s="1007">
        <f t="shared" si="215"/>
        <v>57</v>
      </c>
      <c r="D10993" s="1012"/>
      <c r="H10993" s="1011" t="s">
        <v>1010</v>
      </c>
      <c r="K10993" s="1013"/>
    </row>
    <row r="10994" spans="1:11" s="1011" customFormat="1" ht="15" x14ac:dyDescent="0.25">
      <c r="A10994" s="859">
        <f t="shared" si="214"/>
        <v>10993</v>
      </c>
      <c r="B10994" s="845" t="s">
        <v>2564</v>
      </c>
      <c r="C10994" s="1007">
        <f t="shared" si="215"/>
        <v>57</v>
      </c>
      <c r="D10994" s="1015"/>
      <c r="H10994" s="1011" t="s">
        <v>1007</v>
      </c>
      <c r="K10994" s="1013"/>
    </row>
    <row r="10995" spans="1:11" s="1011" customFormat="1" ht="15" x14ac:dyDescent="0.25">
      <c r="A10995" s="859">
        <f t="shared" si="214"/>
        <v>10994</v>
      </c>
      <c r="B10995" s="845" t="s">
        <v>2564</v>
      </c>
      <c r="C10995" s="1007">
        <f t="shared" si="215"/>
        <v>57</v>
      </c>
      <c r="D10995" s="1012"/>
      <c r="I10995" s="1011" t="s">
        <v>2175</v>
      </c>
      <c r="K10995" s="1013"/>
    </row>
    <row r="10996" spans="1:11" s="1011" customFormat="1" ht="15" x14ac:dyDescent="0.25">
      <c r="A10996" s="859">
        <f t="shared" si="214"/>
        <v>10995</v>
      </c>
      <c r="B10996" s="845" t="s">
        <v>2564</v>
      </c>
      <c r="C10996" s="1007">
        <f t="shared" si="215"/>
        <v>57</v>
      </c>
      <c r="D10996" s="1012"/>
      <c r="I10996" s="1011" t="str">
        <f>CONCATENATE("&lt;valeur&gt;",VLOOKUP(C10996,'T16 Amort'!A:K,3,0),"&lt;/valeur&gt;")</f>
        <v>&lt;valeur&gt;&lt;/valeur&gt;</v>
      </c>
      <c r="K10996" s="1013"/>
    </row>
    <row r="10997" spans="1:11" s="1011" customFormat="1" ht="15" x14ac:dyDescent="0.25">
      <c r="A10997" s="859">
        <f t="shared" si="214"/>
        <v>10996</v>
      </c>
      <c r="B10997" s="845" t="s">
        <v>2564</v>
      </c>
      <c r="C10997" s="1007">
        <f t="shared" si="215"/>
        <v>57</v>
      </c>
      <c r="D10997" s="1014"/>
      <c r="I10997" s="1011" t="str">
        <f>CONCATENATE("&lt;numeroLigne&gt;",C10997,"&lt;/numeroLigne&gt;")</f>
        <v>&lt;numeroLigne&gt;57&lt;/numeroLigne&gt;</v>
      </c>
      <c r="K10997" s="1013"/>
    </row>
    <row r="10998" spans="1:11" s="1011" customFormat="1" ht="15" x14ac:dyDescent="0.25">
      <c r="A10998" s="859">
        <f t="shared" si="214"/>
        <v>10997</v>
      </c>
      <c r="B10998" s="845" t="s">
        <v>2564</v>
      </c>
      <c r="C10998" s="1007">
        <f t="shared" si="215"/>
        <v>57</v>
      </c>
      <c r="D10998" s="1014"/>
      <c r="H10998" s="1011" t="s">
        <v>1010</v>
      </c>
      <c r="K10998" s="1013"/>
    </row>
    <row r="10999" spans="1:11" s="1011" customFormat="1" ht="15" x14ac:dyDescent="0.25">
      <c r="A10999" s="859">
        <f t="shared" si="214"/>
        <v>10998</v>
      </c>
      <c r="B10999" s="845" t="s">
        <v>2564</v>
      </c>
      <c r="C10999" s="1007">
        <f t="shared" si="215"/>
        <v>57</v>
      </c>
      <c r="D10999" s="1012"/>
      <c r="H10999" s="1011" t="s">
        <v>1007</v>
      </c>
      <c r="K10999" s="1013"/>
    </row>
    <row r="11000" spans="1:11" s="1011" customFormat="1" ht="15" x14ac:dyDescent="0.25">
      <c r="A11000" s="859">
        <f t="shared" si="214"/>
        <v>10999</v>
      </c>
      <c r="B11000" s="845" t="s">
        <v>2564</v>
      </c>
      <c r="C11000" s="1007">
        <f t="shared" si="215"/>
        <v>57</v>
      </c>
      <c r="D11000" s="1015"/>
      <c r="I11000" s="1011" t="s">
        <v>2176</v>
      </c>
      <c r="K11000" s="1013"/>
    </row>
    <row r="11001" spans="1:11" s="1011" customFormat="1" ht="15" x14ac:dyDescent="0.25">
      <c r="A11001" s="859">
        <f t="shared" si="214"/>
        <v>11000</v>
      </c>
      <c r="B11001" s="845" t="s">
        <v>2564</v>
      </c>
      <c r="C11001" s="1007">
        <f t="shared" si="215"/>
        <v>57</v>
      </c>
      <c r="D11001" s="1012"/>
      <c r="I11001" s="1011" t="str">
        <f>CONCATENATE("&lt;valeur&gt;",VLOOKUP(C11001,'T16 Amort'!A:K,4,0),"&lt;/valeur&gt;")</f>
        <v>&lt;valeur&gt;&lt;/valeur&gt;</v>
      </c>
      <c r="K11001" s="1013"/>
    </row>
    <row r="11002" spans="1:11" s="1011" customFormat="1" ht="15" x14ac:dyDescent="0.25">
      <c r="A11002" s="859">
        <f t="shared" si="214"/>
        <v>11001</v>
      </c>
      <c r="B11002" s="845" t="s">
        <v>2564</v>
      </c>
      <c r="C11002" s="1007">
        <f t="shared" si="215"/>
        <v>57</v>
      </c>
      <c r="D11002" s="1012"/>
      <c r="I11002" s="1011" t="str">
        <f>CONCATENATE("&lt;numeroLigne&gt;",C11002,"&lt;/numeroLigne&gt;")</f>
        <v>&lt;numeroLigne&gt;57&lt;/numeroLigne&gt;</v>
      </c>
      <c r="K11002" s="1013"/>
    </row>
    <row r="11003" spans="1:11" s="1011" customFormat="1" ht="15" x14ac:dyDescent="0.25">
      <c r="A11003" s="859">
        <f t="shared" si="214"/>
        <v>11002</v>
      </c>
      <c r="B11003" s="845" t="s">
        <v>2564</v>
      </c>
      <c r="C11003" s="1007">
        <f t="shared" si="215"/>
        <v>57</v>
      </c>
      <c r="D11003" s="1014"/>
      <c r="H11003" s="1011" t="s">
        <v>1010</v>
      </c>
      <c r="K11003" s="1013"/>
    </row>
    <row r="11004" spans="1:11" s="1011" customFormat="1" ht="15" x14ac:dyDescent="0.25">
      <c r="A11004" s="859">
        <f t="shared" si="214"/>
        <v>11003</v>
      </c>
      <c r="B11004" s="845" t="s">
        <v>2564</v>
      </c>
      <c r="C11004" s="1007">
        <f t="shared" si="215"/>
        <v>57</v>
      </c>
      <c r="D11004" s="1014"/>
      <c r="H11004" s="1011" t="s">
        <v>1007</v>
      </c>
      <c r="K11004" s="1013"/>
    </row>
    <row r="11005" spans="1:11" s="1011" customFormat="1" ht="15" x14ac:dyDescent="0.25">
      <c r="A11005" s="859">
        <f t="shared" si="214"/>
        <v>11004</v>
      </c>
      <c r="B11005" s="845" t="s">
        <v>2564</v>
      </c>
      <c r="C11005" s="1007">
        <f t="shared" si="215"/>
        <v>57</v>
      </c>
      <c r="D11005" s="1012"/>
      <c r="I11005" s="1011" t="s">
        <v>2177</v>
      </c>
      <c r="K11005" s="1013"/>
    </row>
    <row r="11006" spans="1:11" s="1011" customFormat="1" ht="15" x14ac:dyDescent="0.25">
      <c r="A11006" s="859">
        <f t="shared" si="214"/>
        <v>11005</v>
      </c>
      <c r="B11006" s="845" t="s">
        <v>2564</v>
      </c>
      <c r="C11006" s="1007">
        <f t="shared" si="215"/>
        <v>57</v>
      </c>
      <c r="D11006" s="1015"/>
      <c r="I11006" s="1011" t="str">
        <f>CONCATENATE("&lt;valeur&gt;",VLOOKUP(C11006,'T16 Amort'!A:K,5,0),"&lt;/valeur&gt;")</f>
        <v>&lt;valeur&gt;&lt;/valeur&gt;</v>
      </c>
      <c r="K11006" s="1013"/>
    </row>
    <row r="11007" spans="1:11" s="1011" customFormat="1" ht="15" x14ac:dyDescent="0.25">
      <c r="A11007" s="859">
        <f t="shared" si="214"/>
        <v>11006</v>
      </c>
      <c r="B11007" s="845" t="s">
        <v>2564</v>
      </c>
      <c r="C11007" s="1007">
        <f t="shared" si="215"/>
        <v>57</v>
      </c>
      <c r="D11007" s="1012"/>
      <c r="I11007" s="1011" t="str">
        <f>CONCATENATE("&lt;numeroLigne&gt;",C11007,"&lt;/numeroLigne&gt;")</f>
        <v>&lt;numeroLigne&gt;57&lt;/numeroLigne&gt;</v>
      </c>
      <c r="K11007" s="1013"/>
    </row>
    <row r="11008" spans="1:11" s="1011" customFormat="1" ht="15" x14ac:dyDescent="0.25">
      <c r="A11008" s="859">
        <f t="shared" si="214"/>
        <v>11007</v>
      </c>
      <c r="B11008" s="845" t="s">
        <v>2564</v>
      </c>
      <c r="C11008" s="1007">
        <f t="shared" si="215"/>
        <v>57</v>
      </c>
      <c r="D11008" s="1012"/>
      <c r="H11008" s="1011" t="s">
        <v>1010</v>
      </c>
      <c r="K11008" s="1013"/>
    </row>
    <row r="11009" spans="1:11" s="1011" customFormat="1" ht="15" x14ac:dyDescent="0.25">
      <c r="A11009" s="859">
        <f t="shared" si="214"/>
        <v>11008</v>
      </c>
      <c r="B11009" s="845" t="s">
        <v>2564</v>
      </c>
      <c r="C11009" s="1007">
        <f t="shared" si="215"/>
        <v>57</v>
      </c>
      <c r="D11009" s="1014"/>
      <c r="H11009" s="1011" t="s">
        <v>1007</v>
      </c>
      <c r="K11009" s="1013"/>
    </row>
    <row r="11010" spans="1:11" s="1011" customFormat="1" ht="15" x14ac:dyDescent="0.25">
      <c r="A11010" s="859">
        <f t="shared" si="214"/>
        <v>11009</v>
      </c>
      <c r="B11010" s="845" t="s">
        <v>2564</v>
      </c>
      <c r="C11010" s="1007">
        <f t="shared" si="215"/>
        <v>57</v>
      </c>
      <c r="D11010" s="1014"/>
      <c r="I11010" s="1011" t="s">
        <v>2178</v>
      </c>
      <c r="K11010" s="1013"/>
    </row>
    <row r="11011" spans="1:11" s="1011" customFormat="1" ht="15" x14ac:dyDescent="0.25">
      <c r="A11011" s="859">
        <f t="shared" si="214"/>
        <v>11010</v>
      </c>
      <c r="B11011" s="845" t="s">
        <v>2564</v>
      </c>
      <c r="C11011" s="1007">
        <f t="shared" si="215"/>
        <v>57</v>
      </c>
      <c r="D11011" s="1012"/>
      <c r="I11011" s="1011" t="str">
        <f>CONCATENATE("&lt;valeur&gt;",VLOOKUP(C11011,'T16 Amort'!A:K,6,0),"&lt;/valeur&gt;")</f>
        <v>&lt;valeur&gt;&lt;/valeur&gt;</v>
      </c>
      <c r="K11011" s="1013"/>
    </row>
    <row r="11012" spans="1:11" s="1011" customFormat="1" ht="15" x14ac:dyDescent="0.25">
      <c r="A11012" s="859">
        <f t="shared" ref="A11012:A11075" si="216">+A11011+1</f>
        <v>11011</v>
      </c>
      <c r="B11012" s="845" t="s">
        <v>2564</v>
      </c>
      <c r="C11012" s="1007">
        <f t="shared" si="215"/>
        <v>57</v>
      </c>
      <c r="D11012" s="1015"/>
      <c r="I11012" s="1011" t="str">
        <f>CONCATENATE("&lt;numeroLigne&gt;",C11012,"&lt;/numeroLigne&gt;")</f>
        <v>&lt;numeroLigne&gt;57&lt;/numeroLigne&gt;</v>
      </c>
      <c r="K11012" s="1013"/>
    </row>
    <row r="11013" spans="1:11" s="1011" customFormat="1" ht="15" x14ac:dyDescent="0.25">
      <c r="A11013" s="859">
        <f t="shared" si="216"/>
        <v>11012</v>
      </c>
      <c r="B11013" s="845" t="s">
        <v>2564</v>
      </c>
      <c r="C11013" s="1007">
        <f t="shared" si="215"/>
        <v>57</v>
      </c>
      <c r="D11013" s="1012"/>
      <c r="H11013" s="1011" t="s">
        <v>1010</v>
      </c>
      <c r="K11013" s="1013"/>
    </row>
    <row r="11014" spans="1:11" s="1011" customFormat="1" ht="15" x14ac:dyDescent="0.25">
      <c r="A11014" s="859">
        <f t="shared" si="216"/>
        <v>11013</v>
      </c>
      <c r="B11014" s="845" t="s">
        <v>2564</v>
      </c>
      <c r="C11014" s="1007">
        <f t="shared" si="215"/>
        <v>57</v>
      </c>
      <c r="D11014" s="1012"/>
      <c r="H11014" s="1011" t="s">
        <v>1007</v>
      </c>
      <c r="K11014" s="1013"/>
    </row>
    <row r="11015" spans="1:11" s="1011" customFormat="1" ht="15" x14ac:dyDescent="0.25">
      <c r="A11015" s="859">
        <f t="shared" si="216"/>
        <v>11014</v>
      </c>
      <c r="B11015" s="845" t="s">
        <v>2564</v>
      </c>
      <c r="C11015" s="1007">
        <f t="shared" si="215"/>
        <v>57</v>
      </c>
      <c r="D11015" s="1014"/>
      <c r="I11015" s="1011" t="s">
        <v>2179</v>
      </c>
      <c r="K11015" s="1013"/>
    </row>
    <row r="11016" spans="1:11" s="1011" customFormat="1" ht="15" x14ac:dyDescent="0.25">
      <c r="A11016" s="859">
        <f t="shared" si="216"/>
        <v>11015</v>
      </c>
      <c r="B11016" s="845" t="s">
        <v>2564</v>
      </c>
      <c r="C11016" s="1007">
        <f t="shared" si="215"/>
        <v>57</v>
      </c>
      <c r="D11016" s="1014"/>
      <c r="I11016" s="1011" t="str">
        <f>CONCATENATE("&lt;valeur&gt;",VLOOKUP(C11016,'T16 Amort'!A:K,7,0),"&lt;/valeur&gt;")</f>
        <v>&lt;valeur&gt;&lt;/valeur&gt;</v>
      </c>
      <c r="K11016" s="1013"/>
    </row>
    <row r="11017" spans="1:11" s="1011" customFormat="1" ht="15" x14ac:dyDescent="0.25">
      <c r="A11017" s="859">
        <f t="shared" si="216"/>
        <v>11016</v>
      </c>
      <c r="B11017" s="845" t="s">
        <v>2564</v>
      </c>
      <c r="C11017" s="1007">
        <f t="shared" si="215"/>
        <v>57</v>
      </c>
      <c r="D11017" s="1012"/>
      <c r="I11017" s="1011" t="str">
        <f>CONCATENATE("&lt;numeroLigne&gt;",C11017,"&lt;/numeroLigne&gt;")</f>
        <v>&lt;numeroLigne&gt;57&lt;/numeroLigne&gt;</v>
      </c>
      <c r="K11017" s="1013"/>
    </row>
    <row r="11018" spans="1:11" s="1011" customFormat="1" ht="15" x14ac:dyDescent="0.25">
      <c r="A11018" s="859">
        <f t="shared" si="216"/>
        <v>11017</v>
      </c>
      <c r="B11018" s="845" t="s">
        <v>2564</v>
      </c>
      <c r="C11018" s="1007">
        <f t="shared" si="215"/>
        <v>57</v>
      </c>
      <c r="D11018" s="1015"/>
      <c r="H11018" s="1011" t="s">
        <v>1010</v>
      </c>
      <c r="K11018" s="1013"/>
    </row>
    <row r="11019" spans="1:11" s="1011" customFormat="1" ht="15" x14ac:dyDescent="0.25">
      <c r="A11019" s="859">
        <f t="shared" si="216"/>
        <v>11018</v>
      </c>
      <c r="B11019" s="845" t="s">
        <v>2564</v>
      </c>
      <c r="C11019" s="1007">
        <f t="shared" si="215"/>
        <v>57</v>
      </c>
      <c r="D11019" s="1012"/>
      <c r="H11019" s="1011" t="s">
        <v>1007</v>
      </c>
      <c r="K11019" s="1013"/>
    </row>
    <row r="11020" spans="1:11" s="1011" customFormat="1" ht="15" x14ac:dyDescent="0.25">
      <c r="A11020" s="859">
        <f t="shared" si="216"/>
        <v>11019</v>
      </c>
      <c r="B11020" s="845" t="s">
        <v>2564</v>
      </c>
      <c r="C11020" s="1007">
        <f t="shared" si="215"/>
        <v>57</v>
      </c>
      <c r="D11020" s="1012"/>
      <c r="I11020" s="1011" t="s">
        <v>2180</v>
      </c>
      <c r="K11020" s="1013"/>
    </row>
    <row r="11021" spans="1:11" s="1011" customFormat="1" ht="15" x14ac:dyDescent="0.25">
      <c r="A11021" s="859">
        <f t="shared" si="216"/>
        <v>11020</v>
      </c>
      <c r="B11021" s="845" t="s">
        <v>2564</v>
      </c>
      <c r="C11021" s="1007">
        <f t="shared" si="215"/>
        <v>57</v>
      </c>
      <c r="D11021" s="1014"/>
      <c r="I11021" s="1011" t="str">
        <f>CONCATENATE("&lt;valeur&gt;",VLOOKUP(C11021,'T16 Amort'!A:K,8,0),"&lt;/valeur&gt;")</f>
        <v>&lt;valeur&gt;&lt;/valeur&gt;</v>
      </c>
      <c r="K11021" s="1013"/>
    </row>
    <row r="11022" spans="1:11" s="1011" customFormat="1" ht="15" x14ac:dyDescent="0.25">
      <c r="A11022" s="859">
        <f t="shared" si="216"/>
        <v>11021</v>
      </c>
      <c r="B11022" s="845" t="s">
        <v>2564</v>
      </c>
      <c r="C11022" s="1007">
        <f t="shared" si="215"/>
        <v>57</v>
      </c>
      <c r="D11022" s="1014"/>
      <c r="I11022" s="1011" t="str">
        <f>CONCATENATE("&lt;numeroLigne&gt;",C11022,"&lt;/numeroLigne&gt;")</f>
        <v>&lt;numeroLigne&gt;57&lt;/numeroLigne&gt;</v>
      </c>
      <c r="K11022" s="1013"/>
    </row>
    <row r="11023" spans="1:11" s="1011" customFormat="1" ht="15" x14ac:dyDescent="0.25">
      <c r="A11023" s="859">
        <f t="shared" si="216"/>
        <v>11022</v>
      </c>
      <c r="B11023" s="845" t="s">
        <v>2564</v>
      </c>
      <c r="C11023" s="1007">
        <f t="shared" si="215"/>
        <v>57</v>
      </c>
      <c r="D11023" s="1012"/>
      <c r="H11023" s="1011" t="s">
        <v>1010</v>
      </c>
      <c r="K11023" s="1013"/>
    </row>
    <row r="11024" spans="1:11" s="1011" customFormat="1" ht="15" x14ac:dyDescent="0.25">
      <c r="A11024" s="859">
        <f t="shared" si="216"/>
        <v>11023</v>
      </c>
      <c r="B11024" s="845" t="s">
        <v>2564</v>
      </c>
      <c r="C11024" s="1007">
        <f t="shared" si="215"/>
        <v>57</v>
      </c>
      <c r="D11024" s="1015"/>
      <c r="H11024" s="1011" t="s">
        <v>1007</v>
      </c>
      <c r="K11024" s="1013"/>
    </row>
    <row r="11025" spans="1:11" s="1011" customFormat="1" ht="15" x14ac:dyDescent="0.25">
      <c r="A11025" s="859">
        <f t="shared" si="216"/>
        <v>11024</v>
      </c>
      <c r="B11025" s="845" t="s">
        <v>2564</v>
      </c>
      <c r="C11025" s="1007">
        <f t="shared" si="215"/>
        <v>57</v>
      </c>
      <c r="D11025" s="1012"/>
      <c r="I11025" s="1011" t="s">
        <v>2181</v>
      </c>
      <c r="K11025" s="1013"/>
    </row>
    <row r="11026" spans="1:11" s="1011" customFormat="1" ht="15" x14ac:dyDescent="0.25">
      <c r="A11026" s="859">
        <f t="shared" si="216"/>
        <v>11025</v>
      </c>
      <c r="B11026" s="845" t="s">
        <v>2564</v>
      </c>
      <c r="C11026" s="1007">
        <f t="shared" si="215"/>
        <v>57</v>
      </c>
      <c r="D11026" s="1012"/>
      <c r="I11026" s="1011" t="str">
        <f>CONCATENATE("&lt;valeur&gt;",VLOOKUP(C11026,'T16 Amort'!A:K,9,0),"&lt;/valeur&gt;")</f>
        <v>&lt;valeur&gt;&lt;/valeur&gt;</v>
      </c>
      <c r="K11026" s="1013"/>
    </row>
    <row r="11027" spans="1:11" s="1011" customFormat="1" ht="15" x14ac:dyDescent="0.25">
      <c r="A11027" s="859">
        <f t="shared" si="216"/>
        <v>11026</v>
      </c>
      <c r="B11027" s="845" t="s">
        <v>2564</v>
      </c>
      <c r="C11027" s="1007">
        <f t="shared" si="215"/>
        <v>57</v>
      </c>
      <c r="D11027" s="1014"/>
      <c r="I11027" s="1011" t="str">
        <f>CONCATENATE("&lt;numeroLigne&gt;",C11027,"&lt;/numeroLigne&gt;")</f>
        <v>&lt;numeroLigne&gt;57&lt;/numeroLigne&gt;</v>
      </c>
      <c r="K11027" s="1013"/>
    </row>
    <row r="11028" spans="1:11" s="1011" customFormat="1" ht="15" x14ac:dyDescent="0.25">
      <c r="A11028" s="859">
        <f t="shared" si="216"/>
        <v>11027</v>
      </c>
      <c r="B11028" s="845" t="s">
        <v>2564</v>
      </c>
      <c r="C11028" s="1007">
        <f t="shared" si="215"/>
        <v>57</v>
      </c>
      <c r="D11028" s="1014"/>
      <c r="H11028" s="1011" t="s">
        <v>1010</v>
      </c>
      <c r="K11028" s="1013"/>
    </row>
    <row r="11029" spans="1:11" s="1011" customFormat="1" ht="15" x14ac:dyDescent="0.25">
      <c r="A11029" s="859">
        <f t="shared" si="216"/>
        <v>11028</v>
      </c>
      <c r="B11029" s="845" t="s">
        <v>2564</v>
      </c>
      <c r="C11029" s="1007">
        <f t="shared" si="215"/>
        <v>57</v>
      </c>
      <c r="D11029" s="1012"/>
      <c r="H11029" s="1011" t="s">
        <v>1007</v>
      </c>
      <c r="K11029" s="1013"/>
    </row>
    <row r="11030" spans="1:11" s="1011" customFormat="1" ht="15" x14ac:dyDescent="0.25">
      <c r="A11030" s="859">
        <f t="shared" si="216"/>
        <v>11029</v>
      </c>
      <c r="B11030" s="845" t="s">
        <v>2564</v>
      </c>
      <c r="C11030" s="1007">
        <f t="shared" si="215"/>
        <v>57</v>
      </c>
      <c r="D11030" s="1015"/>
      <c r="I11030" s="1011" t="s">
        <v>2182</v>
      </c>
      <c r="K11030" s="1013"/>
    </row>
    <row r="11031" spans="1:11" s="1011" customFormat="1" ht="15" x14ac:dyDescent="0.25">
      <c r="A11031" s="859">
        <f t="shared" si="216"/>
        <v>11030</v>
      </c>
      <c r="B11031" s="845" t="s">
        <v>2564</v>
      </c>
      <c r="C11031" s="1007">
        <f t="shared" si="215"/>
        <v>57</v>
      </c>
      <c r="D11031" s="1012"/>
      <c r="I11031" s="1011" t="str">
        <f>CONCATENATE("&lt;valeur&gt;",VLOOKUP(C11031,'T16 Amort'!A:K,10,0),"&lt;/valeur&gt;")</f>
        <v>&lt;valeur&gt;&lt;/valeur&gt;</v>
      </c>
      <c r="K11031" s="1013"/>
    </row>
    <row r="11032" spans="1:11" s="1011" customFormat="1" ht="15" x14ac:dyDescent="0.25">
      <c r="A11032" s="859">
        <f t="shared" si="216"/>
        <v>11031</v>
      </c>
      <c r="B11032" s="845" t="s">
        <v>2564</v>
      </c>
      <c r="C11032" s="1007">
        <f t="shared" si="215"/>
        <v>57</v>
      </c>
      <c r="D11032" s="1012"/>
      <c r="I11032" s="1011" t="str">
        <f>CONCATENATE("&lt;numeroLigne&gt;",C11032,"&lt;/numeroLigne&gt;")</f>
        <v>&lt;numeroLigne&gt;57&lt;/numeroLigne&gt;</v>
      </c>
      <c r="K11032" s="1013"/>
    </row>
    <row r="11033" spans="1:11" s="1011" customFormat="1" ht="15" x14ac:dyDescent="0.25">
      <c r="A11033" s="859">
        <f t="shared" si="216"/>
        <v>11032</v>
      </c>
      <c r="B11033" s="845" t="s">
        <v>2564</v>
      </c>
      <c r="C11033" s="1007">
        <f t="shared" si="215"/>
        <v>57</v>
      </c>
      <c r="D11033" s="1014"/>
      <c r="H11033" s="1011" t="s">
        <v>1010</v>
      </c>
      <c r="K11033" s="1013"/>
    </row>
    <row r="11034" spans="1:11" s="1011" customFormat="1" ht="15" x14ac:dyDescent="0.25">
      <c r="A11034" s="859">
        <f t="shared" si="216"/>
        <v>11033</v>
      </c>
      <c r="B11034" s="845" t="s">
        <v>2564</v>
      </c>
      <c r="C11034" s="1007">
        <f t="shared" si="215"/>
        <v>57</v>
      </c>
      <c r="D11034" s="1014"/>
      <c r="H11034" s="1011" t="s">
        <v>1007</v>
      </c>
      <c r="K11034" s="1013"/>
    </row>
    <row r="11035" spans="1:11" s="1011" customFormat="1" ht="15" x14ac:dyDescent="0.25">
      <c r="A11035" s="859">
        <f t="shared" si="216"/>
        <v>11034</v>
      </c>
      <c r="B11035" s="845" t="s">
        <v>2564</v>
      </c>
      <c r="C11035" s="1007">
        <f t="shared" si="215"/>
        <v>57</v>
      </c>
      <c r="D11035" s="1012"/>
      <c r="I11035" s="1011" t="s">
        <v>2183</v>
      </c>
      <c r="K11035" s="1013"/>
    </row>
    <row r="11036" spans="1:11" s="1011" customFormat="1" ht="15" x14ac:dyDescent="0.25">
      <c r="A11036" s="859">
        <f t="shared" si="216"/>
        <v>11035</v>
      </c>
      <c r="B11036" s="845" t="s">
        <v>2564</v>
      </c>
      <c r="C11036" s="1007">
        <f t="shared" si="215"/>
        <v>57</v>
      </c>
      <c r="D11036" s="1015"/>
      <c r="I11036" s="1011" t="str">
        <f>CONCATENATE("&lt;valeur&gt;",VLOOKUP(C11036,'T16 Amort'!A:K,11,0),"&lt;/valeur&gt;")</f>
        <v>&lt;valeur&gt;&lt;/valeur&gt;</v>
      </c>
      <c r="K11036" s="1013"/>
    </row>
    <row r="11037" spans="1:11" s="1011" customFormat="1" ht="15" x14ac:dyDescent="0.25">
      <c r="A11037" s="859">
        <f t="shared" si="216"/>
        <v>11036</v>
      </c>
      <c r="B11037" s="845" t="s">
        <v>2564</v>
      </c>
      <c r="C11037" s="1007">
        <f t="shared" si="215"/>
        <v>57</v>
      </c>
      <c r="D11037" s="1012"/>
      <c r="I11037" s="1011" t="str">
        <f>CONCATENATE("&lt;numeroLigne&gt;",C11037,"&lt;/numeroLigne&gt;")</f>
        <v>&lt;numeroLigne&gt;57&lt;/numeroLigne&gt;</v>
      </c>
      <c r="K11037" s="1013"/>
    </row>
    <row r="11038" spans="1:11" s="1011" customFormat="1" ht="15" x14ac:dyDescent="0.25">
      <c r="A11038" s="859">
        <f t="shared" si="216"/>
        <v>11037</v>
      </c>
      <c r="B11038" s="845" t="s">
        <v>2564</v>
      </c>
      <c r="C11038" s="1007">
        <f t="shared" si="215"/>
        <v>57</v>
      </c>
      <c r="D11038" s="1016"/>
      <c r="E11038" s="1017"/>
      <c r="F11038" s="1017"/>
      <c r="G11038" s="1017"/>
      <c r="H11038" s="1017" t="s">
        <v>1010</v>
      </c>
      <c r="I11038" s="1017"/>
      <c r="J11038" s="1017"/>
      <c r="K11038" s="1018"/>
    </row>
    <row r="11039" spans="1:11" s="1011" customFormat="1" ht="15" x14ac:dyDescent="0.25">
      <c r="A11039" s="859">
        <f t="shared" si="216"/>
        <v>11038</v>
      </c>
      <c r="B11039" s="845" t="s">
        <v>2564</v>
      </c>
      <c r="C11039" s="1007">
        <f t="shared" si="215"/>
        <v>58</v>
      </c>
      <c r="D11039" s="1008"/>
      <c r="E11039" s="1009"/>
      <c r="F11039" s="1009"/>
      <c r="G11039" s="1009"/>
      <c r="H11039" s="1009" t="s">
        <v>1007</v>
      </c>
      <c r="I11039" s="1009"/>
      <c r="J11039" s="1009"/>
      <c r="K11039" s="1010"/>
    </row>
    <row r="11040" spans="1:11" s="1011" customFormat="1" ht="15" x14ac:dyDescent="0.25">
      <c r="A11040" s="859">
        <f t="shared" si="216"/>
        <v>11039</v>
      </c>
      <c r="B11040" s="845" t="s">
        <v>2564</v>
      </c>
      <c r="C11040" s="1007">
        <f t="shared" si="215"/>
        <v>58</v>
      </c>
      <c r="D11040" s="1012"/>
      <c r="I11040" s="1011" t="s">
        <v>2174</v>
      </c>
      <c r="K11040" s="1013"/>
    </row>
    <row r="11041" spans="1:11" s="1011" customFormat="1" ht="15" x14ac:dyDescent="0.25">
      <c r="A11041" s="859">
        <f t="shared" si="216"/>
        <v>11040</v>
      </c>
      <c r="B11041" s="845" t="s">
        <v>2564</v>
      </c>
      <c r="C11041" s="1007">
        <f t="shared" si="215"/>
        <v>58</v>
      </c>
      <c r="D11041" s="1014"/>
      <c r="I11041" s="1011" t="str">
        <f>CONCATENATE("&lt;valeur&gt;",VLOOKUP(C11041,'T16 Amort'!A:K,2,0),"&lt;/valeur&gt;")</f>
        <v>&lt;valeur&gt;&lt;/valeur&gt;</v>
      </c>
      <c r="K11041" s="1013"/>
    </row>
    <row r="11042" spans="1:11" s="1011" customFormat="1" ht="15" x14ac:dyDescent="0.25">
      <c r="A11042" s="859">
        <f t="shared" si="216"/>
        <v>11041</v>
      </c>
      <c r="B11042" s="845" t="s">
        <v>2564</v>
      </c>
      <c r="C11042" s="1007">
        <f t="shared" si="215"/>
        <v>58</v>
      </c>
      <c r="D11042" s="1014"/>
      <c r="I11042" s="1011" t="str">
        <f>CONCATENATE("&lt;numeroLigne&gt;",C11042,"&lt;/numeroLigne&gt;")</f>
        <v>&lt;numeroLigne&gt;58&lt;/numeroLigne&gt;</v>
      </c>
      <c r="K11042" s="1013"/>
    </row>
    <row r="11043" spans="1:11" s="1011" customFormat="1" ht="15" x14ac:dyDescent="0.25">
      <c r="A11043" s="859">
        <f t="shared" si="216"/>
        <v>11042</v>
      </c>
      <c r="B11043" s="845" t="s">
        <v>2564</v>
      </c>
      <c r="C11043" s="1007">
        <f t="shared" si="215"/>
        <v>58</v>
      </c>
      <c r="D11043" s="1012"/>
      <c r="H11043" s="1011" t="s">
        <v>1010</v>
      </c>
      <c r="K11043" s="1013"/>
    </row>
    <row r="11044" spans="1:11" s="1011" customFormat="1" ht="15" x14ac:dyDescent="0.25">
      <c r="A11044" s="859">
        <f t="shared" si="216"/>
        <v>11043</v>
      </c>
      <c r="B11044" s="845" t="s">
        <v>2564</v>
      </c>
      <c r="C11044" s="1007">
        <f t="shared" si="215"/>
        <v>58</v>
      </c>
      <c r="D11044" s="1015"/>
      <c r="H11044" s="1011" t="s">
        <v>1007</v>
      </c>
      <c r="K11044" s="1013"/>
    </row>
    <row r="11045" spans="1:11" s="1011" customFormat="1" ht="15" x14ac:dyDescent="0.25">
      <c r="A11045" s="859">
        <f t="shared" si="216"/>
        <v>11044</v>
      </c>
      <c r="B11045" s="845" t="s">
        <v>2564</v>
      </c>
      <c r="C11045" s="1007">
        <f t="shared" si="215"/>
        <v>58</v>
      </c>
      <c r="D11045" s="1012"/>
      <c r="I11045" s="1011" t="s">
        <v>2175</v>
      </c>
      <c r="K11045" s="1013"/>
    </row>
    <row r="11046" spans="1:11" s="1011" customFormat="1" ht="15" x14ac:dyDescent="0.25">
      <c r="A11046" s="859">
        <f t="shared" si="216"/>
        <v>11045</v>
      </c>
      <c r="B11046" s="845" t="s">
        <v>2564</v>
      </c>
      <c r="C11046" s="1007">
        <f t="shared" si="215"/>
        <v>58</v>
      </c>
      <c r="D11046" s="1012"/>
      <c r="I11046" s="1011" t="str">
        <f>CONCATENATE("&lt;valeur&gt;",VLOOKUP(C11046,'T16 Amort'!A:K,3,0),"&lt;/valeur&gt;")</f>
        <v>&lt;valeur&gt;&lt;/valeur&gt;</v>
      </c>
      <c r="K11046" s="1013"/>
    </row>
    <row r="11047" spans="1:11" s="1011" customFormat="1" ht="15" x14ac:dyDescent="0.25">
      <c r="A11047" s="859">
        <f t="shared" si="216"/>
        <v>11046</v>
      </c>
      <c r="B11047" s="845" t="s">
        <v>2564</v>
      </c>
      <c r="C11047" s="1007">
        <f t="shared" si="215"/>
        <v>58</v>
      </c>
      <c r="D11047" s="1014"/>
      <c r="I11047" s="1011" t="str">
        <f>CONCATENATE("&lt;numeroLigne&gt;",C11047,"&lt;/numeroLigne&gt;")</f>
        <v>&lt;numeroLigne&gt;58&lt;/numeroLigne&gt;</v>
      </c>
      <c r="K11047" s="1013"/>
    </row>
    <row r="11048" spans="1:11" s="1011" customFormat="1" ht="15" x14ac:dyDescent="0.25">
      <c r="A11048" s="859">
        <f t="shared" si="216"/>
        <v>11047</v>
      </c>
      <c r="B11048" s="845" t="s">
        <v>2564</v>
      </c>
      <c r="C11048" s="1007">
        <f t="shared" si="215"/>
        <v>58</v>
      </c>
      <c r="D11048" s="1014"/>
      <c r="H11048" s="1011" t="s">
        <v>1010</v>
      </c>
      <c r="K11048" s="1013"/>
    </row>
    <row r="11049" spans="1:11" s="1011" customFormat="1" ht="15" x14ac:dyDescent="0.25">
      <c r="A11049" s="859">
        <f t="shared" si="216"/>
        <v>11048</v>
      </c>
      <c r="B11049" s="845" t="s">
        <v>2564</v>
      </c>
      <c r="C11049" s="1007">
        <f t="shared" si="215"/>
        <v>58</v>
      </c>
      <c r="D11049" s="1012"/>
      <c r="H11049" s="1011" t="s">
        <v>1007</v>
      </c>
      <c r="K11049" s="1013"/>
    </row>
    <row r="11050" spans="1:11" s="1011" customFormat="1" ht="15" x14ac:dyDescent="0.25">
      <c r="A11050" s="859">
        <f t="shared" si="216"/>
        <v>11049</v>
      </c>
      <c r="B11050" s="845" t="s">
        <v>2564</v>
      </c>
      <c r="C11050" s="1007">
        <f t="shared" si="215"/>
        <v>58</v>
      </c>
      <c r="D11050" s="1015"/>
      <c r="I11050" s="1011" t="s">
        <v>2176</v>
      </c>
      <c r="K11050" s="1013"/>
    </row>
    <row r="11051" spans="1:11" s="1011" customFormat="1" ht="15" x14ac:dyDescent="0.25">
      <c r="A11051" s="859">
        <f t="shared" si="216"/>
        <v>11050</v>
      </c>
      <c r="B11051" s="845" t="s">
        <v>2564</v>
      </c>
      <c r="C11051" s="1007">
        <f t="shared" si="215"/>
        <v>58</v>
      </c>
      <c r="D11051" s="1012"/>
      <c r="I11051" s="1011" t="str">
        <f>CONCATENATE("&lt;valeur&gt;",VLOOKUP(C11051,'T16 Amort'!A:K,4,0),"&lt;/valeur&gt;")</f>
        <v>&lt;valeur&gt;&lt;/valeur&gt;</v>
      </c>
      <c r="K11051" s="1013"/>
    </row>
    <row r="11052" spans="1:11" s="1011" customFormat="1" ht="15" x14ac:dyDescent="0.25">
      <c r="A11052" s="859">
        <f t="shared" si="216"/>
        <v>11051</v>
      </c>
      <c r="B11052" s="845" t="s">
        <v>2564</v>
      </c>
      <c r="C11052" s="1007">
        <f t="shared" si="215"/>
        <v>58</v>
      </c>
      <c r="D11052" s="1012"/>
      <c r="I11052" s="1011" t="str">
        <f>CONCATENATE("&lt;numeroLigne&gt;",C11052,"&lt;/numeroLigne&gt;")</f>
        <v>&lt;numeroLigne&gt;58&lt;/numeroLigne&gt;</v>
      </c>
      <c r="K11052" s="1013"/>
    </row>
    <row r="11053" spans="1:11" s="1011" customFormat="1" ht="15" x14ac:dyDescent="0.25">
      <c r="A11053" s="859">
        <f t="shared" si="216"/>
        <v>11052</v>
      </c>
      <c r="B11053" s="845" t="s">
        <v>2564</v>
      </c>
      <c r="C11053" s="1007">
        <f t="shared" si="215"/>
        <v>58</v>
      </c>
      <c r="D11053" s="1014"/>
      <c r="H11053" s="1011" t="s">
        <v>1010</v>
      </c>
      <c r="K11053" s="1013"/>
    </row>
    <row r="11054" spans="1:11" s="1011" customFormat="1" ht="15" x14ac:dyDescent="0.25">
      <c r="A11054" s="859">
        <f t="shared" si="216"/>
        <v>11053</v>
      </c>
      <c r="B11054" s="845" t="s">
        <v>2564</v>
      </c>
      <c r="C11054" s="1007">
        <f t="shared" si="215"/>
        <v>58</v>
      </c>
      <c r="D11054" s="1014"/>
      <c r="H11054" s="1011" t="s">
        <v>1007</v>
      </c>
      <c r="K11054" s="1013"/>
    </row>
    <row r="11055" spans="1:11" s="1011" customFormat="1" ht="15" x14ac:dyDescent="0.25">
      <c r="A11055" s="859">
        <f t="shared" si="216"/>
        <v>11054</v>
      </c>
      <c r="B11055" s="845" t="s">
        <v>2564</v>
      </c>
      <c r="C11055" s="1007">
        <f t="shared" ref="C11055:C11118" si="217">C11005+1</f>
        <v>58</v>
      </c>
      <c r="D11055" s="1012"/>
      <c r="I11055" s="1011" t="s">
        <v>2177</v>
      </c>
      <c r="K11055" s="1013"/>
    </row>
    <row r="11056" spans="1:11" s="1011" customFormat="1" ht="15" x14ac:dyDescent="0.25">
      <c r="A11056" s="859">
        <f t="shared" si="216"/>
        <v>11055</v>
      </c>
      <c r="B11056" s="845" t="s">
        <v>2564</v>
      </c>
      <c r="C11056" s="1007">
        <f t="shared" si="217"/>
        <v>58</v>
      </c>
      <c r="D11056" s="1015"/>
      <c r="I11056" s="1011" t="str">
        <f>CONCATENATE("&lt;valeur&gt;",VLOOKUP(C11056,'T16 Amort'!A:K,5,0),"&lt;/valeur&gt;")</f>
        <v>&lt;valeur&gt;&lt;/valeur&gt;</v>
      </c>
      <c r="K11056" s="1013"/>
    </row>
    <row r="11057" spans="1:11" s="1011" customFormat="1" ht="15" x14ac:dyDescent="0.25">
      <c r="A11057" s="859">
        <f t="shared" si="216"/>
        <v>11056</v>
      </c>
      <c r="B11057" s="845" t="s">
        <v>2564</v>
      </c>
      <c r="C11057" s="1007">
        <f t="shared" si="217"/>
        <v>58</v>
      </c>
      <c r="D11057" s="1012"/>
      <c r="I11057" s="1011" t="str">
        <f>CONCATENATE("&lt;numeroLigne&gt;",C11057,"&lt;/numeroLigne&gt;")</f>
        <v>&lt;numeroLigne&gt;58&lt;/numeroLigne&gt;</v>
      </c>
      <c r="K11057" s="1013"/>
    </row>
    <row r="11058" spans="1:11" s="1011" customFormat="1" ht="15" x14ac:dyDescent="0.25">
      <c r="A11058" s="859">
        <f t="shared" si="216"/>
        <v>11057</v>
      </c>
      <c r="B11058" s="845" t="s">
        <v>2564</v>
      </c>
      <c r="C11058" s="1007">
        <f t="shared" si="217"/>
        <v>58</v>
      </c>
      <c r="D11058" s="1012"/>
      <c r="H11058" s="1011" t="s">
        <v>1010</v>
      </c>
      <c r="K11058" s="1013"/>
    </row>
    <row r="11059" spans="1:11" s="1011" customFormat="1" ht="15" x14ac:dyDescent="0.25">
      <c r="A11059" s="859">
        <f t="shared" si="216"/>
        <v>11058</v>
      </c>
      <c r="B11059" s="845" t="s">
        <v>2564</v>
      </c>
      <c r="C11059" s="1007">
        <f t="shared" si="217"/>
        <v>58</v>
      </c>
      <c r="D11059" s="1014"/>
      <c r="H11059" s="1011" t="s">
        <v>1007</v>
      </c>
      <c r="K11059" s="1013"/>
    </row>
    <row r="11060" spans="1:11" s="1011" customFormat="1" ht="15" x14ac:dyDescent="0.25">
      <c r="A11060" s="859">
        <f t="shared" si="216"/>
        <v>11059</v>
      </c>
      <c r="B11060" s="845" t="s">
        <v>2564</v>
      </c>
      <c r="C11060" s="1007">
        <f t="shared" si="217"/>
        <v>58</v>
      </c>
      <c r="D11060" s="1014"/>
      <c r="I11060" s="1011" t="s">
        <v>2178</v>
      </c>
      <c r="K11060" s="1013"/>
    </row>
    <row r="11061" spans="1:11" s="1011" customFormat="1" ht="15" x14ac:dyDescent="0.25">
      <c r="A11061" s="859">
        <f t="shared" si="216"/>
        <v>11060</v>
      </c>
      <c r="B11061" s="845" t="s">
        <v>2564</v>
      </c>
      <c r="C11061" s="1007">
        <f t="shared" si="217"/>
        <v>58</v>
      </c>
      <c r="D11061" s="1012"/>
      <c r="I11061" s="1011" t="str">
        <f>CONCATENATE("&lt;valeur&gt;",VLOOKUP(C11061,'T16 Amort'!A:K,6,0),"&lt;/valeur&gt;")</f>
        <v>&lt;valeur&gt;&lt;/valeur&gt;</v>
      </c>
      <c r="K11061" s="1013"/>
    </row>
    <row r="11062" spans="1:11" s="1011" customFormat="1" ht="15" x14ac:dyDescent="0.25">
      <c r="A11062" s="859">
        <f t="shared" si="216"/>
        <v>11061</v>
      </c>
      <c r="B11062" s="845" t="s">
        <v>2564</v>
      </c>
      <c r="C11062" s="1007">
        <f t="shared" si="217"/>
        <v>58</v>
      </c>
      <c r="D11062" s="1015"/>
      <c r="I11062" s="1011" t="str">
        <f>CONCATENATE("&lt;numeroLigne&gt;",C11062,"&lt;/numeroLigne&gt;")</f>
        <v>&lt;numeroLigne&gt;58&lt;/numeroLigne&gt;</v>
      </c>
      <c r="K11062" s="1013"/>
    </row>
    <row r="11063" spans="1:11" s="1011" customFormat="1" ht="15" x14ac:dyDescent="0.25">
      <c r="A11063" s="859">
        <f t="shared" si="216"/>
        <v>11062</v>
      </c>
      <c r="B11063" s="845" t="s">
        <v>2564</v>
      </c>
      <c r="C11063" s="1007">
        <f t="shared" si="217"/>
        <v>58</v>
      </c>
      <c r="D11063" s="1012"/>
      <c r="H11063" s="1011" t="s">
        <v>1010</v>
      </c>
      <c r="K11063" s="1013"/>
    </row>
    <row r="11064" spans="1:11" s="1011" customFormat="1" ht="15" x14ac:dyDescent="0.25">
      <c r="A11064" s="859">
        <f t="shared" si="216"/>
        <v>11063</v>
      </c>
      <c r="B11064" s="845" t="s">
        <v>2564</v>
      </c>
      <c r="C11064" s="1007">
        <f t="shared" si="217"/>
        <v>58</v>
      </c>
      <c r="D11064" s="1012"/>
      <c r="H11064" s="1011" t="s">
        <v>1007</v>
      </c>
      <c r="K11064" s="1013"/>
    </row>
    <row r="11065" spans="1:11" s="1011" customFormat="1" ht="15" x14ac:dyDescent="0.25">
      <c r="A11065" s="859">
        <f t="shared" si="216"/>
        <v>11064</v>
      </c>
      <c r="B11065" s="845" t="s">
        <v>2564</v>
      </c>
      <c r="C11065" s="1007">
        <f t="shared" si="217"/>
        <v>58</v>
      </c>
      <c r="D11065" s="1014"/>
      <c r="I11065" s="1011" t="s">
        <v>2179</v>
      </c>
      <c r="K11065" s="1013"/>
    </row>
    <row r="11066" spans="1:11" s="1011" customFormat="1" ht="15" x14ac:dyDescent="0.25">
      <c r="A11066" s="859">
        <f t="shared" si="216"/>
        <v>11065</v>
      </c>
      <c r="B11066" s="845" t="s">
        <v>2564</v>
      </c>
      <c r="C11066" s="1007">
        <f t="shared" si="217"/>
        <v>58</v>
      </c>
      <c r="D11066" s="1014"/>
      <c r="I11066" s="1011" t="str">
        <f>CONCATENATE("&lt;valeur&gt;",VLOOKUP(C11066,'T16 Amort'!A:K,7,0),"&lt;/valeur&gt;")</f>
        <v>&lt;valeur&gt;&lt;/valeur&gt;</v>
      </c>
      <c r="K11066" s="1013"/>
    </row>
    <row r="11067" spans="1:11" s="1011" customFormat="1" ht="15" x14ac:dyDescent="0.25">
      <c r="A11067" s="859">
        <f t="shared" si="216"/>
        <v>11066</v>
      </c>
      <c r="B11067" s="845" t="s">
        <v>2564</v>
      </c>
      <c r="C11067" s="1007">
        <f t="shared" si="217"/>
        <v>58</v>
      </c>
      <c r="D11067" s="1012"/>
      <c r="I11067" s="1011" t="str">
        <f>CONCATENATE("&lt;numeroLigne&gt;",C11067,"&lt;/numeroLigne&gt;")</f>
        <v>&lt;numeroLigne&gt;58&lt;/numeroLigne&gt;</v>
      </c>
      <c r="K11067" s="1013"/>
    </row>
    <row r="11068" spans="1:11" s="1011" customFormat="1" ht="15" x14ac:dyDescent="0.25">
      <c r="A11068" s="859">
        <f t="shared" si="216"/>
        <v>11067</v>
      </c>
      <c r="B11068" s="845" t="s">
        <v>2564</v>
      </c>
      <c r="C11068" s="1007">
        <f t="shared" si="217"/>
        <v>58</v>
      </c>
      <c r="D11068" s="1015"/>
      <c r="H11068" s="1011" t="s">
        <v>1010</v>
      </c>
      <c r="K11068" s="1013"/>
    </row>
    <row r="11069" spans="1:11" s="1011" customFormat="1" ht="15" x14ac:dyDescent="0.25">
      <c r="A11069" s="859">
        <f t="shared" si="216"/>
        <v>11068</v>
      </c>
      <c r="B11069" s="845" t="s">
        <v>2564</v>
      </c>
      <c r="C11069" s="1007">
        <f t="shared" si="217"/>
        <v>58</v>
      </c>
      <c r="D11069" s="1012"/>
      <c r="H11069" s="1011" t="s">
        <v>1007</v>
      </c>
      <c r="K11069" s="1013"/>
    </row>
    <row r="11070" spans="1:11" s="1011" customFormat="1" ht="15" x14ac:dyDescent="0.25">
      <c r="A11070" s="859">
        <f t="shared" si="216"/>
        <v>11069</v>
      </c>
      <c r="B11070" s="845" t="s">
        <v>2564</v>
      </c>
      <c r="C11070" s="1007">
        <f t="shared" si="217"/>
        <v>58</v>
      </c>
      <c r="D11070" s="1012"/>
      <c r="I11070" s="1011" t="s">
        <v>2180</v>
      </c>
      <c r="K11070" s="1013"/>
    </row>
    <row r="11071" spans="1:11" s="1011" customFormat="1" ht="15" x14ac:dyDescent="0.25">
      <c r="A11071" s="859">
        <f t="shared" si="216"/>
        <v>11070</v>
      </c>
      <c r="B11071" s="845" t="s">
        <v>2564</v>
      </c>
      <c r="C11071" s="1007">
        <f t="shared" si="217"/>
        <v>58</v>
      </c>
      <c r="D11071" s="1014"/>
      <c r="I11071" s="1011" t="str">
        <f>CONCATENATE("&lt;valeur&gt;",VLOOKUP(C11071,'T16 Amort'!A:K,8,0),"&lt;/valeur&gt;")</f>
        <v>&lt;valeur&gt;&lt;/valeur&gt;</v>
      </c>
      <c r="K11071" s="1013"/>
    </row>
    <row r="11072" spans="1:11" s="1011" customFormat="1" ht="15" x14ac:dyDescent="0.25">
      <c r="A11072" s="859">
        <f t="shared" si="216"/>
        <v>11071</v>
      </c>
      <c r="B11072" s="845" t="s">
        <v>2564</v>
      </c>
      <c r="C11072" s="1007">
        <f t="shared" si="217"/>
        <v>58</v>
      </c>
      <c r="D11072" s="1014"/>
      <c r="I11072" s="1011" t="str">
        <f>CONCATENATE("&lt;numeroLigne&gt;",C11072,"&lt;/numeroLigne&gt;")</f>
        <v>&lt;numeroLigne&gt;58&lt;/numeroLigne&gt;</v>
      </c>
      <c r="K11072" s="1013"/>
    </row>
    <row r="11073" spans="1:11" s="1011" customFormat="1" ht="15" x14ac:dyDescent="0.25">
      <c r="A11073" s="859">
        <f t="shared" si="216"/>
        <v>11072</v>
      </c>
      <c r="B11073" s="845" t="s">
        <v>2564</v>
      </c>
      <c r="C11073" s="1007">
        <f t="shared" si="217"/>
        <v>58</v>
      </c>
      <c r="D11073" s="1012"/>
      <c r="H11073" s="1011" t="s">
        <v>1010</v>
      </c>
      <c r="K11073" s="1013"/>
    </row>
    <row r="11074" spans="1:11" s="1011" customFormat="1" ht="15" x14ac:dyDescent="0.25">
      <c r="A11074" s="859">
        <f t="shared" si="216"/>
        <v>11073</v>
      </c>
      <c r="B11074" s="845" t="s">
        <v>2564</v>
      </c>
      <c r="C11074" s="1007">
        <f t="shared" si="217"/>
        <v>58</v>
      </c>
      <c r="D11074" s="1015"/>
      <c r="H11074" s="1011" t="s">
        <v>1007</v>
      </c>
      <c r="K11074" s="1013"/>
    </row>
    <row r="11075" spans="1:11" s="1011" customFormat="1" ht="15" x14ac:dyDescent="0.25">
      <c r="A11075" s="859">
        <f t="shared" si="216"/>
        <v>11074</v>
      </c>
      <c r="B11075" s="845" t="s">
        <v>2564</v>
      </c>
      <c r="C11075" s="1007">
        <f t="shared" si="217"/>
        <v>58</v>
      </c>
      <c r="D11075" s="1012"/>
      <c r="I11075" s="1011" t="s">
        <v>2181</v>
      </c>
      <c r="K11075" s="1013"/>
    </row>
    <row r="11076" spans="1:11" s="1011" customFormat="1" ht="15" x14ac:dyDescent="0.25">
      <c r="A11076" s="859">
        <f t="shared" ref="A11076:A11139" si="218">+A11075+1</f>
        <v>11075</v>
      </c>
      <c r="B11076" s="845" t="s">
        <v>2564</v>
      </c>
      <c r="C11076" s="1007">
        <f t="shared" si="217"/>
        <v>58</v>
      </c>
      <c r="D11076" s="1012"/>
      <c r="I11076" s="1011" t="str">
        <f>CONCATENATE("&lt;valeur&gt;",VLOOKUP(C11076,'T16 Amort'!A:K,9,0),"&lt;/valeur&gt;")</f>
        <v>&lt;valeur&gt;&lt;/valeur&gt;</v>
      </c>
      <c r="K11076" s="1013"/>
    </row>
    <row r="11077" spans="1:11" s="1011" customFormat="1" ht="15" x14ac:dyDescent="0.25">
      <c r="A11077" s="859">
        <f t="shared" si="218"/>
        <v>11076</v>
      </c>
      <c r="B11077" s="845" t="s">
        <v>2564</v>
      </c>
      <c r="C11077" s="1007">
        <f t="shared" si="217"/>
        <v>58</v>
      </c>
      <c r="D11077" s="1014"/>
      <c r="I11077" s="1011" t="str">
        <f>CONCATENATE("&lt;numeroLigne&gt;",C11077,"&lt;/numeroLigne&gt;")</f>
        <v>&lt;numeroLigne&gt;58&lt;/numeroLigne&gt;</v>
      </c>
      <c r="K11077" s="1013"/>
    </row>
    <row r="11078" spans="1:11" s="1011" customFormat="1" ht="15" x14ac:dyDescent="0.25">
      <c r="A11078" s="859">
        <f t="shared" si="218"/>
        <v>11077</v>
      </c>
      <c r="B11078" s="845" t="s">
        <v>2564</v>
      </c>
      <c r="C11078" s="1007">
        <f t="shared" si="217"/>
        <v>58</v>
      </c>
      <c r="D11078" s="1014"/>
      <c r="H11078" s="1011" t="s">
        <v>1010</v>
      </c>
      <c r="K11078" s="1013"/>
    </row>
    <row r="11079" spans="1:11" s="1011" customFormat="1" ht="15" x14ac:dyDescent="0.25">
      <c r="A11079" s="859">
        <f t="shared" si="218"/>
        <v>11078</v>
      </c>
      <c r="B11079" s="845" t="s">
        <v>2564</v>
      </c>
      <c r="C11079" s="1007">
        <f t="shared" si="217"/>
        <v>58</v>
      </c>
      <c r="D11079" s="1012"/>
      <c r="H11079" s="1011" t="s">
        <v>1007</v>
      </c>
      <c r="K11079" s="1013"/>
    </row>
    <row r="11080" spans="1:11" s="1011" customFormat="1" ht="15" x14ac:dyDescent="0.25">
      <c r="A11080" s="859">
        <f t="shared" si="218"/>
        <v>11079</v>
      </c>
      <c r="B11080" s="845" t="s">
        <v>2564</v>
      </c>
      <c r="C11080" s="1007">
        <f t="shared" si="217"/>
        <v>58</v>
      </c>
      <c r="D11080" s="1015"/>
      <c r="I11080" s="1011" t="s">
        <v>2182</v>
      </c>
      <c r="K11080" s="1013"/>
    </row>
    <row r="11081" spans="1:11" s="1011" customFormat="1" ht="15" x14ac:dyDescent="0.25">
      <c r="A11081" s="859">
        <f t="shared" si="218"/>
        <v>11080</v>
      </c>
      <c r="B11081" s="845" t="s">
        <v>2564</v>
      </c>
      <c r="C11081" s="1007">
        <f t="shared" si="217"/>
        <v>58</v>
      </c>
      <c r="D11081" s="1012"/>
      <c r="I11081" s="1011" t="str">
        <f>CONCATENATE("&lt;valeur&gt;",VLOOKUP(C11081,'T16 Amort'!A:K,10,0),"&lt;/valeur&gt;")</f>
        <v>&lt;valeur&gt;&lt;/valeur&gt;</v>
      </c>
      <c r="K11081" s="1013"/>
    </row>
    <row r="11082" spans="1:11" s="1011" customFormat="1" ht="15" x14ac:dyDescent="0.25">
      <c r="A11082" s="859">
        <f t="shared" si="218"/>
        <v>11081</v>
      </c>
      <c r="B11082" s="845" t="s">
        <v>2564</v>
      </c>
      <c r="C11082" s="1007">
        <f t="shared" si="217"/>
        <v>58</v>
      </c>
      <c r="D11082" s="1012"/>
      <c r="I11082" s="1011" t="str">
        <f>CONCATENATE("&lt;numeroLigne&gt;",C11082,"&lt;/numeroLigne&gt;")</f>
        <v>&lt;numeroLigne&gt;58&lt;/numeroLigne&gt;</v>
      </c>
      <c r="K11082" s="1013"/>
    </row>
    <row r="11083" spans="1:11" s="1011" customFormat="1" ht="15" x14ac:dyDescent="0.25">
      <c r="A11083" s="859">
        <f t="shared" si="218"/>
        <v>11082</v>
      </c>
      <c r="B11083" s="845" t="s">
        <v>2564</v>
      </c>
      <c r="C11083" s="1007">
        <f t="shared" si="217"/>
        <v>58</v>
      </c>
      <c r="D11083" s="1014"/>
      <c r="H11083" s="1011" t="s">
        <v>1010</v>
      </c>
      <c r="K11083" s="1013"/>
    </row>
    <row r="11084" spans="1:11" s="1011" customFormat="1" ht="15" x14ac:dyDescent="0.25">
      <c r="A11084" s="859">
        <f t="shared" si="218"/>
        <v>11083</v>
      </c>
      <c r="B11084" s="845" t="s">
        <v>2564</v>
      </c>
      <c r="C11084" s="1007">
        <f t="shared" si="217"/>
        <v>58</v>
      </c>
      <c r="D11084" s="1014"/>
      <c r="H11084" s="1011" t="s">
        <v>1007</v>
      </c>
      <c r="K11084" s="1013"/>
    </row>
    <row r="11085" spans="1:11" s="1011" customFormat="1" ht="15" x14ac:dyDescent="0.25">
      <c r="A11085" s="859">
        <f t="shared" si="218"/>
        <v>11084</v>
      </c>
      <c r="B11085" s="845" t="s">
        <v>2564</v>
      </c>
      <c r="C11085" s="1007">
        <f t="shared" si="217"/>
        <v>58</v>
      </c>
      <c r="D11085" s="1012"/>
      <c r="I11085" s="1011" t="s">
        <v>2183</v>
      </c>
      <c r="K11085" s="1013"/>
    </row>
    <row r="11086" spans="1:11" s="1011" customFormat="1" ht="15" x14ac:dyDescent="0.25">
      <c r="A11086" s="859">
        <f t="shared" si="218"/>
        <v>11085</v>
      </c>
      <c r="B11086" s="845" t="s">
        <v>2564</v>
      </c>
      <c r="C11086" s="1007">
        <f t="shared" si="217"/>
        <v>58</v>
      </c>
      <c r="D11086" s="1015"/>
      <c r="I11086" s="1011" t="str">
        <f>CONCATENATE("&lt;valeur&gt;",VLOOKUP(C11086,'T16 Amort'!A:K,11,0),"&lt;/valeur&gt;")</f>
        <v>&lt;valeur&gt;&lt;/valeur&gt;</v>
      </c>
      <c r="K11086" s="1013"/>
    </row>
    <row r="11087" spans="1:11" s="1011" customFormat="1" ht="15" x14ac:dyDescent="0.25">
      <c r="A11087" s="859">
        <f t="shared" si="218"/>
        <v>11086</v>
      </c>
      <c r="B11087" s="845" t="s">
        <v>2564</v>
      </c>
      <c r="C11087" s="1007">
        <f t="shared" si="217"/>
        <v>58</v>
      </c>
      <c r="D11087" s="1012"/>
      <c r="I11087" s="1011" t="str">
        <f>CONCATENATE("&lt;numeroLigne&gt;",C11087,"&lt;/numeroLigne&gt;")</f>
        <v>&lt;numeroLigne&gt;58&lt;/numeroLigne&gt;</v>
      </c>
      <c r="K11087" s="1013"/>
    </row>
    <row r="11088" spans="1:11" s="1011" customFormat="1" ht="15" x14ac:dyDescent="0.25">
      <c r="A11088" s="859">
        <f t="shared" si="218"/>
        <v>11087</v>
      </c>
      <c r="B11088" s="845" t="s">
        <v>2564</v>
      </c>
      <c r="C11088" s="1007">
        <f t="shared" si="217"/>
        <v>58</v>
      </c>
      <c r="D11088" s="1016"/>
      <c r="E11088" s="1017"/>
      <c r="F11088" s="1017"/>
      <c r="G11088" s="1017"/>
      <c r="H11088" s="1017" t="s">
        <v>1010</v>
      </c>
      <c r="I11088" s="1017"/>
      <c r="J11088" s="1017"/>
      <c r="K11088" s="1018"/>
    </row>
    <row r="11089" spans="1:11" s="1011" customFormat="1" ht="15" x14ac:dyDescent="0.25">
      <c r="A11089" s="859">
        <f t="shared" si="218"/>
        <v>11088</v>
      </c>
      <c r="B11089" s="845" t="s">
        <v>2564</v>
      </c>
      <c r="C11089" s="1007">
        <f t="shared" si="217"/>
        <v>59</v>
      </c>
      <c r="D11089" s="1008"/>
      <c r="E11089" s="1009"/>
      <c r="F11089" s="1009"/>
      <c r="G11089" s="1009"/>
      <c r="H11089" s="1009" t="s">
        <v>1007</v>
      </c>
      <c r="I11089" s="1009"/>
      <c r="J11089" s="1009"/>
      <c r="K11089" s="1010"/>
    </row>
    <row r="11090" spans="1:11" s="1011" customFormat="1" ht="15" x14ac:dyDescent="0.25">
      <c r="A11090" s="859">
        <f t="shared" si="218"/>
        <v>11089</v>
      </c>
      <c r="B11090" s="845" t="s">
        <v>2564</v>
      </c>
      <c r="C11090" s="1007">
        <f t="shared" si="217"/>
        <v>59</v>
      </c>
      <c r="D11090" s="1012"/>
      <c r="I11090" s="1011" t="s">
        <v>2174</v>
      </c>
      <c r="K11090" s="1013"/>
    </row>
    <row r="11091" spans="1:11" s="1011" customFormat="1" ht="15" x14ac:dyDescent="0.25">
      <c r="A11091" s="859">
        <f t="shared" si="218"/>
        <v>11090</v>
      </c>
      <c r="B11091" s="845" t="s">
        <v>2564</v>
      </c>
      <c r="C11091" s="1007">
        <f t="shared" si="217"/>
        <v>59</v>
      </c>
      <c r="D11091" s="1014"/>
      <c r="I11091" s="1011" t="str">
        <f>CONCATENATE("&lt;valeur&gt;",VLOOKUP(C11091,'T16 Amort'!A:K,2,0),"&lt;/valeur&gt;")</f>
        <v>&lt;valeur&gt;&lt;/valeur&gt;</v>
      </c>
      <c r="K11091" s="1013"/>
    </row>
    <row r="11092" spans="1:11" s="1011" customFormat="1" ht="15" x14ac:dyDescent="0.25">
      <c r="A11092" s="859">
        <f t="shared" si="218"/>
        <v>11091</v>
      </c>
      <c r="B11092" s="845" t="s">
        <v>2564</v>
      </c>
      <c r="C11092" s="1007">
        <f t="shared" si="217"/>
        <v>59</v>
      </c>
      <c r="D11092" s="1014"/>
      <c r="I11092" s="1011" t="str">
        <f>CONCATENATE("&lt;numeroLigne&gt;",C11092,"&lt;/numeroLigne&gt;")</f>
        <v>&lt;numeroLigne&gt;59&lt;/numeroLigne&gt;</v>
      </c>
      <c r="K11092" s="1013"/>
    </row>
    <row r="11093" spans="1:11" s="1011" customFormat="1" ht="15" x14ac:dyDescent="0.25">
      <c r="A11093" s="859">
        <f t="shared" si="218"/>
        <v>11092</v>
      </c>
      <c r="B11093" s="845" t="s">
        <v>2564</v>
      </c>
      <c r="C11093" s="1007">
        <f t="shared" si="217"/>
        <v>59</v>
      </c>
      <c r="D11093" s="1012"/>
      <c r="H11093" s="1011" t="s">
        <v>1010</v>
      </c>
      <c r="K11093" s="1013"/>
    </row>
    <row r="11094" spans="1:11" s="1011" customFormat="1" ht="15" x14ac:dyDescent="0.25">
      <c r="A11094" s="859">
        <f t="shared" si="218"/>
        <v>11093</v>
      </c>
      <c r="B11094" s="845" t="s">
        <v>2564</v>
      </c>
      <c r="C11094" s="1007">
        <f t="shared" si="217"/>
        <v>59</v>
      </c>
      <c r="D11094" s="1015"/>
      <c r="H11094" s="1011" t="s">
        <v>1007</v>
      </c>
      <c r="K11094" s="1013"/>
    </row>
    <row r="11095" spans="1:11" s="1011" customFormat="1" ht="15" x14ac:dyDescent="0.25">
      <c r="A11095" s="859">
        <f t="shared" si="218"/>
        <v>11094</v>
      </c>
      <c r="B11095" s="845" t="s">
        <v>2564</v>
      </c>
      <c r="C11095" s="1007">
        <f t="shared" si="217"/>
        <v>59</v>
      </c>
      <c r="D11095" s="1012"/>
      <c r="I11095" s="1011" t="s">
        <v>2175</v>
      </c>
      <c r="K11095" s="1013"/>
    </row>
    <row r="11096" spans="1:11" s="1011" customFormat="1" ht="15" x14ac:dyDescent="0.25">
      <c r="A11096" s="859">
        <f t="shared" si="218"/>
        <v>11095</v>
      </c>
      <c r="B11096" s="845" t="s">
        <v>2564</v>
      </c>
      <c r="C11096" s="1007">
        <f t="shared" si="217"/>
        <v>59</v>
      </c>
      <c r="D11096" s="1012"/>
      <c r="I11096" s="1011" t="str">
        <f>CONCATENATE("&lt;valeur&gt;",VLOOKUP(C11096,'T16 Amort'!A:K,3,0),"&lt;/valeur&gt;")</f>
        <v>&lt;valeur&gt;&lt;/valeur&gt;</v>
      </c>
      <c r="K11096" s="1013"/>
    </row>
    <row r="11097" spans="1:11" s="1011" customFormat="1" ht="15" x14ac:dyDescent="0.25">
      <c r="A11097" s="859">
        <f t="shared" si="218"/>
        <v>11096</v>
      </c>
      <c r="B11097" s="845" t="s">
        <v>2564</v>
      </c>
      <c r="C11097" s="1007">
        <f t="shared" si="217"/>
        <v>59</v>
      </c>
      <c r="D11097" s="1014"/>
      <c r="I11097" s="1011" t="str">
        <f>CONCATENATE("&lt;numeroLigne&gt;",C11097,"&lt;/numeroLigne&gt;")</f>
        <v>&lt;numeroLigne&gt;59&lt;/numeroLigne&gt;</v>
      </c>
      <c r="K11097" s="1013"/>
    </row>
    <row r="11098" spans="1:11" s="1011" customFormat="1" ht="15" x14ac:dyDescent="0.25">
      <c r="A11098" s="859">
        <f t="shared" si="218"/>
        <v>11097</v>
      </c>
      <c r="B11098" s="845" t="s">
        <v>2564</v>
      </c>
      <c r="C11098" s="1007">
        <f t="shared" si="217"/>
        <v>59</v>
      </c>
      <c r="D11098" s="1014"/>
      <c r="H11098" s="1011" t="s">
        <v>1010</v>
      </c>
      <c r="K11098" s="1013"/>
    </row>
    <row r="11099" spans="1:11" s="1011" customFormat="1" ht="15" x14ac:dyDescent="0.25">
      <c r="A11099" s="859">
        <f t="shared" si="218"/>
        <v>11098</v>
      </c>
      <c r="B11099" s="845" t="s">
        <v>2564</v>
      </c>
      <c r="C11099" s="1007">
        <f t="shared" si="217"/>
        <v>59</v>
      </c>
      <c r="D11099" s="1012"/>
      <c r="H11099" s="1011" t="s">
        <v>1007</v>
      </c>
      <c r="K11099" s="1013"/>
    </row>
    <row r="11100" spans="1:11" s="1011" customFormat="1" ht="15" x14ac:dyDescent="0.25">
      <c r="A11100" s="859">
        <f t="shared" si="218"/>
        <v>11099</v>
      </c>
      <c r="B11100" s="845" t="s">
        <v>2564</v>
      </c>
      <c r="C11100" s="1007">
        <f t="shared" si="217"/>
        <v>59</v>
      </c>
      <c r="D11100" s="1015"/>
      <c r="I11100" s="1011" t="s">
        <v>2176</v>
      </c>
      <c r="K11100" s="1013"/>
    </row>
    <row r="11101" spans="1:11" s="1011" customFormat="1" ht="15" x14ac:dyDescent="0.25">
      <c r="A11101" s="859">
        <f t="shared" si="218"/>
        <v>11100</v>
      </c>
      <c r="B11101" s="845" t="s">
        <v>2564</v>
      </c>
      <c r="C11101" s="1007">
        <f t="shared" si="217"/>
        <v>59</v>
      </c>
      <c r="D11101" s="1012"/>
      <c r="I11101" s="1011" t="str">
        <f>CONCATENATE("&lt;valeur&gt;",VLOOKUP(C11101,'T16 Amort'!A:K,4,0),"&lt;/valeur&gt;")</f>
        <v>&lt;valeur&gt;&lt;/valeur&gt;</v>
      </c>
      <c r="K11101" s="1013"/>
    </row>
    <row r="11102" spans="1:11" s="1011" customFormat="1" ht="15" x14ac:dyDescent="0.25">
      <c r="A11102" s="859">
        <f t="shared" si="218"/>
        <v>11101</v>
      </c>
      <c r="B11102" s="845" t="s">
        <v>2564</v>
      </c>
      <c r="C11102" s="1007">
        <f t="shared" si="217"/>
        <v>59</v>
      </c>
      <c r="D11102" s="1012"/>
      <c r="I11102" s="1011" t="str">
        <f>CONCATENATE("&lt;numeroLigne&gt;",C11102,"&lt;/numeroLigne&gt;")</f>
        <v>&lt;numeroLigne&gt;59&lt;/numeroLigne&gt;</v>
      </c>
      <c r="K11102" s="1013"/>
    </row>
    <row r="11103" spans="1:11" s="1011" customFormat="1" ht="15" x14ac:dyDescent="0.25">
      <c r="A11103" s="859">
        <f t="shared" si="218"/>
        <v>11102</v>
      </c>
      <c r="B11103" s="845" t="s">
        <v>2564</v>
      </c>
      <c r="C11103" s="1007">
        <f t="shared" si="217"/>
        <v>59</v>
      </c>
      <c r="D11103" s="1014"/>
      <c r="H11103" s="1011" t="s">
        <v>1010</v>
      </c>
      <c r="K11103" s="1013"/>
    </row>
    <row r="11104" spans="1:11" s="1011" customFormat="1" ht="15" x14ac:dyDescent="0.25">
      <c r="A11104" s="859">
        <f t="shared" si="218"/>
        <v>11103</v>
      </c>
      <c r="B11104" s="845" t="s">
        <v>2564</v>
      </c>
      <c r="C11104" s="1007">
        <f t="shared" si="217"/>
        <v>59</v>
      </c>
      <c r="D11104" s="1014"/>
      <c r="H11104" s="1011" t="s">
        <v>1007</v>
      </c>
      <c r="K11104" s="1013"/>
    </row>
    <row r="11105" spans="1:11" s="1011" customFormat="1" ht="15" x14ac:dyDescent="0.25">
      <c r="A11105" s="859">
        <f t="shared" si="218"/>
        <v>11104</v>
      </c>
      <c r="B11105" s="845" t="s">
        <v>2564</v>
      </c>
      <c r="C11105" s="1007">
        <f t="shared" si="217"/>
        <v>59</v>
      </c>
      <c r="D11105" s="1012"/>
      <c r="I11105" s="1011" t="s">
        <v>2177</v>
      </c>
      <c r="K11105" s="1013"/>
    </row>
    <row r="11106" spans="1:11" s="1011" customFormat="1" ht="15" x14ac:dyDescent="0.25">
      <c r="A11106" s="859">
        <f t="shared" si="218"/>
        <v>11105</v>
      </c>
      <c r="B11106" s="845" t="s">
        <v>2564</v>
      </c>
      <c r="C11106" s="1007">
        <f t="shared" si="217"/>
        <v>59</v>
      </c>
      <c r="D11106" s="1015"/>
      <c r="I11106" s="1011" t="str">
        <f>CONCATENATE("&lt;valeur&gt;",VLOOKUP(C11106,'T16 Amort'!A:K,5,0),"&lt;/valeur&gt;")</f>
        <v>&lt;valeur&gt;&lt;/valeur&gt;</v>
      </c>
      <c r="K11106" s="1013"/>
    </row>
    <row r="11107" spans="1:11" s="1011" customFormat="1" ht="15" x14ac:dyDescent="0.25">
      <c r="A11107" s="859">
        <f t="shared" si="218"/>
        <v>11106</v>
      </c>
      <c r="B11107" s="845" t="s">
        <v>2564</v>
      </c>
      <c r="C11107" s="1007">
        <f t="shared" si="217"/>
        <v>59</v>
      </c>
      <c r="D11107" s="1012"/>
      <c r="I11107" s="1011" t="str">
        <f>CONCATENATE("&lt;numeroLigne&gt;",C11107,"&lt;/numeroLigne&gt;")</f>
        <v>&lt;numeroLigne&gt;59&lt;/numeroLigne&gt;</v>
      </c>
      <c r="K11107" s="1013"/>
    </row>
    <row r="11108" spans="1:11" s="1011" customFormat="1" ht="15" x14ac:dyDescent="0.25">
      <c r="A11108" s="859">
        <f t="shared" si="218"/>
        <v>11107</v>
      </c>
      <c r="B11108" s="845" t="s">
        <v>2564</v>
      </c>
      <c r="C11108" s="1007">
        <f t="shared" si="217"/>
        <v>59</v>
      </c>
      <c r="D11108" s="1012"/>
      <c r="H11108" s="1011" t="s">
        <v>1010</v>
      </c>
      <c r="K11108" s="1013"/>
    </row>
    <row r="11109" spans="1:11" s="1011" customFormat="1" ht="15" x14ac:dyDescent="0.25">
      <c r="A11109" s="859">
        <f t="shared" si="218"/>
        <v>11108</v>
      </c>
      <c r="B11109" s="845" t="s">
        <v>2564</v>
      </c>
      <c r="C11109" s="1007">
        <f t="shared" si="217"/>
        <v>59</v>
      </c>
      <c r="D11109" s="1014"/>
      <c r="H11109" s="1011" t="s">
        <v>1007</v>
      </c>
      <c r="K11109" s="1013"/>
    </row>
    <row r="11110" spans="1:11" s="1011" customFormat="1" ht="15" x14ac:dyDescent="0.25">
      <c r="A11110" s="859">
        <f t="shared" si="218"/>
        <v>11109</v>
      </c>
      <c r="B11110" s="845" t="s">
        <v>2564</v>
      </c>
      <c r="C11110" s="1007">
        <f t="shared" si="217"/>
        <v>59</v>
      </c>
      <c r="D11110" s="1014"/>
      <c r="I11110" s="1011" t="s">
        <v>2178</v>
      </c>
      <c r="K11110" s="1013"/>
    </row>
    <row r="11111" spans="1:11" s="1011" customFormat="1" ht="15" x14ac:dyDescent="0.25">
      <c r="A11111" s="859">
        <f t="shared" si="218"/>
        <v>11110</v>
      </c>
      <c r="B11111" s="845" t="s">
        <v>2564</v>
      </c>
      <c r="C11111" s="1007">
        <f t="shared" si="217"/>
        <v>59</v>
      </c>
      <c r="D11111" s="1012"/>
      <c r="I11111" s="1011" t="str">
        <f>CONCATENATE("&lt;valeur&gt;",VLOOKUP(C11111,'T16 Amort'!A:K,6,0),"&lt;/valeur&gt;")</f>
        <v>&lt;valeur&gt;&lt;/valeur&gt;</v>
      </c>
      <c r="K11111" s="1013"/>
    </row>
    <row r="11112" spans="1:11" s="1011" customFormat="1" ht="15" x14ac:dyDescent="0.25">
      <c r="A11112" s="859">
        <f t="shared" si="218"/>
        <v>11111</v>
      </c>
      <c r="B11112" s="845" t="s">
        <v>2564</v>
      </c>
      <c r="C11112" s="1007">
        <f t="shared" si="217"/>
        <v>59</v>
      </c>
      <c r="D11112" s="1015"/>
      <c r="I11112" s="1011" t="str">
        <f>CONCATENATE("&lt;numeroLigne&gt;",C11112,"&lt;/numeroLigne&gt;")</f>
        <v>&lt;numeroLigne&gt;59&lt;/numeroLigne&gt;</v>
      </c>
      <c r="K11112" s="1013"/>
    </row>
    <row r="11113" spans="1:11" s="1011" customFormat="1" ht="15" x14ac:dyDescent="0.25">
      <c r="A11113" s="859">
        <f t="shared" si="218"/>
        <v>11112</v>
      </c>
      <c r="B11113" s="845" t="s">
        <v>2564</v>
      </c>
      <c r="C11113" s="1007">
        <f t="shared" si="217"/>
        <v>59</v>
      </c>
      <c r="D11113" s="1012"/>
      <c r="H11113" s="1011" t="s">
        <v>1010</v>
      </c>
      <c r="K11113" s="1013"/>
    </row>
    <row r="11114" spans="1:11" s="1011" customFormat="1" ht="15" x14ac:dyDescent="0.25">
      <c r="A11114" s="859">
        <f t="shared" si="218"/>
        <v>11113</v>
      </c>
      <c r="B11114" s="845" t="s">
        <v>2564</v>
      </c>
      <c r="C11114" s="1007">
        <f t="shared" si="217"/>
        <v>59</v>
      </c>
      <c r="D11114" s="1012"/>
      <c r="H11114" s="1011" t="s">
        <v>1007</v>
      </c>
      <c r="K11114" s="1013"/>
    </row>
    <row r="11115" spans="1:11" s="1011" customFormat="1" ht="15" x14ac:dyDescent="0.25">
      <c r="A11115" s="859">
        <f t="shared" si="218"/>
        <v>11114</v>
      </c>
      <c r="B11115" s="845" t="s">
        <v>2564</v>
      </c>
      <c r="C11115" s="1007">
        <f t="shared" si="217"/>
        <v>59</v>
      </c>
      <c r="D11115" s="1014"/>
      <c r="I11115" s="1011" t="s">
        <v>2179</v>
      </c>
      <c r="K11115" s="1013"/>
    </row>
    <row r="11116" spans="1:11" s="1011" customFormat="1" ht="15" x14ac:dyDescent="0.25">
      <c r="A11116" s="859">
        <f t="shared" si="218"/>
        <v>11115</v>
      </c>
      <c r="B11116" s="845" t="s">
        <v>2564</v>
      </c>
      <c r="C11116" s="1007">
        <f t="shared" si="217"/>
        <v>59</v>
      </c>
      <c r="D11116" s="1014"/>
      <c r="I11116" s="1011" t="str">
        <f>CONCATENATE("&lt;valeur&gt;",VLOOKUP(C11116,'T16 Amort'!A:K,7,0),"&lt;/valeur&gt;")</f>
        <v>&lt;valeur&gt;&lt;/valeur&gt;</v>
      </c>
      <c r="K11116" s="1013"/>
    </row>
    <row r="11117" spans="1:11" s="1011" customFormat="1" ht="15" x14ac:dyDescent="0.25">
      <c r="A11117" s="859">
        <f t="shared" si="218"/>
        <v>11116</v>
      </c>
      <c r="B11117" s="845" t="s">
        <v>2564</v>
      </c>
      <c r="C11117" s="1007">
        <f t="shared" si="217"/>
        <v>59</v>
      </c>
      <c r="D11117" s="1012"/>
      <c r="I11117" s="1011" t="str">
        <f>CONCATENATE("&lt;numeroLigne&gt;",C11117,"&lt;/numeroLigne&gt;")</f>
        <v>&lt;numeroLigne&gt;59&lt;/numeroLigne&gt;</v>
      </c>
      <c r="K11117" s="1013"/>
    </row>
    <row r="11118" spans="1:11" s="1011" customFormat="1" ht="15" x14ac:dyDescent="0.25">
      <c r="A11118" s="859">
        <f t="shared" si="218"/>
        <v>11117</v>
      </c>
      <c r="B11118" s="845" t="s">
        <v>2564</v>
      </c>
      <c r="C11118" s="1007">
        <f t="shared" si="217"/>
        <v>59</v>
      </c>
      <c r="D11118" s="1015"/>
      <c r="H11118" s="1011" t="s">
        <v>1010</v>
      </c>
      <c r="K11118" s="1013"/>
    </row>
    <row r="11119" spans="1:11" s="1011" customFormat="1" ht="15" x14ac:dyDescent="0.25">
      <c r="A11119" s="859">
        <f t="shared" si="218"/>
        <v>11118</v>
      </c>
      <c r="B11119" s="845" t="s">
        <v>2564</v>
      </c>
      <c r="C11119" s="1007">
        <f t="shared" ref="C11119:C11182" si="219">C11069+1</f>
        <v>59</v>
      </c>
      <c r="D11119" s="1012"/>
      <c r="H11119" s="1011" t="s">
        <v>1007</v>
      </c>
      <c r="K11119" s="1013"/>
    </row>
    <row r="11120" spans="1:11" s="1011" customFormat="1" ht="15" x14ac:dyDescent="0.25">
      <c r="A11120" s="859">
        <f t="shared" si="218"/>
        <v>11119</v>
      </c>
      <c r="B11120" s="845" t="s">
        <v>2564</v>
      </c>
      <c r="C11120" s="1007">
        <f t="shared" si="219"/>
        <v>59</v>
      </c>
      <c r="D11120" s="1012"/>
      <c r="I11120" s="1011" t="s">
        <v>2180</v>
      </c>
      <c r="K11120" s="1013"/>
    </row>
    <row r="11121" spans="1:11" s="1011" customFormat="1" ht="15" x14ac:dyDescent="0.25">
      <c r="A11121" s="859">
        <f t="shared" si="218"/>
        <v>11120</v>
      </c>
      <c r="B11121" s="845" t="s">
        <v>2564</v>
      </c>
      <c r="C11121" s="1007">
        <f t="shared" si="219"/>
        <v>59</v>
      </c>
      <c r="D11121" s="1014"/>
      <c r="I11121" s="1011" t="str">
        <f>CONCATENATE("&lt;valeur&gt;",VLOOKUP(C11121,'T16 Amort'!A:K,8,0),"&lt;/valeur&gt;")</f>
        <v>&lt;valeur&gt;&lt;/valeur&gt;</v>
      </c>
      <c r="K11121" s="1013"/>
    </row>
    <row r="11122" spans="1:11" s="1011" customFormat="1" ht="15" x14ac:dyDescent="0.25">
      <c r="A11122" s="859">
        <f t="shared" si="218"/>
        <v>11121</v>
      </c>
      <c r="B11122" s="845" t="s">
        <v>2564</v>
      </c>
      <c r="C11122" s="1007">
        <f t="shared" si="219"/>
        <v>59</v>
      </c>
      <c r="D11122" s="1014"/>
      <c r="I11122" s="1011" t="str">
        <f>CONCATENATE("&lt;numeroLigne&gt;",C11122,"&lt;/numeroLigne&gt;")</f>
        <v>&lt;numeroLigne&gt;59&lt;/numeroLigne&gt;</v>
      </c>
      <c r="K11122" s="1013"/>
    </row>
    <row r="11123" spans="1:11" s="1011" customFormat="1" ht="15" x14ac:dyDescent="0.25">
      <c r="A11123" s="859">
        <f t="shared" si="218"/>
        <v>11122</v>
      </c>
      <c r="B11123" s="845" t="s">
        <v>2564</v>
      </c>
      <c r="C11123" s="1007">
        <f t="shared" si="219"/>
        <v>59</v>
      </c>
      <c r="D11123" s="1012"/>
      <c r="H11123" s="1011" t="s">
        <v>1010</v>
      </c>
      <c r="K11123" s="1013"/>
    </row>
    <row r="11124" spans="1:11" s="1011" customFormat="1" ht="15" x14ac:dyDescent="0.25">
      <c r="A11124" s="859">
        <f t="shared" si="218"/>
        <v>11123</v>
      </c>
      <c r="B11124" s="845" t="s">
        <v>2564</v>
      </c>
      <c r="C11124" s="1007">
        <f t="shared" si="219"/>
        <v>59</v>
      </c>
      <c r="D11124" s="1015"/>
      <c r="H11124" s="1011" t="s">
        <v>1007</v>
      </c>
      <c r="K11124" s="1013"/>
    </row>
    <row r="11125" spans="1:11" s="1011" customFormat="1" ht="15" x14ac:dyDescent="0.25">
      <c r="A11125" s="859">
        <f t="shared" si="218"/>
        <v>11124</v>
      </c>
      <c r="B11125" s="845" t="s">
        <v>2564</v>
      </c>
      <c r="C11125" s="1007">
        <f t="shared" si="219"/>
        <v>59</v>
      </c>
      <c r="D11125" s="1012"/>
      <c r="I11125" s="1011" t="s">
        <v>2181</v>
      </c>
      <c r="K11125" s="1013"/>
    </row>
    <row r="11126" spans="1:11" s="1011" customFormat="1" ht="15" x14ac:dyDescent="0.25">
      <c r="A11126" s="859">
        <f t="shared" si="218"/>
        <v>11125</v>
      </c>
      <c r="B11126" s="845" t="s">
        <v>2564</v>
      </c>
      <c r="C11126" s="1007">
        <f t="shared" si="219"/>
        <v>59</v>
      </c>
      <c r="D11126" s="1012"/>
      <c r="I11126" s="1011" t="str">
        <f>CONCATENATE("&lt;valeur&gt;",VLOOKUP(C11126,'T16 Amort'!A:K,9,0),"&lt;/valeur&gt;")</f>
        <v>&lt;valeur&gt;&lt;/valeur&gt;</v>
      </c>
      <c r="K11126" s="1013"/>
    </row>
    <row r="11127" spans="1:11" s="1011" customFormat="1" ht="15" x14ac:dyDescent="0.25">
      <c r="A11127" s="859">
        <f t="shared" si="218"/>
        <v>11126</v>
      </c>
      <c r="B11127" s="845" t="s">
        <v>2564</v>
      </c>
      <c r="C11127" s="1007">
        <f t="shared" si="219"/>
        <v>59</v>
      </c>
      <c r="D11127" s="1014"/>
      <c r="I11127" s="1011" t="str">
        <f>CONCATENATE("&lt;numeroLigne&gt;",C11127,"&lt;/numeroLigne&gt;")</f>
        <v>&lt;numeroLigne&gt;59&lt;/numeroLigne&gt;</v>
      </c>
      <c r="K11127" s="1013"/>
    </row>
    <row r="11128" spans="1:11" s="1011" customFormat="1" ht="15" x14ac:dyDescent="0.25">
      <c r="A11128" s="859">
        <f t="shared" si="218"/>
        <v>11127</v>
      </c>
      <c r="B11128" s="845" t="s">
        <v>2564</v>
      </c>
      <c r="C11128" s="1007">
        <f t="shared" si="219"/>
        <v>59</v>
      </c>
      <c r="D11128" s="1014"/>
      <c r="H11128" s="1011" t="s">
        <v>1010</v>
      </c>
      <c r="K11128" s="1013"/>
    </row>
    <row r="11129" spans="1:11" s="1011" customFormat="1" ht="15" x14ac:dyDescent="0.25">
      <c r="A11129" s="859">
        <f t="shared" si="218"/>
        <v>11128</v>
      </c>
      <c r="B11129" s="845" t="s">
        <v>2564</v>
      </c>
      <c r="C11129" s="1007">
        <f t="shared" si="219"/>
        <v>59</v>
      </c>
      <c r="D11129" s="1012"/>
      <c r="H11129" s="1011" t="s">
        <v>1007</v>
      </c>
      <c r="K11129" s="1013"/>
    </row>
    <row r="11130" spans="1:11" s="1011" customFormat="1" ht="15" x14ac:dyDescent="0.25">
      <c r="A11130" s="859">
        <f t="shared" si="218"/>
        <v>11129</v>
      </c>
      <c r="B11130" s="845" t="s">
        <v>2564</v>
      </c>
      <c r="C11130" s="1007">
        <f t="shared" si="219"/>
        <v>59</v>
      </c>
      <c r="D11130" s="1015"/>
      <c r="I11130" s="1011" t="s">
        <v>2182</v>
      </c>
      <c r="K11130" s="1013"/>
    </row>
    <row r="11131" spans="1:11" s="1011" customFormat="1" ht="15" x14ac:dyDescent="0.25">
      <c r="A11131" s="859">
        <f t="shared" si="218"/>
        <v>11130</v>
      </c>
      <c r="B11131" s="845" t="s">
        <v>2564</v>
      </c>
      <c r="C11131" s="1007">
        <f t="shared" si="219"/>
        <v>59</v>
      </c>
      <c r="D11131" s="1012"/>
      <c r="I11131" s="1011" t="str">
        <f>CONCATENATE("&lt;valeur&gt;",VLOOKUP(C11131,'T16 Amort'!A:K,10,0),"&lt;/valeur&gt;")</f>
        <v>&lt;valeur&gt;&lt;/valeur&gt;</v>
      </c>
      <c r="K11131" s="1013"/>
    </row>
    <row r="11132" spans="1:11" s="1011" customFormat="1" ht="15" x14ac:dyDescent="0.25">
      <c r="A11132" s="859">
        <f t="shared" si="218"/>
        <v>11131</v>
      </c>
      <c r="B11132" s="845" t="s">
        <v>2564</v>
      </c>
      <c r="C11132" s="1007">
        <f t="shared" si="219"/>
        <v>59</v>
      </c>
      <c r="D11132" s="1012"/>
      <c r="I11132" s="1011" t="str">
        <f>CONCATENATE("&lt;numeroLigne&gt;",C11132,"&lt;/numeroLigne&gt;")</f>
        <v>&lt;numeroLigne&gt;59&lt;/numeroLigne&gt;</v>
      </c>
      <c r="K11132" s="1013"/>
    </row>
    <row r="11133" spans="1:11" s="1011" customFormat="1" ht="15" x14ac:dyDescent="0.25">
      <c r="A11133" s="859">
        <f t="shared" si="218"/>
        <v>11132</v>
      </c>
      <c r="B11133" s="845" t="s">
        <v>2564</v>
      </c>
      <c r="C11133" s="1007">
        <f t="shared" si="219"/>
        <v>59</v>
      </c>
      <c r="D11133" s="1014"/>
      <c r="H11133" s="1011" t="s">
        <v>1010</v>
      </c>
      <c r="K11133" s="1013"/>
    </row>
    <row r="11134" spans="1:11" s="1011" customFormat="1" ht="15" x14ac:dyDescent="0.25">
      <c r="A11134" s="859">
        <f t="shared" si="218"/>
        <v>11133</v>
      </c>
      <c r="B11134" s="845" t="s">
        <v>2564</v>
      </c>
      <c r="C11134" s="1007">
        <f t="shared" si="219"/>
        <v>59</v>
      </c>
      <c r="D11134" s="1014"/>
      <c r="H11134" s="1011" t="s">
        <v>1007</v>
      </c>
      <c r="K11134" s="1013"/>
    </row>
    <row r="11135" spans="1:11" s="1011" customFormat="1" ht="15" x14ac:dyDescent="0.25">
      <c r="A11135" s="859">
        <f t="shared" si="218"/>
        <v>11134</v>
      </c>
      <c r="B11135" s="845" t="s">
        <v>2564</v>
      </c>
      <c r="C11135" s="1007">
        <f t="shared" si="219"/>
        <v>59</v>
      </c>
      <c r="D11135" s="1012"/>
      <c r="I11135" s="1011" t="s">
        <v>2183</v>
      </c>
      <c r="K11135" s="1013"/>
    </row>
    <row r="11136" spans="1:11" s="1011" customFormat="1" ht="15" x14ac:dyDescent="0.25">
      <c r="A11136" s="859">
        <f t="shared" si="218"/>
        <v>11135</v>
      </c>
      <c r="B11136" s="845" t="s">
        <v>2564</v>
      </c>
      <c r="C11136" s="1007">
        <f t="shared" si="219"/>
        <v>59</v>
      </c>
      <c r="D11136" s="1015"/>
      <c r="I11136" s="1011" t="str">
        <f>CONCATENATE("&lt;valeur&gt;",VLOOKUP(C11136,'T16 Amort'!A:K,11,0),"&lt;/valeur&gt;")</f>
        <v>&lt;valeur&gt;&lt;/valeur&gt;</v>
      </c>
      <c r="K11136" s="1013"/>
    </row>
    <row r="11137" spans="1:11" s="1011" customFormat="1" ht="15" x14ac:dyDescent="0.25">
      <c r="A11137" s="859">
        <f t="shared" si="218"/>
        <v>11136</v>
      </c>
      <c r="B11137" s="845" t="s">
        <v>2564</v>
      </c>
      <c r="C11137" s="1007">
        <f t="shared" si="219"/>
        <v>59</v>
      </c>
      <c r="D11137" s="1012"/>
      <c r="I11137" s="1011" t="str">
        <f>CONCATENATE("&lt;numeroLigne&gt;",C11137,"&lt;/numeroLigne&gt;")</f>
        <v>&lt;numeroLigne&gt;59&lt;/numeroLigne&gt;</v>
      </c>
      <c r="K11137" s="1013"/>
    </row>
    <row r="11138" spans="1:11" s="1011" customFormat="1" ht="15" x14ac:dyDescent="0.25">
      <c r="A11138" s="859">
        <f t="shared" si="218"/>
        <v>11137</v>
      </c>
      <c r="B11138" s="845" t="s">
        <v>2564</v>
      </c>
      <c r="C11138" s="1007">
        <f t="shared" si="219"/>
        <v>59</v>
      </c>
      <c r="D11138" s="1016"/>
      <c r="E11138" s="1017"/>
      <c r="F11138" s="1017"/>
      <c r="G11138" s="1017"/>
      <c r="H11138" s="1017" t="s">
        <v>1010</v>
      </c>
      <c r="I11138" s="1017"/>
      <c r="J11138" s="1017"/>
      <c r="K11138" s="1018"/>
    </row>
    <row r="11139" spans="1:11" s="1011" customFormat="1" ht="15" x14ac:dyDescent="0.25">
      <c r="A11139" s="859">
        <f t="shared" si="218"/>
        <v>11138</v>
      </c>
      <c r="B11139" s="845" t="s">
        <v>2564</v>
      </c>
      <c r="C11139" s="1007">
        <f t="shared" si="219"/>
        <v>60</v>
      </c>
      <c r="D11139" s="1008"/>
      <c r="E11139" s="1009"/>
      <c r="F11139" s="1009"/>
      <c r="G11139" s="1009"/>
      <c r="H11139" s="1009" t="s">
        <v>1007</v>
      </c>
      <c r="I11139" s="1009"/>
      <c r="J11139" s="1009"/>
      <c r="K11139" s="1010"/>
    </row>
    <row r="11140" spans="1:11" s="1011" customFormat="1" ht="15" x14ac:dyDescent="0.25">
      <c r="A11140" s="859">
        <f t="shared" ref="A11140:A11203" si="220">+A11139+1</f>
        <v>11139</v>
      </c>
      <c r="B11140" s="845" t="s">
        <v>2564</v>
      </c>
      <c r="C11140" s="1007">
        <f t="shared" si="219"/>
        <v>60</v>
      </c>
      <c r="D11140" s="1012"/>
      <c r="I11140" s="1011" t="s">
        <v>2174</v>
      </c>
      <c r="K11140" s="1013"/>
    </row>
    <row r="11141" spans="1:11" s="1011" customFormat="1" ht="15" x14ac:dyDescent="0.25">
      <c r="A11141" s="859">
        <f t="shared" si="220"/>
        <v>11140</v>
      </c>
      <c r="B11141" s="845" t="s">
        <v>2564</v>
      </c>
      <c r="C11141" s="1007">
        <f t="shared" si="219"/>
        <v>60</v>
      </c>
      <c r="D11141" s="1014"/>
      <c r="I11141" s="1011" t="str">
        <f>CONCATENATE("&lt;valeur&gt;",VLOOKUP(C11141,'T16 Amort'!A:K,2,0),"&lt;/valeur&gt;")</f>
        <v>&lt;valeur&gt;&lt;/valeur&gt;</v>
      </c>
      <c r="K11141" s="1013"/>
    </row>
    <row r="11142" spans="1:11" s="1011" customFormat="1" ht="15" x14ac:dyDescent="0.25">
      <c r="A11142" s="859">
        <f t="shared" si="220"/>
        <v>11141</v>
      </c>
      <c r="B11142" s="845" t="s">
        <v>2564</v>
      </c>
      <c r="C11142" s="1007">
        <f t="shared" si="219"/>
        <v>60</v>
      </c>
      <c r="D11142" s="1014"/>
      <c r="I11142" s="1011" t="str">
        <f>CONCATENATE("&lt;numeroLigne&gt;",C11142,"&lt;/numeroLigne&gt;")</f>
        <v>&lt;numeroLigne&gt;60&lt;/numeroLigne&gt;</v>
      </c>
      <c r="K11142" s="1013"/>
    </row>
    <row r="11143" spans="1:11" s="1011" customFormat="1" ht="15" x14ac:dyDescent="0.25">
      <c r="A11143" s="859">
        <f t="shared" si="220"/>
        <v>11142</v>
      </c>
      <c r="B11143" s="845" t="s">
        <v>2564</v>
      </c>
      <c r="C11143" s="1007">
        <f t="shared" si="219"/>
        <v>60</v>
      </c>
      <c r="D11143" s="1012"/>
      <c r="H11143" s="1011" t="s">
        <v>1010</v>
      </c>
      <c r="K11143" s="1013"/>
    </row>
    <row r="11144" spans="1:11" s="1011" customFormat="1" ht="15" x14ac:dyDescent="0.25">
      <c r="A11144" s="859">
        <f t="shared" si="220"/>
        <v>11143</v>
      </c>
      <c r="B11144" s="845" t="s">
        <v>2564</v>
      </c>
      <c r="C11144" s="1007">
        <f t="shared" si="219"/>
        <v>60</v>
      </c>
      <c r="D11144" s="1015"/>
      <c r="H11144" s="1011" t="s">
        <v>1007</v>
      </c>
      <c r="K11144" s="1013"/>
    </row>
    <row r="11145" spans="1:11" s="1011" customFormat="1" ht="15" x14ac:dyDescent="0.25">
      <c r="A11145" s="859">
        <f t="shared" si="220"/>
        <v>11144</v>
      </c>
      <c r="B11145" s="845" t="s">
        <v>2564</v>
      </c>
      <c r="C11145" s="1007">
        <f t="shared" si="219"/>
        <v>60</v>
      </c>
      <c r="D11145" s="1012"/>
      <c r="I11145" s="1011" t="s">
        <v>2175</v>
      </c>
      <c r="K11145" s="1013"/>
    </row>
    <row r="11146" spans="1:11" s="1011" customFormat="1" ht="15" x14ac:dyDescent="0.25">
      <c r="A11146" s="859">
        <f t="shared" si="220"/>
        <v>11145</v>
      </c>
      <c r="B11146" s="845" t="s">
        <v>2564</v>
      </c>
      <c r="C11146" s="1007">
        <f t="shared" si="219"/>
        <v>60</v>
      </c>
      <c r="D11146" s="1012"/>
      <c r="I11146" s="1011" t="str">
        <f>CONCATENATE("&lt;valeur&gt;",VLOOKUP(C11146,'T16 Amort'!A:K,3,0),"&lt;/valeur&gt;")</f>
        <v>&lt;valeur&gt;&lt;/valeur&gt;</v>
      </c>
      <c r="K11146" s="1013"/>
    </row>
    <row r="11147" spans="1:11" s="1011" customFormat="1" ht="15" x14ac:dyDescent="0.25">
      <c r="A11147" s="859">
        <f t="shared" si="220"/>
        <v>11146</v>
      </c>
      <c r="B11147" s="845" t="s">
        <v>2564</v>
      </c>
      <c r="C11147" s="1007">
        <f t="shared" si="219"/>
        <v>60</v>
      </c>
      <c r="D11147" s="1014"/>
      <c r="I11147" s="1011" t="str">
        <f>CONCATENATE("&lt;numeroLigne&gt;",C11147,"&lt;/numeroLigne&gt;")</f>
        <v>&lt;numeroLigne&gt;60&lt;/numeroLigne&gt;</v>
      </c>
      <c r="K11147" s="1013"/>
    </row>
    <row r="11148" spans="1:11" s="1011" customFormat="1" ht="15" x14ac:dyDescent="0.25">
      <c r="A11148" s="859">
        <f t="shared" si="220"/>
        <v>11147</v>
      </c>
      <c r="B11148" s="845" t="s">
        <v>2564</v>
      </c>
      <c r="C11148" s="1007">
        <f t="shared" si="219"/>
        <v>60</v>
      </c>
      <c r="D11148" s="1014"/>
      <c r="H11148" s="1011" t="s">
        <v>1010</v>
      </c>
      <c r="K11148" s="1013"/>
    </row>
    <row r="11149" spans="1:11" s="1011" customFormat="1" ht="15" x14ac:dyDescent="0.25">
      <c r="A11149" s="859">
        <f t="shared" si="220"/>
        <v>11148</v>
      </c>
      <c r="B11149" s="845" t="s">
        <v>2564</v>
      </c>
      <c r="C11149" s="1007">
        <f t="shared" si="219"/>
        <v>60</v>
      </c>
      <c r="D11149" s="1012"/>
      <c r="H11149" s="1011" t="s">
        <v>1007</v>
      </c>
      <c r="K11149" s="1013"/>
    </row>
    <row r="11150" spans="1:11" s="1011" customFormat="1" ht="15" x14ac:dyDescent="0.25">
      <c r="A11150" s="859">
        <f t="shared" si="220"/>
        <v>11149</v>
      </c>
      <c r="B11150" s="845" t="s">
        <v>2564</v>
      </c>
      <c r="C11150" s="1007">
        <f t="shared" si="219"/>
        <v>60</v>
      </c>
      <c r="D11150" s="1015"/>
      <c r="I11150" s="1011" t="s">
        <v>2176</v>
      </c>
      <c r="K11150" s="1013"/>
    </row>
    <row r="11151" spans="1:11" s="1011" customFormat="1" ht="15" x14ac:dyDescent="0.25">
      <c r="A11151" s="859">
        <f t="shared" si="220"/>
        <v>11150</v>
      </c>
      <c r="B11151" s="845" t="s">
        <v>2564</v>
      </c>
      <c r="C11151" s="1007">
        <f t="shared" si="219"/>
        <v>60</v>
      </c>
      <c r="D11151" s="1012"/>
      <c r="I11151" s="1011" t="str">
        <f>CONCATENATE("&lt;valeur&gt;",VLOOKUP(C11151,'T16 Amort'!A:K,4,0),"&lt;/valeur&gt;")</f>
        <v>&lt;valeur&gt;&lt;/valeur&gt;</v>
      </c>
      <c r="K11151" s="1013"/>
    </row>
    <row r="11152" spans="1:11" s="1011" customFormat="1" ht="15" x14ac:dyDescent="0.25">
      <c r="A11152" s="859">
        <f t="shared" si="220"/>
        <v>11151</v>
      </c>
      <c r="B11152" s="845" t="s">
        <v>2564</v>
      </c>
      <c r="C11152" s="1007">
        <f t="shared" si="219"/>
        <v>60</v>
      </c>
      <c r="D11152" s="1012"/>
      <c r="I11152" s="1011" t="str">
        <f>CONCATENATE("&lt;numeroLigne&gt;",C11152,"&lt;/numeroLigne&gt;")</f>
        <v>&lt;numeroLigne&gt;60&lt;/numeroLigne&gt;</v>
      </c>
      <c r="K11152" s="1013"/>
    </row>
    <row r="11153" spans="1:11" s="1011" customFormat="1" ht="15" x14ac:dyDescent="0.25">
      <c r="A11153" s="859">
        <f t="shared" si="220"/>
        <v>11152</v>
      </c>
      <c r="B11153" s="845" t="s">
        <v>2564</v>
      </c>
      <c r="C11153" s="1007">
        <f t="shared" si="219"/>
        <v>60</v>
      </c>
      <c r="D11153" s="1014"/>
      <c r="H11153" s="1011" t="s">
        <v>1010</v>
      </c>
      <c r="K11153" s="1013"/>
    </row>
    <row r="11154" spans="1:11" s="1011" customFormat="1" ht="15" x14ac:dyDescent="0.25">
      <c r="A11154" s="859">
        <f t="shared" si="220"/>
        <v>11153</v>
      </c>
      <c r="B11154" s="845" t="s">
        <v>2564</v>
      </c>
      <c r="C11154" s="1007">
        <f t="shared" si="219"/>
        <v>60</v>
      </c>
      <c r="D11154" s="1014"/>
      <c r="H11154" s="1011" t="s">
        <v>1007</v>
      </c>
      <c r="K11154" s="1013"/>
    </row>
    <row r="11155" spans="1:11" s="1011" customFormat="1" ht="15" x14ac:dyDescent="0.25">
      <c r="A11155" s="859">
        <f t="shared" si="220"/>
        <v>11154</v>
      </c>
      <c r="B11155" s="845" t="s">
        <v>2564</v>
      </c>
      <c r="C11155" s="1007">
        <f t="shared" si="219"/>
        <v>60</v>
      </c>
      <c r="D11155" s="1012"/>
      <c r="I11155" s="1011" t="s">
        <v>2177</v>
      </c>
      <c r="K11155" s="1013"/>
    </row>
    <row r="11156" spans="1:11" s="1011" customFormat="1" ht="15" x14ac:dyDescent="0.25">
      <c r="A11156" s="859">
        <f t="shared" si="220"/>
        <v>11155</v>
      </c>
      <c r="B11156" s="845" t="s">
        <v>2564</v>
      </c>
      <c r="C11156" s="1007">
        <f t="shared" si="219"/>
        <v>60</v>
      </c>
      <c r="D11156" s="1015"/>
      <c r="I11156" s="1011" t="str">
        <f>CONCATENATE("&lt;valeur&gt;",VLOOKUP(C11156,'T16 Amort'!A:K,5,0),"&lt;/valeur&gt;")</f>
        <v>&lt;valeur&gt;&lt;/valeur&gt;</v>
      </c>
      <c r="K11156" s="1013"/>
    </row>
    <row r="11157" spans="1:11" s="1011" customFormat="1" ht="15" x14ac:dyDescent="0.25">
      <c r="A11157" s="859">
        <f t="shared" si="220"/>
        <v>11156</v>
      </c>
      <c r="B11157" s="845" t="s">
        <v>2564</v>
      </c>
      <c r="C11157" s="1007">
        <f t="shared" si="219"/>
        <v>60</v>
      </c>
      <c r="D11157" s="1012"/>
      <c r="I11157" s="1011" t="str">
        <f>CONCATENATE("&lt;numeroLigne&gt;",C11157,"&lt;/numeroLigne&gt;")</f>
        <v>&lt;numeroLigne&gt;60&lt;/numeroLigne&gt;</v>
      </c>
      <c r="K11157" s="1013"/>
    </row>
    <row r="11158" spans="1:11" s="1011" customFormat="1" ht="15" x14ac:dyDescent="0.25">
      <c r="A11158" s="859">
        <f t="shared" si="220"/>
        <v>11157</v>
      </c>
      <c r="B11158" s="845" t="s">
        <v>2564</v>
      </c>
      <c r="C11158" s="1007">
        <f t="shared" si="219"/>
        <v>60</v>
      </c>
      <c r="D11158" s="1012"/>
      <c r="H11158" s="1011" t="s">
        <v>1010</v>
      </c>
      <c r="K11158" s="1013"/>
    </row>
    <row r="11159" spans="1:11" s="1011" customFormat="1" ht="15" x14ac:dyDescent="0.25">
      <c r="A11159" s="859">
        <f t="shared" si="220"/>
        <v>11158</v>
      </c>
      <c r="B11159" s="845" t="s">
        <v>2564</v>
      </c>
      <c r="C11159" s="1007">
        <f t="shared" si="219"/>
        <v>60</v>
      </c>
      <c r="D11159" s="1014"/>
      <c r="H11159" s="1011" t="s">
        <v>1007</v>
      </c>
      <c r="K11159" s="1013"/>
    </row>
    <row r="11160" spans="1:11" s="1011" customFormat="1" ht="15" x14ac:dyDescent="0.25">
      <c r="A11160" s="859">
        <f t="shared" si="220"/>
        <v>11159</v>
      </c>
      <c r="B11160" s="845" t="s">
        <v>2564</v>
      </c>
      <c r="C11160" s="1007">
        <f t="shared" si="219"/>
        <v>60</v>
      </c>
      <c r="D11160" s="1014"/>
      <c r="I11160" s="1011" t="s">
        <v>2178</v>
      </c>
      <c r="K11160" s="1013"/>
    </row>
    <row r="11161" spans="1:11" s="1011" customFormat="1" ht="15" x14ac:dyDescent="0.25">
      <c r="A11161" s="859">
        <f t="shared" si="220"/>
        <v>11160</v>
      </c>
      <c r="B11161" s="845" t="s">
        <v>2564</v>
      </c>
      <c r="C11161" s="1007">
        <f t="shared" si="219"/>
        <v>60</v>
      </c>
      <c r="D11161" s="1012"/>
      <c r="I11161" s="1011" t="str">
        <f>CONCATENATE("&lt;valeur&gt;",VLOOKUP(C11161,'T16 Amort'!A:K,6,0),"&lt;/valeur&gt;")</f>
        <v>&lt;valeur&gt;&lt;/valeur&gt;</v>
      </c>
      <c r="K11161" s="1013"/>
    </row>
    <row r="11162" spans="1:11" s="1011" customFormat="1" ht="15" x14ac:dyDescent="0.25">
      <c r="A11162" s="859">
        <f t="shared" si="220"/>
        <v>11161</v>
      </c>
      <c r="B11162" s="845" t="s">
        <v>2564</v>
      </c>
      <c r="C11162" s="1007">
        <f t="shared" si="219"/>
        <v>60</v>
      </c>
      <c r="D11162" s="1015"/>
      <c r="I11162" s="1011" t="str">
        <f>CONCATENATE("&lt;numeroLigne&gt;",C11162,"&lt;/numeroLigne&gt;")</f>
        <v>&lt;numeroLigne&gt;60&lt;/numeroLigne&gt;</v>
      </c>
      <c r="K11162" s="1013"/>
    </row>
    <row r="11163" spans="1:11" s="1011" customFormat="1" ht="15" x14ac:dyDescent="0.25">
      <c r="A11163" s="859">
        <f t="shared" si="220"/>
        <v>11162</v>
      </c>
      <c r="B11163" s="845" t="s">
        <v>2564</v>
      </c>
      <c r="C11163" s="1007">
        <f t="shared" si="219"/>
        <v>60</v>
      </c>
      <c r="D11163" s="1012"/>
      <c r="H11163" s="1011" t="s">
        <v>1010</v>
      </c>
      <c r="K11163" s="1013"/>
    </row>
    <row r="11164" spans="1:11" s="1011" customFormat="1" ht="15" x14ac:dyDescent="0.25">
      <c r="A11164" s="859">
        <f t="shared" si="220"/>
        <v>11163</v>
      </c>
      <c r="B11164" s="845" t="s">
        <v>2564</v>
      </c>
      <c r="C11164" s="1007">
        <f t="shared" si="219"/>
        <v>60</v>
      </c>
      <c r="D11164" s="1012"/>
      <c r="H11164" s="1011" t="s">
        <v>1007</v>
      </c>
      <c r="K11164" s="1013"/>
    </row>
    <row r="11165" spans="1:11" s="1011" customFormat="1" ht="15" x14ac:dyDescent="0.25">
      <c r="A11165" s="859">
        <f t="shared" si="220"/>
        <v>11164</v>
      </c>
      <c r="B11165" s="845" t="s">
        <v>2564</v>
      </c>
      <c r="C11165" s="1007">
        <f t="shared" si="219"/>
        <v>60</v>
      </c>
      <c r="D11165" s="1014"/>
      <c r="I11165" s="1011" t="s">
        <v>2179</v>
      </c>
      <c r="K11165" s="1013"/>
    </row>
    <row r="11166" spans="1:11" s="1011" customFormat="1" ht="15" x14ac:dyDescent="0.25">
      <c r="A11166" s="859">
        <f t="shared" si="220"/>
        <v>11165</v>
      </c>
      <c r="B11166" s="845" t="s">
        <v>2564</v>
      </c>
      <c r="C11166" s="1007">
        <f t="shared" si="219"/>
        <v>60</v>
      </c>
      <c r="D11166" s="1014"/>
      <c r="I11166" s="1011" t="str">
        <f>CONCATENATE("&lt;valeur&gt;",VLOOKUP(C11166,'T16 Amort'!A:K,7,0),"&lt;/valeur&gt;")</f>
        <v>&lt;valeur&gt;&lt;/valeur&gt;</v>
      </c>
      <c r="K11166" s="1013"/>
    </row>
    <row r="11167" spans="1:11" s="1011" customFormat="1" ht="15" x14ac:dyDescent="0.25">
      <c r="A11167" s="859">
        <f t="shared" si="220"/>
        <v>11166</v>
      </c>
      <c r="B11167" s="845" t="s">
        <v>2564</v>
      </c>
      <c r="C11167" s="1007">
        <f t="shared" si="219"/>
        <v>60</v>
      </c>
      <c r="D11167" s="1012"/>
      <c r="I11167" s="1011" t="str">
        <f>CONCATENATE("&lt;numeroLigne&gt;",C11167,"&lt;/numeroLigne&gt;")</f>
        <v>&lt;numeroLigne&gt;60&lt;/numeroLigne&gt;</v>
      </c>
      <c r="K11167" s="1013"/>
    </row>
    <row r="11168" spans="1:11" s="1011" customFormat="1" ht="15" x14ac:dyDescent="0.25">
      <c r="A11168" s="859">
        <f t="shared" si="220"/>
        <v>11167</v>
      </c>
      <c r="B11168" s="845" t="s">
        <v>2564</v>
      </c>
      <c r="C11168" s="1007">
        <f t="shared" si="219"/>
        <v>60</v>
      </c>
      <c r="D11168" s="1015"/>
      <c r="H11168" s="1011" t="s">
        <v>1010</v>
      </c>
      <c r="K11168" s="1013"/>
    </row>
    <row r="11169" spans="1:11" s="1011" customFormat="1" ht="15" x14ac:dyDescent="0.25">
      <c r="A11169" s="859">
        <f t="shared" si="220"/>
        <v>11168</v>
      </c>
      <c r="B11169" s="845" t="s">
        <v>2564</v>
      </c>
      <c r="C11169" s="1007">
        <f t="shared" si="219"/>
        <v>60</v>
      </c>
      <c r="D11169" s="1012"/>
      <c r="H11169" s="1011" t="s">
        <v>1007</v>
      </c>
      <c r="K11169" s="1013"/>
    </row>
    <row r="11170" spans="1:11" s="1011" customFormat="1" ht="15" x14ac:dyDescent="0.25">
      <c r="A11170" s="859">
        <f t="shared" si="220"/>
        <v>11169</v>
      </c>
      <c r="B11170" s="845" t="s">
        <v>2564</v>
      </c>
      <c r="C11170" s="1007">
        <f t="shared" si="219"/>
        <v>60</v>
      </c>
      <c r="D11170" s="1012"/>
      <c r="I11170" s="1011" t="s">
        <v>2180</v>
      </c>
      <c r="K11170" s="1013"/>
    </row>
    <row r="11171" spans="1:11" s="1011" customFormat="1" ht="15" x14ac:dyDescent="0.25">
      <c r="A11171" s="859">
        <f t="shared" si="220"/>
        <v>11170</v>
      </c>
      <c r="B11171" s="845" t="s">
        <v>2564</v>
      </c>
      <c r="C11171" s="1007">
        <f t="shared" si="219"/>
        <v>60</v>
      </c>
      <c r="D11171" s="1014"/>
      <c r="I11171" s="1011" t="str">
        <f>CONCATENATE("&lt;valeur&gt;",VLOOKUP(C11171,'T16 Amort'!A:K,8,0),"&lt;/valeur&gt;")</f>
        <v>&lt;valeur&gt;&lt;/valeur&gt;</v>
      </c>
      <c r="K11171" s="1013"/>
    </row>
    <row r="11172" spans="1:11" s="1011" customFormat="1" ht="15" x14ac:dyDescent="0.25">
      <c r="A11172" s="859">
        <f t="shared" si="220"/>
        <v>11171</v>
      </c>
      <c r="B11172" s="845" t="s">
        <v>2564</v>
      </c>
      <c r="C11172" s="1007">
        <f t="shared" si="219"/>
        <v>60</v>
      </c>
      <c r="D11172" s="1014"/>
      <c r="I11172" s="1011" t="str">
        <f>CONCATENATE("&lt;numeroLigne&gt;",C11172,"&lt;/numeroLigne&gt;")</f>
        <v>&lt;numeroLigne&gt;60&lt;/numeroLigne&gt;</v>
      </c>
      <c r="K11172" s="1013"/>
    </row>
    <row r="11173" spans="1:11" s="1011" customFormat="1" ht="15" x14ac:dyDescent="0.25">
      <c r="A11173" s="859">
        <f t="shared" si="220"/>
        <v>11172</v>
      </c>
      <c r="B11173" s="845" t="s">
        <v>2564</v>
      </c>
      <c r="C11173" s="1007">
        <f t="shared" si="219"/>
        <v>60</v>
      </c>
      <c r="D11173" s="1012"/>
      <c r="H11173" s="1011" t="s">
        <v>1010</v>
      </c>
      <c r="K11173" s="1013"/>
    </row>
    <row r="11174" spans="1:11" s="1011" customFormat="1" ht="15" x14ac:dyDescent="0.25">
      <c r="A11174" s="859">
        <f t="shared" si="220"/>
        <v>11173</v>
      </c>
      <c r="B11174" s="845" t="s">
        <v>2564</v>
      </c>
      <c r="C11174" s="1007">
        <f t="shared" si="219"/>
        <v>60</v>
      </c>
      <c r="D11174" s="1015"/>
      <c r="H11174" s="1011" t="s">
        <v>1007</v>
      </c>
      <c r="K11174" s="1013"/>
    </row>
    <row r="11175" spans="1:11" s="1011" customFormat="1" ht="15" x14ac:dyDescent="0.25">
      <c r="A11175" s="859">
        <f t="shared" si="220"/>
        <v>11174</v>
      </c>
      <c r="B11175" s="845" t="s">
        <v>2564</v>
      </c>
      <c r="C11175" s="1007">
        <f t="shared" si="219"/>
        <v>60</v>
      </c>
      <c r="D11175" s="1012"/>
      <c r="I11175" s="1011" t="s">
        <v>2181</v>
      </c>
      <c r="K11175" s="1013"/>
    </row>
    <row r="11176" spans="1:11" s="1011" customFormat="1" ht="15" x14ac:dyDescent="0.25">
      <c r="A11176" s="859">
        <f t="shared" si="220"/>
        <v>11175</v>
      </c>
      <c r="B11176" s="845" t="s">
        <v>2564</v>
      </c>
      <c r="C11176" s="1007">
        <f t="shared" si="219"/>
        <v>60</v>
      </c>
      <c r="D11176" s="1012"/>
      <c r="I11176" s="1011" t="str">
        <f>CONCATENATE("&lt;valeur&gt;",VLOOKUP(C11176,'T16 Amort'!A:K,9,0),"&lt;/valeur&gt;")</f>
        <v>&lt;valeur&gt;&lt;/valeur&gt;</v>
      </c>
      <c r="K11176" s="1013"/>
    </row>
    <row r="11177" spans="1:11" s="1011" customFormat="1" ht="15" x14ac:dyDescent="0.25">
      <c r="A11177" s="859">
        <f t="shared" si="220"/>
        <v>11176</v>
      </c>
      <c r="B11177" s="845" t="s">
        <v>2564</v>
      </c>
      <c r="C11177" s="1007">
        <f t="shared" si="219"/>
        <v>60</v>
      </c>
      <c r="D11177" s="1014"/>
      <c r="I11177" s="1011" t="str">
        <f>CONCATENATE("&lt;numeroLigne&gt;",C11177,"&lt;/numeroLigne&gt;")</f>
        <v>&lt;numeroLigne&gt;60&lt;/numeroLigne&gt;</v>
      </c>
      <c r="K11177" s="1013"/>
    </row>
    <row r="11178" spans="1:11" s="1011" customFormat="1" ht="15" x14ac:dyDescent="0.25">
      <c r="A11178" s="859">
        <f t="shared" si="220"/>
        <v>11177</v>
      </c>
      <c r="B11178" s="845" t="s">
        <v>2564</v>
      </c>
      <c r="C11178" s="1007">
        <f t="shared" si="219"/>
        <v>60</v>
      </c>
      <c r="D11178" s="1014"/>
      <c r="H11178" s="1011" t="s">
        <v>1010</v>
      </c>
      <c r="K11178" s="1013"/>
    </row>
    <row r="11179" spans="1:11" s="1011" customFormat="1" ht="15" x14ac:dyDescent="0.25">
      <c r="A11179" s="859">
        <f t="shared" si="220"/>
        <v>11178</v>
      </c>
      <c r="B11179" s="845" t="s">
        <v>2564</v>
      </c>
      <c r="C11179" s="1007">
        <f t="shared" si="219"/>
        <v>60</v>
      </c>
      <c r="D11179" s="1012"/>
      <c r="H11179" s="1011" t="s">
        <v>1007</v>
      </c>
      <c r="K11179" s="1013"/>
    </row>
    <row r="11180" spans="1:11" s="1011" customFormat="1" ht="15" x14ac:dyDescent="0.25">
      <c r="A11180" s="859">
        <f t="shared" si="220"/>
        <v>11179</v>
      </c>
      <c r="B11180" s="845" t="s">
        <v>2564</v>
      </c>
      <c r="C11180" s="1007">
        <f t="shared" si="219"/>
        <v>60</v>
      </c>
      <c r="D11180" s="1015"/>
      <c r="I11180" s="1011" t="s">
        <v>2182</v>
      </c>
      <c r="K11180" s="1013"/>
    </row>
    <row r="11181" spans="1:11" s="1011" customFormat="1" ht="15" x14ac:dyDescent="0.25">
      <c r="A11181" s="859">
        <f t="shared" si="220"/>
        <v>11180</v>
      </c>
      <c r="B11181" s="845" t="s">
        <v>2564</v>
      </c>
      <c r="C11181" s="1007">
        <f t="shared" si="219"/>
        <v>60</v>
      </c>
      <c r="D11181" s="1012"/>
      <c r="I11181" s="1011" t="str">
        <f>CONCATENATE("&lt;valeur&gt;",VLOOKUP(C11181,'T16 Amort'!A:K,10,0),"&lt;/valeur&gt;")</f>
        <v>&lt;valeur&gt;&lt;/valeur&gt;</v>
      </c>
      <c r="K11181" s="1013"/>
    </row>
    <row r="11182" spans="1:11" s="1011" customFormat="1" ht="15" x14ac:dyDescent="0.25">
      <c r="A11182" s="859">
        <f t="shared" si="220"/>
        <v>11181</v>
      </c>
      <c r="B11182" s="845" t="s">
        <v>2564</v>
      </c>
      <c r="C11182" s="1007">
        <f t="shared" si="219"/>
        <v>60</v>
      </c>
      <c r="D11182" s="1012"/>
      <c r="I11182" s="1011" t="str">
        <f>CONCATENATE("&lt;numeroLigne&gt;",C11182,"&lt;/numeroLigne&gt;")</f>
        <v>&lt;numeroLigne&gt;60&lt;/numeroLigne&gt;</v>
      </c>
      <c r="K11182" s="1013"/>
    </row>
    <row r="11183" spans="1:11" s="1011" customFormat="1" ht="15" x14ac:dyDescent="0.25">
      <c r="A11183" s="859">
        <f t="shared" si="220"/>
        <v>11182</v>
      </c>
      <c r="B11183" s="845" t="s">
        <v>2564</v>
      </c>
      <c r="C11183" s="1007">
        <f t="shared" ref="C11183:C11246" si="221">C11133+1</f>
        <v>60</v>
      </c>
      <c r="D11183" s="1014"/>
      <c r="H11183" s="1011" t="s">
        <v>1010</v>
      </c>
      <c r="K11183" s="1013"/>
    </row>
    <row r="11184" spans="1:11" s="1011" customFormat="1" ht="15" x14ac:dyDescent="0.25">
      <c r="A11184" s="859">
        <f t="shared" si="220"/>
        <v>11183</v>
      </c>
      <c r="B11184" s="845" t="s">
        <v>2564</v>
      </c>
      <c r="C11184" s="1007">
        <f t="shared" si="221"/>
        <v>60</v>
      </c>
      <c r="D11184" s="1014"/>
      <c r="H11184" s="1011" t="s">
        <v>1007</v>
      </c>
      <c r="K11184" s="1013"/>
    </row>
    <row r="11185" spans="1:11" s="1011" customFormat="1" ht="15" x14ac:dyDescent="0.25">
      <c r="A11185" s="859">
        <f t="shared" si="220"/>
        <v>11184</v>
      </c>
      <c r="B11185" s="845" t="s">
        <v>2564</v>
      </c>
      <c r="C11185" s="1007">
        <f t="shared" si="221"/>
        <v>60</v>
      </c>
      <c r="D11185" s="1012"/>
      <c r="I11185" s="1011" t="s">
        <v>2183</v>
      </c>
      <c r="K11185" s="1013"/>
    </row>
    <row r="11186" spans="1:11" s="1011" customFormat="1" ht="15" x14ac:dyDescent="0.25">
      <c r="A11186" s="859">
        <f t="shared" si="220"/>
        <v>11185</v>
      </c>
      <c r="B11186" s="845" t="s">
        <v>2564</v>
      </c>
      <c r="C11186" s="1007">
        <f t="shared" si="221"/>
        <v>60</v>
      </c>
      <c r="D11186" s="1015"/>
      <c r="I11186" s="1011" t="str">
        <f>CONCATENATE("&lt;valeur&gt;",VLOOKUP(C11186,'T16 Amort'!A:K,11,0),"&lt;/valeur&gt;")</f>
        <v>&lt;valeur&gt;&lt;/valeur&gt;</v>
      </c>
      <c r="K11186" s="1013"/>
    </row>
    <row r="11187" spans="1:11" s="1011" customFormat="1" ht="15" x14ac:dyDescent="0.25">
      <c r="A11187" s="859">
        <f t="shared" si="220"/>
        <v>11186</v>
      </c>
      <c r="B11187" s="845" t="s">
        <v>2564</v>
      </c>
      <c r="C11187" s="1007">
        <f t="shared" si="221"/>
        <v>60</v>
      </c>
      <c r="D11187" s="1012"/>
      <c r="I11187" s="1011" t="str">
        <f>CONCATENATE("&lt;numeroLigne&gt;",C11187,"&lt;/numeroLigne&gt;")</f>
        <v>&lt;numeroLigne&gt;60&lt;/numeroLigne&gt;</v>
      </c>
      <c r="K11187" s="1013"/>
    </row>
    <row r="11188" spans="1:11" s="1011" customFormat="1" ht="15" x14ac:dyDescent="0.25">
      <c r="A11188" s="859">
        <f t="shared" si="220"/>
        <v>11187</v>
      </c>
      <c r="B11188" s="845" t="s">
        <v>2564</v>
      </c>
      <c r="C11188" s="1007">
        <f t="shared" si="221"/>
        <v>60</v>
      </c>
      <c r="D11188" s="1016"/>
      <c r="E11188" s="1017"/>
      <c r="F11188" s="1017"/>
      <c r="G11188" s="1017"/>
      <c r="H11188" s="1017" t="s">
        <v>1010</v>
      </c>
      <c r="I11188" s="1017"/>
      <c r="J11188" s="1017"/>
      <c r="K11188" s="1018"/>
    </row>
    <row r="11189" spans="1:11" s="1011" customFormat="1" ht="15" x14ac:dyDescent="0.25">
      <c r="A11189" s="859">
        <f t="shared" si="220"/>
        <v>11188</v>
      </c>
      <c r="B11189" s="845" t="s">
        <v>2564</v>
      </c>
      <c r="C11189" s="1007">
        <f t="shared" si="221"/>
        <v>61</v>
      </c>
      <c r="D11189" s="1008"/>
      <c r="E11189" s="1009"/>
      <c r="F11189" s="1009"/>
      <c r="G11189" s="1009"/>
      <c r="H11189" s="1009" t="s">
        <v>1007</v>
      </c>
      <c r="I11189" s="1009"/>
      <c r="J11189" s="1009"/>
      <c r="K11189" s="1010"/>
    </row>
    <row r="11190" spans="1:11" s="1011" customFormat="1" ht="15" x14ac:dyDescent="0.25">
      <c r="A11190" s="859">
        <f t="shared" si="220"/>
        <v>11189</v>
      </c>
      <c r="B11190" s="845" t="s">
        <v>2564</v>
      </c>
      <c r="C11190" s="1007">
        <f t="shared" si="221"/>
        <v>61</v>
      </c>
      <c r="D11190" s="1012"/>
      <c r="I11190" s="1011" t="s">
        <v>2174</v>
      </c>
      <c r="K11190" s="1013"/>
    </row>
    <row r="11191" spans="1:11" s="1011" customFormat="1" ht="15" x14ac:dyDescent="0.25">
      <c r="A11191" s="859">
        <f t="shared" si="220"/>
        <v>11190</v>
      </c>
      <c r="B11191" s="845" t="s">
        <v>2564</v>
      </c>
      <c r="C11191" s="1007">
        <f t="shared" si="221"/>
        <v>61</v>
      </c>
      <c r="D11191" s="1014"/>
      <c r="I11191" s="1011" t="str">
        <f>CONCATENATE("&lt;valeur&gt;",VLOOKUP(C11191,'T16 Amort'!A:K,2,0),"&lt;/valeur&gt;")</f>
        <v>&lt;valeur&gt;&lt;/valeur&gt;</v>
      </c>
      <c r="K11191" s="1013"/>
    </row>
    <row r="11192" spans="1:11" s="1011" customFormat="1" ht="15" x14ac:dyDescent="0.25">
      <c r="A11192" s="859">
        <f t="shared" si="220"/>
        <v>11191</v>
      </c>
      <c r="B11192" s="845" t="s">
        <v>2564</v>
      </c>
      <c r="C11192" s="1007">
        <f t="shared" si="221"/>
        <v>61</v>
      </c>
      <c r="D11192" s="1014"/>
      <c r="I11192" s="1011" t="str">
        <f>CONCATENATE("&lt;numeroLigne&gt;",C11192,"&lt;/numeroLigne&gt;")</f>
        <v>&lt;numeroLigne&gt;61&lt;/numeroLigne&gt;</v>
      </c>
      <c r="K11192" s="1013"/>
    </row>
    <row r="11193" spans="1:11" s="1011" customFormat="1" ht="15" x14ac:dyDescent="0.25">
      <c r="A11193" s="859">
        <f t="shared" si="220"/>
        <v>11192</v>
      </c>
      <c r="B11193" s="845" t="s">
        <v>2564</v>
      </c>
      <c r="C11193" s="1007">
        <f t="shared" si="221"/>
        <v>61</v>
      </c>
      <c r="D11193" s="1012"/>
      <c r="H11193" s="1011" t="s">
        <v>1010</v>
      </c>
      <c r="K11193" s="1013"/>
    </row>
    <row r="11194" spans="1:11" s="1011" customFormat="1" ht="15" x14ac:dyDescent="0.25">
      <c r="A11194" s="859">
        <f t="shared" si="220"/>
        <v>11193</v>
      </c>
      <c r="B11194" s="845" t="s">
        <v>2564</v>
      </c>
      <c r="C11194" s="1007">
        <f t="shared" si="221"/>
        <v>61</v>
      </c>
      <c r="D11194" s="1015"/>
      <c r="H11194" s="1011" t="s">
        <v>1007</v>
      </c>
      <c r="K11194" s="1013"/>
    </row>
    <row r="11195" spans="1:11" s="1011" customFormat="1" ht="15" x14ac:dyDescent="0.25">
      <c r="A11195" s="859">
        <f t="shared" si="220"/>
        <v>11194</v>
      </c>
      <c r="B11195" s="845" t="s">
        <v>2564</v>
      </c>
      <c r="C11195" s="1007">
        <f t="shared" si="221"/>
        <v>61</v>
      </c>
      <c r="D11195" s="1012"/>
      <c r="I11195" s="1011" t="s">
        <v>2175</v>
      </c>
      <c r="K11195" s="1013"/>
    </row>
    <row r="11196" spans="1:11" s="1011" customFormat="1" ht="15" x14ac:dyDescent="0.25">
      <c r="A11196" s="859">
        <f t="shared" si="220"/>
        <v>11195</v>
      </c>
      <c r="B11196" s="845" t="s">
        <v>2564</v>
      </c>
      <c r="C11196" s="1007">
        <f t="shared" si="221"/>
        <v>61</v>
      </c>
      <c r="D11196" s="1012"/>
      <c r="I11196" s="1011" t="str">
        <f>CONCATENATE("&lt;valeur&gt;",VLOOKUP(C11196,'T16 Amort'!A:K,3,0),"&lt;/valeur&gt;")</f>
        <v>&lt;valeur&gt;&lt;/valeur&gt;</v>
      </c>
      <c r="K11196" s="1013"/>
    </row>
    <row r="11197" spans="1:11" s="1011" customFormat="1" ht="15" x14ac:dyDescent="0.25">
      <c r="A11197" s="859">
        <f t="shared" si="220"/>
        <v>11196</v>
      </c>
      <c r="B11197" s="845" t="s">
        <v>2564</v>
      </c>
      <c r="C11197" s="1007">
        <f t="shared" si="221"/>
        <v>61</v>
      </c>
      <c r="D11197" s="1014"/>
      <c r="I11197" s="1011" t="str">
        <f>CONCATENATE("&lt;numeroLigne&gt;",C11197,"&lt;/numeroLigne&gt;")</f>
        <v>&lt;numeroLigne&gt;61&lt;/numeroLigne&gt;</v>
      </c>
      <c r="K11197" s="1013"/>
    </row>
    <row r="11198" spans="1:11" s="1011" customFormat="1" ht="15" x14ac:dyDescent="0.25">
      <c r="A11198" s="859">
        <f t="shared" si="220"/>
        <v>11197</v>
      </c>
      <c r="B11198" s="845" t="s">
        <v>2564</v>
      </c>
      <c r="C11198" s="1007">
        <f t="shared" si="221"/>
        <v>61</v>
      </c>
      <c r="D11198" s="1014"/>
      <c r="H11198" s="1011" t="s">
        <v>1010</v>
      </c>
      <c r="K11198" s="1013"/>
    </row>
    <row r="11199" spans="1:11" s="1011" customFormat="1" ht="15" x14ac:dyDescent="0.25">
      <c r="A11199" s="859">
        <f t="shared" si="220"/>
        <v>11198</v>
      </c>
      <c r="B11199" s="845" t="s">
        <v>2564</v>
      </c>
      <c r="C11199" s="1007">
        <f t="shared" si="221"/>
        <v>61</v>
      </c>
      <c r="D11199" s="1012"/>
      <c r="H11199" s="1011" t="s">
        <v>1007</v>
      </c>
      <c r="K11199" s="1013"/>
    </row>
    <row r="11200" spans="1:11" s="1011" customFormat="1" ht="15" x14ac:dyDescent="0.25">
      <c r="A11200" s="859">
        <f t="shared" si="220"/>
        <v>11199</v>
      </c>
      <c r="B11200" s="845" t="s">
        <v>2564</v>
      </c>
      <c r="C11200" s="1007">
        <f t="shared" si="221"/>
        <v>61</v>
      </c>
      <c r="D11200" s="1015"/>
      <c r="I11200" s="1011" t="s">
        <v>2176</v>
      </c>
      <c r="K11200" s="1013"/>
    </row>
    <row r="11201" spans="1:11" s="1011" customFormat="1" ht="15" x14ac:dyDescent="0.25">
      <c r="A11201" s="859">
        <f t="shared" si="220"/>
        <v>11200</v>
      </c>
      <c r="B11201" s="845" t="s">
        <v>2564</v>
      </c>
      <c r="C11201" s="1007">
        <f t="shared" si="221"/>
        <v>61</v>
      </c>
      <c r="D11201" s="1012"/>
      <c r="I11201" s="1011" t="str">
        <f>CONCATENATE("&lt;valeur&gt;",VLOOKUP(C11201,'T16 Amort'!A:K,4,0),"&lt;/valeur&gt;")</f>
        <v>&lt;valeur&gt;&lt;/valeur&gt;</v>
      </c>
      <c r="K11201" s="1013"/>
    </row>
    <row r="11202" spans="1:11" s="1011" customFormat="1" ht="15" x14ac:dyDescent="0.25">
      <c r="A11202" s="859">
        <f t="shared" si="220"/>
        <v>11201</v>
      </c>
      <c r="B11202" s="845" t="s">
        <v>2564</v>
      </c>
      <c r="C11202" s="1007">
        <f t="shared" si="221"/>
        <v>61</v>
      </c>
      <c r="D11202" s="1012"/>
      <c r="I11202" s="1011" t="str">
        <f>CONCATENATE("&lt;numeroLigne&gt;",C11202,"&lt;/numeroLigne&gt;")</f>
        <v>&lt;numeroLigne&gt;61&lt;/numeroLigne&gt;</v>
      </c>
      <c r="K11202" s="1013"/>
    </row>
    <row r="11203" spans="1:11" s="1011" customFormat="1" ht="15" x14ac:dyDescent="0.25">
      <c r="A11203" s="859">
        <f t="shared" si="220"/>
        <v>11202</v>
      </c>
      <c r="B11203" s="845" t="s">
        <v>2564</v>
      </c>
      <c r="C11203" s="1007">
        <f t="shared" si="221"/>
        <v>61</v>
      </c>
      <c r="D11203" s="1014"/>
      <c r="H11203" s="1011" t="s">
        <v>1010</v>
      </c>
      <c r="K11203" s="1013"/>
    </row>
    <row r="11204" spans="1:11" s="1011" customFormat="1" ht="15" x14ac:dyDescent="0.25">
      <c r="A11204" s="859">
        <f t="shared" ref="A11204:A11267" si="222">+A11203+1</f>
        <v>11203</v>
      </c>
      <c r="B11204" s="845" t="s">
        <v>2564</v>
      </c>
      <c r="C11204" s="1007">
        <f t="shared" si="221"/>
        <v>61</v>
      </c>
      <c r="D11204" s="1014"/>
      <c r="H11204" s="1011" t="s">
        <v>1007</v>
      </c>
      <c r="K11204" s="1013"/>
    </row>
    <row r="11205" spans="1:11" s="1011" customFormat="1" ht="15" x14ac:dyDescent="0.25">
      <c r="A11205" s="859">
        <f t="shared" si="222"/>
        <v>11204</v>
      </c>
      <c r="B11205" s="845" t="s">
        <v>2564</v>
      </c>
      <c r="C11205" s="1007">
        <f t="shared" si="221"/>
        <v>61</v>
      </c>
      <c r="D11205" s="1012"/>
      <c r="I11205" s="1011" t="s">
        <v>2177</v>
      </c>
      <c r="K11205" s="1013"/>
    </row>
    <row r="11206" spans="1:11" s="1011" customFormat="1" ht="15" x14ac:dyDescent="0.25">
      <c r="A11206" s="859">
        <f t="shared" si="222"/>
        <v>11205</v>
      </c>
      <c r="B11206" s="845" t="s">
        <v>2564</v>
      </c>
      <c r="C11206" s="1007">
        <f t="shared" si="221"/>
        <v>61</v>
      </c>
      <c r="D11206" s="1015"/>
      <c r="I11206" s="1011" t="str">
        <f>CONCATENATE("&lt;valeur&gt;",VLOOKUP(C11206,'T16 Amort'!A:K,5,0),"&lt;/valeur&gt;")</f>
        <v>&lt;valeur&gt;&lt;/valeur&gt;</v>
      </c>
      <c r="K11206" s="1013"/>
    </row>
    <row r="11207" spans="1:11" s="1011" customFormat="1" ht="15" x14ac:dyDescent="0.25">
      <c r="A11207" s="859">
        <f t="shared" si="222"/>
        <v>11206</v>
      </c>
      <c r="B11207" s="845" t="s">
        <v>2564</v>
      </c>
      <c r="C11207" s="1007">
        <f t="shared" si="221"/>
        <v>61</v>
      </c>
      <c r="D11207" s="1012"/>
      <c r="I11207" s="1011" t="str">
        <f>CONCATENATE("&lt;numeroLigne&gt;",C11207,"&lt;/numeroLigne&gt;")</f>
        <v>&lt;numeroLigne&gt;61&lt;/numeroLigne&gt;</v>
      </c>
      <c r="K11207" s="1013"/>
    </row>
    <row r="11208" spans="1:11" s="1011" customFormat="1" ht="15" x14ac:dyDescent="0.25">
      <c r="A11208" s="859">
        <f t="shared" si="222"/>
        <v>11207</v>
      </c>
      <c r="B11208" s="845" t="s">
        <v>2564</v>
      </c>
      <c r="C11208" s="1007">
        <f t="shared" si="221"/>
        <v>61</v>
      </c>
      <c r="D11208" s="1012"/>
      <c r="H11208" s="1011" t="s">
        <v>1010</v>
      </c>
      <c r="K11208" s="1013"/>
    </row>
    <row r="11209" spans="1:11" s="1011" customFormat="1" ht="15" x14ac:dyDescent="0.25">
      <c r="A11209" s="859">
        <f t="shared" si="222"/>
        <v>11208</v>
      </c>
      <c r="B11209" s="845" t="s">
        <v>2564</v>
      </c>
      <c r="C11209" s="1007">
        <f t="shared" si="221"/>
        <v>61</v>
      </c>
      <c r="D11209" s="1014"/>
      <c r="H11209" s="1011" t="s">
        <v>1007</v>
      </c>
      <c r="K11209" s="1013"/>
    </row>
    <row r="11210" spans="1:11" s="1011" customFormat="1" ht="15" x14ac:dyDescent="0.25">
      <c r="A11210" s="859">
        <f t="shared" si="222"/>
        <v>11209</v>
      </c>
      <c r="B11210" s="845" t="s">
        <v>2564</v>
      </c>
      <c r="C11210" s="1007">
        <f t="shared" si="221"/>
        <v>61</v>
      </c>
      <c r="D11210" s="1014"/>
      <c r="I11210" s="1011" t="s">
        <v>2178</v>
      </c>
      <c r="K11210" s="1013"/>
    </row>
    <row r="11211" spans="1:11" s="1011" customFormat="1" ht="15" x14ac:dyDescent="0.25">
      <c r="A11211" s="859">
        <f t="shared" si="222"/>
        <v>11210</v>
      </c>
      <c r="B11211" s="845" t="s">
        <v>2564</v>
      </c>
      <c r="C11211" s="1007">
        <f t="shared" si="221"/>
        <v>61</v>
      </c>
      <c r="D11211" s="1012"/>
      <c r="I11211" s="1011" t="str">
        <f>CONCATENATE("&lt;valeur&gt;",VLOOKUP(C11211,'T16 Amort'!A:K,6,0),"&lt;/valeur&gt;")</f>
        <v>&lt;valeur&gt;&lt;/valeur&gt;</v>
      </c>
      <c r="K11211" s="1013"/>
    </row>
    <row r="11212" spans="1:11" s="1011" customFormat="1" ht="15" x14ac:dyDescent="0.25">
      <c r="A11212" s="859">
        <f t="shared" si="222"/>
        <v>11211</v>
      </c>
      <c r="B11212" s="845" t="s">
        <v>2564</v>
      </c>
      <c r="C11212" s="1007">
        <f t="shared" si="221"/>
        <v>61</v>
      </c>
      <c r="D11212" s="1015"/>
      <c r="I11212" s="1011" t="str">
        <f>CONCATENATE("&lt;numeroLigne&gt;",C11212,"&lt;/numeroLigne&gt;")</f>
        <v>&lt;numeroLigne&gt;61&lt;/numeroLigne&gt;</v>
      </c>
      <c r="K11212" s="1013"/>
    </row>
    <row r="11213" spans="1:11" s="1011" customFormat="1" ht="15" x14ac:dyDescent="0.25">
      <c r="A11213" s="859">
        <f t="shared" si="222"/>
        <v>11212</v>
      </c>
      <c r="B11213" s="845" t="s">
        <v>2564</v>
      </c>
      <c r="C11213" s="1007">
        <f t="shared" si="221"/>
        <v>61</v>
      </c>
      <c r="D11213" s="1012"/>
      <c r="H11213" s="1011" t="s">
        <v>1010</v>
      </c>
      <c r="K11213" s="1013"/>
    </row>
    <row r="11214" spans="1:11" s="1011" customFormat="1" ht="15" x14ac:dyDescent="0.25">
      <c r="A11214" s="859">
        <f t="shared" si="222"/>
        <v>11213</v>
      </c>
      <c r="B11214" s="845" t="s">
        <v>2564</v>
      </c>
      <c r="C11214" s="1007">
        <f t="shared" si="221"/>
        <v>61</v>
      </c>
      <c r="D11214" s="1012"/>
      <c r="H11214" s="1011" t="s">
        <v>1007</v>
      </c>
      <c r="K11214" s="1013"/>
    </row>
    <row r="11215" spans="1:11" s="1011" customFormat="1" ht="15" x14ac:dyDescent="0.25">
      <c r="A11215" s="859">
        <f t="shared" si="222"/>
        <v>11214</v>
      </c>
      <c r="B11215" s="845" t="s">
        <v>2564</v>
      </c>
      <c r="C11215" s="1007">
        <f t="shared" si="221"/>
        <v>61</v>
      </c>
      <c r="D11215" s="1014"/>
      <c r="I11215" s="1011" t="s">
        <v>2179</v>
      </c>
      <c r="K11215" s="1013"/>
    </row>
    <row r="11216" spans="1:11" s="1011" customFormat="1" ht="15" x14ac:dyDescent="0.25">
      <c r="A11216" s="859">
        <f t="shared" si="222"/>
        <v>11215</v>
      </c>
      <c r="B11216" s="845" t="s">
        <v>2564</v>
      </c>
      <c r="C11216" s="1007">
        <f t="shared" si="221"/>
        <v>61</v>
      </c>
      <c r="D11216" s="1014"/>
      <c r="I11216" s="1011" t="str">
        <f>CONCATENATE("&lt;valeur&gt;",VLOOKUP(C11216,'T16 Amort'!A:K,7,0),"&lt;/valeur&gt;")</f>
        <v>&lt;valeur&gt;&lt;/valeur&gt;</v>
      </c>
      <c r="K11216" s="1013"/>
    </row>
    <row r="11217" spans="1:11" s="1011" customFormat="1" ht="15" x14ac:dyDescent="0.25">
      <c r="A11217" s="859">
        <f t="shared" si="222"/>
        <v>11216</v>
      </c>
      <c r="B11217" s="845" t="s">
        <v>2564</v>
      </c>
      <c r="C11217" s="1007">
        <f t="shared" si="221"/>
        <v>61</v>
      </c>
      <c r="D11217" s="1012"/>
      <c r="I11217" s="1011" t="str">
        <f>CONCATENATE("&lt;numeroLigne&gt;",C11217,"&lt;/numeroLigne&gt;")</f>
        <v>&lt;numeroLigne&gt;61&lt;/numeroLigne&gt;</v>
      </c>
      <c r="K11217" s="1013"/>
    </row>
    <row r="11218" spans="1:11" s="1011" customFormat="1" ht="15" x14ac:dyDescent="0.25">
      <c r="A11218" s="859">
        <f t="shared" si="222"/>
        <v>11217</v>
      </c>
      <c r="B11218" s="845" t="s">
        <v>2564</v>
      </c>
      <c r="C11218" s="1007">
        <f t="shared" si="221"/>
        <v>61</v>
      </c>
      <c r="D11218" s="1015"/>
      <c r="H11218" s="1011" t="s">
        <v>1010</v>
      </c>
      <c r="K11218" s="1013"/>
    </row>
    <row r="11219" spans="1:11" s="1011" customFormat="1" ht="15" x14ac:dyDescent="0.25">
      <c r="A11219" s="859">
        <f t="shared" si="222"/>
        <v>11218</v>
      </c>
      <c r="B11219" s="845" t="s">
        <v>2564</v>
      </c>
      <c r="C11219" s="1007">
        <f t="shared" si="221"/>
        <v>61</v>
      </c>
      <c r="D11219" s="1012"/>
      <c r="H11219" s="1011" t="s">
        <v>1007</v>
      </c>
      <c r="K11219" s="1013"/>
    </row>
    <row r="11220" spans="1:11" s="1011" customFormat="1" ht="15" x14ac:dyDescent="0.25">
      <c r="A11220" s="859">
        <f t="shared" si="222"/>
        <v>11219</v>
      </c>
      <c r="B11220" s="845" t="s">
        <v>2564</v>
      </c>
      <c r="C11220" s="1007">
        <f t="shared" si="221"/>
        <v>61</v>
      </c>
      <c r="D11220" s="1012"/>
      <c r="I11220" s="1011" t="s">
        <v>2180</v>
      </c>
      <c r="K11220" s="1013"/>
    </row>
    <row r="11221" spans="1:11" s="1011" customFormat="1" ht="15" x14ac:dyDescent="0.25">
      <c r="A11221" s="859">
        <f t="shared" si="222"/>
        <v>11220</v>
      </c>
      <c r="B11221" s="845" t="s">
        <v>2564</v>
      </c>
      <c r="C11221" s="1007">
        <f t="shared" si="221"/>
        <v>61</v>
      </c>
      <c r="D11221" s="1014"/>
      <c r="I11221" s="1011" t="str">
        <f>CONCATENATE("&lt;valeur&gt;",VLOOKUP(C11221,'T16 Amort'!A:K,8,0),"&lt;/valeur&gt;")</f>
        <v>&lt;valeur&gt;&lt;/valeur&gt;</v>
      </c>
      <c r="K11221" s="1013"/>
    </row>
    <row r="11222" spans="1:11" s="1011" customFormat="1" ht="15" x14ac:dyDescent="0.25">
      <c r="A11222" s="859">
        <f t="shared" si="222"/>
        <v>11221</v>
      </c>
      <c r="B11222" s="845" t="s">
        <v>2564</v>
      </c>
      <c r="C11222" s="1007">
        <f t="shared" si="221"/>
        <v>61</v>
      </c>
      <c r="D11222" s="1014"/>
      <c r="I11222" s="1011" t="str">
        <f>CONCATENATE("&lt;numeroLigne&gt;",C11222,"&lt;/numeroLigne&gt;")</f>
        <v>&lt;numeroLigne&gt;61&lt;/numeroLigne&gt;</v>
      </c>
      <c r="K11222" s="1013"/>
    </row>
    <row r="11223" spans="1:11" s="1011" customFormat="1" ht="15" x14ac:dyDescent="0.25">
      <c r="A11223" s="859">
        <f t="shared" si="222"/>
        <v>11222</v>
      </c>
      <c r="B11223" s="845" t="s">
        <v>2564</v>
      </c>
      <c r="C11223" s="1007">
        <f t="shared" si="221"/>
        <v>61</v>
      </c>
      <c r="D11223" s="1012"/>
      <c r="H11223" s="1011" t="s">
        <v>1010</v>
      </c>
      <c r="K11223" s="1013"/>
    </row>
    <row r="11224" spans="1:11" s="1011" customFormat="1" ht="15" x14ac:dyDescent="0.25">
      <c r="A11224" s="859">
        <f t="shared" si="222"/>
        <v>11223</v>
      </c>
      <c r="B11224" s="845" t="s">
        <v>2564</v>
      </c>
      <c r="C11224" s="1007">
        <f t="shared" si="221"/>
        <v>61</v>
      </c>
      <c r="D11224" s="1015"/>
      <c r="H11224" s="1011" t="s">
        <v>1007</v>
      </c>
      <c r="K11224" s="1013"/>
    </row>
    <row r="11225" spans="1:11" s="1011" customFormat="1" ht="15" x14ac:dyDescent="0.25">
      <c r="A11225" s="859">
        <f t="shared" si="222"/>
        <v>11224</v>
      </c>
      <c r="B11225" s="845" t="s">
        <v>2564</v>
      </c>
      <c r="C11225" s="1007">
        <f t="shared" si="221"/>
        <v>61</v>
      </c>
      <c r="D11225" s="1012"/>
      <c r="I11225" s="1011" t="s">
        <v>2181</v>
      </c>
      <c r="K11225" s="1013"/>
    </row>
    <row r="11226" spans="1:11" s="1011" customFormat="1" ht="15" x14ac:dyDescent="0.25">
      <c r="A11226" s="859">
        <f t="shared" si="222"/>
        <v>11225</v>
      </c>
      <c r="B11226" s="845" t="s">
        <v>2564</v>
      </c>
      <c r="C11226" s="1007">
        <f t="shared" si="221"/>
        <v>61</v>
      </c>
      <c r="D11226" s="1012"/>
      <c r="I11226" s="1011" t="str">
        <f>CONCATENATE("&lt;valeur&gt;",VLOOKUP(C11226,'T16 Amort'!A:K,9,0),"&lt;/valeur&gt;")</f>
        <v>&lt;valeur&gt;&lt;/valeur&gt;</v>
      </c>
      <c r="K11226" s="1013"/>
    </row>
    <row r="11227" spans="1:11" s="1011" customFormat="1" ht="15" x14ac:dyDescent="0.25">
      <c r="A11227" s="859">
        <f t="shared" si="222"/>
        <v>11226</v>
      </c>
      <c r="B11227" s="845" t="s">
        <v>2564</v>
      </c>
      <c r="C11227" s="1007">
        <f t="shared" si="221"/>
        <v>61</v>
      </c>
      <c r="D11227" s="1014"/>
      <c r="I11227" s="1011" t="str">
        <f>CONCATENATE("&lt;numeroLigne&gt;",C11227,"&lt;/numeroLigne&gt;")</f>
        <v>&lt;numeroLigne&gt;61&lt;/numeroLigne&gt;</v>
      </c>
      <c r="K11227" s="1013"/>
    </row>
    <row r="11228" spans="1:11" s="1011" customFormat="1" ht="15" x14ac:dyDescent="0.25">
      <c r="A11228" s="859">
        <f t="shared" si="222"/>
        <v>11227</v>
      </c>
      <c r="B11228" s="845" t="s">
        <v>2564</v>
      </c>
      <c r="C11228" s="1007">
        <f t="shared" si="221"/>
        <v>61</v>
      </c>
      <c r="D11228" s="1014"/>
      <c r="H11228" s="1011" t="s">
        <v>1010</v>
      </c>
      <c r="K11228" s="1013"/>
    </row>
    <row r="11229" spans="1:11" s="1011" customFormat="1" ht="15" x14ac:dyDescent="0.25">
      <c r="A11229" s="859">
        <f t="shared" si="222"/>
        <v>11228</v>
      </c>
      <c r="B11229" s="845" t="s">
        <v>2564</v>
      </c>
      <c r="C11229" s="1007">
        <f t="shared" si="221"/>
        <v>61</v>
      </c>
      <c r="D11229" s="1012"/>
      <c r="H11229" s="1011" t="s">
        <v>1007</v>
      </c>
      <c r="K11229" s="1013"/>
    </row>
    <row r="11230" spans="1:11" s="1011" customFormat="1" ht="15" x14ac:dyDescent="0.25">
      <c r="A11230" s="859">
        <f t="shared" si="222"/>
        <v>11229</v>
      </c>
      <c r="B11230" s="845" t="s">
        <v>2564</v>
      </c>
      <c r="C11230" s="1007">
        <f t="shared" si="221"/>
        <v>61</v>
      </c>
      <c r="D11230" s="1015"/>
      <c r="I11230" s="1011" t="s">
        <v>2182</v>
      </c>
      <c r="K11230" s="1013"/>
    </row>
    <row r="11231" spans="1:11" s="1011" customFormat="1" ht="15" x14ac:dyDescent="0.25">
      <c r="A11231" s="859">
        <f t="shared" si="222"/>
        <v>11230</v>
      </c>
      <c r="B11231" s="845" t="s">
        <v>2564</v>
      </c>
      <c r="C11231" s="1007">
        <f t="shared" si="221"/>
        <v>61</v>
      </c>
      <c r="D11231" s="1012"/>
      <c r="I11231" s="1011" t="str">
        <f>CONCATENATE("&lt;valeur&gt;",VLOOKUP(C11231,'T16 Amort'!A:K,10,0),"&lt;/valeur&gt;")</f>
        <v>&lt;valeur&gt;&lt;/valeur&gt;</v>
      </c>
      <c r="K11231" s="1013"/>
    </row>
    <row r="11232" spans="1:11" s="1011" customFormat="1" ht="15" x14ac:dyDescent="0.25">
      <c r="A11232" s="859">
        <f t="shared" si="222"/>
        <v>11231</v>
      </c>
      <c r="B11232" s="845" t="s">
        <v>2564</v>
      </c>
      <c r="C11232" s="1007">
        <f t="shared" si="221"/>
        <v>61</v>
      </c>
      <c r="D11232" s="1012"/>
      <c r="I11232" s="1011" t="str">
        <f>CONCATENATE("&lt;numeroLigne&gt;",C11232,"&lt;/numeroLigne&gt;")</f>
        <v>&lt;numeroLigne&gt;61&lt;/numeroLigne&gt;</v>
      </c>
      <c r="K11232" s="1013"/>
    </row>
    <row r="11233" spans="1:11" s="1011" customFormat="1" ht="15" x14ac:dyDescent="0.25">
      <c r="A11233" s="859">
        <f t="shared" si="222"/>
        <v>11232</v>
      </c>
      <c r="B11233" s="845" t="s">
        <v>2564</v>
      </c>
      <c r="C11233" s="1007">
        <f t="shared" si="221"/>
        <v>61</v>
      </c>
      <c r="D11233" s="1014"/>
      <c r="H11233" s="1011" t="s">
        <v>1010</v>
      </c>
      <c r="K11233" s="1013"/>
    </row>
    <row r="11234" spans="1:11" s="1011" customFormat="1" ht="15" x14ac:dyDescent="0.25">
      <c r="A11234" s="859">
        <f t="shared" si="222"/>
        <v>11233</v>
      </c>
      <c r="B11234" s="845" t="s">
        <v>2564</v>
      </c>
      <c r="C11234" s="1007">
        <f t="shared" si="221"/>
        <v>61</v>
      </c>
      <c r="D11234" s="1014"/>
      <c r="H11234" s="1011" t="s">
        <v>1007</v>
      </c>
      <c r="K11234" s="1013"/>
    </row>
    <row r="11235" spans="1:11" s="1011" customFormat="1" ht="15" x14ac:dyDescent="0.25">
      <c r="A11235" s="859">
        <f t="shared" si="222"/>
        <v>11234</v>
      </c>
      <c r="B11235" s="845" t="s">
        <v>2564</v>
      </c>
      <c r="C11235" s="1007">
        <f t="shared" si="221"/>
        <v>61</v>
      </c>
      <c r="D11235" s="1012"/>
      <c r="I11235" s="1011" t="s">
        <v>2183</v>
      </c>
      <c r="K11235" s="1013"/>
    </row>
    <row r="11236" spans="1:11" s="1011" customFormat="1" ht="15" x14ac:dyDescent="0.25">
      <c r="A11236" s="859">
        <f t="shared" si="222"/>
        <v>11235</v>
      </c>
      <c r="B11236" s="845" t="s">
        <v>2564</v>
      </c>
      <c r="C11236" s="1007">
        <f t="shared" si="221"/>
        <v>61</v>
      </c>
      <c r="D11236" s="1015"/>
      <c r="I11236" s="1011" t="str">
        <f>CONCATENATE("&lt;valeur&gt;",VLOOKUP(C11236,'T16 Amort'!A:K,11,0),"&lt;/valeur&gt;")</f>
        <v>&lt;valeur&gt;&lt;/valeur&gt;</v>
      </c>
      <c r="K11236" s="1013"/>
    </row>
    <row r="11237" spans="1:11" s="1011" customFormat="1" ht="15" x14ac:dyDescent="0.25">
      <c r="A11237" s="859">
        <f t="shared" si="222"/>
        <v>11236</v>
      </c>
      <c r="B11237" s="845" t="s">
        <v>2564</v>
      </c>
      <c r="C11237" s="1007">
        <f t="shared" si="221"/>
        <v>61</v>
      </c>
      <c r="D11237" s="1012"/>
      <c r="I11237" s="1011" t="str">
        <f>CONCATENATE("&lt;numeroLigne&gt;",C11237,"&lt;/numeroLigne&gt;")</f>
        <v>&lt;numeroLigne&gt;61&lt;/numeroLigne&gt;</v>
      </c>
      <c r="K11237" s="1013"/>
    </row>
    <row r="11238" spans="1:11" s="1011" customFormat="1" ht="15" x14ac:dyDescent="0.25">
      <c r="A11238" s="859">
        <f t="shared" si="222"/>
        <v>11237</v>
      </c>
      <c r="B11238" s="845" t="s">
        <v>2564</v>
      </c>
      <c r="C11238" s="1007">
        <f t="shared" si="221"/>
        <v>61</v>
      </c>
      <c r="D11238" s="1016"/>
      <c r="E11238" s="1017"/>
      <c r="F11238" s="1017"/>
      <c r="G11238" s="1017"/>
      <c r="H11238" s="1017" t="s">
        <v>1010</v>
      </c>
      <c r="I11238" s="1017"/>
      <c r="J11238" s="1017"/>
      <c r="K11238" s="1018"/>
    </row>
    <row r="11239" spans="1:11" s="1011" customFormat="1" ht="15" x14ac:dyDescent="0.25">
      <c r="A11239" s="859">
        <f t="shared" si="222"/>
        <v>11238</v>
      </c>
      <c r="B11239" s="845" t="s">
        <v>2564</v>
      </c>
      <c r="C11239" s="1007">
        <f t="shared" si="221"/>
        <v>62</v>
      </c>
      <c r="D11239" s="1008"/>
      <c r="E11239" s="1009"/>
      <c r="F11239" s="1009"/>
      <c r="G11239" s="1009"/>
      <c r="H11239" s="1009" t="s">
        <v>1007</v>
      </c>
      <c r="I11239" s="1009"/>
      <c r="J11239" s="1009"/>
      <c r="K11239" s="1010"/>
    </row>
    <row r="11240" spans="1:11" s="1011" customFormat="1" ht="15" x14ac:dyDescent="0.25">
      <c r="A11240" s="859">
        <f t="shared" si="222"/>
        <v>11239</v>
      </c>
      <c r="B11240" s="845" t="s">
        <v>2564</v>
      </c>
      <c r="C11240" s="1007">
        <f t="shared" si="221"/>
        <v>62</v>
      </c>
      <c r="D11240" s="1012"/>
      <c r="I11240" s="1011" t="s">
        <v>2174</v>
      </c>
      <c r="K11240" s="1013"/>
    </row>
    <row r="11241" spans="1:11" s="1011" customFormat="1" ht="15" x14ac:dyDescent="0.25">
      <c r="A11241" s="859">
        <f t="shared" si="222"/>
        <v>11240</v>
      </c>
      <c r="B11241" s="845" t="s">
        <v>2564</v>
      </c>
      <c r="C11241" s="1007">
        <f t="shared" si="221"/>
        <v>62</v>
      </c>
      <c r="D11241" s="1014"/>
      <c r="I11241" s="1011" t="str">
        <f>CONCATENATE("&lt;valeur&gt;",VLOOKUP(C11241,'T16 Amort'!A:K,2,0),"&lt;/valeur&gt;")</f>
        <v>&lt;valeur&gt;&lt;/valeur&gt;</v>
      </c>
      <c r="K11241" s="1013"/>
    </row>
    <row r="11242" spans="1:11" s="1011" customFormat="1" ht="15" x14ac:dyDescent="0.25">
      <c r="A11242" s="859">
        <f t="shared" si="222"/>
        <v>11241</v>
      </c>
      <c r="B11242" s="845" t="s">
        <v>2564</v>
      </c>
      <c r="C11242" s="1007">
        <f t="shared" si="221"/>
        <v>62</v>
      </c>
      <c r="D11242" s="1014"/>
      <c r="I11242" s="1011" t="str">
        <f>CONCATENATE("&lt;numeroLigne&gt;",C11242,"&lt;/numeroLigne&gt;")</f>
        <v>&lt;numeroLigne&gt;62&lt;/numeroLigne&gt;</v>
      </c>
      <c r="K11242" s="1013"/>
    </row>
    <row r="11243" spans="1:11" s="1011" customFormat="1" ht="15" x14ac:dyDescent="0.25">
      <c r="A11243" s="859">
        <f t="shared" si="222"/>
        <v>11242</v>
      </c>
      <c r="B11243" s="845" t="s">
        <v>2564</v>
      </c>
      <c r="C11243" s="1007">
        <f t="shared" si="221"/>
        <v>62</v>
      </c>
      <c r="D11243" s="1012"/>
      <c r="H11243" s="1011" t="s">
        <v>1010</v>
      </c>
      <c r="K11243" s="1013"/>
    </row>
    <row r="11244" spans="1:11" s="1011" customFormat="1" ht="15" x14ac:dyDescent="0.25">
      <c r="A11244" s="859">
        <f t="shared" si="222"/>
        <v>11243</v>
      </c>
      <c r="B11244" s="845" t="s">
        <v>2564</v>
      </c>
      <c r="C11244" s="1007">
        <f t="shared" si="221"/>
        <v>62</v>
      </c>
      <c r="D11244" s="1015"/>
      <c r="H11244" s="1011" t="s">
        <v>1007</v>
      </c>
      <c r="K11244" s="1013"/>
    </row>
    <row r="11245" spans="1:11" s="1011" customFormat="1" ht="15" x14ac:dyDescent="0.25">
      <c r="A11245" s="859">
        <f t="shared" si="222"/>
        <v>11244</v>
      </c>
      <c r="B11245" s="845" t="s">
        <v>2564</v>
      </c>
      <c r="C11245" s="1007">
        <f t="shared" si="221"/>
        <v>62</v>
      </c>
      <c r="D11245" s="1012"/>
      <c r="I11245" s="1011" t="s">
        <v>2175</v>
      </c>
      <c r="K11245" s="1013"/>
    </row>
    <row r="11246" spans="1:11" s="1011" customFormat="1" ht="15" x14ac:dyDescent="0.25">
      <c r="A11246" s="859">
        <f t="shared" si="222"/>
        <v>11245</v>
      </c>
      <c r="B11246" s="845" t="s">
        <v>2564</v>
      </c>
      <c r="C11246" s="1007">
        <f t="shared" si="221"/>
        <v>62</v>
      </c>
      <c r="D11246" s="1012"/>
      <c r="I11246" s="1011" t="str">
        <f>CONCATENATE("&lt;valeur&gt;",VLOOKUP(C11246,'T16 Amort'!A:K,3,0),"&lt;/valeur&gt;")</f>
        <v>&lt;valeur&gt;&lt;/valeur&gt;</v>
      </c>
      <c r="K11246" s="1013"/>
    </row>
    <row r="11247" spans="1:11" s="1011" customFormat="1" ht="15" x14ac:dyDescent="0.25">
      <c r="A11247" s="859">
        <f t="shared" si="222"/>
        <v>11246</v>
      </c>
      <c r="B11247" s="845" t="s">
        <v>2564</v>
      </c>
      <c r="C11247" s="1007">
        <f t="shared" ref="C11247:C11310" si="223">C11197+1</f>
        <v>62</v>
      </c>
      <c r="D11247" s="1014"/>
      <c r="I11247" s="1011" t="str">
        <f>CONCATENATE("&lt;numeroLigne&gt;",C11247,"&lt;/numeroLigne&gt;")</f>
        <v>&lt;numeroLigne&gt;62&lt;/numeroLigne&gt;</v>
      </c>
      <c r="K11247" s="1013"/>
    </row>
    <row r="11248" spans="1:11" s="1011" customFormat="1" ht="15" x14ac:dyDescent="0.25">
      <c r="A11248" s="859">
        <f t="shared" si="222"/>
        <v>11247</v>
      </c>
      <c r="B11248" s="845" t="s">
        <v>2564</v>
      </c>
      <c r="C11248" s="1007">
        <f t="shared" si="223"/>
        <v>62</v>
      </c>
      <c r="D11248" s="1014"/>
      <c r="H11248" s="1011" t="s">
        <v>1010</v>
      </c>
      <c r="K11248" s="1013"/>
    </row>
    <row r="11249" spans="1:11" s="1011" customFormat="1" ht="15" x14ac:dyDescent="0.25">
      <c r="A11249" s="859">
        <f t="shared" si="222"/>
        <v>11248</v>
      </c>
      <c r="B11249" s="845" t="s">
        <v>2564</v>
      </c>
      <c r="C11249" s="1007">
        <f t="shared" si="223"/>
        <v>62</v>
      </c>
      <c r="D11249" s="1012"/>
      <c r="H11249" s="1011" t="s">
        <v>1007</v>
      </c>
      <c r="K11249" s="1013"/>
    </row>
    <row r="11250" spans="1:11" s="1011" customFormat="1" ht="15" x14ac:dyDescent="0.25">
      <c r="A11250" s="859">
        <f t="shared" si="222"/>
        <v>11249</v>
      </c>
      <c r="B11250" s="845" t="s">
        <v>2564</v>
      </c>
      <c r="C11250" s="1007">
        <f t="shared" si="223"/>
        <v>62</v>
      </c>
      <c r="D11250" s="1015"/>
      <c r="I11250" s="1011" t="s">
        <v>2176</v>
      </c>
      <c r="K11250" s="1013"/>
    </row>
    <row r="11251" spans="1:11" s="1011" customFormat="1" ht="15" x14ac:dyDescent="0.25">
      <c r="A11251" s="859">
        <f t="shared" si="222"/>
        <v>11250</v>
      </c>
      <c r="B11251" s="845" t="s">
        <v>2564</v>
      </c>
      <c r="C11251" s="1007">
        <f t="shared" si="223"/>
        <v>62</v>
      </c>
      <c r="D11251" s="1012"/>
      <c r="I11251" s="1011" t="str">
        <f>CONCATENATE("&lt;valeur&gt;",VLOOKUP(C11251,'T16 Amort'!A:K,4,0),"&lt;/valeur&gt;")</f>
        <v>&lt;valeur&gt;&lt;/valeur&gt;</v>
      </c>
      <c r="K11251" s="1013"/>
    </row>
    <row r="11252" spans="1:11" s="1011" customFormat="1" ht="15" x14ac:dyDescent="0.25">
      <c r="A11252" s="859">
        <f t="shared" si="222"/>
        <v>11251</v>
      </c>
      <c r="B11252" s="845" t="s">
        <v>2564</v>
      </c>
      <c r="C11252" s="1007">
        <f t="shared" si="223"/>
        <v>62</v>
      </c>
      <c r="D11252" s="1012"/>
      <c r="I11252" s="1011" t="str">
        <f>CONCATENATE("&lt;numeroLigne&gt;",C11252,"&lt;/numeroLigne&gt;")</f>
        <v>&lt;numeroLigne&gt;62&lt;/numeroLigne&gt;</v>
      </c>
      <c r="K11252" s="1013"/>
    </row>
    <row r="11253" spans="1:11" s="1011" customFormat="1" ht="15" x14ac:dyDescent="0.25">
      <c r="A11253" s="859">
        <f t="shared" si="222"/>
        <v>11252</v>
      </c>
      <c r="B11253" s="845" t="s">
        <v>2564</v>
      </c>
      <c r="C11253" s="1007">
        <f t="shared" si="223"/>
        <v>62</v>
      </c>
      <c r="D11253" s="1014"/>
      <c r="H11253" s="1011" t="s">
        <v>1010</v>
      </c>
      <c r="K11253" s="1013"/>
    </row>
    <row r="11254" spans="1:11" s="1011" customFormat="1" ht="15" x14ac:dyDescent="0.25">
      <c r="A11254" s="859">
        <f t="shared" si="222"/>
        <v>11253</v>
      </c>
      <c r="B11254" s="845" t="s">
        <v>2564</v>
      </c>
      <c r="C11254" s="1007">
        <f t="shared" si="223"/>
        <v>62</v>
      </c>
      <c r="D11254" s="1014"/>
      <c r="H11254" s="1011" t="s">
        <v>1007</v>
      </c>
      <c r="K11254" s="1013"/>
    </row>
    <row r="11255" spans="1:11" s="1011" customFormat="1" ht="15" x14ac:dyDescent="0.25">
      <c r="A11255" s="859">
        <f t="shared" si="222"/>
        <v>11254</v>
      </c>
      <c r="B11255" s="845" t="s">
        <v>2564</v>
      </c>
      <c r="C11255" s="1007">
        <f t="shared" si="223"/>
        <v>62</v>
      </c>
      <c r="D11255" s="1012"/>
      <c r="I11255" s="1011" t="s">
        <v>2177</v>
      </c>
      <c r="K11255" s="1013"/>
    </row>
    <row r="11256" spans="1:11" s="1011" customFormat="1" ht="15" x14ac:dyDescent="0.25">
      <c r="A11256" s="859">
        <f t="shared" si="222"/>
        <v>11255</v>
      </c>
      <c r="B11256" s="845" t="s">
        <v>2564</v>
      </c>
      <c r="C11256" s="1007">
        <f t="shared" si="223"/>
        <v>62</v>
      </c>
      <c r="D11256" s="1015"/>
      <c r="I11256" s="1011" t="str">
        <f>CONCATENATE("&lt;valeur&gt;",VLOOKUP(C11256,'T16 Amort'!A:K,5,0),"&lt;/valeur&gt;")</f>
        <v>&lt;valeur&gt;&lt;/valeur&gt;</v>
      </c>
      <c r="K11256" s="1013"/>
    </row>
    <row r="11257" spans="1:11" s="1011" customFormat="1" ht="15" x14ac:dyDescent="0.25">
      <c r="A11257" s="859">
        <f t="shared" si="222"/>
        <v>11256</v>
      </c>
      <c r="B11257" s="845" t="s">
        <v>2564</v>
      </c>
      <c r="C11257" s="1007">
        <f t="shared" si="223"/>
        <v>62</v>
      </c>
      <c r="D11257" s="1012"/>
      <c r="I11257" s="1011" t="str">
        <f>CONCATENATE("&lt;numeroLigne&gt;",C11257,"&lt;/numeroLigne&gt;")</f>
        <v>&lt;numeroLigne&gt;62&lt;/numeroLigne&gt;</v>
      </c>
      <c r="K11257" s="1013"/>
    </row>
    <row r="11258" spans="1:11" s="1011" customFormat="1" ht="15" x14ac:dyDescent="0.25">
      <c r="A11258" s="859">
        <f t="shared" si="222"/>
        <v>11257</v>
      </c>
      <c r="B11258" s="845" t="s">
        <v>2564</v>
      </c>
      <c r="C11258" s="1007">
        <f t="shared" si="223"/>
        <v>62</v>
      </c>
      <c r="D11258" s="1012"/>
      <c r="H11258" s="1011" t="s">
        <v>1010</v>
      </c>
      <c r="K11258" s="1013"/>
    </row>
    <row r="11259" spans="1:11" s="1011" customFormat="1" ht="15" x14ac:dyDescent="0.25">
      <c r="A11259" s="859">
        <f t="shared" si="222"/>
        <v>11258</v>
      </c>
      <c r="B11259" s="845" t="s">
        <v>2564</v>
      </c>
      <c r="C11259" s="1007">
        <f t="shared" si="223"/>
        <v>62</v>
      </c>
      <c r="D11259" s="1014"/>
      <c r="H11259" s="1011" t="s">
        <v>1007</v>
      </c>
      <c r="K11259" s="1013"/>
    </row>
    <row r="11260" spans="1:11" s="1011" customFormat="1" ht="15" x14ac:dyDescent="0.25">
      <c r="A11260" s="859">
        <f t="shared" si="222"/>
        <v>11259</v>
      </c>
      <c r="B11260" s="845" t="s">
        <v>2564</v>
      </c>
      <c r="C11260" s="1007">
        <f t="shared" si="223"/>
        <v>62</v>
      </c>
      <c r="D11260" s="1014"/>
      <c r="I11260" s="1011" t="s">
        <v>2178</v>
      </c>
      <c r="K11260" s="1013"/>
    </row>
    <row r="11261" spans="1:11" s="1011" customFormat="1" ht="15" x14ac:dyDescent="0.25">
      <c r="A11261" s="859">
        <f t="shared" si="222"/>
        <v>11260</v>
      </c>
      <c r="B11261" s="845" t="s">
        <v>2564</v>
      </c>
      <c r="C11261" s="1007">
        <f t="shared" si="223"/>
        <v>62</v>
      </c>
      <c r="D11261" s="1012"/>
      <c r="I11261" s="1011" t="str">
        <f>CONCATENATE("&lt;valeur&gt;",VLOOKUP(C11261,'T16 Amort'!A:K,6,0),"&lt;/valeur&gt;")</f>
        <v>&lt;valeur&gt;&lt;/valeur&gt;</v>
      </c>
      <c r="K11261" s="1013"/>
    </row>
    <row r="11262" spans="1:11" s="1011" customFormat="1" ht="15" x14ac:dyDescent="0.25">
      <c r="A11262" s="859">
        <f t="shared" si="222"/>
        <v>11261</v>
      </c>
      <c r="B11262" s="845" t="s">
        <v>2564</v>
      </c>
      <c r="C11262" s="1007">
        <f t="shared" si="223"/>
        <v>62</v>
      </c>
      <c r="D11262" s="1015"/>
      <c r="I11262" s="1011" t="str">
        <f>CONCATENATE("&lt;numeroLigne&gt;",C11262,"&lt;/numeroLigne&gt;")</f>
        <v>&lt;numeroLigne&gt;62&lt;/numeroLigne&gt;</v>
      </c>
      <c r="K11262" s="1013"/>
    </row>
    <row r="11263" spans="1:11" s="1011" customFormat="1" ht="15" x14ac:dyDescent="0.25">
      <c r="A11263" s="859">
        <f t="shared" si="222"/>
        <v>11262</v>
      </c>
      <c r="B11263" s="845" t="s">
        <v>2564</v>
      </c>
      <c r="C11263" s="1007">
        <f t="shared" si="223"/>
        <v>62</v>
      </c>
      <c r="D11263" s="1012"/>
      <c r="H11263" s="1011" t="s">
        <v>1010</v>
      </c>
      <c r="K11263" s="1013"/>
    </row>
    <row r="11264" spans="1:11" s="1011" customFormat="1" ht="15" x14ac:dyDescent="0.25">
      <c r="A11264" s="859">
        <f t="shared" si="222"/>
        <v>11263</v>
      </c>
      <c r="B11264" s="845" t="s">
        <v>2564</v>
      </c>
      <c r="C11264" s="1007">
        <f t="shared" si="223"/>
        <v>62</v>
      </c>
      <c r="D11264" s="1012"/>
      <c r="H11264" s="1011" t="s">
        <v>1007</v>
      </c>
      <c r="K11264" s="1013"/>
    </row>
    <row r="11265" spans="1:11" s="1011" customFormat="1" ht="15" x14ac:dyDescent="0.25">
      <c r="A11265" s="859">
        <f t="shared" si="222"/>
        <v>11264</v>
      </c>
      <c r="B11265" s="845" t="s">
        <v>2564</v>
      </c>
      <c r="C11265" s="1007">
        <f t="shared" si="223"/>
        <v>62</v>
      </c>
      <c r="D11265" s="1014"/>
      <c r="I11265" s="1011" t="s">
        <v>2179</v>
      </c>
      <c r="K11265" s="1013"/>
    </row>
    <row r="11266" spans="1:11" s="1011" customFormat="1" ht="15" x14ac:dyDescent="0.25">
      <c r="A11266" s="859">
        <f t="shared" si="222"/>
        <v>11265</v>
      </c>
      <c r="B11266" s="845" t="s">
        <v>2564</v>
      </c>
      <c r="C11266" s="1007">
        <f t="shared" si="223"/>
        <v>62</v>
      </c>
      <c r="D11266" s="1014"/>
      <c r="I11266" s="1011" t="str">
        <f>CONCATENATE("&lt;valeur&gt;",VLOOKUP(C11266,'T16 Amort'!A:K,7,0),"&lt;/valeur&gt;")</f>
        <v>&lt;valeur&gt;&lt;/valeur&gt;</v>
      </c>
      <c r="K11266" s="1013"/>
    </row>
    <row r="11267" spans="1:11" s="1011" customFormat="1" ht="15" x14ac:dyDescent="0.25">
      <c r="A11267" s="859">
        <f t="shared" si="222"/>
        <v>11266</v>
      </c>
      <c r="B11267" s="845" t="s">
        <v>2564</v>
      </c>
      <c r="C11267" s="1007">
        <f t="shared" si="223"/>
        <v>62</v>
      </c>
      <c r="D11267" s="1012"/>
      <c r="I11267" s="1011" t="str">
        <f>CONCATENATE("&lt;numeroLigne&gt;",C11267,"&lt;/numeroLigne&gt;")</f>
        <v>&lt;numeroLigne&gt;62&lt;/numeroLigne&gt;</v>
      </c>
      <c r="K11267" s="1013"/>
    </row>
    <row r="11268" spans="1:11" s="1011" customFormat="1" ht="15" x14ac:dyDescent="0.25">
      <c r="A11268" s="859">
        <f t="shared" ref="A11268:A11331" si="224">+A11267+1</f>
        <v>11267</v>
      </c>
      <c r="B11268" s="845" t="s">
        <v>2564</v>
      </c>
      <c r="C11268" s="1007">
        <f t="shared" si="223"/>
        <v>62</v>
      </c>
      <c r="D11268" s="1015"/>
      <c r="H11268" s="1011" t="s">
        <v>1010</v>
      </c>
      <c r="K11268" s="1013"/>
    </row>
    <row r="11269" spans="1:11" s="1011" customFormat="1" ht="15" x14ac:dyDescent="0.25">
      <c r="A11269" s="859">
        <f t="shared" si="224"/>
        <v>11268</v>
      </c>
      <c r="B11269" s="845" t="s">
        <v>2564</v>
      </c>
      <c r="C11269" s="1007">
        <f t="shared" si="223"/>
        <v>62</v>
      </c>
      <c r="D11269" s="1012"/>
      <c r="H11269" s="1011" t="s">
        <v>1007</v>
      </c>
      <c r="K11269" s="1013"/>
    </row>
    <row r="11270" spans="1:11" s="1011" customFormat="1" ht="15" x14ac:dyDescent="0.25">
      <c r="A11270" s="859">
        <f t="shared" si="224"/>
        <v>11269</v>
      </c>
      <c r="B11270" s="845" t="s">
        <v>2564</v>
      </c>
      <c r="C11270" s="1007">
        <f t="shared" si="223"/>
        <v>62</v>
      </c>
      <c r="D11270" s="1012"/>
      <c r="I11270" s="1011" t="s">
        <v>2180</v>
      </c>
      <c r="K11270" s="1013"/>
    </row>
    <row r="11271" spans="1:11" s="1011" customFormat="1" ht="15" x14ac:dyDescent="0.25">
      <c r="A11271" s="859">
        <f t="shared" si="224"/>
        <v>11270</v>
      </c>
      <c r="B11271" s="845" t="s">
        <v>2564</v>
      </c>
      <c r="C11271" s="1007">
        <f t="shared" si="223"/>
        <v>62</v>
      </c>
      <c r="D11271" s="1014"/>
      <c r="I11271" s="1011" t="str">
        <f>CONCATENATE("&lt;valeur&gt;",VLOOKUP(C11271,'T16 Amort'!A:K,8,0),"&lt;/valeur&gt;")</f>
        <v>&lt;valeur&gt;&lt;/valeur&gt;</v>
      </c>
      <c r="K11271" s="1013"/>
    </row>
    <row r="11272" spans="1:11" s="1011" customFormat="1" ht="15" x14ac:dyDescent="0.25">
      <c r="A11272" s="859">
        <f t="shared" si="224"/>
        <v>11271</v>
      </c>
      <c r="B11272" s="845" t="s">
        <v>2564</v>
      </c>
      <c r="C11272" s="1007">
        <f t="shared" si="223"/>
        <v>62</v>
      </c>
      <c r="D11272" s="1014"/>
      <c r="I11272" s="1011" t="str">
        <f>CONCATENATE("&lt;numeroLigne&gt;",C11272,"&lt;/numeroLigne&gt;")</f>
        <v>&lt;numeroLigne&gt;62&lt;/numeroLigne&gt;</v>
      </c>
      <c r="K11272" s="1013"/>
    </row>
    <row r="11273" spans="1:11" s="1011" customFormat="1" ht="15" x14ac:dyDescent="0.25">
      <c r="A11273" s="859">
        <f t="shared" si="224"/>
        <v>11272</v>
      </c>
      <c r="B11273" s="845" t="s">
        <v>2564</v>
      </c>
      <c r="C11273" s="1007">
        <f t="shared" si="223"/>
        <v>62</v>
      </c>
      <c r="D11273" s="1012"/>
      <c r="H11273" s="1011" t="s">
        <v>1010</v>
      </c>
      <c r="K11273" s="1013"/>
    </row>
    <row r="11274" spans="1:11" s="1011" customFormat="1" ht="15" x14ac:dyDescent="0.25">
      <c r="A11274" s="859">
        <f t="shared" si="224"/>
        <v>11273</v>
      </c>
      <c r="B11274" s="845" t="s">
        <v>2564</v>
      </c>
      <c r="C11274" s="1007">
        <f t="shared" si="223"/>
        <v>62</v>
      </c>
      <c r="D11274" s="1015"/>
      <c r="H11274" s="1011" t="s">
        <v>1007</v>
      </c>
      <c r="K11274" s="1013"/>
    </row>
    <row r="11275" spans="1:11" s="1011" customFormat="1" ht="15" x14ac:dyDescent="0.25">
      <c r="A11275" s="859">
        <f t="shared" si="224"/>
        <v>11274</v>
      </c>
      <c r="B11275" s="845" t="s">
        <v>2564</v>
      </c>
      <c r="C11275" s="1007">
        <f t="shared" si="223"/>
        <v>62</v>
      </c>
      <c r="D11275" s="1012"/>
      <c r="I11275" s="1011" t="s">
        <v>2181</v>
      </c>
      <c r="K11275" s="1013"/>
    </row>
    <row r="11276" spans="1:11" s="1011" customFormat="1" ht="15" x14ac:dyDescent="0.25">
      <c r="A11276" s="859">
        <f t="shared" si="224"/>
        <v>11275</v>
      </c>
      <c r="B11276" s="845" t="s">
        <v>2564</v>
      </c>
      <c r="C11276" s="1007">
        <f t="shared" si="223"/>
        <v>62</v>
      </c>
      <c r="D11276" s="1012"/>
      <c r="I11276" s="1011" t="str">
        <f>CONCATENATE("&lt;valeur&gt;",VLOOKUP(C11276,'T16 Amort'!A:K,9,0),"&lt;/valeur&gt;")</f>
        <v>&lt;valeur&gt;&lt;/valeur&gt;</v>
      </c>
      <c r="K11276" s="1013"/>
    </row>
    <row r="11277" spans="1:11" s="1011" customFormat="1" ht="15" x14ac:dyDescent="0.25">
      <c r="A11277" s="859">
        <f t="shared" si="224"/>
        <v>11276</v>
      </c>
      <c r="B11277" s="845" t="s">
        <v>2564</v>
      </c>
      <c r="C11277" s="1007">
        <f t="shared" si="223"/>
        <v>62</v>
      </c>
      <c r="D11277" s="1014"/>
      <c r="I11277" s="1011" t="str">
        <f>CONCATENATE("&lt;numeroLigne&gt;",C11277,"&lt;/numeroLigne&gt;")</f>
        <v>&lt;numeroLigne&gt;62&lt;/numeroLigne&gt;</v>
      </c>
      <c r="K11277" s="1013"/>
    </row>
    <row r="11278" spans="1:11" s="1011" customFormat="1" ht="15" x14ac:dyDescent="0.25">
      <c r="A11278" s="859">
        <f t="shared" si="224"/>
        <v>11277</v>
      </c>
      <c r="B11278" s="845" t="s">
        <v>2564</v>
      </c>
      <c r="C11278" s="1007">
        <f t="shared" si="223"/>
        <v>62</v>
      </c>
      <c r="D11278" s="1014"/>
      <c r="H11278" s="1011" t="s">
        <v>1010</v>
      </c>
      <c r="K11278" s="1013"/>
    </row>
    <row r="11279" spans="1:11" s="1011" customFormat="1" ht="15" x14ac:dyDescent="0.25">
      <c r="A11279" s="859">
        <f t="shared" si="224"/>
        <v>11278</v>
      </c>
      <c r="B11279" s="845" t="s">
        <v>2564</v>
      </c>
      <c r="C11279" s="1007">
        <f t="shared" si="223"/>
        <v>62</v>
      </c>
      <c r="D11279" s="1012"/>
      <c r="H11279" s="1011" t="s">
        <v>1007</v>
      </c>
      <c r="K11279" s="1013"/>
    </row>
    <row r="11280" spans="1:11" s="1011" customFormat="1" ht="15" x14ac:dyDescent="0.25">
      <c r="A11280" s="859">
        <f t="shared" si="224"/>
        <v>11279</v>
      </c>
      <c r="B11280" s="845" t="s">
        <v>2564</v>
      </c>
      <c r="C11280" s="1007">
        <f t="shared" si="223"/>
        <v>62</v>
      </c>
      <c r="D11280" s="1015"/>
      <c r="I11280" s="1011" t="s">
        <v>2182</v>
      </c>
      <c r="K11280" s="1013"/>
    </row>
    <row r="11281" spans="1:11" s="1011" customFormat="1" ht="15" x14ac:dyDescent="0.25">
      <c r="A11281" s="859">
        <f t="shared" si="224"/>
        <v>11280</v>
      </c>
      <c r="B11281" s="845" t="s">
        <v>2564</v>
      </c>
      <c r="C11281" s="1007">
        <f t="shared" si="223"/>
        <v>62</v>
      </c>
      <c r="D11281" s="1012"/>
      <c r="I11281" s="1011" t="str">
        <f>CONCATENATE("&lt;valeur&gt;",VLOOKUP(C11281,'T16 Amort'!A:K,10,0),"&lt;/valeur&gt;")</f>
        <v>&lt;valeur&gt;&lt;/valeur&gt;</v>
      </c>
      <c r="K11281" s="1013"/>
    </row>
    <row r="11282" spans="1:11" s="1011" customFormat="1" ht="15" x14ac:dyDescent="0.25">
      <c r="A11282" s="859">
        <f t="shared" si="224"/>
        <v>11281</v>
      </c>
      <c r="B11282" s="845" t="s">
        <v>2564</v>
      </c>
      <c r="C11282" s="1007">
        <f t="shared" si="223"/>
        <v>62</v>
      </c>
      <c r="D11282" s="1012"/>
      <c r="I11282" s="1011" t="str">
        <f>CONCATENATE("&lt;numeroLigne&gt;",C11282,"&lt;/numeroLigne&gt;")</f>
        <v>&lt;numeroLigne&gt;62&lt;/numeroLigne&gt;</v>
      </c>
      <c r="K11282" s="1013"/>
    </row>
    <row r="11283" spans="1:11" s="1011" customFormat="1" ht="15" x14ac:dyDescent="0.25">
      <c r="A11283" s="859">
        <f t="shared" si="224"/>
        <v>11282</v>
      </c>
      <c r="B11283" s="845" t="s">
        <v>2564</v>
      </c>
      <c r="C11283" s="1007">
        <f t="shared" si="223"/>
        <v>62</v>
      </c>
      <c r="D11283" s="1014"/>
      <c r="H11283" s="1011" t="s">
        <v>1010</v>
      </c>
      <c r="K11283" s="1013"/>
    </row>
    <row r="11284" spans="1:11" s="1011" customFormat="1" ht="15" x14ac:dyDescent="0.25">
      <c r="A11284" s="859">
        <f t="shared" si="224"/>
        <v>11283</v>
      </c>
      <c r="B11284" s="845" t="s">
        <v>2564</v>
      </c>
      <c r="C11284" s="1007">
        <f t="shared" si="223"/>
        <v>62</v>
      </c>
      <c r="D11284" s="1014"/>
      <c r="H11284" s="1011" t="s">
        <v>1007</v>
      </c>
      <c r="K11284" s="1013"/>
    </row>
    <row r="11285" spans="1:11" s="1011" customFormat="1" ht="15" x14ac:dyDescent="0.25">
      <c r="A11285" s="859">
        <f t="shared" si="224"/>
        <v>11284</v>
      </c>
      <c r="B11285" s="845" t="s">
        <v>2564</v>
      </c>
      <c r="C11285" s="1007">
        <f t="shared" si="223"/>
        <v>62</v>
      </c>
      <c r="D11285" s="1012"/>
      <c r="I11285" s="1011" t="s">
        <v>2183</v>
      </c>
      <c r="K11285" s="1013"/>
    </row>
    <row r="11286" spans="1:11" s="1011" customFormat="1" ht="15" x14ac:dyDescent="0.25">
      <c r="A11286" s="859">
        <f t="shared" si="224"/>
        <v>11285</v>
      </c>
      <c r="B11286" s="845" t="s">
        <v>2564</v>
      </c>
      <c r="C11286" s="1007">
        <f t="shared" si="223"/>
        <v>62</v>
      </c>
      <c r="D11286" s="1015"/>
      <c r="I11286" s="1011" t="str">
        <f>CONCATENATE("&lt;valeur&gt;",VLOOKUP(C11286,'T16 Amort'!A:K,11,0),"&lt;/valeur&gt;")</f>
        <v>&lt;valeur&gt;&lt;/valeur&gt;</v>
      </c>
      <c r="K11286" s="1013"/>
    </row>
    <row r="11287" spans="1:11" s="1011" customFormat="1" ht="15" x14ac:dyDescent="0.25">
      <c r="A11287" s="859">
        <f t="shared" si="224"/>
        <v>11286</v>
      </c>
      <c r="B11287" s="845" t="s">
        <v>2564</v>
      </c>
      <c r="C11287" s="1007">
        <f t="shared" si="223"/>
        <v>62</v>
      </c>
      <c r="D11287" s="1012"/>
      <c r="I11287" s="1011" t="str">
        <f>CONCATENATE("&lt;numeroLigne&gt;",C11287,"&lt;/numeroLigne&gt;")</f>
        <v>&lt;numeroLigne&gt;62&lt;/numeroLigne&gt;</v>
      </c>
      <c r="K11287" s="1013"/>
    </row>
    <row r="11288" spans="1:11" s="1011" customFormat="1" ht="15" x14ac:dyDescent="0.25">
      <c r="A11288" s="859">
        <f t="shared" si="224"/>
        <v>11287</v>
      </c>
      <c r="B11288" s="845" t="s">
        <v>2564</v>
      </c>
      <c r="C11288" s="1007">
        <f t="shared" si="223"/>
        <v>62</v>
      </c>
      <c r="D11288" s="1016"/>
      <c r="E11288" s="1017"/>
      <c r="F11288" s="1017"/>
      <c r="G11288" s="1017"/>
      <c r="H11288" s="1017" t="s">
        <v>1010</v>
      </c>
      <c r="I11288" s="1017"/>
      <c r="J11288" s="1017"/>
      <c r="K11288" s="1018"/>
    </row>
    <row r="11289" spans="1:11" s="1011" customFormat="1" ht="15" x14ac:dyDescent="0.25">
      <c r="A11289" s="859">
        <f t="shared" si="224"/>
        <v>11288</v>
      </c>
      <c r="B11289" s="845" t="s">
        <v>2564</v>
      </c>
      <c r="C11289" s="1007">
        <f t="shared" si="223"/>
        <v>63</v>
      </c>
      <c r="D11289" s="1008"/>
      <c r="E11289" s="1009"/>
      <c r="F11289" s="1009"/>
      <c r="G11289" s="1009"/>
      <c r="H11289" s="1009" t="s">
        <v>1007</v>
      </c>
      <c r="I11289" s="1009"/>
      <c r="J11289" s="1009"/>
      <c r="K11289" s="1010"/>
    </row>
    <row r="11290" spans="1:11" s="1011" customFormat="1" ht="15" x14ac:dyDescent="0.25">
      <c r="A11290" s="859">
        <f t="shared" si="224"/>
        <v>11289</v>
      </c>
      <c r="B11290" s="845" t="s">
        <v>2564</v>
      </c>
      <c r="C11290" s="1007">
        <f t="shared" si="223"/>
        <v>63</v>
      </c>
      <c r="D11290" s="1012"/>
      <c r="I11290" s="1011" t="s">
        <v>2174</v>
      </c>
      <c r="K11290" s="1013"/>
    </row>
    <row r="11291" spans="1:11" s="1011" customFormat="1" ht="15" x14ac:dyDescent="0.25">
      <c r="A11291" s="859">
        <f t="shared" si="224"/>
        <v>11290</v>
      </c>
      <c r="B11291" s="845" t="s">
        <v>2564</v>
      </c>
      <c r="C11291" s="1007">
        <f t="shared" si="223"/>
        <v>63</v>
      </c>
      <c r="D11291" s="1014"/>
      <c r="I11291" s="1011" t="str">
        <f>CONCATENATE("&lt;valeur&gt;",VLOOKUP(C11291,'T16 Amort'!A:K,2,0),"&lt;/valeur&gt;")</f>
        <v>&lt;valeur&gt;&lt;/valeur&gt;</v>
      </c>
      <c r="K11291" s="1013"/>
    </row>
    <row r="11292" spans="1:11" s="1011" customFormat="1" ht="15" x14ac:dyDescent="0.25">
      <c r="A11292" s="859">
        <f t="shared" si="224"/>
        <v>11291</v>
      </c>
      <c r="B11292" s="845" t="s">
        <v>2564</v>
      </c>
      <c r="C11292" s="1007">
        <f t="shared" si="223"/>
        <v>63</v>
      </c>
      <c r="D11292" s="1014"/>
      <c r="I11292" s="1011" t="str">
        <f>CONCATENATE("&lt;numeroLigne&gt;",C11292,"&lt;/numeroLigne&gt;")</f>
        <v>&lt;numeroLigne&gt;63&lt;/numeroLigne&gt;</v>
      </c>
      <c r="K11292" s="1013"/>
    </row>
    <row r="11293" spans="1:11" s="1011" customFormat="1" ht="15" x14ac:dyDescent="0.25">
      <c r="A11293" s="859">
        <f t="shared" si="224"/>
        <v>11292</v>
      </c>
      <c r="B11293" s="845" t="s">
        <v>2564</v>
      </c>
      <c r="C11293" s="1007">
        <f t="shared" si="223"/>
        <v>63</v>
      </c>
      <c r="D11293" s="1012"/>
      <c r="H11293" s="1011" t="s">
        <v>1010</v>
      </c>
      <c r="K11293" s="1013"/>
    </row>
    <row r="11294" spans="1:11" s="1011" customFormat="1" ht="15" x14ac:dyDescent="0.25">
      <c r="A11294" s="859">
        <f t="shared" si="224"/>
        <v>11293</v>
      </c>
      <c r="B11294" s="845" t="s">
        <v>2564</v>
      </c>
      <c r="C11294" s="1007">
        <f t="shared" si="223"/>
        <v>63</v>
      </c>
      <c r="D11294" s="1015"/>
      <c r="H11294" s="1011" t="s">
        <v>1007</v>
      </c>
      <c r="K11294" s="1013"/>
    </row>
    <row r="11295" spans="1:11" s="1011" customFormat="1" ht="15" x14ac:dyDescent="0.25">
      <c r="A11295" s="859">
        <f t="shared" si="224"/>
        <v>11294</v>
      </c>
      <c r="B11295" s="845" t="s">
        <v>2564</v>
      </c>
      <c r="C11295" s="1007">
        <f t="shared" si="223"/>
        <v>63</v>
      </c>
      <c r="D11295" s="1012"/>
      <c r="I11295" s="1011" t="s">
        <v>2175</v>
      </c>
      <c r="K11295" s="1013"/>
    </row>
    <row r="11296" spans="1:11" s="1011" customFormat="1" ht="15" x14ac:dyDescent="0.25">
      <c r="A11296" s="859">
        <f t="shared" si="224"/>
        <v>11295</v>
      </c>
      <c r="B11296" s="845" t="s">
        <v>2564</v>
      </c>
      <c r="C11296" s="1007">
        <f t="shared" si="223"/>
        <v>63</v>
      </c>
      <c r="D11296" s="1012"/>
      <c r="I11296" s="1011" t="str">
        <f>CONCATENATE("&lt;valeur&gt;",VLOOKUP(C11296,'T16 Amort'!A:K,3,0),"&lt;/valeur&gt;")</f>
        <v>&lt;valeur&gt;&lt;/valeur&gt;</v>
      </c>
      <c r="K11296" s="1013"/>
    </row>
    <row r="11297" spans="1:11" s="1011" customFormat="1" ht="15" x14ac:dyDescent="0.25">
      <c r="A11297" s="859">
        <f t="shared" si="224"/>
        <v>11296</v>
      </c>
      <c r="B11297" s="845" t="s">
        <v>2564</v>
      </c>
      <c r="C11297" s="1007">
        <f t="shared" si="223"/>
        <v>63</v>
      </c>
      <c r="D11297" s="1014"/>
      <c r="I11297" s="1011" t="str">
        <f>CONCATENATE("&lt;numeroLigne&gt;",C11297,"&lt;/numeroLigne&gt;")</f>
        <v>&lt;numeroLigne&gt;63&lt;/numeroLigne&gt;</v>
      </c>
      <c r="K11297" s="1013"/>
    </row>
    <row r="11298" spans="1:11" s="1011" customFormat="1" ht="15" x14ac:dyDescent="0.25">
      <c r="A11298" s="859">
        <f t="shared" si="224"/>
        <v>11297</v>
      </c>
      <c r="B11298" s="845" t="s">
        <v>2564</v>
      </c>
      <c r="C11298" s="1007">
        <f t="shared" si="223"/>
        <v>63</v>
      </c>
      <c r="D11298" s="1014"/>
      <c r="H11298" s="1011" t="s">
        <v>1010</v>
      </c>
      <c r="K11298" s="1013"/>
    </row>
    <row r="11299" spans="1:11" s="1011" customFormat="1" ht="15" x14ac:dyDescent="0.25">
      <c r="A11299" s="859">
        <f t="shared" si="224"/>
        <v>11298</v>
      </c>
      <c r="B11299" s="845" t="s">
        <v>2564</v>
      </c>
      <c r="C11299" s="1007">
        <f t="shared" si="223"/>
        <v>63</v>
      </c>
      <c r="D11299" s="1012"/>
      <c r="H11299" s="1011" t="s">
        <v>1007</v>
      </c>
      <c r="K11299" s="1013"/>
    </row>
    <row r="11300" spans="1:11" s="1011" customFormat="1" ht="15" x14ac:dyDescent="0.25">
      <c r="A11300" s="859">
        <f t="shared" si="224"/>
        <v>11299</v>
      </c>
      <c r="B11300" s="845" t="s">
        <v>2564</v>
      </c>
      <c r="C11300" s="1007">
        <f t="shared" si="223"/>
        <v>63</v>
      </c>
      <c r="D11300" s="1015"/>
      <c r="I11300" s="1011" t="s">
        <v>2176</v>
      </c>
      <c r="K11300" s="1013"/>
    </row>
    <row r="11301" spans="1:11" s="1011" customFormat="1" ht="15" x14ac:dyDescent="0.25">
      <c r="A11301" s="859">
        <f t="shared" si="224"/>
        <v>11300</v>
      </c>
      <c r="B11301" s="845" t="s">
        <v>2564</v>
      </c>
      <c r="C11301" s="1007">
        <f t="shared" si="223"/>
        <v>63</v>
      </c>
      <c r="D11301" s="1012"/>
      <c r="I11301" s="1011" t="str">
        <f>CONCATENATE("&lt;valeur&gt;",VLOOKUP(C11301,'T16 Amort'!A:K,4,0),"&lt;/valeur&gt;")</f>
        <v>&lt;valeur&gt;&lt;/valeur&gt;</v>
      </c>
      <c r="K11301" s="1013"/>
    </row>
    <row r="11302" spans="1:11" s="1011" customFormat="1" ht="15" x14ac:dyDescent="0.25">
      <c r="A11302" s="859">
        <f t="shared" si="224"/>
        <v>11301</v>
      </c>
      <c r="B11302" s="845" t="s">
        <v>2564</v>
      </c>
      <c r="C11302" s="1007">
        <f t="shared" si="223"/>
        <v>63</v>
      </c>
      <c r="D11302" s="1012"/>
      <c r="I11302" s="1011" t="str">
        <f>CONCATENATE("&lt;numeroLigne&gt;",C11302,"&lt;/numeroLigne&gt;")</f>
        <v>&lt;numeroLigne&gt;63&lt;/numeroLigne&gt;</v>
      </c>
      <c r="K11302" s="1013"/>
    </row>
    <row r="11303" spans="1:11" s="1011" customFormat="1" ht="15" x14ac:dyDescent="0.25">
      <c r="A11303" s="859">
        <f t="shared" si="224"/>
        <v>11302</v>
      </c>
      <c r="B11303" s="845" t="s">
        <v>2564</v>
      </c>
      <c r="C11303" s="1007">
        <f t="shared" si="223"/>
        <v>63</v>
      </c>
      <c r="D11303" s="1014"/>
      <c r="H11303" s="1011" t="s">
        <v>1010</v>
      </c>
      <c r="K11303" s="1013"/>
    </row>
    <row r="11304" spans="1:11" s="1011" customFormat="1" ht="15" x14ac:dyDescent="0.25">
      <c r="A11304" s="859">
        <f t="shared" si="224"/>
        <v>11303</v>
      </c>
      <c r="B11304" s="845" t="s">
        <v>2564</v>
      </c>
      <c r="C11304" s="1007">
        <f t="shared" si="223"/>
        <v>63</v>
      </c>
      <c r="D11304" s="1014"/>
      <c r="H11304" s="1011" t="s">
        <v>1007</v>
      </c>
      <c r="K11304" s="1013"/>
    </row>
    <row r="11305" spans="1:11" s="1011" customFormat="1" ht="15" x14ac:dyDescent="0.25">
      <c r="A11305" s="859">
        <f t="shared" si="224"/>
        <v>11304</v>
      </c>
      <c r="B11305" s="845" t="s">
        <v>2564</v>
      </c>
      <c r="C11305" s="1007">
        <f t="shared" si="223"/>
        <v>63</v>
      </c>
      <c r="D11305" s="1012"/>
      <c r="I11305" s="1011" t="s">
        <v>2177</v>
      </c>
      <c r="K11305" s="1013"/>
    </row>
    <row r="11306" spans="1:11" s="1011" customFormat="1" ht="15" x14ac:dyDescent="0.25">
      <c r="A11306" s="859">
        <f t="shared" si="224"/>
        <v>11305</v>
      </c>
      <c r="B11306" s="845" t="s">
        <v>2564</v>
      </c>
      <c r="C11306" s="1007">
        <f t="shared" si="223"/>
        <v>63</v>
      </c>
      <c r="D11306" s="1015"/>
      <c r="I11306" s="1011" t="str">
        <f>CONCATENATE("&lt;valeur&gt;",VLOOKUP(C11306,'T16 Amort'!A:K,5,0),"&lt;/valeur&gt;")</f>
        <v>&lt;valeur&gt;&lt;/valeur&gt;</v>
      </c>
      <c r="K11306" s="1013"/>
    </row>
    <row r="11307" spans="1:11" s="1011" customFormat="1" ht="15" x14ac:dyDescent="0.25">
      <c r="A11307" s="859">
        <f t="shared" si="224"/>
        <v>11306</v>
      </c>
      <c r="B11307" s="845" t="s">
        <v>2564</v>
      </c>
      <c r="C11307" s="1007">
        <f t="shared" si="223"/>
        <v>63</v>
      </c>
      <c r="D11307" s="1012"/>
      <c r="I11307" s="1011" t="str">
        <f>CONCATENATE("&lt;numeroLigne&gt;",C11307,"&lt;/numeroLigne&gt;")</f>
        <v>&lt;numeroLigne&gt;63&lt;/numeroLigne&gt;</v>
      </c>
      <c r="K11307" s="1013"/>
    </row>
    <row r="11308" spans="1:11" s="1011" customFormat="1" ht="15" x14ac:dyDescent="0.25">
      <c r="A11308" s="859">
        <f t="shared" si="224"/>
        <v>11307</v>
      </c>
      <c r="B11308" s="845" t="s">
        <v>2564</v>
      </c>
      <c r="C11308" s="1007">
        <f t="shared" si="223"/>
        <v>63</v>
      </c>
      <c r="D11308" s="1012"/>
      <c r="H11308" s="1011" t="s">
        <v>1010</v>
      </c>
      <c r="K11308" s="1013"/>
    </row>
    <row r="11309" spans="1:11" s="1011" customFormat="1" ht="15" x14ac:dyDescent="0.25">
      <c r="A11309" s="859">
        <f t="shared" si="224"/>
        <v>11308</v>
      </c>
      <c r="B11309" s="845" t="s">
        <v>2564</v>
      </c>
      <c r="C11309" s="1007">
        <f t="shared" si="223"/>
        <v>63</v>
      </c>
      <c r="D11309" s="1014"/>
      <c r="H11309" s="1011" t="s">
        <v>1007</v>
      </c>
      <c r="K11309" s="1013"/>
    </row>
    <row r="11310" spans="1:11" s="1011" customFormat="1" ht="15" x14ac:dyDescent="0.25">
      <c r="A11310" s="859">
        <f t="shared" si="224"/>
        <v>11309</v>
      </c>
      <c r="B11310" s="845" t="s">
        <v>2564</v>
      </c>
      <c r="C11310" s="1007">
        <f t="shared" si="223"/>
        <v>63</v>
      </c>
      <c r="D11310" s="1014"/>
      <c r="I11310" s="1011" t="s">
        <v>2178</v>
      </c>
      <c r="K11310" s="1013"/>
    </row>
    <row r="11311" spans="1:11" s="1011" customFormat="1" ht="15" x14ac:dyDescent="0.25">
      <c r="A11311" s="859">
        <f t="shared" si="224"/>
        <v>11310</v>
      </c>
      <c r="B11311" s="845" t="s">
        <v>2564</v>
      </c>
      <c r="C11311" s="1007">
        <f t="shared" ref="C11311:C11374" si="225">C11261+1</f>
        <v>63</v>
      </c>
      <c r="D11311" s="1012"/>
      <c r="I11311" s="1011" t="str">
        <f>CONCATENATE("&lt;valeur&gt;",VLOOKUP(C11311,'T16 Amort'!A:K,6,0),"&lt;/valeur&gt;")</f>
        <v>&lt;valeur&gt;&lt;/valeur&gt;</v>
      </c>
      <c r="K11311" s="1013"/>
    </row>
    <row r="11312" spans="1:11" s="1011" customFormat="1" ht="15" x14ac:dyDescent="0.25">
      <c r="A11312" s="859">
        <f t="shared" si="224"/>
        <v>11311</v>
      </c>
      <c r="B11312" s="845" t="s">
        <v>2564</v>
      </c>
      <c r="C11312" s="1007">
        <f t="shared" si="225"/>
        <v>63</v>
      </c>
      <c r="D11312" s="1015"/>
      <c r="I11312" s="1011" t="str">
        <f>CONCATENATE("&lt;numeroLigne&gt;",C11312,"&lt;/numeroLigne&gt;")</f>
        <v>&lt;numeroLigne&gt;63&lt;/numeroLigne&gt;</v>
      </c>
      <c r="K11312" s="1013"/>
    </row>
    <row r="11313" spans="1:11" s="1011" customFormat="1" ht="15" x14ac:dyDescent="0.25">
      <c r="A11313" s="859">
        <f t="shared" si="224"/>
        <v>11312</v>
      </c>
      <c r="B11313" s="845" t="s">
        <v>2564</v>
      </c>
      <c r="C11313" s="1007">
        <f t="shared" si="225"/>
        <v>63</v>
      </c>
      <c r="D11313" s="1012"/>
      <c r="H11313" s="1011" t="s">
        <v>1010</v>
      </c>
      <c r="K11313" s="1013"/>
    </row>
    <row r="11314" spans="1:11" s="1011" customFormat="1" ht="15" x14ac:dyDescent="0.25">
      <c r="A11314" s="859">
        <f t="shared" si="224"/>
        <v>11313</v>
      </c>
      <c r="B11314" s="845" t="s">
        <v>2564</v>
      </c>
      <c r="C11314" s="1007">
        <f t="shared" si="225"/>
        <v>63</v>
      </c>
      <c r="D11314" s="1012"/>
      <c r="H11314" s="1011" t="s">
        <v>1007</v>
      </c>
      <c r="K11314" s="1013"/>
    </row>
    <row r="11315" spans="1:11" s="1011" customFormat="1" ht="15" x14ac:dyDescent="0.25">
      <c r="A11315" s="859">
        <f t="shared" si="224"/>
        <v>11314</v>
      </c>
      <c r="B11315" s="845" t="s">
        <v>2564</v>
      </c>
      <c r="C11315" s="1007">
        <f t="shared" si="225"/>
        <v>63</v>
      </c>
      <c r="D11315" s="1014"/>
      <c r="I11315" s="1011" t="s">
        <v>2179</v>
      </c>
      <c r="K11315" s="1013"/>
    </row>
    <row r="11316" spans="1:11" s="1011" customFormat="1" ht="15" x14ac:dyDescent="0.25">
      <c r="A11316" s="859">
        <f t="shared" si="224"/>
        <v>11315</v>
      </c>
      <c r="B11316" s="845" t="s">
        <v>2564</v>
      </c>
      <c r="C11316" s="1007">
        <f t="shared" si="225"/>
        <v>63</v>
      </c>
      <c r="D11316" s="1014"/>
      <c r="I11316" s="1011" t="str">
        <f>CONCATENATE("&lt;valeur&gt;",VLOOKUP(C11316,'T16 Amort'!A:K,7,0),"&lt;/valeur&gt;")</f>
        <v>&lt;valeur&gt;&lt;/valeur&gt;</v>
      </c>
      <c r="K11316" s="1013"/>
    </row>
    <row r="11317" spans="1:11" s="1011" customFormat="1" ht="15" x14ac:dyDescent="0.25">
      <c r="A11317" s="859">
        <f t="shared" si="224"/>
        <v>11316</v>
      </c>
      <c r="B11317" s="845" t="s">
        <v>2564</v>
      </c>
      <c r="C11317" s="1007">
        <f t="shared" si="225"/>
        <v>63</v>
      </c>
      <c r="D11317" s="1012"/>
      <c r="I11317" s="1011" t="str">
        <f>CONCATENATE("&lt;numeroLigne&gt;",C11317,"&lt;/numeroLigne&gt;")</f>
        <v>&lt;numeroLigne&gt;63&lt;/numeroLigne&gt;</v>
      </c>
      <c r="K11317" s="1013"/>
    </row>
    <row r="11318" spans="1:11" s="1011" customFormat="1" ht="15" x14ac:dyDescent="0.25">
      <c r="A11318" s="859">
        <f t="shared" si="224"/>
        <v>11317</v>
      </c>
      <c r="B11318" s="845" t="s">
        <v>2564</v>
      </c>
      <c r="C11318" s="1007">
        <f t="shared" si="225"/>
        <v>63</v>
      </c>
      <c r="D11318" s="1015"/>
      <c r="H11318" s="1011" t="s">
        <v>1010</v>
      </c>
      <c r="K11318" s="1013"/>
    </row>
    <row r="11319" spans="1:11" s="1011" customFormat="1" ht="15" x14ac:dyDescent="0.25">
      <c r="A11319" s="859">
        <f t="shared" si="224"/>
        <v>11318</v>
      </c>
      <c r="B11319" s="845" t="s">
        <v>2564</v>
      </c>
      <c r="C11319" s="1007">
        <f t="shared" si="225"/>
        <v>63</v>
      </c>
      <c r="D11319" s="1012"/>
      <c r="H11319" s="1011" t="s">
        <v>1007</v>
      </c>
      <c r="K11319" s="1013"/>
    </row>
    <row r="11320" spans="1:11" s="1011" customFormat="1" ht="15" x14ac:dyDescent="0.25">
      <c r="A11320" s="859">
        <f t="shared" si="224"/>
        <v>11319</v>
      </c>
      <c r="B11320" s="845" t="s">
        <v>2564</v>
      </c>
      <c r="C11320" s="1007">
        <f t="shared" si="225"/>
        <v>63</v>
      </c>
      <c r="D11320" s="1012"/>
      <c r="I11320" s="1011" t="s">
        <v>2180</v>
      </c>
      <c r="K11320" s="1013"/>
    </row>
    <row r="11321" spans="1:11" s="1011" customFormat="1" ht="15" x14ac:dyDescent="0.25">
      <c r="A11321" s="859">
        <f t="shared" si="224"/>
        <v>11320</v>
      </c>
      <c r="B11321" s="845" t="s">
        <v>2564</v>
      </c>
      <c r="C11321" s="1007">
        <f t="shared" si="225"/>
        <v>63</v>
      </c>
      <c r="D11321" s="1014"/>
      <c r="I11321" s="1011" t="str">
        <f>CONCATENATE("&lt;valeur&gt;",VLOOKUP(C11321,'T16 Amort'!A:K,8,0),"&lt;/valeur&gt;")</f>
        <v>&lt;valeur&gt;&lt;/valeur&gt;</v>
      </c>
      <c r="K11321" s="1013"/>
    </row>
    <row r="11322" spans="1:11" s="1011" customFormat="1" ht="15" x14ac:dyDescent="0.25">
      <c r="A11322" s="859">
        <f t="shared" si="224"/>
        <v>11321</v>
      </c>
      <c r="B11322" s="845" t="s">
        <v>2564</v>
      </c>
      <c r="C11322" s="1007">
        <f t="shared" si="225"/>
        <v>63</v>
      </c>
      <c r="D11322" s="1014"/>
      <c r="I11322" s="1011" t="str">
        <f>CONCATENATE("&lt;numeroLigne&gt;",C11322,"&lt;/numeroLigne&gt;")</f>
        <v>&lt;numeroLigne&gt;63&lt;/numeroLigne&gt;</v>
      </c>
      <c r="K11322" s="1013"/>
    </row>
    <row r="11323" spans="1:11" s="1011" customFormat="1" ht="15" x14ac:dyDescent="0.25">
      <c r="A11323" s="859">
        <f t="shared" si="224"/>
        <v>11322</v>
      </c>
      <c r="B11323" s="845" t="s">
        <v>2564</v>
      </c>
      <c r="C11323" s="1007">
        <f t="shared" si="225"/>
        <v>63</v>
      </c>
      <c r="D11323" s="1012"/>
      <c r="H11323" s="1011" t="s">
        <v>1010</v>
      </c>
      <c r="K11323" s="1013"/>
    </row>
    <row r="11324" spans="1:11" s="1011" customFormat="1" ht="15" x14ac:dyDescent="0.25">
      <c r="A11324" s="859">
        <f t="shared" si="224"/>
        <v>11323</v>
      </c>
      <c r="B11324" s="845" t="s">
        <v>2564</v>
      </c>
      <c r="C11324" s="1007">
        <f t="shared" si="225"/>
        <v>63</v>
      </c>
      <c r="D11324" s="1015"/>
      <c r="H11324" s="1011" t="s">
        <v>1007</v>
      </c>
      <c r="K11324" s="1013"/>
    </row>
    <row r="11325" spans="1:11" s="1011" customFormat="1" ht="15" x14ac:dyDescent="0.25">
      <c r="A11325" s="859">
        <f t="shared" si="224"/>
        <v>11324</v>
      </c>
      <c r="B11325" s="845" t="s">
        <v>2564</v>
      </c>
      <c r="C11325" s="1007">
        <f t="shared" si="225"/>
        <v>63</v>
      </c>
      <c r="D11325" s="1012"/>
      <c r="I11325" s="1011" t="s">
        <v>2181</v>
      </c>
      <c r="K11325" s="1013"/>
    </row>
    <row r="11326" spans="1:11" s="1011" customFormat="1" ht="15" x14ac:dyDescent="0.25">
      <c r="A11326" s="859">
        <f t="shared" si="224"/>
        <v>11325</v>
      </c>
      <c r="B11326" s="845" t="s">
        <v>2564</v>
      </c>
      <c r="C11326" s="1007">
        <f t="shared" si="225"/>
        <v>63</v>
      </c>
      <c r="D11326" s="1012"/>
      <c r="I11326" s="1011" t="str">
        <f>CONCATENATE("&lt;valeur&gt;",VLOOKUP(C11326,'T16 Amort'!A:K,9,0),"&lt;/valeur&gt;")</f>
        <v>&lt;valeur&gt;&lt;/valeur&gt;</v>
      </c>
      <c r="K11326" s="1013"/>
    </row>
    <row r="11327" spans="1:11" s="1011" customFormat="1" ht="15" x14ac:dyDescent="0.25">
      <c r="A11327" s="859">
        <f t="shared" si="224"/>
        <v>11326</v>
      </c>
      <c r="B11327" s="845" t="s">
        <v>2564</v>
      </c>
      <c r="C11327" s="1007">
        <f t="shared" si="225"/>
        <v>63</v>
      </c>
      <c r="D11327" s="1014"/>
      <c r="I11327" s="1011" t="str">
        <f>CONCATENATE("&lt;numeroLigne&gt;",C11327,"&lt;/numeroLigne&gt;")</f>
        <v>&lt;numeroLigne&gt;63&lt;/numeroLigne&gt;</v>
      </c>
      <c r="K11327" s="1013"/>
    </row>
    <row r="11328" spans="1:11" s="1011" customFormat="1" ht="15" x14ac:dyDescent="0.25">
      <c r="A11328" s="859">
        <f t="shared" si="224"/>
        <v>11327</v>
      </c>
      <c r="B11328" s="845" t="s">
        <v>2564</v>
      </c>
      <c r="C11328" s="1007">
        <f t="shared" si="225"/>
        <v>63</v>
      </c>
      <c r="D11328" s="1014"/>
      <c r="H11328" s="1011" t="s">
        <v>1010</v>
      </c>
      <c r="K11328" s="1013"/>
    </row>
    <row r="11329" spans="1:11" s="1011" customFormat="1" ht="15" x14ac:dyDescent="0.25">
      <c r="A11329" s="859">
        <f t="shared" si="224"/>
        <v>11328</v>
      </c>
      <c r="B11329" s="845" t="s">
        <v>2564</v>
      </c>
      <c r="C11329" s="1007">
        <f t="shared" si="225"/>
        <v>63</v>
      </c>
      <c r="D11329" s="1012"/>
      <c r="H11329" s="1011" t="s">
        <v>1007</v>
      </c>
      <c r="K11329" s="1013"/>
    </row>
    <row r="11330" spans="1:11" s="1011" customFormat="1" ht="15" x14ac:dyDescent="0.25">
      <c r="A11330" s="859">
        <f t="shared" si="224"/>
        <v>11329</v>
      </c>
      <c r="B11330" s="845" t="s">
        <v>2564</v>
      </c>
      <c r="C11330" s="1007">
        <f t="shared" si="225"/>
        <v>63</v>
      </c>
      <c r="D11330" s="1015"/>
      <c r="I11330" s="1011" t="s">
        <v>2182</v>
      </c>
      <c r="K11330" s="1013"/>
    </row>
    <row r="11331" spans="1:11" s="1011" customFormat="1" ht="15" x14ac:dyDescent="0.25">
      <c r="A11331" s="859">
        <f t="shared" si="224"/>
        <v>11330</v>
      </c>
      <c r="B11331" s="845" t="s">
        <v>2564</v>
      </c>
      <c r="C11331" s="1007">
        <f t="shared" si="225"/>
        <v>63</v>
      </c>
      <c r="D11331" s="1012"/>
      <c r="I11331" s="1011" t="str">
        <f>CONCATENATE("&lt;valeur&gt;",VLOOKUP(C11331,'T16 Amort'!A:K,10,0),"&lt;/valeur&gt;")</f>
        <v>&lt;valeur&gt;&lt;/valeur&gt;</v>
      </c>
      <c r="K11331" s="1013"/>
    </row>
    <row r="11332" spans="1:11" s="1011" customFormat="1" ht="15" x14ac:dyDescent="0.25">
      <c r="A11332" s="859">
        <f t="shared" ref="A11332:A11395" si="226">+A11331+1</f>
        <v>11331</v>
      </c>
      <c r="B11332" s="845" t="s">
        <v>2564</v>
      </c>
      <c r="C11332" s="1007">
        <f t="shared" si="225"/>
        <v>63</v>
      </c>
      <c r="D11332" s="1012"/>
      <c r="I11332" s="1011" t="str">
        <f>CONCATENATE("&lt;numeroLigne&gt;",C11332,"&lt;/numeroLigne&gt;")</f>
        <v>&lt;numeroLigne&gt;63&lt;/numeroLigne&gt;</v>
      </c>
      <c r="K11332" s="1013"/>
    </row>
    <row r="11333" spans="1:11" s="1011" customFormat="1" ht="15" x14ac:dyDescent="0.25">
      <c r="A11333" s="859">
        <f t="shared" si="226"/>
        <v>11332</v>
      </c>
      <c r="B11333" s="845" t="s">
        <v>2564</v>
      </c>
      <c r="C11333" s="1007">
        <f t="shared" si="225"/>
        <v>63</v>
      </c>
      <c r="D11333" s="1014"/>
      <c r="H11333" s="1011" t="s">
        <v>1010</v>
      </c>
      <c r="K11333" s="1013"/>
    </row>
    <row r="11334" spans="1:11" s="1011" customFormat="1" ht="15" x14ac:dyDescent="0.25">
      <c r="A11334" s="859">
        <f t="shared" si="226"/>
        <v>11333</v>
      </c>
      <c r="B11334" s="845" t="s">
        <v>2564</v>
      </c>
      <c r="C11334" s="1007">
        <f t="shared" si="225"/>
        <v>63</v>
      </c>
      <c r="D11334" s="1014"/>
      <c r="H11334" s="1011" t="s">
        <v>1007</v>
      </c>
      <c r="K11334" s="1013"/>
    </row>
    <row r="11335" spans="1:11" s="1011" customFormat="1" ht="15" x14ac:dyDescent="0.25">
      <c r="A11335" s="859">
        <f t="shared" si="226"/>
        <v>11334</v>
      </c>
      <c r="B11335" s="845" t="s">
        <v>2564</v>
      </c>
      <c r="C11335" s="1007">
        <f t="shared" si="225"/>
        <v>63</v>
      </c>
      <c r="D11335" s="1012"/>
      <c r="I11335" s="1011" t="s">
        <v>2183</v>
      </c>
      <c r="K11335" s="1013"/>
    </row>
    <row r="11336" spans="1:11" s="1011" customFormat="1" ht="15" x14ac:dyDescent="0.25">
      <c r="A11336" s="859">
        <f t="shared" si="226"/>
        <v>11335</v>
      </c>
      <c r="B11336" s="845" t="s">
        <v>2564</v>
      </c>
      <c r="C11336" s="1007">
        <f t="shared" si="225"/>
        <v>63</v>
      </c>
      <c r="D11336" s="1015"/>
      <c r="I11336" s="1011" t="str">
        <f>CONCATENATE("&lt;valeur&gt;",VLOOKUP(C11336,'T16 Amort'!A:K,11,0),"&lt;/valeur&gt;")</f>
        <v>&lt;valeur&gt;&lt;/valeur&gt;</v>
      </c>
      <c r="K11336" s="1013"/>
    </row>
    <row r="11337" spans="1:11" s="1011" customFormat="1" ht="15" x14ac:dyDescent="0.25">
      <c r="A11337" s="859">
        <f t="shared" si="226"/>
        <v>11336</v>
      </c>
      <c r="B11337" s="845" t="s">
        <v>2564</v>
      </c>
      <c r="C11337" s="1007">
        <f t="shared" si="225"/>
        <v>63</v>
      </c>
      <c r="D11337" s="1012"/>
      <c r="I11337" s="1011" t="str">
        <f>CONCATENATE("&lt;numeroLigne&gt;",C11337,"&lt;/numeroLigne&gt;")</f>
        <v>&lt;numeroLigne&gt;63&lt;/numeroLigne&gt;</v>
      </c>
      <c r="K11337" s="1013"/>
    </row>
    <row r="11338" spans="1:11" s="1011" customFormat="1" ht="15" x14ac:dyDescent="0.25">
      <c r="A11338" s="859">
        <f t="shared" si="226"/>
        <v>11337</v>
      </c>
      <c r="B11338" s="845" t="s">
        <v>2564</v>
      </c>
      <c r="C11338" s="1007">
        <f t="shared" si="225"/>
        <v>63</v>
      </c>
      <c r="D11338" s="1016"/>
      <c r="E11338" s="1017"/>
      <c r="F11338" s="1017"/>
      <c r="G11338" s="1017"/>
      <c r="H11338" s="1017" t="s">
        <v>1010</v>
      </c>
      <c r="I11338" s="1017"/>
      <c r="J11338" s="1017"/>
      <c r="K11338" s="1018"/>
    </row>
    <row r="11339" spans="1:11" s="1011" customFormat="1" ht="15" x14ac:dyDescent="0.25">
      <c r="A11339" s="859">
        <f t="shared" si="226"/>
        <v>11338</v>
      </c>
      <c r="B11339" s="845" t="s">
        <v>2564</v>
      </c>
      <c r="C11339" s="1007">
        <f t="shared" si="225"/>
        <v>64</v>
      </c>
      <c r="D11339" s="1008"/>
      <c r="E11339" s="1009"/>
      <c r="F11339" s="1009"/>
      <c r="G11339" s="1009"/>
      <c r="H11339" s="1009" t="s">
        <v>1007</v>
      </c>
      <c r="I11339" s="1009"/>
      <c r="J11339" s="1009"/>
      <c r="K11339" s="1010"/>
    </row>
    <row r="11340" spans="1:11" s="1011" customFormat="1" ht="15" x14ac:dyDescent="0.25">
      <c r="A11340" s="859">
        <f t="shared" si="226"/>
        <v>11339</v>
      </c>
      <c r="B11340" s="845" t="s">
        <v>2564</v>
      </c>
      <c r="C11340" s="1007">
        <f t="shared" si="225"/>
        <v>64</v>
      </c>
      <c r="D11340" s="1012"/>
      <c r="I11340" s="1011" t="s">
        <v>2174</v>
      </c>
      <c r="K11340" s="1013"/>
    </row>
    <row r="11341" spans="1:11" s="1011" customFormat="1" ht="15" x14ac:dyDescent="0.25">
      <c r="A11341" s="859">
        <f t="shared" si="226"/>
        <v>11340</v>
      </c>
      <c r="B11341" s="845" t="s">
        <v>2564</v>
      </c>
      <c r="C11341" s="1007">
        <f t="shared" si="225"/>
        <v>64</v>
      </c>
      <c r="D11341" s="1014"/>
      <c r="I11341" s="1011" t="str">
        <f>CONCATENATE("&lt;valeur&gt;",VLOOKUP(C11341,'T16 Amort'!A:K,2,0),"&lt;/valeur&gt;")</f>
        <v>&lt;valeur&gt;&lt;/valeur&gt;</v>
      </c>
      <c r="K11341" s="1013"/>
    </row>
    <row r="11342" spans="1:11" s="1011" customFormat="1" ht="15" x14ac:dyDescent="0.25">
      <c r="A11342" s="859">
        <f t="shared" si="226"/>
        <v>11341</v>
      </c>
      <c r="B11342" s="845" t="s">
        <v>2564</v>
      </c>
      <c r="C11342" s="1007">
        <f t="shared" si="225"/>
        <v>64</v>
      </c>
      <c r="D11342" s="1014"/>
      <c r="I11342" s="1011" t="str">
        <f>CONCATENATE("&lt;numeroLigne&gt;",C11342,"&lt;/numeroLigne&gt;")</f>
        <v>&lt;numeroLigne&gt;64&lt;/numeroLigne&gt;</v>
      </c>
      <c r="K11342" s="1013"/>
    </row>
    <row r="11343" spans="1:11" s="1011" customFormat="1" ht="15" x14ac:dyDescent="0.25">
      <c r="A11343" s="859">
        <f t="shared" si="226"/>
        <v>11342</v>
      </c>
      <c r="B11343" s="845" t="s">
        <v>2564</v>
      </c>
      <c r="C11343" s="1007">
        <f t="shared" si="225"/>
        <v>64</v>
      </c>
      <c r="D11343" s="1012"/>
      <c r="H11343" s="1011" t="s">
        <v>1010</v>
      </c>
      <c r="K11343" s="1013"/>
    </row>
    <row r="11344" spans="1:11" s="1011" customFormat="1" ht="15" x14ac:dyDescent="0.25">
      <c r="A11344" s="859">
        <f t="shared" si="226"/>
        <v>11343</v>
      </c>
      <c r="B11344" s="845" t="s">
        <v>2564</v>
      </c>
      <c r="C11344" s="1007">
        <f t="shared" si="225"/>
        <v>64</v>
      </c>
      <c r="D11344" s="1015"/>
      <c r="H11344" s="1011" t="s">
        <v>1007</v>
      </c>
      <c r="K11344" s="1013"/>
    </row>
    <row r="11345" spans="1:11" s="1011" customFormat="1" ht="15" x14ac:dyDescent="0.25">
      <c r="A11345" s="859">
        <f t="shared" si="226"/>
        <v>11344</v>
      </c>
      <c r="B11345" s="845" t="s">
        <v>2564</v>
      </c>
      <c r="C11345" s="1007">
        <f t="shared" si="225"/>
        <v>64</v>
      </c>
      <c r="D11345" s="1012"/>
      <c r="I11345" s="1011" t="s">
        <v>2175</v>
      </c>
      <c r="K11345" s="1013"/>
    </row>
    <row r="11346" spans="1:11" s="1011" customFormat="1" ht="15" x14ac:dyDescent="0.25">
      <c r="A11346" s="859">
        <f t="shared" si="226"/>
        <v>11345</v>
      </c>
      <c r="B11346" s="845" t="s">
        <v>2564</v>
      </c>
      <c r="C11346" s="1007">
        <f t="shared" si="225"/>
        <v>64</v>
      </c>
      <c r="D11346" s="1012"/>
      <c r="I11346" s="1011" t="str">
        <f>CONCATENATE("&lt;valeur&gt;",VLOOKUP(C11346,'T16 Amort'!A:K,3,0),"&lt;/valeur&gt;")</f>
        <v>&lt;valeur&gt;&lt;/valeur&gt;</v>
      </c>
      <c r="K11346" s="1013"/>
    </row>
    <row r="11347" spans="1:11" s="1011" customFormat="1" ht="15" x14ac:dyDescent="0.25">
      <c r="A11347" s="859">
        <f t="shared" si="226"/>
        <v>11346</v>
      </c>
      <c r="B11347" s="845" t="s">
        <v>2564</v>
      </c>
      <c r="C11347" s="1007">
        <f t="shared" si="225"/>
        <v>64</v>
      </c>
      <c r="D11347" s="1014"/>
      <c r="I11347" s="1011" t="str">
        <f>CONCATENATE("&lt;numeroLigne&gt;",C11347,"&lt;/numeroLigne&gt;")</f>
        <v>&lt;numeroLigne&gt;64&lt;/numeroLigne&gt;</v>
      </c>
      <c r="K11347" s="1013"/>
    </row>
    <row r="11348" spans="1:11" s="1011" customFormat="1" ht="15" x14ac:dyDescent="0.25">
      <c r="A11348" s="859">
        <f t="shared" si="226"/>
        <v>11347</v>
      </c>
      <c r="B11348" s="845" t="s">
        <v>2564</v>
      </c>
      <c r="C11348" s="1007">
        <f t="shared" si="225"/>
        <v>64</v>
      </c>
      <c r="D11348" s="1014"/>
      <c r="H11348" s="1011" t="s">
        <v>1010</v>
      </c>
      <c r="K11348" s="1013"/>
    </row>
    <row r="11349" spans="1:11" s="1011" customFormat="1" ht="15" x14ac:dyDescent="0.25">
      <c r="A11349" s="859">
        <f t="shared" si="226"/>
        <v>11348</v>
      </c>
      <c r="B11349" s="845" t="s">
        <v>2564</v>
      </c>
      <c r="C11349" s="1007">
        <f t="shared" si="225"/>
        <v>64</v>
      </c>
      <c r="D11349" s="1012"/>
      <c r="H11349" s="1011" t="s">
        <v>1007</v>
      </c>
      <c r="K11349" s="1013"/>
    </row>
    <row r="11350" spans="1:11" s="1011" customFormat="1" ht="15" x14ac:dyDescent="0.25">
      <c r="A11350" s="859">
        <f t="shared" si="226"/>
        <v>11349</v>
      </c>
      <c r="B11350" s="845" t="s">
        <v>2564</v>
      </c>
      <c r="C11350" s="1007">
        <f t="shared" si="225"/>
        <v>64</v>
      </c>
      <c r="D11350" s="1015"/>
      <c r="I11350" s="1011" t="s">
        <v>2176</v>
      </c>
      <c r="K11350" s="1013"/>
    </row>
    <row r="11351" spans="1:11" s="1011" customFormat="1" ht="15" x14ac:dyDescent="0.25">
      <c r="A11351" s="859">
        <f t="shared" si="226"/>
        <v>11350</v>
      </c>
      <c r="B11351" s="845" t="s">
        <v>2564</v>
      </c>
      <c r="C11351" s="1007">
        <f t="shared" si="225"/>
        <v>64</v>
      </c>
      <c r="D11351" s="1012"/>
      <c r="I11351" s="1011" t="str">
        <f>CONCATENATE("&lt;valeur&gt;",VLOOKUP(C11351,'T16 Amort'!A:K,4,0),"&lt;/valeur&gt;")</f>
        <v>&lt;valeur&gt;&lt;/valeur&gt;</v>
      </c>
      <c r="K11351" s="1013"/>
    </row>
    <row r="11352" spans="1:11" s="1011" customFormat="1" ht="15" x14ac:dyDescent="0.25">
      <c r="A11352" s="859">
        <f t="shared" si="226"/>
        <v>11351</v>
      </c>
      <c r="B11352" s="845" t="s">
        <v>2564</v>
      </c>
      <c r="C11352" s="1007">
        <f t="shared" si="225"/>
        <v>64</v>
      </c>
      <c r="D11352" s="1012"/>
      <c r="I11352" s="1011" t="str">
        <f>CONCATENATE("&lt;numeroLigne&gt;",C11352,"&lt;/numeroLigne&gt;")</f>
        <v>&lt;numeroLigne&gt;64&lt;/numeroLigne&gt;</v>
      </c>
      <c r="K11352" s="1013"/>
    </row>
    <row r="11353" spans="1:11" s="1011" customFormat="1" ht="15" x14ac:dyDescent="0.25">
      <c r="A11353" s="859">
        <f t="shared" si="226"/>
        <v>11352</v>
      </c>
      <c r="B11353" s="845" t="s">
        <v>2564</v>
      </c>
      <c r="C11353" s="1007">
        <f t="shared" si="225"/>
        <v>64</v>
      </c>
      <c r="D11353" s="1014"/>
      <c r="H11353" s="1011" t="s">
        <v>1010</v>
      </c>
      <c r="K11353" s="1013"/>
    </row>
    <row r="11354" spans="1:11" s="1011" customFormat="1" ht="15" x14ac:dyDescent="0.25">
      <c r="A11354" s="859">
        <f t="shared" si="226"/>
        <v>11353</v>
      </c>
      <c r="B11354" s="845" t="s">
        <v>2564</v>
      </c>
      <c r="C11354" s="1007">
        <f t="shared" si="225"/>
        <v>64</v>
      </c>
      <c r="D11354" s="1014"/>
      <c r="H11354" s="1011" t="s">
        <v>1007</v>
      </c>
      <c r="K11354" s="1013"/>
    </row>
    <row r="11355" spans="1:11" s="1011" customFormat="1" ht="15" x14ac:dyDescent="0.25">
      <c r="A11355" s="859">
        <f t="shared" si="226"/>
        <v>11354</v>
      </c>
      <c r="B11355" s="845" t="s">
        <v>2564</v>
      </c>
      <c r="C11355" s="1007">
        <f t="shared" si="225"/>
        <v>64</v>
      </c>
      <c r="D11355" s="1012"/>
      <c r="I11355" s="1011" t="s">
        <v>2177</v>
      </c>
      <c r="K11355" s="1013"/>
    </row>
    <row r="11356" spans="1:11" s="1011" customFormat="1" ht="15" x14ac:dyDescent="0.25">
      <c r="A11356" s="859">
        <f t="shared" si="226"/>
        <v>11355</v>
      </c>
      <c r="B11356" s="845" t="s">
        <v>2564</v>
      </c>
      <c r="C11356" s="1007">
        <f t="shared" si="225"/>
        <v>64</v>
      </c>
      <c r="D11356" s="1015"/>
      <c r="I11356" s="1011" t="str">
        <f>CONCATENATE("&lt;valeur&gt;",VLOOKUP(C11356,'T16 Amort'!A:K,5,0),"&lt;/valeur&gt;")</f>
        <v>&lt;valeur&gt;&lt;/valeur&gt;</v>
      </c>
      <c r="K11356" s="1013"/>
    </row>
    <row r="11357" spans="1:11" s="1011" customFormat="1" ht="15" x14ac:dyDescent="0.25">
      <c r="A11357" s="859">
        <f t="shared" si="226"/>
        <v>11356</v>
      </c>
      <c r="B11357" s="845" t="s">
        <v>2564</v>
      </c>
      <c r="C11357" s="1007">
        <f t="shared" si="225"/>
        <v>64</v>
      </c>
      <c r="D11357" s="1012"/>
      <c r="I11357" s="1011" t="str">
        <f>CONCATENATE("&lt;numeroLigne&gt;",C11357,"&lt;/numeroLigne&gt;")</f>
        <v>&lt;numeroLigne&gt;64&lt;/numeroLigne&gt;</v>
      </c>
      <c r="K11357" s="1013"/>
    </row>
    <row r="11358" spans="1:11" s="1011" customFormat="1" ht="15" x14ac:dyDescent="0.25">
      <c r="A11358" s="859">
        <f t="shared" si="226"/>
        <v>11357</v>
      </c>
      <c r="B11358" s="845" t="s">
        <v>2564</v>
      </c>
      <c r="C11358" s="1007">
        <f t="shared" si="225"/>
        <v>64</v>
      </c>
      <c r="D11358" s="1012"/>
      <c r="H11358" s="1011" t="s">
        <v>1010</v>
      </c>
      <c r="K11358" s="1013"/>
    </row>
    <row r="11359" spans="1:11" s="1011" customFormat="1" ht="15" x14ac:dyDescent="0.25">
      <c r="A11359" s="859">
        <f t="shared" si="226"/>
        <v>11358</v>
      </c>
      <c r="B11359" s="845" t="s">
        <v>2564</v>
      </c>
      <c r="C11359" s="1007">
        <f t="shared" si="225"/>
        <v>64</v>
      </c>
      <c r="D11359" s="1014"/>
      <c r="H11359" s="1011" t="s">
        <v>1007</v>
      </c>
      <c r="K11359" s="1013"/>
    </row>
    <row r="11360" spans="1:11" s="1011" customFormat="1" ht="15" x14ac:dyDescent="0.25">
      <c r="A11360" s="859">
        <f t="shared" si="226"/>
        <v>11359</v>
      </c>
      <c r="B11360" s="845" t="s">
        <v>2564</v>
      </c>
      <c r="C11360" s="1007">
        <f t="shared" si="225"/>
        <v>64</v>
      </c>
      <c r="D11360" s="1014"/>
      <c r="I11360" s="1011" t="s">
        <v>2178</v>
      </c>
      <c r="K11360" s="1013"/>
    </row>
    <row r="11361" spans="1:11" s="1011" customFormat="1" ht="15" x14ac:dyDescent="0.25">
      <c r="A11361" s="859">
        <f t="shared" si="226"/>
        <v>11360</v>
      </c>
      <c r="B11361" s="845" t="s">
        <v>2564</v>
      </c>
      <c r="C11361" s="1007">
        <f t="shared" si="225"/>
        <v>64</v>
      </c>
      <c r="D11361" s="1012"/>
      <c r="I11361" s="1011" t="str">
        <f>CONCATENATE("&lt;valeur&gt;",VLOOKUP(C11361,'T16 Amort'!A:K,6,0),"&lt;/valeur&gt;")</f>
        <v>&lt;valeur&gt;&lt;/valeur&gt;</v>
      </c>
      <c r="K11361" s="1013"/>
    </row>
    <row r="11362" spans="1:11" s="1011" customFormat="1" ht="15" x14ac:dyDescent="0.25">
      <c r="A11362" s="859">
        <f t="shared" si="226"/>
        <v>11361</v>
      </c>
      <c r="B11362" s="845" t="s">
        <v>2564</v>
      </c>
      <c r="C11362" s="1007">
        <f t="shared" si="225"/>
        <v>64</v>
      </c>
      <c r="D11362" s="1015"/>
      <c r="I11362" s="1011" t="str">
        <f>CONCATENATE("&lt;numeroLigne&gt;",C11362,"&lt;/numeroLigne&gt;")</f>
        <v>&lt;numeroLigne&gt;64&lt;/numeroLigne&gt;</v>
      </c>
      <c r="K11362" s="1013"/>
    </row>
    <row r="11363" spans="1:11" s="1011" customFormat="1" ht="15" x14ac:dyDescent="0.25">
      <c r="A11363" s="859">
        <f t="shared" si="226"/>
        <v>11362</v>
      </c>
      <c r="B11363" s="845" t="s">
        <v>2564</v>
      </c>
      <c r="C11363" s="1007">
        <f t="shared" si="225"/>
        <v>64</v>
      </c>
      <c r="D11363" s="1012"/>
      <c r="H11363" s="1011" t="s">
        <v>1010</v>
      </c>
      <c r="K11363" s="1013"/>
    </row>
    <row r="11364" spans="1:11" s="1011" customFormat="1" ht="15" x14ac:dyDescent="0.25">
      <c r="A11364" s="859">
        <f t="shared" si="226"/>
        <v>11363</v>
      </c>
      <c r="B11364" s="845" t="s">
        <v>2564</v>
      </c>
      <c r="C11364" s="1007">
        <f t="shared" si="225"/>
        <v>64</v>
      </c>
      <c r="D11364" s="1012"/>
      <c r="H11364" s="1011" t="s">
        <v>1007</v>
      </c>
      <c r="K11364" s="1013"/>
    </row>
    <row r="11365" spans="1:11" s="1011" customFormat="1" ht="15" x14ac:dyDescent="0.25">
      <c r="A11365" s="859">
        <f t="shared" si="226"/>
        <v>11364</v>
      </c>
      <c r="B11365" s="845" t="s">
        <v>2564</v>
      </c>
      <c r="C11365" s="1007">
        <f t="shared" si="225"/>
        <v>64</v>
      </c>
      <c r="D11365" s="1014"/>
      <c r="I11365" s="1011" t="s">
        <v>2179</v>
      </c>
      <c r="K11365" s="1013"/>
    </row>
    <row r="11366" spans="1:11" s="1011" customFormat="1" ht="15" x14ac:dyDescent="0.25">
      <c r="A11366" s="859">
        <f t="shared" si="226"/>
        <v>11365</v>
      </c>
      <c r="B11366" s="845" t="s">
        <v>2564</v>
      </c>
      <c r="C11366" s="1007">
        <f t="shared" si="225"/>
        <v>64</v>
      </c>
      <c r="D11366" s="1014"/>
      <c r="I11366" s="1011" t="str">
        <f>CONCATENATE("&lt;valeur&gt;",VLOOKUP(C11366,'T16 Amort'!A:K,7,0),"&lt;/valeur&gt;")</f>
        <v>&lt;valeur&gt;&lt;/valeur&gt;</v>
      </c>
      <c r="K11366" s="1013"/>
    </row>
    <row r="11367" spans="1:11" s="1011" customFormat="1" ht="15" x14ac:dyDescent="0.25">
      <c r="A11367" s="859">
        <f t="shared" si="226"/>
        <v>11366</v>
      </c>
      <c r="B11367" s="845" t="s">
        <v>2564</v>
      </c>
      <c r="C11367" s="1007">
        <f t="shared" si="225"/>
        <v>64</v>
      </c>
      <c r="D11367" s="1012"/>
      <c r="I11367" s="1011" t="str">
        <f>CONCATENATE("&lt;numeroLigne&gt;",C11367,"&lt;/numeroLigne&gt;")</f>
        <v>&lt;numeroLigne&gt;64&lt;/numeroLigne&gt;</v>
      </c>
      <c r="K11367" s="1013"/>
    </row>
    <row r="11368" spans="1:11" s="1011" customFormat="1" ht="15" x14ac:dyDescent="0.25">
      <c r="A11368" s="859">
        <f t="shared" si="226"/>
        <v>11367</v>
      </c>
      <c r="B11368" s="845" t="s">
        <v>2564</v>
      </c>
      <c r="C11368" s="1007">
        <f t="shared" si="225"/>
        <v>64</v>
      </c>
      <c r="D11368" s="1015"/>
      <c r="H11368" s="1011" t="s">
        <v>1010</v>
      </c>
      <c r="K11368" s="1013"/>
    </row>
    <row r="11369" spans="1:11" s="1011" customFormat="1" ht="15" x14ac:dyDescent="0.25">
      <c r="A11369" s="859">
        <f t="shared" si="226"/>
        <v>11368</v>
      </c>
      <c r="B11369" s="845" t="s">
        <v>2564</v>
      </c>
      <c r="C11369" s="1007">
        <f t="shared" si="225"/>
        <v>64</v>
      </c>
      <c r="D11369" s="1012"/>
      <c r="H11369" s="1011" t="s">
        <v>1007</v>
      </c>
      <c r="K11369" s="1013"/>
    </row>
    <row r="11370" spans="1:11" s="1011" customFormat="1" ht="15" x14ac:dyDescent="0.25">
      <c r="A11370" s="859">
        <f t="shared" si="226"/>
        <v>11369</v>
      </c>
      <c r="B11370" s="845" t="s">
        <v>2564</v>
      </c>
      <c r="C11370" s="1007">
        <f t="shared" si="225"/>
        <v>64</v>
      </c>
      <c r="D11370" s="1012"/>
      <c r="I11370" s="1011" t="s">
        <v>2180</v>
      </c>
      <c r="K11370" s="1013"/>
    </row>
    <row r="11371" spans="1:11" s="1011" customFormat="1" ht="15" x14ac:dyDescent="0.25">
      <c r="A11371" s="859">
        <f t="shared" si="226"/>
        <v>11370</v>
      </c>
      <c r="B11371" s="845" t="s">
        <v>2564</v>
      </c>
      <c r="C11371" s="1007">
        <f t="shared" si="225"/>
        <v>64</v>
      </c>
      <c r="D11371" s="1014"/>
      <c r="I11371" s="1011" t="str">
        <f>CONCATENATE("&lt;valeur&gt;",VLOOKUP(C11371,'T16 Amort'!A:K,8,0),"&lt;/valeur&gt;")</f>
        <v>&lt;valeur&gt;&lt;/valeur&gt;</v>
      </c>
      <c r="K11371" s="1013"/>
    </row>
    <row r="11372" spans="1:11" s="1011" customFormat="1" ht="15" x14ac:dyDescent="0.25">
      <c r="A11372" s="859">
        <f t="shared" si="226"/>
        <v>11371</v>
      </c>
      <c r="B11372" s="845" t="s">
        <v>2564</v>
      </c>
      <c r="C11372" s="1007">
        <f t="shared" si="225"/>
        <v>64</v>
      </c>
      <c r="D11372" s="1014"/>
      <c r="I11372" s="1011" t="str">
        <f>CONCATENATE("&lt;numeroLigne&gt;",C11372,"&lt;/numeroLigne&gt;")</f>
        <v>&lt;numeroLigne&gt;64&lt;/numeroLigne&gt;</v>
      </c>
      <c r="K11372" s="1013"/>
    </row>
    <row r="11373" spans="1:11" s="1011" customFormat="1" ht="15" x14ac:dyDescent="0.25">
      <c r="A11373" s="859">
        <f t="shared" si="226"/>
        <v>11372</v>
      </c>
      <c r="B11373" s="845" t="s">
        <v>2564</v>
      </c>
      <c r="C11373" s="1007">
        <f t="shared" si="225"/>
        <v>64</v>
      </c>
      <c r="D11373" s="1012"/>
      <c r="H11373" s="1011" t="s">
        <v>1010</v>
      </c>
      <c r="K11373" s="1013"/>
    </row>
    <row r="11374" spans="1:11" s="1011" customFormat="1" ht="15" x14ac:dyDescent="0.25">
      <c r="A11374" s="859">
        <f t="shared" si="226"/>
        <v>11373</v>
      </c>
      <c r="B11374" s="845" t="s">
        <v>2564</v>
      </c>
      <c r="C11374" s="1007">
        <f t="shared" si="225"/>
        <v>64</v>
      </c>
      <c r="D11374" s="1015"/>
      <c r="H11374" s="1011" t="s">
        <v>1007</v>
      </c>
      <c r="K11374" s="1013"/>
    </row>
    <row r="11375" spans="1:11" s="1011" customFormat="1" ht="15" x14ac:dyDescent="0.25">
      <c r="A11375" s="859">
        <f t="shared" si="226"/>
        <v>11374</v>
      </c>
      <c r="B11375" s="845" t="s">
        <v>2564</v>
      </c>
      <c r="C11375" s="1007">
        <f t="shared" ref="C11375:C11438" si="227">C11325+1</f>
        <v>64</v>
      </c>
      <c r="D11375" s="1012"/>
      <c r="I11375" s="1011" t="s">
        <v>2181</v>
      </c>
      <c r="K11375" s="1013"/>
    </row>
    <row r="11376" spans="1:11" s="1011" customFormat="1" ht="15" x14ac:dyDescent="0.25">
      <c r="A11376" s="859">
        <f t="shared" si="226"/>
        <v>11375</v>
      </c>
      <c r="B11376" s="845" t="s">
        <v>2564</v>
      </c>
      <c r="C11376" s="1007">
        <f t="shared" si="227"/>
        <v>64</v>
      </c>
      <c r="D11376" s="1012"/>
      <c r="I11376" s="1011" t="str">
        <f>CONCATENATE("&lt;valeur&gt;",VLOOKUP(C11376,'T16 Amort'!A:K,9,0),"&lt;/valeur&gt;")</f>
        <v>&lt;valeur&gt;&lt;/valeur&gt;</v>
      </c>
      <c r="K11376" s="1013"/>
    </row>
    <row r="11377" spans="1:11" s="1011" customFormat="1" ht="15" x14ac:dyDescent="0.25">
      <c r="A11377" s="859">
        <f t="shared" si="226"/>
        <v>11376</v>
      </c>
      <c r="B11377" s="845" t="s">
        <v>2564</v>
      </c>
      <c r="C11377" s="1007">
        <f t="shared" si="227"/>
        <v>64</v>
      </c>
      <c r="D11377" s="1014"/>
      <c r="I11377" s="1011" t="str">
        <f>CONCATENATE("&lt;numeroLigne&gt;",C11377,"&lt;/numeroLigne&gt;")</f>
        <v>&lt;numeroLigne&gt;64&lt;/numeroLigne&gt;</v>
      </c>
      <c r="K11377" s="1013"/>
    </row>
    <row r="11378" spans="1:11" s="1011" customFormat="1" ht="15" x14ac:dyDescent="0.25">
      <c r="A11378" s="859">
        <f t="shared" si="226"/>
        <v>11377</v>
      </c>
      <c r="B11378" s="845" t="s">
        <v>2564</v>
      </c>
      <c r="C11378" s="1007">
        <f t="shared" si="227"/>
        <v>64</v>
      </c>
      <c r="D11378" s="1014"/>
      <c r="H11378" s="1011" t="s">
        <v>1010</v>
      </c>
      <c r="K11378" s="1013"/>
    </row>
    <row r="11379" spans="1:11" s="1011" customFormat="1" ht="15" x14ac:dyDescent="0.25">
      <c r="A11379" s="859">
        <f t="shared" si="226"/>
        <v>11378</v>
      </c>
      <c r="B11379" s="845" t="s">
        <v>2564</v>
      </c>
      <c r="C11379" s="1007">
        <f t="shared" si="227"/>
        <v>64</v>
      </c>
      <c r="D11379" s="1012"/>
      <c r="H11379" s="1011" t="s">
        <v>1007</v>
      </c>
      <c r="K11379" s="1013"/>
    </row>
    <row r="11380" spans="1:11" s="1011" customFormat="1" ht="15" x14ac:dyDescent="0.25">
      <c r="A11380" s="859">
        <f t="shared" si="226"/>
        <v>11379</v>
      </c>
      <c r="B11380" s="845" t="s">
        <v>2564</v>
      </c>
      <c r="C11380" s="1007">
        <f t="shared" si="227"/>
        <v>64</v>
      </c>
      <c r="D11380" s="1015"/>
      <c r="I11380" s="1011" t="s">
        <v>2182</v>
      </c>
      <c r="K11380" s="1013"/>
    </row>
    <row r="11381" spans="1:11" s="1011" customFormat="1" ht="15" x14ac:dyDescent="0.25">
      <c r="A11381" s="859">
        <f t="shared" si="226"/>
        <v>11380</v>
      </c>
      <c r="B11381" s="845" t="s">
        <v>2564</v>
      </c>
      <c r="C11381" s="1007">
        <f t="shared" si="227"/>
        <v>64</v>
      </c>
      <c r="D11381" s="1012"/>
      <c r="I11381" s="1011" t="str">
        <f>CONCATENATE("&lt;valeur&gt;",VLOOKUP(C11381,'T16 Amort'!A:K,10,0),"&lt;/valeur&gt;")</f>
        <v>&lt;valeur&gt;&lt;/valeur&gt;</v>
      </c>
      <c r="K11381" s="1013"/>
    </row>
    <row r="11382" spans="1:11" s="1011" customFormat="1" ht="15" x14ac:dyDescent="0.25">
      <c r="A11382" s="859">
        <f t="shared" si="226"/>
        <v>11381</v>
      </c>
      <c r="B11382" s="845" t="s">
        <v>2564</v>
      </c>
      <c r="C11382" s="1007">
        <f t="shared" si="227"/>
        <v>64</v>
      </c>
      <c r="D11382" s="1012"/>
      <c r="I11382" s="1011" t="str">
        <f>CONCATENATE("&lt;numeroLigne&gt;",C11382,"&lt;/numeroLigne&gt;")</f>
        <v>&lt;numeroLigne&gt;64&lt;/numeroLigne&gt;</v>
      </c>
      <c r="K11382" s="1013"/>
    </row>
    <row r="11383" spans="1:11" s="1011" customFormat="1" ht="15" x14ac:dyDescent="0.25">
      <c r="A11383" s="859">
        <f t="shared" si="226"/>
        <v>11382</v>
      </c>
      <c r="B11383" s="845" t="s">
        <v>2564</v>
      </c>
      <c r="C11383" s="1007">
        <f t="shared" si="227"/>
        <v>64</v>
      </c>
      <c r="D11383" s="1014"/>
      <c r="H11383" s="1011" t="s">
        <v>1010</v>
      </c>
      <c r="K11383" s="1013"/>
    </row>
    <row r="11384" spans="1:11" s="1011" customFormat="1" ht="15" x14ac:dyDescent="0.25">
      <c r="A11384" s="859">
        <f t="shared" si="226"/>
        <v>11383</v>
      </c>
      <c r="B11384" s="845" t="s">
        <v>2564</v>
      </c>
      <c r="C11384" s="1007">
        <f t="shared" si="227"/>
        <v>64</v>
      </c>
      <c r="D11384" s="1014"/>
      <c r="H11384" s="1011" t="s">
        <v>1007</v>
      </c>
      <c r="K11384" s="1013"/>
    </row>
    <row r="11385" spans="1:11" s="1011" customFormat="1" ht="15" x14ac:dyDescent="0.25">
      <c r="A11385" s="859">
        <f t="shared" si="226"/>
        <v>11384</v>
      </c>
      <c r="B11385" s="845" t="s">
        <v>2564</v>
      </c>
      <c r="C11385" s="1007">
        <f t="shared" si="227"/>
        <v>64</v>
      </c>
      <c r="D11385" s="1012"/>
      <c r="I11385" s="1011" t="s">
        <v>2183</v>
      </c>
      <c r="K11385" s="1013"/>
    </row>
    <row r="11386" spans="1:11" s="1011" customFormat="1" ht="15" x14ac:dyDescent="0.25">
      <c r="A11386" s="859">
        <f t="shared" si="226"/>
        <v>11385</v>
      </c>
      <c r="B11386" s="845" t="s">
        <v>2564</v>
      </c>
      <c r="C11386" s="1007">
        <f t="shared" si="227"/>
        <v>64</v>
      </c>
      <c r="D11386" s="1015"/>
      <c r="I11386" s="1011" t="str">
        <f>CONCATENATE("&lt;valeur&gt;",VLOOKUP(C11386,'T16 Amort'!A:K,11,0),"&lt;/valeur&gt;")</f>
        <v>&lt;valeur&gt;&lt;/valeur&gt;</v>
      </c>
      <c r="K11386" s="1013"/>
    </row>
    <row r="11387" spans="1:11" s="1011" customFormat="1" ht="15" x14ac:dyDescent="0.25">
      <c r="A11387" s="859">
        <f t="shared" si="226"/>
        <v>11386</v>
      </c>
      <c r="B11387" s="845" t="s">
        <v>2564</v>
      </c>
      <c r="C11387" s="1007">
        <f t="shared" si="227"/>
        <v>64</v>
      </c>
      <c r="D11387" s="1012"/>
      <c r="I11387" s="1011" t="str">
        <f>CONCATENATE("&lt;numeroLigne&gt;",C11387,"&lt;/numeroLigne&gt;")</f>
        <v>&lt;numeroLigne&gt;64&lt;/numeroLigne&gt;</v>
      </c>
      <c r="K11387" s="1013"/>
    </row>
    <row r="11388" spans="1:11" s="1011" customFormat="1" ht="15" x14ac:dyDescent="0.25">
      <c r="A11388" s="859">
        <f t="shared" si="226"/>
        <v>11387</v>
      </c>
      <c r="B11388" s="845" t="s">
        <v>2564</v>
      </c>
      <c r="C11388" s="1007">
        <f t="shared" si="227"/>
        <v>64</v>
      </c>
      <c r="D11388" s="1016"/>
      <c r="E11388" s="1017"/>
      <c r="F11388" s="1017"/>
      <c r="G11388" s="1017"/>
      <c r="H11388" s="1017" t="s">
        <v>1010</v>
      </c>
      <c r="I11388" s="1017"/>
      <c r="J11388" s="1017"/>
      <c r="K11388" s="1018"/>
    </row>
    <row r="11389" spans="1:11" s="1011" customFormat="1" ht="15" x14ac:dyDescent="0.25">
      <c r="A11389" s="859">
        <f t="shared" si="226"/>
        <v>11388</v>
      </c>
      <c r="B11389" s="845" t="s">
        <v>2564</v>
      </c>
      <c r="C11389" s="1007">
        <f t="shared" si="227"/>
        <v>65</v>
      </c>
      <c r="D11389" s="1008"/>
      <c r="E11389" s="1009"/>
      <c r="F11389" s="1009"/>
      <c r="G11389" s="1009"/>
      <c r="H11389" s="1009" t="s">
        <v>1007</v>
      </c>
      <c r="I11389" s="1009"/>
      <c r="J11389" s="1009"/>
      <c r="K11389" s="1010"/>
    </row>
    <row r="11390" spans="1:11" s="1011" customFormat="1" ht="15" x14ac:dyDescent="0.25">
      <c r="A11390" s="859">
        <f t="shared" si="226"/>
        <v>11389</v>
      </c>
      <c r="B11390" s="845" t="s">
        <v>2564</v>
      </c>
      <c r="C11390" s="1007">
        <f t="shared" si="227"/>
        <v>65</v>
      </c>
      <c r="D11390" s="1012"/>
      <c r="I11390" s="1011" t="s">
        <v>2174</v>
      </c>
      <c r="K11390" s="1013"/>
    </row>
    <row r="11391" spans="1:11" s="1011" customFormat="1" ht="15" x14ac:dyDescent="0.25">
      <c r="A11391" s="859">
        <f t="shared" si="226"/>
        <v>11390</v>
      </c>
      <c r="B11391" s="845" t="s">
        <v>2564</v>
      </c>
      <c r="C11391" s="1007">
        <f t="shared" si="227"/>
        <v>65</v>
      </c>
      <c r="D11391" s="1014"/>
      <c r="I11391" s="1011" t="str">
        <f>CONCATENATE("&lt;valeur&gt;",VLOOKUP(C11391,'T16 Amort'!A:K,2,0),"&lt;/valeur&gt;")</f>
        <v>&lt;valeur&gt;&lt;/valeur&gt;</v>
      </c>
      <c r="K11391" s="1013"/>
    </row>
    <row r="11392" spans="1:11" s="1011" customFormat="1" ht="15" x14ac:dyDescent="0.25">
      <c r="A11392" s="859">
        <f t="shared" si="226"/>
        <v>11391</v>
      </c>
      <c r="B11392" s="845" t="s">
        <v>2564</v>
      </c>
      <c r="C11392" s="1007">
        <f t="shared" si="227"/>
        <v>65</v>
      </c>
      <c r="D11392" s="1014"/>
      <c r="I11392" s="1011" t="str">
        <f>CONCATENATE("&lt;numeroLigne&gt;",C11392,"&lt;/numeroLigne&gt;")</f>
        <v>&lt;numeroLigne&gt;65&lt;/numeroLigne&gt;</v>
      </c>
      <c r="K11392" s="1013"/>
    </row>
    <row r="11393" spans="1:11" s="1011" customFormat="1" ht="15" x14ac:dyDescent="0.25">
      <c r="A11393" s="859">
        <f t="shared" si="226"/>
        <v>11392</v>
      </c>
      <c r="B11393" s="845" t="s">
        <v>2564</v>
      </c>
      <c r="C11393" s="1007">
        <f t="shared" si="227"/>
        <v>65</v>
      </c>
      <c r="D11393" s="1012"/>
      <c r="H11393" s="1011" t="s">
        <v>1010</v>
      </c>
      <c r="K11393" s="1013"/>
    </row>
    <row r="11394" spans="1:11" s="1011" customFormat="1" ht="15" x14ac:dyDescent="0.25">
      <c r="A11394" s="859">
        <f t="shared" si="226"/>
        <v>11393</v>
      </c>
      <c r="B11394" s="845" t="s">
        <v>2564</v>
      </c>
      <c r="C11394" s="1007">
        <f t="shared" si="227"/>
        <v>65</v>
      </c>
      <c r="D11394" s="1015"/>
      <c r="H11394" s="1011" t="s">
        <v>1007</v>
      </c>
      <c r="K11394" s="1013"/>
    </row>
    <row r="11395" spans="1:11" s="1011" customFormat="1" ht="15" x14ac:dyDescent="0.25">
      <c r="A11395" s="859">
        <f t="shared" si="226"/>
        <v>11394</v>
      </c>
      <c r="B11395" s="845" t="s">
        <v>2564</v>
      </c>
      <c r="C11395" s="1007">
        <f t="shared" si="227"/>
        <v>65</v>
      </c>
      <c r="D11395" s="1012"/>
      <c r="I11395" s="1011" t="s">
        <v>2175</v>
      </c>
      <c r="K11395" s="1013"/>
    </row>
    <row r="11396" spans="1:11" s="1011" customFormat="1" ht="15" x14ac:dyDescent="0.25">
      <c r="A11396" s="859">
        <f t="shared" ref="A11396:A11459" si="228">+A11395+1</f>
        <v>11395</v>
      </c>
      <c r="B11396" s="845" t="s">
        <v>2564</v>
      </c>
      <c r="C11396" s="1007">
        <f t="shared" si="227"/>
        <v>65</v>
      </c>
      <c r="D11396" s="1012"/>
      <c r="I11396" s="1011" t="str">
        <f>CONCATENATE("&lt;valeur&gt;",VLOOKUP(C11396,'T16 Amort'!A:K,3,0),"&lt;/valeur&gt;")</f>
        <v>&lt;valeur&gt;&lt;/valeur&gt;</v>
      </c>
      <c r="K11396" s="1013"/>
    </row>
    <row r="11397" spans="1:11" s="1011" customFormat="1" ht="15" x14ac:dyDescent="0.25">
      <c r="A11397" s="859">
        <f t="shared" si="228"/>
        <v>11396</v>
      </c>
      <c r="B11397" s="845" t="s">
        <v>2564</v>
      </c>
      <c r="C11397" s="1007">
        <f t="shared" si="227"/>
        <v>65</v>
      </c>
      <c r="D11397" s="1014"/>
      <c r="I11397" s="1011" t="str">
        <f>CONCATENATE("&lt;numeroLigne&gt;",C11397,"&lt;/numeroLigne&gt;")</f>
        <v>&lt;numeroLigne&gt;65&lt;/numeroLigne&gt;</v>
      </c>
      <c r="K11397" s="1013"/>
    </row>
    <row r="11398" spans="1:11" s="1011" customFormat="1" ht="15" x14ac:dyDescent="0.25">
      <c r="A11398" s="859">
        <f t="shared" si="228"/>
        <v>11397</v>
      </c>
      <c r="B11398" s="845" t="s">
        <v>2564</v>
      </c>
      <c r="C11398" s="1007">
        <f t="shared" si="227"/>
        <v>65</v>
      </c>
      <c r="D11398" s="1014"/>
      <c r="H11398" s="1011" t="s">
        <v>1010</v>
      </c>
      <c r="K11398" s="1013"/>
    </row>
    <row r="11399" spans="1:11" s="1011" customFormat="1" ht="15" x14ac:dyDescent="0.25">
      <c r="A11399" s="859">
        <f t="shared" si="228"/>
        <v>11398</v>
      </c>
      <c r="B11399" s="845" t="s">
        <v>2564</v>
      </c>
      <c r="C11399" s="1007">
        <f t="shared" si="227"/>
        <v>65</v>
      </c>
      <c r="D11399" s="1012"/>
      <c r="H11399" s="1011" t="s">
        <v>1007</v>
      </c>
      <c r="K11399" s="1013"/>
    </row>
    <row r="11400" spans="1:11" s="1011" customFormat="1" ht="15" x14ac:dyDescent="0.25">
      <c r="A11400" s="859">
        <f t="shared" si="228"/>
        <v>11399</v>
      </c>
      <c r="B11400" s="845" t="s">
        <v>2564</v>
      </c>
      <c r="C11400" s="1007">
        <f t="shared" si="227"/>
        <v>65</v>
      </c>
      <c r="D11400" s="1015"/>
      <c r="I11400" s="1011" t="s">
        <v>2176</v>
      </c>
      <c r="K11400" s="1013"/>
    </row>
    <row r="11401" spans="1:11" s="1011" customFormat="1" ht="15" x14ac:dyDescent="0.25">
      <c r="A11401" s="859">
        <f t="shared" si="228"/>
        <v>11400</v>
      </c>
      <c r="B11401" s="845" t="s">
        <v>2564</v>
      </c>
      <c r="C11401" s="1007">
        <f t="shared" si="227"/>
        <v>65</v>
      </c>
      <c r="D11401" s="1012"/>
      <c r="I11401" s="1011" t="str">
        <f>CONCATENATE("&lt;valeur&gt;",VLOOKUP(C11401,'T16 Amort'!A:K,4,0),"&lt;/valeur&gt;")</f>
        <v>&lt;valeur&gt;&lt;/valeur&gt;</v>
      </c>
      <c r="K11401" s="1013"/>
    </row>
    <row r="11402" spans="1:11" s="1011" customFormat="1" ht="15" x14ac:dyDescent="0.25">
      <c r="A11402" s="859">
        <f t="shared" si="228"/>
        <v>11401</v>
      </c>
      <c r="B11402" s="845" t="s">
        <v>2564</v>
      </c>
      <c r="C11402" s="1007">
        <f t="shared" si="227"/>
        <v>65</v>
      </c>
      <c r="D11402" s="1012"/>
      <c r="I11402" s="1011" t="str">
        <f>CONCATENATE("&lt;numeroLigne&gt;",C11402,"&lt;/numeroLigne&gt;")</f>
        <v>&lt;numeroLigne&gt;65&lt;/numeroLigne&gt;</v>
      </c>
      <c r="K11402" s="1013"/>
    </row>
    <row r="11403" spans="1:11" s="1011" customFormat="1" ht="15" x14ac:dyDescent="0.25">
      <c r="A11403" s="859">
        <f t="shared" si="228"/>
        <v>11402</v>
      </c>
      <c r="B11403" s="845" t="s">
        <v>2564</v>
      </c>
      <c r="C11403" s="1007">
        <f t="shared" si="227"/>
        <v>65</v>
      </c>
      <c r="D11403" s="1014"/>
      <c r="H11403" s="1011" t="s">
        <v>1010</v>
      </c>
      <c r="K11403" s="1013"/>
    </row>
    <row r="11404" spans="1:11" s="1011" customFormat="1" ht="15" x14ac:dyDescent="0.25">
      <c r="A11404" s="859">
        <f t="shared" si="228"/>
        <v>11403</v>
      </c>
      <c r="B11404" s="845" t="s">
        <v>2564</v>
      </c>
      <c r="C11404" s="1007">
        <f t="shared" si="227"/>
        <v>65</v>
      </c>
      <c r="D11404" s="1014"/>
      <c r="H11404" s="1011" t="s">
        <v>1007</v>
      </c>
      <c r="K11404" s="1013"/>
    </row>
    <row r="11405" spans="1:11" s="1011" customFormat="1" ht="15" x14ac:dyDescent="0.25">
      <c r="A11405" s="859">
        <f t="shared" si="228"/>
        <v>11404</v>
      </c>
      <c r="B11405" s="845" t="s">
        <v>2564</v>
      </c>
      <c r="C11405" s="1007">
        <f t="shared" si="227"/>
        <v>65</v>
      </c>
      <c r="D11405" s="1012"/>
      <c r="I11405" s="1011" t="s">
        <v>2177</v>
      </c>
      <c r="K11405" s="1013"/>
    </row>
    <row r="11406" spans="1:11" s="1011" customFormat="1" ht="15" x14ac:dyDescent="0.25">
      <c r="A11406" s="859">
        <f t="shared" si="228"/>
        <v>11405</v>
      </c>
      <c r="B11406" s="845" t="s">
        <v>2564</v>
      </c>
      <c r="C11406" s="1007">
        <f t="shared" si="227"/>
        <v>65</v>
      </c>
      <c r="D11406" s="1015"/>
      <c r="I11406" s="1011" t="str">
        <f>CONCATENATE("&lt;valeur&gt;",VLOOKUP(C11406,'T16 Amort'!A:K,5,0),"&lt;/valeur&gt;")</f>
        <v>&lt;valeur&gt;&lt;/valeur&gt;</v>
      </c>
      <c r="K11406" s="1013"/>
    </row>
    <row r="11407" spans="1:11" s="1011" customFormat="1" ht="15" x14ac:dyDescent="0.25">
      <c r="A11407" s="859">
        <f t="shared" si="228"/>
        <v>11406</v>
      </c>
      <c r="B11407" s="845" t="s">
        <v>2564</v>
      </c>
      <c r="C11407" s="1007">
        <f t="shared" si="227"/>
        <v>65</v>
      </c>
      <c r="D11407" s="1012"/>
      <c r="I11407" s="1011" t="str">
        <f>CONCATENATE("&lt;numeroLigne&gt;",C11407,"&lt;/numeroLigne&gt;")</f>
        <v>&lt;numeroLigne&gt;65&lt;/numeroLigne&gt;</v>
      </c>
      <c r="K11407" s="1013"/>
    </row>
    <row r="11408" spans="1:11" s="1011" customFormat="1" ht="15" x14ac:dyDescent="0.25">
      <c r="A11408" s="859">
        <f t="shared" si="228"/>
        <v>11407</v>
      </c>
      <c r="B11408" s="845" t="s">
        <v>2564</v>
      </c>
      <c r="C11408" s="1007">
        <f t="shared" si="227"/>
        <v>65</v>
      </c>
      <c r="D11408" s="1012"/>
      <c r="H11408" s="1011" t="s">
        <v>1010</v>
      </c>
      <c r="K11408" s="1013"/>
    </row>
    <row r="11409" spans="1:11" s="1011" customFormat="1" ht="15" x14ac:dyDescent="0.25">
      <c r="A11409" s="859">
        <f t="shared" si="228"/>
        <v>11408</v>
      </c>
      <c r="B11409" s="845" t="s">
        <v>2564</v>
      </c>
      <c r="C11409" s="1007">
        <f t="shared" si="227"/>
        <v>65</v>
      </c>
      <c r="D11409" s="1014"/>
      <c r="H11409" s="1011" t="s">
        <v>1007</v>
      </c>
      <c r="K11409" s="1013"/>
    </row>
    <row r="11410" spans="1:11" s="1011" customFormat="1" ht="15" x14ac:dyDescent="0.25">
      <c r="A11410" s="859">
        <f t="shared" si="228"/>
        <v>11409</v>
      </c>
      <c r="B11410" s="845" t="s">
        <v>2564</v>
      </c>
      <c r="C11410" s="1007">
        <f t="shared" si="227"/>
        <v>65</v>
      </c>
      <c r="D11410" s="1014"/>
      <c r="I11410" s="1011" t="s">
        <v>2178</v>
      </c>
      <c r="K11410" s="1013"/>
    </row>
    <row r="11411" spans="1:11" s="1011" customFormat="1" ht="15" x14ac:dyDescent="0.25">
      <c r="A11411" s="859">
        <f t="shared" si="228"/>
        <v>11410</v>
      </c>
      <c r="B11411" s="845" t="s">
        <v>2564</v>
      </c>
      <c r="C11411" s="1007">
        <f t="shared" si="227"/>
        <v>65</v>
      </c>
      <c r="D11411" s="1012"/>
      <c r="I11411" s="1011" t="str">
        <f>CONCATENATE("&lt;valeur&gt;",VLOOKUP(C11411,'T16 Amort'!A:K,6,0),"&lt;/valeur&gt;")</f>
        <v>&lt;valeur&gt;&lt;/valeur&gt;</v>
      </c>
      <c r="K11411" s="1013"/>
    </row>
    <row r="11412" spans="1:11" s="1011" customFormat="1" ht="15" x14ac:dyDescent="0.25">
      <c r="A11412" s="859">
        <f t="shared" si="228"/>
        <v>11411</v>
      </c>
      <c r="B11412" s="845" t="s">
        <v>2564</v>
      </c>
      <c r="C11412" s="1007">
        <f t="shared" si="227"/>
        <v>65</v>
      </c>
      <c r="D11412" s="1015"/>
      <c r="I11412" s="1011" t="str">
        <f>CONCATENATE("&lt;numeroLigne&gt;",C11412,"&lt;/numeroLigne&gt;")</f>
        <v>&lt;numeroLigne&gt;65&lt;/numeroLigne&gt;</v>
      </c>
      <c r="K11412" s="1013"/>
    </row>
    <row r="11413" spans="1:11" s="1011" customFormat="1" ht="15" x14ac:dyDescent="0.25">
      <c r="A11413" s="859">
        <f t="shared" si="228"/>
        <v>11412</v>
      </c>
      <c r="B11413" s="845" t="s">
        <v>2564</v>
      </c>
      <c r="C11413" s="1007">
        <f t="shared" si="227"/>
        <v>65</v>
      </c>
      <c r="D11413" s="1012"/>
      <c r="H11413" s="1011" t="s">
        <v>1010</v>
      </c>
      <c r="K11413" s="1013"/>
    </row>
    <row r="11414" spans="1:11" s="1011" customFormat="1" ht="15" x14ac:dyDescent="0.25">
      <c r="A11414" s="859">
        <f t="shared" si="228"/>
        <v>11413</v>
      </c>
      <c r="B11414" s="845" t="s">
        <v>2564</v>
      </c>
      <c r="C11414" s="1007">
        <f t="shared" si="227"/>
        <v>65</v>
      </c>
      <c r="D11414" s="1012"/>
      <c r="H11414" s="1011" t="s">
        <v>1007</v>
      </c>
      <c r="K11414" s="1013"/>
    </row>
    <row r="11415" spans="1:11" s="1011" customFormat="1" ht="15" x14ac:dyDescent="0.25">
      <c r="A11415" s="859">
        <f t="shared" si="228"/>
        <v>11414</v>
      </c>
      <c r="B11415" s="845" t="s">
        <v>2564</v>
      </c>
      <c r="C11415" s="1007">
        <f t="shared" si="227"/>
        <v>65</v>
      </c>
      <c r="D11415" s="1014"/>
      <c r="I11415" s="1011" t="s">
        <v>2179</v>
      </c>
      <c r="K11415" s="1013"/>
    </row>
    <row r="11416" spans="1:11" s="1011" customFormat="1" ht="15" x14ac:dyDescent="0.25">
      <c r="A11416" s="859">
        <f t="shared" si="228"/>
        <v>11415</v>
      </c>
      <c r="B11416" s="845" t="s">
        <v>2564</v>
      </c>
      <c r="C11416" s="1007">
        <f t="shared" si="227"/>
        <v>65</v>
      </c>
      <c r="D11416" s="1014"/>
      <c r="I11416" s="1011" t="str">
        <f>CONCATENATE("&lt;valeur&gt;",VLOOKUP(C11416,'T16 Amort'!A:K,7,0),"&lt;/valeur&gt;")</f>
        <v>&lt;valeur&gt;&lt;/valeur&gt;</v>
      </c>
      <c r="K11416" s="1013"/>
    </row>
    <row r="11417" spans="1:11" s="1011" customFormat="1" ht="15" x14ac:dyDescent="0.25">
      <c r="A11417" s="859">
        <f t="shared" si="228"/>
        <v>11416</v>
      </c>
      <c r="B11417" s="845" t="s">
        <v>2564</v>
      </c>
      <c r="C11417" s="1007">
        <f t="shared" si="227"/>
        <v>65</v>
      </c>
      <c r="D11417" s="1012"/>
      <c r="I11417" s="1011" t="str">
        <f>CONCATENATE("&lt;numeroLigne&gt;",C11417,"&lt;/numeroLigne&gt;")</f>
        <v>&lt;numeroLigne&gt;65&lt;/numeroLigne&gt;</v>
      </c>
      <c r="K11417" s="1013"/>
    </row>
    <row r="11418" spans="1:11" s="1011" customFormat="1" ht="15" x14ac:dyDescent="0.25">
      <c r="A11418" s="859">
        <f t="shared" si="228"/>
        <v>11417</v>
      </c>
      <c r="B11418" s="845" t="s">
        <v>2564</v>
      </c>
      <c r="C11418" s="1007">
        <f t="shared" si="227"/>
        <v>65</v>
      </c>
      <c r="D11418" s="1015"/>
      <c r="H11418" s="1011" t="s">
        <v>1010</v>
      </c>
      <c r="K11418" s="1013"/>
    </row>
    <row r="11419" spans="1:11" s="1011" customFormat="1" ht="15" x14ac:dyDescent="0.25">
      <c r="A11419" s="859">
        <f t="shared" si="228"/>
        <v>11418</v>
      </c>
      <c r="B11419" s="845" t="s">
        <v>2564</v>
      </c>
      <c r="C11419" s="1007">
        <f t="shared" si="227"/>
        <v>65</v>
      </c>
      <c r="D11419" s="1012"/>
      <c r="H11419" s="1011" t="s">
        <v>1007</v>
      </c>
      <c r="K11419" s="1013"/>
    </row>
    <row r="11420" spans="1:11" s="1011" customFormat="1" ht="15" x14ac:dyDescent="0.25">
      <c r="A11420" s="859">
        <f t="shared" si="228"/>
        <v>11419</v>
      </c>
      <c r="B11420" s="845" t="s">
        <v>2564</v>
      </c>
      <c r="C11420" s="1007">
        <f t="shared" si="227"/>
        <v>65</v>
      </c>
      <c r="D11420" s="1012"/>
      <c r="I11420" s="1011" t="s">
        <v>2180</v>
      </c>
      <c r="K11420" s="1013"/>
    </row>
    <row r="11421" spans="1:11" s="1011" customFormat="1" ht="15" x14ac:dyDescent="0.25">
      <c r="A11421" s="859">
        <f t="shared" si="228"/>
        <v>11420</v>
      </c>
      <c r="B11421" s="845" t="s">
        <v>2564</v>
      </c>
      <c r="C11421" s="1007">
        <f t="shared" si="227"/>
        <v>65</v>
      </c>
      <c r="D11421" s="1014"/>
      <c r="I11421" s="1011" t="str">
        <f>CONCATENATE("&lt;valeur&gt;",VLOOKUP(C11421,'T16 Amort'!A:K,8,0),"&lt;/valeur&gt;")</f>
        <v>&lt;valeur&gt;&lt;/valeur&gt;</v>
      </c>
      <c r="K11421" s="1013"/>
    </row>
    <row r="11422" spans="1:11" s="1011" customFormat="1" ht="15" x14ac:dyDescent="0.25">
      <c r="A11422" s="859">
        <f t="shared" si="228"/>
        <v>11421</v>
      </c>
      <c r="B11422" s="845" t="s">
        <v>2564</v>
      </c>
      <c r="C11422" s="1007">
        <f t="shared" si="227"/>
        <v>65</v>
      </c>
      <c r="D11422" s="1014"/>
      <c r="I11422" s="1011" t="str">
        <f>CONCATENATE("&lt;numeroLigne&gt;",C11422,"&lt;/numeroLigne&gt;")</f>
        <v>&lt;numeroLigne&gt;65&lt;/numeroLigne&gt;</v>
      </c>
      <c r="K11422" s="1013"/>
    </row>
    <row r="11423" spans="1:11" s="1011" customFormat="1" ht="15" x14ac:dyDescent="0.25">
      <c r="A11423" s="859">
        <f t="shared" si="228"/>
        <v>11422</v>
      </c>
      <c r="B11423" s="845" t="s">
        <v>2564</v>
      </c>
      <c r="C11423" s="1007">
        <f t="shared" si="227"/>
        <v>65</v>
      </c>
      <c r="D11423" s="1012"/>
      <c r="H11423" s="1011" t="s">
        <v>1010</v>
      </c>
      <c r="K11423" s="1013"/>
    </row>
    <row r="11424" spans="1:11" s="1011" customFormat="1" ht="15" x14ac:dyDescent="0.25">
      <c r="A11424" s="859">
        <f t="shared" si="228"/>
        <v>11423</v>
      </c>
      <c r="B11424" s="845" t="s">
        <v>2564</v>
      </c>
      <c r="C11424" s="1007">
        <f t="shared" si="227"/>
        <v>65</v>
      </c>
      <c r="D11424" s="1015"/>
      <c r="H11424" s="1011" t="s">
        <v>1007</v>
      </c>
      <c r="K11424" s="1013"/>
    </row>
    <row r="11425" spans="1:11" s="1011" customFormat="1" ht="15" x14ac:dyDescent="0.25">
      <c r="A11425" s="859">
        <f t="shared" si="228"/>
        <v>11424</v>
      </c>
      <c r="B11425" s="845" t="s">
        <v>2564</v>
      </c>
      <c r="C11425" s="1007">
        <f t="shared" si="227"/>
        <v>65</v>
      </c>
      <c r="D11425" s="1012"/>
      <c r="I11425" s="1011" t="s">
        <v>2181</v>
      </c>
      <c r="K11425" s="1013"/>
    </row>
    <row r="11426" spans="1:11" s="1011" customFormat="1" ht="15" x14ac:dyDescent="0.25">
      <c r="A11426" s="859">
        <f t="shared" si="228"/>
        <v>11425</v>
      </c>
      <c r="B11426" s="845" t="s">
        <v>2564</v>
      </c>
      <c r="C11426" s="1007">
        <f t="shared" si="227"/>
        <v>65</v>
      </c>
      <c r="D11426" s="1012"/>
      <c r="I11426" s="1011" t="str">
        <f>CONCATENATE("&lt;valeur&gt;",VLOOKUP(C11426,'T16 Amort'!A:K,9,0),"&lt;/valeur&gt;")</f>
        <v>&lt;valeur&gt;&lt;/valeur&gt;</v>
      </c>
      <c r="K11426" s="1013"/>
    </row>
    <row r="11427" spans="1:11" s="1011" customFormat="1" ht="15" x14ac:dyDescent="0.25">
      <c r="A11427" s="859">
        <f t="shared" si="228"/>
        <v>11426</v>
      </c>
      <c r="B11427" s="845" t="s">
        <v>2564</v>
      </c>
      <c r="C11427" s="1007">
        <f t="shared" si="227"/>
        <v>65</v>
      </c>
      <c r="D11427" s="1014"/>
      <c r="I11427" s="1011" t="str">
        <f>CONCATENATE("&lt;numeroLigne&gt;",C11427,"&lt;/numeroLigne&gt;")</f>
        <v>&lt;numeroLigne&gt;65&lt;/numeroLigne&gt;</v>
      </c>
      <c r="K11427" s="1013"/>
    </row>
    <row r="11428" spans="1:11" s="1011" customFormat="1" ht="15" x14ac:dyDescent="0.25">
      <c r="A11428" s="859">
        <f t="shared" si="228"/>
        <v>11427</v>
      </c>
      <c r="B11428" s="845" t="s">
        <v>2564</v>
      </c>
      <c r="C11428" s="1007">
        <f t="shared" si="227"/>
        <v>65</v>
      </c>
      <c r="D11428" s="1014"/>
      <c r="H11428" s="1011" t="s">
        <v>1010</v>
      </c>
      <c r="K11428" s="1013"/>
    </row>
    <row r="11429" spans="1:11" s="1011" customFormat="1" ht="15" x14ac:dyDescent="0.25">
      <c r="A11429" s="859">
        <f t="shared" si="228"/>
        <v>11428</v>
      </c>
      <c r="B11429" s="845" t="s">
        <v>2564</v>
      </c>
      <c r="C11429" s="1007">
        <f t="shared" si="227"/>
        <v>65</v>
      </c>
      <c r="D11429" s="1012"/>
      <c r="H11429" s="1011" t="s">
        <v>1007</v>
      </c>
      <c r="K11429" s="1013"/>
    </row>
    <row r="11430" spans="1:11" s="1011" customFormat="1" ht="15" x14ac:dyDescent="0.25">
      <c r="A11430" s="859">
        <f t="shared" si="228"/>
        <v>11429</v>
      </c>
      <c r="B11430" s="845" t="s">
        <v>2564</v>
      </c>
      <c r="C11430" s="1007">
        <f t="shared" si="227"/>
        <v>65</v>
      </c>
      <c r="D11430" s="1015"/>
      <c r="I11430" s="1011" t="s">
        <v>2182</v>
      </c>
      <c r="K11430" s="1013"/>
    </row>
    <row r="11431" spans="1:11" s="1011" customFormat="1" ht="15" x14ac:dyDescent="0.25">
      <c r="A11431" s="859">
        <f t="shared" si="228"/>
        <v>11430</v>
      </c>
      <c r="B11431" s="845" t="s">
        <v>2564</v>
      </c>
      <c r="C11431" s="1007">
        <f t="shared" si="227"/>
        <v>65</v>
      </c>
      <c r="D11431" s="1012"/>
      <c r="I11431" s="1011" t="str">
        <f>CONCATENATE("&lt;valeur&gt;",VLOOKUP(C11431,'T16 Amort'!A:K,10,0),"&lt;/valeur&gt;")</f>
        <v>&lt;valeur&gt;&lt;/valeur&gt;</v>
      </c>
      <c r="K11431" s="1013"/>
    </row>
    <row r="11432" spans="1:11" s="1011" customFormat="1" ht="15" x14ac:dyDescent="0.25">
      <c r="A11432" s="859">
        <f t="shared" si="228"/>
        <v>11431</v>
      </c>
      <c r="B11432" s="845" t="s">
        <v>2564</v>
      </c>
      <c r="C11432" s="1007">
        <f t="shared" si="227"/>
        <v>65</v>
      </c>
      <c r="D11432" s="1012"/>
      <c r="I11432" s="1011" t="str">
        <f>CONCATENATE("&lt;numeroLigne&gt;",C11432,"&lt;/numeroLigne&gt;")</f>
        <v>&lt;numeroLigne&gt;65&lt;/numeroLigne&gt;</v>
      </c>
      <c r="K11432" s="1013"/>
    </row>
    <row r="11433" spans="1:11" s="1011" customFormat="1" ht="15" x14ac:dyDescent="0.25">
      <c r="A11433" s="859">
        <f t="shared" si="228"/>
        <v>11432</v>
      </c>
      <c r="B11433" s="845" t="s">
        <v>2564</v>
      </c>
      <c r="C11433" s="1007">
        <f t="shared" si="227"/>
        <v>65</v>
      </c>
      <c r="D11433" s="1014"/>
      <c r="H11433" s="1011" t="s">
        <v>1010</v>
      </c>
      <c r="K11433" s="1013"/>
    </row>
    <row r="11434" spans="1:11" s="1011" customFormat="1" ht="15" x14ac:dyDescent="0.25">
      <c r="A11434" s="859">
        <f t="shared" si="228"/>
        <v>11433</v>
      </c>
      <c r="B11434" s="845" t="s">
        <v>2564</v>
      </c>
      <c r="C11434" s="1007">
        <f t="shared" si="227"/>
        <v>65</v>
      </c>
      <c r="D11434" s="1014"/>
      <c r="H11434" s="1011" t="s">
        <v>1007</v>
      </c>
      <c r="K11434" s="1013"/>
    </row>
    <row r="11435" spans="1:11" s="1011" customFormat="1" ht="15" x14ac:dyDescent="0.25">
      <c r="A11435" s="859">
        <f t="shared" si="228"/>
        <v>11434</v>
      </c>
      <c r="B11435" s="845" t="s">
        <v>2564</v>
      </c>
      <c r="C11435" s="1007">
        <f t="shared" si="227"/>
        <v>65</v>
      </c>
      <c r="D11435" s="1012"/>
      <c r="I11435" s="1011" t="s">
        <v>2183</v>
      </c>
      <c r="K11435" s="1013"/>
    </row>
    <row r="11436" spans="1:11" s="1011" customFormat="1" ht="15" x14ac:dyDescent="0.25">
      <c r="A11436" s="859">
        <f t="shared" si="228"/>
        <v>11435</v>
      </c>
      <c r="B11436" s="845" t="s">
        <v>2564</v>
      </c>
      <c r="C11436" s="1007">
        <f t="shared" si="227"/>
        <v>65</v>
      </c>
      <c r="D11436" s="1015"/>
      <c r="I11436" s="1011" t="str">
        <f>CONCATENATE("&lt;valeur&gt;",VLOOKUP(C11436,'T16 Amort'!A:K,11,0),"&lt;/valeur&gt;")</f>
        <v>&lt;valeur&gt;&lt;/valeur&gt;</v>
      </c>
      <c r="K11436" s="1013"/>
    </row>
    <row r="11437" spans="1:11" s="1011" customFormat="1" ht="15" x14ac:dyDescent="0.25">
      <c r="A11437" s="859">
        <f t="shared" si="228"/>
        <v>11436</v>
      </c>
      <c r="B11437" s="845" t="s">
        <v>2564</v>
      </c>
      <c r="C11437" s="1007">
        <f t="shared" si="227"/>
        <v>65</v>
      </c>
      <c r="D11437" s="1012"/>
      <c r="I11437" s="1011" t="str">
        <f>CONCATENATE("&lt;numeroLigne&gt;",C11437,"&lt;/numeroLigne&gt;")</f>
        <v>&lt;numeroLigne&gt;65&lt;/numeroLigne&gt;</v>
      </c>
      <c r="K11437" s="1013"/>
    </row>
    <row r="11438" spans="1:11" s="1011" customFormat="1" ht="15" x14ac:dyDescent="0.25">
      <c r="A11438" s="859">
        <f t="shared" si="228"/>
        <v>11437</v>
      </c>
      <c r="B11438" s="845" t="s">
        <v>2564</v>
      </c>
      <c r="C11438" s="1007">
        <f t="shared" si="227"/>
        <v>65</v>
      </c>
      <c r="D11438" s="1016"/>
      <c r="E11438" s="1017"/>
      <c r="F11438" s="1017"/>
      <c r="G11438" s="1017"/>
      <c r="H11438" s="1017" t="s">
        <v>1010</v>
      </c>
      <c r="I11438" s="1017"/>
      <c r="J11438" s="1017"/>
      <c r="K11438" s="1018"/>
    </row>
    <row r="11439" spans="1:11" s="1011" customFormat="1" ht="15" x14ac:dyDescent="0.25">
      <c r="A11439" s="859">
        <f t="shared" si="228"/>
        <v>11438</v>
      </c>
      <c r="B11439" s="845" t="s">
        <v>2564</v>
      </c>
      <c r="C11439" s="1007">
        <f t="shared" ref="C11439:C11502" si="229">C11389+1</f>
        <v>66</v>
      </c>
      <c r="D11439" s="1008"/>
      <c r="E11439" s="1009"/>
      <c r="F11439" s="1009"/>
      <c r="G11439" s="1009"/>
      <c r="H11439" s="1009" t="s">
        <v>1007</v>
      </c>
      <c r="I11439" s="1009"/>
      <c r="J11439" s="1009"/>
      <c r="K11439" s="1010"/>
    </row>
    <row r="11440" spans="1:11" s="1011" customFormat="1" ht="15" x14ac:dyDescent="0.25">
      <c r="A11440" s="859">
        <f t="shared" si="228"/>
        <v>11439</v>
      </c>
      <c r="B11440" s="845" t="s">
        <v>2564</v>
      </c>
      <c r="C11440" s="1007">
        <f t="shared" si="229"/>
        <v>66</v>
      </c>
      <c r="D11440" s="1012"/>
      <c r="I11440" s="1011" t="s">
        <v>2174</v>
      </c>
      <c r="K11440" s="1013"/>
    </row>
    <row r="11441" spans="1:11" s="1011" customFormat="1" ht="15" x14ac:dyDescent="0.25">
      <c r="A11441" s="859">
        <f t="shared" si="228"/>
        <v>11440</v>
      </c>
      <c r="B11441" s="845" t="s">
        <v>2564</v>
      </c>
      <c r="C11441" s="1007">
        <f t="shared" si="229"/>
        <v>66</v>
      </c>
      <c r="D11441" s="1014"/>
      <c r="I11441" s="1011" t="str">
        <f>CONCATENATE("&lt;valeur&gt;",VLOOKUP(C11441,'T16 Amort'!A:K,2,0),"&lt;/valeur&gt;")</f>
        <v>&lt;valeur&gt;&lt;/valeur&gt;</v>
      </c>
      <c r="K11441" s="1013"/>
    </row>
    <row r="11442" spans="1:11" s="1011" customFormat="1" ht="15" x14ac:dyDescent="0.25">
      <c r="A11442" s="859">
        <f t="shared" si="228"/>
        <v>11441</v>
      </c>
      <c r="B11442" s="845" t="s">
        <v>2564</v>
      </c>
      <c r="C11442" s="1007">
        <f t="shared" si="229"/>
        <v>66</v>
      </c>
      <c r="D11442" s="1014"/>
      <c r="I11442" s="1011" t="str">
        <f>CONCATENATE("&lt;numeroLigne&gt;",C11442,"&lt;/numeroLigne&gt;")</f>
        <v>&lt;numeroLigne&gt;66&lt;/numeroLigne&gt;</v>
      </c>
      <c r="K11442" s="1013"/>
    </row>
    <row r="11443" spans="1:11" s="1011" customFormat="1" ht="15" x14ac:dyDescent="0.25">
      <c r="A11443" s="859">
        <f t="shared" si="228"/>
        <v>11442</v>
      </c>
      <c r="B11443" s="845" t="s">
        <v>2564</v>
      </c>
      <c r="C11443" s="1007">
        <f t="shared" si="229"/>
        <v>66</v>
      </c>
      <c r="D11443" s="1012"/>
      <c r="H11443" s="1011" t="s">
        <v>1010</v>
      </c>
      <c r="K11443" s="1013"/>
    </row>
    <row r="11444" spans="1:11" s="1011" customFormat="1" ht="15" x14ac:dyDescent="0.25">
      <c r="A11444" s="859">
        <f t="shared" si="228"/>
        <v>11443</v>
      </c>
      <c r="B11444" s="845" t="s">
        <v>2564</v>
      </c>
      <c r="C11444" s="1007">
        <f t="shared" si="229"/>
        <v>66</v>
      </c>
      <c r="D11444" s="1015"/>
      <c r="H11444" s="1011" t="s">
        <v>1007</v>
      </c>
      <c r="K11444" s="1013"/>
    </row>
    <row r="11445" spans="1:11" s="1011" customFormat="1" ht="15" x14ac:dyDescent="0.25">
      <c r="A11445" s="859">
        <f t="shared" si="228"/>
        <v>11444</v>
      </c>
      <c r="B11445" s="845" t="s">
        <v>2564</v>
      </c>
      <c r="C11445" s="1007">
        <f t="shared" si="229"/>
        <v>66</v>
      </c>
      <c r="D11445" s="1012"/>
      <c r="I11445" s="1011" t="s">
        <v>2175</v>
      </c>
      <c r="K11445" s="1013"/>
    </row>
    <row r="11446" spans="1:11" s="1011" customFormat="1" ht="15" x14ac:dyDescent="0.25">
      <c r="A11446" s="859">
        <f t="shared" si="228"/>
        <v>11445</v>
      </c>
      <c r="B11446" s="845" t="s">
        <v>2564</v>
      </c>
      <c r="C11446" s="1007">
        <f t="shared" si="229"/>
        <v>66</v>
      </c>
      <c r="D11446" s="1012"/>
      <c r="I11446" s="1011" t="str">
        <f>CONCATENATE("&lt;valeur&gt;",VLOOKUP(C11446,'T16 Amort'!A:K,3,0),"&lt;/valeur&gt;")</f>
        <v>&lt;valeur&gt;&lt;/valeur&gt;</v>
      </c>
      <c r="K11446" s="1013"/>
    </row>
    <row r="11447" spans="1:11" s="1011" customFormat="1" ht="15" x14ac:dyDescent="0.25">
      <c r="A11447" s="859">
        <f t="shared" si="228"/>
        <v>11446</v>
      </c>
      <c r="B11447" s="845" t="s">
        <v>2564</v>
      </c>
      <c r="C11447" s="1007">
        <f t="shared" si="229"/>
        <v>66</v>
      </c>
      <c r="D11447" s="1014"/>
      <c r="I11447" s="1011" t="str">
        <f>CONCATENATE("&lt;numeroLigne&gt;",C11447,"&lt;/numeroLigne&gt;")</f>
        <v>&lt;numeroLigne&gt;66&lt;/numeroLigne&gt;</v>
      </c>
      <c r="K11447" s="1013"/>
    </row>
    <row r="11448" spans="1:11" s="1011" customFormat="1" ht="15" x14ac:dyDescent="0.25">
      <c r="A11448" s="859">
        <f t="shared" si="228"/>
        <v>11447</v>
      </c>
      <c r="B11448" s="845" t="s">
        <v>2564</v>
      </c>
      <c r="C11448" s="1007">
        <f t="shared" si="229"/>
        <v>66</v>
      </c>
      <c r="D11448" s="1014"/>
      <c r="H11448" s="1011" t="s">
        <v>1010</v>
      </c>
      <c r="K11448" s="1013"/>
    </row>
    <row r="11449" spans="1:11" s="1011" customFormat="1" ht="15" x14ac:dyDescent="0.25">
      <c r="A11449" s="859">
        <f t="shared" si="228"/>
        <v>11448</v>
      </c>
      <c r="B11449" s="845" t="s">
        <v>2564</v>
      </c>
      <c r="C11449" s="1007">
        <f t="shared" si="229"/>
        <v>66</v>
      </c>
      <c r="D11449" s="1012"/>
      <c r="H11449" s="1011" t="s">
        <v>1007</v>
      </c>
      <c r="K11449" s="1013"/>
    </row>
    <row r="11450" spans="1:11" s="1011" customFormat="1" ht="15" x14ac:dyDescent="0.25">
      <c r="A11450" s="859">
        <f t="shared" si="228"/>
        <v>11449</v>
      </c>
      <c r="B11450" s="845" t="s">
        <v>2564</v>
      </c>
      <c r="C11450" s="1007">
        <f t="shared" si="229"/>
        <v>66</v>
      </c>
      <c r="D11450" s="1015"/>
      <c r="I11450" s="1011" t="s">
        <v>2176</v>
      </c>
      <c r="K11450" s="1013"/>
    </row>
    <row r="11451" spans="1:11" s="1011" customFormat="1" ht="15" x14ac:dyDescent="0.25">
      <c r="A11451" s="859">
        <f t="shared" si="228"/>
        <v>11450</v>
      </c>
      <c r="B11451" s="845" t="s">
        <v>2564</v>
      </c>
      <c r="C11451" s="1007">
        <f t="shared" si="229"/>
        <v>66</v>
      </c>
      <c r="D11451" s="1012"/>
      <c r="I11451" s="1011" t="str">
        <f>CONCATENATE("&lt;valeur&gt;",VLOOKUP(C11451,'T16 Amort'!A:K,4,0),"&lt;/valeur&gt;")</f>
        <v>&lt;valeur&gt;&lt;/valeur&gt;</v>
      </c>
      <c r="K11451" s="1013"/>
    </row>
    <row r="11452" spans="1:11" s="1011" customFormat="1" ht="15" x14ac:dyDescent="0.25">
      <c r="A11452" s="859">
        <f t="shared" si="228"/>
        <v>11451</v>
      </c>
      <c r="B11452" s="845" t="s">
        <v>2564</v>
      </c>
      <c r="C11452" s="1007">
        <f t="shared" si="229"/>
        <v>66</v>
      </c>
      <c r="D11452" s="1012"/>
      <c r="I11452" s="1011" t="str">
        <f>CONCATENATE("&lt;numeroLigne&gt;",C11452,"&lt;/numeroLigne&gt;")</f>
        <v>&lt;numeroLigne&gt;66&lt;/numeroLigne&gt;</v>
      </c>
      <c r="K11452" s="1013"/>
    </row>
    <row r="11453" spans="1:11" s="1011" customFormat="1" ht="15" x14ac:dyDescent="0.25">
      <c r="A11453" s="859">
        <f t="shared" si="228"/>
        <v>11452</v>
      </c>
      <c r="B11453" s="845" t="s">
        <v>2564</v>
      </c>
      <c r="C11453" s="1007">
        <f t="shared" si="229"/>
        <v>66</v>
      </c>
      <c r="D11453" s="1014"/>
      <c r="H11453" s="1011" t="s">
        <v>1010</v>
      </c>
      <c r="K11453" s="1013"/>
    </row>
    <row r="11454" spans="1:11" s="1011" customFormat="1" ht="15" x14ac:dyDescent="0.25">
      <c r="A11454" s="859">
        <f t="shared" si="228"/>
        <v>11453</v>
      </c>
      <c r="B11454" s="845" t="s">
        <v>2564</v>
      </c>
      <c r="C11454" s="1007">
        <f t="shared" si="229"/>
        <v>66</v>
      </c>
      <c r="D11454" s="1014"/>
      <c r="H11454" s="1011" t="s">
        <v>1007</v>
      </c>
      <c r="K11454" s="1013"/>
    </row>
    <row r="11455" spans="1:11" s="1011" customFormat="1" ht="15" x14ac:dyDescent="0.25">
      <c r="A11455" s="859">
        <f t="shared" si="228"/>
        <v>11454</v>
      </c>
      <c r="B11455" s="845" t="s">
        <v>2564</v>
      </c>
      <c r="C11455" s="1007">
        <f t="shared" si="229"/>
        <v>66</v>
      </c>
      <c r="D11455" s="1012"/>
      <c r="I11455" s="1011" t="s">
        <v>2177</v>
      </c>
      <c r="K11455" s="1013"/>
    </row>
    <row r="11456" spans="1:11" s="1011" customFormat="1" ht="15" x14ac:dyDescent="0.25">
      <c r="A11456" s="859">
        <f t="shared" si="228"/>
        <v>11455</v>
      </c>
      <c r="B11456" s="845" t="s">
        <v>2564</v>
      </c>
      <c r="C11456" s="1007">
        <f t="shared" si="229"/>
        <v>66</v>
      </c>
      <c r="D11456" s="1015"/>
      <c r="I11456" s="1011" t="str">
        <f>CONCATENATE("&lt;valeur&gt;",VLOOKUP(C11456,'T16 Amort'!A:K,5,0),"&lt;/valeur&gt;")</f>
        <v>&lt;valeur&gt;&lt;/valeur&gt;</v>
      </c>
      <c r="K11456" s="1013"/>
    </row>
    <row r="11457" spans="1:11" s="1011" customFormat="1" ht="15" x14ac:dyDescent="0.25">
      <c r="A11457" s="859">
        <f t="shared" si="228"/>
        <v>11456</v>
      </c>
      <c r="B11457" s="845" t="s">
        <v>2564</v>
      </c>
      <c r="C11457" s="1007">
        <f t="shared" si="229"/>
        <v>66</v>
      </c>
      <c r="D11457" s="1012"/>
      <c r="I11457" s="1011" t="str">
        <f>CONCATENATE("&lt;numeroLigne&gt;",C11457,"&lt;/numeroLigne&gt;")</f>
        <v>&lt;numeroLigne&gt;66&lt;/numeroLigne&gt;</v>
      </c>
      <c r="K11457" s="1013"/>
    </row>
    <row r="11458" spans="1:11" s="1011" customFormat="1" ht="15" x14ac:dyDescent="0.25">
      <c r="A11458" s="859">
        <f t="shared" si="228"/>
        <v>11457</v>
      </c>
      <c r="B11458" s="845" t="s">
        <v>2564</v>
      </c>
      <c r="C11458" s="1007">
        <f t="shared" si="229"/>
        <v>66</v>
      </c>
      <c r="D11458" s="1012"/>
      <c r="H11458" s="1011" t="s">
        <v>1010</v>
      </c>
      <c r="K11458" s="1013"/>
    </row>
    <row r="11459" spans="1:11" s="1011" customFormat="1" ht="15" x14ac:dyDescent="0.25">
      <c r="A11459" s="859">
        <f t="shared" si="228"/>
        <v>11458</v>
      </c>
      <c r="B11459" s="845" t="s">
        <v>2564</v>
      </c>
      <c r="C11459" s="1007">
        <f t="shared" si="229"/>
        <v>66</v>
      </c>
      <c r="D11459" s="1014"/>
      <c r="H11459" s="1011" t="s">
        <v>1007</v>
      </c>
      <c r="K11459" s="1013"/>
    </row>
    <row r="11460" spans="1:11" s="1011" customFormat="1" ht="15" x14ac:dyDescent="0.25">
      <c r="A11460" s="859">
        <f t="shared" ref="A11460:A11523" si="230">+A11459+1</f>
        <v>11459</v>
      </c>
      <c r="B11460" s="845" t="s">
        <v>2564</v>
      </c>
      <c r="C11460" s="1007">
        <f t="shared" si="229"/>
        <v>66</v>
      </c>
      <c r="D11460" s="1014"/>
      <c r="I11460" s="1011" t="s">
        <v>2178</v>
      </c>
      <c r="K11460" s="1013"/>
    </row>
    <row r="11461" spans="1:11" s="1011" customFormat="1" ht="15" x14ac:dyDescent="0.25">
      <c r="A11461" s="859">
        <f t="shared" si="230"/>
        <v>11460</v>
      </c>
      <c r="B11461" s="845" t="s">
        <v>2564</v>
      </c>
      <c r="C11461" s="1007">
        <f t="shared" si="229"/>
        <v>66</v>
      </c>
      <c r="D11461" s="1012"/>
      <c r="I11461" s="1011" t="str">
        <f>CONCATENATE("&lt;valeur&gt;",VLOOKUP(C11461,'T16 Amort'!A:K,6,0),"&lt;/valeur&gt;")</f>
        <v>&lt;valeur&gt;&lt;/valeur&gt;</v>
      </c>
      <c r="K11461" s="1013"/>
    </row>
    <row r="11462" spans="1:11" s="1011" customFormat="1" ht="15" x14ac:dyDescent="0.25">
      <c r="A11462" s="859">
        <f t="shared" si="230"/>
        <v>11461</v>
      </c>
      <c r="B11462" s="845" t="s">
        <v>2564</v>
      </c>
      <c r="C11462" s="1007">
        <f t="shared" si="229"/>
        <v>66</v>
      </c>
      <c r="D11462" s="1015"/>
      <c r="I11462" s="1011" t="str">
        <f>CONCATENATE("&lt;numeroLigne&gt;",C11462,"&lt;/numeroLigne&gt;")</f>
        <v>&lt;numeroLigne&gt;66&lt;/numeroLigne&gt;</v>
      </c>
      <c r="K11462" s="1013"/>
    </row>
    <row r="11463" spans="1:11" s="1011" customFormat="1" ht="15" x14ac:dyDescent="0.25">
      <c r="A11463" s="859">
        <f t="shared" si="230"/>
        <v>11462</v>
      </c>
      <c r="B11463" s="845" t="s">
        <v>2564</v>
      </c>
      <c r="C11463" s="1007">
        <f t="shared" si="229"/>
        <v>66</v>
      </c>
      <c r="D11463" s="1012"/>
      <c r="H11463" s="1011" t="s">
        <v>1010</v>
      </c>
      <c r="K11463" s="1013"/>
    </row>
    <row r="11464" spans="1:11" s="1011" customFormat="1" ht="15" x14ac:dyDescent="0.25">
      <c r="A11464" s="859">
        <f t="shared" si="230"/>
        <v>11463</v>
      </c>
      <c r="B11464" s="845" t="s">
        <v>2564</v>
      </c>
      <c r="C11464" s="1007">
        <f t="shared" si="229"/>
        <v>66</v>
      </c>
      <c r="D11464" s="1012"/>
      <c r="H11464" s="1011" t="s">
        <v>1007</v>
      </c>
      <c r="K11464" s="1013"/>
    </row>
    <row r="11465" spans="1:11" s="1011" customFormat="1" ht="15" x14ac:dyDescent="0.25">
      <c r="A11465" s="859">
        <f t="shared" si="230"/>
        <v>11464</v>
      </c>
      <c r="B11465" s="845" t="s">
        <v>2564</v>
      </c>
      <c r="C11465" s="1007">
        <f t="shared" si="229"/>
        <v>66</v>
      </c>
      <c r="D11465" s="1014"/>
      <c r="I11465" s="1011" t="s">
        <v>2179</v>
      </c>
      <c r="K11465" s="1013"/>
    </row>
    <row r="11466" spans="1:11" s="1011" customFormat="1" ht="15" x14ac:dyDescent="0.25">
      <c r="A11466" s="859">
        <f t="shared" si="230"/>
        <v>11465</v>
      </c>
      <c r="B11466" s="845" t="s">
        <v>2564</v>
      </c>
      <c r="C11466" s="1007">
        <f t="shared" si="229"/>
        <v>66</v>
      </c>
      <c r="D11466" s="1014"/>
      <c r="I11466" s="1011" t="str">
        <f>CONCATENATE("&lt;valeur&gt;",VLOOKUP(C11466,'T16 Amort'!A:K,7,0),"&lt;/valeur&gt;")</f>
        <v>&lt;valeur&gt;&lt;/valeur&gt;</v>
      </c>
      <c r="K11466" s="1013"/>
    </row>
    <row r="11467" spans="1:11" s="1011" customFormat="1" ht="15" x14ac:dyDescent="0.25">
      <c r="A11467" s="859">
        <f t="shared" si="230"/>
        <v>11466</v>
      </c>
      <c r="B11467" s="845" t="s">
        <v>2564</v>
      </c>
      <c r="C11467" s="1007">
        <f t="shared" si="229"/>
        <v>66</v>
      </c>
      <c r="D11467" s="1012"/>
      <c r="I11467" s="1011" t="str">
        <f>CONCATENATE("&lt;numeroLigne&gt;",C11467,"&lt;/numeroLigne&gt;")</f>
        <v>&lt;numeroLigne&gt;66&lt;/numeroLigne&gt;</v>
      </c>
      <c r="K11467" s="1013"/>
    </row>
    <row r="11468" spans="1:11" s="1011" customFormat="1" ht="15" x14ac:dyDescent="0.25">
      <c r="A11468" s="859">
        <f t="shared" si="230"/>
        <v>11467</v>
      </c>
      <c r="B11468" s="845" t="s">
        <v>2564</v>
      </c>
      <c r="C11468" s="1007">
        <f t="shared" si="229"/>
        <v>66</v>
      </c>
      <c r="D11468" s="1015"/>
      <c r="H11468" s="1011" t="s">
        <v>1010</v>
      </c>
      <c r="K11468" s="1013"/>
    </row>
    <row r="11469" spans="1:11" s="1011" customFormat="1" ht="15" x14ac:dyDescent="0.25">
      <c r="A11469" s="859">
        <f t="shared" si="230"/>
        <v>11468</v>
      </c>
      <c r="B11469" s="845" t="s">
        <v>2564</v>
      </c>
      <c r="C11469" s="1007">
        <f t="shared" si="229"/>
        <v>66</v>
      </c>
      <c r="D11469" s="1012"/>
      <c r="H11469" s="1011" t="s">
        <v>1007</v>
      </c>
      <c r="K11469" s="1013"/>
    </row>
    <row r="11470" spans="1:11" s="1011" customFormat="1" ht="15" x14ac:dyDescent="0.25">
      <c r="A11470" s="859">
        <f t="shared" si="230"/>
        <v>11469</v>
      </c>
      <c r="B11470" s="845" t="s">
        <v>2564</v>
      </c>
      <c r="C11470" s="1007">
        <f t="shared" si="229"/>
        <v>66</v>
      </c>
      <c r="D11470" s="1012"/>
      <c r="I11470" s="1011" t="s">
        <v>2180</v>
      </c>
      <c r="K11470" s="1013"/>
    </row>
    <row r="11471" spans="1:11" s="1011" customFormat="1" ht="15" x14ac:dyDescent="0.25">
      <c r="A11471" s="859">
        <f t="shared" si="230"/>
        <v>11470</v>
      </c>
      <c r="B11471" s="845" t="s">
        <v>2564</v>
      </c>
      <c r="C11471" s="1007">
        <f t="shared" si="229"/>
        <v>66</v>
      </c>
      <c r="D11471" s="1014"/>
      <c r="I11471" s="1011" t="str">
        <f>CONCATENATE("&lt;valeur&gt;",VLOOKUP(C11471,'T16 Amort'!A:K,8,0),"&lt;/valeur&gt;")</f>
        <v>&lt;valeur&gt;&lt;/valeur&gt;</v>
      </c>
      <c r="K11471" s="1013"/>
    </row>
    <row r="11472" spans="1:11" s="1011" customFormat="1" ht="15" x14ac:dyDescent="0.25">
      <c r="A11472" s="859">
        <f t="shared" si="230"/>
        <v>11471</v>
      </c>
      <c r="B11472" s="845" t="s">
        <v>2564</v>
      </c>
      <c r="C11472" s="1007">
        <f t="shared" si="229"/>
        <v>66</v>
      </c>
      <c r="D11472" s="1014"/>
      <c r="I11472" s="1011" t="str">
        <f>CONCATENATE("&lt;numeroLigne&gt;",C11472,"&lt;/numeroLigne&gt;")</f>
        <v>&lt;numeroLigne&gt;66&lt;/numeroLigne&gt;</v>
      </c>
      <c r="K11472" s="1013"/>
    </row>
    <row r="11473" spans="1:11" s="1011" customFormat="1" ht="15" x14ac:dyDescent="0.25">
      <c r="A11473" s="859">
        <f t="shared" si="230"/>
        <v>11472</v>
      </c>
      <c r="B11473" s="845" t="s">
        <v>2564</v>
      </c>
      <c r="C11473" s="1007">
        <f t="shared" si="229"/>
        <v>66</v>
      </c>
      <c r="D11473" s="1012"/>
      <c r="H11473" s="1011" t="s">
        <v>1010</v>
      </c>
      <c r="K11473" s="1013"/>
    </row>
    <row r="11474" spans="1:11" s="1011" customFormat="1" ht="15" x14ac:dyDescent="0.25">
      <c r="A11474" s="859">
        <f t="shared" si="230"/>
        <v>11473</v>
      </c>
      <c r="B11474" s="845" t="s">
        <v>2564</v>
      </c>
      <c r="C11474" s="1007">
        <f t="shared" si="229"/>
        <v>66</v>
      </c>
      <c r="D11474" s="1015"/>
      <c r="H11474" s="1011" t="s">
        <v>1007</v>
      </c>
      <c r="K11474" s="1013"/>
    </row>
    <row r="11475" spans="1:11" s="1011" customFormat="1" ht="15" x14ac:dyDescent="0.25">
      <c r="A11475" s="859">
        <f t="shared" si="230"/>
        <v>11474</v>
      </c>
      <c r="B11475" s="845" t="s">
        <v>2564</v>
      </c>
      <c r="C11475" s="1007">
        <f t="shared" si="229"/>
        <v>66</v>
      </c>
      <c r="D11475" s="1012"/>
      <c r="I11475" s="1011" t="s">
        <v>2181</v>
      </c>
      <c r="K11475" s="1013"/>
    </row>
    <row r="11476" spans="1:11" s="1011" customFormat="1" ht="15" x14ac:dyDescent="0.25">
      <c r="A11476" s="859">
        <f t="shared" si="230"/>
        <v>11475</v>
      </c>
      <c r="B11476" s="845" t="s">
        <v>2564</v>
      </c>
      <c r="C11476" s="1007">
        <f t="shared" si="229"/>
        <v>66</v>
      </c>
      <c r="D11476" s="1012"/>
      <c r="I11476" s="1011" t="str">
        <f>CONCATENATE("&lt;valeur&gt;",VLOOKUP(C11476,'T16 Amort'!A:K,9,0),"&lt;/valeur&gt;")</f>
        <v>&lt;valeur&gt;&lt;/valeur&gt;</v>
      </c>
      <c r="K11476" s="1013"/>
    </row>
    <row r="11477" spans="1:11" s="1011" customFormat="1" ht="15" x14ac:dyDescent="0.25">
      <c r="A11477" s="859">
        <f t="shared" si="230"/>
        <v>11476</v>
      </c>
      <c r="B11477" s="845" t="s">
        <v>2564</v>
      </c>
      <c r="C11477" s="1007">
        <f t="shared" si="229"/>
        <v>66</v>
      </c>
      <c r="D11477" s="1014"/>
      <c r="I11477" s="1011" t="str">
        <f>CONCATENATE("&lt;numeroLigne&gt;",C11477,"&lt;/numeroLigne&gt;")</f>
        <v>&lt;numeroLigne&gt;66&lt;/numeroLigne&gt;</v>
      </c>
      <c r="K11477" s="1013"/>
    </row>
    <row r="11478" spans="1:11" s="1011" customFormat="1" ht="15" x14ac:dyDescent="0.25">
      <c r="A11478" s="859">
        <f t="shared" si="230"/>
        <v>11477</v>
      </c>
      <c r="B11478" s="845" t="s">
        <v>2564</v>
      </c>
      <c r="C11478" s="1007">
        <f t="shared" si="229"/>
        <v>66</v>
      </c>
      <c r="D11478" s="1014"/>
      <c r="H11478" s="1011" t="s">
        <v>1010</v>
      </c>
      <c r="K11478" s="1013"/>
    </row>
    <row r="11479" spans="1:11" s="1011" customFormat="1" ht="15" x14ac:dyDescent="0.25">
      <c r="A11479" s="859">
        <f t="shared" si="230"/>
        <v>11478</v>
      </c>
      <c r="B11479" s="845" t="s">
        <v>2564</v>
      </c>
      <c r="C11479" s="1007">
        <f t="shared" si="229"/>
        <v>66</v>
      </c>
      <c r="D11479" s="1012"/>
      <c r="H11479" s="1011" t="s">
        <v>1007</v>
      </c>
      <c r="K11479" s="1013"/>
    </row>
    <row r="11480" spans="1:11" s="1011" customFormat="1" ht="15" x14ac:dyDescent="0.25">
      <c r="A11480" s="859">
        <f t="shared" si="230"/>
        <v>11479</v>
      </c>
      <c r="B11480" s="845" t="s">
        <v>2564</v>
      </c>
      <c r="C11480" s="1007">
        <f t="shared" si="229"/>
        <v>66</v>
      </c>
      <c r="D11480" s="1015"/>
      <c r="I11480" s="1011" t="s">
        <v>2182</v>
      </c>
      <c r="K11480" s="1013"/>
    </row>
    <row r="11481" spans="1:11" s="1011" customFormat="1" ht="15" x14ac:dyDescent="0.25">
      <c r="A11481" s="859">
        <f t="shared" si="230"/>
        <v>11480</v>
      </c>
      <c r="B11481" s="845" t="s">
        <v>2564</v>
      </c>
      <c r="C11481" s="1007">
        <f t="shared" si="229"/>
        <v>66</v>
      </c>
      <c r="D11481" s="1012"/>
      <c r="I11481" s="1011" t="str">
        <f>CONCATENATE("&lt;valeur&gt;",VLOOKUP(C11481,'T16 Amort'!A:K,10,0),"&lt;/valeur&gt;")</f>
        <v>&lt;valeur&gt;&lt;/valeur&gt;</v>
      </c>
      <c r="K11481" s="1013"/>
    </row>
    <row r="11482" spans="1:11" s="1011" customFormat="1" ht="15" x14ac:dyDescent="0.25">
      <c r="A11482" s="859">
        <f t="shared" si="230"/>
        <v>11481</v>
      </c>
      <c r="B11482" s="845" t="s">
        <v>2564</v>
      </c>
      <c r="C11482" s="1007">
        <f t="shared" si="229"/>
        <v>66</v>
      </c>
      <c r="D11482" s="1012"/>
      <c r="I11482" s="1011" t="str">
        <f>CONCATENATE("&lt;numeroLigne&gt;",C11482,"&lt;/numeroLigne&gt;")</f>
        <v>&lt;numeroLigne&gt;66&lt;/numeroLigne&gt;</v>
      </c>
      <c r="K11482" s="1013"/>
    </row>
    <row r="11483" spans="1:11" s="1011" customFormat="1" ht="15" x14ac:dyDescent="0.25">
      <c r="A11483" s="859">
        <f t="shared" si="230"/>
        <v>11482</v>
      </c>
      <c r="B11483" s="845" t="s">
        <v>2564</v>
      </c>
      <c r="C11483" s="1007">
        <f t="shared" si="229"/>
        <v>66</v>
      </c>
      <c r="D11483" s="1014"/>
      <c r="H11483" s="1011" t="s">
        <v>1010</v>
      </c>
      <c r="K11483" s="1013"/>
    </row>
    <row r="11484" spans="1:11" s="1011" customFormat="1" ht="15" x14ac:dyDescent="0.25">
      <c r="A11484" s="859">
        <f t="shared" si="230"/>
        <v>11483</v>
      </c>
      <c r="B11484" s="845" t="s">
        <v>2564</v>
      </c>
      <c r="C11484" s="1007">
        <f t="shared" si="229"/>
        <v>66</v>
      </c>
      <c r="D11484" s="1014"/>
      <c r="H11484" s="1011" t="s">
        <v>1007</v>
      </c>
      <c r="K11484" s="1013"/>
    </row>
    <row r="11485" spans="1:11" s="1011" customFormat="1" ht="15" x14ac:dyDescent="0.25">
      <c r="A11485" s="859">
        <f t="shared" si="230"/>
        <v>11484</v>
      </c>
      <c r="B11485" s="845" t="s">
        <v>2564</v>
      </c>
      <c r="C11485" s="1007">
        <f t="shared" si="229"/>
        <v>66</v>
      </c>
      <c r="D11485" s="1012"/>
      <c r="I11485" s="1011" t="s">
        <v>2183</v>
      </c>
      <c r="K11485" s="1013"/>
    </row>
    <row r="11486" spans="1:11" s="1011" customFormat="1" ht="15" x14ac:dyDescent="0.25">
      <c r="A11486" s="859">
        <f t="shared" si="230"/>
        <v>11485</v>
      </c>
      <c r="B11486" s="845" t="s">
        <v>2564</v>
      </c>
      <c r="C11486" s="1007">
        <f t="shared" si="229"/>
        <v>66</v>
      </c>
      <c r="D11486" s="1015"/>
      <c r="I11486" s="1011" t="str">
        <f>CONCATENATE("&lt;valeur&gt;",VLOOKUP(C11486,'T16 Amort'!A:K,11,0),"&lt;/valeur&gt;")</f>
        <v>&lt;valeur&gt;&lt;/valeur&gt;</v>
      </c>
      <c r="K11486" s="1013"/>
    </row>
    <row r="11487" spans="1:11" s="1011" customFormat="1" ht="15" x14ac:dyDescent="0.25">
      <c r="A11487" s="859">
        <f t="shared" si="230"/>
        <v>11486</v>
      </c>
      <c r="B11487" s="845" t="s">
        <v>2564</v>
      </c>
      <c r="C11487" s="1007">
        <f t="shared" si="229"/>
        <v>66</v>
      </c>
      <c r="D11487" s="1012"/>
      <c r="I11487" s="1011" t="str">
        <f>CONCATENATE("&lt;numeroLigne&gt;",C11487,"&lt;/numeroLigne&gt;")</f>
        <v>&lt;numeroLigne&gt;66&lt;/numeroLigne&gt;</v>
      </c>
      <c r="K11487" s="1013"/>
    </row>
    <row r="11488" spans="1:11" s="1011" customFormat="1" ht="15" x14ac:dyDescent="0.25">
      <c r="A11488" s="859">
        <f t="shared" si="230"/>
        <v>11487</v>
      </c>
      <c r="B11488" s="845" t="s">
        <v>2564</v>
      </c>
      <c r="C11488" s="1007">
        <f t="shared" si="229"/>
        <v>66</v>
      </c>
      <c r="D11488" s="1016"/>
      <c r="E11488" s="1017"/>
      <c r="F11488" s="1017"/>
      <c r="G11488" s="1017"/>
      <c r="H11488" s="1017" t="s">
        <v>1010</v>
      </c>
      <c r="I11488" s="1017"/>
      <c r="J11488" s="1017"/>
      <c r="K11488" s="1018"/>
    </row>
    <row r="11489" spans="1:11" s="1011" customFormat="1" ht="15" x14ac:dyDescent="0.25">
      <c r="A11489" s="859">
        <f t="shared" si="230"/>
        <v>11488</v>
      </c>
      <c r="B11489" s="845" t="s">
        <v>2564</v>
      </c>
      <c r="C11489" s="1007">
        <f t="shared" si="229"/>
        <v>67</v>
      </c>
      <c r="D11489" s="1008"/>
      <c r="E11489" s="1009"/>
      <c r="F11489" s="1009"/>
      <c r="G11489" s="1009"/>
      <c r="H11489" s="1009" t="s">
        <v>1007</v>
      </c>
      <c r="I11489" s="1009"/>
      <c r="J11489" s="1009"/>
      <c r="K11489" s="1010"/>
    </row>
    <row r="11490" spans="1:11" s="1011" customFormat="1" ht="15" x14ac:dyDescent="0.25">
      <c r="A11490" s="859">
        <f t="shared" si="230"/>
        <v>11489</v>
      </c>
      <c r="B11490" s="845" t="s">
        <v>2564</v>
      </c>
      <c r="C11490" s="1007">
        <f t="shared" si="229"/>
        <v>67</v>
      </c>
      <c r="D11490" s="1012"/>
      <c r="I11490" s="1011" t="s">
        <v>2174</v>
      </c>
      <c r="K11490" s="1013"/>
    </row>
    <row r="11491" spans="1:11" s="1011" customFormat="1" ht="15" x14ac:dyDescent="0.25">
      <c r="A11491" s="859">
        <f t="shared" si="230"/>
        <v>11490</v>
      </c>
      <c r="B11491" s="845" t="s">
        <v>2564</v>
      </c>
      <c r="C11491" s="1007">
        <f t="shared" si="229"/>
        <v>67</v>
      </c>
      <c r="D11491" s="1014"/>
      <c r="I11491" s="1011" t="str">
        <f>CONCATENATE("&lt;valeur&gt;",VLOOKUP(C11491,'T16 Amort'!A:K,2,0),"&lt;/valeur&gt;")</f>
        <v>&lt;valeur&gt;&lt;/valeur&gt;</v>
      </c>
      <c r="K11491" s="1013"/>
    </row>
    <row r="11492" spans="1:11" s="1011" customFormat="1" ht="15" x14ac:dyDescent="0.25">
      <c r="A11492" s="859">
        <f t="shared" si="230"/>
        <v>11491</v>
      </c>
      <c r="B11492" s="845" t="s">
        <v>2564</v>
      </c>
      <c r="C11492" s="1007">
        <f t="shared" si="229"/>
        <v>67</v>
      </c>
      <c r="D11492" s="1014"/>
      <c r="I11492" s="1011" t="str">
        <f>CONCATENATE("&lt;numeroLigne&gt;",C11492,"&lt;/numeroLigne&gt;")</f>
        <v>&lt;numeroLigne&gt;67&lt;/numeroLigne&gt;</v>
      </c>
      <c r="K11492" s="1013"/>
    </row>
    <row r="11493" spans="1:11" s="1011" customFormat="1" ht="15" x14ac:dyDescent="0.25">
      <c r="A11493" s="859">
        <f t="shared" si="230"/>
        <v>11492</v>
      </c>
      <c r="B11493" s="845" t="s">
        <v>2564</v>
      </c>
      <c r="C11493" s="1007">
        <f t="shared" si="229"/>
        <v>67</v>
      </c>
      <c r="D11493" s="1012"/>
      <c r="H11493" s="1011" t="s">
        <v>1010</v>
      </c>
      <c r="K11493" s="1013"/>
    </row>
    <row r="11494" spans="1:11" s="1011" customFormat="1" ht="15" x14ac:dyDescent="0.25">
      <c r="A11494" s="859">
        <f t="shared" si="230"/>
        <v>11493</v>
      </c>
      <c r="B11494" s="845" t="s">
        <v>2564</v>
      </c>
      <c r="C11494" s="1007">
        <f t="shared" si="229"/>
        <v>67</v>
      </c>
      <c r="D11494" s="1015"/>
      <c r="H11494" s="1011" t="s">
        <v>1007</v>
      </c>
      <c r="K11494" s="1013"/>
    </row>
    <row r="11495" spans="1:11" s="1011" customFormat="1" ht="15" x14ac:dyDescent="0.25">
      <c r="A11495" s="859">
        <f t="shared" si="230"/>
        <v>11494</v>
      </c>
      <c r="B11495" s="845" t="s">
        <v>2564</v>
      </c>
      <c r="C11495" s="1007">
        <f t="shared" si="229"/>
        <v>67</v>
      </c>
      <c r="D11495" s="1012"/>
      <c r="I11495" s="1011" t="s">
        <v>2175</v>
      </c>
      <c r="K11495" s="1013"/>
    </row>
    <row r="11496" spans="1:11" s="1011" customFormat="1" ht="15" x14ac:dyDescent="0.25">
      <c r="A11496" s="859">
        <f t="shared" si="230"/>
        <v>11495</v>
      </c>
      <c r="B11496" s="845" t="s">
        <v>2564</v>
      </c>
      <c r="C11496" s="1007">
        <f t="shared" si="229"/>
        <v>67</v>
      </c>
      <c r="D11496" s="1012"/>
      <c r="I11496" s="1011" t="str">
        <f>CONCATENATE("&lt;valeur&gt;",VLOOKUP(C11496,'T16 Amort'!A:K,3,0),"&lt;/valeur&gt;")</f>
        <v>&lt;valeur&gt;&lt;/valeur&gt;</v>
      </c>
      <c r="K11496" s="1013"/>
    </row>
    <row r="11497" spans="1:11" s="1011" customFormat="1" ht="15" x14ac:dyDescent="0.25">
      <c r="A11497" s="859">
        <f t="shared" si="230"/>
        <v>11496</v>
      </c>
      <c r="B11497" s="845" t="s">
        <v>2564</v>
      </c>
      <c r="C11497" s="1007">
        <f t="shared" si="229"/>
        <v>67</v>
      </c>
      <c r="D11497" s="1014"/>
      <c r="I11497" s="1011" t="str">
        <f>CONCATENATE("&lt;numeroLigne&gt;",C11497,"&lt;/numeroLigne&gt;")</f>
        <v>&lt;numeroLigne&gt;67&lt;/numeroLigne&gt;</v>
      </c>
      <c r="K11497" s="1013"/>
    </row>
    <row r="11498" spans="1:11" s="1011" customFormat="1" ht="15" x14ac:dyDescent="0.25">
      <c r="A11498" s="859">
        <f t="shared" si="230"/>
        <v>11497</v>
      </c>
      <c r="B11498" s="845" t="s">
        <v>2564</v>
      </c>
      <c r="C11498" s="1007">
        <f t="shared" si="229"/>
        <v>67</v>
      </c>
      <c r="D11498" s="1014"/>
      <c r="H11498" s="1011" t="s">
        <v>1010</v>
      </c>
      <c r="K11498" s="1013"/>
    </row>
    <row r="11499" spans="1:11" s="1011" customFormat="1" ht="15" x14ac:dyDescent="0.25">
      <c r="A11499" s="859">
        <f t="shared" si="230"/>
        <v>11498</v>
      </c>
      <c r="B11499" s="845" t="s">
        <v>2564</v>
      </c>
      <c r="C11499" s="1007">
        <f t="shared" si="229"/>
        <v>67</v>
      </c>
      <c r="D11499" s="1012"/>
      <c r="H11499" s="1011" t="s">
        <v>1007</v>
      </c>
      <c r="K11499" s="1013"/>
    </row>
    <row r="11500" spans="1:11" s="1011" customFormat="1" ht="15" x14ac:dyDescent="0.25">
      <c r="A11500" s="859">
        <f t="shared" si="230"/>
        <v>11499</v>
      </c>
      <c r="B11500" s="845" t="s">
        <v>2564</v>
      </c>
      <c r="C11500" s="1007">
        <f t="shared" si="229"/>
        <v>67</v>
      </c>
      <c r="D11500" s="1015"/>
      <c r="I11500" s="1011" t="s">
        <v>2176</v>
      </c>
      <c r="K11500" s="1013"/>
    </row>
    <row r="11501" spans="1:11" s="1011" customFormat="1" ht="15" x14ac:dyDescent="0.25">
      <c r="A11501" s="859">
        <f t="shared" si="230"/>
        <v>11500</v>
      </c>
      <c r="B11501" s="845" t="s">
        <v>2564</v>
      </c>
      <c r="C11501" s="1007">
        <f t="shared" si="229"/>
        <v>67</v>
      </c>
      <c r="D11501" s="1012"/>
      <c r="I11501" s="1011" t="str">
        <f>CONCATENATE("&lt;valeur&gt;",VLOOKUP(C11501,'T16 Amort'!A:K,4,0),"&lt;/valeur&gt;")</f>
        <v>&lt;valeur&gt;&lt;/valeur&gt;</v>
      </c>
      <c r="K11501" s="1013"/>
    </row>
    <row r="11502" spans="1:11" s="1011" customFormat="1" ht="15" x14ac:dyDescent="0.25">
      <c r="A11502" s="859">
        <f t="shared" si="230"/>
        <v>11501</v>
      </c>
      <c r="B11502" s="845" t="s">
        <v>2564</v>
      </c>
      <c r="C11502" s="1007">
        <f t="shared" si="229"/>
        <v>67</v>
      </c>
      <c r="D11502" s="1012"/>
      <c r="I11502" s="1011" t="str">
        <f>CONCATENATE("&lt;numeroLigne&gt;",C11502,"&lt;/numeroLigne&gt;")</f>
        <v>&lt;numeroLigne&gt;67&lt;/numeroLigne&gt;</v>
      </c>
      <c r="K11502" s="1013"/>
    </row>
    <row r="11503" spans="1:11" s="1011" customFormat="1" ht="15" x14ac:dyDescent="0.25">
      <c r="A11503" s="859">
        <f t="shared" si="230"/>
        <v>11502</v>
      </c>
      <c r="B11503" s="845" t="s">
        <v>2564</v>
      </c>
      <c r="C11503" s="1007">
        <f t="shared" ref="C11503:C11566" si="231">C11453+1</f>
        <v>67</v>
      </c>
      <c r="D11503" s="1014"/>
      <c r="H11503" s="1011" t="s">
        <v>1010</v>
      </c>
      <c r="K11503" s="1013"/>
    </row>
    <row r="11504" spans="1:11" s="1011" customFormat="1" ht="15" x14ac:dyDescent="0.25">
      <c r="A11504" s="859">
        <f t="shared" si="230"/>
        <v>11503</v>
      </c>
      <c r="B11504" s="845" t="s">
        <v>2564</v>
      </c>
      <c r="C11504" s="1007">
        <f t="shared" si="231"/>
        <v>67</v>
      </c>
      <c r="D11504" s="1014"/>
      <c r="H11504" s="1011" t="s">
        <v>1007</v>
      </c>
      <c r="K11504" s="1013"/>
    </row>
    <row r="11505" spans="1:11" s="1011" customFormat="1" ht="15" x14ac:dyDescent="0.25">
      <c r="A11505" s="859">
        <f t="shared" si="230"/>
        <v>11504</v>
      </c>
      <c r="B11505" s="845" t="s">
        <v>2564</v>
      </c>
      <c r="C11505" s="1007">
        <f t="shared" si="231"/>
        <v>67</v>
      </c>
      <c r="D11505" s="1012"/>
      <c r="I11505" s="1011" t="s">
        <v>2177</v>
      </c>
      <c r="K11505" s="1013"/>
    </row>
    <row r="11506" spans="1:11" s="1011" customFormat="1" ht="15" x14ac:dyDescent="0.25">
      <c r="A11506" s="859">
        <f t="shared" si="230"/>
        <v>11505</v>
      </c>
      <c r="B11506" s="845" t="s">
        <v>2564</v>
      </c>
      <c r="C11506" s="1007">
        <f t="shared" si="231"/>
        <v>67</v>
      </c>
      <c r="D11506" s="1015"/>
      <c r="I11506" s="1011" t="str">
        <f>CONCATENATE("&lt;valeur&gt;",VLOOKUP(C11506,'T16 Amort'!A:K,5,0),"&lt;/valeur&gt;")</f>
        <v>&lt;valeur&gt;&lt;/valeur&gt;</v>
      </c>
      <c r="K11506" s="1013"/>
    </row>
    <row r="11507" spans="1:11" s="1011" customFormat="1" ht="15" x14ac:dyDescent="0.25">
      <c r="A11507" s="859">
        <f t="shared" si="230"/>
        <v>11506</v>
      </c>
      <c r="B11507" s="845" t="s">
        <v>2564</v>
      </c>
      <c r="C11507" s="1007">
        <f t="shared" si="231"/>
        <v>67</v>
      </c>
      <c r="D11507" s="1012"/>
      <c r="I11507" s="1011" t="str">
        <f>CONCATENATE("&lt;numeroLigne&gt;",C11507,"&lt;/numeroLigne&gt;")</f>
        <v>&lt;numeroLigne&gt;67&lt;/numeroLigne&gt;</v>
      </c>
      <c r="K11507" s="1013"/>
    </row>
    <row r="11508" spans="1:11" s="1011" customFormat="1" ht="15" x14ac:dyDescent="0.25">
      <c r="A11508" s="859">
        <f t="shared" si="230"/>
        <v>11507</v>
      </c>
      <c r="B11508" s="845" t="s">
        <v>2564</v>
      </c>
      <c r="C11508" s="1007">
        <f t="shared" si="231"/>
        <v>67</v>
      </c>
      <c r="D11508" s="1012"/>
      <c r="H11508" s="1011" t="s">
        <v>1010</v>
      </c>
      <c r="K11508" s="1013"/>
    </row>
    <row r="11509" spans="1:11" s="1011" customFormat="1" ht="15" x14ac:dyDescent="0.25">
      <c r="A11509" s="859">
        <f t="shared" si="230"/>
        <v>11508</v>
      </c>
      <c r="B11509" s="845" t="s">
        <v>2564</v>
      </c>
      <c r="C11509" s="1007">
        <f t="shared" si="231"/>
        <v>67</v>
      </c>
      <c r="D11509" s="1014"/>
      <c r="H11509" s="1011" t="s">
        <v>1007</v>
      </c>
      <c r="K11509" s="1013"/>
    </row>
    <row r="11510" spans="1:11" s="1011" customFormat="1" ht="15" x14ac:dyDescent="0.25">
      <c r="A11510" s="859">
        <f t="shared" si="230"/>
        <v>11509</v>
      </c>
      <c r="B11510" s="845" t="s">
        <v>2564</v>
      </c>
      <c r="C11510" s="1007">
        <f t="shared" si="231"/>
        <v>67</v>
      </c>
      <c r="D11510" s="1014"/>
      <c r="I11510" s="1011" t="s">
        <v>2178</v>
      </c>
      <c r="K11510" s="1013"/>
    </row>
    <row r="11511" spans="1:11" s="1011" customFormat="1" ht="15" x14ac:dyDescent="0.25">
      <c r="A11511" s="859">
        <f t="shared" si="230"/>
        <v>11510</v>
      </c>
      <c r="B11511" s="845" t="s">
        <v>2564</v>
      </c>
      <c r="C11511" s="1007">
        <f t="shared" si="231"/>
        <v>67</v>
      </c>
      <c r="D11511" s="1012"/>
      <c r="I11511" s="1011" t="str">
        <f>CONCATENATE("&lt;valeur&gt;",VLOOKUP(C11511,'T16 Amort'!A:K,6,0),"&lt;/valeur&gt;")</f>
        <v>&lt;valeur&gt;&lt;/valeur&gt;</v>
      </c>
      <c r="K11511" s="1013"/>
    </row>
    <row r="11512" spans="1:11" s="1011" customFormat="1" ht="15" x14ac:dyDescent="0.25">
      <c r="A11512" s="859">
        <f t="shared" si="230"/>
        <v>11511</v>
      </c>
      <c r="B11512" s="845" t="s">
        <v>2564</v>
      </c>
      <c r="C11512" s="1007">
        <f t="shared" si="231"/>
        <v>67</v>
      </c>
      <c r="D11512" s="1015"/>
      <c r="I11512" s="1011" t="str">
        <f>CONCATENATE("&lt;numeroLigne&gt;",C11512,"&lt;/numeroLigne&gt;")</f>
        <v>&lt;numeroLigne&gt;67&lt;/numeroLigne&gt;</v>
      </c>
      <c r="K11512" s="1013"/>
    </row>
    <row r="11513" spans="1:11" s="1011" customFormat="1" ht="15" x14ac:dyDescent="0.25">
      <c r="A11513" s="859">
        <f t="shared" si="230"/>
        <v>11512</v>
      </c>
      <c r="B11513" s="845" t="s">
        <v>2564</v>
      </c>
      <c r="C11513" s="1007">
        <f t="shared" si="231"/>
        <v>67</v>
      </c>
      <c r="D11513" s="1012"/>
      <c r="H11513" s="1011" t="s">
        <v>1010</v>
      </c>
      <c r="K11513" s="1013"/>
    </row>
    <row r="11514" spans="1:11" s="1011" customFormat="1" ht="15" x14ac:dyDescent="0.25">
      <c r="A11514" s="859">
        <f t="shared" si="230"/>
        <v>11513</v>
      </c>
      <c r="B11514" s="845" t="s">
        <v>2564</v>
      </c>
      <c r="C11514" s="1007">
        <f t="shared" si="231"/>
        <v>67</v>
      </c>
      <c r="D11514" s="1012"/>
      <c r="H11514" s="1011" t="s">
        <v>1007</v>
      </c>
      <c r="K11514" s="1013"/>
    </row>
    <row r="11515" spans="1:11" s="1011" customFormat="1" ht="15" x14ac:dyDescent="0.25">
      <c r="A11515" s="859">
        <f t="shared" si="230"/>
        <v>11514</v>
      </c>
      <c r="B11515" s="845" t="s">
        <v>2564</v>
      </c>
      <c r="C11515" s="1007">
        <f t="shared" si="231"/>
        <v>67</v>
      </c>
      <c r="D11515" s="1014"/>
      <c r="I11515" s="1011" t="s">
        <v>2179</v>
      </c>
      <c r="K11515" s="1013"/>
    </row>
    <row r="11516" spans="1:11" s="1011" customFormat="1" ht="15" x14ac:dyDescent="0.25">
      <c r="A11516" s="859">
        <f t="shared" si="230"/>
        <v>11515</v>
      </c>
      <c r="B11516" s="845" t="s">
        <v>2564</v>
      </c>
      <c r="C11516" s="1007">
        <f t="shared" si="231"/>
        <v>67</v>
      </c>
      <c r="D11516" s="1014"/>
      <c r="I11516" s="1011" t="str">
        <f>CONCATENATE("&lt;valeur&gt;",VLOOKUP(C11516,'T16 Amort'!A:K,7,0),"&lt;/valeur&gt;")</f>
        <v>&lt;valeur&gt;&lt;/valeur&gt;</v>
      </c>
      <c r="K11516" s="1013"/>
    </row>
    <row r="11517" spans="1:11" s="1011" customFormat="1" ht="15" x14ac:dyDescent="0.25">
      <c r="A11517" s="859">
        <f t="shared" si="230"/>
        <v>11516</v>
      </c>
      <c r="B11517" s="845" t="s">
        <v>2564</v>
      </c>
      <c r="C11517" s="1007">
        <f t="shared" si="231"/>
        <v>67</v>
      </c>
      <c r="D11517" s="1012"/>
      <c r="I11517" s="1011" t="str">
        <f>CONCATENATE("&lt;numeroLigne&gt;",C11517,"&lt;/numeroLigne&gt;")</f>
        <v>&lt;numeroLigne&gt;67&lt;/numeroLigne&gt;</v>
      </c>
      <c r="K11517" s="1013"/>
    </row>
    <row r="11518" spans="1:11" s="1011" customFormat="1" ht="15" x14ac:dyDescent="0.25">
      <c r="A11518" s="859">
        <f t="shared" si="230"/>
        <v>11517</v>
      </c>
      <c r="B11518" s="845" t="s">
        <v>2564</v>
      </c>
      <c r="C11518" s="1007">
        <f t="shared" si="231"/>
        <v>67</v>
      </c>
      <c r="D11518" s="1015"/>
      <c r="H11518" s="1011" t="s">
        <v>1010</v>
      </c>
      <c r="K11518" s="1013"/>
    </row>
    <row r="11519" spans="1:11" s="1011" customFormat="1" ht="15" x14ac:dyDescent="0.25">
      <c r="A11519" s="859">
        <f t="shared" si="230"/>
        <v>11518</v>
      </c>
      <c r="B11519" s="845" t="s">
        <v>2564</v>
      </c>
      <c r="C11519" s="1007">
        <f t="shared" si="231"/>
        <v>67</v>
      </c>
      <c r="D11519" s="1012"/>
      <c r="H11519" s="1011" t="s">
        <v>1007</v>
      </c>
      <c r="K11519" s="1013"/>
    </row>
    <row r="11520" spans="1:11" s="1011" customFormat="1" ht="15" x14ac:dyDescent="0.25">
      <c r="A11520" s="859">
        <f t="shared" si="230"/>
        <v>11519</v>
      </c>
      <c r="B11520" s="845" t="s">
        <v>2564</v>
      </c>
      <c r="C11520" s="1007">
        <f t="shared" si="231"/>
        <v>67</v>
      </c>
      <c r="D11520" s="1012"/>
      <c r="I11520" s="1011" t="s">
        <v>2180</v>
      </c>
      <c r="K11520" s="1013"/>
    </row>
    <row r="11521" spans="1:11" s="1011" customFormat="1" ht="15" x14ac:dyDescent="0.25">
      <c r="A11521" s="859">
        <f t="shared" si="230"/>
        <v>11520</v>
      </c>
      <c r="B11521" s="845" t="s">
        <v>2564</v>
      </c>
      <c r="C11521" s="1007">
        <f t="shared" si="231"/>
        <v>67</v>
      </c>
      <c r="D11521" s="1014"/>
      <c r="I11521" s="1011" t="str">
        <f>CONCATENATE("&lt;valeur&gt;",VLOOKUP(C11521,'T16 Amort'!A:K,8,0),"&lt;/valeur&gt;")</f>
        <v>&lt;valeur&gt;&lt;/valeur&gt;</v>
      </c>
      <c r="K11521" s="1013"/>
    </row>
    <row r="11522" spans="1:11" s="1011" customFormat="1" ht="15" x14ac:dyDescent="0.25">
      <c r="A11522" s="859">
        <f t="shared" si="230"/>
        <v>11521</v>
      </c>
      <c r="B11522" s="845" t="s">
        <v>2564</v>
      </c>
      <c r="C11522" s="1007">
        <f t="shared" si="231"/>
        <v>67</v>
      </c>
      <c r="D11522" s="1014"/>
      <c r="I11522" s="1011" t="str">
        <f>CONCATENATE("&lt;numeroLigne&gt;",C11522,"&lt;/numeroLigne&gt;")</f>
        <v>&lt;numeroLigne&gt;67&lt;/numeroLigne&gt;</v>
      </c>
      <c r="K11522" s="1013"/>
    </row>
    <row r="11523" spans="1:11" s="1011" customFormat="1" ht="15" x14ac:dyDescent="0.25">
      <c r="A11523" s="859">
        <f t="shared" si="230"/>
        <v>11522</v>
      </c>
      <c r="B11523" s="845" t="s">
        <v>2564</v>
      </c>
      <c r="C11523" s="1007">
        <f t="shared" si="231"/>
        <v>67</v>
      </c>
      <c r="D11523" s="1012"/>
      <c r="H11523" s="1011" t="s">
        <v>1010</v>
      </c>
      <c r="K11523" s="1013"/>
    </row>
    <row r="11524" spans="1:11" s="1011" customFormat="1" ht="15" x14ac:dyDescent="0.25">
      <c r="A11524" s="859">
        <f t="shared" ref="A11524:A11587" si="232">+A11523+1</f>
        <v>11523</v>
      </c>
      <c r="B11524" s="845" t="s">
        <v>2564</v>
      </c>
      <c r="C11524" s="1007">
        <f t="shared" si="231"/>
        <v>67</v>
      </c>
      <c r="D11524" s="1015"/>
      <c r="H11524" s="1011" t="s">
        <v>1007</v>
      </c>
      <c r="K11524" s="1013"/>
    </row>
    <row r="11525" spans="1:11" s="1011" customFormat="1" ht="15" x14ac:dyDescent="0.25">
      <c r="A11525" s="859">
        <f t="shared" si="232"/>
        <v>11524</v>
      </c>
      <c r="B11525" s="845" t="s">
        <v>2564</v>
      </c>
      <c r="C11525" s="1007">
        <f t="shared" si="231"/>
        <v>67</v>
      </c>
      <c r="D11525" s="1012"/>
      <c r="I11525" s="1011" t="s">
        <v>2181</v>
      </c>
      <c r="K11525" s="1013"/>
    </row>
    <row r="11526" spans="1:11" s="1011" customFormat="1" ht="15" x14ac:dyDescent="0.25">
      <c r="A11526" s="859">
        <f t="shared" si="232"/>
        <v>11525</v>
      </c>
      <c r="B11526" s="845" t="s">
        <v>2564</v>
      </c>
      <c r="C11526" s="1007">
        <f t="shared" si="231"/>
        <v>67</v>
      </c>
      <c r="D11526" s="1012"/>
      <c r="I11526" s="1011" t="str">
        <f>CONCATENATE("&lt;valeur&gt;",VLOOKUP(C11526,'T16 Amort'!A:K,9,0),"&lt;/valeur&gt;")</f>
        <v>&lt;valeur&gt;&lt;/valeur&gt;</v>
      </c>
      <c r="K11526" s="1013"/>
    </row>
    <row r="11527" spans="1:11" s="1011" customFormat="1" ht="15" x14ac:dyDescent="0.25">
      <c r="A11527" s="859">
        <f t="shared" si="232"/>
        <v>11526</v>
      </c>
      <c r="B11527" s="845" t="s">
        <v>2564</v>
      </c>
      <c r="C11527" s="1007">
        <f t="shared" si="231"/>
        <v>67</v>
      </c>
      <c r="D11527" s="1014"/>
      <c r="I11527" s="1011" t="str">
        <f>CONCATENATE("&lt;numeroLigne&gt;",C11527,"&lt;/numeroLigne&gt;")</f>
        <v>&lt;numeroLigne&gt;67&lt;/numeroLigne&gt;</v>
      </c>
      <c r="K11527" s="1013"/>
    </row>
    <row r="11528" spans="1:11" s="1011" customFormat="1" ht="15" x14ac:dyDescent="0.25">
      <c r="A11528" s="859">
        <f t="shared" si="232"/>
        <v>11527</v>
      </c>
      <c r="B11528" s="845" t="s">
        <v>2564</v>
      </c>
      <c r="C11528" s="1007">
        <f t="shared" si="231"/>
        <v>67</v>
      </c>
      <c r="D11528" s="1014"/>
      <c r="H11528" s="1011" t="s">
        <v>1010</v>
      </c>
      <c r="K11528" s="1013"/>
    </row>
    <row r="11529" spans="1:11" s="1011" customFormat="1" ht="15" x14ac:dyDescent="0.25">
      <c r="A11529" s="859">
        <f t="shared" si="232"/>
        <v>11528</v>
      </c>
      <c r="B11529" s="845" t="s">
        <v>2564</v>
      </c>
      <c r="C11529" s="1007">
        <f t="shared" si="231"/>
        <v>67</v>
      </c>
      <c r="D11529" s="1012"/>
      <c r="H11529" s="1011" t="s">
        <v>1007</v>
      </c>
      <c r="K11529" s="1013"/>
    </row>
    <row r="11530" spans="1:11" s="1011" customFormat="1" ht="15" x14ac:dyDescent="0.25">
      <c r="A11530" s="859">
        <f t="shared" si="232"/>
        <v>11529</v>
      </c>
      <c r="B11530" s="845" t="s">
        <v>2564</v>
      </c>
      <c r="C11530" s="1007">
        <f t="shared" si="231"/>
        <v>67</v>
      </c>
      <c r="D11530" s="1015"/>
      <c r="I11530" s="1011" t="s">
        <v>2182</v>
      </c>
      <c r="K11530" s="1013"/>
    </row>
    <row r="11531" spans="1:11" s="1011" customFormat="1" ht="15" x14ac:dyDescent="0.25">
      <c r="A11531" s="859">
        <f t="shared" si="232"/>
        <v>11530</v>
      </c>
      <c r="B11531" s="845" t="s">
        <v>2564</v>
      </c>
      <c r="C11531" s="1007">
        <f t="shared" si="231"/>
        <v>67</v>
      </c>
      <c r="D11531" s="1012"/>
      <c r="I11531" s="1011" t="str">
        <f>CONCATENATE("&lt;valeur&gt;",VLOOKUP(C11531,'T16 Amort'!A:K,10,0),"&lt;/valeur&gt;")</f>
        <v>&lt;valeur&gt;&lt;/valeur&gt;</v>
      </c>
      <c r="K11531" s="1013"/>
    </row>
    <row r="11532" spans="1:11" s="1011" customFormat="1" ht="15" x14ac:dyDescent="0.25">
      <c r="A11532" s="859">
        <f t="shared" si="232"/>
        <v>11531</v>
      </c>
      <c r="B11532" s="845" t="s">
        <v>2564</v>
      </c>
      <c r="C11532" s="1007">
        <f t="shared" si="231"/>
        <v>67</v>
      </c>
      <c r="D11532" s="1012"/>
      <c r="I11532" s="1011" t="str">
        <f>CONCATENATE("&lt;numeroLigne&gt;",C11532,"&lt;/numeroLigne&gt;")</f>
        <v>&lt;numeroLigne&gt;67&lt;/numeroLigne&gt;</v>
      </c>
      <c r="K11532" s="1013"/>
    </row>
    <row r="11533" spans="1:11" s="1011" customFormat="1" ht="15" x14ac:dyDescent="0.25">
      <c r="A11533" s="859">
        <f t="shared" si="232"/>
        <v>11532</v>
      </c>
      <c r="B11533" s="845" t="s">
        <v>2564</v>
      </c>
      <c r="C11533" s="1007">
        <f t="shared" si="231"/>
        <v>67</v>
      </c>
      <c r="D11533" s="1014"/>
      <c r="H11533" s="1011" t="s">
        <v>1010</v>
      </c>
      <c r="K11533" s="1013"/>
    </row>
    <row r="11534" spans="1:11" s="1011" customFormat="1" ht="15" x14ac:dyDescent="0.25">
      <c r="A11534" s="859">
        <f t="shared" si="232"/>
        <v>11533</v>
      </c>
      <c r="B11534" s="845" t="s">
        <v>2564</v>
      </c>
      <c r="C11534" s="1007">
        <f t="shared" si="231"/>
        <v>67</v>
      </c>
      <c r="D11534" s="1014"/>
      <c r="H11534" s="1011" t="s">
        <v>1007</v>
      </c>
      <c r="K11534" s="1013"/>
    </row>
    <row r="11535" spans="1:11" s="1011" customFormat="1" ht="15" x14ac:dyDescent="0.25">
      <c r="A11535" s="859">
        <f t="shared" si="232"/>
        <v>11534</v>
      </c>
      <c r="B11535" s="845" t="s">
        <v>2564</v>
      </c>
      <c r="C11535" s="1007">
        <f t="shared" si="231"/>
        <v>67</v>
      </c>
      <c r="D11535" s="1012"/>
      <c r="I11535" s="1011" t="s">
        <v>2183</v>
      </c>
      <c r="K11535" s="1013"/>
    </row>
    <row r="11536" spans="1:11" s="1011" customFormat="1" ht="15" x14ac:dyDescent="0.25">
      <c r="A11536" s="859">
        <f t="shared" si="232"/>
        <v>11535</v>
      </c>
      <c r="B11536" s="845" t="s">
        <v>2564</v>
      </c>
      <c r="C11536" s="1007">
        <f t="shared" si="231"/>
        <v>67</v>
      </c>
      <c r="D11536" s="1015"/>
      <c r="I11536" s="1011" t="str">
        <f>CONCATENATE("&lt;valeur&gt;",VLOOKUP(C11536,'T16 Amort'!A:K,11,0),"&lt;/valeur&gt;")</f>
        <v>&lt;valeur&gt;&lt;/valeur&gt;</v>
      </c>
      <c r="K11536" s="1013"/>
    </row>
    <row r="11537" spans="1:11" s="1011" customFormat="1" ht="15" x14ac:dyDescent="0.25">
      <c r="A11537" s="859">
        <f t="shared" si="232"/>
        <v>11536</v>
      </c>
      <c r="B11537" s="845" t="s">
        <v>2564</v>
      </c>
      <c r="C11537" s="1007">
        <f t="shared" si="231"/>
        <v>67</v>
      </c>
      <c r="D11537" s="1012"/>
      <c r="I11537" s="1011" t="str">
        <f>CONCATENATE("&lt;numeroLigne&gt;",C11537,"&lt;/numeroLigne&gt;")</f>
        <v>&lt;numeroLigne&gt;67&lt;/numeroLigne&gt;</v>
      </c>
      <c r="K11537" s="1013"/>
    </row>
    <row r="11538" spans="1:11" s="1011" customFormat="1" ht="15" x14ac:dyDescent="0.25">
      <c r="A11538" s="859">
        <f t="shared" si="232"/>
        <v>11537</v>
      </c>
      <c r="B11538" s="845" t="s">
        <v>2564</v>
      </c>
      <c r="C11538" s="1007">
        <f t="shared" si="231"/>
        <v>67</v>
      </c>
      <c r="D11538" s="1016"/>
      <c r="E11538" s="1017"/>
      <c r="F11538" s="1017"/>
      <c r="G11538" s="1017"/>
      <c r="H11538" s="1017" t="s">
        <v>1010</v>
      </c>
      <c r="I11538" s="1017"/>
      <c r="J11538" s="1017"/>
      <c r="K11538" s="1018"/>
    </row>
    <row r="11539" spans="1:11" s="1011" customFormat="1" ht="15" x14ac:dyDescent="0.25">
      <c r="A11539" s="859">
        <f t="shared" si="232"/>
        <v>11538</v>
      </c>
      <c r="B11539" s="845" t="s">
        <v>2564</v>
      </c>
      <c r="C11539" s="1007">
        <f t="shared" si="231"/>
        <v>68</v>
      </c>
      <c r="D11539" s="1008"/>
      <c r="E11539" s="1009"/>
      <c r="F11539" s="1009"/>
      <c r="G11539" s="1009"/>
      <c r="H11539" s="1009" t="s">
        <v>1007</v>
      </c>
      <c r="I11539" s="1009"/>
      <c r="J11539" s="1009"/>
      <c r="K11539" s="1010"/>
    </row>
    <row r="11540" spans="1:11" s="1011" customFormat="1" ht="15" x14ac:dyDescent="0.25">
      <c r="A11540" s="859">
        <f t="shared" si="232"/>
        <v>11539</v>
      </c>
      <c r="B11540" s="845" t="s">
        <v>2564</v>
      </c>
      <c r="C11540" s="1007">
        <f t="shared" si="231"/>
        <v>68</v>
      </c>
      <c r="D11540" s="1012"/>
      <c r="I11540" s="1011" t="s">
        <v>2174</v>
      </c>
      <c r="K11540" s="1013"/>
    </row>
    <row r="11541" spans="1:11" s="1011" customFormat="1" ht="15" x14ac:dyDescent="0.25">
      <c r="A11541" s="859">
        <f t="shared" si="232"/>
        <v>11540</v>
      </c>
      <c r="B11541" s="845" t="s">
        <v>2564</v>
      </c>
      <c r="C11541" s="1007">
        <f t="shared" si="231"/>
        <v>68</v>
      </c>
      <c r="D11541" s="1014"/>
      <c r="I11541" s="1011" t="str">
        <f>CONCATENATE("&lt;valeur&gt;",VLOOKUP(C11541,'T16 Amort'!A:K,2,0),"&lt;/valeur&gt;")</f>
        <v>&lt;valeur&gt;&lt;/valeur&gt;</v>
      </c>
      <c r="K11541" s="1013"/>
    </row>
    <row r="11542" spans="1:11" s="1011" customFormat="1" ht="15" x14ac:dyDescent="0.25">
      <c r="A11542" s="859">
        <f t="shared" si="232"/>
        <v>11541</v>
      </c>
      <c r="B11542" s="845" t="s">
        <v>2564</v>
      </c>
      <c r="C11542" s="1007">
        <f t="shared" si="231"/>
        <v>68</v>
      </c>
      <c r="D11542" s="1014"/>
      <c r="I11542" s="1011" t="str">
        <f>CONCATENATE("&lt;numeroLigne&gt;",C11542,"&lt;/numeroLigne&gt;")</f>
        <v>&lt;numeroLigne&gt;68&lt;/numeroLigne&gt;</v>
      </c>
      <c r="K11542" s="1013"/>
    </row>
    <row r="11543" spans="1:11" s="1011" customFormat="1" ht="15" x14ac:dyDescent="0.25">
      <c r="A11543" s="859">
        <f t="shared" si="232"/>
        <v>11542</v>
      </c>
      <c r="B11543" s="845" t="s">
        <v>2564</v>
      </c>
      <c r="C11543" s="1007">
        <f t="shared" si="231"/>
        <v>68</v>
      </c>
      <c r="D11543" s="1012"/>
      <c r="H11543" s="1011" t="s">
        <v>1010</v>
      </c>
      <c r="K11543" s="1013"/>
    </row>
    <row r="11544" spans="1:11" s="1011" customFormat="1" ht="15" x14ac:dyDescent="0.25">
      <c r="A11544" s="859">
        <f t="shared" si="232"/>
        <v>11543</v>
      </c>
      <c r="B11544" s="845" t="s">
        <v>2564</v>
      </c>
      <c r="C11544" s="1007">
        <f t="shared" si="231"/>
        <v>68</v>
      </c>
      <c r="D11544" s="1015"/>
      <c r="H11544" s="1011" t="s">
        <v>1007</v>
      </c>
      <c r="K11544" s="1013"/>
    </row>
    <row r="11545" spans="1:11" s="1011" customFormat="1" ht="15" x14ac:dyDescent="0.25">
      <c r="A11545" s="859">
        <f t="shared" si="232"/>
        <v>11544</v>
      </c>
      <c r="B11545" s="845" t="s">
        <v>2564</v>
      </c>
      <c r="C11545" s="1007">
        <f t="shared" si="231"/>
        <v>68</v>
      </c>
      <c r="D11545" s="1012"/>
      <c r="I11545" s="1011" t="s">
        <v>2175</v>
      </c>
      <c r="K11545" s="1013"/>
    </row>
    <row r="11546" spans="1:11" s="1011" customFormat="1" ht="15" x14ac:dyDescent="0.25">
      <c r="A11546" s="859">
        <f t="shared" si="232"/>
        <v>11545</v>
      </c>
      <c r="B11546" s="845" t="s">
        <v>2564</v>
      </c>
      <c r="C11546" s="1007">
        <f t="shared" si="231"/>
        <v>68</v>
      </c>
      <c r="D11546" s="1012"/>
      <c r="I11546" s="1011" t="str">
        <f>CONCATENATE("&lt;valeur&gt;",VLOOKUP(C11546,'T16 Amort'!A:K,3,0),"&lt;/valeur&gt;")</f>
        <v>&lt;valeur&gt;&lt;/valeur&gt;</v>
      </c>
      <c r="K11546" s="1013"/>
    </row>
    <row r="11547" spans="1:11" s="1011" customFormat="1" ht="15" x14ac:dyDescent="0.25">
      <c r="A11547" s="859">
        <f t="shared" si="232"/>
        <v>11546</v>
      </c>
      <c r="B11547" s="845" t="s">
        <v>2564</v>
      </c>
      <c r="C11547" s="1007">
        <f t="shared" si="231"/>
        <v>68</v>
      </c>
      <c r="D11547" s="1014"/>
      <c r="I11547" s="1011" t="str">
        <f>CONCATENATE("&lt;numeroLigne&gt;",C11547,"&lt;/numeroLigne&gt;")</f>
        <v>&lt;numeroLigne&gt;68&lt;/numeroLigne&gt;</v>
      </c>
      <c r="K11547" s="1013"/>
    </row>
    <row r="11548" spans="1:11" s="1011" customFormat="1" ht="15" x14ac:dyDescent="0.25">
      <c r="A11548" s="859">
        <f t="shared" si="232"/>
        <v>11547</v>
      </c>
      <c r="B11548" s="845" t="s">
        <v>2564</v>
      </c>
      <c r="C11548" s="1007">
        <f t="shared" si="231"/>
        <v>68</v>
      </c>
      <c r="D11548" s="1014"/>
      <c r="H11548" s="1011" t="s">
        <v>1010</v>
      </c>
      <c r="K11548" s="1013"/>
    </row>
    <row r="11549" spans="1:11" s="1011" customFormat="1" ht="15" x14ac:dyDescent="0.25">
      <c r="A11549" s="859">
        <f t="shared" si="232"/>
        <v>11548</v>
      </c>
      <c r="B11549" s="845" t="s">
        <v>2564</v>
      </c>
      <c r="C11549" s="1007">
        <f t="shared" si="231"/>
        <v>68</v>
      </c>
      <c r="D11549" s="1012"/>
      <c r="H11549" s="1011" t="s">
        <v>1007</v>
      </c>
      <c r="K11549" s="1013"/>
    </row>
    <row r="11550" spans="1:11" s="1011" customFormat="1" ht="15" x14ac:dyDescent="0.25">
      <c r="A11550" s="859">
        <f t="shared" si="232"/>
        <v>11549</v>
      </c>
      <c r="B11550" s="845" t="s">
        <v>2564</v>
      </c>
      <c r="C11550" s="1007">
        <f t="shared" si="231"/>
        <v>68</v>
      </c>
      <c r="D11550" s="1015"/>
      <c r="I11550" s="1011" t="s">
        <v>2176</v>
      </c>
      <c r="K11550" s="1013"/>
    </row>
    <row r="11551" spans="1:11" s="1011" customFormat="1" ht="15" x14ac:dyDescent="0.25">
      <c r="A11551" s="859">
        <f t="shared" si="232"/>
        <v>11550</v>
      </c>
      <c r="B11551" s="845" t="s">
        <v>2564</v>
      </c>
      <c r="C11551" s="1007">
        <f t="shared" si="231"/>
        <v>68</v>
      </c>
      <c r="D11551" s="1012"/>
      <c r="I11551" s="1011" t="str">
        <f>CONCATENATE("&lt;valeur&gt;",VLOOKUP(C11551,'T16 Amort'!A:K,4,0),"&lt;/valeur&gt;")</f>
        <v>&lt;valeur&gt;&lt;/valeur&gt;</v>
      </c>
      <c r="K11551" s="1013"/>
    </row>
    <row r="11552" spans="1:11" s="1011" customFormat="1" ht="15" x14ac:dyDescent="0.25">
      <c r="A11552" s="859">
        <f t="shared" si="232"/>
        <v>11551</v>
      </c>
      <c r="B11552" s="845" t="s">
        <v>2564</v>
      </c>
      <c r="C11552" s="1007">
        <f t="shared" si="231"/>
        <v>68</v>
      </c>
      <c r="D11552" s="1012"/>
      <c r="I11552" s="1011" t="str">
        <f>CONCATENATE("&lt;numeroLigne&gt;",C11552,"&lt;/numeroLigne&gt;")</f>
        <v>&lt;numeroLigne&gt;68&lt;/numeroLigne&gt;</v>
      </c>
      <c r="K11552" s="1013"/>
    </row>
    <row r="11553" spans="1:11" s="1011" customFormat="1" ht="15" x14ac:dyDescent="0.25">
      <c r="A11553" s="859">
        <f t="shared" si="232"/>
        <v>11552</v>
      </c>
      <c r="B11553" s="845" t="s">
        <v>2564</v>
      </c>
      <c r="C11553" s="1007">
        <f t="shared" si="231"/>
        <v>68</v>
      </c>
      <c r="D11553" s="1014"/>
      <c r="H11553" s="1011" t="s">
        <v>1010</v>
      </c>
      <c r="K11553" s="1013"/>
    </row>
    <row r="11554" spans="1:11" s="1011" customFormat="1" ht="15" x14ac:dyDescent="0.25">
      <c r="A11554" s="859">
        <f t="shared" si="232"/>
        <v>11553</v>
      </c>
      <c r="B11554" s="845" t="s">
        <v>2564</v>
      </c>
      <c r="C11554" s="1007">
        <f t="shared" si="231"/>
        <v>68</v>
      </c>
      <c r="D11554" s="1014"/>
      <c r="H11554" s="1011" t="s">
        <v>1007</v>
      </c>
      <c r="K11554" s="1013"/>
    </row>
    <row r="11555" spans="1:11" s="1011" customFormat="1" ht="15" x14ac:dyDescent="0.25">
      <c r="A11555" s="859">
        <f t="shared" si="232"/>
        <v>11554</v>
      </c>
      <c r="B11555" s="845" t="s">
        <v>2564</v>
      </c>
      <c r="C11555" s="1007">
        <f t="shared" si="231"/>
        <v>68</v>
      </c>
      <c r="D11555" s="1012"/>
      <c r="I11555" s="1011" t="s">
        <v>2177</v>
      </c>
      <c r="K11555" s="1013"/>
    </row>
    <row r="11556" spans="1:11" s="1011" customFormat="1" ht="15" x14ac:dyDescent="0.25">
      <c r="A11556" s="859">
        <f t="shared" si="232"/>
        <v>11555</v>
      </c>
      <c r="B11556" s="845" t="s">
        <v>2564</v>
      </c>
      <c r="C11556" s="1007">
        <f t="shared" si="231"/>
        <v>68</v>
      </c>
      <c r="D11556" s="1015"/>
      <c r="I11556" s="1011" t="str">
        <f>CONCATENATE("&lt;valeur&gt;",VLOOKUP(C11556,'T16 Amort'!A:K,5,0),"&lt;/valeur&gt;")</f>
        <v>&lt;valeur&gt;&lt;/valeur&gt;</v>
      </c>
      <c r="K11556" s="1013"/>
    </row>
    <row r="11557" spans="1:11" s="1011" customFormat="1" ht="15" x14ac:dyDescent="0.25">
      <c r="A11557" s="859">
        <f t="shared" si="232"/>
        <v>11556</v>
      </c>
      <c r="B11557" s="845" t="s">
        <v>2564</v>
      </c>
      <c r="C11557" s="1007">
        <f t="shared" si="231"/>
        <v>68</v>
      </c>
      <c r="D11557" s="1012"/>
      <c r="I11557" s="1011" t="str">
        <f>CONCATENATE("&lt;numeroLigne&gt;",C11557,"&lt;/numeroLigne&gt;")</f>
        <v>&lt;numeroLigne&gt;68&lt;/numeroLigne&gt;</v>
      </c>
      <c r="K11557" s="1013"/>
    </row>
    <row r="11558" spans="1:11" s="1011" customFormat="1" ht="15" x14ac:dyDescent="0.25">
      <c r="A11558" s="859">
        <f t="shared" si="232"/>
        <v>11557</v>
      </c>
      <c r="B11558" s="845" t="s">
        <v>2564</v>
      </c>
      <c r="C11558" s="1007">
        <f t="shared" si="231"/>
        <v>68</v>
      </c>
      <c r="D11558" s="1012"/>
      <c r="H11558" s="1011" t="s">
        <v>1010</v>
      </c>
      <c r="K11558" s="1013"/>
    </row>
    <row r="11559" spans="1:11" s="1011" customFormat="1" ht="15" x14ac:dyDescent="0.25">
      <c r="A11559" s="859">
        <f t="shared" si="232"/>
        <v>11558</v>
      </c>
      <c r="B11559" s="845" t="s">
        <v>2564</v>
      </c>
      <c r="C11559" s="1007">
        <f t="shared" si="231"/>
        <v>68</v>
      </c>
      <c r="D11559" s="1014"/>
      <c r="H11559" s="1011" t="s">
        <v>1007</v>
      </c>
      <c r="K11559" s="1013"/>
    </row>
    <row r="11560" spans="1:11" s="1011" customFormat="1" ht="15" x14ac:dyDescent="0.25">
      <c r="A11560" s="859">
        <f t="shared" si="232"/>
        <v>11559</v>
      </c>
      <c r="B11560" s="845" t="s">
        <v>2564</v>
      </c>
      <c r="C11560" s="1007">
        <f t="shared" si="231"/>
        <v>68</v>
      </c>
      <c r="D11560" s="1014"/>
      <c r="I11560" s="1011" t="s">
        <v>2178</v>
      </c>
      <c r="K11560" s="1013"/>
    </row>
    <row r="11561" spans="1:11" s="1011" customFormat="1" ht="15" x14ac:dyDescent="0.25">
      <c r="A11561" s="859">
        <f t="shared" si="232"/>
        <v>11560</v>
      </c>
      <c r="B11561" s="845" t="s">
        <v>2564</v>
      </c>
      <c r="C11561" s="1007">
        <f t="shared" si="231"/>
        <v>68</v>
      </c>
      <c r="D11561" s="1012"/>
      <c r="I11561" s="1011" t="str">
        <f>CONCATENATE("&lt;valeur&gt;",VLOOKUP(C11561,'T16 Amort'!A:K,6,0),"&lt;/valeur&gt;")</f>
        <v>&lt;valeur&gt;&lt;/valeur&gt;</v>
      </c>
      <c r="K11561" s="1013"/>
    </row>
    <row r="11562" spans="1:11" s="1011" customFormat="1" ht="15" x14ac:dyDescent="0.25">
      <c r="A11562" s="859">
        <f t="shared" si="232"/>
        <v>11561</v>
      </c>
      <c r="B11562" s="845" t="s">
        <v>2564</v>
      </c>
      <c r="C11562" s="1007">
        <f t="shared" si="231"/>
        <v>68</v>
      </c>
      <c r="D11562" s="1015"/>
      <c r="I11562" s="1011" t="str">
        <f>CONCATENATE("&lt;numeroLigne&gt;",C11562,"&lt;/numeroLigne&gt;")</f>
        <v>&lt;numeroLigne&gt;68&lt;/numeroLigne&gt;</v>
      </c>
      <c r="K11562" s="1013"/>
    </row>
    <row r="11563" spans="1:11" s="1011" customFormat="1" ht="15" x14ac:dyDescent="0.25">
      <c r="A11563" s="859">
        <f t="shared" si="232"/>
        <v>11562</v>
      </c>
      <c r="B11563" s="845" t="s">
        <v>2564</v>
      </c>
      <c r="C11563" s="1007">
        <f t="shared" si="231"/>
        <v>68</v>
      </c>
      <c r="D11563" s="1012"/>
      <c r="H11563" s="1011" t="s">
        <v>1010</v>
      </c>
      <c r="K11563" s="1013"/>
    </row>
    <row r="11564" spans="1:11" s="1011" customFormat="1" ht="15" x14ac:dyDescent="0.25">
      <c r="A11564" s="859">
        <f t="shared" si="232"/>
        <v>11563</v>
      </c>
      <c r="B11564" s="845" t="s">
        <v>2564</v>
      </c>
      <c r="C11564" s="1007">
        <f t="shared" si="231"/>
        <v>68</v>
      </c>
      <c r="D11564" s="1012"/>
      <c r="H11564" s="1011" t="s">
        <v>1007</v>
      </c>
      <c r="K11564" s="1013"/>
    </row>
    <row r="11565" spans="1:11" s="1011" customFormat="1" ht="15" x14ac:dyDescent="0.25">
      <c r="A11565" s="859">
        <f t="shared" si="232"/>
        <v>11564</v>
      </c>
      <c r="B11565" s="845" t="s">
        <v>2564</v>
      </c>
      <c r="C11565" s="1007">
        <f t="shared" si="231"/>
        <v>68</v>
      </c>
      <c r="D11565" s="1014"/>
      <c r="I11565" s="1011" t="s">
        <v>2179</v>
      </c>
      <c r="K11565" s="1013"/>
    </row>
    <row r="11566" spans="1:11" s="1011" customFormat="1" ht="15" x14ac:dyDescent="0.25">
      <c r="A11566" s="859">
        <f t="shared" si="232"/>
        <v>11565</v>
      </c>
      <c r="B11566" s="845" t="s">
        <v>2564</v>
      </c>
      <c r="C11566" s="1007">
        <f t="shared" si="231"/>
        <v>68</v>
      </c>
      <c r="D11566" s="1014"/>
      <c r="I11566" s="1011" t="str">
        <f>CONCATENATE("&lt;valeur&gt;",VLOOKUP(C11566,'T16 Amort'!A:K,7,0),"&lt;/valeur&gt;")</f>
        <v>&lt;valeur&gt;&lt;/valeur&gt;</v>
      </c>
      <c r="K11566" s="1013"/>
    </row>
    <row r="11567" spans="1:11" s="1011" customFormat="1" ht="15" x14ac:dyDescent="0.25">
      <c r="A11567" s="859">
        <f t="shared" si="232"/>
        <v>11566</v>
      </c>
      <c r="B11567" s="845" t="s">
        <v>2564</v>
      </c>
      <c r="C11567" s="1007">
        <f t="shared" ref="C11567:C11630" si="233">C11517+1</f>
        <v>68</v>
      </c>
      <c r="D11567" s="1012"/>
      <c r="I11567" s="1011" t="str">
        <f>CONCATENATE("&lt;numeroLigne&gt;",C11567,"&lt;/numeroLigne&gt;")</f>
        <v>&lt;numeroLigne&gt;68&lt;/numeroLigne&gt;</v>
      </c>
      <c r="K11567" s="1013"/>
    </row>
    <row r="11568" spans="1:11" s="1011" customFormat="1" ht="15" x14ac:dyDescent="0.25">
      <c r="A11568" s="859">
        <f t="shared" si="232"/>
        <v>11567</v>
      </c>
      <c r="B11568" s="845" t="s">
        <v>2564</v>
      </c>
      <c r="C11568" s="1007">
        <f t="shared" si="233"/>
        <v>68</v>
      </c>
      <c r="D11568" s="1015"/>
      <c r="H11568" s="1011" t="s">
        <v>1010</v>
      </c>
      <c r="K11568" s="1013"/>
    </row>
    <row r="11569" spans="1:11" s="1011" customFormat="1" ht="15" x14ac:dyDescent="0.25">
      <c r="A11569" s="859">
        <f t="shared" si="232"/>
        <v>11568</v>
      </c>
      <c r="B11569" s="845" t="s">
        <v>2564</v>
      </c>
      <c r="C11569" s="1007">
        <f t="shared" si="233"/>
        <v>68</v>
      </c>
      <c r="D11569" s="1012"/>
      <c r="H11569" s="1011" t="s">
        <v>1007</v>
      </c>
      <c r="K11569" s="1013"/>
    </row>
    <row r="11570" spans="1:11" s="1011" customFormat="1" ht="15" x14ac:dyDescent="0.25">
      <c r="A11570" s="859">
        <f t="shared" si="232"/>
        <v>11569</v>
      </c>
      <c r="B11570" s="845" t="s">
        <v>2564</v>
      </c>
      <c r="C11570" s="1007">
        <f t="shared" si="233"/>
        <v>68</v>
      </c>
      <c r="D11570" s="1012"/>
      <c r="I11570" s="1011" t="s">
        <v>2180</v>
      </c>
      <c r="K11570" s="1013"/>
    </row>
    <row r="11571" spans="1:11" s="1011" customFormat="1" ht="15" x14ac:dyDescent="0.25">
      <c r="A11571" s="859">
        <f t="shared" si="232"/>
        <v>11570</v>
      </c>
      <c r="B11571" s="845" t="s">
        <v>2564</v>
      </c>
      <c r="C11571" s="1007">
        <f t="shared" si="233"/>
        <v>68</v>
      </c>
      <c r="D11571" s="1014"/>
      <c r="I11571" s="1011" t="str">
        <f>CONCATENATE("&lt;valeur&gt;",VLOOKUP(C11571,'T16 Amort'!A:K,8,0),"&lt;/valeur&gt;")</f>
        <v>&lt;valeur&gt;&lt;/valeur&gt;</v>
      </c>
      <c r="K11571" s="1013"/>
    </row>
    <row r="11572" spans="1:11" s="1011" customFormat="1" ht="15" x14ac:dyDescent="0.25">
      <c r="A11572" s="859">
        <f t="shared" si="232"/>
        <v>11571</v>
      </c>
      <c r="B11572" s="845" t="s">
        <v>2564</v>
      </c>
      <c r="C11572" s="1007">
        <f t="shared" si="233"/>
        <v>68</v>
      </c>
      <c r="D11572" s="1014"/>
      <c r="I11572" s="1011" t="str">
        <f>CONCATENATE("&lt;numeroLigne&gt;",C11572,"&lt;/numeroLigne&gt;")</f>
        <v>&lt;numeroLigne&gt;68&lt;/numeroLigne&gt;</v>
      </c>
      <c r="K11572" s="1013"/>
    </row>
    <row r="11573" spans="1:11" s="1011" customFormat="1" ht="15" x14ac:dyDescent="0.25">
      <c r="A11573" s="859">
        <f t="shared" si="232"/>
        <v>11572</v>
      </c>
      <c r="B11573" s="845" t="s">
        <v>2564</v>
      </c>
      <c r="C11573" s="1007">
        <f t="shared" si="233"/>
        <v>68</v>
      </c>
      <c r="D11573" s="1012"/>
      <c r="H11573" s="1011" t="s">
        <v>1010</v>
      </c>
      <c r="K11573" s="1013"/>
    </row>
    <row r="11574" spans="1:11" s="1011" customFormat="1" ht="15" x14ac:dyDescent="0.25">
      <c r="A11574" s="859">
        <f t="shared" si="232"/>
        <v>11573</v>
      </c>
      <c r="B11574" s="845" t="s">
        <v>2564</v>
      </c>
      <c r="C11574" s="1007">
        <f t="shared" si="233"/>
        <v>68</v>
      </c>
      <c r="D11574" s="1015"/>
      <c r="H11574" s="1011" t="s">
        <v>1007</v>
      </c>
      <c r="K11574" s="1013"/>
    </row>
    <row r="11575" spans="1:11" s="1011" customFormat="1" ht="15" x14ac:dyDescent="0.25">
      <c r="A11575" s="859">
        <f t="shared" si="232"/>
        <v>11574</v>
      </c>
      <c r="B11575" s="845" t="s">
        <v>2564</v>
      </c>
      <c r="C11575" s="1007">
        <f t="shared" si="233"/>
        <v>68</v>
      </c>
      <c r="D11575" s="1012"/>
      <c r="I11575" s="1011" t="s">
        <v>2181</v>
      </c>
      <c r="K11575" s="1013"/>
    </row>
    <row r="11576" spans="1:11" s="1011" customFormat="1" ht="15" x14ac:dyDescent="0.25">
      <c r="A11576" s="859">
        <f t="shared" si="232"/>
        <v>11575</v>
      </c>
      <c r="B11576" s="845" t="s">
        <v>2564</v>
      </c>
      <c r="C11576" s="1007">
        <f t="shared" si="233"/>
        <v>68</v>
      </c>
      <c r="D11576" s="1012"/>
      <c r="I11576" s="1011" t="str">
        <f>CONCATENATE("&lt;valeur&gt;",VLOOKUP(C11576,'T16 Amort'!A:K,9,0),"&lt;/valeur&gt;")</f>
        <v>&lt;valeur&gt;&lt;/valeur&gt;</v>
      </c>
      <c r="K11576" s="1013"/>
    </row>
    <row r="11577" spans="1:11" s="1011" customFormat="1" ht="15" x14ac:dyDescent="0.25">
      <c r="A11577" s="859">
        <f t="shared" si="232"/>
        <v>11576</v>
      </c>
      <c r="B11577" s="845" t="s">
        <v>2564</v>
      </c>
      <c r="C11577" s="1007">
        <f t="shared" si="233"/>
        <v>68</v>
      </c>
      <c r="D11577" s="1014"/>
      <c r="I11577" s="1011" t="str">
        <f>CONCATENATE("&lt;numeroLigne&gt;",C11577,"&lt;/numeroLigne&gt;")</f>
        <v>&lt;numeroLigne&gt;68&lt;/numeroLigne&gt;</v>
      </c>
      <c r="K11577" s="1013"/>
    </row>
    <row r="11578" spans="1:11" s="1011" customFormat="1" ht="15" x14ac:dyDescent="0.25">
      <c r="A11578" s="859">
        <f t="shared" si="232"/>
        <v>11577</v>
      </c>
      <c r="B11578" s="845" t="s">
        <v>2564</v>
      </c>
      <c r="C11578" s="1007">
        <f t="shared" si="233"/>
        <v>68</v>
      </c>
      <c r="D11578" s="1014"/>
      <c r="H11578" s="1011" t="s">
        <v>1010</v>
      </c>
      <c r="K11578" s="1013"/>
    </row>
    <row r="11579" spans="1:11" s="1011" customFormat="1" ht="15" x14ac:dyDescent="0.25">
      <c r="A11579" s="859">
        <f t="shared" si="232"/>
        <v>11578</v>
      </c>
      <c r="B11579" s="845" t="s">
        <v>2564</v>
      </c>
      <c r="C11579" s="1007">
        <f t="shared" si="233"/>
        <v>68</v>
      </c>
      <c r="D11579" s="1012"/>
      <c r="H11579" s="1011" t="s">
        <v>1007</v>
      </c>
      <c r="K11579" s="1013"/>
    </row>
    <row r="11580" spans="1:11" s="1011" customFormat="1" ht="15" x14ac:dyDescent="0.25">
      <c r="A11580" s="859">
        <f t="shared" si="232"/>
        <v>11579</v>
      </c>
      <c r="B11580" s="845" t="s">
        <v>2564</v>
      </c>
      <c r="C11580" s="1007">
        <f t="shared" si="233"/>
        <v>68</v>
      </c>
      <c r="D11580" s="1015"/>
      <c r="I11580" s="1011" t="s">
        <v>2182</v>
      </c>
      <c r="K11580" s="1013"/>
    </row>
    <row r="11581" spans="1:11" s="1011" customFormat="1" ht="15" x14ac:dyDescent="0.25">
      <c r="A11581" s="859">
        <f t="shared" si="232"/>
        <v>11580</v>
      </c>
      <c r="B11581" s="845" t="s">
        <v>2564</v>
      </c>
      <c r="C11581" s="1007">
        <f t="shared" si="233"/>
        <v>68</v>
      </c>
      <c r="D11581" s="1012"/>
      <c r="I11581" s="1011" t="str">
        <f>CONCATENATE("&lt;valeur&gt;",VLOOKUP(C11581,'T16 Amort'!A:K,10,0),"&lt;/valeur&gt;")</f>
        <v>&lt;valeur&gt;&lt;/valeur&gt;</v>
      </c>
      <c r="K11581" s="1013"/>
    </row>
    <row r="11582" spans="1:11" s="1011" customFormat="1" ht="15" x14ac:dyDescent="0.25">
      <c r="A11582" s="859">
        <f t="shared" si="232"/>
        <v>11581</v>
      </c>
      <c r="B11582" s="845" t="s">
        <v>2564</v>
      </c>
      <c r="C11582" s="1007">
        <f t="shared" si="233"/>
        <v>68</v>
      </c>
      <c r="D11582" s="1012"/>
      <c r="I11582" s="1011" t="str">
        <f>CONCATENATE("&lt;numeroLigne&gt;",C11582,"&lt;/numeroLigne&gt;")</f>
        <v>&lt;numeroLigne&gt;68&lt;/numeroLigne&gt;</v>
      </c>
      <c r="K11582" s="1013"/>
    </row>
    <row r="11583" spans="1:11" s="1011" customFormat="1" ht="15" x14ac:dyDescent="0.25">
      <c r="A11583" s="859">
        <f t="shared" si="232"/>
        <v>11582</v>
      </c>
      <c r="B11583" s="845" t="s">
        <v>2564</v>
      </c>
      <c r="C11583" s="1007">
        <f t="shared" si="233"/>
        <v>68</v>
      </c>
      <c r="D11583" s="1014"/>
      <c r="H11583" s="1011" t="s">
        <v>1010</v>
      </c>
      <c r="K11583" s="1013"/>
    </row>
    <row r="11584" spans="1:11" s="1011" customFormat="1" ht="15" x14ac:dyDescent="0.25">
      <c r="A11584" s="859">
        <f t="shared" si="232"/>
        <v>11583</v>
      </c>
      <c r="B11584" s="845" t="s">
        <v>2564</v>
      </c>
      <c r="C11584" s="1007">
        <f t="shared" si="233"/>
        <v>68</v>
      </c>
      <c r="D11584" s="1014"/>
      <c r="H11584" s="1011" t="s">
        <v>1007</v>
      </c>
      <c r="K11584" s="1013"/>
    </row>
    <row r="11585" spans="1:11" s="1011" customFormat="1" ht="15" x14ac:dyDescent="0.25">
      <c r="A11585" s="859">
        <f t="shared" si="232"/>
        <v>11584</v>
      </c>
      <c r="B11585" s="845" t="s">
        <v>2564</v>
      </c>
      <c r="C11585" s="1007">
        <f t="shared" si="233"/>
        <v>68</v>
      </c>
      <c r="D11585" s="1012"/>
      <c r="I11585" s="1011" t="s">
        <v>2183</v>
      </c>
      <c r="K11585" s="1013"/>
    </row>
    <row r="11586" spans="1:11" s="1011" customFormat="1" ht="15" x14ac:dyDescent="0.25">
      <c r="A11586" s="859">
        <f t="shared" si="232"/>
        <v>11585</v>
      </c>
      <c r="B11586" s="845" t="s">
        <v>2564</v>
      </c>
      <c r="C11586" s="1007">
        <f t="shared" si="233"/>
        <v>68</v>
      </c>
      <c r="D11586" s="1015"/>
      <c r="I11586" s="1011" t="str">
        <f>CONCATENATE("&lt;valeur&gt;",VLOOKUP(C11586,'T16 Amort'!A:K,11,0),"&lt;/valeur&gt;")</f>
        <v>&lt;valeur&gt;&lt;/valeur&gt;</v>
      </c>
      <c r="K11586" s="1013"/>
    </row>
    <row r="11587" spans="1:11" s="1011" customFormat="1" ht="15" x14ac:dyDescent="0.25">
      <c r="A11587" s="859">
        <f t="shared" si="232"/>
        <v>11586</v>
      </c>
      <c r="B11587" s="845" t="s">
        <v>2564</v>
      </c>
      <c r="C11587" s="1007">
        <f t="shared" si="233"/>
        <v>68</v>
      </c>
      <c r="D11587" s="1012"/>
      <c r="I11587" s="1011" t="str">
        <f>CONCATENATE("&lt;numeroLigne&gt;",C11587,"&lt;/numeroLigne&gt;")</f>
        <v>&lt;numeroLigne&gt;68&lt;/numeroLigne&gt;</v>
      </c>
      <c r="K11587" s="1013"/>
    </row>
    <row r="11588" spans="1:11" s="1011" customFormat="1" ht="15" x14ac:dyDescent="0.25">
      <c r="A11588" s="859">
        <f t="shared" ref="A11588:A11651" si="234">+A11587+1</f>
        <v>11587</v>
      </c>
      <c r="B11588" s="845" t="s">
        <v>2564</v>
      </c>
      <c r="C11588" s="1007">
        <f t="shared" si="233"/>
        <v>68</v>
      </c>
      <c r="D11588" s="1016"/>
      <c r="E11588" s="1017"/>
      <c r="F11588" s="1017"/>
      <c r="G11588" s="1017"/>
      <c r="H11588" s="1017" t="s">
        <v>1010</v>
      </c>
      <c r="I11588" s="1017"/>
      <c r="J11588" s="1017"/>
      <c r="K11588" s="1018"/>
    </row>
    <row r="11589" spans="1:11" s="1011" customFormat="1" ht="15" x14ac:dyDescent="0.25">
      <c r="A11589" s="859">
        <f t="shared" si="234"/>
        <v>11588</v>
      </c>
      <c r="B11589" s="845" t="s">
        <v>2564</v>
      </c>
      <c r="C11589" s="1007">
        <f t="shared" si="233"/>
        <v>69</v>
      </c>
      <c r="D11589" s="1008"/>
      <c r="E11589" s="1009"/>
      <c r="F11589" s="1009"/>
      <c r="G11589" s="1009"/>
      <c r="H11589" s="1009" t="s">
        <v>1007</v>
      </c>
      <c r="I11589" s="1009"/>
      <c r="J11589" s="1009"/>
      <c r="K11589" s="1010"/>
    </row>
    <row r="11590" spans="1:11" s="1011" customFormat="1" ht="15" x14ac:dyDescent="0.25">
      <c r="A11590" s="859">
        <f t="shared" si="234"/>
        <v>11589</v>
      </c>
      <c r="B11590" s="845" t="s">
        <v>2564</v>
      </c>
      <c r="C11590" s="1007">
        <f t="shared" si="233"/>
        <v>69</v>
      </c>
      <c r="D11590" s="1012"/>
      <c r="I11590" s="1011" t="s">
        <v>2174</v>
      </c>
      <c r="K11590" s="1013"/>
    </row>
    <row r="11591" spans="1:11" s="1011" customFormat="1" ht="15" x14ac:dyDescent="0.25">
      <c r="A11591" s="859">
        <f t="shared" si="234"/>
        <v>11590</v>
      </c>
      <c r="B11591" s="845" t="s">
        <v>2564</v>
      </c>
      <c r="C11591" s="1007">
        <f t="shared" si="233"/>
        <v>69</v>
      </c>
      <c r="D11591" s="1014"/>
      <c r="I11591" s="1011" t="str">
        <f>CONCATENATE("&lt;valeur&gt;",VLOOKUP(C11591,'T16 Amort'!A:K,2,0),"&lt;/valeur&gt;")</f>
        <v>&lt;valeur&gt;&lt;/valeur&gt;</v>
      </c>
      <c r="K11591" s="1013"/>
    </row>
    <row r="11592" spans="1:11" s="1011" customFormat="1" ht="15" x14ac:dyDescent="0.25">
      <c r="A11592" s="859">
        <f t="shared" si="234"/>
        <v>11591</v>
      </c>
      <c r="B11592" s="845" t="s">
        <v>2564</v>
      </c>
      <c r="C11592" s="1007">
        <f t="shared" si="233"/>
        <v>69</v>
      </c>
      <c r="D11592" s="1014"/>
      <c r="I11592" s="1011" t="str">
        <f>CONCATENATE("&lt;numeroLigne&gt;",C11592,"&lt;/numeroLigne&gt;")</f>
        <v>&lt;numeroLigne&gt;69&lt;/numeroLigne&gt;</v>
      </c>
      <c r="K11592" s="1013"/>
    </row>
    <row r="11593" spans="1:11" s="1011" customFormat="1" ht="15" x14ac:dyDescent="0.25">
      <c r="A11593" s="859">
        <f t="shared" si="234"/>
        <v>11592</v>
      </c>
      <c r="B11593" s="845" t="s">
        <v>2564</v>
      </c>
      <c r="C11593" s="1007">
        <f t="shared" si="233"/>
        <v>69</v>
      </c>
      <c r="D11593" s="1012"/>
      <c r="H11593" s="1011" t="s">
        <v>1010</v>
      </c>
      <c r="K11593" s="1013"/>
    </row>
    <row r="11594" spans="1:11" s="1011" customFormat="1" ht="15" x14ac:dyDescent="0.25">
      <c r="A11594" s="859">
        <f t="shared" si="234"/>
        <v>11593</v>
      </c>
      <c r="B11594" s="845" t="s">
        <v>2564</v>
      </c>
      <c r="C11594" s="1007">
        <f t="shared" si="233"/>
        <v>69</v>
      </c>
      <c r="D11594" s="1015"/>
      <c r="H11594" s="1011" t="s">
        <v>1007</v>
      </c>
      <c r="K11594" s="1013"/>
    </row>
    <row r="11595" spans="1:11" s="1011" customFormat="1" ht="15" x14ac:dyDescent="0.25">
      <c r="A11595" s="859">
        <f t="shared" si="234"/>
        <v>11594</v>
      </c>
      <c r="B11595" s="845" t="s">
        <v>2564</v>
      </c>
      <c r="C11595" s="1007">
        <f t="shared" si="233"/>
        <v>69</v>
      </c>
      <c r="D11595" s="1012"/>
      <c r="I11595" s="1011" t="s">
        <v>2175</v>
      </c>
      <c r="K11595" s="1013"/>
    </row>
    <row r="11596" spans="1:11" s="1011" customFormat="1" ht="15" x14ac:dyDescent="0.25">
      <c r="A11596" s="859">
        <f t="shared" si="234"/>
        <v>11595</v>
      </c>
      <c r="B11596" s="845" t="s">
        <v>2564</v>
      </c>
      <c r="C11596" s="1007">
        <f t="shared" si="233"/>
        <v>69</v>
      </c>
      <c r="D11596" s="1012"/>
      <c r="I11596" s="1011" t="str">
        <f>CONCATENATE("&lt;valeur&gt;",VLOOKUP(C11596,'T16 Amort'!A:K,3,0),"&lt;/valeur&gt;")</f>
        <v>&lt;valeur&gt;&lt;/valeur&gt;</v>
      </c>
      <c r="K11596" s="1013"/>
    </row>
    <row r="11597" spans="1:11" s="1011" customFormat="1" ht="15" x14ac:dyDescent="0.25">
      <c r="A11597" s="859">
        <f t="shared" si="234"/>
        <v>11596</v>
      </c>
      <c r="B11597" s="845" t="s">
        <v>2564</v>
      </c>
      <c r="C11597" s="1007">
        <f t="shared" si="233"/>
        <v>69</v>
      </c>
      <c r="D11597" s="1014"/>
      <c r="I11597" s="1011" t="str">
        <f>CONCATENATE("&lt;numeroLigne&gt;",C11597,"&lt;/numeroLigne&gt;")</f>
        <v>&lt;numeroLigne&gt;69&lt;/numeroLigne&gt;</v>
      </c>
      <c r="K11597" s="1013"/>
    </row>
    <row r="11598" spans="1:11" s="1011" customFormat="1" ht="15" x14ac:dyDescent="0.25">
      <c r="A11598" s="859">
        <f t="shared" si="234"/>
        <v>11597</v>
      </c>
      <c r="B11598" s="845" t="s">
        <v>2564</v>
      </c>
      <c r="C11598" s="1007">
        <f t="shared" si="233"/>
        <v>69</v>
      </c>
      <c r="D11598" s="1014"/>
      <c r="H11598" s="1011" t="s">
        <v>1010</v>
      </c>
      <c r="K11598" s="1013"/>
    </row>
    <row r="11599" spans="1:11" s="1011" customFormat="1" ht="15" x14ac:dyDescent="0.25">
      <c r="A11599" s="859">
        <f t="shared" si="234"/>
        <v>11598</v>
      </c>
      <c r="B11599" s="845" t="s">
        <v>2564</v>
      </c>
      <c r="C11599" s="1007">
        <f t="shared" si="233"/>
        <v>69</v>
      </c>
      <c r="D11599" s="1012"/>
      <c r="H11599" s="1011" t="s">
        <v>1007</v>
      </c>
      <c r="K11599" s="1013"/>
    </row>
    <row r="11600" spans="1:11" s="1011" customFormat="1" ht="15" x14ac:dyDescent="0.25">
      <c r="A11600" s="859">
        <f t="shared" si="234"/>
        <v>11599</v>
      </c>
      <c r="B11600" s="845" t="s">
        <v>2564</v>
      </c>
      <c r="C11600" s="1007">
        <f t="shared" si="233"/>
        <v>69</v>
      </c>
      <c r="D11600" s="1015"/>
      <c r="I11600" s="1011" t="s">
        <v>2176</v>
      </c>
      <c r="K11600" s="1013"/>
    </row>
    <row r="11601" spans="1:11" s="1011" customFormat="1" ht="15" x14ac:dyDescent="0.25">
      <c r="A11601" s="859">
        <f t="shared" si="234"/>
        <v>11600</v>
      </c>
      <c r="B11601" s="845" t="s">
        <v>2564</v>
      </c>
      <c r="C11601" s="1007">
        <f t="shared" si="233"/>
        <v>69</v>
      </c>
      <c r="D11601" s="1012"/>
      <c r="I11601" s="1011" t="str">
        <f>CONCATENATE("&lt;valeur&gt;",VLOOKUP(C11601,'T16 Amort'!A:K,4,0),"&lt;/valeur&gt;")</f>
        <v>&lt;valeur&gt;&lt;/valeur&gt;</v>
      </c>
      <c r="K11601" s="1013"/>
    </row>
    <row r="11602" spans="1:11" s="1011" customFormat="1" ht="15" x14ac:dyDescent="0.25">
      <c r="A11602" s="859">
        <f t="shared" si="234"/>
        <v>11601</v>
      </c>
      <c r="B11602" s="845" t="s">
        <v>2564</v>
      </c>
      <c r="C11602" s="1007">
        <f t="shared" si="233"/>
        <v>69</v>
      </c>
      <c r="D11602" s="1012"/>
      <c r="I11602" s="1011" t="str">
        <f>CONCATENATE("&lt;numeroLigne&gt;",C11602,"&lt;/numeroLigne&gt;")</f>
        <v>&lt;numeroLigne&gt;69&lt;/numeroLigne&gt;</v>
      </c>
      <c r="K11602" s="1013"/>
    </row>
    <row r="11603" spans="1:11" s="1011" customFormat="1" ht="15" x14ac:dyDescent="0.25">
      <c r="A11603" s="859">
        <f t="shared" si="234"/>
        <v>11602</v>
      </c>
      <c r="B11603" s="845" t="s">
        <v>2564</v>
      </c>
      <c r="C11603" s="1007">
        <f t="shared" si="233"/>
        <v>69</v>
      </c>
      <c r="D11603" s="1014"/>
      <c r="H11603" s="1011" t="s">
        <v>1010</v>
      </c>
      <c r="K11603" s="1013"/>
    </row>
    <row r="11604" spans="1:11" s="1011" customFormat="1" ht="15" x14ac:dyDescent="0.25">
      <c r="A11604" s="859">
        <f t="shared" si="234"/>
        <v>11603</v>
      </c>
      <c r="B11604" s="845" t="s">
        <v>2564</v>
      </c>
      <c r="C11604" s="1007">
        <f t="shared" si="233"/>
        <v>69</v>
      </c>
      <c r="D11604" s="1014"/>
      <c r="H11604" s="1011" t="s">
        <v>1007</v>
      </c>
      <c r="K11604" s="1013"/>
    </row>
    <row r="11605" spans="1:11" s="1011" customFormat="1" ht="15" x14ac:dyDescent="0.25">
      <c r="A11605" s="859">
        <f t="shared" si="234"/>
        <v>11604</v>
      </c>
      <c r="B11605" s="845" t="s">
        <v>2564</v>
      </c>
      <c r="C11605" s="1007">
        <f t="shared" si="233"/>
        <v>69</v>
      </c>
      <c r="D11605" s="1012"/>
      <c r="I11605" s="1011" t="s">
        <v>2177</v>
      </c>
      <c r="K11605" s="1013"/>
    </row>
    <row r="11606" spans="1:11" s="1011" customFormat="1" ht="15" x14ac:dyDescent="0.25">
      <c r="A11606" s="859">
        <f t="shared" si="234"/>
        <v>11605</v>
      </c>
      <c r="B11606" s="845" t="s">
        <v>2564</v>
      </c>
      <c r="C11606" s="1007">
        <f t="shared" si="233"/>
        <v>69</v>
      </c>
      <c r="D11606" s="1015"/>
      <c r="I11606" s="1011" t="str">
        <f>CONCATENATE("&lt;valeur&gt;",VLOOKUP(C11606,'T16 Amort'!A:K,5,0),"&lt;/valeur&gt;")</f>
        <v>&lt;valeur&gt;&lt;/valeur&gt;</v>
      </c>
      <c r="K11606" s="1013"/>
    </row>
    <row r="11607" spans="1:11" s="1011" customFormat="1" ht="15" x14ac:dyDescent="0.25">
      <c r="A11607" s="859">
        <f t="shared" si="234"/>
        <v>11606</v>
      </c>
      <c r="B11607" s="845" t="s">
        <v>2564</v>
      </c>
      <c r="C11607" s="1007">
        <f t="shared" si="233"/>
        <v>69</v>
      </c>
      <c r="D11607" s="1012"/>
      <c r="I11607" s="1011" t="str">
        <f>CONCATENATE("&lt;numeroLigne&gt;",C11607,"&lt;/numeroLigne&gt;")</f>
        <v>&lt;numeroLigne&gt;69&lt;/numeroLigne&gt;</v>
      </c>
      <c r="K11607" s="1013"/>
    </row>
    <row r="11608" spans="1:11" s="1011" customFormat="1" ht="15" x14ac:dyDescent="0.25">
      <c r="A11608" s="859">
        <f t="shared" si="234"/>
        <v>11607</v>
      </c>
      <c r="B11608" s="845" t="s">
        <v>2564</v>
      </c>
      <c r="C11608" s="1007">
        <f t="shared" si="233"/>
        <v>69</v>
      </c>
      <c r="D11608" s="1012"/>
      <c r="H11608" s="1011" t="s">
        <v>1010</v>
      </c>
      <c r="K11608" s="1013"/>
    </row>
    <row r="11609" spans="1:11" s="1011" customFormat="1" ht="15" x14ac:dyDescent="0.25">
      <c r="A11609" s="859">
        <f t="shared" si="234"/>
        <v>11608</v>
      </c>
      <c r="B11609" s="845" t="s">
        <v>2564</v>
      </c>
      <c r="C11609" s="1007">
        <f t="shared" si="233"/>
        <v>69</v>
      </c>
      <c r="D11609" s="1014"/>
      <c r="H11609" s="1011" t="s">
        <v>1007</v>
      </c>
      <c r="K11609" s="1013"/>
    </row>
    <row r="11610" spans="1:11" s="1011" customFormat="1" ht="15" x14ac:dyDescent="0.25">
      <c r="A11610" s="859">
        <f t="shared" si="234"/>
        <v>11609</v>
      </c>
      <c r="B11610" s="845" t="s">
        <v>2564</v>
      </c>
      <c r="C11610" s="1007">
        <f t="shared" si="233"/>
        <v>69</v>
      </c>
      <c r="D11610" s="1014"/>
      <c r="I11610" s="1011" t="s">
        <v>2178</v>
      </c>
      <c r="K11610" s="1013"/>
    </row>
    <row r="11611" spans="1:11" s="1011" customFormat="1" ht="15" x14ac:dyDescent="0.25">
      <c r="A11611" s="859">
        <f t="shared" si="234"/>
        <v>11610</v>
      </c>
      <c r="B11611" s="845" t="s">
        <v>2564</v>
      </c>
      <c r="C11611" s="1007">
        <f t="shared" si="233"/>
        <v>69</v>
      </c>
      <c r="D11611" s="1012"/>
      <c r="I11611" s="1011" t="str">
        <f>CONCATENATE("&lt;valeur&gt;",VLOOKUP(C11611,'T16 Amort'!A:K,6,0),"&lt;/valeur&gt;")</f>
        <v>&lt;valeur&gt;&lt;/valeur&gt;</v>
      </c>
      <c r="K11611" s="1013"/>
    </row>
    <row r="11612" spans="1:11" s="1011" customFormat="1" ht="15" x14ac:dyDescent="0.25">
      <c r="A11612" s="859">
        <f t="shared" si="234"/>
        <v>11611</v>
      </c>
      <c r="B11612" s="845" t="s">
        <v>2564</v>
      </c>
      <c r="C11612" s="1007">
        <f t="shared" si="233"/>
        <v>69</v>
      </c>
      <c r="D11612" s="1015"/>
      <c r="I11612" s="1011" t="str">
        <f>CONCATENATE("&lt;numeroLigne&gt;",C11612,"&lt;/numeroLigne&gt;")</f>
        <v>&lt;numeroLigne&gt;69&lt;/numeroLigne&gt;</v>
      </c>
      <c r="K11612" s="1013"/>
    </row>
    <row r="11613" spans="1:11" s="1011" customFormat="1" ht="15" x14ac:dyDescent="0.25">
      <c r="A11613" s="859">
        <f t="shared" si="234"/>
        <v>11612</v>
      </c>
      <c r="B11613" s="845" t="s">
        <v>2564</v>
      </c>
      <c r="C11613" s="1007">
        <f t="shared" si="233"/>
        <v>69</v>
      </c>
      <c r="D11613" s="1012"/>
      <c r="H11613" s="1011" t="s">
        <v>1010</v>
      </c>
      <c r="K11613" s="1013"/>
    </row>
    <row r="11614" spans="1:11" s="1011" customFormat="1" ht="15" x14ac:dyDescent="0.25">
      <c r="A11614" s="859">
        <f t="shared" si="234"/>
        <v>11613</v>
      </c>
      <c r="B11614" s="845" t="s">
        <v>2564</v>
      </c>
      <c r="C11614" s="1007">
        <f t="shared" si="233"/>
        <v>69</v>
      </c>
      <c r="D11614" s="1012"/>
      <c r="H11614" s="1011" t="s">
        <v>1007</v>
      </c>
      <c r="K11614" s="1013"/>
    </row>
    <row r="11615" spans="1:11" s="1011" customFormat="1" ht="15" x14ac:dyDescent="0.25">
      <c r="A11615" s="859">
        <f t="shared" si="234"/>
        <v>11614</v>
      </c>
      <c r="B11615" s="845" t="s">
        <v>2564</v>
      </c>
      <c r="C11615" s="1007">
        <f t="shared" si="233"/>
        <v>69</v>
      </c>
      <c r="D11615" s="1014"/>
      <c r="I11615" s="1011" t="s">
        <v>2179</v>
      </c>
      <c r="K11615" s="1013"/>
    </row>
    <row r="11616" spans="1:11" s="1011" customFormat="1" ht="15" x14ac:dyDescent="0.25">
      <c r="A11616" s="859">
        <f t="shared" si="234"/>
        <v>11615</v>
      </c>
      <c r="B11616" s="845" t="s">
        <v>2564</v>
      </c>
      <c r="C11616" s="1007">
        <f t="shared" si="233"/>
        <v>69</v>
      </c>
      <c r="D11616" s="1014"/>
      <c r="I11616" s="1011" t="str">
        <f>CONCATENATE("&lt;valeur&gt;",VLOOKUP(C11616,'T16 Amort'!A:K,7,0),"&lt;/valeur&gt;")</f>
        <v>&lt;valeur&gt;&lt;/valeur&gt;</v>
      </c>
      <c r="K11616" s="1013"/>
    </row>
    <row r="11617" spans="1:11" s="1011" customFormat="1" ht="15" x14ac:dyDescent="0.25">
      <c r="A11617" s="859">
        <f t="shared" si="234"/>
        <v>11616</v>
      </c>
      <c r="B11617" s="845" t="s">
        <v>2564</v>
      </c>
      <c r="C11617" s="1007">
        <f t="shared" si="233"/>
        <v>69</v>
      </c>
      <c r="D11617" s="1012"/>
      <c r="I11617" s="1011" t="str">
        <f>CONCATENATE("&lt;numeroLigne&gt;",C11617,"&lt;/numeroLigne&gt;")</f>
        <v>&lt;numeroLigne&gt;69&lt;/numeroLigne&gt;</v>
      </c>
      <c r="K11617" s="1013"/>
    </row>
    <row r="11618" spans="1:11" s="1011" customFormat="1" ht="15" x14ac:dyDescent="0.25">
      <c r="A11618" s="859">
        <f t="shared" si="234"/>
        <v>11617</v>
      </c>
      <c r="B11618" s="845" t="s">
        <v>2564</v>
      </c>
      <c r="C11618" s="1007">
        <f t="shared" si="233"/>
        <v>69</v>
      </c>
      <c r="D11618" s="1015"/>
      <c r="H11618" s="1011" t="s">
        <v>1010</v>
      </c>
      <c r="K11618" s="1013"/>
    </row>
    <row r="11619" spans="1:11" s="1011" customFormat="1" ht="15" x14ac:dyDescent="0.25">
      <c r="A11619" s="859">
        <f t="shared" si="234"/>
        <v>11618</v>
      </c>
      <c r="B11619" s="845" t="s">
        <v>2564</v>
      </c>
      <c r="C11619" s="1007">
        <f t="shared" si="233"/>
        <v>69</v>
      </c>
      <c r="D11619" s="1012"/>
      <c r="H11619" s="1011" t="s">
        <v>1007</v>
      </c>
      <c r="K11619" s="1013"/>
    </row>
    <row r="11620" spans="1:11" s="1011" customFormat="1" ht="15" x14ac:dyDescent="0.25">
      <c r="A11620" s="859">
        <f t="shared" si="234"/>
        <v>11619</v>
      </c>
      <c r="B11620" s="845" t="s">
        <v>2564</v>
      </c>
      <c r="C11620" s="1007">
        <f t="shared" si="233"/>
        <v>69</v>
      </c>
      <c r="D11620" s="1012"/>
      <c r="I11620" s="1011" t="s">
        <v>2180</v>
      </c>
      <c r="K11620" s="1013"/>
    </row>
    <row r="11621" spans="1:11" s="1011" customFormat="1" ht="15" x14ac:dyDescent="0.25">
      <c r="A11621" s="859">
        <f t="shared" si="234"/>
        <v>11620</v>
      </c>
      <c r="B11621" s="845" t="s">
        <v>2564</v>
      </c>
      <c r="C11621" s="1007">
        <f t="shared" si="233"/>
        <v>69</v>
      </c>
      <c r="D11621" s="1014"/>
      <c r="I11621" s="1011" t="str">
        <f>CONCATENATE("&lt;valeur&gt;",VLOOKUP(C11621,'T16 Amort'!A:K,8,0),"&lt;/valeur&gt;")</f>
        <v>&lt;valeur&gt;&lt;/valeur&gt;</v>
      </c>
      <c r="K11621" s="1013"/>
    </row>
    <row r="11622" spans="1:11" s="1011" customFormat="1" ht="15" x14ac:dyDescent="0.25">
      <c r="A11622" s="859">
        <f t="shared" si="234"/>
        <v>11621</v>
      </c>
      <c r="B11622" s="845" t="s">
        <v>2564</v>
      </c>
      <c r="C11622" s="1007">
        <f t="shared" si="233"/>
        <v>69</v>
      </c>
      <c r="D11622" s="1014"/>
      <c r="I11622" s="1011" t="str">
        <f>CONCATENATE("&lt;numeroLigne&gt;",C11622,"&lt;/numeroLigne&gt;")</f>
        <v>&lt;numeroLigne&gt;69&lt;/numeroLigne&gt;</v>
      </c>
      <c r="K11622" s="1013"/>
    </row>
    <row r="11623" spans="1:11" s="1011" customFormat="1" ht="15" x14ac:dyDescent="0.25">
      <c r="A11623" s="859">
        <f t="shared" si="234"/>
        <v>11622</v>
      </c>
      <c r="B11623" s="845" t="s">
        <v>2564</v>
      </c>
      <c r="C11623" s="1007">
        <f t="shared" si="233"/>
        <v>69</v>
      </c>
      <c r="D11623" s="1012"/>
      <c r="H11623" s="1011" t="s">
        <v>1010</v>
      </c>
      <c r="K11623" s="1013"/>
    </row>
    <row r="11624" spans="1:11" s="1011" customFormat="1" ht="15" x14ac:dyDescent="0.25">
      <c r="A11624" s="859">
        <f t="shared" si="234"/>
        <v>11623</v>
      </c>
      <c r="B11624" s="845" t="s">
        <v>2564</v>
      </c>
      <c r="C11624" s="1007">
        <f t="shared" si="233"/>
        <v>69</v>
      </c>
      <c r="D11624" s="1015"/>
      <c r="H11624" s="1011" t="s">
        <v>1007</v>
      </c>
      <c r="K11624" s="1013"/>
    </row>
    <row r="11625" spans="1:11" s="1011" customFormat="1" ht="15" x14ac:dyDescent="0.25">
      <c r="A11625" s="859">
        <f t="shared" si="234"/>
        <v>11624</v>
      </c>
      <c r="B11625" s="845" t="s">
        <v>2564</v>
      </c>
      <c r="C11625" s="1007">
        <f t="shared" si="233"/>
        <v>69</v>
      </c>
      <c r="D11625" s="1012"/>
      <c r="I11625" s="1011" t="s">
        <v>2181</v>
      </c>
      <c r="K11625" s="1013"/>
    </row>
    <row r="11626" spans="1:11" s="1011" customFormat="1" ht="15" x14ac:dyDescent="0.25">
      <c r="A11626" s="859">
        <f t="shared" si="234"/>
        <v>11625</v>
      </c>
      <c r="B11626" s="845" t="s">
        <v>2564</v>
      </c>
      <c r="C11626" s="1007">
        <f t="shared" si="233"/>
        <v>69</v>
      </c>
      <c r="D11626" s="1012"/>
      <c r="I11626" s="1011" t="str">
        <f>CONCATENATE("&lt;valeur&gt;",VLOOKUP(C11626,'T16 Amort'!A:K,9,0),"&lt;/valeur&gt;")</f>
        <v>&lt;valeur&gt;&lt;/valeur&gt;</v>
      </c>
      <c r="K11626" s="1013"/>
    </row>
    <row r="11627" spans="1:11" s="1011" customFormat="1" ht="15" x14ac:dyDescent="0.25">
      <c r="A11627" s="859">
        <f t="shared" si="234"/>
        <v>11626</v>
      </c>
      <c r="B11627" s="845" t="s">
        <v>2564</v>
      </c>
      <c r="C11627" s="1007">
        <f t="shared" si="233"/>
        <v>69</v>
      </c>
      <c r="D11627" s="1014"/>
      <c r="I11627" s="1011" t="str">
        <f>CONCATENATE("&lt;numeroLigne&gt;",C11627,"&lt;/numeroLigne&gt;")</f>
        <v>&lt;numeroLigne&gt;69&lt;/numeroLigne&gt;</v>
      </c>
      <c r="K11627" s="1013"/>
    </row>
    <row r="11628" spans="1:11" s="1011" customFormat="1" ht="15" x14ac:dyDescent="0.25">
      <c r="A11628" s="859">
        <f t="shared" si="234"/>
        <v>11627</v>
      </c>
      <c r="B11628" s="845" t="s">
        <v>2564</v>
      </c>
      <c r="C11628" s="1007">
        <f t="shared" si="233"/>
        <v>69</v>
      </c>
      <c r="D11628" s="1014"/>
      <c r="H11628" s="1011" t="s">
        <v>1010</v>
      </c>
      <c r="K11628" s="1013"/>
    </row>
    <row r="11629" spans="1:11" s="1011" customFormat="1" ht="15" x14ac:dyDescent="0.25">
      <c r="A11629" s="859">
        <f t="shared" si="234"/>
        <v>11628</v>
      </c>
      <c r="B11629" s="845" t="s">
        <v>2564</v>
      </c>
      <c r="C11629" s="1007">
        <f t="shared" si="233"/>
        <v>69</v>
      </c>
      <c r="D11629" s="1012"/>
      <c r="H11629" s="1011" t="s">
        <v>1007</v>
      </c>
      <c r="K11629" s="1013"/>
    </row>
    <row r="11630" spans="1:11" s="1011" customFormat="1" ht="15" x14ac:dyDescent="0.25">
      <c r="A11630" s="859">
        <f t="shared" si="234"/>
        <v>11629</v>
      </c>
      <c r="B11630" s="845" t="s">
        <v>2564</v>
      </c>
      <c r="C11630" s="1007">
        <f t="shared" si="233"/>
        <v>69</v>
      </c>
      <c r="D11630" s="1015"/>
      <c r="I11630" s="1011" t="s">
        <v>2182</v>
      </c>
      <c r="K11630" s="1013"/>
    </row>
    <row r="11631" spans="1:11" s="1011" customFormat="1" ht="15" x14ac:dyDescent="0.25">
      <c r="A11631" s="859">
        <f t="shared" si="234"/>
        <v>11630</v>
      </c>
      <c r="B11631" s="845" t="s">
        <v>2564</v>
      </c>
      <c r="C11631" s="1007">
        <f t="shared" ref="C11631:C11694" si="235">C11581+1</f>
        <v>69</v>
      </c>
      <c r="D11631" s="1012"/>
      <c r="I11631" s="1011" t="str">
        <f>CONCATENATE("&lt;valeur&gt;",VLOOKUP(C11631,'T16 Amort'!A:K,10,0),"&lt;/valeur&gt;")</f>
        <v>&lt;valeur&gt;&lt;/valeur&gt;</v>
      </c>
      <c r="K11631" s="1013"/>
    </row>
    <row r="11632" spans="1:11" s="1011" customFormat="1" ht="15" x14ac:dyDescent="0.25">
      <c r="A11632" s="859">
        <f t="shared" si="234"/>
        <v>11631</v>
      </c>
      <c r="B11632" s="845" t="s">
        <v>2564</v>
      </c>
      <c r="C11632" s="1007">
        <f t="shared" si="235"/>
        <v>69</v>
      </c>
      <c r="D11632" s="1012"/>
      <c r="I11632" s="1011" t="str">
        <f>CONCATENATE("&lt;numeroLigne&gt;",C11632,"&lt;/numeroLigne&gt;")</f>
        <v>&lt;numeroLigne&gt;69&lt;/numeroLigne&gt;</v>
      </c>
      <c r="K11632" s="1013"/>
    </row>
    <row r="11633" spans="1:11" s="1011" customFormat="1" ht="15" x14ac:dyDescent="0.25">
      <c r="A11633" s="859">
        <f t="shared" si="234"/>
        <v>11632</v>
      </c>
      <c r="B11633" s="845" t="s">
        <v>2564</v>
      </c>
      <c r="C11633" s="1007">
        <f t="shared" si="235"/>
        <v>69</v>
      </c>
      <c r="D11633" s="1014"/>
      <c r="H11633" s="1011" t="s">
        <v>1010</v>
      </c>
      <c r="K11633" s="1013"/>
    </row>
    <row r="11634" spans="1:11" s="1011" customFormat="1" ht="15" x14ac:dyDescent="0.25">
      <c r="A11634" s="859">
        <f t="shared" si="234"/>
        <v>11633</v>
      </c>
      <c r="B11634" s="845" t="s">
        <v>2564</v>
      </c>
      <c r="C11634" s="1007">
        <f t="shared" si="235"/>
        <v>69</v>
      </c>
      <c r="D11634" s="1014"/>
      <c r="H11634" s="1011" t="s">
        <v>1007</v>
      </c>
      <c r="K11634" s="1013"/>
    </row>
    <row r="11635" spans="1:11" s="1011" customFormat="1" ht="15" x14ac:dyDescent="0.25">
      <c r="A11635" s="859">
        <f t="shared" si="234"/>
        <v>11634</v>
      </c>
      <c r="B11635" s="845" t="s">
        <v>2564</v>
      </c>
      <c r="C11635" s="1007">
        <f t="shared" si="235"/>
        <v>69</v>
      </c>
      <c r="D11635" s="1012"/>
      <c r="I11635" s="1011" t="s">
        <v>2183</v>
      </c>
      <c r="K11635" s="1013"/>
    </row>
    <row r="11636" spans="1:11" s="1011" customFormat="1" ht="15" x14ac:dyDescent="0.25">
      <c r="A11636" s="859">
        <f t="shared" si="234"/>
        <v>11635</v>
      </c>
      <c r="B11636" s="845" t="s">
        <v>2564</v>
      </c>
      <c r="C11636" s="1007">
        <f t="shared" si="235"/>
        <v>69</v>
      </c>
      <c r="D11636" s="1015"/>
      <c r="I11636" s="1011" t="str">
        <f>CONCATENATE("&lt;valeur&gt;",VLOOKUP(C11636,'T16 Amort'!A:K,11,0),"&lt;/valeur&gt;")</f>
        <v>&lt;valeur&gt;&lt;/valeur&gt;</v>
      </c>
      <c r="K11636" s="1013"/>
    </row>
    <row r="11637" spans="1:11" s="1011" customFormat="1" ht="15" x14ac:dyDescent="0.25">
      <c r="A11637" s="859">
        <f t="shared" si="234"/>
        <v>11636</v>
      </c>
      <c r="B11637" s="845" t="s">
        <v>2564</v>
      </c>
      <c r="C11637" s="1007">
        <f t="shared" si="235"/>
        <v>69</v>
      </c>
      <c r="D11637" s="1012"/>
      <c r="I11637" s="1011" t="str">
        <f>CONCATENATE("&lt;numeroLigne&gt;",C11637,"&lt;/numeroLigne&gt;")</f>
        <v>&lt;numeroLigne&gt;69&lt;/numeroLigne&gt;</v>
      </c>
      <c r="K11637" s="1013"/>
    </row>
    <row r="11638" spans="1:11" s="1011" customFormat="1" ht="15" x14ac:dyDescent="0.25">
      <c r="A11638" s="859">
        <f t="shared" si="234"/>
        <v>11637</v>
      </c>
      <c r="B11638" s="845" t="s">
        <v>2564</v>
      </c>
      <c r="C11638" s="1007">
        <f t="shared" si="235"/>
        <v>69</v>
      </c>
      <c r="D11638" s="1016"/>
      <c r="E11638" s="1017"/>
      <c r="F11638" s="1017"/>
      <c r="G11638" s="1017"/>
      <c r="H11638" s="1017" t="s">
        <v>1010</v>
      </c>
      <c r="I11638" s="1017"/>
      <c r="J11638" s="1017"/>
      <c r="K11638" s="1018"/>
    </row>
    <row r="11639" spans="1:11" s="1011" customFormat="1" ht="15" x14ac:dyDescent="0.25">
      <c r="A11639" s="859">
        <f t="shared" si="234"/>
        <v>11638</v>
      </c>
      <c r="B11639" s="845" t="s">
        <v>2564</v>
      </c>
      <c r="C11639" s="1007">
        <f t="shared" si="235"/>
        <v>70</v>
      </c>
      <c r="D11639" s="1008"/>
      <c r="E11639" s="1009"/>
      <c r="F11639" s="1009"/>
      <c r="G11639" s="1009"/>
      <c r="H11639" s="1009" t="s">
        <v>1007</v>
      </c>
      <c r="I11639" s="1009"/>
      <c r="J11639" s="1009"/>
      <c r="K11639" s="1010"/>
    </row>
    <row r="11640" spans="1:11" s="1011" customFormat="1" ht="15" x14ac:dyDescent="0.25">
      <c r="A11640" s="859">
        <f t="shared" si="234"/>
        <v>11639</v>
      </c>
      <c r="B11640" s="845" t="s">
        <v>2564</v>
      </c>
      <c r="C11640" s="1007">
        <f t="shared" si="235"/>
        <v>70</v>
      </c>
      <c r="D11640" s="1012"/>
      <c r="I11640" s="1011" t="s">
        <v>2174</v>
      </c>
      <c r="K11640" s="1013"/>
    </row>
    <row r="11641" spans="1:11" s="1011" customFormat="1" ht="15" x14ac:dyDescent="0.25">
      <c r="A11641" s="859">
        <f t="shared" si="234"/>
        <v>11640</v>
      </c>
      <c r="B11641" s="845" t="s">
        <v>2564</v>
      </c>
      <c r="C11641" s="1007">
        <f t="shared" si="235"/>
        <v>70</v>
      </c>
      <c r="D11641" s="1014"/>
      <c r="I11641" s="1011" t="str">
        <f>CONCATENATE("&lt;valeur&gt;",VLOOKUP(C11641,'T16 Amort'!A:K,2,0),"&lt;/valeur&gt;")</f>
        <v>&lt;valeur&gt;&lt;/valeur&gt;</v>
      </c>
      <c r="K11641" s="1013"/>
    </row>
    <row r="11642" spans="1:11" s="1011" customFormat="1" ht="15" x14ac:dyDescent="0.25">
      <c r="A11642" s="859">
        <f t="shared" si="234"/>
        <v>11641</v>
      </c>
      <c r="B11642" s="845" t="s">
        <v>2564</v>
      </c>
      <c r="C11642" s="1007">
        <f t="shared" si="235"/>
        <v>70</v>
      </c>
      <c r="D11642" s="1014"/>
      <c r="I11642" s="1011" t="str">
        <f>CONCATENATE("&lt;numeroLigne&gt;",C11642,"&lt;/numeroLigne&gt;")</f>
        <v>&lt;numeroLigne&gt;70&lt;/numeroLigne&gt;</v>
      </c>
      <c r="K11642" s="1013"/>
    </row>
    <row r="11643" spans="1:11" s="1011" customFormat="1" ht="15" x14ac:dyDescent="0.25">
      <c r="A11643" s="859">
        <f t="shared" si="234"/>
        <v>11642</v>
      </c>
      <c r="B11643" s="845" t="s">
        <v>2564</v>
      </c>
      <c r="C11643" s="1007">
        <f t="shared" si="235"/>
        <v>70</v>
      </c>
      <c r="D11643" s="1012"/>
      <c r="H11643" s="1011" t="s">
        <v>1010</v>
      </c>
      <c r="K11643" s="1013"/>
    </row>
    <row r="11644" spans="1:11" s="1011" customFormat="1" ht="15" x14ac:dyDescent="0.25">
      <c r="A11644" s="859">
        <f t="shared" si="234"/>
        <v>11643</v>
      </c>
      <c r="B11644" s="845" t="s">
        <v>2564</v>
      </c>
      <c r="C11644" s="1007">
        <f t="shared" si="235"/>
        <v>70</v>
      </c>
      <c r="D11644" s="1015"/>
      <c r="H11644" s="1011" t="s">
        <v>1007</v>
      </c>
      <c r="K11644" s="1013"/>
    </row>
    <row r="11645" spans="1:11" s="1011" customFormat="1" ht="15" x14ac:dyDescent="0.25">
      <c r="A11645" s="859">
        <f t="shared" si="234"/>
        <v>11644</v>
      </c>
      <c r="B11645" s="845" t="s">
        <v>2564</v>
      </c>
      <c r="C11645" s="1007">
        <f t="shared" si="235"/>
        <v>70</v>
      </c>
      <c r="D11645" s="1012"/>
      <c r="I11645" s="1011" t="s">
        <v>2175</v>
      </c>
      <c r="K11645" s="1013"/>
    </row>
    <row r="11646" spans="1:11" s="1011" customFormat="1" ht="15" x14ac:dyDescent="0.25">
      <c r="A11646" s="859">
        <f t="shared" si="234"/>
        <v>11645</v>
      </c>
      <c r="B11646" s="845" t="s">
        <v>2564</v>
      </c>
      <c r="C11646" s="1007">
        <f t="shared" si="235"/>
        <v>70</v>
      </c>
      <c r="D11646" s="1012"/>
      <c r="I11646" s="1011" t="str">
        <f>CONCATENATE("&lt;valeur&gt;",VLOOKUP(C11646,'T16 Amort'!A:K,3,0),"&lt;/valeur&gt;")</f>
        <v>&lt;valeur&gt;&lt;/valeur&gt;</v>
      </c>
      <c r="K11646" s="1013"/>
    </row>
    <row r="11647" spans="1:11" s="1011" customFormat="1" ht="15" x14ac:dyDescent="0.25">
      <c r="A11647" s="859">
        <f t="shared" si="234"/>
        <v>11646</v>
      </c>
      <c r="B11647" s="845" t="s">
        <v>2564</v>
      </c>
      <c r="C11647" s="1007">
        <f t="shared" si="235"/>
        <v>70</v>
      </c>
      <c r="D11647" s="1014"/>
      <c r="I11647" s="1011" t="str">
        <f>CONCATENATE("&lt;numeroLigne&gt;",C11647,"&lt;/numeroLigne&gt;")</f>
        <v>&lt;numeroLigne&gt;70&lt;/numeroLigne&gt;</v>
      </c>
      <c r="K11647" s="1013"/>
    </row>
    <row r="11648" spans="1:11" s="1011" customFormat="1" ht="15" x14ac:dyDescent="0.25">
      <c r="A11648" s="859">
        <f t="shared" si="234"/>
        <v>11647</v>
      </c>
      <c r="B11648" s="845" t="s">
        <v>2564</v>
      </c>
      <c r="C11648" s="1007">
        <f t="shared" si="235"/>
        <v>70</v>
      </c>
      <c r="D11648" s="1014"/>
      <c r="H11648" s="1011" t="s">
        <v>1010</v>
      </c>
      <c r="K11648" s="1013"/>
    </row>
    <row r="11649" spans="1:11" s="1011" customFormat="1" ht="15" x14ac:dyDescent="0.25">
      <c r="A11649" s="859">
        <f t="shared" si="234"/>
        <v>11648</v>
      </c>
      <c r="B11649" s="845" t="s">
        <v>2564</v>
      </c>
      <c r="C11649" s="1007">
        <f t="shared" si="235"/>
        <v>70</v>
      </c>
      <c r="D11649" s="1012"/>
      <c r="H11649" s="1011" t="s">
        <v>1007</v>
      </c>
      <c r="K11649" s="1013"/>
    </row>
    <row r="11650" spans="1:11" s="1011" customFormat="1" ht="15" x14ac:dyDescent="0.25">
      <c r="A11650" s="859">
        <f t="shared" si="234"/>
        <v>11649</v>
      </c>
      <c r="B11650" s="845" t="s">
        <v>2564</v>
      </c>
      <c r="C11650" s="1007">
        <f t="shared" si="235"/>
        <v>70</v>
      </c>
      <c r="D11650" s="1015"/>
      <c r="I11650" s="1011" t="s">
        <v>2176</v>
      </c>
      <c r="K11650" s="1013"/>
    </row>
    <row r="11651" spans="1:11" s="1011" customFormat="1" ht="15" x14ac:dyDescent="0.25">
      <c r="A11651" s="859">
        <f t="shared" si="234"/>
        <v>11650</v>
      </c>
      <c r="B11651" s="845" t="s">
        <v>2564</v>
      </c>
      <c r="C11651" s="1007">
        <f t="shared" si="235"/>
        <v>70</v>
      </c>
      <c r="D11651" s="1012"/>
      <c r="I11651" s="1011" t="str">
        <f>CONCATENATE("&lt;valeur&gt;",VLOOKUP(C11651,'T16 Amort'!A:K,4,0),"&lt;/valeur&gt;")</f>
        <v>&lt;valeur&gt;&lt;/valeur&gt;</v>
      </c>
      <c r="K11651" s="1013"/>
    </row>
    <row r="11652" spans="1:11" s="1011" customFormat="1" ht="15" x14ac:dyDescent="0.25">
      <c r="A11652" s="859">
        <f t="shared" ref="A11652:A11715" si="236">+A11651+1</f>
        <v>11651</v>
      </c>
      <c r="B11652" s="845" t="s">
        <v>2564</v>
      </c>
      <c r="C11652" s="1007">
        <f t="shared" si="235"/>
        <v>70</v>
      </c>
      <c r="D11652" s="1012"/>
      <c r="I11652" s="1011" t="str">
        <f>CONCATENATE("&lt;numeroLigne&gt;",C11652,"&lt;/numeroLigne&gt;")</f>
        <v>&lt;numeroLigne&gt;70&lt;/numeroLigne&gt;</v>
      </c>
      <c r="K11652" s="1013"/>
    </row>
    <row r="11653" spans="1:11" s="1011" customFormat="1" ht="15" x14ac:dyDescent="0.25">
      <c r="A11653" s="859">
        <f t="shared" si="236"/>
        <v>11652</v>
      </c>
      <c r="B11653" s="845" t="s">
        <v>2564</v>
      </c>
      <c r="C11653" s="1007">
        <f t="shared" si="235"/>
        <v>70</v>
      </c>
      <c r="D11653" s="1014"/>
      <c r="H11653" s="1011" t="s">
        <v>1010</v>
      </c>
      <c r="K11653" s="1013"/>
    </row>
    <row r="11654" spans="1:11" s="1011" customFormat="1" ht="15" x14ac:dyDescent="0.25">
      <c r="A11654" s="859">
        <f t="shared" si="236"/>
        <v>11653</v>
      </c>
      <c r="B11654" s="845" t="s">
        <v>2564</v>
      </c>
      <c r="C11654" s="1007">
        <f t="shared" si="235"/>
        <v>70</v>
      </c>
      <c r="D11654" s="1014"/>
      <c r="H11654" s="1011" t="s">
        <v>1007</v>
      </c>
      <c r="K11654" s="1013"/>
    </row>
    <row r="11655" spans="1:11" s="1011" customFormat="1" ht="15" x14ac:dyDescent="0.25">
      <c r="A11655" s="859">
        <f t="shared" si="236"/>
        <v>11654</v>
      </c>
      <c r="B11655" s="845" t="s">
        <v>2564</v>
      </c>
      <c r="C11655" s="1007">
        <f t="shared" si="235"/>
        <v>70</v>
      </c>
      <c r="D11655" s="1012"/>
      <c r="I11655" s="1011" t="s">
        <v>2177</v>
      </c>
      <c r="K11655" s="1013"/>
    </row>
    <row r="11656" spans="1:11" s="1011" customFormat="1" ht="15" x14ac:dyDescent="0.25">
      <c r="A11656" s="859">
        <f t="shared" si="236"/>
        <v>11655</v>
      </c>
      <c r="B11656" s="845" t="s">
        <v>2564</v>
      </c>
      <c r="C11656" s="1007">
        <f t="shared" si="235"/>
        <v>70</v>
      </c>
      <c r="D11656" s="1015"/>
      <c r="I11656" s="1011" t="str">
        <f>CONCATENATE("&lt;valeur&gt;",VLOOKUP(C11656,'T16 Amort'!A:K,5,0),"&lt;/valeur&gt;")</f>
        <v>&lt;valeur&gt;&lt;/valeur&gt;</v>
      </c>
      <c r="K11656" s="1013"/>
    </row>
    <row r="11657" spans="1:11" s="1011" customFormat="1" ht="15" x14ac:dyDescent="0.25">
      <c r="A11657" s="859">
        <f t="shared" si="236"/>
        <v>11656</v>
      </c>
      <c r="B11657" s="845" t="s">
        <v>2564</v>
      </c>
      <c r="C11657" s="1007">
        <f t="shared" si="235"/>
        <v>70</v>
      </c>
      <c r="D11657" s="1012"/>
      <c r="I11657" s="1011" t="str">
        <f>CONCATENATE("&lt;numeroLigne&gt;",C11657,"&lt;/numeroLigne&gt;")</f>
        <v>&lt;numeroLigne&gt;70&lt;/numeroLigne&gt;</v>
      </c>
      <c r="K11657" s="1013"/>
    </row>
    <row r="11658" spans="1:11" s="1011" customFormat="1" ht="15" x14ac:dyDescent="0.25">
      <c r="A11658" s="859">
        <f t="shared" si="236"/>
        <v>11657</v>
      </c>
      <c r="B11658" s="845" t="s">
        <v>2564</v>
      </c>
      <c r="C11658" s="1007">
        <f t="shared" si="235"/>
        <v>70</v>
      </c>
      <c r="D11658" s="1012"/>
      <c r="H11658" s="1011" t="s">
        <v>1010</v>
      </c>
      <c r="K11658" s="1013"/>
    </row>
    <row r="11659" spans="1:11" s="1011" customFormat="1" ht="15" x14ac:dyDescent="0.25">
      <c r="A11659" s="859">
        <f t="shared" si="236"/>
        <v>11658</v>
      </c>
      <c r="B11659" s="845" t="s">
        <v>2564</v>
      </c>
      <c r="C11659" s="1007">
        <f t="shared" si="235"/>
        <v>70</v>
      </c>
      <c r="D11659" s="1014"/>
      <c r="H11659" s="1011" t="s">
        <v>1007</v>
      </c>
      <c r="K11659" s="1013"/>
    </row>
    <row r="11660" spans="1:11" s="1011" customFormat="1" ht="15" x14ac:dyDescent="0.25">
      <c r="A11660" s="859">
        <f t="shared" si="236"/>
        <v>11659</v>
      </c>
      <c r="B11660" s="845" t="s">
        <v>2564</v>
      </c>
      <c r="C11660" s="1007">
        <f t="shared" si="235"/>
        <v>70</v>
      </c>
      <c r="D11660" s="1014"/>
      <c r="I11660" s="1011" t="s">
        <v>2178</v>
      </c>
      <c r="K11660" s="1013"/>
    </row>
    <row r="11661" spans="1:11" s="1011" customFormat="1" ht="15" x14ac:dyDescent="0.25">
      <c r="A11661" s="859">
        <f t="shared" si="236"/>
        <v>11660</v>
      </c>
      <c r="B11661" s="845" t="s">
        <v>2564</v>
      </c>
      <c r="C11661" s="1007">
        <f t="shared" si="235"/>
        <v>70</v>
      </c>
      <c r="D11661" s="1012"/>
      <c r="I11661" s="1011" t="str">
        <f>CONCATENATE("&lt;valeur&gt;",VLOOKUP(C11661,'T16 Amort'!A:K,6,0),"&lt;/valeur&gt;")</f>
        <v>&lt;valeur&gt;&lt;/valeur&gt;</v>
      </c>
      <c r="K11661" s="1013"/>
    </row>
    <row r="11662" spans="1:11" s="1011" customFormat="1" ht="15" x14ac:dyDescent="0.25">
      <c r="A11662" s="859">
        <f t="shared" si="236"/>
        <v>11661</v>
      </c>
      <c r="B11662" s="845" t="s">
        <v>2564</v>
      </c>
      <c r="C11662" s="1007">
        <f t="shared" si="235"/>
        <v>70</v>
      </c>
      <c r="D11662" s="1015"/>
      <c r="I11662" s="1011" t="str">
        <f>CONCATENATE("&lt;numeroLigne&gt;",C11662,"&lt;/numeroLigne&gt;")</f>
        <v>&lt;numeroLigne&gt;70&lt;/numeroLigne&gt;</v>
      </c>
      <c r="K11662" s="1013"/>
    </row>
    <row r="11663" spans="1:11" s="1011" customFormat="1" ht="15" x14ac:dyDescent="0.25">
      <c r="A11663" s="859">
        <f t="shared" si="236"/>
        <v>11662</v>
      </c>
      <c r="B11663" s="845" t="s">
        <v>2564</v>
      </c>
      <c r="C11663" s="1007">
        <f t="shared" si="235"/>
        <v>70</v>
      </c>
      <c r="D11663" s="1012"/>
      <c r="H11663" s="1011" t="s">
        <v>1010</v>
      </c>
      <c r="K11663" s="1013"/>
    </row>
    <row r="11664" spans="1:11" s="1011" customFormat="1" ht="15" x14ac:dyDescent="0.25">
      <c r="A11664" s="859">
        <f t="shared" si="236"/>
        <v>11663</v>
      </c>
      <c r="B11664" s="845" t="s">
        <v>2564</v>
      </c>
      <c r="C11664" s="1007">
        <f t="shared" si="235"/>
        <v>70</v>
      </c>
      <c r="D11664" s="1012"/>
      <c r="H11664" s="1011" t="s">
        <v>1007</v>
      </c>
      <c r="K11664" s="1013"/>
    </row>
    <row r="11665" spans="1:11" s="1011" customFormat="1" ht="15" x14ac:dyDescent="0.25">
      <c r="A11665" s="859">
        <f t="shared" si="236"/>
        <v>11664</v>
      </c>
      <c r="B11665" s="845" t="s">
        <v>2564</v>
      </c>
      <c r="C11665" s="1007">
        <f t="shared" si="235"/>
        <v>70</v>
      </c>
      <c r="D11665" s="1014"/>
      <c r="I11665" s="1011" t="s">
        <v>2179</v>
      </c>
      <c r="K11665" s="1013"/>
    </row>
    <row r="11666" spans="1:11" s="1011" customFormat="1" ht="15" x14ac:dyDescent="0.25">
      <c r="A11666" s="859">
        <f t="shared" si="236"/>
        <v>11665</v>
      </c>
      <c r="B11666" s="845" t="s">
        <v>2564</v>
      </c>
      <c r="C11666" s="1007">
        <f t="shared" si="235"/>
        <v>70</v>
      </c>
      <c r="D11666" s="1014"/>
      <c r="I11666" s="1011" t="str">
        <f>CONCATENATE("&lt;valeur&gt;",VLOOKUP(C11666,'T16 Amort'!A:K,7,0),"&lt;/valeur&gt;")</f>
        <v>&lt;valeur&gt;&lt;/valeur&gt;</v>
      </c>
      <c r="K11666" s="1013"/>
    </row>
    <row r="11667" spans="1:11" s="1011" customFormat="1" ht="15" x14ac:dyDescent="0.25">
      <c r="A11667" s="859">
        <f t="shared" si="236"/>
        <v>11666</v>
      </c>
      <c r="B11667" s="845" t="s">
        <v>2564</v>
      </c>
      <c r="C11667" s="1007">
        <f t="shared" si="235"/>
        <v>70</v>
      </c>
      <c r="D11667" s="1012"/>
      <c r="I11667" s="1011" t="str">
        <f>CONCATENATE("&lt;numeroLigne&gt;",C11667,"&lt;/numeroLigne&gt;")</f>
        <v>&lt;numeroLigne&gt;70&lt;/numeroLigne&gt;</v>
      </c>
      <c r="K11667" s="1013"/>
    </row>
    <row r="11668" spans="1:11" s="1011" customFormat="1" ht="15" x14ac:dyDescent="0.25">
      <c r="A11668" s="859">
        <f t="shared" si="236"/>
        <v>11667</v>
      </c>
      <c r="B11668" s="845" t="s">
        <v>2564</v>
      </c>
      <c r="C11668" s="1007">
        <f t="shared" si="235"/>
        <v>70</v>
      </c>
      <c r="D11668" s="1015"/>
      <c r="H11668" s="1011" t="s">
        <v>1010</v>
      </c>
      <c r="K11668" s="1013"/>
    </row>
    <row r="11669" spans="1:11" s="1011" customFormat="1" ht="15" x14ac:dyDescent="0.25">
      <c r="A11669" s="859">
        <f t="shared" si="236"/>
        <v>11668</v>
      </c>
      <c r="B11669" s="845" t="s">
        <v>2564</v>
      </c>
      <c r="C11669" s="1007">
        <f t="shared" si="235"/>
        <v>70</v>
      </c>
      <c r="D11669" s="1012"/>
      <c r="H11669" s="1011" t="s">
        <v>1007</v>
      </c>
      <c r="K11669" s="1013"/>
    </row>
    <row r="11670" spans="1:11" s="1011" customFormat="1" ht="15" x14ac:dyDescent="0.25">
      <c r="A11670" s="859">
        <f t="shared" si="236"/>
        <v>11669</v>
      </c>
      <c r="B11670" s="845" t="s">
        <v>2564</v>
      </c>
      <c r="C11670" s="1007">
        <f t="shared" si="235"/>
        <v>70</v>
      </c>
      <c r="D11670" s="1012"/>
      <c r="I11670" s="1011" t="s">
        <v>2180</v>
      </c>
      <c r="K11670" s="1013"/>
    </row>
    <row r="11671" spans="1:11" s="1011" customFormat="1" ht="15" x14ac:dyDescent="0.25">
      <c r="A11671" s="859">
        <f t="shared" si="236"/>
        <v>11670</v>
      </c>
      <c r="B11671" s="845" t="s">
        <v>2564</v>
      </c>
      <c r="C11671" s="1007">
        <f t="shared" si="235"/>
        <v>70</v>
      </c>
      <c r="D11671" s="1014"/>
      <c r="I11671" s="1011" t="str">
        <f>CONCATENATE("&lt;valeur&gt;",VLOOKUP(C11671,'T16 Amort'!A:K,8,0),"&lt;/valeur&gt;")</f>
        <v>&lt;valeur&gt;&lt;/valeur&gt;</v>
      </c>
      <c r="K11671" s="1013"/>
    </row>
    <row r="11672" spans="1:11" s="1011" customFormat="1" ht="15" x14ac:dyDescent="0.25">
      <c r="A11672" s="859">
        <f t="shared" si="236"/>
        <v>11671</v>
      </c>
      <c r="B11672" s="845" t="s">
        <v>2564</v>
      </c>
      <c r="C11672" s="1007">
        <f t="shared" si="235"/>
        <v>70</v>
      </c>
      <c r="D11672" s="1014"/>
      <c r="I11672" s="1011" t="str">
        <f>CONCATENATE("&lt;numeroLigne&gt;",C11672,"&lt;/numeroLigne&gt;")</f>
        <v>&lt;numeroLigne&gt;70&lt;/numeroLigne&gt;</v>
      </c>
      <c r="K11672" s="1013"/>
    </row>
    <row r="11673" spans="1:11" s="1011" customFormat="1" ht="15" x14ac:dyDescent="0.25">
      <c r="A11673" s="859">
        <f t="shared" si="236"/>
        <v>11672</v>
      </c>
      <c r="B11673" s="845" t="s">
        <v>2564</v>
      </c>
      <c r="C11673" s="1007">
        <f t="shared" si="235"/>
        <v>70</v>
      </c>
      <c r="D11673" s="1012"/>
      <c r="H11673" s="1011" t="s">
        <v>1010</v>
      </c>
      <c r="K11673" s="1013"/>
    </row>
    <row r="11674" spans="1:11" s="1011" customFormat="1" ht="15" x14ac:dyDescent="0.25">
      <c r="A11674" s="859">
        <f t="shared" si="236"/>
        <v>11673</v>
      </c>
      <c r="B11674" s="845" t="s">
        <v>2564</v>
      </c>
      <c r="C11674" s="1007">
        <f t="shared" si="235"/>
        <v>70</v>
      </c>
      <c r="D11674" s="1015"/>
      <c r="H11674" s="1011" t="s">
        <v>1007</v>
      </c>
      <c r="K11674" s="1013"/>
    </row>
    <row r="11675" spans="1:11" s="1011" customFormat="1" ht="15" x14ac:dyDescent="0.25">
      <c r="A11675" s="859">
        <f t="shared" si="236"/>
        <v>11674</v>
      </c>
      <c r="B11675" s="845" t="s">
        <v>2564</v>
      </c>
      <c r="C11675" s="1007">
        <f t="shared" si="235"/>
        <v>70</v>
      </c>
      <c r="D11675" s="1012"/>
      <c r="I11675" s="1011" t="s">
        <v>2181</v>
      </c>
      <c r="K11675" s="1013"/>
    </row>
    <row r="11676" spans="1:11" s="1011" customFormat="1" ht="15" x14ac:dyDescent="0.25">
      <c r="A11676" s="859">
        <f t="shared" si="236"/>
        <v>11675</v>
      </c>
      <c r="B11676" s="845" t="s">
        <v>2564</v>
      </c>
      <c r="C11676" s="1007">
        <f t="shared" si="235"/>
        <v>70</v>
      </c>
      <c r="D11676" s="1012"/>
      <c r="I11676" s="1011" t="str">
        <f>CONCATENATE("&lt;valeur&gt;",VLOOKUP(C11676,'T16 Amort'!A:K,9,0),"&lt;/valeur&gt;")</f>
        <v>&lt;valeur&gt;&lt;/valeur&gt;</v>
      </c>
      <c r="K11676" s="1013"/>
    </row>
    <row r="11677" spans="1:11" s="1011" customFormat="1" ht="15" x14ac:dyDescent="0.25">
      <c r="A11677" s="859">
        <f t="shared" si="236"/>
        <v>11676</v>
      </c>
      <c r="B11677" s="845" t="s">
        <v>2564</v>
      </c>
      <c r="C11677" s="1007">
        <f t="shared" si="235"/>
        <v>70</v>
      </c>
      <c r="D11677" s="1014"/>
      <c r="I11677" s="1011" t="str">
        <f>CONCATENATE("&lt;numeroLigne&gt;",C11677,"&lt;/numeroLigne&gt;")</f>
        <v>&lt;numeroLigne&gt;70&lt;/numeroLigne&gt;</v>
      </c>
      <c r="K11677" s="1013"/>
    </row>
    <row r="11678" spans="1:11" s="1011" customFormat="1" ht="15" x14ac:dyDescent="0.25">
      <c r="A11678" s="859">
        <f t="shared" si="236"/>
        <v>11677</v>
      </c>
      <c r="B11678" s="845" t="s">
        <v>2564</v>
      </c>
      <c r="C11678" s="1007">
        <f t="shared" si="235"/>
        <v>70</v>
      </c>
      <c r="D11678" s="1014"/>
      <c r="H11678" s="1011" t="s">
        <v>1010</v>
      </c>
      <c r="K11678" s="1013"/>
    </row>
    <row r="11679" spans="1:11" s="1011" customFormat="1" ht="15" x14ac:dyDescent="0.25">
      <c r="A11679" s="859">
        <f t="shared" si="236"/>
        <v>11678</v>
      </c>
      <c r="B11679" s="845" t="s">
        <v>2564</v>
      </c>
      <c r="C11679" s="1007">
        <f t="shared" si="235"/>
        <v>70</v>
      </c>
      <c r="D11679" s="1012"/>
      <c r="H11679" s="1011" t="s">
        <v>1007</v>
      </c>
      <c r="K11679" s="1013"/>
    </row>
    <row r="11680" spans="1:11" s="1011" customFormat="1" ht="15" x14ac:dyDescent="0.25">
      <c r="A11680" s="859">
        <f t="shared" si="236"/>
        <v>11679</v>
      </c>
      <c r="B11680" s="845" t="s">
        <v>2564</v>
      </c>
      <c r="C11680" s="1007">
        <f t="shared" si="235"/>
        <v>70</v>
      </c>
      <c r="D11680" s="1015"/>
      <c r="I11680" s="1011" t="s">
        <v>2182</v>
      </c>
      <c r="K11680" s="1013"/>
    </row>
    <row r="11681" spans="1:11" s="1011" customFormat="1" ht="15" x14ac:dyDescent="0.25">
      <c r="A11681" s="859">
        <f t="shared" si="236"/>
        <v>11680</v>
      </c>
      <c r="B11681" s="845" t="s">
        <v>2564</v>
      </c>
      <c r="C11681" s="1007">
        <f t="shared" si="235"/>
        <v>70</v>
      </c>
      <c r="D11681" s="1012"/>
      <c r="I11681" s="1011" t="str">
        <f>CONCATENATE("&lt;valeur&gt;",VLOOKUP(C11681,'T16 Amort'!A:K,10,0),"&lt;/valeur&gt;")</f>
        <v>&lt;valeur&gt;&lt;/valeur&gt;</v>
      </c>
      <c r="K11681" s="1013"/>
    </row>
    <row r="11682" spans="1:11" s="1011" customFormat="1" ht="15" x14ac:dyDescent="0.25">
      <c r="A11682" s="859">
        <f t="shared" si="236"/>
        <v>11681</v>
      </c>
      <c r="B11682" s="845" t="s">
        <v>2564</v>
      </c>
      <c r="C11682" s="1007">
        <f t="shared" si="235"/>
        <v>70</v>
      </c>
      <c r="D11682" s="1012"/>
      <c r="I11682" s="1011" t="str">
        <f>CONCATENATE("&lt;numeroLigne&gt;",C11682,"&lt;/numeroLigne&gt;")</f>
        <v>&lt;numeroLigne&gt;70&lt;/numeroLigne&gt;</v>
      </c>
      <c r="K11682" s="1013"/>
    </row>
    <row r="11683" spans="1:11" s="1011" customFormat="1" ht="15" x14ac:dyDescent="0.25">
      <c r="A11683" s="859">
        <f t="shared" si="236"/>
        <v>11682</v>
      </c>
      <c r="B11683" s="845" t="s">
        <v>2564</v>
      </c>
      <c r="C11683" s="1007">
        <f t="shared" si="235"/>
        <v>70</v>
      </c>
      <c r="D11683" s="1014"/>
      <c r="H11683" s="1011" t="s">
        <v>1010</v>
      </c>
      <c r="K11683" s="1013"/>
    </row>
    <row r="11684" spans="1:11" s="1011" customFormat="1" ht="15" x14ac:dyDescent="0.25">
      <c r="A11684" s="859">
        <f t="shared" si="236"/>
        <v>11683</v>
      </c>
      <c r="B11684" s="845" t="s">
        <v>2564</v>
      </c>
      <c r="C11684" s="1007">
        <f t="shared" si="235"/>
        <v>70</v>
      </c>
      <c r="D11684" s="1014"/>
      <c r="H11684" s="1011" t="s">
        <v>1007</v>
      </c>
      <c r="K11684" s="1013"/>
    </row>
    <row r="11685" spans="1:11" s="1011" customFormat="1" ht="15" x14ac:dyDescent="0.25">
      <c r="A11685" s="859">
        <f t="shared" si="236"/>
        <v>11684</v>
      </c>
      <c r="B11685" s="845" t="s">
        <v>2564</v>
      </c>
      <c r="C11685" s="1007">
        <f t="shared" si="235"/>
        <v>70</v>
      </c>
      <c r="D11685" s="1012"/>
      <c r="I11685" s="1011" t="s">
        <v>2183</v>
      </c>
      <c r="K11685" s="1013"/>
    </row>
    <row r="11686" spans="1:11" s="1011" customFormat="1" ht="15" x14ac:dyDescent="0.25">
      <c r="A11686" s="859">
        <f t="shared" si="236"/>
        <v>11685</v>
      </c>
      <c r="B11686" s="845" t="s">
        <v>2564</v>
      </c>
      <c r="C11686" s="1007">
        <f t="shared" si="235"/>
        <v>70</v>
      </c>
      <c r="D11686" s="1015"/>
      <c r="I11686" s="1011" t="str">
        <f>CONCATENATE("&lt;valeur&gt;",VLOOKUP(C11686,'T16 Amort'!A:K,11,0),"&lt;/valeur&gt;")</f>
        <v>&lt;valeur&gt;&lt;/valeur&gt;</v>
      </c>
      <c r="K11686" s="1013"/>
    </row>
    <row r="11687" spans="1:11" s="1011" customFormat="1" ht="15" x14ac:dyDescent="0.25">
      <c r="A11687" s="859">
        <f t="shared" si="236"/>
        <v>11686</v>
      </c>
      <c r="B11687" s="845" t="s">
        <v>2564</v>
      </c>
      <c r="C11687" s="1007">
        <f t="shared" si="235"/>
        <v>70</v>
      </c>
      <c r="D11687" s="1012"/>
      <c r="I11687" s="1011" t="str">
        <f>CONCATENATE("&lt;numeroLigne&gt;",C11687,"&lt;/numeroLigne&gt;")</f>
        <v>&lt;numeroLigne&gt;70&lt;/numeroLigne&gt;</v>
      </c>
      <c r="K11687" s="1013"/>
    </row>
    <row r="11688" spans="1:11" s="1011" customFormat="1" ht="15" x14ac:dyDescent="0.25">
      <c r="A11688" s="859">
        <f t="shared" si="236"/>
        <v>11687</v>
      </c>
      <c r="B11688" s="845" t="s">
        <v>2564</v>
      </c>
      <c r="C11688" s="1007">
        <f t="shared" si="235"/>
        <v>70</v>
      </c>
      <c r="D11688" s="1016"/>
      <c r="E11688" s="1017"/>
      <c r="F11688" s="1017"/>
      <c r="G11688" s="1017"/>
      <c r="H11688" s="1017" t="s">
        <v>1010</v>
      </c>
      <c r="I11688" s="1017"/>
      <c r="J11688" s="1017"/>
      <c r="K11688" s="1018"/>
    </row>
    <row r="11689" spans="1:11" s="1011" customFormat="1" ht="15" x14ac:dyDescent="0.25">
      <c r="A11689" s="859">
        <f t="shared" si="236"/>
        <v>11688</v>
      </c>
      <c r="B11689" s="845" t="s">
        <v>2564</v>
      </c>
      <c r="C11689" s="1007">
        <f t="shared" si="235"/>
        <v>71</v>
      </c>
      <c r="D11689" s="1008"/>
      <c r="E11689" s="1009"/>
      <c r="F11689" s="1009"/>
      <c r="G11689" s="1009"/>
      <c r="H11689" s="1009" t="s">
        <v>1007</v>
      </c>
      <c r="I11689" s="1009"/>
      <c r="J11689" s="1009"/>
      <c r="K11689" s="1010"/>
    </row>
    <row r="11690" spans="1:11" s="1011" customFormat="1" ht="15" x14ac:dyDescent="0.25">
      <c r="A11690" s="859">
        <f t="shared" si="236"/>
        <v>11689</v>
      </c>
      <c r="B11690" s="845" t="s">
        <v>2564</v>
      </c>
      <c r="C11690" s="1007">
        <f t="shared" si="235"/>
        <v>71</v>
      </c>
      <c r="D11690" s="1012"/>
      <c r="I11690" s="1011" t="s">
        <v>2174</v>
      </c>
      <c r="K11690" s="1013"/>
    </row>
    <row r="11691" spans="1:11" s="1011" customFormat="1" ht="15" x14ac:dyDescent="0.25">
      <c r="A11691" s="859">
        <f t="shared" si="236"/>
        <v>11690</v>
      </c>
      <c r="B11691" s="845" t="s">
        <v>2564</v>
      </c>
      <c r="C11691" s="1007">
        <f t="shared" si="235"/>
        <v>71</v>
      </c>
      <c r="D11691" s="1014"/>
      <c r="I11691" s="1011" t="str">
        <f>CONCATENATE("&lt;valeur&gt;",VLOOKUP(C11691,'T16 Amort'!A:K,2,0),"&lt;/valeur&gt;")</f>
        <v>&lt;valeur&gt;&lt;/valeur&gt;</v>
      </c>
      <c r="K11691" s="1013"/>
    </row>
    <row r="11692" spans="1:11" s="1011" customFormat="1" ht="15" x14ac:dyDescent="0.25">
      <c r="A11692" s="859">
        <f t="shared" si="236"/>
        <v>11691</v>
      </c>
      <c r="B11692" s="845" t="s">
        <v>2564</v>
      </c>
      <c r="C11692" s="1007">
        <f t="shared" si="235"/>
        <v>71</v>
      </c>
      <c r="D11692" s="1014"/>
      <c r="I11692" s="1011" t="str">
        <f>CONCATENATE("&lt;numeroLigne&gt;",C11692,"&lt;/numeroLigne&gt;")</f>
        <v>&lt;numeroLigne&gt;71&lt;/numeroLigne&gt;</v>
      </c>
      <c r="K11692" s="1013"/>
    </row>
    <row r="11693" spans="1:11" s="1011" customFormat="1" ht="15" x14ac:dyDescent="0.25">
      <c r="A11693" s="859">
        <f t="shared" si="236"/>
        <v>11692</v>
      </c>
      <c r="B11693" s="845" t="s">
        <v>2564</v>
      </c>
      <c r="C11693" s="1007">
        <f t="shared" si="235"/>
        <v>71</v>
      </c>
      <c r="D11693" s="1012"/>
      <c r="H11693" s="1011" t="s">
        <v>1010</v>
      </c>
      <c r="K11693" s="1013"/>
    </row>
    <row r="11694" spans="1:11" s="1011" customFormat="1" ht="15" x14ac:dyDescent="0.25">
      <c r="A11694" s="859">
        <f t="shared" si="236"/>
        <v>11693</v>
      </c>
      <c r="B11694" s="845" t="s">
        <v>2564</v>
      </c>
      <c r="C11694" s="1007">
        <f t="shared" si="235"/>
        <v>71</v>
      </c>
      <c r="D11694" s="1015"/>
      <c r="H11694" s="1011" t="s">
        <v>1007</v>
      </c>
      <c r="K11694" s="1013"/>
    </row>
    <row r="11695" spans="1:11" s="1011" customFormat="1" ht="15" x14ac:dyDescent="0.25">
      <c r="A11695" s="859">
        <f t="shared" si="236"/>
        <v>11694</v>
      </c>
      <c r="B11695" s="845" t="s">
        <v>2564</v>
      </c>
      <c r="C11695" s="1007">
        <f t="shared" ref="C11695:C11758" si="237">C11645+1</f>
        <v>71</v>
      </c>
      <c r="D11695" s="1012"/>
      <c r="I11695" s="1011" t="s">
        <v>2175</v>
      </c>
      <c r="K11695" s="1013"/>
    </row>
    <row r="11696" spans="1:11" s="1011" customFormat="1" ht="15" x14ac:dyDescent="0.25">
      <c r="A11696" s="859">
        <f t="shared" si="236"/>
        <v>11695</v>
      </c>
      <c r="B11696" s="845" t="s">
        <v>2564</v>
      </c>
      <c r="C11696" s="1007">
        <f t="shared" si="237"/>
        <v>71</v>
      </c>
      <c r="D11696" s="1012"/>
      <c r="I11696" s="1011" t="str">
        <f>CONCATENATE("&lt;valeur&gt;",VLOOKUP(C11696,'T16 Amort'!A:K,3,0),"&lt;/valeur&gt;")</f>
        <v>&lt;valeur&gt;&lt;/valeur&gt;</v>
      </c>
      <c r="K11696" s="1013"/>
    </row>
    <row r="11697" spans="1:11" s="1011" customFormat="1" ht="15" x14ac:dyDescent="0.25">
      <c r="A11697" s="859">
        <f t="shared" si="236"/>
        <v>11696</v>
      </c>
      <c r="B11697" s="845" t="s">
        <v>2564</v>
      </c>
      <c r="C11697" s="1007">
        <f t="shared" si="237"/>
        <v>71</v>
      </c>
      <c r="D11697" s="1014"/>
      <c r="I11697" s="1011" t="str">
        <f>CONCATENATE("&lt;numeroLigne&gt;",C11697,"&lt;/numeroLigne&gt;")</f>
        <v>&lt;numeroLigne&gt;71&lt;/numeroLigne&gt;</v>
      </c>
      <c r="K11697" s="1013"/>
    </row>
    <row r="11698" spans="1:11" s="1011" customFormat="1" ht="15" x14ac:dyDescent="0.25">
      <c r="A11698" s="859">
        <f t="shared" si="236"/>
        <v>11697</v>
      </c>
      <c r="B11698" s="845" t="s">
        <v>2564</v>
      </c>
      <c r="C11698" s="1007">
        <f t="shared" si="237"/>
        <v>71</v>
      </c>
      <c r="D11698" s="1014"/>
      <c r="H11698" s="1011" t="s">
        <v>1010</v>
      </c>
      <c r="K11698" s="1013"/>
    </row>
    <row r="11699" spans="1:11" s="1011" customFormat="1" ht="15" x14ac:dyDescent="0.25">
      <c r="A11699" s="859">
        <f t="shared" si="236"/>
        <v>11698</v>
      </c>
      <c r="B11699" s="845" t="s">
        <v>2564</v>
      </c>
      <c r="C11699" s="1007">
        <f t="shared" si="237"/>
        <v>71</v>
      </c>
      <c r="D11699" s="1012"/>
      <c r="H11699" s="1011" t="s">
        <v>1007</v>
      </c>
      <c r="K11699" s="1013"/>
    </row>
    <row r="11700" spans="1:11" s="1011" customFormat="1" ht="15" x14ac:dyDescent="0.25">
      <c r="A11700" s="859">
        <f t="shared" si="236"/>
        <v>11699</v>
      </c>
      <c r="B11700" s="845" t="s">
        <v>2564</v>
      </c>
      <c r="C11700" s="1007">
        <f t="shared" si="237"/>
        <v>71</v>
      </c>
      <c r="D11700" s="1015"/>
      <c r="I11700" s="1011" t="s">
        <v>2176</v>
      </c>
      <c r="K11700" s="1013"/>
    </row>
    <row r="11701" spans="1:11" s="1011" customFormat="1" ht="15" x14ac:dyDescent="0.25">
      <c r="A11701" s="859">
        <f t="shared" si="236"/>
        <v>11700</v>
      </c>
      <c r="B11701" s="845" t="s">
        <v>2564</v>
      </c>
      <c r="C11701" s="1007">
        <f t="shared" si="237"/>
        <v>71</v>
      </c>
      <c r="D11701" s="1012"/>
      <c r="I11701" s="1011" t="str">
        <f>CONCATENATE("&lt;valeur&gt;",VLOOKUP(C11701,'T16 Amort'!A:K,4,0),"&lt;/valeur&gt;")</f>
        <v>&lt;valeur&gt;&lt;/valeur&gt;</v>
      </c>
      <c r="K11701" s="1013"/>
    </row>
    <row r="11702" spans="1:11" s="1011" customFormat="1" ht="15" x14ac:dyDescent="0.25">
      <c r="A11702" s="859">
        <f t="shared" si="236"/>
        <v>11701</v>
      </c>
      <c r="B11702" s="845" t="s">
        <v>2564</v>
      </c>
      <c r="C11702" s="1007">
        <f t="shared" si="237"/>
        <v>71</v>
      </c>
      <c r="D11702" s="1012"/>
      <c r="I11702" s="1011" t="str">
        <f>CONCATENATE("&lt;numeroLigne&gt;",C11702,"&lt;/numeroLigne&gt;")</f>
        <v>&lt;numeroLigne&gt;71&lt;/numeroLigne&gt;</v>
      </c>
      <c r="K11702" s="1013"/>
    </row>
    <row r="11703" spans="1:11" s="1011" customFormat="1" ht="15" x14ac:dyDescent="0.25">
      <c r="A11703" s="859">
        <f t="shared" si="236"/>
        <v>11702</v>
      </c>
      <c r="B11703" s="845" t="s">
        <v>2564</v>
      </c>
      <c r="C11703" s="1007">
        <f t="shared" si="237"/>
        <v>71</v>
      </c>
      <c r="D11703" s="1014"/>
      <c r="H11703" s="1011" t="s">
        <v>1010</v>
      </c>
      <c r="K11703" s="1013"/>
    </row>
    <row r="11704" spans="1:11" s="1011" customFormat="1" ht="15" x14ac:dyDescent="0.25">
      <c r="A11704" s="859">
        <f t="shared" si="236"/>
        <v>11703</v>
      </c>
      <c r="B11704" s="845" t="s">
        <v>2564</v>
      </c>
      <c r="C11704" s="1007">
        <f t="shared" si="237"/>
        <v>71</v>
      </c>
      <c r="D11704" s="1014"/>
      <c r="H11704" s="1011" t="s">
        <v>1007</v>
      </c>
      <c r="K11704" s="1013"/>
    </row>
    <row r="11705" spans="1:11" s="1011" customFormat="1" ht="15" x14ac:dyDescent="0.25">
      <c r="A11705" s="859">
        <f t="shared" si="236"/>
        <v>11704</v>
      </c>
      <c r="B11705" s="845" t="s">
        <v>2564</v>
      </c>
      <c r="C11705" s="1007">
        <f t="shared" si="237"/>
        <v>71</v>
      </c>
      <c r="D11705" s="1012"/>
      <c r="I11705" s="1011" t="s">
        <v>2177</v>
      </c>
      <c r="K11705" s="1013"/>
    </row>
    <row r="11706" spans="1:11" s="1011" customFormat="1" ht="15" x14ac:dyDescent="0.25">
      <c r="A11706" s="859">
        <f t="shared" si="236"/>
        <v>11705</v>
      </c>
      <c r="B11706" s="845" t="s">
        <v>2564</v>
      </c>
      <c r="C11706" s="1007">
        <f t="shared" si="237"/>
        <v>71</v>
      </c>
      <c r="D11706" s="1015"/>
      <c r="I11706" s="1011" t="str">
        <f>CONCATENATE("&lt;valeur&gt;",VLOOKUP(C11706,'T16 Amort'!A:K,5,0),"&lt;/valeur&gt;")</f>
        <v>&lt;valeur&gt;&lt;/valeur&gt;</v>
      </c>
      <c r="K11706" s="1013"/>
    </row>
    <row r="11707" spans="1:11" s="1011" customFormat="1" ht="15" x14ac:dyDescent="0.25">
      <c r="A11707" s="859">
        <f t="shared" si="236"/>
        <v>11706</v>
      </c>
      <c r="B11707" s="845" t="s">
        <v>2564</v>
      </c>
      <c r="C11707" s="1007">
        <f t="shared" si="237"/>
        <v>71</v>
      </c>
      <c r="D11707" s="1012"/>
      <c r="I11707" s="1011" t="str">
        <f>CONCATENATE("&lt;numeroLigne&gt;",C11707,"&lt;/numeroLigne&gt;")</f>
        <v>&lt;numeroLigne&gt;71&lt;/numeroLigne&gt;</v>
      </c>
      <c r="K11707" s="1013"/>
    </row>
    <row r="11708" spans="1:11" s="1011" customFormat="1" ht="15" x14ac:dyDescent="0.25">
      <c r="A11708" s="859">
        <f t="shared" si="236"/>
        <v>11707</v>
      </c>
      <c r="B11708" s="845" t="s">
        <v>2564</v>
      </c>
      <c r="C11708" s="1007">
        <f t="shared" si="237"/>
        <v>71</v>
      </c>
      <c r="D11708" s="1012"/>
      <c r="H11708" s="1011" t="s">
        <v>1010</v>
      </c>
      <c r="K11708" s="1013"/>
    </row>
    <row r="11709" spans="1:11" s="1011" customFormat="1" ht="15" x14ac:dyDescent="0.25">
      <c r="A11709" s="859">
        <f t="shared" si="236"/>
        <v>11708</v>
      </c>
      <c r="B11709" s="845" t="s">
        <v>2564</v>
      </c>
      <c r="C11709" s="1007">
        <f t="shared" si="237"/>
        <v>71</v>
      </c>
      <c r="D11709" s="1014"/>
      <c r="H11709" s="1011" t="s">
        <v>1007</v>
      </c>
      <c r="K11709" s="1013"/>
    </row>
    <row r="11710" spans="1:11" s="1011" customFormat="1" ht="15" x14ac:dyDescent="0.25">
      <c r="A11710" s="859">
        <f t="shared" si="236"/>
        <v>11709</v>
      </c>
      <c r="B11710" s="845" t="s">
        <v>2564</v>
      </c>
      <c r="C11710" s="1007">
        <f t="shared" si="237"/>
        <v>71</v>
      </c>
      <c r="D11710" s="1014"/>
      <c r="I11710" s="1011" t="s">
        <v>2178</v>
      </c>
      <c r="K11710" s="1013"/>
    </row>
    <row r="11711" spans="1:11" s="1011" customFormat="1" ht="15" x14ac:dyDescent="0.25">
      <c r="A11711" s="859">
        <f t="shared" si="236"/>
        <v>11710</v>
      </c>
      <c r="B11711" s="845" t="s">
        <v>2564</v>
      </c>
      <c r="C11711" s="1007">
        <f t="shared" si="237"/>
        <v>71</v>
      </c>
      <c r="D11711" s="1012"/>
      <c r="I11711" s="1011" t="str">
        <f>CONCATENATE("&lt;valeur&gt;",VLOOKUP(C11711,'T16 Amort'!A:K,6,0),"&lt;/valeur&gt;")</f>
        <v>&lt;valeur&gt;&lt;/valeur&gt;</v>
      </c>
      <c r="K11711" s="1013"/>
    </row>
    <row r="11712" spans="1:11" s="1011" customFormat="1" ht="15" x14ac:dyDescent="0.25">
      <c r="A11712" s="859">
        <f t="shared" si="236"/>
        <v>11711</v>
      </c>
      <c r="B11712" s="845" t="s">
        <v>2564</v>
      </c>
      <c r="C11712" s="1007">
        <f t="shared" si="237"/>
        <v>71</v>
      </c>
      <c r="D11712" s="1015"/>
      <c r="I11712" s="1011" t="str">
        <f>CONCATENATE("&lt;numeroLigne&gt;",C11712,"&lt;/numeroLigne&gt;")</f>
        <v>&lt;numeroLigne&gt;71&lt;/numeroLigne&gt;</v>
      </c>
      <c r="K11712" s="1013"/>
    </row>
    <row r="11713" spans="1:11" s="1011" customFormat="1" ht="15" x14ac:dyDescent="0.25">
      <c r="A11713" s="859">
        <f t="shared" si="236"/>
        <v>11712</v>
      </c>
      <c r="B11713" s="845" t="s">
        <v>2564</v>
      </c>
      <c r="C11713" s="1007">
        <f t="shared" si="237"/>
        <v>71</v>
      </c>
      <c r="D11713" s="1012"/>
      <c r="H11713" s="1011" t="s">
        <v>1010</v>
      </c>
      <c r="K11713" s="1013"/>
    </row>
    <row r="11714" spans="1:11" s="1011" customFormat="1" ht="15" x14ac:dyDescent="0.25">
      <c r="A11714" s="859">
        <f t="shared" si="236"/>
        <v>11713</v>
      </c>
      <c r="B11714" s="845" t="s">
        <v>2564</v>
      </c>
      <c r="C11714" s="1007">
        <f t="shared" si="237"/>
        <v>71</v>
      </c>
      <c r="D11714" s="1012"/>
      <c r="H11714" s="1011" t="s">
        <v>1007</v>
      </c>
      <c r="K11714" s="1013"/>
    </row>
    <row r="11715" spans="1:11" s="1011" customFormat="1" ht="15" x14ac:dyDescent="0.25">
      <c r="A11715" s="859">
        <f t="shared" si="236"/>
        <v>11714</v>
      </c>
      <c r="B11715" s="845" t="s">
        <v>2564</v>
      </c>
      <c r="C11715" s="1007">
        <f t="shared" si="237"/>
        <v>71</v>
      </c>
      <c r="D11715" s="1014"/>
      <c r="I11715" s="1011" t="s">
        <v>2179</v>
      </c>
      <c r="K11715" s="1013"/>
    </row>
    <row r="11716" spans="1:11" s="1011" customFormat="1" ht="15" x14ac:dyDescent="0.25">
      <c r="A11716" s="859">
        <f t="shared" ref="A11716:A11779" si="238">+A11715+1</f>
        <v>11715</v>
      </c>
      <c r="B11716" s="845" t="s">
        <v>2564</v>
      </c>
      <c r="C11716" s="1007">
        <f t="shared" si="237"/>
        <v>71</v>
      </c>
      <c r="D11716" s="1014"/>
      <c r="I11716" s="1011" t="str">
        <f>CONCATENATE("&lt;valeur&gt;",VLOOKUP(C11716,'T16 Amort'!A:K,7,0),"&lt;/valeur&gt;")</f>
        <v>&lt;valeur&gt;&lt;/valeur&gt;</v>
      </c>
      <c r="K11716" s="1013"/>
    </row>
    <row r="11717" spans="1:11" s="1011" customFormat="1" ht="15" x14ac:dyDescent="0.25">
      <c r="A11717" s="859">
        <f t="shared" si="238"/>
        <v>11716</v>
      </c>
      <c r="B11717" s="845" t="s">
        <v>2564</v>
      </c>
      <c r="C11717" s="1007">
        <f t="shared" si="237"/>
        <v>71</v>
      </c>
      <c r="D11717" s="1012"/>
      <c r="I11717" s="1011" t="str">
        <f>CONCATENATE("&lt;numeroLigne&gt;",C11717,"&lt;/numeroLigne&gt;")</f>
        <v>&lt;numeroLigne&gt;71&lt;/numeroLigne&gt;</v>
      </c>
      <c r="K11717" s="1013"/>
    </row>
    <row r="11718" spans="1:11" s="1011" customFormat="1" ht="15" x14ac:dyDescent="0.25">
      <c r="A11718" s="859">
        <f t="shared" si="238"/>
        <v>11717</v>
      </c>
      <c r="B11718" s="845" t="s">
        <v>2564</v>
      </c>
      <c r="C11718" s="1007">
        <f t="shared" si="237"/>
        <v>71</v>
      </c>
      <c r="D11718" s="1015"/>
      <c r="H11718" s="1011" t="s">
        <v>1010</v>
      </c>
      <c r="K11718" s="1013"/>
    </row>
    <row r="11719" spans="1:11" s="1011" customFormat="1" ht="15" x14ac:dyDescent="0.25">
      <c r="A11719" s="859">
        <f t="shared" si="238"/>
        <v>11718</v>
      </c>
      <c r="B11719" s="845" t="s">
        <v>2564</v>
      </c>
      <c r="C11719" s="1007">
        <f t="shared" si="237"/>
        <v>71</v>
      </c>
      <c r="D11719" s="1012"/>
      <c r="H11719" s="1011" t="s">
        <v>1007</v>
      </c>
      <c r="K11719" s="1013"/>
    </row>
    <row r="11720" spans="1:11" s="1011" customFormat="1" ht="15" x14ac:dyDescent="0.25">
      <c r="A11720" s="859">
        <f t="shared" si="238"/>
        <v>11719</v>
      </c>
      <c r="B11720" s="845" t="s">
        <v>2564</v>
      </c>
      <c r="C11720" s="1007">
        <f t="shared" si="237"/>
        <v>71</v>
      </c>
      <c r="D11720" s="1012"/>
      <c r="I11720" s="1011" t="s">
        <v>2180</v>
      </c>
      <c r="K11720" s="1013"/>
    </row>
    <row r="11721" spans="1:11" s="1011" customFormat="1" ht="15" x14ac:dyDescent="0.25">
      <c r="A11721" s="859">
        <f t="shared" si="238"/>
        <v>11720</v>
      </c>
      <c r="B11721" s="845" t="s">
        <v>2564</v>
      </c>
      <c r="C11721" s="1007">
        <f t="shared" si="237"/>
        <v>71</v>
      </c>
      <c r="D11721" s="1014"/>
      <c r="I11721" s="1011" t="str">
        <f>CONCATENATE("&lt;valeur&gt;",VLOOKUP(C11721,'T16 Amort'!A:K,8,0),"&lt;/valeur&gt;")</f>
        <v>&lt;valeur&gt;&lt;/valeur&gt;</v>
      </c>
      <c r="K11721" s="1013"/>
    </row>
    <row r="11722" spans="1:11" s="1011" customFormat="1" ht="15" x14ac:dyDescent="0.25">
      <c r="A11722" s="859">
        <f t="shared" si="238"/>
        <v>11721</v>
      </c>
      <c r="B11722" s="845" t="s">
        <v>2564</v>
      </c>
      <c r="C11722" s="1007">
        <f t="shared" si="237"/>
        <v>71</v>
      </c>
      <c r="D11722" s="1014"/>
      <c r="I11722" s="1011" t="str">
        <f>CONCATENATE("&lt;numeroLigne&gt;",C11722,"&lt;/numeroLigne&gt;")</f>
        <v>&lt;numeroLigne&gt;71&lt;/numeroLigne&gt;</v>
      </c>
      <c r="K11722" s="1013"/>
    </row>
    <row r="11723" spans="1:11" s="1011" customFormat="1" ht="15" x14ac:dyDescent="0.25">
      <c r="A11723" s="859">
        <f t="shared" si="238"/>
        <v>11722</v>
      </c>
      <c r="B11723" s="845" t="s">
        <v>2564</v>
      </c>
      <c r="C11723" s="1007">
        <f t="shared" si="237"/>
        <v>71</v>
      </c>
      <c r="D11723" s="1012"/>
      <c r="H11723" s="1011" t="s">
        <v>1010</v>
      </c>
      <c r="K11723" s="1013"/>
    </row>
    <row r="11724" spans="1:11" s="1011" customFormat="1" ht="15" x14ac:dyDescent="0.25">
      <c r="A11724" s="859">
        <f t="shared" si="238"/>
        <v>11723</v>
      </c>
      <c r="B11724" s="845" t="s">
        <v>2564</v>
      </c>
      <c r="C11724" s="1007">
        <f t="shared" si="237"/>
        <v>71</v>
      </c>
      <c r="D11724" s="1015"/>
      <c r="H11724" s="1011" t="s">
        <v>1007</v>
      </c>
      <c r="K11724" s="1013"/>
    </row>
    <row r="11725" spans="1:11" s="1011" customFormat="1" ht="15" x14ac:dyDescent="0.25">
      <c r="A11725" s="859">
        <f t="shared" si="238"/>
        <v>11724</v>
      </c>
      <c r="B11725" s="845" t="s">
        <v>2564</v>
      </c>
      <c r="C11725" s="1007">
        <f t="shared" si="237"/>
        <v>71</v>
      </c>
      <c r="D11725" s="1012"/>
      <c r="I11725" s="1011" t="s">
        <v>2181</v>
      </c>
      <c r="K11725" s="1013"/>
    </row>
    <row r="11726" spans="1:11" s="1011" customFormat="1" ht="15" x14ac:dyDescent="0.25">
      <c r="A11726" s="859">
        <f t="shared" si="238"/>
        <v>11725</v>
      </c>
      <c r="B11726" s="845" t="s">
        <v>2564</v>
      </c>
      <c r="C11726" s="1007">
        <f t="shared" si="237"/>
        <v>71</v>
      </c>
      <c r="D11726" s="1012"/>
      <c r="I11726" s="1011" t="str">
        <f>CONCATENATE("&lt;valeur&gt;",VLOOKUP(C11726,'T16 Amort'!A:K,9,0),"&lt;/valeur&gt;")</f>
        <v>&lt;valeur&gt;&lt;/valeur&gt;</v>
      </c>
      <c r="K11726" s="1013"/>
    </row>
    <row r="11727" spans="1:11" s="1011" customFormat="1" ht="15" x14ac:dyDescent="0.25">
      <c r="A11727" s="859">
        <f t="shared" si="238"/>
        <v>11726</v>
      </c>
      <c r="B11727" s="845" t="s">
        <v>2564</v>
      </c>
      <c r="C11727" s="1007">
        <f t="shared" si="237"/>
        <v>71</v>
      </c>
      <c r="D11727" s="1014"/>
      <c r="I11727" s="1011" t="str">
        <f>CONCATENATE("&lt;numeroLigne&gt;",C11727,"&lt;/numeroLigne&gt;")</f>
        <v>&lt;numeroLigne&gt;71&lt;/numeroLigne&gt;</v>
      </c>
      <c r="K11727" s="1013"/>
    </row>
    <row r="11728" spans="1:11" s="1011" customFormat="1" ht="15" x14ac:dyDescent="0.25">
      <c r="A11728" s="859">
        <f t="shared" si="238"/>
        <v>11727</v>
      </c>
      <c r="B11728" s="845" t="s">
        <v>2564</v>
      </c>
      <c r="C11728" s="1007">
        <f t="shared" si="237"/>
        <v>71</v>
      </c>
      <c r="D11728" s="1014"/>
      <c r="H11728" s="1011" t="s">
        <v>1010</v>
      </c>
      <c r="K11728" s="1013"/>
    </row>
    <row r="11729" spans="1:11" s="1011" customFormat="1" ht="15" x14ac:dyDescent="0.25">
      <c r="A11729" s="859">
        <f t="shared" si="238"/>
        <v>11728</v>
      </c>
      <c r="B11729" s="845" t="s">
        <v>2564</v>
      </c>
      <c r="C11729" s="1007">
        <f t="shared" si="237"/>
        <v>71</v>
      </c>
      <c r="D11729" s="1012"/>
      <c r="H11729" s="1011" t="s">
        <v>1007</v>
      </c>
      <c r="K11729" s="1013"/>
    </row>
    <row r="11730" spans="1:11" s="1011" customFormat="1" ht="15" x14ac:dyDescent="0.25">
      <c r="A11730" s="859">
        <f t="shared" si="238"/>
        <v>11729</v>
      </c>
      <c r="B11730" s="845" t="s">
        <v>2564</v>
      </c>
      <c r="C11730" s="1007">
        <f t="shared" si="237"/>
        <v>71</v>
      </c>
      <c r="D11730" s="1015"/>
      <c r="I11730" s="1011" t="s">
        <v>2182</v>
      </c>
      <c r="K11730" s="1013"/>
    </row>
    <row r="11731" spans="1:11" s="1011" customFormat="1" ht="15" x14ac:dyDescent="0.25">
      <c r="A11731" s="859">
        <f t="shared" si="238"/>
        <v>11730</v>
      </c>
      <c r="B11731" s="845" t="s">
        <v>2564</v>
      </c>
      <c r="C11731" s="1007">
        <f t="shared" si="237"/>
        <v>71</v>
      </c>
      <c r="D11731" s="1012"/>
      <c r="I11731" s="1011" t="str">
        <f>CONCATENATE("&lt;valeur&gt;",VLOOKUP(C11731,'T16 Amort'!A:K,10,0),"&lt;/valeur&gt;")</f>
        <v>&lt;valeur&gt;&lt;/valeur&gt;</v>
      </c>
      <c r="K11731" s="1013"/>
    </row>
    <row r="11732" spans="1:11" s="1011" customFormat="1" ht="15" x14ac:dyDescent="0.25">
      <c r="A11732" s="859">
        <f t="shared" si="238"/>
        <v>11731</v>
      </c>
      <c r="B11732" s="845" t="s">
        <v>2564</v>
      </c>
      <c r="C11732" s="1007">
        <f t="shared" si="237"/>
        <v>71</v>
      </c>
      <c r="D11732" s="1012"/>
      <c r="I11732" s="1011" t="str">
        <f>CONCATENATE("&lt;numeroLigne&gt;",C11732,"&lt;/numeroLigne&gt;")</f>
        <v>&lt;numeroLigne&gt;71&lt;/numeroLigne&gt;</v>
      </c>
      <c r="K11732" s="1013"/>
    </row>
    <row r="11733" spans="1:11" s="1011" customFormat="1" ht="15" x14ac:dyDescent="0.25">
      <c r="A11733" s="859">
        <f t="shared" si="238"/>
        <v>11732</v>
      </c>
      <c r="B11733" s="845" t="s">
        <v>2564</v>
      </c>
      <c r="C11733" s="1007">
        <f t="shared" si="237"/>
        <v>71</v>
      </c>
      <c r="D11733" s="1014"/>
      <c r="H11733" s="1011" t="s">
        <v>1010</v>
      </c>
      <c r="K11733" s="1013"/>
    </row>
    <row r="11734" spans="1:11" s="1011" customFormat="1" ht="15" x14ac:dyDescent="0.25">
      <c r="A11734" s="859">
        <f t="shared" si="238"/>
        <v>11733</v>
      </c>
      <c r="B11734" s="845" t="s">
        <v>2564</v>
      </c>
      <c r="C11734" s="1007">
        <f t="shared" si="237"/>
        <v>71</v>
      </c>
      <c r="D11734" s="1014"/>
      <c r="H11734" s="1011" t="s">
        <v>1007</v>
      </c>
      <c r="K11734" s="1013"/>
    </row>
    <row r="11735" spans="1:11" s="1011" customFormat="1" ht="15" x14ac:dyDescent="0.25">
      <c r="A11735" s="859">
        <f t="shared" si="238"/>
        <v>11734</v>
      </c>
      <c r="B11735" s="845" t="s">
        <v>2564</v>
      </c>
      <c r="C11735" s="1007">
        <f t="shared" si="237"/>
        <v>71</v>
      </c>
      <c r="D11735" s="1012"/>
      <c r="I11735" s="1011" t="s">
        <v>2183</v>
      </c>
      <c r="K11735" s="1013"/>
    </row>
    <row r="11736" spans="1:11" s="1011" customFormat="1" ht="15" x14ac:dyDescent="0.25">
      <c r="A11736" s="859">
        <f t="shared" si="238"/>
        <v>11735</v>
      </c>
      <c r="B11736" s="845" t="s">
        <v>2564</v>
      </c>
      <c r="C11736" s="1007">
        <f t="shared" si="237"/>
        <v>71</v>
      </c>
      <c r="D11736" s="1015"/>
      <c r="I11736" s="1011" t="str">
        <f>CONCATENATE("&lt;valeur&gt;",VLOOKUP(C11736,'T16 Amort'!A:K,11,0),"&lt;/valeur&gt;")</f>
        <v>&lt;valeur&gt;&lt;/valeur&gt;</v>
      </c>
      <c r="K11736" s="1013"/>
    </row>
    <row r="11737" spans="1:11" s="1011" customFormat="1" ht="15" x14ac:dyDescent="0.25">
      <c r="A11737" s="859">
        <f t="shared" si="238"/>
        <v>11736</v>
      </c>
      <c r="B11737" s="845" t="s">
        <v>2564</v>
      </c>
      <c r="C11737" s="1007">
        <f t="shared" si="237"/>
        <v>71</v>
      </c>
      <c r="D11737" s="1012"/>
      <c r="I11737" s="1011" t="str">
        <f>CONCATENATE("&lt;numeroLigne&gt;",C11737,"&lt;/numeroLigne&gt;")</f>
        <v>&lt;numeroLigne&gt;71&lt;/numeroLigne&gt;</v>
      </c>
      <c r="K11737" s="1013"/>
    </row>
    <row r="11738" spans="1:11" s="1011" customFormat="1" ht="15" x14ac:dyDescent="0.25">
      <c r="A11738" s="859">
        <f t="shared" si="238"/>
        <v>11737</v>
      </c>
      <c r="B11738" s="845" t="s">
        <v>2564</v>
      </c>
      <c r="C11738" s="1007">
        <f t="shared" si="237"/>
        <v>71</v>
      </c>
      <c r="D11738" s="1016"/>
      <c r="E11738" s="1017"/>
      <c r="F11738" s="1017"/>
      <c r="G11738" s="1017"/>
      <c r="H11738" s="1017" t="s">
        <v>1010</v>
      </c>
      <c r="I11738" s="1017"/>
      <c r="J11738" s="1017"/>
      <c r="K11738" s="1018"/>
    </row>
    <row r="11739" spans="1:11" s="1011" customFormat="1" ht="15" x14ac:dyDescent="0.25">
      <c r="A11739" s="859">
        <f t="shared" si="238"/>
        <v>11738</v>
      </c>
      <c r="B11739" s="845" t="s">
        <v>2564</v>
      </c>
      <c r="C11739" s="1007">
        <f t="shared" si="237"/>
        <v>72</v>
      </c>
      <c r="D11739" s="1008"/>
      <c r="E11739" s="1009"/>
      <c r="F11739" s="1009"/>
      <c r="G11739" s="1009"/>
      <c r="H11739" s="1009" t="s">
        <v>1007</v>
      </c>
      <c r="I11739" s="1009"/>
      <c r="J11739" s="1009"/>
      <c r="K11739" s="1010"/>
    </row>
    <row r="11740" spans="1:11" s="1011" customFormat="1" ht="15" x14ac:dyDescent="0.25">
      <c r="A11740" s="859">
        <f t="shared" si="238"/>
        <v>11739</v>
      </c>
      <c r="B11740" s="845" t="s">
        <v>2564</v>
      </c>
      <c r="C11740" s="1007">
        <f t="shared" si="237"/>
        <v>72</v>
      </c>
      <c r="D11740" s="1012"/>
      <c r="I11740" s="1011" t="s">
        <v>2174</v>
      </c>
      <c r="K11740" s="1013"/>
    </row>
    <row r="11741" spans="1:11" s="1011" customFormat="1" ht="15" x14ac:dyDescent="0.25">
      <c r="A11741" s="859">
        <f t="shared" si="238"/>
        <v>11740</v>
      </c>
      <c r="B11741" s="845" t="s">
        <v>2564</v>
      </c>
      <c r="C11741" s="1007">
        <f t="shared" si="237"/>
        <v>72</v>
      </c>
      <c r="D11741" s="1014"/>
      <c r="I11741" s="1011" t="str">
        <f>CONCATENATE("&lt;valeur&gt;",VLOOKUP(C11741,'T16 Amort'!A:K,2,0),"&lt;/valeur&gt;")</f>
        <v>&lt;valeur&gt;&lt;/valeur&gt;</v>
      </c>
      <c r="K11741" s="1013"/>
    </row>
    <row r="11742" spans="1:11" s="1011" customFormat="1" ht="15" x14ac:dyDescent="0.25">
      <c r="A11742" s="859">
        <f t="shared" si="238"/>
        <v>11741</v>
      </c>
      <c r="B11742" s="845" t="s">
        <v>2564</v>
      </c>
      <c r="C11742" s="1007">
        <f t="shared" si="237"/>
        <v>72</v>
      </c>
      <c r="D11742" s="1014"/>
      <c r="I11742" s="1011" t="str">
        <f>CONCATENATE("&lt;numeroLigne&gt;",C11742,"&lt;/numeroLigne&gt;")</f>
        <v>&lt;numeroLigne&gt;72&lt;/numeroLigne&gt;</v>
      </c>
      <c r="K11742" s="1013"/>
    </row>
    <row r="11743" spans="1:11" s="1011" customFormat="1" ht="15" x14ac:dyDescent="0.25">
      <c r="A11743" s="859">
        <f t="shared" si="238"/>
        <v>11742</v>
      </c>
      <c r="B11743" s="845" t="s">
        <v>2564</v>
      </c>
      <c r="C11743" s="1007">
        <f t="shared" si="237"/>
        <v>72</v>
      </c>
      <c r="D11743" s="1012"/>
      <c r="H11743" s="1011" t="s">
        <v>1010</v>
      </c>
      <c r="K11743" s="1013"/>
    </row>
    <row r="11744" spans="1:11" s="1011" customFormat="1" ht="15" x14ac:dyDescent="0.25">
      <c r="A11744" s="859">
        <f t="shared" si="238"/>
        <v>11743</v>
      </c>
      <c r="B11744" s="845" t="s">
        <v>2564</v>
      </c>
      <c r="C11744" s="1007">
        <f t="shared" si="237"/>
        <v>72</v>
      </c>
      <c r="D11744" s="1015"/>
      <c r="H11744" s="1011" t="s">
        <v>1007</v>
      </c>
      <c r="K11744" s="1013"/>
    </row>
    <row r="11745" spans="1:11" s="1011" customFormat="1" ht="15" x14ac:dyDescent="0.25">
      <c r="A11745" s="859">
        <f t="shared" si="238"/>
        <v>11744</v>
      </c>
      <c r="B11745" s="845" t="s">
        <v>2564</v>
      </c>
      <c r="C11745" s="1007">
        <f t="shared" si="237"/>
        <v>72</v>
      </c>
      <c r="D11745" s="1012"/>
      <c r="I11745" s="1011" t="s">
        <v>2175</v>
      </c>
      <c r="K11745" s="1013"/>
    </row>
    <row r="11746" spans="1:11" s="1011" customFormat="1" ht="15" x14ac:dyDescent="0.25">
      <c r="A11746" s="859">
        <f t="shared" si="238"/>
        <v>11745</v>
      </c>
      <c r="B11746" s="845" t="s">
        <v>2564</v>
      </c>
      <c r="C11746" s="1007">
        <f t="shared" si="237"/>
        <v>72</v>
      </c>
      <c r="D11746" s="1012"/>
      <c r="I11746" s="1011" t="str">
        <f>CONCATENATE("&lt;valeur&gt;",VLOOKUP(C11746,'T16 Amort'!A:K,3,0),"&lt;/valeur&gt;")</f>
        <v>&lt;valeur&gt;&lt;/valeur&gt;</v>
      </c>
      <c r="K11746" s="1013"/>
    </row>
    <row r="11747" spans="1:11" s="1011" customFormat="1" ht="15" x14ac:dyDescent="0.25">
      <c r="A11747" s="859">
        <f t="shared" si="238"/>
        <v>11746</v>
      </c>
      <c r="B11747" s="845" t="s">
        <v>2564</v>
      </c>
      <c r="C11747" s="1007">
        <f t="shared" si="237"/>
        <v>72</v>
      </c>
      <c r="D11747" s="1014"/>
      <c r="I11747" s="1011" t="str">
        <f>CONCATENATE("&lt;numeroLigne&gt;",C11747,"&lt;/numeroLigne&gt;")</f>
        <v>&lt;numeroLigne&gt;72&lt;/numeroLigne&gt;</v>
      </c>
      <c r="K11747" s="1013"/>
    </row>
    <row r="11748" spans="1:11" s="1011" customFormat="1" ht="15" x14ac:dyDescent="0.25">
      <c r="A11748" s="859">
        <f t="shared" si="238"/>
        <v>11747</v>
      </c>
      <c r="B11748" s="845" t="s">
        <v>2564</v>
      </c>
      <c r="C11748" s="1007">
        <f t="shared" si="237"/>
        <v>72</v>
      </c>
      <c r="D11748" s="1014"/>
      <c r="H11748" s="1011" t="s">
        <v>1010</v>
      </c>
      <c r="K11748" s="1013"/>
    </row>
    <row r="11749" spans="1:11" s="1011" customFormat="1" ht="15" x14ac:dyDescent="0.25">
      <c r="A11749" s="859">
        <f t="shared" si="238"/>
        <v>11748</v>
      </c>
      <c r="B11749" s="845" t="s">
        <v>2564</v>
      </c>
      <c r="C11749" s="1007">
        <f t="shared" si="237"/>
        <v>72</v>
      </c>
      <c r="D11749" s="1012"/>
      <c r="H11749" s="1011" t="s">
        <v>1007</v>
      </c>
      <c r="K11749" s="1013"/>
    </row>
    <row r="11750" spans="1:11" s="1011" customFormat="1" ht="15" x14ac:dyDescent="0.25">
      <c r="A11750" s="859">
        <f t="shared" si="238"/>
        <v>11749</v>
      </c>
      <c r="B11750" s="845" t="s">
        <v>2564</v>
      </c>
      <c r="C11750" s="1007">
        <f t="shared" si="237"/>
        <v>72</v>
      </c>
      <c r="D11750" s="1015"/>
      <c r="I11750" s="1011" t="s">
        <v>2176</v>
      </c>
      <c r="K11750" s="1013"/>
    </row>
    <row r="11751" spans="1:11" s="1011" customFormat="1" ht="15" x14ac:dyDescent="0.25">
      <c r="A11751" s="859">
        <f t="shared" si="238"/>
        <v>11750</v>
      </c>
      <c r="B11751" s="845" t="s">
        <v>2564</v>
      </c>
      <c r="C11751" s="1007">
        <f t="shared" si="237"/>
        <v>72</v>
      </c>
      <c r="D11751" s="1012"/>
      <c r="I11751" s="1011" t="str">
        <f>CONCATENATE("&lt;valeur&gt;",VLOOKUP(C11751,'T16 Amort'!A:K,4,0),"&lt;/valeur&gt;")</f>
        <v>&lt;valeur&gt;&lt;/valeur&gt;</v>
      </c>
      <c r="K11751" s="1013"/>
    </row>
    <row r="11752" spans="1:11" s="1011" customFormat="1" ht="15" x14ac:dyDescent="0.25">
      <c r="A11752" s="859">
        <f t="shared" si="238"/>
        <v>11751</v>
      </c>
      <c r="B11752" s="845" t="s">
        <v>2564</v>
      </c>
      <c r="C11752" s="1007">
        <f t="shared" si="237"/>
        <v>72</v>
      </c>
      <c r="D11752" s="1012"/>
      <c r="I11752" s="1011" t="str">
        <f>CONCATENATE("&lt;numeroLigne&gt;",C11752,"&lt;/numeroLigne&gt;")</f>
        <v>&lt;numeroLigne&gt;72&lt;/numeroLigne&gt;</v>
      </c>
      <c r="K11752" s="1013"/>
    </row>
    <row r="11753" spans="1:11" s="1011" customFormat="1" ht="15" x14ac:dyDescent="0.25">
      <c r="A11753" s="859">
        <f t="shared" si="238"/>
        <v>11752</v>
      </c>
      <c r="B11753" s="845" t="s">
        <v>2564</v>
      </c>
      <c r="C11753" s="1007">
        <f t="shared" si="237"/>
        <v>72</v>
      </c>
      <c r="D11753" s="1014"/>
      <c r="H11753" s="1011" t="s">
        <v>1010</v>
      </c>
      <c r="K11753" s="1013"/>
    </row>
    <row r="11754" spans="1:11" s="1011" customFormat="1" ht="15" x14ac:dyDescent="0.25">
      <c r="A11754" s="859">
        <f t="shared" si="238"/>
        <v>11753</v>
      </c>
      <c r="B11754" s="845" t="s">
        <v>2564</v>
      </c>
      <c r="C11754" s="1007">
        <f t="shared" si="237"/>
        <v>72</v>
      </c>
      <c r="D11754" s="1014"/>
      <c r="H11754" s="1011" t="s">
        <v>1007</v>
      </c>
      <c r="K11754" s="1013"/>
    </row>
    <row r="11755" spans="1:11" s="1011" customFormat="1" ht="15" x14ac:dyDescent="0.25">
      <c r="A11755" s="859">
        <f t="shared" si="238"/>
        <v>11754</v>
      </c>
      <c r="B11755" s="845" t="s">
        <v>2564</v>
      </c>
      <c r="C11755" s="1007">
        <f t="shared" si="237"/>
        <v>72</v>
      </c>
      <c r="D11755" s="1012"/>
      <c r="I11755" s="1011" t="s">
        <v>2177</v>
      </c>
      <c r="K11755" s="1013"/>
    </row>
    <row r="11756" spans="1:11" s="1011" customFormat="1" ht="15" x14ac:dyDescent="0.25">
      <c r="A11756" s="859">
        <f t="shared" si="238"/>
        <v>11755</v>
      </c>
      <c r="B11756" s="845" t="s">
        <v>2564</v>
      </c>
      <c r="C11756" s="1007">
        <f t="shared" si="237"/>
        <v>72</v>
      </c>
      <c r="D11756" s="1015"/>
      <c r="I11756" s="1011" t="str">
        <f>CONCATENATE("&lt;valeur&gt;",VLOOKUP(C11756,'T16 Amort'!A:K,5,0),"&lt;/valeur&gt;")</f>
        <v>&lt;valeur&gt;&lt;/valeur&gt;</v>
      </c>
      <c r="K11756" s="1013"/>
    </row>
    <row r="11757" spans="1:11" s="1011" customFormat="1" ht="15" x14ac:dyDescent="0.25">
      <c r="A11757" s="859">
        <f t="shared" si="238"/>
        <v>11756</v>
      </c>
      <c r="B11757" s="845" t="s">
        <v>2564</v>
      </c>
      <c r="C11757" s="1007">
        <f t="shared" si="237"/>
        <v>72</v>
      </c>
      <c r="D11757" s="1012"/>
      <c r="I11757" s="1011" t="str">
        <f>CONCATENATE("&lt;numeroLigne&gt;",C11757,"&lt;/numeroLigne&gt;")</f>
        <v>&lt;numeroLigne&gt;72&lt;/numeroLigne&gt;</v>
      </c>
      <c r="K11757" s="1013"/>
    </row>
    <row r="11758" spans="1:11" s="1011" customFormat="1" ht="15" x14ac:dyDescent="0.25">
      <c r="A11758" s="859">
        <f t="shared" si="238"/>
        <v>11757</v>
      </c>
      <c r="B11758" s="845" t="s">
        <v>2564</v>
      </c>
      <c r="C11758" s="1007">
        <f t="shared" si="237"/>
        <v>72</v>
      </c>
      <c r="D11758" s="1012"/>
      <c r="H11758" s="1011" t="s">
        <v>1010</v>
      </c>
      <c r="K11758" s="1013"/>
    </row>
    <row r="11759" spans="1:11" s="1011" customFormat="1" ht="15" x14ac:dyDescent="0.25">
      <c r="A11759" s="859">
        <f t="shared" si="238"/>
        <v>11758</v>
      </c>
      <c r="B11759" s="845" t="s">
        <v>2564</v>
      </c>
      <c r="C11759" s="1007">
        <f t="shared" ref="C11759:C11822" si="239">C11709+1</f>
        <v>72</v>
      </c>
      <c r="D11759" s="1014"/>
      <c r="H11759" s="1011" t="s">
        <v>1007</v>
      </c>
      <c r="K11759" s="1013"/>
    </row>
    <row r="11760" spans="1:11" s="1011" customFormat="1" ht="15" x14ac:dyDescent="0.25">
      <c r="A11760" s="859">
        <f t="shared" si="238"/>
        <v>11759</v>
      </c>
      <c r="B11760" s="845" t="s">
        <v>2564</v>
      </c>
      <c r="C11760" s="1007">
        <f t="shared" si="239"/>
        <v>72</v>
      </c>
      <c r="D11760" s="1014"/>
      <c r="I11760" s="1011" t="s">
        <v>2178</v>
      </c>
      <c r="K11760" s="1013"/>
    </row>
    <row r="11761" spans="1:11" s="1011" customFormat="1" ht="15" x14ac:dyDescent="0.25">
      <c r="A11761" s="859">
        <f t="shared" si="238"/>
        <v>11760</v>
      </c>
      <c r="B11761" s="845" t="s">
        <v>2564</v>
      </c>
      <c r="C11761" s="1007">
        <f t="shared" si="239"/>
        <v>72</v>
      </c>
      <c r="D11761" s="1012"/>
      <c r="I11761" s="1011" t="str">
        <f>CONCATENATE("&lt;valeur&gt;",VLOOKUP(C11761,'T16 Amort'!A:K,6,0),"&lt;/valeur&gt;")</f>
        <v>&lt;valeur&gt;&lt;/valeur&gt;</v>
      </c>
      <c r="K11761" s="1013"/>
    </row>
    <row r="11762" spans="1:11" s="1011" customFormat="1" ht="15" x14ac:dyDescent="0.25">
      <c r="A11762" s="859">
        <f t="shared" si="238"/>
        <v>11761</v>
      </c>
      <c r="B11762" s="845" t="s">
        <v>2564</v>
      </c>
      <c r="C11762" s="1007">
        <f t="shared" si="239"/>
        <v>72</v>
      </c>
      <c r="D11762" s="1015"/>
      <c r="I11762" s="1011" t="str">
        <f>CONCATENATE("&lt;numeroLigne&gt;",C11762,"&lt;/numeroLigne&gt;")</f>
        <v>&lt;numeroLigne&gt;72&lt;/numeroLigne&gt;</v>
      </c>
      <c r="K11762" s="1013"/>
    </row>
    <row r="11763" spans="1:11" s="1011" customFormat="1" ht="15" x14ac:dyDescent="0.25">
      <c r="A11763" s="859">
        <f t="shared" si="238"/>
        <v>11762</v>
      </c>
      <c r="B11763" s="845" t="s">
        <v>2564</v>
      </c>
      <c r="C11763" s="1007">
        <f t="shared" si="239"/>
        <v>72</v>
      </c>
      <c r="D11763" s="1012"/>
      <c r="H11763" s="1011" t="s">
        <v>1010</v>
      </c>
      <c r="K11763" s="1013"/>
    </row>
    <row r="11764" spans="1:11" s="1011" customFormat="1" ht="15" x14ac:dyDescent="0.25">
      <c r="A11764" s="859">
        <f t="shared" si="238"/>
        <v>11763</v>
      </c>
      <c r="B11764" s="845" t="s">
        <v>2564</v>
      </c>
      <c r="C11764" s="1007">
        <f t="shared" si="239"/>
        <v>72</v>
      </c>
      <c r="D11764" s="1012"/>
      <c r="H11764" s="1011" t="s">
        <v>1007</v>
      </c>
      <c r="K11764" s="1013"/>
    </row>
    <row r="11765" spans="1:11" s="1011" customFormat="1" ht="15" x14ac:dyDescent="0.25">
      <c r="A11765" s="859">
        <f t="shared" si="238"/>
        <v>11764</v>
      </c>
      <c r="B11765" s="845" t="s">
        <v>2564</v>
      </c>
      <c r="C11765" s="1007">
        <f t="shared" si="239"/>
        <v>72</v>
      </c>
      <c r="D11765" s="1014"/>
      <c r="I11765" s="1011" t="s">
        <v>2179</v>
      </c>
      <c r="K11765" s="1013"/>
    </row>
    <row r="11766" spans="1:11" s="1011" customFormat="1" ht="15" x14ac:dyDescent="0.25">
      <c r="A11766" s="859">
        <f t="shared" si="238"/>
        <v>11765</v>
      </c>
      <c r="B11766" s="845" t="s">
        <v>2564</v>
      </c>
      <c r="C11766" s="1007">
        <f t="shared" si="239"/>
        <v>72</v>
      </c>
      <c r="D11766" s="1014"/>
      <c r="I11766" s="1011" t="str">
        <f>CONCATENATE("&lt;valeur&gt;",VLOOKUP(C11766,'T16 Amort'!A:K,7,0),"&lt;/valeur&gt;")</f>
        <v>&lt;valeur&gt;&lt;/valeur&gt;</v>
      </c>
      <c r="K11766" s="1013"/>
    </row>
    <row r="11767" spans="1:11" s="1011" customFormat="1" ht="15" x14ac:dyDescent="0.25">
      <c r="A11767" s="859">
        <f t="shared" si="238"/>
        <v>11766</v>
      </c>
      <c r="B11767" s="845" t="s">
        <v>2564</v>
      </c>
      <c r="C11767" s="1007">
        <f t="shared" si="239"/>
        <v>72</v>
      </c>
      <c r="D11767" s="1012"/>
      <c r="I11767" s="1011" t="str">
        <f>CONCATENATE("&lt;numeroLigne&gt;",C11767,"&lt;/numeroLigne&gt;")</f>
        <v>&lt;numeroLigne&gt;72&lt;/numeroLigne&gt;</v>
      </c>
      <c r="K11767" s="1013"/>
    </row>
    <row r="11768" spans="1:11" s="1011" customFormat="1" ht="15" x14ac:dyDescent="0.25">
      <c r="A11768" s="859">
        <f t="shared" si="238"/>
        <v>11767</v>
      </c>
      <c r="B11768" s="845" t="s">
        <v>2564</v>
      </c>
      <c r="C11768" s="1007">
        <f t="shared" si="239"/>
        <v>72</v>
      </c>
      <c r="D11768" s="1015"/>
      <c r="H11768" s="1011" t="s">
        <v>1010</v>
      </c>
      <c r="K11768" s="1013"/>
    </row>
    <row r="11769" spans="1:11" s="1011" customFormat="1" ht="15" x14ac:dyDescent="0.25">
      <c r="A11769" s="859">
        <f t="shared" si="238"/>
        <v>11768</v>
      </c>
      <c r="B11769" s="845" t="s">
        <v>2564</v>
      </c>
      <c r="C11769" s="1007">
        <f t="shared" si="239"/>
        <v>72</v>
      </c>
      <c r="D11769" s="1012"/>
      <c r="H11769" s="1011" t="s">
        <v>1007</v>
      </c>
      <c r="K11769" s="1013"/>
    </row>
    <row r="11770" spans="1:11" s="1011" customFormat="1" ht="15" x14ac:dyDescent="0.25">
      <c r="A11770" s="859">
        <f t="shared" si="238"/>
        <v>11769</v>
      </c>
      <c r="B11770" s="845" t="s">
        <v>2564</v>
      </c>
      <c r="C11770" s="1007">
        <f t="shared" si="239"/>
        <v>72</v>
      </c>
      <c r="D11770" s="1012"/>
      <c r="I11770" s="1011" t="s">
        <v>2180</v>
      </c>
      <c r="K11770" s="1013"/>
    </row>
    <row r="11771" spans="1:11" s="1011" customFormat="1" ht="15" x14ac:dyDescent="0.25">
      <c r="A11771" s="859">
        <f t="shared" si="238"/>
        <v>11770</v>
      </c>
      <c r="B11771" s="845" t="s">
        <v>2564</v>
      </c>
      <c r="C11771" s="1007">
        <f t="shared" si="239"/>
        <v>72</v>
      </c>
      <c r="D11771" s="1014"/>
      <c r="I11771" s="1011" t="str">
        <f>CONCATENATE("&lt;valeur&gt;",VLOOKUP(C11771,'T16 Amort'!A:K,8,0),"&lt;/valeur&gt;")</f>
        <v>&lt;valeur&gt;&lt;/valeur&gt;</v>
      </c>
      <c r="K11771" s="1013"/>
    </row>
    <row r="11772" spans="1:11" s="1011" customFormat="1" ht="15" x14ac:dyDescent="0.25">
      <c r="A11772" s="859">
        <f t="shared" si="238"/>
        <v>11771</v>
      </c>
      <c r="B11772" s="845" t="s">
        <v>2564</v>
      </c>
      <c r="C11772" s="1007">
        <f t="shared" si="239"/>
        <v>72</v>
      </c>
      <c r="D11772" s="1014"/>
      <c r="I11772" s="1011" t="str">
        <f>CONCATENATE("&lt;numeroLigne&gt;",C11772,"&lt;/numeroLigne&gt;")</f>
        <v>&lt;numeroLigne&gt;72&lt;/numeroLigne&gt;</v>
      </c>
      <c r="K11772" s="1013"/>
    </row>
    <row r="11773" spans="1:11" s="1011" customFormat="1" ht="15" x14ac:dyDescent="0.25">
      <c r="A11773" s="859">
        <f t="shared" si="238"/>
        <v>11772</v>
      </c>
      <c r="B11773" s="845" t="s">
        <v>2564</v>
      </c>
      <c r="C11773" s="1007">
        <f t="shared" si="239"/>
        <v>72</v>
      </c>
      <c r="D11773" s="1012"/>
      <c r="H11773" s="1011" t="s">
        <v>1010</v>
      </c>
      <c r="K11773" s="1013"/>
    </row>
    <row r="11774" spans="1:11" s="1011" customFormat="1" ht="15" x14ac:dyDescent="0.25">
      <c r="A11774" s="859">
        <f t="shared" si="238"/>
        <v>11773</v>
      </c>
      <c r="B11774" s="845" t="s">
        <v>2564</v>
      </c>
      <c r="C11774" s="1007">
        <f t="shared" si="239"/>
        <v>72</v>
      </c>
      <c r="D11774" s="1015"/>
      <c r="H11774" s="1011" t="s">
        <v>1007</v>
      </c>
      <c r="K11774" s="1013"/>
    </row>
    <row r="11775" spans="1:11" s="1011" customFormat="1" ht="15" x14ac:dyDescent="0.25">
      <c r="A11775" s="859">
        <f t="shared" si="238"/>
        <v>11774</v>
      </c>
      <c r="B11775" s="845" t="s">
        <v>2564</v>
      </c>
      <c r="C11775" s="1007">
        <f t="shared" si="239"/>
        <v>72</v>
      </c>
      <c r="D11775" s="1012"/>
      <c r="I11775" s="1011" t="s">
        <v>2181</v>
      </c>
      <c r="K11775" s="1013"/>
    </row>
    <row r="11776" spans="1:11" s="1011" customFormat="1" ht="15" x14ac:dyDescent="0.25">
      <c r="A11776" s="859">
        <f t="shared" si="238"/>
        <v>11775</v>
      </c>
      <c r="B11776" s="845" t="s">
        <v>2564</v>
      </c>
      <c r="C11776" s="1007">
        <f t="shared" si="239"/>
        <v>72</v>
      </c>
      <c r="D11776" s="1012"/>
      <c r="I11776" s="1011" t="str">
        <f>CONCATENATE("&lt;valeur&gt;",VLOOKUP(C11776,'T16 Amort'!A:K,9,0),"&lt;/valeur&gt;")</f>
        <v>&lt;valeur&gt;&lt;/valeur&gt;</v>
      </c>
      <c r="K11776" s="1013"/>
    </row>
    <row r="11777" spans="1:11" s="1011" customFormat="1" ht="15" x14ac:dyDescent="0.25">
      <c r="A11777" s="859">
        <f t="shared" si="238"/>
        <v>11776</v>
      </c>
      <c r="B11777" s="845" t="s">
        <v>2564</v>
      </c>
      <c r="C11777" s="1007">
        <f t="shared" si="239"/>
        <v>72</v>
      </c>
      <c r="D11777" s="1014"/>
      <c r="I11777" s="1011" t="str">
        <f>CONCATENATE("&lt;numeroLigne&gt;",C11777,"&lt;/numeroLigne&gt;")</f>
        <v>&lt;numeroLigne&gt;72&lt;/numeroLigne&gt;</v>
      </c>
      <c r="K11777" s="1013"/>
    </row>
    <row r="11778" spans="1:11" s="1011" customFormat="1" ht="15" x14ac:dyDescent="0.25">
      <c r="A11778" s="859">
        <f t="shared" si="238"/>
        <v>11777</v>
      </c>
      <c r="B11778" s="845" t="s">
        <v>2564</v>
      </c>
      <c r="C11778" s="1007">
        <f t="shared" si="239"/>
        <v>72</v>
      </c>
      <c r="D11778" s="1014"/>
      <c r="H11778" s="1011" t="s">
        <v>1010</v>
      </c>
      <c r="K11778" s="1013"/>
    </row>
    <row r="11779" spans="1:11" s="1011" customFormat="1" ht="15" x14ac:dyDescent="0.25">
      <c r="A11779" s="859">
        <f t="shared" si="238"/>
        <v>11778</v>
      </c>
      <c r="B11779" s="845" t="s">
        <v>2564</v>
      </c>
      <c r="C11779" s="1007">
        <f t="shared" si="239"/>
        <v>72</v>
      </c>
      <c r="D11779" s="1012"/>
      <c r="H11779" s="1011" t="s">
        <v>1007</v>
      </c>
      <c r="K11779" s="1013"/>
    </row>
    <row r="11780" spans="1:11" s="1011" customFormat="1" ht="15" x14ac:dyDescent="0.25">
      <c r="A11780" s="859">
        <f t="shared" ref="A11780:A11843" si="240">+A11779+1</f>
        <v>11779</v>
      </c>
      <c r="B11780" s="845" t="s">
        <v>2564</v>
      </c>
      <c r="C11780" s="1007">
        <f t="shared" si="239"/>
        <v>72</v>
      </c>
      <c r="D11780" s="1015"/>
      <c r="I11780" s="1011" t="s">
        <v>2182</v>
      </c>
      <c r="K11780" s="1013"/>
    </row>
    <row r="11781" spans="1:11" s="1011" customFormat="1" ht="15" x14ac:dyDescent="0.25">
      <c r="A11781" s="859">
        <f t="shared" si="240"/>
        <v>11780</v>
      </c>
      <c r="B11781" s="845" t="s">
        <v>2564</v>
      </c>
      <c r="C11781" s="1007">
        <f t="shared" si="239"/>
        <v>72</v>
      </c>
      <c r="D11781" s="1012"/>
      <c r="I11781" s="1011" t="str">
        <f>CONCATENATE("&lt;valeur&gt;",VLOOKUP(C11781,'T16 Amort'!A:K,10,0),"&lt;/valeur&gt;")</f>
        <v>&lt;valeur&gt;&lt;/valeur&gt;</v>
      </c>
      <c r="K11781" s="1013"/>
    </row>
    <row r="11782" spans="1:11" s="1011" customFormat="1" ht="15" x14ac:dyDescent="0.25">
      <c r="A11782" s="859">
        <f t="shared" si="240"/>
        <v>11781</v>
      </c>
      <c r="B11782" s="845" t="s">
        <v>2564</v>
      </c>
      <c r="C11782" s="1007">
        <f t="shared" si="239"/>
        <v>72</v>
      </c>
      <c r="D11782" s="1012"/>
      <c r="I11782" s="1011" t="str">
        <f>CONCATENATE("&lt;numeroLigne&gt;",C11782,"&lt;/numeroLigne&gt;")</f>
        <v>&lt;numeroLigne&gt;72&lt;/numeroLigne&gt;</v>
      </c>
      <c r="K11782" s="1013"/>
    </row>
    <row r="11783" spans="1:11" s="1011" customFormat="1" ht="15" x14ac:dyDescent="0.25">
      <c r="A11783" s="859">
        <f t="shared" si="240"/>
        <v>11782</v>
      </c>
      <c r="B11783" s="845" t="s">
        <v>2564</v>
      </c>
      <c r="C11783" s="1007">
        <f t="shared" si="239"/>
        <v>72</v>
      </c>
      <c r="D11783" s="1014"/>
      <c r="H11783" s="1011" t="s">
        <v>1010</v>
      </c>
      <c r="K11783" s="1013"/>
    </row>
    <row r="11784" spans="1:11" s="1011" customFormat="1" ht="15" x14ac:dyDescent="0.25">
      <c r="A11784" s="859">
        <f t="shared" si="240"/>
        <v>11783</v>
      </c>
      <c r="B11784" s="845" t="s">
        <v>2564</v>
      </c>
      <c r="C11784" s="1007">
        <f t="shared" si="239"/>
        <v>72</v>
      </c>
      <c r="D11784" s="1014"/>
      <c r="H11784" s="1011" t="s">
        <v>1007</v>
      </c>
      <c r="K11784" s="1013"/>
    </row>
    <row r="11785" spans="1:11" s="1011" customFormat="1" ht="15" x14ac:dyDescent="0.25">
      <c r="A11785" s="859">
        <f t="shared" si="240"/>
        <v>11784</v>
      </c>
      <c r="B11785" s="845" t="s">
        <v>2564</v>
      </c>
      <c r="C11785" s="1007">
        <f t="shared" si="239"/>
        <v>72</v>
      </c>
      <c r="D11785" s="1012"/>
      <c r="I11785" s="1011" t="s">
        <v>2183</v>
      </c>
      <c r="K11785" s="1013"/>
    </row>
    <row r="11786" spans="1:11" s="1011" customFormat="1" ht="15" x14ac:dyDescent="0.25">
      <c r="A11786" s="859">
        <f t="shared" si="240"/>
        <v>11785</v>
      </c>
      <c r="B11786" s="845" t="s">
        <v>2564</v>
      </c>
      <c r="C11786" s="1007">
        <f t="shared" si="239"/>
        <v>72</v>
      </c>
      <c r="D11786" s="1015"/>
      <c r="I11786" s="1011" t="str">
        <f>CONCATENATE("&lt;valeur&gt;",VLOOKUP(C11786,'T16 Amort'!A:K,11,0),"&lt;/valeur&gt;")</f>
        <v>&lt;valeur&gt;&lt;/valeur&gt;</v>
      </c>
      <c r="K11786" s="1013"/>
    </row>
    <row r="11787" spans="1:11" s="1011" customFormat="1" ht="15" x14ac:dyDescent="0.25">
      <c r="A11787" s="859">
        <f t="shared" si="240"/>
        <v>11786</v>
      </c>
      <c r="B11787" s="845" t="s">
        <v>2564</v>
      </c>
      <c r="C11787" s="1007">
        <f t="shared" si="239"/>
        <v>72</v>
      </c>
      <c r="D11787" s="1012"/>
      <c r="I11787" s="1011" t="str">
        <f>CONCATENATE("&lt;numeroLigne&gt;",C11787,"&lt;/numeroLigne&gt;")</f>
        <v>&lt;numeroLigne&gt;72&lt;/numeroLigne&gt;</v>
      </c>
      <c r="K11787" s="1013"/>
    </row>
    <row r="11788" spans="1:11" s="1011" customFormat="1" ht="15" x14ac:dyDescent="0.25">
      <c r="A11788" s="859">
        <f t="shared" si="240"/>
        <v>11787</v>
      </c>
      <c r="B11788" s="845" t="s">
        <v>2564</v>
      </c>
      <c r="C11788" s="1007">
        <f t="shared" si="239"/>
        <v>72</v>
      </c>
      <c r="D11788" s="1016"/>
      <c r="E11788" s="1017"/>
      <c r="F11788" s="1017"/>
      <c r="G11788" s="1017"/>
      <c r="H11788" s="1017" t="s">
        <v>1010</v>
      </c>
      <c r="I11788" s="1017"/>
      <c r="J11788" s="1017"/>
      <c r="K11788" s="1018"/>
    </row>
    <row r="11789" spans="1:11" s="1011" customFormat="1" ht="15" x14ac:dyDescent="0.25">
      <c r="A11789" s="859">
        <f t="shared" si="240"/>
        <v>11788</v>
      </c>
      <c r="B11789" s="845" t="s">
        <v>2564</v>
      </c>
      <c r="C11789" s="1007">
        <f t="shared" si="239"/>
        <v>73</v>
      </c>
      <c r="D11789" s="1008"/>
      <c r="E11789" s="1009"/>
      <c r="F11789" s="1009"/>
      <c r="G11789" s="1009"/>
      <c r="H11789" s="1009" t="s">
        <v>1007</v>
      </c>
      <c r="I11789" s="1009"/>
      <c r="J11789" s="1009"/>
      <c r="K11789" s="1010"/>
    </row>
    <row r="11790" spans="1:11" s="1011" customFormat="1" ht="15" x14ac:dyDescent="0.25">
      <c r="A11790" s="859">
        <f t="shared" si="240"/>
        <v>11789</v>
      </c>
      <c r="B11790" s="845" t="s">
        <v>2564</v>
      </c>
      <c r="C11790" s="1007">
        <f t="shared" si="239"/>
        <v>73</v>
      </c>
      <c r="D11790" s="1012"/>
      <c r="I11790" s="1011" t="s">
        <v>2174</v>
      </c>
      <c r="K11790" s="1013"/>
    </row>
    <row r="11791" spans="1:11" s="1011" customFormat="1" ht="15" x14ac:dyDescent="0.25">
      <c r="A11791" s="859">
        <f t="shared" si="240"/>
        <v>11790</v>
      </c>
      <c r="B11791" s="845" t="s">
        <v>2564</v>
      </c>
      <c r="C11791" s="1007">
        <f t="shared" si="239"/>
        <v>73</v>
      </c>
      <c r="D11791" s="1014"/>
      <c r="I11791" s="1011" t="str">
        <f>CONCATENATE("&lt;valeur&gt;",VLOOKUP(C11791,'T16 Amort'!A:K,2,0),"&lt;/valeur&gt;")</f>
        <v>&lt;valeur&gt;&lt;/valeur&gt;</v>
      </c>
      <c r="K11791" s="1013"/>
    </row>
    <row r="11792" spans="1:11" s="1011" customFormat="1" ht="15" x14ac:dyDescent="0.25">
      <c r="A11792" s="859">
        <f t="shared" si="240"/>
        <v>11791</v>
      </c>
      <c r="B11792" s="845" t="s">
        <v>2564</v>
      </c>
      <c r="C11792" s="1007">
        <f t="shared" si="239"/>
        <v>73</v>
      </c>
      <c r="D11792" s="1014"/>
      <c r="I11792" s="1011" t="str">
        <f>CONCATENATE("&lt;numeroLigne&gt;",C11792,"&lt;/numeroLigne&gt;")</f>
        <v>&lt;numeroLigne&gt;73&lt;/numeroLigne&gt;</v>
      </c>
      <c r="K11792" s="1013"/>
    </row>
    <row r="11793" spans="1:11" s="1011" customFormat="1" ht="15" x14ac:dyDescent="0.25">
      <c r="A11793" s="859">
        <f t="shared" si="240"/>
        <v>11792</v>
      </c>
      <c r="B11793" s="845" t="s">
        <v>2564</v>
      </c>
      <c r="C11793" s="1007">
        <f t="shared" si="239"/>
        <v>73</v>
      </c>
      <c r="D11793" s="1012"/>
      <c r="H11793" s="1011" t="s">
        <v>1010</v>
      </c>
      <c r="K11793" s="1013"/>
    </row>
    <row r="11794" spans="1:11" s="1011" customFormat="1" ht="15" x14ac:dyDescent="0.25">
      <c r="A11794" s="859">
        <f t="shared" si="240"/>
        <v>11793</v>
      </c>
      <c r="B11794" s="845" t="s">
        <v>2564</v>
      </c>
      <c r="C11794" s="1007">
        <f t="shared" si="239"/>
        <v>73</v>
      </c>
      <c r="D11794" s="1015"/>
      <c r="H11794" s="1011" t="s">
        <v>1007</v>
      </c>
      <c r="K11794" s="1013"/>
    </row>
    <row r="11795" spans="1:11" s="1011" customFormat="1" ht="15" x14ac:dyDescent="0.25">
      <c r="A11795" s="859">
        <f t="shared" si="240"/>
        <v>11794</v>
      </c>
      <c r="B11795" s="845" t="s">
        <v>2564</v>
      </c>
      <c r="C11795" s="1007">
        <f t="shared" si="239"/>
        <v>73</v>
      </c>
      <c r="D11795" s="1012"/>
      <c r="I11795" s="1011" t="s">
        <v>2175</v>
      </c>
      <c r="K11795" s="1013"/>
    </row>
    <row r="11796" spans="1:11" s="1011" customFormat="1" ht="15" x14ac:dyDescent="0.25">
      <c r="A11796" s="859">
        <f t="shared" si="240"/>
        <v>11795</v>
      </c>
      <c r="B11796" s="845" t="s">
        <v>2564</v>
      </c>
      <c r="C11796" s="1007">
        <f t="shared" si="239"/>
        <v>73</v>
      </c>
      <c r="D11796" s="1012"/>
      <c r="I11796" s="1011" t="str">
        <f>CONCATENATE("&lt;valeur&gt;",VLOOKUP(C11796,'T16 Amort'!A:K,3,0),"&lt;/valeur&gt;")</f>
        <v>&lt;valeur&gt;&lt;/valeur&gt;</v>
      </c>
      <c r="K11796" s="1013"/>
    </row>
    <row r="11797" spans="1:11" s="1011" customFormat="1" ht="15" x14ac:dyDescent="0.25">
      <c r="A11797" s="859">
        <f t="shared" si="240"/>
        <v>11796</v>
      </c>
      <c r="B11797" s="845" t="s">
        <v>2564</v>
      </c>
      <c r="C11797" s="1007">
        <f t="shared" si="239"/>
        <v>73</v>
      </c>
      <c r="D11797" s="1014"/>
      <c r="I11797" s="1011" t="str">
        <f>CONCATENATE("&lt;numeroLigne&gt;",C11797,"&lt;/numeroLigne&gt;")</f>
        <v>&lt;numeroLigne&gt;73&lt;/numeroLigne&gt;</v>
      </c>
      <c r="K11797" s="1013"/>
    </row>
    <row r="11798" spans="1:11" s="1011" customFormat="1" ht="15" x14ac:dyDescent="0.25">
      <c r="A11798" s="859">
        <f t="shared" si="240"/>
        <v>11797</v>
      </c>
      <c r="B11798" s="845" t="s">
        <v>2564</v>
      </c>
      <c r="C11798" s="1007">
        <f t="shared" si="239"/>
        <v>73</v>
      </c>
      <c r="D11798" s="1014"/>
      <c r="H11798" s="1011" t="s">
        <v>1010</v>
      </c>
      <c r="K11798" s="1013"/>
    </row>
    <row r="11799" spans="1:11" s="1011" customFormat="1" ht="15" x14ac:dyDescent="0.25">
      <c r="A11799" s="859">
        <f t="shared" si="240"/>
        <v>11798</v>
      </c>
      <c r="B11799" s="845" t="s">
        <v>2564</v>
      </c>
      <c r="C11799" s="1007">
        <f t="shared" si="239"/>
        <v>73</v>
      </c>
      <c r="D11799" s="1012"/>
      <c r="H11799" s="1011" t="s">
        <v>1007</v>
      </c>
      <c r="K11799" s="1013"/>
    </row>
    <row r="11800" spans="1:11" s="1011" customFormat="1" ht="15" x14ac:dyDescent="0.25">
      <c r="A11800" s="859">
        <f t="shared" si="240"/>
        <v>11799</v>
      </c>
      <c r="B11800" s="845" t="s">
        <v>2564</v>
      </c>
      <c r="C11800" s="1007">
        <f t="shared" si="239"/>
        <v>73</v>
      </c>
      <c r="D11800" s="1015"/>
      <c r="I11800" s="1011" t="s">
        <v>2176</v>
      </c>
      <c r="K11800" s="1013"/>
    </row>
    <row r="11801" spans="1:11" s="1011" customFormat="1" ht="15" x14ac:dyDescent="0.25">
      <c r="A11801" s="859">
        <f t="shared" si="240"/>
        <v>11800</v>
      </c>
      <c r="B11801" s="845" t="s">
        <v>2564</v>
      </c>
      <c r="C11801" s="1007">
        <f t="shared" si="239"/>
        <v>73</v>
      </c>
      <c r="D11801" s="1012"/>
      <c r="I11801" s="1011" t="str">
        <f>CONCATENATE("&lt;valeur&gt;",VLOOKUP(C11801,'T16 Amort'!A:K,4,0),"&lt;/valeur&gt;")</f>
        <v>&lt;valeur&gt;&lt;/valeur&gt;</v>
      </c>
      <c r="K11801" s="1013"/>
    </row>
    <row r="11802" spans="1:11" s="1011" customFormat="1" ht="15" x14ac:dyDescent="0.25">
      <c r="A11802" s="859">
        <f t="shared" si="240"/>
        <v>11801</v>
      </c>
      <c r="B11802" s="845" t="s">
        <v>2564</v>
      </c>
      <c r="C11802" s="1007">
        <f t="shared" si="239"/>
        <v>73</v>
      </c>
      <c r="D11802" s="1012"/>
      <c r="I11802" s="1011" t="str">
        <f>CONCATENATE("&lt;numeroLigne&gt;",C11802,"&lt;/numeroLigne&gt;")</f>
        <v>&lt;numeroLigne&gt;73&lt;/numeroLigne&gt;</v>
      </c>
      <c r="K11802" s="1013"/>
    </row>
    <row r="11803" spans="1:11" s="1011" customFormat="1" ht="15" x14ac:dyDescent="0.25">
      <c r="A11803" s="859">
        <f t="shared" si="240"/>
        <v>11802</v>
      </c>
      <c r="B11803" s="845" t="s">
        <v>2564</v>
      </c>
      <c r="C11803" s="1007">
        <f t="shared" si="239"/>
        <v>73</v>
      </c>
      <c r="D11803" s="1014"/>
      <c r="H11803" s="1011" t="s">
        <v>1010</v>
      </c>
      <c r="K11803" s="1013"/>
    </row>
    <row r="11804" spans="1:11" s="1011" customFormat="1" ht="15" x14ac:dyDescent="0.25">
      <c r="A11804" s="859">
        <f t="shared" si="240"/>
        <v>11803</v>
      </c>
      <c r="B11804" s="845" t="s">
        <v>2564</v>
      </c>
      <c r="C11804" s="1007">
        <f t="shared" si="239"/>
        <v>73</v>
      </c>
      <c r="D11804" s="1014"/>
      <c r="H11804" s="1011" t="s">
        <v>1007</v>
      </c>
      <c r="K11804" s="1013"/>
    </row>
    <row r="11805" spans="1:11" s="1011" customFormat="1" ht="15" x14ac:dyDescent="0.25">
      <c r="A11805" s="859">
        <f t="shared" si="240"/>
        <v>11804</v>
      </c>
      <c r="B11805" s="845" t="s">
        <v>2564</v>
      </c>
      <c r="C11805" s="1007">
        <f t="shared" si="239"/>
        <v>73</v>
      </c>
      <c r="D11805" s="1012"/>
      <c r="I11805" s="1011" t="s">
        <v>2177</v>
      </c>
      <c r="K11805" s="1013"/>
    </row>
    <row r="11806" spans="1:11" s="1011" customFormat="1" ht="15" x14ac:dyDescent="0.25">
      <c r="A11806" s="859">
        <f t="shared" si="240"/>
        <v>11805</v>
      </c>
      <c r="B11806" s="845" t="s">
        <v>2564</v>
      </c>
      <c r="C11806" s="1007">
        <f t="shared" si="239"/>
        <v>73</v>
      </c>
      <c r="D11806" s="1015"/>
      <c r="I11806" s="1011" t="str">
        <f>CONCATENATE("&lt;valeur&gt;",VLOOKUP(C11806,'T16 Amort'!A:K,5,0),"&lt;/valeur&gt;")</f>
        <v>&lt;valeur&gt;&lt;/valeur&gt;</v>
      </c>
      <c r="K11806" s="1013"/>
    </row>
    <row r="11807" spans="1:11" s="1011" customFormat="1" ht="15" x14ac:dyDescent="0.25">
      <c r="A11807" s="859">
        <f t="shared" si="240"/>
        <v>11806</v>
      </c>
      <c r="B11807" s="845" t="s">
        <v>2564</v>
      </c>
      <c r="C11807" s="1007">
        <f t="shared" si="239"/>
        <v>73</v>
      </c>
      <c r="D11807" s="1012"/>
      <c r="I11807" s="1011" t="str">
        <f>CONCATENATE("&lt;numeroLigne&gt;",C11807,"&lt;/numeroLigne&gt;")</f>
        <v>&lt;numeroLigne&gt;73&lt;/numeroLigne&gt;</v>
      </c>
      <c r="K11807" s="1013"/>
    </row>
    <row r="11808" spans="1:11" s="1011" customFormat="1" ht="15" x14ac:dyDescent="0.25">
      <c r="A11808" s="859">
        <f t="shared" si="240"/>
        <v>11807</v>
      </c>
      <c r="B11808" s="845" t="s">
        <v>2564</v>
      </c>
      <c r="C11808" s="1007">
        <f t="shared" si="239"/>
        <v>73</v>
      </c>
      <c r="D11808" s="1012"/>
      <c r="H11808" s="1011" t="s">
        <v>1010</v>
      </c>
      <c r="K11808" s="1013"/>
    </row>
    <row r="11809" spans="1:11" s="1011" customFormat="1" ht="15" x14ac:dyDescent="0.25">
      <c r="A11809" s="859">
        <f t="shared" si="240"/>
        <v>11808</v>
      </c>
      <c r="B11809" s="845" t="s">
        <v>2564</v>
      </c>
      <c r="C11809" s="1007">
        <f t="shared" si="239"/>
        <v>73</v>
      </c>
      <c r="D11809" s="1014"/>
      <c r="H11809" s="1011" t="s">
        <v>1007</v>
      </c>
      <c r="K11809" s="1013"/>
    </row>
    <row r="11810" spans="1:11" s="1011" customFormat="1" ht="15" x14ac:dyDescent="0.25">
      <c r="A11810" s="859">
        <f t="shared" si="240"/>
        <v>11809</v>
      </c>
      <c r="B11810" s="845" t="s">
        <v>2564</v>
      </c>
      <c r="C11810" s="1007">
        <f t="shared" si="239"/>
        <v>73</v>
      </c>
      <c r="D11810" s="1014"/>
      <c r="I11810" s="1011" t="s">
        <v>2178</v>
      </c>
      <c r="K11810" s="1013"/>
    </row>
    <row r="11811" spans="1:11" s="1011" customFormat="1" ht="15" x14ac:dyDescent="0.25">
      <c r="A11811" s="859">
        <f t="shared" si="240"/>
        <v>11810</v>
      </c>
      <c r="B11811" s="845" t="s">
        <v>2564</v>
      </c>
      <c r="C11811" s="1007">
        <f t="shared" si="239"/>
        <v>73</v>
      </c>
      <c r="D11811" s="1012"/>
      <c r="I11811" s="1011" t="str">
        <f>CONCATENATE("&lt;valeur&gt;",VLOOKUP(C11811,'T16 Amort'!A:K,6,0),"&lt;/valeur&gt;")</f>
        <v>&lt;valeur&gt;&lt;/valeur&gt;</v>
      </c>
      <c r="K11811" s="1013"/>
    </row>
    <row r="11812" spans="1:11" s="1011" customFormat="1" ht="15" x14ac:dyDescent="0.25">
      <c r="A11812" s="859">
        <f t="shared" si="240"/>
        <v>11811</v>
      </c>
      <c r="B11812" s="845" t="s">
        <v>2564</v>
      </c>
      <c r="C11812" s="1007">
        <f t="shared" si="239"/>
        <v>73</v>
      </c>
      <c r="D11812" s="1015"/>
      <c r="I11812" s="1011" t="str">
        <f>CONCATENATE("&lt;numeroLigne&gt;",C11812,"&lt;/numeroLigne&gt;")</f>
        <v>&lt;numeroLigne&gt;73&lt;/numeroLigne&gt;</v>
      </c>
      <c r="K11812" s="1013"/>
    </row>
    <row r="11813" spans="1:11" s="1011" customFormat="1" ht="15" x14ac:dyDescent="0.25">
      <c r="A11813" s="859">
        <f t="shared" si="240"/>
        <v>11812</v>
      </c>
      <c r="B11813" s="845" t="s">
        <v>2564</v>
      </c>
      <c r="C11813" s="1007">
        <f t="shared" si="239"/>
        <v>73</v>
      </c>
      <c r="D11813" s="1012"/>
      <c r="H11813" s="1011" t="s">
        <v>1010</v>
      </c>
      <c r="K11813" s="1013"/>
    </row>
    <row r="11814" spans="1:11" s="1011" customFormat="1" ht="15" x14ac:dyDescent="0.25">
      <c r="A11814" s="859">
        <f t="shared" si="240"/>
        <v>11813</v>
      </c>
      <c r="B11814" s="845" t="s">
        <v>2564</v>
      </c>
      <c r="C11814" s="1007">
        <f t="shared" si="239"/>
        <v>73</v>
      </c>
      <c r="D11814" s="1012"/>
      <c r="H11814" s="1011" t="s">
        <v>1007</v>
      </c>
      <c r="K11814" s="1013"/>
    </row>
    <row r="11815" spans="1:11" s="1011" customFormat="1" ht="15" x14ac:dyDescent="0.25">
      <c r="A11815" s="859">
        <f t="shared" si="240"/>
        <v>11814</v>
      </c>
      <c r="B11815" s="845" t="s">
        <v>2564</v>
      </c>
      <c r="C11815" s="1007">
        <f t="shared" si="239"/>
        <v>73</v>
      </c>
      <c r="D11815" s="1014"/>
      <c r="I11815" s="1011" t="s">
        <v>2179</v>
      </c>
      <c r="K11815" s="1013"/>
    </row>
    <row r="11816" spans="1:11" s="1011" customFormat="1" ht="15" x14ac:dyDescent="0.25">
      <c r="A11816" s="859">
        <f t="shared" si="240"/>
        <v>11815</v>
      </c>
      <c r="B11816" s="845" t="s">
        <v>2564</v>
      </c>
      <c r="C11816" s="1007">
        <f t="shared" si="239"/>
        <v>73</v>
      </c>
      <c r="D11816" s="1014"/>
      <c r="I11816" s="1011" t="str">
        <f>CONCATENATE("&lt;valeur&gt;",VLOOKUP(C11816,'T16 Amort'!A:K,7,0),"&lt;/valeur&gt;")</f>
        <v>&lt;valeur&gt;&lt;/valeur&gt;</v>
      </c>
      <c r="K11816" s="1013"/>
    </row>
    <row r="11817" spans="1:11" s="1011" customFormat="1" ht="15" x14ac:dyDescent="0.25">
      <c r="A11817" s="859">
        <f t="shared" si="240"/>
        <v>11816</v>
      </c>
      <c r="B11817" s="845" t="s">
        <v>2564</v>
      </c>
      <c r="C11817" s="1007">
        <f t="shared" si="239"/>
        <v>73</v>
      </c>
      <c r="D11817" s="1012"/>
      <c r="I11817" s="1011" t="str">
        <f>CONCATENATE("&lt;numeroLigne&gt;",C11817,"&lt;/numeroLigne&gt;")</f>
        <v>&lt;numeroLigne&gt;73&lt;/numeroLigne&gt;</v>
      </c>
      <c r="K11817" s="1013"/>
    </row>
    <row r="11818" spans="1:11" s="1011" customFormat="1" ht="15" x14ac:dyDescent="0.25">
      <c r="A11818" s="859">
        <f t="shared" si="240"/>
        <v>11817</v>
      </c>
      <c r="B11818" s="845" t="s">
        <v>2564</v>
      </c>
      <c r="C11818" s="1007">
        <f t="shared" si="239"/>
        <v>73</v>
      </c>
      <c r="D11818" s="1015"/>
      <c r="H11818" s="1011" t="s">
        <v>1010</v>
      </c>
      <c r="K11818" s="1013"/>
    </row>
    <row r="11819" spans="1:11" s="1011" customFormat="1" ht="15" x14ac:dyDescent="0.25">
      <c r="A11819" s="859">
        <f t="shared" si="240"/>
        <v>11818</v>
      </c>
      <c r="B11819" s="845" t="s">
        <v>2564</v>
      </c>
      <c r="C11819" s="1007">
        <f t="shared" si="239"/>
        <v>73</v>
      </c>
      <c r="D11819" s="1012"/>
      <c r="H11819" s="1011" t="s">
        <v>1007</v>
      </c>
      <c r="K11819" s="1013"/>
    </row>
    <row r="11820" spans="1:11" s="1011" customFormat="1" ht="15" x14ac:dyDescent="0.25">
      <c r="A11820" s="859">
        <f t="shared" si="240"/>
        <v>11819</v>
      </c>
      <c r="B11820" s="845" t="s">
        <v>2564</v>
      </c>
      <c r="C11820" s="1007">
        <f t="shared" si="239"/>
        <v>73</v>
      </c>
      <c r="D11820" s="1012"/>
      <c r="I11820" s="1011" t="s">
        <v>2180</v>
      </c>
      <c r="K11820" s="1013"/>
    </row>
    <row r="11821" spans="1:11" s="1011" customFormat="1" ht="15" x14ac:dyDescent="0.25">
      <c r="A11821" s="859">
        <f t="shared" si="240"/>
        <v>11820</v>
      </c>
      <c r="B11821" s="845" t="s">
        <v>2564</v>
      </c>
      <c r="C11821" s="1007">
        <f t="shared" si="239"/>
        <v>73</v>
      </c>
      <c r="D11821" s="1014"/>
      <c r="I11821" s="1011" t="str">
        <f>CONCATENATE("&lt;valeur&gt;",VLOOKUP(C11821,'T16 Amort'!A:K,8,0),"&lt;/valeur&gt;")</f>
        <v>&lt;valeur&gt;&lt;/valeur&gt;</v>
      </c>
      <c r="K11821" s="1013"/>
    </row>
    <row r="11822" spans="1:11" s="1011" customFormat="1" ht="15" x14ac:dyDescent="0.25">
      <c r="A11822" s="859">
        <f t="shared" si="240"/>
        <v>11821</v>
      </c>
      <c r="B11822" s="845" t="s">
        <v>2564</v>
      </c>
      <c r="C11822" s="1007">
        <f t="shared" si="239"/>
        <v>73</v>
      </c>
      <c r="D11822" s="1014"/>
      <c r="I11822" s="1011" t="str">
        <f>CONCATENATE("&lt;numeroLigne&gt;",C11822,"&lt;/numeroLigne&gt;")</f>
        <v>&lt;numeroLigne&gt;73&lt;/numeroLigne&gt;</v>
      </c>
      <c r="K11822" s="1013"/>
    </row>
    <row r="11823" spans="1:11" s="1011" customFormat="1" ht="15" x14ac:dyDescent="0.25">
      <c r="A11823" s="859">
        <f t="shared" si="240"/>
        <v>11822</v>
      </c>
      <c r="B11823" s="845" t="s">
        <v>2564</v>
      </c>
      <c r="C11823" s="1007">
        <f t="shared" ref="C11823:C11886" si="241">C11773+1</f>
        <v>73</v>
      </c>
      <c r="D11823" s="1012"/>
      <c r="H11823" s="1011" t="s">
        <v>1010</v>
      </c>
      <c r="K11823" s="1013"/>
    </row>
    <row r="11824" spans="1:11" s="1011" customFormat="1" ht="15" x14ac:dyDescent="0.25">
      <c r="A11824" s="859">
        <f t="shared" si="240"/>
        <v>11823</v>
      </c>
      <c r="B11824" s="845" t="s">
        <v>2564</v>
      </c>
      <c r="C11824" s="1007">
        <f t="shared" si="241"/>
        <v>73</v>
      </c>
      <c r="D11824" s="1015"/>
      <c r="H11824" s="1011" t="s">
        <v>1007</v>
      </c>
      <c r="K11824" s="1013"/>
    </row>
    <row r="11825" spans="1:11" s="1011" customFormat="1" ht="15" x14ac:dyDescent="0.25">
      <c r="A11825" s="859">
        <f t="shared" si="240"/>
        <v>11824</v>
      </c>
      <c r="B11825" s="845" t="s">
        <v>2564</v>
      </c>
      <c r="C11825" s="1007">
        <f t="shared" si="241"/>
        <v>73</v>
      </c>
      <c r="D11825" s="1012"/>
      <c r="I11825" s="1011" t="s">
        <v>2181</v>
      </c>
      <c r="K11825" s="1013"/>
    </row>
    <row r="11826" spans="1:11" s="1011" customFormat="1" ht="15" x14ac:dyDescent="0.25">
      <c r="A11826" s="859">
        <f t="shared" si="240"/>
        <v>11825</v>
      </c>
      <c r="B11826" s="845" t="s">
        <v>2564</v>
      </c>
      <c r="C11826" s="1007">
        <f t="shared" si="241"/>
        <v>73</v>
      </c>
      <c r="D11826" s="1012"/>
      <c r="I11826" s="1011" t="str">
        <f>CONCATENATE("&lt;valeur&gt;",VLOOKUP(C11826,'T16 Amort'!A:K,9,0),"&lt;/valeur&gt;")</f>
        <v>&lt;valeur&gt;&lt;/valeur&gt;</v>
      </c>
      <c r="K11826" s="1013"/>
    </row>
    <row r="11827" spans="1:11" s="1011" customFormat="1" ht="15" x14ac:dyDescent="0.25">
      <c r="A11827" s="859">
        <f t="shared" si="240"/>
        <v>11826</v>
      </c>
      <c r="B11827" s="845" t="s">
        <v>2564</v>
      </c>
      <c r="C11827" s="1007">
        <f t="shared" si="241"/>
        <v>73</v>
      </c>
      <c r="D11827" s="1014"/>
      <c r="I11827" s="1011" t="str">
        <f>CONCATENATE("&lt;numeroLigne&gt;",C11827,"&lt;/numeroLigne&gt;")</f>
        <v>&lt;numeroLigne&gt;73&lt;/numeroLigne&gt;</v>
      </c>
      <c r="K11827" s="1013"/>
    </row>
    <row r="11828" spans="1:11" s="1011" customFormat="1" ht="15" x14ac:dyDescent="0.25">
      <c r="A11828" s="859">
        <f t="shared" si="240"/>
        <v>11827</v>
      </c>
      <c r="B11828" s="845" t="s">
        <v>2564</v>
      </c>
      <c r="C11828" s="1007">
        <f t="shared" si="241"/>
        <v>73</v>
      </c>
      <c r="D11828" s="1014"/>
      <c r="H11828" s="1011" t="s">
        <v>1010</v>
      </c>
      <c r="K11828" s="1013"/>
    </row>
    <row r="11829" spans="1:11" s="1011" customFormat="1" ht="15" x14ac:dyDescent="0.25">
      <c r="A11829" s="859">
        <f t="shared" si="240"/>
        <v>11828</v>
      </c>
      <c r="B11829" s="845" t="s">
        <v>2564</v>
      </c>
      <c r="C11829" s="1007">
        <f t="shared" si="241"/>
        <v>73</v>
      </c>
      <c r="D11829" s="1012"/>
      <c r="H11829" s="1011" t="s">
        <v>1007</v>
      </c>
      <c r="K11829" s="1013"/>
    </row>
    <row r="11830" spans="1:11" s="1011" customFormat="1" ht="15" x14ac:dyDescent="0.25">
      <c r="A11830" s="859">
        <f t="shared" si="240"/>
        <v>11829</v>
      </c>
      <c r="B11830" s="845" t="s">
        <v>2564</v>
      </c>
      <c r="C11830" s="1007">
        <f t="shared" si="241"/>
        <v>73</v>
      </c>
      <c r="D11830" s="1015"/>
      <c r="I11830" s="1011" t="s">
        <v>2182</v>
      </c>
      <c r="K11830" s="1013"/>
    </row>
    <row r="11831" spans="1:11" s="1011" customFormat="1" ht="15" x14ac:dyDescent="0.25">
      <c r="A11831" s="859">
        <f t="shared" si="240"/>
        <v>11830</v>
      </c>
      <c r="B11831" s="845" t="s">
        <v>2564</v>
      </c>
      <c r="C11831" s="1007">
        <f t="shared" si="241"/>
        <v>73</v>
      </c>
      <c r="D11831" s="1012"/>
      <c r="I11831" s="1011" t="str">
        <f>CONCATENATE("&lt;valeur&gt;",VLOOKUP(C11831,'T16 Amort'!A:K,10,0),"&lt;/valeur&gt;")</f>
        <v>&lt;valeur&gt;&lt;/valeur&gt;</v>
      </c>
      <c r="K11831" s="1013"/>
    </row>
    <row r="11832" spans="1:11" s="1011" customFormat="1" ht="15" x14ac:dyDescent="0.25">
      <c r="A11832" s="859">
        <f t="shared" si="240"/>
        <v>11831</v>
      </c>
      <c r="B11832" s="845" t="s">
        <v>2564</v>
      </c>
      <c r="C11832" s="1007">
        <f t="shared" si="241"/>
        <v>73</v>
      </c>
      <c r="D11832" s="1012"/>
      <c r="I11832" s="1011" t="str">
        <f>CONCATENATE("&lt;numeroLigne&gt;",C11832,"&lt;/numeroLigne&gt;")</f>
        <v>&lt;numeroLigne&gt;73&lt;/numeroLigne&gt;</v>
      </c>
      <c r="K11832" s="1013"/>
    </row>
    <row r="11833" spans="1:11" s="1011" customFormat="1" ht="15" x14ac:dyDescent="0.25">
      <c r="A11833" s="859">
        <f t="shared" si="240"/>
        <v>11832</v>
      </c>
      <c r="B11833" s="845" t="s">
        <v>2564</v>
      </c>
      <c r="C11833" s="1007">
        <f t="shared" si="241"/>
        <v>73</v>
      </c>
      <c r="D11833" s="1014"/>
      <c r="H11833" s="1011" t="s">
        <v>1010</v>
      </c>
      <c r="K11833" s="1013"/>
    </row>
    <row r="11834" spans="1:11" s="1011" customFormat="1" ht="15" x14ac:dyDescent="0.25">
      <c r="A11834" s="859">
        <f t="shared" si="240"/>
        <v>11833</v>
      </c>
      <c r="B11834" s="845" t="s">
        <v>2564</v>
      </c>
      <c r="C11834" s="1007">
        <f t="shared" si="241"/>
        <v>73</v>
      </c>
      <c r="D11834" s="1014"/>
      <c r="H11834" s="1011" t="s">
        <v>1007</v>
      </c>
      <c r="K11834" s="1013"/>
    </row>
    <row r="11835" spans="1:11" s="1011" customFormat="1" ht="15" x14ac:dyDescent="0.25">
      <c r="A11835" s="859">
        <f t="shared" si="240"/>
        <v>11834</v>
      </c>
      <c r="B11835" s="845" t="s">
        <v>2564</v>
      </c>
      <c r="C11835" s="1007">
        <f t="shared" si="241"/>
        <v>73</v>
      </c>
      <c r="D11835" s="1012"/>
      <c r="I11835" s="1011" t="s">
        <v>2183</v>
      </c>
      <c r="K11835" s="1013"/>
    </row>
    <row r="11836" spans="1:11" s="1011" customFormat="1" ht="15" x14ac:dyDescent="0.25">
      <c r="A11836" s="859">
        <f t="shared" si="240"/>
        <v>11835</v>
      </c>
      <c r="B11836" s="845" t="s">
        <v>2564</v>
      </c>
      <c r="C11836" s="1007">
        <f t="shared" si="241"/>
        <v>73</v>
      </c>
      <c r="D11836" s="1015"/>
      <c r="I11836" s="1011" t="str">
        <f>CONCATENATE("&lt;valeur&gt;",VLOOKUP(C11836,'T16 Amort'!A:K,11,0),"&lt;/valeur&gt;")</f>
        <v>&lt;valeur&gt;&lt;/valeur&gt;</v>
      </c>
      <c r="K11836" s="1013"/>
    </row>
    <row r="11837" spans="1:11" s="1011" customFormat="1" ht="15" x14ac:dyDescent="0.25">
      <c r="A11837" s="859">
        <f t="shared" si="240"/>
        <v>11836</v>
      </c>
      <c r="B11837" s="845" t="s">
        <v>2564</v>
      </c>
      <c r="C11837" s="1007">
        <f t="shared" si="241"/>
        <v>73</v>
      </c>
      <c r="D11837" s="1012"/>
      <c r="I11837" s="1011" t="str">
        <f>CONCATENATE("&lt;numeroLigne&gt;",C11837,"&lt;/numeroLigne&gt;")</f>
        <v>&lt;numeroLigne&gt;73&lt;/numeroLigne&gt;</v>
      </c>
      <c r="K11837" s="1013"/>
    </row>
    <row r="11838" spans="1:11" s="1011" customFormat="1" ht="15" x14ac:dyDescent="0.25">
      <c r="A11838" s="859">
        <f t="shared" si="240"/>
        <v>11837</v>
      </c>
      <c r="B11838" s="845" t="s">
        <v>2564</v>
      </c>
      <c r="C11838" s="1007">
        <f t="shared" si="241"/>
        <v>73</v>
      </c>
      <c r="D11838" s="1016"/>
      <c r="E11838" s="1017"/>
      <c r="F11838" s="1017"/>
      <c r="G11838" s="1017"/>
      <c r="H11838" s="1017" t="s">
        <v>1010</v>
      </c>
      <c r="I11838" s="1017"/>
      <c r="J11838" s="1017"/>
      <c r="K11838" s="1018"/>
    </row>
    <row r="11839" spans="1:11" s="1011" customFormat="1" ht="15" x14ac:dyDescent="0.25">
      <c r="A11839" s="859">
        <f t="shared" si="240"/>
        <v>11838</v>
      </c>
      <c r="B11839" s="845" t="s">
        <v>2564</v>
      </c>
      <c r="C11839" s="1007">
        <f t="shared" si="241"/>
        <v>74</v>
      </c>
      <c r="D11839" s="1008"/>
      <c r="E11839" s="1009"/>
      <c r="F11839" s="1009"/>
      <c r="G11839" s="1009"/>
      <c r="H11839" s="1009" t="s">
        <v>1007</v>
      </c>
      <c r="I11839" s="1009"/>
      <c r="J11839" s="1009"/>
      <c r="K11839" s="1010"/>
    </row>
    <row r="11840" spans="1:11" s="1011" customFormat="1" ht="15" x14ac:dyDescent="0.25">
      <c r="A11840" s="859">
        <f t="shared" si="240"/>
        <v>11839</v>
      </c>
      <c r="B11840" s="845" t="s">
        <v>2564</v>
      </c>
      <c r="C11840" s="1007">
        <f t="shared" si="241"/>
        <v>74</v>
      </c>
      <c r="D11840" s="1012"/>
      <c r="I11840" s="1011" t="s">
        <v>2174</v>
      </c>
      <c r="K11840" s="1013"/>
    </row>
    <row r="11841" spans="1:11" s="1011" customFormat="1" ht="15" x14ac:dyDescent="0.25">
      <c r="A11841" s="859">
        <f t="shared" si="240"/>
        <v>11840</v>
      </c>
      <c r="B11841" s="845" t="s">
        <v>2564</v>
      </c>
      <c r="C11841" s="1007">
        <f t="shared" si="241"/>
        <v>74</v>
      </c>
      <c r="D11841" s="1014"/>
      <c r="I11841" s="1011" t="str">
        <f>CONCATENATE("&lt;valeur&gt;",VLOOKUP(C11841,'T16 Amort'!A:K,2,0),"&lt;/valeur&gt;")</f>
        <v>&lt;valeur&gt;&lt;/valeur&gt;</v>
      </c>
      <c r="K11841" s="1013"/>
    </row>
    <row r="11842" spans="1:11" s="1011" customFormat="1" ht="15" x14ac:dyDescent="0.25">
      <c r="A11842" s="859">
        <f t="shared" si="240"/>
        <v>11841</v>
      </c>
      <c r="B11842" s="845" t="s">
        <v>2564</v>
      </c>
      <c r="C11842" s="1007">
        <f t="shared" si="241"/>
        <v>74</v>
      </c>
      <c r="D11842" s="1014"/>
      <c r="I11842" s="1011" t="str">
        <f>CONCATENATE("&lt;numeroLigne&gt;",C11842,"&lt;/numeroLigne&gt;")</f>
        <v>&lt;numeroLigne&gt;74&lt;/numeroLigne&gt;</v>
      </c>
      <c r="K11842" s="1013"/>
    </row>
    <row r="11843" spans="1:11" s="1011" customFormat="1" ht="15" x14ac:dyDescent="0.25">
      <c r="A11843" s="859">
        <f t="shared" si="240"/>
        <v>11842</v>
      </c>
      <c r="B11843" s="845" t="s">
        <v>2564</v>
      </c>
      <c r="C11843" s="1007">
        <f t="shared" si="241"/>
        <v>74</v>
      </c>
      <c r="D11843" s="1012"/>
      <c r="H11843" s="1011" t="s">
        <v>1010</v>
      </c>
      <c r="K11843" s="1013"/>
    </row>
    <row r="11844" spans="1:11" s="1011" customFormat="1" ht="15" x14ac:dyDescent="0.25">
      <c r="A11844" s="859">
        <f t="shared" ref="A11844:A11907" si="242">+A11843+1</f>
        <v>11843</v>
      </c>
      <c r="B11844" s="845" t="s">
        <v>2564</v>
      </c>
      <c r="C11844" s="1007">
        <f t="shared" si="241"/>
        <v>74</v>
      </c>
      <c r="D11844" s="1015"/>
      <c r="H11844" s="1011" t="s">
        <v>1007</v>
      </c>
      <c r="K11844" s="1013"/>
    </row>
    <row r="11845" spans="1:11" s="1011" customFormat="1" ht="15" x14ac:dyDescent="0.25">
      <c r="A11845" s="859">
        <f t="shared" si="242"/>
        <v>11844</v>
      </c>
      <c r="B11845" s="845" t="s">
        <v>2564</v>
      </c>
      <c r="C11845" s="1007">
        <f t="shared" si="241"/>
        <v>74</v>
      </c>
      <c r="D11845" s="1012"/>
      <c r="I11845" s="1011" t="s">
        <v>2175</v>
      </c>
      <c r="K11845" s="1013"/>
    </row>
    <row r="11846" spans="1:11" s="1011" customFormat="1" ht="15" x14ac:dyDescent="0.25">
      <c r="A11846" s="859">
        <f t="shared" si="242"/>
        <v>11845</v>
      </c>
      <c r="B11846" s="845" t="s">
        <v>2564</v>
      </c>
      <c r="C11846" s="1007">
        <f t="shared" si="241"/>
        <v>74</v>
      </c>
      <c r="D11846" s="1012"/>
      <c r="I11846" s="1011" t="str">
        <f>CONCATENATE("&lt;valeur&gt;",VLOOKUP(C11846,'T16 Amort'!A:K,3,0),"&lt;/valeur&gt;")</f>
        <v>&lt;valeur&gt;&lt;/valeur&gt;</v>
      </c>
      <c r="K11846" s="1013"/>
    </row>
    <row r="11847" spans="1:11" s="1011" customFormat="1" ht="15" x14ac:dyDescent="0.25">
      <c r="A11847" s="859">
        <f t="shared" si="242"/>
        <v>11846</v>
      </c>
      <c r="B11847" s="845" t="s">
        <v>2564</v>
      </c>
      <c r="C11847" s="1007">
        <f t="shared" si="241"/>
        <v>74</v>
      </c>
      <c r="D11847" s="1014"/>
      <c r="I11847" s="1011" t="str">
        <f>CONCATENATE("&lt;numeroLigne&gt;",C11847,"&lt;/numeroLigne&gt;")</f>
        <v>&lt;numeroLigne&gt;74&lt;/numeroLigne&gt;</v>
      </c>
      <c r="K11847" s="1013"/>
    </row>
    <row r="11848" spans="1:11" s="1011" customFormat="1" ht="15" x14ac:dyDescent="0.25">
      <c r="A11848" s="859">
        <f t="shared" si="242"/>
        <v>11847</v>
      </c>
      <c r="B11848" s="845" t="s">
        <v>2564</v>
      </c>
      <c r="C11848" s="1007">
        <f t="shared" si="241"/>
        <v>74</v>
      </c>
      <c r="D11848" s="1014"/>
      <c r="H11848" s="1011" t="s">
        <v>1010</v>
      </c>
      <c r="K11848" s="1013"/>
    </row>
    <row r="11849" spans="1:11" s="1011" customFormat="1" ht="15" x14ac:dyDescent="0.25">
      <c r="A11849" s="859">
        <f t="shared" si="242"/>
        <v>11848</v>
      </c>
      <c r="B11849" s="845" t="s">
        <v>2564</v>
      </c>
      <c r="C11849" s="1007">
        <f t="shared" si="241"/>
        <v>74</v>
      </c>
      <c r="D11849" s="1012"/>
      <c r="H11849" s="1011" t="s">
        <v>1007</v>
      </c>
      <c r="K11849" s="1013"/>
    </row>
    <row r="11850" spans="1:11" s="1011" customFormat="1" ht="15" x14ac:dyDescent="0.25">
      <c r="A11850" s="859">
        <f t="shared" si="242"/>
        <v>11849</v>
      </c>
      <c r="B11850" s="845" t="s">
        <v>2564</v>
      </c>
      <c r="C11850" s="1007">
        <f t="shared" si="241"/>
        <v>74</v>
      </c>
      <c r="D11850" s="1015"/>
      <c r="I11850" s="1011" t="s">
        <v>2176</v>
      </c>
      <c r="K11850" s="1013"/>
    </row>
    <row r="11851" spans="1:11" s="1011" customFormat="1" ht="15" x14ac:dyDescent="0.25">
      <c r="A11851" s="859">
        <f t="shared" si="242"/>
        <v>11850</v>
      </c>
      <c r="B11851" s="845" t="s">
        <v>2564</v>
      </c>
      <c r="C11851" s="1007">
        <f t="shared" si="241"/>
        <v>74</v>
      </c>
      <c r="D11851" s="1012"/>
      <c r="I11851" s="1011" t="str">
        <f>CONCATENATE("&lt;valeur&gt;",VLOOKUP(C11851,'T16 Amort'!A:K,4,0),"&lt;/valeur&gt;")</f>
        <v>&lt;valeur&gt;&lt;/valeur&gt;</v>
      </c>
      <c r="K11851" s="1013"/>
    </row>
    <row r="11852" spans="1:11" s="1011" customFormat="1" ht="15" x14ac:dyDescent="0.25">
      <c r="A11852" s="859">
        <f t="shared" si="242"/>
        <v>11851</v>
      </c>
      <c r="B11852" s="845" t="s">
        <v>2564</v>
      </c>
      <c r="C11852" s="1007">
        <f t="shared" si="241"/>
        <v>74</v>
      </c>
      <c r="D11852" s="1012"/>
      <c r="I11852" s="1011" t="str">
        <f>CONCATENATE("&lt;numeroLigne&gt;",C11852,"&lt;/numeroLigne&gt;")</f>
        <v>&lt;numeroLigne&gt;74&lt;/numeroLigne&gt;</v>
      </c>
      <c r="K11852" s="1013"/>
    </row>
    <row r="11853" spans="1:11" s="1011" customFormat="1" ht="15" x14ac:dyDescent="0.25">
      <c r="A11853" s="859">
        <f t="shared" si="242"/>
        <v>11852</v>
      </c>
      <c r="B11853" s="845" t="s">
        <v>2564</v>
      </c>
      <c r="C11853" s="1007">
        <f t="shared" si="241"/>
        <v>74</v>
      </c>
      <c r="D11853" s="1014"/>
      <c r="H11853" s="1011" t="s">
        <v>1010</v>
      </c>
      <c r="K11853" s="1013"/>
    </row>
    <row r="11854" spans="1:11" s="1011" customFormat="1" ht="15" x14ac:dyDescent="0.25">
      <c r="A11854" s="859">
        <f t="shared" si="242"/>
        <v>11853</v>
      </c>
      <c r="B11854" s="845" t="s">
        <v>2564</v>
      </c>
      <c r="C11854" s="1007">
        <f t="shared" si="241"/>
        <v>74</v>
      </c>
      <c r="D11854" s="1014"/>
      <c r="H11854" s="1011" t="s">
        <v>1007</v>
      </c>
      <c r="K11854" s="1013"/>
    </row>
    <row r="11855" spans="1:11" s="1011" customFormat="1" ht="15" x14ac:dyDescent="0.25">
      <c r="A11855" s="859">
        <f t="shared" si="242"/>
        <v>11854</v>
      </c>
      <c r="B11855" s="845" t="s">
        <v>2564</v>
      </c>
      <c r="C11855" s="1007">
        <f t="shared" si="241"/>
        <v>74</v>
      </c>
      <c r="D11855" s="1012"/>
      <c r="I11855" s="1011" t="s">
        <v>2177</v>
      </c>
      <c r="K11855" s="1013"/>
    </row>
    <row r="11856" spans="1:11" s="1011" customFormat="1" ht="15" x14ac:dyDescent="0.25">
      <c r="A11856" s="859">
        <f t="shared" si="242"/>
        <v>11855</v>
      </c>
      <c r="B11856" s="845" t="s">
        <v>2564</v>
      </c>
      <c r="C11856" s="1007">
        <f t="shared" si="241"/>
        <v>74</v>
      </c>
      <c r="D11856" s="1015"/>
      <c r="I11856" s="1011" t="str">
        <f>CONCATENATE("&lt;valeur&gt;",VLOOKUP(C11856,'T16 Amort'!A:K,5,0),"&lt;/valeur&gt;")</f>
        <v>&lt;valeur&gt;&lt;/valeur&gt;</v>
      </c>
      <c r="K11856" s="1013"/>
    </row>
    <row r="11857" spans="1:11" s="1011" customFormat="1" ht="15" x14ac:dyDescent="0.25">
      <c r="A11857" s="859">
        <f t="shared" si="242"/>
        <v>11856</v>
      </c>
      <c r="B11857" s="845" t="s">
        <v>2564</v>
      </c>
      <c r="C11857" s="1007">
        <f t="shared" si="241"/>
        <v>74</v>
      </c>
      <c r="D11857" s="1012"/>
      <c r="I11857" s="1011" t="str">
        <f>CONCATENATE("&lt;numeroLigne&gt;",C11857,"&lt;/numeroLigne&gt;")</f>
        <v>&lt;numeroLigne&gt;74&lt;/numeroLigne&gt;</v>
      </c>
      <c r="K11857" s="1013"/>
    </row>
    <row r="11858" spans="1:11" s="1011" customFormat="1" ht="15" x14ac:dyDescent="0.25">
      <c r="A11858" s="859">
        <f t="shared" si="242"/>
        <v>11857</v>
      </c>
      <c r="B11858" s="845" t="s">
        <v>2564</v>
      </c>
      <c r="C11858" s="1007">
        <f t="shared" si="241"/>
        <v>74</v>
      </c>
      <c r="D11858" s="1012"/>
      <c r="H11858" s="1011" t="s">
        <v>1010</v>
      </c>
      <c r="K11858" s="1013"/>
    </row>
    <row r="11859" spans="1:11" s="1011" customFormat="1" ht="15" x14ac:dyDescent="0.25">
      <c r="A11859" s="859">
        <f t="shared" si="242"/>
        <v>11858</v>
      </c>
      <c r="B11859" s="845" t="s">
        <v>2564</v>
      </c>
      <c r="C11859" s="1007">
        <f t="shared" si="241"/>
        <v>74</v>
      </c>
      <c r="D11859" s="1014"/>
      <c r="H11859" s="1011" t="s">
        <v>1007</v>
      </c>
      <c r="K11859" s="1013"/>
    </row>
    <row r="11860" spans="1:11" s="1011" customFormat="1" ht="15" x14ac:dyDescent="0.25">
      <c r="A11860" s="859">
        <f t="shared" si="242"/>
        <v>11859</v>
      </c>
      <c r="B11860" s="845" t="s">
        <v>2564</v>
      </c>
      <c r="C11860" s="1007">
        <f t="shared" si="241"/>
        <v>74</v>
      </c>
      <c r="D11860" s="1014"/>
      <c r="I11860" s="1011" t="s">
        <v>2178</v>
      </c>
      <c r="K11860" s="1013"/>
    </row>
    <row r="11861" spans="1:11" s="1011" customFormat="1" ht="15" x14ac:dyDescent="0.25">
      <c r="A11861" s="859">
        <f t="shared" si="242"/>
        <v>11860</v>
      </c>
      <c r="B11861" s="845" t="s">
        <v>2564</v>
      </c>
      <c r="C11861" s="1007">
        <f t="shared" si="241"/>
        <v>74</v>
      </c>
      <c r="D11861" s="1012"/>
      <c r="I11861" s="1011" t="str">
        <f>CONCATENATE("&lt;valeur&gt;",VLOOKUP(C11861,'T16 Amort'!A:K,6,0),"&lt;/valeur&gt;")</f>
        <v>&lt;valeur&gt;&lt;/valeur&gt;</v>
      </c>
      <c r="K11861" s="1013"/>
    </row>
    <row r="11862" spans="1:11" s="1011" customFormat="1" ht="15" x14ac:dyDescent="0.25">
      <c r="A11862" s="859">
        <f t="shared" si="242"/>
        <v>11861</v>
      </c>
      <c r="B11862" s="845" t="s">
        <v>2564</v>
      </c>
      <c r="C11862" s="1007">
        <f t="shared" si="241"/>
        <v>74</v>
      </c>
      <c r="D11862" s="1015"/>
      <c r="I11862" s="1011" t="str">
        <f>CONCATENATE("&lt;numeroLigne&gt;",C11862,"&lt;/numeroLigne&gt;")</f>
        <v>&lt;numeroLigne&gt;74&lt;/numeroLigne&gt;</v>
      </c>
      <c r="K11862" s="1013"/>
    </row>
    <row r="11863" spans="1:11" s="1011" customFormat="1" ht="15" x14ac:dyDescent="0.25">
      <c r="A11863" s="859">
        <f t="shared" si="242"/>
        <v>11862</v>
      </c>
      <c r="B11863" s="845" t="s">
        <v>2564</v>
      </c>
      <c r="C11863" s="1007">
        <f t="shared" si="241"/>
        <v>74</v>
      </c>
      <c r="D11863" s="1012"/>
      <c r="H11863" s="1011" t="s">
        <v>1010</v>
      </c>
      <c r="K11863" s="1013"/>
    </row>
    <row r="11864" spans="1:11" s="1011" customFormat="1" ht="15" x14ac:dyDescent="0.25">
      <c r="A11864" s="859">
        <f t="shared" si="242"/>
        <v>11863</v>
      </c>
      <c r="B11864" s="845" t="s">
        <v>2564</v>
      </c>
      <c r="C11864" s="1007">
        <f t="shared" si="241"/>
        <v>74</v>
      </c>
      <c r="D11864" s="1012"/>
      <c r="H11864" s="1011" t="s">
        <v>1007</v>
      </c>
      <c r="K11864" s="1013"/>
    </row>
    <row r="11865" spans="1:11" s="1011" customFormat="1" ht="15" x14ac:dyDescent="0.25">
      <c r="A11865" s="859">
        <f t="shared" si="242"/>
        <v>11864</v>
      </c>
      <c r="B11865" s="845" t="s">
        <v>2564</v>
      </c>
      <c r="C11865" s="1007">
        <f t="shared" si="241"/>
        <v>74</v>
      </c>
      <c r="D11865" s="1014"/>
      <c r="I11865" s="1011" t="s">
        <v>2179</v>
      </c>
      <c r="K11865" s="1013"/>
    </row>
    <row r="11866" spans="1:11" s="1011" customFormat="1" ht="15" x14ac:dyDescent="0.25">
      <c r="A11866" s="859">
        <f t="shared" si="242"/>
        <v>11865</v>
      </c>
      <c r="B11866" s="845" t="s">
        <v>2564</v>
      </c>
      <c r="C11866" s="1007">
        <f t="shared" si="241"/>
        <v>74</v>
      </c>
      <c r="D11866" s="1014"/>
      <c r="I11866" s="1011" t="str">
        <f>CONCATENATE("&lt;valeur&gt;",VLOOKUP(C11866,'T16 Amort'!A:K,7,0),"&lt;/valeur&gt;")</f>
        <v>&lt;valeur&gt;&lt;/valeur&gt;</v>
      </c>
      <c r="K11866" s="1013"/>
    </row>
    <row r="11867" spans="1:11" s="1011" customFormat="1" ht="15" x14ac:dyDescent="0.25">
      <c r="A11867" s="859">
        <f t="shared" si="242"/>
        <v>11866</v>
      </c>
      <c r="B11867" s="845" t="s">
        <v>2564</v>
      </c>
      <c r="C11867" s="1007">
        <f t="shared" si="241"/>
        <v>74</v>
      </c>
      <c r="D11867" s="1012"/>
      <c r="I11867" s="1011" t="str">
        <f>CONCATENATE("&lt;numeroLigne&gt;",C11867,"&lt;/numeroLigne&gt;")</f>
        <v>&lt;numeroLigne&gt;74&lt;/numeroLigne&gt;</v>
      </c>
      <c r="K11867" s="1013"/>
    </row>
    <row r="11868" spans="1:11" s="1011" customFormat="1" ht="15" x14ac:dyDescent="0.25">
      <c r="A11868" s="859">
        <f t="shared" si="242"/>
        <v>11867</v>
      </c>
      <c r="B11868" s="845" t="s">
        <v>2564</v>
      </c>
      <c r="C11868" s="1007">
        <f t="shared" si="241"/>
        <v>74</v>
      </c>
      <c r="D11868" s="1015"/>
      <c r="H11868" s="1011" t="s">
        <v>1010</v>
      </c>
      <c r="K11868" s="1013"/>
    </row>
    <row r="11869" spans="1:11" s="1011" customFormat="1" ht="15" x14ac:dyDescent="0.25">
      <c r="A11869" s="859">
        <f t="shared" si="242"/>
        <v>11868</v>
      </c>
      <c r="B11869" s="845" t="s">
        <v>2564</v>
      </c>
      <c r="C11869" s="1007">
        <f t="shared" si="241"/>
        <v>74</v>
      </c>
      <c r="D11869" s="1012"/>
      <c r="H11869" s="1011" t="s">
        <v>1007</v>
      </c>
      <c r="K11869" s="1013"/>
    </row>
    <row r="11870" spans="1:11" s="1011" customFormat="1" ht="15" x14ac:dyDescent="0.25">
      <c r="A11870" s="859">
        <f t="shared" si="242"/>
        <v>11869</v>
      </c>
      <c r="B11870" s="845" t="s">
        <v>2564</v>
      </c>
      <c r="C11870" s="1007">
        <f t="shared" si="241"/>
        <v>74</v>
      </c>
      <c r="D11870" s="1012"/>
      <c r="I11870" s="1011" t="s">
        <v>2180</v>
      </c>
      <c r="K11870" s="1013"/>
    </row>
    <row r="11871" spans="1:11" s="1011" customFormat="1" ht="15" x14ac:dyDescent="0.25">
      <c r="A11871" s="859">
        <f t="shared" si="242"/>
        <v>11870</v>
      </c>
      <c r="B11871" s="845" t="s">
        <v>2564</v>
      </c>
      <c r="C11871" s="1007">
        <f t="shared" si="241"/>
        <v>74</v>
      </c>
      <c r="D11871" s="1014"/>
      <c r="I11871" s="1011" t="str">
        <f>CONCATENATE("&lt;valeur&gt;",VLOOKUP(C11871,'T16 Amort'!A:K,8,0),"&lt;/valeur&gt;")</f>
        <v>&lt;valeur&gt;&lt;/valeur&gt;</v>
      </c>
      <c r="K11871" s="1013"/>
    </row>
    <row r="11872" spans="1:11" s="1011" customFormat="1" ht="15" x14ac:dyDescent="0.25">
      <c r="A11872" s="859">
        <f t="shared" si="242"/>
        <v>11871</v>
      </c>
      <c r="B11872" s="845" t="s">
        <v>2564</v>
      </c>
      <c r="C11872" s="1007">
        <f t="shared" si="241"/>
        <v>74</v>
      </c>
      <c r="D11872" s="1014"/>
      <c r="I11872" s="1011" t="str">
        <f>CONCATENATE("&lt;numeroLigne&gt;",C11872,"&lt;/numeroLigne&gt;")</f>
        <v>&lt;numeroLigne&gt;74&lt;/numeroLigne&gt;</v>
      </c>
      <c r="K11872" s="1013"/>
    </row>
    <row r="11873" spans="1:11" s="1011" customFormat="1" ht="15" x14ac:dyDescent="0.25">
      <c r="A11873" s="859">
        <f t="shared" si="242"/>
        <v>11872</v>
      </c>
      <c r="B11873" s="845" t="s">
        <v>2564</v>
      </c>
      <c r="C11873" s="1007">
        <f t="shared" si="241"/>
        <v>74</v>
      </c>
      <c r="D11873" s="1012"/>
      <c r="H11873" s="1011" t="s">
        <v>1010</v>
      </c>
      <c r="K11873" s="1013"/>
    </row>
    <row r="11874" spans="1:11" s="1011" customFormat="1" ht="15" x14ac:dyDescent="0.25">
      <c r="A11874" s="859">
        <f t="shared" si="242"/>
        <v>11873</v>
      </c>
      <c r="B11874" s="845" t="s">
        <v>2564</v>
      </c>
      <c r="C11874" s="1007">
        <f t="shared" si="241"/>
        <v>74</v>
      </c>
      <c r="D11874" s="1015"/>
      <c r="H11874" s="1011" t="s">
        <v>1007</v>
      </c>
      <c r="K11874" s="1013"/>
    </row>
    <row r="11875" spans="1:11" s="1011" customFormat="1" ht="15" x14ac:dyDescent="0.25">
      <c r="A11875" s="859">
        <f t="shared" si="242"/>
        <v>11874</v>
      </c>
      <c r="B11875" s="845" t="s">
        <v>2564</v>
      </c>
      <c r="C11875" s="1007">
        <f t="shared" si="241"/>
        <v>74</v>
      </c>
      <c r="D11875" s="1012"/>
      <c r="I11875" s="1011" t="s">
        <v>2181</v>
      </c>
      <c r="K11875" s="1013"/>
    </row>
    <row r="11876" spans="1:11" s="1011" customFormat="1" ht="15" x14ac:dyDescent="0.25">
      <c r="A11876" s="859">
        <f t="shared" si="242"/>
        <v>11875</v>
      </c>
      <c r="B11876" s="845" t="s">
        <v>2564</v>
      </c>
      <c r="C11876" s="1007">
        <f t="shared" si="241"/>
        <v>74</v>
      </c>
      <c r="D11876" s="1012"/>
      <c r="I11876" s="1011" t="str">
        <f>CONCATENATE("&lt;valeur&gt;",VLOOKUP(C11876,'T16 Amort'!A:K,9,0),"&lt;/valeur&gt;")</f>
        <v>&lt;valeur&gt;&lt;/valeur&gt;</v>
      </c>
      <c r="K11876" s="1013"/>
    </row>
    <row r="11877" spans="1:11" s="1011" customFormat="1" ht="15" x14ac:dyDescent="0.25">
      <c r="A11877" s="859">
        <f t="shared" si="242"/>
        <v>11876</v>
      </c>
      <c r="B11877" s="845" t="s">
        <v>2564</v>
      </c>
      <c r="C11877" s="1007">
        <f t="shared" si="241"/>
        <v>74</v>
      </c>
      <c r="D11877" s="1014"/>
      <c r="I11877" s="1011" t="str">
        <f>CONCATENATE("&lt;numeroLigne&gt;",C11877,"&lt;/numeroLigne&gt;")</f>
        <v>&lt;numeroLigne&gt;74&lt;/numeroLigne&gt;</v>
      </c>
      <c r="K11877" s="1013"/>
    </row>
    <row r="11878" spans="1:11" s="1011" customFormat="1" ht="15" x14ac:dyDescent="0.25">
      <c r="A11878" s="859">
        <f t="shared" si="242"/>
        <v>11877</v>
      </c>
      <c r="B11878" s="845" t="s">
        <v>2564</v>
      </c>
      <c r="C11878" s="1007">
        <f t="shared" si="241"/>
        <v>74</v>
      </c>
      <c r="D11878" s="1014"/>
      <c r="H11878" s="1011" t="s">
        <v>1010</v>
      </c>
      <c r="K11878" s="1013"/>
    </row>
    <row r="11879" spans="1:11" s="1011" customFormat="1" ht="15" x14ac:dyDescent="0.25">
      <c r="A11879" s="859">
        <f t="shared" si="242"/>
        <v>11878</v>
      </c>
      <c r="B11879" s="845" t="s">
        <v>2564</v>
      </c>
      <c r="C11879" s="1007">
        <f t="shared" si="241"/>
        <v>74</v>
      </c>
      <c r="D11879" s="1012"/>
      <c r="H11879" s="1011" t="s">
        <v>1007</v>
      </c>
      <c r="K11879" s="1013"/>
    </row>
    <row r="11880" spans="1:11" s="1011" customFormat="1" ht="15" x14ac:dyDescent="0.25">
      <c r="A11880" s="859">
        <f t="shared" si="242"/>
        <v>11879</v>
      </c>
      <c r="B11880" s="845" t="s">
        <v>2564</v>
      </c>
      <c r="C11880" s="1007">
        <f t="shared" si="241"/>
        <v>74</v>
      </c>
      <c r="D11880" s="1015"/>
      <c r="I11880" s="1011" t="s">
        <v>2182</v>
      </c>
      <c r="K11880" s="1013"/>
    </row>
    <row r="11881" spans="1:11" s="1011" customFormat="1" ht="15" x14ac:dyDescent="0.25">
      <c r="A11881" s="859">
        <f t="shared" si="242"/>
        <v>11880</v>
      </c>
      <c r="B11881" s="845" t="s">
        <v>2564</v>
      </c>
      <c r="C11881" s="1007">
        <f t="shared" si="241"/>
        <v>74</v>
      </c>
      <c r="D11881" s="1012"/>
      <c r="I11881" s="1011" t="str">
        <f>CONCATENATE("&lt;valeur&gt;",VLOOKUP(C11881,'T16 Amort'!A:K,10,0),"&lt;/valeur&gt;")</f>
        <v>&lt;valeur&gt;&lt;/valeur&gt;</v>
      </c>
      <c r="K11881" s="1013"/>
    </row>
    <row r="11882" spans="1:11" s="1011" customFormat="1" ht="15" x14ac:dyDescent="0.25">
      <c r="A11882" s="859">
        <f t="shared" si="242"/>
        <v>11881</v>
      </c>
      <c r="B11882" s="845" t="s">
        <v>2564</v>
      </c>
      <c r="C11882" s="1007">
        <f t="shared" si="241"/>
        <v>74</v>
      </c>
      <c r="D11882" s="1012"/>
      <c r="I11882" s="1011" t="str">
        <f>CONCATENATE("&lt;numeroLigne&gt;",C11882,"&lt;/numeroLigne&gt;")</f>
        <v>&lt;numeroLigne&gt;74&lt;/numeroLigne&gt;</v>
      </c>
      <c r="K11882" s="1013"/>
    </row>
    <row r="11883" spans="1:11" s="1011" customFormat="1" ht="15" x14ac:dyDescent="0.25">
      <c r="A11883" s="859">
        <f t="shared" si="242"/>
        <v>11882</v>
      </c>
      <c r="B11883" s="845" t="s">
        <v>2564</v>
      </c>
      <c r="C11883" s="1007">
        <f t="shared" si="241"/>
        <v>74</v>
      </c>
      <c r="D11883" s="1014"/>
      <c r="H11883" s="1011" t="s">
        <v>1010</v>
      </c>
      <c r="K11883" s="1013"/>
    </row>
    <row r="11884" spans="1:11" s="1011" customFormat="1" ht="15" x14ac:dyDescent="0.25">
      <c r="A11884" s="859">
        <f t="shared" si="242"/>
        <v>11883</v>
      </c>
      <c r="B11884" s="845" t="s">
        <v>2564</v>
      </c>
      <c r="C11884" s="1007">
        <f t="shared" si="241"/>
        <v>74</v>
      </c>
      <c r="D11884" s="1014"/>
      <c r="H11884" s="1011" t="s">
        <v>1007</v>
      </c>
      <c r="K11884" s="1013"/>
    </row>
    <row r="11885" spans="1:11" s="1011" customFormat="1" ht="15" x14ac:dyDescent="0.25">
      <c r="A11885" s="859">
        <f t="shared" si="242"/>
        <v>11884</v>
      </c>
      <c r="B11885" s="845" t="s">
        <v>2564</v>
      </c>
      <c r="C11885" s="1007">
        <f t="shared" si="241"/>
        <v>74</v>
      </c>
      <c r="D11885" s="1012"/>
      <c r="I11885" s="1011" t="s">
        <v>2183</v>
      </c>
      <c r="K11885" s="1013"/>
    </row>
    <row r="11886" spans="1:11" s="1011" customFormat="1" ht="15" x14ac:dyDescent="0.25">
      <c r="A11886" s="859">
        <f t="shared" si="242"/>
        <v>11885</v>
      </c>
      <c r="B11886" s="845" t="s">
        <v>2564</v>
      </c>
      <c r="C11886" s="1007">
        <f t="shared" si="241"/>
        <v>74</v>
      </c>
      <c r="D11886" s="1015"/>
      <c r="I11886" s="1011" t="str">
        <f>CONCATENATE("&lt;valeur&gt;",VLOOKUP(C11886,'T16 Amort'!A:K,11,0),"&lt;/valeur&gt;")</f>
        <v>&lt;valeur&gt;&lt;/valeur&gt;</v>
      </c>
      <c r="K11886" s="1013"/>
    </row>
    <row r="11887" spans="1:11" s="1011" customFormat="1" ht="15" x14ac:dyDescent="0.25">
      <c r="A11887" s="859">
        <f t="shared" si="242"/>
        <v>11886</v>
      </c>
      <c r="B11887" s="845" t="s">
        <v>2564</v>
      </c>
      <c r="C11887" s="1007">
        <f t="shared" ref="C11887:C11950" si="243">C11837+1</f>
        <v>74</v>
      </c>
      <c r="D11887" s="1012"/>
      <c r="I11887" s="1011" t="str">
        <f>CONCATENATE("&lt;numeroLigne&gt;",C11887,"&lt;/numeroLigne&gt;")</f>
        <v>&lt;numeroLigne&gt;74&lt;/numeroLigne&gt;</v>
      </c>
      <c r="K11887" s="1013"/>
    </row>
    <row r="11888" spans="1:11" s="1011" customFormat="1" ht="15" x14ac:dyDescent="0.25">
      <c r="A11888" s="859">
        <f t="shared" si="242"/>
        <v>11887</v>
      </c>
      <c r="B11888" s="845" t="s">
        <v>2564</v>
      </c>
      <c r="C11888" s="1007">
        <f t="shared" si="243"/>
        <v>74</v>
      </c>
      <c r="D11888" s="1016"/>
      <c r="E11888" s="1017"/>
      <c r="F11888" s="1017"/>
      <c r="G11888" s="1017"/>
      <c r="H11888" s="1017" t="s">
        <v>1010</v>
      </c>
      <c r="I11888" s="1017"/>
      <c r="J11888" s="1017"/>
      <c r="K11888" s="1018"/>
    </row>
    <row r="11889" spans="1:11" s="1011" customFormat="1" ht="15" x14ac:dyDescent="0.25">
      <c r="A11889" s="859">
        <f t="shared" si="242"/>
        <v>11888</v>
      </c>
      <c r="B11889" s="845" t="s">
        <v>2564</v>
      </c>
      <c r="C11889" s="1007">
        <f t="shared" si="243"/>
        <v>75</v>
      </c>
      <c r="D11889" s="1008"/>
      <c r="E11889" s="1009"/>
      <c r="F11889" s="1009"/>
      <c r="G11889" s="1009"/>
      <c r="H11889" s="1009" t="s">
        <v>1007</v>
      </c>
      <c r="I11889" s="1009"/>
      <c r="J11889" s="1009"/>
      <c r="K11889" s="1010"/>
    </row>
    <row r="11890" spans="1:11" s="1011" customFormat="1" ht="15" x14ac:dyDescent="0.25">
      <c r="A11890" s="859">
        <f t="shared" si="242"/>
        <v>11889</v>
      </c>
      <c r="B11890" s="845" t="s">
        <v>2564</v>
      </c>
      <c r="C11890" s="1007">
        <f t="shared" si="243"/>
        <v>75</v>
      </c>
      <c r="D11890" s="1012"/>
      <c r="I11890" s="1011" t="s">
        <v>2174</v>
      </c>
      <c r="K11890" s="1013"/>
    </row>
    <row r="11891" spans="1:11" s="1011" customFormat="1" ht="15" x14ac:dyDescent="0.25">
      <c r="A11891" s="859">
        <f t="shared" si="242"/>
        <v>11890</v>
      </c>
      <c r="B11891" s="845" t="s">
        <v>2564</v>
      </c>
      <c r="C11891" s="1007">
        <f t="shared" si="243"/>
        <v>75</v>
      </c>
      <c r="D11891" s="1014"/>
      <c r="I11891" s="1011" t="str">
        <f>CONCATENATE("&lt;valeur&gt;",VLOOKUP(C11891,'T16 Amort'!A:K,2,0),"&lt;/valeur&gt;")</f>
        <v>&lt;valeur&gt;&lt;/valeur&gt;</v>
      </c>
      <c r="K11891" s="1013"/>
    </row>
    <row r="11892" spans="1:11" s="1011" customFormat="1" ht="15" x14ac:dyDescent="0.25">
      <c r="A11892" s="859">
        <f t="shared" si="242"/>
        <v>11891</v>
      </c>
      <c r="B11892" s="845" t="s">
        <v>2564</v>
      </c>
      <c r="C11892" s="1007">
        <f t="shared" si="243"/>
        <v>75</v>
      </c>
      <c r="D11892" s="1014"/>
      <c r="I11892" s="1011" t="str">
        <f>CONCATENATE("&lt;numeroLigne&gt;",C11892,"&lt;/numeroLigne&gt;")</f>
        <v>&lt;numeroLigne&gt;75&lt;/numeroLigne&gt;</v>
      </c>
      <c r="K11892" s="1013"/>
    </row>
    <row r="11893" spans="1:11" s="1011" customFormat="1" ht="15" x14ac:dyDescent="0.25">
      <c r="A11893" s="859">
        <f t="shared" si="242"/>
        <v>11892</v>
      </c>
      <c r="B11893" s="845" t="s">
        <v>2564</v>
      </c>
      <c r="C11893" s="1007">
        <f t="shared" si="243"/>
        <v>75</v>
      </c>
      <c r="D11893" s="1012"/>
      <c r="H11893" s="1011" t="s">
        <v>1010</v>
      </c>
      <c r="K11893" s="1013"/>
    </row>
    <row r="11894" spans="1:11" s="1011" customFormat="1" ht="15" x14ac:dyDescent="0.25">
      <c r="A11894" s="859">
        <f t="shared" si="242"/>
        <v>11893</v>
      </c>
      <c r="B11894" s="845" t="s">
        <v>2564</v>
      </c>
      <c r="C11894" s="1007">
        <f t="shared" si="243"/>
        <v>75</v>
      </c>
      <c r="D11894" s="1015"/>
      <c r="H11894" s="1011" t="s">
        <v>1007</v>
      </c>
      <c r="K11894" s="1013"/>
    </row>
    <row r="11895" spans="1:11" s="1011" customFormat="1" ht="15" x14ac:dyDescent="0.25">
      <c r="A11895" s="859">
        <f t="shared" si="242"/>
        <v>11894</v>
      </c>
      <c r="B11895" s="845" t="s">
        <v>2564</v>
      </c>
      <c r="C11895" s="1007">
        <f t="shared" si="243"/>
        <v>75</v>
      </c>
      <c r="D11895" s="1012"/>
      <c r="I11895" s="1011" t="s">
        <v>2175</v>
      </c>
      <c r="K11895" s="1013"/>
    </row>
    <row r="11896" spans="1:11" s="1011" customFormat="1" ht="15" x14ac:dyDescent="0.25">
      <c r="A11896" s="859">
        <f t="shared" si="242"/>
        <v>11895</v>
      </c>
      <c r="B11896" s="845" t="s">
        <v>2564</v>
      </c>
      <c r="C11896" s="1007">
        <f t="shared" si="243"/>
        <v>75</v>
      </c>
      <c r="D11896" s="1012"/>
      <c r="I11896" s="1011" t="str">
        <f>CONCATENATE("&lt;valeur&gt;",VLOOKUP(C11896,'T16 Amort'!A:K,3,0),"&lt;/valeur&gt;")</f>
        <v>&lt;valeur&gt;&lt;/valeur&gt;</v>
      </c>
      <c r="K11896" s="1013"/>
    </row>
    <row r="11897" spans="1:11" s="1011" customFormat="1" ht="15" x14ac:dyDescent="0.25">
      <c r="A11897" s="859">
        <f t="shared" si="242"/>
        <v>11896</v>
      </c>
      <c r="B11897" s="845" t="s">
        <v>2564</v>
      </c>
      <c r="C11897" s="1007">
        <f t="shared" si="243"/>
        <v>75</v>
      </c>
      <c r="D11897" s="1014"/>
      <c r="I11897" s="1011" t="str">
        <f>CONCATENATE("&lt;numeroLigne&gt;",C11897,"&lt;/numeroLigne&gt;")</f>
        <v>&lt;numeroLigne&gt;75&lt;/numeroLigne&gt;</v>
      </c>
      <c r="K11897" s="1013"/>
    </row>
    <row r="11898" spans="1:11" s="1011" customFormat="1" ht="15" x14ac:dyDescent="0.25">
      <c r="A11898" s="859">
        <f t="shared" si="242"/>
        <v>11897</v>
      </c>
      <c r="B11898" s="845" t="s">
        <v>2564</v>
      </c>
      <c r="C11898" s="1007">
        <f t="shared" si="243"/>
        <v>75</v>
      </c>
      <c r="D11898" s="1014"/>
      <c r="H11898" s="1011" t="s">
        <v>1010</v>
      </c>
      <c r="K11898" s="1013"/>
    </row>
    <row r="11899" spans="1:11" s="1011" customFormat="1" ht="15" x14ac:dyDescent="0.25">
      <c r="A11899" s="859">
        <f t="shared" si="242"/>
        <v>11898</v>
      </c>
      <c r="B11899" s="845" t="s">
        <v>2564</v>
      </c>
      <c r="C11899" s="1007">
        <f t="shared" si="243"/>
        <v>75</v>
      </c>
      <c r="D11899" s="1012"/>
      <c r="H11899" s="1011" t="s">
        <v>1007</v>
      </c>
      <c r="K11899" s="1013"/>
    </row>
    <row r="11900" spans="1:11" s="1011" customFormat="1" ht="15" x14ac:dyDescent="0.25">
      <c r="A11900" s="859">
        <f t="shared" si="242"/>
        <v>11899</v>
      </c>
      <c r="B11900" s="845" t="s">
        <v>2564</v>
      </c>
      <c r="C11900" s="1007">
        <f t="shared" si="243"/>
        <v>75</v>
      </c>
      <c r="D11900" s="1015"/>
      <c r="I11900" s="1011" t="s">
        <v>2176</v>
      </c>
      <c r="K11900" s="1013"/>
    </row>
    <row r="11901" spans="1:11" s="1011" customFormat="1" ht="15" x14ac:dyDescent="0.25">
      <c r="A11901" s="859">
        <f t="shared" si="242"/>
        <v>11900</v>
      </c>
      <c r="B11901" s="845" t="s">
        <v>2564</v>
      </c>
      <c r="C11901" s="1007">
        <f t="shared" si="243"/>
        <v>75</v>
      </c>
      <c r="D11901" s="1012"/>
      <c r="I11901" s="1011" t="str">
        <f>CONCATENATE("&lt;valeur&gt;",VLOOKUP(C11901,'T16 Amort'!A:K,4,0),"&lt;/valeur&gt;")</f>
        <v>&lt;valeur&gt;&lt;/valeur&gt;</v>
      </c>
      <c r="K11901" s="1013"/>
    </row>
    <row r="11902" spans="1:11" s="1011" customFormat="1" ht="15" x14ac:dyDescent="0.25">
      <c r="A11902" s="859">
        <f t="shared" si="242"/>
        <v>11901</v>
      </c>
      <c r="B11902" s="845" t="s">
        <v>2564</v>
      </c>
      <c r="C11902" s="1007">
        <f t="shared" si="243"/>
        <v>75</v>
      </c>
      <c r="D11902" s="1012"/>
      <c r="I11902" s="1011" t="str">
        <f>CONCATENATE("&lt;numeroLigne&gt;",C11902,"&lt;/numeroLigne&gt;")</f>
        <v>&lt;numeroLigne&gt;75&lt;/numeroLigne&gt;</v>
      </c>
      <c r="K11902" s="1013"/>
    </row>
    <row r="11903" spans="1:11" s="1011" customFormat="1" ht="15" x14ac:dyDescent="0.25">
      <c r="A11903" s="859">
        <f t="shared" si="242"/>
        <v>11902</v>
      </c>
      <c r="B11903" s="845" t="s">
        <v>2564</v>
      </c>
      <c r="C11903" s="1007">
        <f t="shared" si="243"/>
        <v>75</v>
      </c>
      <c r="D11903" s="1014"/>
      <c r="H11903" s="1011" t="s">
        <v>1010</v>
      </c>
      <c r="K11903" s="1013"/>
    </row>
    <row r="11904" spans="1:11" s="1011" customFormat="1" ht="15" x14ac:dyDescent="0.25">
      <c r="A11904" s="859">
        <f t="shared" si="242"/>
        <v>11903</v>
      </c>
      <c r="B11904" s="845" t="s">
        <v>2564</v>
      </c>
      <c r="C11904" s="1007">
        <f t="shared" si="243"/>
        <v>75</v>
      </c>
      <c r="D11904" s="1014"/>
      <c r="H11904" s="1011" t="s">
        <v>1007</v>
      </c>
      <c r="K11904" s="1013"/>
    </row>
    <row r="11905" spans="1:11" s="1011" customFormat="1" ht="15" x14ac:dyDescent="0.25">
      <c r="A11905" s="859">
        <f t="shared" si="242"/>
        <v>11904</v>
      </c>
      <c r="B11905" s="845" t="s">
        <v>2564</v>
      </c>
      <c r="C11905" s="1007">
        <f t="shared" si="243"/>
        <v>75</v>
      </c>
      <c r="D11905" s="1012"/>
      <c r="I11905" s="1011" t="s">
        <v>2177</v>
      </c>
      <c r="K11905" s="1013"/>
    </row>
    <row r="11906" spans="1:11" s="1011" customFormat="1" ht="15" x14ac:dyDescent="0.25">
      <c r="A11906" s="859">
        <f t="shared" si="242"/>
        <v>11905</v>
      </c>
      <c r="B11906" s="845" t="s">
        <v>2564</v>
      </c>
      <c r="C11906" s="1007">
        <f t="shared" si="243"/>
        <v>75</v>
      </c>
      <c r="D11906" s="1015"/>
      <c r="I11906" s="1011" t="str">
        <f>CONCATENATE("&lt;valeur&gt;",VLOOKUP(C11906,'T16 Amort'!A:K,5,0),"&lt;/valeur&gt;")</f>
        <v>&lt;valeur&gt;&lt;/valeur&gt;</v>
      </c>
      <c r="K11906" s="1013"/>
    </row>
    <row r="11907" spans="1:11" s="1011" customFormat="1" ht="15" x14ac:dyDescent="0.25">
      <c r="A11907" s="859">
        <f t="shared" si="242"/>
        <v>11906</v>
      </c>
      <c r="B11907" s="845" t="s">
        <v>2564</v>
      </c>
      <c r="C11907" s="1007">
        <f t="shared" si="243"/>
        <v>75</v>
      </c>
      <c r="D11907" s="1012"/>
      <c r="I11907" s="1011" t="str">
        <f>CONCATENATE("&lt;numeroLigne&gt;",C11907,"&lt;/numeroLigne&gt;")</f>
        <v>&lt;numeroLigne&gt;75&lt;/numeroLigne&gt;</v>
      </c>
      <c r="K11907" s="1013"/>
    </row>
    <row r="11908" spans="1:11" s="1011" customFormat="1" ht="15" x14ac:dyDescent="0.25">
      <c r="A11908" s="859">
        <f t="shared" ref="A11908:A11971" si="244">+A11907+1</f>
        <v>11907</v>
      </c>
      <c r="B11908" s="845" t="s">
        <v>2564</v>
      </c>
      <c r="C11908" s="1007">
        <f t="shared" si="243"/>
        <v>75</v>
      </c>
      <c r="D11908" s="1012"/>
      <c r="H11908" s="1011" t="s">
        <v>1010</v>
      </c>
      <c r="K11908" s="1013"/>
    </row>
    <row r="11909" spans="1:11" s="1011" customFormat="1" ht="15" x14ac:dyDescent="0.25">
      <c r="A11909" s="859">
        <f t="shared" si="244"/>
        <v>11908</v>
      </c>
      <c r="B11909" s="845" t="s">
        <v>2564</v>
      </c>
      <c r="C11909" s="1007">
        <f t="shared" si="243"/>
        <v>75</v>
      </c>
      <c r="D11909" s="1014"/>
      <c r="H11909" s="1011" t="s">
        <v>1007</v>
      </c>
      <c r="K11909" s="1013"/>
    </row>
    <row r="11910" spans="1:11" s="1011" customFormat="1" ht="15" x14ac:dyDescent="0.25">
      <c r="A11910" s="859">
        <f t="shared" si="244"/>
        <v>11909</v>
      </c>
      <c r="B11910" s="845" t="s">
        <v>2564</v>
      </c>
      <c r="C11910" s="1007">
        <f t="shared" si="243"/>
        <v>75</v>
      </c>
      <c r="D11910" s="1014"/>
      <c r="I11910" s="1011" t="s">
        <v>2178</v>
      </c>
      <c r="K11910" s="1013"/>
    </row>
    <row r="11911" spans="1:11" s="1011" customFormat="1" ht="15" x14ac:dyDescent="0.25">
      <c r="A11911" s="859">
        <f t="shared" si="244"/>
        <v>11910</v>
      </c>
      <c r="B11911" s="845" t="s">
        <v>2564</v>
      </c>
      <c r="C11911" s="1007">
        <f t="shared" si="243"/>
        <v>75</v>
      </c>
      <c r="D11911" s="1012"/>
      <c r="I11911" s="1011" t="str">
        <f>CONCATENATE("&lt;valeur&gt;",VLOOKUP(C11911,'T16 Amort'!A:K,6,0),"&lt;/valeur&gt;")</f>
        <v>&lt;valeur&gt;&lt;/valeur&gt;</v>
      </c>
      <c r="K11911" s="1013"/>
    </row>
    <row r="11912" spans="1:11" s="1011" customFormat="1" ht="15" x14ac:dyDescent="0.25">
      <c r="A11912" s="859">
        <f t="shared" si="244"/>
        <v>11911</v>
      </c>
      <c r="B11912" s="845" t="s">
        <v>2564</v>
      </c>
      <c r="C11912" s="1007">
        <f t="shared" si="243"/>
        <v>75</v>
      </c>
      <c r="D11912" s="1015"/>
      <c r="I11912" s="1011" t="str">
        <f>CONCATENATE("&lt;numeroLigne&gt;",C11912,"&lt;/numeroLigne&gt;")</f>
        <v>&lt;numeroLigne&gt;75&lt;/numeroLigne&gt;</v>
      </c>
      <c r="K11912" s="1013"/>
    </row>
    <row r="11913" spans="1:11" s="1011" customFormat="1" ht="15" x14ac:dyDescent="0.25">
      <c r="A11913" s="859">
        <f t="shared" si="244"/>
        <v>11912</v>
      </c>
      <c r="B11913" s="845" t="s">
        <v>2564</v>
      </c>
      <c r="C11913" s="1007">
        <f t="shared" si="243"/>
        <v>75</v>
      </c>
      <c r="D11913" s="1012"/>
      <c r="H11913" s="1011" t="s">
        <v>1010</v>
      </c>
      <c r="K11913" s="1013"/>
    </row>
    <row r="11914" spans="1:11" s="1011" customFormat="1" ht="15" x14ac:dyDescent="0.25">
      <c r="A11914" s="859">
        <f t="shared" si="244"/>
        <v>11913</v>
      </c>
      <c r="B11914" s="845" t="s">
        <v>2564</v>
      </c>
      <c r="C11914" s="1007">
        <f t="shared" si="243"/>
        <v>75</v>
      </c>
      <c r="D11914" s="1012"/>
      <c r="H11914" s="1011" t="s">
        <v>1007</v>
      </c>
      <c r="K11914" s="1013"/>
    </row>
    <row r="11915" spans="1:11" s="1011" customFormat="1" ht="15" x14ac:dyDescent="0.25">
      <c r="A11915" s="859">
        <f t="shared" si="244"/>
        <v>11914</v>
      </c>
      <c r="B11915" s="845" t="s">
        <v>2564</v>
      </c>
      <c r="C11915" s="1007">
        <f t="shared" si="243"/>
        <v>75</v>
      </c>
      <c r="D11915" s="1014"/>
      <c r="I11915" s="1011" t="s">
        <v>2179</v>
      </c>
      <c r="K11915" s="1013"/>
    </row>
    <row r="11916" spans="1:11" s="1011" customFormat="1" ht="15" x14ac:dyDescent="0.25">
      <c r="A11916" s="859">
        <f t="shared" si="244"/>
        <v>11915</v>
      </c>
      <c r="B11916" s="845" t="s">
        <v>2564</v>
      </c>
      <c r="C11916" s="1007">
        <f t="shared" si="243"/>
        <v>75</v>
      </c>
      <c r="D11916" s="1014"/>
      <c r="I11916" s="1011" t="str">
        <f>CONCATENATE("&lt;valeur&gt;",VLOOKUP(C11916,'T16 Amort'!A:K,7,0),"&lt;/valeur&gt;")</f>
        <v>&lt;valeur&gt;&lt;/valeur&gt;</v>
      </c>
      <c r="K11916" s="1013"/>
    </row>
    <row r="11917" spans="1:11" s="1011" customFormat="1" ht="15" x14ac:dyDescent="0.25">
      <c r="A11917" s="859">
        <f t="shared" si="244"/>
        <v>11916</v>
      </c>
      <c r="B11917" s="845" t="s">
        <v>2564</v>
      </c>
      <c r="C11917" s="1007">
        <f t="shared" si="243"/>
        <v>75</v>
      </c>
      <c r="D11917" s="1012"/>
      <c r="I11917" s="1011" t="str">
        <f>CONCATENATE("&lt;numeroLigne&gt;",C11917,"&lt;/numeroLigne&gt;")</f>
        <v>&lt;numeroLigne&gt;75&lt;/numeroLigne&gt;</v>
      </c>
      <c r="K11917" s="1013"/>
    </row>
    <row r="11918" spans="1:11" s="1011" customFormat="1" ht="15" x14ac:dyDescent="0.25">
      <c r="A11918" s="859">
        <f t="shared" si="244"/>
        <v>11917</v>
      </c>
      <c r="B11918" s="845" t="s">
        <v>2564</v>
      </c>
      <c r="C11918" s="1007">
        <f t="shared" si="243"/>
        <v>75</v>
      </c>
      <c r="D11918" s="1015"/>
      <c r="H11918" s="1011" t="s">
        <v>1010</v>
      </c>
      <c r="K11918" s="1013"/>
    </row>
    <row r="11919" spans="1:11" s="1011" customFormat="1" ht="15" x14ac:dyDescent="0.25">
      <c r="A11919" s="859">
        <f t="shared" si="244"/>
        <v>11918</v>
      </c>
      <c r="B11919" s="845" t="s">
        <v>2564</v>
      </c>
      <c r="C11919" s="1007">
        <f t="shared" si="243"/>
        <v>75</v>
      </c>
      <c r="D11919" s="1012"/>
      <c r="H11919" s="1011" t="s">
        <v>1007</v>
      </c>
      <c r="K11919" s="1013"/>
    </row>
    <row r="11920" spans="1:11" s="1011" customFormat="1" ht="15" x14ac:dyDescent="0.25">
      <c r="A11920" s="859">
        <f t="shared" si="244"/>
        <v>11919</v>
      </c>
      <c r="B11920" s="845" t="s">
        <v>2564</v>
      </c>
      <c r="C11920" s="1007">
        <f t="shared" si="243"/>
        <v>75</v>
      </c>
      <c r="D11920" s="1012"/>
      <c r="I11920" s="1011" t="s">
        <v>2180</v>
      </c>
      <c r="K11920" s="1013"/>
    </row>
    <row r="11921" spans="1:11" s="1011" customFormat="1" ht="15" x14ac:dyDescent="0.25">
      <c r="A11921" s="859">
        <f t="shared" si="244"/>
        <v>11920</v>
      </c>
      <c r="B11921" s="845" t="s">
        <v>2564</v>
      </c>
      <c r="C11921" s="1007">
        <f t="shared" si="243"/>
        <v>75</v>
      </c>
      <c r="D11921" s="1014"/>
      <c r="I11921" s="1011" t="str">
        <f>CONCATENATE("&lt;valeur&gt;",VLOOKUP(C11921,'T16 Amort'!A:K,8,0),"&lt;/valeur&gt;")</f>
        <v>&lt;valeur&gt;&lt;/valeur&gt;</v>
      </c>
      <c r="K11921" s="1013"/>
    </row>
    <row r="11922" spans="1:11" s="1011" customFormat="1" ht="15" x14ac:dyDescent="0.25">
      <c r="A11922" s="859">
        <f t="shared" si="244"/>
        <v>11921</v>
      </c>
      <c r="B11922" s="845" t="s">
        <v>2564</v>
      </c>
      <c r="C11922" s="1007">
        <f t="shared" si="243"/>
        <v>75</v>
      </c>
      <c r="D11922" s="1014"/>
      <c r="I11922" s="1011" t="str">
        <f>CONCATENATE("&lt;numeroLigne&gt;",C11922,"&lt;/numeroLigne&gt;")</f>
        <v>&lt;numeroLigne&gt;75&lt;/numeroLigne&gt;</v>
      </c>
      <c r="K11922" s="1013"/>
    </row>
    <row r="11923" spans="1:11" s="1011" customFormat="1" ht="15" x14ac:dyDescent="0.25">
      <c r="A11923" s="859">
        <f t="shared" si="244"/>
        <v>11922</v>
      </c>
      <c r="B11923" s="845" t="s">
        <v>2564</v>
      </c>
      <c r="C11923" s="1007">
        <f t="shared" si="243"/>
        <v>75</v>
      </c>
      <c r="D11923" s="1012"/>
      <c r="H11923" s="1011" t="s">
        <v>1010</v>
      </c>
      <c r="K11923" s="1013"/>
    </row>
    <row r="11924" spans="1:11" s="1011" customFormat="1" ht="15" x14ac:dyDescent="0.25">
      <c r="A11924" s="859">
        <f t="shared" si="244"/>
        <v>11923</v>
      </c>
      <c r="B11924" s="845" t="s">
        <v>2564</v>
      </c>
      <c r="C11924" s="1007">
        <f t="shared" si="243"/>
        <v>75</v>
      </c>
      <c r="D11924" s="1015"/>
      <c r="H11924" s="1011" t="s">
        <v>1007</v>
      </c>
      <c r="K11924" s="1013"/>
    </row>
    <row r="11925" spans="1:11" s="1011" customFormat="1" ht="15" x14ac:dyDescent="0.25">
      <c r="A11925" s="859">
        <f t="shared" si="244"/>
        <v>11924</v>
      </c>
      <c r="B11925" s="845" t="s">
        <v>2564</v>
      </c>
      <c r="C11925" s="1007">
        <f t="shared" si="243"/>
        <v>75</v>
      </c>
      <c r="D11925" s="1012"/>
      <c r="I11925" s="1011" t="s">
        <v>2181</v>
      </c>
      <c r="K11925" s="1013"/>
    </row>
    <row r="11926" spans="1:11" s="1011" customFormat="1" ht="15" x14ac:dyDescent="0.25">
      <c r="A11926" s="859">
        <f t="shared" si="244"/>
        <v>11925</v>
      </c>
      <c r="B11926" s="845" t="s">
        <v>2564</v>
      </c>
      <c r="C11926" s="1007">
        <f t="shared" si="243"/>
        <v>75</v>
      </c>
      <c r="D11926" s="1012"/>
      <c r="I11926" s="1011" t="str">
        <f>CONCATENATE("&lt;valeur&gt;",VLOOKUP(C11926,'T16 Amort'!A:K,9,0),"&lt;/valeur&gt;")</f>
        <v>&lt;valeur&gt;&lt;/valeur&gt;</v>
      </c>
      <c r="K11926" s="1013"/>
    </row>
    <row r="11927" spans="1:11" s="1011" customFormat="1" ht="15" x14ac:dyDescent="0.25">
      <c r="A11927" s="859">
        <f t="shared" si="244"/>
        <v>11926</v>
      </c>
      <c r="B11927" s="845" t="s">
        <v>2564</v>
      </c>
      <c r="C11927" s="1007">
        <f t="shared" si="243"/>
        <v>75</v>
      </c>
      <c r="D11927" s="1014"/>
      <c r="I11927" s="1011" t="str">
        <f>CONCATENATE("&lt;numeroLigne&gt;",C11927,"&lt;/numeroLigne&gt;")</f>
        <v>&lt;numeroLigne&gt;75&lt;/numeroLigne&gt;</v>
      </c>
      <c r="K11927" s="1013"/>
    </row>
    <row r="11928" spans="1:11" s="1011" customFormat="1" ht="15" x14ac:dyDescent="0.25">
      <c r="A11928" s="859">
        <f t="shared" si="244"/>
        <v>11927</v>
      </c>
      <c r="B11928" s="845" t="s">
        <v>2564</v>
      </c>
      <c r="C11928" s="1007">
        <f t="shared" si="243"/>
        <v>75</v>
      </c>
      <c r="D11928" s="1014"/>
      <c r="H11928" s="1011" t="s">
        <v>1010</v>
      </c>
      <c r="K11928" s="1013"/>
    </row>
    <row r="11929" spans="1:11" s="1011" customFormat="1" ht="15" x14ac:dyDescent="0.25">
      <c r="A11929" s="859">
        <f t="shared" si="244"/>
        <v>11928</v>
      </c>
      <c r="B11929" s="845" t="s">
        <v>2564</v>
      </c>
      <c r="C11929" s="1007">
        <f t="shared" si="243"/>
        <v>75</v>
      </c>
      <c r="D11929" s="1012"/>
      <c r="H11929" s="1011" t="s">
        <v>1007</v>
      </c>
      <c r="K11929" s="1013"/>
    </row>
    <row r="11930" spans="1:11" s="1011" customFormat="1" ht="15" x14ac:dyDescent="0.25">
      <c r="A11930" s="859">
        <f t="shared" si="244"/>
        <v>11929</v>
      </c>
      <c r="B11930" s="845" t="s">
        <v>2564</v>
      </c>
      <c r="C11930" s="1007">
        <f t="shared" si="243"/>
        <v>75</v>
      </c>
      <c r="D11930" s="1015"/>
      <c r="I11930" s="1011" t="s">
        <v>2182</v>
      </c>
      <c r="K11930" s="1013"/>
    </row>
    <row r="11931" spans="1:11" s="1011" customFormat="1" ht="15" x14ac:dyDescent="0.25">
      <c r="A11931" s="859">
        <f t="shared" si="244"/>
        <v>11930</v>
      </c>
      <c r="B11931" s="845" t="s">
        <v>2564</v>
      </c>
      <c r="C11931" s="1007">
        <f t="shared" si="243"/>
        <v>75</v>
      </c>
      <c r="D11931" s="1012"/>
      <c r="I11931" s="1011" t="str">
        <f>CONCATENATE("&lt;valeur&gt;",VLOOKUP(C11931,'T16 Amort'!A:K,10,0),"&lt;/valeur&gt;")</f>
        <v>&lt;valeur&gt;&lt;/valeur&gt;</v>
      </c>
      <c r="K11931" s="1013"/>
    </row>
    <row r="11932" spans="1:11" s="1011" customFormat="1" ht="15" x14ac:dyDescent="0.25">
      <c r="A11932" s="859">
        <f t="shared" si="244"/>
        <v>11931</v>
      </c>
      <c r="B11932" s="845" t="s">
        <v>2564</v>
      </c>
      <c r="C11932" s="1007">
        <f t="shared" si="243"/>
        <v>75</v>
      </c>
      <c r="D11932" s="1012"/>
      <c r="I11932" s="1011" t="str">
        <f>CONCATENATE("&lt;numeroLigne&gt;",C11932,"&lt;/numeroLigne&gt;")</f>
        <v>&lt;numeroLigne&gt;75&lt;/numeroLigne&gt;</v>
      </c>
      <c r="K11932" s="1013"/>
    </row>
    <row r="11933" spans="1:11" s="1011" customFormat="1" ht="15" x14ac:dyDescent="0.25">
      <c r="A11933" s="859">
        <f t="shared" si="244"/>
        <v>11932</v>
      </c>
      <c r="B11933" s="845" t="s">
        <v>2564</v>
      </c>
      <c r="C11933" s="1007">
        <f t="shared" si="243"/>
        <v>75</v>
      </c>
      <c r="D11933" s="1014"/>
      <c r="H11933" s="1011" t="s">
        <v>1010</v>
      </c>
      <c r="K11933" s="1013"/>
    </row>
    <row r="11934" spans="1:11" s="1011" customFormat="1" ht="15" x14ac:dyDescent="0.25">
      <c r="A11934" s="859">
        <f t="shared" si="244"/>
        <v>11933</v>
      </c>
      <c r="B11934" s="845" t="s">
        <v>2564</v>
      </c>
      <c r="C11934" s="1007">
        <f t="shared" si="243"/>
        <v>75</v>
      </c>
      <c r="D11934" s="1014"/>
      <c r="H11934" s="1011" t="s">
        <v>1007</v>
      </c>
      <c r="K11934" s="1013"/>
    </row>
    <row r="11935" spans="1:11" s="1011" customFormat="1" ht="15" x14ac:dyDescent="0.25">
      <c r="A11935" s="859">
        <f t="shared" si="244"/>
        <v>11934</v>
      </c>
      <c r="B11935" s="845" t="s">
        <v>2564</v>
      </c>
      <c r="C11935" s="1007">
        <f t="shared" si="243"/>
        <v>75</v>
      </c>
      <c r="D11935" s="1012"/>
      <c r="I11935" s="1011" t="s">
        <v>2183</v>
      </c>
      <c r="K11935" s="1013"/>
    </row>
    <row r="11936" spans="1:11" s="1011" customFormat="1" ht="15" x14ac:dyDescent="0.25">
      <c r="A11936" s="859">
        <f t="shared" si="244"/>
        <v>11935</v>
      </c>
      <c r="B11936" s="845" t="s">
        <v>2564</v>
      </c>
      <c r="C11936" s="1007">
        <f t="shared" si="243"/>
        <v>75</v>
      </c>
      <c r="D11936" s="1015"/>
      <c r="I11936" s="1011" t="str">
        <f>CONCATENATE("&lt;valeur&gt;",VLOOKUP(C11936,'T16 Amort'!A:K,11,0),"&lt;/valeur&gt;")</f>
        <v>&lt;valeur&gt;&lt;/valeur&gt;</v>
      </c>
      <c r="K11936" s="1013"/>
    </row>
    <row r="11937" spans="1:11" s="1011" customFormat="1" ht="15" x14ac:dyDescent="0.25">
      <c r="A11937" s="859">
        <f t="shared" si="244"/>
        <v>11936</v>
      </c>
      <c r="B11937" s="845" t="s">
        <v>2564</v>
      </c>
      <c r="C11937" s="1007">
        <f t="shared" si="243"/>
        <v>75</v>
      </c>
      <c r="D11937" s="1012"/>
      <c r="I11937" s="1011" t="str">
        <f>CONCATENATE("&lt;numeroLigne&gt;",C11937,"&lt;/numeroLigne&gt;")</f>
        <v>&lt;numeroLigne&gt;75&lt;/numeroLigne&gt;</v>
      </c>
      <c r="K11937" s="1013"/>
    </row>
    <row r="11938" spans="1:11" s="1011" customFormat="1" ht="15" x14ac:dyDescent="0.25">
      <c r="A11938" s="859">
        <f t="shared" si="244"/>
        <v>11937</v>
      </c>
      <c r="B11938" s="845" t="s">
        <v>2564</v>
      </c>
      <c r="C11938" s="1007">
        <f t="shared" si="243"/>
        <v>75</v>
      </c>
      <c r="D11938" s="1016"/>
      <c r="E11938" s="1017"/>
      <c r="F11938" s="1017"/>
      <c r="G11938" s="1017"/>
      <c r="H11938" s="1017" t="s">
        <v>1010</v>
      </c>
      <c r="I11938" s="1017"/>
      <c r="J11938" s="1017"/>
      <c r="K11938" s="1018"/>
    </row>
    <row r="11939" spans="1:11" s="1011" customFormat="1" ht="15" x14ac:dyDescent="0.25">
      <c r="A11939" s="859">
        <f t="shared" si="244"/>
        <v>11938</v>
      </c>
      <c r="B11939" s="845" t="s">
        <v>2564</v>
      </c>
      <c r="C11939" s="1007">
        <f t="shared" si="243"/>
        <v>76</v>
      </c>
      <c r="D11939" s="1008"/>
      <c r="E11939" s="1009"/>
      <c r="F11939" s="1009"/>
      <c r="G11939" s="1009"/>
      <c r="H11939" s="1009" t="s">
        <v>1007</v>
      </c>
      <c r="I11939" s="1009"/>
      <c r="J11939" s="1009"/>
      <c r="K11939" s="1010"/>
    </row>
    <row r="11940" spans="1:11" s="1011" customFormat="1" ht="15" x14ac:dyDescent="0.25">
      <c r="A11940" s="859">
        <f t="shared" si="244"/>
        <v>11939</v>
      </c>
      <c r="B11940" s="845" t="s">
        <v>2564</v>
      </c>
      <c r="C11940" s="1007">
        <f t="shared" si="243"/>
        <v>76</v>
      </c>
      <c r="D11940" s="1012"/>
      <c r="I11940" s="1011" t="s">
        <v>2174</v>
      </c>
      <c r="K11940" s="1013"/>
    </row>
    <row r="11941" spans="1:11" s="1011" customFormat="1" ht="15" x14ac:dyDescent="0.25">
      <c r="A11941" s="859">
        <f t="shared" si="244"/>
        <v>11940</v>
      </c>
      <c r="B11941" s="845" t="s">
        <v>2564</v>
      </c>
      <c r="C11941" s="1007">
        <f t="shared" si="243"/>
        <v>76</v>
      </c>
      <c r="D11941" s="1014"/>
      <c r="I11941" s="1011" t="str">
        <f>CONCATENATE("&lt;valeur&gt;",VLOOKUP(C11941,'T16 Amort'!A:K,2,0),"&lt;/valeur&gt;")</f>
        <v>&lt;valeur&gt;&lt;/valeur&gt;</v>
      </c>
      <c r="K11941" s="1013"/>
    </row>
    <row r="11942" spans="1:11" s="1011" customFormat="1" ht="15" x14ac:dyDescent="0.25">
      <c r="A11942" s="859">
        <f t="shared" si="244"/>
        <v>11941</v>
      </c>
      <c r="B11942" s="845" t="s">
        <v>2564</v>
      </c>
      <c r="C11942" s="1007">
        <f t="shared" si="243"/>
        <v>76</v>
      </c>
      <c r="D11942" s="1014"/>
      <c r="I11942" s="1011" t="str">
        <f>CONCATENATE("&lt;numeroLigne&gt;",C11942,"&lt;/numeroLigne&gt;")</f>
        <v>&lt;numeroLigne&gt;76&lt;/numeroLigne&gt;</v>
      </c>
      <c r="K11942" s="1013"/>
    </row>
    <row r="11943" spans="1:11" s="1011" customFormat="1" ht="15" x14ac:dyDescent="0.25">
      <c r="A11943" s="859">
        <f t="shared" si="244"/>
        <v>11942</v>
      </c>
      <c r="B11943" s="845" t="s">
        <v>2564</v>
      </c>
      <c r="C11943" s="1007">
        <f t="shared" si="243"/>
        <v>76</v>
      </c>
      <c r="D11943" s="1012"/>
      <c r="H11943" s="1011" t="s">
        <v>1010</v>
      </c>
      <c r="K11943" s="1013"/>
    </row>
    <row r="11944" spans="1:11" s="1011" customFormat="1" ht="15" x14ac:dyDescent="0.25">
      <c r="A11944" s="859">
        <f t="shared" si="244"/>
        <v>11943</v>
      </c>
      <c r="B11944" s="845" t="s">
        <v>2564</v>
      </c>
      <c r="C11944" s="1007">
        <f t="shared" si="243"/>
        <v>76</v>
      </c>
      <c r="D11944" s="1015"/>
      <c r="H11944" s="1011" t="s">
        <v>1007</v>
      </c>
      <c r="K11944" s="1013"/>
    </row>
    <row r="11945" spans="1:11" s="1011" customFormat="1" ht="15" x14ac:dyDescent="0.25">
      <c r="A11945" s="859">
        <f t="shared" si="244"/>
        <v>11944</v>
      </c>
      <c r="B11945" s="845" t="s">
        <v>2564</v>
      </c>
      <c r="C11945" s="1007">
        <f t="shared" si="243"/>
        <v>76</v>
      </c>
      <c r="D11945" s="1012"/>
      <c r="I11945" s="1011" t="s">
        <v>2175</v>
      </c>
      <c r="K11945" s="1013"/>
    </row>
    <row r="11946" spans="1:11" s="1011" customFormat="1" ht="15" x14ac:dyDescent="0.25">
      <c r="A11946" s="859">
        <f t="shared" si="244"/>
        <v>11945</v>
      </c>
      <c r="B11946" s="845" t="s">
        <v>2564</v>
      </c>
      <c r="C11946" s="1007">
        <f t="shared" si="243"/>
        <v>76</v>
      </c>
      <c r="D11946" s="1012"/>
      <c r="I11946" s="1011" t="str">
        <f>CONCATENATE("&lt;valeur&gt;",VLOOKUP(C11946,'T16 Amort'!A:K,3,0),"&lt;/valeur&gt;")</f>
        <v>&lt;valeur&gt;&lt;/valeur&gt;</v>
      </c>
      <c r="K11946" s="1013"/>
    </row>
    <row r="11947" spans="1:11" s="1011" customFormat="1" ht="15" x14ac:dyDescent="0.25">
      <c r="A11947" s="859">
        <f t="shared" si="244"/>
        <v>11946</v>
      </c>
      <c r="B11947" s="845" t="s">
        <v>2564</v>
      </c>
      <c r="C11947" s="1007">
        <f t="shared" si="243"/>
        <v>76</v>
      </c>
      <c r="D11947" s="1014"/>
      <c r="I11947" s="1011" t="str">
        <f>CONCATENATE("&lt;numeroLigne&gt;",C11947,"&lt;/numeroLigne&gt;")</f>
        <v>&lt;numeroLigne&gt;76&lt;/numeroLigne&gt;</v>
      </c>
      <c r="K11947" s="1013"/>
    </row>
    <row r="11948" spans="1:11" s="1011" customFormat="1" ht="15" x14ac:dyDescent="0.25">
      <c r="A11948" s="859">
        <f t="shared" si="244"/>
        <v>11947</v>
      </c>
      <c r="B11948" s="845" t="s">
        <v>2564</v>
      </c>
      <c r="C11948" s="1007">
        <f t="shared" si="243"/>
        <v>76</v>
      </c>
      <c r="D11948" s="1014"/>
      <c r="H11948" s="1011" t="s">
        <v>1010</v>
      </c>
      <c r="K11948" s="1013"/>
    </row>
    <row r="11949" spans="1:11" s="1011" customFormat="1" ht="15" x14ac:dyDescent="0.25">
      <c r="A11949" s="859">
        <f t="shared" si="244"/>
        <v>11948</v>
      </c>
      <c r="B11949" s="845" t="s">
        <v>2564</v>
      </c>
      <c r="C11949" s="1007">
        <f t="shared" si="243"/>
        <v>76</v>
      </c>
      <c r="D11949" s="1012"/>
      <c r="H11949" s="1011" t="s">
        <v>1007</v>
      </c>
      <c r="K11949" s="1013"/>
    </row>
    <row r="11950" spans="1:11" s="1011" customFormat="1" ht="15" x14ac:dyDescent="0.25">
      <c r="A11950" s="859">
        <f t="shared" si="244"/>
        <v>11949</v>
      </c>
      <c r="B11950" s="845" t="s">
        <v>2564</v>
      </c>
      <c r="C11950" s="1007">
        <f t="shared" si="243"/>
        <v>76</v>
      </c>
      <c r="D11950" s="1015"/>
      <c r="I11950" s="1011" t="s">
        <v>2176</v>
      </c>
      <c r="K11950" s="1013"/>
    </row>
    <row r="11951" spans="1:11" s="1011" customFormat="1" ht="15" x14ac:dyDescent="0.25">
      <c r="A11951" s="859">
        <f t="shared" si="244"/>
        <v>11950</v>
      </c>
      <c r="B11951" s="845" t="s">
        <v>2564</v>
      </c>
      <c r="C11951" s="1007">
        <f t="shared" ref="C11951:C12014" si="245">C11901+1</f>
        <v>76</v>
      </c>
      <c r="D11951" s="1012"/>
      <c r="I11951" s="1011" t="str">
        <f>CONCATENATE("&lt;valeur&gt;",VLOOKUP(C11951,'T16 Amort'!A:K,4,0),"&lt;/valeur&gt;")</f>
        <v>&lt;valeur&gt;&lt;/valeur&gt;</v>
      </c>
      <c r="K11951" s="1013"/>
    </row>
    <row r="11952" spans="1:11" s="1011" customFormat="1" ht="15" x14ac:dyDescent="0.25">
      <c r="A11952" s="859">
        <f t="shared" si="244"/>
        <v>11951</v>
      </c>
      <c r="B11952" s="845" t="s">
        <v>2564</v>
      </c>
      <c r="C11952" s="1007">
        <f t="shared" si="245"/>
        <v>76</v>
      </c>
      <c r="D11952" s="1012"/>
      <c r="I11952" s="1011" t="str">
        <f>CONCATENATE("&lt;numeroLigne&gt;",C11952,"&lt;/numeroLigne&gt;")</f>
        <v>&lt;numeroLigne&gt;76&lt;/numeroLigne&gt;</v>
      </c>
      <c r="K11952" s="1013"/>
    </row>
    <row r="11953" spans="1:11" s="1011" customFormat="1" ht="15" x14ac:dyDescent="0.25">
      <c r="A11953" s="859">
        <f t="shared" si="244"/>
        <v>11952</v>
      </c>
      <c r="B11953" s="845" t="s">
        <v>2564</v>
      </c>
      <c r="C11953" s="1007">
        <f t="shared" si="245"/>
        <v>76</v>
      </c>
      <c r="D11953" s="1014"/>
      <c r="H11953" s="1011" t="s">
        <v>1010</v>
      </c>
      <c r="K11953" s="1013"/>
    </row>
    <row r="11954" spans="1:11" s="1011" customFormat="1" ht="15" x14ac:dyDescent="0.25">
      <c r="A11954" s="859">
        <f t="shared" si="244"/>
        <v>11953</v>
      </c>
      <c r="B11954" s="845" t="s">
        <v>2564</v>
      </c>
      <c r="C11954" s="1007">
        <f t="shared" si="245"/>
        <v>76</v>
      </c>
      <c r="D11954" s="1014"/>
      <c r="H11954" s="1011" t="s">
        <v>1007</v>
      </c>
      <c r="K11954" s="1013"/>
    </row>
    <row r="11955" spans="1:11" s="1011" customFormat="1" ht="15" x14ac:dyDescent="0.25">
      <c r="A11955" s="859">
        <f t="shared" si="244"/>
        <v>11954</v>
      </c>
      <c r="B11955" s="845" t="s">
        <v>2564</v>
      </c>
      <c r="C11955" s="1007">
        <f t="shared" si="245"/>
        <v>76</v>
      </c>
      <c r="D11955" s="1012"/>
      <c r="I11955" s="1011" t="s">
        <v>2177</v>
      </c>
      <c r="K11955" s="1013"/>
    </row>
    <row r="11956" spans="1:11" s="1011" customFormat="1" ht="15" x14ac:dyDescent="0.25">
      <c r="A11956" s="859">
        <f t="shared" si="244"/>
        <v>11955</v>
      </c>
      <c r="B11956" s="845" t="s">
        <v>2564</v>
      </c>
      <c r="C11956" s="1007">
        <f t="shared" si="245"/>
        <v>76</v>
      </c>
      <c r="D11956" s="1015"/>
      <c r="I11956" s="1011" t="str">
        <f>CONCATENATE("&lt;valeur&gt;",VLOOKUP(C11956,'T16 Amort'!A:K,5,0),"&lt;/valeur&gt;")</f>
        <v>&lt;valeur&gt;&lt;/valeur&gt;</v>
      </c>
      <c r="K11956" s="1013"/>
    </row>
    <row r="11957" spans="1:11" s="1011" customFormat="1" ht="15" x14ac:dyDescent="0.25">
      <c r="A11957" s="859">
        <f t="shared" si="244"/>
        <v>11956</v>
      </c>
      <c r="B11957" s="845" t="s">
        <v>2564</v>
      </c>
      <c r="C11957" s="1007">
        <f t="shared" si="245"/>
        <v>76</v>
      </c>
      <c r="D11957" s="1012"/>
      <c r="I11957" s="1011" t="str">
        <f>CONCATENATE("&lt;numeroLigne&gt;",C11957,"&lt;/numeroLigne&gt;")</f>
        <v>&lt;numeroLigne&gt;76&lt;/numeroLigne&gt;</v>
      </c>
      <c r="K11957" s="1013"/>
    </row>
    <row r="11958" spans="1:11" s="1011" customFormat="1" ht="15" x14ac:dyDescent="0.25">
      <c r="A11958" s="859">
        <f t="shared" si="244"/>
        <v>11957</v>
      </c>
      <c r="B11958" s="845" t="s">
        <v>2564</v>
      </c>
      <c r="C11958" s="1007">
        <f t="shared" si="245"/>
        <v>76</v>
      </c>
      <c r="D11958" s="1012"/>
      <c r="H11958" s="1011" t="s">
        <v>1010</v>
      </c>
      <c r="K11958" s="1013"/>
    </row>
    <row r="11959" spans="1:11" s="1011" customFormat="1" ht="15" x14ac:dyDescent="0.25">
      <c r="A11959" s="859">
        <f t="shared" si="244"/>
        <v>11958</v>
      </c>
      <c r="B11959" s="845" t="s">
        <v>2564</v>
      </c>
      <c r="C11959" s="1007">
        <f t="shared" si="245"/>
        <v>76</v>
      </c>
      <c r="D11959" s="1014"/>
      <c r="H11959" s="1011" t="s">
        <v>1007</v>
      </c>
      <c r="K11959" s="1013"/>
    </row>
    <row r="11960" spans="1:11" s="1011" customFormat="1" ht="15" x14ac:dyDescent="0.25">
      <c r="A11960" s="859">
        <f t="shared" si="244"/>
        <v>11959</v>
      </c>
      <c r="B11960" s="845" t="s">
        <v>2564</v>
      </c>
      <c r="C11960" s="1007">
        <f t="shared" si="245"/>
        <v>76</v>
      </c>
      <c r="D11960" s="1014"/>
      <c r="I11960" s="1011" t="s">
        <v>2178</v>
      </c>
      <c r="K11960" s="1013"/>
    </row>
    <row r="11961" spans="1:11" s="1011" customFormat="1" ht="15" x14ac:dyDescent="0.25">
      <c r="A11961" s="859">
        <f t="shared" si="244"/>
        <v>11960</v>
      </c>
      <c r="B11961" s="845" t="s">
        <v>2564</v>
      </c>
      <c r="C11961" s="1007">
        <f t="shared" si="245"/>
        <v>76</v>
      </c>
      <c r="D11961" s="1012"/>
      <c r="I11961" s="1011" t="str">
        <f>CONCATENATE("&lt;valeur&gt;",VLOOKUP(C11961,'T16 Amort'!A:K,6,0),"&lt;/valeur&gt;")</f>
        <v>&lt;valeur&gt;&lt;/valeur&gt;</v>
      </c>
      <c r="K11961" s="1013"/>
    </row>
    <row r="11962" spans="1:11" s="1011" customFormat="1" ht="15" x14ac:dyDescent="0.25">
      <c r="A11962" s="859">
        <f t="shared" si="244"/>
        <v>11961</v>
      </c>
      <c r="B11962" s="845" t="s">
        <v>2564</v>
      </c>
      <c r="C11962" s="1007">
        <f t="shared" si="245"/>
        <v>76</v>
      </c>
      <c r="D11962" s="1015"/>
      <c r="I11962" s="1011" t="str">
        <f>CONCATENATE("&lt;numeroLigne&gt;",C11962,"&lt;/numeroLigne&gt;")</f>
        <v>&lt;numeroLigne&gt;76&lt;/numeroLigne&gt;</v>
      </c>
      <c r="K11962" s="1013"/>
    </row>
    <row r="11963" spans="1:11" s="1011" customFormat="1" ht="15" x14ac:dyDescent="0.25">
      <c r="A11963" s="859">
        <f t="shared" si="244"/>
        <v>11962</v>
      </c>
      <c r="B11963" s="845" t="s">
        <v>2564</v>
      </c>
      <c r="C11963" s="1007">
        <f t="shared" si="245"/>
        <v>76</v>
      </c>
      <c r="D11963" s="1012"/>
      <c r="H11963" s="1011" t="s">
        <v>1010</v>
      </c>
      <c r="K11963" s="1013"/>
    </row>
    <row r="11964" spans="1:11" s="1011" customFormat="1" ht="15" x14ac:dyDescent="0.25">
      <c r="A11964" s="859">
        <f t="shared" si="244"/>
        <v>11963</v>
      </c>
      <c r="B11964" s="845" t="s">
        <v>2564</v>
      </c>
      <c r="C11964" s="1007">
        <f t="shared" si="245"/>
        <v>76</v>
      </c>
      <c r="D11964" s="1012"/>
      <c r="H11964" s="1011" t="s">
        <v>1007</v>
      </c>
      <c r="K11964" s="1013"/>
    </row>
    <row r="11965" spans="1:11" s="1011" customFormat="1" ht="15" x14ac:dyDescent="0.25">
      <c r="A11965" s="859">
        <f t="shared" si="244"/>
        <v>11964</v>
      </c>
      <c r="B11965" s="845" t="s">
        <v>2564</v>
      </c>
      <c r="C11965" s="1007">
        <f t="shared" si="245"/>
        <v>76</v>
      </c>
      <c r="D11965" s="1014"/>
      <c r="I11965" s="1011" t="s">
        <v>2179</v>
      </c>
      <c r="K11965" s="1013"/>
    </row>
    <row r="11966" spans="1:11" s="1011" customFormat="1" ht="15" x14ac:dyDescent="0.25">
      <c r="A11966" s="859">
        <f t="shared" si="244"/>
        <v>11965</v>
      </c>
      <c r="B11966" s="845" t="s">
        <v>2564</v>
      </c>
      <c r="C11966" s="1007">
        <f t="shared" si="245"/>
        <v>76</v>
      </c>
      <c r="D11966" s="1014"/>
      <c r="I11966" s="1011" t="str">
        <f>CONCATENATE("&lt;valeur&gt;",VLOOKUP(C11966,'T16 Amort'!A:K,7,0),"&lt;/valeur&gt;")</f>
        <v>&lt;valeur&gt;&lt;/valeur&gt;</v>
      </c>
      <c r="K11966" s="1013"/>
    </row>
    <row r="11967" spans="1:11" s="1011" customFormat="1" ht="15" x14ac:dyDescent="0.25">
      <c r="A11967" s="859">
        <f t="shared" si="244"/>
        <v>11966</v>
      </c>
      <c r="B11967" s="845" t="s">
        <v>2564</v>
      </c>
      <c r="C11967" s="1007">
        <f t="shared" si="245"/>
        <v>76</v>
      </c>
      <c r="D11967" s="1012"/>
      <c r="I11967" s="1011" t="str">
        <f>CONCATENATE("&lt;numeroLigne&gt;",C11967,"&lt;/numeroLigne&gt;")</f>
        <v>&lt;numeroLigne&gt;76&lt;/numeroLigne&gt;</v>
      </c>
      <c r="K11967" s="1013"/>
    </row>
    <row r="11968" spans="1:11" s="1011" customFormat="1" ht="15" x14ac:dyDescent="0.25">
      <c r="A11968" s="859">
        <f t="shared" si="244"/>
        <v>11967</v>
      </c>
      <c r="B11968" s="845" t="s">
        <v>2564</v>
      </c>
      <c r="C11968" s="1007">
        <f t="shared" si="245"/>
        <v>76</v>
      </c>
      <c r="D11968" s="1015"/>
      <c r="H11968" s="1011" t="s">
        <v>1010</v>
      </c>
      <c r="K11968" s="1013"/>
    </row>
    <row r="11969" spans="1:11" s="1011" customFormat="1" ht="15" x14ac:dyDescent="0.25">
      <c r="A11969" s="859">
        <f t="shared" si="244"/>
        <v>11968</v>
      </c>
      <c r="B11969" s="845" t="s">
        <v>2564</v>
      </c>
      <c r="C11969" s="1007">
        <f t="shared" si="245"/>
        <v>76</v>
      </c>
      <c r="D11969" s="1012"/>
      <c r="H11969" s="1011" t="s">
        <v>1007</v>
      </c>
      <c r="K11969" s="1013"/>
    </row>
    <row r="11970" spans="1:11" s="1011" customFormat="1" ht="15" x14ac:dyDescent="0.25">
      <c r="A11970" s="859">
        <f t="shared" si="244"/>
        <v>11969</v>
      </c>
      <c r="B11970" s="845" t="s">
        <v>2564</v>
      </c>
      <c r="C11970" s="1007">
        <f t="shared" si="245"/>
        <v>76</v>
      </c>
      <c r="D11970" s="1012"/>
      <c r="I11970" s="1011" t="s">
        <v>2180</v>
      </c>
      <c r="K11970" s="1013"/>
    </row>
    <row r="11971" spans="1:11" s="1011" customFormat="1" ht="15" x14ac:dyDescent="0.25">
      <c r="A11971" s="859">
        <f t="shared" si="244"/>
        <v>11970</v>
      </c>
      <c r="B11971" s="845" t="s">
        <v>2564</v>
      </c>
      <c r="C11971" s="1007">
        <f t="shared" si="245"/>
        <v>76</v>
      </c>
      <c r="D11971" s="1014"/>
      <c r="I11971" s="1011" t="str">
        <f>CONCATENATE("&lt;valeur&gt;",VLOOKUP(C11971,'T16 Amort'!A:K,8,0),"&lt;/valeur&gt;")</f>
        <v>&lt;valeur&gt;&lt;/valeur&gt;</v>
      </c>
      <c r="K11971" s="1013"/>
    </row>
    <row r="11972" spans="1:11" s="1011" customFormat="1" ht="15" x14ac:dyDescent="0.25">
      <c r="A11972" s="859">
        <f t="shared" ref="A11972:A12035" si="246">+A11971+1</f>
        <v>11971</v>
      </c>
      <c r="B11972" s="845" t="s">
        <v>2564</v>
      </c>
      <c r="C11972" s="1007">
        <f t="shared" si="245"/>
        <v>76</v>
      </c>
      <c r="D11972" s="1014"/>
      <c r="I11972" s="1011" t="str">
        <f>CONCATENATE("&lt;numeroLigne&gt;",C11972,"&lt;/numeroLigne&gt;")</f>
        <v>&lt;numeroLigne&gt;76&lt;/numeroLigne&gt;</v>
      </c>
      <c r="K11972" s="1013"/>
    </row>
    <row r="11973" spans="1:11" s="1011" customFormat="1" ht="15" x14ac:dyDescent="0.25">
      <c r="A11973" s="859">
        <f t="shared" si="246"/>
        <v>11972</v>
      </c>
      <c r="B11973" s="845" t="s">
        <v>2564</v>
      </c>
      <c r="C11973" s="1007">
        <f t="shared" si="245"/>
        <v>76</v>
      </c>
      <c r="D11973" s="1012"/>
      <c r="H11973" s="1011" t="s">
        <v>1010</v>
      </c>
      <c r="K11973" s="1013"/>
    </row>
    <row r="11974" spans="1:11" s="1011" customFormat="1" ht="15" x14ac:dyDescent="0.25">
      <c r="A11974" s="859">
        <f t="shared" si="246"/>
        <v>11973</v>
      </c>
      <c r="B11974" s="845" t="s">
        <v>2564</v>
      </c>
      <c r="C11974" s="1007">
        <f t="shared" si="245"/>
        <v>76</v>
      </c>
      <c r="D11974" s="1015"/>
      <c r="H11974" s="1011" t="s">
        <v>1007</v>
      </c>
      <c r="K11974" s="1013"/>
    </row>
    <row r="11975" spans="1:11" s="1011" customFormat="1" ht="15" x14ac:dyDescent="0.25">
      <c r="A11975" s="859">
        <f t="shared" si="246"/>
        <v>11974</v>
      </c>
      <c r="B11975" s="845" t="s">
        <v>2564</v>
      </c>
      <c r="C11975" s="1007">
        <f t="shared" si="245"/>
        <v>76</v>
      </c>
      <c r="D11975" s="1012"/>
      <c r="I11975" s="1011" t="s">
        <v>2181</v>
      </c>
      <c r="K11975" s="1013"/>
    </row>
    <row r="11976" spans="1:11" s="1011" customFormat="1" ht="15" x14ac:dyDescent="0.25">
      <c r="A11976" s="859">
        <f t="shared" si="246"/>
        <v>11975</v>
      </c>
      <c r="B11976" s="845" t="s">
        <v>2564</v>
      </c>
      <c r="C11976" s="1007">
        <f t="shared" si="245"/>
        <v>76</v>
      </c>
      <c r="D11976" s="1012"/>
      <c r="I11976" s="1011" t="str">
        <f>CONCATENATE("&lt;valeur&gt;",VLOOKUP(C11976,'T16 Amort'!A:K,9,0),"&lt;/valeur&gt;")</f>
        <v>&lt;valeur&gt;&lt;/valeur&gt;</v>
      </c>
      <c r="K11976" s="1013"/>
    </row>
    <row r="11977" spans="1:11" s="1011" customFormat="1" ht="15" x14ac:dyDescent="0.25">
      <c r="A11977" s="859">
        <f t="shared" si="246"/>
        <v>11976</v>
      </c>
      <c r="B11977" s="845" t="s">
        <v>2564</v>
      </c>
      <c r="C11977" s="1007">
        <f t="shared" si="245"/>
        <v>76</v>
      </c>
      <c r="D11977" s="1014"/>
      <c r="I11977" s="1011" t="str">
        <f>CONCATENATE("&lt;numeroLigne&gt;",C11977,"&lt;/numeroLigne&gt;")</f>
        <v>&lt;numeroLigne&gt;76&lt;/numeroLigne&gt;</v>
      </c>
      <c r="K11977" s="1013"/>
    </row>
    <row r="11978" spans="1:11" s="1011" customFormat="1" ht="15" x14ac:dyDescent="0.25">
      <c r="A11978" s="859">
        <f t="shared" si="246"/>
        <v>11977</v>
      </c>
      <c r="B11978" s="845" t="s">
        <v>2564</v>
      </c>
      <c r="C11978" s="1007">
        <f t="shared" si="245"/>
        <v>76</v>
      </c>
      <c r="D11978" s="1014"/>
      <c r="H11978" s="1011" t="s">
        <v>1010</v>
      </c>
      <c r="K11978" s="1013"/>
    </row>
    <row r="11979" spans="1:11" s="1011" customFormat="1" ht="15" x14ac:dyDescent="0.25">
      <c r="A11979" s="859">
        <f t="shared" si="246"/>
        <v>11978</v>
      </c>
      <c r="B11979" s="845" t="s">
        <v>2564</v>
      </c>
      <c r="C11979" s="1007">
        <f t="shared" si="245"/>
        <v>76</v>
      </c>
      <c r="D11979" s="1012"/>
      <c r="H11979" s="1011" t="s">
        <v>1007</v>
      </c>
      <c r="K11979" s="1013"/>
    </row>
    <row r="11980" spans="1:11" s="1011" customFormat="1" ht="15" x14ac:dyDescent="0.25">
      <c r="A11980" s="859">
        <f t="shared" si="246"/>
        <v>11979</v>
      </c>
      <c r="B11980" s="845" t="s">
        <v>2564</v>
      </c>
      <c r="C11980" s="1007">
        <f t="shared" si="245"/>
        <v>76</v>
      </c>
      <c r="D11980" s="1015"/>
      <c r="I11980" s="1011" t="s">
        <v>2182</v>
      </c>
      <c r="K11980" s="1013"/>
    </row>
    <row r="11981" spans="1:11" s="1011" customFormat="1" ht="15" x14ac:dyDescent="0.25">
      <c r="A11981" s="859">
        <f t="shared" si="246"/>
        <v>11980</v>
      </c>
      <c r="B11981" s="845" t="s">
        <v>2564</v>
      </c>
      <c r="C11981" s="1007">
        <f t="shared" si="245"/>
        <v>76</v>
      </c>
      <c r="D11981" s="1012"/>
      <c r="I11981" s="1011" t="str">
        <f>CONCATENATE("&lt;valeur&gt;",VLOOKUP(C11981,'T16 Amort'!A:K,10,0),"&lt;/valeur&gt;")</f>
        <v>&lt;valeur&gt;&lt;/valeur&gt;</v>
      </c>
      <c r="K11981" s="1013"/>
    </row>
    <row r="11982" spans="1:11" s="1011" customFormat="1" ht="15" x14ac:dyDescent="0.25">
      <c r="A11982" s="859">
        <f t="shared" si="246"/>
        <v>11981</v>
      </c>
      <c r="B11982" s="845" t="s">
        <v>2564</v>
      </c>
      <c r="C11982" s="1007">
        <f t="shared" si="245"/>
        <v>76</v>
      </c>
      <c r="D11982" s="1012"/>
      <c r="I11982" s="1011" t="str">
        <f>CONCATENATE("&lt;numeroLigne&gt;",C11982,"&lt;/numeroLigne&gt;")</f>
        <v>&lt;numeroLigne&gt;76&lt;/numeroLigne&gt;</v>
      </c>
      <c r="K11982" s="1013"/>
    </row>
    <row r="11983" spans="1:11" s="1011" customFormat="1" ht="15" x14ac:dyDescent="0.25">
      <c r="A11983" s="859">
        <f t="shared" si="246"/>
        <v>11982</v>
      </c>
      <c r="B11983" s="845" t="s">
        <v>2564</v>
      </c>
      <c r="C11983" s="1007">
        <f t="shared" si="245"/>
        <v>76</v>
      </c>
      <c r="D11983" s="1014"/>
      <c r="H11983" s="1011" t="s">
        <v>1010</v>
      </c>
      <c r="K11983" s="1013"/>
    </row>
    <row r="11984" spans="1:11" s="1011" customFormat="1" ht="15" x14ac:dyDescent="0.25">
      <c r="A11984" s="859">
        <f t="shared" si="246"/>
        <v>11983</v>
      </c>
      <c r="B11984" s="845" t="s">
        <v>2564</v>
      </c>
      <c r="C11984" s="1007">
        <f t="shared" si="245"/>
        <v>76</v>
      </c>
      <c r="D11984" s="1014"/>
      <c r="H11984" s="1011" t="s">
        <v>1007</v>
      </c>
      <c r="K11984" s="1013"/>
    </row>
    <row r="11985" spans="1:11" s="1011" customFormat="1" ht="15" x14ac:dyDescent="0.25">
      <c r="A11985" s="859">
        <f t="shared" si="246"/>
        <v>11984</v>
      </c>
      <c r="B11985" s="845" t="s">
        <v>2564</v>
      </c>
      <c r="C11985" s="1007">
        <f t="shared" si="245"/>
        <v>76</v>
      </c>
      <c r="D11985" s="1012"/>
      <c r="I11985" s="1011" t="s">
        <v>2183</v>
      </c>
      <c r="K11985" s="1013"/>
    </row>
    <row r="11986" spans="1:11" s="1011" customFormat="1" ht="15" x14ac:dyDescent="0.25">
      <c r="A11986" s="859">
        <f t="shared" si="246"/>
        <v>11985</v>
      </c>
      <c r="B11986" s="845" t="s">
        <v>2564</v>
      </c>
      <c r="C11986" s="1007">
        <f t="shared" si="245"/>
        <v>76</v>
      </c>
      <c r="D11986" s="1015"/>
      <c r="I11986" s="1011" t="str">
        <f>CONCATENATE("&lt;valeur&gt;",VLOOKUP(C11986,'T16 Amort'!A:K,11,0),"&lt;/valeur&gt;")</f>
        <v>&lt;valeur&gt;&lt;/valeur&gt;</v>
      </c>
      <c r="K11986" s="1013"/>
    </row>
    <row r="11987" spans="1:11" s="1011" customFormat="1" ht="15" x14ac:dyDescent="0.25">
      <c r="A11987" s="859">
        <f t="shared" si="246"/>
        <v>11986</v>
      </c>
      <c r="B11987" s="845" t="s">
        <v>2564</v>
      </c>
      <c r="C11987" s="1007">
        <f t="shared" si="245"/>
        <v>76</v>
      </c>
      <c r="D11987" s="1012"/>
      <c r="I11987" s="1011" t="str">
        <f>CONCATENATE("&lt;numeroLigne&gt;",C11987,"&lt;/numeroLigne&gt;")</f>
        <v>&lt;numeroLigne&gt;76&lt;/numeroLigne&gt;</v>
      </c>
      <c r="K11987" s="1013"/>
    </row>
    <row r="11988" spans="1:11" s="1011" customFormat="1" ht="15" x14ac:dyDescent="0.25">
      <c r="A11988" s="859">
        <f t="shared" si="246"/>
        <v>11987</v>
      </c>
      <c r="B11988" s="845" t="s">
        <v>2564</v>
      </c>
      <c r="C11988" s="1007">
        <f t="shared" si="245"/>
        <v>76</v>
      </c>
      <c r="D11988" s="1016"/>
      <c r="E11988" s="1017"/>
      <c r="F11988" s="1017"/>
      <c r="G11988" s="1017"/>
      <c r="H11988" s="1017" t="s">
        <v>1010</v>
      </c>
      <c r="I11988" s="1017"/>
      <c r="J11988" s="1017"/>
      <c r="K11988" s="1018"/>
    </row>
    <row r="11989" spans="1:11" s="1011" customFormat="1" ht="15" x14ac:dyDescent="0.25">
      <c r="A11989" s="859">
        <f t="shared" si="246"/>
        <v>11988</v>
      </c>
      <c r="B11989" s="845" t="s">
        <v>2564</v>
      </c>
      <c r="C11989" s="1007">
        <f t="shared" si="245"/>
        <v>77</v>
      </c>
      <c r="D11989" s="1008"/>
      <c r="E11989" s="1009"/>
      <c r="F11989" s="1009"/>
      <c r="G11989" s="1009"/>
      <c r="H11989" s="1009" t="s">
        <v>1007</v>
      </c>
      <c r="I11989" s="1009"/>
      <c r="J11989" s="1009"/>
      <c r="K11989" s="1010"/>
    </row>
    <row r="11990" spans="1:11" s="1011" customFormat="1" ht="15" x14ac:dyDescent="0.25">
      <c r="A11990" s="859">
        <f t="shared" si="246"/>
        <v>11989</v>
      </c>
      <c r="B11990" s="845" t="s">
        <v>2564</v>
      </c>
      <c r="C11990" s="1007">
        <f t="shared" si="245"/>
        <v>77</v>
      </c>
      <c r="D11990" s="1012"/>
      <c r="I11990" s="1011" t="s">
        <v>2174</v>
      </c>
      <c r="K11990" s="1013"/>
    </row>
    <row r="11991" spans="1:11" s="1011" customFormat="1" ht="15" x14ac:dyDescent="0.25">
      <c r="A11991" s="859">
        <f t="shared" si="246"/>
        <v>11990</v>
      </c>
      <c r="B11991" s="845" t="s">
        <v>2564</v>
      </c>
      <c r="C11991" s="1007">
        <f t="shared" si="245"/>
        <v>77</v>
      </c>
      <c r="D11991" s="1014"/>
      <c r="I11991" s="1011" t="str">
        <f>CONCATENATE("&lt;valeur&gt;",VLOOKUP(C11991,'T16 Amort'!A:K,2,0),"&lt;/valeur&gt;")</f>
        <v>&lt;valeur&gt;&lt;/valeur&gt;</v>
      </c>
      <c r="K11991" s="1013"/>
    </row>
    <row r="11992" spans="1:11" s="1011" customFormat="1" ht="15" x14ac:dyDescent="0.25">
      <c r="A11992" s="859">
        <f t="shared" si="246"/>
        <v>11991</v>
      </c>
      <c r="B11992" s="845" t="s">
        <v>2564</v>
      </c>
      <c r="C11992" s="1007">
        <f t="shared" si="245"/>
        <v>77</v>
      </c>
      <c r="D11992" s="1014"/>
      <c r="I11992" s="1011" t="str">
        <f>CONCATENATE("&lt;numeroLigne&gt;",C11992,"&lt;/numeroLigne&gt;")</f>
        <v>&lt;numeroLigne&gt;77&lt;/numeroLigne&gt;</v>
      </c>
      <c r="K11992" s="1013"/>
    </row>
    <row r="11993" spans="1:11" s="1011" customFormat="1" ht="15" x14ac:dyDescent="0.25">
      <c r="A11993" s="859">
        <f t="shared" si="246"/>
        <v>11992</v>
      </c>
      <c r="B11993" s="845" t="s">
        <v>2564</v>
      </c>
      <c r="C11993" s="1007">
        <f t="shared" si="245"/>
        <v>77</v>
      </c>
      <c r="D11993" s="1012"/>
      <c r="H11993" s="1011" t="s">
        <v>1010</v>
      </c>
      <c r="K11993" s="1013"/>
    </row>
    <row r="11994" spans="1:11" s="1011" customFormat="1" ht="15" x14ac:dyDescent="0.25">
      <c r="A11994" s="859">
        <f t="shared" si="246"/>
        <v>11993</v>
      </c>
      <c r="B11994" s="845" t="s">
        <v>2564</v>
      </c>
      <c r="C11994" s="1007">
        <f t="shared" si="245"/>
        <v>77</v>
      </c>
      <c r="D11994" s="1015"/>
      <c r="H11994" s="1011" t="s">
        <v>1007</v>
      </c>
      <c r="K11994" s="1013"/>
    </row>
    <row r="11995" spans="1:11" s="1011" customFormat="1" ht="15" x14ac:dyDescent="0.25">
      <c r="A11995" s="859">
        <f t="shared" si="246"/>
        <v>11994</v>
      </c>
      <c r="B11995" s="845" t="s">
        <v>2564</v>
      </c>
      <c r="C11995" s="1007">
        <f t="shared" si="245"/>
        <v>77</v>
      </c>
      <c r="D11995" s="1012"/>
      <c r="I11995" s="1011" t="s">
        <v>2175</v>
      </c>
      <c r="K11995" s="1013"/>
    </row>
    <row r="11996" spans="1:11" s="1011" customFormat="1" ht="15" x14ac:dyDescent="0.25">
      <c r="A11996" s="859">
        <f t="shared" si="246"/>
        <v>11995</v>
      </c>
      <c r="B11996" s="845" t="s">
        <v>2564</v>
      </c>
      <c r="C11996" s="1007">
        <f t="shared" si="245"/>
        <v>77</v>
      </c>
      <c r="D11996" s="1012"/>
      <c r="I11996" s="1011" t="str">
        <f>CONCATENATE("&lt;valeur&gt;",VLOOKUP(C11996,'T16 Amort'!A:K,3,0),"&lt;/valeur&gt;")</f>
        <v>&lt;valeur&gt;&lt;/valeur&gt;</v>
      </c>
      <c r="K11996" s="1013"/>
    </row>
    <row r="11997" spans="1:11" s="1011" customFormat="1" ht="15" x14ac:dyDescent="0.25">
      <c r="A11997" s="859">
        <f t="shared" si="246"/>
        <v>11996</v>
      </c>
      <c r="B11997" s="845" t="s">
        <v>2564</v>
      </c>
      <c r="C11997" s="1007">
        <f t="shared" si="245"/>
        <v>77</v>
      </c>
      <c r="D11997" s="1014"/>
      <c r="I11997" s="1011" t="str">
        <f>CONCATENATE("&lt;numeroLigne&gt;",C11997,"&lt;/numeroLigne&gt;")</f>
        <v>&lt;numeroLigne&gt;77&lt;/numeroLigne&gt;</v>
      </c>
      <c r="K11997" s="1013"/>
    </row>
    <row r="11998" spans="1:11" s="1011" customFormat="1" ht="15" x14ac:dyDescent="0.25">
      <c r="A11998" s="859">
        <f t="shared" si="246"/>
        <v>11997</v>
      </c>
      <c r="B11998" s="845" t="s">
        <v>2564</v>
      </c>
      <c r="C11998" s="1007">
        <f t="shared" si="245"/>
        <v>77</v>
      </c>
      <c r="D11998" s="1014"/>
      <c r="H11998" s="1011" t="s">
        <v>1010</v>
      </c>
      <c r="K11998" s="1013"/>
    </row>
    <row r="11999" spans="1:11" s="1011" customFormat="1" ht="15" x14ac:dyDescent="0.25">
      <c r="A11999" s="859">
        <f t="shared" si="246"/>
        <v>11998</v>
      </c>
      <c r="B11999" s="845" t="s">
        <v>2564</v>
      </c>
      <c r="C11999" s="1007">
        <f t="shared" si="245"/>
        <v>77</v>
      </c>
      <c r="D11999" s="1012"/>
      <c r="H11999" s="1011" t="s">
        <v>1007</v>
      </c>
      <c r="K11999" s="1013"/>
    </row>
    <row r="12000" spans="1:11" s="1011" customFormat="1" ht="15" x14ac:dyDescent="0.25">
      <c r="A12000" s="859">
        <f t="shared" si="246"/>
        <v>11999</v>
      </c>
      <c r="B12000" s="845" t="s">
        <v>2564</v>
      </c>
      <c r="C12000" s="1007">
        <f t="shared" si="245"/>
        <v>77</v>
      </c>
      <c r="D12000" s="1015"/>
      <c r="I12000" s="1011" t="s">
        <v>2176</v>
      </c>
      <c r="K12000" s="1013"/>
    </row>
    <row r="12001" spans="1:11" s="1011" customFormat="1" ht="15" x14ac:dyDescent="0.25">
      <c r="A12001" s="859">
        <f t="shared" si="246"/>
        <v>12000</v>
      </c>
      <c r="B12001" s="845" t="s">
        <v>2564</v>
      </c>
      <c r="C12001" s="1007">
        <f t="shared" si="245"/>
        <v>77</v>
      </c>
      <c r="D12001" s="1012"/>
      <c r="I12001" s="1011" t="str">
        <f>CONCATENATE("&lt;valeur&gt;",VLOOKUP(C12001,'T16 Amort'!A:K,4,0),"&lt;/valeur&gt;")</f>
        <v>&lt;valeur&gt;&lt;/valeur&gt;</v>
      </c>
      <c r="K12001" s="1013"/>
    </row>
    <row r="12002" spans="1:11" s="1011" customFormat="1" ht="15" x14ac:dyDescent="0.25">
      <c r="A12002" s="859">
        <f t="shared" si="246"/>
        <v>12001</v>
      </c>
      <c r="B12002" s="845" t="s">
        <v>2564</v>
      </c>
      <c r="C12002" s="1007">
        <f t="shared" si="245"/>
        <v>77</v>
      </c>
      <c r="D12002" s="1012"/>
      <c r="I12002" s="1011" t="str">
        <f>CONCATENATE("&lt;numeroLigne&gt;",C12002,"&lt;/numeroLigne&gt;")</f>
        <v>&lt;numeroLigne&gt;77&lt;/numeroLigne&gt;</v>
      </c>
      <c r="K12002" s="1013"/>
    </row>
    <row r="12003" spans="1:11" s="1011" customFormat="1" ht="15" x14ac:dyDescent="0.25">
      <c r="A12003" s="859">
        <f t="shared" si="246"/>
        <v>12002</v>
      </c>
      <c r="B12003" s="845" t="s">
        <v>2564</v>
      </c>
      <c r="C12003" s="1007">
        <f t="shared" si="245"/>
        <v>77</v>
      </c>
      <c r="D12003" s="1014"/>
      <c r="H12003" s="1011" t="s">
        <v>1010</v>
      </c>
      <c r="K12003" s="1013"/>
    </row>
    <row r="12004" spans="1:11" s="1011" customFormat="1" ht="15" x14ac:dyDescent="0.25">
      <c r="A12004" s="859">
        <f t="shared" si="246"/>
        <v>12003</v>
      </c>
      <c r="B12004" s="845" t="s">
        <v>2564</v>
      </c>
      <c r="C12004" s="1007">
        <f t="shared" si="245"/>
        <v>77</v>
      </c>
      <c r="D12004" s="1014"/>
      <c r="H12004" s="1011" t="s">
        <v>1007</v>
      </c>
      <c r="K12004" s="1013"/>
    </row>
    <row r="12005" spans="1:11" s="1011" customFormat="1" ht="15" x14ac:dyDescent="0.25">
      <c r="A12005" s="859">
        <f t="shared" si="246"/>
        <v>12004</v>
      </c>
      <c r="B12005" s="845" t="s">
        <v>2564</v>
      </c>
      <c r="C12005" s="1007">
        <f t="shared" si="245"/>
        <v>77</v>
      </c>
      <c r="D12005" s="1012"/>
      <c r="I12005" s="1011" t="s">
        <v>2177</v>
      </c>
      <c r="K12005" s="1013"/>
    </row>
    <row r="12006" spans="1:11" s="1011" customFormat="1" ht="15" x14ac:dyDescent="0.25">
      <c r="A12006" s="859">
        <f t="shared" si="246"/>
        <v>12005</v>
      </c>
      <c r="B12006" s="845" t="s">
        <v>2564</v>
      </c>
      <c r="C12006" s="1007">
        <f t="shared" si="245"/>
        <v>77</v>
      </c>
      <c r="D12006" s="1015"/>
      <c r="I12006" s="1011" t="str">
        <f>CONCATENATE("&lt;valeur&gt;",VLOOKUP(C12006,'T16 Amort'!A:K,5,0),"&lt;/valeur&gt;")</f>
        <v>&lt;valeur&gt;&lt;/valeur&gt;</v>
      </c>
      <c r="K12006" s="1013"/>
    </row>
    <row r="12007" spans="1:11" s="1011" customFormat="1" ht="15" x14ac:dyDescent="0.25">
      <c r="A12007" s="859">
        <f t="shared" si="246"/>
        <v>12006</v>
      </c>
      <c r="B12007" s="845" t="s">
        <v>2564</v>
      </c>
      <c r="C12007" s="1007">
        <f t="shared" si="245"/>
        <v>77</v>
      </c>
      <c r="D12007" s="1012"/>
      <c r="I12007" s="1011" t="str">
        <f>CONCATENATE("&lt;numeroLigne&gt;",C12007,"&lt;/numeroLigne&gt;")</f>
        <v>&lt;numeroLigne&gt;77&lt;/numeroLigne&gt;</v>
      </c>
      <c r="K12007" s="1013"/>
    </row>
    <row r="12008" spans="1:11" s="1011" customFormat="1" ht="15" x14ac:dyDescent="0.25">
      <c r="A12008" s="859">
        <f t="shared" si="246"/>
        <v>12007</v>
      </c>
      <c r="B12008" s="845" t="s">
        <v>2564</v>
      </c>
      <c r="C12008" s="1007">
        <f t="shared" si="245"/>
        <v>77</v>
      </c>
      <c r="D12008" s="1012"/>
      <c r="H12008" s="1011" t="s">
        <v>1010</v>
      </c>
      <c r="K12008" s="1013"/>
    </row>
    <row r="12009" spans="1:11" s="1011" customFormat="1" ht="15" x14ac:dyDescent="0.25">
      <c r="A12009" s="859">
        <f t="shared" si="246"/>
        <v>12008</v>
      </c>
      <c r="B12009" s="845" t="s">
        <v>2564</v>
      </c>
      <c r="C12009" s="1007">
        <f t="shared" si="245"/>
        <v>77</v>
      </c>
      <c r="D12009" s="1014"/>
      <c r="H12009" s="1011" t="s">
        <v>1007</v>
      </c>
      <c r="K12009" s="1013"/>
    </row>
    <row r="12010" spans="1:11" s="1011" customFormat="1" ht="15" x14ac:dyDescent="0.25">
      <c r="A12010" s="859">
        <f t="shared" si="246"/>
        <v>12009</v>
      </c>
      <c r="B12010" s="845" t="s">
        <v>2564</v>
      </c>
      <c r="C12010" s="1007">
        <f t="shared" si="245"/>
        <v>77</v>
      </c>
      <c r="D12010" s="1014"/>
      <c r="I12010" s="1011" t="s">
        <v>2178</v>
      </c>
      <c r="K12010" s="1013"/>
    </row>
    <row r="12011" spans="1:11" s="1011" customFormat="1" ht="15" x14ac:dyDescent="0.25">
      <c r="A12011" s="859">
        <f t="shared" si="246"/>
        <v>12010</v>
      </c>
      <c r="B12011" s="845" t="s">
        <v>2564</v>
      </c>
      <c r="C12011" s="1007">
        <f t="shared" si="245"/>
        <v>77</v>
      </c>
      <c r="D12011" s="1012"/>
      <c r="I12011" s="1011" t="str">
        <f>CONCATENATE("&lt;valeur&gt;",VLOOKUP(C12011,'T16 Amort'!A:K,6,0),"&lt;/valeur&gt;")</f>
        <v>&lt;valeur&gt;&lt;/valeur&gt;</v>
      </c>
      <c r="K12011" s="1013"/>
    </row>
    <row r="12012" spans="1:11" s="1011" customFormat="1" ht="15" x14ac:dyDescent="0.25">
      <c r="A12012" s="859">
        <f t="shared" si="246"/>
        <v>12011</v>
      </c>
      <c r="B12012" s="845" t="s">
        <v>2564</v>
      </c>
      <c r="C12012" s="1007">
        <f t="shared" si="245"/>
        <v>77</v>
      </c>
      <c r="D12012" s="1015"/>
      <c r="I12012" s="1011" t="str">
        <f>CONCATENATE("&lt;numeroLigne&gt;",C12012,"&lt;/numeroLigne&gt;")</f>
        <v>&lt;numeroLigne&gt;77&lt;/numeroLigne&gt;</v>
      </c>
      <c r="K12012" s="1013"/>
    </row>
    <row r="12013" spans="1:11" s="1011" customFormat="1" ht="15" x14ac:dyDescent="0.25">
      <c r="A12013" s="859">
        <f t="shared" si="246"/>
        <v>12012</v>
      </c>
      <c r="B12013" s="845" t="s">
        <v>2564</v>
      </c>
      <c r="C12013" s="1007">
        <f t="shared" si="245"/>
        <v>77</v>
      </c>
      <c r="D12013" s="1012"/>
      <c r="H12013" s="1011" t="s">
        <v>1010</v>
      </c>
      <c r="K12013" s="1013"/>
    </row>
    <row r="12014" spans="1:11" s="1011" customFormat="1" ht="15" x14ac:dyDescent="0.25">
      <c r="A12014" s="859">
        <f t="shared" si="246"/>
        <v>12013</v>
      </c>
      <c r="B12014" s="845" t="s">
        <v>2564</v>
      </c>
      <c r="C12014" s="1007">
        <f t="shared" si="245"/>
        <v>77</v>
      </c>
      <c r="D12014" s="1012"/>
      <c r="H12014" s="1011" t="s">
        <v>1007</v>
      </c>
      <c r="K12014" s="1013"/>
    </row>
    <row r="12015" spans="1:11" s="1011" customFormat="1" ht="15" x14ac:dyDescent="0.25">
      <c r="A12015" s="859">
        <f t="shared" si="246"/>
        <v>12014</v>
      </c>
      <c r="B12015" s="845" t="s">
        <v>2564</v>
      </c>
      <c r="C12015" s="1007">
        <f t="shared" ref="C12015:C12078" si="247">C11965+1</f>
        <v>77</v>
      </c>
      <c r="D12015" s="1014"/>
      <c r="I12015" s="1011" t="s">
        <v>2179</v>
      </c>
      <c r="K12015" s="1013"/>
    </row>
    <row r="12016" spans="1:11" s="1011" customFormat="1" ht="15" x14ac:dyDescent="0.25">
      <c r="A12016" s="859">
        <f t="shared" si="246"/>
        <v>12015</v>
      </c>
      <c r="B12016" s="845" t="s">
        <v>2564</v>
      </c>
      <c r="C12016" s="1007">
        <f t="shared" si="247"/>
        <v>77</v>
      </c>
      <c r="D12016" s="1014"/>
      <c r="I12016" s="1011" t="str">
        <f>CONCATENATE("&lt;valeur&gt;",VLOOKUP(C12016,'T16 Amort'!A:K,7,0),"&lt;/valeur&gt;")</f>
        <v>&lt;valeur&gt;&lt;/valeur&gt;</v>
      </c>
      <c r="K12016" s="1013"/>
    </row>
    <row r="12017" spans="1:11" s="1011" customFormat="1" ht="15" x14ac:dyDescent="0.25">
      <c r="A12017" s="859">
        <f t="shared" si="246"/>
        <v>12016</v>
      </c>
      <c r="B12017" s="845" t="s">
        <v>2564</v>
      </c>
      <c r="C12017" s="1007">
        <f t="shared" si="247"/>
        <v>77</v>
      </c>
      <c r="D12017" s="1012"/>
      <c r="I12017" s="1011" t="str">
        <f>CONCATENATE("&lt;numeroLigne&gt;",C12017,"&lt;/numeroLigne&gt;")</f>
        <v>&lt;numeroLigne&gt;77&lt;/numeroLigne&gt;</v>
      </c>
      <c r="K12017" s="1013"/>
    </row>
    <row r="12018" spans="1:11" s="1011" customFormat="1" ht="15" x14ac:dyDescent="0.25">
      <c r="A12018" s="859">
        <f t="shared" si="246"/>
        <v>12017</v>
      </c>
      <c r="B12018" s="845" t="s">
        <v>2564</v>
      </c>
      <c r="C12018" s="1007">
        <f t="shared" si="247"/>
        <v>77</v>
      </c>
      <c r="D12018" s="1015"/>
      <c r="H12018" s="1011" t="s">
        <v>1010</v>
      </c>
      <c r="K12018" s="1013"/>
    </row>
    <row r="12019" spans="1:11" s="1011" customFormat="1" ht="15" x14ac:dyDescent="0.25">
      <c r="A12019" s="859">
        <f t="shared" si="246"/>
        <v>12018</v>
      </c>
      <c r="B12019" s="845" t="s">
        <v>2564</v>
      </c>
      <c r="C12019" s="1007">
        <f t="shared" si="247"/>
        <v>77</v>
      </c>
      <c r="D12019" s="1012"/>
      <c r="H12019" s="1011" t="s">
        <v>1007</v>
      </c>
      <c r="K12019" s="1013"/>
    </row>
    <row r="12020" spans="1:11" s="1011" customFormat="1" ht="15" x14ac:dyDescent="0.25">
      <c r="A12020" s="859">
        <f t="shared" si="246"/>
        <v>12019</v>
      </c>
      <c r="B12020" s="845" t="s">
        <v>2564</v>
      </c>
      <c r="C12020" s="1007">
        <f t="shared" si="247"/>
        <v>77</v>
      </c>
      <c r="D12020" s="1012"/>
      <c r="I12020" s="1011" t="s">
        <v>2180</v>
      </c>
      <c r="K12020" s="1013"/>
    </row>
    <row r="12021" spans="1:11" s="1011" customFormat="1" ht="15" x14ac:dyDescent="0.25">
      <c r="A12021" s="859">
        <f t="shared" si="246"/>
        <v>12020</v>
      </c>
      <c r="B12021" s="845" t="s">
        <v>2564</v>
      </c>
      <c r="C12021" s="1007">
        <f t="shared" si="247"/>
        <v>77</v>
      </c>
      <c r="D12021" s="1014"/>
      <c r="I12021" s="1011" t="str">
        <f>CONCATENATE("&lt;valeur&gt;",VLOOKUP(C12021,'T16 Amort'!A:K,8,0),"&lt;/valeur&gt;")</f>
        <v>&lt;valeur&gt;&lt;/valeur&gt;</v>
      </c>
      <c r="K12021" s="1013"/>
    </row>
    <row r="12022" spans="1:11" s="1011" customFormat="1" ht="15" x14ac:dyDescent="0.25">
      <c r="A12022" s="859">
        <f t="shared" si="246"/>
        <v>12021</v>
      </c>
      <c r="B12022" s="845" t="s">
        <v>2564</v>
      </c>
      <c r="C12022" s="1007">
        <f t="shared" si="247"/>
        <v>77</v>
      </c>
      <c r="D12022" s="1014"/>
      <c r="I12022" s="1011" t="str">
        <f>CONCATENATE("&lt;numeroLigne&gt;",C12022,"&lt;/numeroLigne&gt;")</f>
        <v>&lt;numeroLigne&gt;77&lt;/numeroLigne&gt;</v>
      </c>
      <c r="K12022" s="1013"/>
    </row>
    <row r="12023" spans="1:11" s="1011" customFormat="1" ht="15" x14ac:dyDescent="0.25">
      <c r="A12023" s="859">
        <f t="shared" si="246"/>
        <v>12022</v>
      </c>
      <c r="B12023" s="845" t="s">
        <v>2564</v>
      </c>
      <c r="C12023" s="1007">
        <f t="shared" si="247"/>
        <v>77</v>
      </c>
      <c r="D12023" s="1012"/>
      <c r="H12023" s="1011" t="s">
        <v>1010</v>
      </c>
      <c r="K12023" s="1013"/>
    </row>
    <row r="12024" spans="1:11" s="1011" customFormat="1" ht="15" x14ac:dyDescent="0.25">
      <c r="A12024" s="859">
        <f t="shared" si="246"/>
        <v>12023</v>
      </c>
      <c r="B12024" s="845" t="s">
        <v>2564</v>
      </c>
      <c r="C12024" s="1007">
        <f t="shared" si="247"/>
        <v>77</v>
      </c>
      <c r="D12024" s="1015"/>
      <c r="H12024" s="1011" t="s">
        <v>1007</v>
      </c>
      <c r="K12024" s="1013"/>
    </row>
    <row r="12025" spans="1:11" s="1011" customFormat="1" ht="15" x14ac:dyDescent="0.25">
      <c r="A12025" s="859">
        <f t="shared" si="246"/>
        <v>12024</v>
      </c>
      <c r="B12025" s="845" t="s">
        <v>2564</v>
      </c>
      <c r="C12025" s="1007">
        <f t="shared" si="247"/>
        <v>77</v>
      </c>
      <c r="D12025" s="1012"/>
      <c r="I12025" s="1011" t="s">
        <v>2181</v>
      </c>
      <c r="K12025" s="1013"/>
    </row>
    <row r="12026" spans="1:11" s="1011" customFormat="1" ht="15" x14ac:dyDescent="0.25">
      <c r="A12026" s="859">
        <f t="shared" si="246"/>
        <v>12025</v>
      </c>
      <c r="B12026" s="845" t="s">
        <v>2564</v>
      </c>
      <c r="C12026" s="1007">
        <f t="shared" si="247"/>
        <v>77</v>
      </c>
      <c r="D12026" s="1012"/>
      <c r="I12026" s="1011" t="str">
        <f>CONCATENATE("&lt;valeur&gt;",VLOOKUP(C12026,'T16 Amort'!A:K,9,0),"&lt;/valeur&gt;")</f>
        <v>&lt;valeur&gt;&lt;/valeur&gt;</v>
      </c>
      <c r="K12026" s="1013"/>
    </row>
    <row r="12027" spans="1:11" s="1011" customFormat="1" ht="15" x14ac:dyDescent="0.25">
      <c r="A12027" s="859">
        <f t="shared" si="246"/>
        <v>12026</v>
      </c>
      <c r="B12027" s="845" t="s">
        <v>2564</v>
      </c>
      <c r="C12027" s="1007">
        <f t="shared" si="247"/>
        <v>77</v>
      </c>
      <c r="D12027" s="1014"/>
      <c r="I12027" s="1011" t="str">
        <f>CONCATENATE("&lt;numeroLigne&gt;",C12027,"&lt;/numeroLigne&gt;")</f>
        <v>&lt;numeroLigne&gt;77&lt;/numeroLigne&gt;</v>
      </c>
      <c r="K12027" s="1013"/>
    </row>
    <row r="12028" spans="1:11" s="1011" customFormat="1" ht="15" x14ac:dyDescent="0.25">
      <c r="A12028" s="859">
        <f t="shared" si="246"/>
        <v>12027</v>
      </c>
      <c r="B12028" s="845" t="s">
        <v>2564</v>
      </c>
      <c r="C12028" s="1007">
        <f t="shared" si="247"/>
        <v>77</v>
      </c>
      <c r="D12028" s="1014"/>
      <c r="H12028" s="1011" t="s">
        <v>1010</v>
      </c>
      <c r="K12028" s="1013"/>
    </row>
    <row r="12029" spans="1:11" s="1011" customFormat="1" ht="15" x14ac:dyDescent="0.25">
      <c r="A12029" s="859">
        <f t="shared" si="246"/>
        <v>12028</v>
      </c>
      <c r="B12029" s="845" t="s">
        <v>2564</v>
      </c>
      <c r="C12029" s="1007">
        <f t="shared" si="247"/>
        <v>77</v>
      </c>
      <c r="D12029" s="1012"/>
      <c r="H12029" s="1011" t="s">
        <v>1007</v>
      </c>
      <c r="K12029" s="1013"/>
    </row>
    <row r="12030" spans="1:11" s="1011" customFormat="1" ht="15" x14ac:dyDescent="0.25">
      <c r="A12030" s="859">
        <f t="shared" si="246"/>
        <v>12029</v>
      </c>
      <c r="B12030" s="845" t="s">
        <v>2564</v>
      </c>
      <c r="C12030" s="1007">
        <f t="shared" si="247"/>
        <v>77</v>
      </c>
      <c r="D12030" s="1015"/>
      <c r="I12030" s="1011" t="s">
        <v>2182</v>
      </c>
      <c r="K12030" s="1013"/>
    </row>
    <row r="12031" spans="1:11" s="1011" customFormat="1" ht="15" x14ac:dyDescent="0.25">
      <c r="A12031" s="859">
        <f t="shared" si="246"/>
        <v>12030</v>
      </c>
      <c r="B12031" s="845" t="s">
        <v>2564</v>
      </c>
      <c r="C12031" s="1007">
        <f t="shared" si="247"/>
        <v>77</v>
      </c>
      <c r="D12031" s="1012"/>
      <c r="I12031" s="1011" t="str">
        <f>CONCATENATE("&lt;valeur&gt;",VLOOKUP(C12031,'T16 Amort'!A:K,10,0),"&lt;/valeur&gt;")</f>
        <v>&lt;valeur&gt;&lt;/valeur&gt;</v>
      </c>
      <c r="K12031" s="1013"/>
    </row>
    <row r="12032" spans="1:11" s="1011" customFormat="1" ht="15" x14ac:dyDescent="0.25">
      <c r="A12032" s="859">
        <f t="shared" si="246"/>
        <v>12031</v>
      </c>
      <c r="B12032" s="845" t="s">
        <v>2564</v>
      </c>
      <c r="C12032" s="1007">
        <f t="shared" si="247"/>
        <v>77</v>
      </c>
      <c r="D12032" s="1012"/>
      <c r="I12032" s="1011" t="str">
        <f>CONCATENATE("&lt;numeroLigne&gt;",C12032,"&lt;/numeroLigne&gt;")</f>
        <v>&lt;numeroLigne&gt;77&lt;/numeroLigne&gt;</v>
      </c>
      <c r="K12032" s="1013"/>
    </row>
    <row r="12033" spans="1:11" s="1011" customFormat="1" ht="15" x14ac:dyDescent="0.25">
      <c r="A12033" s="859">
        <f t="shared" si="246"/>
        <v>12032</v>
      </c>
      <c r="B12033" s="845" t="s">
        <v>2564</v>
      </c>
      <c r="C12033" s="1007">
        <f t="shared" si="247"/>
        <v>77</v>
      </c>
      <c r="D12033" s="1014"/>
      <c r="H12033" s="1011" t="s">
        <v>1010</v>
      </c>
      <c r="K12033" s="1013"/>
    </row>
    <row r="12034" spans="1:11" s="1011" customFormat="1" ht="15" x14ac:dyDescent="0.25">
      <c r="A12034" s="859">
        <f t="shared" si="246"/>
        <v>12033</v>
      </c>
      <c r="B12034" s="845" t="s">
        <v>2564</v>
      </c>
      <c r="C12034" s="1007">
        <f t="shared" si="247"/>
        <v>77</v>
      </c>
      <c r="D12034" s="1014"/>
      <c r="H12034" s="1011" t="s">
        <v>1007</v>
      </c>
      <c r="K12034" s="1013"/>
    </row>
    <row r="12035" spans="1:11" s="1011" customFormat="1" ht="15" x14ac:dyDescent="0.25">
      <c r="A12035" s="859">
        <f t="shared" si="246"/>
        <v>12034</v>
      </c>
      <c r="B12035" s="845" t="s">
        <v>2564</v>
      </c>
      <c r="C12035" s="1007">
        <f t="shared" si="247"/>
        <v>77</v>
      </c>
      <c r="D12035" s="1012"/>
      <c r="I12035" s="1011" t="s">
        <v>2183</v>
      </c>
      <c r="K12035" s="1013"/>
    </row>
    <row r="12036" spans="1:11" s="1011" customFormat="1" ht="15" x14ac:dyDescent="0.25">
      <c r="A12036" s="859">
        <f t="shared" ref="A12036:A12099" si="248">+A12035+1</f>
        <v>12035</v>
      </c>
      <c r="B12036" s="845" t="s">
        <v>2564</v>
      </c>
      <c r="C12036" s="1007">
        <f t="shared" si="247"/>
        <v>77</v>
      </c>
      <c r="D12036" s="1015"/>
      <c r="I12036" s="1011" t="str">
        <f>CONCATENATE("&lt;valeur&gt;",VLOOKUP(C12036,'T16 Amort'!A:K,11,0),"&lt;/valeur&gt;")</f>
        <v>&lt;valeur&gt;&lt;/valeur&gt;</v>
      </c>
      <c r="K12036" s="1013"/>
    </row>
    <row r="12037" spans="1:11" s="1011" customFormat="1" ht="15" x14ac:dyDescent="0.25">
      <c r="A12037" s="859">
        <f t="shared" si="248"/>
        <v>12036</v>
      </c>
      <c r="B12037" s="845" t="s">
        <v>2564</v>
      </c>
      <c r="C12037" s="1007">
        <f t="shared" si="247"/>
        <v>77</v>
      </c>
      <c r="D12037" s="1012"/>
      <c r="I12037" s="1011" t="str">
        <f>CONCATENATE("&lt;numeroLigne&gt;",C12037,"&lt;/numeroLigne&gt;")</f>
        <v>&lt;numeroLigne&gt;77&lt;/numeroLigne&gt;</v>
      </c>
      <c r="K12037" s="1013"/>
    </row>
    <row r="12038" spans="1:11" s="1011" customFormat="1" ht="15" x14ac:dyDescent="0.25">
      <c r="A12038" s="859">
        <f t="shared" si="248"/>
        <v>12037</v>
      </c>
      <c r="B12038" s="845" t="s">
        <v>2564</v>
      </c>
      <c r="C12038" s="1007">
        <f t="shared" si="247"/>
        <v>77</v>
      </c>
      <c r="D12038" s="1016"/>
      <c r="E12038" s="1017"/>
      <c r="F12038" s="1017"/>
      <c r="G12038" s="1017"/>
      <c r="H12038" s="1017" t="s">
        <v>1010</v>
      </c>
      <c r="I12038" s="1017"/>
      <c r="J12038" s="1017"/>
      <c r="K12038" s="1018"/>
    </row>
    <row r="12039" spans="1:11" s="1011" customFormat="1" ht="15" x14ac:dyDescent="0.25">
      <c r="A12039" s="859">
        <f t="shared" si="248"/>
        <v>12038</v>
      </c>
      <c r="B12039" s="845" t="s">
        <v>2564</v>
      </c>
      <c r="C12039" s="1007">
        <f t="shared" si="247"/>
        <v>78</v>
      </c>
      <c r="D12039" s="1008"/>
      <c r="E12039" s="1009"/>
      <c r="F12039" s="1009"/>
      <c r="G12039" s="1009"/>
      <c r="H12039" s="1009" t="s">
        <v>1007</v>
      </c>
      <c r="I12039" s="1009"/>
      <c r="J12039" s="1009"/>
      <c r="K12039" s="1010"/>
    </row>
    <row r="12040" spans="1:11" s="1011" customFormat="1" ht="15" x14ac:dyDescent="0.25">
      <c r="A12040" s="859">
        <f t="shared" si="248"/>
        <v>12039</v>
      </c>
      <c r="B12040" s="845" t="s">
        <v>2564</v>
      </c>
      <c r="C12040" s="1007">
        <f t="shared" si="247"/>
        <v>78</v>
      </c>
      <c r="D12040" s="1012"/>
      <c r="I12040" s="1011" t="s">
        <v>2174</v>
      </c>
      <c r="K12040" s="1013"/>
    </row>
    <row r="12041" spans="1:11" s="1011" customFormat="1" ht="15" x14ac:dyDescent="0.25">
      <c r="A12041" s="859">
        <f t="shared" si="248"/>
        <v>12040</v>
      </c>
      <c r="B12041" s="845" t="s">
        <v>2564</v>
      </c>
      <c r="C12041" s="1007">
        <f t="shared" si="247"/>
        <v>78</v>
      </c>
      <c r="D12041" s="1014"/>
      <c r="I12041" s="1011" t="str">
        <f>CONCATENATE("&lt;valeur&gt;",VLOOKUP(C12041,'T16 Amort'!A:K,2,0),"&lt;/valeur&gt;")</f>
        <v>&lt;valeur&gt;&lt;/valeur&gt;</v>
      </c>
      <c r="K12041" s="1013"/>
    </row>
    <row r="12042" spans="1:11" s="1011" customFormat="1" ht="15" x14ac:dyDescent="0.25">
      <c r="A12042" s="859">
        <f t="shared" si="248"/>
        <v>12041</v>
      </c>
      <c r="B12042" s="845" t="s">
        <v>2564</v>
      </c>
      <c r="C12042" s="1007">
        <f t="shared" si="247"/>
        <v>78</v>
      </c>
      <c r="D12042" s="1014"/>
      <c r="I12042" s="1011" t="str">
        <f>CONCATENATE("&lt;numeroLigne&gt;",C12042,"&lt;/numeroLigne&gt;")</f>
        <v>&lt;numeroLigne&gt;78&lt;/numeroLigne&gt;</v>
      </c>
      <c r="K12042" s="1013"/>
    </row>
    <row r="12043" spans="1:11" s="1011" customFormat="1" ht="15" x14ac:dyDescent="0.25">
      <c r="A12043" s="859">
        <f t="shared" si="248"/>
        <v>12042</v>
      </c>
      <c r="B12043" s="845" t="s">
        <v>2564</v>
      </c>
      <c r="C12043" s="1007">
        <f t="shared" si="247"/>
        <v>78</v>
      </c>
      <c r="D12043" s="1012"/>
      <c r="H12043" s="1011" t="s">
        <v>1010</v>
      </c>
      <c r="K12043" s="1013"/>
    </row>
    <row r="12044" spans="1:11" s="1011" customFormat="1" ht="15" x14ac:dyDescent="0.25">
      <c r="A12044" s="859">
        <f t="shared" si="248"/>
        <v>12043</v>
      </c>
      <c r="B12044" s="845" t="s">
        <v>2564</v>
      </c>
      <c r="C12044" s="1007">
        <f t="shared" si="247"/>
        <v>78</v>
      </c>
      <c r="D12044" s="1015"/>
      <c r="H12044" s="1011" t="s">
        <v>1007</v>
      </c>
      <c r="K12044" s="1013"/>
    </row>
    <row r="12045" spans="1:11" s="1011" customFormat="1" ht="15" x14ac:dyDescent="0.25">
      <c r="A12045" s="859">
        <f t="shared" si="248"/>
        <v>12044</v>
      </c>
      <c r="B12045" s="845" t="s">
        <v>2564</v>
      </c>
      <c r="C12045" s="1007">
        <f t="shared" si="247"/>
        <v>78</v>
      </c>
      <c r="D12045" s="1012"/>
      <c r="I12045" s="1011" t="s">
        <v>2175</v>
      </c>
      <c r="K12045" s="1013"/>
    </row>
    <row r="12046" spans="1:11" s="1011" customFormat="1" ht="15" x14ac:dyDescent="0.25">
      <c r="A12046" s="859">
        <f t="shared" si="248"/>
        <v>12045</v>
      </c>
      <c r="B12046" s="845" t="s">
        <v>2564</v>
      </c>
      <c r="C12046" s="1007">
        <f t="shared" si="247"/>
        <v>78</v>
      </c>
      <c r="D12046" s="1012"/>
      <c r="I12046" s="1011" t="str">
        <f>CONCATENATE("&lt;valeur&gt;",VLOOKUP(C12046,'T16 Amort'!A:K,3,0),"&lt;/valeur&gt;")</f>
        <v>&lt;valeur&gt;&lt;/valeur&gt;</v>
      </c>
      <c r="K12046" s="1013"/>
    </row>
    <row r="12047" spans="1:11" s="1011" customFormat="1" ht="15" x14ac:dyDescent="0.25">
      <c r="A12047" s="859">
        <f t="shared" si="248"/>
        <v>12046</v>
      </c>
      <c r="B12047" s="845" t="s">
        <v>2564</v>
      </c>
      <c r="C12047" s="1007">
        <f t="shared" si="247"/>
        <v>78</v>
      </c>
      <c r="D12047" s="1014"/>
      <c r="I12047" s="1011" t="str">
        <f>CONCATENATE("&lt;numeroLigne&gt;",C12047,"&lt;/numeroLigne&gt;")</f>
        <v>&lt;numeroLigne&gt;78&lt;/numeroLigne&gt;</v>
      </c>
      <c r="K12047" s="1013"/>
    </row>
    <row r="12048" spans="1:11" s="1011" customFormat="1" ht="15" x14ac:dyDescent="0.25">
      <c r="A12048" s="859">
        <f t="shared" si="248"/>
        <v>12047</v>
      </c>
      <c r="B12048" s="845" t="s">
        <v>2564</v>
      </c>
      <c r="C12048" s="1007">
        <f t="shared" si="247"/>
        <v>78</v>
      </c>
      <c r="D12048" s="1014"/>
      <c r="H12048" s="1011" t="s">
        <v>1010</v>
      </c>
      <c r="K12048" s="1013"/>
    </row>
    <row r="12049" spans="1:11" s="1011" customFormat="1" ht="15" x14ac:dyDescent="0.25">
      <c r="A12049" s="859">
        <f t="shared" si="248"/>
        <v>12048</v>
      </c>
      <c r="B12049" s="845" t="s">
        <v>2564</v>
      </c>
      <c r="C12049" s="1007">
        <f t="shared" si="247"/>
        <v>78</v>
      </c>
      <c r="D12049" s="1012"/>
      <c r="H12049" s="1011" t="s">
        <v>1007</v>
      </c>
      <c r="K12049" s="1013"/>
    </row>
    <row r="12050" spans="1:11" s="1011" customFormat="1" ht="15" x14ac:dyDescent="0.25">
      <c r="A12050" s="859">
        <f t="shared" si="248"/>
        <v>12049</v>
      </c>
      <c r="B12050" s="845" t="s">
        <v>2564</v>
      </c>
      <c r="C12050" s="1007">
        <f t="shared" si="247"/>
        <v>78</v>
      </c>
      <c r="D12050" s="1015"/>
      <c r="I12050" s="1011" t="s">
        <v>2176</v>
      </c>
      <c r="K12050" s="1013"/>
    </row>
    <row r="12051" spans="1:11" s="1011" customFormat="1" ht="15" x14ac:dyDescent="0.25">
      <c r="A12051" s="859">
        <f t="shared" si="248"/>
        <v>12050</v>
      </c>
      <c r="B12051" s="845" t="s">
        <v>2564</v>
      </c>
      <c r="C12051" s="1007">
        <f t="shared" si="247"/>
        <v>78</v>
      </c>
      <c r="D12051" s="1012"/>
      <c r="I12051" s="1011" t="str">
        <f>CONCATENATE("&lt;valeur&gt;",VLOOKUP(C12051,'T16 Amort'!A:K,4,0),"&lt;/valeur&gt;")</f>
        <v>&lt;valeur&gt;&lt;/valeur&gt;</v>
      </c>
      <c r="K12051" s="1013"/>
    </row>
    <row r="12052" spans="1:11" s="1011" customFormat="1" ht="15" x14ac:dyDescent="0.25">
      <c r="A12052" s="859">
        <f t="shared" si="248"/>
        <v>12051</v>
      </c>
      <c r="B12052" s="845" t="s">
        <v>2564</v>
      </c>
      <c r="C12052" s="1007">
        <f t="shared" si="247"/>
        <v>78</v>
      </c>
      <c r="D12052" s="1012"/>
      <c r="I12052" s="1011" t="str">
        <f>CONCATENATE("&lt;numeroLigne&gt;",C12052,"&lt;/numeroLigne&gt;")</f>
        <v>&lt;numeroLigne&gt;78&lt;/numeroLigne&gt;</v>
      </c>
      <c r="K12052" s="1013"/>
    </row>
    <row r="12053" spans="1:11" s="1011" customFormat="1" ht="15" x14ac:dyDescent="0.25">
      <c r="A12053" s="859">
        <f t="shared" si="248"/>
        <v>12052</v>
      </c>
      <c r="B12053" s="845" t="s">
        <v>2564</v>
      </c>
      <c r="C12053" s="1007">
        <f t="shared" si="247"/>
        <v>78</v>
      </c>
      <c r="D12053" s="1014"/>
      <c r="H12053" s="1011" t="s">
        <v>1010</v>
      </c>
      <c r="K12053" s="1013"/>
    </row>
    <row r="12054" spans="1:11" s="1011" customFormat="1" ht="15" x14ac:dyDescent="0.25">
      <c r="A12054" s="859">
        <f t="shared" si="248"/>
        <v>12053</v>
      </c>
      <c r="B12054" s="845" t="s">
        <v>2564</v>
      </c>
      <c r="C12054" s="1007">
        <f t="shared" si="247"/>
        <v>78</v>
      </c>
      <c r="D12054" s="1014"/>
      <c r="H12054" s="1011" t="s">
        <v>1007</v>
      </c>
      <c r="K12054" s="1013"/>
    </row>
    <row r="12055" spans="1:11" s="1011" customFormat="1" ht="15" x14ac:dyDescent="0.25">
      <c r="A12055" s="859">
        <f t="shared" si="248"/>
        <v>12054</v>
      </c>
      <c r="B12055" s="845" t="s">
        <v>2564</v>
      </c>
      <c r="C12055" s="1007">
        <f t="shared" si="247"/>
        <v>78</v>
      </c>
      <c r="D12055" s="1012"/>
      <c r="I12055" s="1011" t="s">
        <v>2177</v>
      </c>
      <c r="K12055" s="1013"/>
    </row>
    <row r="12056" spans="1:11" s="1011" customFormat="1" ht="15" x14ac:dyDescent="0.25">
      <c r="A12056" s="859">
        <f t="shared" si="248"/>
        <v>12055</v>
      </c>
      <c r="B12056" s="845" t="s">
        <v>2564</v>
      </c>
      <c r="C12056" s="1007">
        <f t="shared" si="247"/>
        <v>78</v>
      </c>
      <c r="D12056" s="1015"/>
      <c r="I12056" s="1011" t="str">
        <f>CONCATENATE("&lt;valeur&gt;",VLOOKUP(C12056,'T16 Amort'!A:K,5,0),"&lt;/valeur&gt;")</f>
        <v>&lt;valeur&gt;&lt;/valeur&gt;</v>
      </c>
      <c r="K12056" s="1013"/>
    </row>
    <row r="12057" spans="1:11" s="1011" customFormat="1" ht="15" x14ac:dyDescent="0.25">
      <c r="A12057" s="859">
        <f t="shared" si="248"/>
        <v>12056</v>
      </c>
      <c r="B12057" s="845" t="s">
        <v>2564</v>
      </c>
      <c r="C12057" s="1007">
        <f t="shared" si="247"/>
        <v>78</v>
      </c>
      <c r="D12057" s="1012"/>
      <c r="I12057" s="1011" t="str">
        <f>CONCATENATE("&lt;numeroLigne&gt;",C12057,"&lt;/numeroLigne&gt;")</f>
        <v>&lt;numeroLigne&gt;78&lt;/numeroLigne&gt;</v>
      </c>
      <c r="K12057" s="1013"/>
    </row>
    <row r="12058" spans="1:11" s="1011" customFormat="1" ht="15" x14ac:dyDescent="0.25">
      <c r="A12058" s="859">
        <f t="shared" si="248"/>
        <v>12057</v>
      </c>
      <c r="B12058" s="845" t="s">
        <v>2564</v>
      </c>
      <c r="C12058" s="1007">
        <f t="shared" si="247"/>
        <v>78</v>
      </c>
      <c r="D12058" s="1012"/>
      <c r="H12058" s="1011" t="s">
        <v>1010</v>
      </c>
      <c r="K12058" s="1013"/>
    </row>
    <row r="12059" spans="1:11" s="1011" customFormat="1" ht="15" x14ac:dyDescent="0.25">
      <c r="A12059" s="859">
        <f t="shared" si="248"/>
        <v>12058</v>
      </c>
      <c r="B12059" s="845" t="s">
        <v>2564</v>
      </c>
      <c r="C12059" s="1007">
        <f t="shared" si="247"/>
        <v>78</v>
      </c>
      <c r="D12059" s="1014"/>
      <c r="H12059" s="1011" t="s">
        <v>1007</v>
      </c>
      <c r="K12059" s="1013"/>
    </row>
    <row r="12060" spans="1:11" s="1011" customFormat="1" ht="15" x14ac:dyDescent="0.25">
      <c r="A12060" s="859">
        <f t="shared" si="248"/>
        <v>12059</v>
      </c>
      <c r="B12060" s="845" t="s">
        <v>2564</v>
      </c>
      <c r="C12060" s="1007">
        <f t="shared" si="247"/>
        <v>78</v>
      </c>
      <c r="D12060" s="1014"/>
      <c r="I12060" s="1011" t="s">
        <v>2178</v>
      </c>
      <c r="K12060" s="1013"/>
    </row>
    <row r="12061" spans="1:11" s="1011" customFormat="1" ht="15" x14ac:dyDescent="0.25">
      <c r="A12061" s="859">
        <f t="shared" si="248"/>
        <v>12060</v>
      </c>
      <c r="B12061" s="845" t="s">
        <v>2564</v>
      </c>
      <c r="C12061" s="1007">
        <f t="shared" si="247"/>
        <v>78</v>
      </c>
      <c r="D12061" s="1012"/>
      <c r="I12061" s="1011" t="str">
        <f>CONCATENATE("&lt;valeur&gt;",VLOOKUP(C12061,'T16 Amort'!A:K,6,0),"&lt;/valeur&gt;")</f>
        <v>&lt;valeur&gt;&lt;/valeur&gt;</v>
      </c>
      <c r="K12061" s="1013"/>
    </row>
    <row r="12062" spans="1:11" s="1011" customFormat="1" ht="15" x14ac:dyDescent="0.25">
      <c r="A12062" s="859">
        <f t="shared" si="248"/>
        <v>12061</v>
      </c>
      <c r="B12062" s="845" t="s">
        <v>2564</v>
      </c>
      <c r="C12062" s="1007">
        <f t="shared" si="247"/>
        <v>78</v>
      </c>
      <c r="D12062" s="1015"/>
      <c r="I12062" s="1011" t="str">
        <f>CONCATENATE("&lt;numeroLigne&gt;",C12062,"&lt;/numeroLigne&gt;")</f>
        <v>&lt;numeroLigne&gt;78&lt;/numeroLigne&gt;</v>
      </c>
      <c r="K12062" s="1013"/>
    </row>
    <row r="12063" spans="1:11" s="1011" customFormat="1" ht="15" x14ac:dyDescent="0.25">
      <c r="A12063" s="859">
        <f t="shared" si="248"/>
        <v>12062</v>
      </c>
      <c r="B12063" s="845" t="s">
        <v>2564</v>
      </c>
      <c r="C12063" s="1007">
        <f t="shared" si="247"/>
        <v>78</v>
      </c>
      <c r="D12063" s="1012"/>
      <c r="H12063" s="1011" t="s">
        <v>1010</v>
      </c>
      <c r="K12063" s="1013"/>
    </row>
    <row r="12064" spans="1:11" s="1011" customFormat="1" ht="15" x14ac:dyDescent="0.25">
      <c r="A12064" s="859">
        <f t="shared" si="248"/>
        <v>12063</v>
      </c>
      <c r="B12064" s="845" t="s">
        <v>2564</v>
      </c>
      <c r="C12064" s="1007">
        <f t="shared" si="247"/>
        <v>78</v>
      </c>
      <c r="D12064" s="1012"/>
      <c r="H12064" s="1011" t="s">
        <v>1007</v>
      </c>
      <c r="K12064" s="1013"/>
    </row>
    <row r="12065" spans="1:11" s="1011" customFormat="1" ht="15" x14ac:dyDescent="0.25">
      <c r="A12065" s="859">
        <f t="shared" si="248"/>
        <v>12064</v>
      </c>
      <c r="B12065" s="845" t="s">
        <v>2564</v>
      </c>
      <c r="C12065" s="1007">
        <f t="shared" si="247"/>
        <v>78</v>
      </c>
      <c r="D12065" s="1014"/>
      <c r="I12065" s="1011" t="s">
        <v>2179</v>
      </c>
      <c r="K12065" s="1013"/>
    </row>
    <row r="12066" spans="1:11" s="1011" customFormat="1" ht="15" x14ac:dyDescent="0.25">
      <c r="A12066" s="859">
        <f t="shared" si="248"/>
        <v>12065</v>
      </c>
      <c r="B12066" s="845" t="s">
        <v>2564</v>
      </c>
      <c r="C12066" s="1007">
        <f t="shared" si="247"/>
        <v>78</v>
      </c>
      <c r="D12066" s="1014"/>
      <c r="I12066" s="1011" t="str">
        <f>CONCATENATE("&lt;valeur&gt;",VLOOKUP(C12066,'T16 Amort'!A:K,7,0),"&lt;/valeur&gt;")</f>
        <v>&lt;valeur&gt;&lt;/valeur&gt;</v>
      </c>
      <c r="K12066" s="1013"/>
    </row>
    <row r="12067" spans="1:11" s="1011" customFormat="1" ht="15" x14ac:dyDescent="0.25">
      <c r="A12067" s="859">
        <f t="shared" si="248"/>
        <v>12066</v>
      </c>
      <c r="B12067" s="845" t="s">
        <v>2564</v>
      </c>
      <c r="C12067" s="1007">
        <f t="shared" si="247"/>
        <v>78</v>
      </c>
      <c r="D12067" s="1012"/>
      <c r="I12067" s="1011" t="str">
        <f>CONCATENATE("&lt;numeroLigne&gt;",C12067,"&lt;/numeroLigne&gt;")</f>
        <v>&lt;numeroLigne&gt;78&lt;/numeroLigne&gt;</v>
      </c>
      <c r="K12067" s="1013"/>
    </row>
    <row r="12068" spans="1:11" s="1011" customFormat="1" ht="15" x14ac:dyDescent="0.25">
      <c r="A12068" s="859">
        <f t="shared" si="248"/>
        <v>12067</v>
      </c>
      <c r="B12068" s="845" t="s">
        <v>2564</v>
      </c>
      <c r="C12068" s="1007">
        <f t="shared" si="247"/>
        <v>78</v>
      </c>
      <c r="D12068" s="1015"/>
      <c r="H12068" s="1011" t="s">
        <v>1010</v>
      </c>
      <c r="K12068" s="1013"/>
    </row>
    <row r="12069" spans="1:11" s="1011" customFormat="1" ht="15" x14ac:dyDescent="0.25">
      <c r="A12069" s="859">
        <f t="shared" si="248"/>
        <v>12068</v>
      </c>
      <c r="B12069" s="845" t="s">
        <v>2564</v>
      </c>
      <c r="C12069" s="1007">
        <f t="shared" si="247"/>
        <v>78</v>
      </c>
      <c r="D12069" s="1012"/>
      <c r="H12069" s="1011" t="s">
        <v>1007</v>
      </c>
      <c r="K12069" s="1013"/>
    </row>
    <row r="12070" spans="1:11" s="1011" customFormat="1" ht="15" x14ac:dyDescent="0.25">
      <c r="A12070" s="859">
        <f t="shared" si="248"/>
        <v>12069</v>
      </c>
      <c r="B12070" s="845" t="s">
        <v>2564</v>
      </c>
      <c r="C12070" s="1007">
        <f t="shared" si="247"/>
        <v>78</v>
      </c>
      <c r="D12070" s="1012"/>
      <c r="I12070" s="1011" t="s">
        <v>2180</v>
      </c>
      <c r="K12070" s="1013"/>
    </row>
    <row r="12071" spans="1:11" s="1011" customFormat="1" ht="15" x14ac:dyDescent="0.25">
      <c r="A12071" s="859">
        <f t="shared" si="248"/>
        <v>12070</v>
      </c>
      <c r="B12071" s="845" t="s">
        <v>2564</v>
      </c>
      <c r="C12071" s="1007">
        <f t="shared" si="247"/>
        <v>78</v>
      </c>
      <c r="D12071" s="1014"/>
      <c r="I12071" s="1011" t="str">
        <f>CONCATENATE("&lt;valeur&gt;",VLOOKUP(C12071,'T16 Amort'!A:K,8,0),"&lt;/valeur&gt;")</f>
        <v>&lt;valeur&gt;&lt;/valeur&gt;</v>
      </c>
      <c r="K12071" s="1013"/>
    </row>
    <row r="12072" spans="1:11" s="1011" customFormat="1" ht="15" x14ac:dyDescent="0.25">
      <c r="A12072" s="859">
        <f t="shared" si="248"/>
        <v>12071</v>
      </c>
      <c r="B12072" s="845" t="s">
        <v>2564</v>
      </c>
      <c r="C12072" s="1007">
        <f t="shared" si="247"/>
        <v>78</v>
      </c>
      <c r="D12072" s="1014"/>
      <c r="I12072" s="1011" t="str">
        <f>CONCATENATE("&lt;numeroLigne&gt;",C12072,"&lt;/numeroLigne&gt;")</f>
        <v>&lt;numeroLigne&gt;78&lt;/numeroLigne&gt;</v>
      </c>
      <c r="K12072" s="1013"/>
    </row>
    <row r="12073" spans="1:11" s="1011" customFormat="1" ht="15" x14ac:dyDescent="0.25">
      <c r="A12073" s="859">
        <f t="shared" si="248"/>
        <v>12072</v>
      </c>
      <c r="B12073" s="845" t="s">
        <v>2564</v>
      </c>
      <c r="C12073" s="1007">
        <f t="shared" si="247"/>
        <v>78</v>
      </c>
      <c r="D12073" s="1012"/>
      <c r="H12073" s="1011" t="s">
        <v>1010</v>
      </c>
      <c r="K12073" s="1013"/>
    </row>
    <row r="12074" spans="1:11" s="1011" customFormat="1" ht="15" x14ac:dyDescent="0.25">
      <c r="A12074" s="859">
        <f t="shared" si="248"/>
        <v>12073</v>
      </c>
      <c r="B12074" s="845" t="s">
        <v>2564</v>
      </c>
      <c r="C12074" s="1007">
        <f t="shared" si="247"/>
        <v>78</v>
      </c>
      <c r="D12074" s="1015"/>
      <c r="H12074" s="1011" t="s">
        <v>1007</v>
      </c>
      <c r="K12074" s="1013"/>
    </row>
    <row r="12075" spans="1:11" s="1011" customFormat="1" ht="15" x14ac:dyDescent="0.25">
      <c r="A12075" s="859">
        <f t="shared" si="248"/>
        <v>12074</v>
      </c>
      <c r="B12075" s="845" t="s">
        <v>2564</v>
      </c>
      <c r="C12075" s="1007">
        <f t="shared" si="247"/>
        <v>78</v>
      </c>
      <c r="D12075" s="1012"/>
      <c r="I12075" s="1011" t="s">
        <v>2181</v>
      </c>
      <c r="K12075" s="1013"/>
    </row>
    <row r="12076" spans="1:11" s="1011" customFormat="1" ht="15" x14ac:dyDescent="0.25">
      <c r="A12076" s="859">
        <f t="shared" si="248"/>
        <v>12075</v>
      </c>
      <c r="B12076" s="845" t="s">
        <v>2564</v>
      </c>
      <c r="C12076" s="1007">
        <f t="shared" si="247"/>
        <v>78</v>
      </c>
      <c r="D12076" s="1012"/>
      <c r="I12076" s="1011" t="str">
        <f>CONCATENATE("&lt;valeur&gt;",VLOOKUP(C12076,'T16 Amort'!A:K,9,0),"&lt;/valeur&gt;")</f>
        <v>&lt;valeur&gt;&lt;/valeur&gt;</v>
      </c>
      <c r="K12076" s="1013"/>
    </row>
    <row r="12077" spans="1:11" s="1011" customFormat="1" ht="15" x14ac:dyDescent="0.25">
      <c r="A12077" s="859">
        <f t="shared" si="248"/>
        <v>12076</v>
      </c>
      <c r="B12077" s="845" t="s">
        <v>2564</v>
      </c>
      <c r="C12077" s="1007">
        <f t="shared" si="247"/>
        <v>78</v>
      </c>
      <c r="D12077" s="1014"/>
      <c r="I12077" s="1011" t="str">
        <f>CONCATENATE("&lt;numeroLigne&gt;",C12077,"&lt;/numeroLigne&gt;")</f>
        <v>&lt;numeroLigne&gt;78&lt;/numeroLigne&gt;</v>
      </c>
      <c r="K12077" s="1013"/>
    </row>
    <row r="12078" spans="1:11" s="1011" customFormat="1" ht="15" x14ac:dyDescent="0.25">
      <c r="A12078" s="859">
        <f t="shared" si="248"/>
        <v>12077</v>
      </c>
      <c r="B12078" s="845" t="s">
        <v>2564</v>
      </c>
      <c r="C12078" s="1007">
        <f t="shared" si="247"/>
        <v>78</v>
      </c>
      <c r="D12078" s="1014"/>
      <c r="H12078" s="1011" t="s">
        <v>1010</v>
      </c>
      <c r="K12078" s="1013"/>
    </row>
    <row r="12079" spans="1:11" s="1011" customFormat="1" ht="15" x14ac:dyDescent="0.25">
      <c r="A12079" s="859">
        <f t="shared" si="248"/>
        <v>12078</v>
      </c>
      <c r="B12079" s="845" t="s">
        <v>2564</v>
      </c>
      <c r="C12079" s="1007">
        <f t="shared" ref="C12079:C12142" si="249">C12029+1</f>
        <v>78</v>
      </c>
      <c r="D12079" s="1012"/>
      <c r="H12079" s="1011" t="s">
        <v>1007</v>
      </c>
      <c r="K12079" s="1013"/>
    </row>
    <row r="12080" spans="1:11" s="1011" customFormat="1" ht="15" x14ac:dyDescent="0.25">
      <c r="A12080" s="859">
        <f t="shared" si="248"/>
        <v>12079</v>
      </c>
      <c r="B12080" s="845" t="s">
        <v>2564</v>
      </c>
      <c r="C12080" s="1007">
        <f t="shared" si="249"/>
        <v>78</v>
      </c>
      <c r="D12080" s="1015"/>
      <c r="I12080" s="1011" t="s">
        <v>2182</v>
      </c>
      <c r="K12080" s="1013"/>
    </row>
    <row r="12081" spans="1:11" s="1011" customFormat="1" ht="15" x14ac:dyDescent="0.25">
      <c r="A12081" s="859">
        <f t="shared" si="248"/>
        <v>12080</v>
      </c>
      <c r="B12081" s="845" t="s">
        <v>2564</v>
      </c>
      <c r="C12081" s="1007">
        <f t="shared" si="249"/>
        <v>78</v>
      </c>
      <c r="D12081" s="1012"/>
      <c r="I12081" s="1011" t="str">
        <f>CONCATENATE("&lt;valeur&gt;",VLOOKUP(C12081,'T16 Amort'!A:K,10,0),"&lt;/valeur&gt;")</f>
        <v>&lt;valeur&gt;&lt;/valeur&gt;</v>
      </c>
      <c r="K12081" s="1013"/>
    </row>
    <row r="12082" spans="1:11" s="1011" customFormat="1" ht="15" x14ac:dyDescent="0.25">
      <c r="A12082" s="859">
        <f t="shared" si="248"/>
        <v>12081</v>
      </c>
      <c r="B12082" s="845" t="s">
        <v>2564</v>
      </c>
      <c r="C12082" s="1007">
        <f t="shared" si="249"/>
        <v>78</v>
      </c>
      <c r="D12082" s="1012"/>
      <c r="I12082" s="1011" t="str">
        <f>CONCATENATE("&lt;numeroLigne&gt;",C12082,"&lt;/numeroLigne&gt;")</f>
        <v>&lt;numeroLigne&gt;78&lt;/numeroLigne&gt;</v>
      </c>
      <c r="K12082" s="1013"/>
    </row>
    <row r="12083" spans="1:11" s="1011" customFormat="1" ht="15" x14ac:dyDescent="0.25">
      <c r="A12083" s="859">
        <f t="shared" si="248"/>
        <v>12082</v>
      </c>
      <c r="B12083" s="845" t="s">
        <v>2564</v>
      </c>
      <c r="C12083" s="1007">
        <f t="shared" si="249"/>
        <v>78</v>
      </c>
      <c r="D12083" s="1014"/>
      <c r="H12083" s="1011" t="s">
        <v>1010</v>
      </c>
      <c r="K12083" s="1013"/>
    </row>
    <row r="12084" spans="1:11" s="1011" customFormat="1" ht="15" x14ac:dyDescent="0.25">
      <c r="A12084" s="859">
        <f t="shared" si="248"/>
        <v>12083</v>
      </c>
      <c r="B12084" s="845" t="s">
        <v>2564</v>
      </c>
      <c r="C12084" s="1007">
        <f t="shared" si="249"/>
        <v>78</v>
      </c>
      <c r="D12084" s="1014"/>
      <c r="H12084" s="1011" t="s">
        <v>1007</v>
      </c>
      <c r="K12084" s="1013"/>
    </row>
    <row r="12085" spans="1:11" s="1011" customFormat="1" ht="15" x14ac:dyDescent="0.25">
      <c r="A12085" s="859">
        <f t="shared" si="248"/>
        <v>12084</v>
      </c>
      <c r="B12085" s="845" t="s">
        <v>2564</v>
      </c>
      <c r="C12085" s="1007">
        <f t="shared" si="249"/>
        <v>78</v>
      </c>
      <c r="D12085" s="1012"/>
      <c r="I12085" s="1011" t="s">
        <v>2183</v>
      </c>
      <c r="K12085" s="1013"/>
    </row>
    <row r="12086" spans="1:11" s="1011" customFormat="1" ht="15" x14ac:dyDescent="0.25">
      <c r="A12086" s="859">
        <f t="shared" si="248"/>
        <v>12085</v>
      </c>
      <c r="B12086" s="845" t="s">
        <v>2564</v>
      </c>
      <c r="C12086" s="1007">
        <f t="shared" si="249"/>
        <v>78</v>
      </c>
      <c r="D12086" s="1015"/>
      <c r="I12086" s="1011" t="str">
        <f>CONCATENATE("&lt;valeur&gt;",VLOOKUP(C12086,'T16 Amort'!A:K,11,0),"&lt;/valeur&gt;")</f>
        <v>&lt;valeur&gt;&lt;/valeur&gt;</v>
      </c>
      <c r="K12086" s="1013"/>
    </row>
    <row r="12087" spans="1:11" s="1011" customFormat="1" ht="15" x14ac:dyDescent="0.25">
      <c r="A12087" s="859">
        <f t="shared" si="248"/>
        <v>12086</v>
      </c>
      <c r="B12087" s="845" t="s">
        <v>2564</v>
      </c>
      <c r="C12087" s="1007">
        <f t="shared" si="249"/>
        <v>78</v>
      </c>
      <c r="D12087" s="1012"/>
      <c r="I12087" s="1011" t="str">
        <f>CONCATENATE("&lt;numeroLigne&gt;",C12087,"&lt;/numeroLigne&gt;")</f>
        <v>&lt;numeroLigne&gt;78&lt;/numeroLigne&gt;</v>
      </c>
      <c r="K12087" s="1013"/>
    </row>
    <row r="12088" spans="1:11" s="1011" customFormat="1" ht="15" x14ac:dyDescent="0.25">
      <c r="A12088" s="859">
        <f t="shared" si="248"/>
        <v>12087</v>
      </c>
      <c r="B12088" s="845" t="s">
        <v>2564</v>
      </c>
      <c r="C12088" s="1007">
        <f t="shared" si="249"/>
        <v>78</v>
      </c>
      <c r="D12088" s="1016"/>
      <c r="E12088" s="1017"/>
      <c r="F12088" s="1017"/>
      <c r="G12088" s="1017"/>
      <c r="H12088" s="1017" t="s">
        <v>1010</v>
      </c>
      <c r="I12088" s="1017"/>
      <c r="J12088" s="1017"/>
      <c r="K12088" s="1018"/>
    </row>
    <row r="12089" spans="1:11" s="1011" customFormat="1" ht="15" x14ac:dyDescent="0.25">
      <c r="A12089" s="859">
        <f t="shared" si="248"/>
        <v>12088</v>
      </c>
      <c r="B12089" s="845" t="s">
        <v>2564</v>
      </c>
      <c r="C12089" s="1007">
        <f t="shared" si="249"/>
        <v>79</v>
      </c>
      <c r="D12089" s="1008"/>
      <c r="E12089" s="1009"/>
      <c r="F12089" s="1009"/>
      <c r="G12089" s="1009"/>
      <c r="H12089" s="1009" t="s">
        <v>1007</v>
      </c>
      <c r="I12089" s="1009"/>
      <c r="J12089" s="1009"/>
      <c r="K12089" s="1010"/>
    </row>
    <row r="12090" spans="1:11" s="1011" customFormat="1" ht="15" x14ac:dyDescent="0.25">
      <c r="A12090" s="859">
        <f t="shared" si="248"/>
        <v>12089</v>
      </c>
      <c r="B12090" s="845" t="s">
        <v>2564</v>
      </c>
      <c r="C12090" s="1007">
        <f t="shared" si="249"/>
        <v>79</v>
      </c>
      <c r="D12090" s="1012"/>
      <c r="I12090" s="1011" t="s">
        <v>2174</v>
      </c>
      <c r="K12090" s="1013"/>
    </row>
    <row r="12091" spans="1:11" s="1011" customFormat="1" ht="15" x14ac:dyDescent="0.25">
      <c r="A12091" s="859">
        <f t="shared" si="248"/>
        <v>12090</v>
      </c>
      <c r="B12091" s="845" t="s">
        <v>2564</v>
      </c>
      <c r="C12091" s="1007">
        <f t="shared" si="249"/>
        <v>79</v>
      </c>
      <c r="D12091" s="1014"/>
      <c r="I12091" s="1011" t="str">
        <f>CONCATENATE("&lt;valeur&gt;",VLOOKUP(C12091,'T16 Amort'!A:K,2,0),"&lt;/valeur&gt;")</f>
        <v>&lt;valeur&gt;&lt;/valeur&gt;</v>
      </c>
      <c r="K12091" s="1013"/>
    </row>
    <row r="12092" spans="1:11" s="1011" customFormat="1" ht="15" x14ac:dyDescent="0.25">
      <c r="A12092" s="859">
        <f t="shared" si="248"/>
        <v>12091</v>
      </c>
      <c r="B12092" s="845" t="s">
        <v>2564</v>
      </c>
      <c r="C12092" s="1007">
        <f t="shared" si="249"/>
        <v>79</v>
      </c>
      <c r="D12092" s="1014"/>
      <c r="I12092" s="1011" t="str">
        <f>CONCATENATE("&lt;numeroLigne&gt;",C12092,"&lt;/numeroLigne&gt;")</f>
        <v>&lt;numeroLigne&gt;79&lt;/numeroLigne&gt;</v>
      </c>
      <c r="K12092" s="1013"/>
    </row>
    <row r="12093" spans="1:11" s="1011" customFormat="1" ht="15" x14ac:dyDescent="0.25">
      <c r="A12093" s="859">
        <f t="shared" si="248"/>
        <v>12092</v>
      </c>
      <c r="B12093" s="845" t="s">
        <v>2564</v>
      </c>
      <c r="C12093" s="1007">
        <f t="shared" si="249"/>
        <v>79</v>
      </c>
      <c r="D12093" s="1012"/>
      <c r="H12093" s="1011" t="s">
        <v>1010</v>
      </c>
      <c r="K12093" s="1013"/>
    </row>
    <row r="12094" spans="1:11" s="1011" customFormat="1" ht="15" x14ac:dyDescent="0.25">
      <c r="A12094" s="859">
        <f t="shared" si="248"/>
        <v>12093</v>
      </c>
      <c r="B12094" s="845" t="s">
        <v>2564</v>
      </c>
      <c r="C12094" s="1007">
        <f t="shared" si="249"/>
        <v>79</v>
      </c>
      <c r="D12094" s="1015"/>
      <c r="H12094" s="1011" t="s">
        <v>1007</v>
      </c>
      <c r="K12094" s="1013"/>
    </row>
    <row r="12095" spans="1:11" s="1011" customFormat="1" ht="15" x14ac:dyDescent="0.25">
      <c r="A12095" s="859">
        <f t="shared" si="248"/>
        <v>12094</v>
      </c>
      <c r="B12095" s="845" t="s">
        <v>2564</v>
      </c>
      <c r="C12095" s="1007">
        <f t="shared" si="249"/>
        <v>79</v>
      </c>
      <c r="D12095" s="1012"/>
      <c r="I12095" s="1011" t="s">
        <v>2175</v>
      </c>
      <c r="K12095" s="1013"/>
    </row>
    <row r="12096" spans="1:11" s="1011" customFormat="1" ht="15" x14ac:dyDescent="0.25">
      <c r="A12096" s="859">
        <f t="shared" si="248"/>
        <v>12095</v>
      </c>
      <c r="B12096" s="845" t="s">
        <v>2564</v>
      </c>
      <c r="C12096" s="1007">
        <f t="shared" si="249"/>
        <v>79</v>
      </c>
      <c r="D12096" s="1012"/>
      <c r="I12096" s="1011" t="str">
        <f>CONCATENATE("&lt;valeur&gt;",VLOOKUP(C12096,'T16 Amort'!A:K,3,0),"&lt;/valeur&gt;")</f>
        <v>&lt;valeur&gt;&lt;/valeur&gt;</v>
      </c>
      <c r="K12096" s="1013"/>
    </row>
    <row r="12097" spans="1:11" s="1011" customFormat="1" ht="15" x14ac:dyDescent="0.25">
      <c r="A12097" s="859">
        <f t="shared" si="248"/>
        <v>12096</v>
      </c>
      <c r="B12097" s="845" t="s">
        <v>2564</v>
      </c>
      <c r="C12097" s="1007">
        <f t="shared" si="249"/>
        <v>79</v>
      </c>
      <c r="D12097" s="1014"/>
      <c r="I12097" s="1011" t="str">
        <f>CONCATENATE("&lt;numeroLigne&gt;",C12097,"&lt;/numeroLigne&gt;")</f>
        <v>&lt;numeroLigne&gt;79&lt;/numeroLigne&gt;</v>
      </c>
      <c r="K12097" s="1013"/>
    </row>
    <row r="12098" spans="1:11" s="1011" customFormat="1" ht="15" x14ac:dyDescent="0.25">
      <c r="A12098" s="859">
        <f t="shared" si="248"/>
        <v>12097</v>
      </c>
      <c r="B12098" s="845" t="s">
        <v>2564</v>
      </c>
      <c r="C12098" s="1007">
        <f t="shared" si="249"/>
        <v>79</v>
      </c>
      <c r="D12098" s="1014"/>
      <c r="H12098" s="1011" t="s">
        <v>1010</v>
      </c>
      <c r="K12098" s="1013"/>
    </row>
    <row r="12099" spans="1:11" s="1011" customFormat="1" ht="15" x14ac:dyDescent="0.25">
      <c r="A12099" s="859">
        <f t="shared" si="248"/>
        <v>12098</v>
      </c>
      <c r="B12099" s="845" t="s">
        <v>2564</v>
      </c>
      <c r="C12099" s="1007">
        <f t="shared" si="249"/>
        <v>79</v>
      </c>
      <c r="D12099" s="1012"/>
      <c r="H12099" s="1011" t="s">
        <v>1007</v>
      </c>
      <c r="K12099" s="1013"/>
    </row>
    <row r="12100" spans="1:11" s="1011" customFormat="1" ht="15" x14ac:dyDescent="0.25">
      <c r="A12100" s="859">
        <f t="shared" ref="A12100:A12163" si="250">+A12099+1</f>
        <v>12099</v>
      </c>
      <c r="B12100" s="845" t="s">
        <v>2564</v>
      </c>
      <c r="C12100" s="1007">
        <f t="shared" si="249"/>
        <v>79</v>
      </c>
      <c r="D12100" s="1015"/>
      <c r="I12100" s="1011" t="s">
        <v>2176</v>
      </c>
      <c r="K12100" s="1013"/>
    </row>
    <row r="12101" spans="1:11" s="1011" customFormat="1" ht="15" x14ac:dyDescent="0.25">
      <c r="A12101" s="859">
        <f t="shared" si="250"/>
        <v>12100</v>
      </c>
      <c r="B12101" s="845" t="s">
        <v>2564</v>
      </c>
      <c r="C12101" s="1007">
        <f t="shared" si="249"/>
        <v>79</v>
      </c>
      <c r="D12101" s="1012"/>
      <c r="I12101" s="1011" t="str">
        <f>CONCATENATE("&lt;valeur&gt;",VLOOKUP(C12101,'T16 Amort'!A:K,4,0),"&lt;/valeur&gt;")</f>
        <v>&lt;valeur&gt;&lt;/valeur&gt;</v>
      </c>
      <c r="K12101" s="1013"/>
    </row>
    <row r="12102" spans="1:11" s="1011" customFormat="1" ht="15" x14ac:dyDescent="0.25">
      <c r="A12102" s="859">
        <f t="shared" si="250"/>
        <v>12101</v>
      </c>
      <c r="B12102" s="845" t="s">
        <v>2564</v>
      </c>
      <c r="C12102" s="1007">
        <f t="shared" si="249"/>
        <v>79</v>
      </c>
      <c r="D12102" s="1012"/>
      <c r="I12102" s="1011" t="str">
        <f>CONCATENATE("&lt;numeroLigne&gt;",C12102,"&lt;/numeroLigne&gt;")</f>
        <v>&lt;numeroLigne&gt;79&lt;/numeroLigne&gt;</v>
      </c>
      <c r="K12102" s="1013"/>
    </row>
    <row r="12103" spans="1:11" s="1011" customFormat="1" ht="15" x14ac:dyDescent="0.25">
      <c r="A12103" s="859">
        <f t="shared" si="250"/>
        <v>12102</v>
      </c>
      <c r="B12103" s="845" t="s">
        <v>2564</v>
      </c>
      <c r="C12103" s="1007">
        <f t="shared" si="249"/>
        <v>79</v>
      </c>
      <c r="D12103" s="1014"/>
      <c r="H12103" s="1011" t="s">
        <v>1010</v>
      </c>
      <c r="K12103" s="1013"/>
    </row>
    <row r="12104" spans="1:11" s="1011" customFormat="1" ht="15" x14ac:dyDescent="0.25">
      <c r="A12104" s="859">
        <f t="shared" si="250"/>
        <v>12103</v>
      </c>
      <c r="B12104" s="845" t="s">
        <v>2564</v>
      </c>
      <c r="C12104" s="1007">
        <f t="shared" si="249"/>
        <v>79</v>
      </c>
      <c r="D12104" s="1014"/>
      <c r="H12104" s="1011" t="s">
        <v>1007</v>
      </c>
      <c r="K12104" s="1013"/>
    </row>
    <row r="12105" spans="1:11" s="1011" customFormat="1" ht="15" x14ac:dyDescent="0.25">
      <c r="A12105" s="859">
        <f t="shared" si="250"/>
        <v>12104</v>
      </c>
      <c r="B12105" s="845" t="s">
        <v>2564</v>
      </c>
      <c r="C12105" s="1007">
        <f t="shared" si="249"/>
        <v>79</v>
      </c>
      <c r="D12105" s="1012"/>
      <c r="I12105" s="1011" t="s">
        <v>2177</v>
      </c>
      <c r="K12105" s="1013"/>
    </row>
    <row r="12106" spans="1:11" s="1011" customFormat="1" ht="15" x14ac:dyDescent="0.25">
      <c r="A12106" s="859">
        <f t="shared" si="250"/>
        <v>12105</v>
      </c>
      <c r="B12106" s="845" t="s">
        <v>2564</v>
      </c>
      <c r="C12106" s="1007">
        <f t="shared" si="249"/>
        <v>79</v>
      </c>
      <c r="D12106" s="1015"/>
      <c r="I12106" s="1011" t="str">
        <f>CONCATENATE("&lt;valeur&gt;",VLOOKUP(C12106,'T16 Amort'!A:K,5,0),"&lt;/valeur&gt;")</f>
        <v>&lt;valeur&gt;&lt;/valeur&gt;</v>
      </c>
      <c r="K12106" s="1013"/>
    </row>
    <row r="12107" spans="1:11" s="1011" customFormat="1" ht="15" x14ac:dyDescent="0.25">
      <c r="A12107" s="859">
        <f t="shared" si="250"/>
        <v>12106</v>
      </c>
      <c r="B12107" s="845" t="s">
        <v>2564</v>
      </c>
      <c r="C12107" s="1007">
        <f t="shared" si="249"/>
        <v>79</v>
      </c>
      <c r="D12107" s="1012"/>
      <c r="I12107" s="1011" t="str">
        <f>CONCATENATE("&lt;numeroLigne&gt;",C12107,"&lt;/numeroLigne&gt;")</f>
        <v>&lt;numeroLigne&gt;79&lt;/numeroLigne&gt;</v>
      </c>
      <c r="K12107" s="1013"/>
    </row>
    <row r="12108" spans="1:11" s="1011" customFormat="1" ht="15" x14ac:dyDescent="0.25">
      <c r="A12108" s="859">
        <f t="shared" si="250"/>
        <v>12107</v>
      </c>
      <c r="B12108" s="845" t="s">
        <v>2564</v>
      </c>
      <c r="C12108" s="1007">
        <f t="shared" si="249"/>
        <v>79</v>
      </c>
      <c r="D12108" s="1012"/>
      <c r="H12108" s="1011" t="s">
        <v>1010</v>
      </c>
      <c r="K12108" s="1013"/>
    </row>
    <row r="12109" spans="1:11" s="1011" customFormat="1" ht="15" x14ac:dyDescent="0.25">
      <c r="A12109" s="859">
        <f t="shared" si="250"/>
        <v>12108</v>
      </c>
      <c r="B12109" s="845" t="s">
        <v>2564</v>
      </c>
      <c r="C12109" s="1007">
        <f t="shared" si="249"/>
        <v>79</v>
      </c>
      <c r="D12109" s="1014"/>
      <c r="H12109" s="1011" t="s">
        <v>1007</v>
      </c>
      <c r="K12109" s="1013"/>
    </row>
    <row r="12110" spans="1:11" s="1011" customFormat="1" ht="15" x14ac:dyDescent="0.25">
      <c r="A12110" s="859">
        <f t="shared" si="250"/>
        <v>12109</v>
      </c>
      <c r="B12110" s="845" t="s">
        <v>2564</v>
      </c>
      <c r="C12110" s="1007">
        <f t="shared" si="249"/>
        <v>79</v>
      </c>
      <c r="D12110" s="1014"/>
      <c r="I12110" s="1011" t="s">
        <v>2178</v>
      </c>
      <c r="K12110" s="1013"/>
    </row>
    <row r="12111" spans="1:11" s="1011" customFormat="1" ht="15" x14ac:dyDescent="0.25">
      <c r="A12111" s="859">
        <f t="shared" si="250"/>
        <v>12110</v>
      </c>
      <c r="B12111" s="845" t="s">
        <v>2564</v>
      </c>
      <c r="C12111" s="1007">
        <f t="shared" si="249"/>
        <v>79</v>
      </c>
      <c r="D12111" s="1012"/>
      <c r="I12111" s="1011" t="str">
        <f>CONCATENATE("&lt;valeur&gt;",VLOOKUP(C12111,'T16 Amort'!A:K,6,0),"&lt;/valeur&gt;")</f>
        <v>&lt;valeur&gt;&lt;/valeur&gt;</v>
      </c>
      <c r="K12111" s="1013"/>
    </row>
    <row r="12112" spans="1:11" s="1011" customFormat="1" ht="15" x14ac:dyDescent="0.25">
      <c r="A12112" s="859">
        <f t="shared" si="250"/>
        <v>12111</v>
      </c>
      <c r="B12112" s="845" t="s">
        <v>2564</v>
      </c>
      <c r="C12112" s="1007">
        <f t="shared" si="249"/>
        <v>79</v>
      </c>
      <c r="D12112" s="1015"/>
      <c r="I12112" s="1011" t="str">
        <f>CONCATENATE("&lt;numeroLigne&gt;",C12112,"&lt;/numeroLigne&gt;")</f>
        <v>&lt;numeroLigne&gt;79&lt;/numeroLigne&gt;</v>
      </c>
      <c r="K12112" s="1013"/>
    </row>
    <row r="12113" spans="1:11" s="1011" customFormat="1" ht="15" x14ac:dyDescent="0.25">
      <c r="A12113" s="859">
        <f t="shared" si="250"/>
        <v>12112</v>
      </c>
      <c r="B12113" s="845" t="s">
        <v>2564</v>
      </c>
      <c r="C12113" s="1007">
        <f t="shared" si="249"/>
        <v>79</v>
      </c>
      <c r="D12113" s="1012"/>
      <c r="H12113" s="1011" t="s">
        <v>1010</v>
      </c>
      <c r="K12113" s="1013"/>
    </row>
    <row r="12114" spans="1:11" s="1011" customFormat="1" ht="15" x14ac:dyDescent="0.25">
      <c r="A12114" s="859">
        <f t="shared" si="250"/>
        <v>12113</v>
      </c>
      <c r="B12114" s="845" t="s">
        <v>2564</v>
      </c>
      <c r="C12114" s="1007">
        <f t="shared" si="249"/>
        <v>79</v>
      </c>
      <c r="D12114" s="1012"/>
      <c r="H12114" s="1011" t="s">
        <v>1007</v>
      </c>
      <c r="K12114" s="1013"/>
    </row>
    <row r="12115" spans="1:11" s="1011" customFormat="1" ht="15" x14ac:dyDescent="0.25">
      <c r="A12115" s="859">
        <f t="shared" si="250"/>
        <v>12114</v>
      </c>
      <c r="B12115" s="845" t="s">
        <v>2564</v>
      </c>
      <c r="C12115" s="1007">
        <f t="shared" si="249"/>
        <v>79</v>
      </c>
      <c r="D12115" s="1014"/>
      <c r="I12115" s="1011" t="s">
        <v>2179</v>
      </c>
      <c r="K12115" s="1013"/>
    </row>
    <row r="12116" spans="1:11" s="1011" customFormat="1" ht="15" x14ac:dyDescent="0.25">
      <c r="A12116" s="859">
        <f t="shared" si="250"/>
        <v>12115</v>
      </c>
      <c r="B12116" s="845" t="s">
        <v>2564</v>
      </c>
      <c r="C12116" s="1007">
        <f t="shared" si="249"/>
        <v>79</v>
      </c>
      <c r="D12116" s="1014"/>
      <c r="I12116" s="1011" t="str">
        <f>CONCATENATE("&lt;valeur&gt;",VLOOKUP(C12116,'T16 Amort'!A:K,7,0),"&lt;/valeur&gt;")</f>
        <v>&lt;valeur&gt;&lt;/valeur&gt;</v>
      </c>
      <c r="K12116" s="1013"/>
    </row>
    <row r="12117" spans="1:11" s="1011" customFormat="1" ht="15" x14ac:dyDescent="0.25">
      <c r="A12117" s="859">
        <f t="shared" si="250"/>
        <v>12116</v>
      </c>
      <c r="B12117" s="845" t="s">
        <v>2564</v>
      </c>
      <c r="C12117" s="1007">
        <f t="shared" si="249"/>
        <v>79</v>
      </c>
      <c r="D12117" s="1012"/>
      <c r="I12117" s="1011" t="str">
        <f>CONCATENATE("&lt;numeroLigne&gt;",C12117,"&lt;/numeroLigne&gt;")</f>
        <v>&lt;numeroLigne&gt;79&lt;/numeroLigne&gt;</v>
      </c>
      <c r="K12117" s="1013"/>
    </row>
    <row r="12118" spans="1:11" s="1011" customFormat="1" ht="15" x14ac:dyDescent="0.25">
      <c r="A12118" s="859">
        <f t="shared" si="250"/>
        <v>12117</v>
      </c>
      <c r="B12118" s="845" t="s">
        <v>2564</v>
      </c>
      <c r="C12118" s="1007">
        <f t="shared" si="249"/>
        <v>79</v>
      </c>
      <c r="D12118" s="1015"/>
      <c r="H12118" s="1011" t="s">
        <v>1010</v>
      </c>
      <c r="K12118" s="1013"/>
    </row>
    <row r="12119" spans="1:11" s="1011" customFormat="1" ht="15" x14ac:dyDescent="0.25">
      <c r="A12119" s="859">
        <f t="shared" si="250"/>
        <v>12118</v>
      </c>
      <c r="B12119" s="845" t="s">
        <v>2564</v>
      </c>
      <c r="C12119" s="1007">
        <f t="shared" si="249"/>
        <v>79</v>
      </c>
      <c r="D12119" s="1012"/>
      <c r="H12119" s="1011" t="s">
        <v>1007</v>
      </c>
      <c r="K12119" s="1013"/>
    </row>
    <row r="12120" spans="1:11" s="1011" customFormat="1" ht="15" x14ac:dyDescent="0.25">
      <c r="A12120" s="859">
        <f t="shared" si="250"/>
        <v>12119</v>
      </c>
      <c r="B12120" s="845" t="s">
        <v>2564</v>
      </c>
      <c r="C12120" s="1007">
        <f t="shared" si="249"/>
        <v>79</v>
      </c>
      <c r="D12120" s="1012"/>
      <c r="I12120" s="1011" t="s">
        <v>2180</v>
      </c>
      <c r="K12120" s="1013"/>
    </row>
    <row r="12121" spans="1:11" s="1011" customFormat="1" ht="15" x14ac:dyDescent="0.25">
      <c r="A12121" s="859">
        <f t="shared" si="250"/>
        <v>12120</v>
      </c>
      <c r="B12121" s="845" t="s">
        <v>2564</v>
      </c>
      <c r="C12121" s="1007">
        <f t="shared" si="249"/>
        <v>79</v>
      </c>
      <c r="D12121" s="1014"/>
      <c r="I12121" s="1011" t="str">
        <f>CONCATENATE("&lt;valeur&gt;",VLOOKUP(C12121,'T16 Amort'!A:K,8,0),"&lt;/valeur&gt;")</f>
        <v>&lt;valeur&gt;&lt;/valeur&gt;</v>
      </c>
      <c r="K12121" s="1013"/>
    </row>
    <row r="12122" spans="1:11" s="1011" customFormat="1" ht="15" x14ac:dyDescent="0.25">
      <c r="A12122" s="859">
        <f t="shared" si="250"/>
        <v>12121</v>
      </c>
      <c r="B12122" s="845" t="s">
        <v>2564</v>
      </c>
      <c r="C12122" s="1007">
        <f t="shared" si="249"/>
        <v>79</v>
      </c>
      <c r="D12122" s="1014"/>
      <c r="I12122" s="1011" t="str">
        <f>CONCATENATE("&lt;numeroLigne&gt;",C12122,"&lt;/numeroLigne&gt;")</f>
        <v>&lt;numeroLigne&gt;79&lt;/numeroLigne&gt;</v>
      </c>
      <c r="K12122" s="1013"/>
    </row>
    <row r="12123" spans="1:11" s="1011" customFormat="1" ht="15" x14ac:dyDescent="0.25">
      <c r="A12123" s="859">
        <f t="shared" si="250"/>
        <v>12122</v>
      </c>
      <c r="B12123" s="845" t="s">
        <v>2564</v>
      </c>
      <c r="C12123" s="1007">
        <f t="shared" si="249"/>
        <v>79</v>
      </c>
      <c r="D12123" s="1012"/>
      <c r="H12123" s="1011" t="s">
        <v>1010</v>
      </c>
      <c r="K12123" s="1013"/>
    </row>
    <row r="12124" spans="1:11" s="1011" customFormat="1" ht="15" x14ac:dyDescent="0.25">
      <c r="A12124" s="859">
        <f t="shared" si="250"/>
        <v>12123</v>
      </c>
      <c r="B12124" s="845" t="s">
        <v>2564</v>
      </c>
      <c r="C12124" s="1007">
        <f t="shared" si="249"/>
        <v>79</v>
      </c>
      <c r="D12124" s="1015"/>
      <c r="H12124" s="1011" t="s">
        <v>1007</v>
      </c>
      <c r="K12124" s="1013"/>
    </row>
    <row r="12125" spans="1:11" s="1011" customFormat="1" ht="15" x14ac:dyDescent="0.25">
      <c r="A12125" s="859">
        <f t="shared" si="250"/>
        <v>12124</v>
      </c>
      <c r="B12125" s="845" t="s">
        <v>2564</v>
      </c>
      <c r="C12125" s="1007">
        <f t="shared" si="249"/>
        <v>79</v>
      </c>
      <c r="D12125" s="1012"/>
      <c r="I12125" s="1011" t="s">
        <v>2181</v>
      </c>
      <c r="K12125" s="1013"/>
    </row>
    <row r="12126" spans="1:11" s="1011" customFormat="1" ht="15" x14ac:dyDescent="0.25">
      <c r="A12126" s="859">
        <f t="shared" si="250"/>
        <v>12125</v>
      </c>
      <c r="B12126" s="845" t="s">
        <v>2564</v>
      </c>
      <c r="C12126" s="1007">
        <f t="shared" si="249"/>
        <v>79</v>
      </c>
      <c r="D12126" s="1012"/>
      <c r="I12126" s="1011" t="str">
        <f>CONCATENATE("&lt;valeur&gt;",VLOOKUP(C12126,'T16 Amort'!A:K,9,0),"&lt;/valeur&gt;")</f>
        <v>&lt;valeur&gt;&lt;/valeur&gt;</v>
      </c>
      <c r="K12126" s="1013"/>
    </row>
    <row r="12127" spans="1:11" s="1011" customFormat="1" ht="15" x14ac:dyDescent="0.25">
      <c r="A12127" s="859">
        <f t="shared" si="250"/>
        <v>12126</v>
      </c>
      <c r="B12127" s="845" t="s">
        <v>2564</v>
      </c>
      <c r="C12127" s="1007">
        <f t="shared" si="249"/>
        <v>79</v>
      </c>
      <c r="D12127" s="1014"/>
      <c r="I12127" s="1011" t="str">
        <f>CONCATENATE("&lt;numeroLigne&gt;",C12127,"&lt;/numeroLigne&gt;")</f>
        <v>&lt;numeroLigne&gt;79&lt;/numeroLigne&gt;</v>
      </c>
      <c r="K12127" s="1013"/>
    </row>
    <row r="12128" spans="1:11" s="1011" customFormat="1" ht="15" x14ac:dyDescent="0.25">
      <c r="A12128" s="859">
        <f t="shared" si="250"/>
        <v>12127</v>
      </c>
      <c r="B12128" s="845" t="s">
        <v>2564</v>
      </c>
      <c r="C12128" s="1007">
        <f t="shared" si="249"/>
        <v>79</v>
      </c>
      <c r="D12128" s="1014"/>
      <c r="H12128" s="1011" t="s">
        <v>1010</v>
      </c>
      <c r="K12128" s="1013"/>
    </row>
    <row r="12129" spans="1:11" s="1011" customFormat="1" ht="15" x14ac:dyDescent="0.25">
      <c r="A12129" s="859">
        <f t="shared" si="250"/>
        <v>12128</v>
      </c>
      <c r="B12129" s="845" t="s">
        <v>2564</v>
      </c>
      <c r="C12129" s="1007">
        <f t="shared" si="249"/>
        <v>79</v>
      </c>
      <c r="D12129" s="1012"/>
      <c r="H12129" s="1011" t="s">
        <v>1007</v>
      </c>
      <c r="K12129" s="1013"/>
    </row>
    <row r="12130" spans="1:11" s="1011" customFormat="1" ht="15" x14ac:dyDescent="0.25">
      <c r="A12130" s="859">
        <f t="shared" si="250"/>
        <v>12129</v>
      </c>
      <c r="B12130" s="845" t="s">
        <v>2564</v>
      </c>
      <c r="C12130" s="1007">
        <f t="shared" si="249"/>
        <v>79</v>
      </c>
      <c r="D12130" s="1015"/>
      <c r="I12130" s="1011" t="s">
        <v>2182</v>
      </c>
      <c r="K12130" s="1013"/>
    </row>
    <row r="12131" spans="1:11" s="1011" customFormat="1" ht="15" x14ac:dyDescent="0.25">
      <c r="A12131" s="859">
        <f t="shared" si="250"/>
        <v>12130</v>
      </c>
      <c r="B12131" s="845" t="s">
        <v>2564</v>
      </c>
      <c r="C12131" s="1007">
        <f t="shared" si="249"/>
        <v>79</v>
      </c>
      <c r="D12131" s="1012"/>
      <c r="I12131" s="1011" t="str">
        <f>CONCATENATE("&lt;valeur&gt;",VLOOKUP(C12131,'T16 Amort'!A:K,10,0),"&lt;/valeur&gt;")</f>
        <v>&lt;valeur&gt;&lt;/valeur&gt;</v>
      </c>
      <c r="K12131" s="1013"/>
    </row>
    <row r="12132" spans="1:11" s="1011" customFormat="1" ht="15" x14ac:dyDescent="0.25">
      <c r="A12132" s="859">
        <f t="shared" si="250"/>
        <v>12131</v>
      </c>
      <c r="B12132" s="845" t="s">
        <v>2564</v>
      </c>
      <c r="C12132" s="1007">
        <f t="shared" si="249"/>
        <v>79</v>
      </c>
      <c r="D12132" s="1012"/>
      <c r="I12132" s="1011" t="str">
        <f>CONCATENATE("&lt;numeroLigne&gt;",C12132,"&lt;/numeroLigne&gt;")</f>
        <v>&lt;numeroLigne&gt;79&lt;/numeroLigne&gt;</v>
      </c>
      <c r="K12132" s="1013"/>
    </row>
    <row r="12133" spans="1:11" s="1011" customFormat="1" ht="15" x14ac:dyDescent="0.25">
      <c r="A12133" s="859">
        <f t="shared" si="250"/>
        <v>12132</v>
      </c>
      <c r="B12133" s="845" t="s">
        <v>2564</v>
      </c>
      <c r="C12133" s="1007">
        <f t="shared" si="249"/>
        <v>79</v>
      </c>
      <c r="D12133" s="1014"/>
      <c r="H12133" s="1011" t="s">
        <v>1010</v>
      </c>
      <c r="K12133" s="1013"/>
    </row>
    <row r="12134" spans="1:11" s="1011" customFormat="1" ht="15" x14ac:dyDescent="0.25">
      <c r="A12134" s="859">
        <f t="shared" si="250"/>
        <v>12133</v>
      </c>
      <c r="B12134" s="845" t="s">
        <v>2564</v>
      </c>
      <c r="C12134" s="1007">
        <f t="shared" si="249"/>
        <v>79</v>
      </c>
      <c r="D12134" s="1014"/>
      <c r="H12134" s="1011" t="s">
        <v>1007</v>
      </c>
      <c r="K12134" s="1013"/>
    </row>
    <row r="12135" spans="1:11" s="1011" customFormat="1" ht="15" x14ac:dyDescent="0.25">
      <c r="A12135" s="859">
        <f t="shared" si="250"/>
        <v>12134</v>
      </c>
      <c r="B12135" s="845" t="s">
        <v>2564</v>
      </c>
      <c r="C12135" s="1007">
        <f t="shared" si="249"/>
        <v>79</v>
      </c>
      <c r="D12135" s="1012"/>
      <c r="I12135" s="1011" t="s">
        <v>2183</v>
      </c>
      <c r="K12135" s="1013"/>
    </row>
    <row r="12136" spans="1:11" s="1011" customFormat="1" ht="15" x14ac:dyDescent="0.25">
      <c r="A12136" s="859">
        <f t="shared" si="250"/>
        <v>12135</v>
      </c>
      <c r="B12136" s="845" t="s">
        <v>2564</v>
      </c>
      <c r="C12136" s="1007">
        <f t="shared" si="249"/>
        <v>79</v>
      </c>
      <c r="D12136" s="1015"/>
      <c r="I12136" s="1011" t="str">
        <f>CONCATENATE("&lt;valeur&gt;",VLOOKUP(C12136,'T16 Amort'!A:K,11,0),"&lt;/valeur&gt;")</f>
        <v>&lt;valeur&gt;&lt;/valeur&gt;</v>
      </c>
      <c r="K12136" s="1013"/>
    </row>
    <row r="12137" spans="1:11" s="1011" customFormat="1" ht="15" x14ac:dyDescent="0.25">
      <c r="A12137" s="859">
        <f t="shared" si="250"/>
        <v>12136</v>
      </c>
      <c r="B12137" s="845" t="s">
        <v>2564</v>
      </c>
      <c r="C12137" s="1007">
        <f t="shared" si="249"/>
        <v>79</v>
      </c>
      <c r="D12137" s="1012"/>
      <c r="I12137" s="1011" t="str">
        <f>CONCATENATE("&lt;numeroLigne&gt;",C12137,"&lt;/numeroLigne&gt;")</f>
        <v>&lt;numeroLigne&gt;79&lt;/numeroLigne&gt;</v>
      </c>
      <c r="K12137" s="1013"/>
    </row>
    <row r="12138" spans="1:11" s="1011" customFormat="1" ht="15" x14ac:dyDescent="0.25">
      <c r="A12138" s="859">
        <f t="shared" si="250"/>
        <v>12137</v>
      </c>
      <c r="B12138" s="845" t="s">
        <v>2564</v>
      </c>
      <c r="C12138" s="1007">
        <f t="shared" si="249"/>
        <v>79</v>
      </c>
      <c r="D12138" s="1016"/>
      <c r="E12138" s="1017"/>
      <c r="F12138" s="1017"/>
      <c r="G12138" s="1017"/>
      <c r="H12138" s="1017" t="s">
        <v>1010</v>
      </c>
      <c r="I12138" s="1017"/>
      <c r="J12138" s="1017"/>
      <c r="K12138" s="1018"/>
    </row>
    <row r="12139" spans="1:11" s="1011" customFormat="1" ht="15" x14ac:dyDescent="0.25">
      <c r="A12139" s="859">
        <f t="shared" si="250"/>
        <v>12138</v>
      </c>
      <c r="B12139" s="845" t="s">
        <v>2564</v>
      </c>
      <c r="C12139" s="1007">
        <f t="shared" si="249"/>
        <v>80</v>
      </c>
      <c r="D12139" s="1008"/>
      <c r="E12139" s="1009"/>
      <c r="F12139" s="1009"/>
      <c r="G12139" s="1009"/>
      <c r="H12139" s="1009" t="s">
        <v>1007</v>
      </c>
      <c r="I12139" s="1009"/>
      <c r="J12139" s="1009"/>
      <c r="K12139" s="1010"/>
    </row>
    <row r="12140" spans="1:11" s="1011" customFormat="1" ht="15" x14ac:dyDescent="0.25">
      <c r="A12140" s="859">
        <f t="shared" si="250"/>
        <v>12139</v>
      </c>
      <c r="B12140" s="845" t="s">
        <v>2564</v>
      </c>
      <c r="C12140" s="1007">
        <f t="shared" si="249"/>
        <v>80</v>
      </c>
      <c r="D12140" s="1012"/>
      <c r="I12140" s="1011" t="s">
        <v>2174</v>
      </c>
      <c r="K12140" s="1013"/>
    </row>
    <row r="12141" spans="1:11" s="1011" customFormat="1" ht="15" x14ac:dyDescent="0.25">
      <c r="A12141" s="859">
        <f t="shared" si="250"/>
        <v>12140</v>
      </c>
      <c r="B12141" s="845" t="s">
        <v>2564</v>
      </c>
      <c r="C12141" s="1007">
        <f t="shared" si="249"/>
        <v>80</v>
      </c>
      <c r="D12141" s="1014"/>
      <c r="I12141" s="1011" t="str">
        <f>CONCATENATE("&lt;valeur&gt;",VLOOKUP(C12141,'T16 Amort'!A:K,2,0),"&lt;/valeur&gt;")</f>
        <v>&lt;valeur&gt;&lt;/valeur&gt;</v>
      </c>
      <c r="K12141" s="1013"/>
    </row>
    <row r="12142" spans="1:11" s="1011" customFormat="1" ht="15" x14ac:dyDescent="0.25">
      <c r="A12142" s="859">
        <f t="shared" si="250"/>
        <v>12141</v>
      </c>
      <c r="B12142" s="845" t="s">
        <v>2564</v>
      </c>
      <c r="C12142" s="1007">
        <f t="shared" si="249"/>
        <v>80</v>
      </c>
      <c r="D12142" s="1014"/>
      <c r="I12142" s="1011" t="str">
        <f>CONCATENATE("&lt;numeroLigne&gt;",C12142,"&lt;/numeroLigne&gt;")</f>
        <v>&lt;numeroLigne&gt;80&lt;/numeroLigne&gt;</v>
      </c>
      <c r="K12142" s="1013"/>
    </row>
    <row r="12143" spans="1:11" s="1011" customFormat="1" ht="15" x14ac:dyDescent="0.25">
      <c r="A12143" s="859">
        <f t="shared" si="250"/>
        <v>12142</v>
      </c>
      <c r="B12143" s="845" t="s">
        <v>2564</v>
      </c>
      <c r="C12143" s="1007">
        <f t="shared" ref="C12143:C12206" si="251">C12093+1</f>
        <v>80</v>
      </c>
      <c r="D12143" s="1012"/>
      <c r="H12143" s="1011" t="s">
        <v>1010</v>
      </c>
      <c r="K12143" s="1013"/>
    </row>
    <row r="12144" spans="1:11" s="1011" customFormat="1" ht="15" x14ac:dyDescent="0.25">
      <c r="A12144" s="859">
        <f t="shared" si="250"/>
        <v>12143</v>
      </c>
      <c r="B12144" s="845" t="s">
        <v>2564</v>
      </c>
      <c r="C12144" s="1007">
        <f t="shared" si="251"/>
        <v>80</v>
      </c>
      <c r="D12144" s="1015"/>
      <c r="H12144" s="1011" t="s">
        <v>1007</v>
      </c>
      <c r="K12144" s="1013"/>
    </row>
    <row r="12145" spans="1:11" s="1011" customFormat="1" ht="15" x14ac:dyDescent="0.25">
      <c r="A12145" s="859">
        <f t="shared" si="250"/>
        <v>12144</v>
      </c>
      <c r="B12145" s="845" t="s">
        <v>2564</v>
      </c>
      <c r="C12145" s="1007">
        <f t="shared" si="251"/>
        <v>80</v>
      </c>
      <c r="D12145" s="1012"/>
      <c r="I12145" s="1011" t="s">
        <v>2175</v>
      </c>
      <c r="K12145" s="1013"/>
    </row>
    <row r="12146" spans="1:11" s="1011" customFormat="1" ht="15" x14ac:dyDescent="0.25">
      <c r="A12146" s="859">
        <f t="shared" si="250"/>
        <v>12145</v>
      </c>
      <c r="B12146" s="845" t="s">
        <v>2564</v>
      </c>
      <c r="C12146" s="1007">
        <f t="shared" si="251"/>
        <v>80</v>
      </c>
      <c r="D12146" s="1012"/>
      <c r="I12146" s="1011" t="str">
        <f>CONCATENATE("&lt;valeur&gt;",VLOOKUP(C12146,'T16 Amort'!A:K,3,0),"&lt;/valeur&gt;")</f>
        <v>&lt;valeur&gt;&lt;/valeur&gt;</v>
      </c>
      <c r="K12146" s="1013"/>
    </row>
    <row r="12147" spans="1:11" s="1011" customFormat="1" ht="15" x14ac:dyDescent="0.25">
      <c r="A12147" s="859">
        <f t="shared" si="250"/>
        <v>12146</v>
      </c>
      <c r="B12147" s="845" t="s">
        <v>2564</v>
      </c>
      <c r="C12147" s="1007">
        <f t="shared" si="251"/>
        <v>80</v>
      </c>
      <c r="D12147" s="1014"/>
      <c r="I12147" s="1011" t="str">
        <f>CONCATENATE("&lt;numeroLigne&gt;",C12147,"&lt;/numeroLigne&gt;")</f>
        <v>&lt;numeroLigne&gt;80&lt;/numeroLigne&gt;</v>
      </c>
      <c r="K12147" s="1013"/>
    </row>
    <row r="12148" spans="1:11" s="1011" customFormat="1" ht="15" x14ac:dyDescent="0.25">
      <c r="A12148" s="859">
        <f t="shared" si="250"/>
        <v>12147</v>
      </c>
      <c r="B12148" s="845" t="s">
        <v>2564</v>
      </c>
      <c r="C12148" s="1007">
        <f t="shared" si="251"/>
        <v>80</v>
      </c>
      <c r="D12148" s="1014"/>
      <c r="H12148" s="1011" t="s">
        <v>1010</v>
      </c>
      <c r="K12148" s="1013"/>
    </row>
    <row r="12149" spans="1:11" s="1011" customFormat="1" ht="15" x14ac:dyDescent="0.25">
      <c r="A12149" s="859">
        <f t="shared" si="250"/>
        <v>12148</v>
      </c>
      <c r="B12149" s="845" t="s">
        <v>2564</v>
      </c>
      <c r="C12149" s="1007">
        <f t="shared" si="251"/>
        <v>80</v>
      </c>
      <c r="D12149" s="1012"/>
      <c r="H12149" s="1011" t="s">
        <v>1007</v>
      </c>
      <c r="K12149" s="1013"/>
    </row>
    <row r="12150" spans="1:11" s="1011" customFormat="1" ht="15" x14ac:dyDescent="0.25">
      <c r="A12150" s="859">
        <f t="shared" si="250"/>
        <v>12149</v>
      </c>
      <c r="B12150" s="845" t="s">
        <v>2564</v>
      </c>
      <c r="C12150" s="1007">
        <f t="shared" si="251"/>
        <v>80</v>
      </c>
      <c r="D12150" s="1015"/>
      <c r="I12150" s="1011" t="s">
        <v>2176</v>
      </c>
      <c r="K12150" s="1013"/>
    </row>
    <row r="12151" spans="1:11" s="1011" customFormat="1" ht="15" x14ac:dyDescent="0.25">
      <c r="A12151" s="859">
        <f t="shared" si="250"/>
        <v>12150</v>
      </c>
      <c r="B12151" s="845" t="s">
        <v>2564</v>
      </c>
      <c r="C12151" s="1007">
        <f t="shared" si="251"/>
        <v>80</v>
      </c>
      <c r="D12151" s="1012"/>
      <c r="I12151" s="1011" t="str">
        <f>CONCATENATE("&lt;valeur&gt;",VLOOKUP(C12151,'T16 Amort'!A:K,4,0),"&lt;/valeur&gt;")</f>
        <v>&lt;valeur&gt;&lt;/valeur&gt;</v>
      </c>
      <c r="K12151" s="1013"/>
    </row>
    <row r="12152" spans="1:11" s="1011" customFormat="1" ht="15" x14ac:dyDescent="0.25">
      <c r="A12152" s="859">
        <f t="shared" si="250"/>
        <v>12151</v>
      </c>
      <c r="B12152" s="845" t="s">
        <v>2564</v>
      </c>
      <c r="C12152" s="1007">
        <f t="shared" si="251"/>
        <v>80</v>
      </c>
      <c r="D12152" s="1012"/>
      <c r="I12152" s="1011" t="str">
        <f>CONCATENATE("&lt;numeroLigne&gt;",C12152,"&lt;/numeroLigne&gt;")</f>
        <v>&lt;numeroLigne&gt;80&lt;/numeroLigne&gt;</v>
      </c>
      <c r="K12152" s="1013"/>
    </row>
    <row r="12153" spans="1:11" s="1011" customFormat="1" ht="15" x14ac:dyDescent="0.25">
      <c r="A12153" s="859">
        <f t="shared" si="250"/>
        <v>12152</v>
      </c>
      <c r="B12153" s="845" t="s">
        <v>2564</v>
      </c>
      <c r="C12153" s="1007">
        <f t="shared" si="251"/>
        <v>80</v>
      </c>
      <c r="D12153" s="1014"/>
      <c r="H12153" s="1011" t="s">
        <v>1010</v>
      </c>
      <c r="K12153" s="1013"/>
    </row>
    <row r="12154" spans="1:11" s="1011" customFormat="1" ht="15" x14ac:dyDescent="0.25">
      <c r="A12154" s="859">
        <f t="shared" si="250"/>
        <v>12153</v>
      </c>
      <c r="B12154" s="845" t="s">
        <v>2564</v>
      </c>
      <c r="C12154" s="1007">
        <f t="shared" si="251"/>
        <v>80</v>
      </c>
      <c r="D12154" s="1014"/>
      <c r="H12154" s="1011" t="s">
        <v>1007</v>
      </c>
      <c r="K12154" s="1013"/>
    </row>
    <row r="12155" spans="1:11" s="1011" customFormat="1" ht="15" x14ac:dyDescent="0.25">
      <c r="A12155" s="859">
        <f t="shared" si="250"/>
        <v>12154</v>
      </c>
      <c r="B12155" s="845" t="s">
        <v>2564</v>
      </c>
      <c r="C12155" s="1007">
        <f t="shared" si="251"/>
        <v>80</v>
      </c>
      <c r="D12155" s="1012"/>
      <c r="I12155" s="1011" t="s">
        <v>2177</v>
      </c>
      <c r="K12155" s="1013"/>
    </row>
    <row r="12156" spans="1:11" s="1011" customFormat="1" ht="15" x14ac:dyDescent="0.25">
      <c r="A12156" s="859">
        <f t="shared" si="250"/>
        <v>12155</v>
      </c>
      <c r="B12156" s="845" t="s">
        <v>2564</v>
      </c>
      <c r="C12156" s="1007">
        <f t="shared" si="251"/>
        <v>80</v>
      </c>
      <c r="D12156" s="1015"/>
      <c r="I12156" s="1011" t="str">
        <f>CONCATENATE("&lt;valeur&gt;",VLOOKUP(C12156,'T16 Amort'!A:K,5,0),"&lt;/valeur&gt;")</f>
        <v>&lt;valeur&gt;&lt;/valeur&gt;</v>
      </c>
      <c r="K12156" s="1013"/>
    </row>
    <row r="12157" spans="1:11" s="1011" customFormat="1" ht="15" x14ac:dyDescent="0.25">
      <c r="A12157" s="859">
        <f t="shared" si="250"/>
        <v>12156</v>
      </c>
      <c r="B12157" s="845" t="s">
        <v>2564</v>
      </c>
      <c r="C12157" s="1007">
        <f t="shared" si="251"/>
        <v>80</v>
      </c>
      <c r="D12157" s="1012"/>
      <c r="I12157" s="1011" t="str">
        <f>CONCATENATE("&lt;numeroLigne&gt;",C12157,"&lt;/numeroLigne&gt;")</f>
        <v>&lt;numeroLigne&gt;80&lt;/numeroLigne&gt;</v>
      </c>
      <c r="K12157" s="1013"/>
    </row>
    <row r="12158" spans="1:11" s="1011" customFormat="1" ht="15" x14ac:dyDescent="0.25">
      <c r="A12158" s="859">
        <f t="shared" si="250"/>
        <v>12157</v>
      </c>
      <c r="B12158" s="845" t="s">
        <v>2564</v>
      </c>
      <c r="C12158" s="1007">
        <f t="shared" si="251"/>
        <v>80</v>
      </c>
      <c r="D12158" s="1012"/>
      <c r="H12158" s="1011" t="s">
        <v>1010</v>
      </c>
      <c r="K12158" s="1013"/>
    </row>
    <row r="12159" spans="1:11" s="1011" customFormat="1" ht="15" x14ac:dyDescent="0.25">
      <c r="A12159" s="859">
        <f t="shared" si="250"/>
        <v>12158</v>
      </c>
      <c r="B12159" s="845" t="s">
        <v>2564</v>
      </c>
      <c r="C12159" s="1007">
        <f t="shared" si="251"/>
        <v>80</v>
      </c>
      <c r="D12159" s="1014"/>
      <c r="H12159" s="1011" t="s">
        <v>1007</v>
      </c>
      <c r="K12159" s="1013"/>
    </row>
    <row r="12160" spans="1:11" s="1011" customFormat="1" ht="15" x14ac:dyDescent="0.25">
      <c r="A12160" s="859">
        <f t="shared" si="250"/>
        <v>12159</v>
      </c>
      <c r="B12160" s="845" t="s">
        <v>2564</v>
      </c>
      <c r="C12160" s="1007">
        <f t="shared" si="251"/>
        <v>80</v>
      </c>
      <c r="D12160" s="1014"/>
      <c r="I12160" s="1011" t="s">
        <v>2178</v>
      </c>
      <c r="K12160" s="1013"/>
    </row>
    <row r="12161" spans="1:11" s="1011" customFormat="1" ht="15" x14ac:dyDescent="0.25">
      <c r="A12161" s="859">
        <f t="shared" si="250"/>
        <v>12160</v>
      </c>
      <c r="B12161" s="845" t="s">
        <v>2564</v>
      </c>
      <c r="C12161" s="1007">
        <f t="shared" si="251"/>
        <v>80</v>
      </c>
      <c r="D12161" s="1012"/>
      <c r="I12161" s="1011" t="str">
        <f>CONCATENATE("&lt;valeur&gt;",VLOOKUP(C12161,'T16 Amort'!A:K,6,0),"&lt;/valeur&gt;")</f>
        <v>&lt;valeur&gt;&lt;/valeur&gt;</v>
      </c>
      <c r="K12161" s="1013"/>
    </row>
    <row r="12162" spans="1:11" s="1011" customFormat="1" ht="15" x14ac:dyDescent="0.25">
      <c r="A12162" s="859">
        <f t="shared" si="250"/>
        <v>12161</v>
      </c>
      <c r="B12162" s="845" t="s">
        <v>2564</v>
      </c>
      <c r="C12162" s="1007">
        <f t="shared" si="251"/>
        <v>80</v>
      </c>
      <c r="D12162" s="1015"/>
      <c r="I12162" s="1011" t="str">
        <f>CONCATENATE("&lt;numeroLigne&gt;",C12162,"&lt;/numeroLigne&gt;")</f>
        <v>&lt;numeroLigne&gt;80&lt;/numeroLigne&gt;</v>
      </c>
      <c r="K12162" s="1013"/>
    </row>
    <row r="12163" spans="1:11" s="1011" customFormat="1" ht="15" x14ac:dyDescent="0.25">
      <c r="A12163" s="859">
        <f t="shared" si="250"/>
        <v>12162</v>
      </c>
      <c r="B12163" s="845" t="s">
        <v>2564</v>
      </c>
      <c r="C12163" s="1007">
        <f t="shared" si="251"/>
        <v>80</v>
      </c>
      <c r="D12163" s="1012"/>
      <c r="H12163" s="1011" t="s">
        <v>1010</v>
      </c>
      <c r="K12163" s="1013"/>
    </row>
    <row r="12164" spans="1:11" s="1011" customFormat="1" ht="15" x14ac:dyDescent="0.25">
      <c r="A12164" s="859">
        <f t="shared" ref="A12164:A12227" si="252">+A12163+1</f>
        <v>12163</v>
      </c>
      <c r="B12164" s="845" t="s">
        <v>2564</v>
      </c>
      <c r="C12164" s="1007">
        <f t="shared" si="251"/>
        <v>80</v>
      </c>
      <c r="D12164" s="1012"/>
      <c r="H12164" s="1011" t="s">
        <v>1007</v>
      </c>
      <c r="K12164" s="1013"/>
    </row>
    <row r="12165" spans="1:11" s="1011" customFormat="1" ht="15" x14ac:dyDescent="0.25">
      <c r="A12165" s="859">
        <f t="shared" si="252"/>
        <v>12164</v>
      </c>
      <c r="B12165" s="845" t="s">
        <v>2564</v>
      </c>
      <c r="C12165" s="1007">
        <f t="shared" si="251"/>
        <v>80</v>
      </c>
      <c r="D12165" s="1014"/>
      <c r="I12165" s="1011" t="s">
        <v>2179</v>
      </c>
      <c r="K12165" s="1013"/>
    </row>
    <row r="12166" spans="1:11" s="1011" customFormat="1" ht="15" x14ac:dyDescent="0.25">
      <c r="A12166" s="859">
        <f t="shared" si="252"/>
        <v>12165</v>
      </c>
      <c r="B12166" s="845" t="s">
        <v>2564</v>
      </c>
      <c r="C12166" s="1007">
        <f t="shared" si="251"/>
        <v>80</v>
      </c>
      <c r="D12166" s="1014"/>
      <c r="I12166" s="1011" t="str">
        <f>CONCATENATE("&lt;valeur&gt;",VLOOKUP(C12166,'T16 Amort'!A:K,7,0),"&lt;/valeur&gt;")</f>
        <v>&lt;valeur&gt;&lt;/valeur&gt;</v>
      </c>
      <c r="K12166" s="1013"/>
    </row>
    <row r="12167" spans="1:11" s="1011" customFormat="1" ht="15" x14ac:dyDescent="0.25">
      <c r="A12167" s="859">
        <f t="shared" si="252"/>
        <v>12166</v>
      </c>
      <c r="B12167" s="845" t="s">
        <v>2564</v>
      </c>
      <c r="C12167" s="1007">
        <f t="shared" si="251"/>
        <v>80</v>
      </c>
      <c r="D12167" s="1012"/>
      <c r="I12167" s="1011" t="str">
        <f>CONCATENATE("&lt;numeroLigne&gt;",C12167,"&lt;/numeroLigne&gt;")</f>
        <v>&lt;numeroLigne&gt;80&lt;/numeroLigne&gt;</v>
      </c>
      <c r="K12167" s="1013"/>
    </row>
    <row r="12168" spans="1:11" s="1011" customFormat="1" ht="15" x14ac:dyDescent="0.25">
      <c r="A12168" s="859">
        <f t="shared" si="252"/>
        <v>12167</v>
      </c>
      <c r="B12168" s="845" t="s">
        <v>2564</v>
      </c>
      <c r="C12168" s="1007">
        <f t="shared" si="251"/>
        <v>80</v>
      </c>
      <c r="D12168" s="1015"/>
      <c r="H12168" s="1011" t="s">
        <v>1010</v>
      </c>
      <c r="K12168" s="1013"/>
    </row>
    <row r="12169" spans="1:11" s="1011" customFormat="1" ht="15" x14ac:dyDescent="0.25">
      <c r="A12169" s="859">
        <f t="shared" si="252"/>
        <v>12168</v>
      </c>
      <c r="B12169" s="845" t="s">
        <v>2564</v>
      </c>
      <c r="C12169" s="1007">
        <f t="shared" si="251"/>
        <v>80</v>
      </c>
      <c r="D12169" s="1012"/>
      <c r="H12169" s="1011" t="s">
        <v>1007</v>
      </c>
      <c r="K12169" s="1013"/>
    </row>
    <row r="12170" spans="1:11" s="1011" customFormat="1" ht="15" x14ac:dyDescent="0.25">
      <c r="A12170" s="859">
        <f t="shared" si="252"/>
        <v>12169</v>
      </c>
      <c r="B12170" s="845" t="s">
        <v>2564</v>
      </c>
      <c r="C12170" s="1007">
        <f t="shared" si="251"/>
        <v>80</v>
      </c>
      <c r="D12170" s="1012"/>
      <c r="I12170" s="1011" t="s">
        <v>2180</v>
      </c>
      <c r="K12170" s="1013"/>
    </row>
    <row r="12171" spans="1:11" s="1011" customFormat="1" ht="15" x14ac:dyDescent="0.25">
      <c r="A12171" s="859">
        <f t="shared" si="252"/>
        <v>12170</v>
      </c>
      <c r="B12171" s="845" t="s">
        <v>2564</v>
      </c>
      <c r="C12171" s="1007">
        <f t="shared" si="251"/>
        <v>80</v>
      </c>
      <c r="D12171" s="1014"/>
      <c r="I12171" s="1011" t="str">
        <f>CONCATENATE("&lt;valeur&gt;",VLOOKUP(C12171,'T16 Amort'!A:K,8,0),"&lt;/valeur&gt;")</f>
        <v>&lt;valeur&gt;&lt;/valeur&gt;</v>
      </c>
      <c r="K12171" s="1013"/>
    </row>
    <row r="12172" spans="1:11" s="1011" customFormat="1" ht="15" x14ac:dyDescent="0.25">
      <c r="A12172" s="859">
        <f t="shared" si="252"/>
        <v>12171</v>
      </c>
      <c r="B12172" s="845" t="s">
        <v>2564</v>
      </c>
      <c r="C12172" s="1007">
        <f t="shared" si="251"/>
        <v>80</v>
      </c>
      <c r="D12172" s="1014"/>
      <c r="I12172" s="1011" t="str">
        <f>CONCATENATE("&lt;numeroLigne&gt;",C12172,"&lt;/numeroLigne&gt;")</f>
        <v>&lt;numeroLigne&gt;80&lt;/numeroLigne&gt;</v>
      </c>
      <c r="K12172" s="1013"/>
    </row>
    <row r="12173" spans="1:11" s="1011" customFormat="1" ht="15" x14ac:dyDescent="0.25">
      <c r="A12173" s="859">
        <f t="shared" si="252"/>
        <v>12172</v>
      </c>
      <c r="B12173" s="845" t="s">
        <v>2564</v>
      </c>
      <c r="C12173" s="1007">
        <f t="shared" si="251"/>
        <v>80</v>
      </c>
      <c r="D12173" s="1012"/>
      <c r="H12173" s="1011" t="s">
        <v>1010</v>
      </c>
      <c r="K12173" s="1013"/>
    </row>
    <row r="12174" spans="1:11" s="1011" customFormat="1" ht="15" x14ac:dyDescent="0.25">
      <c r="A12174" s="859">
        <f t="shared" si="252"/>
        <v>12173</v>
      </c>
      <c r="B12174" s="845" t="s">
        <v>2564</v>
      </c>
      <c r="C12174" s="1007">
        <f t="shared" si="251"/>
        <v>80</v>
      </c>
      <c r="D12174" s="1015"/>
      <c r="H12174" s="1011" t="s">
        <v>1007</v>
      </c>
      <c r="K12174" s="1013"/>
    </row>
    <row r="12175" spans="1:11" s="1011" customFormat="1" ht="15" x14ac:dyDescent="0.25">
      <c r="A12175" s="859">
        <f t="shared" si="252"/>
        <v>12174</v>
      </c>
      <c r="B12175" s="845" t="s">
        <v>2564</v>
      </c>
      <c r="C12175" s="1007">
        <f t="shared" si="251"/>
        <v>80</v>
      </c>
      <c r="D12175" s="1012"/>
      <c r="I12175" s="1011" t="s">
        <v>2181</v>
      </c>
      <c r="K12175" s="1013"/>
    </row>
    <row r="12176" spans="1:11" s="1011" customFormat="1" ht="15" x14ac:dyDescent="0.25">
      <c r="A12176" s="859">
        <f t="shared" si="252"/>
        <v>12175</v>
      </c>
      <c r="B12176" s="845" t="s">
        <v>2564</v>
      </c>
      <c r="C12176" s="1007">
        <f t="shared" si="251"/>
        <v>80</v>
      </c>
      <c r="D12176" s="1012"/>
      <c r="I12176" s="1011" t="str">
        <f>CONCATENATE("&lt;valeur&gt;",VLOOKUP(C12176,'T16 Amort'!A:K,9,0),"&lt;/valeur&gt;")</f>
        <v>&lt;valeur&gt;&lt;/valeur&gt;</v>
      </c>
      <c r="K12176" s="1013"/>
    </row>
    <row r="12177" spans="1:11" s="1011" customFormat="1" ht="15" x14ac:dyDescent="0.25">
      <c r="A12177" s="859">
        <f t="shared" si="252"/>
        <v>12176</v>
      </c>
      <c r="B12177" s="845" t="s">
        <v>2564</v>
      </c>
      <c r="C12177" s="1007">
        <f t="shared" si="251"/>
        <v>80</v>
      </c>
      <c r="D12177" s="1014"/>
      <c r="I12177" s="1011" t="str">
        <f>CONCATENATE("&lt;numeroLigne&gt;",C12177,"&lt;/numeroLigne&gt;")</f>
        <v>&lt;numeroLigne&gt;80&lt;/numeroLigne&gt;</v>
      </c>
      <c r="K12177" s="1013"/>
    </row>
    <row r="12178" spans="1:11" s="1011" customFormat="1" ht="15" x14ac:dyDescent="0.25">
      <c r="A12178" s="859">
        <f t="shared" si="252"/>
        <v>12177</v>
      </c>
      <c r="B12178" s="845" t="s">
        <v>2564</v>
      </c>
      <c r="C12178" s="1007">
        <f t="shared" si="251"/>
        <v>80</v>
      </c>
      <c r="D12178" s="1014"/>
      <c r="H12178" s="1011" t="s">
        <v>1010</v>
      </c>
      <c r="K12178" s="1013"/>
    </row>
    <row r="12179" spans="1:11" s="1011" customFormat="1" ht="15" x14ac:dyDescent="0.25">
      <c r="A12179" s="859">
        <f t="shared" si="252"/>
        <v>12178</v>
      </c>
      <c r="B12179" s="845" t="s">
        <v>2564</v>
      </c>
      <c r="C12179" s="1007">
        <f t="shared" si="251"/>
        <v>80</v>
      </c>
      <c r="D12179" s="1012"/>
      <c r="H12179" s="1011" t="s">
        <v>1007</v>
      </c>
      <c r="K12179" s="1013"/>
    </row>
    <row r="12180" spans="1:11" s="1011" customFormat="1" ht="15" x14ac:dyDescent="0.25">
      <c r="A12180" s="859">
        <f t="shared" si="252"/>
        <v>12179</v>
      </c>
      <c r="B12180" s="845" t="s">
        <v>2564</v>
      </c>
      <c r="C12180" s="1007">
        <f t="shared" si="251"/>
        <v>80</v>
      </c>
      <c r="D12180" s="1015"/>
      <c r="I12180" s="1011" t="s">
        <v>2182</v>
      </c>
      <c r="K12180" s="1013"/>
    </row>
    <row r="12181" spans="1:11" s="1011" customFormat="1" ht="15" x14ac:dyDescent="0.25">
      <c r="A12181" s="859">
        <f t="shared" si="252"/>
        <v>12180</v>
      </c>
      <c r="B12181" s="845" t="s">
        <v>2564</v>
      </c>
      <c r="C12181" s="1007">
        <f t="shared" si="251"/>
        <v>80</v>
      </c>
      <c r="D12181" s="1012"/>
      <c r="I12181" s="1011" t="str">
        <f>CONCATENATE("&lt;valeur&gt;",VLOOKUP(C12181,'T16 Amort'!A:K,10,0),"&lt;/valeur&gt;")</f>
        <v>&lt;valeur&gt;&lt;/valeur&gt;</v>
      </c>
      <c r="K12181" s="1013"/>
    </row>
    <row r="12182" spans="1:11" s="1011" customFormat="1" ht="15" x14ac:dyDescent="0.25">
      <c r="A12182" s="859">
        <f t="shared" si="252"/>
        <v>12181</v>
      </c>
      <c r="B12182" s="845" t="s">
        <v>2564</v>
      </c>
      <c r="C12182" s="1007">
        <f t="shared" si="251"/>
        <v>80</v>
      </c>
      <c r="D12182" s="1012"/>
      <c r="I12182" s="1011" t="str">
        <f>CONCATENATE("&lt;numeroLigne&gt;",C12182,"&lt;/numeroLigne&gt;")</f>
        <v>&lt;numeroLigne&gt;80&lt;/numeroLigne&gt;</v>
      </c>
      <c r="K12182" s="1013"/>
    </row>
    <row r="12183" spans="1:11" s="1011" customFormat="1" ht="15" x14ac:dyDescent="0.25">
      <c r="A12183" s="859">
        <f t="shared" si="252"/>
        <v>12182</v>
      </c>
      <c r="B12183" s="845" t="s">
        <v>2564</v>
      </c>
      <c r="C12183" s="1007">
        <f t="shared" si="251"/>
        <v>80</v>
      </c>
      <c r="D12183" s="1014"/>
      <c r="H12183" s="1011" t="s">
        <v>1010</v>
      </c>
      <c r="K12183" s="1013"/>
    </row>
    <row r="12184" spans="1:11" s="1011" customFormat="1" ht="15" x14ac:dyDescent="0.25">
      <c r="A12184" s="859">
        <f t="shared" si="252"/>
        <v>12183</v>
      </c>
      <c r="B12184" s="845" t="s">
        <v>2564</v>
      </c>
      <c r="C12184" s="1007">
        <f t="shared" si="251"/>
        <v>80</v>
      </c>
      <c r="D12184" s="1014"/>
      <c r="H12184" s="1011" t="s">
        <v>1007</v>
      </c>
      <c r="K12184" s="1013"/>
    </row>
    <row r="12185" spans="1:11" s="1011" customFormat="1" ht="15" x14ac:dyDescent="0.25">
      <c r="A12185" s="859">
        <f t="shared" si="252"/>
        <v>12184</v>
      </c>
      <c r="B12185" s="845" t="s">
        <v>2564</v>
      </c>
      <c r="C12185" s="1007">
        <f t="shared" si="251"/>
        <v>80</v>
      </c>
      <c r="D12185" s="1012"/>
      <c r="I12185" s="1011" t="s">
        <v>2183</v>
      </c>
      <c r="K12185" s="1013"/>
    </row>
    <row r="12186" spans="1:11" s="1011" customFormat="1" ht="15" x14ac:dyDescent="0.25">
      <c r="A12186" s="859">
        <f t="shared" si="252"/>
        <v>12185</v>
      </c>
      <c r="B12186" s="845" t="s">
        <v>2564</v>
      </c>
      <c r="C12186" s="1007">
        <f t="shared" si="251"/>
        <v>80</v>
      </c>
      <c r="D12186" s="1015"/>
      <c r="I12186" s="1011" t="str">
        <f>CONCATENATE("&lt;valeur&gt;",VLOOKUP(C12186,'T16 Amort'!A:K,11,0),"&lt;/valeur&gt;")</f>
        <v>&lt;valeur&gt;&lt;/valeur&gt;</v>
      </c>
      <c r="K12186" s="1013"/>
    </row>
    <row r="12187" spans="1:11" s="1011" customFormat="1" ht="15" x14ac:dyDescent="0.25">
      <c r="A12187" s="859">
        <f t="shared" si="252"/>
        <v>12186</v>
      </c>
      <c r="B12187" s="845" t="s">
        <v>2564</v>
      </c>
      <c r="C12187" s="1007">
        <f t="shared" si="251"/>
        <v>80</v>
      </c>
      <c r="D12187" s="1012"/>
      <c r="I12187" s="1011" t="str">
        <f>CONCATENATE("&lt;numeroLigne&gt;",C12187,"&lt;/numeroLigne&gt;")</f>
        <v>&lt;numeroLigne&gt;80&lt;/numeroLigne&gt;</v>
      </c>
      <c r="K12187" s="1013"/>
    </row>
    <row r="12188" spans="1:11" s="1011" customFormat="1" ht="15" x14ac:dyDescent="0.25">
      <c r="A12188" s="859">
        <f t="shared" si="252"/>
        <v>12187</v>
      </c>
      <c r="B12188" s="845" t="s">
        <v>2564</v>
      </c>
      <c r="C12188" s="1007">
        <f t="shared" si="251"/>
        <v>80</v>
      </c>
      <c r="D12188" s="1016"/>
      <c r="E12188" s="1017"/>
      <c r="F12188" s="1017"/>
      <c r="G12188" s="1017"/>
      <c r="H12188" s="1017" t="s">
        <v>1010</v>
      </c>
      <c r="I12188" s="1017"/>
      <c r="J12188" s="1017"/>
      <c r="K12188" s="1018"/>
    </row>
    <row r="12189" spans="1:11" s="1011" customFormat="1" ht="15" x14ac:dyDescent="0.25">
      <c r="A12189" s="859">
        <f t="shared" si="252"/>
        <v>12188</v>
      </c>
      <c r="B12189" s="845" t="s">
        <v>2564</v>
      </c>
      <c r="C12189" s="1007">
        <f t="shared" si="251"/>
        <v>81</v>
      </c>
      <c r="D12189" s="1008"/>
      <c r="E12189" s="1009"/>
      <c r="F12189" s="1009"/>
      <c r="G12189" s="1009"/>
      <c r="H12189" s="1009" t="s">
        <v>1007</v>
      </c>
      <c r="I12189" s="1009"/>
      <c r="J12189" s="1009"/>
      <c r="K12189" s="1010"/>
    </row>
    <row r="12190" spans="1:11" s="1011" customFormat="1" ht="15" x14ac:dyDescent="0.25">
      <c r="A12190" s="859">
        <f t="shared" si="252"/>
        <v>12189</v>
      </c>
      <c r="B12190" s="845" t="s">
        <v>2564</v>
      </c>
      <c r="C12190" s="1007">
        <f t="shared" si="251"/>
        <v>81</v>
      </c>
      <c r="D12190" s="1012"/>
      <c r="I12190" s="1011" t="s">
        <v>2174</v>
      </c>
      <c r="K12190" s="1013"/>
    </row>
    <row r="12191" spans="1:11" s="1011" customFormat="1" ht="15" x14ac:dyDescent="0.25">
      <c r="A12191" s="859">
        <f t="shared" si="252"/>
        <v>12190</v>
      </c>
      <c r="B12191" s="845" t="s">
        <v>2564</v>
      </c>
      <c r="C12191" s="1007">
        <f t="shared" si="251"/>
        <v>81</v>
      </c>
      <c r="D12191" s="1014"/>
      <c r="I12191" s="1011" t="str">
        <f>CONCATENATE("&lt;valeur&gt;",VLOOKUP(C12191,'T16 Amort'!A:K,2,0),"&lt;/valeur&gt;")</f>
        <v>&lt;valeur&gt;&lt;/valeur&gt;</v>
      </c>
      <c r="K12191" s="1013"/>
    </row>
    <row r="12192" spans="1:11" s="1011" customFormat="1" ht="15" x14ac:dyDescent="0.25">
      <c r="A12192" s="859">
        <f t="shared" si="252"/>
        <v>12191</v>
      </c>
      <c r="B12192" s="845" t="s">
        <v>2564</v>
      </c>
      <c r="C12192" s="1007">
        <f t="shared" si="251"/>
        <v>81</v>
      </c>
      <c r="D12192" s="1014"/>
      <c r="I12192" s="1011" t="str">
        <f>CONCATENATE("&lt;numeroLigne&gt;",C12192,"&lt;/numeroLigne&gt;")</f>
        <v>&lt;numeroLigne&gt;81&lt;/numeroLigne&gt;</v>
      </c>
      <c r="K12192" s="1013"/>
    </row>
    <row r="12193" spans="1:11" s="1011" customFormat="1" ht="15" x14ac:dyDescent="0.25">
      <c r="A12193" s="859">
        <f t="shared" si="252"/>
        <v>12192</v>
      </c>
      <c r="B12193" s="845" t="s">
        <v>2564</v>
      </c>
      <c r="C12193" s="1007">
        <f t="shared" si="251"/>
        <v>81</v>
      </c>
      <c r="D12193" s="1012"/>
      <c r="H12193" s="1011" t="s">
        <v>1010</v>
      </c>
      <c r="K12193" s="1013"/>
    </row>
    <row r="12194" spans="1:11" s="1011" customFormat="1" ht="15" x14ac:dyDescent="0.25">
      <c r="A12194" s="859">
        <f t="shared" si="252"/>
        <v>12193</v>
      </c>
      <c r="B12194" s="845" t="s">
        <v>2564</v>
      </c>
      <c r="C12194" s="1007">
        <f t="shared" si="251"/>
        <v>81</v>
      </c>
      <c r="D12194" s="1015"/>
      <c r="H12194" s="1011" t="s">
        <v>1007</v>
      </c>
      <c r="K12194" s="1013"/>
    </row>
    <row r="12195" spans="1:11" s="1011" customFormat="1" ht="15" x14ac:dyDescent="0.25">
      <c r="A12195" s="859">
        <f t="shared" si="252"/>
        <v>12194</v>
      </c>
      <c r="B12195" s="845" t="s">
        <v>2564</v>
      </c>
      <c r="C12195" s="1007">
        <f t="shared" si="251"/>
        <v>81</v>
      </c>
      <c r="D12195" s="1012"/>
      <c r="I12195" s="1011" t="s">
        <v>2175</v>
      </c>
      <c r="K12195" s="1013"/>
    </row>
    <row r="12196" spans="1:11" s="1011" customFormat="1" ht="15" x14ac:dyDescent="0.25">
      <c r="A12196" s="859">
        <f t="shared" si="252"/>
        <v>12195</v>
      </c>
      <c r="B12196" s="845" t="s">
        <v>2564</v>
      </c>
      <c r="C12196" s="1007">
        <f t="shared" si="251"/>
        <v>81</v>
      </c>
      <c r="D12196" s="1012"/>
      <c r="I12196" s="1011" t="str">
        <f>CONCATENATE("&lt;valeur&gt;",VLOOKUP(C12196,'T16 Amort'!A:K,3,0),"&lt;/valeur&gt;")</f>
        <v>&lt;valeur&gt;&lt;/valeur&gt;</v>
      </c>
      <c r="K12196" s="1013"/>
    </row>
    <row r="12197" spans="1:11" s="1011" customFormat="1" ht="15" x14ac:dyDescent="0.25">
      <c r="A12197" s="859">
        <f t="shared" si="252"/>
        <v>12196</v>
      </c>
      <c r="B12197" s="845" t="s">
        <v>2564</v>
      </c>
      <c r="C12197" s="1007">
        <f t="shared" si="251"/>
        <v>81</v>
      </c>
      <c r="D12197" s="1014"/>
      <c r="I12197" s="1011" t="str">
        <f>CONCATENATE("&lt;numeroLigne&gt;",C12197,"&lt;/numeroLigne&gt;")</f>
        <v>&lt;numeroLigne&gt;81&lt;/numeroLigne&gt;</v>
      </c>
      <c r="K12197" s="1013"/>
    </row>
    <row r="12198" spans="1:11" s="1011" customFormat="1" ht="15" x14ac:dyDescent="0.25">
      <c r="A12198" s="859">
        <f t="shared" si="252"/>
        <v>12197</v>
      </c>
      <c r="B12198" s="845" t="s">
        <v>2564</v>
      </c>
      <c r="C12198" s="1007">
        <f t="shared" si="251"/>
        <v>81</v>
      </c>
      <c r="D12198" s="1014"/>
      <c r="H12198" s="1011" t="s">
        <v>1010</v>
      </c>
      <c r="K12198" s="1013"/>
    </row>
    <row r="12199" spans="1:11" s="1011" customFormat="1" ht="15" x14ac:dyDescent="0.25">
      <c r="A12199" s="859">
        <f t="shared" si="252"/>
        <v>12198</v>
      </c>
      <c r="B12199" s="845" t="s">
        <v>2564</v>
      </c>
      <c r="C12199" s="1007">
        <f t="shared" si="251"/>
        <v>81</v>
      </c>
      <c r="D12199" s="1012"/>
      <c r="H12199" s="1011" t="s">
        <v>1007</v>
      </c>
      <c r="K12199" s="1013"/>
    </row>
    <row r="12200" spans="1:11" s="1011" customFormat="1" ht="15" x14ac:dyDescent="0.25">
      <c r="A12200" s="859">
        <f t="shared" si="252"/>
        <v>12199</v>
      </c>
      <c r="B12200" s="845" t="s">
        <v>2564</v>
      </c>
      <c r="C12200" s="1007">
        <f t="shared" si="251"/>
        <v>81</v>
      </c>
      <c r="D12200" s="1015"/>
      <c r="I12200" s="1011" t="s">
        <v>2176</v>
      </c>
      <c r="K12200" s="1013"/>
    </row>
    <row r="12201" spans="1:11" s="1011" customFormat="1" ht="15" x14ac:dyDescent="0.25">
      <c r="A12201" s="859">
        <f t="shared" si="252"/>
        <v>12200</v>
      </c>
      <c r="B12201" s="845" t="s">
        <v>2564</v>
      </c>
      <c r="C12201" s="1007">
        <f t="shared" si="251"/>
        <v>81</v>
      </c>
      <c r="D12201" s="1012"/>
      <c r="I12201" s="1011" t="str">
        <f>CONCATENATE("&lt;valeur&gt;",VLOOKUP(C12201,'T16 Amort'!A:K,4,0),"&lt;/valeur&gt;")</f>
        <v>&lt;valeur&gt;&lt;/valeur&gt;</v>
      </c>
      <c r="K12201" s="1013"/>
    </row>
    <row r="12202" spans="1:11" s="1011" customFormat="1" ht="15" x14ac:dyDescent="0.25">
      <c r="A12202" s="859">
        <f t="shared" si="252"/>
        <v>12201</v>
      </c>
      <c r="B12202" s="845" t="s">
        <v>2564</v>
      </c>
      <c r="C12202" s="1007">
        <f t="shared" si="251"/>
        <v>81</v>
      </c>
      <c r="D12202" s="1012"/>
      <c r="I12202" s="1011" t="str">
        <f>CONCATENATE("&lt;numeroLigne&gt;",C12202,"&lt;/numeroLigne&gt;")</f>
        <v>&lt;numeroLigne&gt;81&lt;/numeroLigne&gt;</v>
      </c>
      <c r="K12202" s="1013"/>
    </row>
    <row r="12203" spans="1:11" s="1011" customFormat="1" ht="15" x14ac:dyDescent="0.25">
      <c r="A12203" s="859">
        <f t="shared" si="252"/>
        <v>12202</v>
      </c>
      <c r="B12203" s="845" t="s">
        <v>2564</v>
      </c>
      <c r="C12203" s="1007">
        <f t="shared" si="251"/>
        <v>81</v>
      </c>
      <c r="D12203" s="1014"/>
      <c r="H12203" s="1011" t="s">
        <v>1010</v>
      </c>
      <c r="K12203" s="1013"/>
    </row>
    <row r="12204" spans="1:11" s="1011" customFormat="1" ht="15" x14ac:dyDescent="0.25">
      <c r="A12204" s="859">
        <f t="shared" si="252"/>
        <v>12203</v>
      </c>
      <c r="B12204" s="845" t="s">
        <v>2564</v>
      </c>
      <c r="C12204" s="1007">
        <f t="shared" si="251"/>
        <v>81</v>
      </c>
      <c r="D12204" s="1014"/>
      <c r="H12204" s="1011" t="s">
        <v>1007</v>
      </c>
      <c r="K12204" s="1013"/>
    </row>
    <row r="12205" spans="1:11" s="1011" customFormat="1" ht="15" x14ac:dyDescent="0.25">
      <c r="A12205" s="859">
        <f t="shared" si="252"/>
        <v>12204</v>
      </c>
      <c r="B12205" s="845" t="s">
        <v>2564</v>
      </c>
      <c r="C12205" s="1007">
        <f t="shared" si="251"/>
        <v>81</v>
      </c>
      <c r="D12205" s="1012"/>
      <c r="I12205" s="1011" t="s">
        <v>2177</v>
      </c>
      <c r="K12205" s="1013"/>
    </row>
    <row r="12206" spans="1:11" s="1011" customFormat="1" ht="15" x14ac:dyDescent="0.25">
      <c r="A12206" s="859">
        <f t="shared" si="252"/>
        <v>12205</v>
      </c>
      <c r="B12206" s="845" t="s">
        <v>2564</v>
      </c>
      <c r="C12206" s="1007">
        <f t="shared" si="251"/>
        <v>81</v>
      </c>
      <c r="D12206" s="1015"/>
      <c r="I12206" s="1011" t="str">
        <f>CONCATENATE("&lt;valeur&gt;",VLOOKUP(C12206,'T16 Amort'!A:K,5,0),"&lt;/valeur&gt;")</f>
        <v>&lt;valeur&gt;&lt;/valeur&gt;</v>
      </c>
      <c r="K12206" s="1013"/>
    </row>
    <row r="12207" spans="1:11" s="1011" customFormat="1" ht="15" x14ac:dyDescent="0.25">
      <c r="A12207" s="859">
        <f t="shared" si="252"/>
        <v>12206</v>
      </c>
      <c r="B12207" s="845" t="s">
        <v>2564</v>
      </c>
      <c r="C12207" s="1007">
        <f t="shared" ref="C12207:C12270" si="253">C12157+1</f>
        <v>81</v>
      </c>
      <c r="D12207" s="1012"/>
      <c r="I12207" s="1011" t="str">
        <f>CONCATENATE("&lt;numeroLigne&gt;",C12207,"&lt;/numeroLigne&gt;")</f>
        <v>&lt;numeroLigne&gt;81&lt;/numeroLigne&gt;</v>
      </c>
      <c r="K12207" s="1013"/>
    </row>
    <row r="12208" spans="1:11" s="1011" customFormat="1" ht="15" x14ac:dyDescent="0.25">
      <c r="A12208" s="859">
        <f t="shared" si="252"/>
        <v>12207</v>
      </c>
      <c r="B12208" s="845" t="s">
        <v>2564</v>
      </c>
      <c r="C12208" s="1007">
        <f t="shared" si="253"/>
        <v>81</v>
      </c>
      <c r="D12208" s="1012"/>
      <c r="H12208" s="1011" t="s">
        <v>1010</v>
      </c>
      <c r="K12208" s="1013"/>
    </row>
    <row r="12209" spans="1:11" s="1011" customFormat="1" ht="15" x14ac:dyDescent="0.25">
      <c r="A12209" s="859">
        <f t="shared" si="252"/>
        <v>12208</v>
      </c>
      <c r="B12209" s="845" t="s">
        <v>2564</v>
      </c>
      <c r="C12209" s="1007">
        <f t="shared" si="253"/>
        <v>81</v>
      </c>
      <c r="D12209" s="1014"/>
      <c r="H12209" s="1011" t="s">
        <v>1007</v>
      </c>
      <c r="K12209" s="1013"/>
    </row>
    <row r="12210" spans="1:11" s="1011" customFormat="1" ht="15" x14ac:dyDescent="0.25">
      <c r="A12210" s="859">
        <f t="shared" si="252"/>
        <v>12209</v>
      </c>
      <c r="B12210" s="845" t="s">
        <v>2564</v>
      </c>
      <c r="C12210" s="1007">
        <f t="shared" si="253"/>
        <v>81</v>
      </c>
      <c r="D12210" s="1014"/>
      <c r="I12210" s="1011" t="s">
        <v>2178</v>
      </c>
      <c r="K12210" s="1013"/>
    </row>
    <row r="12211" spans="1:11" s="1011" customFormat="1" ht="15" x14ac:dyDescent="0.25">
      <c r="A12211" s="859">
        <f t="shared" si="252"/>
        <v>12210</v>
      </c>
      <c r="B12211" s="845" t="s">
        <v>2564</v>
      </c>
      <c r="C12211" s="1007">
        <f t="shared" si="253"/>
        <v>81</v>
      </c>
      <c r="D12211" s="1012"/>
      <c r="I12211" s="1011" t="str">
        <f>CONCATENATE("&lt;valeur&gt;",VLOOKUP(C12211,'T16 Amort'!A:K,6,0),"&lt;/valeur&gt;")</f>
        <v>&lt;valeur&gt;&lt;/valeur&gt;</v>
      </c>
      <c r="K12211" s="1013"/>
    </row>
    <row r="12212" spans="1:11" s="1011" customFormat="1" ht="15" x14ac:dyDescent="0.25">
      <c r="A12212" s="859">
        <f t="shared" si="252"/>
        <v>12211</v>
      </c>
      <c r="B12212" s="845" t="s">
        <v>2564</v>
      </c>
      <c r="C12212" s="1007">
        <f t="shared" si="253"/>
        <v>81</v>
      </c>
      <c r="D12212" s="1015"/>
      <c r="I12212" s="1011" t="str">
        <f>CONCATENATE("&lt;numeroLigne&gt;",C12212,"&lt;/numeroLigne&gt;")</f>
        <v>&lt;numeroLigne&gt;81&lt;/numeroLigne&gt;</v>
      </c>
      <c r="K12212" s="1013"/>
    </row>
    <row r="12213" spans="1:11" s="1011" customFormat="1" ht="15" x14ac:dyDescent="0.25">
      <c r="A12213" s="859">
        <f t="shared" si="252"/>
        <v>12212</v>
      </c>
      <c r="B12213" s="845" t="s">
        <v>2564</v>
      </c>
      <c r="C12213" s="1007">
        <f t="shared" si="253"/>
        <v>81</v>
      </c>
      <c r="D12213" s="1012"/>
      <c r="H12213" s="1011" t="s">
        <v>1010</v>
      </c>
      <c r="K12213" s="1013"/>
    </row>
    <row r="12214" spans="1:11" s="1011" customFormat="1" ht="15" x14ac:dyDescent="0.25">
      <c r="A12214" s="859">
        <f t="shared" si="252"/>
        <v>12213</v>
      </c>
      <c r="B12214" s="845" t="s">
        <v>2564</v>
      </c>
      <c r="C12214" s="1007">
        <f t="shared" si="253"/>
        <v>81</v>
      </c>
      <c r="D12214" s="1012"/>
      <c r="H12214" s="1011" t="s">
        <v>1007</v>
      </c>
      <c r="K12214" s="1013"/>
    </row>
    <row r="12215" spans="1:11" s="1011" customFormat="1" ht="15" x14ac:dyDescent="0.25">
      <c r="A12215" s="859">
        <f t="shared" si="252"/>
        <v>12214</v>
      </c>
      <c r="B12215" s="845" t="s">
        <v>2564</v>
      </c>
      <c r="C12215" s="1007">
        <f t="shared" si="253"/>
        <v>81</v>
      </c>
      <c r="D12215" s="1014"/>
      <c r="I12215" s="1011" t="s">
        <v>2179</v>
      </c>
      <c r="K12215" s="1013"/>
    </row>
    <row r="12216" spans="1:11" s="1011" customFormat="1" ht="15" x14ac:dyDescent="0.25">
      <c r="A12216" s="859">
        <f t="shared" si="252"/>
        <v>12215</v>
      </c>
      <c r="B12216" s="845" t="s">
        <v>2564</v>
      </c>
      <c r="C12216" s="1007">
        <f t="shared" si="253"/>
        <v>81</v>
      </c>
      <c r="D12216" s="1014"/>
      <c r="I12216" s="1011" t="str">
        <f>CONCATENATE("&lt;valeur&gt;",VLOOKUP(C12216,'T16 Amort'!A:K,7,0),"&lt;/valeur&gt;")</f>
        <v>&lt;valeur&gt;&lt;/valeur&gt;</v>
      </c>
      <c r="K12216" s="1013"/>
    </row>
    <row r="12217" spans="1:11" s="1011" customFormat="1" ht="15" x14ac:dyDescent="0.25">
      <c r="A12217" s="859">
        <f t="shared" si="252"/>
        <v>12216</v>
      </c>
      <c r="B12217" s="845" t="s">
        <v>2564</v>
      </c>
      <c r="C12217" s="1007">
        <f t="shared" si="253"/>
        <v>81</v>
      </c>
      <c r="D12217" s="1012"/>
      <c r="I12217" s="1011" t="str">
        <f>CONCATENATE("&lt;numeroLigne&gt;",C12217,"&lt;/numeroLigne&gt;")</f>
        <v>&lt;numeroLigne&gt;81&lt;/numeroLigne&gt;</v>
      </c>
      <c r="K12217" s="1013"/>
    </row>
    <row r="12218" spans="1:11" s="1011" customFormat="1" ht="15" x14ac:dyDescent="0.25">
      <c r="A12218" s="859">
        <f t="shared" si="252"/>
        <v>12217</v>
      </c>
      <c r="B12218" s="845" t="s">
        <v>2564</v>
      </c>
      <c r="C12218" s="1007">
        <f t="shared" si="253"/>
        <v>81</v>
      </c>
      <c r="D12218" s="1015"/>
      <c r="H12218" s="1011" t="s">
        <v>1010</v>
      </c>
      <c r="K12218" s="1013"/>
    </row>
    <row r="12219" spans="1:11" s="1011" customFormat="1" ht="15" x14ac:dyDescent="0.25">
      <c r="A12219" s="859">
        <f t="shared" si="252"/>
        <v>12218</v>
      </c>
      <c r="B12219" s="845" t="s">
        <v>2564</v>
      </c>
      <c r="C12219" s="1007">
        <f t="shared" si="253"/>
        <v>81</v>
      </c>
      <c r="D12219" s="1012"/>
      <c r="H12219" s="1011" t="s">
        <v>1007</v>
      </c>
      <c r="K12219" s="1013"/>
    </row>
    <row r="12220" spans="1:11" s="1011" customFormat="1" ht="15" x14ac:dyDescent="0.25">
      <c r="A12220" s="859">
        <f t="shared" si="252"/>
        <v>12219</v>
      </c>
      <c r="B12220" s="845" t="s">
        <v>2564</v>
      </c>
      <c r="C12220" s="1007">
        <f t="shared" si="253"/>
        <v>81</v>
      </c>
      <c r="D12220" s="1012"/>
      <c r="I12220" s="1011" t="s">
        <v>2180</v>
      </c>
      <c r="K12220" s="1013"/>
    </row>
    <row r="12221" spans="1:11" s="1011" customFormat="1" ht="15" x14ac:dyDescent="0.25">
      <c r="A12221" s="859">
        <f t="shared" si="252"/>
        <v>12220</v>
      </c>
      <c r="B12221" s="845" t="s">
        <v>2564</v>
      </c>
      <c r="C12221" s="1007">
        <f t="shared" si="253"/>
        <v>81</v>
      </c>
      <c r="D12221" s="1014"/>
      <c r="I12221" s="1011" t="str">
        <f>CONCATENATE("&lt;valeur&gt;",VLOOKUP(C12221,'T16 Amort'!A:K,8,0),"&lt;/valeur&gt;")</f>
        <v>&lt;valeur&gt;&lt;/valeur&gt;</v>
      </c>
      <c r="K12221" s="1013"/>
    </row>
    <row r="12222" spans="1:11" s="1011" customFormat="1" ht="15" x14ac:dyDescent="0.25">
      <c r="A12222" s="859">
        <f t="shared" si="252"/>
        <v>12221</v>
      </c>
      <c r="B12222" s="845" t="s">
        <v>2564</v>
      </c>
      <c r="C12222" s="1007">
        <f t="shared" si="253"/>
        <v>81</v>
      </c>
      <c r="D12222" s="1014"/>
      <c r="I12222" s="1011" t="str">
        <f>CONCATENATE("&lt;numeroLigne&gt;",C12222,"&lt;/numeroLigne&gt;")</f>
        <v>&lt;numeroLigne&gt;81&lt;/numeroLigne&gt;</v>
      </c>
      <c r="K12222" s="1013"/>
    </row>
    <row r="12223" spans="1:11" s="1011" customFormat="1" ht="15" x14ac:dyDescent="0.25">
      <c r="A12223" s="859">
        <f t="shared" si="252"/>
        <v>12222</v>
      </c>
      <c r="B12223" s="845" t="s">
        <v>2564</v>
      </c>
      <c r="C12223" s="1007">
        <f t="shared" si="253"/>
        <v>81</v>
      </c>
      <c r="D12223" s="1012"/>
      <c r="H12223" s="1011" t="s">
        <v>1010</v>
      </c>
      <c r="K12223" s="1013"/>
    </row>
    <row r="12224" spans="1:11" s="1011" customFormat="1" ht="15" x14ac:dyDescent="0.25">
      <c r="A12224" s="859">
        <f t="shared" si="252"/>
        <v>12223</v>
      </c>
      <c r="B12224" s="845" t="s">
        <v>2564</v>
      </c>
      <c r="C12224" s="1007">
        <f t="shared" si="253"/>
        <v>81</v>
      </c>
      <c r="D12224" s="1015"/>
      <c r="H12224" s="1011" t="s">
        <v>1007</v>
      </c>
      <c r="K12224" s="1013"/>
    </row>
    <row r="12225" spans="1:11" s="1011" customFormat="1" ht="15" x14ac:dyDescent="0.25">
      <c r="A12225" s="859">
        <f t="shared" si="252"/>
        <v>12224</v>
      </c>
      <c r="B12225" s="845" t="s">
        <v>2564</v>
      </c>
      <c r="C12225" s="1007">
        <f t="shared" si="253"/>
        <v>81</v>
      </c>
      <c r="D12225" s="1012"/>
      <c r="I12225" s="1011" t="s">
        <v>2181</v>
      </c>
      <c r="K12225" s="1013"/>
    </row>
    <row r="12226" spans="1:11" s="1011" customFormat="1" ht="15" x14ac:dyDescent="0.25">
      <c r="A12226" s="859">
        <f t="shared" si="252"/>
        <v>12225</v>
      </c>
      <c r="B12226" s="845" t="s">
        <v>2564</v>
      </c>
      <c r="C12226" s="1007">
        <f t="shared" si="253"/>
        <v>81</v>
      </c>
      <c r="D12226" s="1012"/>
      <c r="I12226" s="1011" t="str">
        <f>CONCATENATE("&lt;valeur&gt;",VLOOKUP(C12226,'T16 Amort'!A:K,9,0),"&lt;/valeur&gt;")</f>
        <v>&lt;valeur&gt;&lt;/valeur&gt;</v>
      </c>
      <c r="K12226" s="1013"/>
    </row>
    <row r="12227" spans="1:11" s="1011" customFormat="1" ht="15" x14ac:dyDescent="0.25">
      <c r="A12227" s="859">
        <f t="shared" si="252"/>
        <v>12226</v>
      </c>
      <c r="B12227" s="845" t="s">
        <v>2564</v>
      </c>
      <c r="C12227" s="1007">
        <f t="shared" si="253"/>
        <v>81</v>
      </c>
      <c r="D12227" s="1014"/>
      <c r="I12227" s="1011" t="str">
        <f>CONCATENATE("&lt;numeroLigne&gt;",C12227,"&lt;/numeroLigne&gt;")</f>
        <v>&lt;numeroLigne&gt;81&lt;/numeroLigne&gt;</v>
      </c>
      <c r="K12227" s="1013"/>
    </row>
    <row r="12228" spans="1:11" s="1011" customFormat="1" ht="15" x14ac:dyDescent="0.25">
      <c r="A12228" s="859">
        <f t="shared" ref="A12228:A12291" si="254">+A12227+1</f>
        <v>12227</v>
      </c>
      <c r="B12228" s="845" t="s">
        <v>2564</v>
      </c>
      <c r="C12228" s="1007">
        <f t="shared" si="253"/>
        <v>81</v>
      </c>
      <c r="D12228" s="1014"/>
      <c r="H12228" s="1011" t="s">
        <v>1010</v>
      </c>
      <c r="K12228" s="1013"/>
    </row>
    <row r="12229" spans="1:11" s="1011" customFormat="1" ht="15" x14ac:dyDescent="0.25">
      <c r="A12229" s="859">
        <f t="shared" si="254"/>
        <v>12228</v>
      </c>
      <c r="B12229" s="845" t="s">
        <v>2564</v>
      </c>
      <c r="C12229" s="1007">
        <f t="shared" si="253"/>
        <v>81</v>
      </c>
      <c r="D12229" s="1012"/>
      <c r="H12229" s="1011" t="s">
        <v>1007</v>
      </c>
      <c r="K12229" s="1013"/>
    </row>
    <row r="12230" spans="1:11" s="1011" customFormat="1" ht="15" x14ac:dyDescent="0.25">
      <c r="A12230" s="859">
        <f t="shared" si="254"/>
        <v>12229</v>
      </c>
      <c r="B12230" s="845" t="s">
        <v>2564</v>
      </c>
      <c r="C12230" s="1007">
        <f t="shared" si="253"/>
        <v>81</v>
      </c>
      <c r="D12230" s="1015"/>
      <c r="I12230" s="1011" t="s">
        <v>2182</v>
      </c>
      <c r="K12230" s="1013"/>
    </row>
    <row r="12231" spans="1:11" s="1011" customFormat="1" ht="15" x14ac:dyDescent="0.25">
      <c r="A12231" s="859">
        <f t="shared" si="254"/>
        <v>12230</v>
      </c>
      <c r="B12231" s="845" t="s">
        <v>2564</v>
      </c>
      <c r="C12231" s="1007">
        <f t="shared" si="253"/>
        <v>81</v>
      </c>
      <c r="D12231" s="1012"/>
      <c r="I12231" s="1011" t="str">
        <f>CONCATENATE("&lt;valeur&gt;",VLOOKUP(C12231,'T16 Amort'!A:K,10,0),"&lt;/valeur&gt;")</f>
        <v>&lt;valeur&gt;&lt;/valeur&gt;</v>
      </c>
      <c r="K12231" s="1013"/>
    </row>
    <row r="12232" spans="1:11" s="1011" customFormat="1" ht="15" x14ac:dyDescent="0.25">
      <c r="A12232" s="859">
        <f t="shared" si="254"/>
        <v>12231</v>
      </c>
      <c r="B12232" s="845" t="s">
        <v>2564</v>
      </c>
      <c r="C12232" s="1007">
        <f t="shared" si="253"/>
        <v>81</v>
      </c>
      <c r="D12232" s="1012"/>
      <c r="I12232" s="1011" t="str">
        <f>CONCATENATE("&lt;numeroLigne&gt;",C12232,"&lt;/numeroLigne&gt;")</f>
        <v>&lt;numeroLigne&gt;81&lt;/numeroLigne&gt;</v>
      </c>
      <c r="K12232" s="1013"/>
    </row>
    <row r="12233" spans="1:11" s="1011" customFormat="1" ht="15" x14ac:dyDescent="0.25">
      <c r="A12233" s="859">
        <f t="shared" si="254"/>
        <v>12232</v>
      </c>
      <c r="B12233" s="845" t="s">
        <v>2564</v>
      </c>
      <c r="C12233" s="1007">
        <f t="shared" si="253"/>
        <v>81</v>
      </c>
      <c r="D12233" s="1014"/>
      <c r="H12233" s="1011" t="s">
        <v>1010</v>
      </c>
      <c r="K12233" s="1013"/>
    </row>
    <row r="12234" spans="1:11" s="1011" customFormat="1" ht="15" x14ac:dyDescent="0.25">
      <c r="A12234" s="859">
        <f t="shared" si="254"/>
        <v>12233</v>
      </c>
      <c r="B12234" s="845" t="s">
        <v>2564</v>
      </c>
      <c r="C12234" s="1007">
        <f t="shared" si="253"/>
        <v>81</v>
      </c>
      <c r="D12234" s="1014"/>
      <c r="H12234" s="1011" t="s">
        <v>1007</v>
      </c>
      <c r="K12234" s="1013"/>
    </row>
    <row r="12235" spans="1:11" s="1011" customFormat="1" ht="15" x14ac:dyDescent="0.25">
      <c r="A12235" s="859">
        <f t="shared" si="254"/>
        <v>12234</v>
      </c>
      <c r="B12235" s="845" t="s">
        <v>2564</v>
      </c>
      <c r="C12235" s="1007">
        <f t="shared" si="253"/>
        <v>81</v>
      </c>
      <c r="D12235" s="1012"/>
      <c r="I12235" s="1011" t="s">
        <v>2183</v>
      </c>
      <c r="K12235" s="1013"/>
    </row>
    <row r="12236" spans="1:11" s="1011" customFormat="1" ht="15" x14ac:dyDescent="0.25">
      <c r="A12236" s="859">
        <f t="shared" si="254"/>
        <v>12235</v>
      </c>
      <c r="B12236" s="845" t="s">
        <v>2564</v>
      </c>
      <c r="C12236" s="1007">
        <f t="shared" si="253"/>
        <v>81</v>
      </c>
      <c r="D12236" s="1015"/>
      <c r="I12236" s="1011" t="str">
        <f>CONCATENATE("&lt;valeur&gt;",VLOOKUP(C12236,'T16 Amort'!A:K,11,0),"&lt;/valeur&gt;")</f>
        <v>&lt;valeur&gt;&lt;/valeur&gt;</v>
      </c>
      <c r="K12236" s="1013"/>
    </row>
    <row r="12237" spans="1:11" s="1011" customFormat="1" ht="15" x14ac:dyDescent="0.25">
      <c r="A12237" s="859">
        <f t="shared" si="254"/>
        <v>12236</v>
      </c>
      <c r="B12237" s="845" t="s">
        <v>2564</v>
      </c>
      <c r="C12237" s="1007">
        <f t="shared" si="253"/>
        <v>81</v>
      </c>
      <c r="D12237" s="1012"/>
      <c r="I12237" s="1011" t="str">
        <f>CONCATENATE("&lt;numeroLigne&gt;",C12237,"&lt;/numeroLigne&gt;")</f>
        <v>&lt;numeroLigne&gt;81&lt;/numeroLigne&gt;</v>
      </c>
      <c r="K12237" s="1013"/>
    </row>
    <row r="12238" spans="1:11" s="1011" customFormat="1" ht="15" x14ac:dyDescent="0.25">
      <c r="A12238" s="859">
        <f t="shared" si="254"/>
        <v>12237</v>
      </c>
      <c r="B12238" s="845" t="s">
        <v>2564</v>
      </c>
      <c r="C12238" s="1007">
        <f t="shared" si="253"/>
        <v>81</v>
      </c>
      <c r="D12238" s="1016"/>
      <c r="E12238" s="1017"/>
      <c r="F12238" s="1017"/>
      <c r="G12238" s="1017"/>
      <c r="H12238" s="1017" t="s">
        <v>1010</v>
      </c>
      <c r="I12238" s="1017"/>
      <c r="J12238" s="1017"/>
      <c r="K12238" s="1018"/>
    </row>
    <row r="12239" spans="1:11" s="1011" customFormat="1" ht="15" x14ac:dyDescent="0.25">
      <c r="A12239" s="859">
        <f t="shared" si="254"/>
        <v>12238</v>
      </c>
      <c r="B12239" s="845" t="s">
        <v>2564</v>
      </c>
      <c r="C12239" s="1007">
        <f t="shared" si="253"/>
        <v>82</v>
      </c>
      <c r="D12239" s="1008"/>
      <c r="E12239" s="1009"/>
      <c r="F12239" s="1009"/>
      <c r="G12239" s="1009"/>
      <c r="H12239" s="1009" t="s">
        <v>1007</v>
      </c>
      <c r="I12239" s="1009"/>
      <c r="J12239" s="1009"/>
      <c r="K12239" s="1010"/>
    </row>
    <row r="12240" spans="1:11" s="1011" customFormat="1" ht="15" x14ac:dyDescent="0.25">
      <c r="A12240" s="859">
        <f t="shared" si="254"/>
        <v>12239</v>
      </c>
      <c r="B12240" s="845" t="s">
        <v>2564</v>
      </c>
      <c r="C12240" s="1007">
        <f t="shared" si="253"/>
        <v>82</v>
      </c>
      <c r="D12240" s="1012"/>
      <c r="I12240" s="1011" t="s">
        <v>2174</v>
      </c>
      <c r="K12240" s="1013"/>
    </row>
    <row r="12241" spans="1:11" s="1011" customFormat="1" ht="15" x14ac:dyDescent="0.25">
      <c r="A12241" s="859">
        <f t="shared" si="254"/>
        <v>12240</v>
      </c>
      <c r="B12241" s="845" t="s">
        <v>2564</v>
      </c>
      <c r="C12241" s="1007">
        <f t="shared" si="253"/>
        <v>82</v>
      </c>
      <c r="D12241" s="1014"/>
      <c r="I12241" s="1011" t="str">
        <f>CONCATENATE("&lt;valeur&gt;",VLOOKUP(C12241,'T16 Amort'!A:K,2,0),"&lt;/valeur&gt;")</f>
        <v>&lt;valeur&gt;&lt;/valeur&gt;</v>
      </c>
      <c r="K12241" s="1013"/>
    </row>
    <row r="12242" spans="1:11" s="1011" customFormat="1" ht="15" x14ac:dyDescent="0.25">
      <c r="A12242" s="859">
        <f t="shared" si="254"/>
        <v>12241</v>
      </c>
      <c r="B12242" s="845" t="s">
        <v>2564</v>
      </c>
      <c r="C12242" s="1007">
        <f t="shared" si="253"/>
        <v>82</v>
      </c>
      <c r="D12242" s="1014"/>
      <c r="I12242" s="1011" t="str">
        <f>CONCATENATE("&lt;numeroLigne&gt;",C12242,"&lt;/numeroLigne&gt;")</f>
        <v>&lt;numeroLigne&gt;82&lt;/numeroLigne&gt;</v>
      </c>
      <c r="K12242" s="1013"/>
    </row>
    <row r="12243" spans="1:11" s="1011" customFormat="1" ht="15" x14ac:dyDescent="0.25">
      <c r="A12243" s="859">
        <f t="shared" si="254"/>
        <v>12242</v>
      </c>
      <c r="B12243" s="845" t="s">
        <v>2564</v>
      </c>
      <c r="C12243" s="1007">
        <f t="shared" si="253"/>
        <v>82</v>
      </c>
      <c r="D12243" s="1012"/>
      <c r="H12243" s="1011" t="s">
        <v>1010</v>
      </c>
      <c r="K12243" s="1013"/>
    </row>
    <row r="12244" spans="1:11" s="1011" customFormat="1" ht="15" x14ac:dyDescent="0.25">
      <c r="A12244" s="859">
        <f t="shared" si="254"/>
        <v>12243</v>
      </c>
      <c r="B12244" s="845" t="s">
        <v>2564</v>
      </c>
      <c r="C12244" s="1007">
        <f t="shared" si="253"/>
        <v>82</v>
      </c>
      <c r="D12244" s="1015"/>
      <c r="H12244" s="1011" t="s">
        <v>1007</v>
      </c>
      <c r="K12244" s="1013"/>
    </row>
    <row r="12245" spans="1:11" s="1011" customFormat="1" ht="15" x14ac:dyDescent="0.25">
      <c r="A12245" s="859">
        <f t="shared" si="254"/>
        <v>12244</v>
      </c>
      <c r="B12245" s="845" t="s">
        <v>2564</v>
      </c>
      <c r="C12245" s="1007">
        <f t="shared" si="253"/>
        <v>82</v>
      </c>
      <c r="D12245" s="1012"/>
      <c r="I12245" s="1011" t="s">
        <v>2175</v>
      </c>
      <c r="K12245" s="1013"/>
    </row>
    <row r="12246" spans="1:11" s="1011" customFormat="1" ht="15" x14ac:dyDescent="0.25">
      <c r="A12246" s="859">
        <f t="shared" si="254"/>
        <v>12245</v>
      </c>
      <c r="B12246" s="845" t="s">
        <v>2564</v>
      </c>
      <c r="C12246" s="1007">
        <f t="shared" si="253"/>
        <v>82</v>
      </c>
      <c r="D12246" s="1012"/>
      <c r="I12246" s="1011" t="str">
        <f>CONCATENATE("&lt;valeur&gt;",VLOOKUP(C12246,'T16 Amort'!A:K,3,0),"&lt;/valeur&gt;")</f>
        <v>&lt;valeur&gt;&lt;/valeur&gt;</v>
      </c>
      <c r="K12246" s="1013"/>
    </row>
    <row r="12247" spans="1:11" s="1011" customFormat="1" ht="15" x14ac:dyDescent="0.25">
      <c r="A12247" s="859">
        <f t="shared" si="254"/>
        <v>12246</v>
      </c>
      <c r="B12247" s="845" t="s">
        <v>2564</v>
      </c>
      <c r="C12247" s="1007">
        <f t="shared" si="253"/>
        <v>82</v>
      </c>
      <c r="D12247" s="1014"/>
      <c r="I12247" s="1011" t="str">
        <f>CONCATENATE("&lt;numeroLigne&gt;",C12247,"&lt;/numeroLigne&gt;")</f>
        <v>&lt;numeroLigne&gt;82&lt;/numeroLigne&gt;</v>
      </c>
      <c r="K12247" s="1013"/>
    </row>
    <row r="12248" spans="1:11" s="1011" customFormat="1" ht="15" x14ac:dyDescent="0.25">
      <c r="A12248" s="859">
        <f t="shared" si="254"/>
        <v>12247</v>
      </c>
      <c r="B12248" s="845" t="s">
        <v>2564</v>
      </c>
      <c r="C12248" s="1007">
        <f t="shared" si="253"/>
        <v>82</v>
      </c>
      <c r="D12248" s="1014"/>
      <c r="H12248" s="1011" t="s">
        <v>1010</v>
      </c>
      <c r="K12248" s="1013"/>
    </row>
    <row r="12249" spans="1:11" s="1011" customFormat="1" ht="15" x14ac:dyDescent="0.25">
      <c r="A12249" s="859">
        <f t="shared" si="254"/>
        <v>12248</v>
      </c>
      <c r="B12249" s="845" t="s">
        <v>2564</v>
      </c>
      <c r="C12249" s="1007">
        <f t="shared" si="253"/>
        <v>82</v>
      </c>
      <c r="D12249" s="1012"/>
      <c r="H12249" s="1011" t="s">
        <v>1007</v>
      </c>
      <c r="K12249" s="1013"/>
    </row>
    <row r="12250" spans="1:11" s="1011" customFormat="1" ht="15" x14ac:dyDescent="0.25">
      <c r="A12250" s="859">
        <f t="shared" si="254"/>
        <v>12249</v>
      </c>
      <c r="B12250" s="845" t="s">
        <v>2564</v>
      </c>
      <c r="C12250" s="1007">
        <f t="shared" si="253"/>
        <v>82</v>
      </c>
      <c r="D12250" s="1015"/>
      <c r="I12250" s="1011" t="s">
        <v>2176</v>
      </c>
      <c r="K12250" s="1013"/>
    </row>
    <row r="12251" spans="1:11" s="1011" customFormat="1" ht="15" x14ac:dyDescent="0.25">
      <c r="A12251" s="859">
        <f t="shared" si="254"/>
        <v>12250</v>
      </c>
      <c r="B12251" s="845" t="s">
        <v>2564</v>
      </c>
      <c r="C12251" s="1007">
        <f t="shared" si="253"/>
        <v>82</v>
      </c>
      <c r="D12251" s="1012"/>
      <c r="I12251" s="1011" t="str">
        <f>CONCATENATE("&lt;valeur&gt;",VLOOKUP(C12251,'T16 Amort'!A:K,4,0),"&lt;/valeur&gt;")</f>
        <v>&lt;valeur&gt;&lt;/valeur&gt;</v>
      </c>
      <c r="K12251" s="1013"/>
    </row>
    <row r="12252" spans="1:11" s="1011" customFormat="1" ht="15" x14ac:dyDescent="0.25">
      <c r="A12252" s="859">
        <f t="shared" si="254"/>
        <v>12251</v>
      </c>
      <c r="B12252" s="845" t="s">
        <v>2564</v>
      </c>
      <c r="C12252" s="1007">
        <f t="shared" si="253"/>
        <v>82</v>
      </c>
      <c r="D12252" s="1012"/>
      <c r="I12252" s="1011" t="str">
        <f>CONCATENATE("&lt;numeroLigne&gt;",C12252,"&lt;/numeroLigne&gt;")</f>
        <v>&lt;numeroLigne&gt;82&lt;/numeroLigne&gt;</v>
      </c>
      <c r="K12252" s="1013"/>
    </row>
    <row r="12253" spans="1:11" s="1011" customFormat="1" ht="15" x14ac:dyDescent="0.25">
      <c r="A12253" s="859">
        <f t="shared" si="254"/>
        <v>12252</v>
      </c>
      <c r="B12253" s="845" t="s">
        <v>2564</v>
      </c>
      <c r="C12253" s="1007">
        <f t="shared" si="253"/>
        <v>82</v>
      </c>
      <c r="D12253" s="1014"/>
      <c r="H12253" s="1011" t="s">
        <v>1010</v>
      </c>
      <c r="K12253" s="1013"/>
    </row>
    <row r="12254" spans="1:11" s="1011" customFormat="1" ht="15" x14ac:dyDescent="0.25">
      <c r="A12254" s="859">
        <f t="shared" si="254"/>
        <v>12253</v>
      </c>
      <c r="B12254" s="845" t="s">
        <v>2564</v>
      </c>
      <c r="C12254" s="1007">
        <f t="shared" si="253"/>
        <v>82</v>
      </c>
      <c r="D12254" s="1014"/>
      <c r="H12254" s="1011" t="s">
        <v>1007</v>
      </c>
      <c r="K12254" s="1013"/>
    </row>
    <row r="12255" spans="1:11" s="1011" customFormat="1" ht="15" x14ac:dyDescent="0.25">
      <c r="A12255" s="859">
        <f t="shared" si="254"/>
        <v>12254</v>
      </c>
      <c r="B12255" s="845" t="s">
        <v>2564</v>
      </c>
      <c r="C12255" s="1007">
        <f t="shared" si="253"/>
        <v>82</v>
      </c>
      <c r="D12255" s="1012"/>
      <c r="I12255" s="1011" t="s">
        <v>2177</v>
      </c>
      <c r="K12255" s="1013"/>
    </row>
    <row r="12256" spans="1:11" s="1011" customFormat="1" ht="15" x14ac:dyDescent="0.25">
      <c r="A12256" s="859">
        <f t="shared" si="254"/>
        <v>12255</v>
      </c>
      <c r="B12256" s="845" t="s">
        <v>2564</v>
      </c>
      <c r="C12256" s="1007">
        <f t="shared" si="253"/>
        <v>82</v>
      </c>
      <c r="D12256" s="1015"/>
      <c r="I12256" s="1011" t="str">
        <f>CONCATENATE("&lt;valeur&gt;",VLOOKUP(C12256,'T16 Amort'!A:K,5,0),"&lt;/valeur&gt;")</f>
        <v>&lt;valeur&gt;&lt;/valeur&gt;</v>
      </c>
      <c r="K12256" s="1013"/>
    </row>
    <row r="12257" spans="1:11" s="1011" customFormat="1" ht="15" x14ac:dyDescent="0.25">
      <c r="A12257" s="859">
        <f t="shared" si="254"/>
        <v>12256</v>
      </c>
      <c r="B12257" s="845" t="s">
        <v>2564</v>
      </c>
      <c r="C12257" s="1007">
        <f t="shared" si="253"/>
        <v>82</v>
      </c>
      <c r="D12257" s="1012"/>
      <c r="I12257" s="1011" t="str">
        <f>CONCATENATE("&lt;numeroLigne&gt;",C12257,"&lt;/numeroLigne&gt;")</f>
        <v>&lt;numeroLigne&gt;82&lt;/numeroLigne&gt;</v>
      </c>
      <c r="K12257" s="1013"/>
    </row>
    <row r="12258" spans="1:11" s="1011" customFormat="1" ht="15" x14ac:dyDescent="0.25">
      <c r="A12258" s="859">
        <f t="shared" si="254"/>
        <v>12257</v>
      </c>
      <c r="B12258" s="845" t="s">
        <v>2564</v>
      </c>
      <c r="C12258" s="1007">
        <f t="shared" si="253"/>
        <v>82</v>
      </c>
      <c r="D12258" s="1012"/>
      <c r="H12258" s="1011" t="s">
        <v>1010</v>
      </c>
      <c r="K12258" s="1013"/>
    </row>
    <row r="12259" spans="1:11" s="1011" customFormat="1" ht="15" x14ac:dyDescent="0.25">
      <c r="A12259" s="859">
        <f t="shared" si="254"/>
        <v>12258</v>
      </c>
      <c r="B12259" s="845" t="s">
        <v>2564</v>
      </c>
      <c r="C12259" s="1007">
        <f t="shared" si="253"/>
        <v>82</v>
      </c>
      <c r="D12259" s="1014"/>
      <c r="H12259" s="1011" t="s">
        <v>1007</v>
      </c>
      <c r="K12259" s="1013"/>
    </row>
    <row r="12260" spans="1:11" s="1011" customFormat="1" ht="15" x14ac:dyDescent="0.25">
      <c r="A12260" s="859">
        <f t="shared" si="254"/>
        <v>12259</v>
      </c>
      <c r="B12260" s="845" t="s">
        <v>2564</v>
      </c>
      <c r="C12260" s="1007">
        <f t="shared" si="253"/>
        <v>82</v>
      </c>
      <c r="D12260" s="1014"/>
      <c r="I12260" s="1011" t="s">
        <v>2178</v>
      </c>
      <c r="K12260" s="1013"/>
    </row>
    <row r="12261" spans="1:11" s="1011" customFormat="1" ht="15" x14ac:dyDescent="0.25">
      <c r="A12261" s="859">
        <f t="shared" si="254"/>
        <v>12260</v>
      </c>
      <c r="B12261" s="845" t="s">
        <v>2564</v>
      </c>
      <c r="C12261" s="1007">
        <f t="shared" si="253"/>
        <v>82</v>
      </c>
      <c r="D12261" s="1012"/>
      <c r="I12261" s="1011" t="str">
        <f>CONCATENATE("&lt;valeur&gt;",VLOOKUP(C12261,'T16 Amort'!A:K,6,0),"&lt;/valeur&gt;")</f>
        <v>&lt;valeur&gt;&lt;/valeur&gt;</v>
      </c>
      <c r="K12261" s="1013"/>
    </row>
    <row r="12262" spans="1:11" s="1011" customFormat="1" ht="15" x14ac:dyDescent="0.25">
      <c r="A12262" s="859">
        <f t="shared" si="254"/>
        <v>12261</v>
      </c>
      <c r="B12262" s="845" t="s">
        <v>2564</v>
      </c>
      <c r="C12262" s="1007">
        <f t="shared" si="253"/>
        <v>82</v>
      </c>
      <c r="D12262" s="1015"/>
      <c r="I12262" s="1011" t="str">
        <f>CONCATENATE("&lt;numeroLigne&gt;",C12262,"&lt;/numeroLigne&gt;")</f>
        <v>&lt;numeroLigne&gt;82&lt;/numeroLigne&gt;</v>
      </c>
      <c r="K12262" s="1013"/>
    </row>
    <row r="12263" spans="1:11" s="1011" customFormat="1" ht="15" x14ac:dyDescent="0.25">
      <c r="A12263" s="859">
        <f t="shared" si="254"/>
        <v>12262</v>
      </c>
      <c r="B12263" s="845" t="s">
        <v>2564</v>
      </c>
      <c r="C12263" s="1007">
        <f t="shared" si="253"/>
        <v>82</v>
      </c>
      <c r="D12263" s="1012"/>
      <c r="H12263" s="1011" t="s">
        <v>1010</v>
      </c>
      <c r="K12263" s="1013"/>
    </row>
    <row r="12264" spans="1:11" s="1011" customFormat="1" ht="15" x14ac:dyDescent="0.25">
      <c r="A12264" s="859">
        <f t="shared" si="254"/>
        <v>12263</v>
      </c>
      <c r="B12264" s="845" t="s">
        <v>2564</v>
      </c>
      <c r="C12264" s="1007">
        <f t="shared" si="253"/>
        <v>82</v>
      </c>
      <c r="D12264" s="1012"/>
      <c r="H12264" s="1011" t="s">
        <v>1007</v>
      </c>
      <c r="K12264" s="1013"/>
    </row>
    <row r="12265" spans="1:11" s="1011" customFormat="1" ht="15" x14ac:dyDescent="0.25">
      <c r="A12265" s="859">
        <f t="shared" si="254"/>
        <v>12264</v>
      </c>
      <c r="B12265" s="845" t="s">
        <v>2564</v>
      </c>
      <c r="C12265" s="1007">
        <f t="shared" si="253"/>
        <v>82</v>
      </c>
      <c r="D12265" s="1014"/>
      <c r="I12265" s="1011" t="s">
        <v>2179</v>
      </c>
      <c r="K12265" s="1013"/>
    </row>
    <row r="12266" spans="1:11" s="1011" customFormat="1" ht="15" x14ac:dyDescent="0.25">
      <c r="A12266" s="859">
        <f t="shared" si="254"/>
        <v>12265</v>
      </c>
      <c r="B12266" s="845" t="s">
        <v>2564</v>
      </c>
      <c r="C12266" s="1007">
        <f t="shared" si="253"/>
        <v>82</v>
      </c>
      <c r="D12266" s="1014"/>
      <c r="I12266" s="1011" t="str">
        <f>CONCATENATE("&lt;valeur&gt;",VLOOKUP(C12266,'T16 Amort'!A:K,7,0),"&lt;/valeur&gt;")</f>
        <v>&lt;valeur&gt;&lt;/valeur&gt;</v>
      </c>
      <c r="K12266" s="1013"/>
    </row>
    <row r="12267" spans="1:11" s="1011" customFormat="1" ht="15" x14ac:dyDescent="0.25">
      <c r="A12267" s="859">
        <f t="shared" si="254"/>
        <v>12266</v>
      </c>
      <c r="B12267" s="845" t="s">
        <v>2564</v>
      </c>
      <c r="C12267" s="1007">
        <f t="shared" si="253"/>
        <v>82</v>
      </c>
      <c r="D12267" s="1012"/>
      <c r="I12267" s="1011" t="str">
        <f>CONCATENATE("&lt;numeroLigne&gt;",C12267,"&lt;/numeroLigne&gt;")</f>
        <v>&lt;numeroLigne&gt;82&lt;/numeroLigne&gt;</v>
      </c>
      <c r="K12267" s="1013"/>
    </row>
    <row r="12268" spans="1:11" s="1011" customFormat="1" ht="15" x14ac:dyDescent="0.25">
      <c r="A12268" s="859">
        <f t="shared" si="254"/>
        <v>12267</v>
      </c>
      <c r="B12268" s="845" t="s">
        <v>2564</v>
      </c>
      <c r="C12268" s="1007">
        <f t="shared" si="253"/>
        <v>82</v>
      </c>
      <c r="D12268" s="1015"/>
      <c r="H12268" s="1011" t="s">
        <v>1010</v>
      </c>
      <c r="K12268" s="1013"/>
    </row>
    <row r="12269" spans="1:11" s="1011" customFormat="1" ht="15" x14ac:dyDescent="0.25">
      <c r="A12269" s="859">
        <f t="shared" si="254"/>
        <v>12268</v>
      </c>
      <c r="B12269" s="845" t="s">
        <v>2564</v>
      </c>
      <c r="C12269" s="1007">
        <f t="shared" si="253"/>
        <v>82</v>
      </c>
      <c r="D12269" s="1012"/>
      <c r="H12269" s="1011" t="s">
        <v>1007</v>
      </c>
      <c r="K12269" s="1013"/>
    </row>
    <row r="12270" spans="1:11" s="1011" customFormat="1" ht="15" x14ac:dyDescent="0.25">
      <c r="A12270" s="859">
        <f t="shared" si="254"/>
        <v>12269</v>
      </c>
      <c r="B12270" s="845" t="s">
        <v>2564</v>
      </c>
      <c r="C12270" s="1007">
        <f t="shared" si="253"/>
        <v>82</v>
      </c>
      <c r="D12270" s="1012"/>
      <c r="I12270" s="1011" t="s">
        <v>2180</v>
      </c>
      <c r="K12270" s="1013"/>
    </row>
    <row r="12271" spans="1:11" s="1011" customFormat="1" ht="15" x14ac:dyDescent="0.25">
      <c r="A12271" s="859">
        <f t="shared" si="254"/>
        <v>12270</v>
      </c>
      <c r="B12271" s="845" t="s">
        <v>2564</v>
      </c>
      <c r="C12271" s="1007">
        <f t="shared" ref="C12271:C12334" si="255">C12221+1</f>
        <v>82</v>
      </c>
      <c r="D12271" s="1014"/>
      <c r="I12271" s="1011" t="str">
        <f>CONCATENATE("&lt;valeur&gt;",VLOOKUP(C12271,'T16 Amort'!A:K,8,0),"&lt;/valeur&gt;")</f>
        <v>&lt;valeur&gt;&lt;/valeur&gt;</v>
      </c>
      <c r="K12271" s="1013"/>
    </row>
    <row r="12272" spans="1:11" s="1011" customFormat="1" ht="15" x14ac:dyDescent="0.25">
      <c r="A12272" s="859">
        <f t="shared" si="254"/>
        <v>12271</v>
      </c>
      <c r="B12272" s="845" t="s">
        <v>2564</v>
      </c>
      <c r="C12272" s="1007">
        <f t="shared" si="255"/>
        <v>82</v>
      </c>
      <c r="D12272" s="1014"/>
      <c r="I12272" s="1011" t="str">
        <f>CONCATENATE("&lt;numeroLigne&gt;",C12272,"&lt;/numeroLigne&gt;")</f>
        <v>&lt;numeroLigne&gt;82&lt;/numeroLigne&gt;</v>
      </c>
      <c r="K12272" s="1013"/>
    </row>
    <row r="12273" spans="1:11" s="1011" customFormat="1" ht="15" x14ac:dyDescent="0.25">
      <c r="A12273" s="859">
        <f t="shared" si="254"/>
        <v>12272</v>
      </c>
      <c r="B12273" s="845" t="s">
        <v>2564</v>
      </c>
      <c r="C12273" s="1007">
        <f t="shared" si="255"/>
        <v>82</v>
      </c>
      <c r="D12273" s="1012"/>
      <c r="H12273" s="1011" t="s">
        <v>1010</v>
      </c>
      <c r="K12273" s="1013"/>
    </row>
    <row r="12274" spans="1:11" s="1011" customFormat="1" ht="15" x14ac:dyDescent="0.25">
      <c r="A12274" s="859">
        <f t="shared" si="254"/>
        <v>12273</v>
      </c>
      <c r="B12274" s="845" t="s">
        <v>2564</v>
      </c>
      <c r="C12274" s="1007">
        <f t="shared" si="255"/>
        <v>82</v>
      </c>
      <c r="D12274" s="1015"/>
      <c r="H12274" s="1011" t="s">
        <v>1007</v>
      </c>
      <c r="K12274" s="1013"/>
    </row>
    <row r="12275" spans="1:11" s="1011" customFormat="1" ht="15" x14ac:dyDescent="0.25">
      <c r="A12275" s="859">
        <f t="shared" si="254"/>
        <v>12274</v>
      </c>
      <c r="B12275" s="845" t="s">
        <v>2564</v>
      </c>
      <c r="C12275" s="1007">
        <f t="shared" si="255"/>
        <v>82</v>
      </c>
      <c r="D12275" s="1012"/>
      <c r="I12275" s="1011" t="s">
        <v>2181</v>
      </c>
      <c r="K12275" s="1013"/>
    </row>
    <row r="12276" spans="1:11" s="1011" customFormat="1" ht="15" x14ac:dyDescent="0.25">
      <c r="A12276" s="859">
        <f t="shared" si="254"/>
        <v>12275</v>
      </c>
      <c r="B12276" s="845" t="s">
        <v>2564</v>
      </c>
      <c r="C12276" s="1007">
        <f t="shared" si="255"/>
        <v>82</v>
      </c>
      <c r="D12276" s="1012"/>
      <c r="I12276" s="1011" t="str">
        <f>CONCATENATE("&lt;valeur&gt;",VLOOKUP(C12276,'T16 Amort'!A:K,9,0),"&lt;/valeur&gt;")</f>
        <v>&lt;valeur&gt;&lt;/valeur&gt;</v>
      </c>
      <c r="K12276" s="1013"/>
    </row>
    <row r="12277" spans="1:11" s="1011" customFormat="1" ht="15" x14ac:dyDescent="0.25">
      <c r="A12277" s="859">
        <f t="shared" si="254"/>
        <v>12276</v>
      </c>
      <c r="B12277" s="845" t="s">
        <v>2564</v>
      </c>
      <c r="C12277" s="1007">
        <f t="shared" si="255"/>
        <v>82</v>
      </c>
      <c r="D12277" s="1014"/>
      <c r="I12277" s="1011" t="str">
        <f>CONCATENATE("&lt;numeroLigne&gt;",C12277,"&lt;/numeroLigne&gt;")</f>
        <v>&lt;numeroLigne&gt;82&lt;/numeroLigne&gt;</v>
      </c>
      <c r="K12277" s="1013"/>
    </row>
    <row r="12278" spans="1:11" s="1011" customFormat="1" ht="15" x14ac:dyDescent="0.25">
      <c r="A12278" s="859">
        <f t="shared" si="254"/>
        <v>12277</v>
      </c>
      <c r="B12278" s="845" t="s">
        <v>2564</v>
      </c>
      <c r="C12278" s="1007">
        <f t="shared" si="255"/>
        <v>82</v>
      </c>
      <c r="D12278" s="1014"/>
      <c r="H12278" s="1011" t="s">
        <v>1010</v>
      </c>
      <c r="K12278" s="1013"/>
    </row>
    <row r="12279" spans="1:11" s="1011" customFormat="1" ht="15" x14ac:dyDescent="0.25">
      <c r="A12279" s="859">
        <f t="shared" si="254"/>
        <v>12278</v>
      </c>
      <c r="B12279" s="845" t="s">
        <v>2564</v>
      </c>
      <c r="C12279" s="1007">
        <f t="shared" si="255"/>
        <v>82</v>
      </c>
      <c r="D12279" s="1012"/>
      <c r="H12279" s="1011" t="s">
        <v>1007</v>
      </c>
      <c r="K12279" s="1013"/>
    </row>
    <row r="12280" spans="1:11" s="1011" customFormat="1" ht="15" x14ac:dyDescent="0.25">
      <c r="A12280" s="859">
        <f t="shared" si="254"/>
        <v>12279</v>
      </c>
      <c r="B12280" s="845" t="s">
        <v>2564</v>
      </c>
      <c r="C12280" s="1007">
        <f t="shared" si="255"/>
        <v>82</v>
      </c>
      <c r="D12280" s="1015"/>
      <c r="I12280" s="1011" t="s">
        <v>2182</v>
      </c>
      <c r="K12280" s="1013"/>
    </row>
    <row r="12281" spans="1:11" s="1011" customFormat="1" ht="15" x14ac:dyDescent="0.25">
      <c r="A12281" s="859">
        <f t="shared" si="254"/>
        <v>12280</v>
      </c>
      <c r="B12281" s="845" t="s">
        <v>2564</v>
      </c>
      <c r="C12281" s="1007">
        <f t="shared" si="255"/>
        <v>82</v>
      </c>
      <c r="D12281" s="1012"/>
      <c r="I12281" s="1011" t="str">
        <f>CONCATENATE("&lt;valeur&gt;",VLOOKUP(C12281,'T16 Amort'!A:K,10,0),"&lt;/valeur&gt;")</f>
        <v>&lt;valeur&gt;&lt;/valeur&gt;</v>
      </c>
      <c r="K12281" s="1013"/>
    </row>
    <row r="12282" spans="1:11" s="1011" customFormat="1" ht="15" x14ac:dyDescent="0.25">
      <c r="A12282" s="859">
        <f t="shared" si="254"/>
        <v>12281</v>
      </c>
      <c r="B12282" s="845" t="s">
        <v>2564</v>
      </c>
      <c r="C12282" s="1007">
        <f t="shared" si="255"/>
        <v>82</v>
      </c>
      <c r="D12282" s="1012"/>
      <c r="I12282" s="1011" t="str">
        <f>CONCATENATE("&lt;numeroLigne&gt;",C12282,"&lt;/numeroLigne&gt;")</f>
        <v>&lt;numeroLigne&gt;82&lt;/numeroLigne&gt;</v>
      </c>
      <c r="K12282" s="1013"/>
    </row>
    <row r="12283" spans="1:11" s="1011" customFormat="1" ht="15" x14ac:dyDescent="0.25">
      <c r="A12283" s="859">
        <f t="shared" si="254"/>
        <v>12282</v>
      </c>
      <c r="B12283" s="845" t="s">
        <v>2564</v>
      </c>
      <c r="C12283" s="1007">
        <f t="shared" si="255"/>
        <v>82</v>
      </c>
      <c r="D12283" s="1014"/>
      <c r="H12283" s="1011" t="s">
        <v>1010</v>
      </c>
      <c r="K12283" s="1013"/>
    </row>
    <row r="12284" spans="1:11" s="1011" customFormat="1" ht="15" x14ac:dyDescent="0.25">
      <c r="A12284" s="859">
        <f t="shared" si="254"/>
        <v>12283</v>
      </c>
      <c r="B12284" s="845" t="s">
        <v>2564</v>
      </c>
      <c r="C12284" s="1007">
        <f t="shared" si="255"/>
        <v>82</v>
      </c>
      <c r="D12284" s="1014"/>
      <c r="H12284" s="1011" t="s">
        <v>1007</v>
      </c>
      <c r="K12284" s="1013"/>
    </row>
    <row r="12285" spans="1:11" s="1011" customFormat="1" ht="15" x14ac:dyDescent="0.25">
      <c r="A12285" s="859">
        <f t="shared" si="254"/>
        <v>12284</v>
      </c>
      <c r="B12285" s="845" t="s">
        <v>2564</v>
      </c>
      <c r="C12285" s="1007">
        <f t="shared" si="255"/>
        <v>82</v>
      </c>
      <c r="D12285" s="1012"/>
      <c r="I12285" s="1011" t="s">
        <v>2183</v>
      </c>
      <c r="K12285" s="1013"/>
    </row>
    <row r="12286" spans="1:11" s="1011" customFormat="1" ht="15" x14ac:dyDescent="0.25">
      <c r="A12286" s="859">
        <f t="shared" si="254"/>
        <v>12285</v>
      </c>
      <c r="B12286" s="845" t="s">
        <v>2564</v>
      </c>
      <c r="C12286" s="1007">
        <f t="shared" si="255"/>
        <v>82</v>
      </c>
      <c r="D12286" s="1015"/>
      <c r="I12286" s="1011" t="str">
        <f>CONCATENATE("&lt;valeur&gt;",VLOOKUP(C12286,'T16 Amort'!A:K,11,0),"&lt;/valeur&gt;")</f>
        <v>&lt;valeur&gt;&lt;/valeur&gt;</v>
      </c>
      <c r="K12286" s="1013"/>
    </row>
    <row r="12287" spans="1:11" s="1011" customFormat="1" ht="15" x14ac:dyDescent="0.25">
      <c r="A12287" s="859">
        <f t="shared" si="254"/>
        <v>12286</v>
      </c>
      <c r="B12287" s="845" t="s">
        <v>2564</v>
      </c>
      <c r="C12287" s="1007">
        <f t="shared" si="255"/>
        <v>82</v>
      </c>
      <c r="D12287" s="1012"/>
      <c r="I12287" s="1011" t="str">
        <f>CONCATENATE("&lt;numeroLigne&gt;",C12287,"&lt;/numeroLigne&gt;")</f>
        <v>&lt;numeroLigne&gt;82&lt;/numeroLigne&gt;</v>
      </c>
      <c r="K12287" s="1013"/>
    </row>
    <row r="12288" spans="1:11" s="1011" customFormat="1" ht="15" x14ac:dyDescent="0.25">
      <c r="A12288" s="859">
        <f t="shared" si="254"/>
        <v>12287</v>
      </c>
      <c r="B12288" s="845" t="s">
        <v>2564</v>
      </c>
      <c r="C12288" s="1007">
        <f t="shared" si="255"/>
        <v>82</v>
      </c>
      <c r="D12288" s="1016"/>
      <c r="E12288" s="1017"/>
      <c r="F12288" s="1017"/>
      <c r="G12288" s="1017"/>
      <c r="H12288" s="1017" t="s">
        <v>1010</v>
      </c>
      <c r="I12288" s="1017"/>
      <c r="J12288" s="1017"/>
      <c r="K12288" s="1018"/>
    </row>
    <row r="12289" spans="1:11" s="1011" customFormat="1" ht="15" x14ac:dyDescent="0.25">
      <c r="A12289" s="859">
        <f t="shared" si="254"/>
        <v>12288</v>
      </c>
      <c r="B12289" s="845" t="s">
        <v>2564</v>
      </c>
      <c r="C12289" s="1007">
        <f t="shared" si="255"/>
        <v>83</v>
      </c>
      <c r="D12289" s="1008"/>
      <c r="E12289" s="1009"/>
      <c r="F12289" s="1009"/>
      <c r="G12289" s="1009"/>
      <c r="H12289" s="1009" t="s">
        <v>1007</v>
      </c>
      <c r="I12289" s="1009"/>
      <c r="J12289" s="1009"/>
      <c r="K12289" s="1010"/>
    </row>
    <row r="12290" spans="1:11" s="1011" customFormat="1" ht="15" x14ac:dyDescent="0.25">
      <c r="A12290" s="859">
        <f t="shared" si="254"/>
        <v>12289</v>
      </c>
      <c r="B12290" s="845" t="s">
        <v>2564</v>
      </c>
      <c r="C12290" s="1007">
        <f t="shared" si="255"/>
        <v>83</v>
      </c>
      <c r="D12290" s="1012"/>
      <c r="I12290" s="1011" t="s">
        <v>2174</v>
      </c>
      <c r="K12290" s="1013"/>
    </row>
    <row r="12291" spans="1:11" s="1011" customFormat="1" ht="15" x14ac:dyDescent="0.25">
      <c r="A12291" s="859">
        <f t="shared" si="254"/>
        <v>12290</v>
      </c>
      <c r="B12291" s="845" t="s">
        <v>2564</v>
      </c>
      <c r="C12291" s="1007">
        <f t="shared" si="255"/>
        <v>83</v>
      </c>
      <c r="D12291" s="1014"/>
      <c r="I12291" s="1011" t="str">
        <f>CONCATENATE("&lt;valeur&gt;",VLOOKUP(C12291,'T16 Amort'!A:K,2,0),"&lt;/valeur&gt;")</f>
        <v>&lt;valeur&gt;&lt;/valeur&gt;</v>
      </c>
      <c r="K12291" s="1013"/>
    </row>
    <row r="12292" spans="1:11" s="1011" customFormat="1" ht="15" x14ac:dyDescent="0.25">
      <c r="A12292" s="859">
        <f t="shared" ref="A12292:A12355" si="256">+A12291+1</f>
        <v>12291</v>
      </c>
      <c r="B12292" s="845" t="s">
        <v>2564</v>
      </c>
      <c r="C12292" s="1007">
        <f t="shared" si="255"/>
        <v>83</v>
      </c>
      <c r="D12292" s="1014"/>
      <c r="I12292" s="1011" t="str">
        <f>CONCATENATE("&lt;numeroLigne&gt;",C12292,"&lt;/numeroLigne&gt;")</f>
        <v>&lt;numeroLigne&gt;83&lt;/numeroLigne&gt;</v>
      </c>
      <c r="K12292" s="1013"/>
    </row>
    <row r="12293" spans="1:11" s="1011" customFormat="1" ht="15" x14ac:dyDescent="0.25">
      <c r="A12293" s="859">
        <f t="shared" si="256"/>
        <v>12292</v>
      </c>
      <c r="B12293" s="845" t="s">
        <v>2564</v>
      </c>
      <c r="C12293" s="1007">
        <f t="shared" si="255"/>
        <v>83</v>
      </c>
      <c r="D12293" s="1012"/>
      <c r="H12293" s="1011" t="s">
        <v>1010</v>
      </c>
      <c r="K12293" s="1013"/>
    </row>
    <row r="12294" spans="1:11" s="1011" customFormat="1" ht="15" x14ac:dyDescent="0.25">
      <c r="A12294" s="859">
        <f t="shared" si="256"/>
        <v>12293</v>
      </c>
      <c r="B12294" s="845" t="s">
        <v>2564</v>
      </c>
      <c r="C12294" s="1007">
        <f t="shared" si="255"/>
        <v>83</v>
      </c>
      <c r="D12294" s="1015"/>
      <c r="H12294" s="1011" t="s">
        <v>1007</v>
      </c>
      <c r="K12294" s="1013"/>
    </row>
    <row r="12295" spans="1:11" s="1011" customFormat="1" ht="15" x14ac:dyDescent="0.25">
      <c r="A12295" s="859">
        <f t="shared" si="256"/>
        <v>12294</v>
      </c>
      <c r="B12295" s="845" t="s">
        <v>2564</v>
      </c>
      <c r="C12295" s="1007">
        <f t="shared" si="255"/>
        <v>83</v>
      </c>
      <c r="D12295" s="1012"/>
      <c r="I12295" s="1011" t="s">
        <v>2175</v>
      </c>
      <c r="K12295" s="1013"/>
    </row>
    <row r="12296" spans="1:11" s="1011" customFormat="1" ht="15" x14ac:dyDescent="0.25">
      <c r="A12296" s="859">
        <f t="shared" si="256"/>
        <v>12295</v>
      </c>
      <c r="B12296" s="845" t="s">
        <v>2564</v>
      </c>
      <c r="C12296" s="1007">
        <f t="shared" si="255"/>
        <v>83</v>
      </c>
      <c r="D12296" s="1012"/>
      <c r="I12296" s="1011" t="str">
        <f>CONCATENATE("&lt;valeur&gt;",VLOOKUP(C12296,'T16 Amort'!A:K,3,0),"&lt;/valeur&gt;")</f>
        <v>&lt;valeur&gt;&lt;/valeur&gt;</v>
      </c>
      <c r="K12296" s="1013"/>
    </row>
    <row r="12297" spans="1:11" s="1011" customFormat="1" ht="15" x14ac:dyDescent="0.25">
      <c r="A12297" s="859">
        <f t="shared" si="256"/>
        <v>12296</v>
      </c>
      <c r="B12297" s="845" t="s">
        <v>2564</v>
      </c>
      <c r="C12297" s="1007">
        <f t="shared" si="255"/>
        <v>83</v>
      </c>
      <c r="D12297" s="1014"/>
      <c r="I12297" s="1011" t="str">
        <f>CONCATENATE("&lt;numeroLigne&gt;",C12297,"&lt;/numeroLigne&gt;")</f>
        <v>&lt;numeroLigne&gt;83&lt;/numeroLigne&gt;</v>
      </c>
      <c r="K12297" s="1013"/>
    </row>
    <row r="12298" spans="1:11" s="1011" customFormat="1" ht="15" x14ac:dyDescent="0.25">
      <c r="A12298" s="859">
        <f t="shared" si="256"/>
        <v>12297</v>
      </c>
      <c r="B12298" s="845" t="s">
        <v>2564</v>
      </c>
      <c r="C12298" s="1007">
        <f t="shared" si="255"/>
        <v>83</v>
      </c>
      <c r="D12298" s="1014"/>
      <c r="H12298" s="1011" t="s">
        <v>1010</v>
      </c>
      <c r="K12298" s="1013"/>
    </row>
    <row r="12299" spans="1:11" s="1011" customFormat="1" ht="15" x14ac:dyDescent="0.25">
      <c r="A12299" s="859">
        <f t="shared" si="256"/>
        <v>12298</v>
      </c>
      <c r="B12299" s="845" t="s">
        <v>2564</v>
      </c>
      <c r="C12299" s="1007">
        <f t="shared" si="255"/>
        <v>83</v>
      </c>
      <c r="D12299" s="1012"/>
      <c r="H12299" s="1011" t="s">
        <v>1007</v>
      </c>
      <c r="K12299" s="1013"/>
    </row>
    <row r="12300" spans="1:11" s="1011" customFormat="1" ht="15" x14ac:dyDescent="0.25">
      <c r="A12300" s="859">
        <f t="shared" si="256"/>
        <v>12299</v>
      </c>
      <c r="B12300" s="845" t="s">
        <v>2564</v>
      </c>
      <c r="C12300" s="1007">
        <f t="shared" si="255"/>
        <v>83</v>
      </c>
      <c r="D12300" s="1015"/>
      <c r="I12300" s="1011" t="s">
        <v>2176</v>
      </c>
      <c r="K12300" s="1013"/>
    </row>
    <row r="12301" spans="1:11" s="1011" customFormat="1" ht="15" x14ac:dyDescent="0.25">
      <c r="A12301" s="859">
        <f t="shared" si="256"/>
        <v>12300</v>
      </c>
      <c r="B12301" s="845" t="s">
        <v>2564</v>
      </c>
      <c r="C12301" s="1007">
        <f t="shared" si="255"/>
        <v>83</v>
      </c>
      <c r="D12301" s="1012"/>
      <c r="I12301" s="1011" t="str">
        <f>CONCATENATE("&lt;valeur&gt;",VLOOKUP(C12301,'T16 Amort'!A:K,4,0),"&lt;/valeur&gt;")</f>
        <v>&lt;valeur&gt;&lt;/valeur&gt;</v>
      </c>
      <c r="K12301" s="1013"/>
    </row>
    <row r="12302" spans="1:11" s="1011" customFormat="1" ht="15" x14ac:dyDescent="0.25">
      <c r="A12302" s="859">
        <f t="shared" si="256"/>
        <v>12301</v>
      </c>
      <c r="B12302" s="845" t="s">
        <v>2564</v>
      </c>
      <c r="C12302" s="1007">
        <f t="shared" si="255"/>
        <v>83</v>
      </c>
      <c r="D12302" s="1012"/>
      <c r="I12302" s="1011" t="str">
        <f>CONCATENATE("&lt;numeroLigne&gt;",C12302,"&lt;/numeroLigne&gt;")</f>
        <v>&lt;numeroLigne&gt;83&lt;/numeroLigne&gt;</v>
      </c>
      <c r="K12302" s="1013"/>
    </row>
    <row r="12303" spans="1:11" s="1011" customFormat="1" ht="15" x14ac:dyDescent="0.25">
      <c r="A12303" s="859">
        <f t="shared" si="256"/>
        <v>12302</v>
      </c>
      <c r="B12303" s="845" t="s">
        <v>2564</v>
      </c>
      <c r="C12303" s="1007">
        <f t="shared" si="255"/>
        <v>83</v>
      </c>
      <c r="D12303" s="1014"/>
      <c r="H12303" s="1011" t="s">
        <v>1010</v>
      </c>
      <c r="K12303" s="1013"/>
    </row>
    <row r="12304" spans="1:11" s="1011" customFormat="1" ht="15" x14ac:dyDescent="0.25">
      <c r="A12304" s="859">
        <f t="shared" si="256"/>
        <v>12303</v>
      </c>
      <c r="B12304" s="845" t="s">
        <v>2564</v>
      </c>
      <c r="C12304" s="1007">
        <f t="shared" si="255"/>
        <v>83</v>
      </c>
      <c r="D12304" s="1014"/>
      <c r="H12304" s="1011" t="s">
        <v>1007</v>
      </c>
      <c r="K12304" s="1013"/>
    </row>
    <row r="12305" spans="1:11" s="1011" customFormat="1" ht="15" x14ac:dyDescent="0.25">
      <c r="A12305" s="859">
        <f t="shared" si="256"/>
        <v>12304</v>
      </c>
      <c r="B12305" s="845" t="s">
        <v>2564</v>
      </c>
      <c r="C12305" s="1007">
        <f t="shared" si="255"/>
        <v>83</v>
      </c>
      <c r="D12305" s="1012"/>
      <c r="I12305" s="1011" t="s">
        <v>2177</v>
      </c>
      <c r="K12305" s="1013"/>
    </row>
    <row r="12306" spans="1:11" s="1011" customFormat="1" ht="15" x14ac:dyDescent="0.25">
      <c r="A12306" s="859">
        <f t="shared" si="256"/>
        <v>12305</v>
      </c>
      <c r="B12306" s="845" t="s">
        <v>2564</v>
      </c>
      <c r="C12306" s="1007">
        <f t="shared" si="255"/>
        <v>83</v>
      </c>
      <c r="D12306" s="1015"/>
      <c r="I12306" s="1011" t="str">
        <f>CONCATENATE("&lt;valeur&gt;",VLOOKUP(C12306,'T16 Amort'!A:K,5,0),"&lt;/valeur&gt;")</f>
        <v>&lt;valeur&gt;&lt;/valeur&gt;</v>
      </c>
      <c r="K12306" s="1013"/>
    </row>
    <row r="12307" spans="1:11" s="1011" customFormat="1" ht="15" x14ac:dyDescent="0.25">
      <c r="A12307" s="859">
        <f t="shared" si="256"/>
        <v>12306</v>
      </c>
      <c r="B12307" s="845" t="s">
        <v>2564</v>
      </c>
      <c r="C12307" s="1007">
        <f t="shared" si="255"/>
        <v>83</v>
      </c>
      <c r="D12307" s="1012"/>
      <c r="I12307" s="1011" t="str">
        <f>CONCATENATE("&lt;numeroLigne&gt;",C12307,"&lt;/numeroLigne&gt;")</f>
        <v>&lt;numeroLigne&gt;83&lt;/numeroLigne&gt;</v>
      </c>
      <c r="K12307" s="1013"/>
    </row>
    <row r="12308" spans="1:11" s="1011" customFormat="1" ht="15" x14ac:dyDescent="0.25">
      <c r="A12308" s="859">
        <f t="shared" si="256"/>
        <v>12307</v>
      </c>
      <c r="B12308" s="845" t="s">
        <v>2564</v>
      </c>
      <c r="C12308" s="1007">
        <f t="shared" si="255"/>
        <v>83</v>
      </c>
      <c r="D12308" s="1012"/>
      <c r="H12308" s="1011" t="s">
        <v>1010</v>
      </c>
      <c r="K12308" s="1013"/>
    </row>
    <row r="12309" spans="1:11" s="1011" customFormat="1" ht="15" x14ac:dyDescent="0.25">
      <c r="A12309" s="859">
        <f t="shared" si="256"/>
        <v>12308</v>
      </c>
      <c r="B12309" s="845" t="s">
        <v>2564</v>
      </c>
      <c r="C12309" s="1007">
        <f t="shared" si="255"/>
        <v>83</v>
      </c>
      <c r="D12309" s="1014"/>
      <c r="H12309" s="1011" t="s">
        <v>1007</v>
      </c>
      <c r="K12309" s="1013"/>
    </row>
    <row r="12310" spans="1:11" s="1011" customFormat="1" ht="15" x14ac:dyDescent="0.25">
      <c r="A12310" s="859">
        <f t="shared" si="256"/>
        <v>12309</v>
      </c>
      <c r="B12310" s="845" t="s">
        <v>2564</v>
      </c>
      <c r="C12310" s="1007">
        <f t="shared" si="255"/>
        <v>83</v>
      </c>
      <c r="D12310" s="1014"/>
      <c r="I12310" s="1011" t="s">
        <v>2178</v>
      </c>
      <c r="K12310" s="1013"/>
    </row>
    <row r="12311" spans="1:11" s="1011" customFormat="1" ht="15" x14ac:dyDescent="0.25">
      <c r="A12311" s="859">
        <f t="shared" si="256"/>
        <v>12310</v>
      </c>
      <c r="B12311" s="845" t="s">
        <v>2564</v>
      </c>
      <c r="C12311" s="1007">
        <f t="shared" si="255"/>
        <v>83</v>
      </c>
      <c r="D12311" s="1012"/>
      <c r="I12311" s="1011" t="str">
        <f>CONCATENATE("&lt;valeur&gt;",VLOOKUP(C12311,'T16 Amort'!A:K,6,0),"&lt;/valeur&gt;")</f>
        <v>&lt;valeur&gt;&lt;/valeur&gt;</v>
      </c>
      <c r="K12311" s="1013"/>
    </row>
    <row r="12312" spans="1:11" s="1011" customFormat="1" ht="15" x14ac:dyDescent="0.25">
      <c r="A12312" s="859">
        <f t="shared" si="256"/>
        <v>12311</v>
      </c>
      <c r="B12312" s="845" t="s">
        <v>2564</v>
      </c>
      <c r="C12312" s="1007">
        <f t="shared" si="255"/>
        <v>83</v>
      </c>
      <c r="D12312" s="1015"/>
      <c r="I12312" s="1011" t="str">
        <f>CONCATENATE("&lt;numeroLigne&gt;",C12312,"&lt;/numeroLigne&gt;")</f>
        <v>&lt;numeroLigne&gt;83&lt;/numeroLigne&gt;</v>
      </c>
      <c r="K12312" s="1013"/>
    </row>
    <row r="12313" spans="1:11" s="1011" customFormat="1" ht="15" x14ac:dyDescent="0.25">
      <c r="A12313" s="859">
        <f t="shared" si="256"/>
        <v>12312</v>
      </c>
      <c r="B12313" s="845" t="s">
        <v>2564</v>
      </c>
      <c r="C12313" s="1007">
        <f t="shared" si="255"/>
        <v>83</v>
      </c>
      <c r="D12313" s="1012"/>
      <c r="H12313" s="1011" t="s">
        <v>1010</v>
      </c>
      <c r="K12313" s="1013"/>
    </row>
    <row r="12314" spans="1:11" s="1011" customFormat="1" ht="15" x14ac:dyDescent="0.25">
      <c r="A12314" s="859">
        <f t="shared" si="256"/>
        <v>12313</v>
      </c>
      <c r="B12314" s="845" t="s">
        <v>2564</v>
      </c>
      <c r="C12314" s="1007">
        <f t="shared" si="255"/>
        <v>83</v>
      </c>
      <c r="D12314" s="1012"/>
      <c r="H12314" s="1011" t="s">
        <v>1007</v>
      </c>
      <c r="K12314" s="1013"/>
    </row>
    <row r="12315" spans="1:11" s="1011" customFormat="1" ht="15" x14ac:dyDescent="0.25">
      <c r="A12315" s="859">
        <f t="shared" si="256"/>
        <v>12314</v>
      </c>
      <c r="B12315" s="845" t="s">
        <v>2564</v>
      </c>
      <c r="C12315" s="1007">
        <f t="shared" si="255"/>
        <v>83</v>
      </c>
      <c r="D12315" s="1014"/>
      <c r="I12315" s="1011" t="s">
        <v>2179</v>
      </c>
      <c r="K12315" s="1013"/>
    </row>
    <row r="12316" spans="1:11" s="1011" customFormat="1" ht="15" x14ac:dyDescent="0.25">
      <c r="A12316" s="859">
        <f t="shared" si="256"/>
        <v>12315</v>
      </c>
      <c r="B12316" s="845" t="s">
        <v>2564</v>
      </c>
      <c r="C12316" s="1007">
        <f t="shared" si="255"/>
        <v>83</v>
      </c>
      <c r="D12316" s="1014"/>
      <c r="I12316" s="1011" t="str">
        <f>CONCATENATE("&lt;valeur&gt;",VLOOKUP(C12316,'T16 Amort'!A:K,7,0),"&lt;/valeur&gt;")</f>
        <v>&lt;valeur&gt;&lt;/valeur&gt;</v>
      </c>
      <c r="K12316" s="1013"/>
    </row>
    <row r="12317" spans="1:11" s="1011" customFormat="1" ht="15" x14ac:dyDescent="0.25">
      <c r="A12317" s="859">
        <f t="shared" si="256"/>
        <v>12316</v>
      </c>
      <c r="B12317" s="845" t="s">
        <v>2564</v>
      </c>
      <c r="C12317" s="1007">
        <f t="shared" si="255"/>
        <v>83</v>
      </c>
      <c r="D12317" s="1012"/>
      <c r="I12317" s="1011" t="str">
        <f>CONCATENATE("&lt;numeroLigne&gt;",C12317,"&lt;/numeroLigne&gt;")</f>
        <v>&lt;numeroLigne&gt;83&lt;/numeroLigne&gt;</v>
      </c>
      <c r="K12317" s="1013"/>
    </row>
    <row r="12318" spans="1:11" s="1011" customFormat="1" ht="15" x14ac:dyDescent="0.25">
      <c r="A12318" s="859">
        <f t="shared" si="256"/>
        <v>12317</v>
      </c>
      <c r="B12318" s="845" t="s">
        <v>2564</v>
      </c>
      <c r="C12318" s="1007">
        <f t="shared" si="255"/>
        <v>83</v>
      </c>
      <c r="D12318" s="1015"/>
      <c r="H12318" s="1011" t="s">
        <v>1010</v>
      </c>
      <c r="K12318" s="1013"/>
    </row>
    <row r="12319" spans="1:11" s="1011" customFormat="1" ht="15" x14ac:dyDescent="0.25">
      <c r="A12319" s="859">
        <f t="shared" si="256"/>
        <v>12318</v>
      </c>
      <c r="B12319" s="845" t="s">
        <v>2564</v>
      </c>
      <c r="C12319" s="1007">
        <f t="shared" si="255"/>
        <v>83</v>
      </c>
      <c r="D12319" s="1012"/>
      <c r="H12319" s="1011" t="s">
        <v>1007</v>
      </c>
      <c r="K12319" s="1013"/>
    </row>
    <row r="12320" spans="1:11" s="1011" customFormat="1" ht="15" x14ac:dyDescent="0.25">
      <c r="A12320" s="859">
        <f t="shared" si="256"/>
        <v>12319</v>
      </c>
      <c r="B12320" s="845" t="s">
        <v>2564</v>
      </c>
      <c r="C12320" s="1007">
        <f t="shared" si="255"/>
        <v>83</v>
      </c>
      <c r="D12320" s="1012"/>
      <c r="I12320" s="1011" t="s">
        <v>2180</v>
      </c>
      <c r="K12320" s="1013"/>
    </row>
    <row r="12321" spans="1:11" s="1011" customFormat="1" ht="15" x14ac:dyDescent="0.25">
      <c r="A12321" s="859">
        <f t="shared" si="256"/>
        <v>12320</v>
      </c>
      <c r="B12321" s="845" t="s">
        <v>2564</v>
      </c>
      <c r="C12321" s="1007">
        <f t="shared" si="255"/>
        <v>83</v>
      </c>
      <c r="D12321" s="1014"/>
      <c r="I12321" s="1011" t="str">
        <f>CONCATENATE("&lt;valeur&gt;",VLOOKUP(C12321,'T16 Amort'!A:K,8,0),"&lt;/valeur&gt;")</f>
        <v>&lt;valeur&gt;&lt;/valeur&gt;</v>
      </c>
      <c r="K12321" s="1013"/>
    </row>
    <row r="12322" spans="1:11" s="1011" customFormat="1" ht="15" x14ac:dyDescent="0.25">
      <c r="A12322" s="859">
        <f t="shared" si="256"/>
        <v>12321</v>
      </c>
      <c r="B12322" s="845" t="s">
        <v>2564</v>
      </c>
      <c r="C12322" s="1007">
        <f t="shared" si="255"/>
        <v>83</v>
      </c>
      <c r="D12322" s="1014"/>
      <c r="I12322" s="1011" t="str">
        <f>CONCATENATE("&lt;numeroLigne&gt;",C12322,"&lt;/numeroLigne&gt;")</f>
        <v>&lt;numeroLigne&gt;83&lt;/numeroLigne&gt;</v>
      </c>
      <c r="K12322" s="1013"/>
    </row>
    <row r="12323" spans="1:11" s="1011" customFormat="1" ht="15" x14ac:dyDescent="0.25">
      <c r="A12323" s="859">
        <f t="shared" si="256"/>
        <v>12322</v>
      </c>
      <c r="B12323" s="845" t="s">
        <v>2564</v>
      </c>
      <c r="C12323" s="1007">
        <f t="shared" si="255"/>
        <v>83</v>
      </c>
      <c r="D12323" s="1012"/>
      <c r="H12323" s="1011" t="s">
        <v>1010</v>
      </c>
      <c r="K12323" s="1013"/>
    </row>
    <row r="12324" spans="1:11" s="1011" customFormat="1" ht="15" x14ac:dyDescent="0.25">
      <c r="A12324" s="859">
        <f t="shared" si="256"/>
        <v>12323</v>
      </c>
      <c r="B12324" s="845" t="s">
        <v>2564</v>
      </c>
      <c r="C12324" s="1007">
        <f t="shared" si="255"/>
        <v>83</v>
      </c>
      <c r="D12324" s="1015"/>
      <c r="H12324" s="1011" t="s">
        <v>1007</v>
      </c>
      <c r="K12324" s="1013"/>
    </row>
    <row r="12325" spans="1:11" s="1011" customFormat="1" ht="15" x14ac:dyDescent="0.25">
      <c r="A12325" s="859">
        <f t="shared" si="256"/>
        <v>12324</v>
      </c>
      <c r="B12325" s="845" t="s">
        <v>2564</v>
      </c>
      <c r="C12325" s="1007">
        <f t="shared" si="255"/>
        <v>83</v>
      </c>
      <c r="D12325" s="1012"/>
      <c r="I12325" s="1011" t="s">
        <v>2181</v>
      </c>
      <c r="K12325" s="1013"/>
    </row>
    <row r="12326" spans="1:11" s="1011" customFormat="1" ht="15" x14ac:dyDescent="0.25">
      <c r="A12326" s="859">
        <f t="shared" si="256"/>
        <v>12325</v>
      </c>
      <c r="B12326" s="845" t="s">
        <v>2564</v>
      </c>
      <c r="C12326" s="1007">
        <f t="shared" si="255"/>
        <v>83</v>
      </c>
      <c r="D12326" s="1012"/>
      <c r="I12326" s="1011" t="str">
        <f>CONCATENATE("&lt;valeur&gt;",VLOOKUP(C12326,'T16 Amort'!A:K,9,0),"&lt;/valeur&gt;")</f>
        <v>&lt;valeur&gt;&lt;/valeur&gt;</v>
      </c>
      <c r="K12326" s="1013"/>
    </row>
    <row r="12327" spans="1:11" s="1011" customFormat="1" ht="15" x14ac:dyDescent="0.25">
      <c r="A12327" s="859">
        <f t="shared" si="256"/>
        <v>12326</v>
      </c>
      <c r="B12327" s="845" t="s">
        <v>2564</v>
      </c>
      <c r="C12327" s="1007">
        <f t="shared" si="255"/>
        <v>83</v>
      </c>
      <c r="D12327" s="1014"/>
      <c r="I12327" s="1011" t="str">
        <f>CONCATENATE("&lt;numeroLigne&gt;",C12327,"&lt;/numeroLigne&gt;")</f>
        <v>&lt;numeroLigne&gt;83&lt;/numeroLigne&gt;</v>
      </c>
      <c r="K12327" s="1013"/>
    </row>
    <row r="12328" spans="1:11" s="1011" customFormat="1" ht="15" x14ac:dyDescent="0.25">
      <c r="A12328" s="859">
        <f t="shared" si="256"/>
        <v>12327</v>
      </c>
      <c r="B12328" s="845" t="s">
        <v>2564</v>
      </c>
      <c r="C12328" s="1007">
        <f t="shared" si="255"/>
        <v>83</v>
      </c>
      <c r="D12328" s="1014"/>
      <c r="H12328" s="1011" t="s">
        <v>1010</v>
      </c>
      <c r="K12328" s="1013"/>
    </row>
    <row r="12329" spans="1:11" s="1011" customFormat="1" ht="15" x14ac:dyDescent="0.25">
      <c r="A12329" s="859">
        <f t="shared" si="256"/>
        <v>12328</v>
      </c>
      <c r="B12329" s="845" t="s">
        <v>2564</v>
      </c>
      <c r="C12329" s="1007">
        <f t="shared" si="255"/>
        <v>83</v>
      </c>
      <c r="D12329" s="1012"/>
      <c r="H12329" s="1011" t="s">
        <v>1007</v>
      </c>
      <c r="K12329" s="1013"/>
    </row>
    <row r="12330" spans="1:11" s="1011" customFormat="1" ht="15" x14ac:dyDescent="0.25">
      <c r="A12330" s="859">
        <f t="shared" si="256"/>
        <v>12329</v>
      </c>
      <c r="B12330" s="845" t="s">
        <v>2564</v>
      </c>
      <c r="C12330" s="1007">
        <f t="shared" si="255"/>
        <v>83</v>
      </c>
      <c r="D12330" s="1015"/>
      <c r="I12330" s="1011" t="s">
        <v>2182</v>
      </c>
      <c r="K12330" s="1013"/>
    </row>
    <row r="12331" spans="1:11" s="1011" customFormat="1" ht="15" x14ac:dyDescent="0.25">
      <c r="A12331" s="859">
        <f t="shared" si="256"/>
        <v>12330</v>
      </c>
      <c r="B12331" s="845" t="s">
        <v>2564</v>
      </c>
      <c r="C12331" s="1007">
        <f t="shared" si="255"/>
        <v>83</v>
      </c>
      <c r="D12331" s="1012"/>
      <c r="I12331" s="1011" t="str">
        <f>CONCATENATE("&lt;valeur&gt;",VLOOKUP(C12331,'T16 Amort'!A:K,10,0),"&lt;/valeur&gt;")</f>
        <v>&lt;valeur&gt;&lt;/valeur&gt;</v>
      </c>
      <c r="K12331" s="1013"/>
    </row>
    <row r="12332" spans="1:11" s="1011" customFormat="1" ht="15" x14ac:dyDescent="0.25">
      <c r="A12332" s="859">
        <f t="shared" si="256"/>
        <v>12331</v>
      </c>
      <c r="B12332" s="845" t="s">
        <v>2564</v>
      </c>
      <c r="C12332" s="1007">
        <f t="shared" si="255"/>
        <v>83</v>
      </c>
      <c r="D12332" s="1012"/>
      <c r="I12332" s="1011" t="str">
        <f>CONCATENATE("&lt;numeroLigne&gt;",C12332,"&lt;/numeroLigne&gt;")</f>
        <v>&lt;numeroLigne&gt;83&lt;/numeroLigne&gt;</v>
      </c>
      <c r="K12332" s="1013"/>
    </row>
    <row r="12333" spans="1:11" s="1011" customFormat="1" ht="15" x14ac:dyDescent="0.25">
      <c r="A12333" s="859">
        <f t="shared" si="256"/>
        <v>12332</v>
      </c>
      <c r="B12333" s="845" t="s">
        <v>2564</v>
      </c>
      <c r="C12333" s="1007">
        <f t="shared" si="255"/>
        <v>83</v>
      </c>
      <c r="D12333" s="1014"/>
      <c r="H12333" s="1011" t="s">
        <v>1010</v>
      </c>
      <c r="K12333" s="1013"/>
    </row>
    <row r="12334" spans="1:11" s="1011" customFormat="1" ht="15" x14ac:dyDescent="0.25">
      <c r="A12334" s="859">
        <f t="shared" si="256"/>
        <v>12333</v>
      </c>
      <c r="B12334" s="845" t="s">
        <v>2564</v>
      </c>
      <c r="C12334" s="1007">
        <f t="shared" si="255"/>
        <v>83</v>
      </c>
      <c r="D12334" s="1014"/>
      <c r="H12334" s="1011" t="s">
        <v>1007</v>
      </c>
      <c r="K12334" s="1013"/>
    </row>
    <row r="12335" spans="1:11" s="1011" customFormat="1" ht="15" x14ac:dyDescent="0.25">
      <c r="A12335" s="859">
        <f t="shared" si="256"/>
        <v>12334</v>
      </c>
      <c r="B12335" s="845" t="s">
        <v>2564</v>
      </c>
      <c r="C12335" s="1007">
        <f t="shared" ref="C12335:C12398" si="257">C12285+1</f>
        <v>83</v>
      </c>
      <c r="D12335" s="1012"/>
      <c r="I12335" s="1011" t="s">
        <v>2183</v>
      </c>
      <c r="K12335" s="1013"/>
    </row>
    <row r="12336" spans="1:11" s="1011" customFormat="1" ht="15" x14ac:dyDescent="0.25">
      <c r="A12336" s="859">
        <f t="shared" si="256"/>
        <v>12335</v>
      </c>
      <c r="B12336" s="845" t="s">
        <v>2564</v>
      </c>
      <c r="C12336" s="1007">
        <f t="shared" si="257"/>
        <v>83</v>
      </c>
      <c r="D12336" s="1015"/>
      <c r="I12336" s="1011" t="str">
        <f>CONCATENATE("&lt;valeur&gt;",VLOOKUP(C12336,'T16 Amort'!A:K,11,0),"&lt;/valeur&gt;")</f>
        <v>&lt;valeur&gt;&lt;/valeur&gt;</v>
      </c>
      <c r="K12336" s="1013"/>
    </row>
    <row r="12337" spans="1:11" s="1011" customFormat="1" ht="15" x14ac:dyDescent="0.25">
      <c r="A12337" s="859">
        <f t="shared" si="256"/>
        <v>12336</v>
      </c>
      <c r="B12337" s="845" t="s">
        <v>2564</v>
      </c>
      <c r="C12337" s="1007">
        <f t="shared" si="257"/>
        <v>83</v>
      </c>
      <c r="D12337" s="1012"/>
      <c r="I12337" s="1011" t="str">
        <f>CONCATENATE("&lt;numeroLigne&gt;",C12337,"&lt;/numeroLigne&gt;")</f>
        <v>&lt;numeroLigne&gt;83&lt;/numeroLigne&gt;</v>
      </c>
      <c r="K12337" s="1013"/>
    </row>
    <row r="12338" spans="1:11" s="1011" customFormat="1" ht="15" x14ac:dyDescent="0.25">
      <c r="A12338" s="859">
        <f t="shared" si="256"/>
        <v>12337</v>
      </c>
      <c r="B12338" s="845" t="s">
        <v>2564</v>
      </c>
      <c r="C12338" s="1007">
        <f t="shared" si="257"/>
        <v>83</v>
      </c>
      <c r="D12338" s="1016"/>
      <c r="E12338" s="1017"/>
      <c r="F12338" s="1017"/>
      <c r="G12338" s="1017"/>
      <c r="H12338" s="1017" t="s">
        <v>1010</v>
      </c>
      <c r="I12338" s="1017"/>
      <c r="J12338" s="1017"/>
      <c r="K12338" s="1018"/>
    </row>
    <row r="12339" spans="1:11" s="1011" customFormat="1" ht="15" x14ac:dyDescent="0.25">
      <c r="A12339" s="859">
        <f t="shared" si="256"/>
        <v>12338</v>
      </c>
      <c r="B12339" s="845" t="s">
        <v>2564</v>
      </c>
      <c r="C12339" s="1007">
        <f t="shared" si="257"/>
        <v>84</v>
      </c>
      <c r="D12339" s="1008"/>
      <c r="E12339" s="1009"/>
      <c r="F12339" s="1009"/>
      <c r="G12339" s="1009"/>
      <c r="H12339" s="1009" t="s">
        <v>1007</v>
      </c>
      <c r="I12339" s="1009"/>
      <c r="J12339" s="1009"/>
      <c r="K12339" s="1010"/>
    </row>
    <row r="12340" spans="1:11" s="1011" customFormat="1" ht="15" x14ac:dyDescent="0.25">
      <c r="A12340" s="859">
        <f t="shared" si="256"/>
        <v>12339</v>
      </c>
      <c r="B12340" s="845" t="s">
        <v>2564</v>
      </c>
      <c r="C12340" s="1007">
        <f t="shared" si="257"/>
        <v>84</v>
      </c>
      <c r="D12340" s="1012"/>
      <c r="I12340" s="1011" t="s">
        <v>2174</v>
      </c>
      <c r="K12340" s="1013"/>
    </row>
    <row r="12341" spans="1:11" s="1011" customFormat="1" ht="15" x14ac:dyDescent="0.25">
      <c r="A12341" s="859">
        <f t="shared" si="256"/>
        <v>12340</v>
      </c>
      <c r="B12341" s="845" t="s">
        <v>2564</v>
      </c>
      <c r="C12341" s="1007">
        <f t="shared" si="257"/>
        <v>84</v>
      </c>
      <c r="D12341" s="1014"/>
      <c r="I12341" s="1011" t="str">
        <f>CONCATENATE("&lt;valeur&gt;",VLOOKUP(C12341,'T16 Amort'!A:K,2,0),"&lt;/valeur&gt;")</f>
        <v>&lt;valeur&gt;&lt;/valeur&gt;</v>
      </c>
      <c r="K12341" s="1013"/>
    </row>
    <row r="12342" spans="1:11" s="1011" customFormat="1" ht="15" x14ac:dyDescent="0.25">
      <c r="A12342" s="859">
        <f t="shared" si="256"/>
        <v>12341</v>
      </c>
      <c r="B12342" s="845" t="s">
        <v>2564</v>
      </c>
      <c r="C12342" s="1007">
        <f t="shared" si="257"/>
        <v>84</v>
      </c>
      <c r="D12342" s="1014"/>
      <c r="I12342" s="1011" t="str">
        <f>CONCATENATE("&lt;numeroLigne&gt;",C12342,"&lt;/numeroLigne&gt;")</f>
        <v>&lt;numeroLigne&gt;84&lt;/numeroLigne&gt;</v>
      </c>
      <c r="K12342" s="1013"/>
    </row>
    <row r="12343" spans="1:11" s="1011" customFormat="1" ht="15" x14ac:dyDescent="0.25">
      <c r="A12343" s="859">
        <f t="shared" si="256"/>
        <v>12342</v>
      </c>
      <c r="B12343" s="845" t="s">
        <v>2564</v>
      </c>
      <c r="C12343" s="1007">
        <f t="shared" si="257"/>
        <v>84</v>
      </c>
      <c r="D12343" s="1012"/>
      <c r="H12343" s="1011" t="s">
        <v>1010</v>
      </c>
      <c r="K12343" s="1013"/>
    </row>
    <row r="12344" spans="1:11" s="1011" customFormat="1" ht="15" x14ac:dyDescent="0.25">
      <c r="A12344" s="859">
        <f t="shared" si="256"/>
        <v>12343</v>
      </c>
      <c r="B12344" s="845" t="s">
        <v>2564</v>
      </c>
      <c r="C12344" s="1007">
        <f t="shared" si="257"/>
        <v>84</v>
      </c>
      <c r="D12344" s="1015"/>
      <c r="H12344" s="1011" t="s">
        <v>1007</v>
      </c>
      <c r="K12344" s="1013"/>
    </row>
    <row r="12345" spans="1:11" s="1011" customFormat="1" ht="15" x14ac:dyDescent="0.25">
      <c r="A12345" s="859">
        <f t="shared" si="256"/>
        <v>12344</v>
      </c>
      <c r="B12345" s="845" t="s">
        <v>2564</v>
      </c>
      <c r="C12345" s="1007">
        <f t="shared" si="257"/>
        <v>84</v>
      </c>
      <c r="D12345" s="1012"/>
      <c r="I12345" s="1011" t="s">
        <v>2175</v>
      </c>
      <c r="K12345" s="1013"/>
    </row>
    <row r="12346" spans="1:11" s="1011" customFormat="1" ht="15" x14ac:dyDescent="0.25">
      <c r="A12346" s="859">
        <f t="shared" si="256"/>
        <v>12345</v>
      </c>
      <c r="B12346" s="845" t="s">
        <v>2564</v>
      </c>
      <c r="C12346" s="1007">
        <f t="shared" si="257"/>
        <v>84</v>
      </c>
      <c r="D12346" s="1012"/>
      <c r="I12346" s="1011" t="str">
        <f>CONCATENATE("&lt;valeur&gt;",VLOOKUP(C12346,'T16 Amort'!A:K,3,0),"&lt;/valeur&gt;")</f>
        <v>&lt;valeur&gt;&lt;/valeur&gt;</v>
      </c>
      <c r="K12346" s="1013"/>
    </row>
    <row r="12347" spans="1:11" s="1011" customFormat="1" ht="15" x14ac:dyDescent="0.25">
      <c r="A12347" s="859">
        <f t="shared" si="256"/>
        <v>12346</v>
      </c>
      <c r="B12347" s="845" t="s">
        <v>2564</v>
      </c>
      <c r="C12347" s="1007">
        <f t="shared" si="257"/>
        <v>84</v>
      </c>
      <c r="D12347" s="1014"/>
      <c r="I12347" s="1011" t="str">
        <f>CONCATENATE("&lt;numeroLigne&gt;",C12347,"&lt;/numeroLigne&gt;")</f>
        <v>&lt;numeroLigne&gt;84&lt;/numeroLigne&gt;</v>
      </c>
      <c r="K12347" s="1013"/>
    </row>
    <row r="12348" spans="1:11" s="1011" customFormat="1" ht="15" x14ac:dyDescent="0.25">
      <c r="A12348" s="859">
        <f t="shared" si="256"/>
        <v>12347</v>
      </c>
      <c r="B12348" s="845" t="s">
        <v>2564</v>
      </c>
      <c r="C12348" s="1007">
        <f t="shared" si="257"/>
        <v>84</v>
      </c>
      <c r="D12348" s="1014"/>
      <c r="H12348" s="1011" t="s">
        <v>1010</v>
      </c>
      <c r="K12348" s="1013"/>
    </row>
    <row r="12349" spans="1:11" s="1011" customFormat="1" ht="15" x14ac:dyDescent="0.25">
      <c r="A12349" s="859">
        <f t="shared" si="256"/>
        <v>12348</v>
      </c>
      <c r="B12349" s="845" t="s">
        <v>2564</v>
      </c>
      <c r="C12349" s="1007">
        <f t="shared" si="257"/>
        <v>84</v>
      </c>
      <c r="D12349" s="1012"/>
      <c r="H12349" s="1011" t="s">
        <v>1007</v>
      </c>
      <c r="K12349" s="1013"/>
    </row>
    <row r="12350" spans="1:11" s="1011" customFormat="1" ht="15" x14ac:dyDescent="0.25">
      <c r="A12350" s="859">
        <f t="shared" si="256"/>
        <v>12349</v>
      </c>
      <c r="B12350" s="845" t="s">
        <v>2564</v>
      </c>
      <c r="C12350" s="1007">
        <f t="shared" si="257"/>
        <v>84</v>
      </c>
      <c r="D12350" s="1015"/>
      <c r="I12350" s="1011" t="s">
        <v>2176</v>
      </c>
      <c r="K12350" s="1013"/>
    </row>
    <row r="12351" spans="1:11" s="1011" customFormat="1" ht="15" x14ac:dyDescent="0.25">
      <c r="A12351" s="859">
        <f t="shared" si="256"/>
        <v>12350</v>
      </c>
      <c r="B12351" s="845" t="s">
        <v>2564</v>
      </c>
      <c r="C12351" s="1007">
        <f t="shared" si="257"/>
        <v>84</v>
      </c>
      <c r="D12351" s="1012"/>
      <c r="I12351" s="1011" t="str">
        <f>CONCATENATE("&lt;valeur&gt;",VLOOKUP(C12351,'T16 Amort'!A:K,4,0),"&lt;/valeur&gt;")</f>
        <v>&lt;valeur&gt;&lt;/valeur&gt;</v>
      </c>
      <c r="K12351" s="1013"/>
    </row>
    <row r="12352" spans="1:11" s="1011" customFormat="1" ht="15" x14ac:dyDescent="0.25">
      <c r="A12352" s="859">
        <f t="shared" si="256"/>
        <v>12351</v>
      </c>
      <c r="B12352" s="845" t="s">
        <v>2564</v>
      </c>
      <c r="C12352" s="1007">
        <f t="shared" si="257"/>
        <v>84</v>
      </c>
      <c r="D12352" s="1012"/>
      <c r="I12352" s="1011" t="str">
        <f>CONCATENATE("&lt;numeroLigne&gt;",C12352,"&lt;/numeroLigne&gt;")</f>
        <v>&lt;numeroLigne&gt;84&lt;/numeroLigne&gt;</v>
      </c>
      <c r="K12352" s="1013"/>
    </row>
    <row r="12353" spans="1:11" s="1011" customFormat="1" ht="15" x14ac:dyDescent="0.25">
      <c r="A12353" s="859">
        <f t="shared" si="256"/>
        <v>12352</v>
      </c>
      <c r="B12353" s="845" t="s">
        <v>2564</v>
      </c>
      <c r="C12353" s="1007">
        <f t="shared" si="257"/>
        <v>84</v>
      </c>
      <c r="D12353" s="1014"/>
      <c r="H12353" s="1011" t="s">
        <v>1010</v>
      </c>
      <c r="K12353" s="1013"/>
    </row>
    <row r="12354" spans="1:11" s="1011" customFormat="1" ht="15" x14ac:dyDescent="0.25">
      <c r="A12354" s="859">
        <f t="shared" si="256"/>
        <v>12353</v>
      </c>
      <c r="B12354" s="845" t="s">
        <v>2564</v>
      </c>
      <c r="C12354" s="1007">
        <f t="shared" si="257"/>
        <v>84</v>
      </c>
      <c r="D12354" s="1014"/>
      <c r="H12354" s="1011" t="s">
        <v>1007</v>
      </c>
      <c r="K12354" s="1013"/>
    </row>
    <row r="12355" spans="1:11" s="1011" customFormat="1" ht="15" x14ac:dyDescent="0.25">
      <c r="A12355" s="859">
        <f t="shared" si="256"/>
        <v>12354</v>
      </c>
      <c r="B12355" s="845" t="s">
        <v>2564</v>
      </c>
      <c r="C12355" s="1007">
        <f t="shared" si="257"/>
        <v>84</v>
      </c>
      <c r="D12355" s="1012"/>
      <c r="I12355" s="1011" t="s">
        <v>2177</v>
      </c>
      <c r="K12355" s="1013"/>
    </row>
    <row r="12356" spans="1:11" s="1011" customFormat="1" ht="15" x14ac:dyDescent="0.25">
      <c r="A12356" s="859">
        <f t="shared" ref="A12356:A12419" si="258">+A12355+1</f>
        <v>12355</v>
      </c>
      <c r="B12356" s="845" t="s">
        <v>2564</v>
      </c>
      <c r="C12356" s="1007">
        <f t="shared" si="257"/>
        <v>84</v>
      </c>
      <c r="D12356" s="1015"/>
      <c r="I12356" s="1011" t="str">
        <f>CONCATENATE("&lt;valeur&gt;",VLOOKUP(C12356,'T16 Amort'!A:K,5,0),"&lt;/valeur&gt;")</f>
        <v>&lt;valeur&gt;&lt;/valeur&gt;</v>
      </c>
      <c r="K12356" s="1013"/>
    </row>
    <row r="12357" spans="1:11" s="1011" customFormat="1" ht="15" x14ac:dyDescent="0.25">
      <c r="A12357" s="859">
        <f t="shared" si="258"/>
        <v>12356</v>
      </c>
      <c r="B12357" s="845" t="s">
        <v>2564</v>
      </c>
      <c r="C12357" s="1007">
        <f t="shared" si="257"/>
        <v>84</v>
      </c>
      <c r="D12357" s="1012"/>
      <c r="I12357" s="1011" t="str">
        <f>CONCATENATE("&lt;numeroLigne&gt;",C12357,"&lt;/numeroLigne&gt;")</f>
        <v>&lt;numeroLigne&gt;84&lt;/numeroLigne&gt;</v>
      </c>
      <c r="K12357" s="1013"/>
    </row>
    <row r="12358" spans="1:11" s="1011" customFormat="1" ht="15" x14ac:dyDescent="0.25">
      <c r="A12358" s="859">
        <f t="shared" si="258"/>
        <v>12357</v>
      </c>
      <c r="B12358" s="845" t="s">
        <v>2564</v>
      </c>
      <c r="C12358" s="1007">
        <f t="shared" si="257"/>
        <v>84</v>
      </c>
      <c r="D12358" s="1012"/>
      <c r="H12358" s="1011" t="s">
        <v>1010</v>
      </c>
      <c r="K12358" s="1013"/>
    </row>
    <row r="12359" spans="1:11" s="1011" customFormat="1" ht="15" x14ac:dyDescent="0.25">
      <c r="A12359" s="859">
        <f t="shared" si="258"/>
        <v>12358</v>
      </c>
      <c r="B12359" s="845" t="s">
        <v>2564</v>
      </c>
      <c r="C12359" s="1007">
        <f t="shared" si="257"/>
        <v>84</v>
      </c>
      <c r="D12359" s="1014"/>
      <c r="H12359" s="1011" t="s">
        <v>1007</v>
      </c>
      <c r="K12359" s="1013"/>
    </row>
    <row r="12360" spans="1:11" s="1011" customFormat="1" ht="15" x14ac:dyDescent="0.25">
      <c r="A12360" s="859">
        <f t="shared" si="258"/>
        <v>12359</v>
      </c>
      <c r="B12360" s="845" t="s">
        <v>2564</v>
      </c>
      <c r="C12360" s="1007">
        <f t="shared" si="257"/>
        <v>84</v>
      </c>
      <c r="D12360" s="1014"/>
      <c r="I12360" s="1011" t="s">
        <v>2178</v>
      </c>
      <c r="K12360" s="1013"/>
    </row>
    <row r="12361" spans="1:11" s="1011" customFormat="1" ht="15" x14ac:dyDescent="0.25">
      <c r="A12361" s="859">
        <f t="shared" si="258"/>
        <v>12360</v>
      </c>
      <c r="B12361" s="845" t="s">
        <v>2564</v>
      </c>
      <c r="C12361" s="1007">
        <f t="shared" si="257"/>
        <v>84</v>
      </c>
      <c r="D12361" s="1012"/>
      <c r="I12361" s="1011" t="str">
        <f>CONCATENATE("&lt;valeur&gt;",VLOOKUP(C12361,'T16 Amort'!A:K,6,0),"&lt;/valeur&gt;")</f>
        <v>&lt;valeur&gt;&lt;/valeur&gt;</v>
      </c>
      <c r="K12361" s="1013"/>
    </row>
    <row r="12362" spans="1:11" s="1011" customFormat="1" ht="15" x14ac:dyDescent="0.25">
      <c r="A12362" s="859">
        <f t="shared" si="258"/>
        <v>12361</v>
      </c>
      <c r="B12362" s="845" t="s">
        <v>2564</v>
      </c>
      <c r="C12362" s="1007">
        <f t="shared" si="257"/>
        <v>84</v>
      </c>
      <c r="D12362" s="1015"/>
      <c r="I12362" s="1011" t="str">
        <f>CONCATENATE("&lt;numeroLigne&gt;",C12362,"&lt;/numeroLigne&gt;")</f>
        <v>&lt;numeroLigne&gt;84&lt;/numeroLigne&gt;</v>
      </c>
      <c r="K12362" s="1013"/>
    </row>
    <row r="12363" spans="1:11" s="1011" customFormat="1" ht="15" x14ac:dyDescent="0.25">
      <c r="A12363" s="859">
        <f t="shared" si="258"/>
        <v>12362</v>
      </c>
      <c r="B12363" s="845" t="s">
        <v>2564</v>
      </c>
      <c r="C12363" s="1007">
        <f t="shared" si="257"/>
        <v>84</v>
      </c>
      <c r="D12363" s="1012"/>
      <c r="H12363" s="1011" t="s">
        <v>1010</v>
      </c>
      <c r="K12363" s="1013"/>
    </row>
    <row r="12364" spans="1:11" s="1011" customFormat="1" ht="15" x14ac:dyDescent="0.25">
      <c r="A12364" s="859">
        <f t="shared" si="258"/>
        <v>12363</v>
      </c>
      <c r="B12364" s="845" t="s">
        <v>2564</v>
      </c>
      <c r="C12364" s="1007">
        <f t="shared" si="257"/>
        <v>84</v>
      </c>
      <c r="D12364" s="1012"/>
      <c r="H12364" s="1011" t="s">
        <v>1007</v>
      </c>
      <c r="K12364" s="1013"/>
    </row>
    <row r="12365" spans="1:11" s="1011" customFormat="1" ht="15" x14ac:dyDescent="0.25">
      <c r="A12365" s="859">
        <f t="shared" si="258"/>
        <v>12364</v>
      </c>
      <c r="B12365" s="845" t="s">
        <v>2564</v>
      </c>
      <c r="C12365" s="1007">
        <f t="shared" si="257"/>
        <v>84</v>
      </c>
      <c r="D12365" s="1014"/>
      <c r="I12365" s="1011" t="s">
        <v>2179</v>
      </c>
      <c r="K12365" s="1013"/>
    </row>
    <row r="12366" spans="1:11" s="1011" customFormat="1" ht="15" x14ac:dyDescent="0.25">
      <c r="A12366" s="859">
        <f t="shared" si="258"/>
        <v>12365</v>
      </c>
      <c r="B12366" s="845" t="s">
        <v>2564</v>
      </c>
      <c r="C12366" s="1007">
        <f t="shared" si="257"/>
        <v>84</v>
      </c>
      <c r="D12366" s="1014"/>
      <c r="I12366" s="1011" t="str">
        <f>CONCATENATE("&lt;valeur&gt;",VLOOKUP(C12366,'T16 Amort'!A:K,7,0),"&lt;/valeur&gt;")</f>
        <v>&lt;valeur&gt;&lt;/valeur&gt;</v>
      </c>
      <c r="K12366" s="1013"/>
    </row>
    <row r="12367" spans="1:11" s="1011" customFormat="1" ht="15" x14ac:dyDescent="0.25">
      <c r="A12367" s="859">
        <f t="shared" si="258"/>
        <v>12366</v>
      </c>
      <c r="B12367" s="845" t="s">
        <v>2564</v>
      </c>
      <c r="C12367" s="1007">
        <f t="shared" si="257"/>
        <v>84</v>
      </c>
      <c r="D12367" s="1012"/>
      <c r="I12367" s="1011" t="str">
        <f>CONCATENATE("&lt;numeroLigne&gt;",C12367,"&lt;/numeroLigne&gt;")</f>
        <v>&lt;numeroLigne&gt;84&lt;/numeroLigne&gt;</v>
      </c>
      <c r="K12367" s="1013"/>
    </row>
    <row r="12368" spans="1:11" s="1011" customFormat="1" ht="15" x14ac:dyDescent="0.25">
      <c r="A12368" s="859">
        <f t="shared" si="258"/>
        <v>12367</v>
      </c>
      <c r="B12368" s="845" t="s">
        <v>2564</v>
      </c>
      <c r="C12368" s="1007">
        <f t="shared" si="257"/>
        <v>84</v>
      </c>
      <c r="D12368" s="1015"/>
      <c r="H12368" s="1011" t="s">
        <v>1010</v>
      </c>
      <c r="K12368" s="1013"/>
    </row>
    <row r="12369" spans="1:11" s="1011" customFormat="1" ht="15" x14ac:dyDescent="0.25">
      <c r="A12369" s="859">
        <f t="shared" si="258"/>
        <v>12368</v>
      </c>
      <c r="B12369" s="845" t="s">
        <v>2564</v>
      </c>
      <c r="C12369" s="1007">
        <f t="shared" si="257"/>
        <v>84</v>
      </c>
      <c r="D12369" s="1012"/>
      <c r="H12369" s="1011" t="s">
        <v>1007</v>
      </c>
      <c r="K12369" s="1013"/>
    </row>
    <row r="12370" spans="1:11" s="1011" customFormat="1" ht="15" x14ac:dyDescent="0.25">
      <c r="A12370" s="859">
        <f t="shared" si="258"/>
        <v>12369</v>
      </c>
      <c r="B12370" s="845" t="s">
        <v>2564</v>
      </c>
      <c r="C12370" s="1007">
        <f t="shared" si="257"/>
        <v>84</v>
      </c>
      <c r="D12370" s="1012"/>
      <c r="I12370" s="1011" t="s">
        <v>2180</v>
      </c>
      <c r="K12370" s="1013"/>
    </row>
    <row r="12371" spans="1:11" s="1011" customFormat="1" ht="15" x14ac:dyDescent="0.25">
      <c r="A12371" s="859">
        <f t="shared" si="258"/>
        <v>12370</v>
      </c>
      <c r="B12371" s="845" t="s">
        <v>2564</v>
      </c>
      <c r="C12371" s="1007">
        <f t="shared" si="257"/>
        <v>84</v>
      </c>
      <c r="D12371" s="1014"/>
      <c r="I12371" s="1011" t="str">
        <f>CONCATENATE("&lt;valeur&gt;",VLOOKUP(C12371,'T16 Amort'!A:K,8,0),"&lt;/valeur&gt;")</f>
        <v>&lt;valeur&gt;&lt;/valeur&gt;</v>
      </c>
      <c r="K12371" s="1013"/>
    </row>
    <row r="12372" spans="1:11" s="1011" customFormat="1" ht="15" x14ac:dyDescent="0.25">
      <c r="A12372" s="859">
        <f t="shared" si="258"/>
        <v>12371</v>
      </c>
      <c r="B12372" s="845" t="s">
        <v>2564</v>
      </c>
      <c r="C12372" s="1007">
        <f t="shared" si="257"/>
        <v>84</v>
      </c>
      <c r="D12372" s="1014"/>
      <c r="I12372" s="1011" t="str">
        <f>CONCATENATE("&lt;numeroLigne&gt;",C12372,"&lt;/numeroLigne&gt;")</f>
        <v>&lt;numeroLigne&gt;84&lt;/numeroLigne&gt;</v>
      </c>
      <c r="K12372" s="1013"/>
    </row>
    <row r="12373" spans="1:11" s="1011" customFormat="1" ht="15" x14ac:dyDescent="0.25">
      <c r="A12373" s="859">
        <f t="shared" si="258"/>
        <v>12372</v>
      </c>
      <c r="B12373" s="845" t="s">
        <v>2564</v>
      </c>
      <c r="C12373" s="1007">
        <f t="shared" si="257"/>
        <v>84</v>
      </c>
      <c r="D12373" s="1012"/>
      <c r="H12373" s="1011" t="s">
        <v>1010</v>
      </c>
      <c r="K12373" s="1013"/>
    </row>
    <row r="12374" spans="1:11" s="1011" customFormat="1" ht="15" x14ac:dyDescent="0.25">
      <c r="A12374" s="859">
        <f t="shared" si="258"/>
        <v>12373</v>
      </c>
      <c r="B12374" s="845" t="s">
        <v>2564</v>
      </c>
      <c r="C12374" s="1007">
        <f t="shared" si="257"/>
        <v>84</v>
      </c>
      <c r="D12374" s="1015"/>
      <c r="H12374" s="1011" t="s">
        <v>1007</v>
      </c>
      <c r="K12374" s="1013"/>
    </row>
    <row r="12375" spans="1:11" s="1011" customFormat="1" ht="15" x14ac:dyDescent="0.25">
      <c r="A12375" s="859">
        <f t="shared" si="258"/>
        <v>12374</v>
      </c>
      <c r="B12375" s="845" t="s">
        <v>2564</v>
      </c>
      <c r="C12375" s="1007">
        <f t="shared" si="257"/>
        <v>84</v>
      </c>
      <c r="D12375" s="1012"/>
      <c r="I12375" s="1011" t="s">
        <v>2181</v>
      </c>
      <c r="K12375" s="1013"/>
    </row>
    <row r="12376" spans="1:11" s="1011" customFormat="1" ht="15" x14ac:dyDescent="0.25">
      <c r="A12376" s="859">
        <f t="shared" si="258"/>
        <v>12375</v>
      </c>
      <c r="B12376" s="845" t="s">
        <v>2564</v>
      </c>
      <c r="C12376" s="1007">
        <f t="shared" si="257"/>
        <v>84</v>
      </c>
      <c r="D12376" s="1012"/>
      <c r="I12376" s="1011" t="str">
        <f>CONCATENATE("&lt;valeur&gt;",VLOOKUP(C12376,'T16 Amort'!A:K,9,0),"&lt;/valeur&gt;")</f>
        <v>&lt;valeur&gt;&lt;/valeur&gt;</v>
      </c>
      <c r="K12376" s="1013"/>
    </row>
    <row r="12377" spans="1:11" s="1011" customFormat="1" ht="15" x14ac:dyDescent="0.25">
      <c r="A12377" s="859">
        <f t="shared" si="258"/>
        <v>12376</v>
      </c>
      <c r="B12377" s="845" t="s">
        <v>2564</v>
      </c>
      <c r="C12377" s="1007">
        <f t="shared" si="257"/>
        <v>84</v>
      </c>
      <c r="D12377" s="1014"/>
      <c r="I12377" s="1011" t="str">
        <f>CONCATENATE("&lt;numeroLigne&gt;",C12377,"&lt;/numeroLigne&gt;")</f>
        <v>&lt;numeroLigne&gt;84&lt;/numeroLigne&gt;</v>
      </c>
      <c r="K12377" s="1013"/>
    </row>
    <row r="12378" spans="1:11" s="1011" customFormat="1" ht="15" x14ac:dyDescent="0.25">
      <c r="A12378" s="859">
        <f t="shared" si="258"/>
        <v>12377</v>
      </c>
      <c r="B12378" s="845" t="s">
        <v>2564</v>
      </c>
      <c r="C12378" s="1007">
        <f t="shared" si="257"/>
        <v>84</v>
      </c>
      <c r="D12378" s="1014"/>
      <c r="H12378" s="1011" t="s">
        <v>1010</v>
      </c>
      <c r="K12378" s="1013"/>
    </row>
    <row r="12379" spans="1:11" s="1011" customFormat="1" ht="15" x14ac:dyDescent="0.25">
      <c r="A12379" s="859">
        <f t="shared" si="258"/>
        <v>12378</v>
      </c>
      <c r="B12379" s="845" t="s">
        <v>2564</v>
      </c>
      <c r="C12379" s="1007">
        <f t="shared" si="257"/>
        <v>84</v>
      </c>
      <c r="D12379" s="1012"/>
      <c r="H12379" s="1011" t="s">
        <v>1007</v>
      </c>
      <c r="K12379" s="1013"/>
    </row>
    <row r="12380" spans="1:11" s="1011" customFormat="1" ht="15" x14ac:dyDescent="0.25">
      <c r="A12380" s="859">
        <f t="shared" si="258"/>
        <v>12379</v>
      </c>
      <c r="B12380" s="845" t="s">
        <v>2564</v>
      </c>
      <c r="C12380" s="1007">
        <f t="shared" si="257"/>
        <v>84</v>
      </c>
      <c r="D12380" s="1015"/>
      <c r="I12380" s="1011" t="s">
        <v>2182</v>
      </c>
      <c r="K12380" s="1013"/>
    </row>
    <row r="12381" spans="1:11" s="1011" customFormat="1" ht="15" x14ac:dyDescent="0.25">
      <c r="A12381" s="859">
        <f t="shared" si="258"/>
        <v>12380</v>
      </c>
      <c r="B12381" s="845" t="s">
        <v>2564</v>
      </c>
      <c r="C12381" s="1007">
        <f t="shared" si="257"/>
        <v>84</v>
      </c>
      <c r="D12381" s="1012"/>
      <c r="I12381" s="1011" t="str">
        <f>CONCATENATE("&lt;valeur&gt;",VLOOKUP(C12381,'T16 Amort'!A:K,10,0),"&lt;/valeur&gt;")</f>
        <v>&lt;valeur&gt;&lt;/valeur&gt;</v>
      </c>
      <c r="K12381" s="1013"/>
    </row>
    <row r="12382" spans="1:11" s="1011" customFormat="1" ht="15" x14ac:dyDescent="0.25">
      <c r="A12382" s="859">
        <f t="shared" si="258"/>
        <v>12381</v>
      </c>
      <c r="B12382" s="845" t="s">
        <v>2564</v>
      </c>
      <c r="C12382" s="1007">
        <f t="shared" si="257"/>
        <v>84</v>
      </c>
      <c r="D12382" s="1012"/>
      <c r="I12382" s="1011" t="str">
        <f>CONCATENATE("&lt;numeroLigne&gt;",C12382,"&lt;/numeroLigne&gt;")</f>
        <v>&lt;numeroLigne&gt;84&lt;/numeroLigne&gt;</v>
      </c>
      <c r="K12382" s="1013"/>
    </row>
    <row r="12383" spans="1:11" s="1011" customFormat="1" ht="15" x14ac:dyDescent="0.25">
      <c r="A12383" s="859">
        <f t="shared" si="258"/>
        <v>12382</v>
      </c>
      <c r="B12383" s="845" t="s">
        <v>2564</v>
      </c>
      <c r="C12383" s="1007">
        <f t="shared" si="257"/>
        <v>84</v>
      </c>
      <c r="D12383" s="1014"/>
      <c r="H12383" s="1011" t="s">
        <v>1010</v>
      </c>
      <c r="K12383" s="1013"/>
    </row>
    <row r="12384" spans="1:11" s="1011" customFormat="1" ht="15" x14ac:dyDescent="0.25">
      <c r="A12384" s="859">
        <f t="shared" si="258"/>
        <v>12383</v>
      </c>
      <c r="B12384" s="845" t="s">
        <v>2564</v>
      </c>
      <c r="C12384" s="1007">
        <f t="shared" si="257"/>
        <v>84</v>
      </c>
      <c r="D12384" s="1014"/>
      <c r="H12384" s="1011" t="s">
        <v>1007</v>
      </c>
      <c r="K12384" s="1013"/>
    </row>
    <row r="12385" spans="1:11" s="1011" customFormat="1" ht="15" x14ac:dyDescent="0.25">
      <c r="A12385" s="859">
        <f t="shared" si="258"/>
        <v>12384</v>
      </c>
      <c r="B12385" s="845" t="s">
        <v>2564</v>
      </c>
      <c r="C12385" s="1007">
        <f t="shared" si="257"/>
        <v>84</v>
      </c>
      <c r="D12385" s="1012"/>
      <c r="I12385" s="1011" t="s">
        <v>2183</v>
      </c>
      <c r="K12385" s="1013"/>
    </row>
    <row r="12386" spans="1:11" s="1011" customFormat="1" ht="15" x14ac:dyDescent="0.25">
      <c r="A12386" s="859">
        <f t="shared" si="258"/>
        <v>12385</v>
      </c>
      <c r="B12386" s="845" t="s">
        <v>2564</v>
      </c>
      <c r="C12386" s="1007">
        <f t="shared" si="257"/>
        <v>84</v>
      </c>
      <c r="D12386" s="1015"/>
      <c r="I12386" s="1011" t="str">
        <f>CONCATENATE("&lt;valeur&gt;",VLOOKUP(C12386,'T16 Amort'!A:K,11,0),"&lt;/valeur&gt;")</f>
        <v>&lt;valeur&gt;&lt;/valeur&gt;</v>
      </c>
      <c r="K12386" s="1013"/>
    </row>
    <row r="12387" spans="1:11" s="1011" customFormat="1" ht="15" x14ac:dyDescent="0.25">
      <c r="A12387" s="859">
        <f t="shared" si="258"/>
        <v>12386</v>
      </c>
      <c r="B12387" s="845" t="s">
        <v>2564</v>
      </c>
      <c r="C12387" s="1007">
        <f t="shared" si="257"/>
        <v>84</v>
      </c>
      <c r="D12387" s="1012"/>
      <c r="I12387" s="1011" t="str">
        <f>CONCATENATE("&lt;numeroLigne&gt;",C12387,"&lt;/numeroLigne&gt;")</f>
        <v>&lt;numeroLigne&gt;84&lt;/numeroLigne&gt;</v>
      </c>
      <c r="K12387" s="1013"/>
    </row>
    <row r="12388" spans="1:11" s="1011" customFormat="1" ht="15" x14ac:dyDescent="0.25">
      <c r="A12388" s="859">
        <f t="shared" si="258"/>
        <v>12387</v>
      </c>
      <c r="B12388" s="845" t="s">
        <v>2564</v>
      </c>
      <c r="C12388" s="1007">
        <f t="shared" si="257"/>
        <v>84</v>
      </c>
      <c r="D12388" s="1016"/>
      <c r="E12388" s="1017"/>
      <c r="F12388" s="1017"/>
      <c r="G12388" s="1017"/>
      <c r="H12388" s="1017" t="s">
        <v>1010</v>
      </c>
      <c r="I12388" s="1017"/>
      <c r="J12388" s="1017"/>
      <c r="K12388" s="1018"/>
    </row>
    <row r="12389" spans="1:11" s="1011" customFormat="1" ht="15" x14ac:dyDescent="0.25">
      <c r="A12389" s="859">
        <f t="shared" si="258"/>
        <v>12388</v>
      </c>
      <c r="B12389" s="845" t="s">
        <v>2564</v>
      </c>
      <c r="C12389" s="1007">
        <f t="shared" si="257"/>
        <v>85</v>
      </c>
      <c r="D12389" s="1008"/>
      <c r="E12389" s="1009"/>
      <c r="F12389" s="1009"/>
      <c r="G12389" s="1009"/>
      <c r="H12389" s="1009" t="s">
        <v>1007</v>
      </c>
      <c r="I12389" s="1009"/>
      <c r="J12389" s="1009"/>
      <c r="K12389" s="1010"/>
    </row>
    <row r="12390" spans="1:11" s="1011" customFormat="1" ht="15" x14ac:dyDescent="0.25">
      <c r="A12390" s="859">
        <f t="shared" si="258"/>
        <v>12389</v>
      </c>
      <c r="B12390" s="845" t="s">
        <v>2564</v>
      </c>
      <c r="C12390" s="1007">
        <f t="shared" si="257"/>
        <v>85</v>
      </c>
      <c r="D12390" s="1012"/>
      <c r="I12390" s="1011" t="s">
        <v>2174</v>
      </c>
      <c r="K12390" s="1013"/>
    </row>
    <row r="12391" spans="1:11" s="1011" customFormat="1" ht="15" x14ac:dyDescent="0.25">
      <c r="A12391" s="859">
        <f t="shared" si="258"/>
        <v>12390</v>
      </c>
      <c r="B12391" s="845" t="s">
        <v>2564</v>
      </c>
      <c r="C12391" s="1007">
        <f t="shared" si="257"/>
        <v>85</v>
      </c>
      <c r="D12391" s="1014"/>
      <c r="I12391" s="1011" t="str">
        <f>CONCATENATE("&lt;valeur&gt;",VLOOKUP(C12391,'T16 Amort'!A:K,2,0),"&lt;/valeur&gt;")</f>
        <v>&lt;valeur&gt;&lt;/valeur&gt;</v>
      </c>
      <c r="K12391" s="1013"/>
    </row>
    <row r="12392" spans="1:11" s="1011" customFormat="1" ht="15" x14ac:dyDescent="0.25">
      <c r="A12392" s="859">
        <f t="shared" si="258"/>
        <v>12391</v>
      </c>
      <c r="B12392" s="845" t="s">
        <v>2564</v>
      </c>
      <c r="C12392" s="1007">
        <f t="shared" si="257"/>
        <v>85</v>
      </c>
      <c r="D12392" s="1014"/>
      <c r="I12392" s="1011" t="str">
        <f>CONCATENATE("&lt;numeroLigne&gt;",C12392,"&lt;/numeroLigne&gt;")</f>
        <v>&lt;numeroLigne&gt;85&lt;/numeroLigne&gt;</v>
      </c>
      <c r="K12392" s="1013"/>
    </row>
    <row r="12393" spans="1:11" s="1011" customFormat="1" ht="15" x14ac:dyDescent="0.25">
      <c r="A12393" s="859">
        <f t="shared" si="258"/>
        <v>12392</v>
      </c>
      <c r="B12393" s="845" t="s">
        <v>2564</v>
      </c>
      <c r="C12393" s="1007">
        <f t="shared" si="257"/>
        <v>85</v>
      </c>
      <c r="D12393" s="1012"/>
      <c r="H12393" s="1011" t="s">
        <v>1010</v>
      </c>
      <c r="K12393" s="1013"/>
    </row>
    <row r="12394" spans="1:11" s="1011" customFormat="1" ht="15" x14ac:dyDescent="0.25">
      <c r="A12394" s="859">
        <f t="shared" si="258"/>
        <v>12393</v>
      </c>
      <c r="B12394" s="845" t="s">
        <v>2564</v>
      </c>
      <c r="C12394" s="1007">
        <f t="shared" si="257"/>
        <v>85</v>
      </c>
      <c r="D12394" s="1015"/>
      <c r="H12394" s="1011" t="s">
        <v>1007</v>
      </c>
      <c r="K12394" s="1013"/>
    </row>
    <row r="12395" spans="1:11" s="1011" customFormat="1" ht="15" x14ac:dyDescent="0.25">
      <c r="A12395" s="859">
        <f t="shared" si="258"/>
        <v>12394</v>
      </c>
      <c r="B12395" s="845" t="s">
        <v>2564</v>
      </c>
      <c r="C12395" s="1007">
        <f t="shared" si="257"/>
        <v>85</v>
      </c>
      <c r="D12395" s="1012"/>
      <c r="I12395" s="1011" t="s">
        <v>2175</v>
      </c>
      <c r="K12395" s="1013"/>
    </row>
    <row r="12396" spans="1:11" s="1011" customFormat="1" ht="15" x14ac:dyDescent="0.25">
      <c r="A12396" s="859">
        <f t="shared" si="258"/>
        <v>12395</v>
      </c>
      <c r="B12396" s="845" t="s">
        <v>2564</v>
      </c>
      <c r="C12396" s="1007">
        <f t="shared" si="257"/>
        <v>85</v>
      </c>
      <c r="D12396" s="1012"/>
      <c r="I12396" s="1011" t="str">
        <f>CONCATENATE("&lt;valeur&gt;",VLOOKUP(C12396,'T16 Amort'!A:K,3,0),"&lt;/valeur&gt;")</f>
        <v>&lt;valeur&gt;&lt;/valeur&gt;</v>
      </c>
      <c r="K12396" s="1013"/>
    </row>
    <row r="12397" spans="1:11" s="1011" customFormat="1" ht="15" x14ac:dyDescent="0.25">
      <c r="A12397" s="859">
        <f t="shared" si="258"/>
        <v>12396</v>
      </c>
      <c r="B12397" s="845" t="s">
        <v>2564</v>
      </c>
      <c r="C12397" s="1007">
        <f t="shared" si="257"/>
        <v>85</v>
      </c>
      <c r="D12397" s="1014"/>
      <c r="I12397" s="1011" t="str">
        <f>CONCATENATE("&lt;numeroLigne&gt;",C12397,"&lt;/numeroLigne&gt;")</f>
        <v>&lt;numeroLigne&gt;85&lt;/numeroLigne&gt;</v>
      </c>
      <c r="K12397" s="1013"/>
    </row>
    <row r="12398" spans="1:11" s="1011" customFormat="1" ht="15" x14ac:dyDescent="0.25">
      <c r="A12398" s="859">
        <f t="shared" si="258"/>
        <v>12397</v>
      </c>
      <c r="B12398" s="845" t="s">
        <v>2564</v>
      </c>
      <c r="C12398" s="1007">
        <f t="shared" si="257"/>
        <v>85</v>
      </c>
      <c r="D12398" s="1014"/>
      <c r="H12398" s="1011" t="s">
        <v>1010</v>
      </c>
      <c r="K12398" s="1013"/>
    </row>
    <row r="12399" spans="1:11" s="1011" customFormat="1" ht="15" x14ac:dyDescent="0.25">
      <c r="A12399" s="859">
        <f t="shared" si="258"/>
        <v>12398</v>
      </c>
      <c r="B12399" s="845" t="s">
        <v>2564</v>
      </c>
      <c r="C12399" s="1007">
        <f t="shared" ref="C12399:C12462" si="259">C12349+1</f>
        <v>85</v>
      </c>
      <c r="D12399" s="1012"/>
      <c r="H12399" s="1011" t="s">
        <v>1007</v>
      </c>
      <c r="K12399" s="1013"/>
    </row>
    <row r="12400" spans="1:11" s="1011" customFormat="1" ht="15" x14ac:dyDescent="0.25">
      <c r="A12400" s="859">
        <f t="shared" si="258"/>
        <v>12399</v>
      </c>
      <c r="B12400" s="845" t="s">
        <v>2564</v>
      </c>
      <c r="C12400" s="1007">
        <f t="shared" si="259"/>
        <v>85</v>
      </c>
      <c r="D12400" s="1015"/>
      <c r="I12400" s="1011" t="s">
        <v>2176</v>
      </c>
      <c r="K12400" s="1013"/>
    </row>
    <row r="12401" spans="1:11" s="1011" customFormat="1" ht="15" x14ac:dyDescent="0.25">
      <c r="A12401" s="859">
        <f t="shared" si="258"/>
        <v>12400</v>
      </c>
      <c r="B12401" s="845" t="s">
        <v>2564</v>
      </c>
      <c r="C12401" s="1007">
        <f t="shared" si="259"/>
        <v>85</v>
      </c>
      <c r="D12401" s="1012"/>
      <c r="I12401" s="1011" t="str">
        <f>CONCATENATE("&lt;valeur&gt;",VLOOKUP(C12401,'T16 Amort'!A:K,4,0),"&lt;/valeur&gt;")</f>
        <v>&lt;valeur&gt;&lt;/valeur&gt;</v>
      </c>
      <c r="K12401" s="1013"/>
    </row>
    <row r="12402" spans="1:11" s="1011" customFormat="1" ht="15" x14ac:dyDescent="0.25">
      <c r="A12402" s="859">
        <f t="shared" si="258"/>
        <v>12401</v>
      </c>
      <c r="B12402" s="845" t="s">
        <v>2564</v>
      </c>
      <c r="C12402" s="1007">
        <f t="shared" si="259"/>
        <v>85</v>
      </c>
      <c r="D12402" s="1012"/>
      <c r="I12402" s="1011" t="str">
        <f>CONCATENATE("&lt;numeroLigne&gt;",C12402,"&lt;/numeroLigne&gt;")</f>
        <v>&lt;numeroLigne&gt;85&lt;/numeroLigne&gt;</v>
      </c>
      <c r="K12402" s="1013"/>
    </row>
    <row r="12403" spans="1:11" s="1011" customFormat="1" ht="15" x14ac:dyDescent="0.25">
      <c r="A12403" s="859">
        <f t="shared" si="258"/>
        <v>12402</v>
      </c>
      <c r="B12403" s="845" t="s">
        <v>2564</v>
      </c>
      <c r="C12403" s="1007">
        <f t="shared" si="259"/>
        <v>85</v>
      </c>
      <c r="D12403" s="1014"/>
      <c r="H12403" s="1011" t="s">
        <v>1010</v>
      </c>
      <c r="K12403" s="1013"/>
    </row>
    <row r="12404" spans="1:11" s="1011" customFormat="1" ht="15" x14ac:dyDescent="0.25">
      <c r="A12404" s="859">
        <f t="shared" si="258"/>
        <v>12403</v>
      </c>
      <c r="B12404" s="845" t="s">
        <v>2564</v>
      </c>
      <c r="C12404" s="1007">
        <f t="shared" si="259"/>
        <v>85</v>
      </c>
      <c r="D12404" s="1014"/>
      <c r="H12404" s="1011" t="s">
        <v>1007</v>
      </c>
      <c r="K12404" s="1013"/>
    </row>
    <row r="12405" spans="1:11" s="1011" customFormat="1" ht="15" x14ac:dyDescent="0.25">
      <c r="A12405" s="859">
        <f t="shared" si="258"/>
        <v>12404</v>
      </c>
      <c r="B12405" s="845" t="s">
        <v>2564</v>
      </c>
      <c r="C12405" s="1007">
        <f t="shared" si="259"/>
        <v>85</v>
      </c>
      <c r="D12405" s="1012"/>
      <c r="I12405" s="1011" t="s">
        <v>2177</v>
      </c>
      <c r="K12405" s="1013"/>
    </row>
    <row r="12406" spans="1:11" s="1011" customFormat="1" ht="15" x14ac:dyDescent="0.25">
      <c r="A12406" s="859">
        <f t="shared" si="258"/>
        <v>12405</v>
      </c>
      <c r="B12406" s="845" t="s">
        <v>2564</v>
      </c>
      <c r="C12406" s="1007">
        <f t="shared" si="259"/>
        <v>85</v>
      </c>
      <c r="D12406" s="1015"/>
      <c r="I12406" s="1011" t="str">
        <f>CONCATENATE("&lt;valeur&gt;",VLOOKUP(C12406,'T16 Amort'!A:K,5,0),"&lt;/valeur&gt;")</f>
        <v>&lt;valeur&gt;&lt;/valeur&gt;</v>
      </c>
      <c r="K12406" s="1013"/>
    </row>
    <row r="12407" spans="1:11" s="1011" customFormat="1" ht="15" x14ac:dyDescent="0.25">
      <c r="A12407" s="859">
        <f t="shared" si="258"/>
        <v>12406</v>
      </c>
      <c r="B12407" s="845" t="s">
        <v>2564</v>
      </c>
      <c r="C12407" s="1007">
        <f t="shared" si="259"/>
        <v>85</v>
      </c>
      <c r="D12407" s="1012"/>
      <c r="I12407" s="1011" t="str">
        <f>CONCATENATE("&lt;numeroLigne&gt;",C12407,"&lt;/numeroLigne&gt;")</f>
        <v>&lt;numeroLigne&gt;85&lt;/numeroLigne&gt;</v>
      </c>
      <c r="K12407" s="1013"/>
    </row>
    <row r="12408" spans="1:11" s="1011" customFormat="1" ht="15" x14ac:dyDescent="0.25">
      <c r="A12408" s="859">
        <f t="shared" si="258"/>
        <v>12407</v>
      </c>
      <c r="B12408" s="845" t="s">
        <v>2564</v>
      </c>
      <c r="C12408" s="1007">
        <f t="shared" si="259"/>
        <v>85</v>
      </c>
      <c r="D12408" s="1012"/>
      <c r="H12408" s="1011" t="s">
        <v>1010</v>
      </c>
      <c r="K12408" s="1013"/>
    </row>
    <row r="12409" spans="1:11" s="1011" customFormat="1" ht="15" x14ac:dyDescent="0.25">
      <c r="A12409" s="859">
        <f t="shared" si="258"/>
        <v>12408</v>
      </c>
      <c r="B12409" s="845" t="s">
        <v>2564</v>
      </c>
      <c r="C12409" s="1007">
        <f t="shared" si="259"/>
        <v>85</v>
      </c>
      <c r="D12409" s="1014"/>
      <c r="H12409" s="1011" t="s">
        <v>1007</v>
      </c>
      <c r="K12409" s="1013"/>
    </row>
    <row r="12410" spans="1:11" s="1011" customFormat="1" ht="15" x14ac:dyDescent="0.25">
      <c r="A12410" s="859">
        <f t="shared" si="258"/>
        <v>12409</v>
      </c>
      <c r="B12410" s="845" t="s">
        <v>2564</v>
      </c>
      <c r="C12410" s="1007">
        <f t="shared" si="259"/>
        <v>85</v>
      </c>
      <c r="D12410" s="1014"/>
      <c r="I12410" s="1011" t="s">
        <v>2178</v>
      </c>
      <c r="K12410" s="1013"/>
    </row>
    <row r="12411" spans="1:11" s="1011" customFormat="1" ht="15" x14ac:dyDescent="0.25">
      <c r="A12411" s="859">
        <f t="shared" si="258"/>
        <v>12410</v>
      </c>
      <c r="B12411" s="845" t="s">
        <v>2564</v>
      </c>
      <c r="C12411" s="1007">
        <f t="shared" si="259"/>
        <v>85</v>
      </c>
      <c r="D12411" s="1012"/>
      <c r="I12411" s="1011" t="str">
        <f>CONCATENATE("&lt;valeur&gt;",VLOOKUP(C12411,'T16 Amort'!A:K,6,0),"&lt;/valeur&gt;")</f>
        <v>&lt;valeur&gt;&lt;/valeur&gt;</v>
      </c>
      <c r="K12411" s="1013"/>
    </row>
    <row r="12412" spans="1:11" s="1011" customFormat="1" ht="15" x14ac:dyDescent="0.25">
      <c r="A12412" s="859">
        <f t="shared" si="258"/>
        <v>12411</v>
      </c>
      <c r="B12412" s="845" t="s">
        <v>2564</v>
      </c>
      <c r="C12412" s="1007">
        <f t="shared" si="259"/>
        <v>85</v>
      </c>
      <c r="D12412" s="1015"/>
      <c r="I12412" s="1011" t="str">
        <f>CONCATENATE("&lt;numeroLigne&gt;",C12412,"&lt;/numeroLigne&gt;")</f>
        <v>&lt;numeroLigne&gt;85&lt;/numeroLigne&gt;</v>
      </c>
      <c r="K12412" s="1013"/>
    </row>
    <row r="12413" spans="1:11" s="1011" customFormat="1" ht="15" x14ac:dyDescent="0.25">
      <c r="A12413" s="859">
        <f t="shared" si="258"/>
        <v>12412</v>
      </c>
      <c r="B12413" s="845" t="s">
        <v>2564</v>
      </c>
      <c r="C12413" s="1007">
        <f t="shared" si="259"/>
        <v>85</v>
      </c>
      <c r="D12413" s="1012"/>
      <c r="H12413" s="1011" t="s">
        <v>1010</v>
      </c>
      <c r="K12413" s="1013"/>
    </row>
    <row r="12414" spans="1:11" s="1011" customFormat="1" ht="15" x14ac:dyDescent="0.25">
      <c r="A12414" s="859">
        <f t="shared" si="258"/>
        <v>12413</v>
      </c>
      <c r="B12414" s="845" t="s">
        <v>2564</v>
      </c>
      <c r="C12414" s="1007">
        <f t="shared" si="259"/>
        <v>85</v>
      </c>
      <c r="D12414" s="1012"/>
      <c r="H12414" s="1011" t="s">
        <v>1007</v>
      </c>
      <c r="K12414" s="1013"/>
    </row>
    <row r="12415" spans="1:11" s="1011" customFormat="1" ht="15" x14ac:dyDescent="0.25">
      <c r="A12415" s="859">
        <f t="shared" si="258"/>
        <v>12414</v>
      </c>
      <c r="B12415" s="845" t="s">
        <v>2564</v>
      </c>
      <c r="C12415" s="1007">
        <f t="shared" si="259"/>
        <v>85</v>
      </c>
      <c r="D12415" s="1014"/>
      <c r="I12415" s="1011" t="s">
        <v>2179</v>
      </c>
      <c r="K12415" s="1013"/>
    </row>
    <row r="12416" spans="1:11" s="1011" customFormat="1" ht="15" x14ac:dyDescent="0.25">
      <c r="A12416" s="859">
        <f t="shared" si="258"/>
        <v>12415</v>
      </c>
      <c r="B12416" s="845" t="s">
        <v>2564</v>
      </c>
      <c r="C12416" s="1007">
        <f t="shared" si="259"/>
        <v>85</v>
      </c>
      <c r="D12416" s="1014"/>
      <c r="I12416" s="1011" t="str">
        <f>CONCATENATE("&lt;valeur&gt;",VLOOKUP(C12416,'T16 Amort'!A:K,7,0),"&lt;/valeur&gt;")</f>
        <v>&lt;valeur&gt;&lt;/valeur&gt;</v>
      </c>
      <c r="K12416" s="1013"/>
    </row>
    <row r="12417" spans="1:11" s="1011" customFormat="1" ht="15" x14ac:dyDescent="0.25">
      <c r="A12417" s="859">
        <f t="shared" si="258"/>
        <v>12416</v>
      </c>
      <c r="B12417" s="845" t="s">
        <v>2564</v>
      </c>
      <c r="C12417" s="1007">
        <f t="shared" si="259"/>
        <v>85</v>
      </c>
      <c r="D12417" s="1012"/>
      <c r="I12417" s="1011" t="str">
        <f>CONCATENATE("&lt;numeroLigne&gt;",C12417,"&lt;/numeroLigne&gt;")</f>
        <v>&lt;numeroLigne&gt;85&lt;/numeroLigne&gt;</v>
      </c>
      <c r="K12417" s="1013"/>
    </row>
    <row r="12418" spans="1:11" s="1011" customFormat="1" ht="15" x14ac:dyDescent="0.25">
      <c r="A12418" s="859">
        <f t="shared" si="258"/>
        <v>12417</v>
      </c>
      <c r="B12418" s="845" t="s">
        <v>2564</v>
      </c>
      <c r="C12418" s="1007">
        <f t="shared" si="259"/>
        <v>85</v>
      </c>
      <c r="D12418" s="1015"/>
      <c r="H12418" s="1011" t="s">
        <v>1010</v>
      </c>
      <c r="K12418" s="1013"/>
    </row>
    <row r="12419" spans="1:11" s="1011" customFormat="1" ht="15" x14ac:dyDescent="0.25">
      <c r="A12419" s="859">
        <f t="shared" si="258"/>
        <v>12418</v>
      </c>
      <c r="B12419" s="845" t="s">
        <v>2564</v>
      </c>
      <c r="C12419" s="1007">
        <f t="shared" si="259"/>
        <v>85</v>
      </c>
      <c r="D12419" s="1012"/>
      <c r="H12419" s="1011" t="s">
        <v>1007</v>
      </c>
      <c r="K12419" s="1013"/>
    </row>
    <row r="12420" spans="1:11" s="1011" customFormat="1" ht="15" x14ac:dyDescent="0.25">
      <c r="A12420" s="859">
        <f t="shared" ref="A12420:A12483" si="260">+A12419+1</f>
        <v>12419</v>
      </c>
      <c r="B12420" s="845" t="s">
        <v>2564</v>
      </c>
      <c r="C12420" s="1007">
        <f t="shared" si="259"/>
        <v>85</v>
      </c>
      <c r="D12420" s="1012"/>
      <c r="I12420" s="1011" t="s">
        <v>2180</v>
      </c>
      <c r="K12420" s="1013"/>
    </row>
    <row r="12421" spans="1:11" s="1011" customFormat="1" ht="15" x14ac:dyDescent="0.25">
      <c r="A12421" s="859">
        <f t="shared" si="260"/>
        <v>12420</v>
      </c>
      <c r="B12421" s="845" t="s">
        <v>2564</v>
      </c>
      <c r="C12421" s="1007">
        <f t="shared" si="259"/>
        <v>85</v>
      </c>
      <c r="D12421" s="1014"/>
      <c r="I12421" s="1011" t="str">
        <f>CONCATENATE("&lt;valeur&gt;",VLOOKUP(C12421,'T16 Amort'!A:K,8,0),"&lt;/valeur&gt;")</f>
        <v>&lt;valeur&gt;&lt;/valeur&gt;</v>
      </c>
      <c r="K12421" s="1013"/>
    </row>
    <row r="12422" spans="1:11" s="1011" customFormat="1" ht="15" x14ac:dyDescent="0.25">
      <c r="A12422" s="859">
        <f t="shared" si="260"/>
        <v>12421</v>
      </c>
      <c r="B12422" s="845" t="s">
        <v>2564</v>
      </c>
      <c r="C12422" s="1007">
        <f t="shared" si="259"/>
        <v>85</v>
      </c>
      <c r="D12422" s="1014"/>
      <c r="I12422" s="1011" t="str">
        <f>CONCATENATE("&lt;numeroLigne&gt;",C12422,"&lt;/numeroLigne&gt;")</f>
        <v>&lt;numeroLigne&gt;85&lt;/numeroLigne&gt;</v>
      </c>
      <c r="K12422" s="1013"/>
    </row>
    <row r="12423" spans="1:11" s="1011" customFormat="1" ht="15" x14ac:dyDescent="0.25">
      <c r="A12423" s="859">
        <f t="shared" si="260"/>
        <v>12422</v>
      </c>
      <c r="B12423" s="845" t="s">
        <v>2564</v>
      </c>
      <c r="C12423" s="1007">
        <f t="shared" si="259"/>
        <v>85</v>
      </c>
      <c r="D12423" s="1012"/>
      <c r="H12423" s="1011" t="s">
        <v>1010</v>
      </c>
      <c r="K12423" s="1013"/>
    </row>
    <row r="12424" spans="1:11" s="1011" customFormat="1" ht="15" x14ac:dyDescent="0.25">
      <c r="A12424" s="859">
        <f t="shared" si="260"/>
        <v>12423</v>
      </c>
      <c r="B12424" s="845" t="s">
        <v>2564</v>
      </c>
      <c r="C12424" s="1007">
        <f t="shared" si="259"/>
        <v>85</v>
      </c>
      <c r="D12424" s="1015"/>
      <c r="H12424" s="1011" t="s">
        <v>1007</v>
      </c>
      <c r="K12424" s="1013"/>
    </row>
    <row r="12425" spans="1:11" s="1011" customFormat="1" ht="15" x14ac:dyDescent="0.25">
      <c r="A12425" s="859">
        <f t="shared" si="260"/>
        <v>12424</v>
      </c>
      <c r="B12425" s="845" t="s">
        <v>2564</v>
      </c>
      <c r="C12425" s="1007">
        <f t="shared" si="259"/>
        <v>85</v>
      </c>
      <c r="D12425" s="1012"/>
      <c r="I12425" s="1011" t="s">
        <v>2181</v>
      </c>
      <c r="K12425" s="1013"/>
    </row>
    <row r="12426" spans="1:11" s="1011" customFormat="1" ht="15" x14ac:dyDescent="0.25">
      <c r="A12426" s="859">
        <f t="shared" si="260"/>
        <v>12425</v>
      </c>
      <c r="B12426" s="845" t="s">
        <v>2564</v>
      </c>
      <c r="C12426" s="1007">
        <f t="shared" si="259"/>
        <v>85</v>
      </c>
      <c r="D12426" s="1012"/>
      <c r="I12426" s="1011" t="str">
        <f>CONCATENATE("&lt;valeur&gt;",VLOOKUP(C12426,'T16 Amort'!A:K,9,0),"&lt;/valeur&gt;")</f>
        <v>&lt;valeur&gt;&lt;/valeur&gt;</v>
      </c>
      <c r="K12426" s="1013"/>
    </row>
    <row r="12427" spans="1:11" s="1011" customFormat="1" ht="15" x14ac:dyDescent="0.25">
      <c r="A12427" s="859">
        <f t="shared" si="260"/>
        <v>12426</v>
      </c>
      <c r="B12427" s="845" t="s">
        <v>2564</v>
      </c>
      <c r="C12427" s="1007">
        <f t="shared" si="259"/>
        <v>85</v>
      </c>
      <c r="D12427" s="1014"/>
      <c r="I12427" s="1011" t="str">
        <f>CONCATENATE("&lt;numeroLigne&gt;",C12427,"&lt;/numeroLigne&gt;")</f>
        <v>&lt;numeroLigne&gt;85&lt;/numeroLigne&gt;</v>
      </c>
      <c r="K12427" s="1013"/>
    </row>
    <row r="12428" spans="1:11" s="1011" customFormat="1" ht="15" x14ac:dyDescent="0.25">
      <c r="A12428" s="859">
        <f t="shared" si="260"/>
        <v>12427</v>
      </c>
      <c r="B12428" s="845" t="s">
        <v>2564</v>
      </c>
      <c r="C12428" s="1007">
        <f t="shared" si="259"/>
        <v>85</v>
      </c>
      <c r="D12428" s="1014"/>
      <c r="H12428" s="1011" t="s">
        <v>1010</v>
      </c>
      <c r="K12428" s="1013"/>
    </row>
    <row r="12429" spans="1:11" s="1011" customFormat="1" ht="15" x14ac:dyDescent="0.25">
      <c r="A12429" s="859">
        <f t="shared" si="260"/>
        <v>12428</v>
      </c>
      <c r="B12429" s="845" t="s">
        <v>2564</v>
      </c>
      <c r="C12429" s="1007">
        <f t="shared" si="259"/>
        <v>85</v>
      </c>
      <c r="D12429" s="1012"/>
      <c r="H12429" s="1011" t="s">
        <v>1007</v>
      </c>
      <c r="K12429" s="1013"/>
    </row>
    <row r="12430" spans="1:11" s="1011" customFormat="1" ht="15" x14ac:dyDescent="0.25">
      <c r="A12430" s="859">
        <f t="shared" si="260"/>
        <v>12429</v>
      </c>
      <c r="B12430" s="845" t="s">
        <v>2564</v>
      </c>
      <c r="C12430" s="1007">
        <f t="shared" si="259"/>
        <v>85</v>
      </c>
      <c r="D12430" s="1015"/>
      <c r="I12430" s="1011" t="s">
        <v>2182</v>
      </c>
      <c r="K12430" s="1013"/>
    </row>
    <row r="12431" spans="1:11" s="1011" customFormat="1" ht="15" x14ac:dyDescent="0.25">
      <c r="A12431" s="859">
        <f t="shared" si="260"/>
        <v>12430</v>
      </c>
      <c r="B12431" s="845" t="s">
        <v>2564</v>
      </c>
      <c r="C12431" s="1007">
        <f t="shared" si="259"/>
        <v>85</v>
      </c>
      <c r="D12431" s="1012"/>
      <c r="I12431" s="1011" t="str">
        <f>CONCATENATE("&lt;valeur&gt;",VLOOKUP(C12431,'T16 Amort'!A:K,10,0),"&lt;/valeur&gt;")</f>
        <v>&lt;valeur&gt;&lt;/valeur&gt;</v>
      </c>
      <c r="K12431" s="1013"/>
    </row>
    <row r="12432" spans="1:11" s="1011" customFormat="1" ht="15" x14ac:dyDescent="0.25">
      <c r="A12432" s="859">
        <f t="shared" si="260"/>
        <v>12431</v>
      </c>
      <c r="B12432" s="845" t="s">
        <v>2564</v>
      </c>
      <c r="C12432" s="1007">
        <f t="shared" si="259"/>
        <v>85</v>
      </c>
      <c r="D12432" s="1012"/>
      <c r="I12432" s="1011" t="str">
        <f>CONCATENATE("&lt;numeroLigne&gt;",C12432,"&lt;/numeroLigne&gt;")</f>
        <v>&lt;numeroLigne&gt;85&lt;/numeroLigne&gt;</v>
      </c>
      <c r="K12432" s="1013"/>
    </row>
    <row r="12433" spans="1:11" s="1011" customFormat="1" ht="15" x14ac:dyDescent="0.25">
      <c r="A12433" s="859">
        <f t="shared" si="260"/>
        <v>12432</v>
      </c>
      <c r="B12433" s="845" t="s">
        <v>2564</v>
      </c>
      <c r="C12433" s="1007">
        <f t="shared" si="259"/>
        <v>85</v>
      </c>
      <c r="D12433" s="1014"/>
      <c r="H12433" s="1011" t="s">
        <v>1010</v>
      </c>
      <c r="K12433" s="1013"/>
    </row>
    <row r="12434" spans="1:11" s="1011" customFormat="1" ht="15" x14ac:dyDescent="0.25">
      <c r="A12434" s="859">
        <f t="shared" si="260"/>
        <v>12433</v>
      </c>
      <c r="B12434" s="845" t="s">
        <v>2564</v>
      </c>
      <c r="C12434" s="1007">
        <f t="shared" si="259"/>
        <v>85</v>
      </c>
      <c r="D12434" s="1014"/>
      <c r="H12434" s="1011" t="s">
        <v>1007</v>
      </c>
      <c r="K12434" s="1013"/>
    </row>
    <row r="12435" spans="1:11" s="1011" customFormat="1" ht="15" x14ac:dyDescent="0.25">
      <c r="A12435" s="859">
        <f t="shared" si="260"/>
        <v>12434</v>
      </c>
      <c r="B12435" s="845" t="s">
        <v>2564</v>
      </c>
      <c r="C12435" s="1007">
        <f t="shared" si="259"/>
        <v>85</v>
      </c>
      <c r="D12435" s="1012"/>
      <c r="I12435" s="1011" t="s">
        <v>2183</v>
      </c>
      <c r="K12435" s="1013"/>
    </row>
    <row r="12436" spans="1:11" s="1011" customFormat="1" ht="15" x14ac:dyDescent="0.25">
      <c r="A12436" s="859">
        <f t="shared" si="260"/>
        <v>12435</v>
      </c>
      <c r="B12436" s="845" t="s">
        <v>2564</v>
      </c>
      <c r="C12436" s="1007">
        <f t="shared" si="259"/>
        <v>85</v>
      </c>
      <c r="D12436" s="1015"/>
      <c r="I12436" s="1011" t="str">
        <f>CONCATENATE("&lt;valeur&gt;",VLOOKUP(C12436,'T16 Amort'!A:K,11,0),"&lt;/valeur&gt;")</f>
        <v>&lt;valeur&gt;&lt;/valeur&gt;</v>
      </c>
      <c r="K12436" s="1013"/>
    </row>
    <row r="12437" spans="1:11" s="1011" customFormat="1" ht="15" x14ac:dyDescent="0.25">
      <c r="A12437" s="859">
        <f t="shared" si="260"/>
        <v>12436</v>
      </c>
      <c r="B12437" s="845" t="s">
        <v>2564</v>
      </c>
      <c r="C12437" s="1007">
        <f t="shared" si="259"/>
        <v>85</v>
      </c>
      <c r="D12437" s="1012"/>
      <c r="I12437" s="1011" t="str">
        <f>CONCATENATE("&lt;numeroLigne&gt;",C12437,"&lt;/numeroLigne&gt;")</f>
        <v>&lt;numeroLigne&gt;85&lt;/numeroLigne&gt;</v>
      </c>
      <c r="K12437" s="1013"/>
    </row>
    <row r="12438" spans="1:11" s="1011" customFormat="1" ht="15" x14ac:dyDescent="0.25">
      <c r="A12438" s="859">
        <f t="shared" si="260"/>
        <v>12437</v>
      </c>
      <c r="B12438" s="845" t="s">
        <v>2564</v>
      </c>
      <c r="C12438" s="1007">
        <f t="shared" si="259"/>
        <v>85</v>
      </c>
      <c r="D12438" s="1016"/>
      <c r="E12438" s="1017"/>
      <c r="F12438" s="1017"/>
      <c r="G12438" s="1017"/>
      <c r="H12438" s="1017" t="s">
        <v>1010</v>
      </c>
      <c r="I12438" s="1017"/>
      <c r="J12438" s="1017"/>
      <c r="K12438" s="1018"/>
    </row>
    <row r="12439" spans="1:11" s="1011" customFormat="1" ht="15" x14ac:dyDescent="0.25">
      <c r="A12439" s="859">
        <f t="shared" si="260"/>
        <v>12438</v>
      </c>
      <c r="B12439" s="845" t="s">
        <v>2564</v>
      </c>
      <c r="C12439" s="1007">
        <f t="shared" si="259"/>
        <v>86</v>
      </c>
      <c r="D12439" s="1008"/>
      <c r="E12439" s="1009"/>
      <c r="F12439" s="1009"/>
      <c r="G12439" s="1009"/>
      <c r="H12439" s="1009" t="s">
        <v>1007</v>
      </c>
      <c r="I12439" s="1009"/>
      <c r="J12439" s="1009"/>
      <c r="K12439" s="1010"/>
    </row>
    <row r="12440" spans="1:11" s="1011" customFormat="1" ht="15" x14ac:dyDescent="0.25">
      <c r="A12440" s="859">
        <f t="shared" si="260"/>
        <v>12439</v>
      </c>
      <c r="B12440" s="845" t="s">
        <v>2564</v>
      </c>
      <c r="C12440" s="1007">
        <f t="shared" si="259"/>
        <v>86</v>
      </c>
      <c r="D12440" s="1012"/>
      <c r="I12440" s="1011" t="s">
        <v>2174</v>
      </c>
      <c r="K12440" s="1013"/>
    </row>
    <row r="12441" spans="1:11" s="1011" customFormat="1" ht="15" x14ac:dyDescent="0.25">
      <c r="A12441" s="859">
        <f t="shared" si="260"/>
        <v>12440</v>
      </c>
      <c r="B12441" s="845" t="s">
        <v>2564</v>
      </c>
      <c r="C12441" s="1007">
        <f t="shared" si="259"/>
        <v>86</v>
      </c>
      <c r="D12441" s="1014"/>
      <c r="I12441" s="1011" t="str">
        <f>CONCATENATE("&lt;valeur&gt;",VLOOKUP(C12441,'T16 Amort'!A:K,2,0),"&lt;/valeur&gt;")</f>
        <v>&lt;valeur&gt;&lt;/valeur&gt;</v>
      </c>
      <c r="K12441" s="1013"/>
    </row>
    <row r="12442" spans="1:11" s="1011" customFormat="1" ht="15" x14ac:dyDescent="0.25">
      <c r="A12442" s="859">
        <f t="shared" si="260"/>
        <v>12441</v>
      </c>
      <c r="B12442" s="845" t="s">
        <v>2564</v>
      </c>
      <c r="C12442" s="1007">
        <f t="shared" si="259"/>
        <v>86</v>
      </c>
      <c r="D12442" s="1014"/>
      <c r="I12442" s="1011" t="str">
        <f>CONCATENATE("&lt;numeroLigne&gt;",C12442,"&lt;/numeroLigne&gt;")</f>
        <v>&lt;numeroLigne&gt;86&lt;/numeroLigne&gt;</v>
      </c>
      <c r="K12442" s="1013"/>
    </row>
    <row r="12443" spans="1:11" s="1011" customFormat="1" ht="15" x14ac:dyDescent="0.25">
      <c r="A12443" s="859">
        <f t="shared" si="260"/>
        <v>12442</v>
      </c>
      <c r="B12443" s="845" t="s">
        <v>2564</v>
      </c>
      <c r="C12443" s="1007">
        <f t="shared" si="259"/>
        <v>86</v>
      </c>
      <c r="D12443" s="1012"/>
      <c r="H12443" s="1011" t="s">
        <v>1010</v>
      </c>
      <c r="K12443" s="1013"/>
    </row>
    <row r="12444" spans="1:11" s="1011" customFormat="1" ht="15" x14ac:dyDescent="0.25">
      <c r="A12444" s="859">
        <f t="shared" si="260"/>
        <v>12443</v>
      </c>
      <c r="B12444" s="845" t="s">
        <v>2564</v>
      </c>
      <c r="C12444" s="1007">
        <f t="shared" si="259"/>
        <v>86</v>
      </c>
      <c r="D12444" s="1015"/>
      <c r="H12444" s="1011" t="s">
        <v>1007</v>
      </c>
      <c r="K12444" s="1013"/>
    </row>
    <row r="12445" spans="1:11" s="1011" customFormat="1" ht="15" x14ac:dyDescent="0.25">
      <c r="A12445" s="859">
        <f t="shared" si="260"/>
        <v>12444</v>
      </c>
      <c r="B12445" s="845" t="s">
        <v>2564</v>
      </c>
      <c r="C12445" s="1007">
        <f t="shared" si="259"/>
        <v>86</v>
      </c>
      <c r="D12445" s="1012"/>
      <c r="I12445" s="1011" t="s">
        <v>2175</v>
      </c>
      <c r="K12445" s="1013"/>
    </row>
    <row r="12446" spans="1:11" s="1011" customFormat="1" ht="15" x14ac:dyDescent="0.25">
      <c r="A12446" s="859">
        <f t="shared" si="260"/>
        <v>12445</v>
      </c>
      <c r="B12446" s="845" t="s">
        <v>2564</v>
      </c>
      <c r="C12446" s="1007">
        <f t="shared" si="259"/>
        <v>86</v>
      </c>
      <c r="D12446" s="1012"/>
      <c r="I12446" s="1011" t="str">
        <f>CONCATENATE("&lt;valeur&gt;",VLOOKUP(C12446,'T16 Amort'!A:K,3,0),"&lt;/valeur&gt;")</f>
        <v>&lt;valeur&gt;&lt;/valeur&gt;</v>
      </c>
      <c r="K12446" s="1013"/>
    </row>
    <row r="12447" spans="1:11" s="1011" customFormat="1" ht="15" x14ac:dyDescent="0.25">
      <c r="A12447" s="859">
        <f t="shared" si="260"/>
        <v>12446</v>
      </c>
      <c r="B12447" s="845" t="s">
        <v>2564</v>
      </c>
      <c r="C12447" s="1007">
        <f t="shared" si="259"/>
        <v>86</v>
      </c>
      <c r="D12447" s="1014"/>
      <c r="I12447" s="1011" t="str">
        <f>CONCATENATE("&lt;numeroLigne&gt;",C12447,"&lt;/numeroLigne&gt;")</f>
        <v>&lt;numeroLigne&gt;86&lt;/numeroLigne&gt;</v>
      </c>
      <c r="K12447" s="1013"/>
    </row>
    <row r="12448" spans="1:11" s="1011" customFormat="1" ht="15" x14ac:dyDescent="0.25">
      <c r="A12448" s="859">
        <f t="shared" si="260"/>
        <v>12447</v>
      </c>
      <c r="B12448" s="845" t="s">
        <v>2564</v>
      </c>
      <c r="C12448" s="1007">
        <f t="shared" si="259"/>
        <v>86</v>
      </c>
      <c r="D12448" s="1014"/>
      <c r="H12448" s="1011" t="s">
        <v>1010</v>
      </c>
      <c r="K12448" s="1013"/>
    </row>
    <row r="12449" spans="1:11" s="1011" customFormat="1" ht="15" x14ac:dyDescent="0.25">
      <c r="A12449" s="859">
        <f t="shared" si="260"/>
        <v>12448</v>
      </c>
      <c r="B12449" s="845" t="s">
        <v>2564</v>
      </c>
      <c r="C12449" s="1007">
        <f t="shared" si="259"/>
        <v>86</v>
      </c>
      <c r="D12449" s="1012"/>
      <c r="H12449" s="1011" t="s">
        <v>1007</v>
      </c>
      <c r="K12449" s="1013"/>
    </row>
    <row r="12450" spans="1:11" s="1011" customFormat="1" ht="15" x14ac:dyDescent="0.25">
      <c r="A12450" s="859">
        <f t="shared" si="260"/>
        <v>12449</v>
      </c>
      <c r="B12450" s="845" t="s">
        <v>2564</v>
      </c>
      <c r="C12450" s="1007">
        <f t="shared" si="259"/>
        <v>86</v>
      </c>
      <c r="D12450" s="1015"/>
      <c r="I12450" s="1011" t="s">
        <v>2176</v>
      </c>
      <c r="K12450" s="1013"/>
    </row>
    <row r="12451" spans="1:11" s="1011" customFormat="1" ht="15" x14ac:dyDescent="0.25">
      <c r="A12451" s="859">
        <f t="shared" si="260"/>
        <v>12450</v>
      </c>
      <c r="B12451" s="845" t="s">
        <v>2564</v>
      </c>
      <c r="C12451" s="1007">
        <f t="shared" si="259"/>
        <v>86</v>
      </c>
      <c r="D12451" s="1012"/>
      <c r="I12451" s="1011" t="str">
        <f>CONCATENATE("&lt;valeur&gt;",VLOOKUP(C12451,'T16 Amort'!A:K,4,0),"&lt;/valeur&gt;")</f>
        <v>&lt;valeur&gt;&lt;/valeur&gt;</v>
      </c>
      <c r="K12451" s="1013"/>
    </row>
    <row r="12452" spans="1:11" s="1011" customFormat="1" ht="15" x14ac:dyDescent="0.25">
      <c r="A12452" s="859">
        <f t="shared" si="260"/>
        <v>12451</v>
      </c>
      <c r="B12452" s="845" t="s">
        <v>2564</v>
      </c>
      <c r="C12452" s="1007">
        <f t="shared" si="259"/>
        <v>86</v>
      </c>
      <c r="D12452" s="1012"/>
      <c r="I12452" s="1011" t="str">
        <f>CONCATENATE("&lt;numeroLigne&gt;",C12452,"&lt;/numeroLigne&gt;")</f>
        <v>&lt;numeroLigne&gt;86&lt;/numeroLigne&gt;</v>
      </c>
      <c r="K12452" s="1013"/>
    </row>
    <row r="12453" spans="1:11" s="1011" customFormat="1" ht="15" x14ac:dyDescent="0.25">
      <c r="A12453" s="859">
        <f t="shared" si="260"/>
        <v>12452</v>
      </c>
      <c r="B12453" s="845" t="s">
        <v>2564</v>
      </c>
      <c r="C12453" s="1007">
        <f t="shared" si="259"/>
        <v>86</v>
      </c>
      <c r="D12453" s="1014"/>
      <c r="H12453" s="1011" t="s">
        <v>1010</v>
      </c>
      <c r="K12453" s="1013"/>
    </row>
    <row r="12454" spans="1:11" s="1011" customFormat="1" ht="15" x14ac:dyDescent="0.25">
      <c r="A12454" s="859">
        <f t="shared" si="260"/>
        <v>12453</v>
      </c>
      <c r="B12454" s="845" t="s">
        <v>2564</v>
      </c>
      <c r="C12454" s="1007">
        <f t="shared" si="259"/>
        <v>86</v>
      </c>
      <c r="D12454" s="1014"/>
      <c r="H12454" s="1011" t="s">
        <v>1007</v>
      </c>
      <c r="K12454" s="1013"/>
    </row>
    <row r="12455" spans="1:11" s="1011" customFormat="1" ht="15" x14ac:dyDescent="0.25">
      <c r="A12455" s="859">
        <f t="shared" si="260"/>
        <v>12454</v>
      </c>
      <c r="B12455" s="845" t="s">
        <v>2564</v>
      </c>
      <c r="C12455" s="1007">
        <f t="shared" si="259"/>
        <v>86</v>
      </c>
      <c r="D12455" s="1012"/>
      <c r="I12455" s="1011" t="s">
        <v>2177</v>
      </c>
      <c r="K12455" s="1013"/>
    </row>
    <row r="12456" spans="1:11" s="1011" customFormat="1" ht="15" x14ac:dyDescent="0.25">
      <c r="A12456" s="859">
        <f t="shared" si="260"/>
        <v>12455</v>
      </c>
      <c r="B12456" s="845" t="s">
        <v>2564</v>
      </c>
      <c r="C12456" s="1007">
        <f t="shared" si="259"/>
        <v>86</v>
      </c>
      <c r="D12456" s="1015"/>
      <c r="I12456" s="1011" t="str">
        <f>CONCATENATE("&lt;valeur&gt;",VLOOKUP(C12456,'T16 Amort'!A:K,5,0),"&lt;/valeur&gt;")</f>
        <v>&lt;valeur&gt;&lt;/valeur&gt;</v>
      </c>
      <c r="K12456" s="1013"/>
    </row>
    <row r="12457" spans="1:11" s="1011" customFormat="1" ht="15" x14ac:dyDescent="0.25">
      <c r="A12457" s="859">
        <f t="shared" si="260"/>
        <v>12456</v>
      </c>
      <c r="B12457" s="845" t="s">
        <v>2564</v>
      </c>
      <c r="C12457" s="1007">
        <f t="shared" si="259"/>
        <v>86</v>
      </c>
      <c r="D12457" s="1012"/>
      <c r="I12457" s="1011" t="str">
        <f>CONCATENATE("&lt;numeroLigne&gt;",C12457,"&lt;/numeroLigne&gt;")</f>
        <v>&lt;numeroLigne&gt;86&lt;/numeroLigne&gt;</v>
      </c>
      <c r="K12457" s="1013"/>
    </row>
    <row r="12458" spans="1:11" s="1011" customFormat="1" ht="15" x14ac:dyDescent="0.25">
      <c r="A12458" s="859">
        <f t="shared" si="260"/>
        <v>12457</v>
      </c>
      <c r="B12458" s="845" t="s">
        <v>2564</v>
      </c>
      <c r="C12458" s="1007">
        <f t="shared" si="259"/>
        <v>86</v>
      </c>
      <c r="D12458" s="1012"/>
      <c r="H12458" s="1011" t="s">
        <v>1010</v>
      </c>
      <c r="K12458" s="1013"/>
    </row>
    <row r="12459" spans="1:11" s="1011" customFormat="1" ht="15" x14ac:dyDescent="0.25">
      <c r="A12459" s="859">
        <f t="shared" si="260"/>
        <v>12458</v>
      </c>
      <c r="B12459" s="845" t="s">
        <v>2564</v>
      </c>
      <c r="C12459" s="1007">
        <f t="shared" si="259"/>
        <v>86</v>
      </c>
      <c r="D12459" s="1014"/>
      <c r="H12459" s="1011" t="s">
        <v>1007</v>
      </c>
      <c r="K12459" s="1013"/>
    </row>
    <row r="12460" spans="1:11" s="1011" customFormat="1" ht="15" x14ac:dyDescent="0.25">
      <c r="A12460" s="859">
        <f t="shared" si="260"/>
        <v>12459</v>
      </c>
      <c r="B12460" s="845" t="s">
        <v>2564</v>
      </c>
      <c r="C12460" s="1007">
        <f t="shared" si="259"/>
        <v>86</v>
      </c>
      <c r="D12460" s="1014"/>
      <c r="I12460" s="1011" t="s">
        <v>2178</v>
      </c>
      <c r="K12460" s="1013"/>
    </row>
    <row r="12461" spans="1:11" s="1011" customFormat="1" ht="15" x14ac:dyDescent="0.25">
      <c r="A12461" s="859">
        <f t="shared" si="260"/>
        <v>12460</v>
      </c>
      <c r="B12461" s="845" t="s">
        <v>2564</v>
      </c>
      <c r="C12461" s="1007">
        <f t="shared" si="259"/>
        <v>86</v>
      </c>
      <c r="D12461" s="1012"/>
      <c r="I12461" s="1011" t="str">
        <f>CONCATENATE("&lt;valeur&gt;",VLOOKUP(C12461,'T16 Amort'!A:K,6,0),"&lt;/valeur&gt;")</f>
        <v>&lt;valeur&gt;&lt;/valeur&gt;</v>
      </c>
      <c r="K12461" s="1013"/>
    </row>
    <row r="12462" spans="1:11" s="1011" customFormat="1" ht="15" x14ac:dyDescent="0.25">
      <c r="A12462" s="859">
        <f t="shared" si="260"/>
        <v>12461</v>
      </c>
      <c r="B12462" s="845" t="s">
        <v>2564</v>
      </c>
      <c r="C12462" s="1007">
        <f t="shared" si="259"/>
        <v>86</v>
      </c>
      <c r="D12462" s="1015"/>
      <c r="I12462" s="1011" t="str">
        <f>CONCATENATE("&lt;numeroLigne&gt;",C12462,"&lt;/numeroLigne&gt;")</f>
        <v>&lt;numeroLigne&gt;86&lt;/numeroLigne&gt;</v>
      </c>
      <c r="K12462" s="1013"/>
    </row>
    <row r="12463" spans="1:11" s="1011" customFormat="1" ht="15" x14ac:dyDescent="0.25">
      <c r="A12463" s="859">
        <f t="shared" si="260"/>
        <v>12462</v>
      </c>
      <c r="B12463" s="845" t="s">
        <v>2564</v>
      </c>
      <c r="C12463" s="1007">
        <f t="shared" ref="C12463:C12526" si="261">C12413+1</f>
        <v>86</v>
      </c>
      <c r="D12463" s="1012"/>
      <c r="H12463" s="1011" t="s">
        <v>1010</v>
      </c>
      <c r="K12463" s="1013"/>
    </row>
    <row r="12464" spans="1:11" s="1011" customFormat="1" ht="15" x14ac:dyDescent="0.25">
      <c r="A12464" s="859">
        <f t="shared" si="260"/>
        <v>12463</v>
      </c>
      <c r="B12464" s="845" t="s">
        <v>2564</v>
      </c>
      <c r="C12464" s="1007">
        <f t="shared" si="261"/>
        <v>86</v>
      </c>
      <c r="D12464" s="1012"/>
      <c r="H12464" s="1011" t="s">
        <v>1007</v>
      </c>
      <c r="K12464" s="1013"/>
    </row>
    <row r="12465" spans="1:11" s="1011" customFormat="1" ht="15" x14ac:dyDescent="0.25">
      <c r="A12465" s="859">
        <f t="shared" si="260"/>
        <v>12464</v>
      </c>
      <c r="B12465" s="845" t="s">
        <v>2564</v>
      </c>
      <c r="C12465" s="1007">
        <f t="shared" si="261"/>
        <v>86</v>
      </c>
      <c r="D12465" s="1014"/>
      <c r="I12465" s="1011" t="s">
        <v>2179</v>
      </c>
      <c r="K12465" s="1013"/>
    </row>
    <row r="12466" spans="1:11" s="1011" customFormat="1" ht="15" x14ac:dyDescent="0.25">
      <c r="A12466" s="859">
        <f t="shared" si="260"/>
        <v>12465</v>
      </c>
      <c r="B12466" s="845" t="s">
        <v>2564</v>
      </c>
      <c r="C12466" s="1007">
        <f t="shared" si="261"/>
        <v>86</v>
      </c>
      <c r="D12466" s="1014"/>
      <c r="I12466" s="1011" t="str">
        <f>CONCATENATE("&lt;valeur&gt;",VLOOKUP(C12466,'T16 Amort'!A:K,7,0),"&lt;/valeur&gt;")</f>
        <v>&lt;valeur&gt;&lt;/valeur&gt;</v>
      </c>
      <c r="K12466" s="1013"/>
    </row>
    <row r="12467" spans="1:11" s="1011" customFormat="1" ht="15" x14ac:dyDescent="0.25">
      <c r="A12467" s="859">
        <f t="shared" si="260"/>
        <v>12466</v>
      </c>
      <c r="B12467" s="845" t="s">
        <v>2564</v>
      </c>
      <c r="C12467" s="1007">
        <f t="shared" si="261"/>
        <v>86</v>
      </c>
      <c r="D12467" s="1012"/>
      <c r="I12467" s="1011" t="str">
        <f>CONCATENATE("&lt;numeroLigne&gt;",C12467,"&lt;/numeroLigne&gt;")</f>
        <v>&lt;numeroLigne&gt;86&lt;/numeroLigne&gt;</v>
      </c>
      <c r="K12467" s="1013"/>
    </row>
    <row r="12468" spans="1:11" s="1011" customFormat="1" ht="15" x14ac:dyDescent="0.25">
      <c r="A12468" s="859">
        <f t="shared" si="260"/>
        <v>12467</v>
      </c>
      <c r="B12468" s="845" t="s">
        <v>2564</v>
      </c>
      <c r="C12468" s="1007">
        <f t="shared" si="261"/>
        <v>86</v>
      </c>
      <c r="D12468" s="1015"/>
      <c r="H12468" s="1011" t="s">
        <v>1010</v>
      </c>
      <c r="K12468" s="1013"/>
    </row>
    <row r="12469" spans="1:11" s="1011" customFormat="1" ht="15" x14ac:dyDescent="0.25">
      <c r="A12469" s="859">
        <f t="shared" si="260"/>
        <v>12468</v>
      </c>
      <c r="B12469" s="845" t="s">
        <v>2564</v>
      </c>
      <c r="C12469" s="1007">
        <f t="shared" si="261"/>
        <v>86</v>
      </c>
      <c r="D12469" s="1012"/>
      <c r="H12469" s="1011" t="s">
        <v>1007</v>
      </c>
      <c r="K12469" s="1013"/>
    </row>
    <row r="12470" spans="1:11" s="1011" customFormat="1" ht="15" x14ac:dyDescent="0.25">
      <c r="A12470" s="859">
        <f t="shared" si="260"/>
        <v>12469</v>
      </c>
      <c r="B12470" s="845" t="s">
        <v>2564</v>
      </c>
      <c r="C12470" s="1007">
        <f t="shared" si="261"/>
        <v>86</v>
      </c>
      <c r="D12470" s="1012"/>
      <c r="I12470" s="1011" t="s">
        <v>2180</v>
      </c>
      <c r="K12470" s="1013"/>
    </row>
    <row r="12471" spans="1:11" s="1011" customFormat="1" ht="15" x14ac:dyDescent="0.25">
      <c r="A12471" s="859">
        <f t="shared" si="260"/>
        <v>12470</v>
      </c>
      <c r="B12471" s="845" t="s">
        <v>2564</v>
      </c>
      <c r="C12471" s="1007">
        <f t="shared" si="261"/>
        <v>86</v>
      </c>
      <c r="D12471" s="1014"/>
      <c r="I12471" s="1011" t="str">
        <f>CONCATENATE("&lt;valeur&gt;",VLOOKUP(C12471,'T16 Amort'!A:K,8,0),"&lt;/valeur&gt;")</f>
        <v>&lt;valeur&gt;&lt;/valeur&gt;</v>
      </c>
      <c r="K12471" s="1013"/>
    </row>
    <row r="12472" spans="1:11" s="1011" customFormat="1" ht="15" x14ac:dyDescent="0.25">
      <c r="A12472" s="859">
        <f t="shared" si="260"/>
        <v>12471</v>
      </c>
      <c r="B12472" s="845" t="s">
        <v>2564</v>
      </c>
      <c r="C12472" s="1007">
        <f t="shared" si="261"/>
        <v>86</v>
      </c>
      <c r="D12472" s="1014"/>
      <c r="I12472" s="1011" t="str">
        <f>CONCATENATE("&lt;numeroLigne&gt;",C12472,"&lt;/numeroLigne&gt;")</f>
        <v>&lt;numeroLigne&gt;86&lt;/numeroLigne&gt;</v>
      </c>
      <c r="K12472" s="1013"/>
    </row>
    <row r="12473" spans="1:11" s="1011" customFormat="1" ht="15" x14ac:dyDescent="0.25">
      <c r="A12473" s="859">
        <f t="shared" si="260"/>
        <v>12472</v>
      </c>
      <c r="B12473" s="845" t="s">
        <v>2564</v>
      </c>
      <c r="C12473" s="1007">
        <f t="shared" si="261"/>
        <v>86</v>
      </c>
      <c r="D12473" s="1012"/>
      <c r="H12473" s="1011" t="s">
        <v>1010</v>
      </c>
      <c r="K12473" s="1013"/>
    </row>
    <row r="12474" spans="1:11" s="1011" customFormat="1" ht="15" x14ac:dyDescent="0.25">
      <c r="A12474" s="859">
        <f t="shared" si="260"/>
        <v>12473</v>
      </c>
      <c r="B12474" s="845" t="s">
        <v>2564</v>
      </c>
      <c r="C12474" s="1007">
        <f t="shared" si="261"/>
        <v>86</v>
      </c>
      <c r="D12474" s="1015"/>
      <c r="H12474" s="1011" t="s">
        <v>1007</v>
      </c>
      <c r="K12474" s="1013"/>
    </row>
    <row r="12475" spans="1:11" s="1011" customFormat="1" ht="15" x14ac:dyDescent="0.25">
      <c r="A12475" s="859">
        <f t="shared" si="260"/>
        <v>12474</v>
      </c>
      <c r="B12475" s="845" t="s">
        <v>2564</v>
      </c>
      <c r="C12475" s="1007">
        <f t="shared" si="261"/>
        <v>86</v>
      </c>
      <c r="D12475" s="1012"/>
      <c r="I12475" s="1011" t="s">
        <v>2181</v>
      </c>
      <c r="K12475" s="1013"/>
    </row>
    <row r="12476" spans="1:11" s="1011" customFormat="1" ht="15" x14ac:dyDescent="0.25">
      <c r="A12476" s="859">
        <f t="shared" si="260"/>
        <v>12475</v>
      </c>
      <c r="B12476" s="845" t="s">
        <v>2564</v>
      </c>
      <c r="C12476" s="1007">
        <f t="shared" si="261"/>
        <v>86</v>
      </c>
      <c r="D12476" s="1012"/>
      <c r="I12476" s="1011" t="str">
        <f>CONCATENATE("&lt;valeur&gt;",VLOOKUP(C12476,'T16 Amort'!A:K,9,0),"&lt;/valeur&gt;")</f>
        <v>&lt;valeur&gt;&lt;/valeur&gt;</v>
      </c>
      <c r="K12476" s="1013"/>
    </row>
    <row r="12477" spans="1:11" s="1011" customFormat="1" ht="15" x14ac:dyDescent="0.25">
      <c r="A12477" s="859">
        <f t="shared" si="260"/>
        <v>12476</v>
      </c>
      <c r="B12477" s="845" t="s">
        <v>2564</v>
      </c>
      <c r="C12477" s="1007">
        <f t="shared" si="261"/>
        <v>86</v>
      </c>
      <c r="D12477" s="1014"/>
      <c r="I12477" s="1011" t="str">
        <f>CONCATENATE("&lt;numeroLigne&gt;",C12477,"&lt;/numeroLigne&gt;")</f>
        <v>&lt;numeroLigne&gt;86&lt;/numeroLigne&gt;</v>
      </c>
      <c r="K12477" s="1013"/>
    </row>
    <row r="12478" spans="1:11" s="1011" customFormat="1" ht="15" x14ac:dyDescent="0.25">
      <c r="A12478" s="859">
        <f t="shared" si="260"/>
        <v>12477</v>
      </c>
      <c r="B12478" s="845" t="s">
        <v>2564</v>
      </c>
      <c r="C12478" s="1007">
        <f t="shared" si="261"/>
        <v>86</v>
      </c>
      <c r="D12478" s="1014"/>
      <c r="H12478" s="1011" t="s">
        <v>1010</v>
      </c>
      <c r="K12478" s="1013"/>
    </row>
    <row r="12479" spans="1:11" s="1011" customFormat="1" ht="15" x14ac:dyDescent="0.25">
      <c r="A12479" s="859">
        <f t="shared" si="260"/>
        <v>12478</v>
      </c>
      <c r="B12479" s="845" t="s">
        <v>2564</v>
      </c>
      <c r="C12479" s="1007">
        <f t="shared" si="261"/>
        <v>86</v>
      </c>
      <c r="D12479" s="1012"/>
      <c r="H12479" s="1011" t="s">
        <v>1007</v>
      </c>
      <c r="K12479" s="1013"/>
    </row>
    <row r="12480" spans="1:11" s="1011" customFormat="1" ht="15" x14ac:dyDescent="0.25">
      <c r="A12480" s="859">
        <f t="shared" si="260"/>
        <v>12479</v>
      </c>
      <c r="B12480" s="845" t="s">
        <v>2564</v>
      </c>
      <c r="C12480" s="1007">
        <f t="shared" si="261"/>
        <v>86</v>
      </c>
      <c r="D12480" s="1015"/>
      <c r="I12480" s="1011" t="s">
        <v>2182</v>
      </c>
      <c r="K12480" s="1013"/>
    </row>
    <row r="12481" spans="1:11" s="1011" customFormat="1" ht="15" x14ac:dyDescent="0.25">
      <c r="A12481" s="859">
        <f t="shared" si="260"/>
        <v>12480</v>
      </c>
      <c r="B12481" s="845" t="s">
        <v>2564</v>
      </c>
      <c r="C12481" s="1007">
        <f t="shared" si="261"/>
        <v>86</v>
      </c>
      <c r="D12481" s="1012"/>
      <c r="I12481" s="1011" t="str">
        <f>CONCATENATE("&lt;valeur&gt;",VLOOKUP(C12481,'T16 Amort'!A:K,10,0),"&lt;/valeur&gt;")</f>
        <v>&lt;valeur&gt;&lt;/valeur&gt;</v>
      </c>
      <c r="K12481" s="1013"/>
    </row>
    <row r="12482" spans="1:11" s="1011" customFormat="1" ht="15" x14ac:dyDescent="0.25">
      <c r="A12482" s="859">
        <f t="shared" si="260"/>
        <v>12481</v>
      </c>
      <c r="B12482" s="845" t="s">
        <v>2564</v>
      </c>
      <c r="C12482" s="1007">
        <f t="shared" si="261"/>
        <v>86</v>
      </c>
      <c r="D12482" s="1012"/>
      <c r="I12482" s="1011" t="str">
        <f>CONCATENATE("&lt;numeroLigne&gt;",C12482,"&lt;/numeroLigne&gt;")</f>
        <v>&lt;numeroLigne&gt;86&lt;/numeroLigne&gt;</v>
      </c>
      <c r="K12482" s="1013"/>
    </row>
    <row r="12483" spans="1:11" s="1011" customFormat="1" ht="15" x14ac:dyDescent="0.25">
      <c r="A12483" s="859">
        <f t="shared" si="260"/>
        <v>12482</v>
      </c>
      <c r="B12483" s="845" t="s">
        <v>2564</v>
      </c>
      <c r="C12483" s="1007">
        <f t="shared" si="261"/>
        <v>86</v>
      </c>
      <c r="D12483" s="1014"/>
      <c r="H12483" s="1011" t="s">
        <v>1010</v>
      </c>
      <c r="K12483" s="1013"/>
    </row>
    <row r="12484" spans="1:11" s="1011" customFormat="1" ht="15" x14ac:dyDescent="0.25">
      <c r="A12484" s="859">
        <f t="shared" ref="A12484:A12547" si="262">+A12483+1</f>
        <v>12483</v>
      </c>
      <c r="B12484" s="845" t="s">
        <v>2564</v>
      </c>
      <c r="C12484" s="1007">
        <f t="shared" si="261"/>
        <v>86</v>
      </c>
      <c r="D12484" s="1014"/>
      <c r="H12484" s="1011" t="s">
        <v>1007</v>
      </c>
      <c r="K12484" s="1013"/>
    </row>
    <row r="12485" spans="1:11" s="1011" customFormat="1" ht="15" x14ac:dyDescent="0.25">
      <c r="A12485" s="859">
        <f t="shared" si="262"/>
        <v>12484</v>
      </c>
      <c r="B12485" s="845" t="s">
        <v>2564</v>
      </c>
      <c r="C12485" s="1007">
        <f t="shared" si="261"/>
        <v>86</v>
      </c>
      <c r="D12485" s="1012"/>
      <c r="I12485" s="1011" t="s">
        <v>2183</v>
      </c>
      <c r="K12485" s="1013"/>
    </row>
    <row r="12486" spans="1:11" s="1011" customFormat="1" ht="15" x14ac:dyDescent="0.25">
      <c r="A12486" s="859">
        <f t="shared" si="262"/>
        <v>12485</v>
      </c>
      <c r="B12486" s="845" t="s">
        <v>2564</v>
      </c>
      <c r="C12486" s="1007">
        <f t="shared" si="261"/>
        <v>86</v>
      </c>
      <c r="D12486" s="1015"/>
      <c r="I12486" s="1011" t="str">
        <f>CONCATENATE("&lt;valeur&gt;",VLOOKUP(C12486,'T16 Amort'!A:K,11,0),"&lt;/valeur&gt;")</f>
        <v>&lt;valeur&gt;&lt;/valeur&gt;</v>
      </c>
      <c r="K12486" s="1013"/>
    </row>
    <row r="12487" spans="1:11" s="1011" customFormat="1" ht="15" x14ac:dyDescent="0.25">
      <c r="A12487" s="859">
        <f t="shared" si="262"/>
        <v>12486</v>
      </c>
      <c r="B12487" s="845" t="s">
        <v>2564</v>
      </c>
      <c r="C12487" s="1007">
        <f t="shared" si="261"/>
        <v>86</v>
      </c>
      <c r="D12487" s="1012"/>
      <c r="I12487" s="1011" t="str">
        <f>CONCATENATE("&lt;numeroLigne&gt;",C12487,"&lt;/numeroLigne&gt;")</f>
        <v>&lt;numeroLigne&gt;86&lt;/numeroLigne&gt;</v>
      </c>
      <c r="K12487" s="1013"/>
    </row>
    <row r="12488" spans="1:11" s="1011" customFormat="1" ht="15" x14ac:dyDescent="0.25">
      <c r="A12488" s="859">
        <f t="shared" si="262"/>
        <v>12487</v>
      </c>
      <c r="B12488" s="845" t="s">
        <v>2564</v>
      </c>
      <c r="C12488" s="1007">
        <f t="shared" si="261"/>
        <v>86</v>
      </c>
      <c r="D12488" s="1016"/>
      <c r="E12488" s="1017"/>
      <c r="F12488" s="1017"/>
      <c r="G12488" s="1017"/>
      <c r="H12488" s="1017" t="s">
        <v>1010</v>
      </c>
      <c r="I12488" s="1017"/>
      <c r="J12488" s="1017"/>
      <c r="K12488" s="1018"/>
    </row>
    <row r="12489" spans="1:11" s="1011" customFormat="1" ht="15" x14ac:dyDescent="0.25">
      <c r="A12489" s="859">
        <f t="shared" si="262"/>
        <v>12488</v>
      </c>
      <c r="B12489" s="845" t="s">
        <v>2564</v>
      </c>
      <c r="C12489" s="1007">
        <f t="shared" si="261"/>
        <v>87</v>
      </c>
      <c r="D12489" s="1008"/>
      <c r="E12489" s="1009"/>
      <c r="F12489" s="1009"/>
      <c r="G12489" s="1009"/>
      <c r="H12489" s="1009" t="s">
        <v>1007</v>
      </c>
      <c r="I12489" s="1009"/>
      <c r="J12489" s="1009"/>
      <c r="K12489" s="1010"/>
    </row>
    <row r="12490" spans="1:11" s="1011" customFormat="1" ht="15" x14ac:dyDescent="0.25">
      <c r="A12490" s="859">
        <f t="shared" si="262"/>
        <v>12489</v>
      </c>
      <c r="B12490" s="845" t="s">
        <v>2564</v>
      </c>
      <c r="C12490" s="1007">
        <f t="shared" si="261"/>
        <v>87</v>
      </c>
      <c r="D12490" s="1012"/>
      <c r="I12490" s="1011" t="s">
        <v>2174</v>
      </c>
      <c r="K12490" s="1013"/>
    </row>
    <row r="12491" spans="1:11" s="1011" customFormat="1" ht="15" x14ac:dyDescent="0.25">
      <c r="A12491" s="859">
        <f t="shared" si="262"/>
        <v>12490</v>
      </c>
      <c r="B12491" s="845" t="s">
        <v>2564</v>
      </c>
      <c r="C12491" s="1007">
        <f t="shared" si="261"/>
        <v>87</v>
      </c>
      <c r="D12491" s="1014"/>
      <c r="I12491" s="1011" t="str">
        <f>CONCATENATE("&lt;valeur&gt;",VLOOKUP(C12491,'T16 Amort'!A:K,2,0),"&lt;/valeur&gt;")</f>
        <v>&lt;valeur&gt;&lt;/valeur&gt;</v>
      </c>
      <c r="K12491" s="1013"/>
    </row>
    <row r="12492" spans="1:11" s="1011" customFormat="1" ht="15" x14ac:dyDescent="0.25">
      <c r="A12492" s="859">
        <f t="shared" si="262"/>
        <v>12491</v>
      </c>
      <c r="B12492" s="845" t="s">
        <v>2564</v>
      </c>
      <c r="C12492" s="1007">
        <f t="shared" si="261"/>
        <v>87</v>
      </c>
      <c r="D12492" s="1014"/>
      <c r="I12492" s="1011" t="str">
        <f>CONCATENATE("&lt;numeroLigne&gt;",C12492,"&lt;/numeroLigne&gt;")</f>
        <v>&lt;numeroLigne&gt;87&lt;/numeroLigne&gt;</v>
      </c>
      <c r="K12492" s="1013"/>
    </row>
    <row r="12493" spans="1:11" s="1011" customFormat="1" ht="15" x14ac:dyDescent="0.25">
      <c r="A12493" s="859">
        <f t="shared" si="262"/>
        <v>12492</v>
      </c>
      <c r="B12493" s="845" t="s">
        <v>2564</v>
      </c>
      <c r="C12493" s="1007">
        <f t="shared" si="261"/>
        <v>87</v>
      </c>
      <c r="D12493" s="1012"/>
      <c r="H12493" s="1011" t="s">
        <v>1010</v>
      </c>
      <c r="K12493" s="1013"/>
    </row>
    <row r="12494" spans="1:11" s="1011" customFormat="1" ht="15" x14ac:dyDescent="0.25">
      <c r="A12494" s="859">
        <f t="shared" si="262"/>
        <v>12493</v>
      </c>
      <c r="B12494" s="845" t="s">
        <v>2564</v>
      </c>
      <c r="C12494" s="1007">
        <f t="shared" si="261"/>
        <v>87</v>
      </c>
      <c r="D12494" s="1015"/>
      <c r="H12494" s="1011" t="s">
        <v>1007</v>
      </c>
      <c r="K12494" s="1013"/>
    </row>
    <row r="12495" spans="1:11" s="1011" customFormat="1" ht="15" x14ac:dyDescent="0.25">
      <c r="A12495" s="859">
        <f t="shared" si="262"/>
        <v>12494</v>
      </c>
      <c r="B12495" s="845" t="s">
        <v>2564</v>
      </c>
      <c r="C12495" s="1007">
        <f t="shared" si="261"/>
        <v>87</v>
      </c>
      <c r="D12495" s="1012"/>
      <c r="I12495" s="1011" t="s">
        <v>2175</v>
      </c>
      <c r="K12495" s="1013"/>
    </row>
    <row r="12496" spans="1:11" s="1011" customFormat="1" ht="15" x14ac:dyDescent="0.25">
      <c r="A12496" s="859">
        <f t="shared" si="262"/>
        <v>12495</v>
      </c>
      <c r="B12496" s="845" t="s">
        <v>2564</v>
      </c>
      <c r="C12496" s="1007">
        <f t="shared" si="261"/>
        <v>87</v>
      </c>
      <c r="D12496" s="1012"/>
      <c r="I12496" s="1011" t="str">
        <f>CONCATENATE("&lt;valeur&gt;",VLOOKUP(C12496,'T16 Amort'!A:K,3,0),"&lt;/valeur&gt;")</f>
        <v>&lt;valeur&gt;&lt;/valeur&gt;</v>
      </c>
      <c r="K12496" s="1013"/>
    </row>
    <row r="12497" spans="1:11" s="1011" customFormat="1" ht="15" x14ac:dyDescent="0.25">
      <c r="A12497" s="859">
        <f t="shared" si="262"/>
        <v>12496</v>
      </c>
      <c r="B12497" s="845" t="s">
        <v>2564</v>
      </c>
      <c r="C12497" s="1007">
        <f t="shared" si="261"/>
        <v>87</v>
      </c>
      <c r="D12497" s="1014"/>
      <c r="I12497" s="1011" t="str">
        <f>CONCATENATE("&lt;numeroLigne&gt;",C12497,"&lt;/numeroLigne&gt;")</f>
        <v>&lt;numeroLigne&gt;87&lt;/numeroLigne&gt;</v>
      </c>
      <c r="K12497" s="1013"/>
    </row>
    <row r="12498" spans="1:11" s="1011" customFormat="1" ht="15" x14ac:dyDescent="0.25">
      <c r="A12498" s="859">
        <f t="shared" si="262"/>
        <v>12497</v>
      </c>
      <c r="B12498" s="845" t="s">
        <v>2564</v>
      </c>
      <c r="C12498" s="1007">
        <f t="shared" si="261"/>
        <v>87</v>
      </c>
      <c r="D12498" s="1014"/>
      <c r="H12498" s="1011" t="s">
        <v>1010</v>
      </c>
      <c r="K12498" s="1013"/>
    </row>
    <row r="12499" spans="1:11" s="1011" customFormat="1" ht="15" x14ac:dyDescent="0.25">
      <c r="A12499" s="859">
        <f t="shared" si="262"/>
        <v>12498</v>
      </c>
      <c r="B12499" s="845" t="s">
        <v>2564</v>
      </c>
      <c r="C12499" s="1007">
        <f t="shared" si="261"/>
        <v>87</v>
      </c>
      <c r="D12499" s="1012"/>
      <c r="H12499" s="1011" t="s">
        <v>1007</v>
      </c>
      <c r="K12499" s="1013"/>
    </row>
    <row r="12500" spans="1:11" s="1011" customFormat="1" ht="15" x14ac:dyDescent="0.25">
      <c r="A12500" s="859">
        <f t="shared" si="262"/>
        <v>12499</v>
      </c>
      <c r="B12500" s="845" t="s">
        <v>2564</v>
      </c>
      <c r="C12500" s="1007">
        <f t="shared" si="261"/>
        <v>87</v>
      </c>
      <c r="D12500" s="1015"/>
      <c r="I12500" s="1011" t="s">
        <v>2176</v>
      </c>
      <c r="K12500" s="1013"/>
    </row>
    <row r="12501" spans="1:11" s="1011" customFormat="1" ht="15" x14ac:dyDescent="0.25">
      <c r="A12501" s="859">
        <f t="shared" si="262"/>
        <v>12500</v>
      </c>
      <c r="B12501" s="845" t="s">
        <v>2564</v>
      </c>
      <c r="C12501" s="1007">
        <f t="shared" si="261"/>
        <v>87</v>
      </c>
      <c r="D12501" s="1012"/>
      <c r="I12501" s="1011" t="str">
        <f>CONCATENATE("&lt;valeur&gt;",VLOOKUP(C12501,'T16 Amort'!A:K,4,0),"&lt;/valeur&gt;")</f>
        <v>&lt;valeur&gt;&lt;/valeur&gt;</v>
      </c>
      <c r="K12501" s="1013"/>
    </row>
    <row r="12502" spans="1:11" s="1011" customFormat="1" ht="15" x14ac:dyDescent="0.25">
      <c r="A12502" s="859">
        <f t="shared" si="262"/>
        <v>12501</v>
      </c>
      <c r="B12502" s="845" t="s">
        <v>2564</v>
      </c>
      <c r="C12502" s="1007">
        <f t="shared" si="261"/>
        <v>87</v>
      </c>
      <c r="D12502" s="1012"/>
      <c r="I12502" s="1011" t="str">
        <f>CONCATENATE("&lt;numeroLigne&gt;",C12502,"&lt;/numeroLigne&gt;")</f>
        <v>&lt;numeroLigne&gt;87&lt;/numeroLigne&gt;</v>
      </c>
      <c r="K12502" s="1013"/>
    </row>
    <row r="12503" spans="1:11" s="1011" customFormat="1" ht="15" x14ac:dyDescent="0.25">
      <c r="A12503" s="859">
        <f t="shared" si="262"/>
        <v>12502</v>
      </c>
      <c r="B12503" s="845" t="s">
        <v>2564</v>
      </c>
      <c r="C12503" s="1007">
        <f t="shared" si="261"/>
        <v>87</v>
      </c>
      <c r="D12503" s="1014"/>
      <c r="H12503" s="1011" t="s">
        <v>1010</v>
      </c>
      <c r="K12503" s="1013"/>
    </row>
    <row r="12504" spans="1:11" s="1011" customFormat="1" ht="15" x14ac:dyDescent="0.25">
      <c r="A12504" s="859">
        <f t="shared" si="262"/>
        <v>12503</v>
      </c>
      <c r="B12504" s="845" t="s">
        <v>2564</v>
      </c>
      <c r="C12504" s="1007">
        <f t="shared" si="261"/>
        <v>87</v>
      </c>
      <c r="D12504" s="1014"/>
      <c r="H12504" s="1011" t="s">
        <v>1007</v>
      </c>
      <c r="K12504" s="1013"/>
    </row>
    <row r="12505" spans="1:11" s="1011" customFormat="1" ht="15" x14ac:dyDescent="0.25">
      <c r="A12505" s="859">
        <f t="shared" si="262"/>
        <v>12504</v>
      </c>
      <c r="B12505" s="845" t="s">
        <v>2564</v>
      </c>
      <c r="C12505" s="1007">
        <f t="shared" si="261"/>
        <v>87</v>
      </c>
      <c r="D12505" s="1012"/>
      <c r="I12505" s="1011" t="s">
        <v>2177</v>
      </c>
      <c r="K12505" s="1013"/>
    </row>
    <row r="12506" spans="1:11" s="1011" customFormat="1" ht="15" x14ac:dyDescent="0.25">
      <c r="A12506" s="859">
        <f t="shared" si="262"/>
        <v>12505</v>
      </c>
      <c r="B12506" s="845" t="s">
        <v>2564</v>
      </c>
      <c r="C12506" s="1007">
        <f t="shared" si="261"/>
        <v>87</v>
      </c>
      <c r="D12506" s="1015"/>
      <c r="I12506" s="1011" t="str">
        <f>CONCATENATE("&lt;valeur&gt;",VLOOKUP(C12506,'T16 Amort'!A:K,5,0),"&lt;/valeur&gt;")</f>
        <v>&lt;valeur&gt;&lt;/valeur&gt;</v>
      </c>
      <c r="K12506" s="1013"/>
    </row>
    <row r="12507" spans="1:11" s="1011" customFormat="1" ht="15" x14ac:dyDescent="0.25">
      <c r="A12507" s="859">
        <f t="shared" si="262"/>
        <v>12506</v>
      </c>
      <c r="B12507" s="845" t="s">
        <v>2564</v>
      </c>
      <c r="C12507" s="1007">
        <f t="shared" si="261"/>
        <v>87</v>
      </c>
      <c r="D12507" s="1012"/>
      <c r="I12507" s="1011" t="str">
        <f>CONCATENATE("&lt;numeroLigne&gt;",C12507,"&lt;/numeroLigne&gt;")</f>
        <v>&lt;numeroLigne&gt;87&lt;/numeroLigne&gt;</v>
      </c>
      <c r="K12507" s="1013"/>
    </row>
    <row r="12508" spans="1:11" s="1011" customFormat="1" ht="15" x14ac:dyDescent="0.25">
      <c r="A12508" s="859">
        <f t="shared" si="262"/>
        <v>12507</v>
      </c>
      <c r="B12508" s="845" t="s">
        <v>2564</v>
      </c>
      <c r="C12508" s="1007">
        <f t="shared" si="261"/>
        <v>87</v>
      </c>
      <c r="D12508" s="1012"/>
      <c r="H12508" s="1011" t="s">
        <v>1010</v>
      </c>
      <c r="K12508" s="1013"/>
    </row>
    <row r="12509" spans="1:11" s="1011" customFormat="1" ht="15" x14ac:dyDescent="0.25">
      <c r="A12509" s="859">
        <f t="shared" si="262"/>
        <v>12508</v>
      </c>
      <c r="B12509" s="845" t="s">
        <v>2564</v>
      </c>
      <c r="C12509" s="1007">
        <f t="shared" si="261"/>
        <v>87</v>
      </c>
      <c r="D12509" s="1014"/>
      <c r="H12509" s="1011" t="s">
        <v>1007</v>
      </c>
      <c r="K12509" s="1013"/>
    </row>
    <row r="12510" spans="1:11" s="1011" customFormat="1" ht="15" x14ac:dyDescent="0.25">
      <c r="A12510" s="859">
        <f t="shared" si="262"/>
        <v>12509</v>
      </c>
      <c r="B12510" s="845" t="s">
        <v>2564</v>
      </c>
      <c r="C12510" s="1007">
        <f t="shared" si="261"/>
        <v>87</v>
      </c>
      <c r="D12510" s="1014"/>
      <c r="I12510" s="1011" t="s">
        <v>2178</v>
      </c>
      <c r="K12510" s="1013"/>
    </row>
    <row r="12511" spans="1:11" s="1011" customFormat="1" ht="15" x14ac:dyDescent="0.25">
      <c r="A12511" s="859">
        <f t="shared" si="262"/>
        <v>12510</v>
      </c>
      <c r="B12511" s="845" t="s">
        <v>2564</v>
      </c>
      <c r="C12511" s="1007">
        <f t="shared" si="261"/>
        <v>87</v>
      </c>
      <c r="D12511" s="1012"/>
      <c r="I12511" s="1011" t="str">
        <f>CONCATENATE("&lt;valeur&gt;",VLOOKUP(C12511,'T16 Amort'!A:K,6,0),"&lt;/valeur&gt;")</f>
        <v>&lt;valeur&gt;&lt;/valeur&gt;</v>
      </c>
      <c r="K12511" s="1013"/>
    </row>
    <row r="12512" spans="1:11" s="1011" customFormat="1" ht="15" x14ac:dyDescent="0.25">
      <c r="A12512" s="859">
        <f t="shared" si="262"/>
        <v>12511</v>
      </c>
      <c r="B12512" s="845" t="s">
        <v>2564</v>
      </c>
      <c r="C12512" s="1007">
        <f t="shared" si="261"/>
        <v>87</v>
      </c>
      <c r="D12512" s="1015"/>
      <c r="I12512" s="1011" t="str">
        <f>CONCATENATE("&lt;numeroLigne&gt;",C12512,"&lt;/numeroLigne&gt;")</f>
        <v>&lt;numeroLigne&gt;87&lt;/numeroLigne&gt;</v>
      </c>
      <c r="K12512" s="1013"/>
    </row>
    <row r="12513" spans="1:11" s="1011" customFormat="1" ht="15" x14ac:dyDescent="0.25">
      <c r="A12513" s="859">
        <f t="shared" si="262"/>
        <v>12512</v>
      </c>
      <c r="B12513" s="845" t="s">
        <v>2564</v>
      </c>
      <c r="C12513" s="1007">
        <f t="shared" si="261"/>
        <v>87</v>
      </c>
      <c r="D12513" s="1012"/>
      <c r="H12513" s="1011" t="s">
        <v>1010</v>
      </c>
      <c r="K12513" s="1013"/>
    </row>
    <row r="12514" spans="1:11" s="1011" customFormat="1" ht="15" x14ac:dyDescent="0.25">
      <c r="A12514" s="859">
        <f t="shared" si="262"/>
        <v>12513</v>
      </c>
      <c r="B12514" s="845" t="s">
        <v>2564</v>
      </c>
      <c r="C12514" s="1007">
        <f t="shared" si="261"/>
        <v>87</v>
      </c>
      <c r="D12514" s="1012"/>
      <c r="H12514" s="1011" t="s">
        <v>1007</v>
      </c>
      <c r="K12514" s="1013"/>
    </row>
    <row r="12515" spans="1:11" s="1011" customFormat="1" ht="15" x14ac:dyDescent="0.25">
      <c r="A12515" s="859">
        <f t="shared" si="262"/>
        <v>12514</v>
      </c>
      <c r="B12515" s="845" t="s">
        <v>2564</v>
      </c>
      <c r="C12515" s="1007">
        <f t="shared" si="261"/>
        <v>87</v>
      </c>
      <c r="D12515" s="1014"/>
      <c r="I12515" s="1011" t="s">
        <v>2179</v>
      </c>
      <c r="K12515" s="1013"/>
    </row>
    <row r="12516" spans="1:11" s="1011" customFormat="1" ht="15" x14ac:dyDescent="0.25">
      <c r="A12516" s="859">
        <f t="shared" si="262"/>
        <v>12515</v>
      </c>
      <c r="B12516" s="845" t="s">
        <v>2564</v>
      </c>
      <c r="C12516" s="1007">
        <f t="shared" si="261"/>
        <v>87</v>
      </c>
      <c r="D12516" s="1014"/>
      <c r="I12516" s="1011" t="str">
        <f>CONCATENATE("&lt;valeur&gt;",VLOOKUP(C12516,'T16 Amort'!A:K,7,0),"&lt;/valeur&gt;")</f>
        <v>&lt;valeur&gt;&lt;/valeur&gt;</v>
      </c>
      <c r="K12516" s="1013"/>
    </row>
    <row r="12517" spans="1:11" s="1011" customFormat="1" ht="15" x14ac:dyDescent="0.25">
      <c r="A12517" s="859">
        <f t="shared" si="262"/>
        <v>12516</v>
      </c>
      <c r="B12517" s="845" t="s">
        <v>2564</v>
      </c>
      <c r="C12517" s="1007">
        <f t="shared" si="261"/>
        <v>87</v>
      </c>
      <c r="D12517" s="1012"/>
      <c r="I12517" s="1011" t="str">
        <f>CONCATENATE("&lt;numeroLigne&gt;",C12517,"&lt;/numeroLigne&gt;")</f>
        <v>&lt;numeroLigne&gt;87&lt;/numeroLigne&gt;</v>
      </c>
      <c r="K12517" s="1013"/>
    </row>
    <row r="12518" spans="1:11" s="1011" customFormat="1" ht="15" x14ac:dyDescent="0.25">
      <c r="A12518" s="859">
        <f t="shared" si="262"/>
        <v>12517</v>
      </c>
      <c r="B12518" s="845" t="s">
        <v>2564</v>
      </c>
      <c r="C12518" s="1007">
        <f t="shared" si="261"/>
        <v>87</v>
      </c>
      <c r="D12518" s="1015"/>
      <c r="H12518" s="1011" t="s">
        <v>1010</v>
      </c>
      <c r="K12518" s="1013"/>
    </row>
    <row r="12519" spans="1:11" s="1011" customFormat="1" ht="15" x14ac:dyDescent="0.25">
      <c r="A12519" s="859">
        <f t="shared" si="262"/>
        <v>12518</v>
      </c>
      <c r="B12519" s="845" t="s">
        <v>2564</v>
      </c>
      <c r="C12519" s="1007">
        <f t="shared" si="261"/>
        <v>87</v>
      </c>
      <c r="D12519" s="1012"/>
      <c r="H12519" s="1011" t="s">
        <v>1007</v>
      </c>
      <c r="K12519" s="1013"/>
    </row>
    <row r="12520" spans="1:11" s="1011" customFormat="1" ht="15" x14ac:dyDescent="0.25">
      <c r="A12520" s="859">
        <f t="shared" si="262"/>
        <v>12519</v>
      </c>
      <c r="B12520" s="845" t="s">
        <v>2564</v>
      </c>
      <c r="C12520" s="1007">
        <f t="shared" si="261"/>
        <v>87</v>
      </c>
      <c r="D12520" s="1012"/>
      <c r="I12520" s="1011" t="s">
        <v>2180</v>
      </c>
      <c r="K12520" s="1013"/>
    </row>
    <row r="12521" spans="1:11" s="1011" customFormat="1" ht="15" x14ac:dyDescent="0.25">
      <c r="A12521" s="859">
        <f t="shared" si="262"/>
        <v>12520</v>
      </c>
      <c r="B12521" s="845" t="s">
        <v>2564</v>
      </c>
      <c r="C12521" s="1007">
        <f t="shared" si="261"/>
        <v>87</v>
      </c>
      <c r="D12521" s="1014"/>
      <c r="I12521" s="1011" t="str">
        <f>CONCATENATE("&lt;valeur&gt;",VLOOKUP(C12521,'T16 Amort'!A:K,8,0),"&lt;/valeur&gt;")</f>
        <v>&lt;valeur&gt;&lt;/valeur&gt;</v>
      </c>
      <c r="K12521" s="1013"/>
    </row>
    <row r="12522" spans="1:11" s="1011" customFormat="1" ht="15" x14ac:dyDescent="0.25">
      <c r="A12522" s="859">
        <f t="shared" si="262"/>
        <v>12521</v>
      </c>
      <c r="B12522" s="845" t="s">
        <v>2564</v>
      </c>
      <c r="C12522" s="1007">
        <f t="shared" si="261"/>
        <v>87</v>
      </c>
      <c r="D12522" s="1014"/>
      <c r="I12522" s="1011" t="str">
        <f>CONCATENATE("&lt;numeroLigne&gt;",C12522,"&lt;/numeroLigne&gt;")</f>
        <v>&lt;numeroLigne&gt;87&lt;/numeroLigne&gt;</v>
      </c>
      <c r="K12522" s="1013"/>
    </row>
    <row r="12523" spans="1:11" s="1011" customFormat="1" ht="15" x14ac:dyDescent="0.25">
      <c r="A12523" s="859">
        <f t="shared" si="262"/>
        <v>12522</v>
      </c>
      <c r="B12523" s="845" t="s">
        <v>2564</v>
      </c>
      <c r="C12523" s="1007">
        <f t="shared" si="261"/>
        <v>87</v>
      </c>
      <c r="D12523" s="1012"/>
      <c r="H12523" s="1011" t="s">
        <v>1010</v>
      </c>
      <c r="K12523" s="1013"/>
    </row>
    <row r="12524" spans="1:11" s="1011" customFormat="1" ht="15" x14ac:dyDescent="0.25">
      <c r="A12524" s="859">
        <f t="shared" si="262"/>
        <v>12523</v>
      </c>
      <c r="B12524" s="845" t="s">
        <v>2564</v>
      </c>
      <c r="C12524" s="1007">
        <f t="shared" si="261"/>
        <v>87</v>
      </c>
      <c r="D12524" s="1015"/>
      <c r="H12524" s="1011" t="s">
        <v>1007</v>
      </c>
      <c r="K12524" s="1013"/>
    </row>
    <row r="12525" spans="1:11" s="1011" customFormat="1" ht="15" x14ac:dyDescent="0.25">
      <c r="A12525" s="859">
        <f t="shared" si="262"/>
        <v>12524</v>
      </c>
      <c r="B12525" s="845" t="s">
        <v>2564</v>
      </c>
      <c r="C12525" s="1007">
        <f t="shared" si="261"/>
        <v>87</v>
      </c>
      <c r="D12525" s="1012"/>
      <c r="I12525" s="1011" t="s">
        <v>2181</v>
      </c>
      <c r="K12525" s="1013"/>
    </row>
    <row r="12526" spans="1:11" s="1011" customFormat="1" ht="15" x14ac:dyDescent="0.25">
      <c r="A12526" s="859">
        <f t="shared" si="262"/>
        <v>12525</v>
      </c>
      <c r="B12526" s="845" t="s">
        <v>2564</v>
      </c>
      <c r="C12526" s="1007">
        <f t="shared" si="261"/>
        <v>87</v>
      </c>
      <c r="D12526" s="1012"/>
      <c r="I12526" s="1011" t="str">
        <f>CONCATENATE("&lt;valeur&gt;",VLOOKUP(C12526,'T16 Amort'!A:K,9,0),"&lt;/valeur&gt;")</f>
        <v>&lt;valeur&gt;&lt;/valeur&gt;</v>
      </c>
      <c r="K12526" s="1013"/>
    </row>
    <row r="12527" spans="1:11" s="1011" customFormat="1" ht="15" x14ac:dyDescent="0.25">
      <c r="A12527" s="859">
        <f t="shared" si="262"/>
        <v>12526</v>
      </c>
      <c r="B12527" s="845" t="s">
        <v>2564</v>
      </c>
      <c r="C12527" s="1007">
        <f t="shared" ref="C12527:C12590" si="263">C12477+1</f>
        <v>87</v>
      </c>
      <c r="D12527" s="1014"/>
      <c r="I12527" s="1011" t="str">
        <f>CONCATENATE("&lt;numeroLigne&gt;",C12527,"&lt;/numeroLigne&gt;")</f>
        <v>&lt;numeroLigne&gt;87&lt;/numeroLigne&gt;</v>
      </c>
      <c r="K12527" s="1013"/>
    </row>
    <row r="12528" spans="1:11" s="1011" customFormat="1" ht="15" x14ac:dyDescent="0.25">
      <c r="A12528" s="859">
        <f t="shared" si="262"/>
        <v>12527</v>
      </c>
      <c r="B12528" s="845" t="s">
        <v>2564</v>
      </c>
      <c r="C12528" s="1007">
        <f t="shared" si="263"/>
        <v>87</v>
      </c>
      <c r="D12528" s="1014"/>
      <c r="H12528" s="1011" t="s">
        <v>1010</v>
      </c>
      <c r="K12528" s="1013"/>
    </row>
    <row r="12529" spans="1:11" s="1011" customFormat="1" ht="15" x14ac:dyDescent="0.25">
      <c r="A12529" s="859">
        <f t="shared" si="262"/>
        <v>12528</v>
      </c>
      <c r="B12529" s="845" t="s">
        <v>2564</v>
      </c>
      <c r="C12529" s="1007">
        <f t="shared" si="263"/>
        <v>87</v>
      </c>
      <c r="D12529" s="1012"/>
      <c r="H12529" s="1011" t="s">
        <v>1007</v>
      </c>
      <c r="K12529" s="1013"/>
    </row>
    <row r="12530" spans="1:11" s="1011" customFormat="1" ht="15" x14ac:dyDescent="0.25">
      <c r="A12530" s="859">
        <f t="shared" si="262"/>
        <v>12529</v>
      </c>
      <c r="B12530" s="845" t="s">
        <v>2564</v>
      </c>
      <c r="C12530" s="1007">
        <f t="shared" si="263"/>
        <v>87</v>
      </c>
      <c r="D12530" s="1015"/>
      <c r="I12530" s="1011" t="s">
        <v>2182</v>
      </c>
      <c r="K12530" s="1013"/>
    </row>
    <row r="12531" spans="1:11" s="1011" customFormat="1" ht="15" x14ac:dyDescent="0.25">
      <c r="A12531" s="859">
        <f t="shared" si="262"/>
        <v>12530</v>
      </c>
      <c r="B12531" s="845" t="s">
        <v>2564</v>
      </c>
      <c r="C12531" s="1007">
        <f t="shared" si="263"/>
        <v>87</v>
      </c>
      <c r="D12531" s="1012"/>
      <c r="I12531" s="1011" t="str">
        <f>CONCATENATE("&lt;valeur&gt;",VLOOKUP(C12531,'T16 Amort'!A:K,10,0),"&lt;/valeur&gt;")</f>
        <v>&lt;valeur&gt;&lt;/valeur&gt;</v>
      </c>
      <c r="K12531" s="1013"/>
    </row>
    <row r="12532" spans="1:11" s="1011" customFormat="1" ht="15" x14ac:dyDescent="0.25">
      <c r="A12532" s="859">
        <f t="shared" si="262"/>
        <v>12531</v>
      </c>
      <c r="B12532" s="845" t="s">
        <v>2564</v>
      </c>
      <c r="C12532" s="1007">
        <f t="shared" si="263"/>
        <v>87</v>
      </c>
      <c r="D12532" s="1012"/>
      <c r="I12532" s="1011" t="str">
        <f>CONCATENATE("&lt;numeroLigne&gt;",C12532,"&lt;/numeroLigne&gt;")</f>
        <v>&lt;numeroLigne&gt;87&lt;/numeroLigne&gt;</v>
      </c>
      <c r="K12532" s="1013"/>
    </row>
    <row r="12533" spans="1:11" s="1011" customFormat="1" ht="15" x14ac:dyDescent="0.25">
      <c r="A12533" s="859">
        <f t="shared" si="262"/>
        <v>12532</v>
      </c>
      <c r="B12533" s="845" t="s">
        <v>2564</v>
      </c>
      <c r="C12533" s="1007">
        <f t="shared" si="263"/>
        <v>87</v>
      </c>
      <c r="D12533" s="1014"/>
      <c r="H12533" s="1011" t="s">
        <v>1010</v>
      </c>
      <c r="K12533" s="1013"/>
    </row>
    <row r="12534" spans="1:11" s="1011" customFormat="1" ht="15" x14ac:dyDescent="0.25">
      <c r="A12534" s="859">
        <f t="shared" si="262"/>
        <v>12533</v>
      </c>
      <c r="B12534" s="845" t="s">
        <v>2564</v>
      </c>
      <c r="C12534" s="1007">
        <f t="shared" si="263"/>
        <v>87</v>
      </c>
      <c r="D12534" s="1014"/>
      <c r="H12534" s="1011" t="s">
        <v>1007</v>
      </c>
      <c r="K12534" s="1013"/>
    </row>
    <row r="12535" spans="1:11" s="1011" customFormat="1" ht="15" x14ac:dyDescent="0.25">
      <c r="A12535" s="859">
        <f t="shared" si="262"/>
        <v>12534</v>
      </c>
      <c r="B12535" s="845" t="s">
        <v>2564</v>
      </c>
      <c r="C12535" s="1007">
        <f t="shared" si="263"/>
        <v>87</v>
      </c>
      <c r="D12535" s="1012"/>
      <c r="I12535" s="1011" t="s">
        <v>2183</v>
      </c>
      <c r="K12535" s="1013"/>
    </row>
    <row r="12536" spans="1:11" s="1011" customFormat="1" ht="15" x14ac:dyDescent="0.25">
      <c r="A12536" s="859">
        <f t="shared" si="262"/>
        <v>12535</v>
      </c>
      <c r="B12536" s="845" t="s">
        <v>2564</v>
      </c>
      <c r="C12536" s="1007">
        <f t="shared" si="263"/>
        <v>87</v>
      </c>
      <c r="D12536" s="1015"/>
      <c r="I12536" s="1011" t="str">
        <f>CONCATENATE("&lt;valeur&gt;",VLOOKUP(C12536,'T16 Amort'!A:K,11,0),"&lt;/valeur&gt;")</f>
        <v>&lt;valeur&gt;&lt;/valeur&gt;</v>
      </c>
      <c r="K12536" s="1013"/>
    </row>
    <row r="12537" spans="1:11" s="1011" customFormat="1" ht="15" x14ac:dyDescent="0.25">
      <c r="A12537" s="859">
        <f t="shared" si="262"/>
        <v>12536</v>
      </c>
      <c r="B12537" s="845" t="s">
        <v>2564</v>
      </c>
      <c r="C12537" s="1007">
        <f t="shared" si="263"/>
        <v>87</v>
      </c>
      <c r="D12537" s="1012"/>
      <c r="I12537" s="1011" t="str">
        <f>CONCATENATE("&lt;numeroLigne&gt;",C12537,"&lt;/numeroLigne&gt;")</f>
        <v>&lt;numeroLigne&gt;87&lt;/numeroLigne&gt;</v>
      </c>
      <c r="K12537" s="1013"/>
    </row>
    <row r="12538" spans="1:11" s="1011" customFormat="1" ht="15" x14ac:dyDescent="0.25">
      <c r="A12538" s="859">
        <f t="shared" si="262"/>
        <v>12537</v>
      </c>
      <c r="B12538" s="845" t="s">
        <v>2564</v>
      </c>
      <c r="C12538" s="1007">
        <f t="shared" si="263"/>
        <v>87</v>
      </c>
      <c r="D12538" s="1016"/>
      <c r="E12538" s="1017"/>
      <c r="F12538" s="1017"/>
      <c r="G12538" s="1017"/>
      <c r="H12538" s="1017" t="s">
        <v>1010</v>
      </c>
      <c r="I12538" s="1017"/>
      <c r="J12538" s="1017"/>
      <c r="K12538" s="1018"/>
    </row>
    <row r="12539" spans="1:11" s="1011" customFormat="1" ht="15" x14ac:dyDescent="0.25">
      <c r="A12539" s="859">
        <f t="shared" si="262"/>
        <v>12538</v>
      </c>
      <c r="B12539" s="845" t="s">
        <v>2564</v>
      </c>
      <c r="C12539" s="1007">
        <f t="shared" si="263"/>
        <v>88</v>
      </c>
      <c r="D12539" s="1008"/>
      <c r="E12539" s="1009"/>
      <c r="F12539" s="1009"/>
      <c r="G12539" s="1009"/>
      <c r="H12539" s="1009" t="s">
        <v>1007</v>
      </c>
      <c r="I12539" s="1009"/>
      <c r="J12539" s="1009"/>
      <c r="K12539" s="1010"/>
    </row>
    <row r="12540" spans="1:11" s="1011" customFormat="1" ht="15" x14ac:dyDescent="0.25">
      <c r="A12540" s="859">
        <f t="shared" si="262"/>
        <v>12539</v>
      </c>
      <c r="B12540" s="845" t="s">
        <v>2564</v>
      </c>
      <c r="C12540" s="1007">
        <f t="shared" si="263"/>
        <v>88</v>
      </c>
      <c r="D12540" s="1012"/>
      <c r="I12540" s="1011" t="s">
        <v>2174</v>
      </c>
      <c r="K12540" s="1013"/>
    </row>
    <row r="12541" spans="1:11" s="1011" customFormat="1" ht="15" x14ac:dyDescent="0.25">
      <c r="A12541" s="859">
        <f t="shared" si="262"/>
        <v>12540</v>
      </c>
      <c r="B12541" s="845" t="s">
        <v>2564</v>
      </c>
      <c r="C12541" s="1007">
        <f t="shared" si="263"/>
        <v>88</v>
      </c>
      <c r="D12541" s="1014"/>
      <c r="I12541" s="1011" t="str">
        <f>CONCATENATE("&lt;valeur&gt;",VLOOKUP(C12541,'T16 Amort'!A:K,2,0),"&lt;/valeur&gt;")</f>
        <v>&lt;valeur&gt;&lt;/valeur&gt;</v>
      </c>
      <c r="K12541" s="1013"/>
    </row>
    <row r="12542" spans="1:11" s="1011" customFormat="1" ht="15" x14ac:dyDescent="0.25">
      <c r="A12542" s="859">
        <f t="shared" si="262"/>
        <v>12541</v>
      </c>
      <c r="B12542" s="845" t="s">
        <v>2564</v>
      </c>
      <c r="C12542" s="1007">
        <f t="shared" si="263"/>
        <v>88</v>
      </c>
      <c r="D12542" s="1014"/>
      <c r="I12542" s="1011" t="str">
        <f>CONCATENATE("&lt;numeroLigne&gt;",C12542,"&lt;/numeroLigne&gt;")</f>
        <v>&lt;numeroLigne&gt;88&lt;/numeroLigne&gt;</v>
      </c>
      <c r="K12542" s="1013"/>
    </row>
    <row r="12543" spans="1:11" s="1011" customFormat="1" ht="15" x14ac:dyDescent="0.25">
      <c r="A12543" s="859">
        <f t="shared" si="262"/>
        <v>12542</v>
      </c>
      <c r="B12543" s="845" t="s">
        <v>2564</v>
      </c>
      <c r="C12543" s="1007">
        <f t="shared" si="263"/>
        <v>88</v>
      </c>
      <c r="D12543" s="1012"/>
      <c r="H12543" s="1011" t="s">
        <v>1010</v>
      </c>
      <c r="K12543" s="1013"/>
    </row>
    <row r="12544" spans="1:11" s="1011" customFormat="1" ht="15" x14ac:dyDescent="0.25">
      <c r="A12544" s="859">
        <f t="shared" si="262"/>
        <v>12543</v>
      </c>
      <c r="B12544" s="845" t="s">
        <v>2564</v>
      </c>
      <c r="C12544" s="1007">
        <f t="shared" si="263"/>
        <v>88</v>
      </c>
      <c r="D12544" s="1015"/>
      <c r="H12544" s="1011" t="s">
        <v>1007</v>
      </c>
      <c r="K12544" s="1013"/>
    </row>
    <row r="12545" spans="1:11" s="1011" customFormat="1" ht="15" x14ac:dyDescent="0.25">
      <c r="A12545" s="859">
        <f t="shared" si="262"/>
        <v>12544</v>
      </c>
      <c r="B12545" s="845" t="s">
        <v>2564</v>
      </c>
      <c r="C12545" s="1007">
        <f t="shared" si="263"/>
        <v>88</v>
      </c>
      <c r="D12545" s="1012"/>
      <c r="I12545" s="1011" t="s">
        <v>2175</v>
      </c>
      <c r="K12545" s="1013"/>
    </row>
    <row r="12546" spans="1:11" s="1011" customFormat="1" ht="15" x14ac:dyDescent="0.25">
      <c r="A12546" s="859">
        <f t="shared" si="262"/>
        <v>12545</v>
      </c>
      <c r="B12546" s="845" t="s">
        <v>2564</v>
      </c>
      <c r="C12546" s="1007">
        <f t="shared" si="263"/>
        <v>88</v>
      </c>
      <c r="D12546" s="1012"/>
      <c r="I12546" s="1011" t="str">
        <f>CONCATENATE("&lt;valeur&gt;",VLOOKUP(C12546,'T16 Amort'!A:K,3,0),"&lt;/valeur&gt;")</f>
        <v>&lt;valeur&gt;&lt;/valeur&gt;</v>
      </c>
      <c r="K12546" s="1013"/>
    </row>
    <row r="12547" spans="1:11" s="1011" customFormat="1" ht="15" x14ac:dyDescent="0.25">
      <c r="A12547" s="859">
        <f t="shared" si="262"/>
        <v>12546</v>
      </c>
      <c r="B12547" s="845" t="s">
        <v>2564</v>
      </c>
      <c r="C12547" s="1007">
        <f t="shared" si="263"/>
        <v>88</v>
      </c>
      <c r="D12547" s="1014"/>
      <c r="I12547" s="1011" t="str">
        <f>CONCATENATE("&lt;numeroLigne&gt;",C12547,"&lt;/numeroLigne&gt;")</f>
        <v>&lt;numeroLigne&gt;88&lt;/numeroLigne&gt;</v>
      </c>
      <c r="K12547" s="1013"/>
    </row>
    <row r="12548" spans="1:11" s="1011" customFormat="1" ht="15" x14ac:dyDescent="0.25">
      <c r="A12548" s="859">
        <f t="shared" ref="A12548:A12611" si="264">+A12547+1</f>
        <v>12547</v>
      </c>
      <c r="B12548" s="845" t="s">
        <v>2564</v>
      </c>
      <c r="C12548" s="1007">
        <f t="shared" si="263"/>
        <v>88</v>
      </c>
      <c r="D12548" s="1014"/>
      <c r="H12548" s="1011" t="s">
        <v>1010</v>
      </c>
      <c r="K12548" s="1013"/>
    </row>
    <row r="12549" spans="1:11" s="1011" customFormat="1" ht="15" x14ac:dyDescent="0.25">
      <c r="A12549" s="859">
        <f t="shared" si="264"/>
        <v>12548</v>
      </c>
      <c r="B12549" s="845" t="s">
        <v>2564</v>
      </c>
      <c r="C12549" s="1007">
        <f t="shared" si="263"/>
        <v>88</v>
      </c>
      <c r="D12549" s="1012"/>
      <c r="H12549" s="1011" t="s">
        <v>1007</v>
      </c>
      <c r="K12549" s="1013"/>
    </row>
    <row r="12550" spans="1:11" s="1011" customFormat="1" ht="15" x14ac:dyDescent="0.25">
      <c r="A12550" s="859">
        <f t="shared" si="264"/>
        <v>12549</v>
      </c>
      <c r="B12550" s="845" t="s">
        <v>2564</v>
      </c>
      <c r="C12550" s="1007">
        <f t="shared" si="263"/>
        <v>88</v>
      </c>
      <c r="D12550" s="1015"/>
      <c r="I12550" s="1011" t="s">
        <v>2176</v>
      </c>
      <c r="K12550" s="1013"/>
    </row>
    <row r="12551" spans="1:11" s="1011" customFormat="1" ht="15" x14ac:dyDescent="0.25">
      <c r="A12551" s="859">
        <f t="shared" si="264"/>
        <v>12550</v>
      </c>
      <c r="B12551" s="845" t="s">
        <v>2564</v>
      </c>
      <c r="C12551" s="1007">
        <f t="shared" si="263"/>
        <v>88</v>
      </c>
      <c r="D12551" s="1012"/>
      <c r="I12551" s="1011" t="str">
        <f>CONCATENATE("&lt;valeur&gt;",VLOOKUP(C12551,'T16 Amort'!A:K,4,0),"&lt;/valeur&gt;")</f>
        <v>&lt;valeur&gt;&lt;/valeur&gt;</v>
      </c>
      <c r="K12551" s="1013"/>
    </row>
    <row r="12552" spans="1:11" s="1011" customFormat="1" ht="15" x14ac:dyDescent="0.25">
      <c r="A12552" s="859">
        <f t="shared" si="264"/>
        <v>12551</v>
      </c>
      <c r="B12552" s="845" t="s">
        <v>2564</v>
      </c>
      <c r="C12552" s="1007">
        <f t="shared" si="263"/>
        <v>88</v>
      </c>
      <c r="D12552" s="1012"/>
      <c r="I12552" s="1011" t="str">
        <f>CONCATENATE("&lt;numeroLigne&gt;",C12552,"&lt;/numeroLigne&gt;")</f>
        <v>&lt;numeroLigne&gt;88&lt;/numeroLigne&gt;</v>
      </c>
      <c r="K12552" s="1013"/>
    </row>
    <row r="12553" spans="1:11" s="1011" customFormat="1" ht="15" x14ac:dyDescent="0.25">
      <c r="A12553" s="859">
        <f t="shared" si="264"/>
        <v>12552</v>
      </c>
      <c r="B12553" s="845" t="s">
        <v>2564</v>
      </c>
      <c r="C12553" s="1007">
        <f t="shared" si="263"/>
        <v>88</v>
      </c>
      <c r="D12553" s="1014"/>
      <c r="H12553" s="1011" t="s">
        <v>1010</v>
      </c>
      <c r="K12553" s="1013"/>
    </row>
    <row r="12554" spans="1:11" s="1011" customFormat="1" ht="15" x14ac:dyDescent="0.25">
      <c r="A12554" s="859">
        <f t="shared" si="264"/>
        <v>12553</v>
      </c>
      <c r="B12554" s="845" t="s">
        <v>2564</v>
      </c>
      <c r="C12554" s="1007">
        <f t="shared" si="263"/>
        <v>88</v>
      </c>
      <c r="D12554" s="1014"/>
      <c r="H12554" s="1011" t="s">
        <v>1007</v>
      </c>
      <c r="K12554" s="1013"/>
    </row>
    <row r="12555" spans="1:11" s="1011" customFormat="1" ht="15" x14ac:dyDescent="0.25">
      <c r="A12555" s="859">
        <f t="shared" si="264"/>
        <v>12554</v>
      </c>
      <c r="B12555" s="845" t="s">
        <v>2564</v>
      </c>
      <c r="C12555" s="1007">
        <f t="shared" si="263"/>
        <v>88</v>
      </c>
      <c r="D12555" s="1012"/>
      <c r="I12555" s="1011" t="s">
        <v>2177</v>
      </c>
      <c r="K12555" s="1013"/>
    </row>
    <row r="12556" spans="1:11" s="1011" customFormat="1" ht="15" x14ac:dyDescent="0.25">
      <c r="A12556" s="859">
        <f t="shared" si="264"/>
        <v>12555</v>
      </c>
      <c r="B12556" s="845" t="s">
        <v>2564</v>
      </c>
      <c r="C12556" s="1007">
        <f t="shared" si="263"/>
        <v>88</v>
      </c>
      <c r="D12556" s="1015"/>
      <c r="I12556" s="1011" t="str">
        <f>CONCATENATE("&lt;valeur&gt;",VLOOKUP(C12556,'T16 Amort'!A:K,5,0),"&lt;/valeur&gt;")</f>
        <v>&lt;valeur&gt;&lt;/valeur&gt;</v>
      </c>
      <c r="K12556" s="1013"/>
    </row>
    <row r="12557" spans="1:11" s="1011" customFormat="1" ht="15" x14ac:dyDescent="0.25">
      <c r="A12557" s="859">
        <f t="shared" si="264"/>
        <v>12556</v>
      </c>
      <c r="B12557" s="845" t="s">
        <v>2564</v>
      </c>
      <c r="C12557" s="1007">
        <f t="shared" si="263"/>
        <v>88</v>
      </c>
      <c r="D12557" s="1012"/>
      <c r="I12557" s="1011" t="str">
        <f>CONCATENATE("&lt;numeroLigne&gt;",C12557,"&lt;/numeroLigne&gt;")</f>
        <v>&lt;numeroLigne&gt;88&lt;/numeroLigne&gt;</v>
      </c>
      <c r="K12557" s="1013"/>
    </row>
    <row r="12558" spans="1:11" s="1011" customFormat="1" ht="15" x14ac:dyDescent="0.25">
      <c r="A12558" s="859">
        <f t="shared" si="264"/>
        <v>12557</v>
      </c>
      <c r="B12558" s="845" t="s">
        <v>2564</v>
      </c>
      <c r="C12558" s="1007">
        <f t="shared" si="263"/>
        <v>88</v>
      </c>
      <c r="D12558" s="1012"/>
      <c r="H12558" s="1011" t="s">
        <v>1010</v>
      </c>
      <c r="K12558" s="1013"/>
    </row>
    <row r="12559" spans="1:11" s="1011" customFormat="1" ht="15" x14ac:dyDescent="0.25">
      <c r="A12559" s="859">
        <f t="shared" si="264"/>
        <v>12558</v>
      </c>
      <c r="B12559" s="845" t="s">
        <v>2564</v>
      </c>
      <c r="C12559" s="1007">
        <f t="shared" si="263"/>
        <v>88</v>
      </c>
      <c r="D12559" s="1014"/>
      <c r="H12559" s="1011" t="s">
        <v>1007</v>
      </c>
      <c r="K12559" s="1013"/>
    </row>
    <row r="12560" spans="1:11" s="1011" customFormat="1" ht="15" x14ac:dyDescent="0.25">
      <c r="A12560" s="859">
        <f t="shared" si="264"/>
        <v>12559</v>
      </c>
      <c r="B12560" s="845" t="s">
        <v>2564</v>
      </c>
      <c r="C12560" s="1007">
        <f t="shared" si="263"/>
        <v>88</v>
      </c>
      <c r="D12560" s="1014"/>
      <c r="I12560" s="1011" t="s">
        <v>2178</v>
      </c>
      <c r="K12560" s="1013"/>
    </row>
    <row r="12561" spans="1:11" s="1011" customFormat="1" ht="15" x14ac:dyDescent="0.25">
      <c r="A12561" s="859">
        <f t="shared" si="264"/>
        <v>12560</v>
      </c>
      <c r="B12561" s="845" t="s">
        <v>2564</v>
      </c>
      <c r="C12561" s="1007">
        <f t="shared" si="263"/>
        <v>88</v>
      </c>
      <c r="D12561" s="1012"/>
      <c r="I12561" s="1011" t="str">
        <f>CONCATENATE("&lt;valeur&gt;",VLOOKUP(C12561,'T16 Amort'!A:K,6,0),"&lt;/valeur&gt;")</f>
        <v>&lt;valeur&gt;&lt;/valeur&gt;</v>
      </c>
      <c r="K12561" s="1013"/>
    </row>
    <row r="12562" spans="1:11" s="1011" customFormat="1" ht="15" x14ac:dyDescent="0.25">
      <c r="A12562" s="859">
        <f t="shared" si="264"/>
        <v>12561</v>
      </c>
      <c r="B12562" s="845" t="s">
        <v>2564</v>
      </c>
      <c r="C12562" s="1007">
        <f t="shared" si="263"/>
        <v>88</v>
      </c>
      <c r="D12562" s="1015"/>
      <c r="I12562" s="1011" t="str">
        <f>CONCATENATE("&lt;numeroLigne&gt;",C12562,"&lt;/numeroLigne&gt;")</f>
        <v>&lt;numeroLigne&gt;88&lt;/numeroLigne&gt;</v>
      </c>
      <c r="K12562" s="1013"/>
    </row>
    <row r="12563" spans="1:11" s="1011" customFormat="1" ht="15" x14ac:dyDescent="0.25">
      <c r="A12563" s="859">
        <f t="shared" si="264"/>
        <v>12562</v>
      </c>
      <c r="B12563" s="845" t="s">
        <v>2564</v>
      </c>
      <c r="C12563" s="1007">
        <f t="shared" si="263"/>
        <v>88</v>
      </c>
      <c r="D12563" s="1012"/>
      <c r="H12563" s="1011" t="s">
        <v>1010</v>
      </c>
      <c r="K12563" s="1013"/>
    </row>
    <row r="12564" spans="1:11" s="1011" customFormat="1" ht="15" x14ac:dyDescent="0.25">
      <c r="A12564" s="859">
        <f t="shared" si="264"/>
        <v>12563</v>
      </c>
      <c r="B12564" s="845" t="s">
        <v>2564</v>
      </c>
      <c r="C12564" s="1007">
        <f t="shared" si="263"/>
        <v>88</v>
      </c>
      <c r="D12564" s="1012"/>
      <c r="H12564" s="1011" t="s">
        <v>1007</v>
      </c>
      <c r="K12564" s="1013"/>
    </row>
    <row r="12565" spans="1:11" s="1011" customFormat="1" ht="15" x14ac:dyDescent="0.25">
      <c r="A12565" s="859">
        <f t="shared" si="264"/>
        <v>12564</v>
      </c>
      <c r="B12565" s="845" t="s">
        <v>2564</v>
      </c>
      <c r="C12565" s="1007">
        <f t="shared" si="263"/>
        <v>88</v>
      </c>
      <c r="D12565" s="1014"/>
      <c r="I12565" s="1011" t="s">
        <v>2179</v>
      </c>
      <c r="K12565" s="1013"/>
    </row>
    <row r="12566" spans="1:11" s="1011" customFormat="1" ht="15" x14ac:dyDescent="0.25">
      <c r="A12566" s="859">
        <f t="shared" si="264"/>
        <v>12565</v>
      </c>
      <c r="B12566" s="845" t="s">
        <v>2564</v>
      </c>
      <c r="C12566" s="1007">
        <f t="shared" si="263"/>
        <v>88</v>
      </c>
      <c r="D12566" s="1014"/>
      <c r="I12566" s="1011" t="str">
        <f>CONCATENATE("&lt;valeur&gt;",VLOOKUP(C12566,'T16 Amort'!A:K,7,0),"&lt;/valeur&gt;")</f>
        <v>&lt;valeur&gt;&lt;/valeur&gt;</v>
      </c>
      <c r="K12566" s="1013"/>
    </row>
    <row r="12567" spans="1:11" s="1011" customFormat="1" ht="15" x14ac:dyDescent="0.25">
      <c r="A12567" s="859">
        <f t="shared" si="264"/>
        <v>12566</v>
      </c>
      <c r="B12567" s="845" t="s">
        <v>2564</v>
      </c>
      <c r="C12567" s="1007">
        <f t="shared" si="263"/>
        <v>88</v>
      </c>
      <c r="D12567" s="1012"/>
      <c r="I12567" s="1011" t="str">
        <f>CONCATENATE("&lt;numeroLigne&gt;",C12567,"&lt;/numeroLigne&gt;")</f>
        <v>&lt;numeroLigne&gt;88&lt;/numeroLigne&gt;</v>
      </c>
      <c r="K12567" s="1013"/>
    </row>
    <row r="12568" spans="1:11" s="1011" customFormat="1" ht="15" x14ac:dyDescent="0.25">
      <c r="A12568" s="859">
        <f t="shared" si="264"/>
        <v>12567</v>
      </c>
      <c r="B12568" s="845" t="s">
        <v>2564</v>
      </c>
      <c r="C12568" s="1007">
        <f t="shared" si="263"/>
        <v>88</v>
      </c>
      <c r="D12568" s="1015"/>
      <c r="H12568" s="1011" t="s">
        <v>1010</v>
      </c>
      <c r="K12568" s="1013"/>
    </row>
    <row r="12569" spans="1:11" s="1011" customFormat="1" ht="15" x14ac:dyDescent="0.25">
      <c r="A12569" s="859">
        <f t="shared" si="264"/>
        <v>12568</v>
      </c>
      <c r="B12569" s="845" t="s">
        <v>2564</v>
      </c>
      <c r="C12569" s="1007">
        <f t="shared" si="263"/>
        <v>88</v>
      </c>
      <c r="D12569" s="1012"/>
      <c r="H12569" s="1011" t="s">
        <v>1007</v>
      </c>
      <c r="K12569" s="1013"/>
    </row>
    <row r="12570" spans="1:11" s="1011" customFormat="1" ht="15" x14ac:dyDescent="0.25">
      <c r="A12570" s="859">
        <f t="shared" si="264"/>
        <v>12569</v>
      </c>
      <c r="B12570" s="845" t="s">
        <v>2564</v>
      </c>
      <c r="C12570" s="1007">
        <f t="shared" si="263"/>
        <v>88</v>
      </c>
      <c r="D12570" s="1012"/>
      <c r="I12570" s="1011" t="s">
        <v>2180</v>
      </c>
      <c r="K12570" s="1013"/>
    </row>
    <row r="12571" spans="1:11" s="1011" customFormat="1" ht="15" x14ac:dyDescent="0.25">
      <c r="A12571" s="859">
        <f t="shared" si="264"/>
        <v>12570</v>
      </c>
      <c r="B12571" s="845" t="s">
        <v>2564</v>
      </c>
      <c r="C12571" s="1007">
        <f t="shared" si="263"/>
        <v>88</v>
      </c>
      <c r="D12571" s="1014"/>
      <c r="I12571" s="1011" t="str">
        <f>CONCATENATE("&lt;valeur&gt;",VLOOKUP(C12571,'T16 Amort'!A:K,8,0),"&lt;/valeur&gt;")</f>
        <v>&lt;valeur&gt;&lt;/valeur&gt;</v>
      </c>
      <c r="K12571" s="1013"/>
    </row>
    <row r="12572" spans="1:11" s="1011" customFormat="1" ht="15" x14ac:dyDescent="0.25">
      <c r="A12572" s="859">
        <f t="shared" si="264"/>
        <v>12571</v>
      </c>
      <c r="B12572" s="845" t="s">
        <v>2564</v>
      </c>
      <c r="C12572" s="1007">
        <f t="shared" si="263"/>
        <v>88</v>
      </c>
      <c r="D12572" s="1014"/>
      <c r="I12572" s="1011" t="str">
        <f>CONCATENATE("&lt;numeroLigne&gt;",C12572,"&lt;/numeroLigne&gt;")</f>
        <v>&lt;numeroLigne&gt;88&lt;/numeroLigne&gt;</v>
      </c>
      <c r="K12572" s="1013"/>
    </row>
    <row r="12573" spans="1:11" s="1011" customFormat="1" ht="15" x14ac:dyDescent="0.25">
      <c r="A12573" s="859">
        <f t="shared" si="264"/>
        <v>12572</v>
      </c>
      <c r="B12573" s="845" t="s">
        <v>2564</v>
      </c>
      <c r="C12573" s="1007">
        <f t="shared" si="263"/>
        <v>88</v>
      </c>
      <c r="D12573" s="1012"/>
      <c r="H12573" s="1011" t="s">
        <v>1010</v>
      </c>
      <c r="K12573" s="1013"/>
    </row>
    <row r="12574" spans="1:11" s="1011" customFormat="1" ht="15" x14ac:dyDescent="0.25">
      <c r="A12574" s="859">
        <f t="shared" si="264"/>
        <v>12573</v>
      </c>
      <c r="B12574" s="845" t="s">
        <v>2564</v>
      </c>
      <c r="C12574" s="1007">
        <f t="shared" si="263"/>
        <v>88</v>
      </c>
      <c r="D12574" s="1015"/>
      <c r="H12574" s="1011" t="s">
        <v>1007</v>
      </c>
      <c r="K12574" s="1013"/>
    </row>
    <row r="12575" spans="1:11" s="1011" customFormat="1" ht="15" x14ac:dyDescent="0.25">
      <c r="A12575" s="859">
        <f t="shared" si="264"/>
        <v>12574</v>
      </c>
      <c r="B12575" s="845" t="s">
        <v>2564</v>
      </c>
      <c r="C12575" s="1007">
        <f t="shared" si="263"/>
        <v>88</v>
      </c>
      <c r="D12575" s="1012"/>
      <c r="I12575" s="1011" t="s">
        <v>2181</v>
      </c>
      <c r="K12575" s="1013"/>
    </row>
    <row r="12576" spans="1:11" s="1011" customFormat="1" ht="15" x14ac:dyDescent="0.25">
      <c r="A12576" s="859">
        <f t="shared" si="264"/>
        <v>12575</v>
      </c>
      <c r="B12576" s="845" t="s">
        <v>2564</v>
      </c>
      <c r="C12576" s="1007">
        <f t="shared" si="263"/>
        <v>88</v>
      </c>
      <c r="D12576" s="1012"/>
      <c r="I12576" s="1011" t="str">
        <f>CONCATENATE("&lt;valeur&gt;",VLOOKUP(C12576,'T16 Amort'!A:K,9,0),"&lt;/valeur&gt;")</f>
        <v>&lt;valeur&gt;&lt;/valeur&gt;</v>
      </c>
      <c r="K12576" s="1013"/>
    </row>
    <row r="12577" spans="1:11" s="1011" customFormat="1" ht="15" x14ac:dyDescent="0.25">
      <c r="A12577" s="859">
        <f t="shared" si="264"/>
        <v>12576</v>
      </c>
      <c r="B12577" s="845" t="s">
        <v>2564</v>
      </c>
      <c r="C12577" s="1007">
        <f t="shared" si="263"/>
        <v>88</v>
      </c>
      <c r="D12577" s="1014"/>
      <c r="I12577" s="1011" t="str">
        <f>CONCATENATE("&lt;numeroLigne&gt;",C12577,"&lt;/numeroLigne&gt;")</f>
        <v>&lt;numeroLigne&gt;88&lt;/numeroLigne&gt;</v>
      </c>
      <c r="K12577" s="1013"/>
    </row>
    <row r="12578" spans="1:11" s="1011" customFormat="1" ht="15" x14ac:dyDescent="0.25">
      <c r="A12578" s="859">
        <f t="shared" si="264"/>
        <v>12577</v>
      </c>
      <c r="B12578" s="845" t="s">
        <v>2564</v>
      </c>
      <c r="C12578" s="1007">
        <f t="shared" si="263"/>
        <v>88</v>
      </c>
      <c r="D12578" s="1014"/>
      <c r="H12578" s="1011" t="s">
        <v>1010</v>
      </c>
      <c r="K12578" s="1013"/>
    </row>
    <row r="12579" spans="1:11" s="1011" customFormat="1" ht="15" x14ac:dyDescent="0.25">
      <c r="A12579" s="859">
        <f t="shared" si="264"/>
        <v>12578</v>
      </c>
      <c r="B12579" s="845" t="s">
        <v>2564</v>
      </c>
      <c r="C12579" s="1007">
        <f t="shared" si="263"/>
        <v>88</v>
      </c>
      <c r="D12579" s="1012"/>
      <c r="H12579" s="1011" t="s">
        <v>1007</v>
      </c>
      <c r="K12579" s="1013"/>
    </row>
    <row r="12580" spans="1:11" s="1011" customFormat="1" ht="15" x14ac:dyDescent="0.25">
      <c r="A12580" s="859">
        <f t="shared" si="264"/>
        <v>12579</v>
      </c>
      <c r="B12580" s="845" t="s">
        <v>2564</v>
      </c>
      <c r="C12580" s="1007">
        <f t="shared" si="263"/>
        <v>88</v>
      </c>
      <c r="D12580" s="1015"/>
      <c r="I12580" s="1011" t="s">
        <v>2182</v>
      </c>
      <c r="K12580" s="1013"/>
    </row>
    <row r="12581" spans="1:11" s="1011" customFormat="1" ht="15" x14ac:dyDescent="0.25">
      <c r="A12581" s="859">
        <f t="shared" si="264"/>
        <v>12580</v>
      </c>
      <c r="B12581" s="845" t="s">
        <v>2564</v>
      </c>
      <c r="C12581" s="1007">
        <f t="shared" si="263"/>
        <v>88</v>
      </c>
      <c r="D12581" s="1012"/>
      <c r="I12581" s="1011" t="str">
        <f>CONCATENATE("&lt;valeur&gt;",VLOOKUP(C12581,'T16 Amort'!A:K,10,0),"&lt;/valeur&gt;")</f>
        <v>&lt;valeur&gt;&lt;/valeur&gt;</v>
      </c>
      <c r="K12581" s="1013"/>
    </row>
    <row r="12582" spans="1:11" s="1011" customFormat="1" ht="15" x14ac:dyDescent="0.25">
      <c r="A12582" s="859">
        <f t="shared" si="264"/>
        <v>12581</v>
      </c>
      <c r="B12582" s="845" t="s">
        <v>2564</v>
      </c>
      <c r="C12582" s="1007">
        <f t="shared" si="263"/>
        <v>88</v>
      </c>
      <c r="D12582" s="1012"/>
      <c r="I12582" s="1011" t="str">
        <f>CONCATENATE("&lt;numeroLigne&gt;",C12582,"&lt;/numeroLigne&gt;")</f>
        <v>&lt;numeroLigne&gt;88&lt;/numeroLigne&gt;</v>
      </c>
      <c r="K12582" s="1013"/>
    </row>
    <row r="12583" spans="1:11" s="1011" customFormat="1" ht="15" x14ac:dyDescent="0.25">
      <c r="A12583" s="859">
        <f t="shared" si="264"/>
        <v>12582</v>
      </c>
      <c r="B12583" s="845" t="s">
        <v>2564</v>
      </c>
      <c r="C12583" s="1007">
        <f t="shared" si="263"/>
        <v>88</v>
      </c>
      <c r="D12583" s="1014"/>
      <c r="H12583" s="1011" t="s">
        <v>1010</v>
      </c>
      <c r="K12583" s="1013"/>
    </row>
    <row r="12584" spans="1:11" s="1011" customFormat="1" ht="15" x14ac:dyDescent="0.25">
      <c r="A12584" s="859">
        <f t="shared" si="264"/>
        <v>12583</v>
      </c>
      <c r="B12584" s="845" t="s">
        <v>2564</v>
      </c>
      <c r="C12584" s="1007">
        <f t="shared" si="263"/>
        <v>88</v>
      </c>
      <c r="D12584" s="1014"/>
      <c r="H12584" s="1011" t="s">
        <v>1007</v>
      </c>
      <c r="K12584" s="1013"/>
    </row>
    <row r="12585" spans="1:11" s="1011" customFormat="1" ht="15" x14ac:dyDescent="0.25">
      <c r="A12585" s="859">
        <f t="shared" si="264"/>
        <v>12584</v>
      </c>
      <c r="B12585" s="845" t="s">
        <v>2564</v>
      </c>
      <c r="C12585" s="1007">
        <f t="shared" si="263"/>
        <v>88</v>
      </c>
      <c r="D12585" s="1012"/>
      <c r="I12585" s="1011" t="s">
        <v>2183</v>
      </c>
      <c r="K12585" s="1013"/>
    </row>
    <row r="12586" spans="1:11" s="1011" customFormat="1" ht="15" x14ac:dyDescent="0.25">
      <c r="A12586" s="859">
        <f t="shared" si="264"/>
        <v>12585</v>
      </c>
      <c r="B12586" s="845" t="s">
        <v>2564</v>
      </c>
      <c r="C12586" s="1007">
        <f t="shared" si="263"/>
        <v>88</v>
      </c>
      <c r="D12586" s="1015"/>
      <c r="I12586" s="1011" t="str">
        <f>CONCATENATE("&lt;valeur&gt;",VLOOKUP(C12586,'T16 Amort'!A:K,11,0),"&lt;/valeur&gt;")</f>
        <v>&lt;valeur&gt;&lt;/valeur&gt;</v>
      </c>
      <c r="K12586" s="1013"/>
    </row>
    <row r="12587" spans="1:11" s="1011" customFormat="1" ht="15" x14ac:dyDescent="0.25">
      <c r="A12587" s="859">
        <f t="shared" si="264"/>
        <v>12586</v>
      </c>
      <c r="B12587" s="845" t="s">
        <v>2564</v>
      </c>
      <c r="C12587" s="1007">
        <f t="shared" si="263"/>
        <v>88</v>
      </c>
      <c r="D12587" s="1012"/>
      <c r="I12587" s="1011" t="str">
        <f>CONCATENATE("&lt;numeroLigne&gt;",C12587,"&lt;/numeroLigne&gt;")</f>
        <v>&lt;numeroLigne&gt;88&lt;/numeroLigne&gt;</v>
      </c>
      <c r="K12587" s="1013"/>
    </row>
    <row r="12588" spans="1:11" s="1011" customFormat="1" ht="15" x14ac:dyDescent="0.25">
      <c r="A12588" s="859">
        <f t="shared" si="264"/>
        <v>12587</v>
      </c>
      <c r="B12588" s="845" t="s">
        <v>2564</v>
      </c>
      <c r="C12588" s="1007">
        <f t="shared" si="263"/>
        <v>88</v>
      </c>
      <c r="D12588" s="1016"/>
      <c r="E12588" s="1017"/>
      <c r="F12588" s="1017"/>
      <c r="G12588" s="1017"/>
      <c r="H12588" s="1017" t="s">
        <v>1010</v>
      </c>
      <c r="I12588" s="1017"/>
      <c r="J12588" s="1017"/>
      <c r="K12588" s="1018"/>
    </row>
    <row r="12589" spans="1:11" s="1011" customFormat="1" ht="15" x14ac:dyDescent="0.25">
      <c r="A12589" s="859">
        <f t="shared" si="264"/>
        <v>12588</v>
      </c>
      <c r="B12589" s="845" t="s">
        <v>2564</v>
      </c>
      <c r="C12589" s="1007">
        <f t="shared" si="263"/>
        <v>89</v>
      </c>
      <c r="D12589" s="1008"/>
      <c r="E12589" s="1009"/>
      <c r="F12589" s="1009"/>
      <c r="G12589" s="1009"/>
      <c r="H12589" s="1009" t="s">
        <v>1007</v>
      </c>
      <c r="I12589" s="1009"/>
      <c r="J12589" s="1009"/>
      <c r="K12589" s="1010"/>
    </row>
    <row r="12590" spans="1:11" s="1011" customFormat="1" ht="15" x14ac:dyDescent="0.25">
      <c r="A12590" s="859">
        <f t="shared" si="264"/>
        <v>12589</v>
      </c>
      <c r="B12590" s="845" t="s">
        <v>2564</v>
      </c>
      <c r="C12590" s="1007">
        <f t="shared" si="263"/>
        <v>89</v>
      </c>
      <c r="D12590" s="1012"/>
      <c r="I12590" s="1011" t="s">
        <v>2174</v>
      </c>
      <c r="K12590" s="1013"/>
    </row>
    <row r="12591" spans="1:11" s="1011" customFormat="1" ht="15" x14ac:dyDescent="0.25">
      <c r="A12591" s="859">
        <f t="shared" si="264"/>
        <v>12590</v>
      </c>
      <c r="B12591" s="845" t="s">
        <v>2564</v>
      </c>
      <c r="C12591" s="1007">
        <f t="shared" ref="C12591:C12654" si="265">C12541+1</f>
        <v>89</v>
      </c>
      <c r="D12591" s="1014"/>
      <c r="I12591" s="1011" t="str">
        <f>CONCATENATE("&lt;valeur&gt;",VLOOKUP(C12591,'T16 Amort'!A:K,2,0),"&lt;/valeur&gt;")</f>
        <v>&lt;valeur&gt;&lt;/valeur&gt;</v>
      </c>
      <c r="K12591" s="1013"/>
    </row>
    <row r="12592" spans="1:11" s="1011" customFormat="1" ht="15" x14ac:dyDescent="0.25">
      <c r="A12592" s="859">
        <f t="shared" si="264"/>
        <v>12591</v>
      </c>
      <c r="B12592" s="845" t="s">
        <v>2564</v>
      </c>
      <c r="C12592" s="1007">
        <f t="shared" si="265"/>
        <v>89</v>
      </c>
      <c r="D12592" s="1014"/>
      <c r="I12592" s="1011" t="str">
        <f>CONCATENATE("&lt;numeroLigne&gt;",C12592,"&lt;/numeroLigne&gt;")</f>
        <v>&lt;numeroLigne&gt;89&lt;/numeroLigne&gt;</v>
      </c>
      <c r="K12592" s="1013"/>
    </row>
    <row r="12593" spans="1:11" s="1011" customFormat="1" ht="15" x14ac:dyDescent="0.25">
      <c r="A12593" s="859">
        <f t="shared" si="264"/>
        <v>12592</v>
      </c>
      <c r="B12593" s="845" t="s">
        <v>2564</v>
      </c>
      <c r="C12593" s="1007">
        <f t="shared" si="265"/>
        <v>89</v>
      </c>
      <c r="D12593" s="1012"/>
      <c r="H12593" s="1011" t="s">
        <v>1010</v>
      </c>
      <c r="K12593" s="1013"/>
    </row>
    <row r="12594" spans="1:11" s="1011" customFormat="1" ht="15" x14ac:dyDescent="0.25">
      <c r="A12594" s="859">
        <f t="shared" si="264"/>
        <v>12593</v>
      </c>
      <c r="B12594" s="845" t="s">
        <v>2564</v>
      </c>
      <c r="C12594" s="1007">
        <f t="shared" si="265"/>
        <v>89</v>
      </c>
      <c r="D12594" s="1015"/>
      <c r="H12594" s="1011" t="s">
        <v>1007</v>
      </c>
      <c r="K12594" s="1013"/>
    </row>
    <row r="12595" spans="1:11" s="1011" customFormat="1" ht="15" x14ac:dyDescent="0.25">
      <c r="A12595" s="859">
        <f t="shared" si="264"/>
        <v>12594</v>
      </c>
      <c r="B12595" s="845" t="s">
        <v>2564</v>
      </c>
      <c r="C12595" s="1007">
        <f t="shared" si="265"/>
        <v>89</v>
      </c>
      <c r="D12595" s="1012"/>
      <c r="I12595" s="1011" t="s">
        <v>2175</v>
      </c>
      <c r="K12595" s="1013"/>
    </row>
    <row r="12596" spans="1:11" s="1011" customFormat="1" ht="15" x14ac:dyDescent="0.25">
      <c r="A12596" s="859">
        <f t="shared" si="264"/>
        <v>12595</v>
      </c>
      <c r="B12596" s="845" t="s">
        <v>2564</v>
      </c>
      <c r="C12596" s="1007">
        <f t="shared" si="265"/>
        <v>89</v>
      </c>
      <c r="D12596" s="1012"/>
      <c r="I12596" s="1011" t="str">
        <f>CONCATENATE("&lt;valeur&gt;",VLOOKUP(C12596,'T16 Amort'!A:K,3,0),"&lt;/valeur&gt;")</f>
        <v>&lt;valeur&gt;&lt;/valeur&gt;</v>
      </c>
      <c r="K12596" s="1013"/>
    </row>
    <row r="12597" spans="1:11" s="1011" customFormat="1" ht="15" x14ac:dyDescent="0.25">
      <c r="A12597" s="859">
        <f t="shared" si="264"/>
        <v>12596</v>
      </c>
      <c r="B12597" s="845" t="s">
        <v>2564</v>
      </c>
      <c r="C12597" s="1007">
        <f t="shared" si="265"/>
        <v>89</v>
      </c>
      <c r="D12597" s="1014"/>
      <c r="I12597" s="1011" t="str">
        <f>CONCATENATE("&lt;numeroLigne&gt;",C12597,"&lt;/numeroLigne&gt;")</f>
        <v>&lt;numeroLigne&gt;89&lt;/numeroLigne&gt;</v>
      </c>
      <c r="K12597" s="1013"/>
    </row>
    <row r="12598" spans="1:11" s="1011" customFormat="1" ht="15" x14ac:dyDescent="0.25">
      <c r="A12598" s="859">
        <f t="shared" si="264"/>
        <v>12597</v>
      </c>
      <c r="B12598" s="845" t="s">
        <v>2564</v>
      </c>
      <c r="C12598" s="1007">
        <f t="shared" si="265"/>
        <v>89</v>
      </c>
      <c r="D12598" s="1014"/>
      <c r="H12598" s="1011" t="s">
        <v>1010</v>
      </c>
      <c r="K12598" s="1013"/>
    </row>
    <row r="12599" spans="1:11" s="1011" customFormat="1" ht="15" x14ac:dyDescent="0.25">
      <c r="A12599" s="859">
        <f t="shared" si="264"/>
        <v>12598</v>
      </c>
      <c r="B12599" s="845" t="s">
        <v>2564</v>
      </c>
      <c r="C12599" s="1007">
        <f t="shared" si="265"/>
        <v>89</v>
      </c>
      <c r="D12599" s="1012"/>
      <c r="H12599" s="1011" t="s">
        <v>1007</v>
      </c>
      <c r="K12599" s="1013"/>
    </row>
    <row r="12600" spans="1:11" s="1011" customFormat="1" ht="15" x14ac:dyDescent="0.25">
      <c r="A12600" s="859">
        <f t="shared" si="264"/>
        <v>12599</v>
      </c>
      <c r="B12600" s="845" t="s">
        <v>2564</v>
      </c>
      <c r="C12600" s="1007">
        <f t="shared" si="265"/>
        <v>89</v>
      </c>
      <c r="D12600" s="1015"/>
      <c r="I12600" s="1011" t="s">
        <v>2176</v>
      </c>
      <c r="K12600" s="1013"/>
    </row>
    <row r="12601" spans="1:11" s="1011" customFormat="1" ht="15" x14ac:dyDescent="0.25">
      <c r="A12601" s="859">
        <f t="shared" si="264"/>
        <v>12600</v>
      </c>
      <c r="B12601" s="845" t="s">
        <v>2564</v>
      </c>
      <c r="C12601" s="1007">
        <f t="shared" si="265"/>
        <v>89</v>
      </c>
      <c r="D12601" s="1012"/>
      <c r="I12601" s="1011" t="str">
        <f>CONCATENATE("&lt;valeur&gt;",VLOOKUP(C12601,'T16 Amort'!A:K,4,0),"&lt;/valeur&gt;")</f>
        <v>&lt;valeur&gt;&lt;/valeur&gt;</v>
      </c>
      <c r="K12601" s="1013"/>
    </row>
    <row r="12602" spans="1:11" s="1011" customFormat="1" ht="15" x14ac:dyDescent="0.25">
      <c r="A12602" s="859">
        <f t="shared" si="264"/>
        <v>12601</v>
      </c>
      <c r="B12602" s="845" t="s">
        <v>2564</v>
      </c>
      <c r="C12602" s="1007">
        <f t="shared" si="265"/>
        <v>89</v>
      </c>
      <c r="D12602" s="1012"/>
      <c r="I12602" s="1011" t="str">
        <f>CONCATENATE("&lt;numeroLigne&gt;",C12602,"&lt;/numeroLigne&gt;")</f>
        <v>&lt;numeroLigne&gt;89&lt;/numeroLigne&gt;</v>
      </c>
      <c r="K12602" s="1013"/>
    </row>
    <row r="12603" spans="1:11" s="1011" customFormat="1" ht="15" x14ac:dyDescent="0.25">
      <c r="A12603" s="859">
        <f t="shared" si="264"/>
        <v>12602</v>
      </c>
      <c r="B12603" s="845" t="s">
        <v>2564</v>
      </c>
      <c r="C12603" s="1007">
        <f t="shared" si="265"/>
        <v>89</v>
      </c>
      <c r="D12603" s="1014"/>
      <c r="H12603" s="1011" t="s">
        <v>1010</v>
      </c>
      <c r="K12603" s="1013"/>
    </row>
    <row r="12604" spans="1:11" s="1011" customFormat="1" ht="15" x14ac:dyDescent="0.25">
      <c r="A12604" s="859">
        <f t="shared" si="264"/>
        <v>12603</v>
      </c>
      <c r="B12604" s="845" t="s">
        <v>2564</v>
      </c>
      <c r="C12604" s="1007">
        <f t="shared" si="265"/>
        <v>89</v>
      </c>
      <c r="D12604" s="1014"/>
      <c r="H12604" s="1011" t="s">
        <v>1007</v>
      </c>
      <c r="K12604" s="1013"/>
    </row>
    <row r="12605" spans="1:11" s="1011" customFormat="1" ht="15" x14ac:dyDescent="0.25">
      <c r="A12605" s="859">
        <f t="shared" si="264"/>
        <v>12604</v>
      </c>
      <c r="B12605" s="845" t="s">
        <v>2564</v>
      </c>
      <c r="C12605" s="1007">
        <f t="shared" si="265"/>
        <v>89</v>
      </c>
      <c r="D12605" s="1012"/>
      <c r="I12605" s="1011" t="s">
        <v>2177</v>
      </c>
      <c r="K12605" s="1013"/>
    </row>
    <row r="12606" spans="1:11" s="1011" customFormat="1" ht="15" x14ac:dyDescent="0.25">
      <c r="A12606" s="859">
        <f t="shared" si="264"/>
        <v>12605</v>
      </c>
      <c r="B12606" s="845" t="s">
        <v>2564</v>
      </c>
      <c r="C12606" s="1007">
        <f t="shared" si="265"/>
        <v>89</v>
      </c>
      <c r="D12606" s="1015"/>
      <c r="I12606" s="1011" t="str">
        <f>CONCATENATE("&lt;valeur&gt;",VLOOKUP(C12606,'T16 Amort'!A:K,5,0),"&lt;/valeur&gt;")</f>
        <v>&lt;valeur&gt;&lt;/valeur&gt;</v>
      </c>
      <c r="K12606" s="1013"/>
    </row>
    <row r="12607" spans="1:11" s="1011" customFormat="1" ht="15" x14ac:dyDescent="0.25">
      <c r="A12607" s="859">
        <f t="shared" si="264"/>
        <v>12606</v>
      </c>
      <c r="B12607" s="845" t="s">
        <v>2564</v>
      </c>
      <c r="C12607" s="1007">
        <f t="shared" si="265"/>
        <v>89</v>
      </c>
      <c r="D12607" s="1012"/>
      <c r="I12607" s="1011" t="str">
        <f>CONCATENATE("&lt;numeroLigne&gt;",C12607,"&lt;/numeroLigne&gt;")</f>
        <v>&lt;numeroLigne&gt;89&lt;/numeroLigne&gt;</v>
      </c>
      <c r="K12607" s="1013"/>
    </row>
    <row r="12608" spans="1:11" s="1011" customFormat="1" ht="15" x14ac:dyDescent="0.25">
      <c r="A12608" s="859">
        <f t="shared" si="264"/>
        <v>12607</v>
      </c>
      <c r="B12608" s="845" t="s">
        <v>2564</v>
      </c>
      <c r="C12608" s="1007">
        <f t="shared" si="265"/>
        <v>89</v>
      </c>
      <c r="D12608" s="1012"/>
      <c r="H12608" s="1011" t="s">
        <v>1010</v>
      </c>
      <c r="K12608" s="1013"/>
    </row>
    <row r="12609" spans="1:11" s="1011" customFormat="1" ht="15" x14ac:dyDescent="0.25">
      <c r="A12609" s="859">
        <f t="shared" si="264"/>
        <v>12608</v>
      </c>
      <c r="B12609" s="845" t="s">
        <v>2564</v>
      </c>
      <c r="C12609" s="1007">
        <f t="shared" si="265"/>
        <v>89</v>
      </c>
      <c r="D12609" s="1014"/>
      <c r="H12609" s="1011" t="s">
        <v>1007</v>
      </c>
      <c r="K12609" s="1013"/>
    </row>
    <row r="12610" spans="1:11" s="1011" customFormat="1" ht="15" x14ac:dyDescent="0.25">
      <c r="A12610" s="859">
        <f t="shared" si="264"/>
        <v>12609</v>
      </c>
      <c r="B12610" s="845" t="s">
        <v>2564</v>
      </c>
      <c r="C12610" s="1007">
        <f t="shared" si="265"/>
        <v>89</v>
      </c>
      <c r="D12610" s="1014"/>
      <c r="I12610" s="1011" t="s">
        <v>2178</v>
      </c>
      <c r="K12610" s="1013"/>
    </row>
    <row r="12611" spans="1:11" s="1011" customFormat="1" ht="15" x14ac:dyDescent="0.25">
      <c r="A12611" s="859">
        <f t="shared" si="264"/>
        <v>12610</v>
      </c>
      <c r="B12611" s="845" t="s">
        <v>2564</v>
      </c>
      <c r="C12611" s="1007">
        <f t="shared" si="265"/>
        <v>89</v>
      </c>
      <c r="D12611" s="1012"/>
      <c r="I12611" s="1011" t="str">
        <f>CONCATENATE("&lt;valeur&gt;",VLOOKUP(C12611,'T16 Amort'!A:K,6,0),"&lt;/valeur&gt;")</f>
        <v>&lt;valeur&gt;&lt;/valeur&gt;</v>
      </c>
      <c r="K12611" s="1013"/>
    </row>
    <row r="12612" spans="1:11" s="1011" customFormat="1" ht="15" x14ac:dyDescent="0.25">
      <c r="A12612" s="859">
        <f t="shared" ref="A12612:A12675" si="266">+A12611+1</f>
        <v>12611</v>
      </c>
      <c r="B12612" s="845" t="s">
        <v>2564</v>
      </c>
      <c r="C12612" s="1007">
        <f t="shared" si="265"/>
        <v>89</v>
      </c>
      <c r="D12612" s="1015"/>
      <c r="I12612" s="1011" t="str">
        <f>CONCATENATE("&lt;numeroLigne&gt;",C12612,"&lt;/numeroLigne&gt;")</f>
        <v>&lt;numeroLigne&gt;89&lt;/numeroLigne&gt;</v>
      </c>
      <c r="K12612" s="1013"/>
    </row>
    <row r="12613" spans="1:11" s="1011" customFormat="1" ht="15" x14ac:dyDescent="0.25">
      <c r="A12613" s="859">
        <f t="shared" si="266"/>
        <v>12612</v>
      </c>
      <c r="B12613" s="845" t="s">
        <v>2564</v>
      </c>
      <c r="C12613" s="1007">
        <f t="shared" si="265"/>
        <v>89</v>
      </c>
      <c r="D12613" s="1012"/>
      <c r="H12613" s="1011" t="s">
        <v>1010</v>
      </c>
      <c r="K12613" s="1013"/>
    </row>
    <row r="12614" spans="1:11" s="1011" customFormat="1" ht="15" x14ac:dyDescent="0.25">
      <c r="A12614" s="859">
        <f t="shared" si="266"/>
        <v>12613</v>
      </c>
      <c r="B12614" s="845" t="s">
        <v>2564</v>
      </c>
      <c r="C12614" s="1007">
        <f t="shared" si="265"/>
        <v>89</v>
      </c>
      <c r="D12614" s="1012"/>
      <c r="H12614" s="1011" t="s">
        <v>1007</v>
      </c>
      <c r="K12614" s="1013"/>
    </row>
    <row r="12615" spans="1:11" s="1011" customFormat="1" ht="15" x14ac:dyDescent="0.25">
      <c r="A12615" s="859">
        <f t="shared" si="266"/>
        <v>12614</v>
      </c>
      <c r="B12615" s="845" t="s">
        <v>2564</v>
      </c>
      <c r="C12615" s="1007">
        <f t="shared" si="265"/>
        <v>89</v>
      </c>
      <c r="D12615" s="1014"/>
      <c r="I12615" s="1011" t="s">
        <v>2179</v>
      </c>
      <c r="K12615" s="1013"/>
    </row>
    <row r="12616" spans="1:11" s="1011" customFormat="1" ht="15" x14ac:dyDescent="0.25">
      <c r="A12616" s="859">
        <f t="shared" si="266"/>
        <v>12615</v>
      </c>
      <c r="B12616" s="845" t="s">
        <v>2564</v>
      </c>
      <c r="C12616" s="1007">
        <f t="shared" si="265"/>
        <v>89</v>
      </c>
      <c r="D12616" s="1014"/>
      <c r="I12616" s="1011" t="str">
        <f>CONCATENATE("&lt;valeur&gt;",VLOOKUP(C12616,'T16 Amort'!A:K,7,0),"&lt;/valeur&gt;")</f>
        <v>&lt;valeur&gt;&lt;/valeur&gt;</v>
      </c>
      <c r="K12616" s="1013"/>
    </row>
    <row r="12617" spans="1:11" s="1011" customFormat="1" ht="15" x14ac:dyDescent="0.25">
      <c r="A12617" s="859">
        <f t="shared" si="266"/>
        <v>12616</v>
      </c>
      <c r="B12617" s="845" t="s">
        <v>2564</v>
      </c>
      <c r="C12617" s="1007">
        <f t="shared" si="265"/>
        <v>89</v>
      </c>
      <c r="D12617" s="1012"/>
      <c r="I12617" s="1011" t="str">
        <f>CONCATENATE("&lt;numeroLigne&gt;",C12617,"&lt;/numeroLigne&gt;")</f>
        <v>&lt;numeroLigne&gt;89&lt;/numeroLigne&gt;</v>
      </c>
      <c r="K12617" s="1013"/>
    </row>
    <row r="12618" spans="1:11" s="1011" customFormat="1" ht="15" x14ac:dyDescent="0.25">
      <c r="A12618" s="859">
        <f t="shared" si="266"/>
        <v>12617</v>
      </c>
      <c r="B12618" s="845" t="s">
        <v>2564</v>
      </c>
      <c r="C12618" s="1007">
        <f t="shared" si="265"/>
        <v>89</v>
      </c>
      <c r="D12618" s="1015"/>
      <c r="H12618" s="1011" t="s">
        <v>1010</v>
      </c>
      <c r="K12618" s="1013"/>
    </row>
    <row r="12619" spans="1:11" s="1011" customFormat="1" ht="15" x14ac:dyDescent="0.25">
      <c r="A12619" s="859">
        <f t="shared" si="266"/>
        <v>12618</v>
      </c>
      <c r="B12619" s="845" t="s">
        <v>2564</v>
      </c>
      <c r="C12619" s="1007">
        <f t="shared" si="265"/>
        <v>89</v>
      </c>
      <c r="D12619" s="1012"/>
      <c r="H12619" s="1011" t="s">
        <v>1007</v>
      </c>
      <c r="K12619" s="1013"/>
    </row>
    <row r="12620" spans="1:11" s="1011" customFormat="1" ht="15" x14ac:dyDescent="0.25">
      <c r="A12620" s="859">
        <f t="shared" si="266"/>
        <v>12619</v>
      </c>
      <c r="B12620" s="845" t="s">
        <v>2564</v>
      </c>
      <c r="C12620" s="1007">
        <f t="shared" si="265"/>
        <v>89</v>
      </c>
      <c r="D12620" s="1012"/>
      <c r="I12620" s="1011" t="s">
        <v>2180</v>
      </c>
      <c r="K12620" s="1013"/>
    </row>
    <row r="12621" spans="1:11" s="1011" customFormat="1" ht="15" x14ac:dyDescent="0.25">
      <c r="A12621" s="859">
        <f t="shared" si="266"/>
        <v>12620</v>
      </c>
      <c r="B12621" s="845" t="s">
        <v>2564</v>
      </c>
      <c r="C12621" s="1007">
        <f t="shared" si="265"/>
        <v>89</v>
      </c>
      <c r="D12621" s="1014"/>
      <c r="I12621" s="1011" t="str">
        <f>CONCATENATE("&lt;valeur&gt;",VLOOKUP(C12621,'T16 Amort'!A:K,8,0),"&lt;/valeur&gt;")</f>
        <v>&lt;valeur&gt;&lt;/valeur&gt;</v>
      </c>
      <c r="K12621" s="1013"/>
    </row>
    <row r="12622" spans="1:11" s="1011" customFormat="1" ht="15" x14ac:dyDescent="0.25">
      <c r="A12622" s="859">
        <f t="shared" si="266"/>
        <v>12621</v>
      </c>
      <c r="B12622" s="845" t="s">
        <v>2564</v>
      </c>
      <c r="C12622" s="1007">
        <f t="shared" si="265"/>
        <v>89</v>
      </c>
      <c r="D12622" s="1014"/>
      <c r="I12622" s="1011" t="str">
        <f>CONCATENATE("&lt;numeroLigne&gt;",C12622,"&lt;/numeroLigne&gt;")</f>
        <v>&lt;numeroLigne&gt;89&lt;/numeroLigne&gt;</v>
      </c>
      <c r="K12622" s="1013"/>
    </row>
    <row r="12623" spans="1:11" s="1011" customFormat="1" ht="15" x14ac:dyDescent="0.25">
      <c r="A12623" s="859">
        <f t="shared" si="266"/>
        <v>12622</v>
      </c>
      <c r="B12623" s="845" t="s">
        <v>2564</v>
      </c>
      <c r="C12623" s="1007">
        <f t="shared" si="265"/>
        <v>89</v>
      </c>
      <c r="D12623" s="1012"/>
      <c r="H12623" s="1011" t="s">
        <v>1010</v>
      </c>
      <c r="K12623" s="1013"/>
    </row>
    <row r="12624" spans="1:11" s="1011" customFormat="1" ht="15" x14ac:dyDescent="0.25">
      <c r="A12624" s="859">
        <f t="shared" si="266"/>
        <v>12623</v>
      </c>
      <c r="B12624" s="845" t="s">
        <v>2564</v>
      </c>
      <c r="C12624" s="1007">
        <f t="shared" si="265"/>
        <v>89</v>
      </c>
      <c r="D12624" s="1015"/>
      <c r="H12624" s="1011" t="s">
        <v>1007</v>
      </c>
      <c r="K12624" s="1013"/>
    </row>
    <row r="12625" spans="1:11" s="1011" customFormat="1" ht="15" x14ac:dyDescent="0.25">
      <c r="A12625" s="859">
        <f t="shared" si="266"/>
        <v>12624</v>
      </c>
      <c r="B12625" s="845" t="s">
        <v>2564</v>
      </c>
      <c r="C12625" s="1007">
        <f t="shared" si="265"/>
        <v>89</v>
      </c>
      <c r="D12625" s="1012"/>
      <c r="I12625" s="1011" t="s">
        <v>2181</v>
      </c>
      <c r="K12625" s="1013"/>
    </row>
    <row r="12626" spans="1:11" s="1011" customFormat="1" ht="15" x14ac:dyDescent="0.25">
      <c r="A12626" s="859">
        <f t="shared" si="266"/>
        <v>12625</v>
      </c>
      <c r="B12626" s="845" t="s">
        <v>2564</v>
      </c>
      <c r="C12626" s="1007">
        <f t="shared" si="265"/>
        <v>89</v>
      </c>
      <c r="D12626" s="1012"/>
      <c r="I12626" s="1011" t="str">
        <f>CONCATENATE("&lt;valeur&gt;",VLOOKUP(C12626,'T16 Amort'!A:K,9,0),"&lt;/valeur&gt;")</f>
        <v>&lt;valeur&gt;&lt;/valeur&gt;</v>
      </c>
      <c r="K12626" s="1013"/>
    </row>
    <row r="12627" spans="1:11" s="1011" customFormat="1" ht="15" x14ac:dyDescent="0.25">
      <c r="A12627" s="859">
        <f t="shared" si="266"/>
        <v>12626</v>
      </c>
      <c r="B12627" s="845" t="s">
        <v>2564</v>
      </c>
      <c r="C12627" s="1007">
        <f t="shared" si="265"/>
        <v>89</v>
      </c>
      <c r="D12627" s="1014"/>
      <c r="I12627" s="1011" t="str">
        <f>CONCATENATE("&lt;numeroLigne&gt;",C12627,"&lt;/numeroLigne&gt;")</f>
        <v>&lt;numeroLigne&gt;89&lt;/numeroLigne&gt;</v>
      </c>
      <c r="K12627" s="1013"/>
    </row>
    <row r="12628" spans="1:11" s="1011" customFormat="1" ht="15" x14ac:dyDescent="0.25">
      <c r="A12628" s="859">
        <f t="shared" si="266"/>
        <v>12627</v>
      </c>
      <c r="B12628" s="845" t="s">
        <v>2564</v>
      </c>
      <c r="C12628" s="1007">
        <f t="shared" si="265"/>
        <v>89</v>
      </c>
      <c r="D12628" s="1014"/>
      <c r="H12628" s="1011" t="s">
        <v>1010</v>
      </c>
      <c r="K12628" s="1013"/>
    </row>
    <row r="12629" spans="1:11" s="1011" customFormat="1" ht="15" x14ac:dyDescent="0.25">
      <c r="A12629" s="859">
        <f t="shared" si="266"/>
        <v>12628</v>
      </c>
      <c r="B12629" s="845" t="s">
        <v>2564</v>
      </c>
      <c r="C12629" s="1007">
        <f t="shared" si="265"/>
        <v>89</v>
      </c>
      <c r="D12629" s="1012"/>
      <c r="H12629" s="1011" t="s">
        <v>1007</v>
      </c>
      <c r="K12629" s="1013"/>
    </row>
    <row r="12630" spans="1:11" s="1011" customFormat="1" ht="15" x14ac:dyDescent="0.25">
      <c r="A12630" s="859">
        <f t="shared" si="266"/>
        <v>12629</v>
      </c>
      <c r="B12630" s="845" t="s">
        <v>2564</v>
      </c>
      <c r="C12630" s="1007">
        <f t="shared" si="265"/>
        <v>89</v>
      </c>
      <c r="D12630" s="1015"/>
      <c r="I12630" s="1011" t="s">
        <v>2182</v>
      </c>
      <c r="K12630" s="1013"/>
    </row>
    <row r="12631" spans="1:11" s="1011" customFormat="1" ht="15" x14ac:dyDescent="0.25">
      <c r="A12631" s="859">
        <f t="shared" si="266"/>
        <v>12630</v>
      </c>
      <c r="B12631" s="845" t="s">
        <v>2564</v>
      </c>
      <c r="C12631" s="1007">
        <f t="shared" si="265"/>
        <v>89</v>
      </c>
      <c r="D12631" s="1012"/>
      <c r="I12631" s="1011" t="str">
        <f>CONCATENATE("&lt;valeur&gt;",VLOOKUP(C12631,'T16 Amort'!A:K,10,0),"&lt;/valeur&gt;")</f>
        <v>&lt;valeur&gt;&lt;/valeur&gt;</v>
      </c>
      <c r="K12631" s="1013"/>
    </row>
    <row r="12632" spans="1:11" s="1011" customFormat="1" ht="15" x14ac:dyDescent="0.25">
      <c r="A12632" s="859">
        <f t="shared" si="266"/>
        <v>12631</v>
      </c>
      <c r="B12632" s="845" t="s">
        <v>2564</v>
      </c>
      <c r="C12632" s="1007">
        <f t="shared" si="265"/>
        <v>89</v>
      </c>
      <c r="D12632" s="1012"/>
      <c r="I12632" s="1011" t="str">
        <f>CONCATENATE("&lt;numeroLigne&gt;",C12632,"&lt;/numeroLigne&gt;")</f>
        <v>&lt;numeroLigne&gt;89&lt;/numeroLigne&gt;</v>
      </c>
      <c r="K12632" s="1013"/>
    </row>
    <row r="12633" spans="1:11" s="1011" customFormat="1" ht="15" x14ac:dyDescent="0.25">
      <c r="A12633" s="859">
        <f t="shared" si="266"/>
        <v>12632</v>
      </c>
      <c r="B12633" s="845" t="s">
        <v>2564</v>
      </c>
      <c r="C12633" s="1007">
        <f t="shared" si="265"/>
        <v>89</v>
      </c>
      <c r="D12633" s="1014"/>
      <c r="H12633" s="1011" t="s">
        <v>1010</v>
      </c>
      <c r="K12633" s="1013"/>
    </row>
    <row r="12634" spans="1:11" s="1011" customFormat="1" ht="15" x14ac:dyDescent="0.25">
      <c r="A12634" s="859">
        <f t="shared" si="266"/>
        <v>12633</v>
      </c>
      <c r="B12634" s="845" t="s">
        <v>2564</v>
      </c>
      <c r="C12634" s="1007">
        <f t="shared" si="265"/>
        <v>89</v>
      </c>
      <c r="D12634" s="1014"/>
      <c r="H12634" s="1011" t="s">
        <v>1007</v>
      </c>
      <c r="K12634" s="1013"/>
    </row>
    <row r="12635" spans="1:11" s="1011" customFormat="1" ht="15" x14ac:dyDescent="0.25">
      <c r="A12635" s="859">
        <f t="shared" si="266"/>
        <v>12634</v>
      </c>
      <c r="B12635" s="845" t="s">
        <v>2564</v>
      </c>
      <c r="C12635" s="1007">
        <f t="shared" si="265"/>
        <v>89</v>
      </c>
      <c r="D12635" s="1012"/>
      <c r="I12635" s="1011" t="s">
        <v>2183</v>
      </c>
      <c r="K12635" s="1013"/>
    </row>
    <row r="12636" spans="1:11" s="1011" customFormat="1" ht="15" x14ac:dyDescent="0.25">
      <c r="A12636" s="859">
        <f t="shared" si="266"/>
        <v>12635</v>
      </c>
      <c r="B12636" s="845" t="s">
        <v>2564</v>
      </c>
      <c r="C12636" s="1007">
        <f t="shared" si="265"/>
        <v>89</v>
      </c>
      <c r="D12636" s="1015"/>
      <c r="I12636" s="1011" t="str">
        <f>CONCATENATE("&lt;valeur&gt;",VLOOKUP(C12636,'T16 Amort'!A:K,11,0),"&lt;/valeur&gt;")</f>
        <v>&lt;valeur&gt;&lt;/valeur&gt;</v>
      </c>
      <c r="K12636" s="1013"/>
    </row>
    <row r="12637" spans="1:11" s="1011" customFormat="1" ht="15" x14ac:dyDescent="0.25">
      <c r="A12637" s="859">
        <f t="shared" si="266"/>
        <v>12636</v>
      </c>
      <c r="B12637" s="845" t="s">
        <v>2564</v>
      </c>
      <c r="C12637" s="1007">
        <f t="shared" si="265"/>
        <v>89</v>
      </c>
      <c r="D12637" s="1012"/>
      <c r="I12637" s="1011" t="str">
        <f>CONCATENATE("&lt;numeroLigne&gt;",C12637,"&lt;/numeroLigne&gt;")</f>
        <v>&lt;numeroLigne&gt;89&lt;/numeroLigne&gt;</v>
      </c>
      <c r="K12637" s="1013"/>
    </row>
    <row r="12638" spans="1:11" s="1011" customFormat="1" ht="15" x14ac:dyDescent="0.25">
      <c r="A12638" s="859">
        <f t="shared" si="266"/>
        <v>12637</v>
      </c>
      <c r="B12638" s="845" t="s">
        <v>2564</v>
      </c>
      <c r="C12638" s="1007">
        <f t="shared" si="265"/>
        <v>89</v>
      </c>
      <c r="D12638" s="1016"/>
      <c r="E12638" s="1017"/>
      <c r="F12638" s="1017"/>
      <c r="G12638" s="1017"/>
      <c r="H12638" s="1017" t="s">
        <v>1010</v>
      </c>
      <c r="I12638" s="1017"/>
      <c r="J12638" s="1017"/>
      <c r="K12638" s="1018"/>
    </row>
    <row r="12639" spans="1:11" s="1011" customFormat="1" ht="15" x14ac:dyDescent="0.25">
      <c r="A12639" s="859">
        <f t="shared" si="266"/>
        <v>12638</v>
      </c>
      <c r="B12639" s="845" t="s">
        <v>2564</v>
      </c>
      <c r="C12639" s="1007">
        <f t="shared" si="265"/>
        <v>90</v>
      </c>
      <c r="D12639" s="1008"/>
      <c r="E12639" s="1009"/>
      <c r="F12639" s="1009"/>
      <c r="G12639" s="1009"/>
      <c r="H12639" s="1009" t="s">
        <v>1007</v>
      </c>
      <c r="I12639" s="1009"/>
      <c r="J12639" s="1009"/>
      <c r="K12639" s="1010"/>
    </row>
    <row r="12640" spans="1:11" s="1011" customFormat="1" ht="15" x14ac:dyDescent="0.25">
      <c r="A12640" s="859">
        <f t="shared" si="266"/>
        <v>12639</v>
      </c>
      <c r="B12640" s="845" t="s">
        <v>2564</v>
      </c>
      <c r="C12640" s="1007">
        <f t="shared" si="265"/>
        <v>90</v>
      </c>
      <c r="D12640" s="1012"/>
      <c r="I12640" s="1011" t="s">
        <v>2174</v>
      </c>
      <c r="K12640" s="1013"/>
    </row>
    <row r="12641" spans="1:11" s="1011" customFormat="1" ht="15" x14ac:dyDescent="0.25">
      <c r="A12641" s="859">
        <f t="shared" si="266"/>
        <v>12640</v>
      </c>
      <c r="B12641" s="845" t="s">
        <v>2564</v>
      </c>
      <c r="C12641" s="1007">
        <f t="shared" si="265"/>
        <v>90</v>
      </c>
      <c r="D12641" s="1014"/>
      <c r="I12641" s="1011" t="str">
        <f>CONCATENATE("&lt;valeur&gt;",VLOOKUP(C12641,'T16 Amort'!A:K,2,0),"&lt;/valeur&gt;")</f>
        <v>&lt;valeur&gt;&lt;/valeur&gt;</v>
      </c>
      <c r="K12641" s="1013"/>
    </row>
    <row r="12642" spans="1:11" s="1011" customFormat="1" ht="15" x14ac:dyDescent="0.25">
      <c r="A12642" s="859">
        <f t="shared" si="266"/>
        <v>12641</v>
      </c>
      <c r="B12642" s="845" t="s">
        <v>2564</v>
      </c>
      <c r="C12642" s="1007">
        <f t="shared" si="265"/>
        <v>90</v>
      </c>
      <c r="D12642" s="1014"/>
      <c r="I12642" s="1011" t="str">
        <f>CONCATENATE("&lt;numeroLigne&gt;",C12642,"&lt;/numeroLigne&gt;")</f>
        <v>&lt;numeroLigne&gt;90&lt;/numeroLigne&gt;</v>
      </c>
      <c r="K12642" s="1013"/>
    </row>
    <row r="12643" spans="1:11" s="1011" customFormat="1" ht="15" x14ac:dyDescent="0.25">
      <c r="A12643" s="859">
        <f t="shared" si="266"/>
        <v>12642</v>
      </c>
      <c r="B12643" s="845" t="s">
        <v>2564</v>
      </c>
      <c r="C12643" s="1007">
        <f t="shared" si="265"/>
        <v>90</v>
      </c>
      <c r="D12643" s="1012"/>
      <c r="H12643" s="1011" t="s">
        <v>1010</v>
      </c>
      <c r="K12643" s="1013"/>
    </row>
    <row r="12644" spans="1:11" s="1011" customFormat="1" ht="15" x14ac:dyDescent="0.25">
      <c r="A12644" s="859">
        <f t="shared" si="266"/>
        <v>12643</v>
      </c>
      <c r="B12644" s="845" t="s">
        <v>2564</v>
      </c>
      <c r="C12644" s="1007">
        <f t="shared" si="265"/>
        <v>90</v>
      </c>
      <c r="D12644" s="1015"/>
      <c r="H12644" s="1011" t="s">
        <v>1007</v>
      </c>
      <c r="K12644" s="1013"/>
    </row>
    <row r="12645" spans="1:11" s="1011" customFormat="1" ht="15" x14ac:dyDescent="0.25">
      <c r="A12645" s="859">
        <f t="shared" si="266"/>
        <v>12644</v>
      </c>
      <c r="B12645" s="845" t="s">
        <v>2564</v>
      </c>
      <c r="C12645" s="1007">
        <f t="shared" si="265"/>
        <v>90</v>
      </c>
      <c r="D12645" s="1012"/>
      <c r="I12645" s="1011" t="s">
        <v>2175</v>
      </c>
      <c r="K12645" s="1013"/>
    </row>
    <row r="12646" spans="1:11" s="1011" customFormat="1" ht="15" x14ac:dyDescent="0.25">
      <c r="A12646" s="859">
        <f t="shared" si="266"/>
        <v>12645</v>
      </c>
      <c r="B12646" s="845" t="s">
        <v>2564</v>
      </c>
      <c r="C12646" s="1007">
        <f t="shared" si="265"/>
        <v>90</v>
      </c>
      <c r="D12646" s="1012"/>
      <c r="I12646" s="1011" t="str">
        <f>CONCATENATE("&lt;valeur&gt;",VLOOKUP(C12646,'T16 Amort'!A:K,3,0),"&lt;/valeur&gt;")</f>
        <v>&lt;valeur&gt;&lt;/valeur&gt;</v>
      </c>
      <c r="K12646" s="1013"/>
    </row>
    <row r="12647" spans="1:11" s="1011" customFormat="1" ht="15" x14ac:dyDescent="0.25">
      <c r="A12647" s="859">
        <f t="shared" si="266"/>
        <v>12646</v>
      </c>
      <c r="B12647" s="845" t="s">
        <v>2564</v>
      </c>
      <c r="C12647" s="1007">
        <f t="shared" si="265"/>
        <v>90</v>
      </c>
      <c r="D12647" s="1014"/>
      <c r="I12647" s="1011" t="str">
        <f>CONCATENATE("&lt;numeroLigne&gt;",C12647,"&lt;/numeroLigne&gt;")</f>
        <v>&lt;numeroLigne&gt;90&lt;/numeroLigne&gt;</v>
      </c>
      <c r="K12647" s="1013"/>
    </row>
    <row r="12648" spans="1:11" s="1011" customFormat="1" ht="15" x14ac:dyDescent="0.25">
      <c r="A12648" s="859">
        <f t="shared" si="266"/>
        <v>12647</v>
      </c>
      <c r="B12648" s="845" t="s">
        <v>2564</v>
      </c>
      <c r="C12648" s="1007">
        <f t="shared" si="265"/>
        <v>90</v>
      </c>
      <c r="D12648" s="1014"/>
      <c r="H12648" s="1011" t="s">
        <v>1010</v>
      </c>
      <c r="K12648" s="1013"/>
    </row>
    <row r="12649" spans="1:11" s="1011" customFormat="1" ht="15" x14ac:dyDescent="0.25">
      <c r="A12649" s="859">
        <f t="shared" si="266"/>
        <v>12648</v>
      </c>
      <c r="B12649" s="845" t="s">
        <v>2564</v>
      </c>
      <c r="C12649" s="1007">
        <f t="shared" si="265"/>
        <v>90</v>
      </c>
      <c r="D12649" s="1012"/>
      <c r="H12649" s="1011" t="s">
        <v>1007</v>
      </c>
      <c r="K12649" s="1013"/>
    </row>
    <row r="12650" spans="1:11" s="1011" customFormat="1" ht="15" x14ac:dyDescent="0.25">
      <c r="A12650" s="859">
        <f t="shared" si="266"/>
        <v>12649</v>
      </c>
      <c r="B12650" s="845" t="s">
        <v>2564</v>
      </c>
      <c r="C12650" s="1007">
        <f t="shared" si="265"/>
        <v>90</v>
      </c>
      <c r="D12650" s="1015"/>
      <c r="I12650" s="1011" t="s">
        <v>2176</v>
      </c>
      <c r="K12650" s="1013"/>
    </row>
    <row r="12651" spans="1:11" s="1011" customFormat="1" ht="15" x14ac:dyDescent="0.25">
      <c r="A12651" s="859">
        <f t="shared" si="266"/>
        <v>12650</v>
      </c>
      <c r="B12651" s="845" t="s">
        <v>2564</v>
      </c>
      <c r="C12651" s="1007">
        <f t="shared" si="265"/>
        <v>90</v>
      </c>
      <c r="D12651" s="1012"/>
      <c r="I12651" s="1011" t="str">
        <f>CONCATENATE("&lt;valeur&gt;",VLOOKUP(C12651,'T16 Amort'!A:K,4,0),"&lt;/valeur&gt;")</f>
        <v>&lt;valeur&gt;&lt;/valeur&gt;</v>
      </c>
      <c r="K12651" s="1013"/>
    </row>
    <row r="12652" spans="1:11" s="1011" customFormat="1" ht="15" x14ac:dyDescent="0.25">
      <c r="A12652" s="859">
        <f t="shared" si="266"/>
        <v>12651</v>
      </c>
      <c r="B12652" s="845" t="s">
        <v>2564</v>
      </c>
      <c r="C12652" s="1007">
        <f t="shared" si="265"/>
        <v>90</v>
      </c>
      <c r="D12652" s="1012"/>
      <c r="I12652" s="1011" t="str">
        <f>CONCATENATE("&lt;numeroLigne&gt;",C12652,"&lt;/numeroLigne&gt;")</f>
        <v>&lt;numeroLigne&gt;90&lt;/numeroLigne&gt;</v>
      </c>
      <c r="K12652" s="1013"/>
    </row>
    <row r="12653" spans="1:11" s="1011" customFormat="1" ht="15" x14ac:dyDescent="0.25">
      <c r="A12653" s="859">
        <f t="shared" si="266"/>
        <v>12652</v>
      </c>
      <c r="B12653" s="845" t="s">
        <v>2564</v>
      </c>
      <c r="C12653" s="1007">
        <f t="shared" si="265"/>
        <v>90</v>
      </c>
      <c r="D12653" s="1014"/>
      <c r="H12653" s="1011" t="s">
        <v>1010</v>
      </c>
      <c r="K12653" s="1013"/>
    </row>
    <row r="12654" spans="1:11" s="1011" customFormat="1" ht="15" x14ac:dyDescent="0.25">
      <c r="A12654" s="859">
        <f t="shared" si="266"/>
        <v>12653</v>
      </c>
      <c r="B12654" s="845" t="s">
        <v>2564</v>
      </c>
      <c r="C12654" s="1007">
        <f t="shared" si="265"/>
        <v>90</v>
      </c>
      <c r="D12654" s="1014"/>
      <c r="H12654" s="1011" t="s">
        <v>1007</v>
      </c>
      <c r="K12654" s="1013"/>
    </row>
    <row r="12655" spans="1:11" s="1011" customFormat="1" ht="15" x14ac:dyDescent="0.25">
      <c r="A12655" s="859">
        <f t="shared" si="266"/>
        <v>12654</v>
      </c>
      <c r="B12655" s="845" t="s">
        <v>2564</v>
      </c>
      <c r="C12655" s="1007">
        <f t="shared" ref="C12655:C12718" si="267">C12605+1</f>
        <v>90</v>
      </c>
      <c r="D12655" s="1012"/>
      <c r="I12655" s="1011" t="s">
        <v>2177</v>
      </c>
      <c r="K12655" s="1013"/>
    </row>
    <row r="12656" spans="1:11" s="1011" customFormat="1" ht="15" x14ac:dyDescent="0.25">
      <c r="A12656" s="859">
        <f t="shared" si="266"/>
        <v>12655</v>
      </c>
      <c r="B12656" s="845" t="s">
        <v>2564</v>
      </c>
      <c r="C12656" s="1007">
        <f t="shared" si="267"/>
        <v>90</v>
      </c>
      <c r="D12656" s="1015"/>
      <c r="I12656" s="1011" t="str">
        <f>CONCATENATE("&lt;valeur&gt;",VLOOKUP(C12656,'T16 Amort'!A:K,5,0),"&lt;/valeur&gt;")</f>
        <v>&lt;valeur&gt;&lt;/valeur&gt;</v>
      </c>
      <c r="K12656" s="1013"/>
    </row>
    <row r="12657" spans="1:11" s="1011" customFormat="1" ht="15" x14ac:dyDescent="0.25">
      <c r="A12657" s="859">
        <f t="shared" si="266"/>
        <v>12656</v>
      </c>
      <c r="B12657" s="845" t="s">
        <v>2564</v>
      </c>
      <c r="C12657" s="1007">
        <f t="shared" si="267"/>
        <v>90</v>
      </c>
      <c r="D12657" s="1012"/>
      <c r="I12657" s="1011" t="str">
        <f>CONCATENATE("&lt;numeroLigne&gt;",C12657,"&lt;/numeroLigne&gt;")</f>
        <v>&lt;numeroLigne&gt;90&lt;/numeroLigne&gt;</v>
      </c>
      <c r="K12657" s="1013"/>
    </row>
    <row r="12658" spans="1:11" s="1011" customFormat="1" ht="15" x14ac:dyDescent="0.25">
      <c r="A12658" s="859">
        <f t="shared" si="266"/>
        <v>12657</v>
      </c>
      <c r="B12658" s="845" t="s">
        <v>2564</v>
      </c>
      <c r="C12658" s="1007">
        <f t="shared" si="267"/>
        <v>90</v>
      </c>
      <c r="D12658" s="1012"/>
      <c r="H12658" s="1011" t="s">
        <v>1010</v>
      </c>
      <c r="K12658" s="1013"/>
    </row>
    <row r="12659" spans="1:11" s="1011" customFormat="1" ht="15" x14ac:dyDescent="0.25">
      <c r="A12659" s="859">
        <f t="shared" si="266"/>
        <v>12658</v>
      </c>
      <c r="B12659" s="845" t="s">
        <v>2564</v>
      </c>
      <c r="C12659" s="1007">
        <f t="shared" si="267"/>
        <v>90</v>
      </c>
      <c r="D12659" s="1014"/>
      <c r="H12659" s="1011" t="s">
        <v>1007</v>
      </c>
      <c r="K12659" s="1013"/>
    </row>
    <row r="12660" spans="1:11" s="1011" customFormat="1" ht="15" x14ac:dyDescent="0.25">
      <c r="A12660" s="859">
        <f t="shared" si="266"/>
        <v>12659</v>
      </c>
      <c r="B12660" s="845" t="s">
        <v>2564</v>
      </c>
      <c r="C12660" s="1007">
        <f t="shared" si="267"/>
        <v>90</v>
      </c>
      <c r="D12660" s="1014"/>
      <c r="I12660" s="1011" t="s">
        <v>2178</v>
      </c>
      <c r="K12660" s="1013"/>
    </row>
    <row r="12661" spans="1:11" s="1011" customFormat="1" ht="15" x14ac:dyDescent="0.25">
      <c r="A12661" s="859">
        <f t="shared" si="266"/>
        <v>12660</v>
      </c>
      <c r="B12661" s="845" t="s">
        <v>2564</v>
      </c>
      <c r="C12661" s="1007">
        <f t="shared" si="267"/>
        <v>90</v>
      </c>
      <c r="D12661" s="1012"/>
      <c r="I12661" s="1011" t="str">
        <f>CONCATENATE("&lt;valeur&gt;",VLOOKUP(C12661,'T16 Amort'!A:K,6,0),"&lt;/valeur&gt;")</f>
        <v>&lt;valeur&gt;&lt;/valeur&gt;</v>
      </c>
      <c r="K12661" s="1013"/>
    </row>
    <row r="12662" spans="1:11" s="1011" customFormat="1" ht="15" x14ac:dyDescent="0.25">
      <c r="A12662" s="859">
        <f t="shared" si="266"/>
        <v>12661</v>
      </c>
      <c r="B12662" s="845" t="s">
        <v>2564</v>
      </c>
      <c r="C12662" s="1007">
        <f t="shared" si="267"/>
        <v>90</v>
      </c>
      <c r="D12662" s="1015"/>
      <c r="I12662" s="1011" t="str">
        <f>CONCATENATE("&lt;numeroLigne&gt;",C12662,"&lt;/numeroLigne&gt;")</f>
        <v>&lt;numeroLigne&gt;90&lt;/numeroLigne&gt;</v>
      </c>
      <c r="K12662" s="1013"/>
    </row>
    <row r="12663" spans="1:11" s="1011" customFormat="1" ht="15" x14ac:dyDescent="0.25">
      <c r="A12663" s="859">
        <f t="shared" si="266"/>
        <v>12662</v>
      </c>
      <c r="B12663" s="845" t="s">
        <v>2564</v>
      </c>
      <c r="C12663" s="1007">
        <f t="shared" si="267"/>
        <v>90</v>
      </c>
      <c r="D12663" s="1012"/>
      <c r="H12663" s="1011" t="s">
        <v>1010</v>
      </c>
      <c r="K12663" s="1013"/>
    </row>
    <row r="12664" spans="1:11" s="1011" customFormat="1" ht="15" x14ac:dyDescent="0.25">
      <c r="A12664" s="859">
        <f t="shared" si="266"/>
        <v>12663</v>
      </c>
      <c r="B12664" s="845" t="s">
        <v>2564</v>
      </c>
      <c r="C12664" s="1007">
        <f t="shared" si="267"/>
        <v>90</v>
      </c>
      <c r="D12664" s="1012"/>
      <c r="H12664" s="1011" t="s">
        <v>1007</v>
      </c>
      <c r="K12664" s="1013"/>
    </row>
    <row r="12665" spans="1:11" s="1011" customFormat="1" ht="15" x14ac:dyDescent="0.25">
      <c r="A12665" s="859">
        <f t="shared" si="266"/>
        <v>12664</v>
      </c>
      <c r="B12665" s="845" t="s">
        <v>2564</v>
      </c>
      <c r="C12665" s="1007">
        <f t="shared" si="267"/>
        <v>90</v>
      </c>
      <c r="D12665" s="1014"/>
      <c r="I12665" s="1011" t="s">
        <v>2179</v>
      </c>
      <c r="K12665" s="1013"/>
    </row>
    <row r="12666" spans="1:11" s="1011" customFormat="1" ht="15" x14ac:dyDescent="0.25">
      <c r="A12666" s="859">
        <f t="shared" si="266"/>
        <v>12665</v>
      </c>
      <c r="B12666" s="845" t="s">
        <v>2564</v>
      </c>
      <c r="C12666" s="1007">
        <f t="shared" si="267"/>
        <v>90</v>
      </c>
      <c r="D12666" s="1014"/>
      <c r="I12666" s="1011" t="str">
        <f>CONCATENATE("&lt;valeur&gt;",VLOOKUP(C12666,'T16 Amort'!A:K,7,0),"&lt;/valeur&gt;")</f>
        <v>&lt;valeur&gt;&lt;/valeur&gt;</v>
      </c>
      <c r="K12666" s="1013"/>
    </row>
    <row r="12667" spans="1:11" s="1011" customFormat="1" ht="15" x14ac:dyDescent="0.25">
      <c r="A12667" s="859">
        <f t="shared" si="266"/>
        <v>12666</v>
      </c>
      <c r="B12667" s="845" t="s">
        <v>2564</v>
      </c>
      <c r="C12667" s="1007">
        <f t="shared" si="267"/>
        <v>90</v>
      </c>
      <c r="D12667" s="1012"/>
      <c r="I12667" s="1011" t="str">
        <f>CONCATENATE("&lt;numeroLigne&gt;",C12667,"&lt;/numeroLigne&gt;")</f>
        <v>&lt;numeroLigne&gt;90&lt;/numeroLigne&gt;</v>
      </c>
      <c r="K12667" s="1013"/>
    </row>
    <row r="12668" spans="1:11" s="1011" customFormat="1" ht="15" x14ac:dyDescent="0.25">
      <c r="A12668" s="859">
        <f t="shared" si="266"/>
        <v>12667</v>
      </c>
      <c r="B12668" s="845" t="s">
        <v>2564</v>
      </c>
      <c r="C12668" s="1007">
        <f t="shared" si="267"/>
        <v>90</v>
      </c>
      <c r="D12668" s="1015"/>
      <c r="H12668" s="1011" t="s">
        <v>1010</v>
      </c>
      <c r="K12668" s="1013"/>
    </row>
    <row r="12669" spans="1:11" s="1011" customFormat="1" ht="15" x14ac:dyDescent="0.25">
      <c r="A12669" s="859">
        <f t="shared" si="266"/>
        <v>12668</v>
      </c>
      <c r="B12669" s="845" t="s">
        <v>2564</v>
      </c>
      <c r="C12669" s="1007">
        <f t="shared" si="267"/>
        <v>90</v>
      </c>
      <c r="D12669" s="1012"/>
      <c r="H12669" s="1011" t="s">
        <v>1007</v>
      </c>
      <c r="K12669" s="1013"/>
    </row>
    <row r="12670" spans="1:11" s="1011" customFormat="1" ht="15" x14ac:dyDescent="0.25">
      <c r="A12670" s="859">
        <f t="shared" si="266"/>
        <v>12669</v>
      </c>
      <c r="B12670" s="845" t="s">
        <v>2564</v>
      </c>
      <c r="C12670" s="1007">
        <f t="shared" si="267"/>
        <v>90</v>
      </c>
      <c r="D12670" s="1012"/>
      <c r="I12670" s="1011" t="s">
        <v>2180</v>
      </c>
      <c r="K12670" s="1013"/>
    </row>
    <row r="12671" spans="1:11" s="1011" customFormat="1" ht="15" x14ac:dyDescent="0.25">
      <c r="A12671" s="859">
        <f t="shared" si="266"/>
        <v>12670</v>
      </c>
      <c r="B12671" s="845" t="s">
        <v>2564</v>
      </c>
      <c r="C12671" s="1007">
        <f t="shared" si="267"/>
        <v>90</v>
      </c>
      <c r="D12671" s="1014"/>
      <c r="I12671" s="1011" t="str">
        <f>CONCATENATE("&lt;valeur&gt;",VLOOKUP(C12671,'T16 Amort'!A:K,8,0),"&lt;/valeur&gt;")</f>
        <v>&lt;valeur&gt;&lt;/valeur&gt;</v>
      </c>
      <c r="K12671" s="1013"/>
    </row>
    <row r="12672" spans="1:11" s="1011" customFormat="1" ht="15" x14ac:dyDescent="0.25">
      <c r="A12672" s="859">
        <f t="shared" si="266"/>
        <v>12671</v>
      </c>
      <c r="B12672" s="845" t="s">
        <v>2564</v>
      </c>
      <c r="C12672" s="1007">
        <f t="shared" si="267"/>
        <v>90</v>
      </c>
      <c r="D12672" s="1014"/>
      <c r="I12672" s="1011" t="str">
        <f>CONCATENATE("&lt;numeroLigne&gt;",C12672,"&lt;/numeroLigne&gt;")</f>
        <v>&lt;numeroLigne&gt;90&lt;/numeroLigne&gt;</v>
      </c>
      <c r="K12672" s="1013"/>
    </row>
    <row r="12673" spans="1:11" s="1011" customFormat="1" ht="15" x14ac:dyDescent="0.25">
      <c r="A12673" s="859">
        <f t="shared" si="266"/>
        <v>12672</v>
      </c>
      <c r="B12673" s="845" t="s">
        <v>2564</v>
      </c>
      <c r="C12673" s="1007">
        <f t="shared" si="267"/>
        <v>90</v>
      </c>
      <c r="D12673" s="1012"/>
      <c r="H12673" s="1011" t="s">
        <v>1010</v>
      </c>
      <c r="K12673" s="1013"/>
    </row>
    <row r="12674" spans="1:11" s="1011" customFormat="1" ht="15" x14ac:dyDescent="0.25">
      <c r="A12674" s="859">
        <f t="shared" si="266"/>
        <v>12673</v>
      </c>
      <c r="B12674" s="845" t="s">
        <v>2564</v>
      </c>
      <c r="C12674" s="1007">
        <f t="shared" si="267"/>
        <v>90</v>
      </c>
      <c r="D12674" s="1015"/>
      <c r="H12674" s="1011" t="s">
        <v>1007</v>
      </c>
      <c r="K12674" s="1013"/>
    </row>
    <row r="12675" spans="1:11" s="1011" customFormat="1" ht="15" x14ac:dyDescent="0.25">
      <c r="A12675" s="859">
        <f t="shared" si="266"/>
        <v>12674</v>
      </c>
      <c r="B12675" s="845" t="s">
        <v>2564</v>
      </c>
      <c r="C12675" s="1007">
        <f t="shared" si="267"/>
        <v>90</v>
      </c>
      <c r="D12675" s="1012"/>
      <c r="I12675" s="1011" t="s">
        <v>2181</v>
      </c>
      <c r="K12675" s="1013"/>
    </row>
    <row r="12676" spans="1:11" s="1011" customFormat="1" ht="15" x14ac:dyDescent="0.25">
      <c r="A12676" s="859">
        <f t="shared" ref="A12676:A12739" si="268">+A12675+1</f>
        <v>12675</v>
      </c>
      <c r="B12676" s="845" t="s">
        <v>2564</v>
      </c>
      <c r="C12676" s="1007">
        <f t="shared" si="267"/>
        <v>90</v>
      </c>
      <c r="D12676" s="1012"/>
      <c r="I12676" s="1011" t="str">
        <f>CONCATENATE("&lt;valeur&gt;",VLOOKUP(C12676,'T16 Amort'!A:K,9,0),"&lt;/valeur&gt;")</f>
        <v>&lt;valeur&gt;&lt;/valeur&gt;</v>
      </c>
      <c r="K12676" s="1013"/>
    </row>
    <row r="12677" spans="1:11" s="1011" customFormat="1" ht="15" x14ac:dyDescent="0.25">
      <c r="A12677" s="859">
        <f t="shared" si="268"/>
        <v>12676</v>
      </c>
      <c r="B12677" s="845" t="s">
        <v>2564</v>
      </c>
      <c r="C12677" s="1007">
        <f t="shared" si="267"/>
        <v>90</v>
      </c>
      <c r="D12677" s="1014"/>
      <c r="I12677" s="1011" t="str">
        <f>CONCATENATE("&lt;numeroLigne&gt;",C12677,"&lt;/numeroLigne&gt;")</f>
        <v>&lt;numeroLigne&gt;90&lt;/numeroLigne&gt;</v>
      </c>
      <c r="K12677" s="1013"/>
    </row>
    <row r="12678" spans="1:11" s="1011" customFormat="1" ht="15" x14ac:dyDescent="0.25">
      <c r="A12678" s="859">
        <f t="shared" si="268"/>
        <v>12677</v>
      </c>
      <c r="B12678" s="845" t="s">
        <v>2564</v>
      </c>
      <c r="C12678" s="1007">
        <f t="shared" si="267"/>
        <v>90</v>
      </c>
      <c r="D12678" s="1014"/>
      <c r="H12678" s="1011" t="s">
        <v>1010</v>
      </c>
      <c r="K12678" s="1013"/>
    </row>
    <row r="12679" spans="1:11" s="1011" customFormat="1" ht="15" x14ac:dyDescent="0.25">
      <c r="A12679" s="859">
        <f t="shared" si="268"/>
        <v>12678</v>
      </c>
      <c r="B12679" s="845" t="s">
        <v>2564</v>
      </c>
      <c r="C12679" s="1007">
        <f t="shared" si="267"/>
        <v>90</v>
      </c>
      <c r="D12679" s="1012"/>
      <c r="H12679" s="1011" t="s">
        <v>1007</v>
      </c>
      <c r="K12679" s="1013"/>
    </row>
    <row r="12680" spans="1:11" s="1011" customFormat="1" ht="15" x14ac:dyDescent="0.25">
      <c r="A12680" s="859">
        <f t="shared" si="268"/>
        <v>12679</v>
      </c>
      <c r="B12680" s="845" t="s">
        <v>2564</v>
      </c>
      <c r="C12680" s="1007">
        <f t="shared" si="267"/>
        <v>90</v>
      </c>
      <c r="D12680" s="1015"/>
      <c r="I12680" s="1011" t="s">
        <v>2182</v>
      </c>
      <c r="K12680" s="1013"/>
    </row>
    <row r="12681" spans="1:11" s="1011" customFormat="1" ht="15" x14ac:dyDescent="0.25">
      <c r="A12681" s="859">
        <f t="shared" si="268"/>
        <v>12680</v>
      </c>
      <c r="B12681" s="845" t="s">
        <v>2564</v>
      </c>
      <c r="C12681" s="1007">
        <f t="shared" si="267"/>
        <v>90</v>
      </c>
      <c r="D12681" s="1012"/>
      <c r="I12681" s="1011" t="str">
        <f>CONCATENATE("&lt;valeur&gt;",VLOOKUP(C12681,'T16 Amort'!A:K,10,0),"&lt;/valeur&gt;")</f>
        <v>&lt;valeur&gt;&lt;/valeur&gt;</v>
      </c>
      <c r="K12681" s="1013"/>
    </row>
    <row r="12682" spans="1:11" s="1011" customFormat="1" ht="15" x14ac:dyDescent="0.25">
      <c r="A12682" s="859">
        <f t="shared" si="268"/>
        <v>12681</v>
      </c>
      <c r="B12682" s="845" t="s">
        <v>2564</v>
      </c>
      <c r="C12682" s="1007">
        <f t="shared" si="267"/>
        <v>90</v>
      </c>
      <c r="D12682" s="1012"/>
      <c r="I12682" s="1011" t="str">
        <f>CONCATENATE("&lt;numeroLigne&gt;",C12682,"&lt;/numeroLigne&gt;")</f>
        <v>&lt;numeroLigne&gt;90&lt;/numeroLigne&gt;</v>
      </c>
      <c r="K12682" s="1013"/>
    </row>
    <row r="12683" spans="1:11" s="1011" customFormat="1" ht="15" x14ac:dyDescent="0.25">
      <c r="A12683" s="859">
        <f t="shared" si="268"/>
        <v>12682</v>
      </c>
      <c r="B12683" s="845" t="s">
        <v>2564</v>
      </c>
      <c r="C12683" s="1007">
        <f t="shared" si="267"/>
        <v>90</v>
      </c>
      <c r="D12683" s="1014"/>
      <c r="H12683" s="1011" t="s">
        <v>1010</v>
      </c>
      <c r="K12683" s="1013"/>
    </row>
    <row r="12684" spans="1:11" s="1011" customFormat="1" ht="15" x14ac:dyDescent="0.25">
      <c r="A12684" s="859">
        <f t="shared" si="268"/>
        <v>12683</v>
      </c>
      <c r="B12684" s="845" t="s">
        <v>2564</v>
      </c>
      <c r="C12684" s="1007">
        <f t="shared" si="267"/>
        <v>90</v>
      </c>
      <c r="D12684" s="1014"/>
      <c r="H12684" s="1011" t="s">
        <v>1007</v>
      </c>
      <c r="K12684" s="1013"/>
    </row>
    <row r="12685" spans="1:11" s="1011" customFormat="1" ht="15" x14ac:dyDescent="0.25">
      <c r="A12685" s="859">
        <f t="shared" si="268"/>
        <v>12684</v>
      </c>
      <c r="B12685" s="845" t="s">
        <v>2564</v>
      </c>
      <c r="C12685" s="1007">
        <f t="shared" si="267"/>
        <v>90</v>
      </c>
      <c r="D12685" s="1012"/>
      <c r="I12685" s="1011" t="s">
        <v>2183</v>
      </c>
      <c r="K12685" s="1013"/>
    </row>
    <row r="12686" spans="1:11" s="1011" customFormat="1" ht="15" x14ac:dyDescent="0.25">
      <c r="A12686" s="859">
        <f t="shared" si="268"/>
        <v>12685</v>
      </c>
      <c r="B12686" s="845" t="s">
        <v>2564</v>
      </c>
      <c r="C12686" s="1007">
        <f t="shared" si="267"/>
        <v>90</v>
      </c>
      <c r="D12686" s="1015"/>
      <c r="I12686" s="1011" t="str">
        <f>CONCATENATE("&lt;valeur&gt;",VLOOKUP(C12686,'T16 Amort'!A:K,11,0),"&lt;/valeur&gt;")</f>
        <v>&lt;valeur&gt;&lt;/valeur&gt;</v>
      </c>
      <c r="K12686" s="1013"/>
    </row>
    <row r="12687" spans="1:11" s="1011" customFormat="1" ht="15" x14ac:dyDescent="0.25">
      <c r="A12687" s="859">
        <f t="shared" si="268"/>
        <v>12686</v>
      </c>
      <c r="B12687" s="845" t="s">
        <v>2564</v>
      </c>
      <c r="C12687" s="1007">
        <f t="shared" si="267"/>
        <v>90</v>
      </c>
      <c r="D12687" s="1012"/>
      <c r="I12687" s="1011" t="str">
        <f>CONCATENATE("&lt;numeroLigne&gt;",C12687,"&lt;/numeroLigne&gt;")</f>
        <v>&lt;numeroLigne&gt;90&lt;/numeroLigne&gt;</v>
      </c>
      <c r="K12687" s="1013"/>
    </row>
    <row r="12688" spans="1:11" s="1011" customFormat="1" ht="15" x14ac:dyDescent="0.25">
      <c r="A12688" s="859">
        <f t="shared" si="268"/>
        <v>12687</v>
      </c>
      <c r="B12688" s="845" t="s">
        <v>2564</v>
      </c>
      <c r="C12688" s="1007">
        <f t="shared" si="267"/>
        <v>90</v>
      </c>
      <c r="D12688" s="1016"/>
      <c r="E12688" s="1017"/>
      <c r="F12688" s="1017"/>
      <c r="G12688" s="1017"/>
      <c r="H12688" s="1017" t="s">
        <v>1010</v>
      </c>
      <c r="I12688" s="1017"/>
      <c r="J12688" s="1017"/>
      <c r="K12688" s="1018"/>
    </row>
    <row r="12689" spans="1:11" s="1011" customFormat="1" ht="15" x14ac:dyDescent="0.25">
      <c r="A12689" s="859">
        <f t="shared" si="268"/>
        <v>12688</v>
      </c>
      <c r="B12689" s="845" t="s">
        <v>2564</v>
      </c>
      <c r="C12689" s="1007">
        <f t="shared" si="267"/>
        <v>91</v>
      </c>
      <c r="D12689" s="1008"/>
      <c r="E12689" s="1009"/>
      <c r="F12689" s="1009"/>
      <c r="G12689" s="1009"/>
      <c r="H12689" s="1009" t="s">
        <v>1007</v>
      </c>
      <c r="I12689" s="1009"/>
      <c r="J12689" s="1009"/>
      <c r="K12689" s="1010"/>
    </row>
    <row r="12690" spans="1:11" s="1011" customFormat="1" ht="15" x14ac:dyDescent="0.25">
      <c r="A12690" s="859">
        <f t="shared" si="268"/>
        <v>12689</v>
      </c>
      <c r="B12690" s="845" t="s">
        <v>2564</v>
      </c>
      <c r="C12690" s="1007">
        <f t="shared" si="267"/>
        <v>91</v>
      </c>
      <c r="D12690" s="1012"/>
      <c r="I12690" s="1011" t="s">
        <v>2174</v>
      </c>
      <c r="K12690" s="1013"/>
    </row>
    <row r="12691" spans="1:11" s="1011" customFormat="1" ht="15" x14ac:dyDescent="0.25">
      <c r="A12691" s="859">
        <f t="shared" si="268"/>
        <v>12690</v>
      </c>
      <c r="B12691" s="845" t="s">
        <v>2564</v>
      </c>
      <c r="C12691" s="1007">
        <f t="shared" si="267"/>
        <v>91</v>
      </c>
      <c r="D12691" s="1014"/>
      <c r="I12691" s="1011" t="str">
        <f>CONCATENATE("&lt;valeur&gt;",VLOOKUP(C12691,'T16 Amort'!A:K,2,0),"&lt;/valeur&gt;")</f>
        <v>&lt;valeur&gt;&lt;/valeur&gt;</v>
      </c>
      <c r="K12691" s="1013"/>
    </row>
    <row r="12692" spans="1:11" s="1011" customFormat="1" ht="15" x14ac:dyDescent="0.25">
      <c r="A12692" s="859">
        <f t="shared" si="268"/>
        <v>12691</v>
      </c>
      <c r="B12692" s="845" t="s">
        <v>2564</v>
      </c>
      <c r="C12692" s="1007">
        <f t="shared" si="267"/>
        <v>91</v>
      </c>
      <c r="D12692" s="1014"/>
      <c r="I12692" s="1011" t="str">
        <f>CONCATENATE("&lt;numeroLigne&gt;",C12692,"&lt;/numeroLigne&gt;")</f>
        <v>&lt;numeroLigne&gt;91&lt;/numeroLigne&gt;</v>
      </c>
      <c r="K12692" s="1013"/>
    </row>
    <row r="12693" spans="1:11" s="1011" customFormat="1" ht="15" x14ac:dyDescent="0.25">
      <c r="A12693" s="859">
        <f t="shared" si="268"/>
        <v>12692</v>
      </c>
      <c r="B12693" s="845" t="s">
        <v>2564</v>
      </c>
      <c r="C12693" s="1007">
        <f t="shared" si="267"/>
        <v>91</v>
      </c>
      <c r="D12693" s="1012"/>
      <c r="H12693" s="1011" t="s">
        <v>1010</v>
      </c>
      <c r="K12693" s="1013"/>
    </row>
    <row r="12694" spans="1:11" s="1011" customFormat="1" ht="15" x14ac:dyDescent="0.25">
      <c r="A12694" s="859">
        <f t="shared" si="268"/>
        <v>12693</v>
      </c>
      <c r="B12694" s="845" t="s">
        <v>2564</v>
      </c>
      <c r="C12694" s="1007">
        <f t="shared" si="267"/>
        <v>91</v>
      </c>
      <c r="D12694" s="1015"/>
      <c r="H12694" s="1011" t="s">
        <v>1007</v>
      </c>
      <c r="K12694" s="1013"/>
    </row>
    <row r="12695" spans="1:11" s="1011" customFormat="1" ht="15" x14ac:dyDescent="0.25">
      <c r="A12695" s="859">
        <f t="shared" si="268"/>
        <v>12694</v>
      </c>
      <c r="B12695" s="845" t="s">
        <v>2564</v>
      </c>
      <c r="C12695" s="1007">
        <f t="shared" si="267"/>
        <v>91</v>
      </c>
      <c r="D12695" s="1012"/>
      <c r="I12695" s="1011" t="s">
        <v>2175</v>
      </c>
      <c r="K12695" s="1013"/>
    </row>
    <row r="12696" spans="1:11" s="1011" customFormat="1" ht="15" x14ac:dyDescent="0.25">
      <c r="A12696" s="859">
        <f t="shared" si="268"/>
        <v>12695</v>
      </c>
      <c r="B12696" s="845" t="s">
        <v>2564</v>
      </c>
      <c r="C12696" s="1007">
        <f t="shared" si="267"/>
        <v>91</v>
      </c>
      <c r="D12696" s="1012"/>
      <c r="I12696" s="1011" t="str">
        <f>CONCATENATE("&lt;valeur&gt;",VLOOKUP(C12696,'T16 Amort'!A:K,3,0),"&lt;/valeur&gt;")</f>
        <v>&lt;valeur&gt;&lt;/valeur&gt;</v>
      </c>
      <c r="K12696" s="1013"/>
    </row>
    <row r="12697" spans="1:11" s="1011" customFormat="1" ht="15" x14ac:dyDescent="0.25">
      <c r="A12697" s="859">
        <f t="shared" si="268"/>
        <v>12696</v>
      </c>
      <c r="B12697" s="845" t="s">
        <v>2564</v>
      </c>
      <c r="C12697" s="1007">
        <f t="shared" si="267"/>
        <v>91</v>
      </c>
      <c r="D12697" s="1014"/>
      <c r="I12697" s="1011" t="str">
        <f>CONCATENATE("&lt;numeroLigne&gt;",C12697,"&lt;/numeroLigne&gt;")</f>
        <v>&lt;numeroLigne&gt;91&lt;/numeroLigne&gt;</v>
      </c>
      <c r="K12697" s="1013"/>
    </row>
    <row r="12698" spans="1:11" s="1011" customFormat="1" ht="15" x14ac:dyDescent="0.25">
      <c r="A12698" s="859">
        <f t="shared" si="268"/>
        <v>12697</v>
      </c>
      <c r="B12698" s="845" t="s">
        <v>2564</v>
      </c>
      <c r="C12698" s="1007">
        <f t="shared" si="267"/>
        <v>91</v>
      </c>
      <c r="D12698" s="1014"/>
      <c r="H12698" s="1011" t="s">
        <v>1010</v>
      </c>
      <c r="K12698" s="1013"/>
    </row>
    <row r="12699" spans="1:11" s="1011" customFormat="1" ht="15" x14ac:dyDescent="0.25">
      <c r="A12699" s="859">
        <f t="shared" si="268"/>
        <v>12698</v>
      </c>
      <c r="B12699" s="845" t="s">
        <v>2564</v>
      </c>
      <c r="C12699" s="1007">
        <f t="shared" si="267"/>
        <v>91</v>
      </c>
      <c r="D12699" s="1012"/>
      <c r="H12699" s="1011" t="s">
        <v>1007</v>
      </c>
      <c r="K12699" s="1013"/>
    </row>
    <row r="12700" spans="1:11" s="1011" customFormat="1" ht="15" x14ac:dyDescent="0.25">
      <c r="A12700" s="859">
        <f t="shared" si="268"/>
        <v>12699</v>
      </c>
      <c r="B12700" s="845" t="s">
        <v>2564</v>
      </c>
      <c r="C12700" s="1007">
        <f t="shared" si="267"/>
        <v>91</v>
      </c>
      <c r="D12700" s="1015"/>
      <c r="I12700" s="1011" t="s">
        <v>2176</v>
      </c>
      <c r="K12700" s="1013"/>
    </row>
    <row r="12701" spans="1:11" s="1011" customFormat="1" ht="15" x14ac:dyDescent="0.25">
      <c r="A12701" s="859">
        <f t="shared" si="268"/>
        <v>12700</v>
      </c>
      <c r="B12701" s="845" t="s">
        <v>2564</v>
      </c>
      <c r="C12701" s="1007">
        <f t="shared" si="267"/>
        <v>91</v>
      </c>
      <c r="D12701" s="1012"/>
      <c r="I12701" s="1011" t="str">
        <f>CONCATENATE("&lt;valeur&gt;",VLOOKUP(C12701,'T16 Amort'!A:K,4,0),"&lt;/valeur&gt;")</f>
        <v>&lt;valeur&gt;&lt;/valeur&gt;</v>
      </c>
      <c r="K12701" s="1013"/>
    </row>
    <row r="12702" spans="1:11" s="1011" customFormat="1" ht="15" x14ac:dyDescent="0.25">
      <c r="A12702" s="859">
        <f t="shared" si="268"/>
        <v>12701</v>
      </c>
      <c r="B12702" s="845" t="s">
        <v>2564</v>
      </c>
      <c r="C12702" s="1007">
        <f t="shared" si="267"/>
        <v>91</v>
      </c>
      <c r="D12702" s="1012"/>
      <c r="I12702" s="1011" t="str">
        <f>CONCATENATE("&lt;numeroLigne&gt;",C12702,"&lt;/numeroLigne&gt;")</f>
        <v>&lt;numeroLigne&gt;91&lt;/numeroLigne&gt;</v>
      </c>
      <c r="K12702" s="1013"/>
    </row>
    <row r="12703" spans="1:11" s="1011" customFormat="1" ht="15" x14ac:dyDescent="0.25">
      <c r="A12703" s="859">
        <f t="shared" si="268"/>
        <v>12702</v>
      </c>
      <c r="B12703" s="845" t="s">
        <v>2564</v>
      </c>
      <c r="C12703" s="1007">
        <f t="shared" si="267"/>
        <v>91</v>
      </c>
      <c r="D12703" s="1014"/>
      <c r="H12703" s="1011" t="s">
        <v>1010</v>
      </c>
      <c r="K12703" s="1013"/>
    </row>
    <row r="12704" spans="1:11" s="1011" customFormat="1" ht="15" x14ac:dyDescent="0.25">
      <c r="A12704" s="859">
        <f t="shared" si="268"/>
        <v>12703</v>
      </c>
      <c r="B12704" s="845" t="s">
        <v>2564</v>
      </c>
      <c r="C12704" s="1007">
        <f t="shared" si="267"/>
        <v>91</v>
      </c>
      <c r="D12704" s="1014"/>
      <c r="H12704" s="1011" t="s">
        <v>1007</v>
      </c>
      <c r="K12704" s="1013"/>
    </row>
    <row r="12705" spans="1:11" s="1011" customFormat="1" ht="15" x14ac:dyDescent="0.25">
      <c r="A12705" s="859">
        <f t="shared" si="268"/>
        <v>12704</v>
      </c>
      <c r="B12705" s="845" t="s">
        <v>2564</v>
      </c>
      <c r="C12705" s="1007">
        <f t="shared" si="267"/>
        <v>91</v>
      </c>
      <c r="D12705" s="1012"/>
      <c r="I12705" s="1011" t="s">
        <v>2177</v>
      </c>
      <c r="K12705" s="1013"/>
    </row>
    <row r="12706" spans="1:11" s="1011" customFormat="1" ht="15" x14ac:dyDescent="0.25">
      <c r="A12706" s="859">
        <f t="shared" si="268"/>
        <v>12705</v>
      </c>
      <c r="B12706" s="845" t="s">
        <v>2564</v>
      </c>
      <c r="C12706" s="1007">
        <f t="shared" si="267"/>
        <v>91</v>
      </c>
      <c r="D12706" s="1015"/>
      <c r="I12706" s="1011" t="str">
        <f>CONCATENATE("&lt;valeur&gt;",VLOOKUP(C12706,'T16 Amort'!A:K,5,0),"&lt;/valeur&gt;")</f>
        <v>&lt;valeur&gt;&lt;/valeur&gt;</v>
      </c>
      <c r="K12706" s="1013"/>
    </row>
    <row r="12707" spans="1:11" s="1011" customFormat="1" ht="15" x14ac:dyDescent="0.25">
      <c r="A12707" s="859">
        <f t="shared" si="268"/>
        <v>12706</v>
      </c>
      <c r="B12707" s="845" t="s">
        <v>2564</v>
      </c>
      <c r="C12707" s="1007">
        <f t="shared" si="267"/>
        <v>91</v>
      </c>
      <c r="D12707" s="1012"/>
      <c r="I12707" s="1011" t="str">
        <f>CONCATENATE("&lt;numeroLigne&gt;",C12707,"&lt;/numeroLigne&gt;")</f>
        <v>&lt;numeroLigne&gt;91&lt;/numeroLigne&gt;</v>
      </c>
      <c r="K12707" s="1013"/>
    </row>
    <row r="12708" spans="1:11" s="1011" customFormat="1" ht="15" x14ac:dyDescent="0.25">
      <c r="A12708" s="859">
        <f t="shared" si="268"/>
        <v>12707</v>
      </c>
      <c r="B12708" s="845" t="s">
        <v>2564</v>
      </c>
      <c r="C12708" s="1007">
        <f t="shared" si="267"/>
        <v>91</v>
      </c>
      <c r="D12708" s="1012"/>
      <c r="H12708" s="1011" t="s">
        <v>1010</v>
      </c>
      <c r="K12708" s="1013"/>
    </row>
    <row r="12709" spans="1:11" s="1011" customFormat="1" ht="15" x14ac:dyDescent="0.25">
      <c r="A12709" s="859">
        <f t="shared" si="268"/>
        <v>12708</v>
      </c>
      <c r="B12709" s="845" t="s">
        <v>2564</v>
      </c>
      <c r="C12709" s="1007">
        <f t="shared" si="267"/>
        <v>91</v>
      </c>
      <c r="D12709" s="1014"/>
      <c r="H12709" s="1011" t="s">
        <v>1007</v>
      </c>
      <c r="K12709" s="1013"/>
    </row>
    <row r="12710" spans="1:11" s="1011" customFormat="1" ht="15" x14ac:dyDescent="0.25">
      <c r="A12710" s="859">
        <f t="shared" si="268"/>
        <v>12709</v>
      </c>
      <c r="B12710" s="845" t="s">
        <v>2564</v>
      </c>
      <c r="C12710" s="1007">
        <f t="shared" si="267"/>
        <v>91</v>
      </c>
      <c r="D12710" s="1014"/>
      <c r="I12710" s="1011" t="s">
        <v>2178</v>
      </c>
      <c r="K12710" s="1013"/>
    </row>
    <row r="12711" spans="1:11" s="1011" customFormat="1" ht="15" x14ac:dyDescent="0.25">
      <c r="A12711" s="859">
        <f t="shared" si="268"/>
        <v>12710</v>
      </c>
      <c r="B12711" s="845" t="s">
        <v>2564</v>
      </c>
      <c r="C12711" s="1007">
        <f t="shared" si="267"/>
        <v>91</v>
      </c>
      <c r="D12711" s="1012"/>
      <c r="I12711" s="1011" t="str">
        <f>CONCATENATE("&lt;valeur&gt;",VLOOKUP(C12711,'T16 Amort'!A:K,6,0),"&lt;/valeur&gt;")</f>
        <v>&lt;valeur&gt;&lt;/valeur&gt;</v>
      </c>
      <c r="K12711" s="1013"/>
    </row>
    <row r="12712" spans="1:11" s="1011" customFormat="1" ht="15" x14ac:dyDescent="0.25">
      <c r="A12712" s="859">
        <f t="shared" si="268"/>
        <v>12711</v>
      </c>
      <c r="B12712" s="845" t="s">
        <v>2564</v>
      </c>
      <c r="C12712" s="1007">
        <f t="shared" si="267"/>
        <v>91</v>
      </c>
      <c r="D12712" s="1015"/>
      <c r="I12712" s="1011" t="str">
        <f>CONCATENATE("&lt;numeroLigne&gt;",C12712,"&lt;/numeroLigne&gt;")</f>
        <v>&lt;numeroLigne&gt;91&lt;/numeroLigne&gt;</v>
      </c>
      <c r="K12712" s="1013"/>
    </row>
    <row r="12713" spans="1:11" s="1011" customFormat="1" ht="15" x14ac:dyDescent="0.25">
      <c r="A12713" s="859">
        <f t="shared" si="268"/>
        <v>12712</v>
      </c>
      <c r="B12713" s="845" t="s">
        <v>2564</v>
      </c>
      <c r="C12713" s="1007">
        <f t="shared" si="267"/>
        <v>91</v>
      </c>
      <c r="D12713" s="1012"/>
      <c r="H12713" s="1011" t="s">
        <v>1010</v>
      </c>
      <c r="K12713" s="1013"/>
    </row>
    <row r="12714" spans="1:11" s="1011" customFormat="1" ht="15" x14ac:dyDescent="0.25">
      <c r="A12714" s="859">
        <f t="shared" si="268"/>
        <v>12713</v>
      </c>
      <c r="B12714" s="845" t="s">
        <v>2564</v>
      </c>
      <c r="C12714" s="1007">
        <f t="shared" si="267"/>
        <v>91</v>
      </c>
      <c r="D12714" s="1012"/>
      <c r="H12714" s="1011" t="s">
        <v>1007</v>
      </c>
      <c r="K12714" s="1013"/>
    </row>
    <row r="12715" spans="1:11" s="1011" customFormat="1" ht="15" x14ac:dyDescent="0.25">
      <c r="A12715" s="859">
        <f t="shared" si="268"/>
        <v>12714</v>
      </c>
      <c r="B12715" s="845" t="s">
        <v>2564</v>
      </c>
      <c r="C12715" s="1007">
        <f t="shared" si="267"/>
        <v>91</v>
      </c>
      <c r="D12715" s="1014"/>
      <c r="I12715" s="1011" t="s">
        <v>2179</v>
      </c>
      <c r="K12715" s="1013"/>
    </row>
    <row r="12716" spans="1:11" s="1011" customFormat="1" ht="15" x14ac:dyDescent="0.25">
      <c r="A12716" s="859">
        <f t="shared" si="268"/>
        <v>12715</v>
      </c>
      <c r="B12716" s="845" t="s">
        <v>2564</v>
      </c>
      <c r="C12716" s="1007">
        <f t="shared" si="267"/>
        <v>91</v>
      </c>
      <c r="D12716" s="1014"/>
      <c r="I12716" s="1011" t="str">
        <f>CONCATENATE("&lt;valeur&gt;",VLOOKUP(C12716,'T16 Amort'!A:K,7,0),"&lt;/valeur&gt;")</f>
        <v>&lt;valeur&gt;&lt;/valeur&gt;</v>
      </c>
      <c r="K12716" s="1013"/>
    </row>
    <row r="12717" spans="1:11" s="1011" customFormat="1" ht="15" x14ac:dyDescent="0.25">
      <c r="A12717" s="859">
        <f t="shared" si="268"/>
        <v>12716</v>
      </c>
      <c r="B12717" s="845" t="s">
        <v>2564</v>
      </c>
      <c r="C12717" s="1007">
        <f t="shared" si="267"/>
        <v>91</v>
      </c>
      <c r="D12717" s="1012"/>
      <c r="I12717" s="1011" t="str">
        <f>CONCATENATE("&lt;numeroLigne&gt;",C12717,"&lt;/numeroLigne&gt;")</f>
        <v>&lt;numeroLigne&gt;91&lt;/numeroLigne&gt;</v>
      </c>
      <c r="K12717" s="1013"/>
    </row>
    <row r="12718" spans="1:11" s="1011" customFormat="1" ht="15" x14ac:dyDescent="0.25">
      <c r="A12718" s="859">
        <f t="shared" si="268"/>
        <v>12717</v>
      </c>
      <c r="B12718" s="845" t="s">
        <v>2564</v>
      </c>
      <c r="C12718" s="1007">
        <f t="shared" si="267"/>
        <v>91</v>
      </c>
      <c r="D12718" s="1015"/>
      <c r="H12718" s="1011" t="s">
        <v>1010</v>
      </c>
      <c r="K12718" s="1013"/>
    </row>
    <row r="12719" spans="1:11" s="1011" customFormat="1" ht="15" x14ac:dyDescent="0.25">
      <c r="A12719" s="859">
        <f t="shared" si="268"/>
        <v>12718</v>
      </c>
      <c r="B12719" s="845" t="s">
        <v>2564</v>
      </c>
      <c r="C12719" s="1007">
        <f t="shared" ref="C12719:C12782" si="269">C12669+1</f>
        <v>91</v>
      </c>
      <c r="D12719" s="1012"/>
      <c r="H12719" s="1011" t="s">
        <v>1007</v>
      </c>
      <c r="K12719" s="1013"/>
    </row>
    <row r="12720" spans="1:11" s="1011" customFormat="1" ht="15" x14ac:dyDescent="0.25">
      <c r="A12720" s="859">
        <f t="shared" si="268"/>
        <v>12719</v>
      </c>
      <c r="B12720" s="845" t="s">
        <v>2564</v>
      </c>
      <c r="C12720" s="1007">
        <f t="shared" si="269"/>
        <v>91</v>
      </c>
      <c r="D12720" s="1012"/>
      <c r="I12720" s="1011" t="s">
        <v>2180</v>
      </c>
      <c r="K12720" s="1013"/>
    </row>
    <row r="12721" spans="1:11" s="1011" customFormat="1" ht="15" x14ac:dyDescent="0.25">
      <c r="A12721" s="859">
        <f t="shared" si="268"/>
        <v>12720</v>
      </c>
      <c r="B12721" s="845" t="s">
        <v>2564</v>
      </c>
      <c r="C12721" s="1007">
        <f t="shared" si="269"/>
        <v>91</v>
      </c>
      <c r="D12721" s="1014"/>
      <c r="I12721" s="1011" t="str">
        <f>CONCATENATE("&lt;valeur&gt;",VLOOKUP(C12721,'T16 Amort'!A:K,8,0),"&lt;/valeur&gt;")</f>
        <v>&lt;valeur&gt;&lt;/valeur&gt;</v>
      </c>
      <c r="K12721" s="1013"/>
    </row>
    <row r="12722" spans="1:11" s="1011" customFormat="1" ht="15" x14ac:dyDescent="0.25">
      <c r="A12722" s="859">
        <f t="shared" si="268"/>
        <v>12721</v>
      </c>
      <c r="B12722" s="845" t="s">
        <v>2564</v>
      </c>
      <c r="C12722" s="1007">
        <f t="shared" si="269"/>
        <v>91</v>
      </c>
      <c r="D12722" s="1014"/>
      <c r="I12722" s="1011" t="str">
        <f>CONCATENATE("&lt;numeroLigne&gt;",C12722,"&lt;/numeroLigne&gt;")</f>
        <v>&lt;numeroLigne&gt;91&lt;/numeroLigne&gt;</v>
      </c>
      <c r="K12722" s="1013"/>
    </row>
    <row r="12723" spans="1:11" s="1011" customFormat="1" ht="15" x14ac:dyDescent="0.25">
      <c r="A12723" s="859">
        <f t="shared" si="268"/>
        <v>12722</v>
      </c>
      <c r="B12723" s="845" t="s">
        <v>2564</v>
      </c>
      <c r="C12723" s="1007">
        <f t="shared" si="269"/>
        <v>91</v>
      </c>
      <c r="D12723" s="1012"/>
      <c r="H12723" s="1011" t="s">
        <v>1010</v>
      </c>
      <c r="K12723" s="1013"/>
    </row>
    <row r="12724" spans="1:11" s="1011" customFormat="1" ht="15" x14ac:dyDescent="0.25">
      <c r="A12724" s="859">
        <f t="shared" si="268"/>
        <v>12723</v>
      </c>
      <c r="B12724" s="845" t="s">
        <v>2564</v>
      </c>
      <c r="C12724" s="1007">
        <f t="shared" si="269"/>
        <v>91</v>
      </c>
      <c r="D12724" s="1015"/>
      <c r="H12724" s="1011" t="s">
        <v>1007</v>
      </c>
      <c r="K12724" s="1013"/>
    </row>
    <row r="12725" spans="1:11" s="1011" customFormat="1" ht="15" x14ac:dyDescent="0.25">
      <c r="A12725" s="859">
        <f t="shared" si="268"/>
        <v>12724</v>
      </c>
      <c r="B12725" s="845" t="s">
        <v>2564</v>
      </c>
      <c r="C12725" s="1007">
        <f t="shared" si="269"/>
        <v>91</v>
      </c>
      <c r="D12725" s="1012"/>
      <c r="I12725" s="1011" t="s">
        <v>2181</v>
      </c>
      <c r="K12725" s="1013"/>
    </row>
    <row r="12726" spans="1:11" s="1011" customFormat="1" ht="15" x14ac:dyDescent="0.25">
      <c r="A12726" s="859">
        <f t="shared" si="268"/>
        <v>12725</v>
      </c>
      <c r="B12726" s="845" t="s">
        <v>2564</v>
      </c>
      <c r="C12726" s="1007">
        <f t="shared" si="269"/>
        <v>91</v>
      </c>
      <c r="D12726" s="1012"/>
      <c r="I12726" s="1011" t="str">
        <f>CONCATENATE("&lt;valeur&gt;",VLOOKUP(C12726,'T16 Amort'!A:K,9,0),"&lt;/valeur&gt;")</f>
        <v>&lt;valeur&gt;&lt;/valeur&gt;</v>
      </c>
      <c r="K12726" s="1013"/>
    </row>
    <row r="12727" spans="1:11" s="1011" customFormat="1" ht="15" x14ac:dyDescent="0.25">
      <c r="A12727" s="859">
        <f t="shared" si="268"/>
        <v>12726</v>
      </c>
      <c r="B12727" s="845" t="s">
        <v>2564</v>
      </c>
      <c r="C12727" s="1007">
        <f t="shared" si="269"/>
        <v>91</v>
      </c>
      <c r="D12727" s="1014"/>
      <c r="I12727" s="1011" t="str">
        <f>CONCATENATE("&lt;numeroLigne&gt;",C12727,"&lt;/numeroLigne&gt;")</f>
        <v>&lt;numeroLigne&gt;91&lt;/numeroLigne&gt;</v>
      </c>
      <c r="K12727" s="1013"/>
    </row>
    <row r="12728" spans="1:11" s="1011" customFormat="1" ht="15" x14ac:dyDescent="0.25">
      <c r="A12728" s="859">
        <f t="shared" si="268"/>
        <v>12727</v>
      </c>
      <c r="B12728" s="845" t="s">
        <v>2564</v>
      </c>
      <c r="C12728" s="1007">
        <f t="shared" si="269"/>
        <v>91</v>
      </c>
      <c r="D12728" s="1014"/>
      <c r="H12728" s="1011" t="s">
        <v>1010</v>
      </c>
      <c r="K12728" s="1013"/>
    </row>
    <row r="12729" spans="1:11" s="1011" customFormat="1" ht="15" x14ac:dyDescent="0.25">
      <c r="A12729" s="859">
        <f t="shared" si="268"/>
        <v>12728</v>
      </c>
      <c r="B12729" s="845" t="s">
        <v>2564</v>
      </c>
      <c r="C12729" s="1007">
        <f t="shared" si="269"/>
        <v>91</v>
      </c>
      <c r="D12729" s="1012"/>
      <c r="H12729" s="1011" t="s">
        <v>1007</v>
      </c>
      <c r="K12729" s="1013"/>
    </row>
    <row r="12730" spans="1:11" s="1011" customFormat="1" ht="15" x14ac:dyDescent="0.25">
      <c r="A12730" s="859">
        <f t="shared" si="268"/>
        <v>12729</v>
      </c>
      <c r="B12730" s="845" t="s">
        <v>2564</v>
      </c>
      <c r="C12730" s="1007">
        <f t="shared" si="269"/>
        <v>91</v>
      </c>
      <c r="D12730" s="1015"/>
      <c r="I12730" s="1011" t="s">
        <v>2182</v>
      </c>
      <c r="K12730" s="1013"/>
    </row>
    <row r="12731" spans="1:11" s="1011" customFormat="1" ht="15" x14ac:dyDescent="0.25">
      <c r="A12731" s="859">
        <f t="shared" si="268"/>
        <v>12730</v>
      </c>
      <c r="B12731" s="845" t="s">
        <v>2564</v>
      </c>
      <c r="C12731" s="1007">
        <f t="shared" si="269"/>
        <v>91</v>
      </c>
      <c r="D12731" s="1012"/>
      <c r="I12731" s="1011" t="str">
        <f>CONCATENATE("&lt;valeur&gt;",VLOOKUP(C12731,'T16 Amort'!A:K,10,0),"&lt;/valeur&gt;")</f>
        <v>&lt;valeur&gt;&lt;/valeur&gt;</v>
      </c>
      <c r="K12731" s="1013"/>
    </row>
    <row r="12732" spans="1:11" s="1011" customFormat="1" ht="15" x14ac:dyDescent="0.25">
      <c r="A12732" s="859">
        <f t="shared" si="268"/>
        <v>12731</v>
      </c>
      <c r="B12732" s="845" t="s">
        <v>2564</v>
      </c>
      <c r="C12732" s="1007">
        <f t="shared" si="269"/>
        <v>91</v>
      </c>
      <c r="D12732" s="1012"/>
      <c r="I12732" s="1011" t="str">
        <f>CONCATENATE("&lt;numeroLigne&gt;",C12732,"&lt;/numeroLigne&gt;")</f>
        <v>&lt;numeroLigne&gt;91&lt;/numeroLigne&gt;</v>
      </c>
      <c r="K12732" s="1013"/>
    </row>
    <row r="12733" spans="1:11" s="1011" customFormat="1" ht="15" x14ac:dyDescent="0.25">
      <c r="A12733" s="859">
        <f t="shared" si="268"/>
        <v>12732</v>
      </c>
      <c r="B12733" s="845" t="s">
        <v>2564</v>
      </c>
      <c r="C12733" s="1007">
        <f t="shared" si="269"/>
        <v>91</v>
      </c>
      <c r="D12733" s="1014"/>
      <c r="H12733" s="1011" t="s">
        <v>1010</v>
      </c>
      <c r="K12733" s="1013"/>
    </row>
    <row r="12734" spans="1:11" s="1011" customFormat="1" ht="15" x14ac:dyDescent="0.25">
      <c r="A12734" s="859">
        <f t="shared" si="268"/>
        <v>12733</v>
      </c>
      <c r="B12734" s="845" t="s">
        <v>2564</v>
      </c>
      <c r="C12734" s="1007">
        <f t="shared" si="269"/>
        <v>91</v>
      </c>
      <c r="D12734" s="1014"/>
      <c r="H12734" s="1011" t="s">
        <v>1007</v>
      </c>
      <c r="K12734" s="1013"/>
    </row>
    <row r="12735" spans="1:11" s="1011" customFormat="1" ht="15" x14ac:dyDescent="0.25">
      <c r="A12735" s="859">
        <f t="shared" si="268"/>
        <v>12734</v>
      </c>
      <c r="B12735" s="845" t="s">
        <v>2564</v>
      </c>
      <c r="C12735" s="1007">
        <f t="shared" si="269"/>
        <v>91</v>
      </c>
      <c r="D12735" s="1012"/>
      <c r="I12735" s="1011" t="s">
        <v>2183</v>
      </c>
      <c r="K12735" s="1013"/>
    </row>
    <row r="12736" spans="1:11" s="1011" customFormat="1" ht="15" x14ac:dyDescent="0.25">
      <c r="A12736" s="859">
        <f t="shared" si="268"/>
        <v>12735</v>
      </c>
      <c r="B12736" s="845" t="s">
        <v>2564</v>
      </c>
      <c r="C12736" s="1007">
        <f t="shared" si="269"/>
        <v>91</v>
      </c>
      <c r="D12736" s="1015"/>
      <c r="I12736" s="1011" t="str">
        <f>CONCATENATE("&lt;valeur&gt;",VLOOKUP(C12736,'T16 Amort'!A:K,11,0),"&lt;/valeur&gt;")</f>
        <v>&lt;valeur&gt;&lt;/valeur&gt;</v>
      </c>
      <c r="K12736" s="1013"/>
    </row>
    <row r="12737" spans="1:11" s="1011" customFormat="1" ht="15" x14ac:dyDescent="0.25">
      <c r="A12737" s="859">
        <f t="shared" si="268"/>
        <v>12736</v>
      </c>
      <c r="B12737" s="845" t="s">
        <v>2564</v>
      </c>
      <c r="C12737" s="1007">
        <f t="shared" si="269"/>
        <v>91</v>
      </c>
      <c r="D12737" s="1012"/>
      <c r="I12737" s="1011" t="str">
        <f>CONCATENATE("&lt;numeroLigne&gt;",C12737,"&lt;/numeroLigne&gt;")</f>
        <v>&lt;numeroLigne&gt;91&lt;/numeroLigne&gt;</v>
      </c>
      <c r="K12737" s="1013"/>
    </row>
    <row r="12738" spans="1:11" s="1011" customFormat="1" ht="15" x14ac:dyDescent="0.25">
      <c r="A12738" s="859">
        <f t="shared" si="268"/>
        <v>12737</v>
      </c>
      <c r="B12738" s="845" t="s">
        <v>2564</v>
      </c>
      <c r="C12738" s="1007">
        <f t="shared" si="269"/>
        <v>91</v>
      </c>
      <c r="D12738" s="1016"/>
      <c r="E12738" s="1017"/>
      <c r="F12738" s="1017"/>
      <c r="G12738" s="1017"/>
      <c r="H12738" s="1017" t="s">
        <v>1010</v>
      </c>
      <c r="I12738" s="1017"/>
      <c r="J12738" s="1017"/>
      <c r="K12738" s="1018"/>
    </row>
    <row r="12739" spans="1:11" s="1011" customFormat="1" ht="15" x14ac:dyDescent="0.25">
      <c r="A12739" s="859">
        <f t="shared" si="268"/>
        <v>12738</v>
      </c>
      <c r="B12739" s="845" t="s">
        <v>2564</v>
      </c>
      <c r="C12739" s="1007">
        <f t="shared" si="269"/>
        <v>92</v>
      </c>
      <c r="D12739" s="1008"/>
      <c r="E12739" s="1009"/>
      <c r="F12739" s="1009"/>
      <c r="G12739" s="1009"/>
      <c r="H12739" s="1009" t="s">
        <v>1007</v>
      </c>
      <c r="I12739" s="1009"/>
      <c r="J12739" s="1009"/>
      <c r="K12739" s="1010"/>
    </row>
    <row r="12740" spans="1:11" s="1011" customFormat="1" ht="15" x14ac:dyDescent="0.25">
      <c r="A12740" s="859">
        <f t="shared" ref="A12740:A12803" si="270">+A12739+1</f>
        <v>12739</v>
      </c>
      <c r="B12740" s="845" t="s">
        <v>2564</v>
      </c>
      <c r="C12740" s="1007">
        <f t="shared" si="269"/>
        <v>92</v>
      </c>
      <c r="D12740" s="1012"/>
      <c r="I12740" s="1011" t="s">
        <v>2174</v>
      </c>
      <c r="K12740" s="1013"/>
    </row>
    <row r="12741" spans="1:11" s="1011" customFormat="1" ht="15" x14ac:dyDescent="0.25">
      <c r="A12741" s="859">
        <f t="shared" si="270"/>
        <v>12740</v>
      </c>
      <c r="B12741" s="845" t="s">
        <v>2564</v>
      </c>
      <c r="C12741" s="1007">
        <f t="shared" si="269"/>
        <v>92</v>
      </c>
      <c r="D12741" s="1014"/>
      <c r="I12741" s="1011" t="str">
        <f>CONCATENATE("&lt;valeur&gt;",VLOOKUP(C12741,'T16 Amort'!A:K,2,0),"&lt;/valeur&gt;")</f>
        <v>&lt;valeur&gt;&lt;/valeur&gt;</v>
      </c>
      <c r="K12741" s="1013"/>
    </row>
    <row r="12742" spans="1:11" s="1011" customFormat="1" ht="15" x14ac:dyDescent="0.25">
      <c r="A12742" s="859">
        <f t="shared" si="270"/>
        <v>12741</v>
      </c>
      <c r="B12742" s="845" t="s">
        <v>2564</v>
      </c>
      <c r="C12742" s="1007">
        <f t="shared" si="269"/>
        <v>92</v>
      </c>
      <c r="D12742" s="1014"/>
      <c r="I12742" s="1011" t="str">
        <f>CONCATENATE("&lt;numeroLigne&gt;",C12742,"&lt;/numeroLigne&gt;")</f>
        <v>&lt;numeroLigne&gt;92&lt;/numeroLigne&gt;</v>
      </c>
      <c r="K12742" s="1013"/>
    </row>
    <row r="12743" spans="1:11" s="1011" customFormat="1" ht="15" x14ac:dyDescent="0.25">
      <c r="A12743" s="859">
        <f t="shared" si="270"/>
        <v>12742</v>
      </c>
      <c r="B12743" s="845" t="s">
        <v>2564</v>
      </c>
      <c r="C12743" s="1007">
        <f t="shared" si="269"/>
        <v>92</v>
      </c>
      <c r="D12743" s="1012"/>
      <c r="H12743" s="1011" t="s">
        <v>1010</v>
      </c>
      <c r="K12743" s="1013"/>
    </row>
    <row r="12744" spans="1:11" s="1011" customFormat="1" ht="15" x14ac:dyDescent="0.25">
      <c r="A12744" s="859">
        <f t="shared" si="270"/>
        <v>12743</v>
      </c>
      <c r="B12744" s="845" t="s">
        <v>2564</v>
      </c>
      <c r="C12744" s="1007">
        <f t="shared" si="269"/>
        <v>92</v>
      </c>
      <c r="D12744" s="1015"/>
      <c r="H12744" s="1011" t="s">
        <v>1007</v>
      </c>
      <c r="K12744" s="1013"/>
    </row>
    <row r="12745" spans="1:11" s="1011" customFormat="1" ht="15" x14ac:dyDescent="0.25">
      <c r="A12745" s="859">
        <f t="shared" si="270"/>
        <v>12744</v>
      </c>
      <c r="B12745" s="845" t="s">
        <v>2564</v>
      </c>
      <c r="C12745" s="1007">
        <f t="shared" si="269"/>
        <v>92</v>
      </c>
      <c r="D12745" s="1012"/>
      <c r="I12745" s="1011" t="s">
        <v>2175</v>
      </c>
      <c r="K12745" s="1013"/>
    </row>
    <row r="12746" spans="1:11" s="1011" customFormat="1" ht="15" x14ac:dyDescent="0.25">
      <c r="A12746" s="859">
        <f t="shared" si="270"/>
        <v>12745</v>
      </c>
      <c r="B12746" s="845" t="s">
        <v>2564</v>
      </c>
      <c r="C12746" s="1007">
        <f t="shared" si="269"/>
        <v>92</v>
      </c>
      <c r="D12746" s="1012"/>
      <c r="I12746" s="1011" t="str">
        <f>CONCATENATE("&lt;valeur&gt;",VLOOKUP(C12746,'T16 Amort'!A:K,3,0),"&lt;/valeur&gt;")</f>
        <v>&lt;valeur&gt;&lt;/valeur&gt;</v>
      </c>
      <c r="K12746" s="1013"/>
    </row>
    <row r="12747" spans="1:11" s="1011" customFormat="1" ht="15" x14ac:dyDescent="0.25">
      <c r="A12747" s="859">
        <f t="shared" si="270"/>
        <v>12746</v>
      </c>
      <c r="B12747" s="845" t="s">
        <v>2564</v>
      </c>
      <c r="C12747" s="1007">
        <f t="shared" si="269"/>
        <v>92</v>
      </c>
      <c r="D12747" s="1014"/>
      <c r="I12747" s="1011" t="str">
        <f>CONCATENATE("&lt;numeroLigne&gt;",C12747,"&lt;/numeroLigne&gt;")</f>
        <v>&lt;numeroLigne&gt;92&lt;/numeroLigne&gt;</v>
      </c>
      <c r="K12747" s="1013"/>
    </row>
    <row r="12748" spans="1:11" s="1011" customFormat="1" ht="15" x14ac:dyDescent="0.25">
      <c r="A12748" s="859">
        <f t="shared" si="270"/>
        <v>12747</v>
      </c>
      <c r="B12748" s="845" t="s">
        <v>2564</v>
      </c>
      <c r="C12748" s="1007">
        <f t="shared" si="269"/>
        <v>92</v>
      </c>
      <c r="D12748" s="1014"/>
      <c r="H12748" s="1011" t="s">
        <v>1010</v>
      </c>
      <c r="K12748" s="1013"/>
    </row>
    <row r="12749" spans="1:11" s="1011" customFormat="1" ht="15" x14ac:dyDescent="0.25">
      <c r="A12749" s="859">
        <f t="shared" si="270"/>
        <v>12748</v>
      </c>
      <c r="B12749" s="845" t="s">
        <v>2564</v>
      </c>
      <c r="C12749" s="1007">
        <f t="shared" si="269"/>
        <v>92</v>
      </c>
      <c r="D12749" s="1012"/>
      <c r="H12749" s="1011" t="s">
        <v>1007</v>
      </c>
      <c r="K12749" s="1013"/>
    </row>
    <row r="12750" spans="1:11" s="1011" customFormat="1" ht="15" x14ac:dyDescent="0.25">
      <c r="A12750" s="859">
        <f t="shared" si="270"/>
        <v>12749</v>
      </c>
      <c r="B12750" s="845" t="s">
        <v>2564</v>
      </c>
      <c r="C12750" s="1007">
        <f t="shared" si="269"/>
        <v>92</v>
      </c>
      <c r="D12750" s="1015"/>
      <c r="I12750" s="1011" t="s">
        <v>2176</v>
      </c>
      <c r="K12750" s="1013"/>
    </row>
    <row r="12751" spans="1:11" s="1011" customFormat="1" ht="15" x14ac:dyDescent="0.25">
      <c r="A12751" s="859">
        <f t="shared" si="270"/>
        <v>12750</v>
      </c>
      <c r="B12751" s="845" t="s">
        <v>2564</v>
      </c>
      <c r="C12751" s="1007">
        <f t="shared" si="269"/>
        <v>92</v>
      </c>
      <c r="D12751" s="1012"/>
      <c r="I12751" s="1011" t="str">
        <f>CONCATENATE("&lt;valeur&gt;",VLOOKUP(C12751,'T16 Amort'!A:K,4,0),"&lt;/valeur&gt;")</f>
        <v>&lt;valeur&gt;&lt;/valeur&gt;</v>
      </c>
      <c r="K12751" s="1013"/>
    </row>
    <row r="12752" spans="1:11" s="1011" customFormat="1" ht="15" x14ac:dyDescent="0.25">
      <c r="A12752" s="859">
        <f t="shared" si="270"/>
        <v>12751</v>
      </c>
      <c r="B12752" s="845" t="s">
        <v>2564</v>
      </c>
      <c r="C12752" s="1007">
        <f t="shared" si="269"/>
        <v>92</v>
      </c>
      <c r="D12752" s="1012"/>
      <c r="I12752" s="1011" t="str">
        <f>CONCATENATE("&lt;numeroLigne&gt;",C12752,"&lt;/numeroLigne&gt;")</f>
        <v>&lt;numeroLigne&gt;92&lt;/numeroLigne&gt;</v>
      </c>
      <c r="K12752" s="1013"/>
    </row>
    <row r="12753" spans="1:11" s="1011" customFormat="1" ht="15" x14ac:dyDescent="0.25">
      <c r="A12753" s="859">
        <f t="shared" si="270"/>
        <v>12752</v>
      </c>
      <c r="B12753" s="845" t="s">
        <v>2564</v>
      </c>
      <c r="C12753" s="1007">
        <f t="shared" si="269"/>
        <v>92</v>
      </c>
      <c r="D12753" s="1014"/>
      <c r="H12753" s="1011" t="s">
        <v>1010</v>
      </c>
      <c r="K12753" s="1013"/>
    </row>
    <row r="12754" spans="1:11" s="1011" customFormat="1" ht="15" x14ac:dyDescent="0.25">
      <c r="A12754" s="859">
        <f t="shared" si="270"/>
        <v>12753</v>
      </c>
      <c r="B12754" s="845" t="s">
        <v>2564</v>
      </c>
      <c r="C12754" s="1007">
        <f t="shared" si="269"/>
        <v>92</v>
      </c>
      <c r="D12754" s="1014"/>
      <c r="H12754" s="1011" t="s">
        <v>1007</v>
      </c>
      <c r="K12754" s="1013"/>
    </row>
    <row r="12755" spans="1:11" s="1011" customFormat="1" ht="15" x14ac:dyDescent="0.25">
      <c r="A12755" s="859">
        <f t="shared" si="270"/>
        <v>12754</v>
      </c>
      <c r="B12755" s="845" t="s">
        <v>2564</v>
      </c>
      <c r="C12755" s="1007">
        <f t="shared" si="269"/>
        <v>92</v>
      </c>
      <c r="D12755" s="1012"/>
      <c r="I12755" s="1011" t="s">
        <v>2177</v>
      </c>
      <c r="K12755" s="1013"/>
    </row>
    <row r="12756" spans="1:11" s="1011" customFormat="1" ht="15" x14ac:dyDescent="0.25">
      <c r="A12756" s="859">
        <f t="shared" si="270"/>
        <v>12755</v>
      </c>
      <c r="B12756" s="845" t="s">
        <v>2564</v>
      </c>
      <c r="C12756" s="1007">
        <f t="shared" si="269"/>
        <v>92</v>
      </c>
      <c r="D12756" s="1015"/>
      <c r="I12756" s="1011" t="str">
        <f>CONCATENATE("&lt;valeur&gt;",VLOOKUP(C12756,'T16 Amort'!A:K,5,0),"&lt;/valeur&gt;")</f>
        <v>&lt;valeur&gt;&lt;/valeur&gt;</v>
      </c>
      <c r="K12756" s="1013"/>
    </row>
    <row r="12757" spans="1:11" s="1011" customFormat="1" ht="15" x14ac:dyDescent="0.25">
      <c r="A12757" s="859">
        <f t="shared" si="270"/>
        <v>12756</v>
      </c>
      <c r="B12757" s="845" t="s">
        <v>2564</v>
      </c>
      <c r="C12757" s="1007">
        <f t="shared" si="269"/>
        <v>92</v>
      </c>
      <c r="D12757" s="1012"/>
      <c r="I12757" s="1011" t="str">
        <f>CONCATENATE("&lt;numeroLigne&gt;",C12757,"&lt;/numeroLigne&gt;")</f>
        <v>&lt;numeroLigne&gt;92&lt;/numeroLigne&gt;</v>
      </c>
      <c r="K12757" s="1013"/>
    </row>
    <row r="12758" spans="1:11" s="1011" customFormat="1" ht="15" x14ac:dyDescent="0.25">
      <c r="A12758" s="859">
        <f t="shared" si="270"/>
        <v>12757</v>
      </c>
      <c r="B12758" s="845" t="s">
        <v>2564</v>
      </c>
      <c r="C12758" s="1007">
        <f t="shared" si="269"/>
        <v>92</v>
      </c>
      <c r="D12758" s="1012"/>
      <c r="H12758" s="1011" t="s">
        <v>1010</v>
      </c>
      <c r="K12758" s="1013"/>
    </row>
    <row r="12759" spans="1:11" s="1011" customFormat="1" ht="15" x14ac:dyDescent="0.25">
      <c r="A12759" s="859">
        <f t="shared" si="270"/>
        <v>12758</v>
      </c>
      <c r="B12759" s="845" t="s">
        <v>2564</v>
      </c>
      <c r="C12759" s="1007">
        <f t="shared" si="269"/>
        <v>92</v>
      </c>
      <c r="D12759" s="1014"/>
      <c r="H12759" s="1011" t="s">
        <v>1007</v>
      </c>
      <c r="K12759" s="1013"/>
    </row>
    <row r="12760" spans="1:11" s="1011" customFormat="1" ht="15" x14ac:dyDescent="0.25">
      <c r="A12760" s="859">
        <f t="shared" si="270"/>
        <v>12759</v>
      </c>
      <c r="B12760" s="845" t="s">
        <v>2564</v>
      </c>
      <c r="C12760" s="1007">
        <f t="shared" si="269"/>
        <v>92</v>
      </c>
      <c r="D12760" s="1014"/>
      <c r="I12760" s="1011" t="s">
        <v>2178</v>
      </c>
      <c r="K12760" s="1013"/>
    </row>
    <row r="12761" spans="1:11" s="1011" customFormat="1" ht="15" x14ac:dyDescent="0.25">
      <c r="A12761" s="859">
        <f t="shared" si="270"/>
        <v>12760</v>
      </c>
      <c r="B12761" s="845" t="s">
        <v>2564</v>
      </c>
      <c r="C12761" s="1007">
        <f t="shared" si="269"/>
        <v>92</v>
      </c>
      <c r="D12761" s="1012"/>
      <c r="I12761" s="1011" t="str">
        <f>CONCATENATE("&lt;valeur&gt;",VLOOKUP(C12761,'T16 Amort'!A:K,6,0),"&lt;/valeur&gt;")</f>
        <v>&lt;valeur&gt;&lt;/valeur&gt;</v>
      </c>
      <c r="K12761" s="1013"/>
    </row>
    <row r="12762" spans="1:11" s="1011" customFormat="1" ht="15" x14ac:dyDescent="0.25">
      <c r="A12762" s="859">
        <f t="shared" si="270"/>
        <v>12761</v>
      </c>
      <c r="B12762" s="845" t="s">
        <v>2564</v>
      </c>
      <c r="C12762" s="1007">
        <f t="shared" si="269"/>
        <v>92</v>
      </c>
      <c r="D12762" s="1015"/>
      <c r="I12762" s="1011" t="str">
        <f>CONCATENATE("&lt;numeroLigne&gt;",C12762,"&lt;/numeroLigne&gt;")</f>
        <v>&lt;numeroLigne&gt;92&lt;/numeroLigne&gt;</v>
      </c>
      <c r="K12762" s="1013"/>
    </row>
    <row r="12763" spans="1:11" s="1011" customFormat="1" ht="15" x14ac:dyDescent="0.25">
      <c r="A12763" s="859">
        <f t="shared" si="270"/>
        <v>12762</v>
      </c>
      <c r="B12763" s="845" t="s">
        <v>2564</v>
      </c>
      <c r="C12763" s="1007">
        <f t="shared" si="269"/>
        <v>92</v>
      </c>
      <c r="D12763" s="1012"/>
      <c r="H12763" s="1011" t="s">
        <v>1010</v>
      </c>
      <c r="K12763" s="1013"/>
    </row>
    <row r="12764" spans="1:11" s="1011" customFormat="1" ht="15" x14ac:dyDescent="0.25">
      <c r="A12764" s="859">
        <f t="shared" si="270"/>
        <v>12763</v>
      </c>
      <c r="B12764" s="845" t="s">
        <v>2564</v>
      </c>
      <c r="C12764" s="1007">
        <f t="shared" si="269"/>
        <v>92</v>
      </c>
      <c r="D12764" s="1012"/>
      <c r="H12764" s="1011" t="s">
        <v>1007</v>
      </c>
      <c r="K12764" s="1013"/>
    </row>
    <row r="12765" spans="1:11" s="1011" customFormat="1" ht="15" x14ac:dyDescent="0.25">
      <c r="A12765" s="859">
        <f t="shared" si="270"/>
        <v>12764</v>
      </c>
      <c r="B12765" s="845" t="s">
        <v>2564</v>
      </c>
      <c r="C12765" s="1007">
        <f t="shared" si="269"/>
        <v>92</v>
      </c>
      <c r="D12765" s="1014"/>
      <c r="I12765" s="1011" t="s">
        <v>2179</v>
      </c>
      <c r="K12765" s="1013"/>
    </row>
    <row r="12766" spans="1:11" s="1011" customFormat="1" ht="15" x14ac:dyDescent="0.25">
      <c r="A12766" s="859">
        <f t="shared" si="270"/>
        <v>12765</v>
      </c>
      <c r="B12766" s="845" t="s">
        <v>2564</v>
      </c>
      <c r="C12766" s="1007">
        <f t="shared" si="269"/>
        <v>92</v>
      </c>
      <c r="D12766" s="1014"/>
      <c r="I12766" s="1011" t="str">
        <f>CONCATENATE("&lt;valeur&gt;",VLOOKUP(C12766,'T16 Amort'!A:K,7,0),"&lt;/valeur&gt;")</f>
        <v>&lt;valeur&gt;&lt;/valeur&gt;</v>
      </c>
      <c r="K12766" s="1013"/>
    </row>
    <row r="12767" spans="1:11" s="1011" customFormat="1" ht="15" x14ac:dyDescent="0.25">
      <c r="A12767" s="859">
        <f t="shared" si="270"/>
        <v>12766</v>
      </c>
      <c r="B12767" s="845" t="s">
        <v>2564</v>
      </c>
      <c r="C12767" s="1007">
        <f t="shared" si="269"/>
        <v>92</v>
      </c>
      <c r="D12767" s="1012"/>
      <c r="I12767" s="1011" t="str">
        <f>CONCATENATE("&lt;numeroLigne&gt;",C12767,"&lt;/numeroLigne&gt;")</f>
        <v>&lt;numeroLigne&gt;92&lt;/numeroLigne&gt;</v>
      </c>
      <c r="K12767" s="1013"/>
    </row>
    <row r="12768" spans="1:11" s="1011" customFormat="1" ht="15" x14ac:dyDescent="0.25">
      <c r="A12768" s="859">
        <f t="shared" si="270"/>
        <v>12767</v>
      </c>
      <c r="B12768" s="845" t="s">
        <v>2564</v>
      </c>
      <c r="C12768" s="1007">
        <f t="shared" si="269"/>
        <v>92</v>
      </c>
      <c r="D12768" s="1015"/>
      <c r="H12768" s="1011" t="s">
        <v>1010</v>
      </c>
      <c r="K12768" s="1013"/>
    </row>
    <row r="12769" spans="1:11" s="1011" customFormat="1" ht="15" x14ac:dyDescent="0.25">
      <c r="A12769" s="859">
        <f t="shared" si="270"/>
        <v>12768</v>
      </c>
      <c r="B12769" s="845" t="s">
        <v>2564</v>
      </c>
      <c r="C12769" s="1007">
        <f t="shared" si="269"/>
        <v>92</v>
      </c>
      <c r="D12769" s="1012"/>
      <c r="H12769" s="1011" t="s">
        <v>1007</v>
      </c>
      <c r="K12769" s="1013"/>
    </row>
    <row r="12770" spans="1:11" s="1011" customFormat="1" ht="15" x14ac:dyDescent="0.25">
      <c r="A12770" s="859">
        <f t="shared" si="270"/>
        <v>12769</v>
      </c>
      <c r="B12770" s="845" t="s">
        <v>2564</v>
      </c>
      <c r="C12770" s="1007">
        <f t="shared" si="269"/>
        <v>92</v>
      </c>
      <c r="D12770" s="1012"/>
      <c r="I12770" s="1011" t="s">
        <v>2180</v>
      </c>
      <c r="K12770" s="1013"/>
    </row>
    <row r="12771" spans="1:11" s="1011" customFormat="1" ht="15" x14ac:dyDescent="0.25">
      <c r="A12771" s="859">
        <f t="shared" si="270"/>
        <v>12770</v>
      </c>
      <c r="B12771" s="845" t="s">
        <v>2564</v>
      </c>
      <c r="C12771" s="1007">
        <f t="shared" si="269"/>
        <v>92</v>
      </c>
      <c r="D12771" s="1014"/>
      <c r="I12771" s="1011" t="str">
        <f>CONCATENATE("&lt;valeur&gt;",VLOOKUP(C12771,'T16 Amort'!A:K,8,0),"&lt;/valeur&gt;")</f>
        <v>&lt;valeur&gt;&lt;/valeur&gt;</v>
      </c>
      <c r="K12771" s="1013"/>
    </row>
    <row r="12772" spans="1:11" s="1011" customFormat="1" ht="15" x14ac:dyDescent="0.25">
      <c r="A12772" s="859">
        <f t="shared" si="270"/>
        <v>12771</v>
      </c>
      <c r="B12772" s="845" t="s">
        <v>2564</v>
      </c>
      <c r="C12772" s="1007">
        <f t="shared" si="269"/>
        <v>92</v>
      </c>
      <c r="D12772" s="1014"/>
      <c r="I12772" s="1011" t="str">
        <f>CONCATENATE("&lt;numeroLigne&gt;",C12772,"&lt;/numeroLigne&gt;")</f>
        <v>&lt;numeroLigne&gt;92&lt;/numeroLigne&gt;</v>
      </c>
      <c r="K12772" s="1013"/>
    </row>
    <row r="12773" spans="1:11" s="1011" customFormat="1" ht="15" x14ac:dyDescent="0.25">
      <c r="A12773" s="859">
        <f t="shared" si="270"/>
        <v>12772</v>
      </c>
      <c r="B12773" s="845" t="s">
        <v>2564</v>
      </c>
      <c r="C12773" s="1007">
        <f t="shared" si="269"/>
        <v>92</v>
      </c>
      <c r="D12773" s="1012"/>
      <c r="H12773" s="1011" t="s">
        <v>1010</v>
      </c>
      <c r="K12773" s="1013"/>
    </row>
    <row r="12774" spans="1:11" s="1011" customFormat="1" ht="15" x14ac:dyDescent="0.25">
      <c r="A12774" s="859">
        <f t="shared" si="270"/>
        <v>12773</v>
      </c>
      <c r="B12774" s="845" t="s">
        <v>2564</v>
      </c>
      <c r="C12774" s="1007">
        <f t="shared" si="269"/>
        <v>92</v>
      </c>
      <c r="D12774" s="1015"/>
      <c r="H12774" s="1011" t="s">
        <v>1007</v>
      </c>
      <c r="K12774" s="1013"/>
    </row>
    <row r="12775" spans="1:11" s="1011" customFormat="1" ht="15" x14ac:dyDescent="0.25">
      <c r="A12775" s="859">
        <f t="shared" si="270"/>
        <v>12774</v>
      </c>
      <c r="B12775" s="845" t="s">
        <v>2564</v>
      </c>
      <c r="C12775" s="1007">
        <f t="shared" si="269"/>
        <v>92</v>
      </c>
      <c r="D12775" s="1012"/>
      <c r="I12775" s="1011" t="s">
        <v>2181</v>
      </c>
      <c r="K12775" s="1013"/>
    </row>
    <row r="12776" spans="1:11" s="1011" customFormat="1" ht="15" x14ac:dyDescent="0.25">
      <c r="A12776" s="859">
        <f t="shared" si="270"/>
        <v>12775</v>
      </c>
      <c r="B12776" s="845" t="s">
        <v>2564</v>
      </c>
      <c r="C12776" s="1007">
        <f t="shared" si="269"/>
        <v>92</v>
      </c>
      <c r="D12776" s="1012"/>
      <c r="I12776" s="1011" t="str">
        <f>CONCATENATE("&lt;valeur&gt;",VLOOKUP(C12776,'T16 Amort'!A:K,9,0),"&lt;/valeur&gt;")</f>
        <v>&lt;valeur&gt;&lt;/valeur&gt;</v>
      </c>
      <c r="K12776" s="1013"/>
    </row>
    <row r="12777" spans="1:11" s="1011" customFormat="1" ht="15" x14ac:dyDescent="0.25">
      <c r="A12777" s="859">
        <f t="shared" si="270"/>
        <v>12776</v>
      </c>
      <c r="B12777" s="845" t="s">
        <v>2564</v>
      </c>
      <c r="C12777" s="1007">
        <f t="shared" si="269"/>
        <v>92</v>
      </c>
      <c r="D12777" s="1014"/>
      <c r="I12777" s="1011" t="str">
        <f>CONCATENATE("&lt;numeroLigne&gt;",C12777,"&lt;/numeroLigne&gt;")</f>
        <v>&lt;numeroLigne&gt;92&lt;/numeroLigne&gt;</v>
      </c>
      <c r="K12777" s="1013"/>
    </row>
    <row r="12778" spans="1:11" s="1011" customFormat="1" ht="15" x14ac:dyDescent="0.25">
      <c r="A12778" s="859">
        <f t="shared" si="270"/>
        <v>12777</v>
      </c>
      <c r="B12778" s="845" t="s">
        <v>2564</v>
      </c>
      <c r="C12778" s="1007">
        <f t="shared" si="269"/>
        <v>92</v>
      </c>
      <c r="D12778" s="1014"/>
      <c r="H12778" s="1011" t="s">
        <v>1010</v>
      </c>
      <c r="K12778" s="1013"/>
    </row>
    <row r="12779" spans="1:11" s="1011" customFormat="1" ht="15" x14ac:dyDescent="0.25">
      <c r="A12779" s="859">
        <f t="shared" si="270"/>
        <v>12778</v>
      </c>
      <c r="B12779" s="845" t="s">
        <v>2564</v>
      </c>
      <c r="C12779" s="1007">
        <f t="shared" si="269"/>
        <v>92</v>
      </c>
      <c r="D12779" s="1012"/>
      <c r="H12779" s="1011" t="s">
        <v>1007</v>
      </c>
      <c r="K12779" s="1013"/>
    </row>
    <row r="12780" spans="1:11" s="1011" customFormat="1" ht="15" x14ac:dyDescent="0.25">
      <c r="A12780" s="859">
        <f t="shared" si="270"/>
        <v>12779</v>
      </c>
      <c r="B12780" s="845" t="s">
        <v>2564</v>
      </c>
      <c r="C12780" s="1007">
        <f t="shared" si="269"/>
        <v>92</v>
      </c>
      <c r="D12780" s="1015"/>
      <c r="I12780" s="1011" t="s">
        <v>2182</v>
      </c>
      <c r="K12780" s="1013"/>
    </row>
    <row r="12781" spans="1:11" s="1011" customFormat="1" ht="15" x14ac:dyDescent="0.25">
      <c r="A12781" s="859">
        <f t="shared" si="270"/>
        <v>12780</v>
      </c>
      <c r="B12781" s="845" t="s">
        <v>2564</v>
      </c>
      <c r="C12781" s="1007">
        <f t="shared" si="269"/>
        <v>92</v>
      </c>
      <c r="D12781" s="1012"/>
      <c r="I12781" s="1011" t="str">
        <f>CONCATENATE("&lt;valeur&gt;",VLOOKUP(C12781,'T16 Amort'!A:K,10,0),"&lt;/valeur&gt;")</f>
        <v>&lt;valeur&gt;&lt;/valeur&gt;</v>
      </c>
      <c r="K12781" s="1013"/>
    </row>
    <row r="12782" spans="1:11" s="1011" customFormat="1" ht="15" x14ac:dyDescent="0.25">
      <c r="A12782" s="859">
        <f t="shared" si="270"/>
        <v>12781</v>
      </c>
      <c r="B12782" s="845" t="s">
        <v>2564</v>
      </c>
      <c r="C12782" s="1007">
        <f t="shared" si="269"/>
        <v>92</v>
      </c>
      <c r="D12782" s="1012"/>
      <c r="I12782" s="1011" t="str">
        <f>CONCATENATE("&lt;numeroLigne&gt;",C12782,"&lt;/numeroLigne&gt;")</f>
        <v>&lt;numeroLigne&gt;92&lt;/numeroLigne&gt;</v>
      </c>
      <c r="K12782" s="1013"/>
    </row>
    <row r="12783" spans="1:11" s="1011" customFormat="1" ht="15" x14ac:dyDescent="0.25">
      <c r="A12783" s="859">
        <f t="shared" si="270"/>
        <v>12782</v>
      </c>
      <c r="B12783" s="845" t="s">
        <v>2564</v>
      </c>
      <c r="C12783" s="1007">
        <f t="shared" ref="C12783:C12846" si="271">C12733+1</f>
        <v>92</v>
      </c>
      <c r="D12783" s="1014"/>
      <c r="H12783" s="1011" t="s">
        <v>1010</v>
      </c>
      <c r="K12783" s="1013"/>
    </row>
    <row r="12784" spans="1:11" s="1011" customFormat="1" ht="15" x14ac:dyDescent="0.25">
      <c r="A12784" s="859">
        <f t="shared" si="270"/>
        <v>12783</v>
      </c>
      <c r="B12784" s="845" t="s">
        <v>2564</v>
      </c>
      <c r="C12784" s="1007">
        <f t="shared" si="271"/>
        <v>92</v>
      </c>
      <c r="D12784" s="1014"/>
      <c r="H12784" s="1011" t="s">
        <v>1007</v>
      </c>
      <c r="K12784" s="1013"/>
    </row>
    <row r="12785" spans="1:11" s="1011" customFormat="1" ht="15" x14ac:dyDescent="0.25">
      <c r="A12785" s="859">
        <f t="shared" si="270"/>
        <v>12784</v>
      </c>
      <c r="B12785" s="845" t="s">
        <v>2564</v>
      </c>
      <c r="C12785" s="1007">
        <f t="shared" si="271"/>
        <v>92</v>
      </c>
      <c r="D12785" s="1012"/>
      <c r="I12785" s="1011" t="s">
        <v>2183</v>
      </c>
      <c r="K12785" s="1013"/>
    </row>
    <row r="12786" spans="1:11" s="1011" customFormat="1" ht="15" x14ac:dyDescent="0.25">
      <c r="A12786" s="859">
        <f t="shared" si="270"/>
        <v>12785</v>
      </c>
      <c r="B12786" s="845" t="s">
        <v>2564</v>
      </c>
      <c r="C12786" s="1007">
        <f t="shared" si="271"/>
        <v>92</v>
      </c>
      <c r="D12786" s="1015"/>
      <c r="I12786" s="1011" t="str">
        <f>CONCATENATE("&lt;valeur&gt;",VLOOKUP(C12786,'T16 Amort'!A:K,11,0),"&lt;/valeur&gt;")</f>
        <v>&lt;valeur&gt;&lt;/valeur&gt;</v>
      </c>
      <c r="K12786" s="1013"/>
    </row>
    <row r="12787" spans="1:11" s="1011" customFormat="1" ht="15" x14ac:dyDescent="0.25">
      <c r="A12787" s="859">
        <f t="shared" si="270"/>
        <v>12786</v>
      </c>
      <c r="B12787" s="845" t="s">
        <v>2564</v>
      </c>
      <c r="C12787" s="1007">
        <f t="shared" si="271"/>
        <v>92</v>
      </c>
      <c r="D12787" s="1012"/>
      <c r="I12787" s="1011" t="str">
        <f>CONCATENATE("&lt;numeroLigne&gt;",C12787,"&lt;/numeroLigne&gt;")</f>
        <v>&lt;numeroLigne&gt;92&lt;/numeroLigne&gt;</v>
      </c>
      <c r="K12787" s="1013"/>
    </row>
    <row r="12788" spans="1:11" s="1011" customFormat="1" ht="15" x14ac:dyDescent="0.25">
      <c r="A12788" s="859">
        <f t="shared" si="270"/>
        <v>12787</v>
      </c>
      <c r="B12788" s="845" t="s">
        <v>2564</v>
      </c>
      <c r="C12788" s="1007">
        <f t="shared" si="271"/>
        <v>92</v>
      </c>
      <c r="D12788" s="1016"/>
      <c r="E12788" s="1017"/>
      <c r="F12788" s="1017"/>
      <c r="G12788" s="1017"/>
      <c r="H12788" s="1017" t="s">
        <v>1010</v>
      </c>
      <c r="I12788" s="1017"/>
      <c r="J12788" s="1017"/>
      <c r="K12788" s="1018"/>
    </row>
    <row r="12789" spans="1:11" s="1011" customFormat="1" ht="15" x14ac:dyDescent="0.25">
      <c r="A12789" s="859">
        <f t="shared" si="270"/>
        <v>12788</v>
      </c>
      <c r="B12789" s="845" t="s">
        <v>2564</v>
      </c>
      <c r="C12789" s="1007">
        <f t="shared" si="271"/>
        <v>93</v>
      </c>
      <c r="D12789" s="1008"/>
      <c r="E12789" s="1009"/>
      <c r="F12789" s="1009"/>
      <c r="G12789" s="1009"/>
      <c r="H12789" s="1009" t="s">
        <v>1007</v>
      </c>
      <c r="I12789" s="1009"/>
      <c r="J12789" s="1009"/>
      <c r="K12789" s="1010"/>
    </row>
    <row r="12790" spans="1:11" s="1011" customFormat="1" ht="15" x14ac:dyDescent="0.25">
      <c r="A12790" s="859">
        <f t="shared" si="270"/>
        <v>12789</v>
      </c>
      <c r="B12790" s="845" t="s">
        <v>2564</v>
      </c>
      <c r="C12790" s="1007">
        <f t="shared" si="271"/>
        <v>93</v>
      </c>
      <c r="D12790" s="1012"/>
      <c r="I12790" s="1011" t="s">
        <v>2174</v>
      </c>
      <c r="K12790" s="1013"/>
    </row>
    <row r="12791" spans="1:11" s="1011" customFormat="1" ht="15" x14ac:dyDescent="0.25">
      <c r="A12791" s="859">
        <f t="shared" si="270"/>
        <v>12790</v>
      </c>
      <c r="B12791" s="845" t="s">
        <v>2564</v>
      </c>
      <c r="C12791" s="1007">
        <f t="shared" si="271"/>
        <v>93</v>
      </c>
      <c r="D12791" s="1014"/>
      <c r="I12791" s="1011" t="str">
        <f>CONCATENATE("&lt;valeur&gt;",VLOOKUP(C12791,'T16 Amort'!A:K,2,0),"&lt;/valeur&gt;")</f>
        <v>&lt;valeur&gt;&lt;/valeur&gt;</v>
      </c>
      <c r="K12791" s="1013"/>
    </row>
    <row r="12792" spans="1:11" s="1011" customFormat="1" ht="15" x14ac:dyDescent="0.25">
      <c r="A12792" s="859">
        <f t="shared" si="270"/>
        <v>12791</v>
      </c>
      <c r="B12792" s="845" t="s">
        <v>2564</v>
      </c>
      <c r="C12792" s="1007">
        <f t="shared" si="271"/>
        <v>93</v>
      </c>
      <c r="D12792" s="1014"/>
      <c r="I12792" s="1011" t="str">
        <f>CONCATENATE("&lt;numeroLigne&gt;",C12792,"&lt;/numeroLigne&gt;")</f>
        <v>&lt;numeroLigne&gt;93&lt;/numeroLigne&gt;</v>
      </c>
      <c r="K12792" s="1013"/>
    </row>
    <row r="12793" spans="1:11" s="1011" customFormat="1" ht="15" x14ac:dyDescent="0.25">
      <c r="A12793" s="859">
        <f t="shared" si="270"/>
        <v>12792</v>
      </c>
      <c r="B12793" s="845" t="s">
        <v>2564</v>
      </c>
      <c r="C12793" s="1007">
        <f t="shared" si="271"/>
        <v>93</v>
      </c>
      <c r="D12793" s="1012"/>
      <c r="H12793" s="1011" t="s">
        <v>1010</v>
      </c>
      <c r="K12793" s="1013"/>
    </row>
    <row r="12794" spans="1:11" s="1011" customFormat="1" ht="15" x14ac:dyDescent="0.25">
      <c r="A12794" s="859">
        <f t="shared" si="270"/>
        <v>12793</v>
      </c>
      <c r="B12794" s="845" t="s">
        <v>2564</v>
      </c>
      <c r="C12794" s="1007">
        <f t="shared" si="271"/>
        <v>93</v>
      </c>
      <c r="D12794" s="1015"/>
      <c r="H12794" s="1011" t="s">
        <v>1007</v>
      </c>
      <c r="K12794" s="1013"/>
    </row>
    <row r="12795" spans="1:11" s="1011" customFormat="1" ht="15" x14ac:dyDescent="0.25">
      <c r="A12795" s="859">
        <f t="shared" si="270"/>
        <v>12794</v>
      </c>
      <c r="B12795" s="845" t="s">
        <v>2564</v>
      </c>
      <c r="C12795" s="1007">
        <f t="shared" si="271"/>
        <v>93</v>
      </c>
      <c r="D12795" s="1012"/>
      <c r="I12795" s="1011" t="s">
        <v>2175</v>
      </c>
      <c r="K12795" s="1013"/>
    </row>
    <row r="12796" spans="1:11" s="1011" customFormat="1" ht="15" x14ac:dyDescent="0.25">
      <c r="A12796" s="859">
        <f t="shared" si="270"/>
        <v>12795</v>
      </c>
      <c r="B12796" s="845" t="s">
        <v>2564</v>
      </c>
      <c r="C12796" s="1007">
        <f t="shared" si="271"/>
        <v>93</v>
      </c>
      <c r="D12796" s="1012"/>
      <c r="I12796" s="1011" t="str">
        <f>CONCATENATE("&lt;valeur&gt;",VLOOKUP(C12796,'T16 Amort'!A:K,3,0),"&lt;/valeur&gt;")</f>
        <v>&lt;valeur&gt;&lt;/valeur&gt;</v>
      </c>
      <c r="K12796" s="1013"/>
    </row>
    <row r="12797" spans="1:11" s="1011" customFormat="1" ht="15" x14ac:dyDescent="0.25">
      <c r="A12797" s="859">
        <f t="shared" si="270"/>
        <v>12796</v>
      </c>
      <c r="B12797" s="845" t="s">
        <v>2564</v>
      </c>
      <c r="C12797" s="1007">
        <f t="shared" si="271"/>
        <v>93</v>
      </c>
      <c r="D12797" s="1014"/>
      <c r="I12797" s="1011" t="str">
        <f>CONCATENATE("&lt;numeroLigne&gt;",C12797,"&lt;/numeroLigne&gt;")</f>
        <v>&lt;numeroLigne&gt;93&lt;/numeroLigne&gt;</v>
      </c>
      <c r="K12797" s="1013"/>
    </row>
    <row r="12798" spans="1:11" s="1011" customFormat="1" ht="15" x14ac:dyDescent="0.25">
      <c r="A12798" s="859">
        <f t="shared" si="270"/>
        <v>12797</v>
      </c>
      <c r="B12798" s="845" t="s">
        <v>2564</v>
      </c>
      <c r="C12798" s="1007">
        <f t="shared" si="271"/>
        <v>93</v>
      </c>
      <c r="D12798" s="1014"/>
      <c r="H12798" s="1011" t="s">
        <v>1010</v>
      </c>
      <c r="K12798" s="1013"/>
    </row>
    <row r="12799" spans="1:11" s="1011" customFormat="1" ht="15" x14ac:dyDescent="0.25">
      <c r="A12799" s="859">
        <f t="shared" si="270"/>
        <v>12798</v>
      </c>
      <c r="B12799" s="845" t="s">
        <v>2564</v>
      </c>
      <c r="C12799" s="1007">
        <f t="shared" si="271"/>
        <v>93</v>
      </c>
      <c r="D12799" s="1012"/>
      <c r="H12799" s="1011" t="s">
        <v>1007</v>
      </c>
      <c r="K12799" s="1013"/>
    </row>
    <row r="12800" spans="1:11" s="1011" customFormat="1" ht="15" x14ac:dyDescent="0.25">
      <c r="A12800" s="859">
        <f t="shared" si="270"/>
        <v>12799</v>
      </c>
      <c r="B12800" s="845" t="s">
        <v>2564</v>
      </c>
      <c r="C12800" s="1007">
        <f t="shared" si="271"/>
        <v>93</v>
      </c>
      <c r="D12800" s="1015"/>
      <c r="I12800" s="1011" t="s">
        <v>2176</v>
      </c>
      <c r="K12800" s="1013"/>
    </row>
    <row r="12801" spans="1:11" s="1011" customFormat="1" ht="15" x14ac:dyDescent="0.25">
      <c r="A12801" s="859">
        <f t="shared" si="270"/>
        <v>12800</v>
      </c>
      <c r="B12801" s="845" t="s">
        <v>2564</v>
      </c>
      <c r="C12801" s="1007">
        <f t="shared" si="271"/>
        <v>93</v>
      </c>
      <c r="D12801" s="1012"/>
      <c r="I12801" s="1011" t="str">
        <f>CONCATENATE("&lt;valeur&gt;",VLOOKUP(C12801,'T16 Amort'!A:K,4,0),"&lt;/valeur&gt;")</f>
        <v>&lt;valeur&gt;&lt;/valeur&gt;</v>
      </c>
      <c r="K12801" s="1013"/>
    </row>
    <row r="12802" spans="1:11" s="1011" customFormat="1" ht="15" x14ac:dyDescent="0.25">
      <c r="A12802" s="859">
        <f t="shared" si="270"/>
        <v>12801</v>
      </c>
      <c r="B12802" s="845" t="s">
        <v>2564</v>
      </c>
      <c r="C12802" s="1007">
        <f t="shared" si="271"/>
        <v>93</v>
      </c>
      <c r="D12802" s="1012"/>
      <c r="I12802" s="1011" t="str">
        <f>CONCATENATE("&lt;numeroLigne&gt;",C12802,"&lt;/numeroLigne&gt;")</f>
        <v>&lt;numeroLigne&gt;93&lt;/numeroLigne&gt;</v>
      </c>
      <c r="K12802" s="1013"/>
    </row>
    <row r="12803" spans="1:11" s="1011" customFormat="1" ht="15" x14ac:dyDescent="0.25">
      <c r="A12803" s="859">
        <f t="shared" si="270"/>
        <v>12802</v>
      </c>
      <c r="B12803" s="845" t="s">
        <v>2564</v>
      </c>
      <c r="C12803" s="1007">
        <f t="shared" si="271"/>
        <v>93</v>
      </c>
      <c r="D12803" s="1014"/>
      <c r="H12803" s="1011" t="s">
        <v>1010</v>
      </c>
      <c r="K12803" s="1013"/>
    </row>
    <row r="12804" spans="1:11" s="1011" customFormat="1" ht="15" x14ac:dyDescent="0.25">
      <c r="A12804" s="859">
        <f t="shared" ref="A12804:A12867" si="272">+A12803+1</f>
        <v>12803</v>
      </c>
      <c r="B12804" s="845" t="s">
        <v>2564</v>
      </c>
      <c r="C12804" s="1007">
        <f t="shared" si="271"/>
        <v>93</v>
      </c>
      <c r="D12804" s="1014"/>
      <c r="H12804" s="1011" t="s">
        <v>1007</v>
      </c>
      <c r="K12804" s="1013"/>
    </row>
    <row r="12805" spans="1:11" s="1011" customFormat="1" ht="15" x14ac:dyDescent="0.25">
      <c r="A12805" s="859">
        <f t="shared" si="272"/>
        <v>12804</v>
      </c>
      <c r="B12805" s="845" t="s">
        <v>2564</v>
      </c>
      <c r="C12805" s="1007">
        <f t="shared" si="271"/>
        <v>93</v>
      </c>
      <c r="D12805" s="1012"/>
      <c r="I12805" s="1011" t="s">
        <v>2177</v>
      </c>
      <c r="K12805" s="1013"/>
    </row>
    <row r="12806" spans="1:11" s="1011" customFormat="1" ht="15" x14ac:dyDescent="0.25">
      <c r="A12806" s="859">
        <f t="shared" si="272"/>
        <v>12805</v>
      </c>
      <c r="B12806" s="845" t="s">
        <v>2564</v>
      </c>
      <c r="C12806" s="1007">
        <f t="shared" si="271"/>
        <v>93</v>
      </c>
      <c r="D12806" s="1015"/>
      <c r="I12806" s="1011" t="str">
        <f>CONCATENATE("&lt;valeur&gt;",VLOOKUP(C12806,'T16 Amort'!A:K,5,0),"&lt;/valeur&gt;")</f>
        <v>&lt;valeur&gt;&lt;/valeur&gt;</v>
      </c>
      <c r="K12806" s="1013"/>
    </row>
    <row r="12807" spans="1:11" s="1011" customFormat="1" ht="15" x14ac:dyDescent="0.25">
      <c r="A12807" s="859">
        <f t="shared" si="272"/>
        <v>12806</v>
      </c>
      <c r="B12807" s="845" t="s">
        <v>2564</v>
      </c>
      <c r="C12807" s="1007">
        <f t="shared" si="271"/>
        <v>93</v>
      </c>
      <c r="D12807" s="1012"/>
      <c r="I12807" s="1011" t="str">
        <f>CONCATENATE("&lt;numeroLigne&gt;",C12807,"&lt;/numeroLigne&gt;")</f>
        <v>&lt;numeroLigne&gt;93&lt;/numeroLigne&gt;</v>
      </c>
      <c r="K12807" s="1013"/>
    </row>
    <row r="12808" spans="1:11" s="1011" customFormat="1" ht="15" x14ac:dyDescent="0.25">
      <c r="A12808" s="859">
        <f t="shared" si="272"/>
        <v>12807</v>
      </c>
      <c r="B12808" s="845" t="s">
        <v>2564</v>
      </c>
      <c r="C12808" s="1007">
        <f t="shared" si="271"/>
        <v>93</v>
      </c>
      <c r="D12808" s="1012"/>
      <c r="H12808" s="1011" t="s">
        <v>1010</v>
      </c>
      <c r="K12808" s="1013"/>
    </row>
    <row r="12809" spans="1:11" s="1011" customFormat="1" ht="15" x14ac:dyDescent="0.25">
      <c r="A12809" s="859">
        <f t="shared" si="272"/>
        <v>12808</v>
      </c>
      <c r="B12809" s="845" t="s">
        <v>2564</v>
      </c>
      <c r="C12809" s="1007">
        <f t="shared" si="271"/>
        <v>93</v>
      </c>
      <c r="D12809" s="1014"/>
      <c r="H12809" s="1011" t="s">
        <v>1007</v>
      </c>
      <c r="K12809" s="1013"/>
    </row>
    <row r="12810" spans="1:11" s="1011" customFormat="1" ht="15" x14ac:dyDescent="0.25">
      <c r="A12810" s="859">
        <f t="shared" si="272"/>
        <v>12809</v>
      </c>
      <c r="B12810" s="845" t="s">
        <v>2564</v>
      </c>
      <c r="C12810" s="1007">
        <f t="shared" si="271"/>
        <v>93</v>
      </c>
      <c r="D12810" s="1014"/>
      <c r="I12810" s="1011" t="s">
        <v>2178</v>
      </c>
      <c r="K12810" s="1013"/>
    </row>
    <row r="12811" spans="1:11" s="1011" customFormat="1" ht="15" x14ac:dyDescent="0.25">
      <c r="A12811" s="859">
        <f t="shared" si="272"/>
        <v>12810</v>
      </c>
      <c r="B12811" s="845" t="s">
        <v>2564</v>
      </c>
      <c r="C12811" s="1007">
        <f t="shared" si="271"/>
        <v>93</v>
      </c>
      <c r="D12811" s="1012"/>
      <c r="I12811" s="1011" t="str">
        <f>CONCATENATE("&lt;valeur&gt;",VLOOKUP(C12811,'T16 Amort'!A:K,6,0),"&lt;/valeur&gt;")</f>
        <v>&lt;valeur&gt;&lt;/valeur&gt;</v>
      </c>
      <c r="K12811" s="1013"/>
    </row>
    <row r="12812" spans="1:11" s="1011" customFormat="1" ht="15" x14ac:dyDescent="0.25">
      <c r="A12812" s="859">
        <f t="shared" si="272"/>
        <v>12811</v>
      </c>
      <c r="B12812" s="845" t="s">
        <v>2564</v>
      </c>
      <c r="C12812" s="1007">
        <f t="shared" si="271"/>
        <v>93</v>
      </c>
      <c r="D12812" s="1015"/>
      <c r="I12812" s="1011" t="str">
        <f>CONCATENATE("&lt;numeroLigne&gt;",C12812,"&lt;/numeroLigne&gt;")</f>
        <v>&lt;numeroLigne&gt;93&lt;/numeroLigne&gt;</v>
      </c>
      <c r="K12812" s="1013"/>
    </row>
    <row r="12813" spans="1:11" s="1011" customFormat="1" ht="15" x14ac:dyDescent="0.25">
      <c r="A12813" s="859">
        <f t="shared" si="272"/>
        <v>12812</v>
      </c>
      <c r="B12813" s="845" t="s">
        <v>2564</v>
      </c>
      <c r="C12813" s="1007">
        <f t="shared" si="271"/>
        <v>93</v>
      </c>
      <c r="D12813" s="1012"/>
      <c r="H12813" s="1011" t="s">
        <v>1010</v>
      </c>
      <c r="K12813" s="1013"/>
    </row>
    <row r="12814" spans="1:11" s="1011" customFormat="1" ht="15" x14ac:dyDescent="0.25">
      <c r="A12814" s="859">
        <f t="shared" si="272"/>
        <v>12813</v>
      </c>
      <c r="B12814" s="845" t="s">
        <v>2564</v>
      </c>
      <c r="C12814" s="1007">
        <f t="shared" si="271"/>
        <v>93</v>
      </c>
      <c r="D12814" s="1012"/>
      <c r="H12814" s="1011" t="s">
        <v>1007</v>
      </c>
      <c r="K12814" s="1013"/>
    </row>
    <row r="12815" spans="1:11" s="1011" customFormat="1" ht="15" x14ac:dyDescent="0.25">
      <c r="A12815" s="859">
        <f t="shared" si="272"/>
        <v>12814</v>
      </c>
      <c r="B12815" s="845" t="s">
        <v>2564</v>
      </c>
      <c r="C12815" s="1007">
        <f t="shared" si="271"/>
        <v>93</v>
      </c>
      <c r="D12815" s="1014"/>
      <c r="I12815" s="1011" t="s">
        <v>2179</v>
      </c>
      <c r="K12815" s="1013"/>
    </row>
    <row r="12816" spans="1:11" s="1011" customFormat="1" ht="15" x14ac:dyDescent="0.25">
      <c r="A12816" s="859">
        <f t="shared" si="272"/>
        <v>12815</v>
      </c>
      <c r="B12816" s="845" t="s">
        <v>2564</v>
      </c>
      <c r="C12816" s="1007">
        <f t="shared" si="271"/>
        <v>93</v>
      </c>
      <c r="D12816" s="1014"/>
      <c r="I12816" s="1011" t="str">
        <f>CONCATENATE("&lt;valeur&gt;",VLOOKUP(C12816,'T16 Amort'!A:K,7,0),"&lt;/valeur&gt;")</f>
        <v>&lt;valeur&gt;&lt;/valeur&gt;</v>
      </c>
      <c r="K12816" s="1013"/>
    </row>
    <row r="12817" spans="1:11" s="1011" customFormat="1" ht="15" x14ac:dyDescent="0.25">
      <c r="A12817" s="859">
        <f t="shared" si="272"/>
        <v>12816</v>
      </c>
      <c r="B12817" s="845" t="s">
        <v>2564</v>
      </c>
      <c r="C12817" s="1007">
        <f t="shared" si="271"/>
        <v>93</v>
      </c>
      <c r="D12817" s="1012"/>
      <c r="I12817" s="1011" t="str">
        <f>CONCATENATE("&lt;numeroLigne&gt;",C12817,"&lt;/numeroLigne&gt;")</f>
        <v>&lt;numeroLigne&gt;93&lt;/numeroLigne&gt;</v>
      </c>
      <c r="K12817" s="1013"/>
    </row>
    <row r="12818" spans="1:11" s="1011" customFormat="1" ht="15" x14ac:dyDescent="0.25">
      <c r="A12818" s="859">
        <f t="shared" si="272"/>
        <v>12817</v>
      </c>
      <c r="B12818" s="845" t="s">
        <v>2564</v>
      </c>
      <c r="C12818" s="1007">
        <f t="shared" si="271"/>
        <v>93</v>
      </c>
      <c r="D12818" s="1015"/>
      <c r="H12818" s="1011" t="s">
        <v>1010</v>
      </c>
      <c r="K12818" s="1013"/>
    </row>
    <row r="12819" spans="1:11" s="1011" customFormat="1" ht="15" x14ac:dyDescent="0.25">
      <c r="A12819" s="859">
        <f t="shared" si="272"/>
        <v>12818</v>
      </c>
      <c r="B12819" s="845" t="s">
        <v>2564</v>
      </c>
      <c r="C12819" s="1007">
        <f t="shared" si="271"/>
        <v>93</v>
      </c>
      <c r="D12819" s="1012"/>
      <c r="H12819" s="1011" t="s">
        <v>1007</v>
      </c>
      <c r="K12819" s="1013"/>
    </row>
    <row r="12820" spans="1:11" s="1011" customFormat="1" ht="15" x14ac:dyDescent="0.25">
      <c r="A12820" s="859">
        <f t="shared" si="272"/>
        <v>12819</v>
      </c>
      <c r="B12820" s="845" t="s">
        <v>2564</v>
      </c>
      <c r="C12820" s="1007">
        <f t="shared" si="271"/>
        <v>93</v>
      </c>
      <c r="D12820" s="1012"/>
      <c r="I12820" s="1011" t="s">
        <v>2180</v>
      </c>
      <c r="K12820" s="1013"/>
    </row>
    <row r="12821" spans="1:11" s="1011" customFormat="1" ht="15" x14ac:dyDescent="0.25">
      <c r="A12821" s="859">
        <f t="shared" si="272"/>
        <v>12820</v>
      </c>
      <c r="B12821" s="845" t="s">
        <v>2564</v>
      </c>
      <c r="C12821" s="1007">
        <f t="shared" si="271"/>
        <v>93</v>
      </c>
      <c r="D12821" s="1014"/>
      <c r="I12821" s="1011" t="str">
        <f>CONCATENATE("&lt;valeur&gt;",VLOOKUP(C12821,'T16 Amort'!A:K,8,0),"&lt;/valeur&gt;")</f>
        <v>&lt;valeur&gt;&lt;/valeur&gt;</v>
      </c>
      <c r="K12821" s="1013"/>
    </row>
    <row r="12822" spans="1:11" s="1011" customFormat="1" ht="15" x14ac:dyDescent="0.25">
      <c r="A12822" s="859">
        <f t="shared" si="272"/>
        <v>12821</v>
      </c>
      <c r="B12822" s="845" t="s">
        <v>2564</v>
      </c>
      <c r="C12822" s="1007">
        <f t="shared" si="271"/>
        <v>93</v>
      </c>
      <c r="D12822" s="1014"/>
      <c r="I12822" s="1011" t="str">
        <f>CONCATENATE("&lt;numeroLigne&gt;",C12822,"&lt;/numeroLigne&gt;")</f>
        <v>&lt;numeroLigne&gt;93&lt;/numeroLigne&gt;</v>
      </c>
      <c r="K12822" s="1013"/>
    </row>
    <row r="12823" spans="1:11" s="1011" customFormat="1" ht="15" x14ac:dyDescent="0.25">
      <c r="A12823" s="859">
        <f t="shared" si="272"/>
        <v>12822</v>
      </c>
      <c r="B12823" s="845" t="s">
        <v>2564</v>
      </c>
      <c r="C12823" s="1007">
        <f t="shared" si="271"/>
        <v>93</v>
      </c>
      <c r="D12823" s="1012"/>
      <c r="H12823" s="1011" t="s">
        <v>1010</v>
      </c>
      <c r="K12823" s="1013"/>
    </row>
    <row r="12824" spans="1:11" s="1011" customFormat="1" ht="15" x14ac:dyDescent="0.25">
      <c r="A12824" s="859">
        <f t="shared" si="272"/>
        <v>12823</v>
      </c>
      <c r="B12824" s="845" t="s">
        <v>2564</v>
      </c>
      <c r="C12824" s="1007">
        <f t="shared" si="271"/>
        <v>93</v>
      </c>
      <c r="D12824" s="1015"/>
      <c r="H12824" s="1011" t="s">
        <v>1007</v>
      </c>
      <c r="K12824" s="1013"/>
    </row>
    <row r="12825" spans="1:11" s="1011" customFormat="1" ht="15" x14ac:dyDescent="0.25">
      <c r="A12825" s="859">
        <f t="shared" si="272"/>
        <v>12824</v>
      </c>
      <c r="B12825" s="845" t="s">
        <v>2564</v>
      </c>
      <c r="C12825" s="1007">
        <f t="shared" si="271"/>
        <v>93</v>
      </c>
      <c r="D12825" s="1012"/>
      <c r="I12825" s="1011" t="s">
        <v>2181</v>
      </c>
      <c r="K12825" s="1013"/>
    </row>
    <row r="12826" spans="1:11" s="1011" customFormat="1" ht="15" x14ac:dyDescent="0.25">
      <c r="A12826" s="859">
        <f t="shared" si="272"/>
        <v>12825</v>
      </c>
      <c r="B12826" s="845" t="s">
        <v>2564</v>
      </c>
      <c r="C12826" s="1007">
        <f t="shared" si="271"/>
        <v>93</v>
      </c>
      <c r="D12826" s="1012"/>
      <c r="I12826" s="1011" t="str">
        <f>CONCATENATE("&lt;valeur&gt;",VLOOKUP(C12826,'T16 Amort'!A:K,9,0),"&lt;/valeur&gt;")</f>
        <v>&lt;valeur&gt;&lt;/valeur&gt;</v>
      </c>
      <c r="K12826" s="1013"/>
    </row>
    <row r="12827" spans="1:11" s="1011" customFormat="1" ht="15" x14ac:dyDescent="0.25">
      <c r="A12827" s="859">
        <f t="shared" si="272"/>
        <v>12826</v>
      </c>
      <c r="B12827" s="845" t="s">
        <v>2564</v>
      </c>
      <c r="C12827" s="1007">
        <f t="shared" si="271"/>
        <v>93</v>
      </c>
      <c r="D12827" s="1014"/>
      <c r="I12827" s="1011" t="str">
        <f>CONCATENATE("&lt;numeroLigne&gt;",C12827,"&lt;/numeroLigne&gt;")</f>
        <v>&lt;numeroLigne&gt;93&lt;/numeroLigne&gt;</v>
      </c>
      <c r="K12827" s="1013"/>
    </row>
    <row r="12828" spans="1:11" s="1011" customFormat="1" ht="15" x14ac:dyDescent="0.25">
      <c r="A12828" s="859">
        <f t="shared" si="272"/>
        <v>12827</v>
      </c>
      <c r="B12828" s="845" t="s">
        <v>2564</v>
      </c>
      <c r="C12828" s="1007">
        <f t="shared" si="271"/>
        <v>93</v>
      </c>
      <c r="D12828" s="1014"/>
      <c r="H12828" s="1011" t="s">
        <v>1010</v>
      </c>
      <c r="K12828" s="1013"/>
    </row>
    <row r="12829" spans="1:11" s="1011" customFormat="1" ht="15" x14ac:dyDescent="0.25">
      <c r="A12829" s="859">
        <f t="shared" si="272"/>
        <v>12828</v>
      </c>
      <c r="B12829" s="845" t="s">
        <v>2564</v>
      </c>
      <c r="C12829" s="1007">
        <f t="shared" si="271"/>
        <v>93</v>
      </c>
      <c r="D12829" s="1012"/>
      <c r="H12829" s="1011" t="s">
        <v>1007</v>
      </c>
      <c r="K12829" s="1013"/>
    </row>
    <row r="12830" spans="1:11" s="1011" customFormat="1" ht="15" x14ac:dyDescent="0.25">
      <c r="A12830" s="859">
        <f t="shared" si="272"/>
        <v>12829</v>
      </c>
      <c r="B12830" s="845" t="s">
        <v>2564</v>
      </c>
      <c r="C12830" s="1007">
        <f t="shared" si="271"/>
        <v>93</v>
      </c>
      <c r="D12830" s="1015"/>
      <c r="I12830" s="1011" t="s">
        <v>2182</v>
      </c>
      <c r="K12830" s="1013"/>
    </row>
    <row r="12831" spans="1:11" s="1011" customFormat="1" ht="15" x14ac:dyDescent="0.25">
      <c r="A12831" s="859">
        <f t="shared" si="272"/>
        <v>12830</v>
      </c>
      <c r="B12831" s="845" t="s">
        <v>2564</v>
      </c>
      <c r="C12831" s="1007">
        <f t="shared" si="271"/>
        <v>93</v>
      </c>
      <c r="D12831" s="1012"/>
      <c r="I12831" s="1011" t="str">
        <f>CONCATENATE("&lt;valeur&gt;",VLOOKUP(C12831,'T16 Amort'!A:K,10,0),"&lt;/valeur&gt;")</f>
        <v>&lt;valeur&gt;&lt;/valeur&gt;</v>
      </c>
      <c r="K12831" s="1013"/>
    </row>
    <row r="12832" spans="1:11" s="1011" customFormat="1" ht="15" x14ac:dyDescent="0.25">
      <c r="A12832" s="859">
        <f t="shared" si="272"/>
        <v>12831</v>
      </c>
      <c r="B12832" s="845" t="s">
        <v>2564</v>
      </c>
      <c r="C12832" s="1007">
        <f t="shared" si="271"/>
        <v>93</v>
      </c>
      <c r="D12832" s="1012"/>
      <c r="I12832" s="1011" t="str">
        <f>CONCATENATE("&lt;numeroLigne&gt;",C12832,"&lt;/numeroLigne&gt;")</f>
        <v>&lt;numeroLigne&gt;93&lt;/numeroLigne&gt;</v>
      </c>
      <c r="K12832" s="1013"/>
    </row>
    <row r="12833" spans="1:11" s="1011" customFormat="1" ht="15" x14ac:dyDescent="0.25">
      <c r="A12833" s="859">
        <f t="shared" si="272"/>
        <v>12832</v>
      </c>
      <c r="B12833" s="845" t="s">
        <v>2564</v>
      </c>
      <c r="C12833" s="1007">
        <f t="shared" si="271"/>
        <v>93</v>
      </c>
      <c r="D12833" s="1014"/>
      <c r="H12833" s="1011" t="s">
        <v>1010</v>
      </c>
      <c r="K12833" s="1013"/>
    </row>
    <row r="12834" spans="1:11" s="1011" customFormat="1" ht="15" x14ac:dyDescent="0.25">
      <c r="A12834" s="859">
        <f t="shared" si="272"/>
        <v>12833</v>
      </c>
      <c r="B12834" s="845" t="s">
        <v>2564</v>
      </c>
      <c r="C12834" s="1007">
        <f t="shared" si="271"/>
        <v>93</v>
      </c>
      <c r="D12834" s="1014"/>
      <c r="H12834" s="1011" t="s">
        <v>1007</v>
      </c>
      <c r="K12834" s="1013"/>
    </row>
    <row r="12835" spans="1:11" s="1011" customFormat="1" ht="15" x14ac:dyDescent="0.25">
      <c r="A12835" s="859">
        <f t="shared" si="272"/>
        <v>12834</v>
      </c>
      <c r="B12835" s="845" t="s">
        <v>2564</v>
      </c>
      <c r="C12835" s="1007">
        <f t="shared" si="271"/>
        <v>93</v>
      </c>
      <c r="D12835" s="1012"/>
      <c r="I12835" s="1011" t="s">
        <v>2183</v>
      </c>
      <c r="K12835" s="1013"/>
    </row>
    <row r="12836" spans="1:11" s="1011" customFormat="1" ht="15" x14ac:dyDescent="0.25">
      <c r="A12836" s="859">
        <f t="shared" si="272"/>
        <v>12835</v>
      </c>
      <c r="B12836" s="845" t="s">
        <v>2564</v>
      </c>
      <c r="C12836" s="1007">
        <f t="shared" si="271"/>
        <v>93</v>
      </c>
      <c r="D12836" s="1015"/>
      <c r="I12836" s="1011" t="str">
        <f>CONCATENATE("&lt;valeur&gt;",VLOOKUP(C12836,'T16 Amort'!A:K,11,0),"&lt;/valeur&gt;")</f>
        <v>&lt;valeur&gt;&lt;/valeur&gt;</v>
      </c>
      <c r="K12836" s="1013"/>
    </row>
    <row r="12837" spans="1:11" s="1011" customFormat="1" ht="15" x14ac:dyDescent="0.25">
      <c r="A12837" s="859">
        <f t="shared" si="272"/>
        <v>12836</v>
      </c>
      <c r="B12837" s="845" t="s">
        <v>2564</v>
      </c>
      <c r="C12837" s="1007">
        <f t="shared" si="271"/>
        <v>93</v>
      </c>
      <c r="D12837" s="1012"/>
      <c r="I12837" s="1011" t="str">
        <f>CONCATENATE("&lt;numeroLigne&gt;",C12837,"&lt;/numeroLigne&gt;")</f>
        <v>&lt;numeroLigne&gt;93&lt;/numeroLigne&gt;</v>
      </c>
      <c r="K12837" s="1013"/>
    </row>
    <row r="12838" spans="1:11" s="1011" customFormat="1" ht="15" x14ac:dyDescent="0.25">
      <c r="A12838" s="859">
        <f t="shared" si="272"/>
        <v>12837</v>
      </c>
      <c r="B12838" s="845" t="s">
        <v>2564</v>
      </c>
      <c r="C12838" s="1007">
        <f t="shared" si="271"/>
        <v>93</v>
      </c>
      <c r="D12838" s="1016"/>
      <c r="E12838" s="1017"/>
      <c r="F12838" s="1017"/>
      <c r="G12838" s="1017"/>
      <c r="H12838" s="1017" t="s">
        <v>1010</v>
      </c>
      <c r="I12838" s="1017"/>
      <c r="J12838" s="1017"/>
      <c r="K12838" s="1018"/>
    </row>
    <row r="12839" spans="1:11" s="1011" customFormat="1" ht="15" x14ac:dyDescent="0.25">
      <c r="A12839" s="859">
        <f t="shared" si="272"/>
        <v>12838</v>
      </c>
      <c r="B12839" s="845" t="s">
        <v>2564</v>
      </c>
      <c r="C12839" s="1007">
        <f t="shared" si="271"/>
        <v>94</v>
      </c>
      <c r="D12839" s="1008"/>
      <c r="E12839" s="1009"/>
      <c r="F12839" s="1009"/>
      <c r="G12839" s="1009"/>
      <c r="H12839" s="1009" t="s">
        <v>1007</v>
      </c>
      <c r="I12839" s="1009"/>
      <c r="J12839" s="1009"/>
      <c r="K12839" s="1010"/>
    </row>
    <row r="12840" spans="1:11" s="1011" customFormat="1" ht="15" x14ac:dyDescent="0.25">
      <c r="A12840" s="859">
        <f t="shared" si="272"/>
        <v>12839</v>
      </c>
      <c r="B12840" s="845" t="s">
        <v>2564</v>
      </c>
      <c r="C12840" s="1007">
        <f t="shared" si="271"/>
        <v>94</v>
      </c>
      <c r="D12840" s="1012"/>
      <c r="I12840" s="1011" t="s">
        <v>2174</v>
      </c>
      <c r="K12840" s="1013"/>
    </row>
    <row r="12841" spans="1:11" s="1011" customFormat="1" ht="15" x14ac:dyDescent="0.25">
      <c r="A12841" s="859">
        <f t="shared" si="272"/>
        <v>12840</v>
      </c>
      <c r="B12841" s="845" t="s">
        <v>2564</v>
      </c>
      <c r="C12841" s="1007">
        <f t="shared" si="271"/>
        <v>94</v>
      </c>
      <c r="D12841" s="1014"/>
      <c r="I12841" s="1011" t="str">
        <f>CONCATENATE("&lt;valeur&gt;",VLOOKUP(C12841,'T16 Amort'!A:K,2,0),"&lt;/valeur&gt;")</f>
        <v>&lt;valeur&gt;&lt;/valeur&gt;</v>
      </c>
      <c r="K12841" s="1013"/>
    </row>
    <row r="12842" spans="1:11" s="1011" customFormat="1" ht="15" x14ac:dyDescent="0.25">
      <c r="A12842" s="859">
        <f t="shared" si="272"/>
        <v>12841</v>
      </c>
      <c r="B12842" s="845" t="s">
        <v>2564</v>
      </c>
      <c r="C12842" s="1007">
        <f t="shared" si="271"/>
        <v>94</v>
      </c>
      <c r="D12842" s="1014"/>
      <c r="I12842" s="1011" t="str">
        <f>CONCATENATE("&lt;numeroLigne&gt;",C12842,"&lt;/numeroLigne&gt;")</f>
        <v>&lt;numeroLigne&gt;94&lt;/numeroLigne&gt;</v>
      </c>
      <c r="K12842" s="1013"/>
    </row>
    <row r="12843" spans="1:11" s="1011" customFormat="1" ht="15" x14ac:dyDescent="0.25">
      <c r="A12843" s="859">
        <f t="shared" si="272"/>
        <v>12842</v>
      </c>
      <c r="B12843" s="845" t="s">
        <v>2564</v>
      </c>
      <c r="C12843" s="1007">
        <f t="shared" si="271"/>
        <v>94</v>
      </c>
      <c r="D12843" s="1012"/>
      <c r="H12843" s="1011" t="s">
        <v>1010</v>
      </c>
      <c r="K12843" s="1013"/>
    </row>
    <row r="12844" spans="1:11" s="1011" customFormat="1" ht="15" x14ac:dyDescent="0.25">
      <c r="A12844" s="859">
        <f t="shared" si="272"/>
        <v>12843</v>
      </c>
      <c r="B12844" s="845" t="s">
        <v>2564</v>
      </c>
      <c r="C12844" s="1007">
        <f t="shared" si="271"/>
        <v>94</v>
      </c>
      <c r="D12844" s="1015"/>
      <c r="H12844" s="1011" t="s">
        <v>1007</v>
      </c>
      <c r="K12844" s="1013"/>
    </row>
    <row r="12845" spans="1:11" s="1011" customFormat="1" ht="15" x14ac:dyDescent="0.25">
      <c r="A12845" s="859">
        <f t="shared" si="272"/>
        <v>12844</v>
      </c>
      <c r="B12845" s="845" t="s">
        <v>2564</v>
      </c>
      <c r="C12845" s="1007">
        <f t="shared" si="271"/>
        <v>94</v>
      </c>
      <c r="D12845" s="1012"/>
      <c r="I12845" s="1011" t="s">
        <v>2175</v>
      </c>
      <c r="K12845" s="1013"/>
    </row>
    <row r="12846" spans="1:11" s="1011" customFormat="1" ht="15" x14ac:dyDescent="0.25">
      <c r="A12846" s="859">
        <f t="shared" si="272"/>
        <v>12845</v>
      </c>
      <c r="B12846" s="845" t="s">
        <v>2564</v>
      </c>
      <c r="C12846" s="1007">
        <f t="shared" si="271"/>
        <v>94</v>
      </c>
      <c r="D12846" s="1012"/>
      <c r="I12846" s="1011" t="str">
        <f>CONCATENATE("&lt;valeur&gt;",VLOOKUP(C12846,'T16 Amort'!A:K,3,0),"&lt;/valeur&gt;")</f>
        <v>&lt;valeur&gt;&lt;/valeur&gt;</v>
      </c>
      <c r="K12846" s="1013"/>
    </row>
    <row r="12847" spans="1:11" s="1011" customFormat="1" ht="15" x14ac:dyDescent="0.25">
      <c r="A12847" s="859">
        <f t="shared" si="272"/>
        <v>12846</v>
      </c>
      <c r="B12847" s="845" t="s">
        <v>2564</v>
      </c>
      <c r="C12847" s="1007">
        <f t="shared" ref="C12847:C12910" si="273">C12797+1</f>
        <v>94</v>
      </c>
      <c r="D12847" s="1014"/>
      <c r="I12847" s="1011" t="str">
        <f>CONCATENATE("&lt;numeroLigne&gt;",C12847,"&lt;/numeroLigne&gt;")</f>
        <v>&lt;numeroLigne&gt;94&lt;/numeroLigne&gt;</v>
      </c>
      <c r="K12847" s="1013"/>
    </row>
    <row r="12848" spans="1:11" s="1011" customFormat="1" ht="15" x14ac:dyDescent="0.25">
      <c r="A12848" s="859">
        <f t="shared" si="272"/>
        <v>12847</v>
      </c>
      <c r="B12848" s="845" t="s">
        <v>2564</v>
      </c>
      <c r="C12848" s="1007">
        <f t="shared" si="273"/>
        <v>94</v>
      </c>
      <c r="D12848" s="1014"/>
      <c r="H12848" s="1011" t="s">
        <v>1010</v>
      </c>
      <c r="K12848" s="1013"/>
    </row>
    <row r="12849" spans="1:11" s="1011" customFormat="1" ht="15" x14ac:dyDescent="0.25">
      <c r="A12849" s="859">
        <f t="shared" si="272"/>
        <v>12848</v>
      </c>
      <c r="B12849" s="845" t="s">
        <v>2564</v>
      </c>
      <c r="C12849" s="1007">
        <f t="shared" si="273"/>
        <v>94</v>
      </c>
      <c r="D12849" s="1012"/>
      <c r="H12849" s="1011" t="s">
        <v>1007</v>
      </c>
      <c r="K12849" s="1013"/>
    </row>
    <row r="12850" spans="1:11" s="1011" customFormat="1" ht="15" x14ac:dyDescent="0.25">
      <c r="A12850" s="859">
        <f t="shared" si="272"/>
        <v>12849</v>
      </c>
      <c r="B12850" s="845" t="s">
        <v>2564</v>
      </c>
      <c r="C12850" s="1007">
        <f t="shared" si="273"/>
        <v>94</v>
      </c>
      <c r="D12850" s="1015"/>
      <c r="I12850" s="1011" t="s">
        <v>2176</v>
      </c>
      <c r="K12850" s="1013"/>
    </row>
    <row r="12851" spans="1:11" s="1011" customFormat="1" ht="15" x14ac:dyDescent="0.25">
      <c r="A12851" s="859">
        <f t="shared" si="272"/>
        <v>12850</v>
      </c>
      <c r="B12851" s="845" t="s">
        <v>2564</v>
      </c>
      <c r="C12851" s="1007">
        <f t="shared" si="273"/>
        <v>94</v>
      </c>
      <c r="D12851" s="1012"/>
      <c r="I12851" s="1011" t="str">
        <f>CONCATENATE("&lt;valeur&gt;",VLOOKUP(C12851,'T16 Amort'!A:K,4,0),"&lt;/valeur&gt;")</f>
        <v>&lt;valeur&gt;&lt;/valeur&gt;</v>
      </c>
      <c r="K12851" s="1013"/>
    </row>
    <row r="12852" spans="1:11" s="1011" customFormat="1" ht="15" x14ac:dyDescent="0.25">
      <c r="A12852" s="859">
        <f t="shared" si="272"/>
        <v>12851</v>
      </c>
      <c r="B12852" s="845" t="s">
        <v>2564</v>
      </c>
      <c r="C12852" s="1007">
        <f t="shared" si="273"/>
        <v>94</v>
      </c>
      <c r="D12852" s="1012"/>
      <c r="I12852" s="1011" t="str">
        <f>CONCATENATE("&lt;numeroLigne&gt;",C12852,"&lt;/numeroLigne&gt;")</f>
        <v>&lt;numeroLigne&gt;94&lt;/numeroLigne&gt;</v>
      </c>
      <c r="K12852" s="1013"/>
    </row>
    <row r="12853" spans="1:11" s="1011" customFormat="1" ht="15" x14ac:dyDescent="0.25">
      <c r="A12853" s="859">
        <f t="shared" si="272"/>
        <v>12852</v>
      </c>
      <c r="B12853" s="845" t="s">
        <v>2564</v>
      </c>
      <c r="C12853" s="1007">
        <f t="shared" si="273"/>
        <v>94</v>
      </c>
      <c r="D12853" s="1014"/>
      <c r="H12853" s="1011" t="s">
        <v>1010</v>
      </c>
      <c r="K12853" s="1013"/>
    </row>
    <row r="12854" spans="1:11" s="1011" customFormat="1" ht="15" x14ac:dyDescent="0.25">
      <c r="A12854" s="859">
        <f t="shared" si="272"/>
        <v>12853</v>
      </c>
      <c r="B12854" s="845" t="s">
        <v>2564</v>
      </c>
      <c r="C12854" s="1007">
        <f t="shared" si="273"/>
        <v>94</v>
      </c>
      <c r="D12854" s="1014"/>
      <c r="H12854" s="1011" t="s">
        <v>1007</v>
      </c>
      <c r="K12854" s="1013"/>
    </row>
    <row r="12855" spans="1:11" s="1011" customFormat="1" ht="15" x14ac:dyDescent="0.25">
      <c r="A12855" s="859">
        <f t="shared" si="272"/>
        <v>12854</v>
      </c>
      <c r="B12855" s="845" t="s">
        <v>2564</v>
      </c>
      <c r="C12855" s="1007">
        <f t="shared" si="273"/>
        <v>94</v>
      </c>
      <c r="D12855" s="1012"/>
      <c r="I12855" s="1011" t="s">
        <v>2177</v>
      </c>
      <c r="K12855" s="1013"/>
    </row>
    <row r="12856" spans="1:11" s="1011" customFormat="1" ht="15" x14ac:dyDescent="0.25">
      <c r="A12856" s="859">
        <f t="shared" si="272"/>
        <v>12855</v>
      </c>
      <c r="B12856" s="845" t="s">
        <v>2564</v>
      </c>
      <c r="C12856" s="1007">
        <f t="shared" si="273"/>
        <v>94</v>
      </c>
      <c r="D12856" s="1015"/>
      <c r="I12856" s="1011" t="str">
        <f>CONCATENATE("&lt;valeur&gt;",VLOOKUP(C12856,'T16 Amort'!A:K,5,0),"&lt;/valeur&gt;")</f>
        <v>&lt;valeur&gt;&lt;/valeur&gt;</v>
      </c>
      <c r="K12856" s="1013"/>
    </row>
    <row r="12857" spans="1:11" s="1011" customFormat="1" ht="15" x14ac:dyDescent="0.25">
      <c r="A12857" s="859">
        <f t="shared" si="272"/>
        <v>12856</v>
      </c>
      <c r="B12857" s="845" t="s">
        <v>2564</v>
      </c>
      <c r="C12857" s="1007">
        <f t="shared" si="273"/>
        <v>94</v>
      </c>
      <c r="D12857" s="1012"/>
      <c r="I12857" s="1011" t="str">
        <f>CONCATENATE("&lt;numeroLigne&gt;",C12857,"&lt;/numeroLigne&gt;")</f>
        <v>&lt;numeroLigne&gt;94&lt;/numeroLigne&gt;</v>
      </c>
      <c r="K12857" s="1013"/>
    </row>
    <row r="12858" spans="1:11" s="1011" customFormat="1" ht="15" x14ac:dyDescent="0.25">
      <c r="A12858" s="859">
        <f t="shared" si="272"/>
        <v>12857</v>
      </c>
      <c r="B12858" s="845" t="s">
        <v>2564</v>
      </c>
      <c r="C12858" s="1007">
        <f t="shared" si="273"/>
        <v>94</v>
      </c>
      <c r="D12858" s="1012"/>
      <c r="H12858" s="1011" t="s">
        <v>1010</v>
      </c>
      <c r="K12858" s="1013"/>
    </row>
    <row r="12859" spans="1:11" s="1011" customFormat="1" ht="15" x14ac:dyDescent="0.25">
      <c r="A12859" s="859">
        <f t="shared" si="272"/>
        <v>12858</v>
      </c>
      <c r="B12859" s="845" t="s">
        <v>2564</v>
      </c>
      <c r="C12859" s="1007">
        <f t="shared" si="273"/>
        <v>94</v>
      </c>
      <c r="D12859" s="1014"/>
      <c r="H12859" s="1011" t="s">
        <v>1007</v>
      </c>
      <c r="K12859" s="1013"/>
    </row>
    <row r="12860" spans="1:11" s="1011" customFormat="1" ht="15" x14ac:dyDescent="0.25">
      <c r="A12860" s="859">
        <f t="shared" si="272"/>
        <v>12859</v>
      </c>
      <c r="B12860" s="845" t="s">
        <v>2564</v>
      </c>
      <c r="C12860" s="1007">
        <f t="shared" si="273"/>
        <v>94</v>
      </c>
      <c r="D12860" s="1014"/>
      <c r="I12860" s="1011" t="s">
        <v>2178</v>
      </c>
      <c r="K12860" s="1013"/>
    </row>
    <row r="12861" spans="1:11" s="1011" customFormat="1" ht="15" x14ac:dyDescent="0.25">
      <c r="A12861" s="859">
        <f t="shared" si="272"/>
        <v>12860</v>
      </c>
      <c r="B12861" s="845" t="s">
        <v>2564</v>
      </c>
      <c r="C12861" s="1007">
        <f t="shared" si="273"/>
        <v>94</v>
      </c>
      <c r="D12861" s="1012"/>
      <c r="I12861" s="1011" t="str">
        <f>CONCATENATE("&lt;valeur&gt;",VLOOKUP(C12861,'T16 Amort'!A:K,6,0),"&lt;/valeur&gt;")</f>
        <v>&lt;valeur&gt;&lt;/valeur&gt;</v>
      </c>
      <c r="K12861" s="1013"/>
    </row>
    <row r="12862" spans="1:11" s="1011" customFormat="1" ht="15" x14ac:dyDescent="0.25">
      <c r="A12862" s="859">
        <f t="shared" si="272"/>
        <v>12861</v>
      </c>
      <c r="B12862" s="845" t="s">
        <v>2564</v>
      </c>
      <c r="C12862" s="1007">
        <f t="shared" si="273"/>
        <v>94</v>
      </c>
      <c r="D12862" s="1015"/>
      <c r="I12862" s="1011" t="str">
        <f>CONCATENATE("&lt;numeroLigne&gt;",C12862,"&lt;/numeroLigne&gt;")</f>
        <v>&lt;numeroLigne&gt;94&lt;/numeroLigne&gt;</v>
      </c>
      <c r="K12862" s="1013"/>
    </row>
    <row r="12863" spans="1:11" s="1011" customFormat="1" ht="15" x14ac:dyDescent="0.25">
      <c r="A12863" s="859">
        <f t="shared" si="272"/>
        <v>12862</v>
      </c>
      <c r="B12863" s="845" t="s">
        <v>2564</v>
      </c>
      <c r="C12863" s="1007">
        <f t="shared" si="273"/>
        <v>94</v>
      </c>
      <c r="D12863" s="1012"/>
      <c r="H12863" s="1011" t="s">
        <v>1010</v>
      </c>
      <c r="K12863" s="1013"/>
    </row>
    <row r="12864" spans="1:11" s="1011" customFormat="1" ht="15" x14ac:dyDescent="0.25">
      <c r="A12864" s="859">
        <f t="shared" si="272"/>
        <v>12863</v>
      </c>
      <c r="B12864" s="845" t="s">
        <v>2564</v>
      </c>
      <c r="C12864" s="1007">
        <f t="shared" si="273"/>
        <v>94</v>
      </c>
      <c r="D12864" s="1012"/>
      <c r="H12864" s="1011" t="s">
        <v>1007</v>
      </c>
      <c r="K12864" s="1013"/>
    </row>
    <row r="12865" spans="1:11" s="1011" customFormat="1" ht="15" x14ac:dyDescent="0.25">
      <c r="A12865" s="859">
        <f t="shared" si="272"/>
        <v>12864</v>
      </c>
      <c r="B12865" s="845" t="s">
        <v>2564</v>
      </c>
      <c r="C12865" s="1007">
        <f t="shared" si="273"/>
        <v>94</v>
      </c>
      <c r="D12865" s="1014"/>
      <c r="I12865" s="1011" t="s">
        <v>2179</v>
      </c>
      <c r="K12865" s="1013"/>
    </row>
    <row r="12866" spans="1:11" s="1011" customFormat="1" ht="15" x14ac:dyDescent="0.25">
      <c r="A12866" s="859">
        <f t="shared" si="272"/>
        <v>12865</v>
      </c>
      <c r="B12866" s="845" t="s">
        <v>2564</v>
      </c>
      <c r="C12866" s="1007">
        <f t="shared" si="273"/>
        <v>94</v>
      </c>
      <c r="D12866" s="1014"/>
      <c r="I12866" s="1011" t="str">
        <f>CONCATENATE("&lt;valeur&gt;",VLOOKUP(C12866,'T16 Amort'!A:K,7,0),"&lt;/valeur&gt;")</f>
        <v>&lt;valeur&gt;&lt;/valeur&gt;</v>
      </c>
      <c r="K12866" s="1013"/>
    </row>
    <row r="12867" spans="1:11" s="1011" customFormat="1" ht="15" x14ac:dyDescent="0.25">
      <c r="A12867" s="859">
        <f t="shared" si="272"/>
        <v>12866</v>
      </c>
      <c r="B12867" s="845" t="s">
        <v>2564</v>
      </c>
      <c r="C12867" s="1007">
        <f t="shared" si="273"/>
        <v>94</v>
      </c>
      <c r="D12867" s="1012"/>
      <c r="I12867" s="1011" t="str">
        <f>CONCATENATE("&lt;numeroLigne&gt;",C12867,"&lt;/numeroLigne&gt;")</f>
        <v>&lt;numeroLigne&gt;94&lt;/numeroLigne&gt;</v>
      </c>
      <c r="K12867" s="1013"/>
    </row>
    <row r="12868" spans="1:11" s="1011" customFormat="1" ht="15" x14ac:dyDescent="0.25">
      <c r="A12868" s="859">
        <f t="shared" ref="A12868:A12931" si="274">+A12867+1</f>
        <v>12867</v>
      </c>
      <c r="B12868" s="845" t="s">
        <v>2564</v>
      </c>
      <c r="C12868" s="1007">
        <f t="shared" si="273"/>
        <v>94</v>
      </c>
      <c r="D12868" s="1015"/>
      <c r="H12868" s="1011" t="s">
        <v>1010</v>
      </c>
      <c r="K12868" s="1013"/>
    </row>
    <row r="12869" spans="1:11" s="1011" customFormat="1" ht="15" x14ac:dyDescent="0.25">
      <c r="A12869" s="859">
        <f t="shared" si="274"/>
        <v>12868</v>
      </c>
      <c r="B12869" s="845" t="s">
        <v>2564</v>
      </c>
      <c r="C12869" s="1007">
        <f t="shared" si="273"/>
        <v>94</v>
      </c>
      <c r="D12869" s="1012"/>
      <c r="H12869" s="1011" t="s">
        <v>1007</v>
      </c>
      <c r="K12869" s="1013"/>
    </row>
    <row r="12870" spans="1:11" s="1011" customFormat="1" ht="15" x14ac:dyDescent="0.25">
      <c r="A12870" s="859">
        <f t="shared" si="274"/>
        <v>12869</v>
      </c>
      <c r="B12870" s="845" t="s">
        <v>2564</v>
      </c>
      <c r="C12870" s="1007">
        <f t="shared" si="273"/>
        <v>94</v>
      </c>
      <c r="D12870" s="1012"/>
      <c r="I12870" s="1011" t="s">
        <v>2180</v>
      </c>
      <c r="K12870" s="1013"/>
    </row>
    <row r="12871" spans="1:11" s="1011" customFormat="1" ht="15" x14ac:dyDescent="0.25">
      <c r="A12871" s="859">
        <f t="shared" si="274"/>
        <v>12870</v>
      </c>
      <c r="B12871" s="845" t="s">
        <v>2564</v>
      </c>
      <c r="C12871" s="1007">
        <f t="shared" si="273"/>
        <v>94</v>
      </c>
      <c r="D12871" s="1014"/>
      <c r="I12871" s="1011" t="str">
        <f>CONCATENATE("&lt;valeur&gt;",VLOOKUP(C12871,'T16 Amort'!A:K,8,0),"&lt;/valeur&gt;")</f>
        <v>&lt;valeur&gt;&lt;/valeur&gt;</v>
      </c>
      <c r="K12871" s="1013"/>
    </row>
    <row r="12872" spans="1:11" s="1011" customFormat="1" ht="15" x14ac:dyDescent="0.25">
      <c r="A12872" s="859">
        <f t="shared" si="274"/>
        <v>12871</v>
      </c>
      <c r="B12872" s="845" t="s">
        <v>2564</v>
      </c>
      <c r="C12872" s="1007">
        <f t="shared" si="273"/>
        <v>94</v>
      </c>
      <c r="D12872" s="1014"/>
      <c r="I12872" s="1011" t="str">
        <f>CONCATENATE("&lt;numeroLigne&gt;",C12872,"&lt;/numeroLigne&gt;")</f>
        <v>&lt;numeroLigne&gt;94&lt;/numeroLigne&gt;</v>
      </c>
      <c r="K12872" s="1013"/>
    </row>
    <row r="12873" spans="1:11" s="1011" customFormat="1" ht="15" x14ac:dyDescent="0.25">
      <c r="A12873" s="859">
        <f t="shared" si="274"/>
        <v>12872</v>
      </c>
      <c r="B12873" s="845" t="s">
        <v>2564</v>
      </c>
      <c r="C12873" s="1007">
        <f t="shared" si="273"/>
        <v>94</v>
      </c>
      <c r="D12873" s="1012"/>
      <c r="H12873" s="1011" t="s">
        <v>1010</v>
      </c>
      <c r="K12873" s="1013"/>
    </row>
    <row r="12874" spans="1:11" s="1011" customFormat="1" ht="15" x14ac:dyDescent="0.25">
      <c r="A12874" s="859">
        <f t="shared" si="274"/>
        <v>12873</v>
      </c>
      <c r="B12874" s="845" t="s">
        <v>2564</v>
      </c>
      <c r="C12874" s="1007">
        <f t="shared" si="273"/>
        <v>94</v>
      </c>
      <c r="D12874" s="1015"/>
      <c r="H12874" s="1011" t="s">
        <v>1007</v>
      </c>
      <c r="K12874" s="1013"/>
    </row>
    <row r="12875" spans="1:11" s="1011" customFormat="1" ht="15" x14ac:dyDescent="0.25">
      <c r="A12875" s="859">
        <f t="shared" si="274"/>
        <v>12874</v>
      </c>
      <c r="B12875" s="845" t="s">
        <v>2564</v>
      </c>
      <c r="C12875" s="1007">
        <f t="shared" si="273"/>
        <v>94</v>
      </c>
      <c r="D12875" s="1012"/>
      <c r="I12875" s="1011" t="s">
        <v>2181</v>
      </c>
      <c r="K12875" s="1013"/>
    </row>
    <row r="12876" spans="1:11" s="1011" customFormat="1" ht="15" x14ac:dyDescent="0.25">
      <c r="A12876" s="859">
        <f t="shared" si="274"/>
        <v>12875</v>
      </c>
      <c r="B12876" s="845" t="s">
        <v>2564</v>
      </c>
      <c r="C12876" s="1007">
        <f t="shared" si="273"/>
        <v>94</v>
      </c>
      <c r="D12876" s="1012"/>
      <c r="I12876" s="1011" t="str">
        <f>CONCATENATE("&lt;valeur&gt;",VLOOKUP(C12876,'T16 Amort'!A:K,9,0),"&lt;/valeur&gt;")</f>
        <v>&lt;valeur&gt;&lt;/valeur&gt;</v>
      </c>
      <c r="K12876" s="1013"/>
    </row>
    <row r="12877" spans="1:11" s="1011" customFormat="1" ht="15" x14ac:dyDescent="0.25">
      <c r="A12877" s="859">
        <f t="shared" si="274"/>
        <v>12876</v>
      </c>
      <c r="B12877" s="845" t="s">
        <v>2564</v>
      </c>
      <c r="C12877" s="1007">
        <f t="shared" si="273"/>
        <v>94</v>
      </c>
      <c r="D12877" s="1014"/>
      <c r="I12877" s="1011" t="str">
        <f>CONCATENATE("&lt;numeroLigne&gt;",C12877,"&lt;/numeroLigne&gt;")</f>
        <v>&lt;numeroLigne&gt;94&lt;/numeroLigne&gt;</v>
      </c>
      <c r="K12877" s="1013"/>
    </row>
    <row r="12878" spans="1:11" s="1011" customFormat="1" ht="15" x14ac:dyDescent="0.25">
      <c r="A12878" s="859">
        <f t="shared" si="274"/>
        <v>12877</v>
      </c>
      <c r="B12878" s="845" t="s">
        <v>2564</v>
      </c>
      <c r="C12878" s="1007">
        <f t="shared" si="273"/>
        <v>94</v>
      </c>
      <c r="D12878" s="1014"/>
      <c r="H12878" s="1011" t="s">
        <v>1010</v>
      </c>
      <c r="K12878" s="1013"/>
    </row>
    <row r="12879" spans="1:11" s="1011" customFormat="1" ht="15" x14ac:dyDescent="0.25">
      <c r="A12879" s="859">
        <f t="shared" si="274"/>
        <v>12878</v>
      </c>
      <c r="B12879" s="845" t="s">
        <v>2564</v>
      </c>
      <c r="C12879" s="1007">
        <f t="shared" si="273"/>
        <v>94</v>
      </c>
      <c r="D12879" s="1012"/>
      <c r="H12879" s="1011" t="s">
        <v>1007</v>
      </c>
      <c r="K12879" s="1013"/>
    </row>
    <row r="12880" spans="1:11" s="1011" customFormat="1" ht="15" x14ac:dyDescent="0.25">
      <c r="A12880" s="859">
        <f t="shared" si="274"/>
        <v>12879</v>
      </c>
      <c r="B12880" s="845" t="s">
        <v>2564</v>
      </c>
      <c r="C12880" s="1007">
        <f t="shared" si="273"/>
        <v>94</v>
      </c>
      <c r="D12880" s="1015"/>
      <c r="I12880" s="1011" t="s">
        <v>2182</v>
      </c>
      <c r="K12880" s="1013"/>
    </row>
    <row r="12881" spans="1:11" s="1011" customFormat="1" ht="15" x14ac:dyDescent="0.25">
      <c r="A12881" s="859">
        <f t="shared" si="274"/>
        <v>12880</v>
      </c>
      <c r="B12881" s="845" t="s">
        <v>2564</v>
      </c>
      <c r="C12881" s="1007">
        <f t="shared" si="273"/>
        <v>94</v>
      </c>
      <c r="D12881" s="1012"/>
      <c r="I12881" s="1011" t="str">
        <f>CONCATENATE("&lt;valeur&gt;",VLOOKUP(C12881,'T16 Amort'!A:K,10,0),"&lt;/valeur&gt;")</f>
        <v>&lt;valeur&gt;&lt;/valeur&gt;</v>
      </c>
      <c r="K12881" s="1013"/>
    </row>
    <row r="12882" spans="1:11" s="1011" customFormat="1" ht="15" x14ac:dyDescent="0.25">
      <c r="A12882" s="859">
        <f t="shared" si="274"/>
        <v>12881</v>
      </c>
      <c r="B12882" s="845" t="s">
        <v>2564</v>
      </c>
      <c r="C12882" s="1007">
        <f t="shared" si="273"/>
        <v>94</v>
      </c>
      <c r="D12882" s="1012"/>
      <c r="I12882" s="1011" t="str">
        <f>CONCATENATE("&lt;numeroLigne&gt;",C12882,"&lt;/numeroLigne&gt;")</f>
        <v>&lt;numeroLigne&gt;94&lt;/numeroLigne&gt;</v>
      </c>
      <c r="K12882" s="1013"/>
    </row>
    <row r="12883" spans="1:11" s="1011" customFormat="1" ht="15" x14ac:dyDescent="0.25">
      <c r="A12883" s="859">
        <f t="shared" si="274"/>
        <v>12882</v>
      </c>
      <c r="B12883" s="845" t="s">
        <v>2564</v>
      </c>
      <c r="C12883" s="1007">
        <f t="shared" si="273"/>
        <v>94</v>
      </c>
      <c r="D12883" s="1014"/>
      <c r="H12883" s="1011" t="s">
        <v>1010</v>
      </c>
      <c r="K12883" s="1013"/>
    </row>
    <row r="12884" spans="1:11" s="1011" customFormat="1" ht="15" x14ac:dyDescent="0.25">
      <c r="A12884" s="859">
        <f t="shared" si="274"/>
        <v>12883</v>
      </c>
      <c r="B12884" s="845" t="s">
        <v>2564</v>
      </c>
      <c r="C12884" s="1007">
        <f t="shared" si="273"/>
        <v>94</v>
      </c>
      <c r="D12884" s="1014"/>
      <c r="H12884" s="1011" t="s">
        <v>1007</v>
      </c>
      <c r="K12884" s="1013"/>
    </row>
    <row r="12885" spans="1:11" s="1011" customFormat="1" ht="15" x14ac:dyDescent="0.25">
      <c r="A12885" s="859">
        <f t="shared" si="274"/>
        <v>12884</v>
      </c>
      <c r="B12885" s="845" t="s">
        <v>2564</v>
      </c>
      <c r="C12885" s="1007">
        <f t="shared" si="273"/>
        <v>94</v>
      </c>
      <c r="D12885" s="1012"/>
      <c r="I12885" s="1011" t="s">
        <v>2183</v>
      </c>
      <c r="K12885" s="1013"/>
    </row>
    <row r="12886" spans="1:11" s="1011" customFormat="1" ht="15" x14ac:dyDescent="0.25">
      <c r="A12886" s="859">
        <f t="shared" si="274"/>
        <v>12885</v>
      </c>
      <c r="B12886" s="845" t="s">
        <v>2564</v>
      </c>
      <c r="C12886" s="1007">
        <f t="shared" si="273"/>
        <v>94</v>
      </c>
      <c r="D12886" s="1015"/>
      <c r="I12886" s="1011" t="str">
        <f>CONCATENATE("&lt;valeur&gt;",VLOOKUP(C12886,'T16 Amort'!A:K,11,0),"&lt;/valeur&gt;")</f>
        <v>&lt;valeur&gt;&lt;/valeur&gt;</v>
      </c>
      <c r="K12886" s="1013"/>
    </row>
    <row r="12887" spans="1:11" s="1011" customFormat="1" ht="15" x14ac:dyDescent="0.25">
      <c r="A12887" s="859">
        <f t="shared" si="274"/>
        <v>12886</v>
      </c>
      <c r="B12887" s="845" t="s">
        <v>2564</v>
      </c>
      <c r="C12887" s="1007">
        <f t="shared" si="273"/>
        <v>94</v>
      </c>
      <c r="D12887" s="1012"/>
      <c r="I12887" s="1011" t="str">
        <f>CONCATENATE("&lt;numeroLigne&gt;",C12887,"&lt;/numeroLigne&gt;")</f>
        <v>&lt;numeroLigne&gt;94&lt;/numeroLigne&gt;</v>
      </c>
      <c r="K12887" s="1013"/>
    </row>
    <row r="12888" spans="1:11" s="1011" customFormat="1" ht="15" x14ac:dyDescent="0.25">
      <c r="A12888" s="859">
        <f t="shared" si="274"/>
        <v>12887</v>
      </c>
      <c r="B12888" s="845" t="s">
        <v>2564</v>
      </c>
      <c r="C12888" s="1007">
        <f t="shared" si="273"/>
        <v>94</v>
      </c>
      <c r="D12888" s="1016"/>
      <c r="E12888" s="1017"/>
      <c r="F12888" s="1017"/>
      <c r="G12888" s="1017"/>
      <c r="H12888" s="1017" t="s">
        <v>1010</v>
      </c>
      <c r="I12888" s="1017"/>
      <c r="J12888" s="1017"/>
      <c r="K12888" s="1018"/>
    </row>
    <row r="12889" spans="1:11" s="1011" customFormat="1" ht="15" x14ac:dyDescent="0.25">
      <c r="A12889" s="859">
        <f t="shared" si="274"/>
        <v>12888</v>
      </c>
      <c r="B12889" s="845" t="s">
        <v>2564</v>
      </c>
      <c r="C12889" s="1007">
        <f t="shared" si="273"/>
        <v>95</v>
      </c>
      <c r="D12889" s="1008"/>
      <c r="E12889" s="1009"/>
      <c r="F12889" s="1009"/>
      <c r="G12889" s="1009"/>
      <c r="H12889" s="1009" t="s">
        <v>1007</v>
      </c>
      <c r="I12889" s="1009"/>
      <c r="J12889" s="1009"/>
      <c r="K12889" s="1010"/>
    </row>
    <row r="12890" spans="1:11" s="1011" customFormat="1" ht="15" x14ac:dyDescent="0.25">
      <c r="A12890" s="859">
        <f t="shared" si="274"/>
        <v>12889</v>
      </c>
      <c r="B12890" s="845" t="s">
        <v>2564</v>
      </c>
      <c r="C12890" s="1007">
        <f t="shared" si="273"/>
        <v>95</v>
      </c>
      <c r="D12890" s="1012"/>
      <c r="I12890" s="1011" t="s">
        <v>2174</v>
      </c>
      <c r="K12890" s="1013"/>
    </row>
    <row r="12891" spans="1:11" s="1011" customFormat="1" ht="15" x14ac:dyDescent="0.25">
      <c r="A12891" s="859">
        <f t="shared" si="274"/>
        <v>12890</v>
      </c>
      <c r="B12891" s="845" t="s">
        <v>2564</v>
      </c>
      <c r="C12891" s="1007">
        <f t="shared" si="273"/>
        <v>95</v>
      </c>
      <c r="D12891" s="1014"/>
      <c r="I12891" s="1011" t="str">
        <f>CONCATENATE("&lt;valeur&gt;",VLOOKUP(C12891,'T16 Amort'!A:K,2,0),"&lt;/valeur&gt;")</f>
        <v>&lt;valeur&gt;&lt;/valeur&gt;</v>
      </c>
      <c r="K12891" s="1013"/>
    </row>
    <row r="12892" spans="1:11" s="1011" customFormat="1" ht="15" x14ac:dyDescent="0.25">
      <c r="A12892" s="859">
        <f t="shared" si="274"/>
        <v>12891</v>
      </c>
      <c r="B12892" s="845" t="s">
        <v>2564</v>
      </c>
      <c r="C12892" s="1007">
        <f t="shared" si="273"/>
        <v>95</v>
      </c>
      <c r="D12892" s="1014"/>
      <c r="I12892" s="1011" t="str">
        <f>CONCATENATE("&lt;numeroLigne&gt;",C12892,"&lt;/numeroLigne&gt;")</f>
        <v>&lt;numeroLigne&gt;95&lt;/numeroLigne&gt;</v>
      </c>
      <c r="K12892" s="1013"/>
    </row>
    <row r="12893" spans="1:11" s="1011" customFormat="1" ht="15" x14ac:dyDescent="0.25">
      <c r="A12893" s="859">
        <f t="shared" si="274"/>
        <v>12892</v>
      </c>
      <c r="B12893" s="845" t="s">
        <v>2564</v>
      </c>
      <c r="C12893" s="1007">
        <f t="shared" si="273"/>
        <v>95</v>
      </c>
      <c r="D12893" s="1012"/>
      <c r="H12893" s="1011" t="s">
        <v>1010</v>
      </c>
      <c r="K12893" s="1013"/>
    </row>
    <row r="12894" spans="1:11" s="1011" customFormat="1" ht="15" x14ac:dyDescent="0.25">
      <c r="A12894" s="859">
        <f t="shared" si="274"/>
        <v>12893</v>
      </c>
      <c r="B12894" s="845" t="s">
        <v>2564</v>
      </c>
      <c r="C12894" s="1007">
        <f t="shared" si="273"/>
        <v>95</v>
      </c>
      <c r="D12894" s="1015"/>
      <c r="H12894" s="1011" t="s">
        <v>1007</v>
      </c>
      <c r="K12894" s="1013"/>
    </row>
    <row r="12895" spans="1:11" s="1011" customFormat="1" ht="15" x14ac:dyDescent="0.25">
      <c r="A12895" s="859">
        <f t="shared" si="274"/>
        <v>12894</v>
      </c>
      <c r="B12895" s="845" t="s">
        <v>2564</v>
      </c>
      <c r="C12895" s="1007">
        <f t="shared" si="273"/>
        <v>95</v>
      </c>
      <c r="D12895" s="1012"/>
      <c r="I12895" s="1011" t="s">
        <v>2175</v>
      </c>
      <c r="K12895" s="1013"/>
    </row>
    <row r="12896" spans="1:11" s="1011" customFormat="1" ht="15" x14ac:dyDescent="0.25">
      <c r="A12896" s="859">
        <f t="shared" si="274"/>
        <v>12895</v>
      </c>
      <c r="B12896" s="845" t="s">
        <v>2564</v>
      </c>
      <c r="C12896" s="1007">
        <f t="shared" si="273"/>
        <v>95</v>
      </c>
      <c r="D12896" s="1012"/>
      <c r="I12896" s="1011" t="str">
        <f>CONCATENATE("&lt;valeur&gt;",VLOOKUP(C12896,'T16 Amort'!A:K,3,0),"&lt;/valeur&gt;")</f>
        <v>&lt;valeur&gt;&lt;/valeur&gt;</v>
      </c>
      <c r="K12896" s="1013"/>
    </row>
    <row r="12897" spans="1:11" s="1011" customFormat="1" ht="15" x14ac:dyDescent="0.25">
      <c r="A12897" s="859">
        <f t="shared" si="274"/>
        <v>12896</v>
      </c>
      <c r="B12897" s="845" t="s">
        <v>2564</v>
      </c>
      <c r="C12897" s="1007">
        <f t="shared" si="273"/>
        <v>95</v>
      </c>
      <c r="D12897" s="1014"/>
      <c r="I12897" s="1011" t="str">
        <f>CONCATENATE("&lt;numeroLigne&gt;",C12897,"&lt;/numeroLigne&gt;")</f>
        <v>&lt;numeroLigne&gt;95&lt;/numeroLigne&gt;</v>
      </c>
      <c r="K12897" s="1013"/>
    </row>
    <row r="12898" spans="1:11" s="1011" customFormat="1" ht="15" x14ac:dyDescent="0.25">
      <c r="A12898" s="859">
        <f t="shared" si="274"/>
        <v>12897</v>
      </c>
      <c r="B12898" s="845" t="s">
        <v>2564</v>
      </c>
      <c r="C12898" s="1007">
        <f t="shared" si="273"/>
        <v>95</v>
      </c>
      <c r="D12898" s="1014"/>
      <c r="H12898" s="1011" t="s">
        <v>1010</v>
      </c>
      <c r="K12898" s="1013"/>
    </row>
    <row r="12899" spans="1:11" s="1011" customFormat="1" ht="15" x14ac:dyDescent="0.25">
      <c r="A12899" s="859">
        <f t="shared" si="274"/>
        <v>12898</v>
      </c>
      <c r="B12899" s="845" t="s">
        <v>2564</v>
      </c>
      <c r="C12899" s="1007">
        <f t="shared" si="273"/>
        <v>95</v>
      </c>
      <c r="D12899" s="1012"/>
      <c r="H12899" s="1011" t="s">
        <v>1007</v>
      </c>
      <c r="K12899" s="1013"/>
    </row>
    <row r="12900" spans="1:11" s="1011" customFormat="1" ht="15" x14ac:dyDescent="0.25">
      <c r="A12900" s="859">
        <f t="shared" si="274"/>
        <v>12899</v>
      </c>
      <c r="B12900" s="845" t="s">
        <v>2564</v>
      </c>
      <c r="C12900" s="1007">
        <f t="shared" si="273"/>
        <v>95</v>
      </c>
      <c r="D12900" s="1015"/>
      <c r="I12900" s="1011" t="s">
        <v>2176</v>
      </c>
      <c r="K12900" s="1013"/>
    </row>
    <row r="12901" spans="1:11" s="1011" customFormat="1" ht="15" x14ac:dyDescent="0.25">
      <c r="A12901" s="859">
        <f t="shared" si="274"/>
        <v>12900</v>
      </c>
      <c r="B12901" s="845" t="s">
        <v>2564</v>
      </c>
      <c r="C12901" s="1007">
        <f t="shared" si="273"/>
        <v>95</v>
      </c>
      <c r="D12901" s="1012"/>
      <c r="I12901" s="1011" t="str">
        <f>CONCATENATE("&lt;valeur&gt;",VLOOKUP(C12901,'T16 Amort'!A:K,4,0),"&lt;/valeur&gt;")</f>
        <v>&lt;valeur&gt;&lt;/valeur&gt;</v>
      </c>
      <c r="K12901" s="1013"/>
    </row>
    <row r="12902" spans="1:11" s="1011" customFormat="1" ht="15" x14ac:dyDescent="0.25">
      <c r="A12902" s="859">
        <f t="shared" si="274"/>
        <v>12901</v>
      </c>
      <c r="B12902" s="845" t="s">
        <v>2564</v>
      </c>
      <c r="C12902" s="1007">
        <f t="shared" si="273"/>
        <v>95</v>
      </c>
      <c r="D12902" s="1012"/>
      <c r="I12902" s="1011" t="str">
        <f>CONCATENATE("&lt;numeroLigne&gt;",C12902,"&lt;/numeroLigne&gt;")</f>
        <v>&lt;numeroLigne&gt;95&lt;/numeroLigne&gt;</v>
      </c>
      <c r="K12902" s="1013"/>
    </row>
    <row r="12903" spans="1:11" s="1011" customFormat="1" ht="15" x14ac:dyDescent="0.25">
      <c r="A12903" s="859">
        <f t="shared" si="274"/>
        <v>12902</v>
      </c>
      <c r="B12903" s="845" t="s">
        <v>2564</v>
      </c>
      <c r="C12903" s="1007">
        <f t="shared" si="273"/>
        <v>95</v>
      </c>
      <c r="D12903" s="1014"/>
      <c r="H12903" s="1011" t="s">
        <v>1010</v>
      </c>
      <c r="K12903" s="1013"/>
    </row>
    <row r="12904" spans="1:11" s="1011" customFormat="1" ht="15" x14ac:dyDescent="0.25">
      <c r="A12904" s="859">
        <f t="shared" si="274"/>
        <v>12903</v>
      </c>
      <c r="B12904" s="845" t="s">
        <v>2564</v>
      </c>
      <c r="C12904" s="1007">
        <f t="shared" si="273"/>
        <v>95</v>
      </c>
      <c r="D12904" s="1014"/>
      <c r="H12904" s="1011" t="s">
        <v>1007</v>
      </c>
      <c r="K12904" s="1013"/>
    </row>
    <row r="12905" spans="1:11" s="1011" customFormat="1" ht="15" x14ac:dyDescent="0.25">
      <c r="A12905" s="859">
        <f t="shared" si="274"/>
        <v>12904</v>
      </c>
      <c r="B12905" s="845" t="s">
        <v>2564</v>
      </c>
      <c r="C12905" s="1007">
        <f t="shared" si="273"/>
        <v>95</v>
      </c>
      <c r="D12905" s="1012"/>
      <c r="I12905" s="1011" t="s">
        <v>2177</v>
      </c>
      <c r="K12905" s="1013"/>
    </row>
    <row r="12906" spans="1:11" s="1011" customFormat="1" ht="15" x14ac:dyDescent="0.25">
      <c r="A12906" s="859">
        <f t="shared" si="274"/>
        <v>12905</v>
      </c>
      <c r="B12906" s="845" t="s">
        <v>2564</v>
      </c>
      <c r="C12906" s="1007">
        <f t="shared" si="273"/>
        <v>95</v>
      </c>
      <c r="D12906" s="1015"/>
      <c r="I12906" s="1011" t="str">
        <f>CONCATENATE("&lt;valeur&gt;",VLOOKUP(C12906,'T16 Amort'!A:K,5,0),"&lt;/valeur&gt;")</f>
        <v>&lt;valeur&gt;&lt;/valeur&gt;</v>
      </c>
      <c r="K12906" s="1013"/>
    </row>
    <row r="12907" spans="1:11" s="1011" customFormat="1" ht="15" x14ac:dyDescent="0.25">
      <c r="A12907" s="859">
        <f t="shared" si="274"/>
        <v>12906</v>
      </c>
      <c r="B12907" s="845" t="s">
        <v>2564</v>
      </c>
      <c r="C12907" s="1007">
        <f t="shared" si="273"/>
        <v>95</v>
      </c>
      <c r="D12907" s="1012"/>
      <c r="I12907" s="1011" t="str">
        <f>CONCATENATE("&lt;numeroLigne&gt;",C12907,"&lt;/numeroLigne&gt;")</f>
        <v>&lt;numeroLigne&gt;95&lt;/numeroLigne&gt;</v>
      </c>
      <c r="K12907" s="1013"/>
    </row>
    <row r="12908" spans="1:11" s="1011" customFormat="1" ht="15" x14ac:dyDescent="0.25">
      <c r="A12908" s="859">
        <f t="shared" si="274"/>
        <v>12907</v>
      </c>
      <c r="B12908" s="845" t="s">
        <v>2564</v>
      </c>
      <c r="C12908" s="1007">
        <f t="shared" si="273"/>
        <v>95</v>
      </c>
      <c r="D12908" s="1012"/>
      <c r="H12908" s="1011" t="s">
        <v>1010</v>
      </c>
      <c r="K12908" s="1013"/>
    </row>
    <row r="12909" spans="1:11" s="1011" customFormat="1" ht="15" x14ac:dyDescent="0.25">
      <c r="A12909" s="859">
        <f t="shared" si="274"/>
        <v>12908</v>
      </c>
      <c r="B12909" s="845" t="s">
        <v>2564</v>
      </c>
      <c r="C12909" s="1007">
        <f t="shared" si="273"/>
        <v>95</v>
      </c>
      <c r="D12909" s="1014"/>
      <c r="H12909" s="1011" t="s">
        <v>1007</v>
      </c>
      <c r="K12909" s="1013"/>
    </row>
    <row r="12910" spans="1:11" s="1011" customFormat="1" ht="15" x14ac:dyDescent="0.25">
      <c r="A12910" s="859">
        <f t="shared" si="274"/>
        <v>12909</v>
      </c>
      <c r="B12910" s="845" t="s">
        <v>2564</v>
      </c>
      <c r="C12910" s="1007">
        <f t="shared" si="273"/>
        <v>95</v>
      </c>
      <c r="D12910" s="1014"/>
      <c r="I12910" s="1011" t="s">
        <v>2178</v>
      </c>
      <c r="K12910" s="1013"/>
    </row>
    <row r="12911" spans="1:11" s="1011" customFormat="1" ht="15" x14ac:dyDescent="0.25">
      <c r="A12911" s="859">
        <f t="shared" si="274"/>
        <v>12910</v>
      </c>
      <c r="B12911" s="845" t="s">
        <v>2564</v>
      </c>
      <c r="C12911" s="1007">
        <f t="shared" ref="C12911:C12974" si="275">C12861+1</f>
        <v>95</v>
      </c>
      <c r="D12911" s="1012"/>
      <c r="I12911" s="1011" t="str">
        <f>CONCATENATE("&lt;valeur&gt;",VLOOKUP(C12911,'T16 Amort'!A:K,6,0),"&lt;/valeur&gt;")</f>
        <v>&lt;valeur&gt;&lt;/valeur&gt;</v>
      </c>
      <c r="K12911" s="1013"/>
    </row>
    <row r="12912" spans="1:11" s="1011" customFormat="1" ht="15" x14ac:dyDescent="0.25">
      <c r="A12912" s="859">
        <f t="shared" si="274"/>
        <v>12911</v>
      </c>
      <c r="B12912" s="845" t="s">
        <v>2564</v>
      </c>
      <c r="C12912" s="1007">
        <f t="shared" si="275"/>
        <v>95</v>
      </c>
      <c r="D12912" s="1015"/>
      <c r="I12912" s="1011" t="str">
        <f>CONCATENATE("&lt;numeroLigne&gt;",C12912,"&lt;/numeroLigne&gt;")</f>
        <v>&lt;numeroLigne&gt;95&lt;/numeroLigne&gt;</v>
      </c>
      <c r="K12912" s="1013"/>
    </row>
    <row r="12913" spans="1:11" s="1011" customFormat="1" ht="15" x14ac:dyDescent="0.25">
      <c r="A12913" s="859">
        <f t="shared" si="274"/>
        <v>12912</v>
      </c>
      <c r="B12913" s="845" t="s">
        <v>2564</v>
      </c>
      <c r="C12913" s="1007">
        <f t="shared" si="275"/>
        <v>95</v>
      </c>
      <c r="D12913" s="1012"/>
      <c r="H12913" s="1011" t="s">
        <v>1010</v>
      </c>
      <c r="K12913" s="1013"/>
    </row>
    <row r="12914" spans="1:11" s="1011" customFormat="1" ht="15" x14ac:dyDescent="0.25">
      <c r="A12914" s="859">
        <f t="shared" si="274"/>
        <v>12913</v>
      </c>
      <c r="B12914" s="845" t="s">
        <v>2564</v>
      </c>
      <c r="C12914" s="1007">
        <f t="shared" si="275"/>
        <v>95</v>
      </c>
      <c r="D12914" s="1012"/>
      <c r="H12914" s="1011" t="s">
        <v>1007</v>
      </c>
      <c r="K12914" s="1013"/>
    </row>
    <row r="12915" spans="1:11" s="1011" customFormat="1" ht="15" x14ac:dyDescent="0.25">
      <c r="A12915" s="859">
        <f t="shared" si="274"/>
        <v>12914</v>
      </c>
      <c r="B12915" s="845" t="s">
        <v>2564</v>
      </c>
      <c r="C12915" s="1007">
        <f t="shared" si="275"/>
        <v>95</v>
      </c>
      <c r="D12915" s="1014"/>
      <c r="I12915" s="1011" t="s">
        <v>2179</v>
      </c>
      <c r="K12915" s="1013"/>
    </row>
    <row r="12916" spans="1:11" s="1011" customFormat="1" ht="15" x14ac:dyDescent="0.25">
      <c r="A12916" s="859">
        <f t="shared" si="274"/>
        <v>12915</v>
      </c>
      <c r="B12916" s="845" t="s">
        <v>2564</v>
      </c>
      <c r="C12916" s="1007">
        <f t="shared" si="275"/>
        <v>95</v>
      </c>
      <c r="D12916" s="1014"/>
      <c r="I12916" s="1011" t="str">
        <f>CONCATENATE("&lt;valeur&gt;",VLOOKUP(C12916,'T16 Amort'!A:K,7,0),"&lt;/valeur&gt;")</f>
        <v>&lt;valeur&gt;&lt;/valeur&gt;</v>
      </c>
      <c r="K12916" s="1013"/>
    </row>
    <row r="12917" spans="1:11" s="1011" customFormat="1" ht="15" x14ac:dyDescent="0.25">
      <c r="A12917" s="859">
        <f t="shared" si="274"/>
        <v>12916</v>
      </c>
      <c r="B12917" s="845" t="s">
        <v>2564</v>
      </c>
      <c r="C12917" s="1007">
        <f t="shared" si="275"/>
        <v>95</v>
      </c>
      <c r="D12917" s="1012"/>
      <c r="I12917" s="1011" t="str">
        <f>CONCATENATE("&lt;numeroLigne&gt;",C12917,"&lt;/numeroLigne&gt;")</f>
        <v>&lt;numeroLigne&gt;95&lt;/numeroLigne&gt;</v>
      </c>
      <c r="K12917" s="1013"/>
    </row>
    <row r="12918" spans="1:11" s="1011" customFormat="1" ht="15" x14ac:dyDescent="0.25">
      <c r="A12918" s="859">
        <f t="shared" si="274"/>
        <v>12917</v>
      </c>
      <c r="B12918" s="845" t="s">
        <v>2564</v>
      </c>
      <c r="C12918" s="1007">
        <f t="shared" si="275"/>
        <v>95</v>
      </c>
      <c r="D12918" s="1015"/>
      <c r="H12918" s="1011" t="s">
        <v>1010</v>
      </c>
      <c r="K12918" s="1013"/>
    </row>
    <row r="12919" spans="1:11" s="1011" customFormat="1" ht="15" x14ac:dyDescent="0.25">
      <c r="A12919" s="859">
        <f t="shared" si="274"/>
        <v>12918</v>
      </c>
      <c r="B12919" s="845" t="s">
        <v>2564</v>
      </c>
      <c r="C12919" s="1007">
        <f t="shared" si="275"/>
        <v>95</v>
      </c>
      <c r="D12919" s="1012"/>
      <c r="H12919" s="1011" t="s">
        <v>1007</v>
      </c>
      <c r="K12919" s="1013"/>
    </row>
    <row r="12920" spans="1:11" s="1011" customFormat="1" ht="15" x14ac:dyDescent="0.25">
      <c r="A12920" s="859">
        <f t="shared" si="274"/>
        <v>12919</v>
      </c>
      <c r="B12920" s="845" t="s">
        <v>2564</v>
      </c>
      <c r="C12920" s="1007">
        <f t="shared" si="275"/>
        <v>95</v>
      </c>
      <c r="D12920" s="1012"/>
      <c r="I12920" s="1011" t="s">
        <v>2180</v>
      </c>
      <c r="K12920" s="1013"/>
    </row>
    <row r="12921" spans="1:11" s="1011" customFormat="1" ht="15" x14ac:dyDescent="0.25">
      <c r="A12921" s="859">
        <f t="shared" si="274"/>
        <v>12920</v>
      </c>
      <c r="B12921" s="845" t="s">
        <v>2564</v>
      </c>
      <c r="C12921" s="1007">
        <f t="shared" si="275"/>
        <v>95</v>
      </c>
      <c r="D12921" s="1014"/>
      <c r="I12921" s="1011" t="str">
        <f>CONCATENATE("&lt;valeur&gt;",VLOOKUP(C12921,'T16 Amort'!A:K,8,0),"&lt;/valeur&gt;")</f>
        <v>&lt;valeur&gt;&lt;/valeur&gt;</v>
      </c>
      <c r="K12921" s="1013"/>
    </row>
    <row r="12922" spans="1:11" s="1011" customFormat="1" ht="15" x14ac:dyDescent="0.25">
      <c r="A12922" s="859">
        <f t="shared" si="274"/>
        <v>12921</v>
      </c>
      <c r="B12922" s="845" t="s">
        <v>2564</v>
      </c>
      <c r="C12922" s="1007">
        <f t="shared" si="275"/>
        <v>95</v>
      </c>
      <c r="D12922" s="1014"/>
      <c r="I12922" s="1011" t="str">
        <f>CONCATENATE("&lt;numeroLigne&gt;",C12922,"&lt;/numeroLigne&gt;")</f>
        <v>&lt;numeroLigne&gt;95&lt;/numeroLigne&gt;</v>
      </c>
      <c r="K12922" s="1013"/>
    </row>
    <row r="12923" spans="1:11" s="1011" customFormat="1" ht="15" x14ac:dyDescent="0.25">
      <c r="A12923" s="859">
        <f t="shared" si="274"/>
        <v>12922</v>
      </c>
      <c r="B12923" s="845" t="s">
        <v>2564</v>
      </c>
      <c r="C12923" s="1007">
        <f t="shared" si="275"/>
        <v>95</v>
      </c>
      <c r="D12923" s="1012"/>
      <c r="H12923" s="1011" t="s">
        <v>1010</v>
      </c>
      <c r="K12923" s="1013"/>
    </row>
    <row r="12924" spans="1:11" s="1011" customFormat="1" ht="15" x14ac:dyDescent="0.25">
      <c r="A12924" s="859">
        <f t="shared" si="274"/>
        <v>12923</v>
      </c>
      <c r="B12924" s="845" t="s">
        <v>2564</v>
      </c>
      <c r="C12924" s="1007">
        <f t="shared" si="275"/>
        <v>95</v>
      </c>
      <c r="D12924" s="1015"/>
      <c r="H12924" s="1011" t="s">
        <v>1007</v>
      </c>
      <c r="K12924" s="1013"/>
    </row>
    <row r="12925" spans="1:11" s="1011" customFormat="1" ht="15" x14ac:dyDescent="0.25">
      <c r="A12925" s="859">
        <f t="shared" si="274"/>
        <v>12924</v>
      </c>
      <c r="B12925" s="845" t="s">
        <v>2564</v>
      </c>
      <c r="C12925" s="1007">
        <f t="shared" si="275"/>
        <v>95</v>
      </c>
      <c r="D12925" s="1012"/>
      <c r="I12925" s="1011" t="s">
        <v>2181</v>
      </c>
      <c r="K12925" s="1013"/>
    </row>
    <row r="12926" spans="1:11" s="1011" customFormat="1" ht="15" x14ac:dyDescent="0.25">
      <c r="A12926" s="859">
        <f t="shared" si="274"/>
        <v>12925</v>
      </c>
      <c r="B12926" s="845" t="s">
        <v>2564</v>
      </c>
      <c r="C12926" s="1007">
        <f t="shared" si="275"/>
        <v>95</v>
      </c>
      <c r="D12926" s="1012"/>
      <c r="I12926" s="1011" t="str">
        <f>CONCATENATE("&lt;valeur&gt;",VLOOKUP(C12926,'T16 Amort'!A:K,9,0),"&lt;/valeur&gt;")</f>
        <v>&lt;valeur&gt;&lt;/valeur&gt;</v>
      </c>
      <c r="K12926" s="1013"/>
    </row>
    <row r="12927" spans="1:11" s="1011" customFormat="1" ht="15" x14ac:dyDescent="0.25">
      <c r="A12927" s="859">
        <f t="shared" si="274"/>
        <v>12926</v>
      </c>
      <c r="B12927" s="845" t="s">
        <v>2564</v>
      </c>
      <c r="C12927" s="1007">
        <f t="shared" si="275"/>
        <v>95</v>
      </c>
      <c r="D12927" s="1014"/>
      <c r="I12927" s="1011" t="str">
        <f>CONCATENATE("&lt;numeroLigne&gt;",C12927,"&lt;/numeroLigne&gt;")</f>
        <v>&lt;numeroLigne&gt;95&lt;/numeroLigne&gt;</v>
      </c>
      <c r="K12927" s="1013"/>
    </row>
    <row r="12928" spans="1:11" s="1011" customFormat="1" ht="15" x14ac:dyDescent="0.25">
      <c r="A12928" s="859">
        <f t="shared" si="274"/>
        <v>12927</v>
      </c>
      <c r="B12928" s="845" t="s">
        <v>2564</v>
      </c>
      <c r="C12928" s="1007">
        <f t="shared" si="275"/>
        <v>95</v>
      </c>
      <c r="D12928" s="1014"/>
      <c r="H12928" s="1011" t="s">
        <v>1010</v>
      </c>
      <c r="K12928" s="1013"/>
    </row>
    <row r="12929" spans="1:11" s="1011" customFormat="1" ht="15" x14ac:dyDescent="0.25">
      <c r="A12929" s="859">
        <f t="shared" si="274"/>
        <v>12928</v>
      </c>
      <c r="B12929" s="845" t="s">
        <v>2564</v>
      </c>
      <c r="C12929" s="1007">
        <f t="shared" si="275"/>
        <v>95</v>
      </c>
      <c r="D12929" s="1012"/>
      <c r="H12929" s="1011" t="s">
        <v>1007</v>
      </c>
      <c r="K12929" s="1013"/>
    </row>
    <row r="12930" spans="1:11" s="1011" customFormat="1" ht="15" x14ac:dyDescent="0.25">
      <c r="A12930" s="859">
        <f t="shared" si="274"/>
        <v>12929</v>
      </c>
      <c r="B12930" s="845" t="s">
        <v>2564</v>
      </c>
      <c r="C12930" s="1007">
        <f t="shared" si="275"/>
        <v>95</v>
      </c>
      <c r="D12930" s="1015"/>
      <c r="I12930" s="1011" t="s">
        <v>2182</v>
      </c>
      <c r="K12930" s="1013"/>
    </row>
    <row r="12931" spans="1:11" s="1011" customFormat="1" ht="15" x14ac:dyDescent="0.25">
      <c r="A12931" s="859">
        <f t="shared" si="274"/>
        <v>12930</v>
      </c>
      <c r="B12931" s="845" t="s">
        <v>2564</v>
      </c>
      <c r="C12931" s="1007">
        <f t="shared" si="275"/>
        <v>95</v>
      </c>
      <c r="D12931" s="1012"/>
      <c r="I12931" s="1011" t="str">
        <f>CONCATENATE("&lt;valeur&gt;",VLOOKUP(C12931,'T16 Amort'!A:K,10,0),"&lt;/valeur&gt;")</f>
        <v>&lt;valeur&gt;&lt;/valeur&gt;</v>
      </c>
      <c r="K12931" s="1013"/>
    </row>
    <row r="12932" spans="1:11" s="1011" customFormat="1" ht="15" x14ac:dyDescent="0.25">
      <c r="A12932" s="859">
        <f t="shared" ref="A12932:A12995" si="276">+A12931+1</f>
        <v>12931</v>
      </c>
      <c r="B12932" s="845" t="s">
        <v>2564</v>
      </c>
      <c r="C12932" s="1007">
        <f t="shared" si="275"/>
        <v>95</v>
      </c>
      <c r="D12932" s="1012"/>
      <c r="I12932" s="1011" t="str">
        <f>CONCATENATE("&lt;numeroLigne&gt;",C12932,"&lt;/numeroLigne&gt;")</f>
        <v>&lt;numeroLigne&gt;95&lt;/numeroLigne&gt;</v>
      </c>
      <c r="K12932" s="1013"/>
    </row>
    <row r="12933" spans="1:11" s="1011" customFormat="1" ht="15" x14ac:dyDescent="0.25">
      <c r="A12933" s="859">
        <f t="shared" si="276"/>
        <v>12932</v>
      </c>
      <c r="B12933" s="845" t="s">
        <v>2564</v>
      </c>
      <c r="C12933" s="1007">
        <f t="shared" si="275"/>
        <v>95</v>
      </c>
      <c r="D12933" s="1014"/>
      <c r="H12933" s="1011" t="s">
        <v>1010</v>
      </c>
      <c r="K12933" s="1013"/>
    </row>
    <row r="12934" spans="1:11" s="1011" customFormat="1" ht="15" x14ac:dyDescent="0.25">
      <c r="A12934" s="859">
        <f t="shared" si="276"/>
        <v>12933</v>
      </c>
      <c r="B12934" s="845" t="s">
        <v>2564</v>
      </c>
      <c r="C12934" s="1007">
        <f t="shared" si="275"/>
        <v>95</v>
      </c>
      <c r="D12934" s="1014"/>
      <c r="H12934" s="1011" t="s">
        <v>1007</v>
      </c>
      <c r="K12934" s="1013"/>
    </row>
    <row r="12935" spans="1:11" s="1011" customFormat="1" ht="15" x14ac:dyDescent="0.25">
      <c r="A12935" s="859">
        <f t="shared" si="276"/>
        <v>12934</v>
      </c>
      <c r="B12935" s="845" t="s">
        <v>2564</v>
      </c>
      <c r="C12935" s="1007">
        <f t="shared" si="275"/>
        <v>95</v>
      </c>
      <c r="D12935" s="1012"/>
      <c r="I12935" s="1011" t="s">
        <v>2183</v>
      </c>
      <c r="K12935" s="1013"/>
    </row>
    <row r="12936" spans="1:11" s="1011" customFormat="1" ht="15" x14ac:dyDescent="0.25">
      <c r="A12936" s="859">
        <f t="shared" si="276"/>
        <v>12935</v>
      </c>
      <c r="B12936" s="845" t="s">
        <v>2564</v>
      </c>
      <c r="C12936" s="1007">
        <f t="shared" si="275"/>
        <v>95</v>
      </c>
      <c r="D12936" s="1015"/>
      <c r="I12936" s="1011" t="str">
        <f>CONCATENATE("&lt;valeur&gt;",VLOOKUP(C12936,'T16 Amort'!A:K,11,0),"&lt;/valeur&gt;")</f>
        <v>&lt;valeur&gt;&lt;/valeur&gt;</v>
      </c>
      <c r="K12936" s="1013"/>
    </row>
    <row r="12937" spans="1:11" s="1011" customFormat="1" ht="15" x14ac:dyDescent="0.25">
      <c r="A12937" s="859">
        <f t="shared" si="276"/>
        <v>12936</v>
      </c>
      <c r="B12937" s="845" t="s">
        <v>2564</v>
      </c>
      <c r="C12937" s="1007">
        <f t="shared" si="275"/>
        <v>95</v>
      </c>
      <c r="D12937" s="1012"/>
      <c r="I12937" s="1011" t="str">
        <f>CONCATENATE("&lt;numeroLigne&gt;",C12937,"&lt;/numeroLigne&gt;")</f>
        <v>&lt;numeroLigne&gt;95&lt;/numeroLigne&gt;</v>
      </c>
      <c r="K12937" s="1013"/>
    </row>
    <row r="12938" spans="1:11" s="1011" customFormat="1" ht="15" x14ac:dyDescent="0.25">
      <c r="A12938" s="859">
        <f t="shared" si="276"/>
        <v>12937</v>
      </c>
      <c r="B12938" s="845" t="s">
        <v>2564</v>
      </c>
      <c r="C12938" s="1007">
        <f t="shared" si="275"/>
        <v>95</v>
      </c>
      <c r="D12938" s="1016"/>
      <c r="E12938" s="1017"/>
      <c r="F12938" s="1017"/>
      <c r="G12938" s="1017"/>
      <c r="H12938" s="1017" t="s">
        <v>1010</v>
      </c>
      <c r="I12938" s="1017"/>
      <c r="J12938" s="1017"/>
      <c r="K12938" s="1018"/>
    </row>
    <row r="12939" spans="1:11" s="1011" customFormat="1" ht="15" x14ac:dyDescent="0.25">
      <c r="A12939" s="859">
        <f t="shared" si="276"/>
        <v>12938</v>
      </c>
      <c r="B12939" s="845" t="s">
        <v>2564</v>
      </c>
      <c r="C12939" s="1007">
        <f t="shared" si="275"/>
        <v>96</v>
      </c>
      <c r="D12939" s="1008"/>
      <c r="E12939" s="1009"/>
      <c r="F12939" s="1009"/>
      <c r="G12939" s="1009"/>
      <c r="H12939" s="1009" t="s">
        <v>1007</v>
      </c>
      <c r="I12939" s="1009"/>
      <c r="J12939" s="1009"/>
      <c r="K12939" s="1010"/>
    </row>
    <row r="12940" spans="1:11" s="1011" customFormat="1" ht="15" x14ac:dyDescent="0.25">
      <c r="A12940" s="859">
        <f t="shared" si="276"/>
        <v>12939</v>
      </c>
      <c r="B12940" s="845" t="s">
        <v>2564</v>
      </c>
      <c r="C12940" s="1007">
        <f t="shared" si="275"/>
        <v>96</v>
      </c>
      <c r="D12940" s="1012"/>
      <c r="I12940" s="1011" t="s">
        <v>2174</v>
      </c>
      <c r="K12940" s="1013"/>
    </row>
    <row r="12941" spans="1:11" s="1011" customFormat="1" ht="15" x14ac:dyDescent="0.25">
      <c r="A12941" s="859">
        <f t="shared" si="276"/>
        <v>12940</v>
      </c>
      <c r="B12941" s="845" t="s">
        <v>2564</v>
      </c>
      <c r="C12941" s="1007">
        <f t="shared" si="275"/>
        <v>96</v>
      </c>
      <c r="D12941" s="1014"/>
      <c r="I12941" s="1011" t="str">
        <f>CONCATENATE("&lt;valeur&gt;",VLOOKUP(C12941,'T16 Amort'!A:K,2,0),"&lt;/valeur&gt;")</f>
        <v>&lt;valeur&gt;&lt;/valeur&gt;</v>
      </c>
      <c r="K12941" s="1013"/>
    </row>
    <row r="12942" spans="1:11" s="1011" customFormat="1" ht="15" x14ac:dyDescent="0.25">
      <c r="A12942" s="859">
        <f t="shared" si="276"/>
        <v>12941</v>
      </c>
      <c r="B12942" s="845" t="s">
        <v>2564</v>
      </c>
      <c r="C12942" s="1007">
        <f t="shared" si="275"/>
        <v>96</v>
      </c>
      <c r="D12942" s="1014"/>
      <c r="I12942" s="1011" t="str">
        <f>CONCATENATE("&lt;numeroLigne&gt;",C12942,"&lt;/numeroLigne&gt;")</f>
        <v>&lt;numeroLigne&gt;96&lt;/numeroLigne&gt;</v>
      </c>
      <c r="K12942" s="1013"/>
    </row>
    <row r="12943" spans="1:11" s="1011" customFormat="1" ht="15" x14ac:dyDescent="0.25">
      <c r="A12943" s="859">
        <f t="shared" si="276"/>
        <v>12942</v>
      </c>
      <c r="B12943" s="845" t="s">
        <v>2564</v>
      </c>
      <c r="C12943" s="1007">
        <f t="shared" si="275"/>
        <v>96</v>
      </c>
      <c r="D12943" s="1012"/>
      <c r="H12943" s="1011" t="s">
        <v>1010</v>
      </c>
      <c r="K12943" s="1013"/>
    </row>
    <row r="12944" spans="1:11" s="1011" customFormat="1" ht="15" x14ac:dyDescent="0.25">
      <c r="A12944" s="859">
        <f t="shared" si="276"/>
        <v>12943</v>
      </c>
      <c r="B12944" s="845" t="s">
        <v>2564</v>
      </c>
      <c r="C12944" s="1007">
        <f t="shared" si="275"/>
        <v>96</v>
      </c>
      <c r="D12944" s="1015"/>
      <c r="H12944" s="1011" t="s">
        <v>1007</v>
      </c>
      <c r="K12944" s="1013"/>
    </row>
    <row r="12945" spans="1:11" s="1011" customFormat="1" ht="15" x14ac:dyDescent="0.25">
      <c r="A12945" s="859">
        <f t="shared" si="276"/>
        <v>12944</v>
      </c>
      <c r="B12945" s="845" t="s">
        <v>2564</v>
      </c>
      <c r="C12945" s="1007">
        <f t="shared" si="275"/>
        <v>96</v>
      </c>
      <c r="D12945" s="1012"/>
      <c r="I12945" s="1011" t="s">
        <v>2175</v>
      </c>
      <c r="K12945" s="1013"/>
    </row>
    <row r="12946" spans="1:11" s="1011" customFormat="1" ht="15" x14ac:dyDescent="0.25">
      <c r="A12946" s="859">
        <f t="shared" si="276"/>
        <v>12945</v>
      </c>
      <c r="B12946" s="845" t="s">
        <v>2564</v>
      </c>
      <c r="C12946" s="1007">
        <f t="shared" si="275"/>
        <v>96</v>
      </c>
      <c r="D12946" s="1012"/>
      <c r="I12946" s="1011" t="str">
        <f>CONCATENATE("&lt;valeur&gt;",VLOOKUP(C12946,'T16 Amort'!A:K,3,0),"&lt;/valeur&gt;")</f>
        <v>&lt;valeur&gt;&lt;/valeur&gt;</v>
      </c>
      <c r="K12946" s="1013"/>
    </row>
    <row r="12947" spans="1:11" s="1011" customFormat="1" ht="15" x14ac:dyDescent="0.25">
      <c r="A12947" s="859">
        <f t="shared" si="276"/>
        <v>12946</v>
      </c>
      <c r="B12947" s="845" t="s">
        <v>2564</v>
      </c>
      <c r="C12947" s="1007">
        <f t="shared" si="275"/>
        <v>96</v>
      </c>
      <c r="D12947" s="1014"/>
      <c r="I12947" s="1011" t="str">
        <f>CONCATENATE("&lt;numeroLigne&gt;",C12947,"&lt;/numeroLigne&gt;")</f>
        <v>&lt;numeroLigne&gt;96&lt;/numeroLigne&gt;</v>
      </c>
      <c r="K12947" s="1013"/>
    </row>
    <row r="12948" spans="1:11" s="1011" customFormat="1" ht="15" x14ac:dyDescent="0.25">
      <c r="A12948" s="859">
        <f t="shared" si="276"/>
        <v>12947</v>
      </c>
      <c r="B12948" s="845" t="s">
        <v>2564</v>
      </c>
      <c r="C12948" s="1007">
        <f t="shared" si="275"/>
        <v>96</v>
      </c>
      <c r="D12948" s="1014"/>
      <c r="H12948" s="1011" t="s">
        <v>1010</v>
      </c>
      <c r="K12948" s="1013"/>
    </row>
    <row r="12949" spans="1:11" s="1011" customFormat="1" ht="15" x14ac:dyDescent="0.25">
      <c r="A12949" s="859">
        <f t="shared" si="276"/>
        <v>12948</v>
      </c>
      <c r="B12949" s="845" t="s">
        <v>2564</v>
      </c>
      <c r="C12949" s="1007">
        <f t="shared" si="275"/>
        <v>96</v>
      </c>
      <c r="D12949" s="1012"/>
      <c r="H12949" s="1011" t="s">
        <v>1007</v>
      </c>
      <c r="K12949" s="1013"/>
    </row>
    <row r="12950" spans="1:11" s="1011" customFormat="1" ht="15" x14ac:dyDescent="0.25">
      <c r="A12950" s="859">
        <f t="shared" si="276"/>
        <v>12949</v>
      </c>
      <c r="B12950" s="845" t="s">
        <v>2564</v>
      </c>
      <c r="C12950" s="1007">
        <f t="shared" si="275"/>
        <v>96</v>
      </c>
      <c r="D12950" s="1015"/>
      <c r="I12950" s="1011" t="s">
        <v>2176</v>
      </c>
      <c r="K12950" s="1013"/>
    </row>
    <row r="12951" spans="1:11" s="1011" customFormat="1" ht="15" x14ac:dyDescent="0.25">
      <c r="A12951" s="859">
        <f t="shared" si="276"/>
        <v>12950</v>
      </c>
      <c r="B12951" s="845" t="s">
        <v>2564</v>
      </c>
      <c r="C12951" s="1007">
        <f t="shared" si="275"/>
        <v>96</v>
      </c>
      <c r="D12951" s="1012"/>
      <c r="I12951" s="1011" t="str">
        <f>CONCATENATE("&lt;valeur&gt;",VLOOKUP(C12951,'T16 Amort'!A:K,4,0),"&lt;/valeur&gt;")</f>
        <v>&lt;valeur&gt;&lt;/valeur&gt;</v>
      </c>
      <c r="K12951" s="1013"/>
    </row>
    <row r="12952" spans="1:11" s="1011" customFormat="1" ht="15" x14ac:dyDescent="0.25">
      <c r="A12952" s="859">
        <f t="shared" si="276"/>
        <v>12951</v>
      </c>
      <c r="B12952" s="845" t="s">
        <v>2564</v>
      </c>
      <c r="C12952" s="1007">
        <f t="shared" si="275"/>
        <v>96</v>
      </c>
      <c r="D12952" s="1012"/>
      <c r="I12952" s="1011" t="str">
        <f>CONCATENATE("&lt;numeroLigne&gt;",C12952,"&lt;/numeroLigne&gt;")</f>
        <v>&lt;numeroLigne&gt;96&lt;/numeroLigne&gt;</v>
      </c>
      <c r="K12952" s="1013"/>
    </row>
    <row r="12953" spans="1:11" s="1011" customFormat="1" ht="15" x14ac:dyDescent="0.25">
      <c r="A12953" s="859">
        <f t="shared" si="276"/>
        <v>12952</v>
      </c>
      <c r="B12953" s="845" t="s">
        <v>2564</v>
      </c>
      <c r="C12953" s="1007">
        <f t="shared" si="275"/>
        <v>96</v>
      </c>
      <c r="D12953" s="1014"/>
      <c r="H12953" s="1011" t="s">
        <v>1010</v>
      </c>
      <c r="K12953" s="1013"/>
    </row>
    <row r="12954" spans="1:11" s="1011" customFormat="1" ht="15" x14ac:dyDescent="0.25">
      <c r="A12954" s="859">
        <f t="shared" si="276"/>
        <v>12953</v>
      </c>
      <c r="B12954" s="845" t="s">
        <v>2564</v>
      </c>
      <c r="C12954" s="1007">
        <f t="shared" si="275"/>
        <v>96</v>
      </c>
      <c r="D12954" s="1014"/>
      <c r="H12954" s="1011" t="s">
        <v>1007</v>
      </c>
      <c r="K12954" s="1013"/>
    </row>
    <row r="12955" spans="1:11" s="1011" customFormat="1" ht="15" x14ac:dyDescent="0.25">
      <c r="A12955" s="859">
        <f t="shared" si="276"/>
        <v>12954</v>
      </c>
      <c r="B12955" s="845" t="s">
        <v>2564</v>
      </c>
      <c r="C12955" s="1007">
        <f t="shared" si="275"/>
        <v>96</v>
      </c>
      <c r="D12955" s="1012"/>
      <c r="I12955" s="1011" t="s">
        <v>2177</v>
      </c>
      <c r="K12955" s="1013"/>
    </row>
    <row r="12956" spans="1:11" s="1011" customFormat="1" ht="15" x14ac:dyDescent="0.25">
      <c r="A12956" s="859">
        <f t="shared" si="276"/>
        <v>12955</v>
      </c>
      <c r="B12956" s="845" t="s">
        <v>2564</v>
      </c>
      <c r="C12956" s="1007">
        <f t="shared" si="275"/>
        <v>96</v>
      </c>
      <c r="D12956" s="1015"/>
      <c r="I12956" s="1011" t="str">
        <f>CONCATENATE("&lt;valeur&gt;",VLOOKUP(C12956,'T16 Amort'!A:K,5,0),"&lt;/valeur&gt;")</f>
        <v>&lt;valeur&gt;&lt;/valeur&gt;</v>
      </c>
      <c r="K12956" s="1013"/>
    </row>
    <row r="12957" spans="1:11" s="1011" customFormat="1" ht="15" x14ac:dyDescent="0.25">
      <c r="A12957" s="859">
        <f t="shared" si="276"/>
        <v>12956</v>
      </c>
      <c r="B12957" s="845" t="s">
        <v>2564</v>
      </c>
      <c r="C12957" s="1007">
        <f t="shared" si="275"/>
        <v>96</v>
      </c>
      <c r="D12957" s="1012"/>
      <c r="I12957" s="1011" t="str">
        <f>CONCATENATE("&lt;numeroLigne&gt;",C12957,"&lt;/numeroLigne&gt;")</f>
        <v>&lt;numeroLigne&gt;96&lt;/numeroLigne&gt;</v>
      </c>
      <c r="K12957" s="1013"/>
    </row>
    <row r="12958" spans="1:11" s="1011" customFormat="1" ht="15" x14ac:dyDescent="0.25">
      <c r="A12958" s="859">
        <f t="shared" si="276"/>
        <v>12957</v>
      </c>
      <c r="B12958" s="845" t="s">
        <v>2564</v>
      </c>
      <c r="C12958" s="1007">
        <f t="shared" si="275"/>
        <v>96</v>
      </c>
      <c r="D12958" s="1012"/>
      <c r="H12958" s="1011" t="s">
        <v>1010</v>
      </c>
      <c r="K12958" s="1013"/>
    </row>
    <row r="12959" spans="1:11" s="1011" customFormat="1" ht="15" x14ac:dyDescent="0.25">
      <c r="A12959" s="859">
        <f t="shared" si="276"/>
        <v>12958</v>
      </c>
      <c r="B12959" s="845" t="s">
        <v>2564</v>
      </c>
      <c r="C12959" s="1007">
        <f t="shared" si="275"/>
        <v>96</v>
      </c>
      <c r="D12959" s="1014"/>
      <c r="H12959" s="1011" t="s">
        <v>1007</v>
      </c>
      <c r="K12959" s="1013"/>
    </row>
    <row r="12960" spans="1:11" s="1011" customFormat="1" ht="15" x14ac:dyDescent="0.25">
      <c r="A12960" s="859">
        <f t="shared" si="276"/>
        <v>12959</v>
      </c>
      <c r="B12960" s="845" t="s">
        <v>2564</v>
      </c>
      <c r="C12960" s="1007">
        <f t="shared" si="275"/>
        <v>96</v>
      </c>
      <c r="D12960" s="1014"/>
      <c r="I12960" s="1011" t="s">
        <v>2178</v>
      </c>
      <c r="K12960" s="1013"/>
    </row>
    <row r="12961" spans="1:11" s="1011" customFormat="1" ht="15" x14ac:dyDescent="0.25">
      <c r="A12961" s="859">
        <f t="shared" si="276"/>
        <v>12960</v>
      </c>
      <c r="B12961" s="845" t="s">
        <v>2564</v>
      </c>
      <c r="C12961" s="1007">
        <f t="shared" si="275"/>
        <v>96</v>
      </c>
      <c r="D12961" s="1012"/>
      <c r="I12961" s="1011" t="str">
        <f>CONCATENATE("&lt;valeur&gt;",VLOOKUP(C12961,'T16 Amort'!A:K,6,0),"&lt;/valeur&gt;")</f>
        <v>&lt;valeur&gt;&lt;/valeur&gt;</v>
      </c>
      <c r="K12961" s="1013"/>
    </row>
    <row r="12962" spans="1:11" s="1011" customFormat="1" ht="15" x14ac:dyDescent="0.25">
      <c r="A12962" s="859">
        <f t="shared" si="276"/>
        <v>12961</v>
      </c>
      <c r="B12962" s="845" t="s">
        <v>2564</v>
      </c>
      <c r="C12962" s="1007">
        <f t="shared" si="275"/>
        <v>96</v>
      </c>
      <c r="D12962" s="1015"/>
      <c r="I12962" s="1011" t="str">
        <f>CONCATENATE("&lt;numeroLigne&gt;",C12962,"&lt;/numeroLigne&gt;")</f>
        <v>&lt;numeroLigne&gt;96&lt;/numeroLigne&gt;</v>
      </c>
      <c r="K12962" s="1013"/>
    </row>
    <row r="12963" spans="1:11" s="1011" customFormat="1" ht="15" x14ac:dyDescent="0.25">
      <c r="A12963" s="859">
        <f t="shared" si="276"/>
        <v>12962</v>
      </c>
      <c r="B12963" s="845" t="s">
        <v>2564</v>
      </c>
      <c r="C12963" s="1007">
        <f t="shared" si="275"/>
        <v>96</v>
      </c>
      <c r="D12963" s="1012"/>
      <c r="H12963" s="1011" t="s">
        <v>1010</v>
      </c>
      <c r="K12963" s="1013"/>
    </row>
    <row r="12964" spans="1:11" s="1011" customFormat="1" ht="15" x14ac:dyDescent="0.25">
      <c r="A12964" s="859">
        <f t="shared" si="276"/>
        <v>12963</v>
      </c>
      <c r="B12964" s="845" t="s">
        <v>2564</v>
      </c>
      <c r="C12964" s="1007">
        <f t="shared" si="275"/>
        <v>96</v>
      </c>
      <c r="D12964" s="1012"/>
      <c r="H12964" s="1011" t="s">
        <v>1007</v>
      </c>
      <c r="K12964" s="1013"/>
    </row>
    <row r="12965" spans="1:11" s="1011" customFormat="1" ht="15" x14ac:dyDescent="0.25">
      <c r="A12965" s="859">
        <f t="shared" si="276"/>
        <v>12964</v>
      </c>
      <c r="B12965" s="845" t="s">
        <v>2564</v>
      </c>
      <c r="C12965" s="1007">
        <f t="shared" si="275"/>
        <v>96</v>
      </c>
      <c r="D12965" s="1014"/>
      <c r="I12965" s="1011" t="s">
        <v>2179</v>
      </c>
      <c r="K12965" s="1013"/>
    </row>
    <row r="12966" spans="1:11" s="1011" customFormat="1" ht="15" x14ac:dyDescent="0.25">
      <c r="A12966" s="859">
        <f t="shared" si="276"/>
        <v>12965</v>
      </c>
      <c r="B12966" s="845" t="s">
        <v>2564</v>
      </c>
      <c r="C12966" s="1007">
        <f t="shared" si="275"/>
        <v>96</v>
      </c>
      <c r="D12966" s="1014"/>
      <c r="I12966" s="1011" t="str">
        <f>CONCATENATE("&lt;valeur&gt;",VLOOKUP(C12966,'T16 Amort'!A:K,7,0),"&lt;/valeur&gt;")</f>
        <v>&lt;valeur&gt;&lt;/valeur&gt;</v>
      </c>
      <c r="K12966" s="1013"/>
    </row>
    <row r="12967" spans="1:11" s="1011" customFormat="1" ht="15" x14ac:dyDescent="0.25">
      <c r="A12967" s="859">
        <f t="shared" si="276"/>
        <v>12966</v>
      </c>
      <c r="B12967" s="845" t="s">
        <v>2564</v>
      </c>
      <c r="C12967" s="1007">
        <f t="shared" si="275"/>
        <v>96</v>
      </c>
      <c r="D12967" s="1012"/>
      <c r="I12967" s="1011" t="str">
        <f>CONCATENATE("&lt;numeroLigne&gt;",C12967,"&lt;/numeroLigne&gt;")</f>
        <v>&lt;numeroLigne&gt;96&lt;/numeroLigne&gt;</v>
      </c>
      <c r="K12967" s="1013"/>
    </row>
    <row r="12968" spans="1:11" s="1011" customFormat="1" ht="15" x14ac:dyDescent="0.25">
      <c r="A12968" s="859">
        <f t="shared" si="276"/>
        <v>12967</v>
      </c>
      <c r="B12968" s="845" t="s">
        <v>2564</v>
      </c>
      <c r="C12968" s="1007">
        <f t="shared" si="275"/>
        <v>96</v>
      </c>
      <c r="D12968" s="1015"/>
      <c r="H12968" s="1011" t="s">
        <v>1010</v>
      </c>
      <c r="K12968" s="1013"/>
    </row>
    <row r="12969" spans="1:11" s="1011" customFormat="1" ht="15" x14ac:dyDescent="0.25">
      <c r="A12969" s="859">
        <f t="shared" si="276"/>
        <v>12968</v>
      </c>
      <c r="B12969" s="845" t="s">
        <v>2564</v>
      </c>
      <c r="C12969" s="1007">
        <f t="shared" si="275"/>
        <v>96</v>
      </c>
      <c r="D12969" s="1012"/>
      <c r="H12969" s="1011" t="s">
        <v>1007</v>
      </c>
      <c r="K12969" s="1013"/>
    </row>
    <row r="12970" spans="1:11" s="1011" customFormat="1" ht="15" x14ac:dyDescent="0.25">
      <c r="A12970" s="859">
        <f t="shared" si="276"/>
        <v>12969</v>
      </c>
      <c r="B12970" s="845" t="s">
        <v>2564</v>
      </c>
      <c r="C12970" s="1007">
        <f t="shared" si="275"/>
        <v>96</v>
      </c>
      <c r="D12970" s="1012"/>
      <c r="I12970" s="1011" t="s">
        <v>2180</v>
      </c>
      <c r="K12970" s="1013"/>
    </row>
    <row r="12971" spans="1:11" s="1011" customFormat="1" ht="15" x14ac:dyDescent="0.25">
      <c r="A12971" s="859">
        <f t="shared" si="276"/>
        <v>12970</v>
      </c>
      <c r="B12971" s="845" t="s">
        <v>2564</v>
      </c>
      <c r="C12971" s="1007">
        <f t="shared" si="275"/>
        <v>96</v>
      </c>
      <c r="D12971" s="1014"/>
      <c r="I12971" s="1011" t="str">
        <f>CONCATENATE("&lt;valeur&gt;",VLOOKUP(C12971,'T16 Amort'!A:K,8,0),"&lt;/valeur&gt;")</f>
        <v>&lt;valeur&gt;&lt;/valeur&gt;</v>
      </c>
      <c r="K12971" s="1013"/>
    </row>
    <row r="12972" spans="1:11" s="1011" customFormat="1" ht="15" x14ac:dyDescent="0.25">
      <c r="A12972" s="859">
        <f t="shared" si="276"/>
        <v>12971</v>
      </c>
      <c r="B12972" s="845" t="s">
        <v>2564</v>
      </c>
      <c r="C12972" s="1007">
        <f t="shared" si="275"/>
        <v>96</v>
      </c>
      <c r="D12972" s="1014"/>
      <c r="I12972" s="1011" t="str">
        <f>CONCATENATE("&lt;numeroLigne&gt;",C12972,"&lt;/numeroLigne&gt;")</f>
        <v>&lt;numeroLigne&gt;96&lt;/numeroLigne&gt;</v>
      </c>
      <c r="K12972" s="1013"/>
    </row>
    <row r="12973" spans="1:11" s="1011" customFormat="1" ht="15" x14ac:dyDescent="0.25">
      <c r="A12973" s="859">
        <f t="shared" si="276"/>
        <v>12972</v>
      </c>
      <c r="B12973" s="845" t="s">
        <v>2564</v>
      </c>
      <c r="C12973" s="1007">
        <f t="shared" si="275"/>
        <v>96</v>
      </c>
      <c r="D12973" s="1012"/>
      <c r="H12973" s="1011" t="s">
        <v>1010</v>
      </c>
      <c r="K12973" s="1013"/>
    </row>
    <row r="12974" spans="1:11" s="1011" customFormat="1" ht="15" x14ac:dyDescent="0.25">
      <c r="A12974" s="859">
        <f t="shared" si="276"/>
        <v>12973</v>
      </c>
      <c r="B12974" s="845" t="s">
        <v>2564</v>
      </c>
      <c r="C12974" s="1007">
        <f t="shared" si="275"/>
        <v>96</v>
      </c>
      <c r="D12974" s="1015"/>
      <c r="H12974" s="1011" t="s">
        <v>1007</v>
      </c>
      <c r="K12974" s="1013"/>
    </row>
    <row r="12975" spans="1:11" s="1011" customFormat="1" ht="15" x14ac:dyDescent="0.25">
      <c r="A12975" s="859">
        <f t="shared" si="276"/>
        <v>12974</v>
      </c>
      <c r="B12975" s="845" t="s">
        <v>2564</v>
      </c>
      <c r="C12975" s="1007">
        <f t="shared" ref="C12975:C13038" si="277">C12925+1</f>
        <v>96</v>
      </c>
      <c r="D12975" s="1012"/>
      <c r="I12975" s="1011" t="s">
        <v>2181</v>
      </c>
      <c r="K12975" s="1013"/>
    </row>
    <row r="12976" spans="1:11" s="1011" customFormat="1" ht="15" x14ac:dyDescent="0.25">
      <c r="A12976" s="859">
        <f t="shared" si="276"/>
        <v>12975</v>
      </c>
      <c r="B12976" s="845" t="s">
        <v>2564</v>
      </c>
      <c r="C12976" s="1007">
        <f t="shared" si="277"/>
        <v>96</v>
      </c>
      <c r="D12976" s="1012"/>
      <c r="I12976" s="1011" t="str">
        <f>CONCATENATE("&lt;valeur&gt;",VLOOKUP(C12976,'T16 Amort'!A:K,9,0),"&lt;/valeur&gt;")</f>
        <v>&lt;valeur&gt;&lt;/valeur&gt;</v>
      </c>
      <c r="K12976" s="1013"/>
    </row>
    <row r="12977" spans="1:11" s="1011" customFormat="1" ht="15" x14ac:dyDescent="0.25">
      <c r="A12977" s="859">
        <f t="shared" si="276"/>
        <v>12976</v>
      </c>
      <c r="B12977" s="845" t="s">
        <v>2564</v>
      </c>
      <c r="C12977" s="1007">
        <f t="shared" si="277"/>
        <v>96</v>
      </c>
      <c r="D12977" s="1014"/>
      <c r="I12977" s="1011" t="str">
        <f>CONCATENATE("&lt;numeroLigne&gt;",C12977,"&lt;/numeroLigne&gt;")</f>
        <v>&lt;numeroLigne&gt;96&lt;/numeroLigne&gt;</v>
      </c>
      <c r="K12977" s="1013"/>
    </row>
    <row r="12978" spans="1:11" s="1011" customFormat="1" ht="15" x14ac:dyDescent="0.25">
      <c r="A12978" s="859">
        <f t="shared" si="276"/>
        <v>12977</v>
      </c>
      <c r="B12978" s="845" t="s">
        <v>2564</v>
      </c>
      <c r="C12978" s="1007">
        <f t="shared" si="277"/>
        <v>96</v>
      </c>
      <c r="D12978" s="1014"/>
      <c r="H12978" s="1011" t="s">
        <v>1010</v>
      </c>
      <c r="K12978" s="1013"/>
    </row>
    <row r="12979" spans="1:11" s="1011" customFormat="1" ht="15" x14ac:dyDescent="0.25">
      <c r="A12979" s="859">
        <f t="shared" si="276"/>
        <v>12978</v>
      </c>
      <c r="B12979" s="845" t="s">
        <v>2564</v>
      </c>
      <c r="C12979" s="1007">
        <f t="shared" si="277"/>
        <v>96</v>
      </c>
      <c r="D12979" s="1012"/>
      <c r="H12979" s="1011" t="s">
        <v>1007</v>
      </c>
      <c r="K12979" s="1013"/>
    </row>
    <row r="12980" spans="1:11" s="1011" customFormat="1" ht="15" x14ac:dyDescent="0.25">
      <c r="A12980" s="859">
        <f t="shared" si="276"/>
        <v>12979</v>
      </c>
      <c r="B12980" s="845" t="s">
        <v>2564</v>
      </c>
      <c r="C12980" s="1007">
        <f t="shared" si="277"/>
        <v>96</v>
      </c>
      <c r="D12980" s="1015"/>
      <c r="I12980" s="1011" t="s">
        <v>2182</v>
      </c>
      <c r="K12980" s="1013"/>
    </row>
    <row r="12981" spans="1:11" s="1011" customFormat="1" ht="15" x14ac:dyDescent="0.25">
      <c r="A12981" s="859">
        <f t="shared" si="276"/>
        <v>12980</v>
      </c>
      <c r="B12981" s="845" t="s">
        <v>2564</v>
      </c>
      <c r="C12981" s="1007">
        <f t="shared" si="277"/>
        <v>96</v>
      </c>
      <c r="D12981" s="1012"/>
      <c r="I12981" s="1011" t="str">
        <f>CONCATENATE("&lt;valeur&gt;",VLOOKUP(C12981,'T16 Amort'!A:K,10,0),"&lt;/valeur&gt;")</f>
        <v>&lt;valeur&gt;&lt;/valeur&gt;</v>
      </c>
      <c r="K12981" s="1013"/>
    </row>
    <row r="12982" spans="1:11" s="1011" customFormat="1" ht="15" x14ac:dyDescent="0.25">
      <c r="A12982" s="859">
        <f t="shared" si="276"/>
        <v>12981</v>
      </c>
      <c r="B12982" s="845" t="s">
        <v>2564</v>
      </c>
      <c r="C12982" s="1007">
        <f t="shared" si="277"/>
        <v>96</v>
      </c>
      <c r="D12982" s="1012"/>
      <c r="I12982" s="1011" t="str">
        <f>CONCATENATE("&lt;numeroLigne&gt;",C12982,"&lt;/numeroLigne&gt;")</f>
        <v>&lt;numeroLigne&gt;96&lt;/numeroLigne&gt;</v>
      </c>
      <c r="K12982" s="1013"/>
    </row>
    <row r="12983" spans="1:11" s="1011" customFormat="1" ht="15" x14ac:dyDescent="0.25">
      <c r="A12983" s="859">
        <f t="shared" si="276"/>
        <v>12982</v>
      </c>
      <c r="B12983" s="845" t="s">
        <v>2564</v>
      </c>
      <c r="C12983" s="1007">
        <f t="shared" si="277"/>
        <v>96</v>
      </c>
      <c r="D12983" s="1014"/>
      <c r="H12983" s="1011" t="s">
        <v>1010</v>
      </c>
      <c r="K12983" s="1013"/>
    </row>
    <row r="12984" spans="1:11" s="1011" customFormat="1" ht="15" x14ac:dyDescent="0.25">
      <c r="A12984" s="859">
        <f t="shared" si="276"/>
        <v>12983</v>
      </c>
      <c r="B12984" s="845" t="s">
        <v>2564</v>
      </c>
      <c r="C12984" s="1007">
        <f t="shared" si="277"/>
        <v>96</v>
      </c>
      <c r="D12984" s="1014"/>
      <c r="H12984" s="1011" t="s">
        <v>1007</v>
      </c>
      <c r="K12984" s="1013"/>
    </row>
    <row r="12985" spans="1:11" s="1011" customFormat="1" ht="15" x14ac:dyDescent="0.25">
      <c r="A12985" s="859">
        <f t="shared" si="276"/>
        <v>12984</v>
      </c>
      <c r="B12985" s="845" t="s">
        <v>2564</v>
      </c>
      <c r="C12985" s="1007">
        <f t="shared" si="277"/>
        <v>96</v>
      </c>
      <c r="D12985" s="1012"/>
      <c r="I12985" s="1011" t="s">
        <v>2183</v>
      </c>
      <c r="K12985" s="1013"/>
    </row>
    <row r="12986" spans="1:11" s="1011" customFormat="1" ht="15" x14ac:dyDescent="0.25">
      <c r="A12986" s="859">
        <f t="shared" si="276"/>
        <v>12985</v>
      </c>
      <c r="B12986" s="845" t="s">
        <v>2564</v>
      </c>
      <c r="C12986" s="1007">
        <f t="shared" si="277"/>
        <v>96</v>
      </c>
      <c r="D12986" s="1015"/>
      <c r="I12986" s="1011" t="str">
        <f>CONCATENATE("&lt;valeur&gt;",VLOOKUP(C12986,'T16 Amort'!A:K,11,0),"&lt;/valeur&gt;")</f>
        <v>&lt;valeur&gt;&lt;/valeur&gt;</v>
      </c>
      <c r="K12986" s="1013"/>
    </row>
    <row r="12987" spans="1:11" s="1011" customFormat="1" ht="15" x14ac:dyDescent="0.25">
      <c r="A12987" s="859">
        <f t="shared" si="276"/>
        <v>12986</v>
      </c>
      <c r="B12987" s="845" t="s">
        <v>2564</v>
      </c>
      <c r="C12987" s="1007">
        <f t="shared" si="277"/>
        <v>96</v>
      </c>
      <c r="D12987" s="1012"/>
      <c r="I12987" s="1011" t="str">
        <f>CONCATENATE("&lt;numeroLigne&gt;",C12987,"&lt;/numeroLigne&gt;")</f>
        <v>&lt;numeroLigne&gt;96&lt;/numeroLigne&gt;</v>
      </c>
      <c r="K12987" s="1013"/>
    </row>
    <row r="12988" spans="1:11" s="1011" customFormat="1" ht="15" x14ac:dyDescent="0.25">
      <c r="A12988" s="859">
        <f t="shared" si="276"/>
        <v>12987</v>
      </c>
      <c r="B12988" s="845" t="s">
        <v>2564</v>
      </c>
      <c r="C12988" s="1007">
        <f t="shared" si="277"/>
        <v>96</v>
      </c>
      <c r="D12988" s="1016"/>
      <c r="E12988" s="1017"/>
      <c r="F12988" s="1017"/>
      <c r="G12988" s="1017"/>
      <c r="H12988" s="1017" t="s">
        <v>1010</v>
      </c>
      <c r="I12988" s="1017"/>
      <c r="J12988" s="1017"/>
      <c r="K12988" s="1018"/>
    </row>
    <row r="12989" spans="1:11" s="1011" customFormat="1" ht="15" x14ac:dyDescent="0.25">
      <c r="A12989" s="859">
        <f t="shared" si="276"/>
        <v>12988</v>
      </c>
      <c r="B12989" s="845" t="s">
        <v>2564</v>
      </c>
      <c r="C12989" s="1007">
        <f t="shared" si="277"/>
        <v>97</v>
      </c>
      <c r="D12989" s="1008"/>
      <c r="E12989" s="1009"/>
      <c r="F12989" s="1009"/>
      <c r="G12989" s="1009"/>
      <c r="H12989" s="1009" t="s">
        <v>1007</v>
      </c>
      <c r="I12989" s="1009"/>
      <c r="J12989" s="1009"/>
      <c r="K12989" s="1010"/>
    </row>
    <row r="12990" spans="1:11" s="1011" customFormat="1" ht="15" x14ac:dyDescent="0.25">
      <c r="A12990" s="859">
        <f t="shared" si="276"/>
        <v>12989</v>
      </c>
      <c r="B12990" s="845" t="s">
        <v>2564</v>
      </c>
      <c r="C12990" s="1007">
        <f t="shared" si="277"/>
        <v>97</v>
      </c>
      <c r="D12990" s="1012"/>
      <c r="I12990" s="1011" t="s">
        <v>2174</v>
      </c>
      <c r="K12990" s="1013"/>
    </row>
    <row r="12991" spans="1:11" s="1011" customFormat="1" ht="15" x14ac:dyDescent="0.25">
      <c r="A12991" s="859">
        <f t="shared" si="276"/>
        <v>12990</v>
      </c>
      <c r="B12991" s="845" t="s">
        <v>2564</v>
      </c>
      <c r="C12991" s="1007">
        <f t="shared" si="277"/>
        <v>97</v>
      </c>
      <c r="D12991" s="1014"/>
      <c r="I12991" s="1011" t="str">
        <f>CONCATENATE("&lt;valeur&gt;",VLOOKUP(C12991,'T16 Amort'!A:K,2,0),"&lt;/valeur&gt;")</f>
        <v>&lt;valeur&gt;&lt;/valeur&gt;</v>
      </c>
      <c r="K12991" s="1013"/>
    </row>
    <row r="12992" spans="1:11" s="1011" customFormat="1" ht="15" x14ac:dyDescent="0.25">
      <c r="A12992" s="859">
        <f t="shared" si="276"/>
        <v>12991</v>
      </c>
      <c r="B12992" s="845" t="s">
        <v>2564</v>
      </c>
      <c r="C12992" s="1007">
        <f t="shared" si="277"/>
        <v>97</v>
      </c>
      <c r="D12992" s="1014"/>
      <c r="I12992" s="1011" t="str">
        <f>CONCATENATE("&lt;numeroLigne&gt;",C12992,"&lt;/numeroLigne&gt;")</f>
        <v>&lt;numeroLigne&gt;97&lt;/numeroLigne&gt;</v>
      </c>
      <c r="K12992" s="1013"/>
    </row>
    <row r="12993" spans="1:11" s="1011" customFormat="1" ht="15" x14ac:dyDescent="0.25">
      <c r="A12993" s="859">
        <f t="shared" si="276"/>
        <v>12992</v>
      </c>
      <c r="B12993" s="845" t="s">
        <v>2564</v>
      </c>
      <c r="C12993" s="1007">
        <f t="shared" si="277"/>
        <v>97</v>
      </c>
      <c r="D12993" s="1012"/>
      <c r="H12993" s="1011" t="s">
        <v>1010</v>
      </c>
      <c r="K12993" s="1013"/>
    </row>
    <row r="12994" spans="1:11" s="1011" customFormat="1" ht="15" x14ac:dyDescent="0.25">
      <c r="A12994" s="859">
        <f t="shared" si="276"/>
        <v>12993</v>
      </c>
      <c r="B12994" s="845" t="s">
        <v>2564</v>
      </c>
      <c r="C12994" s="1007">
        <f t="shared" si="277"/>
        <v>97</v>
      </c>
      <c r="D12994" s="1015"/>
      <c r="H12994" s="1011" t="s">
        <v>1007</v>
      </c>
      <c r="K12994" s="1013"/>
    </row>
    <row r="12995" spans="1:11" s="1011" customFormat="1" ht="15" x14ac:dyDescent="0.25">
      <c r="A12995" s="859">
        <f t="shared" si="276"/>
        <v>12994</v>
      </c>
      <c r="B12995" s="845" t="s">
        <v>2564</v>
      </c>
      <c r="C12995" s="1007">
        <f t="shared" si="277"/>
        <v>97</v>
      </c>
      <c r="D12995" s="1012"/>
      <c r="I12995" s="1011" t="s">
        <v>2175</v>
      </c>
      <c r="K12995" s="1013"/>
    </row>
    <row r="12996" spans="1:11" s="1011" customFormat="1" ht="15" x14ac:dyDescent="0.25">
      <c r="A12996" s="859">
        <f t="shared" ref="A12996:A13059" si="278">+A12995+1</f>
        <v>12995</v>
      </c>
      <c r="B12996" s="845" t="s">
        <v>2564</v>
      </c>
      <c r="C12996" s="1007">
        <f t="shared" si="277"/>
        <v>97</v>
      </c>
      <c r="D12996" s="1012"/>
      <c r="I12996" s="1011" t="str">
        <f>CONCATENATE("&lt;valeur&gt;",VLOOKUP(C12996,'T16 Amort'!A:K,3,0),"&lt;/valeur&gt;")</f>
        <v>&lt;valeur&gt;&lt;/valeur&gt;</v>
      </c>
      <c r="K12996" s="1013"/>
    </row>
    <row r="12997" spans="1:11" s="1011" customFormat="1" ht="15" x14ac:dyDescent="0.25">
      <c r="A12997" s="859">
        <f t="shared" si="278"/>
        <v>12996</v>
      </c>
      <c r="B12997" s="845" t="s">
        <v>2564</v>
      </c>
      <c r="C12997" s="1007">
        <f t="shared" si="277"/>
        <v>97</v>
      </c>
      <c r="D12997" s="1014"/>
      <c r="I12997" s="1011" t="str">
        <f>CONCATENATE("&lt;numeroLigne&gt;",C12997,"&lt;/numeroLigne&gt;")</f>
        <v>&lt;numeroLigne&gt;97&lt;/numeroLigne&gt;</v>
      </c>
      <c r="K12997" s="1013"/>
    </row>
    <row r="12998" spans="1:11" s="1011" customFormat="1" ht="15" x14ac:dyDescent="0.25">
      <c r="A12998" s="859">
        <f t="shared" si="278"/>
        <v>12997</v>
      </c>
      <c r="B12998" s="845" t="s">
        <v>2564</v>
      </c>
      <c r="C12998" s="1007">
        <f t="shared" si="277"/>
        <v>97</v>
      </c>
      <c r="D12998" s="1014"/>
      <c r="H12998" s="1011" t="s">
        <v>1010</v>
      </c>
      <c r="K12998" s="1013"/>
    </row>
    <row r="12999" spans="1:11" s="1011" customFormat="1" ht="15" x14ac:dyDescent="0.25">
      <c r="A12999" s="859">
        <f t="shared" si="278"/>
        <v>12998</v>
      </c>
      <c r="B12999" s="845" t="s">
        <v>2564</v>
      </c>
      <c r="C12999" s="1007">
        <f t="shared" si="277"/>
        <v>97</v>
      </c>
      <c r="D12999" s="1012"/>
      <c r="H12999" s="1011" t="s">
        <v>1007</v>
      </c>
      <c r="K12999" s="1013"/>
    </row>
    <row r="13000" spans="1:11" s="1011" customFormat="1" ht="15" x14ac:dyDescent="0.25">
      <c r="A13000" s="859">
        <f t="shared" si="278"/>
        <v>12999</v>
      </c>
      <c r="B13000" s="845" t="s">
        <v>2564</v>
      </c>
      <c r="C13000" s="1007">
        <f t="shared" si="277"/>
        <v>97</v>
      </c>
      <c r="D13000" s="1015"/>
      <c r="I13000" s="1011" t="s">
        <v>2176</v>
      </c>
      <c r="K13000" s="1013"/>
    </row>
    <row r="13001" spans="1:11" s="1011" customFormat="1" ht="15" x14ac:dyDescent="0.25">
      <c r="A13001" s="859">
        <f t="shared" si="278"/>
        <v>13000</v>
      </c>
      <c r="B13001" s="845" t="s">
        <v>2564</v>
      </c>
      <c r="C13001" s="1007">
        <f t="shared" si="277"/>
        <v>97</v>
      </c>
      <c r="D13001" s="1012"/>
      <c r="I13001" s="1011" t="str">
        <f>CONCATENATE("&lt;valeur&gt;",VLOOKUP(C13001,'T16 Amort'!A:K,4,0),"&lt;/valeur&gt;")</f>
        <v>&lt;valeur&gt;&lt;/valeur&gt;</v>
      </c>
      <c r="K13001" s="1013"/>
    </row>
    <row r="13002" spans="1:11" s="1011" customFormat="1" ht="15" x14ac:dyDescent="0.25">
      <c r="A13002" s="859">
        <f t="shared" si="278"/>
        <v>13001</v>
      </c>
      <c r="B13002" s="845" t="s">
        <v>2564</v>
      </c>
      <c r="C13002" s="1007">
        <f t="shared" si="277"/>
        <v>97</v>
      </c>
      <c r="D13002" s="1012"/>
      <c r="I13002" s="1011" t="str">
        <f>CONCATENATE("&lt;numeroLigne&gt;",C13002,"&lt;/numeroLigne&gt;")</f>
        <v>&lt;numeroLigne&gt;97&lt;/numeroLigne&gt;</v>
      </c>
      <c r="K13002" s="1013"/>
    </row>
    <row r="13003" spans="1:11" s="1011" customFormat="1" ht="15" x14ac:dyDescent="0.25">
      <c r="A13003" s="859">
        <f t="shared" si="278"/>
        <v>13002</v>
      </c>
      <c r="B13003" s="845" t="s">
        <v>2564</v>
      </c>
      <c r="C13003" s="1007">
        <f t="shared" si="277"/>
        <v>97</v>
      </c>
      <c r="D13003" s="1014"/>
      <c r="H13003" s="1011" t="s">
        <v>1010</v>
      </c>
      <c r="K13003" s="1013"/>
    </row>
    <row r="13004" spans="1:11" s="1011" customFormat="1" ht="15" x14ac:dyDescent="0.25">
      <c r="A13004" s="859">
        <f t="shared" si="278"/>
        <v>13003</v>
      </c>
      <c r="B13004" s="845" t="s">
        <v>2564</v>
      </c>
      <c r="C13004" s="1007">
        <f t="shared" si="277"/>
        <v>97</v>
      </c>
      <c r="D13004" s="1014"/>
      <c r="H13004" s="1011" t="s">
        <v>1007</v>
      </c>
      <c r="K13004" s="1013"/>
    </row>
    <row r="13005" spans="1:11" s="1011" customFormat="1" ht="15" x14ac:dyDescent="0.25">
      <c r="A13005" s="859">
        <f t="shared" si="278"/>
        <v>13004</v>
      </c>
      <c r="B13005" s="845" t="s">
        <v>2564</v>
      </c>
      <c r="C13005" s="1007">
        <f t="shared" si="277"/>
        <v>97</v>
      </c>
      <c r="D13005" s="1012"/>
      <c r="I13005" s="1011" t="s">
        <v>2177</v>
      </c>
      <c r="K13005" s="1013"/>
    </row>
    <row r="13006" spans="1:11" s="1011" customFormat="1" ht="15" x14ac:dyDescent="0.25">
      <c r="A13006" s="859">
        <f t="shared" si="278"/>
        <v>13005</v>
      </c>
      <c r="B13006" s="845" t="s">
        <v>2564</v>
      </c>
      <c r="C13006" s="1007">
        <f t="shared" si="277"/>
        <v>97</v>
      </c>
      <c r="D13006" s="1015"/>
      <c r="I13006" s="1011" t="str">
        <f>CONCATENATE("&lt;valeur&gt;",VLOOKUP(C13006,'T16 Amort'!A:K,5,0),"&lt;/valeur&gt;")</f>
        <v>&lt;valeur&gt;&lt;/valeur&gt;</v>
      </c>
      <c r="K13006" s="1013"/>
    </row>
    <row r="13007" spans="1:11" s="1011" customFormat="1" ht="15" x14ac:dyDescent="0.25">
      <c r="A13007" s="859">
        <f t="shared" si="278"/>
        <v>13006</v>
      </c>
      <c r="B13007" s="845" t="s">
        <v>2564</v>
      </c>
      <c r="C13007" s="1007">
        <f t="shared" si="277"/>
        <v>97</v>
      </c>
      <c r="D13007" s="1012"/>
      <c r="I13007" s="1011" t="str">
        <f>CONCATENATE("&lt;numeroLigne&gt;",C13007,"&lt;/numeroLigne&gt;")</f>
        <v>&lt;numeroLigne&gt;97&lt;/numeroLigne&gt;</v>
      </c>
      <c r="K13007" s="1013"/>
    </row>
    <row r="13008" spans="1:11" s="1011" customFormat="1" ht="15" x14ac:dyDescent="0.25">
      <c r="A13008" s="859">
        <f t="shared" si="278"/>
        <v>13007</v>
      </c>
      <c r="B13008" s="845" t="s">
        <v>2564</v>
      </c>
      <c r="C13008" s="1007">
        <f t="shared" si="277"/>
        <v>97</v>
      </c>
      <c r="D13008" s="1012"/>
      <c r="H13008" s="1011" t="s">
        <v>1010</v>
      </c>
      <c r="K13008" s="1013"/>
    </row>
    <row r="13009" spans="1:11" s="1011" customFormat="1" ht="15" x14ac:dyDescent="0.25">
      <c r="A13009" s="859">
        <f t="shared" si="278"/>
        <v>13008</v>
      </c>
      <c r="B13009" s="845" t="s">
        <v>2564</v>
      </c>
      <c r="C13009" s="1007">
        <f t="shared" si="277"/>
        <v>97</v>
      </c>
      <c r="D13009" s="1014"/>
      <c r="H13009" s="1011" t="s">
        <v>1007</v>
      </c>
      <c r="K13009" s="1013"/>
    </row>
    <row r="13010" spans="1:11" s="1011" customFormat="1" ht="15" x14ac:dyDescent="0.25">
      <c r="A13010" s="859">
        <f t="shared" si="278"/>
        <v>13009</v>
      </c>
      <c r="B13010" s="845" t="s">
        <v>2564</v>
      </c>
      <c r="C13010" s="1007">
        <f t="shared" si="277"/>
        <v>97</v>
      </c>
      <c r="D13010" s="1014"/>
      <c r="I13010" s="1011" t="s">
        <v>2178</v>
      </c>
      <c r="K13010" s="1013"/>
    </row>
    <row r="13011" spans="1:11" s="1011" customFormat="1" ht="15" x14ac:dyDescent="0.25">
      <c r="A13011" s="859">
        <f t="shared" si="278"/>
        <v>13010</v>
      </c>
      <c r="B13011" s="845" t="s">
        <v>2564</v>
      </c>
      <c r="C13011" s="1007">
        <f t="shared" si="277"/>
        <v>97</v>
      </c>
      <c r="D13011" s="1012"/>
      <c r="I13011" s="1011" t="str">
        <f>CONCATENATE("&lt;valeur&gt;",VLOOKUP(C13011,'T16 Amort'!A:K,6,0),"&lt;/valeur&gt;")</f>
        <v>&lt;valeur&gt;&lt;/valeur&gt;</v>
      </c>
      <c r="K13011" s="1013"/>
    </row>
    <row r="13012" spans="1:11" s="1011" customFormat="1" ht="15" x14ac:dyDescent="0.25">
      <c r="A13012" s="859">
        <f t="shared" si="278"/>
        <v>13011</v>
      </c>
      <c r="B13012" s="845" t="s">
        <v>2564</v>
      </c>
      <c r="C13012" s="1007">
        <f t="shared" si="277"/>
        <v>97</v>
      </c>
      <c r="D13012" s="1015"/>
      <c r="I13012" s="1011" t="str">
        <f>CONCATENATE("&lt;numeroLigne&gt;",C13012,"&lt;/numeroLigne&gt;")</f>
        <v>&lt;numeroLigne&gt;97&lt;/numeroLigne&gt;</v>
      </c>
      <c r="K13012" s="1013"/>
    </row>
    <row r="13013" spans="1:11" s="1011" customFormat="1" ht="15" x14ac:dyDescent="0.25">
      <c r="A13013" s="859">
        <f t="shared" si="278"/>
        <v>13012</v>
      </c>
      <c r="B13013" s="845" t="s">
        <v>2564</v>
      </c>
      <c r="C13013" s="1007">
        <f t="shared" si="277"/>
        <v>97</v>
      </c>
      <c r="D13013" s="1012"/>
      <c r="H13013" s="1011" t="s">
        <v>1010</v>
      </c>
      <c r="K13013" s="1013"/>
    </row>
    <row r="13014" spans="1:11" s="1011" customFormat="1" ht="15" x14ac:dyDescent="0.25">
      <c r="A13014" s="859">
        <f t="shared" si="278"/>
        <v>13013</v>
      </c>
      <c r="B13014" s="845" t="s">
        <v>2564</v>
      </c>
      <c r="C13014" s="1007">
        <f t="shared" si="277"/>
        <v>97</v>
      </c>
      <c r="D13014" s="1012"/>
      <c r="H13014" s="1011" t="s">
        <v>1007</v>
      </c>
      <c r="K13014" s="1013"/>
    </row>
    <row r="13015" spans="1:11" s="1011" customFormat="1" ht="15" x14ac:dyDescent="0.25">
      <c r="A13015" s="859">
        <f t="shared" si="278"/>
        <v>13014</v>
      </c>
      <c r="B13015" s="845" t="s">
        <v>2564</v>
      </c>
      <c r="C13015" s="1007">
        <f t="shared" si="277"/>
        <v>97</v>
      </c>
      <c r="D13015" s="1014"/>
      <c r="I13015" s="1011" t="s">
        <v>2179</v>
      </c>
      <c r="K13015" s="1013"/>
    </row>
    <row r="13016" spans="1:11" s="1011" customFormat="1" ht="15" x14ac:dyDescent="0.25">
      <c r="A13016" s="859">
        <f t="shared" si="278"/>
        <v>13015</v>
      </c>
      <c r="B13016" s="845" t="s">
        <v>2564</v>
      </c>
      <c r="C13016" s="1007">
        <f t="shared" si="277"/>
        <v>97</v>
      </c>
      <c r="D13016" s="1014"/>
      <c r="I13016" s="1011" t="str">
        <f>CONCATENATE("&lt;valeur&gt;",VLOOKUP(C13016,'T16 Amort'!A:K,7,0),"&lt;/valeur&gt;")</f>
        <v>&lt;valeur&gt;&lt;/valeur&gt;</v>
      </c>
      <c r="K13016" s="1013"/>
    </row>
    <row r="13017" spans="1:11" s="1011" customFormat="1" ht="15" x14ac:dyDescent="0.25">
      <c r="A13017" s="859">
        <f t="shared" si="278"/>
        <v>13016</v>
      </c>
      <c r="B13017" s="845" t="s">
        <v>2564</v>
      </c>
      <c r="C13017" s="1007">
        <f t="shared" si="277"/>
        <v>97</v>
      </c>
      <c r="D13017" s="1012"/>
      <c r="I13017" s="1011" t="str">
        <f>CONCATENATE("&lt;numeroLigne&gt;",C13017,"&lt;/numeroLigne&gt;")</f>
        <v>&lt;numeroLigne&gt;97&lt;/numeroLigne&gt;</v>
      </c>
      <c r="K13017" s="1013"/>
    </row>
    <row r="13018" spans="1:11" s="1011" customFormat="1" ht="15" x14ac:dyDescent="0.25">
      <c r="A13018" s="859">
        <f t="shared" si="278"/>
        <v>13017</v>
      </c>
      <c r="B13018" s="845" t="s">
        <v>2564</v>
      </c>
      <c r="C13018" s="1007">
        <f t="shared" si="277"/>
        <v>97</v>
      </c>
      <c r="D13018" s="1015"/>
      <c r="H13018" s="1011" t="s">
        <v>1010</v>
      </c>
      <c r="K13018" s="1013"/>
    </row>
    <row r="13019" spans="1:11" s="1011" customFormat="1" ht="15" x14ac:dyDescent="0.25">
      <c r="A13019" s="859">
        <f t="shared" si="278"/>
        <v>13018</v>
      </c>
      <c r="B13019" s="845" t="s">
        <v>2564</v>
      </c>
      <c r="C13019" s="1007">
        <f t="shared" si="277"/>
        <v>97</v>
      </c>
      <c r="D13019" s="1012"/>
      <c r="H13019" s="1011" t="s">
        <v>1007</v>
      </c>
      <c r="K13019" s="1013"/>
    </row>
    <row r="13020" spans="1:11" s="1011" customFormat="1" ht="15" x14ac:dyDescent="0.25">
      <c r="A13020" s="859">
        <f t="shared" si="278"/>
        <v>13019</v>
      </c>
      <c r="B13020" s="845" t="s">
        <v>2564</v>
      </c>
      <c r="C13020" s="1007">
        <f t="shared" si="277"/>
        <v>97</v>
      </c>
      <c r="D13020" s="1012"/>
      <c r="I13020" s="1011" t="s">
        <v>2180</v>
      </c>
      <c r="K13020" s="1013"/>
    </row>
    <row r="13021" spans="1:11" s="1011" customFormat="1" ht="15" x14ac:dyDescent="0.25">
      <c r="A13021" s="859">
        <f t="shared" si="278"/>
        <v>13020</v>
      </c>
      <c r="B13021" s="845" t="s">
        <v>2564</v>
      </c>
      <c r="C13021" s="1007">
        <f t="shared" si="277"/>
        <v>97</v>
      </c>
      <c r="D13021" s="1014"/>
      <c r="I13021" s="1011" t="str">
        <f>CONCATENATE("&lt;valeur&gt;",VLOOKUP(C13021,'T16 Amort'!A:K,8,0),"&lt;/valeur&gt;")</f>
        <v>&lt;valeur&gt;&lt;/valeur&gt;</v>
      </c>
      <c r="K13021" s="1013"/>
    </row>
    <row r="13022" spans="1:11" s="1011" customFormat="1" ht="15" x14ac:dyDescent="0.25">
      <c r="A13022" s="859">
        <f t="shared" si="278"/>
        <v>13021</v>
      </c>
      <c r="B13022" s="845" t="s">
        <v>2564</v>
      </c>
      <c r="C13022" s="1007">
        <f t="shared" si="277"/>
        <v>97</v>
      </c>
      <c r="D13022" s="1014"/>
      <c r="I13022" s="1011" t="str">
        <f>CONCATENATE("&lt;numeroLigne&gt;",C13022,"&lt;/numeroLigne&gt;")</f>
        <v>&lt;numeroLigne&gt;97&lt;/numeroLigne&gt;</v>
      </c>
      <c r="K13022" s="1013"/>
    </row>
    <row r="13023" spans="1:11" s="1011" customFormat="1" ht="15" x14ac:dyDescent="0.25">
      <c r="A13023" s="859">
        <f t="shared" si="278"/>
        <v>13022</v>
      </c>
      <c r="B13023" s="845" t="s">
        <v>2564</v>
      </c>
      <c r="C13023" s="1007">
        <f t="shared" si="277"/>
        <v>97</v>
      </c>
      <c r="D13023" s="1012"/>
      <c r="H13023" s="1011" t="s">
        <v>1010</v>
      </c>
      <c r="K13023" s="1013"/>
    </row>
    <row r="13024" spans="1:11" s="1011" customFormat="1" ht="15" x14ac:dyDescent="0.25">
      <c r="A13024" s="859">
        <f t="shared" si="278"/>
        <v>13023</v>
      </c>
      <c r="B13024" s="845" t="s">
        <v>2564</v>
      </c>
      <c r="C13024" s="1007">
        <f t="shared" si="277"/>
        <v>97</v>
      </c>
      <c r="D13024" s="1015"/>
      <c r="H13024" s="1011" t="s">
        <v>1007</v>
      </c>
      <c r="K13024" s="1013"/>
    </row>
    <row r="13025" spans="1:11" s="1011" customFormat="1" ht="15" x14ac:dyDescent="0.25">
      <c r="A13025" s="859">
        <f t="shared" si="278"/>
        <v>13024</v>
      </c>
      <c r="B13025" s="845" t="s">
        <v>2564</v>
      </c>
      <c r="C13025" s="1007">
        <f t="shared" si="277"/>
        <v>97</v>
      </c>
      <c r="D13025" s="1012"/>
      <c r="I13025" s="1011" t="s">
        <v>2181</v>
      </c>
      <c r="K13025" s="1013"/>
    </row>
    <row r="13026" spans="1:11" s="1011" customFormat="1" ht="15" x14ac:dyDescent="0.25">
      <c r="A13026" s="859">
        <f t="shared" si="278"/>
        <v>13025</v>
      </c>
      <c r="B13026" s="845" t="s">
        <v>2564</v>
      </c>
      <c r="C13026" s="1007">
        <f t="shared" si="277"/>
        <v>97</v>
      </c>
      <c r="D13026" s="1012"/>
      <c r="I13026" s="1011" t="str">
        <f>CONCATENATE("&lt;valeur&gt;",VLOOKUP(C13026,'T16 Amort'!A:K,9,0),"&lt;/valeur&gt;")</f>
        <v>&lt;valeur&gt;&lt;/valeur&gt;</v>
      </c>
      <c r="K13026" s="1013"/>
    </row>
    <row r="13027" spans="1:11" s="1011" customFormat="1" ht="15" x14ac:dyDescent="0.25">
      <c r="A13027" s="859">
        <f t="shared" si="278"/>
        <v>13026</v>
      </c>
      <c r="B13027" s="845" t="s">
        <v>2564</v>
      </c>
      <c r="C13027" s="1007">
        <f t="shared" si="277"/>
        <v>97</v>
      </c>
      <c r="D13027" s="1014"/>
      <c r="I13027" s="1011" t="str">
        <f>CONCATENATE("&lt;numeroLigne&gt;",C13027,"&lt;/numeroLigne&gt;")</f>
        <v>&lt;numeroLigne&gt;97&lt;/numeroLigne&gt;</v>
      </c>
      <c r="K13027" s="1013"/>
    </row>
    <row r="13028" spans="1:11" s="1011" customFormat="1" ht="15" x14ac:dyDescent="0.25">
      <c r="A13028" s="859">
        <f t="shared" si="278"/>
        <v>13027</v>
      </c>
      <c r="B13028" s="845" t="s">
        <v>2564</v>
      </c>
      <c r="C13028" s="1007">
        <f t="shared" si="277"/>
        <v>97</v>
      </c>
      <c r="D13028" s="1014"/>
      <c r="H13028" s="1011" t="s">
        <v>1010</v>
      </c>
      <c r="K13028" s="1013"/>
    </row>
    <row r="13029" spans="1:11" s="1011" customFormat="1" ht="15" x14ac:dyDescent="0.25">
      <c r="A13029" s="859">
        <f t="shared" si="278"/>
        <v>13028</v>
      </c>
      <c r="B13029" s="845" t="s">
        <v>2564</v>
      </c>
      <c r="C13029" s="1007">
        <f t="shared" si="277"/>
        <v>97</v>
      </c>
      <c r="D13029" s="1012"/>
      <c r="H13029" s="1011" t="s">
        <v>1007</v>
      </c>
      <c r="K13029" s="1013"/>
    </row>
    <row r="13030" spans="1:11" s="1011" customFormat="1" ht="15" x14ac:dyDescent="0.25">
      <c r="A13030" s="859">
        <f t="shared" si="278"/>
        <v>13029</v>
      </c>
      <c r="B13030" s="845" t="s">
        <v>2564</v>
      </c>
      <c r="C13030" s="1007">
        <f t="shared" si="277"/>
        <v>97</v>
      </c>
      <c r="D13030" s="1015"/>
      <c r="I13030" s="1011" t="s">
        <v>2182</v>
      </c>
      <c r="K13030" s="1013"/>
    </row>
    <row r="13031" spans="1:11" s="1011" customFormat="1" ht="15" x14ac:dyDescent="0.25">
      <c r="A13031" s="859">
        <f t="shared" si="278"/>
        <v>13030</v>
      </c>
      <c r="B13031" s="845" t="s">
        <v>2564</v>
      </c>
      <c r="C13031" s="1007">
        <f t="shared" si="277"/>
        <v>97</v>
      </c>
      <c r="D13031" s="1012"/>
      <c r="I13031" s="1011" t="str">
        <f>CONCATENATE("&lt;valeur&gt;",VLOOKUP(C13031,'T16 Amort'!A:K,10,0),"&lt;/valeur&gt;")</f>
        <v>&lt;valeur&gt;&lt;/valeur&gt;</v>
      </c>
      <c r="K13031" s="1013"/>
    </row>
    <row r="13032" spans="1:11" s="1011" customFormat="1" ht="15" x14ac:dyDescent="0.25">
      <c r="A13032" s="859">
        <f t="shared" si="278"/>
        <v>13031</v>
      </c>
      <c r="B13032" s="845" t="s">
        <v>2564</v>
      </c>
      <c r="C13032" s="1007">
        <f t="shared" si="277"/>
        <v>97</v>
      </c>
      <c r="D13032" s="1012"/>
      <c r="I13032" s="1011" t="str">
        <f>CONCATENATE("&lt;numeroLigne&gt;",C13032,"&lt;/numeroLigne&gt;")</f>
        <v>&lt;numeroLigne&gt;97&lt;/numeroLigne&gt;</v>
      </c>
      <c r="K13032" s="1013"/>
    </row>
    <row r="13033" spans="1:11" s="1011" customFormat="1" ht="15" x14ac:dyDescent="0.25">
      <c r="A13033" s="859">
        <f t="shared" si="278"/>
        <v>13032</v>
      </c>
      <c r="B13033" s="845" t="s">
        <v>2564</v>
      </c>
      <c r="C13033" s="1007">
        <f t="shared" si="277"/>
        <v>97</v>
      </c>
      <c r="D13033" s="1014"/>
      <c r="H13033" s="1011" t="s">
        <v>1010</v>
      </c>
      <c r="K13033" s="1013"/>
    </row>
    <row r="13034" spans="1:11" s="1011" customFormat="1" ht="15" x14ac:dyDescent="0.25">
      <c r="A13034" s="859">
        <f t="shared" si="278"/>
        <v>13033</v>
      </c>
      <c r="B13034" s="845" t="s">
        <v>2564</v>
      </c>
      <c r="C13034" s="1007">
        <f t="shared" si="277"/>
        <v>97</v>
      </c>
      <c r="D13034" s="1014"/>
      <c r="H13034" s="1011" t="s">
        <v>1007</v>
      </c>
      <c r="K13034" s="1013"/>
    </row>
    <row r="13035" spans="1:11" s="1011" customFormat="1" ht="15" x14ac:dyDescent="0.25">
      <c r="A13035" s="859">
        <f t="shared" si="278"/>
        <v>13034</v>
      </c>
      <c r="B13035" s="845" t="s">
        <v>2564</v>
      </c>
      <c r="C13035" s="1007">
        <f t="shared" si="277"/>
        <v>97</v>
      </c>
      <c r="D13035" s="1012"/>
      <c r="I13035" s="1011" t="s">
        <v>2183</v>
      </c>
      <c r="K13035" s="1013"/>
    </row>
    <row r="13036" spans="1:11" s="1011" customFormat="1" ht="15" x14ac:dyDescent="0.25">
      <c r="A13036" s="859">
        <f t="shared" si="278"/>
        <v>13035</v>
      </c>
      <c r="B13036" s="845" t="s">
        <v>2564</v>
      </c>
      <c r="C13036" s="1007">
        <f t="shared" si="277"/>
        <v>97</v>
      </c>
      <c r="D13036" s="1015"/>
      <c r="I13036" s="1011" t="str">
        <f>CONCATENATE("&lt;valeur&gt;",VLOOKUP(C13036,'T16 Amort'!A:K,11,0),"&lt;/valeur&gt;")</f>
        <v>&lt;valeur&gt;&lt;/valeur&gt;</v>
      </c>
      <c r="K13036" s="1013"/>
    </row>
    <row r="13037" spans="1:11" s="1011" customFormat="1" ht="15" x14ac:dyDescent="0.25">
      <c r="A13037" s="859">
        <f t="shared" si="278"/>
        <v>13036</v>
      </c>
      <c r="B13037" s="845" t="s">
        <v>2564</v>
      </c>
      <c r="C13037" s="1007">
        <f t="shared" si="277"/>
        <v>97</v>
      </c>
      <c r="D13037" s="1012"/>
      <c r="I13037" s="1011" t="str">
        <f>CONCATENATE("&lt;numeroLigne&gt;",C13037,"&lt;/numeroLigne&gt;")</f>
        <v>&lt;numeroLigne&gt;97&lt;/numeroLigne&gt;</v>
      </c>
      <c r="K13037" s="1013"/>
    </row>
    <row r="13038" spans="1:11" s="1011" customFormat="1" ht="15" x14ac:dyDescent="0.25">
      <c r="A13038" s="859">
        <f t="shared" si="278"/>
        <v>13037</v>
      </c>
      <c r="B13038" s="845" t="s">
        <v>2564</v>
      </c>
      <c r="C13038" s="1007">
        <f t="shared" si="277"/>
        <v>97</v>
      </c>
      <c r="D13038" s="1016"/>
      <c r="E13038" s="1017"/>
      <c r="F13038" s="1017"/>
      <c r="G13038" s="1017"/>
      <c r="H13038" s="1017" t="s">
        <v>1010</v>
      </c>
      <c r="I13038" s="1017"/>
      <c r="J13038" s="1017"/>
      <c r="K13038" s="1018"/>
    </row>
    <row r="13039" spans="1:11" s="1011" customFormat="1" ht="15" x14ac:dyDescent="0.25">
      <c r="A13039" s="859">
        <f t="shared" si="278"/>
        <v>13038</v>
      </c>
      <c r="B13039" s="845" t="s">
        <v>2564</v>
      </c>
      <c r="C13039" s="1007">
        <f t="shared" ref="C13039:C13102" si="279">C12989+1</f>
        <v>98</v>
      </c>
      <c r="D13039" s="1008"/>
      <c r="E13039" s="1009"/>
      <c r="F13039" s="1009"/>
      <c r="G13039" s="1009"/>
      <c r="H13039" s="1009" t="s">
        <v>1007</v>
      </c>
      <c r="I13039" s="1009"/>
      <c r="J13039" s="1009"/>
      <c r="K13039" s="1010"/>
    </row>
    <row r="13040" spans="1:11" s="1011" customFormat="1" ht="15" x14ac:dyDescent="0.25">
      <c r="A13040" s="859">
        <f t="shared" si="278"/>
        <v>13039</v>
      </c>
      <c r="B13040" s="845" t="s">
        <v>2564</v>
      </c>
      <c r="C13040" s="1007">
        <f t="shared" si="279"/>
        <v>98</v>
      </c>
      <c r="D13040" s="1012"/>
      <c r="I13040" s="1011" t="s">
        <v>2174</v>
      </c>
      <c r="K13040" s="1013"/>
    </row>
    <row r="13041" spans="1:11" s="1011" customFormat="1" ht="15" x14ac:dyDescent="0.25">
      <c r="A13041" s="859">
        <f t="shared" si="278"/>
        <v>13040</v>
      </c>
      <c r="B13041" s="845" t="s">
        <v>2564</v>
      </c>
      <c r="C13041" s="1007">
        <f t="shared" si="279"/>
        <v>98</v>
      </c>
      <c r="D13041" s="1014"/>
      <c r="I13041" s="1011" t="str">
        <f>CONCATENATE("&lt;valeur&gt;",VLOOKUP(C13041,'T16 Amort'!A:K,2,0),"&lt;/valeur&gt;")</f>
        <v>&lt;valeur&gt;&lt;/valeur&gt;</v>
      </c>
      <c r="K13041" s="1013"/>
    </row>
    <row r="13042" spans="1:11" s="1011" customFormat="1" ht="15" x14ac:dyDescent="0.25">
      <c r="A13042" s="859">
        <f t="shared" si="278"/>
        <v>13041</v>
      </c>
      <c r="B13042" s="845" t="s">
        <v>2564</v>
      </c>
      <c r="C13042" s="1007">
        <f t="shared" si="279"/>
        <v>98</v>
      </c>
      <c r="D13042" s="1014"/>
      <c r="I13042" s="1011" t="str">
        <f>CONCATENATE("&lt;numeroLigne&gt;",C13042,"&lt;/numeroLigne&gt;")</f>
        <v>&lt;numeroLigne&gt;98&lt;/numeroLigne&gt;</v>
      </c>
      <c r="K13042" s="1013"/>
    </row>
    <row r="13043" spans="1:11" s="1011" customFormat="1" ht="15" x14ac:dyDescent="0.25">
      <c r="A13043" s="859">
        <f t="shared" si="278"/>
        <v>13042</v>
      </c>
      <c r="B13043" s="845" t="s">
        <v>2564</v>
      </c>
      <c r="C13043" s="1007">
        <f t="shared" si="279"/>
        <v>98</v>
      </c>
      <c r="D13043" s="1012"/>
      <c r="H13043" s="1011" t="s">
        <v>1010</v>
      </c>
      <c r="K13043" s="1013"/>
    </row>
    <row r="13044" spans="1:11" s="1011" customFormat="1" ht="15" x14ac:dyDescent="0.25">
      <c r="A13044" s="859">
        <f t="shared" si="278"/>
        <v>13043</v>
      </c>
      <c r="B13044" s="845" t="s">
        <v>2564</v>
      </c>
      <c r="C13044" s="1007">
        <f t="shared" si="279"/>
        <v>98</v>
      </c>
      <c r="D13044" s="1015"/>
      <c r="H13044" s="1011" t="s">
        <v>1007</v>
      </c>
      <c r="K13044" s="1013"/>
    </row>
    <row r="13045" spans="1:11" s="1011" customFormat="1" ht="15" x14ac:dyDescent="0.25">
      <c r="A13045" s="859">
        <f t="shared" si="278"/>
        <v>13044</v>
      </c>
      <c r="B13045" s="845" t="s">
        <v>2564</v>
      </c>
      <c r="C13045" s="1007">
        <f t="shared" si="279"/>
        <v>98</v>
      </c>
      <c r="D13045" s="1012"/>
      <c r="I13045" s="1011" t="s">
        <v>2175</v>
      </c>
      <c r="K13045" s="1013"/>
    </row>
    <row r="13046" spans="1:11" s="1011" customFormat="1" ht="15" x14ac:dyDescent="0.25">
      <c r="A13046" s="859">
        <f t="shared" si="278"/>
        <v>13045</v>
      </c>
      <c r="B13046" s="845" t="s">
        <v>2564</v>
      </c>
      <c r="C13046" s="1007">
        <f t="shared" si="279"/>
        <v>98</v>
      </c>
      <c r="D13046" s="1012"/>
      <c r="I13046" s="1011" t="str">
        <f>CONCATENATE("&lt;valeur&gt;",VLOOKUP(C13046,'T16 Amort'!A:K,3,0),"&lt;/valeur&gt;")</f>
        <v>&lt;valeur&gt;&lt;/valeur&gt;</v>
      </c>
      <c r="K13046" s="1013"/>
    </row>
    <row r="13047" spans="1:11" s="1011" customFormat="1" ht="15" x14ac:dyDescent="0.25">
      <c r="A13047" s="859">
        <f t="shared" si="278"/>
        <v>13046</v>
      </c>
      <c r="B13047" s="845" t="s">
        <v>2564</v>
      </c>
      <c r="C13047" s="1007">
        <f t="shared" si="279"/>
        <v>98</v>
      </c>
      <c r="D13047" s="1014"/>
      <c r="I13047" s="1011" t="str">
        <f>CONCATENATE("&lt;numeroLigne&gt;",C13047,"&lt;/numeroLigne&gt;")</f>
        <v>&lt;numeroLigne&gt;98&lt;/numeroLigne&gt;</v>
      </c>
      <c r="K13047" s="1013"/>
    </row>
    <row r="13048" spans="1:11" s="1011" customFormat="1" ht="15" x14ac:dyDescent="0.25">
      <c r="A13048" s="859">
        <f t="shared" si="278"/>
        <v>13047</v>
      </c>
      <c r="B13048" s="845" t="s">
        <v>2564</v>
      </c>
      <c r="C13048" s="1007">
        <f t="shared" si="279"/>
        <v>98</v>
      </c>
      <c r="D13048" s="1014"/>
      <c r="H13048" s="1011" t="s">
        <v>1010</v>
      </c>
      <c r="K13048" s="1013"/>
    </row>
    <row r="13049" spans="1:11" s="1011" customFormat="1" ht="15" x14ac:dyDescent="0.25">
      <c r="A13049" s="859">
        <f t="shared" si="278"/>
        <v>13048</v>
      </c>
      <c r="B13049" s="845" t="s">
        <v>2564</v>
      </c>
      <c r="C13049" s="1007">
        <f t="shared" si="279"/>
        <v>98</v>
      </c>
      <c r="D13049" s="1012"/>
      <c r="H13049" s="1011" t="s">
        <v>1007</v>
      </c>
      <c r="K13049" s="1013"/>
    </row>
    <row r="13050" spans="1:11" s="1011" customFormat="1" ht="15" x14ac:dyDescent="0.25">
      <c r="A13050" s="859">
        <f t="shared" si="278"/>
        <v>13049</v>
      </c>
      <c r="B13050" s="845" t="s">
        <v>2564</v>
      </c>
      <c r="C13050" s="1007">
        <f t="shared" si="279"/>
        <v>98</v>
      </c>
      <c r="D13050" s="1015"/>
      <c r="I13050" s="1011" t="s">
        <v>2176</v>
      </c>
      <c r="K13050" s="1013"/>
    </row>
    <row r="13051" spans="1:11" s="1011" customFormat="1" ht="15" x14ac:dyDescent="0.25">
      <c r="A13051" s="859">
        <f t="shared" si="278"/>
        <v>13050</v>
      </c>
      <c r="B13051" s="845" t="s">
        <v>2564</v>
      </c>
      <c r="C13051" s="1007">
        <f t="shared" si="279"/>
        <v>98</v>
      </c>
      <c r="D13051" s="1012"/>
      <c r="I13051" s="1011" t="str">
        <f>CONCATENATE("&lt;valeur&gt;",VLOOKUP(C13051,'T16 Amort'!A:K,4,0),"&lt;/valeur&gt;")</f>
        <v>&lt;valeur&gt;&lt;/valeur&gt;</v>
      </c>
      <c r="K13051" s="1013"/>
    </row>
    <row r="13052" spans="1:11" s="1011" customFormat="1" ht="15" x14ac:dyDescent="0.25">
      <c r="A13052" s="859">
        <f t="shared" si="278"/>
        <v>13051</v>
      </c>
      <c r="B13052" s="845" t="s">
        <v>2564</v>
      </c>
      <c r="C13052" s="1007">
        <f t="shared" si="279"/>
        <v>98</v>
      </c>
      <c r="D13052" s="1012"/>
      <c r="I13052" s="1011" t="str">
        <f>CONCATENATE("&lt;numeroLigne&gt;",C13052,"&lt;/numeroLigne&gt;")</f>
        <v>&lt;numeroLigne&gt;98&lt;/numeroLigne&gt;</v>
      </c>
      <c r="K13052" s="1013"/>
    </row>
    <row r="13053" spans="1:11" s="1011" customFormat="1" ht="15" x14ac:dyDescent="0.25">
      <c r="A13053" s="859">
        <f t="shared" si="278"/>
        <v>13052</v>
      </c>
      <c r="B13053" s="845" t="s">
        <v>2564</v>
      </c>
      <c r="C13053" s="1007">
        <f t="shared" si="279"/>
        <v>98</v>
      </c>
      <c r="D13053" s="1014"/>
      <c r="H13053" s="1011" t="s">
        <v>1010</v>
      </c>
      <c r="K13053" s="1013"/>
    </row>
    <row r="13054" spans="1:11" s="1011" customFormat="1" ht="15" x14ac:dyDescent="0.25">
      <c r="A13054" s="859">
        <f t="shared" si="278"/>
        <v>13053</v>
      </c>
      <c r="B13054" s="845" t="s">
        <v>2564</v>
      </c>
      <c r="C13054" s="1007">
        <f t="shared" si="279"/>
        <v>98</v>
      </c>
      <c r="D13054" s="1014"/>
      <c r="H13054" s="1011" t="s">
        <v>1007</v>
      </c>
      <c r="K13054" s="1013"/>
    </row>
    <row r="13055" spans="1:11" s="1011" customFormat="1" ht="15" x14ac:dyDescent="0.25">
      <c r="A13055" s="859">
        <f t="shared" si="278"/>
        <v>13054</v>
      </c>
      <c r="B13055" s="845" t="s">
        <v>2564</v>
      </c>
      <c r="C13055" s="1007">
        <f t="shared" si="279"/>
        <v>98</v>
      </c>
      <c r="D13055" s="1012"/>
      <c r="I13055" s="1011" t="s">
        <v>2177</v>
      </c>
      <c r="K13055" s="1013"/>
    </row>
    <row r="13056" spans="1:11" s="1011" customFormat="1" ht="15" x14ac:dyDescent="0.25">
      <c r="A13056" s="859">
        <f t="shared" si="278"/>
        <v>13055</v>
      </c>
      <c r="B13056" s="845" t="s">
        <v>2564</v>
      </c>
      <c r="C13056" s="1007">
        <f t="shared" si="279"/>
        <v>98</v>
      </c>
      <c r="D13056" s="1015"/>
      <c r="I13056" s="1011" t="str">
        <f>CONCATENATE("&lt;valeur&gt;",VLOOKUP(C13056,'T16 Amort'!A:K,5,0),"&lt;/valeur&gt;")</f>
        <v>&lt;valeur&gt;&lt;/valeur&gt;</v>
      </c>
      <c r="K13056" s="1013"/>
    </row>
    <row r="13057" spans="1:11" s="1011" customFormat="1" ht="15" x14ac:dyDescent="0.25">
      <c r="A13057" s="859">
        <f t="shared" si="278"/>
        <v>13056</v>
      </c>
      <c r="B13057" s="845" t="s">
        <v>2564</v>
      </c>
      <c r="C13057" s="1007">
        <f t="shared" si="279"/>
        <v>98</v>
      </c>
      <c r="D13057" s="1012"/>
      <c r="I13057" s="1011" t="str">
        <f>CONCATENATE("&lt;numeroLigne&gt;",C13057,"&lt;/numeroLigne&gt;")</f>
        <v>&lt;numeroLigne&gt;98&lt;/numeroLigne&gt;</v>
      </c>
      <c r="K13057" s="1013"/>
    </row>
    <row r="13058" spans="1:11" s="1011" customFormat="1" ht="15" x14ac:dyDescent="0.25">
      <c r="A13058" s="859">
        <f t="shared" si="278"/>
        <v>13057</v>
      </c>
      <c r="B13058" s="845" t="s">
        <v>2564</v>
      </c>
      <c r="C13058" s="1007">
        <f t="shared" si="279"/>
        <v>98</v>
      </c>
      <c r="D13058" s="1012"/>
      <c r="H13058" s="1011" t="s">
        <v>1010</v>
      </c>
      <c r="K13058" s="1013"/>
    </row>
    <row r="13059" spans="1:11" s="1011" customFormat="1" ht="15" x14ac:dyDescent="0.25">
      <c r="A13059" s="859">
        <f t="shared" si="278"/>
        <v>13058</v>
      </c>
      <c r="B13059" s="845" t="s">
        <v>2564</v>
      </c>
      <c r="C13059" s="1007">
        <f t="shared" si="279"/>
        <v>98</v>
      </c>
      <c r="D13059" s="1014"/>
      <c r="H13059" s="1011" t="s">
        <v>1007</v>
      </c>
      <c r="K13059" s="1013"/>
    </row>
    <row r="13060" spans="1:11" s="1011" customFormat="1" ht="15" x14ac:dyDescent="0.25">
      <c r="A13060" s="859">
        <f t="shared" ref="A13060:A13123" si="280">+A13059+1</f>
        <v>13059</v>
      </c>
      <c r="B13060" s="845" t="s">
        <v>2564</v>
      </c>
      <c r="C13060" s="1007">
        <f t="shared" si="279"/>
        <v>98</v>
      </c>
      <c r="D13060" s="1014"/>
      <c r="I13060" s="1011" t="s">
        <v>2178</v>
      </c>
      <c r="K13060" s="1013"/>
    </row>
    <row r="13061" spans="1:11" s="1011" customFormat="1" ht="15" x14ac:dyDescent="0.25">
      <c r="A13061" s="859">
        <f t="shared" si="280"/>
        <v>13060</v>
      </c>
      <c r="B13061" s="845" t="s">
        <v>2564</v>
      </c>
      <c r="C13061" s="1007">
        <f t="shared" si="279"/>
        <v>98</v>
      </c>
      <c r="D13061" s="1012"/>
      <c r="I13061" s="1011" t="str">
        <f>CONCATENATE("&lt;valeur&gt;",VLOOKUP(C13061,'T16 Amort'!A:K,6,0),"&lt;/valeur&gt;")</f>
        <v>&lt;valeur&gt;&lt;/valeur&gt;</v>
      </c>
      <c r="K13061" s="1013"/>
    </row>
    <row r="13062" spans="1:11" s="1011" customFormat="1" ht="15" x14ac:dyDescent="0.25">
      <c r="A13062" s="859">
        <f t="shared" si="280"/>
        <v>13061</v>
      </c>
      <c r="B13062" s="845" t="s">
        <v>2564</v>
      </c>
      <c r="C13062" s="1007">
        <f t="shared" si="279"/>
        <v>98</v>
      </c>
      <c r="D13062" s="1015"/>
      <c r="I13062" s="1011" t="str">
        <f>CONCATENATE("&lt;numeroLigne&gt;",C13062,"&lt;/numeroLigne&gt;")</f>
        <v>&lt;numeroLigne&gt;98&lt;/numeroLigne&gt;</v>
      </c>
      <c r="K13062" s="1013"/>
    </row>
    <row r="13063" spans="1:11" s="1011" customFormat="1" ht="15" x14ac:dyDescent="0.25">
      <c r="A13063" s="859">
        <f t="shared" si="280"/>
        <v>13062</v>
      </c>
      <c r="B13063" s="845" t="s">
        <v>2564</v>
      </c>
      <c r="C13063" s="1007">
        <f t="shared" si="279"/>
        <v>98</v>
      </c>
      <c r="D13063" s="1012"/>
      <c r="H13063" s="1011" t="s">
        <v>1010</v>
      </c>
      <c r="K13063" s="1013"/>
    </row>
    <row r="13064" spans="1:11" s="1011" customFormat="1" ht="15" x14ac:dyDescent="0.25">
      <c r="A13064" s="859">
        <f t="shared" si="280"/>
        <v>13063</v>
      </c>
      <c r="B13064" s="845" t="s">
        <v>2564</v>
      </c>
      <c r="C13064" s="1007">
        <f t="shared" si="279"/>
        <v>98</v>
      </c>
      <c r="D13064" s="1012"/>
      <c r="H13064" s="1011" t="s">
        <v>1007</v>
      </c>
      <c r="K13064" s="1013"/>
    </row>
    <row r="13065" spans="1:11" s="1011" customFormat="1" ht="15" x14ac:dyDescent="0.25">
      <c r="A13065" s="859">
        <f t="shared" si="280"/>
        <v>13064</v>
      </c>
      <c r="B13065" s="845" t="s">
        <v>2564</v>
      </c>
      <c r="C13065" s="1007">
        <f t="shared" si="279"/>
        <v>98</v>
      </c>
      <c r="D13065" s="1014"/>
      <c r="I13065" s="1011" t="s">
        <v>2179</v>
      </c>
      <c r="K13065" s="1013"/>
    </row>
    <row r="13066" spans="1:11" s="1011" customFormat="1" ht="15" x14ac:dyDescent="0.25">
      <c r="A13066" s="859">
        <f t="shared" si="280"/>
        <v>13065</v>
      </c>
      <c r="B13066" s="845" t="s">
        <v>2564</v>
      </c>
      <c r="C13066" s="1007">
        <f t="shared" si="279"/>
        <v>98</v>
      </c>
      <c r="D13066" s="1014"/>
      <c r="I13066" s="1011" t="str">
        <f>CONCATENATE("&lt;valeur&gt;",VLOOKUP(C13066,'T16 Amort'!A:K,7,0),"&lt;/valeur&gt;")</f>
        <v>&lt;valeur&gt;&lt;/valeur&gt;</v>
      </c>
      <c r="K13066" s="1013"/>
    </row>
    <row r="13067" spans="1:11" s="1011" customFormat="1" ht="15" x14ac:dyDescent="0.25">
      <c r="A13067" s="859">
        <f t="shared" si="280"/>
        <v>13066</v>
      </c>
      <c r="B13067" s="845" t="s">
        <v>2564</v>
      </c>
      <c r="C13067" s="1007">
        <f t="shared" si="279"/>
        <v>98</v>
      </c>
      <c r="D13067" s="1012"/>
      <c r="I13067" s="1011" t="str">
        <f>CONCATENATE("&lt;numeroLigne&gt;",C13067,"&lt;/numeroLigne&gt;")</f>
        <v>&lt;numeroLigne&gt;98&lt;/numeroLigne&gt;</v>
      </c>
      <c r="K13067" s="1013"/>
    </row>
    <row r="13068" spans="1:11" s="1011" customFormat="1" ht="15" x14ac:dyDescent="0.25">
      <c r="A13068" s="859">
        <f t="shared" si="280"/>
        <v>13067</v>
      </c>
      <c r="B13068" s="845" t="s">
        <v>2564</v>
      </c>
      <c r="C13068" s="1007">
        <f t="shared" si="279"/>
        <v>98</v>
      </c>
      <c r="D13068" s="1015"/>
      <c r="H13068" s="1011" t="s">
        <v>1010</v>
      </c>
      <c r="K13068" s="1013"/>
    </row>
    <row r="13069" spans="1:11" s="1011" customFormat="1" ht="15" x14ac:dyDescent="0.25">
      <c r="A13069" s="859">
        <f t="shared" si="280"/>
        <v>13068</v>
      </c>
      <c r="B13069" s="845" t="s">
        <v>2564</v>
      </c>
      <c r="C13069" s="1007">
        <f t="shared" si="279"/>
        <v>98</v>
      </c>
      <c r="D13069" s="1012"/>
      <c r="H13069" s="1011" t="s">
        <v>1007</v>
      </c>
      <c r="K13069" s="1013"/>
    </row>
    <row r="13070" spans="1:11" s="1011" customFormat="1" ht="15" x14ac:dyDescent="0.25">
      <c r="A13070" s="859">
        <f t="shared" si="280"/>
        <v>13069</v>
      </c>
      <c r="B13070" s="845" t="s">
        <v>2564</v>
      </c>
      <c r="C13070" s="1007">
        <f t="shared" si="279"/>
        <v>98</v>
      </c>
      <c r="D13070" s="1012"/>
      <c r="I13070" s="1011" t="s">
        <v>2180</v>
      </c>
      <c r="K13070" s="1013"/>
    </row>
    <row r="13071" spans="1:11" s="1011" customFormat="1" ht="15" x14ac:dyDescent="0.25">
      <c r="A13071" s="859">
        <f t="shared" si="280"/>
        <v>13070</v>
      </c>
      <c r="B13071" s="845" t="s">
        <v>2564</v>
      </c>
      <c r="C13071" s="1007">
        <f t="shared" si="279"/>
        <v>98</v>
      </c>
      <c r="D13071" s="1014"/>
      <c r="I13071" s="1011" t="str">
        <f>CONCATENATE("&lt;valeur&gt;",VLOOKUP(C13071,'T16 Amort'!A:K,8,0),"&lt;/valeur&gt;")</f>
        <v>&lt;valeur&gt;&lt;/valeur&gt;</v>
      </c>
      <c r="K13071" s="1013"/>
    </row>
    <row r="13072" spans="1:11" s="1011" customFormat="1" ht="15" x14ac:dyDescent="0.25">
      <c r="A13072" s="859">
        <f t="shared" si="280"/>
        <v>13071</v>
      </c>
      <c r="B13072" s="845" t="s">
        <v>2564</v>
      </c>
      <c r="C13072" s="1007">
        <f t="shared" si="279"/>
        <v>98</v>
      </c>
      <c r="D13072" s="1014"/>
      <c r="I13072" s="1011" t="str">
        <f>CONCATENATE("&lt;numeroLigne&gt;",C13072,"&lt;/numeroLigne&gt;")</f>
        <v>&lt;numeroLigne&gt;98&lt;/numeroLigne&gt;</v>
      </c>
      <c r="K13072" s="1013"/>
    </row>
    <row r="13073" spans="1:11" s="1011" customFormat="1" ht="15" x14ac:dyDescent="0.25">
      <c r="A13073" s="859">
        <f t="shared" si="280"/>
        <v>13072</v>
      </c>
      <c r="B13073" s="845" t="s">
        <v>2564</v>
      </c>
      <c r="C13073" s="1007">
        <f t="shared" si="279"/>
        <v>98</v>
      </c>
      <c r="D13073" s="1012"/>
      <c r="H13073" s="1011" t="s">
        <v>1010</v>
      </c>
      <c r="K13073" s="1013"/>
    </row>
    <row r="13074" spans="1:11" s="1011" customFormat="1" ht="15" x14ac:dyDescent="0.25">
      <c r="A13074" s="859">
        <f t="shared" si="280"/>
        <v>13073</v>
      </c>
      <c r="B13074" s="845" t="s">
        <v>2564</v>
      </c>
      <c r="C13074" s="1007">
        <f t="shared" si="279"/>
        <v>98</v>
      </c>
      <c r="D13074" s="1015"/>
      <c r="H13074" s="1011" t="s">
        <v>1007</v>
      </c>
      <c r="K13074" s="1013"/>
    </row>
    <row r="13075" spans="1:11" s="1011" customFormat="1" ht="15" x14ac:dyDescent="0.25">
      <c r="A13075" s="859">
        <f t="shared" si="280"/>
        <v>13074</v>
      </c>
      <c r="B13075" s="845" t="s">
        <v>2564</v>
      </c>
      <c r="C13075" s="1007">
        <f t="shared" si="279"/>
        <v>98</v>
      </c>
      <c r="D13075" s="1012"/>
      <c r="I13075" s="1011" t="s">
        <v>2181</v>
      </c>
      <c r="K13075" s="1013"/>
    </row>
    <row r="13076" spans="1:11" s="1011" customFormat="1" ht="15" x14ac:dyDescent="0.25">
      <c r="A13076" s="859">
        <f t="shared" si="280"/>
        <v>13075</v>
      </c>
      <c r="B13076" s="845" t="s">
        <v>2564</v>
      </c>
      <c r="C13076" s="1007">
        <f t="shared" si="279"/>
        <v>98</v>
      </c>
      <c r="D13076" s="1012"/>
      <c r="I13076" s="1011" t="str">
        <f>CONCATENATE("&lt;valeur&gt;",VLOOKUP(C13076,'T16 Amort'!A:K,9,0),"&lt;/valeur&gt;")</f>
        <v>&lt;valeur&gt;&lt;/valeur&gt;</v>
      </c>
      <c r="K13076" s="1013"/>
    </row>
    <row r="13077" spans="1:11" s="1011" customFormat="1" ht="15" x14ac:dyDescent="0.25">
      <c r="A13077" s="859">
        <f t="shared" si="280"/>
        <v>13076</v>
      </c>
      <c r="B13077" s="845" t="s">
        <v>2564</v>
      </c>
      <c r="C13077" s="1007">
        <f t="shared" si="279"/>
        <v>98</v>
      </c>
      <c r="D13077" s="1014"/>
      <c r="I13077" s="1011" t="str">
        <f>CONCATENATE("&lt;numeroLigne&gt;",C13077,"&lt;/numeroLigne&gt;")</f>
        <v>&lt;numeroLigne&gt;98&lt;/numeroLigne&gt;</v>
      </c>
      <c r="K13077" s="1013"/>
    </row>
    <row r="13078" spans="1:11" s="1011" customFormat="1" ht="15" x14ac:dyDescent="0.25">
      <c r="A13078" s="859">
        <f t="shared" si="280"/>
        <v>13077</v>
      </c>
      <c r="B13078" s="845" t="s">
        <v>2564</v>
      </c>
      <c r="C13078" s="1007">
        <f t="shared" si="279"/>
        <v>98</v>
      </c>
      <c r="D13078" s="1014"/>
      <c r="H13078" s="1011" t="s">
        <v>1010</v>
      </c>
      <c r="K13078" s="1013"/>
    </row>
    <row r="13079" spans="1:11" s="1011" customFormat="1" ht="15" x14ac:dyDescent="0.25">
      <c r="A13079" s="859">
        <f t="shared" si="280"/>
        <v>13078</v>
      </c>
      <c r="B13079" s="845" t="s">
        <v>2564</v>
      </c>
      <c r="C13079" s="1007">
        <f t="shared" si="279"/>
        <v>98</v>
      </c>
      <c r="D13079" s="1012"/>
      <c r="H13079" s="1011" t="s">
        <v>1007</v>
      </c>
      <c r="K13079" s="1013"/>
    </row>
    <row r="13080" spans="1:11" s="1011" customFormat="1" ht="15" x14ac:dyDescent="0.25">
      <c r="A13080" s="859">
        <f t="shared" si="280"/>
        <v>13079</v>
      </c>
      <c r="B13080" s="845" t="s">
        <v>2564</v>
      </c>
      <c r="C13080" s="1007">
        <f t="shared" si="279"/>
        <v>98</v>
      </c>
      <c r="D13080" s="1015"/>
      <c r="I13080" s="1011" t="s">
        <v>2182</v>
      </c>
      <c r="K13080" s="1013"/>
    </row>
    <row r="13081" spans="1:11" s="1011" customFormat="1" ht="15" x14ac:dyDescent="0.25">
      <c r="A13081" s="859">
        <f t="shared" si="280"/>
        <v>13080</v>
      </c>
      <c r="B13081" s="845" t="s">
        <v>2564</v>
      </c>
      <c r="C13081" s="1007">
        <f t="shared" si="279"/>
        <v>98</v>
      </c>
      <c r="D13081" s="1012"/>
      <c r="I13081" s="1011" t="str">
        <f>CONCATENATE("&lt;valeur&gt;",VLOOKUP(C13081,'T16 Amort'!A:K,10,0),"&lt;/valeur&gt;")</f>
        <v>&lt;valeur&gt;&lt;/valeur&gt;</v>
      </c>
      <c r="K13081" s="1013"/>
    </row>
    <row r="13082" spans="1:11" s="1011" customFormat="1" ht="15" x14ac:dyDescent="0.25">
      <c r="A13082" s="859">
        <f t="shared" si="280"/>
        <v>13081</v>
      </c>
      <c r="B13082" s="845" t="s">
        <v>2564</v>
      </c>
      <c r="C13082" s="1007">
        <f t="shared" si="279"/>
        <v>98</v>
      </c>
      <c r="D13082" s="1012"/>
      <c r="I13082" s="1011" t="str">
        <f>CONCATENATE("&lt;numeroLigne&gt;",C13082,"&lt;/numeroLigne&gt;")</f>
        <v>&lt;numeroLigne&gt;98&lt;/numeroLigne&gt;</v>
      </c>
      <c r="K13082" s="1013"/>
    </row>
    <row r="13083" spans="1:11" s="1011" customFormat="1" ht="15" x14ac:dyDescent="0.25">
      <c r="A13083" s="859">
        <f t="shared" si="280"/>
        <v>13082</v>
      </c>
      <c r="B13083" s="845" t="s">
        <v>2564</v>
      </c>
      <c r="C13083" s="1007">
        <f t="shared" si="279"/>
        <v>98</v>
      </c>
      <c r="D13083" s="1014"/>
      <c r="H13083" s="1011" t="s">
        <v>1010</v>
      </c>
      <c r="K13083" s="1013"/>
    </row>
    <row r="13084" spans="1:11" s="1011" customFormat="1" ht="15" x14ac:dyDescent="0.25">
      <c r="A13084" s="859">
        <f t="shared" si="280"/>
        <v>13083</v>
      </c>
      <c r="B13084" s="845" t="s">
        <v>2564</v>
      </c>
      <c r="C13084" s="1007">
        <f t="shared" si="279"/>
        <v>98</v>
      </c>
      <c r="D13084" s="1014"/>
      <c r="H13084" s="1011" t="s">
        <v>1007</v>
      </c>
      <c r="K13084" s="1013"/>
    </row>
    <row r="13085" spans="1:11" s="1011" customFormat="1" ht="15" x14ac:dyDescent="0.25">
      <c r="A13085" s="859">
        <f t="shared" si="280"/>
        <v>13084</v>
      </c>
      <c r="B13085" s="845" t="s">
        <v>2564</v>
      </c>
      <c r="C13085" s="1007">
        <f t="shared" si="279"/>
        <v>98</v>
      </c>
      <c r="D13085" s="1012"/>
      <c r="I13085" s="1011" t="s">
        <v>2183</v>
      </c>
      <c r="K13085" s="1013"/>
    </row>
    <row r="13086" spans="1:11" s="1011" customFormat="1" ht="15" x14ac:dyDescent="0.25">
      <c r="A13086" s="859">
        <f t="shared" si="280"/>
        <v>13085</v>
      </c>
      <c r="B13086" s="845" t="s">
        <v>2564</v>
      </c>
      <c r="C13086" s="1007">
        <f t="shared" si="279"/>
        <v>98</v>
      </c>
      <c r="D13086" s="1015"/>
      <c r="I13086" s="1011" t="str">
        <f>CONCATENATE("&lt;valeur&gt;",VLOOKUP(C13086,'T16 Amort'!A:K,11,0),"&lt;/valeur&gt;")</f>
        <v>&lt;valeur&gt;&lt;/valeur&gt;</v>
      </c>
      <c r="K13086" s="1013"/>
    </row>
    <row r="13087" spans="1:11" s="1011" customFormat="1" ht="15" x14ac:dyDescent="0.25">
      <c r="A13087" s="859">
        <f t="shared" si="280"/>
        <v>13086</v>
      </c>
      <c r="B13087" s="845" t="s">
        <v>2564</v>
      </c>
      <c r="C13087" s="1007">
        <f t="shared" si="279"/>
        <v>98</v>
      </c>
      <c r="D13087" s="1012"/>
      <c r="I13087" s="1011" t="str">
        <f>CONCATENATE("&lt;numeroLigne&gt;",C13087,"&lt;/numeroLigne&gt;")</f>
        <v>&lt;numeroLigne&gt;98&lt;/numeroLigne&gt;</v>
      </c>
      <c r="K13087" s="1013"/>
    </row>
    <row r="13088" spans="1:11" s="1011" customFormat="1" ht="15" x14ac:dyDescent="0.25">
      <c r="A13088" s="859">
        <f t="shared" si="280"/>
        <v>13087</v>
      </c>
      <c r="B13088" s="845" t="s">
        <v>2564</v>
      </c>
      <c r="C13088" s="1007">
        <f t="shared" si="279"/>
        <v>98</v>
      </c>
      <c r="D13088" s="1016"/>
      <c r="E13088" s="1017"/>
      <c r="F13088" s="1017"/>
      <c r="G13088" s="1017"/>
      <c r="H13088" s="1017" t="s">
        <v>1010</v>
      </c>
      <c r="I13088" s="1017"/>
      <c r="J13088" s="1017"/>
      <c r="K13088" s="1018"/>
    </row>
    <row r="13089" spans="1:11" s="1011" customFormat="1" ht="15" x14ac:dyDescent="0.25">
      <c r="A13089" s="859">
        <f t="shared" si="280"/>
        <v>13088</v>
      </c>
      <c r="B13089" s="845" t="s">
        <v>2564</v>
      </c>
      <c r="C13089" s="1007">
        <f t="shared" si="279"/>
        <v>99</v>
      </c>
      <c r="D13089" s="1008"/>
      <c r="E13089" s="1009"/>
      <c r="F13089" s="1009"/>
      <c r="G13089" s="1009"/>
      <c r="H13089" s="1009" t="s">
        <v>1007</v>
      </c>
      <c r="I13089" s="1009"/>
      <c r="J13089" s="1009"/>
      <c r="K13089" s="1010"/>
    </row>
    <row r="13090" spans="1:11" s="1011" customFormat="1" ht="15" x14ac:dyDescent="0.25">
      <c r="A13090" s="859">
        <f t="shared" si="280"/>
        <v>13089</v>
      </c>
      <c r="B13090" s="845" t="s">
        <v>2564</v>
      </c>
      <c r="C13090" s="1007">
        <f t="shared" si="279"/>
        <v>99</v>
      </c>
      <c r="D13090" s="1012"/>
      <c r="I13090" s="1011" t="s">
        <v>2174</v>
      </c>
      <c r="K13090" s="1013"/>
    </row>
    <row r="13091" spans="1:11" s="1011" customFormat="1" ht="15" x14ac:dyDescent="0.25">
      <c r="A13091" s="859">
        <f t="shared" si="280"/>
        <v>13090</v>
      </c>
      <c r="B13091" s="845" t="s">
        <v>2564</v>
      </c>
      <c r="C13091" s="1007">
        <f t="shared" si="279"/>
        <v>99</v>
      </c>
      <c r="D13091" s="1014"/>
      <c r="I13091" s="1011" t="str">
        <f>CONCATENATE("&lt;valeur&gt;",VLOOKUP(C13091,'T16 Amort'!A:K,2,0),"&lt;/valeur&gt;")</f>
        <v>&lt;valeur&gt;&lt;/valeur&gt;</v>
      </c>
      <c r="K13091" s="1013"/>
    </row>
    <row r="13092" spans="1:11" s="1011" customFormat="1" ht="15" x14ac:dyDescent="0.25">
      <c r="A13092" s="859">
        <f t="shared" si="280"/>
        <v>13091</v>
      </c>
      <c r="B13092" s="845" t="s">
        <v>2564</v>
      </c>
      <c r="C13092" s="1007">
        <f t="shared" si="279"/>
        <v>99</v>
      </c>
      <c r="D13092" s="1014"/>
      <c r="I13092" s="1011" t="str">
        <f>CONCATENATE("&lt;numeroLigne&gt;",C13092,"&lt;/numeroLigne&gt;")</f>
        <v>&lt;numeroLigne&gt;99&lt;/numeroLigne&gt;</v>
      </c>
      <c r="K13092" s="1013"/>
    </row>
    <row r="13093" spans="1:11" s="1011" customFormat="1" ht="15" x14ac:dyDescent="0.25">
      <c r="A13093" s="859">
        <f t="shared" si="280"/>
        <v>13092</v>
      </c>
      <c r="B13093" s="845" t="s">
        <v>2564</v>
      </c>
      <c r="C13093" s="1007">
        <f t="shared" si="279"/>
        <v>99</v>
      </c>
      <c r="D13093" s="1012"/>
      <c r="H13093" s="1011" t="s">
        <v>1010</v>
      </c>
      <c r="K13093" s="1013"/>
    </row>
    <row r="13094" spans="1:11" s="1011" customFormat="1" ht="15" x14ac:dyDescent="0.25">
      <c r="A13094" s="859">
        <f t="shared" si="280"/>
        <v>13093</v>
      </c>
      <c r="B13094" s="845" t="s">
        <v>2564</v>
      </c>
      <c r="C13094" s="1007">
        <f t="shared" si="279"/>
        <v>99</v>
      </c>
      <c r="D13094" s="1015"/>
      <c r="H13094" s="1011" t="s">
        <v>1007</v>
      </c>
      <c r="K13094" s="1013"/>
    </row>
    <row r="13095" spans="1:11" s="1011" customFormat="1" ht="15" x14ac:dyDescent="0.25">
      <c r="A13095" s="859">
        <f t="shared" si="280"/>
        <v>13094</v>
      </c>
      <c r="B13095" s="845" t="s">
        <v>2564</v>
      </c>
      <c r="C13095" s="1007">
        <f t="shared" si="279"/>
        <v>99</v>
      </c>
      <c r="D13095" s="1012"/>
      <c r="I13095" s="1011" t="s">
        <v>2175</v>
      </c>
      <c r="K13095" s="1013"/>
    </row>
    <row r="13096" spans="1:11" s="1011" customFormat="1" ht="15" x14ac:dyDescent="0.25">
      <c r="A13096" s="859">
        <f t="shared" si="280"/>
        <v>13095</v>
      </c>
      <c r="B13096" s="845" t="s">
        <v>2564</v>
      </c>
      <c r="C13096" s="1007">
        <f t="shared" si="279"/>
        <v>99</v>
      </c>
      <c r="D13096" s="1012"/>
      <c r="I13096" s="1011" t="str">
        <f>CONCATENATE("&lt;valeur&gt;",VLOOKUP(C13096,'T16 Amort'!A:K,3,0),"&lt;/valeur&gt;")</f>
        <v>&lt;valeur&gt;&lt;/valeur&gt;</v>
      </c>
      <c r="K13096" s="1013"/>
    </row>
    <row r="13097" spans="1:11" s="1011" customFormat="1" ht="15" x14ac:dyDescent="0.25">
      <c r="A13097" s="859">
        <f t="shared" si="280"/>
        <v>13096</v>
      </c>
      <c r="B13097" s="845" t="s">
        <v>2564</v>
      </c>
      <c r="C13097" s="1007">
        <f t="shared" si="279"/>
        <v>99</v>
      </c>
      <c r="D13097" s="1014"/>
      <c r="I13097" s="1011" t="str">
        <f>CONCATENATE("&lt;numeroLigne&gt;",C13097,"&lt;/numeroLigne&gt;")</f>
        <v>&lt;numeroLigne&gt;99&lt;/numeroLigne&gt;</v>
      </c>
      <c r="K13097" s="1013"/>
    </row>
    <row r="13098" spans="1:11" s="1011" customFormat="1" ht="15" x14ac:dyDescent="0.25">
      <c r="A13098" s="859">
        <f t="shared" si="280"/>
        <v>13097</v>
      </c>
      <c r="B13098" s="845" t="s">
        <v>2564</v>
      </c>
      <c r="C13098" s="1007">
        <f t="shared" si="279"/>
        <v>99</v>
      </c>
      <c r="D13098" s="1014"/>
      <c r="H13098" s="1011" t="s">
        <v>1010</v>
      </c>
      <c r="K13098" s="1013"/>
    </row>
    <row r="13099" spans="1:11" s="1011" customFormat="1" ht="15" x14ac:dyDescent="0.25">
      <c r="A13099" s="859">
        <f t="shared" si="280"/>
        <v>13098</v>
      </c>
      <c r="B13099" s="845" t="s">
        <v>2564</v>
      </c>
      <c r="C13099" s="1007">
        <f t="shared" si="279"/>
        <v>99</v>
      </c>
      <c r="D13099" s="1012"/>
      <c r="H13099" s="1011" t="s">
        <v>1007</v>
      </c>
      <c r="K13099" s="1013"/>
    </row>
    <row r="13100" spans="1:11" s="1011" customFormat="1" ht="15" x14ac:dyDescent="0.25">
      <c r="A13100" s="859">
        <f t="shared" si="280"/>
        <v>13099</v>
      </c>
      <c r="B13100" s="845" t="s">
        <v>2564</v>
      </c>
      <c r="C13100" s="1007">
        <f t="shared" si="279"/>
        <v>99</v>
      </c>
      <c r="D13100" s="1015"/>
      <c r="I13100" s="1011" t="s">
        <v>2176</v>
      </c>
      <c r="K13100" s="1013"/>
    </row>
    <row r="13101" spans="1:11" s="1011" customFormat="1" ht="15" x14ac:dyDescent="0.25">
      <c r="A13101" s="859">
        <f t="shared" si="280"/>
        <v>13100</v>
      </c>
      <c r="B13101" s="845" t="s">
        <v>2564</v>
      </c>
      <c r="C13101" s="1007">
        <f t="shared" si="279"/>
        <v>99</v>
      </c>
      <c r="D13101" s="1012"/>
      <c r="I13101" s="1011" t="str">
        <f>CONCATENATE("&lt;valeur&gt;",VLOOKUP(C13101,'T16 Amort'!A:K,4,0),"&lt;/valeur&gt;")</f>
        <v>&lt;valeur&gt;&lt;/valeur&gt;</v>
      </c>
      <c r="K13101" s="1013"/>
    </row>
    <row r="13102" spans="1:11" s="1011" customFormat="1" ht="15" x14ac:dyDescent="0.25">
      <c r="A13102" s="859">
        <f t="shared" si="280"/>
        <v>13101</v>
      </c>
      <c r="B13102" s="845" t="s">
        <v>2564</v>
      </c>
      <c r="C13102" s="1007">
        <f t="shared" si="279"/>
        <v>99</v>
      </c>
      <c r="D13102" s="1012"/>
      <c r="I13102" s="1011" t="str">
        <f>CONCATENATE("&lt;numeroLigne&gt;",C13102,"&lt;/numeroLigne&gt;")</f>
        <v>&lt;numeroLigne&gt;99&lt;/numeroLigne&gt;</v>
      </c>
      <c r="K13102" s="1013"/>
    </row>
    <row r="13103" spans="1:11" s="1011" customFormat="1" ht="15" x14ac:dyDescent="0.25">
      <c r="A13103" s="859">
        <f t="shared" si="280"/>
        <v>13102</v>
      </c>
      <c r="B13103" s="845" t="s">
        <v>2564</v>
      </c>
      <c r="C13103" s="1007">
        <f t="shared" ref="C13103:C13166" si="281">C13053+1</f>
        <v>99</v>
      </c>
      <c r="D13103" s="1014"/>
      <c r="H13103" s="1011" t="s">
        <v>1010</v>
      </c>
      <c r="K13103" s="1013"/>
    </row>
    <row r="13104" spans="1:11" s="1011" customFormat="1" ht="15" x14ac:dyDescent="0.25">
      <c r="A13104" s="859">
        <f t="shared" si="280"/>
        <v>13103</v>
      </c>
      <c r="B13104" s="845" t="s">
        <v>2564</v>
      </c>
      <c r="C13104" s="1007">
        <f t="shared" si="281"/>
        <v>99</v>
      </c>
      <c r="D13104" s="1014"/>
      <c r="H13104" s="1011" t="s">
        <v>1007</v>
      </c>
      <c r="K13104" s="1013"/>
    </row>
    <row r="13105" spans="1:11" s="1011" customFormat="1" ht="15" x14ac:dyDescent="0.25">
      <c r="A13105" s="859">
        <f t="shared" si="280"/>
        <v>13104</v>
      </c>
      <c r="B13105" s="845" t="s">
        <v>2564</v>
      </c>
      <c r="C13105" s="1007">
        <f t="shared" si="281"/>
        <v>99</v>
      </c>
      <c r="D13105" s="1012"/>
      <c r="I13105" s="1011" t="s">
        <v>2177</v>
      </c>
      <c r="K13105" s="1013"/>
    </row>
    <row r="13106" spans="1:11" s="1011" customFormat="1" ht="15" x14ac:dyDescent="0.25">
      <c r="A13106" s="859">
        <f t="shared" si="280"/>
        <v>13105</v>
      </c>
      <c r="B13106" s="845" t="s">
        <v>2564</v>
      </c>
      <c r="C13106" s="1007">
        <f t="shared" si="281"/>
        <v>99</v>
      </c>
      <c r="D13106" s="1015"/>
      <c r="I13106" s="1011" t="str">
        <f>CONCATENATE("&lt;valeur&gt;",VLOOKUP(C13106,'T16 Amort'!A:K,5,0),"&lt;/valeur&gt;")</f>
        <v>&lt;valeur&gt;&lt;/valeur&gt;</v>
      </c>
      <c r="K13106" s="1013"/>
    </row>
    <row r="13107" spans="1:11" s="1011" customFormat="1" ht="15" x14ac:dyDescent="0.25">
      <c r="A13107" s="859">
        <f t="shared" si="280"/>
        <v>13106</v>
      </c>
      <c r="B13107" s="845" t="s">
        <v>2564</v>
      </c>
      <c r="C13107" s="1007">
        <f t="shared" si="281"/>
        <v>99</v>
      </c>
      <c r="D13107" s="1012"/>
      <c r="I13107" s="1011" t="str">
        <f>CONCATENATE("&lt;numeroLigne&gt;",C13107,"&lt;/numeroLigne&gt;")</f>
        <v>&lt;numeroLigne&gt;99&lt;/numeroLigne&gt;</v>
      </c>
      <c r="K13107" s="1013"/>
    </row>
    <row r="13108" spans="1:11" s="1011" customFormat="1" ht="15" x14ac:dyDescent="0.25">
      <c r="A13108" s="859">
        <f t="shared" si="280"/>
        <v>13107</v>
      </c>
      <c r="B13108" s="845" t="s">
        <v>2564</v>
      </c>
      <c r="C13108" s="1007">
        <f t="shared" si="281"/>
        <v>99</v>
      </c>
      <c r="D13108" s="1012"/>
      <c r="H13108" s="1011" t="s">
        <v>1010</v>
      </c>
      <c r="K13108" s="1013"/>
    </row>
    <row r="13109" spans="1:11" s="1011" customFormat="1" ht="15" x14ac:dyDescent="0.25">
      <c r="A13109" s="859">
        <f t="shared" si="280"/>
        <v>13108</v>
      </c>
      <c r="B13109" s="845" t="s">
        <v>2564</v>
      </c>
      <c r="C13109" s="1007">
        <f t="shared" si="281"/>
        <v>99</v>
      </c>
      <c r="D13109" s="1014"/>
      <c r="H13109" s="1011" t="s">
        <v>1007</v>
      </c>
      <c r="K13109" s="1013"/>
    </row>
    <row r="13110" spans="1:11" s="1011" customFormat="1" ht="15" x14ac:dyDescent="0.25">
      <c r="A13110" s="859">
        <f t="shared" si="280"/>
        <v>13109</v>
      </c>
      <c r="B13110" s="845" t="s">
        <v>2564</v>
      </c>
      <c r="C13110" s="1007">
        <f t="shared" si="281"/>
        <v>99</v>
      </c>
      <c r="D13110" s="1014"/>
      <c r="I13110" s="1011" t="s">
        <v>2178</v>
      </c>
      <c r="K13110" s="1013"/>
    </row>
    <row r="13111" spans="1:11" s="1011" customFormat="1" ht="15" x14ac:dyDescent="0.25">
      <c r="A13111" s="859">
        <f t="shared" si="280"/>
        <v>13110</v>
      </c>
      <c r="B13111" s="845" t="s">
        <v>2564</v>
      </c>
      <c r="C13111" s="1007">
        <f t="shared" si="281"/>
        <v>99</v>
      </c>
      <c r="D13111" s="1012"/>
      <c r="I13111" s="1011" t="str">
        <f>CONCATENATE("&lt;valeur&gt;",VLOOKUP(C13111,'T16 Amort'!A:K,6,0),"&lt;/valeur&gt;")</f>
        <v>&lt;valeur&gt;&lt;/valeur&gt;</v>
      </c>
      <c r="K13111" s="1013"/>
    </row>
    <row r="13112" spans="1:11" s="1011" customFormat="1" ht="15" x14ac:dyDescent="0.25">
      <c r="A13112" s="859">
        <f t="shared" si="280"/>
        <v>13111</v>
      </c>
      <c r="B13112" s="845" t="s">
        <v>2564</v>
      </c>
      <c r="C13112" s="1007">
        <f t="shared" si="281"/>
        <v>99</v>
      </c>
      <c r="D13112" s="1015"/>
      <c r="I13112" s="1011" t="str">
        <f>CONCATENATE("&lt;numeroLigne&gt;",C13112,"&lt;/numeroLigne&gt;")</f>
        <v>&lt;numeroLigne&gt;99&lt;/numeroLigne&gt;</v>
      </c>
      <c r="K13112" s="1013"/>
    </row>
    <row r="13113" spans="1:11" s="1011" customFormat="1" ht="15" x14ac:dyDescent="0.25">
      <c r="A13113" s="859">
        <f t="shared" si="280"/>
        <v>13112</v>
      </c>
      <c r="B13113" s="845" t="s">
        <v>2564</v>
      </c>
      <c r="C13113" s="1007">
        <f t="shared" si="281"/>
        <v>99</v>
      </c>
      <c r="D13113" s="1012"/>
      <c r="H13113" s="1011" t="s">
        <v>1010</v>
      </c>
      <c r="K13113" s="1013"/>
    </row>
    <row r="13114" spans="1:11" s="1011" customFormat="1" ht="15" x14ac:dyDescent="0.25">
      <c r="A13114" s="859">
        <f t="shared" si="280"/>
        <v>13113</v>
      </c>
      <c r="B13114" s="845" t="s">
        <v>2564</v>
      </c>
      <c r="C13114" s="1007">
        <f t="shared" si="281"/>
        <v>99</v>
      </c>
      <c r="D13114" s="1012"/>
      <c r="H13114" s="1011" t="s">
        <v>1007</v>
      </c>
      <c r="K13114" s="1013"/>
    </row>
    <row r="13115" spans="1:11" s="1011" customFormat="1" ht="15" x14ac:dyDescent="0.25">
      <c r="A13115" s="859">
        <f t="shared" si="280"/>
        <v>13114</v>
      </c>
      <c r="B13115" s="845" t="s">
        <v>2564</v>
      </c>
      <c r="C13115" s="1007">
        <f t="shared" si="281"/>
        <v>99</v>
      </c>
      <c r="D13115" s="1014"/>
      <c r="I13115" s="1011" t="s">
        <v>2179</v>
      </c>
      <c r="K13115" s="1013"/>
    </row>
    <row r="13116" spans="1:11" s="1011" customFormat="1" ht="15" x14ac:dyDescent="0.25">
      <c r="A13116" s="859">
        <f t="shared" si="280"/>
        <v>13115</v>
      </c>
      <c r="B13116" s="845" t="s">
        <v>2564</v>
      </c>
      <c r="C13116" s="1007">
        <f t="shared" si="281"/>
        <v>99</v>
      </c>
      <c r="D13116" s="1014"/>
      <c r="I13116" s="1011" t="str">
        <f>CONCATENATE("&lt;valeur&gt;",VLOOKUP(C13116,'T16 Amort'!A:K,7,0),"&lt;/valeur&gt;")</f>
        <v>&lt;valeur&gt;&lt;/valeur&gt;</v>
      </c>
      <c r="K13116" s="1013"/>
    </row>
    <row r="13117" spans="1:11" s="1011" customFormat="1" ht="15" x14ac:dyDescent="0.25">
      <c r="A13117" s="859">
        <f t="shared" si="280"/>
        <v>13116</v>
      </c>
      <c r="B13117" s="845" t="s">
        <v>2564</v>
      </c>
      <c r="C13117" s="1007">
        <f t="shared" si="281"/>
        <v>99</v>
      </c>
      <c r="D13117" s="1012"/>
      <c r="I13117" s="1011" t="str">
        <f>CONCATENATE("&lt;numeroLigne&gt;",C13117,"&lt;/numeroLigne&gt;")</f>
        <v>&lt;numeroLigne&gt;99&lt;/numeroLigne&gt;</v>
      </c>
      <c r="K13117" s="1013"/>
    </row>
    <row r="13118" spans="1:11" s="1011" customFormat="1" ht="15" x14ac:dyDescent="0.25">
      <c r="A13118" s="859">
        <f t="shared" si="280"/>
        <v>13117</v>
      </c>
      <c r="B13118" s="845" t="s">
        <v>2564</v>
      </c>
      <c r="C13118" s="1007">
        <f t="shared" si="281"/>
        <v>99</v>
      </c>
      <c r="D13118" s="1015"/>
      <c r="H13118" s="1011" t="s">
        <v>1010</v>
      </c>
      <c r="K13118" s="1013"/>
    </row>
    <row r="13119" spans="1:11" s="1011" customFormat="1" ht="15" x14ac:dyDescent="0.25">
      <c r="A13119" s="859">
        <f t="shared" si="280"/>
        <v>13118</v>
      </c>
      <c r="B13119" s="845" t="s">
        <v>2564</v>
      </c>
      <c r="C13119" s="1007">
        <f t="shared" si="281"/>
        <v>99</v>
      </c>
      <c r="D13119" s="1012"/>
      <c r="H13119" s="1011" t="s">
        <v>1007</v>
      </c>
      <c r="K13119" s="1013"/>
    </row>
    <row r="13120" spans="1:11" s="1011" customFormat="1" ht="15" x14ac:dyDescent="0.25">
      <c r="A13120" s="859">
        <f t="shared" si="280"/>
        <v>13119</v>
      </c>
      <c r="B13120" s="845" t="s">
        <v>2564</v>
      </c>
      <c r="C13120" s="1007">
        <f t="shared" si="281"/>
        <v>99</v>
      </c>
      <c r="D13120" s="1012"/>
      <c r="I13120" s="1011" t="s">
        <v>2180</v>
      </c>
      <c r="K13120" s="1013"/>
    </row>
    <row r="13121" spans="1:11" s="1011" customFormat="1" ht="15" x14ac:dyDescent="0.25">
      <c r="A13121" s="859">
        <f t="shared" si="280"/>
        <v>13120</v>
      </c>
      <c r="B13121" s="845" t="s">
        <v>2564</v>
      </c>
      <c r="C13121" s="1007">
        <f t="shared" si="281"/>
        <v>99</v>
      </c>
      <c r="D13121" s="1014"/>
      <c r="I13121" s="1011" t="str">
        <f>CONCATENATE("&lt;valeur&gt;",VLOOKUP(C13121,'T16 Amort'!A:K,8,0),"&lt;/valeur&gt;")</f>
        <v>&lt;valeur&gt;&lt;/valeur&gt;</v>
      </c>
      <c r="K13121" s="1013"/>
    </row>
    <row r="13122" spans="1:11" s="1011" customFormat="1" ht="15" x14ac:dyDescent="0.25">
      <c r="A13122" s="859">
        <f t="shared" si="280"/>
        <v>13121</v>
      </c>
      <c r="B13122" s="845" t="s">
        <v>2564</v>
      </c>
      <c r="C13122" s="1007">
        <f t="shared" si="281"/>
        <v>99</v>
      </c>
      <c r="D13122" s="1014"/>
      <c r="I13122" s="1011" t="str">
        <f>CONCATENATE("&lt;numeroLigne&gt;",C13122,"&lt;/numeroLigne&gt;")</f>
        <v>&lt;numeroLigne&gt;99&lt;/numeroLigne&gt;</v>
      </c>
      <c r="K13122" s="1013"/>
    </row>
    <row r="13123" spans="1:11" s="1011" customFormat="1" ht="15" x14ac:dyDescent="0.25">
      <c r="A13123" s="859">
        <f t="shared" si="280"/>
        <v>13122</v>
      </c>
      <c r="B13123" s="845" t="s">
        <v>2564</v>
      </c>
      <c r="C13123" s="1007">
        <f t="shared" si="281"/>
        <v>99</v>
      </c>
      <c r="D13123" s="1012"/>
      <c r="H13123" s="1011" t="s">
        <v>1010</v>
      </c>
      <c r="K13123" s="1013"/>
    </row>
    <row r="13124" spans="1:11" s="1011" customFormat="1" ht="15" x14ac:dyDescent="0.25">
      <c r="A13124" s="859">
        <f t="shared" ref="A13124:A13187" si="282">+A13123+1</f>
        <v>13123</v>
      </c>
      <c r="B13124" s="845" t="s">
        <v>2564</v>
      </c>
      <c r="C13124" s="1007">
        <f t="shared" si="281"/>
        <v>99</v>
      </c>
      <c r="D13124" s="1015"/>
      <c r="H13124" s="1011" t="s">
        <v>1007</v>
      </c>
      <c r="K13124" s="1013"/>
    </row>
    <row r="13125" spans="1:11" s="1011" customFormat="1" ht="15" x14ac:dyDescent="0.25">
      <c r="A13125" s="859">
        <f t="shared" si="282"/>
        <v>13124</v>
      </c>
      <c r="B13125" s="845" t="s">
        <v>2564</v>
      </c>
      <c r="C13125" s="1007">
        <f t="shared" si="281"/>
        <v>99</v>
      </c>
      <c r="D13125" s="1012"/>
      <c r="I13125" s="1011" t="s">
        <v>2181</v>
      </c>
      <c r="K13125" s="1013"/>
    </row>
    <row r="13126" spans="1:11" s="1011" customFormat="1" ht="15" x14ac:dyDescent="0.25">
      <c r="A13126" s="859">
        <f t="shared" si="282"/>
        <v>13125</v>
      </c>
      <c r="B13126" s="845" t="s">
        <v>2564</v>
      </c>
      <c r="C13126" s="1007">
        <f t="shared" si="281"/>
        <v>99</v>
      </c>
      <c r="D13126" s="1012"/>
      <c r="I13126" s="1011" t="str">
        <f>CONCATENATE("&lt;valeur&gt;",VLOOKUP(C13126,'T16 Amort'!A:K,9,0),"&lt;/valeur&gt;")</f>
        <v>&lt;valeur&gt;&lt;/valeur&gt;</v>
      </c>
      <c r="K13126" s="1013"/>
    </row>
    <row r="13127" spans="1:11" s="1011" customFormat="1" ht="15" x14ac:dyDescent="0.25">
      <c r="A13127" s="859">
        <f t="shared" si="282"/>
        <v>13126</v>
      </c>
      <c r="B13127" s="845" t="s">
        <v>2564</v>
      </c>
      <c r="C13127" s="1007">
        <f t="shared" si="281"/>
        <v>99</v>
      </c>
      <c r="D13127" s="1014"/>
      <c r="I13127" s="1011" t="str">
        <f>CONCATENATE("&lt;numeroLigne&gt;",C13127,"&lt;/numeroLigne&gt;")</f>
        <v>&lt;numeroLigne&gt;99&lt;/numeroLigne&gt;</v>
      </c>
      <c r="K13127" s="1013"/>
    </row>
    <row r="13128" spans="1:11" s="1011" customFormat="1" ht="15" x14ac:dyDescent="0.25">
      <c r="A13128" s="859">
        <f t="shared" si="282"/>
        <v>13127</v>
      </c>
      <c r="B13128" s="845" t="s">
        <v>2564</v>
      </c>
      <c r="C13128" s="1007">
        <f t="shared" si="281"/>
        <v>99</v>
      </c>
      <c r="D13128" s="1014"/>
      <c r="H13128" s="1011" t="s">
        <v>1010</v>
      </c>
      <c r="K13128" s="1013"/>
    </row>
    <row r="13129" spans="1:11" s="1011" customFormat="1" ht="15" x14ac:dyDescent="0.25">
      <c r="A13129" s="859">
        <f t="shared" si="282"/>
        <v>13128</v>
      </c>
      <c r="B13129" s="845" t="s">
        <v>2564</v>
      </c>
      <c r="C13129" s="1007">
        <f t="shared" si="281"/>
        <v>99</v>
      </c>
      <c r="D13129" s="1012"/>
      <c r="H13129" s="1011" t="s">
        <v>1007</v>
      </c>
      <c r="K13129" s="1013"/>
    </row>
    <row r="13130" spans="1:11" s="1011" customFormat="1" ht="15" x14ac:dyDescent="0.25">
      <c r="A13130" s="859">
        <f t="shared" si="282"/>
        <v>13129</v>
      </c>
      <c r="B13130" s="845" t="s">
        <v>2564</v>
      </c>
      <c r="C13130" s="1007">
        <f t="shared" si="281"/>
        <v>99</v>
      </c>
      <c r="D13130" s="1015"/>
      <c r="I13130" s="1011" t="s">
        <v>2182</v>
      </c>
      <c r="K13130" s="1013"/>
    </row>
    <row r="13131" spans="1:11" s="1011" customFormat="1" ht="15" x14ac:dyDescent="0.25">
      <c r="A13131" s="859">
        <f t="shared" si="282"/>
        <v>13130</v>
      </c>
      <c r="B13131" s="845" t="s">
        <v>2564</v>
      </c>
      <c r="C13131" s="1007">
        <f t="shared" si="281"/>
        <v>99</v>
      </c>
      <c r="D13131" s="1012"/>
      <c r="I13131" s="1011" t="str">
        <f>CONCATENATE("&lt;valeur&gt;",VLOOKUP(C13131,'T16 Amort'!A:K,10,0),"&lt;/valeur&gt;")</f>
        <v>&lt;valeur&gt;&lt;/valeur&gt;</v>
      </c>
      <c r="K13131" s="1013"/>
    </row>
    <row r="13132" spans="1:11" s="1011" customFormat="1" ht="15" x14ac:dyDescent="0.25">
      <c r="A13132" s="859">
        <f t="shared" si="282"/>
        <v>13131</v>
      </c>
      <c r="B13132" s="845" t="s">
        <v>2564</v>
      </c>
      <c r="C13132" s="1007">
        <f t="shared" si="281"/>
        <v>99</v>
      </c>
      <c r="D13132" s="1012"/>
      <c r="I13132" s="1011" t="str">
        <f>CONCATENATE("&lt;numeroLigne&gt;",C13132,"&lt;/numeroLigne&gt;")</f>
        <v>&lt;numeroLigne&gt;99&lt;/numeroLigne&gt;</v>
      </c>
      <c r="K13132" s="1013"/>
    </row>
    <row r="13133" spans="1:11" s="1011" customFormat="1" ht="15" x14ac:dyDescent="0.25">
      <c r="A13133" s="859">
        <f t="shared" si="282"/>
        <v>13132</v>
      </c>
      <c r="B13133" s="845" t="s">
        <v>2564</v>
      </c>
      <c r="C13133" s="1007">
        <f t="shared" si="281"/>
        <v>99</v>
      </c>
      <c r="D13133" s="1014"/>
      <c r="H13133" s="1011" t="s">
        <v>1010</v>
      </c>
      <c r="K13133" s="1013"/>
    </row>
    <row r="13134" spans="1:11" s="1011" customFormat="1" ht="15" x14ac:dyDescent="0.25">
      <c r="A13134" s="859">
        <f t="shared" si="282"/>
        <v>13133</v>
      </c>
      <c r="B13134" s="845" t="s">
        <v>2564</v>
      </c>
      <c r="C13134" s="1007">
        <f t="shared" si="281"/>
        <v>99</v>
      </c>
      <c r="D13134" s="1014"/>
      <c r="H13134" s="1011" t="s">
        <v>1007</v>
      </c>
      <c r="K13134" s="1013"/>
    </row>
    <row r="13135" spans="1:11" s="1011" customFormat="1" ht="15" x14ac:dyDescent="0.25">
      <c r="A13135" s="859">
        <f t="shared" si="282"/>
        <v>13134</v>
      </c>
      <c r="B13135" s="845" t="s">
        <v>2564</v>
      </c>
      <c r="C13135" s="1007">
        <f t="shared" si="281"/>
        <v>99</v>
      </c>
      <c r="D13135" s="1012"/>
      <c r="I13135" s="1011" t="s">
        <v>2183</v>
      </c>
      <c r="K13135" s="1013"/>
    </row>
    <row r="13136" spans="1:11" s="1011" customFormat="1" ht="15" x14ac:dyDescent="0.25">
      <c r="A13136" s="859">
        <f t="shared" si="282"/>
        <v>13135</v>
      </c>
      <c r="B13136" s="845" t="s">
        <v>2564</v>
      </c>
      <c r="C13136" s="1007">
        <f t="shared" si="281"/>
        <v>99</v>
      </c>
      <c r="D13136" s="1015"/>
      <c r="I13136" s="1011" t="str">
        <f>CONCATENATE("&lt;valeur&gt;",VLOOKUP(C13136,'T16 Amort'!A:K,11,0),"&lt;/valeur&gt;")</f>
        <v>&lt;valeur&gt;&lt;/valeur&gt;</v>
      </c>
      <c r="K13136" s="1013"/>
    </row>
    <row r="13137" spans="1:11" s="1011" customFormat="1" ht="15" x14ac:dyDescent="0.25">
      <c r="A13137" s="859">
        <f t="shared" si="282"/>
        <v>13136</v>
      </c>
      <c r="B13137" s="845" t="s">
        <v>2564</v>
      </c>
      <c r="C13137" s="1007">
        <f t="shared" si="281"/>
        <v>99</v>
      </c>
      <c r="D13137" s="1012"/>
      <c r="I13137" s="1011" t="str">
        <f>CONCATENATE("&lt;numeroLigne&gt;",C13137,"&lt;/numeroLigne&gt;")</f>
        <v>&lt;numeroLigne&gt;99&lt;/numeroLigne&gt;</v>
      </c>
      <c r="K13137" s="1013"/>
    </row>
    <row r="13138" spans="1:11" s="1011" customFormat="1" ht="15" x14ac:dyDescent="0.25">
      <c r="A13138" s="859">
        <f t="shared" si="282"/>
        <v>13137</v>
      </c>
      <c r="B13138" s="845" t="s">
        <v>2564</v>
      </c>
      <c r="C13138" s="1007">
        <f t="shared" si="281"/>
        <v>99</v>
      </c>
      <c r="D13138" s="1016"/>
      <c r="E13138" s="1017"/>
      <c r="F13138" s="1017"/>
      <c r="G13138" s="1017"/>
      <c r="H13138" s="1017" t="s">
        <v>1010</v>
      </c>
      <c r="I13138" s="1017"/>
      <c r="J13138" s="1017"/>
      <c r="K13138" s="1018"/>
    </row>
    <row r="13139" spans="1:11" s="1011" customFormat="1" ht="15" x14ac:dyDescent="0.25">
      <c r="A13139" s="859">
        <f t="shared" si="282"/>
        <v>13138</v>
      </c>
      <c r="B13139" s="845" t="s">
        <v>2564</v>
      </c>
      <c r="C13139" s="1007">
        <f t="shared" si="281"/>
        <v>100</v>
      </c>
      <c r="D13139" s="1008"/>
      <c r="E13139" s="1009"/>
      <c r="F13139" s="1009"/>
      <c r="G13139" s="1009"/>
      <c r="H13139" s="1009" t="s">
        <v>1007</v>
      </c>
      <c r="I13139" s="1009"/>
      <c r="J13139" s="1009"/>
      <c r="K13139" s="1010"/>
    </row>
    <row r="13140" spans="1:11" s="1011" customFormat="1" ht="15" x14ac:dyDescent="0.25">
      <c r="A13140" s="859">
        <f t="shared" si="282"/>
        <v>13139</v>
      </c>
      <c r="B13140" s="845" t="s">
        <v>2564</v>
      </c>
      <c r="C13140" s="1007">
        <f t="shared" si="281"/>
        <v>100</v>
      </c>
      <c r="D13140" s="1012"/>
      <c r="I13140" s="1011" t="s">
        <v>2174</v>
      </c>
      <c r="K13140" s="1013"/>
    </row>
    <row r="13141" spans="1:11" s="1011" customFormat="1" ht="15" x14ac:dyDescent="0.25">
      <c r="A13141" s="859">
        <f t="shared" si="282"/>
        <v>13140</v>
      </c>
      <c r="B13141" s="845" t="s">
        <v>2564</v>
      </c>
      <c r="C13141" s="1007">
        <f t="shared" si="281"/>
        <v>100</v>
      </c>
      <c r="D13141" s="1014"/>
      <c r="I13141" s="1011" t="str">
        <f>CONCATENATE("&lt;valeur&gt;",VLOOKUP(C13141,'T16 Amort'!A:K,2,0),"&lt;/valeur&gt;")</f>
        <v>&lt;valeur&gt;&lt;/valeur&gt;</v>
      </c>
      <c r="K13141" s="1013"/>
    </row>
    <row r="13142" spans="1:11" s="1011" customFormat="1" ht="15" x14ac:dyDescent="0.25">
      <c r="A13142" s="859">
        <f t="shared" si="282"/>
        <v>13141</v>
      </c>
      <c r="B13142" s="845" t="s">
        <v>2564</v>
      </c>
      <c r="C13142" s="1007">
        <f t="shared" si="281"/>
        <v>100</v>
      </c>
      <c r="D13142" s="1014"/>
      <c r="I13142" s="1011" t="str">
        <f>CONCATENATE("&lt;numeroLigne&gt;",C13142,"&lt;/numeroLigne&gt;")</f>
        <v>&lt;numeroLigne&gt;100&lt;/numeroLigne&gt;</v>
      </c>
      <c r="K13142" s="1013"/>
    </row>
    <row r="13143" spans="1:11" s="1011" customFormat="1" ht="15" x14ac:dyDescent="0.25">
      <c r="A13143" s="859">
        <f t="shared" si="282"/>
        <v>13142</v>
      </c>
      <c r="B13143" s="845" t="s">
        <v>2564</v>
      </c>
      <c r="C13143" s="1007">
        <f t="shared" si="281"/>
        <v>100</v>
      </c>
      <c r="D13143" s="1012"/>
      <c r="H13143" s="1011" t="s">
        <v>1010</v>
      </c>
      <c r="K13143" s="1013"/>
    </row>
    <row r="13144" spans="1:11" s="1011" customFormat="1" ht="15" x14ac:dyDescent="0.25">
      <c r="A13144" s="859">
        <f t="shared" si="282"/>
        <v>13143</v>
      </c>
      <c r="B13144" s="845" t="s">
        <v>2564</v>
      </c>
      <c r="C13144" s="1007">
        <f t="shared" si="281"/>
        <v>100</v>
      </c>
      <c r="D13144" s="1015"/>
      <c r="H13144" s="1011" t="s">
        <v>1007</v>
      </c>
      <c r="K13144" s="1013"/>
    </row>
    <row r="13145" spans="1:11" s="1011" customFormat="1" ht="15" x14ac:dyDescent="0.25">
      <c r="A13145" s="859">
        <f t="shared" si="282"/>
        <v>13144</v>
      </c>
      <c r="B13145" s="845" t="s">
        <v>2564</v>
      </c>
      <c r="C13145" s="1007">
        <f t="shared" si="281"/>
        <v>100</v>
      </c>
      <c r="D13145" s="1012"/>
      <c r="I13145" s="1011" t="s">
        <v>2175</v>
      </c>
      <c r="K13145" s="1013"/>
    </row>
    <row r="13146" spans="1:11" s="1011" customFormat="1" ht="15" x14ac:dyDescent="0.25">
      <c r="A13146" s="859">
        <f t="shared" si="282"/>
        <v>13145</v>
      </c>
      <c r="B13146" s="845" t="s">
        <v>2564</v>
      </c>
      <c r="C13146" s="1007">
        <f t="shared" si="281"/>
        <v>100</v>
      </c>
      <c r="D13146" s="1012"/>
      <c r="I13146" s="1011" t="str">
        <f>CONCATENATE("&lt;valeur&gt;",VLOOKUP(C13146,'T16 Amort'!A:K,3,0),"&lt;/valeur&gt;")</f>
        <v>&lt;valeur&gt;&lt;/valeur&gt;</v>
      </c>
      <c r="K13146" s="1013"/>
    </row>
    <row r="13147" spans="1:11" s="1011" customFormat="1" ht="15" x14ac:dyDescent="0.25">
      <c r="A13147" s="859">
        <f t="shared" si="282"/>
        <v>13146</v>
      </c>
      <c r="B13147" s="845" t="s">
        <v>2564</v>
      </c>
      <c r="C13147" s="1007">
        <f t="shared" si="281"/>
        <v>100</v>
      </c>
      <c r="D13147" s="1014"/>
      <c r="I13147" s="1011" t="str">
        <f>CONCATENATE("&lt;numeroLigne&gt;",C13147,"&lt;/numeroLigne&gt;")</f>
        <v>&lt;numeroLigne&gt;100&lt;/numeroLigne&gt;</v>
      </c>
      <c r="K13147" s="1013"/>
    </row>
    <row r="13148" spans="1:11" s="1011" customFormat="1" ht="15" x14ac:dyDescent="0.25">
      <c r="A13148" s="859">
        <f t="shared" si="282"/>
        <v>13147</v>
      </c>
      <c r="B13148" s="845" t="s">
        <v>2564</v>
      </c>
      <c r="C13148" s="1007">
        <f t="shared" si="281"/>
        <v>100</v>
      </c>
      <c r="D13148" s="1014"/>
      <c r="H13148" s="1011" t="s">
        <v>1010</v>
      </c>
      <c r="K13148" s="1013"/>
    </row>
    <row r="13149" spans="1:11" s="1011" customFormat="1" ht="15" x14ac:dyDescent="0.25">
      <c r="A13149" s="859">
        <f t="shared" si="282"/>
        <v>13148</v>
      </c>
      <c r="B13149" s="845" t="s">
        <v>2564</v>
      </c>
      <c r="C13149" s="1007">
        <f t="shared" si="281"/>
        <v>100</v>
      </c>
      <c r="D13149" s="1012"/>
      <c r="H13149" s="1011" t="s">
        <v>1007</v>
      </c>
      <c r="K13149" s="1013"/>
    </row>
    <row r="13150" spans="1:11" s="1011" customFormat="1" ht="15" x14ac:dyDescent="0.25">
      <c r="A13150" s="859">
        <f t="shared" si="282"/>
        <v>13149</v>
      </c>
      <c r="B13150" s="845" t="s">
        <v>2564</v>
      </c>
      <c r="C13150" s="1007">
        <f t="shared" si="281"/>
        <v>100</v>
      </c>
      <c r="D13150" s="1015"/>
      <c r="I13150" s="1011" t="s">
        <v>2176</v>
      </c>
      <c r="K13150" s="1013"/>
    </row>
    <row r="13151" spans="1:11" s="1011" customFormat="1" ht="15" x14ac:dyDescent="0.25">
      <c r="A13151" s="859">
        <f t="shared" si="282"/>
        <v>13150</v>
      </c>
      <c r="B13151" s="845" t="s">
        <v>2564</v>
      </c>
      <c r="C13151" s="1007">
        <f t="shared" si="281"/>
        <v>100</v>
      </c>
      <c r="D13151" s="1012"/>
      <c r="I13151" s="1011" t="str">
        <f>CONCATENATE("&lt;valeur&gt;",VLOOKUP(C13151,'T16 Amort'!A:K,4,0),"&lt;/valeur&gt;")</f>
        <v>&lt;valeur&gt;&lt;/valeur&gt;</v>
      </c>
      <c r="K13151" s="1013"/>
    </row>
    <row r="13152" spans="1:11" s="1011" customFormat="1" ht="15" x14ac:dyDescent="0.25">
      <c r="A13152" s="859">
        <f t="shared" si="282"/>
        <v>13151</v>
      </c>
      <c r="B13152" s="845" t="s">
        <v>2564</v>
      </c>
      <c r="C13152" s="1007">
        <f t="shared" si="281"/>
        <v>100</v>
      </c>
      <c r="D13152" s="1012"/>
      <c r="I13152" s="1011" t="str">
        <f>CONCATENATE("&lt;numeroLigne&gt;",C13152,"&lt;/numeroLigne&gt;")</f>
        <v>&lt;numeroLigne&gt;100&lt;/numeroLigne&gt;</v>
      </c>
      <c r="K13152" s="1013"/>
    </row>
    <row r="13153" spans="1:11" s="1011" customFormat="1" ht="15" x14ac:dyDescent="0.25">
      <c r="A13153" s="859">
        <f t="shared" si="282"/>
        <v>13152</v>
      </c>
      <c r="B13153" s="845" t="s">
        <v>2564</v>
      </c>
      <c r="C13153" s="1007">
        <f t="shared" si="281"/>
        <v>100</v>
      </c>
      <c r="D13153" s="1014"/>
      <c r="H13153" s="1011" t="s">
        <v>1010</v>
      </c>
      <c r="K13153" s="1013"/>
    </row>
    <row r="13154" spans="1:11" s="1011" customFormat="1" ht="15" x14ac:dyDescent="0.25">
      <c r="A13154" s="859">
        <f t="shared" si="282"/>
        <v>13153</v>
      </c>
      <c r="B13154" s="845" t="s">
        <v>2564</v>
      </c>
      <c r="C13154" s="1007">
        <f t="shared" si="281"/>
        <v>100</v>
      </c>
      <c r="D13154" s="1014"/>
      <c r="H13154" s="1011" t="s">
        <v>1007</v>
      </c>
      <c r="K13154" s="1013"/>
    </row>
    <row r="13155" spans="1:11" s="1011" customFormat="1" ht="15" x14ac:dyDescent="0.25">
      <c r="A13155" s="859">
        <f t="shared" si="282"/>
        <v>13154</v>
      </c>
      <c r="B13155" s="845" t="s">
        <v>2564</v>
      </c>
      <c r="C13155" s="1007">
        <f t="shared" si="281"/>
        <v>100</v>
      </c>
      <c r="D13155" s="1012"/>
      <c r="I13155" s="1011" t="s">
        <v>2177</v>
      </c>
      <c r="K13155" s="1013"/>
    </row>
    <row r="13156" spans="1:11" s="1011" customFormat="1" ht="15" x14ac:dyDescent="0.25">
      <c r="A13156" s="859">
        <f t="shared" si="282"/>
        <v>13155</v>
      </c>
      <c r="B13156" s="845" t="s">
        <v>2564</v>
      </c>
      <c r="C13156" s="1007">
        <f t="shared" si="281"/>
        <v>100</v>
      </c>
      <c r="D13156" s="1015"/>
      <c r="I13156" s="1011" t="str">
        <f>CONCATENATE("&lt;valeur&gt;",VLOOKUP(C13156,'T16 Amort'!A:K,5,0),"&lt;/valeur&gt;")</f>
        <v>&lt;valeur&gt;&lt;/valeur&gt;</v>
      </c>
      <c r="K13156" s="1013"/>
    </row>
    <row r="13157" spans="1:11" s="1011" customFormat="1" ht="15" x14ac:dyDescent="0.25">
      <c r="A13157" s="859">
        <f t="shared" si="282"/>
        <v>13156</v>
      </c>
      <c r="B13157" s="845" t="s">
        <v>2564</v>
      </c>
      <c r="C13157" s="1007">
        <f t="shared" si="281"/>
        <v>100</v>
      </c>
      <c r="D13157" s="1012"/>
      <c r="I13157" s="1011" t="str">
        <f>CONCATENATE("&lt;numeroLigne&gt;",C13157,"&lt;/numeroLigne&gt;")</f>
        <v>&lt;numeroLigne&gt;100&lt;/numeroLigne&gt;</v>
      </c>
      <c r="K13157" s="1013"/>
    </row>
    <row r="13158" spans="1:11" s="1011" customFormat="1" ht="15" x14ac:dyDescent="0.25">
      <c r="A13158" s="859">
        <f t="shared" si="282"/>
        <v>13157</v>
      </c>
      <c r="B13158" s="845" t="s">
        <v>2564</v>
      </c>
      <c r="C13158" s="1007">
        <f t="shared" si="281"/>
        <v>100</v>
      </c>
      <c r="D13158" s="1012"/>
      <c r="H13158" s="1011" t="s">
        <v>1010</v>
      </c>
      <c r="K13158" s="1013"/>
    </row>
    <row r="13159" spans="1:11" s="1011" customFormat="1" ht="15" x14ac:dyDescent="0.25">
      <c r="A13159" s="859">
        <f t="shared" si="282"/>
        <v>13158</v>
      </c>
      <c r="B13159" s="845" t="s">
        <v>2564</v>
      </c>
      <c r="C13159" s="1007">
        <f t="shared" si="281"/>
        <v>100</v>
      </c>
      <c r="D13159" s="1014"/>
      <c r="H13159" s="1011" t="s">
        <v>1007</v>
      </c>
      <c r="K13159" s="1013"/>
    </row>
    <row r="13160" spans="1:11" s="1011" customFormat="1" ht="15" x14ac:dyDescent="0.25">
      <c r="A13160" s="859">
        <f t="shared" si="282"/>
        <v>13159</v>
      </c>
      <c r="B13160" s="845" t="s">
        <v>2564</v>
      </c>
      <c r="C13160" s="1007">
        <f t="shared" si="281"/>
        <v>100</v>
      </c>
      <c r="D13160" s="1014"/>
      <c r="I13160" s="1011" t="s">
        <v>2178</v>
      </c>
      <c r="K13160" s="1013"/>
    </row>
    <row r="13161" spans="1:11" s="1011" customFormat="1" ht="15" x14ac:dyDescent="0.25">
      <c r="A13161" s="859">
        <f t="shared" si="282"/>
        <v>13160</v>
      </c>
      <c r="B13161" s="845" t="s">
        <v>2564</v>
      </c>
      <c r="C13161" s="1007">
        <f t="shared" si="281"/>
        <v>100</v>
      </c>
      <c r="D13161" s="1012"/>
      <c r="I13161" s="1011" t="str">
        <f>CONCATENATE("&lt;valeur&gt;",VLOOKUP(C13161,'T16 Amort'!A:K,6,0),"&lt;/valeur&gt;")</f>
        <v>&lt;valeur&gt;&lt;/valeur&gt;</v>
      </c>
      <c r="K13161" s="1013"/>
    </row>
    <row r="13162" spans="1:11" s="1011" customFormat="1" ht="15" x14ac:dyDescent="0.25">
      <c r="A13162" s="859">
        <f t="shared" si="282"/>
        <v>13161</v>
      </c>
      <c r="B13162" s="845" t="s">
        <v>2564</v>
      </c>
      <c r="C13162" s="1007">
        <f t="shared" si="281"/>
        <v>100</v>
      </c>
      <c r="D13162" s="1015"/>
      <c r="I13162" s="1011" t="str">
        <f>CONCATENATE("&lt;numeroLigne&gt;",C13162,"&lt;/numeroLigne&gt;")</f>
        <v>&lt;numeroLigne&gt;100&lt;/numeroLigne&gt;</v>
      </c>
      <c r="K13162" s="1013"/>
    </row>
    <row r="13163" spans="1:11" s="1011" customFormat="1" ht="15" x14ac:dyDescent="0.25">
      <c r="A13163" s="859">
        <f t="shared" si="282"/>
        <v>13162</v>
      </c>
      <c r="B13163" s="845" t="s">
        <v>2564</v>
      </c>
      <c r="C13163" s="1007">
        <f t="shared" si="281"/>
        <v>100</v>
      </c>
      <c r="D13163" s="1012"/>
      <c r="H13163" s="1011" t="s">
        <v>1010</v>
      </c>
      <c r="K13163" s="1013"/>
    </row>
    <row r="13164" spans="1:11" s="1011" customFormat="1" ht="15" x14ac:dyDescent="0.25">
      <c r="A13164" s="859">
        <f t="shared" si="282"/>
        <v>13163</v>
      </c>
      <c r="B13164" s="845" t="s">
        <v>2564</v>
      </c>
      <c r="C13164" s="1007">
        <f t="shared" si="281"/>
        <v>100</v>
      </c>
      <c r="D13164" s="1012"/>
      <c r="H13164" s="1011" t="s">
        <v>1007</v>
      </c>
      <c r="K13164" s="1013"/>
    </row>
    <row r="13165" spans="1:11" s="1011" customFormat="1" ht="15" x14ac:dyDescent="0.25">
      <c r="A13165" s="859">
        <f t="shared" si="282"/>
        <v>13164</v>
      </c>
      <c r="B13165" s="845" t="s">
        <v>2564</v>
      </c>
      <c r="C13165" s="1007">
        <f t="shared" si="281"/>
        <v>100</v>
      </c>
      <c r="D13165" s="1014"/>
      <c r="I13165" s="1011" t="s">
        <v>2179</v>
      </c>
      <c r="K13165" s="1013"/>
    </row>
    <row r="13166" spans="1:11" s="1011" customFormat="1" ht="15" x14ac:dyDescent="0.25">
      <c r="A13166" s="859">
        <f t="shared" si="282"/>
        <v>13165</v>
      </c>
      <c r="B13166" s="845" t="s">
        <v>2564</v>
      </c>
      <c r="C13166" s="1007">
        <f t="shared" si="281"/>
        <v>100</v>
      </c>
      <c r="D13166" s="1014"/>
      <c r="I13166" s="1011" t="str">
        <f>CONCATENATE("&lt;valeur&gt;",VLOOKUP(C13166,'T16 Amort'!A:K,7,0),"&lt;/valeur&gt;")</f>
        <v>&lt;valeur&gt;&lt;/valeur&gt;</v>
      </c>
      <c r="K13166" s="1013"/>
    </row>
    <row r="13167" spans="1:11" s="1011" customFormat="1" ht="15" x14ac:dyDescent="0.25">
      <c r="A13167" s="859">
        <f t="shared" si="282"/>
        <v>13166</v>
      </c>
      <c r="B13167" s="845" t="s">
        <v>2564</v>
      </c>
      <c r="C13167" s="1007">
        <f t="shared" ref="C13167:C13230" si="283">C13117+1</f>
        <v>100</v>
      </c>
      <c r="D13167" s="1012"/>
      <c r="I13167" s="1011" t="str">
        <f>CONCATENATE("&lt;numeroLigne&gt;",C13167,"&lt;/numeroLigne&gt;")</f>
        <v>&lt;numeroLigne&gt;100&lt;/numeroLigne&gt;</v>
      </c>
      <c r="K13167" s="1013"/>
    </row>
    <row r="13168" spans="1:11" s="1011" customFormat="1" ht="15" x14ac:dyDescent="0.25">
      <c r="A13168" s="859">
        <f t="shared" si="282"/>
        <v>13167</v>
      </c>
      <c r="B13168" s="845" t="s">
        <v>2564</v>
      </c>
      <c r="C13168" s="1007">
        <f t="shared" si="283"/>
        <v>100</v>
      </c>
      <c r="D13168" s="1015"/>
      <c r="H13168" s="1011" t="s">
        <v>1010</v>
      </c>
      <c r="K13168" s="1013"/>
    </row>
    <row r="13169" spans="1:11" s="1011" customFormat="1" ht="15" x14ac:dyDescent="0.25">
      <c r="A13169" s="859">
        <f t="shared" si="282"/>
        <v>13168</v>
      </c>
      <c r="B13169" s="845" t="s">
        <v>2564</v>
      </c>
      <c r="C13169" s="1007">
        <f t="shared" si="283"/>
        <v>100</v>
      </c>
      <c r="D13169" s="1012"/>
      <c r="H13169" s="1011" t="s">
        <v>1007</v>
      </c>
      <c r="K13169" s="1013"/>
    </row>
    <row r="13170" spans="1:11" s="1011" customFormat="1" ht="15" x14ac:dyDescent="0.25">
      <c r="A13170" s="859">
        <f t="shared" si="282"/>
        <v>13169</v>
      </c>
      <c r="B13170" s="845" t="s">
        <v>2564</v>
      </c>
      <c r="C13170" s="1007">
        <f t="shared" si="283"/>
        <v>100</v>
      </c>
      <c r="D13170" s="1012"/>
      <c r="I13170" s="1011" t="s">
        <v>2180</v>
      </c>
      <c r="K13170" s="1013"/>
    </row>
    <row r="13171" spans="1:11" s="1011" customFormat="1" ht="15" x14ac:dyDescent="0.25">
      <c r="A13171" s="859">
        <f t="shared" si="282"/>
        <v>13170</v>
      </c>
      <c r="B13171" s="845" t="s">
        <v>2564</v>
      </c>
      <c r="C13171" s="1007">
        <f t="shared" si="283"/>
        <v>100</v>
      </c>
      <c r="D13171" s="1014"/>
      <c r="I13171" s="1011" t="str">
        <f>CONCATENATE("&lt;valeur&gt;",VLOOKUP(C13171,'T16 Amort'!A:K,8,0),"&lt;/valeur&gt;")</f>
        <v>&lt;valeur&gt;&lt;/valeur&gt;</v>
      </c>
      <c r="K13171" s="1013"/>
    </row>
    <row r="13172" spans="1:11" s="1011" customFormat="1" ht="15" x14ac:dyDescent="0.25">
      <c r="A13172" s="859">
        <f t="shared" si="282"/>
        <v>13171</v>
      </c>
      <c r="B13172" s="845" t="s">
        <v>2564</v>
      </c>
      <c r="C13172" s="1007">
        <f t="shared" si="283"/>
        <v>100</v>
      </c>
      <c r="D13172" s="1014"/>
      <c r="I13172" s="1011" t="str">
        <f>CONCATENATE("&lt;numeroLigne&gt;",C13172,"&lt;/numeroLigne&gt;")</f>
        <v>&lt;numeroLigne&gt;100&lt;/numeroLigne&gt;</v>
      </c>
      <c r="K13172" s="1013"/>
    </row>
    <row r="13173" spans="1:11" s="1011" customFormat="1" ht="15" x14ac:dyDescent="0.25">
      <c r="A13173" s="859">
        <f t="shared" si="282"/>
        <v>13172</v>
      </c>
      <c r="B13173" s="845" t="s">
        <v>2564</v>
      </c>
      <c r="C13173" s="1007">
        <f t="shared" si="283"/>
        <v>100</v>
      </c>
      <c r="D13173" s="1012"/>
      <c r="H13173" s="1011" t="s">
        <v>1010</v>
      </c>
      <c r="K13173" s="1013"/>
    </row>
    <row r="13174" spans="1:11" s="1011" customFormat="1" ht="15" x14ac:dyDescent="0.25">
      <c r="A13174" s="859">
        <f t="shared" si="282"/>
        <v>13173</v>
      </c>
      <c r="B13174" s="845" t="s">
        <v>2564</v>
      </c>
      <c r="C13174" s="1007">
        <f t="shared" si="283"/>
        <v>100</v>
      </c>
      <c r="D13174" s="1015"/>
      <c r="H13174" s="1011" t="s">
        <v>1007</v>
      </c>
      <c r="K13174" s="1013"/>
    </row>
    <row r="13175" spans="1:11" s="1011" customFormat="1" ht="15" x14ac:dyDescent="0.25">
      <c r="A13175" s="859">
        <f t="shared" si="282"/>
        <v>13174</v>
      </c>
      <c r="B13175" s="845" t="s">
        <v>2564</v>
      </c>
      <c r="C13175" s="1007">
        <f t="shared" si="283"/>
        <v>100</v>
      </c>
      <c r="D13175" s="1012"/>
      <c r="I13175" s="1011" t="s">
        <v>2181</v>
      </c>
      <c r="K13175" s="1013"/>
    </row>
    <row r="13176" spans="1:11" s="1011" customFormat="1" ht="15" x14ac:dyDescent="0.25">
      <c r="A13176" s="859">
        <f t="shared" si="282"/>
        <v>13175</v>
      </c>
      <c r="B13176" s="845" t="s">
        <v>2564</v>
      </c>
      <c r="C13176" s="1007">
        <f t="shared" si="283"/>
        <v>100</v>
      </c>
      <c r="D13176" s="1012"/>
      <c r="I13176" s="1011" t="str">
        <f>CONCATENATE("&lt;valeur&gt;",VLOOKUP(C13176,'T16 Amort'!A:K,9,0),"&lt;/valeur&gt;")</f>
        <v>&lt;valeur&gt;&lt;/valeur&gt;</v>
      </c>
      <c r="K13176" s="1013"/>
    </row>
    <row r="13177" spans="1:11" s="1011" customFormat="1" ht="15" x14ac:dyDescent="0.25">
      <c r="A13177" s="859">
        <f t="shared" si="282"/>
        <v>13176</v>
      </c>
      <c r="B13177" s="845" t="s">
        <v>2564</v>
      </c>
      <c r="C13177" s="1007">
        <f t="shared" si="283"/>
        <v>100</v>
      </c>
      <c r="D13177" s="1014"/>
      <c r="I13177" s="1011" t="str">
        <f>CONCATENATE("&lt;numeroLigne&gt;",C13177,"&lt;/numeroLigne&gt;")</f>
        <v>&lt;numeroLigne&gt;100&lt;/numeroLigne&gt;</v>
      </c>
      <c r="K13177" s="1013"/>
    </row>
    <row r="13178" spans="1:11" s="1011" customFormat="1" ht="15" x14ac:dyDescent="0.25">
      <c r="A13178" s="859">
        <f t="shared" si="282"/>
        <v>13177</v>
      </c>
      <c r="B13178" s="845" t="s">
        <v>2564</v>
      </c>
      <c r="C13178" s="1007">
        <f t="shared" si="283"/>
        <v>100</v>
      </c>
      <c r="D13178" s="1014"/>
      <c r="H13178" s="1011" t="s">
        <v>1010</v>
      </c>
      <c r="K13178" s="1013"/>
    </row>
    <row r="13179" spans="1:11" s="1011" customFormat="1" ht="15" x14ac:dyDescent="0.25">
      <c r="A13179" s="859">
        <f t="shared" si="282"/>
        <v>13178</v>
      </c>
      <c r="B13179" s="845" t="s">
        <v>2564</v>
      </c>
      <c r="C13179" s="1007">
        <f t="shared" si="283"/>
        <v>100</v>
      </c>
      <c r="D13179" s="1012"/>
      <c r="H13179" s="1011" t="s">
        <v>1007</v>
      </c>
      <c r="K13179" s="1013"/>
    </row>
    <row r="13180" spans="1:11" s="1011" customFormat="1" ht="15" x14ac:dyDescent="0.25">
      <c r="A13180" s="859">
        <f t="shared" si="282"/>
        <v>13179</v>
      </c>
      <c r="B13180" s="845" t="s">
        <v>2564</v>
      </c>
      <c r="C13180" s="1007">
        <f t="shared" si="283"/>
        <v>100</v>
      </c>
      <c r="D13180" s="1015"/>
      <c r="I13180" s="1011" t="s">
        <v>2182</v>
      </c>
      <c r="K13180" s="1013"/>
    </row>
    <row r="13181" spans="1:11" s="1011" customFormat="1" ht="15" x14ac:dyDescent="0.25">
      <c r="A13181" s="859">
        <f t="shared" si="282"/>
        <v>13180</v>
      </c>
      <c r="B13181" s="845" t="s">
        <v>2564</v>
      </c>
      <c r="C13181" s="1007">
        <f t="shared" si="283"/>
        <v>100</v>
      </c>
      <c r="D13181" s="1012"/>
      <c r="I13181" s="1011" t="str">
        <f>CONCATENATE("&lt;valeur&gt;",VLOOKUP(C13181,'T16 Amort'!A:K,10,0),"&lt;/valeur&gt;")</f>
        <v>&lt;valeur&gt;&lt;/valeur&gt;</v>
      </c>
      <c r="K13181" s="1013"/>
    </row>
    <row r="13182" spans="1:11" s="1011" customFormat="1" ht="15" x14ac:dyDescent="0.25">
      <c r="A13182" s="859">
        <f t="shared" si="282"/>
        <v>13181</v>
      </c>
      <c r="B13182" s="845" t="s">
        <v>2564</v>
      </c>
      <c r="C13182" s="1007">
        <f t="shared" si="283"/>
        <v>100</v>
      </c>
      <c r="D13182" s="1012"/>
      <c r="I13182" s="1011" t="str">
        <f>CONCATENATE("&lt;numeroLigne&gt;",C13182,"&lt;/numeroLigne&gt;")</f>
        <v>&lt;numeroLigne&gt;100&lt;/numeroLigne&gt;</v>
      </c>
      <c r="K13182" s="1013"/>
    </row>
    <row r="13183" spans="1:11" s="1011" customFormat="1" ht="15" x14ac:dyDescent="0.25">
      <c r="A13183" s="859">
        <f t="shared" si="282"/>
        <v>13182</v>
      </c>
      <c r="B13183" s="845" t="s">
        <v>2564</v>
      </c>
      <c r="C13183" s="1007">
        <f t="shared" si="283"/>
        <v>100</v>
      </c>
      <c r="D13183" s="1014"/>
      <c r="H13183" s="1011" t="s">
        <v>1010</v>
      </c>
      <c r="K13183" s="1013"/>
    </row>
    <row r="13184" spans="1:11" s="1011" customFormat="1" ht="15" x14ac:dyDescent="0.25">
      <c r="A13184" s="859">
        <f t="shared" si="282"/>
        <v>13183</v>
      </c>
      <c r="B13184" s="845" t="s">
        <v>2564</v>
      </c>
      <c r="C13184" s="1007">
        <f t="shared" si="283"/>
        <v>100</v>
      </c>
      <c r="D13184" s="1014"/>
      <c r="H13184" s="1011" t="s">
        <v>1007</v>
      </c>
      <c r="K13184" s="1013"/>
    </row>
    <row r="13185" spans="1:11" s="1011" customFormat="1" ht="15" x14ac:dyDescent="0.25">
      <c r="A13185" s="859">
        <f t="shared" si="282"/>
        <v>13184</v>
      </c>
      <c r="B13185" s="845" t="s">
        <v>2564</v>
      </c>
      <c r="C13185" s="1007">
        <f t="shared" si="283"/>
        <v>100</v>
      </c>
      <c r="D13185" s="1012"/>
      <c r="I13185" s="1011" t="s">
        <v>2183</v>
      </c>
      <c r="K13185" s="1013"/>
    </row>
    <row r="13186" spans="1:11" s="1011" customFormat="1" ht="15" x14ac:dyDescent="0.25">
      <c r="A13186" s="859">
        <f t="shared" si="282"/>
        <v>13185</v>
      </c>
      <c r="B13186" s="845" t="s">
        <v>2564</v>
      </c>
      <c r="C13186" s="1007">
        <f t="shared" si="283"/>
        <v>100</v>
      </c>
      <c r="D13186" s="1015"/>
      <c r="I13186" s="1011" t="str">
        <f>CONCATENATE("&lt;valeur&gt;",VLOOKUP(C13186,'T16 Amort'!A:K,11,0),"&lt;/valeur&gt;")</f>
        <v>&lt;valeur&gt;&lt;/valeur&gt;</v>
      </c>
      <c r="K13186" s="1013"/>
    </row>
    <row r="13187" spans="1:11" s="1011" customFormat="1" ht="15" x14ac:dyDescent="0.25">
      <c r="A13187" s="859">
        <f t="shared" si="282"/>
        <v>13186</v>
      </c>
      <c r="B13187" s="845" t="s">
        <v>2564</v>
      </c>
      <c r="C13187" s="1007">
        <f t="shared" si="283"/>
        <v>100</v>
      </c>
      <c r="D13187" s="1012"/>
      <c r="I13187" s="1011" t="str">
        <f>CONCATENATE("&lt;numeroLigne&gt;",C13187,"&lt;/numeroLigne&gt;")</f>
        <v>&lt;numeroLigne&gt;100&lt;/numeroLigne&gt;</v>
      </c>
      <c r="K13187" s="1013"/>
    </row>
    <row r="13188" spans="1:11" s="1011" customFormat="1" ht="15" x14ac:dyDescent="0.25">
      <c r="A13188" s="859">
        <f t="shared" ref="A13188:A13251" si="284">+A13187+1</f>
        <v>13187</v>
      </c>
      <c r="B13188" s="845" t="s">
        <v>2564</v>
      </c>
      <c r="C13188" s="1007">
        <f t="shared" si="283"/>
        <v>100</v>
      </c>
      <c r="D13188" s="1016"/>
      <c r="E13188" s="1017"/>
      <c r="F13188" s="1017"/>
      <c r="G13188" s="1017"/>
      <c r="H13188" s="1017" t="s">
        <v>1010</v>
      </c>
      <c r="I13188" s="1017"/>
      <c r="J13188" s="1017"/>
      <c r="K13188" s="1018"/>
    </row>
    <row r="13189" spans="1:11" s="1011" customFormat="1" ht="15" x14ac:dyDescent="0.25">
      <c r="A13189" s="859">
        <f t="shared" si="284"/>
        <v>13188</v>
      </c>
      <c r="B13189" s="845" t="s">
        <v>2564</v>
      </c>
      <c r="C13189" s="1007">
        <f t="shared" si="283"/>
        <v>101</v>
      </c>
      <c r="D13189" s="1008"/>
      <c r="E13189" s="1009"/>
      <c r="F13189" s="1009"/>
      <c r="G13189" s="1009"/>
      <c r="H13189" s="1009" t="s">
        <v>1007</v>
      </c>
      <c r="I13189" s="1009"/>
      <c r="J13189" s="1009"/>
      <c r="K13189" s="1010"/>
    </row>
    <row r="13190" spans="1:11" s="1011" customFormat="1" ht="15" x14ac:dyDescent="0.25">
      <c r="A13190" s="859">
        <f t="shared" si="284"/>
        <v>13189</v>
      </c>
      <c r="B13190" s="845" t="s">
        <v>2564</v>
      </c>
      <c r="C13190" s="1007">
        <f t="shared" si="283"/>
        <v>101</v>
      </c>
      <c r="D13190" s="1012"/>
      <c r="I13190" s="1011" t="s">
        <v>2174</v>
      </c>
      <c r="K13190" s="1013"/>
    </row>
    <row r="13191" spans="1:11" s="1011" customFormat="1" ht="15" x14ac:dyDescent="0.25">
      <c r="A13191" s="859">
        <f t="shared" si="284"/>
        <v>13190</v>
      </c>
      <c r="B13191" s="845" t="s">
        <v>2564</v>
      </c>
      <c r="C13191" s="1007">
        <f t="shared" si="283"/>
        <v>101</v>
      </c>
      <c r="D13191" s="1014"/>
      <c r="I13191" s="1011" t="str">
        <f>CONCATENATE("&lt;valeur&gt;",VLOOKUP(C13191,'T16 Amort'!A:K,2,0),"&lt;/valeur&gt;")</f>
        <v>&lt;valeur&gt;&lt;/valeur&gt;</v>
      </c>
      <c r="K13191" s="1013"/>
    </row>
    <row r="13192" spans="1:11" s="1011" customFormat="1" ht="15" x14ac:dyDescent="0.25">
      <c r="A13192" s="859">
        <f t="shared" si="284"/>
        <v>13191</v>
      </c>
      <c r="B13192" s="845" t="s">
        <v>2564</v>
      </c>
      <c r="C13192" s="1007">
        <f t="shared" si="283"/>
        <v>101</v>
      </c>
      <c r="D13192" s="1014"/>
      <c r="I13192" s="1011" t="str">
        <f>CONCATENATE("&lt;numeroLigne&gt;",C13192,"&lt;/numeroLigne&gt;")</f>
        <v>&lt;numeroLigne&gt;101&lt;/numeroLigne&gt;</v>
      </c>
      <c r="K13192" s="1013"/>
    </row>
    <row r="13193" spans="1:11" s="1011" customFormat="1" ht="15" x14ac:dyDescent="0.25">
      <c r="A13193" s="859">
        <f t="shared" si="284"/>
        <v>13192</v>
      </c>
      <c r="B13193" s="845" t="s">
        <v>2564</v>
      </c>
      <c r="C13193" s="1007">
        <f t="shared" si="283"/>
        <v>101</v>
      </c>
      <c r="D13193" s="1012"/>
      <c r="H13193" s="1011" t="s">
        <v>1010</v>
      </c>
      <c r="K13193" s="1013"/>
    </row>
    <row r="13194" spans="1:11" s="1011" customFormat="1" ht="15" x14ac:dyDescent="0.25">
      <c r="A13194" s="859">
        <f t="shared" si="284"/>
        <v>13193</v>
      </c>
      <c r="B13194" s="845" t="s">
        <v>2564</v>
      </c>
      <c r="C13194" s="1007">
        <f t="shared" si="283"/>
        <v>101</v>
      </c>
      <c r="D13194" s="1015"/>
      <c r="H13194" s="1011" t="s">
        <v>1007</v>
      </c>
      <c r="K13194" s="1013"/>
    </row>
    <row r="13195" spans="1:11" s="1011" customFormat="1" ht="15" x14ac:dyDescent="0.25">
      <c r="A13195" s="859">
        <f t="shared" si="284"/>
        <v>13194</v>
      </c>
      <c r="B13195" s="845" t="s">
        <v>2564</v>
      </c>
      <c r="C13195" s="1007">
        <f t="shared" si="283"/>
        <v>101</v>
      </c>
      <c r="D13195" s="1012"/>
      <c r="I13195" s="1011" t="s">
        <v>2175</v>
      </c>
      <c r="K13195" s="1013"/>
    </row>
    <row r="13196" spans="1:11" s="1011" customFormat="1" ht="15" x14ac:dyDescent="0.25">
      <c r="A13196" s="859">
        <f t="shared" si="284"/>
        <v>13195</v>
      </c>
      <c r="B13196" s="845" t="s">
        <v>2564</v>
      </c>
      <c r="C13196" s="1007">
        <f t="shared" si="283"/>
        <v>101</v>
      </c>
      <c r="D13196" s="1012"/>
      <c r="I13196" s="1011" t="str">
        <f>CONCATENATE("&lt;valeur&gt;",VLOOKUP(C13196,'T16 Amort'!A:K,3,0),"&lt;/valeur&gt;")</f>
        <v>&lt;valeur&gt;&lt;/valeur&gt;</v>
      </c>
      <c r="K13196" s="1013"/>
    </row>
    <row r="13197" spans="1:11" s="1011" customFormat="1" ht="15" x14ac:dyDescent="0.25">
      <c r="A13197" s="859">
        <f t="shared" si="284"/>
        <v>13196</v>
      </c>
      <c r="B13197" s="845" t="s">
        <v>2564</v>
      </c>
      <c r="C13197" s="1007">
        <f t="shared" si="283"/>
        <v>101</v>
      </c>
      <c r="D13197" s="1014"/>
      <c r="I13197" s="1011" t="str">
        <f>CONCATENATE("&lt;numeroLigne&gt;",C13197,"&lt;/numeroLigne&gt;")</f>
        <v>&lt;numeroLigne&gt;101&lt;/numeroLigne&gt;</v>
      </c>
      <c r="K13197" s="1013"/>
    </row>
    <row r="13198" spans="1:11" s="1011" customFormat="1" ht="15" x14ac:dyDescent="0.25">
      <c r="A13198" s="859">
        <f t="shared" si="284"/>
        <v>13197</v>
      </c>
      <c r="B13198" s="845" t="s">
        <v>2564</v>
      </c>
      <c r="C13198" s="1007">
        <f t="shared" si="283"/>
        <v>101</v>
      </c>
      <c r="D13198" s="1014"/>
      <c r="H13198" s="1011" t="s">
        <v>1010</v>
      </c>
      <c r="K13198" s="1013"/>
    </row>
    <row r="13199" spans="1:11" s="1011" customFormat="1" ht="15" x14ac:dyDescent="0.25">
      <c r="A13199" s="859">
        <f t="shared" si="284"/>
        <v>13198</v>
      </c>
      <c r="B13199" s="845" t="s">
        <v>2564</v>
      </c>
      <c r="C13199" s="1007">
        <f t="shared" si="283"/>
        <v>101</v>
      </c>
      <c r="D13199" s="1012"/>
      <c r="H13199" s="1011" t="s">
        <v>1007</v>
      </c>
      <c r="K13199" s="1013"/>
    </row>
    <row r="13200" spans="1:11" s="1011" customFormat="1" ht="15" x14ac:dyDescent="0.25">
      <c r="A13200" s="859">
        <f t="shared" si="284"/>
        <v>13199</v>
      </c>
      <c r="B13200" s="845" t="s">
        <v>2564</v>
      </c>
      <c r="C13200" s="1007">
        <f t="shared" si="283"/>
        <v>101</v>
      </c>
      <c r="D13200" s="1015"/>
      <c r="I13200" s="1011" t="s">
        <v>2176</v>
      </c>
      <c r="K13200" s="1013"/>
    </row>
    <row r="13201" spans="1:11" s="1011" customFormat="1" ht="15" x14ac:dyDescent="0.25">
      <c r="A13201" s="859">
        <f t="shared" si="284"/>
        <v>13200</v>
      </c>
      <c r="B13201" s="845" t="s">
        <v>2564</v>
      </c>
      <c r="C13201" s="1007">
        <f t="shared" si="283"/>
        <v>101</v>
      </c>
      <c r="D13201" s="1012"/>
      <c r="I13201" s="1011" t="str">
        <f>CONCATENATE("&lt;valeur&gt;",VLOOKUP(C13201,'T16 Amort'!A:K,4,0),"&lt;/valeur&gt;")</f>
        <v>&lt;valeur&gt;&lt;/valeur&gt;</v>
      </c>
      <c r="K13201" s="1013"/>
    </row>
    <row r="13202" spans="1:11" s="1011" customFormat="1" ht="15" x14ac:dyDescent="0.25">
      <c r="A13202" s="859">
        <f t="shared" si="284"/>
        <v>13201</v>
      </c>
      <c r="B13202" s="845" t="s">
        <v>2564</v>
      </c>
      <c r="C13202" s="1007">
        <f t="shared" si="283"/>
        <v>101</v>
      </c>
      <c r="D13202" s="1012"/>
      <c r="I13202" s="1011" t="str">
        <f>CONCATENATE("&lt;numeroLigne&gt;",C13202,"&lt;/numeroLigne&gt;")</f>
        <v>&lt;numeroLigne&gt;101&lt;/numeroLigne&gt;</v>
      </c>
      <c r="K13202" s="1013"/>
    </row>
    <row r="13203" spans="1:11" s="1011" customFormat="1" ht="15" x14ac:dyDescent="0.25">
      <c r="A13203" s="859">
        <f t="shared" si="284"/>
        <v>13202</v>
      </c>
      <c r="B13203" s="845" t="s">
        <v>2564</v>
      </c>
      <c r="C13203" s="1007">
        <f t="shared" si="283"/>
        <v>101</v>
      </c>
      <c r="D13203" s="1014"/>
      <c r="H13203" s="1011" t="s">
        <v>1010</v>
      </c>
      <c r="K13203" s="1013"/>
    </row>
    <row r="13204" spans="1:11" s="1011" customFormat="1" ht="15" x14ac:dyDescent="0.25">
      <c r="A13204" s="859">
        <f t="shared" si="284"/>
        <v>13203</v>
      </c>
      <c r="B13204" s="845" t="s">
        <v>2564</v>
      </c>
      <c r="C13204" s="1007">
        <f t="shared" si="283"/>
        <v>101</v>
      </c>
      <c r="D13204" s="1014"/>
      <c r="H13204" s="1011" t="s">
        <v>1007</v>
      </c>
      <c r="K13204" s="1013"/>
    </row>
    <row r="13205" spans="1:11" s="1011" customFormat="1" ht="15" x14ac:dyDescent="0.25">
      <c r="A13205" s="859">
        <f t="shared" si="284"/>
        <v>13204</v>
      </c>
      <c r="B13205" s="845" t="s">
        <v>2564</v>
      </c>
      <c r="C13205" s="1007">
        <f t="shared" si="283"/>
        <v>101</v>
      </c>
      <c r="D13205" s="1012"/>
      <c r="I13205" s="1011" t="s">
        <v>2177</v>
      </c>
      <c r="K13205" s="1013"/>
    </row>
    <row r="13206" spans="1:11" s="1011" customFormat="1" ht="15" x14ac:dyDescent="0.25">
      <c r="A13206" s="859">
        <f t="shared" si="284"/>
        <v>13205</v>
      </c>
      <c r="B13206" s="845" t="s">
        <v>2564</v>
      </c>
      <c r="C13206" s="1007">
        <f t="shared" si="283"/>
        <v>101</v>
      </c>
      <c r="D13206" s="1015"/>
      <c r="I13206" s="1011" t="str">
        <f>CONCATENATE("&lt;valeur&gt;",VLOOKUP(C13206,'T16 Amort'!A:K,5,0),"&lt;/valeur&gt;")</f>
        <v>&lt;valeur&gt;&lt;/valeur&gt;</v>
      </c>
      <c r="K13206" s="1013"/>
    </row>
    <row r="13207" spans="1:11" s="1011" customFormat="1" ht="15" x14ac:dyDescent="0.25">
      <c r="A13207" s="859">
        <f t="shared" si="284"/>
        <v>13206</v>
      </c>
      <c r="B13207" s="845" t="s">
        <v>2564</v>
      </c>
      <c r="C13207" s="1007">
        <f t="shared" si="283"/>
        <v>101</v>
      </c>
      <c r="D13207" s="1012"/>
      <c r="I13207" s="1011" t="str">
        <f>CONCATENATE("&lt;numeroLigne&gt;",C13207,"&lt;/numeroLigne&gt;")</f>
        <v>&lt;numeroLigne&gt;101&lt;/numeroLigne&gt;</v>
      </c>
      <c r="K13207" s="1013"/>
    </row>
    <row r="13208" spans="1:11" s="1011" customFormat="1" ht="15" x14ac:dyDescent="0.25">
      <c r="A13208" s="859">
        <f t="shared" si="284"/>
        <v>13207</v>
      </c>
      <c r="B13208" s="845" t="s">
        <v>2564</v>
      </c>
      <c r="C13208" s="1007">
        <f t="shared" si="283"/>
        <v>101</v>
      </c>
      <c r="D13208" s="1012"/>
      <c r="H13208" s="1011" t="s">
        <v>1010</v>
      </c>
      <c r="K13208" s="1013"/>
    </row>
    <row r="13209" spans="1:11" s="1011" customFormat="1" ht="15" x14ac:dyDescent="0.25">
      <c r="A13209" s="859">
        <f t="shared" si="284"/>
        <v>13208</v>
      </c>
      <c r="B13209" s="845" t="s">
        <v>2564</v>
      </c>
      <c r="C13209" s="1007">
        <f t="shared" si="283"/>
        <v>101</v>
      </c>
      <c r="D13209" s="1014"/>
      <c r="H13209" s="1011" t="s">
        <v>1007</v>
      </c>
      <c r="K13209" s="1013"/>
    </row>
    <row r="13210" spans="1:11" s="1011" customFormat="1" ht="15" x14ac:dyDescent="0.25">
      <c r="A13210" s="859">
        <f t="shared" si="284"/>
        <v>13209</v>
      </c>
      <c r="B13210" s="845" t="s">
        <v>2564</v>
      </c>
      <c r="C13210" s="1007">
        <f t="shared" si="283"/>
        <v>101</v>
      </c>
      <c r="D13210" s="1014"/>
      <c r="I13210" s="1011" t="s">
        <v>2178</v>
      </c>
      <c r="K13210" s="1013"/>
    </row>
    <row r="13211" spans="1:11" s="1011" customFormat="1" ht="15" x14ac:dyDescent="0.25">
      <c r="A13211" s="859">
        <f t="shared" si="284"/>
        <v>13210</v>
      </c>
      <c r="B13211" s="845" t="s">
        <v>2564</v>
      </c>
      <c r="C13211" s="1007">
        <f t="shared" si="283"/>
        <v>101</v>
      </c>
      <c r="D13211" s="1012"/>
      <c r="I13211" s="1011" t="str">
        <f>CONCATENATE("&lt;valeur&gt;",VLOOKUP(C13211,'T16 Amort'!A:K,6,0),"&lt;/valeur&gt;")</f>
        <v>&lt;valeur&gt;&lt;/valeur&gt;</v>
      </c>
      <c r="K13211" s="1013"/>
    </row>
    <row r="13212" spans="1:11" s="1011" customFormat="1" ht="15" x14ac:dyDescent="0.25">
      <c r="A13212" s="859">
        <f t="shared" si="284"/>
        <v>13211</v>
      </c>
      <c r="B13212" s="845" t="s">
        <v>2564</v>
      </c>
      <c r="C13212" s="1007">
        <f t="shared" si="283"/>
        <v>101</v>
      </c>
      <c r="D13212" s="1015"/>
      <c r="I13212" s="1011" t="str">
        <f>CONCATENATE("&lt;numeroLigne&gt;",C13212,"&lt;/numeroLigne&gt;")</f>
        <v>&lt;numeroLigne&gt;101&lt;/numeroLigne&gt;</v>
      </c>
      <c r="K13212" s="1013"/>
    </row>
    <row r="13213" spans="1:11" s="1011" customFormat="1" ht="15" x14ac:dyDescent="0.25">
      <c r="A13213" s="859">
        <f t="shared" si="284"/>
        <v>13212</v>
      </c>
      <c r="B13213" s="845" t="s">
        <v>2564</v>
      </c>
      <c r="C13213" s="1007">
        <f t="shared" si="283"/>
        <v>101</v>
      </c>
      <c r="D13213" s="1012"/>
      <c r="H13213" s="1011" t="s">
        <v>1010</v>
      </c>
      <c r="K13213" s="1013"/>
    </row>
    <row r="13214" spans="1:11" s="1011" customFormat="1" ht="15" x14ac:dyDescent="0.25">
      <c r="A13214" s="859">
        <f t="shared" si="284"/>
        <v>13213</v>
      </c>
      <c r="B13214" s="845" t="s">
        <v>2564</v>
      </c>
      <c r="C13214" s="1007">
        <f t="shared" si="283"/>
        <v>101</v>
      </c>
      <c r="D13214" s="1012"/>
      <c r="H13214" s="1011" t="s">
        <v>1007</v>
      </c>
      <c r="K13214" s="1013"/>
    </row>
    <row r="13215" spans="1:11" s="1011" customFormat="1" ht="15" x14ac:dyDescent="0.25">
      <c r="A13215" s="859">
        <f t="shared" si="284"/>
        <v>13214</v>
      </c>
      <c r="B13215" s="845" t="s">
        <v>2564</v>
      </c>
      <c r="C13215" s="1007">
        <f t="shared" si="283"/>
        <v>101</v>
      </c>
      <c r="D13215" s="1014"/>
      <c r="I13215" s="1011" t="s">
        <v>2179</v>
      </c>
      <c r="K13215" s="1013"/>
    </row>
    <row r="13216" spans="1:11" s="1011" customFormat="1" ht="15" x14ac:dyDescent="0.25">
      <c r="A13216" s="859">
        <f t="shared" si="284"/>
        <v>13215</v>
      </c>
      <c r="B13216" s="845" t="s">
        <v>2564</v>
      </c>
      <c r="C13216" s="1007">
        <f t="shared" si="283"/>
        <v>101</v>
      </c>
      <c r="D13216" s="1014"/>
      <c r="I13216" s="1011" t="str">
        <f>CONCATENATE("&lt;valeur&gt;",VLOOKUP(C13216,'T16 Amort'!A:K,7,0),"&lt;/valeur&gt;")</f>
        <v>&lt;valeur&gt;&lt;/valeur&gt;</v>
      </c>
      <c r="K13216" s="1013"/>
    </row>
    <row r="13217" spans="1:11" s="1011" customFormat="1" ht="15" x14ac:dyDescent="0.25">
      <c r="A13217" s="859">
        <f t="shared" si="284"/>
        <v>13216</v>
      </c>
      <c r="B13217" s="845" t="s">
        <v>2564</v>
      </c>
      <c r="C13217" s="1007">
        <f t="shared" si="283"/>
        <v>101</v>
      </c>
      <c r="D13217" s="1012"/>
      <c r="I13217" s="1011" t="str">
        <f>CONCATENATE("&lt;numeroLigne&gt;",C13217,"&lt;/numeroLigne&gt;")</f>
        <v>&lt;numeroLigne&gt;101&lt;/numeroLigne&gt;</v>
      </c>
      <c r="K13217" s="1013"/>
    </row>
    <row r="13218" spans="1:11" s="1011" customFormat="1" ht="15" x14ac:dyDescent="0.25">
      <c r="A13218" s="859">
        <f t="shared" si="284"/>
        <v>13217</v>
      </c>
      <c r="B13218" s="845" t="s">
        <v>2564</v>
      </c>
      <c r="C13218" s="1007">
        <f t="shared" si="283"/>
        <v>101</v>
      </c>
      <c r="D13218" s="1015"/>
      <c r="H13218" s="1011" t="s">
        <v>1010</v>
      </c>
      <c r="K13218" s="1013"/>
    </row>
    <row r="13219" spans="1:11" s="1011" customFormat="1" ht="15" x14ac:dyDescent="0.25">
      <c r="A13219" s="859">
        <f t="shared" si="284"/>
        <v>13218</v>
      </c>
      <c r="B13219" s="845" t="s">
        <v>2564</v>
      </c>
      <c r="C13219" s="1007">
        <f t="shared" si="283"/>
        <v>101</v>
      </c>
      <c r="D13219" s="1012"/>
      <c r="H13219" s="1011" t="s">
        <v>1007</v>
      </c>
      <c r="K13219" s="1013"/>
    </row>
    <row r="13220" spans="1:11" s="1011" customFormat="1" ht="15" x14ac:dyDescent="0.25">
      <c r="A13220" s="859">
        <f t="shared" si="284"/>
        <v>13219</v>
      </c>
      <c r="B13220" s="845" t="s">
        <v>2564</v>
      </c>
      <c r="C13220" s="1007">
        <f t="shared" si="283"/>
        <v>101</v>
      </c>
      <c r="D13220" s="1012"/>
      <c r="I13220" s="1011" t="s">
        <v>2180</v>
      </c>
      <c r="K13220" s="1013"/>
    </row>
    <row r="13221" spans="1:11" s="1011" customFormat="1" ht="15" x14ac:dyDescent="0.25">
      <c r="A13221" s="859">
        <f t="shared" si="284"/>
        <v>13220</v>
      </c>
      <c r="B13221" s="845" t="s">
        <v>2564</v>
      </c>
      <c r="C13221" s="1007">
        <f t="shared" si="283"/>
        <v>101</v>
      </c>
      <c r="D13221" s="1014"/>
      <c r="I13221" s="1011" t="str">
        <f>CONCATENATE("&lt;valeur&gt;",VLOOKUP(C13221,'T16 Amort'!A:K,8,0),"&lt;/valeur&gt;")</f>
        <v>&lt;valeur&gt;&lt;/valeur&gt;</v>
      </c>
      <c r="K13221" s="1013"/>
    </row>
    <row r="13222" spans="1:11" s="1011" customFormat="1" ht="15" x14ac:dyDescent="0.25">
      <c r="A13222" s="859">
        <f t="shared" si="284"/>
        <v>13221</v>
      </c>
      <c r="B13222" s="845" t="s">
        <v>2564</v>
      </c>
      <c r="C13222" s="1007">
        <f t="shared" si="283"/>
        <v>101</v>
      </c>
      <c r="D13222" s="1014"/>
      <c r="I13222" s="1011" t="str">
        <f>CONCATENATE("&lt;numeroLigne&gt;",C13222,"&lt;/numeroLigne&gt;")</f>
        <v>&lt;numeroLigne&gt;101&lt;/numeroLigne&gt;</v>
      </c>
      <c r="K13222" s="1013"/>
    </row>
    <row r="13223" spans="1:11" s="1011" customFormat="1" ht="15" x14ac:dyDescent="0.25">
      <c r="A13223" s="859">
        <f t="shared" si="284"/>
        <v>13222</v>
      </c>
      <c r="B13223" s="845" t="s">
        <v>2564</v>
      </c>
      <c r="C13223" s="1007">
        <f t="shared" si="283"/>
        <v>101</v>
      </c>
      <c r="D13223" s="1012"/>
      <c r="H13223" s="1011" t="s">
        <v>1010</v>
      </c>
      <c r="K13223" s="1013"/>
    </row>
    <row r="13224" spans="1:11" s="1011" customFormat="1" ht="15" x14ac:dyDescent="0.25">
      <c r="A13224" s="859">
        <f t="shared" si="284"/>
        <v>13223</v>
      </c>
      <c r="B13224" s="845" t="s">
        <v>2564</v>
      </c>
      <c r="C13224" s="1007">
        <f t="shared" si="283"/>
        <v>101</v>
      </c>
      <c r="D13224" s="1015"/>
      <c r="H13224" s="1011" t="s">
        <v>1007</v>
      </c>
      <c r="K13224" s="1013"/>
    </row>
    <row r="13225" spans="1:11" s="1011" customFormat="1" ht="15" x14ac:dyDescent="0.25">
      <c r="A13225" s="859">
        <f t="shared" si="284"/>
        <v>13224</v>
      </c>
      <c r="B13225" s="845" t="s">
        <v>2564</v>
      </c>
      <c r="C13225" s="1007">
        <f t="shared" si="283"/>
        <v>101</v>
      </c>
      <c r="D13225" s="1012"/>
      <c r="I13225" s="1011" t="s">
        <v>2181</v>
      </c>
      <c r="K13225" s="1013"/>
    </row>
    <row r="13226" spans="1:11" s="1011" customFormat="1" ht="15" x14ac:dyDescent="0.25">
      <c r="A13226" s="859">
        <f t="shared" si="284"/>
        <v>13225</v>
      </c>
      <c r="B13226" s="845" t="s">
        <v>2564</v>
      </c>
      <c r="C13226" s="1007">
        <f t="shared" si="283"/>
        <v>101</v>
      </c>
      <c r="D13226" s="1012"/>
      <c r="I13226" s="1011" t="str">
        <f>CONCATENATE("&lt;valeur&gt;",VLOOKUP(C13226,'T16 Amort'!A:K,9,0),"&lt;/valeur&gt;")</f>
        <v>&lt;valeur&gt;&lt;/valeur&gt;</v>
      </c>
      <c r="K13226" s="1013"/>
    </row>
    <row r="13227" spans="1:11" s="1011" customFormat="1" ht="15" x14ac:dyDescent="0.25">
      <c r="A13227" s="859">
        <f t="shared" si="284"/>
        <v>13226</v>
      </c>
      <c r="B13227" s="845" t="s">
        <v>2564</v>
      </c>
      <c r="C13227" s="1007">
        <f t="shared" si="283"/>
        <v>101</v>
      </c>
      <c r="D13227" s="1014"/>
      <c r="I13227" s="1011" t="str">
        <f>CONCATENATE("&lt;numeroLigne&gt;",C13227,"&lt;/numeroLigne&gt;")</f>
        <v>&lt;numeroLigne&gt;101&lt;/numeroLigne&gt;</v>
      </c>
      <c r="K13227" s="1013"/>
    </row>
    <row r="13228" spans="1:11" s="1011" customFormat="1" ht="15" x14ac:dyDescent="0.25">
      <c r="A13228" s="859">
        <f t="shared" si="284"/>
        <v>13227</v>
      </c>
      <c r="B13228" s="845" t="s">
        <v>2564</v>
      </c>
      <c r="C13228" s="1007">
        <f t="shared" si="283"/>
        <v>101</v>
      </c>
      <c r="D13228" s="1014"/>
      <c r="H13228" s="1011" t="s">
        <v>1010</v>
      </c>
      <c r="K13228" s="1013"/>
    </row>
    <row r="13229" spans="1:11" s="1011" customFormat="1" ht="15" x14ac:dyDescent="0.25">
      <c r="A13229" s="859">
        <f t="shared" si="284"/>
        <v>13228</v>
      </c>
      <c r="B13229" s="845" t="s">
        <v>2564</v>
      </c>
      <c r="C13229" s="1007">
        <f t="shared" si="283"/>
        <v>101</v>
      </c>
      <c r="D13229" s="1012"/>
      <c r="H13229" s="1011" t="s">
        <v>1007</v>
      </c>
      <c r="K13229" s="1013"/>
    </row>
    <row r="13230" spans="1:11" s="1011" customFormat="1" ht="15" x14ac:dyDescent="0.25">
      <c r="A13230" s="859">
        <f t="shared" si="284"/>
        <v>13229</v>
      </c>
      <c r="B13230" s="845" t="s">
        <v>2564</v>
      </c>
      <c r="C13230" s="1007">
        <f t="shared" si="283"/>
        <v>101</v>
      </c>
      <c r="D13230" s="1015"/>
      <c r="I13230" s="1011" t="s">
        <v>2182</v>
      </c>
      <c r="K13230" s="1013"/>
    </row>
    <row r="13231" spans="1:11" s="1011" customFormat="1" ht="15" x14ac:dyDescent="0.25">
      <c r="A13231" s="859">
        <f t="shared" si="284"/>
        <v>13230</v>
      </c>
      <c r="B13231" s="845" t="s">
        <v>2564</v>
      </c>
      <c r="C13231" s="1007">
        <f t="shared" ref="C13231:C13294" si="285">C13181+1</f>
        <v>101</v>
      </c>
      <c r="D13231" s="1012"/>
      <c r="I13231" s="1011" t="str">
        <f>CONCATENATE("&lt;valeur&gt;",VLOOKUP(C13231,'T16 Amort'!A:K,10,0),"&lt;/valeur&gt;")</f>
        <v>&lt;valeur&gt;&lt;/valeur&gt;</v>
      </c>
      <c r="K13231" s="1013"/>
    </row>
    <row r="13232" spans="1:11" s="1011" customFormat="1" ht="15" x14ac:dyDescent="0.25">
      <c r="A13232" s="859">
        <f t="shared" si="284"/>
        <v>13231</v>
      </c>
      <c r="B13232" s="845" t="s">
        <v>2564</v>
      </c>
      <c r="C13232" s="1007">
        <f t="shared" si="285"/>
        <v>101</v>
      </c>
      <c r="D13232" s="1012"/>
      <c r="I13232" s="1011" t="str">
        <f>CONCATENATE("&lt;numeroLigne&gt;",C13232,"&lt;/numeroLigne&gt;")</f>
        <v>&lt;numeroLigne&gt;101&lt;/numeroLigne&gt;</v>
      </c>
      <c r="K13232" s="1013"/>
    </row>
    <row r="13233" spans="1:11" s="1011" customFormat="1" ht="15" x14ac:dyDescent="0.25">
      <c r="A13233" s="859">
        <f t="shared" si="284"/>
        <v>13232</v>
      </c>
      <c r="B13233" s="845" t="s">
        <v>2564</v>
      </c>
      <c r="C13233" s="1007">
        <f t="shared" si="285"/>
        <v>101</v>
      </c>
      <c r="D13233" s="1014"/>
      <c r="H13233" s="1011" t="s">
        <v>1010</v>
      </c>
      <c r="K13233" s="1013"/>
    </row>
    <row r="13234" spans="1:11" s="1011" customFormat="1" ht="15" x14ac:dyDescent="0.25">
      <c r="A13234" s="859">
        <f t="shared" si="284"/>
        <v>13233</v>
      </c>
      <c r="B13234" s="845" t="s">
        <v>2564</v>
      </c>
      <c r="C13234" s="1007">
        <f t="shared" si="285"/>
        <v>101</v>
      </c>
      <c r="D13234" s="1014"/>
      <c r="H13234" s="1011" t="s">
        <v>1007</v>
      </c>
      <c r="K13234" s="1013"/>
    </row>
    <row r="13235" spans="1:11" s="1011" customFormat="1" ht="15" x14ac:dyDescent="0.25">
      <c r="A13235" s="859">
        <f t="shared" si="284"/>
        <v>13234</v>
      </c>
      <c r="B13235" s="845" t="s">
        <v>2564</v>
      </c>
      <c r="C13235" s="1007">
        <f t="shared" si="285"/>
        <v>101</v>
      </c>
      <c r="D13235" s="1012"/>
      <c r="I13235" s="1011" t="s">
        <v>2183</v>
      </c>
      <c r="K13235" s="1013"/>
    </row>
    <row r="13236" spans="1:11" s="1011" customFormat="1" ht="15" x14ac:dyDescent="0.25">
      <c r="A13236" s="859">
        <f t="shared" si="284"/>
        <v>13235</v>
      </c>
      <c r="B13236" s="845" t="s">
        <v>2564</v>
      </c>
      <c r="C13236" s="1007">
        <f t="shared" si="285"/>
        <v>101</v>
      </c>
      <c r="D13236" s="1015"/>
      <c r="I13236" s="1011" t="str">
        <f>CONCATENATE("&lt;valeur&gt;",VLOOKUP(C13236,'T16 Amort'!A:K,11,0),"&lt;/valeur&gt;")</f>
        <v>&lt;valeur&gt;&lt;/valeur&gt;</v>
      </c>
      <c r="K13236" s="1013"/>
    </row>
    <row r="13237" spans="1:11" s="1011" customFormat="1" ht="15" x14ac:dyDescent="0.25">
      <c r="A13237" s="859">
        <f t="shared" si="284"/>
        <v>13236</v>
      </c>
      <c r="B13237" s="845" t="s">
        <v>2564</v>
      </c>
      <c r="C13237" s="1007">
        <f t="shared" si="285"/>
        <v>101</v>
      </c>
      <c r="D13237" s="1012"/>
      <c r="I13237" s="1011" t="str">
        <f>CONCATENATE("&lt;numeroLigne&gt;",C13237,"&lt;/numeroLigne&gt;")</f>
        <v>&lt;numeroLigne&gt;101&lt;/numeroLigne&gt;</v>
      </c>
      <c r="K13237" s="1013"/>
    </row>
    <row r="13238" spans="1:11" s="1011" customFormat="1" ht="15" x14ac:dyDescent="0.25">
      <c r="A13238" s="859">
        <f t="shared" si="284"/>
        <v>13237</v>
      </c>
      <c r="B13238" s="845" t="s">
        <v>2564</v>
      </c>
      <c r="C13238" s="1007">
        <f t="shared" si="285"/>
        <v>101</v>
      </c>
      <c r="D13238" s="1016"/>
      <c r="E13238" s="1017"/>
      <c r="F13238" s="1017"/>
      <c r="G13238" s="1017"/>
      <c r="H13238" s="1017" t="s">
        <v>1010</v>
      </c>
      <c r="I13238" s="1017"/>
      <c r="J13238" s="1017"/>
      <c r="K13238" s="1018"/>
    </row>
    <row r="13239" spans="1:11" s="1011" customFormat="1" ht="15" x14ac:dyDescent="0.25">
      <c r="A13239" s="859">
        <f t="shared" si="284"/>
        <v>13238</v>
      </c>
      <c r="B13239" s="845" t="s">
        <v>2564</v>
      </c>
      <c r="C13239" s="1007">
        <f t="shared" si="285"/>
        <v>102</v>
      </c>
      <c r="D13239" s="1008"/>
      <c r="E13239" s="1009"/>
      <c r="F13239" s="1009"/>
      <c r="G13239" s="1009"/>
      <c r="H13239" s="1009" t="s">
        <v>1007</v>
      </c>
      <c r="I13239" s="1009"/>
      <c r="J13239" s="1009"/>
      <c r="K13239" s="1010"/>
    </row>
    <row r="13240" spans="1:11" s="1011" customFormat="1" ht="15" x14ac:dyDescent="0.25">
      <c r="A13240" s="859">
        <f t="shared" si="284"/>
        <v>13239</v>
      </c>
      <c r="B13240" s="845" t="s">
        <v>2564</v>
      </c>
      <c r="C13240" s="1007">
        <f t="shared" si="285"/>
        <v>102</v>
      </c>
      <c r="D13240" s="1012"/>
      <c r="I13240" s="1011" t="s">
        <v>2174</v>
      </c>
      <c r="K13240" s="1013"/>
    </row>
    <row r="13241" spans="1:11" s="1011" customFormat="1" ht="15" x14ac:dyDescent="0.25">
      <c r="A13241" s="859">
        <f t="shared" si="284"/>
        <v>13240</v>
      </c>
      <c r="B13241" s="845" t="s">
        <v>2564</v>
      </c>
      <c r="C13241" s="1007">
        <f t="shared" si="285"/>
        <v>102</v>
      </c>
      <c r="D13241" s="1014"/>
      <c r="I13241" s="1011" t="str">
        <f>CONCATENATE("&lt;valeur&gt;",VLOOKUP(C13241,'T16 Amort'!A:K,2,0),"&lt;/valeur&gt;")</f>
        <v>&lt;valeur&gt;&lt;/valeur&gt;</v>
      </c>
      <c r="K13241" s="1013"/>
    </row>
    <row r="13242" spans="1:11" s="1011" customFormat="1" ht="15" x14ac:dyDescent="0.25">
      <c r="A13242" s="859">
        <f t="shared" si="284"/>
        <v>13241</v>
      </c>
      <c r="B13242" s="845" t="s">
        <v>2564</v>
      </c>
      <c r="C13242" s="1007">
        <f t="shared" si="285"/>
        <v>102</v>
      </c>
      <c r="D13242" s="1014"/>
      <c r="I13242" s="1011" t="str">
        <f>CONCATENATE("&lt;numeroLigne&gt;",C13242,"&lt;/numeroLigne&gt;")</f>
        <v>&lt;numeroLigne&gt;102&lt;/numeroLigne&gt;</v>
      </c>
      <c r="K13242" s="1013"/>
    </row>
    <row r="13243" spans="1:11" s="1011" customFormat="1" ht="15" x14ac:dyDescent="0.25">
      <c r="A13243" s="859">
        <f t="shared" si="284"/>
        <v>13242</v>
      </c>
      <c r="B13243" s="845" t="s">
        <v>2564</v>
      </c>
      <c r="C13243" s="1007">
        <f t="shared" si="285"/>
        <v>102</v>
      </c>
      <c r="D13243" s="1012"/>
      <c r="H13243" s="1011" t="s">
        <v>1010</v>
      </c>
      <c r="K13243" s="1013"/>
    </row>
    <row r="13244" spans="1:11" s="1011" customFormat="1" ht="15" x14ac:dyDescent="0.25">
      <c r="A13244" s="859">
        <f t="shared" si="284"/>
        <v>13243</v>
      </c>
      <c r="B13244" s="845" t="s">
        <v>2564</v>
      </c>
      <c r="C13244" s="1007">
        <f t="shared" si="285"/>
        <v>102</v>
      </c>
      <c r="D13244" s="1015"/>
      <c r="H13244" s="1011" t="s">
        <v>1007</v>
      </c>
      <c r="K13244" s="1013"/>
    </row>
    <row r="13245" spans="1:11" s="1011" customFormat="1" ht="15" x14ac:dyDescent="0.25">
      <c r="A13245" s="859">
        <f t="shared" si="284"/>
        <v>13244</v>
      </c>
      <c r="B13245" s="845" t="s">
        <v>2564</v>
      </c>
      <c r="C13245" s="1007">
        <f t="shared" si="285"/>
        <v>102</v>
      </c>
      <c r="D13245" s="1012"/>
      <c r="I13245" s="1011" t="s">
        <v>2175</v>
      </c>
      <c r="K13245" s="1013"/>
    </row>
    <row r="13246" spans="1:11" s="1011" customFormat="1" ht="15" x14ac:dyDescent="0.25">
      <c r="A13246" s="859">
        <f t="shared" si="284"/>
        <v>13245</v>
      </c>
      <c r="B13246" s="845" t="s">
        <v>2564</v>
      </c>
      <c r="C13246" s="1007">
        <f t="shared" si="285"/>
        <v>102</v>
      </c>
      <c r="D13246" s="1012"/>
      <c r="I13246" s="1011" t="str">
        <f>CONCATENATE("&lt;valeur&gt;",VLOOKUP(C13246,'T16 Amort'!A:K,3,0),"&lt;/valeur&gt;")</f>
        <v>&lt;valeur&gt;&lt;/valeur&gt;</v>
      </c>
      <c r="K13246" s="1013"/>
    </row>
    <row r="13247" spans="1:11" s="1011" customFormat="1" ht="15" x14ac:dyDescent="0.25">
      <c r="A13247" s="859">
        <f t="shared" si="284"/>
        <v>13246</v>
      </c>
      <c r="B13247" s="845" t="s">
        <v>2564</v>
      </c>
      <c r="C13247" s="1007">
        <f t="shared" si="285"/>
        <v>102</v>
      </c>
      <c r="D13247" s="1014"/>
      <c r="I13247" s="1011" t="str">
        <f>CONCATENATE("&lt;numeroLigne&gt;",C13247,"&lt;/numeroLigne&gt;")</f>
        <v>&lt;numeroLigne&gt;102&lt;/numeroLigne&gt;</v>
      </c>
      <c r="K13247" s="1013"/>
    </row>
    <row r="13248" spans="1:11" s="1011" customFormat="1" ht="15" x14ac:dyDescent="0.25">
      <c r="A13248" s="859">
        <f t="shared" si="284"/>
        <v>13247</v>
      </c>
      <c r="B13248" s="845" t="s">
        <v>2564</v>
      </c>
      <c r="C13248" s="1007">
        <f t="shared" si="285"/>
        <v>102</v>
      </c>
      <c r="D13248" s="1014"/>
      <c r="H13248" s="1011" t="s">
        <v>1010</v>
      </c>
      <c r="K13248" s="1013"/>
    </row>
    <row r="13249" spans="1:11" s="1011" customFormat="1" ht="15" x14ac:dyDescent="0.25">
      <c r="A13249" s="859">
        <f t="shared" si="284"/>
        <v>13248</v>
      </c>
      <c r="B13249" s="845" t="s">
        <v>2564</v>
      </c>
      <c r="C13249" s="1007">
        <f t="shared" si="285"/>
        <v>102</v>
      </c>
      <c r="D13249" s="1012"/>
      <c r="H13249" s="1011" t="s">
        <v>1007</v>
      </c>
      <c r="K13249" s="1013"/>
    </row>
    <row r="13250" spans="1:11" s="1011" customFormat="1" ht="15" x14ac:dyDescent="0.25">
      <c r="A13250" s="859">
        <f t="shared" si="284"/>
        <v>13249</v>
      </c>
      <c r="B13250" s="845" t="s">
        <v>2564</v>
      </c>
      <c r="C13250" s="1007">
        <f t="shared" si="285"/>
        <v>102</v>
      </c>
      <c r="D13250" s="1015"/>
      <c r="I13250" s="1011" t="s">
        <v>2176</v>
      </c>
      <c r="K13250" s="1013"/>
    </row>
    <row r="13251" spans="1:11" s="1011" customFormat="1" ht="15" x14ac:dyDescent="0.25">
      <c r="A13251" s="859">
        <f t="shared" si="284"/>
        <v>13250</v>
      </c>
      <c r="B13251" s="845" t="s">
        <v>2564</v>
      </c>
      <c r="C13251" s="1007">
        <f t="shared" si="285"/>
        <v>102</v>
      </c>
      <c r="D13251" s="1012"/>
      <c r="I13251" s="1011" t="str">
        <f>CONCATENATE("&lt;valeur&gt;",VLOOKUP(C13251,'T16 Amort'!A:K,4,0),"&lt;/valeur&gt;")</f>
        <v>&lt;valeur&gt;&lt;/valeur&gt;</v>
      </c>
      <c r="K13251" s="1013"/>
    </row>
    <row r="13252" spans="1:11" s="1011" customFormat="1" ht="15" x14ac:dyDescent="0.25">
      <c r="A13252" s="859">
        <f t="shared" ref="A13252:A13315" si="286">+A13251+1</f>
        <v>13251</v>
      </c>
      <c r="B13252" s="845" t="s">
        <v>2564</v>
      </c>
      <c r="C13252" s="1007">
        <f t="shared" si="285"/>
        <v>102</v>
      </c>
      <c r="D13252" s="1012"/>
      <c r="I13252" s="1011" t="str">
        <f>CONCATENATE("&lt;numeroLigne&gt;",C13252,"&lt;/numeroLigne&gt;")</f>
        <v>&lt;numeroLigne&gt;102&lt;/numeroLigne&gt;</v>
      </c>
      <c r="K13252" s="1013"/>
    </row>
    <row r="13253" spans="1:11" s="1011" customFormat="1" ht="15" x14ac:dyDescent="0.25">
      <c r="A13253" s="859">
        <f t="shared" si="286"/>
        <v>13252</v>
      </c>
      <c r="B13253" s="845" t="s">
        <v>2564</v>
      </c>
      <c r="C13253" s="1007">
        <f t="shared" si="285"/>
        <v>102</v>
      </c>
      <c r="D13253" s="1014"/>
      <c r="H13253" s="1011" t="s">
        <v>1010</v>
      </c>
      <c r="K13253" s="1013"/>
    </row>
    <row r="13254" spans="1:11" s="1011" customFormat="1" ht="15" x14ac:dyDescent="0.25">
      <c r="A13254" s="859">
        <f t="shared" si="286"/>
        <v>13253</v>
      </c>
      <c r="B13254" s="845" t="s">
        <v>2564</v>
      </c>
      <c r="C13254" s="1007">
        <f t="shared" si="285"/>
        <v>102</v>
      </c>
      <c r="D13254" s="1014"/>
      <c r="H13254" s="1011" t="s">
        <v>1007</v>
      </c>
      <c r="K13254" s="1013"/>
    </row>
    <row r="13255" spans="1:11" s="1011" customFormat="1" ht="15" x14ac:dyDescent="0.25">
      <c r="A13255" s="859">
        <f t="shared" si="286"/>
        <v>13254</v>
      </c>
      <c r="B13255" s="845" t="s">
        <v>2564</v>
      </c>
      <c r="C13255" s="1007">
        <f t="shared" si="285"/>
        <v>102</v>
      </c>
      <c r="D13255" s="1012"/>
      <c r="I13255" s="1011" t="s">
        <v>2177</v>
      </c>
      <c r="K13255" s="1013"/>
    </row>
    <row r="13256" spans="1:11" s="1011" customFormat="1" ht="15" x14ac:dyDescent="0.25">
      <c r="A13256" s="859">
        <f t="shared" si="286"/>
        <v>13255</v>
      </c>
      <c r="B13256" s="845" t="s">
        <v>2564</v>
      </c>
      <c r="C13256" s="1007">
        <f t="shared" si="285"/>
        <v>102</v>
      </c>
      <c r="D13256" s="1015"/>
      <c r="I13256" s="1011" t="str">
        <f>CONCATENATE("&lt;valeur&gt;",VLOOKUP(C13256,'T16 Amort'!A:K,5,0),"&lt;/valeur&gt;")</f>
        <v>&lt;valeur&gt;&lt;/valeur&gt;</v>
      </c>
      <c r="K13256" s="1013"/>
    </row>
    <row r="13257" spans="1:11" s="1011" customFormat="1" ht="15" x14ac:dyDescent="0.25">
      <c r="A13257" s="859">
        <f t="shared" si="286"/>
        <v>13256</v>
      </c>
      <c r="B13257" s="845" t="s">
        <v>2564</v>
      </c>
      <c r="C13257" s="1007">
        <f t="shared" si="285"/>
        <v>102</v>
      </c>
      <c r="D13257" s="1012"/>
      <c r="I13257" s="1011" t="str">
        <f>CONCATENATE("&lt;numeroLigne&gt;",C13257,"&lt;/numeroLigne&gt;")</f>
        <v>&lt;numeroLigne&gt;102&lt;/numeroLigne&gt;</v>
      </c>
      <c r="K13257" s="1013"/>
    </row>
    <row r="13258" spans="1:11" s="1011" customFormat="1" ht="15" x14ac:dyDescent="0.25">
      <c r="A13258" s="859">
        <f t="shared" si="286"/>
        <v>13257</v>
      </c>
      <c r="B13258" s="845" t="s">
        <v>2564</v>
      </c>
      <c r="C13258" s="1007">
        <f t="shared" si="285"/>
        <v>102</v>
      </c>
      <c r="D13258" s="1012"/>
      <c r="H13258" s="1011" t="s">
        <v>1010</v>
      </c>
      <c r="K13258" s="1013"/>
    </row>
    <row r="13259" spans="1:11" s="1011" customFormat="1" ht="15" x14ac:dyDescent="0.25">
      <c r="A13259" s="859">
        <f t="shared" si="286"/>
        <v>13258</v>
      </c>
      <c r="B13259" s="845" t="s">
        <v>2564</v>
      </c>
      <c r="C13259" s="1007">
        <f t="shared" si="285"/>
        <v>102</v>
      </c>
      <c r="D13259" s="1014"/>
      <c r="H13259" s="1011" t="s">
        <v>1007</v>
      </c>
      <c r="K13259" s="1013"/>
    </row>
    <row r="13260" spans="1:11" s="1011" customFormat="1" ht="15" x14ac:dyDescent="0.25">
      <c r="A13260" s="859">
        <f t="shared" si="286"/>
        <v>13259</v>
      </c>
      <c r="B13260" s="845" t="s">
        <v>2564</v>
      </c>
      <c r="C13260" s="1007">
        <f t="shared" si="285"/>
        <v>102</v>
      </c>
      <c r="D13260" s="1014"/>
      <c r="I13260" s="1011" t="s">
        <v>2178</v>
      </c>
      <c r="K13260" s="1013"/>
    </row>
    <row r="13261" spans="1:11" s="1011" customFormat="1" ht="15" x14ac:dyDescent="0.25">
      <c r="A13261" s="859">
        <f t="shared" si="286"/>
        <v>13260</v>
      </c>
      <c r="B13261" s="845" t="s">
        <v>2564</v>
      </c>
      <c r="C13261" s="1007">
        <f t="shared" si="285"/>
        <v>102</v>
      </c>
      <c r="D13261" s="1012"/>
      <c r="I13261" s="1011" t="str">
        <f>CONCATENATE("&lt;valeur&gt;",VLOOKUP(C13261,'T16 Amort'!A:K,6,0),"&lt;/valeur&gt;")</f>
        <v>&lt;valeur&gt;&lt;/valeur&gt;</v>
      </c>
      <c r="K13261" s="1013"/>
    </row>
    <row r="13262" spans="1:11" s="1011" customFormat="1" ht="15" x14ac:dyDescent="0.25">
      <c r="A13262" s="859">
        <f t="shared" si="286"/>
        <v>13261</v>
      </c>
      <c r="B13262" s="845" t="s">
        <v>2564</v>
      </c>
      <c r="C13262" s="1007">
        <f t="shared" si="285"/>
        <v>102</v>
      </c>
      <c r="D13262" s="1015"/>
      <c r="I13262" s="1011" t="str">
        <f>CONCATENATE("&lt;numeroLigne&gt;",C13262,"&lt;/numeroLigne&gt;")</f>
        <v>&lt;numeroLigne&gt;102&lt;/numeroLigne&gt;</v>
      </c>
      <c r="K13262" s="1013"/>
    </row>
    <row r="13263" spans="1:11" s="1011" customFormat="1" ht="15" x14ac:dyDescent="0.25">
      <c r="A13263" s="859">
        <f t="shared" si="286"/>
        <v>13262</v>
      </c>
      <c r="B13263" s="845" t="s">
        <v>2564</v>
      </c>
      <c r="C13263" s="1007">
        <f t="shared" si="285"/>
        <v>102</v>
      </c>
      <c r="D13263" s="1012"/>
      <c r="H13263" s="1011" t="s">
        <v>1010</v>
      </c>
      <c r="K13263" s="1013"/>
    </row>
    <row r="13264" spans="1:11" s="1011" customFormat="1" ht="15" x14ac:dyDescent="0.25">
      <c r="A13264" s="859">
        <f t="shared" si="286"/>
        <v>13263</v>
      </c>
      <c r="B13264" s="845" t="s">
        <v>2564</v>
      </c>
      <c r="C13264" s="1007">
        <f t="shared" si="285"/>
        <v>102</v>
      </c>
      <c r="D13264" s="1012"/>
      <c r="H13264" s="1011" t="s">
        <v>1007</v>
      </c>
      <c r="K13264" s="1013"/>
    </row>
    <row r="13265" spans="1:11" s="1011" customFormat="1" ht="15" x14ac:dyDescent="0.25">
      <c r="A13265" s="859">
        <f t="shared" si="286"/>
        <v>13264</v>
      </c>
      <c r="B13265" s="845" t="s">
        <v>2564</v>
      </c>
      <c r="C13265" s="1007">
        <f t="shared" si="285"/>
        <v>102</v>
      </c>
      <c r="D13265" s="1014"/>
      <c r="I13265" s="1011" t="s">
        <v>2179</v>
      </c>
      <c r="K13265" s="1013"/>
    </row>
    <row r="13266" spans="1:11" s="1011" customFormat="1" ht="15" x14ac:dyDescent="0.25">
      <c r="A13266" s="859">
        <f t="shared" si="286"/>
        <v>13265</v>
      </c>
      <c r="B13266" s="845" t="s">
        <v>2564</v>
      </c>
      <c r="C13266" s="1007">
        <f t="shared" si="285"/>
        <v>102</v>
      </c>
      <c r="D13266" s="1014"/>
      <c r="I13266" s="1011" t="str">
        <f>CONCATENATE("&lt;valeur&gt;",VLOOKUP(C13266,'T16 Amort'!A:K,7,0),"&lt;/valeur&gt;")</f>
        <v>&lt;valeur&gt;&lt;/valeur&gt;</v>
      </c>
      <c r="K13266" s="1013"/>
    </row>
    <row r="13267" spans="1:11" s="1011" customFormat="1" ht="15" x14ac:dyDescent="0.25">
      <c r="A13267" s="859">
        <f t="shared" si="286"/>
        <v>13266</v>
      </c>
      <c r="B13267" s="845" t="s">
        <v>2564</v>
      </c>
      <c r="C13267" s="1007">
        <f t="shared" si="285"/>
        <v>102</v>
      </c>
      <c r="D13267" s="1012"/>
      <c r="I13267" s="1011" t="str">
        <f>CONCATENATE("&lt;numeroLigne&gt;",C13267,"&lt;/numeroLigne&gt;")</f>
        <v>&lt;numeroLigne&gt;102&lt;/numeroLigne&gt;</v>
      </c>
      <c r="K13267" s="1013"/>
    </row>
    <row r="13268" spans="1:11" s="1011" customFormat="1" ht="15" x14ac:dyDescent="0.25">
      <c r="A13268" s="859">
        <f t="shared" si="286"/>
        <v>13267</v>
      </c>
      <c r="B13268" s="845" t="s">
        <v>2564</v>
      </c>
      <c r="C13268" s="1007">
        <f t="shared" si="285"/>
        <v>102</v>
      </c>
      <c r="D13268" s="1015"/>
      <c r="H13268" s="1011" t="s">
        <v>1010</v>
      </c>
      <c r="K13268" s="1013"/>
    </row>
    <row r="13269" spans="1:11" s="1011" customFormat="1" ht="15" x14ac:dyDescent="0.25">
      <c r="A13269" s="859">
        <f t="shared" si="286"/>
        <v>13268</v>
      </c>
      <c r="B13269" s="845" t="s">
        <v>2564</v>
      </c>
      <c r="C13269" s="1007">
        <f t="shared" si="285"/>
        <v>102</v>
      </c>
      <c r="D13269" s="1012"/>
      <c r="H13269" s="1011" t="s">
        <v>1007</v>
      </c>
      <c r="K13269" s="1013"/>
    </row>
    <row r="13270" spans="1:11" s="1011" customFormat="1" ht="15" x14ac:dyDescent="0.25">
      <c r="A13270" s="859">
        <f t="shared" si="286"/>
        <v>13269</v>
      </c>
      <c r="B13270" s="845" t="s">
        <v>2564</v>
      </c>
      <c r="C13270" s="1007">
        <f t="shared" si="285"/>
        <v>102</v>
      </c>
      <c r="D13270" s="1012"/>
      <c r="I13270" s="1011" t="s">
        <v>2180</v>
      </c>
      <c r="K13270" s="1013"/>
    </row>
    <row r="13271" spans="1:11" s="1011" customFormat="1" ht="15" x14ac:dyDescent="0.25">
      <c r="A13271" s="859">
        <f t="shared" si="286"/>
        <v>13270</v>
      </c>
      <c r="B13271" s="845" t="s">
        <v>2564</v>
      </c>
      <c r="C13271" s="1007">
        <f t="shared" si="285"/>
        <v>102</v>
      </c>
      <c r="D13271" s="1014"/>
      <c r="I13271" s="1011" t="str">
        <f>CONCATENATE("&lt;valeur&gt;",VLOOKUP(C13271,'T16 Amort'!A:K,8,0),"&lt;/valeur&gt;")</f>
        <v>&lt;valeur&gt;&lt;/valeur&gt;</v>
      </c>
      <c r="K13271" s="1013"/>
    </row>
    <row r="13272" spans="1:11" s="1011" customFormat="1" ht="15" x14ac:dyDescent="0.25">
      <c r="A13272" s="859">
        <f t="shared" si="286"/>
        <v>13271</v>
      </c>
      <c r="B13272" s="845" t="s">
        <v>2564</v>
      </c>
      <c r="C13272" s="1007">
        <f t="shared" si="285"/>
        <v>102</v>
      </c>
      <c r="D13272" s="1014"/>
      <c r="I13272" s="1011" t="str">
        <f>CONCATENATE("&lt;numeroLigne&gt;",C13272,"&lt;/numeroLigne&gt;")</f>
        <v>&lt;numeroLigne&gt;102&lt;/numeroLigne&gt;</v>
      </c>
      <c r="K13272" s="1013"/>
    </row>
    <row r="13273" spans="1:11" s="1011" customFormat="1" ht="15" x14ac:dyDescent="0.25">
      <c r="A13273" s="859">
        <f t="shared" si="286"/>
        <v>13272</v>
      </c>
      <c r="B13273" s="845" t="s">
        <v>2564</v>
      </c>
      <c r="C13273" s="1007">
        <f t="shared" si="285"/>
        <v>102</v>
      </c>
      <c r="D13273" s="1012"/>
      <c r="H13273" s="1011" t="s">
        <v>1010</v>
      </c>
      <c r="K13273" s="1013"/>
    </row>
    <row r="13274" spans="1:11" s="1011" customFormat="1" ht="15" x14ac:dyDescent="0.25">
      <c r="A13274" s="859">
        <f t="shared" si="286"/>
        <v>13273</v>
      </c>
      <c r="B13274" s="845" t="s">
        <v>2564</v>
      </c>
      <c r="C13274" s="1007">
        <f t="shared" si="285"/>
        <v>102</v>
      </c>
      <c r="D13274" s="1015"/>
      <c r="H13274" s="1011" t="s">
        <v>1007</v>
      </c>
      <c r="K13274" s="1013"/>
    </row>
    <row r="13275" spans="1:11" s="1011" customFormat="1" ht="15" x14ac:dyDescent="0.25">
      <c r="A13275" s="859">
        <f t="shared" si="286"/>
        <v>13274</v>
      </c>
      <c r="B13275" s="845" t="s">
        <v>2564</v>
      </c>
      <c r="C13275" s="1007">
        <f t="shared" si="285"/>
        <v>102</v>
      </c>
      <c r="D13275" s="1012"/>
      <c r="I13275" s="1011" t="s">
        <v>2181</v>
      </c>
      <c r="K13275" s="1013"/>
    </row>
    <row r="13276" spans="1:11" s="1011" customFormat="1" ht="15" x14ac:dyDescent="0.25">
      <c r="A13276" s="859">
        <f t="shared" si="286"/>
        <v>13275</v>
      </c>
      <c r="B13276" s="845" t="s">
        <v>2564</v>
      </c>
      <c r="C13276" s="1007">
        <f t="shared" si="285"/>
        <v>102</v>
      </c>
      <c r="D13276" s="1012"/>
      <c r="I13276" s="1011" t="str">
        <f>CONCATENATE("&lt;valeur&gt;",VLOOKUP(C13276,'T16 Amort'!A:K,9,0),"&lt;/valeur&gt;")</f>
        <v>&lt;valeur&gt;&lt;/valeur&gt;</v>
      </c>
      <c r="K13276" s="1013"/>
    </row>
    <row r="13277" spans="1:11" s="1011" customFormat="1" ht="15" x14ac:dyDescent="0.25">
      <c r="A13277" s="859">
        <f t="shared" si="286"/>
        <v>13276</v>
      </c>
      <c r="B13277" s="845" t="s">
        <v>2564</v>
      </c>
      <c r="C13277" s="1007">
        <f t="shared" si="285"/>
        <v>102</v>
      </c>
      <c r="D13277" s="1014"/>
      <c r="I13277" s="1011" t="str">
        <f>CONCATENATE("&lt;numeroLigne&gt;",C13277,"&lt;/numeroLigne&gt;")</f>
        <v>&lt;numeroLigne&gt;102&lt;/numeroLigne&gt;</v>
      </c>
      <c r="K13277" s="1013"/>
    </row>
    <row r="13278" spans="1:11" s="1011" customFormat="1" ht="15" x14ac:dyDescent="0.25">
      <c r="A13278" s="859">
        <f t="shared" si="286"/>
        <v>13277</v>
      </c>
      <c r="B13278" s="845" t="s">
        <v>2564</v>
      </c>
      <c r="C13278" s="1007">
        <f t="shared" si="285"/>
        <v>102</v>
      </c>
      <c r="D13278" s="1014"/>
      <c r="H13278" s="1011" t="s">
        <v>1010</v>
      </c>
      <c r="K13278" s="1013"/>
    </row>
    <row r="13279" spans="1:11" s="1011" customFormat="1" ht="15" x14ac:dyDescent="0.25">
      <c r="A13279" s="859">
        <f t="shared" si="286"/>
        <v>13278</v>
      </c>
      <c r="B13279" s="845" t="s">
        <v>2564</v>
      </c>
      <c r="C13279" s="1007">
        <f t="shared" si="285"/>
        <v>102</v>
      </c>
      <c r="D13279" s="1012"/>
      <c r="H13279" s="1011" t="s">
        <v>1007</v>
      </c>
      <c r="K13279" s="1013"/>
    </row>
    <row r="13280" spans="1:11" s="1011" customFormat="1" ht="15" x14ac:dyDescent="0.25">
      <c r="A13280" s="859">
        <f t="shared" si="286"/>
        <v>13279</v>
      </c>
      <c r="B13280" s="845" t="s">
        <v>2564</v>
      </c>
      <c r="C13280" s="1007">
        <f t="shared" si="285"/>
        <v>102</v>
      </c>
      <c r="D13280" s="1015"/>
      <c r="I13280" s="1011" t="s">
        <v>2182</v>
      </c>
      <c r="K13280" s="1013"/>
    </row>
    <row r="13281" spans="1:11" s="1011" customFormat="1" ht="15" x14ac:dyDescent="0.25">
      <c r="A13281" s="859">
        <f t="shared" si="286"/>
        <v>13280</v>
      </c>
      <c r="B13281" s="845" t="s">
        <v>2564</v>
      </c>
      <c r="C13281" s="1007">
        <f t="shared" si="285"/>
        <v>102</v>
      </c>
      <c r="D13281" s="1012"/>
      <c r="I13281" s="1011" t="str">
        <f>CONCATENATE("&lt;valeur&gt;",VLOOKUP(C13281,'T16 Amort'!A:K,10,0),"&lt;/valeur&gt;")</f>
        <v>&lt;valeur&gt;&lt;/valeur&gt;</v>
      </c>
      <c r="K13281" s="1013"/>
    </row>
    <row r="13282" spans="1:11" s="1011" customFormat="1" ht="15" x14ac:dyDescent="0.25">
      <c r="A13282" s="859">
        <f t="shared" si="286"/>
        <v>13281</v>
      </c>
      <c r="B13282" s="845" t="s">
        <v>2564</v>
      </c>
      <c r="C13282" s="1007">
        <f t="shared" si="285"/>
        <v>102</v>
      </c>
      <c r="D13282" s="1012"/>
      <c r="I13282" s="1011" t="str">
        <f>CONCATENATE("&lt;numeroLigne&gt;",C13282,"&lt;/numeroLigne&gt;")</f>
        <v>&lt;numeroLigne&gt;102&lt;/numeroLigne&gt;</v>
      </c>
      <c r="K13282" s="1013"/>
    </row>
    <row r="13283" spans="1:11" s="1011" customFormat="1" ht="15" x14ac:dyDescent="0.25">
      <c r="A13283" s="859">
        <f t="shared" si="286"/>
        <v>13282</v>
      </c>
      <c r="B13283" s="845" t="s">
        <v>2564</v>
      </c>
      <c r="C13283" s="1007">
        <f t="shared" si="285"/>
        <v>102</v>
      </c>
      <c r="D13283" s="1014"/>
      <c r="H13283" s="1011" t="s">
        <v>1010</v>
      </c>
      <c r="K13283" s="1013"/>
    </row>
    <row r="13284" spans="1:11" s="1011" customFormat="1" ht="15" x14ac:dyDescent="0.25">
      <c r="A13284" s="859">
        <f t="shared" si="286"/>
        <v>13283</v>
      </c>
      <c r="B13284" s="845" t="s">
        <v>2564</v>
      </c>
      <c r="C13284" s="1007">
        <f t="shared" si="285"/>
        <v>102</v>
      </c>
      <c r="D13284" s="1014"/>
      <c r="H13284" s="1011" t="s">
        <v>1007</v>
      </c>
      <c r="K13284" s="1013"/>
    </row>
    <row r="13285" spans="1:11" s="1011" customFormat="1" ht="15" x14ac:dyDescent="0.25">
      <c r="A13285" s="859">
        <f t="shared" si="286"/>
        <v>13284</v>
      </c>
      <c r="B13285" s="845" t="s">
        <v>2564</v>
      </c>
      <c r="C13285" s="1007">
        <f t="shared" si="285"/>
        <v>102</v>
      </c>
      <c r="D13285" s="1012"/>
      <c r="I13285" s="1011" t="s">
        <v>2183</v>
      </c>
      <c r="K13285" s="1013"/>
    </row>
    <row r="13286" spans="1:11" s="1011" customFormat="1" ht="15" x14ac:dyDescent="0.25">
      <c r="A13286" s="859">
        <f t="shared" si="286"/>
        <v>13285</v>
      </c>
      <c r="B13286" s="845" t="s">
        <v>2564</v>
      </c>
      <c r="C13286" s="1007">
        <f t="shared" si="285"/>
        <v>102</v>
      </c>
      <c r="D13286" s="1015"/>
      <c r="I13286" s="1011" t="str">
        <f>CONCATENATE("&lt;valeur&gt;",VLOOKUP(C13286,'T16 Amort'!A:K,11,0),"&lt;/valeur&gt;")</f>
        <v>&lt;valeur&gt;&lt;/valeur&gt;</v>
      </c>
      <c r="K13286" s="1013"/>
    </row>
    <row r="13287" spans="1:11" s="1011" customFormat="1" ht="15" x14ac:dyDescent="0.25">
      <c r="A13287" s="859">
        <f t="shared" si="286"/>
        <v>13286</v>
      </c>
      <c r="B13287" s="845" t="s">
        <v>2564</v>
      </c>
      <c r="C13287" s="1007">
        <f t="shared" si="285"/>
        <v>102</v>
      </c>
      <c r="D13287" s="1012"/>
      <c r="I13287" s="1011" t="str">
        <f>CONCATENATE("&lt;numeroLigne&gt;",C13287,"&lt;/numeroLigne&gt;")</f>
        <v>&lt;numeroLigne&gt;102&lt;/numeroLigne&gt;</v>
      </c>
      <c r="K13287" s="1013"/>
    </row>
    <row r="13288" spans="1:11" s="1011" customFormat="1" ht="15" x14ac:dyDescent="0.25">
      <c r="A13288" s="859">
        <f t="shared" si="286"/>
        <v>13287</v>
      </c>
      <c r="B13288" s="845" t="s">
        <v>2564</v>
      </c>
      <c r="C13288" s="1007">
        <f t="shared" si="285"/>
        <v>102</v>
      </c>
      <c r="D13288" s="1016"/>
      <c r="E13288" s="1017"/>
      <c r="F13288" s="1017"/>
      <c r="G13288" s="1017"/>
      <c r="H13288" s="1017" t="s">
        <v>1010</v>
      </c>
      <c r="I13288" s="1017"/>
      <c r="J13288" s="1017"/>
      <c r="K13288" s="1018"/>
    </row>
    <row r="13289" spans="1:11" s="1011" customFormat="1" ht="15" x14ac:dyDescent="0.25">
      <c r="A13289" s="859">
        <f t="shared" si="286"/>
        <v>13288</v>
      </c>
      <c r="B13289" s="845" t="s">
        <v>2564</v>
      </c>
      <c r="C13289" s="1007">
        <f t="shared" si="285"/>
        <v>103</v>
      </c>
      <c r="D13289" s="1008"/>
      <c r="E13289" s="1009"/>
      <c r="F13289" s="1009"/>
      <c r="G13289" s="1009"/>
      <c r="H13289" s="1009" t="s">
        <v>1007</v>
      </c>
      <c r="I13289" s="1009"/>
      <c r="J13289" s="1009"/>
      <c r="K13289" s="1010"/>
    </row>
    <row r="13290" spans="1:11" s="1011" customFormat="1" ht="15" x14ac:dyDescent="0.25">
      <c r="A13290" s="859">
        <f t="shared" si="286"/>
        <v>13289</v>
      </c>
      <c r="B13290" s="845" t="s">
        <v>2564</v>
      </c>
      <c r="C13290" s="1007">
        <f t="shared" si="285"/>
        <v>103</v>
      </c>
      <c r="D13290" s="1012"/>
      <c r="I13290" s="1011" t="s">
        <v>2174</v>
      </c>
      <c r="K13290" s="1013"/>
    </row>
    <row r="13291" spans="1:11" s="1011" customFormat="1" ht="15" x14ac:dyDescent="0.25">
      <c r="A13291" s="859">
        <f t="shared" si="286"/>
        <v>13290</v>
      </c>
      <c r="B13291" s="845" t="s">
        <v>2564</v>
      </c>
      <c r="C13291" s="1007">
        <f t="shared" si="285"/>
        <v>103</v>
      </c>
      <c r="D13291" s="1014"/>
      <c r="I13291" s="1011" t="str">
        <f>CONCATENATE("&lt;valeur&gt;",VLOOKUP(C13291,'T16 Amort'!A:K,2,0),"&lt;/valeur&gt;")</f>
        <v>&lt;valeur&gt;&lt;/valeur&gt;</v>
      </c>
      <c r="K13291" s="1013"/>
    </row>
    <row r="13292" spans="1:11" s="1011" customFormat="1" ht="15" x14ac:dyDescent="0.25">
      <c r="A13292" s="859">
        <f t="shared" si="286"/>
        <v>13291</v>
      </c>
      <c r="B13292" s="845" t="s">
        <v>2564</v>
      </c>
      <c r="C13292" s="1007">
        <f t="shared" si="285"/>
        <v>103</v>
      </c>
      <c r="D13292" s="1014"/>
      <c r="I13292" s="1011" t="str">
        <f>CONCATENATE("&lt;numeroLigne&gt;",C13292,"&lt;/numeroLigne&gt;")</f>
        <v>&lt;numeroLigne&gt;103&lt;/numeroLigne&gt;</v>
      </c>
      <c r="K13292" s="1013"/>
    </row>
    <row r="13293" spans="1:11" s="1011" customFormat="1" ht="15" x14ac:dyDescent="0.25">
      <c r="A13293" s="859">
        <f t="shared" si="286"/>
        <v>13292</v>
      </c>
      <c r="B13293" s="845" t="s">
        <v>2564</v>
      </c>
      <c r="C13293" s="1007">
        <f t="shared" si="285"/>
        <v>103</v>
      </c>
      <c r="D13293" s="1012"/>
      <c r="H13293" s="1011" t="s">
        <v>1010</v>
      </c>
      <c r="K13293" s="1013"/>
    </row>
    <row r="13294" spans="1:11" s="1011" customFormat="1" ht="15" x14ac:dyDescent="0.25">
      <c r="A13294" s="859">
        <f t="shared" si="286"/>
        <v>13293</v>
      </c>
      <c r="B13294" s="845" t="s">
        <v>2564</v>
      </c>
      <c r="C13294" s="1007">
        <f t="shared" si="285"/>
        <v>103</v>
      </c>
      <c r="D13294" s="1015"/>
      <c r="H13294" s="1011" t="s">
        <v>1007</v>
      </c>
      <c r="K13294" s="1013"/>
    </row>
    <row r="13295" spans="1:11" s="1011" customFormat="1" ht="15" x14ac:dyDescent="0.25">
      <c r="A13295" s="859">
        <f t="shared" si="286"/>
        <v>13294</v>
      </c>
      <c r="B13295" s="845" t="s">
        <v>2564</v>
      </c>
      <c r="C13295" s="1007">
        <f t="shared" ref="C13295:C13358" si="287">C13245+1</f>
        <v>103</v>
      </c>
      <c r="D13295" s="1012"/>
      <c r="I13295" s="1011" t="s">
        <v>2175</v>
      </c>
      <c r="K13295" s="1013"/>
    </row>
    <row r="13296" spans="1:11" s="1011" customFormat="1" ht="15" x14ac:dyDescent="0.25">
      <c r="A13296" s="859">
        <f t="shared" si="286"/>
        <v>13295</v>
      </c>
      <c r="B13296" s="845" t="s">
        <v>2564</v>
      </c>
      <c r="C13296" s="1007">
        <f t="shared" si="287"/>
        <v>103</v>
      </c>
      <c r="D13296" s="1012"/>
      <c r="I13296" s="1011" t="str">
        <f>CONCATENATE("&lt;valeur&gt;",VLOOKUP(C13296,'T16 Amort'!A:K,3,0),"&lt;/valeur&gt;")</f>
        <v>&lt;valeur&gt;&lt;/valeur&gt;</v>
      </c>
      <c r="K13296" s="1013"/>
    </row>
    <row r="13297" spans="1:11" s="1011" customFormat="1" ht="15" x14ac:dyDescent="0.25">
      <c r="A13297" s="859">
        <f t="shared" si="286"/>
        <v>13296</v>
      </c>
      <c r="B13297" s="845" t="s">
        <v>2564</v>
      </c>
      <c r="C13297" s="1007">
        <f t="shared" si="287"/>
        <v>103</v>
      </c>
      <c r="D13297" s="1014"/>
      <c r="I13297" s="1011" t="str">
        <f>CONCATENATE("&lt;numeroLigne&gt;",C13297,"&lt;/numeroLigne&gt;")</f>
        <v>&lt;numeroLigne&gt;103&lt;/numeroLigne&gt;</v>
      </c>
      <c r="K13297" s="1013"/>
    </row>
    <row r="13298" spans="1:11" s="1011" customFormat="1" ht="15" x14ac:dyDescent="0.25">
      <c r="A13298" s="859">
        <f t="shared" si="286"/>
        <v>13297</v>
      </c>
      <c r="B13298" s="845" t="s">
        <v>2564</v>
      </c>
      <c r="C13298" s="1007">
        <f t="shared" si="287"/>
        <v>103</v>
      </c>
      <c r="D13298" s="1014"/>
      <c r="H13298" s="1011" t="s">
        <v>1010</v>
      </c>
      <c r="K13298" s="1013"/>
    </row>
    <row r="13299" spans="1:11" s="1011" customFormat="1" ht="15" x14ac:dyDescent="0.25">
      <c r="A13299" s="859">
        <f t="shared" si="286"/>
        <v>13298</v>
      </c>
      <c r="B13299" s="845" t="s">
        <v>2564</v>
      </c>
      <c r="C13299" s="1007">
        <f t="shared" si="287"/>
        <v>103</v>
      </c>
      <c r="D13299" s="1012"/>
      <c r="H13299" s="1011" t="s">
        <v>1007</v>
      </c>
      <c r="K13299" s="1013"/>
    </row>
    <row r="13300" spans="1:11" s="1011" customFormat="1" ht="15" x14ac:dyDescent="0.25">
      <c r="A13300" s="859">
        <f t="shared" si="286"/>
        <v>13299</v>
      </c>
      <c r="B13300" s="845" t="s">
        <v>2564</v>
      </c>
      <c r="C13300" s="1007">
        <f t="shared" si="287"/>
        <v>103</v>
      </c>
      <c r="D13300" s="1015"/>
      <c r="I13300" s="1011" t="s">
        <v>2176</v>
      </c>
      <c r="K13300" s="1013"/>
    </row>
    <row r="13301" spans="1:11" s="1011" customFormat="1" ht="15" x14ac:dyDescent="0.25">
      <c r="A13301" s="859">
        <f t="shared" si="286"/>
        <v>13300</v>
      </c>
      <c r="B13301" s="845" t="s">
        <v>2564</v>
      </c>
      <c r="C13301" s="1007">
        <f t="shared" si="287"/>
        <v>103</v>
      </c>
      <c r="D13301" s="1012"/>
      <c r="I13301" s="1011" t="str">
        <f>CONCATENATE("&lt;valeur&gt;",VLOOKUP(C13301,'T16 Amort'!A:K,4,0),"&lt;/valeur&gt;")</f>
        <v>&lt;valeur&gt;&lt;/valeur&gt;</v>
      </c>
      <c r="K13301" s="1013"/>
    </row>
    <row r="13302" spans="1:11" s="1011" customFormat="1" ht="15" x14ac:dyDescent="0.25">
      <c r="A13302" s="859">
        <f t="shared" si="286"/>
        <v>13301</v>
      </c>
      <c r="B13302" s="845" t="s">
        <v>2564</v>
      </c>
      <c r="C13302" s="1007">
        <f t="shared" si="287"/>
        <v>103</v>
      </c>
      <c r="D13302" s="1012"/>
      <c r="I13302" s="1011" t="str">
        <f>CONCATENATE("&lt;numeroLigne&gt;",C13302,"&lt;/numeroLigne&gt;")</f>
        <v>&lt;numeroLigne&gt;103&lt;/numeroLigne&gt;</v>
      </c>
      <c r="K13302" s="1013"/>
    </row>
    <row r="13303" spans="1:11" s="1011" customFormat="1" ht="15" x14ac:dyDescent="0.25">
      <c r="A13303" s="859">
        <f t="shared" si="286"/>
        <v>13302</v>
      </c>
      <c r="B13303" s="845" t="s">
        <v>2564</v>
      </c>
      <c r="C13303" s="1007">
        <f t="shared" si="287"/>
        <v>103</v>
      </c>
      <c r="D13303" s="1014"/>
      <c r="H13303" s="1011" t="s">
        <v>1010</v>
      </c>
      <c r="K13303" s="1013"/>
    </row>
    <row r="13304" spans="1:11" s="1011" customFormat="1" ht="15" x14ac:dyDescent="0.25">
      <c r="A13304" s="859">
        <f t="shared" si="286"/>
        <v>13303</v>
      </c>
      <c r="B13304" s="845" t="s">
        <v>2564</v>
      </c>
      <c r="C13304" s="1007">
        <f t="shared" si="287"/>
        <v>103</v>
      </c>
      <c r="D13304" s="1014"/>
      <c r="H13304" s="1011" t="s">
        <v>1007</v>
      </c>
      <c r="K13304" s="1013"/>
    </row>
    <row r="13305" spans="1:11" s="1011" customFormat="1" ht="15" x14ac:dyDescent="0.25">
      <c r="A13305" s="859">
        <f t="shared" si="286"/>
        <v>13304</v>
      </c>
      <c r="B13305" s="845" t="s">
        <v>2564</v>
      </c>
      <c r="C13305" s="1007">
        <f t="shared" si="287"/>
        <v>103</v>
      </c>
      <c r="D13305" s="1012"/>
      <c r="I13305" s="1011" t="s">
        <v>2177</v>
      </c>
      <c r="K13305" s="1013"/>
    </row>
    <row r="13306" spans="1:11" s="1011" customFormat="1" ht="15" x14ac:dyDescent="0.25">
      <c r="A13306" s="859">
        <f t="shared" si="286"/>
        <v>13305</v>
      </c>
      <c r="B13306" s="845" t="s">
        <v>2564</v>
      </c>
      <c r="C13306" s="1007">
        <f t="shared" si="287"/>
        <v>103</v>
      </c>
      <c r="D13306" s="1015"/>
      <c r="I13306" s="1011" t="str">
        <f>CONCATENATE("&lt;valeur&gt;",VLOOKUP(C13306,'T16 Amort'!A:K,5,0),"&lt;/valeur&gt;")</f>
        <v>&lt;valeur&gt;&lt;/valeur&gt;</v>
      </c>
      <c r="K13306" s="1013"/>
    </row>
    <row r="13307" spans="1:11" s="1011" customFormat="1" ht="15" x14ac:dyDescent="0.25">
      <c r="A13307" s="859">
        <f t="shared" si="286"/>
        <v>13306</v>
      </c>
      <c r="B13307" s="845" t="s">
        <v>2564</v>
      </c>
      <c r="C13307" s="1007">
        <f t="shared" si="287"/>
        <v>103</v>
      </c>
      <c r="D13307" s="1012"/>
      <c r="I13307" s="1011" t="str">
        <f>CONCATENATE("&lt;numeroLigne&gt;",C13307,"&lt;/numeroLigne&gt;")</f>
        <v>&lt;numeroLigne&gt;103&lt;/numeroLigne&gt;</v>
      </c>
      <c r="K13307" s="1013"/>
    </row>
    <row r="13308" spans="1:11" s="1011" customFormat="1" ht="15" x14ac:dyDescent="0.25">
      <c r="A13308" s="859">
        <f t="shared" si="286"/>
        <v>13307</v>
      </c>
      <c r="B13308" s="845" t="s">
        <v>2564</v>
      </c>
      <c r="C13308" s="1007">
        <f t="shared" si="287"/>
        <v>103</v>
      </c>
      <c r="D13308" s="1012"/>
      <c r="H13308" s="1011" t="s">
        <v>1010</v>
      </c>
      <c r="K13308" s="1013"/>
    </row>
    <row r="13309" spans="1:11" s="1011" customFormat="1" ht="15" x14ac:dyDescent="0.25">
      <c r="A13309" s="859">
        <f t="shared" si="286"/>
        <v>13308</v>
      </c>
      <c r="B13309" s="845" t="s">
        <v>2564</v>
      </c>
      <c r="C13309" s="1007">
        <f t="shared" si="287"/>
        <v>103</v>
      </c>
      <c r="D13309" s="1014"/>
      <c r="H13309" s="1011" t="s">
        <v>1007</v>
      </c>
      <c r="K13309" s="1013"/>
    </row>
    <row r="13310" spans="1:11" s="1011" customFormat="1" ht="15" x14ac:dyDescent="0.25">
      <c r="A13310" s="859">
        <f t="shared" si="286"/>
        <v>13309</v>
      </c>
      <c r="B13310" s="845" t="s">
        <v>2564</v>
      </c>
      <c r="C13310" s="1007">
        <f t="shared" si="287"/>
        <v>103</v>
      </c>
      <c r="D13310" s="1014"/>
      <c r="I13310" s="1011" t="s">
        <v>2178</v>
      </c>
      <c r="K13310" s="1013"/>
    </row>
    <row r="13311" spans="1:11" s="1011" customFormat="1" ht="15" x14ac:dyDescent="0.25">
      <c r="A13311" s="859">
        <f t="shared" si="286"/>
        <v>13310</v>
      </c>
      <c r="B13311" s="845" t="s">
        <v>2564</v>
      </c>
      <c r="C13311" s="1007">
        <f t="shared" si="287"/>
        <v>103</v>
      </c>
      <c r="D13311" s="1012"/>
      <c r="I13311" s="1011" t="str">
        <f>CONCATENATE("&lt;valeur&gt;",VLOOKUP(C13311,'T16 Amort'!A:K,6,0),"&lt;/valeur&gt;")</f>
        <v>&lt;valeur&gt;&lt;/valeur&gt;</v>
      </c>
      <c r="K13311" s="1013"/>
    </row>
    <row r="13312" spans="1:11" s="1011" customFormat="1" ht="15" x14ac:dyDescent="0.25">
      <c r="A13312" s="859">
        <f t="shared" si="286"/>
        <v>13311</v>
      </c>
      <c r="B13312" s="845" t="s">
        <v>2564</v>
      </c>
      <c r="C13312" s="1007">
        <f t="shared" si="287"/>
        <v>103</v>
      </c>
      <c r="D13312" s="1015"/>
      <c r="I13312" s="1011" t="str">
        <f>CONCATENATE("&lt;numeroLigne&gt;",C13312,"&lt;/numeroLigne&gt;")</f>
        <v>&lt;numeroLigne&gt;103&lt;/numeroLigne&gt;</v>
      </c>
      <c r="K13312" s="1013"/>
    </row>
    <row r="13313" spans="1:11" s="1011" customFormat="1" ht="15" x14ac:dyDescent="0.25">
      <c r="A13313" s="859">
        <f t="shared" si="286"/>
        <v>13312</v>
      </c>
      <c r="B13313" s="845" t="s">
        <v>2564</v>
      </c>
      <c r="C13313" s="1007">
        <f t="shared" si="287"/>
        <v>103</v>
      </c>
      <c r="D13313" s="1012"/>
      <c r="H13313" s="1011" t="s">
        <v>1010</v>
      </c>
      <c r="K13313" s="1013"/>
    </row>
    <row r="13314" spans="1:11" s="1011" customFormat="1" ht="15" x14ac:dyDescent="0.25">
      <c r="A13314" s="859">
        <f t="shared" si="286"/>
        <v>13313</v>
      </c>
      <c r="B13314" s="845" t="s">
        <v>2564</v>
      </c>
      <c r="C13314" s="1007">
        <f t="shared" si="287"/>
        <v>103</v>
      </c>
      <c r="D13314" s="1012"/>
      <c r="H13314" s="1011" t="s">
        <v>1007</v>
      </c>
      <c r="K13314" s="1013"/>
    </row>
    <row r="13315" spans="1:11" s="1011" customFormat="1" ht="15" x14ac:dyDescent="0.25">
      <c r="A13315" s="859">
        <f t="shared" si="286"/>
        <v>13314</v>
      </c>
      <c r="B13315" s="845" t="s">
        <v>2564</v>
      </c>
      <c r="C13315" s="1007">
        <f t="shared" si="287"/>
        <v>103</v>
      </c>
      <c r="D13315" s="1014"/>
      <c r="I13315" s="1011" t="s">
        <v>2179</v>
      </c>
      <c r="K13315" s="1013"/>
    </row>
    <row r="13316" spans="1:11" s="1011" customFormat="1" ht="15" x14ac:dyDescent="0.25">
      <c r="A13316" s="859">
        <f t="shared" ref="A13316:A13379" si="288">+A13315+1</f>
        <v>13315</v>
      </c>
      <c r="B13316" s="845" t="s">
        <v>2564</v>
      </c>
      <c r="C13316" s="1007">
        <f t="shared" si="287"/>
        <v>103</v>
      </c>
      <c r="D13316" s="1014"/>
      <c r="I13316" s="1011" t="str">
        <f>CONCATENATE("&lt;valeur&gt;",VLOOKUP(C13316,'T16 Amort'!A:K,7,0),"&lt;/valeur&gt;")</f>
        <v>&lt;valeur&gt;&lt;/valeur&gt;</v>
      </c>
      <c r="K13316" s="1013"/>
    </row>
    <row r="13317" spans="1:11" s="1011" customFormat="1" ht="15" x14ac:dyDescent="0.25">
      <c r="A13317" s="859">
        <f t="shared" si="288"/>
        <v>13316</v>
      </c>
      <c r="B13317" s="845" t="s">
        <v>2564</v>
      </c>
      <c r="C13317" s="1007">
        <f t="shared" si="287"/>
        <v>103</v>
      </c>
      <c r="D13317" s="1012"/>
      <c r="I13317" s="1011" t="str">
        <f>CONCATENATE("&lt;numeroLigne&gt;",C13317,"&lt;/numeroLigne&gt;")</f>
        <v>&lt;numeroLigne&gt;103&lt;/numeroLigne&gt;</v>
      </c>
      <c r="K13317" s="1013"/>
    </row>
    <row r="13318" spans="1:11" s="1011" customFormat="1" ht="15" x14ac:dyDescent="0.25">
      <c r="A13318" s="859">
        <f t="shared" si="288"/>
        <v>13317</v>
      </c>
      <c r="B13318" s="845" t="s">
        <v>2564</v>
      </c>
      <c r="C13318" s="1007">
        <f t="shared" si="287"/>
        <v>103</v>
      </c>
      <c r="D13318" s="1015"/>
      <c r="H13318" s="1011" t="s">
        <v>1010</v>
      </c>
      <c r="K13318" s="1013"/>
    </row>
    <row r="13319" spans="1:11" s="1011" customFormat="1" ht="15" x14ac:dyDescent="0.25">
      <c r="A13319" s="859">
        <f t="shared" si="288"/>
        <v>13318</v>
      </c>
      <c r="B13319" s="845" t="s">
        <v>2564</v>
      </c>
      <c r="C13319" s="1007">
        <f t="shared" si="287"/>
        <v>103</v>
      </c>
      <c r="D13319" s="1012"/>
      <c r="H13319" s="1011" t="s">
        <v>1007</v>
      </c>
      <c r="K13319" s="1013"/>
    </row>
    <row r="13320" spans="1:11" s="1011" customFormat="1" ht="15" x14ac:dyDescent="0.25">
      <c r="A13320" s="859">
        <f t="shared" si="288"/>
        <v>13319</v>
      </c>
      <c r="B13320" s="845" t="s">
        <v>2564</v>
      </c>
      <c r="C13320" s="1007">
        <f t="shared" si="287"/>
        <v>103</v>
      </c>
      <c r="D13320" s="1012"/>
      <c r="I13320" s="1011" t="s">
        <v>2180</v>
      </c>
      <c r="K13320" s="1013"/>
    </row>
    <row r="13321" spans="1:11" s="1011" customFormat="1" ht="15" x14ac:dyDescent="0.25">
      <c r="A13321" s="859">
        <f t="shared" si="288"/>
        <v>13320</v>
      </c>
      <c r="B13321" s="845" t="s">
        <v>2564</v>
      </c>
      <c r="C13321" s="1007">
        <f t="shared" si="287"/>
        <v>103</v>
      </c>
      <c r="D13321" s="1014"/>
      <c r="I13321" s="1011" t="str">
        <f>CONCATENATE("&lt;valeur&gt;",VLOOKUP(C13321,'T16 Amort'!A:K,8,0),"&lt;/valeur&gt;")</f>
        <v>&lt;valeur&gt;&lt;/valeur&gt;</v>
      </c>
      <c r="K13321" s="1013"/>
    </row>
    <row r="13322" spans="1:11" s="1011" customFormat="1" ht="15" x14ac:dyDescent="0.25">
      <c r="A13322" s="859">
        <f t="shared" si="288"/>
        <v>13321</v>
      </c>
      <c r="B13322" s="845" t="s">
        <v>2564</v>
      </c>
      <c r="C13322" s="1007">
        <f t="shared" si="287"/>
        <v>103</v>
      </c>
      <c r="D13322" s="1014"/>
      <c r="I13322" s="1011" t="str">
        <f>CONCATENATE("&lt;numeroLigne&gt;",C13322,"&lt;/numeroLigne&gt;")</f>
        <v>&lt;numeroLigne&gt;103&lt;/numeroLigne&gt;</v>
      </c>
      <c r="K13322" s="1013"/>
    </row>
    <row r="13323" spans="1:11" s="1011" customFormat="1" ht="15" x14ac:dyDescent="0.25">
      <c r="A13323" s="859">
        <f t="shared" si="288"/>
        <v>13322</v>
      </c>
      <c r="B13323" s="845" t="s">
        <v>2564</v>
      </c>
      <c r="C13323" s="1007">
        <f t="shared" si="287"/>
        <v>103</v>
      </c>
      <c r="D13323" s="1012"/>
      <c r="H13323" s="1011" t="s">
        <v>1010</v>
      </c>
      <c r="K13323" s="1013"/>
    </row>
    <row r="13324" spans="1:11" s="1011" customFormat="1" ht="15" x14ac:dyDescent="0.25">
      <c r="A13324" s="859">
        <f t="shared" si="288"/>
        <v>13323</v>
      </c>
      <c r="B13324" s="845" t="s">
        <v>2564</v>
      </c>
      <c r="C13324" s="1007">
        <f t="shared" si="287"/>
        <v>103</v>
      </c>
      <c r="D13324" s="1015"/>
      <c r="H13324" s="1011" t="s">
        <v>1007</v>
      </c>
      <c r="K13324" s="1013"/>
    </row>
    <row r="13325" spans="1:11" s="1011" customFormat="1" ht="15" x14ac:dyDescent="0.25">
      <c r="A13325" s="859">
        <f t="shared" si="288"/>
        <v>13324</v>
      </c>
      <c r="B13325" s="845" t="s">
        <v>2564</v>
      </c>
      <c r="C13325" s="1007">
        <f t="shared" si="287"/>
        <v>103</v>
      </c>
      <c r="D13325" s="1012"/>
      <c r="I13325" s="1011" t="s">
        <v>2181</v>
      </c>
      <c r="K13325" s="1013"/>
    </row>
    <row r="13326" spans="1:11" s="1011" customFormat="1" ht="15" x14ac:dyDescent="0.25">
      <c r="A13326" s="859">
        <f t="shared" si="288"/>
        <v>13325</v>
      </c>
      <c r="B13326" s="845" t="s">
        <v>2564</v>
      </c>
      <c r="C13326" s="1007">
        <f t="shared" si="287"/>
        <v>103</v>
      </c>
      <c r="D13326" s="1012"/>
      <c r="I13326" s="1011" t="str">
        <f>CONCATENATE("&lt;valeur&gt;",VLOOKUP(C13326,'T16 Amort'!A:K,9,0),"&lt;/valeur&gt;")</f>
        <v>&lt;valeur&gt;&lt;/valeur&gt;</v>
      </c>
      <c r="K13326" s="1013"/>
    </row>
    <row r="13327" spans="1:11" s="1011" customFormat="1" ht="15" x14ac:dyDescent="0.25">
      <c r="A13327" s="859">
        <f t="shared" si="288"/>
        <v>13326</v>
      </c>
      <c r="B13327" s="845" t="s">
        <v>2564</v>
      </c>
      <c r="C13327" s="1007">
        <f t="shared" si="287"/>
        <v>103</v>
      </c>
      <c r="D13327" s="1014"/>
      <c r="I13327" s="1011" t="str">
        <f>CONCATENATE("&lt;numeroLigne&gt;",C13327,"&lt;/numeroLigne&gt;")</f>
        <v>&lt;numeroLigne&gt;103&lt;/numeroLigne&gt;</v>
      </c>
      <c r="K13327" s="1013"/>
    </row>
    <row r="13328" spans="1:11" s="1011" customFormat="1" ht="15" x14ac:dyDescent="0.25">
      <c r="A13328" s="859">
        <f t="shared" si="288"/>
        <v>13327</v>
      </c>
      <c r="B13328" s="845" t="s">
        <v>2564</v>
      </c>
      <c r="C13328" s="1007">
        <f t="shared" si="287"/>
        <v>103</v>
      </c>
      <c r="D13328" s="1014"/>
      <c r="H13328" s="1011" t="s">
        <v>1010</v>
      </c>
      <c r="K13328" s="1013"/>
    </row>
    <row r="13329" spans="1:11" s="1011" customFormat="1" ht="15" x14ac:dyDescent="0.25">
      <c r="A13329" s="859">
        <f t="shared" si="288"/>
        <v>13328</v>
      </c>
      <c r="B13329" s="845" t="s">
        <v>2564</v>
      </c>
      <c r="C13329" s="1007">
        <f t="shared" si="287"/>
        <v>103</v>
      </c>
      <c r="D13329" s="1012"/>
      <c r="H13329" s="1011" t="s">
        <v>1007</v>
      </c>
      <c r="K13329" s="1013"/>
    </row>
    <row r="13330" spans="1:11" s="1011" customFormat="1" ht="15" x14ac:dyDescent="0.25">
      <c r="A13330" s="859">
        <f t="shared" si="288"/>
        <v>13329</v>
      </c>
      <c r="B13330" s="845" t="s">
        <v>2564</v>
      </c>
      <c r="C13330" s="1007">
        <f t="shared" si="287"/>
        <v>103</v>
      </c>
      <c r="D13330" s="1015"/>
      <c r="I13330" s="1011" t="s">
        <v>2182</v>
      </c>
      <c r="K13330" s="1013"/>
    </row>
    <row r="13331" spans="1:11" s="1011" customFormat="1" ht="15" x14ac:dyDescent="0.25">
      <c r="A13331" s="859">
        <f t="shared" si="288"/>
        <v>13330</v>
      </c>
      <c r="B13331" s="845" t="s">
        <v>2564</v>
      </c>
      <c r="C13331" s="1007">
        <f t="shared" si="287"/>
        <v>103</v>
      </c>
      <c r="D13331" s="1012"/>
      <c r="I13331" s="1011" t="str">
        <f>CONCATENATE("&lt;valeur&gt;",VLOOKUP(C13331,'T16 Amort'!A:K,10,0),"&lt;/valeur&gt;")</f>
        <v>&lt;valeur&gt;&lt;/valeur&gt;</v>
      </c>
      <c r="K13331" s="1013"/>
    </row>
    <row r="13332" spans="1:11" s="1011" customFormat="1" ht="15" x14ac:dyDescent="0.25">
      <c r="A13332" s="859">
        <f t="shared" si="288"/>
        <v>13331</v>
      </c>
      <c r="B13332" s="845" t="s">
        <v>2564</v>
      </c>
      <c r="C13332" s="1007">
        <f t="shared" si="287"/>
        <v>103</v>
      </c>
      <c r="D13332" s="1012"/>
      <c r="I13332" s="1011" t="str">
        <f>CONCATENATE("&lt;numeroLigne&gt;",C13332,"&lt;/numeroLigne&gt;")</f>
        <v>&lt;numeroLigne&gt;103&lt;/numeroLigne&gt;</v>
      </c>
      <c r="K13332" s="1013"/>
    </row>
    <row r="13333" spans="1:11" s="1011" customFormat="1" ht="15" x14ac:dyDescent="0.25">
      <c r="A13333" s="859">
        <f t="shared" si="288"/>
        <v>13332</v>
      </c>
      <c r="B13333" s="845" t="s">
        <v>2564</v>
      </c>
      <c r="C13333" s="1007">
        <f t="shared" si="287"/>
        <v>103</v>
      </c>
      <c r="D13333" s="1014"/>
      <c r="H13333" s="1011" t="s">
        <v>1010</v>
      </c>
      <c r="K13333" s="1013"/>
    </row>
    <row r="13334" spans="1:11" s="1011" customFormat="1" ht="15" x14ac:dyDescent="0.25">
      <c r="A13334" s="859">
        <f t="shared" si="288"/>
        <v>13333</v>
      </c>
      <c r="B13334" s="845" t="s">
        <v>2564</v>
      </c>
      <c r="C13334" s="1007">
        <f t="shared" si="287"/>
        <v>103</v>
      </c>
      <c r="D13334" s="1014"/>
      <c r="H13334" s="1011" t="s">
        <v>1007</v>
      </c>
      <c r="K13334" s="1013"/>
    </row>
    <row r="13335" spans="1:11" s="1011" customFormat="1" ht="15" x14ac:dyDescent="0.25">
      <c r="A13335" s="859">
        <f t="shared" si="288"/>
        <v>13334</v>
      </c>
      <c r="B13335" s="845" t="s">
        <v>2564</v>
      </c>
      <c r="C13335" s="1007">
        <f t="shared" si="287"/>
        <v>103</v>
      </c>
      <c r="D13335" s="1012"/>
      <c r="I13335" s="1011" t="s">
        <v>2183</v>
      </c>
      <c r="K13335" s="1013"/>
    </row>
    <row r="13336" spans="1:11" s="1011" customFormat="1" ht="15" x14ac:dyDescent="0.25">
      <c r="A13336" s="859">
        <f t="shared" si="288"/>
        <v>13335</v>
      </c>
      <c r="B13336" s="845" t="s">
        <v>2564</v>
      </c>
      <c r="C13336" s="1007">
        <f t="shared" si="287"/>
        <v>103</v>
      </c>
      <c r="D13336" s="1015"/>
      <c r="I13336" s="1011" t="str">
        <f>CONCATENATE("&lt;valeur&gt;",VLOOKUP(C13336,'T16 Amort'!A:K,11,0),"&lt;/valeur&gt;")</f>
        <v>&lt;valeur&gt;&lt;/valeur&gt;</v>
      </c>
      <c r="K13336" s="1013"/>
    </row>
    <row r="13337" spans="1:11" s="1011" customFormat="1" ht="15" x14ac:dyDescent="0.25">
      <c r="A13337" s="859">
        <f t="shared" si="288"/>
        <v>13336</v>
      </c>
      <c r="B13337" s="845" t="s">
        <v>2564</v>
      </c>
      <c r="C13337" s="1007">
        <f t="shared" si="287"/>
        <v>103</v>
      </c>
      <c r="D13337" s="1012"/>
      <c r="I13337" s="1011" t="str">
        <f>CONCATENATE("&lt;numeroLigne&gt;",C13337,"&lt;/numeroLigne&gt;")</f>
        <v>&lt;numeroLigne&gt;103&lt;/numeroLigne&gt;</v>
      </c>
      <c r="K13337" s="1013"/>
    </row>
    <row r="13338" spans="1:11" s="1011" customFormat="1" ht="15" x14ac:dyDescent="0.25">
      <c r="A13338" s="859">
        <f t="shared" si="288"/>
        <v>13337</v>
      </c>
      <c r="B13338" s="845" t="s">
        <v>2564</v>
      </c>
      <c r="C13338" s="1007">
        <f t="shared" si="287"/>
        <v>103</v>
      </c>
      <c r="D13338" s="1016"/>
      <c r="E13338" s="1017"/>
      <c r="F13338" s="1017"/>
      <c r="G13338" s="1017"/>
      <c r="H13338" s="1017" t="s">
        <v>1010</v>
      </c>
      <c r="I13338" s="1017"/>
      <c r="J13338" s="1017"/>
      <c r="K13338" s="1018"/>
    </row>
    <row r="13339" spans="1:11" s="1011" customFormat="1" ht="15" x14ac:dyDescent="0.25">
      <c r="A13339" s="859">
        <f t="shared" si="288"/>
        <v>13338</v>
      </c>
      <c r="B13339" s="845" t="s">
        <v>2564</v>
      </c>
      <c r="C13339" s="1007">
        <f t="shared" si="287"/>
        <v>104</v>
      </c>
      <c r="D13339" s="1008"/>
      <c r="E13339" s="1009"/>
      <c r="F13339" s="1009"/>
      <c r="G13339" s="1009"/>
      <c r="H13339" s="1009" t="s">
        <v>1007</v>
      </c>
      <c r="I13339" s="1009"/>
      <c r="J13339" s="1009"/>
      <c r="K13339" s="1010"/>
    </row>
    <row r="13340" spans="1:11" s="1011" customFormat="1" ht="15" x14ac:dyDescent="0.25">
      <c r="A13340" s="859">
        <f t="shared" si="288"/>
        <v>13339</v>
      </c>
      <c r="B13340" s="845" t="s">
        <v>2564</v>
      </c>
      <c r="C13340" s="1007">
        <f t="shared" si="287"/>
        <v>104</v>
      </c>
      <c r="D13340" s="1012"/>
      <c r="I13340" s="1011" t="s">
        <v>2174</v>
      </c>
      <c r="K13340" s="1013"/>
    </row>
    <row r="13341" spans="1:11" s="1011" customFormat="1" ht="15" x14ac:dyDescent="0.25">
      <c r="A13341" s="859">
        <f t="shared" si="288"/>
        <v>13340</v>
      </c>
      <c r="B13341" s="845" t="s">
        <v>2564</v>
      </c>
      <c r="C13341" s="1007">
        <f t="shared" si="287"/>
        <v>104</v>
      </c>
      <c r="D13341" s="1014"/>
      <c r="I13341" s="1011" t="str">
        <f>CONCATENATE("&lt;valeur&gt;",VLOOKUP(C13341,'T16 Amort'!A:K,2,0),"&lt;/valeur&gt;")</f>
        <v>&lt;valeur&gt;&lt;/valeur&gt;</v>
      </c>
      <c r="K13341" s="1013"/>
    </row>
    <row r="13342" spans="1:11" s="1011" customFormat="1" ht="15" x14ac:dyDescent="0.25">
      <c r="A13342" s="859">
        <f t="shared" si="288"/>
        <v>13341</v>
      </c>
      <c r="B13342" s="845" t="s">
        <v>2564</v>
      </c>
      <c r="C13342" s="1007">
        <f t="shared" si="287"/>
        <v>104</v>
      </c>
      <c r="D13342" s="1014"/>
      <c r="I13342" s="1011" t="str">
        <f>CONCATENATE("&lt;numeroLigne&gt;",C13342,"&lt;/numeroLigne&gt;")</f>
        <v>&lt;numeroLigne&gt;104&lt;/numeroLigne&gt;</v>
      </c>
      <c r="K13342" s="1013"/>
    </row>
    <row r="13343" spans="1:11" s="1011" customFormat="1" ht="15" x14ac:dyDescent="0.25">
      <c r="A13343" s="859">
        <f t="shared" si="288"/>
        <v>13342</v>
      </c>
      <c r="B13343" s="845" t="s">
        <v>2564</v>
      </c>
      <c r="C13343" s="1007">
        <f t="shared" si="287"/>
        <v>104</v>
      </c>
      <c r="D13343" s="1012"/>
      <c r="H13343" s="1011" t="s">
        <v>1010</v>
      </c>
      <c r="K13343" s="1013"/>
    </row>
    <row r="13344" spans="1:11" s="1011" customFormat="1" ht="15" x14ac:dyDescent="0.25">
      <c r="A13344" s="859">
        <f t="shared" si="288"/>
        <v>13343</v>
      </c>
      <c r="B13344" s="845" t="s">
        <v>2564</v>
      </c>
      <c r="C13344" s="1007">
        <f t="shared" si="287"/>
        <v>104</v>
      </c>
      <c r="D13344" s="1015"/>
      <c r="H13344" s="1011" t="s">
        <v>1007</v>
      </c>
      <c r="K13344" s="1013"/>
    </row>
    <row r="13345" spans="1:11" s="1011" customFormat="1" ht="15" x14ac:dyDescent="0.25">
      <c r="A13345" s="859">
        <f t="shared" si="288"/>
        <v>13344</v>
      </c>
      <c r="B13345" s="845" t="s">
        <v>2564</v>
      </c>
      <c r="C13345" s="1007">
        <f t="shared" si="287"/>
        <v>104</v>
      </c>
      <c r="D13345" s="1012"/>
      <c r="I13345" s="1011" t="s">
        <v>2175</v>
      </c>
      <c r="K13345" s="1013"/>
    </row>
    <row r="13346" spans="1:11" s="1011" customFormat="1" ht="15" x14ac:dyDescent="0.25">
      <c r="A13346" s="859">
        <f t="shared" si="288"/>
        <v>13345</v>
      </c>
      <c r="B13346" s="845" t="s">
        <v>2564</v>
      </c>
      <c r="C13346" s="1007">
        <f t="shared" si="287"/>
        <v>104</v>
      </c>
      <c r="D13346" s="1012"/>
      <c r="I13346" s="1011" t="str">
        <f>CONCATENATE("&lt;valeur&gt;",VLOOKUP(C13346,'T16 Amort'!A:K,3,0),"&lt;/valeur&gt;")</f>
        <v>&lt;valeur&gt;&lt;/valeur&gt;</v>
      </c>
      <c r="K13346" s="1013"/>
    </row>
    <row r="13347" spans="1:11" s="1011" customFormat="1" ht="15" x14ac:dyDescent="0.25">
      <c r="A13347" s="859">
        <f t="shared" si="288"/>
        <v>13346</v>
      </c>
      <c r="B13347" s="845" t="s">
        <v>2564</v>
      </c>
      <c r="C13347" s="1007">
        <f t="shared" si="287"/>
        <v>104</v>
      </c>
      <c r="D13347" s="1014"/>
      <c r="I13347" s="1011" t="str">
        <f>CONCATENATE("&lt;numeroLigne&gt;",C13347,"&lt;/numeroLigne&gt;")</f>
        <v>&lt;numeroLigne&gt;104&lt;/numeroLigne&gt;</v>
      </c>
      <c r="K13347" s="1013"/>
    </row>
    <row r="13348" spans="1:11" s="1011" customFormat="1" ht="15" x14ac:dyDescent="0.25">
      <c r="A13348" s="859">
        <f t="shared" si="288"/>
        <v>13347</v>
      </c>
      <c r="B13348" s="845" t="s">
        <v>2564</v>
      </c>
      <c r="C13348" s="1007">
        <f t="shared" si="287"/>
        <v>104</v>
      </c>
      <c r="D13348" s="1014"/>
      <c r="H13348" s="1011" t="s">
        <v>1010</v>
      </c>
      <c r="K13348" s="1013"/>
    </row>
    <row r="13349" spans="1:11" s="1011" customFormat="1" ht="15" x14ac:dyDescent="0.25">
      <c r="A13349" s="859">
        <f t="shared" si="288"/>
        <v>13348</v>
      </c>
      <c r="B13349" s="845" t="s">
        <v>2564</v>
      </c>
      <c r="C13349" s="1007">
        <f t="shared" si="287"/>
        <v>104</v>
      </c>
      <c r="D13349" s="1012"/>
      <c r="H13349" s="1011" t="s">
        <v>1007</v>
      </c>
      <c r="K13349" s="1013"/>
    </row>
    <row r="13350" spans="1:11" s="1011" customFormat="1" ht="15" x14ac:dyDescent="0.25">
      <c r="A13350" s="859">
        <f t="shared" si="288"/>
        <v>13349</v>
      </c>
      <c r="B13350" s="845" t="s">
        <v>2564</v>
      </c>
      <c r="C13350" s="1007">
        <f t="shared" si="287"/>
        <v>104</v>
      </c>
      <c r="D13350" s="1015"/>
      <c r="I13350" s="1011" t="s">
        <v>2176</v>
      </c>
      <c r="K13350" s="1013"/>
    </row>
    <row r="13351" spans="1:11" s="1011" customFormat="1" ht="15" x14ac:dyDescent="0.25">
      <c r="A13351" s="859">
        <f t="shared" si="288"/>
        <v>13350</v>
      </c>
      <c r="B13351" s="845" t="s">
        <v>2564</v>
      </c>
      <c r="C13351" s="1007">
        <f t="shared" si="287"/>
        <v>104</v>
      </c>
      <c r="D13351" s="1012"/>
      <c r="I13351" s="1011" t="str">
        <f>CONCATENATE("&lt;valeur&gt;",VLOOKUP(C13351,'T16 Amort'!A:K,4,0),"&lt;/valeur&gt;")</f>
        <v>&lt;valeur&gt;&lt;/valeur&gt;</v>
      </c>
      <c r="K13351" s="1013"/>
    </row>
    <row r="13352" spans="1:11" s="1011" customFormat="1" ht="15" x14ac:dyDescent="0.25">
      <c r="A13352" s="859">
        <f t="shared" si="288"/>
        <v>13351</v>
      </c>
      <c r="B13352" s="845" t="s">
        <v>2564</v>
      </c>
      <c r="C13352" s="1007">
        <f t="shared" si="287"/>
        <v>104</v>
      </c>
      <c r="D13352" s="1012"/>
      <c r="I13352" s="1011" t="str">
        <f>CONCATENATE("&lt;numeroLigne&gt;",C13352,"&lt;/numeroLigne&gt;")</f>
        <v>&lt;numeroLigne&gt;104&lt;/numeroLigne&gt;</v>
      </c>
      <c r="K13352" s="1013"/>
    </row>
    <row r="13353" spans="1:11" s="1011" customFormat="1" ht="15" x14ac:dyDescent="0.25">
      <c r="A13353" s="859">
        <f t="shared" si="288"/>
        <v>13352</v>
      </c>
      <c r="B13353" s="845" t="s">
        <v>2564</v>
      </c>
      <c r="C13353" s="1007">
        <f t="shared" si="287"/>
        <v>104</v>
      </c>
      <c r="D13353" s="1014"/>
      <c r="H13353" s="1011" t="s">
        <v>1010</v>
      </c>
      <c r="K13353" s="1013"/>
    </row>
    <row r="13354" spans="1:11" s="1011" customFormat="1" ht="15" x14ac:dyDescent="0.25">
      <c r="A13354" s="859">
        <f t="shared" si="288"/>
        <v>13353</v>
      </c>
      <c r="B13354" s="845" t="s">
        <v>2564</v>
      </c>
      <c r="C13354" s="1007">
        <f t="shared" si="287"/>
        <v>104</v>
      </c>
      <c r="D13354" s="1014"/>
      <c r="H13354" s="1011" t="s">
        <v>1007</v>
      </c>
      <c r="K13354" s="1013"/>
    </row>
    <row r="13355" spans="1:11" s="1011" customFormat="1" ht="15" x14ac:dyDescent="0.25">
      <c r="A13355" s="859">
        <f t="shared" si="288"/>
        <v>13354</v>
      </c>
      <c r="B13355" s="845" t="s">
        <v>2564</v>
      </c>
      <c r="C13355" s="1007">
        <f t="shared" si="287"/>
        <v>104</v>
      </c>
      <c r="D13355" s="1012"/>
      <c r="I13355" s="1011" t="s">
        <v>2177</v>
      </c>
      <c r="K13355" s="1013"/>
    </row>
    <row r="13356" spans="1:11" s="1011" customFormat="1" ht="15" x14ac:dyDescent="0.25">
      <c r="A13356" s="859">
        <f t="shared" si="288"/>
        <v>13355</v>
      </c>
      <c r="B13356" s="845" t="s">
        <v>2564</v>
      </c>
      <c r="C13356" s="1007">
        <f t="shared" si="287"/>
        <v>104</v>
      </c>
      <c r="D13356" s="1015"/>
      <c r="I13356" s="1011" t="str">
        <f>CONCATENATE("&lt;valeur&gt;",VLOOKUP(C13356,'T16 Amort'!A:K,5,0),"&lt;/valeur&gt;")</f>
        <v>&lt;valeur&gt;&lt;/valeur&gt;</v>
      </c>
      <c r="K13356" s="1013"/>
    </row>
    <row r="13357" spans="1:11" s="1011" customFormat="1" ht="15" x14ac:dyDescent="0.25">
      <c r="A13357" s="859">
        <f t="shared" si="288"/>
        <v>13356</v>
      </c>
      <c r="B13357" s="845" t="s">
        <v>2564</v>
      </c>
      <c r="C13357" s="1007">
        <f t="shared" si="287"/>
        <v>104</v>
      </c>
      <c r="D13357" s="1012"/>
      <c r="I13357" s="1011" t="str">
        <f>CONCATENATE("&lt;numeroLigne&gt;",C13357,"&lt;/numeroLigne&gt;")</f>
        <v>&lt;numeroLigne&gt;104&lt;/numeroLigne&gt;</v>
      </c>
      <c r="K13357" s="1013"/>
    </row>
    <row r="13358" spans="1:11" s="1011" customFormat="1" ht="15" x14ac:dyDescent="0.25">
      <c r="A13358" s="859">
        <f t="shared" si="288"/>
        <v>13357</v>
      </c>
      <c r="B13358" s="845" t="s">
        <v>2564</v>
      </c>
      <c r="C13358" s="1007">
        <f t="shared" si="287"/>
        <v>104</v>
      </c>
      <c r="D13358" s="1012"/>
      <c r="H13358" s="1011" t="s">
        <v>1010</v>
      </c>
      <c r="K13358" s="1013"/>
    </row>
    <row r="13359" spans="1:11" s="1011" customFormat="1" ht="15" x14ac:dyDescent="0.25">
      <c r="A13359" s="859">
        <f t="shared" si="288"/>
        <v>13358</v>
      </c>
      <c r="B13359" s="845" t="s">
        <v>2564</v>
      </c>
      <c r="C13359" s="1007">
        <f t="shared" ref="C13359:C13422" si="289">C13309+1</f>
        <v>104</v>
      </c>
      <c r="D13359" s="1014"/>
      <c r="H13359" s="1011" t="s">
        <v>1007</v>
      </c>
      <c r="K13359" s="1013"/>
    </row>
    <row r="13360" spans="1:11" s="1011" customFormat="1" ht="15" x14ac:dyDescent="0.25">
      <c r="A13360" s="859">
        <f t="shared" si="288"/>
        <v>13359</v>
      </c>
      <c r="B13360" s="845" t="s">
        <v>2564</v>
      </c>
      <c r="C13360" s="1007">
        <f t="shared" si="289"/>
        <v>104</v>
      </c>
      <c r="D13360" s="1014"/>
      <c r="I13360" s="1011" t="s">
        <v>2178</v>
      </c>
      <c r="K13360" s="1013"/>
    </row>
    <row r="13361" spans="1:11" s="1011" customFormat="1" ht="15" x14ac:dyDescent="0.25">
      <c r="A13361" s="859">
        <f t="shared" si="288"/>
        <v>13360</v>
      </c>
      <c r="B13361" s="845" t="s">
        <v>2564</v>
      </c>
      <c r="C13361" s="1007">
        <f t="shared" si="289"/>
        <v>104</v>
      </c>
      <c r="D13361" s="1012"/>
      <c r="I13361" s="1011" t="str">
        <f>CONCATENATE("&lt;valeur&gt;",VLOOKUP(C13361,'T16 Amort'!A:K,6,0),"&lt;/valeur&gt;")</f>
        <v>&lt;valeur&gt;&lt;/valeur&gt;</v>
      </c>
      <c r="K13361" s="1013"/>
    </row>
    <row r="13362" spans="1:11" s="1011" customFormat="1" ht="15" x14ac:dyDescent="0.25">
      <c r="A13362" s="859">
        <f t="shared" si="288"/>
        <v>13361</v>
      </c>
      <c r="B13362" s="845" t="s">
        <v>2564</v>
      </c>
      <c r="C13362" s="1007">
        <f t="shared" si="289"/>
        <v>104</v>
      </c>
      <c r="D13362" s="1015"/>
      <c r="I13362" s="1011" t="str">
        <f>CONCATENATE("&lt;numeroLigne&gt;",C13362,"&lt;/numeroLigne&gt;")</f>
        <v>&lt;numeroLigne&gt;104&lt;/numeroLigne&gt;</v>
      </c>
      <c r="K13362" s="1013"/>
    </row>
    <row r="13363" spans="1:11" s="1011" customFormat="1" ht="15" x14ac:dyDescent="0.25">
      <c r="A13363" s="859">
        <f t="shared" si="288"/>
        <v>13362</v>
      </c>
      <c r="B13363" s="845" t="s">
        <v>2564</v>
      </c>
      <c r="C13363" s="1007">
        <f t="shared" si="289"/>
        <v>104</v>
      </c>
      <c r="D13363" s="1012"/>
      <c r="H13363" s="1011" t="s">
        <v>1010</v>
      </c>
      <c r="K13363" s="1013"/>
    </row>
    <row r="13364" spans="1:11" s="1011" customFormat="1" ht="15" x14ac:dyDescent="0.25">
      <c r="A13364" s="859">
        <f t="shared" si="288"/>
        <v>13363</v>
      </c>
      <c r="B13364" s="845" t="s">
        <v>2564</v>
      </c>
      <c r="C13364" s="1007">
        <f t="shared" si="289"/>
        <v>104</v>
      </c>
      <c r="D13364" s="1012"/>
      <c r="H13364" s="1011" t="s">
        <v>1007</v>
      </c>
      <c r="K13364" s="1013"/>
    </row>
    <row r="13365" spans="1:11" s="1011" customFormat="1" ht="15" x14ac:dyDescent="0.25">
      <c r="A13365" s="859">
        <f t="shared" si="288"/>
        <v>13364</v>
      </c>
      <c r="B13365" s="845" t="s">
        <v>2564</v>
      </c>
      <c r="C13365" s="1007">
        <f t="shared" si="289"/>
        <v>104</v>
      </c>
      <c r="D13365" s="1014"/>
      <c r="I13365" s="1011" t="s">
        <v>2179</v>
      </c>
      <c r="K13365" s="1013"/>
    </row>
    <row r="13366" spans="1:11" s="1011" customFormat="1" ht="15" x14ac:dyDescent="0.25">
      <c r="A13366" s="859">
        <f t="shared" si="288"/>
        <v>13365</v>
      </c>
      <c r="B13366" s="845" t="s">
        <v>2564</v>
      </c>
      <c r="C13366" s="1007">
        <f t="shared" si="289"/>
        <v>104</v>
      </c>
      <c r="D13366" s="1014"/>
      <c r="I13366" s="1011" t="str">
        <f>CONCATENATE("&lt;valeur&gt;",VLOOKUP(C13366,'T16 Amort'!A:K,7,0),"&lt;/valeur&gt;")</f>
        <v>&lt;valeur&gt;&lt;/valeur&gt;</v>
      </c>
      <c r="K13366" s="1013"/>
    </row>
    <row r="13367" spans="1:11" s="1011" customFormat="1" ht="15" x14ac:dyDescent="0.25">
      <c r="A13367" s="859">
        <f t="shared" si="288"/>
        <v>13366</v>
      </c>
      <c r="B13367" s="845" t="s">
        <v>2564</v>
      </c>
      <c r="C13367" s="1007">
        <f t="shared" si="289"/>
        <v>104</v>
      </c>
      <c r="D13367" s="1012"/>
      <c r="I13367" s="1011" t="str">
        <f>CONCATENATE("&lt;numeroLigne&gt;",C13367,"&lt;/numeroLigne&gt;")</f>
        <v>&lt;numeroLigne&gt;104&lt;/numeroLigne&gt;</v>
      </c>
      <c r="K13367" s="1013"/>
    </row>
    <row r="13368" spans="1:11" s="1011" customFormat="1" ht="15" x14ac:dyDescent="0.25">
      <c r="A13368" s="859">
        <f t="shared" si="288"/>
        <v>13367</v>
      </c>
      <c r="B13368" s="845" t="s">
        <v>2564</v>
      </c>
      <c r="C13368" s="1007">
        <f t="shared" si="289"/>
        <v>104</v>
      </c>
      <c r="D13368" s="1015"/>
      <c r="H13368" s="1011" t="s">
        <v>1010</v>
      </c>
      <c r="K13368" s="1013"/>
    </row>
    <row r="13369" spans="1:11" s="1011" customFormat="1" ht="15" x14ac:dyDescent="0.25">
      <c r="A13369" s="859">
        <f t="shared" si="288"/>
        <v>13368</v>
      </c>
      <c r="B13369" s="845" t="s">
        <v>2564</v>
      </c>
      <c r="C13369" s="1007">
        <f t="shared" si="289"/>
        <v>104</v>
      </c>
      <c r="D13369" s="1012"/>
      <c r="H13369" s="1011" t="s">
        <v>1007</v>
      </c>
      <c r="K13369" s="1013"/>
    </row>
    <row r="13370" spans="1:11" s="1011" customFormat="1" ht="15" x14ac:dyDescent="0.25">
      <c r="A13370" s="859">
        <f t="shared" si="288"/>
        <v>13369</v>
      </c>
      <c r="B13370" s="845" t="s">
        <v>2564</v>
      </c>
      <c r="C13370" s="1007">
        <f t="shared" si="289"/>
        <v>104</v>
      </c>
      <c r="D13370" s="1012"/>
      <c r="I13370" s="1011" t="s">
        <v>2180</v>
      </c>
      <c r="K13370" s="1013"/>
    </row>
    <row r="13371" spans="1:11" s="1011" customFormat="1" ht="15" x14ac:dyDescent="0.25">
      <c r="A13371" s="859">
        <f t="shared" si="288"/>
        <v>13370</v>
      </c>
      <c r="B13371" s="845" t="s">
        <v>2564</v>
      </c>
      <c r="C13371" s="1007">
        <f t="shared" si="289"/>
        <v>104</v>
      </c>
      <c r="D13371" s="1014"/>
      <c r="I13371" s="1011" t="str">
        <f>CONCATENATE("&lt;valeur&gt;",VLOOKUP(C13371,'T16 Amort'!A:K,8,0),"&lt;/valeur&gt;")</f>
        <v>&lt;valeur&gt;&lt;/valeur&gt;</v>
      </c>
      <c r="K13371" s="1013"/>
    </row>
    <row r="13372" spans="1:11" s="1011" customFormat="1" ht="15" x14ac:dyDescent="0.25">
      <c r="A13372" s="859">
        <f t="shared" si="288"/>
        <v>13371</v>
      </c>
      <c r="B13372" s="845" t="s">
        <v>2564</v>
      </c>
      <c r="C13372" s="1007">
        <f t="shared" si="289"/>
        <v>104</v>
      </c>
      <c r="D13372" s="1014"/>
      <c r="I13372" s="1011" t="str">
        <f>CONCATENATE("&lt;numeroLigne&gt;",C13372,"&lt;/numeroLigne&gt;")</f>
        <v>&lt;numeroLigne&gt;104&lt;/numeroLigne&gt;</v>
      </c>
      <c r="K13372" s="1013"/>
    </row>
    <row r="13373" spans="1:11" s="1011" customFormat="1" ht="15" x14ac:dyDescent="0.25">
      <c r="A13373" s="859">
        <f t="shared" si="288"/>
        <v>13372</v>
      </c>
      <c r="B13373" s="845" t="s">
        <v>2564</v>
      </c>
      <c r="C13373" s="1007">
        <f t="shared" si="289"/>
        <v>104</v>
      </c>
      <c r="D13373" s="1012"/>
      <c r="H13373" s="1011" t="s">
        <v>1010</v>
      </c>
      <c r="K13373" s="1013"/>
    </row>
    <row r="13374" spans="1:11" s="1011" customFormat="1" ht="15" x14ac:dyDescent="0.25">
      <c r="A13374" s="859">
        <f t="shared" si="288"/>
        <v>13373</v>
      </c>
      <c r="B13374" s="845" t="s">
        <v>2564</v>
      </c>
      <c r="C13374" s="1007">
        <f t="shared" si="289"/>
        <v>104</v>
      </c>
      <c r="D13374" s="1015"/>
      <c r="H13374" s="1011" t="s">
        <v>1007</v>
      </c>
      <c r="K13374" s="1013"/>
    </row>
    <row r="13375" spans="1:11" s="1011" customFormat="1" ht="15" x14ac:dyDescent="0.25">
      <c r="A13375" s="859">
        <f t="shared" si="288"/>
        <v>13374</v>
      </c>
      <c r="B13375" s="845" t="s">
        <v>2564</v>
      </c>
      <c r="C13375" s="1007">
        <f t="shared" si="289"/>
        <v>104</v>
      </c>
      <c r="D13375" s="1012"/>
      <c r="I13375" s="1011" t="s">
        <v>2181</v>
      </c>
      <c r="K13375" s="1013"/>
    </row>
    <row r="13376" spans="1:11" s="1011" customFormat="1" ht="15" x14ac:dyDescent="0.25">
      <c r="A13376" s="859">
        <f t="shared" si="288"/>
        <v>13375</v>
      </c>
      <c r="B13376" s="845" t="s">
        <v>2564</v>
      </c>
      <c r="C13376" s="1007">
        <f t="shared" si="289"/>
        <v>104</v>
      </c>
      <c r="D13376" s="1012"/>
      <c r="I13376" s="1011" t="str">
        <f>CONCATENATE("&lt;valeur&gt;",VLOOKUP(C13376,'T16 Amort'!A:K,9,0),"&lt;/valeur&gt;")</f>
        <v>&lt;valeur&gt;&lt;/valeur&gt;</v>
      </c>
      <c r="K13376" s="1013"/>
    </row>
    <row r="13377" spans="1:11" s="1011" customFormat="1" ht="15" x14ac:dyDescent="0.25">
      <c r="A13377" s="859">
        <f t="shared" si="288"/>
        <v>13376</v>
      </c>
      <c r="B13377" s="845" t="s">
        <v>2564</v>
      </c>
      <c r="C13377" s="1007">
        <f t="shared" si="289"/>
        <v>104</v>
      </c>
      <c r="D13377" s="1014"/>
      <c r="I13377" s="1011" t="str">
        <f>CONCATENATE("&lt;numeroLigne&gt;",C13377,"&lt;/numeroLigne&gt;")</f>
        <v>&lt;numeroLigne&gt;104&lt;/numeroLigne&gt;</v>
      </c>
      <c r="K13377" s="1013"/>
    </row>
    <row r="13378" spans="1:11" s="1011" customFormat="1" ht="15" x14ac:dyDescent="0.25">
      <c r="A13378" s="859">
        <f t="shared" si="288"/>
        <v>13377</v>
      </c>
      <c r="B13378" s="845" t="s">
        <v>2564</v>
      </c>
      <c r="C13378" s="1007">
        <f t="shared" si="289"/>
        <v>104</v>
      </c>
      <c r="D13378" s="1014"/>
      <c r="H13378" s="1011" t="s">
        <v>1010</v>
      </c>
      <c r="K13378" s="1013"/>
    </row>
    <row r="13379" spans="1:11" s="1011" customFormat="1" ht="15" x14ac:dyDescent="0.25">
      <c r="A13379" s="859">
        <f t="shared" si="288"/>
        <v>13378</v>
      </c>
      <c r="B13379" s="845" t="s">
        <v>2564</v>
      </c>
      <c r="C13379" s="1007">
        <f t="shared" si="289"/>
        <v>104</v>
      </c>
      <c r="D13379" s="1012"/>
      <c r="H13379" s="1011" t="s">
        <v>1007</v>
      </c>
      <c r="K13379" s="1013"/>
    </row>
    <row r="13380" spans="1:11" s="1011" customFormat="1" ht="15" x14ac:dyDescent="0.25">
      <c r="A13380" s="859">
        <f t="shared" ref="A13380:A13443" si="290">+A13379+1</f>
        <v>13379</v>
      </c>
      <c r="B13380" s="845" t="s">
        <v>2564</v>
      </c>
      <c r="C13380" s="1007">
        <f t="shared" si="289"/>
        <v>104</v>
      </c>
      <c r="D13380" s="1015"/>
      <c r="I13380" s="1011" t="s">
        <v>2182</v>
      </c>
      <c r="K13380" s="1013"/>
    </row>
    <row r="13381" spans="1:11" s="1011" customFormat="1" ht="15" x14ac:dyDescent="0.25">
      <c r="A13381" s="859">
        <f t="shared" si="290"/>
        <v>13380</v>
      </c>
      <c r="B13381" s="845" t="s">
        <v>2564</v>
      </c>
      <c r="C13381" s="1007">
        <f t="shared" si="289"/>
        <v>104</v>
      </c>
      <c r="D13381" s="1012"/>
      <c r="I13381" s="1011" t="str">
        <f>CONCATENATE("&lt;valeur&gt;",VLOOKUP(C13381,'T16 Amort'!A:K,10,0),"&lt;/valeur&gt;")</f>
        <v>&lt;valeur&gt;&lt;/valeur&gt;</v>
      </c>
      <c r="K13381" s="1013"/>
    </row>
    <row r="13382" spans="1:11" s="1011" customFormat="1" ht="15" x14ac:dyDescent="0.25">
      <c r="A13382" s="859">
        <f t="shared" si="290"/>
        <v>13381</v>
      </c>
      <c r="B13382" s="845" t="s">
        <v>2564</v>
      </c>
      <c r="C13382" s="1007">
        <f t="shared" si="289"/>
        <v>104</v>
      </c>
      <c r="D13382" s="1012"/>
      <c r="I13382" s="1011" t="str">
        <f>CONCATENATE("&lt;numeroLigne&gt;",C13382,"&lt;/numeroLigne&gt;")</f>
        <v>&lt;numeroLigne&gt;104&lt;/numeroLigne&gt;</v>
      </c>
      <c r="K13382" s="1013"/>
    </row>
    <row r="13383" spans="1:11" s="1011" customFormat="1" ht="15" x14ac:dyDescent="0.25">
      <c r="A13383" s="859">
        <f t="shared" si="290"/>
        <v>13382</v>
      </c>
      <c r="B13383" s="845" t="s">
        <v>2564</v>
      </c>
      <c r="C13383" s="1007">
        <f t="shared" si="289"/>
        <v>104</v>
      </c>
      <c r="D13383" s="1014"/>
      <c r="H13383" s="1011" t="s">
        <v>1010</v>
      </c>
      <c r="K13383" s="1013"/>
    </row>
    <row r="13384" spans="1:11" s="1011" customFormat="1" ht="15" x14ac:dyDescent="0.25">
      <c r="A13384" s="859">
        <f t="shared" si="290"/>
        <v>13383</v>
      </c>
      <c r="B13384" s="845" t="s">
        <v>2564</v>
      </c>
      <c r="C13384" s="1007">
        <f t="shared" si="289"/>
        <v>104</v>
      </c>
      <c r="D13384" s="1014"/>
      <c r="H13384" s="1011" t="s">
        <v>1007</v>
      </c>
      <c r="K13384" s="1013"/>
    </row>
    <row r="13385" spans="1:11" s="1011" customFormat="1" ht="15" x14ac:dyDescent="0.25">
      <c r="A13385" s="859">
        <f t="shared" si="290"/>
        <v>13384</v>
      </c>
      <c r="B13385" s="845" t="s">
        <v>2564</v>
      </c>
      <c r="C13385" s="1007">
        <f t="shared" si="289"/>
        <v>104</v>
      </c>
      <c r="D13385" s="1012"/>
      <c r="I13385" s="1011" t="s">
        <v>2183</v>
      </c>
      <c r="K13385" s="1013"/>
    </row>
    <row r="13386" spans="1:11" s="1011" customFormat="1" ht="15" x14ac:dyDescent="0.25">
      <c r="A13386" s="859">
        <f t="shared" si="290"/>
        <v>13385</v>
      </c>
      <c r="B13386" s="845" t="s">
        <v>2564</v>
      </c>
      <c r="C13386" s="1007">
        <f t="shared" si="289"/>
        <v>104</v>
      </c>
      <c r="D13386" s="1015"/>
      <c r="I13386" s="1011" t="str">
        <f>CONCATENATE("&lt;valeur&gt;",VLOOKUP(C13386,'T16 Amort'!A:K,11,0),"&lt;/valeur&gt;")</f>
        <v>&lt;valeur&gt;&lt;/valeur&gt;</v>
      </c>
      <c r="K13386" s="1013"/>
    </row>
    <row r="13387" spans="1:11" s="1011" customFormat="1" ht="15" x14ac:dyDescent="0.25">
      <c r="A13387" s="859">
        <f t="shared" si="290"/>
        <v>13386</v>
      </c>
      <c r="B13387" s="845" t="s">
        <v>2564</v>
      </c>
      <c r="C13387" s="1007">
        <f t="shared" si="289"/>
        <v>104</v>
      </c>
      <c r="D13387" s="1012"/>
      <c r="I13387" s="1011" t="str">
        <f>CONCATENATE("&lt;numeroLigne&gt;",C13387,"&lt;/numeroLigne&gt;")</f>
        <v>&lt;numeroLigne&gt;104&lt;/numeroLigne&gt;</v>
      </c>
      <c r="K13387" s="1013"/>
    </row>
    <row r="13388" spans="1:11" s="1011" customFormat="1" ht="15" x14ac:dyDescent="0.25">
      <c r="A13388" s="859">
        <f t="shared" si="290"/>
        <v>13387</v>
      </c>
      <c r="B13388" s="845" t="s">
        <v>2564</v>
      </c>
      <c r="C13388" s="1007">
        <f t="shared" si="289"/>
        <v>104</v>
      </c>
      <c r="D13388" s="1016"/>
      <c r="E13388" s="1017"/>
      <c r="F13388" s="1017"/>
      <c r="G13388" s="1017"/>
      <c r="H13388" s="1017" t="s">
        <v>1010</v>
      </c>
      <c r="I13388" s="1017"/>
      <c r="J13388" s="1017"/>
      <c r="K13388" s="1018"/>
    </row>
    <row r="13389" spans="1:11" s="1011" customFormat="1" ht="15" x14ac:dyDescent="0.25">
      <c r="A13389" s="859">
        <f t="shared" si="290"/>
        <v>13388</v>
      </c>
      <c r="B13389" s="845" t="s">
        <v>2564</v>
      </c>
      <c r="C13389" s="1007">
        <f t="shared" si="289"/>
        <v>105</v>
      </c>
      <c r="D13389" s="1008"/>
      <c r="E13389" s="1009"/>
      <c r="F13389" s="1009"/>
      <c r="G13389" s="1009"/>
      <c r="H13389" s="1009" t="s">
        <v>1007</v>
      </c>
      <c r="I13389" s="1009"/>
      <c r="J13389" s="1009"/>
      <c r="K13389" s="1010"/>
    </row>
    <row r="13390" spans="1:11" s="1011" customFormat="1" ht="15" x14ac:dyDescent="0.25">
      <c r="A13390" s="859">
        <f t="shared" si="290"/>
        <v>13389</v>
      </c>
      <c r="B13390" s="845" t="s">
        <v>2564</v>
      </c>
      <c r="C13390" s="1007">
        <f t="shared" si="289"/>
        <v>105</v>
      </c>
      <c r="D13390" s="1012"/>
      <c r="I13390" s="1011" t="s">
        <v>2174</v>
      </c>
      <c r="K13390" s="1013"/>
    </row>
    <row r="13391" spans="1:11" s="1011" customFormat="1" ht="15" x14ac:dyDescent="0.25">
      <c r="A13391" s="859">
        <f t="shared" si="290"/>
        <v>13390</v>
      </c>
      <c r="B13391" s="845" t="s">
        <v>2564</v>
      </c>
      <c r="C13391" s="1007">
        <f t="shared" si="289"/>
        <v>105</v>
      </c>
      <c r="D13391" s="1014"/>
      <c r="I13391" s="1011" t="str">
        <f>CONCATENATE("&lt;valeur&gt;",VLOOKUP(C13391,'T16 Amort'!A:K,2,0),"&lt;/valeur&gt;")</f>
        <v>&lt;valeur&gt;&lt;/valeur&gt;</v>
      </c>
      <c r="K13391" s="1013"/>
    </row>
    <row r="13392" spans="1:11" s="1011" customFormat="1" ht="15" x14ac:dyDescent="0.25">
      <c r="A13392" s="859">
        <f t="shared" si="290"/>
        <v>13391</v>
      </c>
      <c r="B13392" s="845" t="s">
        <v>2564</v>
      </c>
      <c r="C13392" s="1007">
        <f t="shared" si="289"/>
        <v>105</v>
      </c>
      <c r="D13392" s="1014"/>
      <c r="I13392" s="1011" t="str">
        <f>CONCATENATE("&lt;numeroLigne&gt;",C13392,"&lt;/numeroLigne&gt;")</f>
        <v>&lt;numeroLigne&gt;105&lt;/numeroLigne&gt;</v>
      </c>
      <c r="K13392" s="1013"/>
    </row>
    <row r="13393" spans="1:11" s="1011" customFormat="1" ht="15" x14ac:dyDescent="0.25">
      <c r="A13393" s="859">
        <f t="shared" si="290"/>
        <v>13392</v>
      </c>
      <c r="B13393" s="845" t="s">
        <v>2564</v>
      </c>
      <c r="C13393" s="1007">
        <f t="shared" si="289"/>
        <v>105</v>
      </c>
      <c r="D13393" s="1012"/>
      <c r="H13393" s="1011" t="s">
        <v>1010</v>
      </c>
      <c r="K13393" s="1013"/>
    </row>
    <row r="13394" spans="1:11" s="1011" customFormat="1" ht="15" x14ac:dyDescent="0.25">
      <c r="A13394" s="859">
        <f t="shared" si="290"/>
        <v>13393</v>
      </c>
      <c r="B13394" s="845" t="s">
        <v>2564</v>
      </c>
      <c r="C13394" s="1007">
        <f t="shared" si="289"/>
        <v>105</v>
      </c>
      <c r="D13394" s="1015"/>
      <c r="H13394" s="1011" t="s">
        <v>1007</v>
      </c>
      <c r="K13394" s="1013"/>
    </row>
    <row r="13395" spans="1:11" s="1011" customFormat="1" ht="15" x14ac:dyDescent="0.25">
      <c r="A13395" s="859">
        <f t="shared" si="290"/>
        <v>13394</v>
      </c>
      <c r="B13395" s="845" t="s">
        <v>2564</v>
      </c>
      <c r="C13395" s="1007">
        <f t="shared" si="289"/>
        <v>105</v>
      </c>
      <c r="D13395" s="1012"/>
      <c r="I13395" s="1011" t="s">
        <v>2175</v>
      </c>
      <c r="K13395" s="1013"/>
    </row>
    <row r="13396" spans="1:11" s="1011" customFormat="1" ht="15" x14ac:dyDescent="0.25">
      <c r="A13396" s="859">
        <f t="shared" si="290"/>
        <v>13395</v>
      </c>
      <c r="B13396" s="845" t="s">
        <v>2564</v>
      </c>
      <c r="C13396" s="1007">
        <f t="shared" si="289"/>
        <v>105</v>
      </c>
      <c r="D13396" s="1012"/>
      <c r="I13396" s="1011" t="str">
        <f>CONCATENATE("&lt;valeur&gt;",VLOOKUP(C13396,'T16 Amort'!A:K,3,0),"&lt;/valeur&gt;")</f>
        <v>&lt;valeur&gt;&lt;/valeur&gt;</v>
      </c>
      <c r="K13396" s="1013"/>
    </row>
    <row r="13397" spans="1:11" s="1011" customFormat="1" ht="15" x14ac:dyDescent="0.25">
      <c r="A13397" s="859">
        <f t="shared" si="290"/>
        <v>13396</v>
      </c>
      <c r="B13397" s="845" t="s">
        <v>2564</v>
      </c>
      <c r="C13397" s="1007">
        <f t="shared" si="289"/>
        <v>105</v>
      </c>
      <c r="D13397" s="1014"/>
      <c r="I13397" s="1011" t="str">
        <f>CONCATENATE("&lt;numeroLigne&gt;",C13397,"&lt;/numeroLigne&gt;")</f>
        <v>&lt;numeroLigne&gt;105&lt;/numeroLigne&gt;</v>
      </c>
      <c r="K13397" s="1013"/>
    </row>
    <row r="13398" spans="1:11" s="1011" customFormat="1" ht="15" x14ac:dyDescent="0.25">
      <c r="A13398" s="859">
        <f t="shared" si="290"/>
        <v>13397</v>
      </c>
      <c r="B13398" s="845" t="s">
        <v>2564</v>
      </c>
      <c r="C13398" s="1007">
        <f t="shared" si="289"/>
        <v>105</v>
      </c>
      <c r="D13398" s="1014"/>
      <c r="H13398" s="1011" t="s">
        <v>1010</v>
      </c>
      <c r="K13398" s="1013"/>
    </row>
    <row r="13399" spans="1:11" s="1011" customFormat="1" ht="15" x14ac:dyDescent="0.25">
      <c r="A13399" s="859">
        <f t="shared" si="290"/>
        <v>13398</v>
      </c>
      <c r="B13399" s="845" t="s">
        <v>2564</v>
      </c>
      <c r="C13399" s="1007">
        <f t="shared" si="289"/>
        <v>105</v>
      </c>
      <c r="D13399" s="1012"/>
      <c r="H13399" s="1011" t="s">
        <v>1007</v>
      </c>
      <c r="K13399" s="1013"/>
    </row>
    <row r="13400" spans="1:11" s="1011" customFormat="1" ht="15" x14ac:dyDescent="0.25">
      <c r="A13400" s="859">
        <f t="shared" si="290"/>
        <v>13399</v>
      </c>
      <c r="B13400" s="845" t="s">
        <v>2564</v>
      </c>
      <c r="C13400" s="1007">
        <f t="shared" si="289"/>
        <v>105</v>
      </c>
      <c r="D13400" s="1015"/>
      <c r="I13400" s="1011" t="s">
        <v>2176</v>
      </c>
      <c r="K13400" s="1013"/>
    </row>
    <row r="13401" spans="1:11" s="1011" customFormat="1" ht="15" x14ac:dyDescent="0.25">
      <c r="A13401" s="859">
        <f t="shared" si="290"/>
        <v>13400</v>
      </c>
      <c r="B13401" s="845" t="s">
        <v>2564</v>
      </c>
      <c r="C13401" s="1007">
        <f t="shared" si="289"/>
        <v>105</v>
      </c>
      <c r="D13401" s="1012"/>
      <c r="I13401" s="1011" t="str">
        <f>CONCATENATE("&lt;valeur&gt;",VLOOKUP(C13401,'T16 Amort'!A:K,4,0),"&lt;/valeur&gt;")</f>
        <v>&lt;valeur&gt;&lt;/valeur&gt;</v>
      </c>
      <c r="K13401" s="1013"/>
    </row>
    <row r="13402" spans="1:11" s="1011" customFormat="1" ht="15" x14ac:dyDescent="0.25">
      <c r="A13402" s="859">
        <f t="shared" si="290"/>
        <v>13401</v>
      </c>
      <c r="B13402" s="845" t="s">
        <v>2564</v>
      </c>
      <c r="C13402" s="1007">
        <f t="shared" si="289"/>
        <v>105</v>
      </c>
      <c r="D13402" s="1012"/>
      <c r="I13402" s="1011" t="str">
        <f>CONCATENATE("&lt;numeroLigne&gt;",C13402,"&lt;/numeroLigne&gt;")</f>
        <v>&lt;numeroLigne&gt;105&lt;/numeroLigne&gt;</v>
      </c>
      <c r="K13402" s="1013"/>
    </row>
    <row r="13403" spans="1:11" s="1011" customFormat="1" ht="15" x14ac:dyDescent="0.25">
      <c r="A13403" s="859">
        <f t="shared" si="290"/>
        <v>13402</v>
      </c>
      <c r="B13403" s="845" t="s">
        <v>2564</v>
      </c>
      <c r="C13403" s="1007">
        <f t="shared" si="289"/>
        <v>105</v>
      </c>
      <c r="D13403" s="1014"/>
      <c r="H13403" s="1011" t="s">
        <v>1010</v>
      </c>
      <c r="K13403" s="1013"/>
    </row>
    <row r="13404" spans="1:11" s="1011" customFormat="1" ht="15" x14ac:dyDescent="0.25">
      <c r="A13404" s="859">
        <f t="shared" si="290"/>
        <v>13403</v>
      </c>
      <c r="B13404" s="845" t="s">
        <v>2564</v>
      </c>
      <c r="C13404" s="1007">
        <f t="shared" si="289"/>
        <v>105</v>
      </c>
      <c r="D13404" s="1014"/>
      <c r="H13404" s="1011" t="s">
        <v>1007</v>
      </c>
      <c r="K13404" s="1013"/>
    </row>
    <row r="13405" spans="1:11" s="1011" customFormat="1" ht="15" x14ac:dyDescent="0.25">
      <c r="A13405" s="859">
        <f t="shared" si="290"/>
        <v>13404</v>
      </c>
      <c r="B13405" s="845" t="s">
        <v>2564</v>
      </c>
      <c r="C13405" s="1007">
        <f t="shared" si="289"/>
        <v>105</v>
      </c>
      <c r="D13405" s="1012"/>
      <c r="I13405" s="1011" t="s">
        <v>2177</v>
      </c>
      <c r="K13405" s="1013"/>
    </row>
    <row r="13406" spans="1:11" s="1011" customFormat="1" ht="15" x14ac:dyDescent="0.25">
      <c r="A13406" s="859">
        <f t="shared" si="290"/>
        <v>13405</v>
      </c>
      <c r="B13406" s="845" t="s">
        <v>2564</v>
      </c>
      <c r="C13406" s="1007">
        <f t="shared" si="289"/>
        <v>105</v>
      </c>
      <c r="D13406" s="1015"/>
      <c r="I13406" s="1011" t="str">
        <f>CONCATENATE("&lt;valeur&gt;",VLOOKUP(C13406,'T16 Amort'!A:K,5,0),"&lt;/valeur&gt;")</f>
        <v>&lt;valeur&gt;&lt;/valeur&gt;</v>
      </c>
      <c r="K13406" s="1013"/>
    </row>
    <row r="13407" spans="1:11" s="1011" customFormat="1" ht="15" x14ac:dyDescent="0.25">
      <c r="A13407" s="859">
        <f t="shared" si="290"/>
        <v>13406</v>
      </c>
      <c r="B13407" s="845" t="s">
        <v>2564</v>
      </c>
      <c r="C13407" s="1007">
        <f t="shared" si="289"/>
        <v>105</v>
      </c>
      <c r="D13407" s="1012"/>
      <c r="I13407" s="1011" t="str">
        <f>CONCATENATE("&lt;numeroLigne&gt;",C13407,"&lt;/numeroLigne&gt;")</f>
        <v>&lt;numeroLigne&gt;105&lt;/numeroLigne&gt;</v>
      </c>
      <c r="K13407" s="1013"/>
    </row>
    <row r="13408" spans="1:11" s="1011" customFormat="1" ht="15" x14ac:dyDescent="0.25">
      <c r="A13408" s="859">
        <f t="shared" si="290"/>
        <v>13407</v>
      </c>
      <c r="B13408" s="845" t="s">
        <v>2564</v>
      </c>
      <c r="C13408" s="1007">
        <f t="shared" si="289"/>
        <v>105</v>
      </c>
      <c r="D13408" s="1012"/>
      <c r="H13408" s="1011" t="s">
        <v>1010</v>
      </c>
      <c r="K13408" s="1013"/>
    </row>
    <row r="13409" spans="1:11" s="1011" customFormat="1" ht="15" x14ac:dyDescent="0.25">
      <c r="A13409" s="859">
        <f t="shared" si="290"/>
        <v>13408</v>
      </c>
      <c r="B13409" s="845" t="s">
        <v>2564</v>
      </c>
      <c r="C13409" s="1007">
        <f t="shared" si="289"/>
        <v>105</v>
      </c>
      <c r="D13409" s="1014"/>
      <c r="H13409" s="1011" t="s">
        <v>1007</v>
      </c>
      <c r="K13409" s="1013"/>
    </row>
    <row r="13410" spans="1:11" s="1011" customFormat="1" ht="15" x14ac:dyDescent="0.25">
      <c r="A13410" s="859">
        <f t="shared" si="290"/>
        <v>13409</v>
      </c>
      <c r="B13410" s="845" t="s">
        <v>2564</v>
      </c>
      <c r="C13410" s="1007">
        <f t="shared" si="289"/>
        <v>105</v>
      </c>
      <c r="D13410" s="1014"/>
      <c r="I13410" s="1011" t="s">
        <v>2178</v>
      </c>
      <c r="K13410" s="1013"/>
    </row>
    <row r="13411" spans="1:11" s="1011" customFormat="1" ht="15" x14ac:dyDescent="0.25">
      <c r="A13411" s="859">
        <f t="shared" si="290"/>
        <v>13410</v>
      </c>
      <c r="B13411" s="845" t="s">
        <v>2564</v>
      </c>
      <c r="C13411" s="1007">
        <f t="shared" si="289"/>
        <v>105</v>
      </c>
      <c r="D13411" s="1012"/>
      <c r="I13411" s="1011" t="str">
        <f>CONCATENATE("&lt;valeur&gt;",VLOOKUP(C13411,'T16 Amort'!A:K,6,0),"&lt;/valeur&gt;")</f>
        <v>&lt;valeur&gt;&lt;/valeur&gt;</v>
      </c>
      <c r="K13411" s="1013"/>
    </row>
    <row r="13412" spans="1:11" s="1011" customFormat="1" ht="15" x14ac:dyDescent="0.25">
      <c r="A13412" s="859">
        <f t="shared" si="290"/>
        <v>13411</v>
      </c>
      <c r="B13412" s="845" t="s">
        <v>2564</v>
      </c>
      <c r="C13412" s="1007">
        <f t="shared" si="289"/>
        <v>105</v>
      </c>
      <c r="D13412" s="1015"/>
      <c r="I13412" s="1011" t="str">
        <f>CONCATENATE("&lt;numeroLigne&gt;",C13412,"&lt;/numeroLigne&gt;")</f>
        <v>&lt;numeroLigne&gt;105&lt;/numeroLigne&gt;</v>
      </c>
      <c r="K13412" s="1013"/>
    </row>
    <row r="13413" spans="1:11" s="1011" customFormat="1" ht="15" x14ac:dyDescent="0.25">
      <c r="A13413" s="859">
        <f t="shared" si="290"/>
        <v>13412</v>
      </c>
      <c r="B13413" s="845" t="s">
        <v>2564</v>
      </c>
      <c r="C13413" s="1007">
        <f t="shared" si="289"/>
        <v>105</v>
      </c>
      <c r="D13413" s="1012"/>
      <c r="H13413" s="1011" t="s">
        <v>1010</v>
      </c>
      <c r="K13413" s="1013"/>
    </row>
    <row r="13414" spans="1:11" s="1011" customFormat="1" ht="15" x14ac:dyDescent="0.25">
      <c r="A13414" s="859">
        <f t="shared" si="290"/>
        <v>13413</v>
      </c>
      <c r="B13414" s="845" t="s">
        <v>2564</v>
      </c>
      <c r="C13414" s="1007">
        <f t="shared" si="289"/>
        <v>105</v>
      </c>
      <c r="D13414" s="1012"/>
      <c r="H13414" s="1011" t="s">
        <v>1007</v>
      </c>
      <c r="K13414" s="1013"/>
    </row>
    <row r="13415" spans="1:11" s="1011" customFormat="1" ht="15" x14ac:dyDescent="0.25">
      <c r="A13415" s="859">
        <f t="shared" si="290"/>
        <v>13414</v>
      </c>
      <c r="B13415" s="845" t="s">
        <v>2564</v>
      </c>
      <c r="C13415" s="1007">
        <f t="shared" si="289"/>
        <v>105</v>
      </c>
      <c r="D13415" s="1014"/>
      <c r="I13415" s="1011" t="s">
        <v>2179</v>
      </c>
      <c r="K13415" s="1013"/>
    </row>
    <row r="13416" spans="1:11" s="1011" customFormat="1" ht="15" x14ac:dyDescent="0.25">
      <c r="A13416" s="859">
        <f t="shared" si="290"/>
        <v>13415</v>
      </c>
      <c r="B13416" s="845" t="s">
        <v>2564</v>
      </c>
      <c r="C13416" s="1007">
        <f t="shared" si="289"/>
        <v>105</v>
      </c>
      <c r="D13416" s="1014"/>
      <c r="I13416" s="1011" t="str">
        <f>CONCATENATE("&lt;valeur&gt;",VLOOKUP(C13416,'T16 Amort'!A:K,7,0),"&lt;/valeur&gt;")</f>
        <v>&lt;valeur&gt;&lt;/valeur&gt;</v>
      </c>
      <c r="K13416" s="1013"/>
    </row>
    <row r="13417" spans="1:11" s="1011" customFormat="1" ht="15" x14ac:dyDescent="0.25">
      <c r="A13417" s="859">
        <f t="shared" si="290"/>
        <v>13416</v>
      </c>
      <c r="B13417" s="845" t="s">
        <v>2564</v>
      </c>
      <c r="C13417" s="1007">
        <f t="shared" si="289"/>
        <v>105</v>
      </c>
      <c r="D13417" s="1012"/>
      <c r="I13417" s="1011" t="str">
        <f>CONCATENATE("&lt;numeroLigne&gt;",C13417,"&lt;/numeroLigne&gt;")</f>
        <v>&lt;numeroLigne&gt;105&lt;/numeroLigne&gt;</v>
      </c>
      <c r="K13417" s="1013"/>
    </row>
    <row r="13418" spans="1:11" s="1011" customFormat="1" ht="15" x14ac:dyDescent="0.25">
      <c r="A13418" s="859">
        <f t="shared" si="290"/>
        <v>13417</v>
      </c>
      <c r="B13418" s="845" t="s">
        <v>2564</v>
      </c>
      <c r="C13418" s="1007">
        <f t="shared" si="289"/>
        <v>105</v>
      </c>
      <c r="D13418" s="1015"/>
      <c r="H13418" s="1011" t="s">
        <v>1010</v>
      </c>
      <c r="K13418" s="1013"/>
    </row>
    <row r="13419" spans="1:11" s="1011" customFormat="1" ht="15" x14ac:dyDescent="0.25">
      <c r="A13419" s="859">
        <f t="shared" si="290"/>
        <v>13418</v>
      </c>
      <c r="B13419" s="845" t="s">
        <v>2564</v>
      </c>
      <c r="C13419" s="1007">
        <f t="shared" si="289"/>
        <v>105</v>
      </c>
      <c r="D13419" s="1012"/>
      <c r="H13419" s="1011" t="s">
        <v>1007</v>
      </c>
      <c r="K13419" s="1013"/>
    </row>
    <row r="13420" spans="1:11" s="1011" customFormat="1" ht="15" x14ac:dyDescent="0.25">
      <c r="A13420" s="859">
        <f t="shared" si="290"/>
        <v>13419</v>
      </c>
      <c r="B13420" s="845" t="s">
        <v>2564</v>
      </c>
      <c r="C13420" s="1007">
        <f t="shared" si="289"/>
        <v>105</v>
      </c>
      <c r="D13420" s="1012"/>
      <c r="I13420" s="1011" t="s">
        <v>2180</v>
      </c>
      <c r="K13420" s="1013"/>
    </row>
    <row r="13421" spans="1:11" s="1011" customFormat="1" ht="15" x14ac:dyDescent="0.25">
      <c r="A13421" s="859">
        <f t="shared" si="290"/>
        <v>13420</v>
      </c>
      <c r="B13421" s="845" t="s">
        <v>2564</v>
      </c>
      <c r="C13421" s="1007">
        <f t="shared" si="289"/>
        <v>105</v>
      </c>
      <c r="D13421" s="1014"/>
      <c r="I13421" s="1011" t="str">
        <f>CONCATENATE("&lt;valeur&gt;",VLOOKUP(C13421,'T16 Amort'!A:K,8,0),"&lt;/valeur&gt;")</f>
        <v>&lt;valeur&gt;&lt;/valeur&gt;</v>
      </c>
      <c r="K13421" s="1013"/>
    </row>
    <row r="13422" spans="1:11" s="1011" customFormat="1" ht="15" x14ac:dyDescent="0.25">
      <c r="A13422" s="859">
        <f t="shared" si="290"/>
        <v>13421</v>
      </c>
      <c r="B13422" s="845" t="s">
        <v>2564</v>
      </c>
      <c r="C13422" s="1007">
        <f t="shared" si="289"/>
        <v>105</v>
      </c>
      <c r="D13422" s="1014"/>
      <c r="I13422" s="1011" t="str">
        <f>CONCATENATE("&lt;numeroLigne&gt;",C13422,"&lt;/numeroLigne&gt;")</f>
        <v>&lt;numeroLigne&gt;105&lt;/numeroLigne&gt;</v>
      </c>
      <c r="K13422" s="1013"/>
    </row>
    <row r="13423" spans="1:11" s="1011" customFormat="1" ht="15" x14ac:dyDescent="0.25">
      <c r="A13423" s="859">
        <f t="shared" si="290"/>
        <v>13422</v>
      </c>
      <c r="B13423" s="845" t="s">
        <v>2564</v>
      </c>
      <c r="C13423" s="1007">
        <f t="shared" ref="C13423:C13486" si="291">C13373+1</f>
        <v>105</v>
      </c>
      <c r="D13423" s="1012"/>
      <c r="H13423" s="1011" t="s">
        <v>1010</v>
      </c>
      <c r="K13423" s="1013"/>
    </row>
    <row r="13424" spans="1:11" s="1011" customFormat="1" ht="15" x14ac:dyDescent="0.25">
      <c r="A13424" s="859">
        <f t="shared" si="290"/>
        <v>13423</v>
      </c>
      <c r="B13424" s="845" t="s">
        <v>2564</v>
      </c>
      <c r="C13424" s="1007">
        <f t="shared" si="291"/>
        <v>105</v>
      </c>
      <c r="D13424" s="1015"/>
      <c r="H13424" s="1011" t="s">
        <v>1007</v>
      </c>
      <c r="K13424" s="1013"/>
    </row>
    <row r="13425" spans="1:11" s="1011" customFormat="1" ht="15" x14ac:dyDescent="0.25">
      <c r="A13425" s="859">
        <f t="shared" si="290"/>
        <v>13424</v>
      </c>
      <c r="B13425" s="845" t="s">
        <v>2564</v>
      </c>
      <c r="C13425" s="1007">
        <f t="shared" si="291"/>
        <v>105</v>
      </c>
      <c r="D13425" s="1012"/>
      <c r="I13425" s="1011" t="s">
        <v>2181</v>
      </c>
      <c r="K13425" s="1013"/>
    </row>
    <row r="13426" spans="1:11" s="1011" customFormat="1" ht="15" x14ac:dyDescent="0.25">
      <c r="A13426" s="859">
        <f t="shared" si="290"/>
        <v>13425</v>
      </c>
      <c r="B13426" s="845" t="s">
        <v>2564</v>
      </c>
      <c r="C13426" s="1007">
        <f t="shared" si="291"/>
        <v>105</v>
      </c>
      <c r="D13426" s="1012"/>
      <c r="I13426" s="1011" t="str">
        <f>CONCATENATE("&lt;valeur&gt;",VLOOKUP(C13426,'T16 Amort'!A:K,9,0),"&lt;/valeur&gt;")</f>
        <v>&lt;valeur&gt;&lt;/valeur&gt;</v>
      </c>
      <c r="K13426" s="1013"/>
    </row>
    <row r="13427" spans="1:11" s="1011" customFormat="1" ht="15" x14ac:dyDescent="0.25">
      <c r="A13427" s="859">
        <f t="shared" si="290"/>
        <v>13426</v>
      </c>
      <c r="B13427" s="845" t="s">
        <v>2564</v>
      </c>
      <c r="C13427" s="1007">
        <f t="shared" si="291"/>
        <v>105</v>
      </c>
      <c r="D13427" s="1014"/>
      <c r="I13427" s="1011" t="str">
        <f>CONCATENATE("&lt;numeroLigne&gt;",C13427,"&lt;/numeroLigne&gt;")</f>
        <v>&lt;numeroLigne&gt;105&lt;/numeroLigne&gt;</v>
      </c>
      <c r="K13427" s="1013"/>
    </row>
    <row r="13428" spans="1:11" s="1011" customFormat="1" ht="15" x14ac:dyDescent="0.25">
      <c r="A13428" s="859">
        <f t="shared" si="290"/>
        <v>13427</v>
      </c>
      <c r="B13428" s="845" t="s">
        <v>2564</v>
      </c>
      <c r="C13428" s="1007">
        <f t="shared" si="291"/>
        <v>105</v>
      </c>
      <c r="D13428" s="1014"/>
      <c r="H13428" s="1011" t="s">
        <v>1010</v>
      </c>
      <c r="K13428" s="1013"/>
    </row>
    <row r="13429" spans="1:11" s="1011" customFormat="1" ht="15" x14ac:dyDescent="0.25">
      <c r="A13429" s="859">
        <f t="shared" si="290"/>
        <v>13428</v>
      </c>
      <c r="B13429" s="845" t="s">
        <v>2564</v>
      </c>
      <c r="C13429" s="1007">
        <f t="shared" si="291"/>
        <v>105</v>
      </c>
      <c r="D13429" s="1012"/>
      <c r="H13429" s="1011" t="s">
        <v>1007</v>
      </c>
      <c r="K13429" s="1013"/>
    </row>
    <row r="13430" spans="1:11" s="1011" customFormat="1" ht="15" x14ac:dyDescent="0.25">
      <c r="A13430" s="859">
        <f t="shared" si="290"/>
        <v>13429</v>
      </c>
      <c r="B13430" s="845" t="s">
        <v>2564</v>
      </c>
      <c r="C13430" s="1007">
        <f t="shared" si="291"/>
        <v>105</v>
      </c>
      <c r="D13430" s="1015"/>
      <c r="I13430" s="1011" t="s">
        <v>2182</v>
      </c>
      <c r="K13430" s="1013"/>
    </row>
    <row r="13431" spans="1:11" s="1011" customFormat="1" ht="15" x14ac:dyDescent="0.25">
      <c r="A13431" s="859">
        <f t="shared" si="290"/>
        <v>13430</v>
      </c>
      <c r="B13431" s="845" t="s">
        <v>2564</v>
      </c>
      <c r="C13431" s="1007">
        <f t="shared" si="291"/>
        <v>105</v>
      </c>
      <c r="D13431" s="1012"/>
      <c r="I13431" s="1011" t="str">
        <f>CONCATENATE("&lt;valeur&gt;",VLOOKUP(C13431,'T16 Amort'!A:K,10,0),"&lt;/valeur&gt;")</f>
        <v>&lt;valeur&gt;&lt;/valeur&gt;</v>
      </c>
      <c r="K13431" s="1013"/>
    </row>
    <row r="13432" spans="1:11" s="1011" customFormat="1" ht="15" x14ac:dyDescent="0.25">
      <c r="A13432" s="859">
        <f t="shared" si="290"/>
        <v>13431</v>
      </c>
      <c r="B13432" s="845" t="s">
        <v>2564</v>
      </c>
      <c r="C13432" s="1007">
        <f t="shared" si="291"/>
        <v>105</v>
      </c>
      <c r="D13432" s="1012"/>
      <c r="I13432" s="1011" t="str">
        <f>CONCATENATE("&lt;numeroLigne&gt;",C13432,"&lt;/numeroLigne&gt;")</f>
        <v>&lt;numeroLigne&gt;105&lt;/numeroLigne&gt;</v>
      </c>
      <c r="K13432" s="1013"/>
    </row>
    <row r="13433" spans="1:11" s="1011" customFormat="1" ht="15" x14ac:dyDescent="0.25">
      <c r="A13433" s="859">
        <f t="shared" si="290"/>
        <v>13432</v>
      </c>
      <c r="B13433" s="845" t="s">
        <v>2564</v>
      </c>
      <c r="C13433" s="1007">
        <f t="shared" si="291"/>
        <v>105</v>
      </c>
      <c r="D13433" s="1014"/>
      <c r="H13433" s="1011" t="s">
        <v>1010</v>
      </c>
      <c r="K13433" s="1013"/>
    </row>
    <row r="13434" spans="1:11" s="1011" customFormat="1" ht="15" x14ac:dyDescent="0.25">
      <c r="A13434" s="859">
        <f t="shared" si="290"/>
        <v>13433</v>
      </c>
      <c r="B13434" s="845" t="s">
        <v>2564</v>
      </c>
      <c r="C13434" s="1007">
        <f t="shared" si="291"/>
        <v>105</v>
      </c>
      <c r="D13434" s="1014"/>
      <c r="H13434" s="1011" t="s">
        <v>1007</v>
      </c>
      <c r="K13434" s="1013"/>
    </row>
    <row r="13435" spans="1:11" s="1011" customFormat="1" ht="15" x14ac:dyDescent="0.25">
      <c r="A13435" s="859">
        <f t="shared" si="290"/>
        <v>13434</v>
      </c>
      <c r="B13435" s="845" t="s">
        <v>2564</v>
      </c>
      <c r="C13435" s="1007">
        <f t="shared" si="291"/>
        <v>105</v>
      </c>
      <c r="D13435" s="1012"/>
      <c r="I13435" s="1011" t="s">
        <v>2183</v>
      </c>
      <c r="K13435" s="1013"/>
    </row>
    <row r="13436" spans="1:11" s="1011" customFormat="1" ht="15" x14ac:dyDescent="0.25">
      <c r="A13436" s="859">
        <f t="shared" si="290"/>
        <v>13435</v>
      </c>
      <c r="B13436" s="845" t="s">
        <v>2564</v>
      </c>
      <c r="C13436" s="1007">
        <f t="shared" si="291"/>
        <v>105</v>
      </c>
      <c r="D13436" s="1015"/>
      <c r="I13436" s="1011" t="str">
        <f>CONCATENATE("&lt;valeur&gt;",VLOOKUP(C13436,'T16 Amort'!A:K,11,0),"&lt;/valeur&gt;")</f>
        <v>&lt;valeur&gt;&lt;/valeur&gt;</v>
      </c>
      <c r="K13436" s="1013"/>
    </row>
    <row r="13437" spans="1:11" s="1011" customFormat="1" ht="15" x14ac:dyDescent="0.25">
      <c r="A13437" s="859">
        <f t="shared" si="290"/>
        <v>13436</v>
      </c>
      <c r="B13437" s="845" t="s">
        <v>2564</v>
      </c>
      <c r="C13437" s="1007">
        <f t="shared" si="291"/>
        <v>105</v>
      </c>
      <c r="D13437" s="1012"/>
      <c r="I13437" s="1011" t="str">
        <f>CONCATENATE("&lt;numeroLigne&gt;",C13437,"&lt;/numeroLigne&gt;")</f>
        <v>&lt;numeroLigne&gt;105&lt;/numeroLigne&gt;</v>
      </c>
      <c r="K13437" s="1013"/>
    </row>
    <row r="13438" spans="1:11" s="1011" customFormat="1" ht="15" x14ac:dyDescent="0.25">
      <c r="A13438" s="859">
        <f t="shared" si="290"/>
        <v>13437</v>
      </c>
      <c r="B13438" s="845" t="s">
        <v>2564</v>
      </c>
      <c r="C13438" s="1007">
        <f t="shared" si="291"/>
        <v>105</v>
      </c>
      <c r="D13438" s="1016"/>
      <c r="E13438" s="1017"/>
      <c r="F13438" s="1017"/>
      <c r="G13438" s="1017"/>
      <c r="H13438" s="1017" t="s">
        <v>1010</v>
      </c>
      <c r="I13438" s="1017"/>
      <c r="J13438" s="1017"/>
      <c r="K13438" s="1018"/>
    </row>
    <row r="13439" spans="1:11" s="1011" customFormat="1" ht="15" x14ac:dyDescent="0.25">
      <c r="A13439" s="859">
        <f t="shared" si="290"/>
        <v>13438</v>
      </c>
      <c r="B13439" s="845" t="s">
        <v>2564</v>
      </c>
      <c r="C13439" s="1007">
        <f t="shared" si="291"/>
        <v>106</v>
      </c>
      <c r="D13439" s="1008"/>
      <c r="E13439" s="1009"/>
      <c r="F13439" s="1009"/>
      <c r="G13439" s="1009"/>
      <c r="H13439" s="1009" t="s">
        <v>1007</v>
      </c>
      <c r="I13439" s="1009"/>
      <c r="J13439" s="1009"/>
      <c r="K13439" s="1010"/>
    </row>
    <row r="13440" spans="1:11" s="1011" customFormat="1" ht="15" x14ac:dyDescent="0.25">
      <c r="A13440" s="859">
        <f t="shared" si="290"/>
        <v>13439</v>
      </c>
      <c r="B13440" s="845" t="s">
        <v>2564</v>
      </c>
      <c r="C13440" s="1007">
        <f t="shared" si="291"/>
        <v>106</v>
      </c>
      <c r="D13440" s="1012"/>
      <c r="I13440" s="1011" t="s">
        <v>2174</v>
      </c>
      <c r="K13440" s="1013"/>
    </row>
    <row r="13441" spans="1:11" s="1011" customFormat="1" ht="15" x14ac:dyDescent="0.25">
      <c r="A13441" s="859">
        <f t="shared" si="290"/>
        <v>13440</v>
      </c>
      <c r="B13441" s="845" t="s">
        <v>2564</v>
      </c>
      <c r="C13441" s="1007">
        <f t="shared" si="291"/>
        <v>106</v>
      </c>
      <c r="D13441" s="1014"/>
      <c r="I13441" s="1011" t="str">
        <f>CONCATENATE("&lt;valeur&gt;",VLOOKUP(C13441,'T16 Amort'!A:K,2,0),"&lt;/valeur&gt;")</f>
        <v>&lt;valeur&gt;&lt;/valeur&gt;</v>
      </c>
      <c r="K13441" s="1013"/>
    </row>
    <row r="13442" spans="1:11" s="1011" customFormat="1" ht="15" x14ac:dyDescent="0.25">
      <c r="A13442" s="859">
        <f t="shared" si="290"/>
        <v>13441</v>
      </c>
      <c r="B13442" s="845" t="s">
        <v>2564</v>
      </c>
      <c r="C13442" s="1007">
        <f t="shared" si="291"/>
        <v>106</v>
      </c>
      <c r="D13442" s="1014"/>
      <c r="I13442" s="1011" t="str">
        <f>CONCATENATE("&lt;numeroLigne&gt;",C13442,"&lt;/numeroLigne&gt;")</f>
        <v>&lt;numeroLigne&gt;106&lt;/numeroLigne&gt;</v>
      </c>
      <c r="K13442" s="1013"/>
    </row>
    <row r="13443" spans="1:11" s="1011" customFormat="1" ht="15" x14ac:dyDescent="0.25">
      <c r="A13443" s="859">
        <f t="shared" si="290"/>
        <v>13442</v>
      </c>
      <c r="B13443" s="845" t="s">
        <v>2564</v>
      </c>
      <c r="C13443" s="1007">
        <f t="shared" si="291"/>
        <v>106</v>
      </c>
      <c r="D13443" s="1012"/>
      <c r="H13443" s="1011" t="s">
        <v>1010</v>
      </c>
      <c r="K13443" s="1013"/>
    </row>
    <row r="13444" spans="1:11" s="1011" customFormat="1" ht="15" x14ac:dyDescent="0.25">
      <c r="A13444" s="859">
        <f t="shared" ref="A13444:A13507" si="292">+A13443+1</f>
        <v>13443</v>
      </c>
      <c r="B13444" s="845" t="s">
        <v>2564</v>
      </c>
      <c r="C13444" s="1007">
        <f t="shared" si="291"/>
        <v>106</v>
      </c>
      <c r="D13444" s="1015"/>
      <c r="H13444" s="1011" t="s">
        <v>1007</v>
      </c>
      <c r="K13444" s="1013"/>
    </row>
    <row r="13445" spans="1:11" s="1011" customFormat="1" ht="15" x14ac:dyDescent="0.25">
      <c r="A13445" s="859">
        <f t="shared" si="292"/>
        <v>13444</v>
      </c>
      <c r="B13445" s="845" t="s">
        <v>2564</v>
      </c>
      <c r="C13445" s="1007">
        <f t="shared" si="291"/>
        <v>106</v>
      </c>
      <c r="D13445" s="1012"/>
      <c r="I13445" s="1011" t="s">
        <v>2175</v>
      </c>
      <c r="K13445" s="1013"/>
    </row>
    <row r="13446" spans="1:11" s="1011" customFormat="1" ht="15" x14ac:dyDescent="0.25">
      <c r="A13446" s="859">
        <f t="shared" si="292"/>
        <v>13445</v>
      </c>
      <c r="B13446" s="845" t="s">
        <v>2564</v>
      </c>
      <c r="C13446" s="1007">
        <f t="shared" si="291"/>
        <v>106</v>
      </c>
      <c r="D13446" s="1012"/>
      <c r="I13446" s="1011" t="str">
        <f>CONCATENATE("&lt;valeur&gt;",VLOOKUP(C13446,'T16 Amort'!A:K,3,0),"&lt;/valeur&gt;")</f>
        <v>&lt;valeur&gt;&lt;/valeur&gt;</v>
      </c>
      <c r="K13446" s="1013"/>
    </row>
    <row r="13447" spans="1:11" s="1011" customFormat="1" ht="15" x14ac:dyDescent="0.25">
      <c r="A13447" s="859">
        <f t="shared" si="292"/>
        <v>13446</v>
      </c>
      <c r="B13447" s="845" t="s">
        <v>2564</v>
      </c>
      <c r="C13447" s="1007">
        <f t="shared" si="291"/>
        <v>106</v>
      </c>
      <c r="D13447" s="1014"/>
      <c r="I13447" s="1011" t="str">
        <f>CONCATENATE("&lt;numeroLigne&gt;",C13447,"&lt;/numeroLigne&gt;")</f>
        <v>&lt;numeroLigne&gt;106&lt;/numeroLigne&gt;</v>
      </c>
      <c r="K13447" s="1013"/>
    </row>
    <row r="13448" spans="1:11" s="1011" customFormat="1" ht="15" x14ac:dyDescent="0.25">
      <c r="A13448" s="859">
        <f t="shared" si="292"/>
        <v>13447</v>
      </c>
      <c r="B13448" s="845" t="s">
        <v>2564</v>
      </c>
      <c r="C13448" s="1007">
        <f t="shared" si="291"/>
        <v>106</v>
      </c>
      <c r="D13448" s="1014"/>
      <c r="H13448" s="1011" t="s">
        <v>1010</v>
      </c>
      <c r="K13448" s="1013"/>
    </row>
    <row r="13449" spans="1:11" s="1011" customFormat="1" ht="15" x14ac:dyDescent="0.25">
      <c r="A13449" s="859">
        <f t="shared" si="292"/>
        <v>13448</v>
      </c>
      <c r="B13449" s="845" t="s">
        <v>2564</v>
      </c>
      <c r="C13449" s="1007">
        <f t="shared" si="291"/>
        <v>106</v>
      </c>
      <c r="D13449" s="1012"/>
      <c r="H13449" s="1011" t="s">
        <v>1007</v>
      </c>
      <c r="K13449" s="1013"/>
    </row>
    <row r="13450" spans="1:11" s="1011" customFormat="1" ht="15" x14ac:dyDescent="0.25">
      <c r="A13450" s="859">
        <f t="shared" si="292"/>
        <v>13449</v>
      </c>
      <c r="B13450" s="845" t="s">
        <v>2564</v>
      </c>
      <c r="C13450" s="1007">
        <f t="shared" si="291"/>
        <v>106</v>
      </c>
      <c r="D13450" s="1015"/>
      <c r="I13450" s="1011" t="s">
        <v>2176</v>
      </c>
      <c r="K13450" s="1013"/>
    </row>
    <row r="13451" spans="1:11" s="1011" customFormat="1" ht="15" x14ac:dyDescent="0.25">
      <c r="A13451" s="859">
        <f t="shared" si="292"/>
        <v>13450</v>
      </c>
      <c r="B13451" s="845" t="s">
        <v>2564</v>
      </c>
      <c r="C13451" s="1007">
        <f t="shared" si="291"/>
        <v>106</v>
      </c>
      <c r="D13451" s="1012"/>
      <c r="I13451" s="1011" t="str">
        <f>CONCATENATE("&lt;valeur&gt;",VLOOKUP(C13451,'T16 Amort'!A:K,4,0),"&lt;/valeur&gt;")</f>
        <v>&lt;valeur&gt;&lt;/valeur&gt;</v>
      </c>
      <c r="K13451" s="1013"/>
    </row>
    <row r="13452" spans="1:11" s="1011" customFormat="1" ht="15" x14ac:dyDescent="0.25">
      <c r="A13452" s="859">
        <f t="shared" si="292"/>
        <v>13451</v>
      </c>
      <c r="B13452" s="845" t="s">
        <v>2564</v>
      </c>
      <c r="C13452" s="1007">
        <f t="shared" si="291"/>
        <v>106</v>
      </c>
      <c r="D13452" s="1012"/>
      <c r="I13452" s="1011" t="str">
        <f>CONCATENATE("&lt;numeroLigne&gt;",C13452,"&lt;/numeroLigne&gt;")</f>
        <v>&lt;numeroLigne&gt;106&lt;/numeroLigne&gt;</v>
      </c>
      <c r="K13452" s="1013"/>
    </row>
    <row r="13453" spans="1:11" s="1011" customFormat="1" ht="15" x14ac:dyDescent="0.25">
      <c r="A13453" s="859">
        <f t="shared" si="292"/>
        <v>13452</v>
      </c>
      <c r="B13453" s="845" t="s">
        <v>2564</v>
      </c>
      <c r="C13453" s="1007">
        <f t="shared" si="291"/>
        <v>106</v>
      </c>
      <c r="D13453" s="1014"/>
      <c r="H13453" s="1011" t="s">
        <v>1010</v>
      </c>
      <c r="K13453" s="1013"/>
    </row>
    <row r="13454" spans="1:11" s="1011" customFormat="1" ht="15" x14ac:dyDescent="0.25">
      <c r="A13454" s="859">
        <f t="shared" si="292"/>
        <v>13453</v>
      </c>
      <c r="B13454" s="845" t="s">
        <v>2564</v>
      </c>
      <c r="C13454" s="1007">
        <f t="shared" si="291"/>
        <v>106</v>
      </c>
      <c r="D13454" s="1014"/>
      <c r="H13454" s="1011" t="s">
        <v>1007</v>
      </c>
      <c r="K13454" s="1013"/>
    </row>
    <row r="13455" spans="1:11" s="1011" customFormat="1" ht="15" x14ac:dyDescent="0.25">
      <c r="A13455" s="859">
        <f t="shared" si="292"/>
        <v>13454</v>
      </c>
      <c r="B13455" s="845" t="s">
        <v>2564</v>
      </c>
      <c r="C13455" s="1007">
        <f t="shared" si="291"/>
        <v>106</v>
      </c>
      <c r="D13455" s="1012"/>
      <c r="I13455" s="1011" t="s">
        <v>2177</v>
      </c>
      <c r="K13455" s="1013"/>
    </row>
    <row r="13456" spans="1:11" s="1011" customFormat="1" ht="15" x14ac:dyDescent="0.25">
      <c r="A13456" s="859">
        <f t="shared" si="292"/>
        <v>13455</v>
      </c>
      <c r="B13456" s="845" t="s">
        <v>2564</v>
      </c>
      <c r="C13456" s="1007">
        <f t="shared" si="291"/>
        <v>106</v>
      </c>
      <c r="D13456" s="1015"/>
      <c r="I13456" s="1011" t="str">
        <f>CONCATENATE("&lt;valeur&gt;",VLOOKUP(C13456,'T16 Amort'!A:K,5,0),"&lt;/valeur&gt;")</f>
        <v>&lt;valeur&gt;&lt;/valeur&gt;</v>
      </c>
      <c r="K13456" s="1013"/>
    </row>
    <row r="13457" spans="1:11" s="1011" customFormat="1" ht="15" x14ac:dyDescent="0.25">
      <c r="A13457" s="859">
        <f t="shared" si="292"/>
        <v>13456</v>
      </c>
      <c r="B13457" s="845" t="s">
        <v>2564</v>
      </c>
      <c r="C13457" s="1007">
        <f t="shared" si="291"/>
        <v>106</v>
      </c>
      <c r="D13457" s="1012"/>
      <c r="I13457" s="1011" t="str">
        <f>CONCATENATE("&lt;numeroLigne&gt;",C13457,"&lt;/numeroLigne&gt;")</f>
        <v>&lt;numeroLigne&gt;106&lt;/numeroLigne&gt;</v>
      </c>
      <c r="K13457" s="1013"/>
    </row>
    <row r="13458" spans="1:11" s="1011" customFormat="1" ht="15" x14ac:dyDescent="0.25">
      <c r="A13458" s="859">
        <f t="shared" si="292"/>
        <v>13457</v>
      </c>
      <c r="B13458" s="845" t="s">
        <v>2564</v>
      </c>
      <c r="C13458" s="1007">
        <f t="shared" si="291"/>
        <v>106</v>
      </c>
      <c r="D13458" s="1012"/>
      <c r="H13458" s="1011" t="s">
        <v>1010</v>
      </c>
      <c r="K13458" s="1013"/>
    </row>
    <row r="13459" spans="1:11" s="1011" customFormat="1" ht="15" x14ac:dyDescent="0.25">
      <c r="A13459" s="859">
        <f t="shared" si="292"/>
        <v>13458</v>
      </c>
      <c r="B13459" s="845" t="s">
        <v>2564</v>
      </c>
      <c r="C13459" s="1007">
        <f t="shared" si="291"/>
        <v>106</v>
      </c>
      <c r="D13459" s="1014"/>
      <c r="H13459" s="1011" t="s">
        <v>1007</v>
      </c>
      <c r="K13459" s="1013"/>
    </row>
    <row r="13460" spans="1:11" s="1011" customFormat="1" ht="15" x14ac:dyDescent="0.25">
      <c r="A13460" s="859">
        <f t="shared" si="292"/>
        <v>13459</v>
      </c>
      <c r="B13460" s="845" t="s">
        <v>2564</v>
      </c>
      <c r="C13460" s="1007">
        <f t="shared" si="291"/>
        <v>106</v>
      </c>
      <c r="D13460" s="1014"/>
      <c r="I13460" s="1011" t="s">
        <v>2178</v>
      </c>
      <c r="K13460" s="1013"/>
    </row>
    <row r="13461" spans="1:11" s="1011" customFormat="1" ht="15" x14ac:dyDescent="0.25">
      <c r="A13461" s="859">
        <f t="shared" si="292"/>
        <v>13460</v>
      </c>
      <c r="B13461" s="845" t="s">
        <v>2564</v>
      </c>
      <c r="C13461" s="1007">
        <f t="shared" si="291"/>
        <v>106</v>
      </c>
      <c r="D13461" s="1012"/>
      <c r="I13461" s="1011" t="str">
        <f>CONCATENATE("&lt;valeur&gt;",VLOOKUP(C13461,'T16 Amort'!A:K,6,0),"&lt;/valeur&gt;")</f>
        <v>&lt;valeur&gt;&lt;/valeur&gt;</v>
      </c>
      <c r="K13461" s="1013"/>
    </row>
    <row r="13462" spans="1:11" s="1011" customFormat="1" ht="15" x14ac:dyDescent="0.25">
      <c r="A13462" s="859">
        <f t="shared" si="292"/>
        <v>13461</v>
      </c>
      <c r="B13462" s="845" t="s">
        <v>2564</v>
      </c>
      <c r="C13462" s="1007">
        <f t="shared" si="291"/>
        <v>106</v>
      </c>
      <c r="D13462" s="1015"/>
      <c r="I13462" s="1011" t="str">
        <f>CONCATENATE("&lt;numeroLigne&gt;",C13462,"&lt;/numeroLigne&gt;")</f>
        <v>&lt;numeroLigne&gt;106&lt;/numeroLigne&gt;</v>
      </c>
      <c r="K13462" s="1013"/>
    </row>
    <row r="13463" spans="1:11" s="1011" customFormat="1" ht="15" x14ac:dyDescent="0.25">
      <c r="A13463" s="859">
        <f t="shared" si="292"/>
        <v>13462</v>
      </c>
      <c r="B13463" s="845" t="s">
        <v>2564</v>
      </c>
      <c r="C13463" s="1007">
        <f t="shared" si="291"/>
        <v>106</v>
      </c>
      <c r="D13463" s="1012"/>
      <c r="H13463" s="1011" t="s">
        <v>1010</v>
      </c>
      <c r="K13463" s="1013"/>
    </row>
    <row r="13464" spans="1:11" s="1011" customFormat="1" ht="15" x14ac:dyDescent="0.25">
      <c r="A13464" s="859">
        <f t="shared" si="292"/>
        <v>13463</v>
      </c>
      <c r="B13464" s="845" t="s">
        <v>2564</v>
      </c>
      <c r="C13464" s="1007">
        <f t="shared" si="291"/>
        <v>106</v>
      </c>
      <c r="D13464" s="1012"/>
      <c r="H13464" s="1011" t="s">
        <v>1007</v>
      </c>
      <c r="K13464" s="1013"/>
    </row>
    <row r="13465" spans="1:11" s="1011" customFormat="1" ht="15" x14ac:dyDescent="0.25">
      <c r="A13465" s="859">
        <f t="shared" si="292"/>
        <v>13464</v>
      </c>
      <c r="B13465" s="845" t="s">
        <v>2564</v>
      </c>
      <c r="C13465" s="1007">
        <f t="shared" si="291"/>
        <v>106</v>
      </c>
      <c r="D13465" s="1014"/>
      <c r="I13465" s="1011" t="s">
        <v>2179</v>
      </c>
      <c r="K13465" s="1013"/>
    </row>
    <row r="13466" spans="1:11" s="1011" customFormat="1" ht="15" x14ac:dyDescent="0.25">
      <c r="A13466" s="859">
        <f t="shared" si="292"/>
        <v>13465</v>
      </c>
      <c r="B13466" s="845" t="s">
        <v>2564</v>
      </c>
      <c r="C13466" s="1007">
        <f t="shared" si="291"/>
        <v>106</v>
      </c>
      <c r="D13466" s="1014"/>
      <c r="I13466" s="1011" t="str">
        <f>CONCATENATE("&lt;valeur&gt;",VLOOKUP(C13466,'T16 Amort'!A:K,7,0),"&lt;/valeur&gt;")</f>
        <v>&lt;valeur&gt;&lt;/valeur&gt;</v>
      </c>
      <c r="K13466" s="1013"/>
    </row>
    <row r="13467" spans="1:11" s="1011" customFormat="1" ht="15" x14ac:dyDescent="0.25">
      <c r="A13467" s="859">
        <f t="shared" si="292"/>
        <v>13466</v>
      </c>
      <c r="B13467" s="845" t="s">
        <v>2564</v>
      </c>
      <c r="C13467" s="1007">
        <f t="shared" si="291"/>
        <v>106</v>
      </c>
      <c r="D13467" s="1012"/>
      <c r="I13467" s="1011" t="str">
        <f>CONCATENATE("&lt;numeroLigne&gt;",C13467,"&lt;/numeroLigne&gt;")</f>
        <v>&lt;numeroLigne&gt;106&lt;/numeroLigne&gt;</v>
      </c>
      <c r="K13467" s="1013"/>
    </row>
    <row r="13468" spans="1:11" s="1011" customFormat="1" ht="15" x14ac:dyDescent="0.25">
      <c r="A13468" s="859">
        <f t="shared" si="292"/>
        <v>13467</v>
      </c>
      <c r="B13468" s="845" t="s">
        <v>2564</v>
      </c>
      <c r="C13468" s="1007">
        <f t="shared" si="291"/>
        <v>106</v>
      </c>
      <c r="D13468" s="1015"/>
      <c r="H13468" s="1011" t="s">
        <v>1010</v>
      </c>
      <c r="K13468" s="1013"/>
    </row>
    <row r="13469" spans="1:11" s="1011" customFormat="1" ht="15" x14ac:dyDescent="0.25">
      <c r="A13469" s="859">
        <f t="shared" si="292"/>
        <v>13468</v>
      </c>
      <c r="B13469" s="845" t="s">
        <v>2564</v>
      </c>
      <c r="C13469" s="1007">
        <f t="shared" si="291"/>
        <v>106</v>
      </c>
      <c r="D13469" s="1012"/>
      <c r="H13469" s="1011" t="s">
        <v>1007</v>
      </c>
      <c r="K13469" s="1013"/>
    </row>
    <row r="13470" spans="1:11" s="1011" customFormat="1" ht="15" x14ac:dyDescent="0.25">
      <c r="A13470" s="859">
        <f t="shared" si="292"/>
        <v>13469</v>
      </c>
      <c r="B13470" s="845" t="s">
        <v>2564</v>
      </c>
      <c r="C13470" s="1007">
        <f t="shared" si="291"/>
        <v>106</v>
      </c>
      <c r="D13470" s="1012"/>
      <c r="I13470" s="1011" t="s">
        <v>2180</v>
      </c>
      <c r="K13470" s="1013"/>
    </row>
    <row r="13471" spans="1:11" s="1011" customFormat="1" ht="15" x14ac:dyDescent="0.25">
      <c r="A13471" s="859">
        <f t="shared" si="292"/>
        <v>13470</v>
      </c>
      <c r="B13471" s="845" t="s">
        <v>2564</v>
      </c>
      <c r="C13471" s="1007">
        <f t="shared" si="291"/>
        <v>106</v>
      </c>
      <c r="D13471" s="1014"/>
      <c r="I13471" s="1011" t="str">
        <f>CONCATENATE("&lt;valeur&gt;",VLOOKUP(C13471,'T16 Amort'!A:K,8,0),"&lt;/valeur&gt;")</f>
        <v>&lt;valeur&gt;&lt;/valeur&gt;</v>
      </c>
      <c r="K13471" s="1013"/>
    </row>
    <row r="13472" spans="1:11" s="1011" customFormat="1" ht="15" x14ac:dyDescent="0.25">
      <c r="A13472" s="859">
        <f t="shared" si="292"/>
        <v>13471</v>
      </c>
      <c r="B13472" s="845" t="s">
        <v>2564</v>
      </c>
      <c r="C13472" s="1007">
        <f t="shared" si="291"/>
        <v>106</v>
      </c>
      <c r="D13472" s="1014"/>
      <c r="I13472" s="1011" t="str">
        <f>CONCATENATE("&lt;numeroLigne&gt;",C13472,"&lt;/numeroLigne&gt;")</f>
        <v>&lt;numeroLigne&gt;106&lt;/numeroLigne&gt;</v>
      </c>
      <c r="K13472" s="1013"/>
    </row>
    <row r="13473" spans="1:11" s="1011" customFormat="1" ht="15" x14ac:dyDescent="0.25">
      <c r="A13473" s="859">
        <f t="shared" si="292"/>
        <v>13472</v>
      </c>
      <c r="B13473" s="845" t="s">
        <v>2564</v>
      </c>
      <c r="C13473" s="1007">
        <f t="shared" si="291"/>
        <v>106</v>
      </c>
      <c r="D13473" s="1012"/>
      <c r="H13473" s="1011" t="s">
        <v>1010</v>
      </c>
      <c r="K13473" s="1013"/>
    </row>
    <row r="13474" spans="1:11" s="1011" customFormat="1" ht="15" x14ac:dyDescent="0.25">
      <c r="A13474" s="859">
        <f t="shared" si="292"/>
        <v>13473</v>
      </c>
      <c r="B13474" s="845" t="s">
        <v>2564</v>
      </c>
      <c r="C13474" s="1007">
        <f t="shared" si="291"/>
        <v>106</v>
      </c>
      <c r="D13474" s="1015"/>
      <c r="H13474" s="1011" t="s">
        <v>1007</v>
      </c>
      <c r="K13474" s="1013"/>
    </row>
    <row r="13475" spans="1:11" s="1011" customFormat="1" ht="15" x14ac:dyDescent="0.25">
      <c r="A13475" s="859">
        <f t="shared" si="292"/>
        <v>13474</v>
      </c>
      <c r="B13475" s="845" t="s">
        <v>2564</v>
      </c>
      <c r="C13475" s="1007">
        <f t="shared" si="291"/>
        <v>106</v>
      </c>
      <c r="D13475" s="1012"/>
      <c r="I13475" s="1011" t="s">
        <v>2181</v>
      </c>
      <c r="K13475" s="1013"/>
    </row>
    <row r="13476" spans="1:11" s="1011" customFormat="1" ht="15" x14ac:dyDescent="0.25">
      <c r="A13476" s="859">
        <f t="shared" si="292"/>
        <v>13475</v>
      </c>
      <c r="B13476" s="845" t="s">
        <v>2564</v>
      </c>
      <c r="C13476" s="1007">
        <f t="shared" si="291"/>
        <v>106</v>
      </c>
      <c r="D13476" s="1012"/>
      <c r="I13476" s="1011" t="str">
        <f>CONCATENATE("&lt;valeur&gt;",VLOOKUP(C13476,'T16 Amort'!A:K,9,0),"&lt;/valeur&gt;")</f>
        <v>&lt;valeur&gt;&lt;/valeur&gt;</v>
      </c>
      <c r="K13476" s="1013"/>
    </row>
    <row r="13477" spans="1:11" s="1011" customFormat="1" ht="15" x14ac:dyDescent="0.25">
      <c r="A13477" s="859">
        <f t="shared" si="292"/>
        <v>13476</v>
      </c>
      <c r="B13477" s="845" t="s">
        <v>2564</v>
      </c>
      <c r="C13477" s="1007">
        <f t="shared" si="291"/>
        <v>106</v>
      </c>
      <c r="D13477" s="1014"/>
      <c r="I13477" s="1011" t="str">
        <f>CONCATENATE("&lt;numeroLigne&gt;",C13477,"&lt;/numeroLigne&gt;")</f>
        <v>&lt;numeroLigne&gt;106&lt;/numeroLigne&gt;</v>
      </c>
      <c r="K13477" s="1013"/>
    </row>
    <row r="13478" spans="1:11" s="1011" customFormat="1" ht="15" x14ac:dyDescent="0.25">
      <c r="A13478" s="859">
        <f t="shared" si="292"/>
        <v>13477</v>
      </c>
      <c r="B13478" s="845" t="s">
        <v>2564</v>
      </c>
      <c r="C13478" s="1007">
        <f t="shared" si="291"/>
        <v>106</v>
      </c>
      <c r="D13478" s="1014"/>
      <c r="H13478" s="1011" t="s">
        <v>1010</v>
      </c>
      <c r="K13478" s="1013"/>
    </row>
    <row r="13479" spans="1:11" s="1011" customFormat="1" ht="15" x14ac:dyDescent="0.25">
      <c r="A13479" s="859">
        <f t="shared" si="292"/>
        <v>13478</v>
      </c>
      <c r="B13479" s="845" t="s">
        <v>2564</v>
      </c>
      <c r="C13479" s="1007">
        <f t="shared" si="291"/>
        <v>106</v>
      </c>
      <c r="D13479" s="1012"/>
      <c r="H13479" s="1011" t="s">
        <v>1007</v>
      </c>
      <c r="K13479" s="1013"/>
    </row>
    <row r="13480" spans="1:11" s="1011" customFormat="1" ht="15" x14ac:dyDescent="0.25">
      <c r="A13480" s="859">
        <f t="shared" si="292"/>
        <v>13479</v>
      </c>
      <c r="B13480" s="845" t="s">
        <v>2564</v>
      </c>
      <c r="C13480" s="1007">
        <f t="shared" si="291"/>
        <v>106</v>
      </c>
      <c r="D13480" s="1015"/>
      <c r="I13480" s="1011" t="s">
        <v>2182</v>
      </c>
      <c r="K13480" s="1013"/>
    </row>
    <row r="13481" spans="1:11" s="1011" customFormat="1" ht="15" x14ac:dyDescent="0.25">
      <c r="A13481" s="859">
        <f t="shared" si="292"/>
        <v>13480</v>
      </c>
      <c r="B13481" s="845" t="s">
        <v>2564</v>
      </c>
      <c r="C13481" s="1007">
        <f t="shared" si="291"/>
        <v>106</v>
      </c>
      <c r="D13481" s="1012"/>
      <c r="I13481" s="1011" t="str">
        <f>CONCATENATE("&lt;valeur&gt;",VLOOKUP(C13481,'T16 Amort'!A:K,10,0),"&lt;/valeur&gt;")</f>
        <v>&lt;valeur&gt;&lt;/valeur&gt;</v>
      </c>
      <c r="K13481" s="1013"/>
    </row>
    <row r="13482" spans="1:11" s="1011" customFormat="1" ht="15" x14ac:dyDescent="0.25">
      <c r="A13482" s="859">
        <f t="shared" si="292"/>
        <v>13481</v>
      </c>
      <c r="B13482" s="845" t="s">
        <v>2564</v>
      </c>
      <c r="C13482" s="1007">
        <f t="shared" si="291"/>
        <v>106</v>
      </c>
      <c r="D13482" s="1012"/>
      <c r="I13482" s="1011" t="str">
        <f>CONCATENATE("&lt;numeroLigne&gt;",C13482,"&lt;/numeroLigne&gt;")</f>
        <v>&lt;numeroLigne&gt;106&lt;/numeroLigne&gt;</v>
      </c>
      <c r="K13482" s="1013"/>
    </row>
    <row r="13483" spans="1:11" s="1011" customFormat="1" ht="15" x14ac:dyDescent="0.25">
      <c r="A13483" s="859">
        <f t="shared" si="292"/>
        <v>13482</v>
      </c>
      <c r="B13483" s="845" t="s">
        <v>2564</v>
      </c>
      <c r="C13483" s="1007">
        <f t="shared" si="291"/>
        <v>106</v>
      </c>
      <c r="D13483" s="1014"/>
      <c r="H13483" s="1011" t="s">
        <v>1010</v>
      </c>
      <c r="K13483" s="1013"/>
    </row>
    <row r="13484" spans="1:11" s="1011" customFormat="1" ht="15" x14ac:dyDescent="0.25">
      <c r="A13484" s="859">
        <f t="shared" si="292"/>
        <v>13483</v>
      </c>
      <c r="B13484" s="845" t="s">
        <v>2564</v>
      </c>
      <c r="C13484" s="1007">
        <f t="shared" si="291"/>
        <v>106</v>
      </c>
      <c r="D13484" s="1014"/>
      <c r="H13484" s="1011" t="s">
        <v>1007</v>
      </c>
      <c r="K13484" s="1013"/>
    </row>
    <row r="13485" spans="1:11" s="1011" customFormat="1" ht="15" x14ac:dyDescent="0.25">
      <c r="A13485" s="859">
        <f t="shared" si="292"/>
        <v>13484</v>
      </c>
      <c r="B13485" s="845" t="s">
        <v>2564</v>
      </c>
      <c r="C13485" s="1007">
        <f t="shared" si="291"/>
        <v>106</v>
      </c>
      <c r="D13485" s="1012"/>
      <c r="I13485" s="1011" t="s">
        <v>2183</v>
      </c>
      <c r="K13485" s="1013"/>
    </row>
    <row r="13486" spans="1:11" s="1011" customFormat="1" ht="15" x14ac:dyDescent="0.25">
      <c r="A13486" s="859">
        <f t="shared" si="292"/>
        <v>13485</v>
      </c>
      <c r="B13486" s="845" t="s">
        <v>2564</v>
      </c>
      <c r="C13486" s="1007">
        <f t="shared" si="291"/>
        <v>106</v>
      </c>
      <c r="D13486" s="1015"/>
      <c r="I13486" s="1011" t="str">
        <f>CONCATENATE("&lt;valeur&gt;",VLOOKUP(C13486,'T16 Amort'!A:K,11,0),"&lt;/valeur&gt;")</f>
        <v>&lt;valeur&gt;&lt;/valeur&gt;</v>
      </c>
      <c r="K13486" s="1013"/>
    </row>
    <row r="13487" spans="1:11" s="1011" customFormat="1" ht="15" x14ac:dyDescent="0.25">
      <c r="A13487" s="859">
        <f t="shared" si="292"/>
        <v>13486</v>
      </c>
      <c r="B13487" s="845" t="s">
        <v>2564</v>
      </c>
      <c r="C13487" s="1007">
        <f t="shared" ref="C13487:C13550" si="293">C13437+1</f>
        <v>106</v>
      </c>
      <c r="D13487" s="1012"/>
      <c r="I13487" s="1011" t="str">
        <f>CONCATENATE("&lt;numeroLigne&gt;",C13487,"&lt;/numeroLigne&gt;")</f>
        <v>&lt;numeroLigne&gt;106&lt;/numeroLigne&gt;</v>
      </c>
      <c r="K13487" s="1013"/>
    </row>
    <row r="13488" spans="1:11" s="1011" customFormat="1" ht="15" x14ac:dyDescent="0.25">
      <c r="A13488" s="859">
        <f t="shared" si="292"/>
        <v>13487</v>
      </c>
      <c r="B13488" s="845" t="s">
        <v>2564</v>
      </c>
      <c r="C13488" s="1007">
        <f t="shared" si="293"/>
        <v>106</v>
      </c>
      <c r="D13488" s="1016"/>
      <c r="E13488" s="1017"/>
      <c r="F13488" s="1017"/>
      <c r="G13488" s="1017"/>
      <c r="H13488" s="1017" t="s">
        <v>1010</v>
      </c>
      <c r="I13488" s="1017"/>
      <c r="J13488" s="1017"/>
      <c r="K13488" s="1018"/>
    </row>
    <row r="13489" spans="1:11" s="1011" customFormat="1" ht="15" x14ac:dyDescent="0.25">
      <c r="A13489" s="859">
        <f t="shared" si="292"/>
        <v>13488</v>
      </c>
      <c r="B13489" s="845" t="s">
        <v>2564</v>
      </c>
      <c r="C13489" s="1007">
        <f t="shared" si="293"/>
        <v>107</v>
      </c>
      <c r="D13489" s="1008"/>
      <c r="E13489" s="1009"/>
      <c r="F13489" s="1009"/>
      <c r="G13489" s="1009"/>
      <c r="H13489" s="1009" t="s">
        <v>1007</v>
      </c>
      <c r="I13489" s="1009"/>
      <c r="J13489" s="1009"/>
      <c r="K13489" s="1010"/>
    </row>
    <row r="13490" spans="1:11" s="1011" customFormat="1" ht="15" x14ac:dyDescent="0.25">
      <c r="A13490" s="859">
        <f t="shared" si="292"/>
        <v>13489</v>
      </c>
      <c r="B13490" s="845" t="s">
        <v>2564</v>
      </c>
      <c r="C13490" s="1007">
        <f t="shared" si="293"/>
        <v>107</v>
      </c>
      <c r="D13490" s="1012"/>
      <c r="I13490" s="1011" t="s">
        <v>2174</v>
      </c>
      <c r="K13490" s="1013"/>
    </row>
    <row r="13491" spans="1:11" s="1011" customFormat="1" ht="15" x14ac:dyDescent="0.25">
      <c r="A13491" s="859">
        <f t="shared" si="292"/>
        <v>13490</v>
      </c>
      <c r="B13491" s="845" t="s">
        <v>2564</v>
      </c>
      <c r="C13491" s="1007">
        <f t="shared" si="293"/>
        <v>107</v>
      </c>
      <c r="D13491" s="1014"/>
      <c r="I13491" s="1011" t="str">
        <f>CONCATENATE("&lt;valeur&gt;",VLOOKUP(C13491,'T16 Amort'!A:K,2,0),"&lt;/valeur&gt;")</f>
        <v>&lt;valeur&gt;&lt;/valeur&gt;</v>
      </c>
      <c r="K13491" s="1013"/>
    </row>
    <row r="13492" spans="1:11" s="1011" customFormat="1" ht="15" x14ac:dyDescent="0.25">
      <c r="A13492" s="859">
        <f t="shared" si="292"/>
        <v>13491</v>
      </c>
      <c r="B13492" s="845" t="s">
        <v>2564</v>
      </c>
      <c r="C13492" s="1007">
        <f t="shared" si="293"/>
        <v>107</v>
      </c>
      <c r="D13492" s="1014"/>
      <c r="I13492" s="1011" t="str">
        <f>CONCATENATE("&lt;numeroLigne&gt;",C13492,"&lt;/numeroLigne&gt;")</f>
        <v>&lt;numeroLigne&gt;107&lt;/numeroLigne&gt;</v>
      </c>
      <c r="K13492" s="1013"/>
    </row>
    <row r="13493" spans="1:11" s="1011" customFormat="1" ht="15" x14ac:dyDescent="0.25">
      <c r="A13493" s="859">
        <f t="shared" si="292"/>
        <v>13492</v>
      </c>
      <c r="B13493" s="845" t="s">
        <v>2564</v>
      </c>
      <c r="C13493" s="1007">
        <f t="shared" si="293"/>
        <v>107</v>
      </c>
      <c r="D13493" s="1012"/>
      <c r="H13493" s="1011" t="s">
        <v>1010</v>
      </c>
      <c r="K13493" s="1013"/>
    </row>
    <row r="13494" spans="1:11" s="1011" customFormat="1" ht="15" x14ac:dyDescent="0.25">
      <c r="A13494" s="859">
        <f t="shared" si="292"/>
        <v>13493</v>
      </c>
      <c r="B13494" s="845" t="s">
        <v>2564</v>
      </c>
      <c r="C13494" s="1007">
        <f t="shared" si="293"/>
        <v>107</v>
      </c>
      <c r="D13494" s="1015"/>
      <c r="H13494" s="1011" t="s">
        <v>1007</v>
      </c>
      <c r="K13494" s="1013"/>
    </row>
    <row r="13495" spans="1:11" s="1011" customFormat="1" ht="15" x14ac:dyDescent="0.25">
      <c r="A13495" s="859">
        <f t="shared" si="292"/>
        <v>13494</v>
      </c>
      <c r="B13495" s="845" t="s">
        <v>2564</v>
      </c>
      <c r="C13495" s="1007">
        <f t="shared" si="293"/>
        <v>107</v>
      </c>
      <c r="D13495" s="1012"/>
      <c r="I13495" s="1011" t="s">
        <v>2175</v>
      </c>
      <c r="K13495" s="1013"/>
    </row>
    <row r="13496" spans="1:11" s="1011" customFormat="1" ht="15" x14ac:dyDescent="0.25">
      <c r="A13496" s="859">
        <f t="shared" si="292"/>
        <v>13495</v>
      </c>
      <c r="B13496" s="845" t="s">
        <v>2564</v>
      </c>
      <c r="C13496" s="1007">
        <f t="shared" si="293"/>
        <v>107</v>
      </c>
      <c r="D13496" s="1012"/>
      <c r="I13496" s="1011" t="str">
        <f>CONCATENATE("&lt;valeur&gt;",VLOOKUP(C13496,'T16 Amort'!A:K,3,0),"&lt;/valeur&gt;")</f>
        <v>&lt;valeur&gt;&lt;/valeur&gt;</v>
      </c>
      <c r="K13496" s="1013"/>
    </row>
    <row r="13497" spans="1:11" s="1011" customFormat="1" ht="15" x14ac:dyDescent="0.25">
      <c r="A13497" s="859">
        <f t="shared" si="292"/>
        <v>13496</v>
      </c>
      <c r="B13497" s="845" t="s">
        <v>2564</v>
      </c>
      <c r="C13497" s="1007">
        <f t="shared" si="293"/>
        <v>107</v>
      </c>
      <c r="D13497" s="1014"/>
      <c r="I13497" s="1011" t="str">
        <f>CONCATENATE("&lt;numeroLigne&gt;",C13497,"&lt;/numeroLigne&gt;")</f>
        <v>&lt;numeroLigne&gt;107&lt;/numeroLigne&gt;</v>
      </c>
      <c r="K13497" s="1013"/>
    </row>
    <row r="13498" spans="1:11" s="1011" customFormat="1" ht="15" x14ac:dyDescent="0.25">
      <c r="A13498" s="859">
        <f t="shared" si="292"/>
        <v>13497</v>
      </c>
      <c r="B13498" s="845" t="s">
        <v>2564</v>
      </c>
      <c r="C13498" s="1007">
        <f t="shared" si="293"/>
        <v>107</v>
      </c>
      <c r="D13498" s="1014"/>
      <c r="H13498" s="1011" t="s">
        <v>1010</v>
      </c>
      <c r="K13498" s="1013"/>
    </row>
    <row r="13499" spans="1:11" s="1011" customFormat="1" ht="15" x14ac:dyDescent="0.25">
      <c r="A13499" s="859">
        <f t="shared" si="292"/>
        <v>13498</v>
      </c>
      <c r="B13499" s="845" t="s">
        <v>2564</v>
      </c>
      <c r="C13499" s="1007">
        <f t="shared" si="293"/>
        <v>107</v>
      </c>
      <c r="D13499" s="1012"/>
      <c r="H13499" s="1011" t="s">
        <v>1007</v>
      </c>
      <c r="K13499" s="1013"/>
    </row>
    <row r="13500" spans="1:11" s="1011" customFormat="1" ht="15" x14ac:dyDescent="0.25">
      <c r="A13500" s="859">
        <f t="shared" si="292"/>
        <v>13499</v>
      </c>
      <c r="B13500" s="845" t="s">
        <v>2564</v>
      </c>
      <c r="C13500" s="1007">
        <f t="shared" si="293"/>
        <v>107</v>
      </c>
      <c r="D13500" s="1015"/>
      <c r="I13500" s="1011" t="s">
        <v>2176</v>
      </c>
      <c r="K13500" s="1013"/>
    </row>
    <row r="13501" spans="1:11" s="1011" customFormat="1" ht="15" x14ac:dyDescent="0.25">
      <c r="A13501" s="859">
        <f t="shared" si="292"/>
        <v>13500</v>
      </c>
      <c r="B13501" s="845" t="s">
        <v>2564</v>
      </c>
      <c r="C13501" s="1007">
        <f t="shared" si="293"/>
        <v>107</v>
      </c>
      <c r="D13501" s="1012"/>
      <c r="I13501" s="1011" t="str">
        <f>CONCATENATE("&lt;valeur&gt;",VLOOKUP(C13501,'T16 Amort'!A:K,4,0),"&lt;/valeur&gt;")</f>
        <v>&lt;valeur&gt;&lt;/valeur&gt;</v>
      </c>
      <c r="K13501" s="1013"/>
    </row>
    <row r="13502" spans="1:11" s="1011" customFormat="1" ht="15" x14ac:dyDescent="0.25">
      <c r="A13502" s="859">
        <f t="shared" si="292"/>
        <v>13501</v>
      </c>
      <c r="B13502" s="845" t="s">
        <v>2564</v>
      </c>
      <c r="C13502" s="1007">
        <f t="shared" si="293"/>
        <v>107</v>
      </c>
      <c r="D13502" s="1012"/>
      <c r="I13502" s="1011" t="str">
        <f>CONCATENATE("&lt;numeroLigne&gt;",C13502,"&lt;/numeroLigne&gt;")</f>
        <v>&lt;numeroLigne&gt;107&lt;/numeroLigne&gt;</v>
      </c>
      <c r="K13502" s="1013"/>
    </row>
    <row r="13503" spans="1:11" s="1011" customFormat="1" ht="15" x14ac:dyDescent="0.25">
      <c r="A13503" s="859">
        <f t="shared" si="292"/>
        <v>13502</v>
      </c>
      <c r="B13503" s="845" t="s">
        <v>2564</v>
      </c>
      <c r="C13503" s="1007">
        <f t="shared" si="293"/>
        <v>107</v>
      </c>
      <c r="D13503" s="1014"/>
      <c r="H13503" s="1011" t="s">
        <v>1010</v>
      </c>
      <c r="K13503" s="1013"/>
    </row>
    <row r="13504" spans="1:11" s="1011" customFormat="1" ht="15" x14ac:dyDescent="0.25">
      <c r="A13504" s="859">
        <f t="shared" si="292"/>
        <v>13503</v>
      </c>
      <c r="B13504" s="845" t="s">
        <v>2564</v>
      </c>
      <c r="C13504" s="1007">
        <f t="shared" si="293"/>
        <v>107</v>
      </c>
      <c r="D13504" s="1014"/>
      <c r="H13504" s="1011" t="s">
        <v>1007</v>
      </c>
      <c r="K13504" s="1013"/>
    </row>
    <row r="13505" spans="1:11" s="1011" customFormat="1" ht="15" x14ac:dyDescent="0.25">
      <c r="A13505" s="859">
        <f t="shared" si="292"/>
        <v>13504</v>
      </c>
      <c r="B13505" s="845" t="s">
        <v>2564</v>
      </c>
      <c r="C13505" s="1007">
        <f t="shared" si="293"/>
        <v>107</v>
      </c>
      <c r="D13505" s="1012"/>
      <c r="I13505" s="1011" t="s">
        <v>2177</v>
      </c>
      <c r="K13505" s="1013"/>
    </row>
    <row r="13506" spans="1:11" s="1011" customFormat="1" ht="15" x14ac:dyDescent="0.25">
      <c r="A13506" s="859">
        <f t="shared" si="292"/>
        <v>13505</v>
      </c>
      <c r="B13506" s="845" t="s">
        <v>2564</v>
      </c>
      <c r="C13506" s="1007">
        <f t="shared" si="293"/>
        <v>107</v>
      </c>
      <c r="D13506" s="1015"/>
      <c r="I13506" s="1011" t="str">
        <f>CONCATENATE("&lt;valeur&gt;",VLOOKUP(C13506,'T16 Amort'!A:K,5,0),"&lt;/valeur&gt;")</f>
        <v>&lt;valeur&gt;&lt;/valeur&gt;</v>
      </c>
      <c r="K13506" s="1013"/>
    </row>
    <row r="13507" spans="1:11" s="1011" customFormat="1" ht="15" x14ac:dyDescent="0.25">
      <c r="A13507" s="859">
        <f t="shared" si="292"/>
        <v>13506</v>
      </c>
      <c r="B13507" s="845" t="s">
        <v>2564</v>
      </c>
      <c r="C13507" s="1007">
        <f t="shared" si="293"/>
        <v>107</v>
      </c>
      <c r="D13507" s="1012"/>
      <c r="I13507" s="1011" t="str">
        <f>CONCATENATE("&lt;numeroLigne&gt;",C13507,"&lt;/numeroLigne&gt;")</f>
        <v>&lt;numeroLigne&gt;107&lt;/numeroLigne&gt;</v>
      </c>
      <c r="K13507" s="1013"/>
    </row>
    <row r="13508" spans="1:11" s="1011" customFormat="1" ht="15" x14ac:dyDescent="0.25">
      <c r="A13508" s="859">
        <f t="shared" ref="A13508:A13571" si="294">+A13507+1</f>
        <v>13507</v>
      </c>
      <c r="B13508" s="845" t="s">
        <v>2564</v>
      </c>
      <c r="C13508" s="1007">
        <f t="shared" si="293"/>
        <v>107</v>
      </c>
      <c r="D13508" s="1012"/>
      <c r="H13508" s="1011" t="s">
        <v>1010</v>
      </c>
      <c r="K13508" s="1013"/>
    </row>
    <row r="13509" spans="1:11" s="1011" customFormat="1" ht="15" x14ac:dyDescent="0.25">
      <c r="A13509" s="859">
        <f t="shared" si="294"/>
        <v>13508</v>
      </c>
      <c r="B13509" s="845" t="s">
        <v>2564</v>
      </c>
      <c r="C13509" s="1007">
        <f t="shared" si="293"/>
        <v>107</v>
      </c>
      <c r="D13509" s="1014"/>
      <c r="H13509" s="1011" t="s">
        <v>1007</v>
      </c>
      <c r="K13509" s="1013"/>
    </row>
    <row r="13510" spans="1:11" s="1011" customFormat="1" ht="15" x14ac:dyDescent="0.25">
      <c r="A13510" s="859">
        <f t="shared" si="294"/>
        <v>13509</v>
      </c>
      <c r="B13510" s="845" t="s">
        <v>2564</v>
      </c>
      <c r="C13510" s="1007">
        <f t="shared" si="293"/>
        <v>107</v>
      </c>
      <c r="D13510" s="1014"/>
      <c r="I13510" s="1011" t="s">
        <v>2178</v>
      </c>
      <c r="K13510" s="1013"/>
    </row>
    <row r="13511" spans="1:11" s="1011" customFormat="1" ht="15" x14ac:dyDescent="0.25">
      <c r="A13511" s="859">
        <f t="shared" si="294"/>
        <v>13510</v>
      </c>
      <c r="B13511" s="845" t="s">
        <v>2564</v>
      </c>
      <c r="C13511" s="1007">
        <f t="shared" si="293"/>
        <v>107</v>
      </c>
      <c r="D13511" s="1012"/>
      <c r="I13511" s="1011" t="str">
        <f>CONCATENATE("&lt;valeur&gt;",VLOOKUP(C13511,'T16 Amort'!A:K,6,0),"&lt;/valeur&gt;")</f>
        <v>&lt;valeur&gt;&lt;/valeur&gt;</v>
      </c>
      <c r="K13511" s="1013"/>
    </row>
    <row r="13512" spans="1:11" s="1011" customFormat="1" ht="15" x14ac:dyDescent="0.25">
      <c r="A13512" s="859">
        <f t="shared" si="294"/>
        <v>13511</v>
      </c>
      <c r="B13512" s="845" t="s">
        <v>2564</v>
      </c>
      <c r="C13512" s="1007">
        <f t="shared" si="293"/>
        <v>107</v>
      </c>
      <c r="D13512" s="1015"/>
      <c r="I13512" s="1011" t="str">
        <f>CONCATENATE("&lt;numeroLigne&gt;",C13512,"&lt;/numeroLigne&gt;")</f>
        <v>&lt;numeroLigne&gt;107&lt;/numeroLigne&gt;</v>
      </c>
      <c r="K13512" s="1013"/>
    </row>
    <row r="13513" spans="1:11" s="1011" customFormat="1" ht="15" x14ac:dyDescent="0.25">
      <c r="A13513" s="859">
        <f t="shared" si="294"/>
        <v>13512</v>
      </c>
      <c r="B13513" s="845" t="s">
        <v>2564</v>
      </c>
      <c r="C13513" s="1007">
        <f t="shared" si="293"/>
        <v>107</v>
      </c>
      <c r="D13513" s="1012"/>
      <c r="H13513" s="1011" t="s">
        <v>1010</v>
      </c>
      <c r="K13513" s="1013"/>
    </row>
    <row r="13514" spans="1:11" s="1011" customFormat="1" ht="15" x14ac:dyDescent="0.25">
      <c r="A13514" s="859">
        <f t="shared" si="294"/>
        <v>13513</v>
      </c>
      <c r="B13514" s="845" t="s">
        <v>2564</v>
      </c>
      <c r="C13514" s="1007">
        <f t="shared" si="293"/>
        <v>107</v>
      </c>
      <c r="D13514" s="1012"/>
      <c r="H13514" s="1011" t="s">
        <v>1007</v>
      </c>
      <c r="K13514" s="1013"/>
    </row>
    <row r="13515" spans="1:11" s="1011" customFormat="1" ht="15" x14ac:dyDescent="0.25">
      <c r="A13515" s="859">
        <f t="shared" si="294"/>
        <v>13514</v>
      </c>
      <c r="B13515" s="845" t="s">
        <v>2564</v>
      </c>
      <c r="C13515" s="1007">
        <f t="shared" si="293"/>
        <v>107</v>
      </c>
      <c r="D13515" s="1014"/>
      <c r="I13515" s="1011" t="s">
        <v>2179</v>
      </c>
      <c r="K13515" s="1013"/>
    </row>
    <row r="13516" spans="1:11" s="1011" customFormat="1" ht="15" x14ac:dyDescent="0.25">
      <c r="A13516" s="859">
        <f t="shared" si="294"/>
        <v>13515</v>
      </c>
      <c r="B13516" s="845" t="s">
        <v>2564</v>
      </c>
      <c r="C13516" s="1007">
        <f t="shared" si="293"/>
        <v>107</v>
      </c>
      <c r="D13516" s="1014"/>
      <c r="I13516" s="1011" t="str">
        <f>CONCATENATE("&lt;valeur&gt;",VLOOKUP(C13516,'T16 Amort'!A:K,7,0),"&lt;/valeur&gt;")</f>
        <v>&lt;valeur&gt;&lt;/valeur&gt;</v>
      </c>
      <c r="K13516" s="1013"/>
    </row>
    <row r="13517" spans="1:11" s="1011" customFormat="1" ht="15" x14ac:dyDescent="0.25">
      <c r="A13517" s="859">
        <f t="shared" si="294"/>
        <v>13516</v>
      </c>
      <c r="B13517" s="845" t="s">
        <v>2564</v>
      </c>
      <c r="C13517" s="1007">
        <f t="shared" si="293"/>
        <v>107</v>
      </c>
      <c r="D13517" s="1012"/>
      <c r="I13517" s="1011" t="str">
        <f>CONCATENATE("&lt;numeroLigne&gt;",C13517,"&lt;/numeroLigne&gt;")</f>
        <v>&lt;numeroLigne&gt;107&lt;/numeroLigne&gt;</v>
      </c>
      <c r="K13517" s="1013"/>
    </row>
    <row r="13518" spans="1:11" s="1011" customFormat="1" ht="15" x14ac:dyDescent="0.25">
      <c r="A13518" s="859">
        <f t="shared" si="294"/>
        <v>13517</v>
      </c>
      <c r="B13518" s="845" t="s">
        <v>2564</v>
      </c>
      <c r="C13518" s="1007">
        <f t="shared" si="293"/>
        <v>107</v>
      </c>
      <c r="D13518" s="1015"/>
      <c r="H13518" s="1011" t="s">
        <v>1010</v>
      </c>
      <c r="K13518" s="1013"/>
    </row>
    <row r="13519" spans="1:11" s="1011" customFormat="1" ht="15" x14ac:dyDescent="0.25">
      <c r="A13519" s="859">
        <f t="shared" si="294"/>
        <v>13518</v>
      </c>
      <c r="B13519" s="845" t="s">
        <v>2564</v>
      </c>
      <c r="C13519" s="1007">
        <f t="shared" si="293"/>
        <v>107</v>
      </c>
      <c r="D13519" s="1012"/>
      <c r="H13519" s="1011" t="s">
        <v>1007</v>
      </c>
      <c r="K13519" s="1013"/>
    </row>
    <row r="13520" spans="1:11" s="1011" customFormat="1" ht="15" x14ac:dyDescent="0.25">
      <c r="A13520" s="859">
        <f t="shared" si="294"/>
        <v>13519</v>
      </c>
      <c r="B13520" s="845" t="s">
        <v>2564</v>
      </c>
      <c r="C13520" s="1007">
        <f t="shared" si="293"/>
        <v>107</v>
      </c>
      <c r="D13520" s="1012"/>
      <c r="I13520" s="1011" t="s">
        <v>2180</v>
      </c>
      <c r="K13520" s="1013"/>
    </row>
    <row r="13521" spans="1:11" s="1011" customFormat="1" ht="15" x14ac:dyDescent="0.25">
      <c r="A13521" s="859">
        <f t="shared" si="294"/>
        <v>13520</v>
      </c>
      <c r="B13521" s="845" t="s">
        <v>2564</v>
      </c>
      <c r="C13521" s="1007">
        <f t="shared" si="293"/>
        <v>107</v>
      </c>
      <c r="D13521" s="1014"/>
      <c r="I13521" s="1011" t="str">
        <f>CONCATENATE("&lt;valeur&gt;",VLOOKUP(C13521,'T16 Amort'!A:K,8,0),"&lt;/valeur&gt;")</f>
        <v>&lt;valeur&gt;&lt;/valeur&gt;</v>
      </c>
      <c r="K13521" s="1013"/>
    </row>
    <row r="13522" spans="1:11" s="1011" customFormat="1" ht="15" x14ac:dyDescent="0.25">
      <c r="A13522" s="859">
        <f t="shared" si="294"/>
        <v>13521</v>
      </c>
      <c r="B13522" s="845" t="s">
        <v>2564</v>
      </c>
      <c r="C13522" s="1007">
        <f t="shared" si="293"/>
        <v>107</v>
      </c>
      <c r="D13522" s="1014"/>
      <c r="I13522" s="1011" t="str">
        <f>CONCATENATE("&lt;numeroLigne&gt;",C13522,"&lt;/numeroLigne&gt;")</f>
        <v>&lt;numeroLigne&gt;107&lt;/numeroLigne&gt;</v>
      </c>
      <c r="K13522" s="1013"/>
    </row>
    <row r="13523" spans="1:11" s="1011" customFormat="1" ht="15" x14ac:dyDescent="0.25">
      <c r="A13523" s="859">
        <f t="shared" si="294"/>
        <v>13522</v>
      </c>
      <c r="B13523" s="845" t="s">
        <v>2564</v>
      </c>
      <c r="C13523" s="1007">
        <f t="shared" si="293"/>
        <v>107</v>
      </c>
      <c r="D13523" s="1012"/>
      <c r="H13523" s="1011" t="s">
        <v>1010</v>
      </c>
      <c r="K13523" s="1013"/>
    </row>
    <row r="13524" spans="1:11" s="1011" customFormat="1" ht="15" x14ac:dyDescent="0.25">
      <c r="A13524" s="859">
        <f t="shared" si="294"/>
        <v>13523</v>
      </c>
      <c r="B13524" s="845" t="s">
        <v>2564</v>
      </c>
      <c r="C13524" s="1007">
        <f t="shared" si="293"/>
        <v>107</v>
      </c>
      <c r="D13524" s="1015"/>
      <c r="H13524" s="1011" t="s">
        <v>1007</v>
      </c>
      <c r="K13524" s="1013"/>
    </row>
    <row r="13525" spans="1:11" s="1011" customFormat="1" ht="15" x14ac:dyDescent="0.25">
      <c r="A13525" s="859">
        <f t="shared" si="294"/>
        <v>13524</v>
      </c>
      <c r="B13525" s="845" t="s">
        <v>2564</v>
      </c>
      <c r="C13525" s="1007">
        <f t="shared" si="293"/>
        <v>107</v>
      </c>
      <c r="D13525" s="1012"/>
      <c r="I13525" s="1011" t="s">
        <v>2181</v>
      </c>
      <c r="K13525" s="1013"/>
    </row>
    <row r="13526" spans="1:11" s="1011" customFormat="1" ht="15" x14ac:dyDescent="0.25">
      <c r="A13526" s="859">
        <f t="shared" si="294"/>
        <v>13525</v>
      </c>
      <c r="B13526" s="845" t="s">
        <v>2564</v>
      </c>
      <c r="C13526" s="1007">
        <f t="shared" si="293"/>
        <v>107</v>
      </c>
      <c r="D13526" s="1012"/>
      <c r="I13526" s="1011" t="str">
        <f>CONCATENATE("&lt;valeur&gt;",VLOOKUP(C13526,'T16 Amort'!A:K,9,0),"&lt;/valeur&gt;")</f>
        <v>&lt;valeur&gt;&lt;/valeur&gt;</v>
      </c>
      <c r="K13526" s="1013"/>
    </row>
    <row r="13527" spans="1:11" s="1011" customFormat="1" ht="15" x14ac:dyDescent="0.25">
      <c r="A13527" s="859">
        <f t="shared" si="294"/>
        <v>13526</v>
      </c>
      <c r="B13527" s="845" t="s">
        <v>2564</v>
      </c>
      <c r="C13527" s="1007">
        <f t="shared" si="293"/>
        <v>107</v>
      </c>
      <c r="D13527" s="1014"/>
      <c r="I13527" s="1011" t="str">
        <f>CONCATENATE("&lt;numeroLigne&gt;",C13527,"&lt;/numeroLigne&gt;")</f>
        <v>&lt;numeroLigne&gt;107&lt;/numeroLigne&gt;</v>
      </c>
      <c r="K13527" s="1013"/>
    </row>
    <row r="13528" spans="1:11" s="1011" customFormat="1" ht="15" x14ac:dyDescent="0.25">
      <c r="A13528" s="859">
        <f t="shared" si="294"/>
        <v>13527</v>
      </c>
      <c r="B13528" s="845" t="s">
        <v>2564</v>
      </c>
      <c r="C13528" s="1007">
        <f t="shared" si="293"/>
        <v>107</v>
      </c>
      <c r="D13528" s="1014"/>
      <c r="H13528" s="1011" t="s">
        <v>1010</v>
      </c>
      <c r="K13528" s="1013"/>
    </row>
    <row r="13529" spans="1:11" s="1011" customFormat="1" ht="15" x14ac:dyDescent="0.25">
      <c r="A13529" s="859">
        <f t="shared" si="294"/>
        <v>13528</v>
      </c>
      <c r="B13529" s="845" t="s">
        <v>2564</v>
      </c>
      <c r="C13529" s="1007">
        <f t="shared" si="293"/>
        <v>107</v>
      </c>
      <c r="D13529" s="1012"/>
      <c r="H13529" s="1011" t="s">
        <v>1007</v>
      </c>
      <c r="K13529" s="1013"/>
    </row>
    <row r="13530" spans="1:11" s="1011" customFormat="1" ht="15" x14ac:dyDescent="0.25">
      <c r="A13530" s="859">
        <f t="shared" si="294"/>
        <v>13529</v>
      </c>
      <c r="B13530" s="845" t="s">
        <v>2564</v>
      </c>
      <c r="C13530" s="1007">
        <f t="shared" si="293"/>
        <v>107</v>
      </c>
      <c r="D13530" s="1015"/>
      <c r="I13530" s="1011" t="s">
        <v>2182</v>
      </c>
      <c r="K13530" s="1013"/>
    </row>
    <row r="13531" spans="1:11" s="1011" customFormat="1" ht="15" x14ac:dyDescent="0.25">
      <c r="A13531" s="859">
        <f t="shared" si="294"/>
        <v>13530</v>
      </c>
      <c r="B13531" s="845" t="s">
        <v>2564</v>
      </c>
      <c r="C13531" s="1007">
        <f t="shared" si="293"/>
        <v>107</v>
      </c>
      <c r="D13531" s="1012"/>
      <c r="I13531" s="1011" t="str">
        <f>CONCATENATE("&lt;valeur&gt;",VLOOKUP(C13531,'T16 Amort'!A:K,10,0),"&lt;/valeur&gt;")</f>
        <v>&lt;valeur&gt;&lt;/valeur&gt;</v>
      </c>
      <c r="K13531" s="1013"/>
    </row>
    <row r="13532" spans="1:11" s="1011" customFormat="1" ht="15" x14ac:dyDescent="0.25">
      <c r="A13532" s="859">
        <f t="shared" si="294"/>
        <v>13531</v>
      </c>
      <c r="B13532" s="845" t="s">
        <v>2564</v>
      </c>
      <c r="C13532" s="1007">
        <f t="shared" si="293"/>
        <v>107</v>
      </c>
      <c r="D13532" s="1012"/>
      <c r="I13532" s="1011" t="str">
        <f>CONCATENATE("&lt;numeroLigne&gt;",C13532,"&lt;/numeroLigne&gt;")</f>
        <v>&lt;numeroLigne&gt;107&lt;/numeroLigne&gt;</v>
      </c>
      <c r="K13532" s="1013"/>
    </row>
    <row r="13533" spans="1:11" s="1011" customFormat="1" ht="15" x14ac:dyDescent="0.25">
      <c r="A13533" s="859">
        <f t="shared" si="294"/>
        <v>13532</v>
      </c>
      <c r="B13533" s="845" t="s">
        <v>2564</v>
      </c>
      <c r="C13533" s="1007">
        <f t="shared" si="293"/>
        <v>107</v>
      </c>
      <c r="D13533" s="1014"/>
      <c r="H13533" s="1011" t="s">
        <v>1010</v>
      </c>
      <c r="K13533" s="1013"/>
    </row>
    <row r="13534" spans="1:11" s="1011" customFormat="1" ht="15" x14ac:dyDescent="0.25">
      <c r="A13534" s="859">
        <f t="shared" si="294"/>
        <v>13533</v>
      </c>
      <c r="B13534" s="845" t="s">
        <v>2564</v>
      </c>
      <c r="C13534" s="1007">
        <f t="shared" si="293"/>
        <v>107</v>
      </c>
      <c r="D13534" s="1014"/>
      <c r="H13534" s="1011" t="s">
        <v>1007</v>
      </c>
      <c r="K13534" s="1013"/>
    </row>
    <row r="13535" spans="1:11" s="1011" customFormat="1" ht="15" x14ac:dyDescent="0.25">
      <c r="A13535" s="859">
        <f t="shared" si="294"/>
        <v>13534</v>
      </c>
      <c r="B13535" s="845" t="s">
        <v>2564</v>
      </c>
      <c r="C13535" s="1007">
        <f t="shared" si="293"/>
        <v>107</v>
      </c>
      <c r="D13535" s="1012"/>
      <c r="I13535" s="1011" t="s">
        <v>2183</v>
      </c>
      <c r="K13535" s="1013"/>
    </row>
    <row r="13536" spans="1:11" s="1011" customFormat="1" ht="15" x14ac:dyDescent="0.25">
      <c r="A13536" s="859">
        <f t="shared" si="294"/>
        <v>13535</v>
      </c>
      <c r="B13536" s="845" t="s">
        <v>2564</v>
      </c>
      <c r="C13536" s="1007">
        <f t="shared" si="293"/>
        <v>107</v>
      </c>
      <c r="D13536" s="1015"/>
      <c r="I13536" s="1011" t="str">
        <f>CONCATENATE("&lt;valeur&gt;",VLOOKUP(C13536,'T16 Amort'!A:K,11,0),"&lt;/valeur&gt;")</f>
        <v>&lt;valeur&gt;&lt;/valeur&gt;</v>
      </c>
      <c r="K13536" s="1013"/>
    </row>
    <row r="13537" spans="1:11" s="1011" customFormat="1" ht="15" x14ac:dyDescent="0.25">
      <c r="A13537" s="859">
        <f t="shared" si="294"/>
        <v>13536</v>
      </c>
      <c r="B13537" s="845" t="s">
        <v>2564</v>
      </c>
      <c r="C13537" s="1007">
        <f t="shared" si="293"/>
        <v>107</v>
      </c>
      <c r="D13537" s="1012"/>
      <c r="I13537" s="1011" t="str">
        <f>CONCATENATE("&lt;numeroLigne&gt;",C13537,"&lt;/numeroLigne&gt;")</f>
        <v>&lt;numeroLigne&gt;107&lt;/numeroLigne&gt;</v>
      </c>
      <c r="K13537" s="1013"/>
    </row>
    <row r="13538" spans="1:11" s="1011" customFormat="1" ht="15" x14ac:dyDescent="0.25">
      <c r="A13538" s="859">
        <f t="shared" si="294"/>
        <v>13537</v>
      </c>
      <c r="B13538" s="845" t="s">
        <v>2564</v>
      </c>
      <c r="C13538" s="1007">
        <f t="shared" si="293"/>
        <v>107</v>
      </c>
      <c r="D13538" s="1016"/>
      <c r="E13538" s="1017"/>
      <c r="F13538" s="1017"/>
      <c r="G13538" s="1017"/>
      <c r="H13538" s="1017" t="s">
        <v>1010</v>
      </c>
      <c r="I13538" s="1017"/>
      <c r="J13538" s="1017"/>
      <c r="K13538" s="1018"/>
    </row>
    <row r="13539" spans="1:11" s="1011" customFormat="1" ht="15" x14ac:dyDescent="0.25">
      <c r="A13539" s="859">
        <f t="shared" si="294"/>
        <v>13538</v>
      </c>
      <c r="B13539" s="845" t="s">
        <v>2564</v>
      </c>
      <c r="C13539" s="1007">
        <f t="shared" si="293"/>
        <v>108</v>
      </c>
      <c r="D13539" s="1008"/>
      <c r="E13539" s="1009"/>
      <c r="F13539" s="1009"/>
      <c r="G13539" s="1009"/>
      <c r="H13539" s="1009" t="s">
        <v>1007</v>
      </c>
      <c r="I13539" s="1009"/>
      <c r="J13539" s="1009"/>
      <c r="K13539" s="1010"/>
    </row>
    <row r="13540" spans="1:11" s="1011" customFormat="1" ht="15" x14ac:dyDescent="0.25">
      <c r="A13540" s="859">
        <f t="shared" si="294"/>
        <v>13539</v>
      </c>
      <c r="B13540" s="845" t="s">
        <v>2564</v>
      </c>
      <c r="C13540" s="1007">
        <f t="shared" si="293"/>
        <v>108</v>
      </c>
      <c r="D13540" s="1012"/>
      <c r="I13540" s="1011" t="s">
        <v>2174</v>
      </c>
      <c r="K13540" s="1013"/>
    </row>
    <row r="13541" spans="1:11" s="1011" customFormat="1" ht="15" x14ac:dyDescent="0.25">
      <c r="A13541" s="859">
        <f t="shared" si="294"/>
        <v>13540</v>
      </c>
      <c r="B13541" s="845" t="s">
        <v>2564</v>
      </c>
      <c r="C13541" s="1007">
        <f t="shared" si="293"/>
        <v>108</v>
      </c>
      <c r="D13541" s="1014"/>
      <c r="I13541" s="1011" t="str">
        <f>CONCATENATE("&lt;valeur&gt;",VLOOKUP(C13541,'T16 Amort'!A:K,2,0),"&lt;/valeur&gt;")</f>
        <v>&lt;valeur&gt;&lt;/valeur&gt;</v>
      </c>
      <c r="K13541" s="1013"/>
    </row>
    <row r="13542" spans="1:11" s="1011" customFormat="1" ht="15" x14ac:dyDescent="0.25">
      <c r="A13542" s="859">
        <f t="shared" si="294"/>
        <v>13541</v>
      </c>
      <c r="B13542" s="845" t="s">
        <v>2564</v>
      </c>
      <c r="C13542" s="1007">
        <f t="shared" si="293"/>
        <v>108</v>
      </c>
      <c r="D13542" s="1014"/>
      <c r="I13542" s="1011" t="str">
        <f>CONCATENATE("&lt;numeroLigne&gt;",C13542,"&lt;/numeroLigne&gt;")</f>
        <v>&lt;numeroLigne&gt;108&lt;/numeroLigne&gt;</v>
      </c>
      <c r="K13542" s="1013"/>
    </row>
    <row r="13543" spans="1:11" s="1011" customFormat="1" ht="15" x14ac:dyDescent="0.25">
      <c r="A13543" s="859">
        <f t="shared" si="294"/>
        <v>13542</v>
      </c>
      <c r="B13543" s="845" t="s">
        <v>2564</v>
      </c>
      <c r="C13543" s="1007">
        <f t="shared" si="293"/>
        <v>108</v>
      </c>
      <c r="D13543" s="1012"/>
      <c r="H13543" s="1011" t="s">
        <v>1010</v>
      </c>
      <c r="K13543" s="1013"/>
    </row>
    <row r="13544" spans="1:11" s="1011" customFormat="1" ht="15" x14ac:dyDescent="0.25">
      <c r="A13544" s="859">
        <f t="shared" si="294"/>
        <v>13543</v>
      </c>
      <c r="B13544" s="845" t="s">
        <v>2564</v>
      </c>
      <c r="C13544" s="1007">
        <f t="shared" si="293"/>
        <v>108</v>
      </c>
      <c r="D13544" s="1015"/>
      <c r="H13544" s="1011" t="s">
        <v>1007</v>
      </c>
      <c r="K13544" s="1013"/>
    </row>
    <row r="13545" spans="1:11" s="1011" customFormat="1" ht="15" x14ac:dyDescent="0.25">
      <c r="A13545" s="859">
        <f t="shared" si="294"/>
        <v>13544</v>
      </c>
      <c r="B13545" s="845" t="s">
        <v>2564</v>
      </c>
      <c r="C13545" s="1007">
        <f t="shared" si="293"/>
        <v>108</v>
      </c>
      <c r="D13545" s="1012"/>
      <c r="I13545" s="1011" t="s">
        <v>2175</v>
      </c>
      <c r="K13545" s="1013"/>
    </row>
    <row r="13546" spans="1:11" s="1011" customFormat="1" ht="15" x14ac:dyDescent="0.25">
      <c r="A13546" s="859">
        <f t="shared" si="294"/>
        <v>13545</v>
      </c>
      <c r="B13546" s="845" t="s">
        <v>2564</v>
      </c>
      <c r="C13546" s="1007">
        <f t="shared" si="293"/>
        <v>108</v>
      </c>
      <c r="D13546" s="1012"/>
      <c r="I13546" s="1011" t="str">
        <f>CONCATENATE("&lt;valeur&gt;",VLOOKUP(C13546,'T16 Amort'!A:K,3,0),"&lt;/valeur&gt;")</f>
        <v>&lt;valeur&gt;&lt;/valeur&gt;</v>
      </c>
      <c r="K13546" s="1013"/>
    </row>
    <row r="13547" spans="1:11" s="1011" customFormat="1" ht="15" x14ac:dyDescent="0.25">
      <c r="A13547" s="859">
        <f t="shared" si="294"/>
        <v>13546</v>
      </c>
      <c r="B13547" s="845" t="s">
        <v>2564</v>
      </c>
      <c r="C13547" s="1007">
        <f t="shared" si="293"/>
        <v>108</v>
      </c>
      <c r="D13547" s="1014"/>
      <c r="I13547" s="1011" t="str">
        <f>CONCATENATE("&lt;numeroLigne&gt;",C13547,"&lt;/numeroLigne&gt;")</f>
        <v>&lt;numeroLigne&gt;108&lt;/numeroLigne&gt;</v>
      </c>
      <c r="K13547" s="1013"/>
    </row>
    <row r="13548" spans="1:11" s="1011" customFormat="1" ht="15" x14ac:dyDescent="0.25">
      <c r="A13548" s="859">
        <f t="shared" si="294"/>
        <v>13547</v>
      </c>
      <c r="B13548" s="845" t="s">
        <v>2564</v>
      </c>
      <c r="C13548" s="1007">
        <f t="shared" si="293"/>
        <v>108</v>
      </c>
      <c r="D13548" s="1014"/>
      <c r="H13548" s="1011" t="s">
        <v>1010</v>
      </c>
      <c r="K13548" s="1013"/>
    </row>
    <row r="13549" spans="1:11" s="1011" customFormat="1" ht="15" x14ac:dyDescent="0.25">
      <c r="A13549" s="859">
        <f t="shared" si="294"/>
        <v>13548</v>
      </c>
      <c r="B13549" s="845" t="s">
        <v>2564</v>
      </c>
      <c r="C13549" s="1007">
        <f t="shared" si="293"/>
        <v>108</v>
      </c>
      <c r="D13549" s="1012"/>
      <c r="H13549" s="1011" t="s">
        <v>1007</v>
      </c>
      <c r="K13549" s="1013"/>
    </row>
    <row r="13550" spans="1:11" s="1011" customFormat="1" ht="15" x14ac:dyDescent="0.25">
      <c r="A13550" s="859">
        <f t="shared" si="294"/>
        <v>13549</v>
      </c>
      <c r="B13550" s="845" t="s">
        <v>2564</v>
      </c>
      <c r="C13550" s="1007">
        <f t="shared" si="293"/>
        <v>108</v>
      </c>
      <c r="D13550" s="1015"/>
      <c r="I13550" s="1011" t="s">
        <v>2176</v>
      </c>
      <c r="K13550" s="1013"/>
    </row>
    <row r="13551" spans="1:11" s="1011" customFormat="1" ht="15" x14ac:dyDescent="0.25">
      <c r="A13551" s="859">
        <f t="shared" si="294"/>
        <v>13550</v>
      </c>
      <c r="B13551" s="845" t="s">
        <v>2564</v>
      </c>
      <c r="C13551" s="1007">
        <f t="shared" ref="C13551:C13614" si="295">C13501+1</f>
        <v>108</v>
      </c>
      <c r="D13551" s="1012"/>
      <c r="I13551" s="1011" t="str">
        <f>CONCATENATE("&lt;valeur&gt;",VLOOKUP(C13551,'T16 Amort'!A:K,4,0),"&lt;/valeur&gt;")</f>
        <v>&lt;valeur&gt;&lt;/valeur&gt;</v>
      </c>
      <c r="K13551" s="1013"/>
    </row>
    <row r="13552" spans="1:11" s="1011" customFormat="1" ht="15" x14ac:dyDescent="0.25">
      <c r="A13552" s="859">
        <f t="shared" si="294"/>
        <v>13551</v>
      </c>
      <c r="B13552" s="845" t="s">
        <v>2564</v>
      </c>
      <c r="C13552" s="1007">
        <f t="shared" si="295"/>
        <v>108</v>
      </c>
      <c r="D13552" s="1012"/>
      <c r="I13552" s="1011" t="str">
        <f>CONCATENATE("&lt;numeroLigne&gt;",C13552,"&lt;/numeroLigne&gt;")</f>
        <v>&lt;numeroLigne&gt;108&lt;/numeroLigne&gt;</v>
      </c>
      <c r="K13552" s="1013"/>
    </row>
    <row r="13553" spans="1:11" s="1011" customFormat="1" ht="15" x14ac:dyDescent="0.25">
      <c r="A13553" s="859">
        <f t="shared" si="294"/>
        <v>13552</v>
      </c>
      <c r="B13553" s="845" t="s">
        <v>2564</v>
      </c>
      <c r="C13553" s="1007">
        <f t="shared" si="295"/>
        <v>108</v>
      </c>
      <c r="D13553" s="1014"/>
      <c r="H13553" s="1011" t="s">
        <v>1010</v>
      </c>
      <c r="K13553" s="1013"/>
    </row>
    <row r="13554" spans="1:11" s="1011" customFormat="1" ht="15" x14ac:dyDescent="0.25">
      <c r="A13554" s="859">
        <f t="shared" si="294"/>
        <v>13553</v>
      </c>
      <c r="B13554" s="845" t="s">
        <v>2564</v>
      </c>
      <c r="C13554" s="1007">
        <f t="shared" si="295"/>
        <v>108</v>
      </c>
      <c r="D13554" s="1014"/>
      <c r="H13554" s="1011" t="s">
        <v>1007</v>
      </c>
      <c r="K13554" s="1013"/>
    </row>
    <row r="13555" spans="1:11" s="1011" customFormat="1" ht="15" x14ac:dyDescent="0.25">
      <c r="A13555" s="859">
        <f t="shared" si="294"/>
        <v>13554</v>
      </c>
      <c r="B13555" s="845" t="s">
        <v>2564</v>
      </c>
      <c r="C13555" s="1007">
        <f t="shared" si="295"/>
        <v>108</v>
      </c>
      <c r="D13555" s="1012"/>
      <c r="I13555" s="1011" t="s">
        <v>2177</v>
      </c>
      <c r="K13555" s="1013"/>
    </row>
    <row r="13556" spans="1:11" s="1011" customFormat="1" ht="15" x14ac:dyDescent="0.25">
      <c r="A13556" s="859">
        <f t="shared" si="294"/>
        <v>13555</v>
      </c>
      <c r="B13556" s="845" t="s">
        <v>2564</v>
      </c>
      <c r="C13556" s="1007">
        <f t="shared" si="295"/>
        <v>108</v>
      </c>
      <c r="D13556" s="1015"/>
      <c r="I13556" s="1011" t="str">
        <f>CONCATENATE("&lt;valeur&gt;",VLOOKUP(C13556,'T16 Amort'!A:K,5,0),"&lt;/valeur&gt;")</f>
        <v>&lt;valeur&gt;&lt;/valeur&gt;</v>
      </c>
      <c r="K13556" s="1013"/>
    </row>
    <row r="13557" spans="1:11" s="1011" customFormat="1" ht="15" x14ac:dyDescent="0.25">
      <c r="A13557" s="859">
        <f t="shared" si="294"/>
        <v>13556</v>
      </c>
      <c r="B13557" s="845" t="s">
        <v>2564</v>
      </c>
      <c r="C13557" s="1007">
        <f t="shared" si="295"/>
        <v>108</v>
      </c>
      <c r="D13557" s="1012"/>
      <c r="I13557" s="1011" t="str">
        <f>CONCATENATE("&lt;numeroLigne&gt;",C13557,"&lt;/numeroLigne&gt;")</f>
        <v>&lt;numeroLigne&gt;108&lt;/numeroLigne&gt;</v>
      </c>
      <c r="K13557" s="1013"/>
    </row>
    <row r="13558" spans="1:11" s="1011" customFormat="1" ht="15" x14ac:dyDescent="0.25">
      <c r="A13558" s="859">
        <f t="shared" si="294"/>
        <v>13557</v>
      </c>
      <c r="B13558" s="845" t="s">
        <v>2564</v>
      </c>
      <c r="C13558" s="1007">
        <f t="shared" si="295"/>
        <v>108</v>
      </c>
      <c r="D13558" s="1012"/>
      <c r="H13558" s="1011" t="s">
        <v>1010</v>
      </c>
      <c r="K13558" s="1013"/>
    </row>
    <row r="13559" spans="1:11" s="1011" customFormat="1" ht="15" x14ac:dyDescent="0.25">
      <c r="A13559" s="859">
        <f t="shared" si="294"/>
        <v>13558</v>
      </c>
      <c r="B13559" s="845" t="s">
        <v>2564</v>
      </c>
      <c r="C13559" s="1007">
        <f t="shared" si="295"/>
        <v>108</v>
      </c>
      <c r="D13559" s="1014"/>
      <c r="H13559" s="1011" t="s">
        <v>1007</v>
      </c>
      <c r="K13559" s="1013"/>
    </row>
    <row r="13560" spans="1:11" s="1011" customFormat="1" ht="15" x14ac:dyDescent="0.25">
      <c r="A13560" s="859">
        <f t="shared" si="294"/>
        <v>13559</v>
      </c>
      <c r="B13560" s="845" t="s">
        <v>2564</v>
      </c>
      <c r="C13560" s="1007">
        <f t="shared" si="295"/>
        <v>108</v>
      </c>
      <c r="D13560" s="1014"/>
      <c r="I13560" s="1011" t="s">
        <v>2178</v>
      </c>
      <c r="K13560" s="1013"/>
    </row>
    <row r="13561" spans="1:11" s="1011" customFormat="1" ht="15" x14ac:dyDescent="0.25">
      <c r="A13561" s="859">
        <f t="shared" si="294"/>
        <v>13560</v>
      </c>
      <c r="B13561" s="845" t="s">
        <v>2564</v>
      </c>
      <c r="C13561" s="1007">
        <f t="shared" si="295"/>
        <v>108</v>
      </c>
      <c r="D13561" s="1012"/>
      <c r="I13561" s="1011" t="str">
        <f>CONCATENATE("&lt;valeur&gt;",VLOOKUP(C13561,'T16 Amort'!A:K,6,0),"&lt;/valeur&gt;")</f>
        <v>&lt;valeur&gt;&lt;/valeur&gt;</v>
      </c>
      <c r="K13561" s="1013"/>
    </row>
    <row r="13562" spans="1:11" s="1011" customFormat="1" ht="15" x14ac:dyDescent="0.25">
      <c r="A13562" s="859">
        <f t="shared" si="294"/>
        <v>13561</v>
      </c>
      <c r="B13562" s="845" t="s">
        <v>2564</v>
      </c>
      <c r="C13562" s="1007">
        <f t="shared" si="295"/>
        <v>108</v>
      </c>
      <c r="D13562" s="1015"/>
      <c r="I13562" s="1011" t="str">
        <f>CONCATENATE("&lt;numeroLigne&gt;",C13562,"&lt;/numeroLigne&gt;")</f>
        <v>&lt;numeroLigne&gt;108&lt;/numeroLigne&gt;</v>
      </c>
      <c r="K13562" s="1013"/>
    </row>
    <row r="13563" spans="1:11" s="1011" customFormat="1" ht="15" x14ac:dyDescent="0.25">
      <c r="A13563" s="859">
        <f t="shared" si="294"/>
        <v>13562</v>
      </c>
      <c r="B13563" s="845" t="s">
        <v>2564</v>
      </c>
      <c r="C13563" s="1007">
        <f t="shared" si="295"/>
        <v>108</v>
      </c>
      <c r="D13563" s="1012"/>
      <c r="H13563" s="1011" t="s">
        <v>1010</v>
      </c>
      <c r="K13563" s="1013"/>
    </row>
    <row r="13564" spans="1:11" s="1011" customFormat="1" ht="15" x14ac:dyDescent="0.25">
      <c r="A13564" s="859">
        <f t="shared" si="294"/>
        <v>13563</v>
      </c>
      <c r="B13564" s="845" t="s">
        <v>2564</v>
      </c>
      <c r="C13564" s="1007">
        <f t="shared" si="295"/>
        <v>108</v>
      </c>
      <c r="D13564" s="1012"/>
      <c r="H13564" s="1011" t="s">
        <v>1007</v>
      </c>
      <c r="K13564" s="1013"/>
    </row>
    <row r="13565" spans="1:11" s="1011" customFormat="1" ht="15" x14ac:dyDescent="0.25">
      <c r="A13565" s="859">
        <f t="shared" si="294"/>
        <v>13564</v>
      </c>
      <c r="B13565" s="845" t="s">
        <v>2564</v>
      </c>
      <c r="C13565" s="1007">
        <f t="shared" si="295"/>
        <v>108</v>
      </c>
      <c r="D13565" s="1014"/>
      <c r="I13565" s="1011" t="s">
        <v>2179</v>
      </c>
      <c r="K13565" s="1013"/>
    </row>
    <row r="13566" spans="1:11" s="1011" customFormat="1" ht="15" x14ac:dyDescent="0.25">
      <c r="A13566" s="859">
        <f t="shared" si="294"/>
        <v>13565</v>
      </c>
      <c r="B13566" s="845" t="s">
        <v>2564</v>
      </c>
      <c r="C13566" s="1007">
        <f t="shared" si="295"/>
        <v>108</v>
      </c>
      <c r="D13566" s="1014"/>
      <c r="I13566" s="1011" t="str">
        <f>CONCATENATE("&lt;valeur&gt;",VLOOKUP(C13566,'T16 Amort'!A:K,7,0),"&lt;/valeur&gt;")</f>
        <v>&lt;valeur&gt;&lt;/valeur&gt;</v>
      </c>
      <c r="K13566" s="1013"/>
    </row>
    <row r="13567" spans="1:11" s="1011" customFormat="1" ht="15" x14ac:dyDescent="0.25">
      <c r="A13567" s="859">
        <f t="shared" si="294"/>
        <v>13566</v>
      </c>
      <c r="B13567" s="845" t="s">
        <v>2564</v>
      </c>
      <c r="C13567" s="1007">
        <f t="shared" si="295"/>
        <v>108</v>
      </c>
      <c r="D13567" s="1012"/>
      <c r="I13567" s="1011" t="str">
        <f>CONCATENATE("&lt;numeroLigne&gt;",C13567,"&lt;/numeroLigne&gt;")</f>
        <v>&lt;numeroLigne&gt;108&lt;/numeroLigne&gt;</v>
      </c>
      <c r="K13567" s="1013"/>
    </row>
    <row r="13568" spans="1:11" s="1011" customFormat="1" ht="15" x14ac:dyDescent="0.25">
      <c r="A13568" s="859">
        <f t="shared" si="294"/>
        <v>13567</v>
      </c>
      <c r="B13568" s="845" t="s">
        <v>2564</v>
      </c>
      <c r="C13568" s="1007">
        <f t="shared" si="295"/>
        <v>108</v>
      </c>
      <c r="D13568" s="1015"/>
      <c r="H13568" s="1011" t="s">
        <v>1010</v>
      </c>
      <c r="K13568" s="1013"/>
    </row>
    <row r="13569" spans="1:11" s="1011" customFormat="1" ht="15" x14ac:dyDescent="0.25">
      <c r="A13569" s="859">
        <f t="shared" si="294"/>
        <v>13568</v>
      </c>
      <c r="B13569" s="845" t="s">
        <v>2564</v>
      </c>
      <c r="C13569" s="1007">
        <f t="shared" si="295"/>
        <v>108</v>
      </c>
      <c r="D13569" s="1012"/>
      <c r="H13569" s="1011" t="s">
        <v>1007</v>
      </c>
      <c r="K13569" s="1013"/>
    </row>
    <row r="13570" spans="1:11" s="1011" customFormat="1" ht="15" x14ac:dyDescent="0.25">
      <c r="A13570" s="859">
        <f t="shared" si="294"/>
        <v>13569</v>
      </c>
      <c r="B13570" s="845" t="s">
        <v>2564</v>
      </c>
      <c r="C13570" s="1007">
        <f t="shared" si="295"/>
        <v>108</v>
      </c>
      <c r="D13570" s="1012"/>
      <c r="I13570" s="1011" t="s">
        <v>2180</v>
      </c>
      <c r="K13570" s="1013"/>
    </row>
    <row r="13571" spans="1:11" s="1011" customFormat="1" ht="15" x14ac:dyDescent="0.25">
      <c r="A13571" s="859">
        <f t="shared" si="294"/>
        <v>13570</v>
      </c>
      <c r="B13571" s="845" t="s">
        <v>2564</v>
      </c>
      <c r="C13571" s="1007">
        <f t="shared" si="295"/>
        <v>108</v>
      </c>
      <c r="D13571" s="1014"/>
      <c r="I13571" s="1011" t="str">
        <f>CONCATENATE("&lt;valeur&gt;",VLOOKUP(C13571,'T16 Amort'!A:K,8,0),"&lt;/valeur&gt;")</f>
        <v>&lt;valeur&gt;&lt;/valeur&gt;</v>
      </c>
      <c r="K13571" s="1013"/>
    </row>
    <row r="13572" spans="1:11" s="1011" customFormat="1" ht="15" x14ac:dyDescent="0.25">
      <c r="A13572" s="859">
        <f t="shared" ref="A13572:A13635" si="296">+A13571+1</f>
        <v>13571</v>
      </c>
      <c r="B13572" s="845" t="s">
        <v>2564</v>
      </c>
      <c r="C13572" s="1007">
        <f t="shared" si="295"/>
        <v>108</v>
      </c>
      <c r="D13572" s="1014"/>
      <c r="I13572" s="1011" t="str">
        <f>CONCATENATE("&lt;numeroLigne&gt;",C13572,"&lt;/numeroLigne&gt;")</f>
        <v>&lt;numeroLigne&gt;108&lt;/numeroLigne&gt;</v>
      </c>
      <c r="K13572" s="1013"/>
    </row>
    <row r="13573" spans="1:11" s="1011" customFormat="1" ht="15" x14ac:dyDescent="0.25">
      <c r="A13573" s="859">
        <f t="shared" si="296"/>
        <v>13572</v>
      </c>
      <c r="B13573" s="845" t="s">
        <v>2564</v>
      </c>
      <c r="C13573" s="1007">
        <f t="shared" si="295"/>
        <v>108</v>
      </c>
      <c r="D13573" s="1012"/>
      <c r="H13573" s="1011" t="s">
        <v>1010</v>
      </c>
      <c r="K13573" s="1013"/>
    </row>
    <row r="13574" spans="1:11" s="1011" customFormat="1" ht="15" x14ac:dyDescent="0.25">
      <c r="A13574" s="859">
        <f t="shared" si="296"/>
        <v>13573</v>
      </c>
      <c r="B13574" s="845" t="s">
        <v>2564</v>
      </c>
      <c r="C13574" s="1007">
        <f t="shared" si="295"/>
        <v>108</v>
      </c>
      <c r="D13574" s="1015"/>
      <c r="H13574" s="1011" t="s">
        <v>1007</v>
      </c>
      <c r="K13574" s="1013"/>
    </row>
    <row r="13575" spans="1:11" s="1011" customFormat="1" ht="15" x14ac:dyDescent="0.25">
      <c r="A13575" s="859">
        <f t="shared" si="296"/>
        <v>13574</v>
      </c>
      <c r="B13575" s="845" t="s">
        <v>2564</v>
      </c>
      <c r="C13575" s="1007">
        <f t="shared" si="295"/>
        <v>108</v>
      </c>
      <c r="D13575" s="1012"/>
      <c r="I13575" s="1011" t="s">
        <v>2181</v>
      </c>
      <c r="K13575" s="1013"/>
    </row>
    <row r="13576" spans="1:11" s="1011" customFormat="1" ht="15" x14ac:dyDescent="0.25">
      <c r="A13576" s="859">
        <f t="shared" si="296"/>
        <v>13575</v>
      </c>
      <c r="B13576" s="845" t="s">
        <v>2564</v>
      </c>
      <c r="C13576" s="1007">
        <f t="shared" si="295"/>
        <v>108</v>
      </c>
      <c r="D13576" s="1012"/>
      <c r="I13576" s="1011" t="str">
        <f>CONCATENATE("&lt;valeur&gt;",VLOOKUP(C13576,'T16 Amort'!A:K,9,0),"&lt;/valeur&gt;")</f>
        <v>&lt;valeur&gt;&lt;/valeur&gt;</v>
      </c>
      <c r="K13576" s="1013"/>
    </row>
    <row r="13577" spans="1:11" s="1011" customFormat="1" ht="15" x14ac:dyDescent="0.25">
      <c r="A13577" s="859">
        <f t="shared" si="296"/>
        <v>13576</v>
      </c>
      <c r="B13577" s="845" t="s">
        <v>2564</v>
      </c>
      <c r="C13577" s="1007">
        <f t="shared" si="295"/>
        <v>108</v>
      </c>
      <c r="D13577" s="1014"/>
      <c r="I13577" s="1011" t="str">
        <f>CONCATENATE("&lt;numeroLigne&gt;",C13577,"&lt;/numeroLigne&gt;")</f>
        <v>&lt;numeroLigne&gt;108&lt;/numeroLigne&gt;</v>
      </c>
      <c r="K13577" s="1013"/>
    </row>
    <row r="13578" spans="1:11" s="1011" customFormat="1" ht="15" x14ac:dyDescent="0.25">
      <c r="A13578" s="859">
        <f t="shared" si="296"/>
        <v>13577</v>
      </c>
      <c r="B13578" s="845" t="s">
        <v>2564</v>
      </c>
      <c r="C13578" s="1007">
        <f t="shared" si="295"/>
        <v>108</v>
      </c>
      <c r="D13578" s="1014"/>
      <c r="H13578" s="1011" t="s">
        <v>1010</v>
      </c>
      <c r="K13578" s="1013"/>
    </row>
    <row r="13579" spans="1:11" s="1011" customFormat="1" ht="15" x14ac:dyDescent="0.25">
      <c r="A13579" s="859">
        <f t="shared" si="296"/>
        <v>13578</v>
      </c>
      <c r="B13579" s="845" t="s">
        <v>2564</v>
      </c>
      <c r="C13579" s="1007">
        <f t="shared" si="295"/>
        <v>108</v>
      </c>
      <c r="D13579" s="1012"/>
      <c r="H13579" s="1011" t="s">
        <v>1007</v>
      </c>
      <c r="K13579" s="1013"/>
    </row>
    <row r="13580" spans="1:11" s="1011" customFormat="1" ht="15" x14ac:dyDescent="0.25">
      <c r="A13580" s="859">
        <f t="shared" si="296"/>
        <v>13579</v>
      </c>
      <c r="B13580" s="845" t="s">
        <v>2564</v>
      </c>
      <c r="C13580" s="1007">
        <f t="shared" si="295"/>
        <v>108</v>
      </c>
      <c r="D13580" s="1015"/>
      <c r="I13580" s="1011" t="s">
        <v>2182</v>
      </c>
      <c r="K13580" s="1013"/>
    </row>
    <row r="13581" spans="1:11" s="1011" customFormat="1" ht="15" x14ac:dyDescent="0.25">
      <c r="A13581" s="859">
        <f t="shared" si="296"/>
        <v>13580</v>
      </c>
      <c r="B13581" s="845" t="s">
        <v>2564</v>
      </c>
      <c r="C13581" s="1007">
        <f t="shared" si="295"/>
        <v>108</v>
      </c>
      <c r="D13581" s="1012"/>
      <c r="I13581" s="1011" t="str">
        <f>CONCATENATE("&lt;valeur&gt;",VLOOKUP(C13581,'T16 Amort'!A:K,10,0),"&lt;/valeur&gt;")</f>
        <v>&lt;valeur&gt;&lt;/valeur&gt;</v>
      </c>
      <c r="K13581" s="1013"/>
    </row>
    <row r="13582" spans="1:11" s="1011" customFormat="1" ht="15" x14ac:dyDescent="0.25">
      <c r="A13582" s="859">
        <f t="shared" si="296"/>
        <v>13581</v>
      </c>
      <c r="B13582" s="845" t="s">
        <v>2564</v>
      </c>
      <c r="C13582" s="1007">
        <f t="shared" si="295"/>
        <v>108</v>
      </c>
      <c r="D13582" s="1012"/>
      <c r="I13582" s="1011" t="str">
        <f>CONCATENATE("&lt;numeroLigne&gt;",C13582,"&lt;/numeroLigne&gt;")</f>
        <v>&lt;numeroLigne&gt;108&lt;/numeroLigne&gt;</v>
      </c>
      <c r="K13582" s="1013"/>
    </row>
    <row r="13583" spans="1:11" s="1011" customFormat="1" ht="15" x14ac:dyDescent="0.25">
      <c r="A13583" s="859">
        <f t="shared" si="296"/>
        <v>13582</v>
      </c>
      <c r="B13583" s="845" t="s">
        <v>2564</v>
      </c>
      <c r="C13583" s="1007">
        <f t="shared" si="295"/>
        <v>108</v>
      </c>
      <c r="D13583" s="1014"/>
      <c r="H13583" s="1011" t="s">
        <v>1010</v>
      </c>
      <c r="K13583" s="1013"/>
    </row>
    <row r="13584" spans="1:11" s="1011" customFormat="1" ht="15" x14ac:dyDescent="0.25">
      <c r="A13584" s="859">
        <f t="shared" si="296"/>
        <v>13583</v>
      </c>
      <c r="B13584" s="845" t="s">
        <v>2564</v>
      </c>
      <c r="C13584" s="1007">
        <f t="shared" si="295"/>
        <v>108</v>
      </c>
      <c r="D13584" s="1014"/>
      <c r="H13584" s="1011" t="s">
        <v>1007</v>
      </c>
      <c r="K13584" s="1013"/>
    </row>
    <row r="13585" spans="1:11" s="1011" customFormat="1" ht="15" x14ac:dyDescent="0.25">
      <c r="A13585" s="859">
        <f t="shared" si="296"/>
        <v>13584</v>
      </c>
      <c r="B13585" s="845" t="s">
        <v>2564</v>
      </c>
      <c r="C13585" s="1007">
        <f t="shared" si="295"/>
        <v>108</v>
      </c>
      <c r="D13585" s="1012"/>
      <c r="I13585" s="1011" t="s">
        <v>2183</v>
      </c>
      <c r="K13585" s="1013"/>
    </row>
    <row r="13586" spans="1:11" s="1011" customFormat="1" ht="15" x14ac:dyDescent="0.25">
      <c r="A13586" s="859">
        <f t="shared" si="296"/>
        <v>13585</v>
      </c>
      <c r="B13586" s="845" t="s">
        <v>2564</v>
      </c>
      <c r="C13586" s="1007">
        <f t="shared" si="295"/>
        <v>108</v>
      </c>
      <c r="D13586" s="1015"/>
      <c r="I13586" s="1011" t="str">
        <f>CONCATENATE("&lt;valeur&gt;",VLOOKUP(C13586,'T16 Amort'!A:K,11,0),"&lt;/valeur&gt;")</f>
        <v>&lt;valeur&gt;&lt;/valeur&gt;</v>
      </c>
      <c r="K13586" s="1013"/>
    </row>
    <row r="13587" spans="1:11" s="1011" customFormat="1" ht="15" x14ac:dyDescent="0.25">
      <c r="A13587" s="859">
        <f t="shared" si="296"/>
        <v>13586</v>
      </c>
      <c r="B13587" s="845" t="s">
        <v>2564</v>
      </c>
      <c r="C13587" s="1007">
        <f t="shared" si="295"/>
        <v>108</v>
      </c>
      <c r="D13587" s="1012"/>
      <c r="I13587" s="1011" t="str">
        <f>CONCATENATE("&lt;numeroLigne&gt;",C13587,"&lt;/numeroLigne&gt;")</f>
        <v>&lt;numeroLigne&gt;108&lt;/numeroLigne&gt;</v>
      </c>
      <c r="K13587" s="1013"/>
    </row>
    <row r="13588" spans="1:11" s="1011" customFormat="1" ht="15" x14ac:dyDescent="0.25">
      <c r="A13588" s="859">
        <f t="shared" si="296"/>
        <v>13587</v>
      </c>
      <c r="B13588" s="845" t="s">
        <v>2564</v>
      </c>
      <c r="C13588" s="1007">
        <f t="shared" si="295"/>
        <v>108</v>
      </c>
      <c r="D13588" s="1016"/>
      <c r="E13588" s="1017"/>
      <c r="F13588" s="1017"/>
      <c r="G13588" s="1017"/>
      <c r="H13588" s="1017" t="s">
        <v>1010</v>
      </c>
      <c r="I13588" s="1017"/>
      <c r="J13588" s="1017"/>
      <c r="K13588" s="1018"/>
    </row>
    <row r="13589" spans="1:11" s="1011" customFormat="1" ht="15" x14ac:dyDescent="0.25">
      <c r="A13589" s="859">
        <f t="shared" si="296"/>
        <v>13588</v>
      </c>
      <c r="B13589" s="845" t="s">
        <v>2564</v>
      </c>
      <c r="C13589" s="1007">
        <f t="shared" si="295"/>
        <v>109</v>
      </c>
      <c r="D13589" s="1008"/>
      <c r="E13589" s="1009"/>
      <c r="F13589" s="1009"/>
      <c r="G13589" s="1009"/>
      <c r="H13589" s="1009" t="s">
        <v>1007</v>
      </c>
      <c r="I13589" s="1009"/>
      <c r="J13589" s="1009"/>
      <c r="K13589" s="1010"/>
    </row>
    <row r="13590" spans="1:11" s="1011" customFormat="1" ht="15" x14ac:dyDescent="0.25">
      <c r="A13590" s="859">
        <f t="shared" si="296"/>
        <v>13589</v>
      </c>
      <c r="B13590" s="845" t="s">
        <v>2564</v>
      </c>
      <c r="C13590" s="1007">
        <f t="shared" si="295"/>
        <v>109</v>
      </c>
      <c r="D13590" s="1012"/>
      <c r="I13590" s="1011" t="s">
        <v>2174</v>
      </c>
      <c r="K13590" s="1013"/>
    </row>
    <row r="13591" spans="1:11" s="1011" customFormat="1" ht="15" x14ac:dyDescent="0.25">
      <c r="A13591" s="859">
        <f t="shared" si="296"/>
        <v>13590</v>
      </c>
      <c r="B13591" s="845" t="s">
        <v>2564</v>
      </c>
      <c r="C13591" s="1007">
        <f t="shared" si="295"/>
        <v>109</v>
      </c>
      <c r="D13591" s="1014"/>
      <c r="I13591" s="1011" t="str">
        <f>CONCATENATE("&lt;valeur&gt;",VLOOKUP(C13591,'T16 Amort'!A:K,2,0),"&lt;/valeur&gt;")</f>
        <v>&lt;valeur&gt;&lt;/valeur&gt;</v>
      </c>
      <c r="K13591" s="1013"/>
    </row>
    <row r="13592" spans="1:11" s="1011" customFormat="1" ht="15" x14ac:dyDescent="0.25">
      <c r="A13592" s="859">
        <f t="shared" si="296"/>
        <v>13591</v>
      </c>
      <c r="B13592" s="845" t="s">
        <v>2564</v>
      </c>
      <c r="C13592" s="1007">
        <f t="shared" si="295"/>
        <v>109</v>
      </c>
      <c r="D13592" s="1014"/>
      <c r="I13592" s="1011" t="str">
        <f>CONCATENATE("&lt;numeroLigne&gt;",C13592,"&lt;/numeroLigne&gt;")</f>
        <v>&lt;numeroLigne&gt;109&lt;/numeroLigne&gt;</v>
      </c>
      <c r="K13592" s="1013"/>
    </row>
    <row r="13593" spans="1:11" s="1011" customFormat="1" ht="15" x14ac:dyDescent="0.25">
      <c r="A13593" s="859">
        <f t="shared" si="296"/>
        <v>13592</v>
      </c>
      <c r="B13593" s="845" t="s">
        <v>2564</v>
      </c>
      <c r="C13593" s="1007">
        <f t="shared" si="295"/>
        <v>109</v>
      </c>
      <c r="D13593" s="1012"/>
      <c r="H13593" s="1011" t="s">
        <v>1010</v>
      </c>
      <c r="K13593" s="1013"/>
    </row>
    <row r="13594" spans="1:11" s="1011" customFormat="1" ht="15" x14ac:dyDescent="0.25">
      <c r="A13594" s="859">
        <f t="shared" si="296"/>
        <v>13593</v>
      </c>
      <c r="B13594" s="845" t="s">
        <v>2564</v>
      </c>
      <c r="C13594" s="1007">
        <f t="shared" si="295"/>
        <v>109</v>
      </c>
      <c r="D13594" s="1015"/>
      <c r="H13594" s="1011" t="s">
        <v>1007</v>
      </c>
      <c r="K13594" s="1013"/>
    </row>
    <row r="13595" spans="1:11" s="1011" customFormat="1" ht="15" x14ac:dyDescent="0.25">
      <c r="A13595" s="859">
        <f t="shared" si="296"/>
        <v>13594</v>
      </c>
      <c r="B13595" s="845" t="s">
        <v>2564</v>
      </c>
      <c r="C13595" s="1007">
        <f t="shared" si="295"/>
        <v>109</v>
      </c>
      <c r="D13595" s="1012"/>
      <c r="I13595" s="1011" t="s">
        <v>2175</v>
      </c>
      <c r="K13595" s="1013"/>
    </row>
    <row r="13596" spans="1:11" s="1011" customFormat="1" ht="15" x14ac:dyDescent="0.25">
      <c r="A13596" s="859">
        <f t="shared" si="296"/>
        <v>13595</v>
      </c>
      <c r="B13596" s="845" t="s">
        <v>2564</v>
      </c>
      <c r="C13596" s="1007">
        <f t="shared" si="295"/>
        <v>109</v>
      </c>
      <c r="D13596" s="1012"/>
      <c r="I13596" s="1011" t="str">
        <f>CONCATENATE("&lt;valeur&gt;",VLOOKUP(C13596,'T16 Amort'!A:K,3,0),"&lt;/valeur&gt;")</f>
        <v>&lt;valeur&gt;&lt;/valeur&gt;</v>
      </c>
      <c r="K13596" s="1013"/>
    </row>
    <row r="13597" spans="1:11" s="1011" customFormat="1" ht="15" x14ac:dyDescent="0.25">
      <c r="A13597" s="859">
        <f t="shared" si="296"/>
        <v>13596</v>
      </c>
      <c r="B13597" s="845" t="s">
        <v>2564</v>
      </c>
      <c r="C13597" s="1007">
        <f t="shared" si="295"/>
        <v>109</v>
      </c>
      <c r="D13597" s="1014"/>
      <c r="I13597" s="1011" t="str">
        <f>CONCATENATE("&lt;numeroLigne&gt;",C13597,"&lt;/numeroLigne&gt;")</f>
        <v>&lt;numeroLigne&gt;109&lt;/numeroLigne&gt;</v>
      </c>
      <c r="K13597" s="1013"/>
    </row>
    <row r="13598" spans="1:11" s="1011" customFormat="1" ht="15" x14ac:dyDescent="0.25">
      <c r="A13598" s="859">
        <f t="shared" si="296"/>
        <v>13597</v>
      </c>
      <c r="B13598" s="845" t="s">
        <v>2564</v>
      </c>
      <c r="C13598" s="1007">
        <f t="shared" si="295"/>
        <v>109</v>
      </c>
      <c r="D13598" s="1014"/>
      <c r="H13598" s="1011" t="s">
        <v>1010</v>
      </c>
      <c r="K13598" s="1013"/>
    </row>
    <row r="13599" spans="1:11" s="1011" customFormat="1" ht="15" x14ac:dyDescent="0.25">
      <c r="A13599" s="859">
        <f t="shared" si="296"/>
        <v>13598</v>
      </c>
      <c r="B13599" s="845" t="s">
        <v>2564</v>
      </c>
      <c r="C13599" s="1007">
        <f t="shared" si="295"/>
        <v>109</v>
      </c>
      <c r="D13599" s="1012"/>
      <c r="H13599" s="1011" t="s">
        <v>1007</v>
      </c>
      <c r="K13599" s="1013"/>
    </row>
    <row r="13600" spans="1:11" s="1011" customFormat="1" ht="15" x14ac:dyDescent="0.25">
      <c r="A13600" s="859">
        <f t="shared" si="296"/>
        <v>13599</v>
      </c>
      <c r="B13600" s="845" t="s">
        <v>2564</v>
      </c>
      <c r="C13600" s="1007">
        <f t="shared" si="295"/>
        <v>109</v>
      </c>
      <c r="D13600" s="1015"/>
      <c r="I13600" s="1011" t="s">
        <v>2176</v>
      </c>
      <c r="K13600" s="1013"/>
    </row>
    <row r="13601" spans="1:11" s="1011" customFormat="1" ht="15" x14ac:dyDescent="0.25">
      <c r="A13601" s="859">
        <f t="shared" si="296"/>
        <v>13600</v>
      </c>
      <c r="B13601" s="845" t="s">
        <v>2564</v>
      </c>
      <c r="C13601" s="1007">
        <f t="shared" si="295"/>
        <v>109</v>
      </c>
      <c r="D13601" s="1012"/>
      <c r="I13601" s="1011" t="str">
        <f>CONCATENATE("&lt;valeur&gt;",VLOOKUP(C13601,'T16 Amort'!A:K,4,0),"&lt;/valeur&gt;")</f>
        <v>&lt;valeur&gt;&lt;/valeur&gt;</v>
      </c>
      <c r="K13601" s="1013"/>
    </row>
    <row r="13602" spans="1:11" s="1011" customFormat="1" ht="15" x14ac:dyDescent="0.25">
      <c r="A13602" s="859">
        <f t="shared" si="296"/>
        <v>13601</v>
      </c>
      <c r="B13602" s="845" t="s">
        <v>2564</v>
      </c>
      <c r="C13602" s="1007">
        <f t="shared" si="295"/>
        <v>109</v>
      </c>
      <c r="D13602" s="1012"/>
      <c r="I13602" s="1011" t="str">
        <f>CONCATENATE("&lt;numeroLigne&gt;",C13602,"&lt;/numeroLigne&gt;")</f>
        <v>&lt;numeroLigne&gt;109&lt;/numeroLigne&gt;</v>
      </c>
      <c r="K13602" s="1013"/>
    </row>
    <row r="13603" spans="1:11" s="1011" customFormat="1" ht="15" x14ac:dyDescent="0.25">
      <c r="A13603" s="859">
        <f t="shared" si="296"/>
        <v>13602</v>
      </c>
      <c r="B13603" s="845" t="s">
        <v>2564</v>
      </c>
      <c r="C13603" s="1007">
        <f t="shared" si="295"/>
        <v>109</v>
      </c>
      <c r="D13603" s="1014"/>
      <c r="H13603" s="1011" t="s">
        <v>1010</v>
      </c>
      <c r="K13603" s="1013"/>
    </row>
    <row r="13604" spans="1:11" s="1011" customFormat="1" ht="15" x14ac:dyDescent="0.25">
      <c r="A13604" s="859">
        <f t="shared" si="296"/>
        <v>13603</v>
      </c>
      <c r="B13604" s="845" t="s">
        <v>2564</v>
      </c>
      <c r="C13604" s="1007">
        <f t="shared" si="295"/>
        <v>109</v>
      </c>
      <c r="D13604" s="1014"/>
      <c r="H13604" s="1011" t="s">
        <v>1007</v>
      </c>
      <c r="K13604" s="1013"/>
    </row>
    <row r="13605" spans="1:11" s="1011" customFormat="1" ht="15" x14ac:dyDescent="0.25">
      <c r="A13605" s="859">
        <f t="shared" si="296"/>
        <v>13604</v>
      </c>
      <c r="B13605" s="845" t="s">
        <v>2564</v>
      </c>
      <c r="C13605" s="1007">
        <f t="shared" si="295"/>
        <v>109</v>
      </c>
      <c r="D13605" s="1012"/>
      <c r="I13605" s="1011" t="s">
        <v>2177</v>
      </c>
      <c r="K13605" s="1013"/>
    </row>
    <row r="13606" spans="1:11" s="1011" customFormat="1" ht="15" x14ac:dyDescent="0.25">
      <c r="A13606" s="859">
        <f t="shared" si="296"/>
        <v>13605</v>
      </c>
      <c r="B13606" s="845" t="s">
        <v>2564</v>
      </c>
      <c r="C13606" s="1007">
        <f t="shared" si="295"/>
        <v>109</v>
      </c>
      <c r="D13606" s="1015"/>
      <c r="I13606" s="1011" t="str">
        <f>CONCATENATE("&lt;valeur&gt;",VLOOKUP(C13606,'T16 Amort'!A:K,5,0),"&lt;/valeur&gt;")</f>
        <v>&lt;valeur&gt;&lt;/valeur&gt;</v>
      </c>
      <c r="K13606" s="1013"/>
    </row>
    <row r="13607" spans="1:11" s="1011" customFormat="1" ht="15" x14ac:dyDescent="0.25">
      <c r="A13607" s="859">
        <f t="shared" si="296"/>
        <v>13606</v>
      </c>
      <c r="B13607" s="845" t="s">
        <v>2564</v>
      </c>
      <c r="C13607" s="1007">
        <f t="shared" si="295"/>
        <v>109</v>
      </c>
      <c r="D13607" s="1012"/>
      <c r="I13607" s="1011" t="str">
        <f>CONCATENATE("&lt;numeroLigne&gt;",C13607,"&lt;/numeroLigne&gt;")</f>
        <v>&lt;numeroLigne&gt;109&lt;/numeroLigne&gt;</v>
      </c>
      <c r="K13607" s="1013"/>
    </row>
    <row r="13608" spans="1:11" s="1011" customFormat="1" ht="15" x14ac:dyDescent="0.25">
      <c r="A13608" s="859">
        <f t="shared" si="296"/>
        <v>13607</v>
      </c>
      <c r="B13608" s="845" t="s">
        <v>2564</v>
      </c>
      <c r="C13608" s="1007">
        <f t="shared" si="295"/>
        <v>109</v>
      </c>
      <c r="D13608" s="1012"/>
      <c r="H13608" s="1011" t="s">
        <v>1010</v>
      </c>
      <c r="K13608" s="1013"/>
    </row>
    <row r="13609" spans="1:11" s="1011" customFormat="1" ht="15" x14ac:dyDescent="0.25">
      <c r="A13609" s="859">
        <f t="shared" si="296"/>
        <v>13608</v>
      </c>
      <c r="B13609" s="845" t="s">
        <v>2564</v>
      </c>
      <c r="C13609" s="1007">
        <f t="shared" si="295"/>
        <v>109</v>
      </c>
      <c r="D13609" s="1014"/>
      <c r="H13609" s="1011" t="s">
        <v>1007</v>
      </c>
      <c r="K13609" s="1013"/>
    </row>
    <row r="13610" spans="1:11" s="1011" customFormat="1" ht="15" x14ac:dyDescent="0.25">
      <c r="A13610" s="859">
        <f t="shared" si="296"/>
        <v>13609</v>
      </c>
      <c r="B13610" s="845" t="s">
        <v>2564</v>
      </c>
      <c r="C13610" s="1007">
        <f t="shared" si="295"/>
        <v>109</v>
      </c>
      <c r="D13610" s="1014"/>
      <c r="I13610" s="1011" t="s">
        <v>2178</v>
      </c>
      <c r="K13610" s="1013"/>
    </row>
    <row r="13611" spans="1:11" s="1011" customFormat="1" ht="15" x14ac:dyDescent="0.25">
      <c r="A13611" s="859">
        <f t="shared" si="296"/>
        <v>13610</v>
      </c>
      <c r="B13611" s="845" t="s">
        <v>2564</v>
      </c>
      <c r="C13611" s="1007">
        <f t="shared" si="295"/>
        <v>109</v>
      </c>
      <c r="D13611" s="1012"/>
      <c r="I13611" s="1011" t="str">
        <f>CONCATENATE("&lt;valeur&gt;",VLOOKUP(C13611,'T16 Amort'!A:K,6,0),"&lt;/valeur&gt;")</f>
        <v>&lt;valeur&gt;&lt;/valeur&gt;</v>
      </c>
      <c r="K13611" s="1013"/>
    </row>
    <row r="13612" spans="1:11" s="1011" customFormat="1" ht="15" x14ac:dyDescent="0.25">
      <c r="A13612" s="859">
        <f t="shared" si="296"/>
        <v>13611</v>
      </c>
      <c r="B13612" s="845" t="s">
        <v>2564</v>
      </c>
      <c r="C13612" s="1007">
        <f t="shared" si="295"/>
        <v>109</v>
      </c>
      <c r="D13612" s="1015"/>
      <c r="I13612" s="1011" t="str">
        <f>CONCATENATE("&lt;numeroLigne&gt;",C13612,"&lt;/numeroLigne&gt;")</f>
        <v>&lt;numeroLigne&gt;109&lt;/numeroLigne&gt;</v>
      </c>
      <c r="K13612" s="1013"/>
    </row>
    <row r="13613" spans="1:11" s="1011" customFormat="1" ht="15" x14ac:dyDescent="0.25">
      <c r="A13613" s="859">
        <f t="shared" si="296"/>
        <v>13612</v>
      </c>
      <c r="B13613" s="845" t="s">
        <v>2564</v>
      </c>
      <c r="C13613" s="1007">
        <f t="shared" si="295"/>
        <v>109</v>
      </c>
      <c r="D13613" s="1012"/>
      <c r="H13613" s="1011" t="s">
        <v>1010</v>
      </c>
      <c r="K13613" s="1013"/>
    </row>
    <row r="13614" spans="1:11" s="1011" customFormat="1" ht="15" x14ac:dyDescent="0.25">
      <c r="A13614" s="859">
        <f t="shared" si="296"/>
        <v>13613</v>
      </c>
      <c r="B13614" s="845" t="s">
        <v>2564</v>
      </c>
      <c r="C13614" s="1007">
        <f t="shared" si="295"/>
        <v>109</v>
      </c>
      <c r="D13614" s="1012"/>
      <c r="H13614" s="1011" t="s">
        <v>1007</v>
      </c>
      <c r="K13614" s="1013"/>
    </row>
    <row r="13615" spans="1:11" s="1011" customFormat="1" ht="15" x14ac:dyDescent="0.25">
      <c r="A13615" s="859">
        <f t="shared" si="296"/>
        <v>13614</v>
      </c>
      <c r="B13615" s="845" t="s">
        <v>2564</v>
      </c>
      <c r="C13615" s="1007">
        <f t="shared" ref="C13615:C13678" si="297">C13565+1</f>
        <v>109</v>
      </c>
      <c r="D13615" s="1014"/>
      <c r="I13615" s="1011" t="s">
        <v>2179</v>
      </c>
      <c r="K13615" s="1013"/>
    </row>
    <row r="13616" spans="1:11" s="1011" customFormat="1" ht="15" x14ac:dyDescent="0.25">
      <c r="A13616" s="859">
        <f t="shared" si="296"/>
        <v>13615</v>
      </c>
      <c r="B13616" s="845" t="s">
        <v>2564</v>
      </c>
      <c r="C13616" s="1007">
        <f t="shared" si="297"/>
        <v>109</v>
      </c>
      <c r="D13616" s="1014"/>
      <c r="I13616" s="1011" t="str">
        <f>CONCATENATE("&lt;valeur&gt;",VLOOKUP(C13616,'T16 Amort'!A:K,7,0),"&lt;/valeur&gt;")</f>
        <v>&lt;valeur&gt;&lt;/valeur&gt;</v>
      </c>
      <c r="K13616" s="1013"/>
    </row>
    <row r="13617" spans="1:11" s="1011" customFormat="1" ht="15" x14ac:dyDescent="0.25">
      <c r="A13617" s="859">
        <f t="shared" si="296"/>
        <v>13616</v>
      </c>
      <c r="B13617" s="845" t="s">
        <v>2564</v>
      </c>
      <c r="C13617" s="1007">
        <f t="shared" si="297"/>
        <v>109</v>
      </c>
      <c r="D13617" s="1012"/>
      <c r="I13617" s="1011" t="str">
        <f>CONCATENATE("&lt;numeroLigne&gt;",C13617,"&lt;/numeroLigne&gt;")</f>
        <v>&lt;numeroLigne&gt;109&lt;/numeroLigne&gt;</v>
      </c>
      <c r="K13617" s="1013"/>
    </row>
    <row r="13618" spans="1:11" s="1011" customFormat="1" ht="15" x14ac:dyDescent="0.25">
      <c r="A13618" s="859">
        <f t="shared" si="296"/>
        <v>13617</v>
      </c>
      <c r="B13618" s="845" t="s">
        <v>2564</v>
      </c>
      <c r="C13618" s="1007">
        <f t="shared" si="297"/>
        <v>109</v>
      </c>
      <c r="D13618" s="1015"/>
      <c r="H13618" s="1011" t="s">
        <v>1010</v>
      </c>
      <c r="K13618" s="1013"/>
    </row>
    <row r="13619" spans="1:11" s="1011" customFormat="1" ht="15" x14ac:dyDescent="0.25">
      <c r="A13619" s="859">
        <f t="shared" si="296"/>
        <v>13618</v>
      </c>
      <c r="B13619" s="845" t="s">
        <v>2564</v>
      </c>
      <c r="C13619" s="1007">
        <f t="shared" si="297"/>
        <v>109</v>
      </c>
      <c r="D13619" s="1012"/>
      <c r="H13619" s="1011" t="s">
        <v>1007</v>
      </c>
      <c r="K13619" s="1013"/>
    </row>
    <row r="13620" spans="1:11" s="1011" customFormat="1" ht="15" x14ac:dyDescent="0.25">
      <c r="A13620" s="859">
        <f t="shared" si="296"/>
        <v>13619</v>
      </c>
      <c r="B13620" s="845" t="s">
        <v>2564</v>
      </c>
      <c r="C13620" s="1007">
        <f t="shared" si="297"/>
        <v>109</v>
      </c>
      <c r="D13620" s="1012"/>
      <c r="I13620" s="1011" t="s">
        <v>2180</v>
      </c>
      <c r="K13620" s="1013"/>
    </row>
    <row r="13621" spans="1:11" s="1011" customFormat="1" ht="15" x14ac:dyDescent="0.25">
      <c r="A13621" s="859">
        <f t="shared" si="296"/>
        <v>13620</v>
      </c>
      <c r="B13621" s="845" t="s">
        <v>2564</v>
      </c>
      <c r="C13621" s="1007">
        <f t="shared" si="297"/>
        <v>109</v>
      </c>
      <c r="D13621" s="1014"/>
      <c r="I13621" s="1011" t="str">
        <f>CONCATENATE("&lt;valeur&gt;",VLOOKUP(C13621,'T16 Amort'!A:K,8,0),"&lt;/valeur&gt;")</f>
        <v>&lt;valeur&gt;&lt;/valeur&gt;</v>
      </c>
      <c r="K13621" s="1013"/>
    </row>
    <row r="13622" spans="1:11" s="1011" customFormat="1" ht="15" x14ac:dyDescent="0.25">
      <c r="A13622" s="859">
        <f t="shared" si="296"/>
        <v>13621</v>
      </c>
      <c r="B13622" s="845" t="s">
        <v>2564</v>
      </c>
      <c r="C13622" s="1007">
        <f t="shared" si="297"/>
        <v>109</v>
      </c>
      <c r="D13622" s="1014"/>
      <c r="I13622" s="1011" t="str">
        <f>CONCATENATE("&lt;numeroLigne&gt;",C13622,"&lt;/numeroLigne&gt;")</f>
        <v>&lt;numeroLigne&gt;109&lt;/numeroLigne&gt;</v>
      </c>
      <c r="K13622" s="1013"/>
    </row>
    <row r="13623" spans="1:11" s="1011" customFormat="1" ht="15" x14ac:dyDescent="0.25">
      <c r="A13623" s="859">
        <f t="shared" si="296"/>
        <v>13622</v>
      </c>
      <c r="B13623" s="845" t="s">
        <v>2564</v>
      </c>
      <c r="C13623" s="1007">
        <f t="shared" si="297"/>
        <v>109</v>
      </c>
      <c r="D13623" s="1012"/>
      <c r="H13623" s="1011" t="s">
        <v>1010</v>
      </c>
      <c r="K13623" s="1013"/>
    </row>
    <row r="13624" spans="1:11" s="1011" customFormat="1" ht="15" x14ac:dyDescent="0.25">
      <c r="A13624" s="859">
        <f t="shared" si="296"/>
        <v>13623</v>
      </c>
      <c r="B13624" s="845" t="s">
        <v>2564</v>
      </c>
      <c r="C13624" s="1007">
        <f t="shared" si="297"/>
        <v>109</v>
      </c>
      <c r="D13624" s="1015"/>
      <c r="H13624" s="1011" t="s">
        <v>1007</v>
      </c>
      <c r="K13624" s="1013"/>
    </row>
    <row r="13625" spans="1:11" s="1011" customFormat="1" ht="15" x14ac:dyDescent="0.25">
      <c r="A13625" s="859">
        <f t="shared" si="296"/>
        <v>13624</v>
      </c>
      <c r="B13625" s="845" t="s">
        <v>2564</v>
      </c>
      <c r="C13625" s="1007">
        <f t="shared" si="297"/>
        <v>109</v>
      </c>
      <c r="D13625" s="1012"/>
      <c r="I13625" s="1011" t="s">
        <v>2181</v>
      </c>
      <c r="K13625" s="1013"/>
    </row>
    <row r="13626" spans="1:11" s="1011" customFormat="1" ht="15" x14ac:dyDescent="0.25">
      <c r="A13626" s="859">
        <f t="shared" si="296"/>
        <v>13625</v>
      </c>
      <c r="B13626" s="845" t="s">
        <v>2564</v>
      </c>
      <c r="C13626" s="1007">
        <f t="shared" si="297"/>
        <v>109</v>
      </c>
      <c r="D13626" s="1012"/>
      <c r="I13626" s="1011" t="str">
        <f>CONCATENATE("&lt;valeur&gt;",VLOOKUP(C13626,'T16 Amort'!A:K,9,0),"&lt;/valeur&gt;")</f>
        <v>&lt;valeur&gt;&lt;/valeur&gt;</v>
      </c>
      <c r="K13626" s="1013"/>
    </row>
    <row r="13627" spans="1:11" s="1011" customFormat="1" ht="15" x14ac:dyDescent="0.25">
      <c r="A13627" s="859">
        <f t="shared" si="296"/>
        <v>13626</v>
      </c>
      <c r="B13627" s="845" t="s">
        <v>2564</v>
      </c>
      <c r="C13627" s="1007">
        <f t="shared" si="297"/>
        <v>109</v>
      </c>
      <c r="D13627" s="1014"/>
      <c r="I13627" s="1011" t="str">
        <f>CONCATENATE("&lt;numeroLigne&gt;",C13627,"&lt;/numeroLigne&gt;")</f>
        <v>&lt;numeroLigne&gt;109&lt;/numeroLigne&gt;</v>
      </c>
      <c r="K13627" s="1013"/>
    </row>
    <row r="13628" spans="1:11" s="1011" customFormat="1" ht="15" x14ac:dyDescent="0.25">
      <c r="A13628" s="859">
        <f t="shared" si="296"/>
        <v>13627</v>
      </c>
      <c r="B13628" s="845" t="s">
        <v>2564</v>
      </c>
      <c r="C13628" s="1007">
        <f t="shared" si="297"/>
        <v>109</v>
      </c>
      <c r="D13628" s="1014"/>
      <c r="H13628" s="1011" t="s">
        <v>1010</v>
      </c>
      <c r="K13628" s="1013"/>
    </row>
    <row r="13629" spans="1:11" s="1011" customFormat="1" ht="15" x14ac:dyDescent="0.25">
      <c r="A13629" s="859">
        <f t="shared" si="296"/>
        <v>13628</v>
      </c>
      <c r="B13629" s="845" t="s">
        <v>2564</v>
      </c>
      <c r="C13629" s="1007">
        <f t="shared" si="297"/>
        <v>109</v>
      </c>
      <c r="D13629" s="1012"/>
      <c r="H13629" s="1011" t="s">
        <v>1007</v>
      </c>
      <c r="K13629" s="1013"/>
    </row>
    <row r="13630" spans="1:11" s="1011" customFormat="1" ht="15" x14ac:dyDescent="0.25">
      <c r="A13630" s="859">
        <f t="shared" si="296"/>
        <v>13629</v>
      </c>
      <c r="B13630" s="845" t="s">
        <v>2564</v>
      </c>
      <c r="C13630" s="1007">
        <f t="shared" si="297"/>
        <v>109</v>
      </c>
      <c r="D13630" s="1015"/>
      <c r="I13630" s="1011" t="s">
        <v>2182</v>
      </c>
      <c r="K13630" s="1013"/>
    </row>
    <row r="13631" spans="1:11" s="1011" customFormat="1" ht="15" x14ac:dyDescent="0.25">
      <c r="A13631" s="859">
        <f t="shared" si="296"/>
        <v>13630</v>
      </c>
      <c r="B13631" s="845" t="s">
        <v>2564</v>
      </c>
      <c r="C13631" s="1007">
        <f t="shared" si="297"/>
        <v>109</v>
      </c>
      <c r="D13631" s="1012"/>
      <c r="I13631" s="1011" t="str">
        <f>CONCATENATE("&lt;valeur&gt;",VLOOKUP(C13631,'T16 Amort'!A:K,10,0),"&lt;/valeur&gt;")</f>
        <v>&lt;valeur&gt;&lt;/valeur&gt;</v>
      </c>
      <c r="K13631" s="1013"/>
    </row>
    <row r="13632" spans="1:11" s="1011" customFormat="1" ht="15" x14ac:dyDescent="0.25">
      <c r="A13632" s="859">
        <f t="shared" si="296"/>
        <v>13631</v>
      </c>
      <c r="B13632" s="845" t="s">
        <v>2564</v>
      </c>
      <c r="C13632" s="1007">
        <f t="shared" si="297"/>
        <v>109</v>
      </c>
      <c r="D13632" s="1012"/>
      <c r="I13632" s="1011" t="str">
        <f>CONCATENATE("&lt;numeroLigne&gt;",C13632,"&lt;/numeroLigne&gt;")</f>
        <v>&lt;numeroLigne&gt;109&lt;/numeroLigne&gt;</v>
      </c>
      <c r="K13632" s="1013"/>
    </row>
    <row r="13633" spans="1:11" s="1011" customFormat="1" ht="15" x14ac:dyDescent="0.25">
      <c r="A13633" s="859">
        <f t="shared" si="296"/>
        <v>13632</v>
      </c>
      <c r="B13633" s="845" t="s">
        <v>2564</v>
      </c>
      <c r="C13633" s="1007">
        <f t="shared" si="297"/>
        <v>109</v>
      </c>
      <c r="D13633" s="1014"/>
      <c r="H13633" s="1011" t="s">
        <v>1010</v>
      </c>
      <c r="K13633" s="1013"/>
    </row>
    <row r="13634" spans="1:11" s="1011" customFormat="1" ht="15" x14ac:dyDescent="0.25">
      <c r="A13634" s="859">
        <f t="shared" si="296"/>
        <v>13633</v>
      </c>
      <c r="B13634" s="845" t="s">
        <v>2564</v>
      </c>
      <c r="C13634" s="1007">
        <f t="shared" si="297"/>
        <v>109</v>
      </c>
      <c r="D13634" s="1014"/>
      <c r="H13634" s="1011" t="s">
        <v>1007</v>
      </c>
      <c r="K13634" s="1013"/>
    </row>
    <row r="13635" spans="1:11" s="1011" customFormat="1" ht="15" x14ac:dyDescent="0.25">
      <c r="A13635" s="859">
        <f t="shared" si="296"/>
        <v>13634</v>
      </c>
      <c r="B13635" s="845" t="s">
        <v>2564</v>
      </c>
      <c r="C13635" s="1007">
        <f t="shared" si="297"/>
        <v>109</v>
      </c>
      <c r="D13635" s="1012"/>
      <c r="I13635" s="1011" t="s">
        <v>2183</v>
      </c>
      <c r="K13635" s="1013"/>
    </row>
    <row r="13636" spans="1:11" s="1011" customFormat="1" ht="15" x14ac:dyDescent="0.25">
      <c r="A13636" s="859">
        <f t="shared" ref="A13636:A13699" si="298">+A13635+1</f>
        <v>13635</v>
      </c>
      <c r="B13636" s="845" t="s">
        <v>2564</v>
      </c>
      <c r="C13636" s="1007">
        <f t="shared" si="297"/>
        <v>109</v>
      </c>
      <c r="D13636" s="1015"/>
      <c r="I13636" s="1011" t="str">
        <f>CONCATENATE("&lt;valeur&gt;",VLOOKUP(C13636,'T16 Amort'!A:K,11,0),"&lt;/valeur&gt;")</f>
        <v>&lt;valeur&gt;&lt;/valeur&gt;</v>
      </c>
      <c r="K13636" s="1013"/>
    </row>
    <row r="13637" spans="1:11" s="1011" customFormat="1" ht="15" x14ac:dyDescent="0.25">
      <c r="A13637" s="859">
        <f t="shared" si="298"/>
        <v>13636</v>
      </c>
      <c r="B13637" s="845" t="s">
        <v>2564</v>
      </c>
      <c r="C13637" s="1007">
        <f t="shared" si="297"/>
        <v>109</v>
      </c>
      <c r="D13637" s="1012"/>
      <c r="I13637" s="1011" t="str">
        <f>CONCATENATE("&lt;numeroLigne&gt;",C13637,"&lt;/numeroLigne&gt;")</f>
        <v>&lt;numeroLigne&gt;109&lt;/numeroLigne&gt;</v>
      </c>
      <c r="K13637" s="1013"/>
    </row>
    <row r="13638" spans="1:11" s="1011" customFormat="1" ht="15" x14ac:dyDescent="0.25">
      <c r="A13638" s="859">
        <f t="shared" si="298"/>
        <v>13637</v>
      </c>
      <c r="B13638" s="845" t="s">
        <v>2564</v>
      </c>
      <c r="C13638" s="1007">
        <f t="shared" si="297"/>
        <v>109</v>
      </c>
      <c r="D13638" s="1016"/>
      <c r="E13638" s="1017"/>
      <c r="F13638" s="1017"/>
      <c r="G13638" s="1017"/>
      <c r="H13638" s="1017" t="s">
        <v>1010</v>
      </c>
      <c r="I13638" s="1017"/>
      <c r="J13638" s="1017"/>
      <c r="K13638" s="1018"/>
    </row>
    <row r="13639" spans="1:11" s="1011" customFormat="1" ht="15" x14ac:dyDescent="0.25">
      <c r="A13639" s="859">
        <f t="shared" si="298"/>
        <v>13638</v>
      </c>
      <c r="B13639" s="845" t="s">
        <v>2564</v>
      </c>
      <c r="C13639" s="1007">
        <f t="shared" si="297"/>
        <v>110</v>
      </c>
      <c r="D13639" s="1008"/>
      <c r="E13639" s="1009"/>
      <c r="F13639" s="1009"/>
      <c r="G13639" s="1009"/>
      <c r="H13639" s="1009" t="s">
        <v>1007</v>
      </c>
      <c r="I13639" s="1009"/>
      <c r="J13639" s="1009"/>
      <c r="K13639" s="1010"/>
    </row>
    <row r="13640" spans="1:11" s="1011" customFormat="1" ht="15" x14ac:dyDescent="0.25">
      <c r="A13640" s="859">
        <f t="shared" si="298"/>
        <v>13639</v>
      </c>
      <c r="B13640" s="845" t="s">
        <v>2564</v>
      </c>
      <c r="C13640" s="1007">
        <f t="shared" si="297"/>
        <v>110</v>
      </c>
      <c r="D13640" s="1012"/>
      <c r="I13640" s="1011" t="s">
        <v>2174</v>
      </c>
      <c r="K13640" s="1013"/>
    </row>
    <row r="13641" spans="1:11" s="1011" customFormat="1" ht="15" x14ac:dyDescent="0.25">
      <c r="A13641" s="859">
        <f t="shared" si="298"/>
        <v>13640</v>
      </c>
      <c r="B13641" s="845" t="s">
        <v>2564</v>
      </c>
      <c r="C13641" s="1007">
        <f t="shared" si="297"/>
        <v>110</v>
      </c>
      <c r="D13641" s="1014"/>
      <c r="I13641" s="1011" t="str">
        <f>CONCATENATE("&lt;valeur&gt;",VLOOKUP(C13641,'T16 Amort'!A:K,2,0),"&lt;/valeur&gt;")</f>
        <v>&lt;valeur&gt;&lt;/valeur&gt;</v>
      </c>
      <c r="K13641" s="1013"/>
    </row>
    <row r="13642" spans="1:11" s="1011" customFormat="1" ht="15" x14ac:dyDescent="0.25">
      <c r="A13642" s="859">
        <f t="shared" si="298"/>
        <v>13641</v>
      </c>
      <c r="B13642" s="845" t="s">
        <v>2564</v>
      </c>
      <c r="C13642" s="1007">
        <f t="shared" si="297"/>
        <v>110</v>
      </c>
      <c r="D13642" s="1014"/>
      <c r="I13642" s="1011" t="str">
        <f>CONCATENATE("&lt;numeroLigne&gt;",C13642,"&lt;/numeroLigne&gt;")</f>
        <v>&lt;numeroLigne&gt;110&lt;/numeroLigne&gt;</v>
      </c>
      <c r="K13642" s="1013"/>
    </row>
    <row r="13643" spans="1:11" s="1011" customFormat="1" ht="15" x14ac:dyDescent="0.25">
      <c r="A13643" s="859">
        <f t="shared" si="298"/>
        <v>13642</v>
      </c>
      <c r="B13643" s="845" t="s">
        <v>2564</v>
      </c>
      <c r="C13643" s="1007">
        <f t="shared" si="297"/>
        <v>110</v>
      </c>
      <c r="D13643" s="1012"/>
      <c r="H13643" s="1011" t="s">
        <v>1010</v>
      </c>
      <c r="K13643" s="1013"/>
    </row>
    <row r="13644" spans="1:11" s="1011" customFormat="1" ht="15" x14ac:dyDescent="0.25">
      <c r="A13644" s="859">
        <f t="shared" si="298"/>
        <v>13643</v>
      </c>
      <c r="B13644" s="845" t="s">
        <v>2564</v>
      </c>
      <c r="C13644" s="1007">
        <f t="shared" si="297"/>
        <v>110</v>
      </c>
      <c r="D13644" s="1015"/>
      <c r="H13644" s="1011" t="s">
        <v>1007</v>
      </c>
      <c r="K13644" s="1013"/>
    </row>
    <row r="13645" spans="1:11" s="1011" customFormat="1" ht="15" x14ac:dyDescent="0.25">
      <c r="A13645" s="859">
        <f t="shared" si="298"/>
        <v>13644</v>
      </c>
      <c r="B13645" s="845" t="s">
        <v>2564</v>
      </c>
      <c r="C13645" s="1007">
        <f t="shared" si="297"/>
        <v>110</v>
      </c>
      <c r="D13645" s="1012"/>
      <c r="I13645" s="1011" t="s">
        <v>2175</v>
      </c>
      <c r="K13645" s="1013"/>
    </row>
    <row r="13646" spans="1:11" s="1011" customFormat="1" ht="15" x14ac:dyDescent="0.25">
      <c r="A13646" s="859">
        <f t="shared" si="298"/>
        <v>13645</v>
      </c>
      <c r="B13646" s="845" t="s">
        <v>2564</v>
      </c>
      <c r="C13646" s="1007">
        <f t="shared" si="297"/>
        <v>110</v>
      </c>
      <c r="D13646" s="1012"/>
      <c r="I13646" s="1011" t="str">
        <f>CONCATENATE("&lt;valeur&gt;",VLOOKUP(C13646,'T16 Amort'!A:K,3,0),"&lt;/valeur&gt;")</f>
        <v>&lt;valeur&gt;&lt;/valeur&gt;</v>
      </c>
      <c r="K13646" s="1013"/>
    </row>
    <row r="13647" spans="1:11" s="1011" customFormat="1" ht="15" x14ac:dyDescent="0.25">
      <c r="A13647" s="859">
        <f t="shared" si="298"/>
        <v>13646</v>
      </c>
      <c r="B13647" s="845" t="s">
        <v>2564</v>
      </c>
      <c r="C13647" s="1007">
        <f t="shared" si="297"/>
        <v>110</v>
      </c>
      <c r="D13647" s="1014"/>
      <c r="I13647" s="1011" t="str">
        <f>CONCATENATE("&lt;numeroLigne&gt;",C13647,"&lt;/numeroLigne&gt;")</f>
        <v>&lt;numeroLigne&gt;110&lt;/numeroLigne&gt;</v>
      </c>
      <c r="K13647" s="1013"/>
    </row>
    <row r="13648" spans="1:11" s="1011" customFormat="1" ht="15" x14ac:dyDescent="0.25">
      <c r="A13648" s="859">
        <f t="shared" si="298"/>
        <v>13647</v>
      </c>
      <c r="B13648" s="845" t="s">
        <v>2564</v>
      </c>
      <c r="C13648" s="1007">
        <f t="shared" si="297"/>
        <v>110</v>
      </c>
      <c r="D13648" s="1014"/>
      <c r="H13648" s="1011" t="s">
        <v>1010</v>
      </c>
      <c r="K13648" s="1013"/>
    </row>
    <row r="13649" spans="1:11" s="1011" customFormat="1" ht="15" x14ac:dyDescent="0.25">
      <c r="A13649" s="859">
        <f t="shared" si="298"/>
        <v>13648</v>
      </c>
      <c r="B13649" s="845" t="s">
        <v>2564</v>
      </c>
      <c r="C13649" s="1007">
        <f t="shared" si="297"/>
        <v>110</v>
      </c>
      <c r="D13649" s="1012"/>
      <c r="H13649" s="1011" t="s">
        <v>1007</v>
      </c>
      <c r="K13649" s="1013"/>
    </row>
    <row r="13650" spans="1:11" s="1011" customFormat="1" ht="15" x14ac:dyDescent="0.25">
      <c r="A13650" s="859">
        <f t="shared" si="298"/>
        <v>13649</v>
      </c>
      <c r="B13650" s="845" t="s">
        <v>2564</v>
      </c>
      <c r="C13650" s="1007">
        <f t="shared" si="297"/>
        <v>110</v>
      </c>
      <c r="D13650" s="1015"/>
      <c r="I13650" s="1011" t="s">
        <v>2176</v>
      </c>
      <c r="K13650" s="1013"/>
    </row>
    <row r="13651" spans="1:11" s="1011" customFormat="1" ht="15" x14ac:dyDescent="0.25">
      <c r="A13651" s="859">
        <f t="shared" si="298"/>
        <v>13650</v>
      </c>
      <c r="B13651" s="845" t="s">
        <v>2564</v>
      </c>
      <c r="C13651" s="1007">
        <f t="shared" si="297"/>
        <v>110</v>
      </c>
      <c r="D13651" s="1012"/>
      <c r="I13651" s="1011" t="str">
        <f>CONCATENATE("&lt;valeur&gt;",VLOOKUP(C13651,'T16 Amort'!A:K,4,0),"&lt;/valeur&gt;")</f>
        <v>&lt;valeur&gt;&lt;/valeur&gt;</v>
      </c>
      <c r="K13651" s="1013"/>
    </row>
    <row r="13652" spans="1:11" s="1011" customFormat="1" ht="15" x14ac:dyDescent="0.25">
      <c r="A13652" s="859">
        <f t="shared" si="298"/>
        <v>13651</v>
      </c>
      <c r="B13652" s="845" t="s">
        <v>2564</v>
      </c>
      <c r="C13652" s="1007">
        <f t="shared" si="297"/>
        <v>110</v>
      </c>
      <c r="D13652" s="1012"/>
      <c r="I13652" s="1011" t="str">
        <f>CONCATENATE("&lt;numeroLigne&gt;",C13652,"&lt;/numeroLigne&gt;")</f>
        <v>&lt;numeroLigne&gt;110&lt;/numeroLigne&gt;</v>
      </c>
      <c r="K13652" s="1013"/>
    </row>
    <row r="13653" spans="1:11" s="1011" customFormat="1" ht="15" x14ac:dyDescent="0.25">
      <c r="A13653" s="859">
        <f t="shared" si="298"/>
        <v>13652</v>
      </c>
      <c r="B13653" s="845" t="s">
        <v>2564</v>
      </c>
      <c r="C13653" s="1007">
        <f t="shared" si="297"/>
        <v>110</v>
      </c>
      <c r="D13653" s="1014"/>
      <c r="H13653" s="1011" t="s">
        <v>1010</v>
      </c>
      <c r="K13653" s="1013"/>
    </row>
    <row r="13654" spans="1:11" s="1011" customFormat="1" ht="15" x14ac:dyDescent="0.25">
      <c r="A13654" s="859">
        <f t="shared" si="298"/>
        <v>13653</v>
      </c>
      <c r="B13654" s="845" t="s">
        <v>2564</v>
      </c>
      <c r="C13654" s="1007">
        <f t="shared" si="297"/>
        <v>110</v>
      </c>
      <c r="D13654" s="1014"/>
      <c r="H13654" s="1011" t="s">
        <v>1007</v>
      </c>
      <c r="K13654" s="1013"/>
    </row>
    <row r="13655" spans="1:11" s="1011" customFormat="1" ht="15" x14ac:dyDescent="0.25">
      <c r="A13655" s="859">
        <f t="shared" si="298"/>
        <v>13654</v>
      </c>
      <c r="B13655" s="845" t="s">
        <v>2564</v>
      </c>
      <c r="C13655" s="1007">
        <f t="shared" si="297"/>
        <v>110</v>
      </c>
      <c r="D13655" s="1012"/>
      <c r="I13655" s="1011" t="s">
        <v>2177</v>
      </c>
      <c r="K13655" s="1013"/>
    </row>
    <row r="13656" spans="1:11" s="1011" customFormat="1" ht="15" x14ac:dyDescent="0.25">
      <c r="A13656" s="859">
        <f t="shared" si="298"/>
        <v>13655</v>
      </c>
      <c r="B13656" s="845" t="s">
        <v>2564</v>
      </c>
      <c r="C13656" s="1007">
        <f t="shared" si="297"/>
        <v>110</v>
      </c>
      <c r="D13656" s="1015"/>
      <c r="I13656" s="1011" t="str">
        <f>CONCATENATE("&lt;valeur&gt;",VLOOKUP(C13656,'T16 Amort'!A:K,5,0),"&lt;/valeur&gt;")</f>
        <v>&lt;valeur&gt;&lt;/valeur&gt;</v>
      </c>
      <c r="K13656" s="1013"/>
    </row>
    <row r="13657" spans="1:11" s="1011" customFormat="1" ht="15" x14ac:dyDescent="0.25">
      <c r="A13657" s="859">
        <f t="shared" si="298"/>
        <v>13656</v>
      </c>
      <c r="B13657" s="845" t="s">
        <v>2564</v>
      </c>
      <c r="C13657" s="1007">
        <f t="shared" si="297"/>
        <v>110</v>
      </c>
      <c r="D13657" s="1012"/>
      <c r="I13657" s="1011" t="str">
        <f>CONCATENATE("&lt;numeroLigne&gt;",C13657,"&lt;/numeroLigne&gt;")</f>
        <v>&lt;numeroLigne&gt;110&lt;/numeroLigne&gt;</v>
      </c>
      <c r="K13657" s="1013"/>
    </row>
    <row r="13658" spans="1:11" s="1011" customFormat="1" ht="15" x14ac:dyDescent="0.25">
      <c r="A13658" s="859">
        <f t="shared" si="298"/>
        <v>13657</v>
      </c>
      <c r="B13658" s="845" t="s">
        <v>2564</v>
      </c>
      <c r="C13658" s="1007">
        <f t="shared" si="297"/>
        <v>110</v>
      </c>
      <c r="D13658" s="1012"/>
      <c r="H13658" s="1011" t="s">
        <v>1010</v>
      </c>
      <c r="K13658" s="1013"/>
    </row>
    <row r="13659" spans="1:11" s="1011" customFormat="1" ht="15" x14ac:dyDescent="0.25">
      <c r="A13659" s="859">
        <f t="shared" si="298"/>
        <v>13658</v>
      </c>
      <c r="B13659" s="845" t="s">
        <v>2564</v>
      </c>
      <c r="C13659" s="1007">
        <f t="shared" si="297"/>
        <v>110</v>
      </c>
      <c r="D13659" s="1014"/>
      <c r="H13659" s="1011" t="s">
        <v>1007</v>
      </c>
      <c r="K13659" s="1013"/>
    </row>
    <row r="13660" spans="1:11" s="1011" customFormat="1" ht="15" x14ac:dyDescent="0.25">
      <c r="A13660" s="859">
        <f t="shared" si="298"/>
        <v>13659</v>
      </c>
      <c r="B13660" s="845" t="s">
        <v>2564</v>
      </c>
      <c r="C13660" s="1007">
        <f t="shared" si="297"/>
        <v>110</v>
      </c>
      <c r="D13660" s="1014"/>
      <c r="I13660" s="1011" t="s">
        <v>2178</v>
      </c>
      <c r="K13660" s="1013"/>
    </row>
    <row r="13661" spans="1:11" s="1011" customFormat="1" ht="15" x14ac:dyDescent="0.25">
      <c r="A13661" s="859">
        <f t="shared" si="298"/>
        <v>13660</v>
      </c>
      <c r="B13661" s="845" t="s">
        <v>2564</v>
      </c>
      <c r="C13661" s="1007">
        <f t="shared" si="297"/>
        <v>110</v>
      </c>
      <c r="D13661" s="1012"/>
      <c r="I13661" s="1011" t="str">
        <f>CONCATENATE("&lt;valeur&gt;",VLOOKUP(C13661,'T16 Amort'!A:K,6,0),"&lt;/valeur&gt;")</f>
        <v>&lt;valeur&gt;&lt;/valeur&gt;</v>
      </c>
      <c r="K13661" s="1013"/>
    </row>
    <row r="13662" spans="1:11" s="1011" customFormat="1" ht="15" x14ac:dyDescent="0.25">
      <c r="A13662" s="859">
        <f t="shared" si="298"/>
        <v>13661</v>
      </c>
      <c r="B13662" s="845" t="s">
        <v>2564</v>
      </c>
      <c r="C13662" s="1007">
        <f t="shared" si="297"/>
        <v>110</v>
      </c>
      <c r="D13662" s="1015"/>
      <c r="I13662" s="1011" t="str">
        <f>CONCATENATE("&lt;numeroLigne&gt;",C13662,"&lt;/numeroLigne&gt;")</f>
        <v>&lt;numeroLigne&gt;110&lt;/numeroLigne&gt;</v>
      </c>
      <c r="K13662" s="1013"/>
    </row>
    <row r="13663" spans="1:11" s="1011" customFormat="1" ht="15" x14ac:dyDescent="0.25">
      <c r="A13663" s="859">
        <f t="shared" si="298"/>
        <v>13662</v>
      </c>
      <c r="B13663" s="845" t="s">
        <v>2564</v>
      </c>
      <c r="C13663" s="1007">
        <f t="shared" si="297"/>
        <v>110</v>
      </c>
      <c r="D13663" s="1012"/>
      <c r="H13663" s="1011" t="s">
        <v>1010</v>
      </c>
      <c r="K13663" s="1013"/>
    </row>
    <row r="13664" spans="1:11" s="1011" customFormat="1" ht="15" x14ac:dyDescent="0.25">
      <c r="A13664" s="859">
        <f t="shared" si="298"/>
        <v>13663</v>
      </c>
      <c r="B13664" s="845" t="s">
        <v>2564</v>
      </c>
      <c r="C13664" s="1007">
        <f t="shared" si="297"/>
        <v>110</v>
      </c>
      <c r="D13664" s="1012"/>
      <c r="H13664" s="1011" t="s">
        <v>1007</v>
      </c>
      <c r="K13664" s="1013"/>
    </row>
    <row r="13665" spans="1:11" s="1011" customFormat="1" ht="15" x14ac:dyDescent="0.25">
      <c r="A13665" s="859">
        <f t="shared" si="298"/>
        <v>13664</v>
      </c>
      <c r="B13665" s="845" t="s">
        <v>2564</v>
      </c>
      <c r="C13665" s="1007">
        <f t="shared" si="297"/>
        <v>110</v>
      </c>
      <c r="D13665" s="1014"/>
      <c r="I13665" s="1011" t="s">
        <v>2179</v>
      </c>
      <c r="K13665" s="1013"/>
    </row>
    <row r="13666" spans="1:11" s="1011" customFormat="1" ht="15" x14ac:dyDescent="0.25">
      <c r="A13666" s="859">
        <f t="shared" si="298"/>
        <v>13665</v>
      </c>
      <c r="B13666" s="845" t="s">
        <v>2564</v>
      </c>
      <c r="C13666" s="1007">
        <f t="shared" si="297"/>
        <v>110</v>
      </c>
      <c r="D13666" s="1014"/>
      <c r="I13666" s="1011" t="str">
        <f>CONCATENATE("&lt;valeur&gt;",VLOOKUP(C13666,'T16 Amort'!A:K,7,0),"&lt;/valeur&gt;")</f>
        <v>&lt;valeur&gt;&lt;/valeur&gt;</v>
      </c>
      <c r="K13666" s="1013"/>
    </row>
    <row r="13667" spans="1:11" s="1011" customFormat="1" ht="15" x14ac:dyDescent="0.25">
      <c r="A13667" s="859">
        <f t="shared" si="298"/>
        <v>13666</v>
      </c>
      <c r="B13667" s="845" t="s">
        <v>2564</v>
      </c>
      <c r="C13667" s="1007">
        <f t="shared" si="297"/>
        <v>110</v>
      </c>
      <c r="D13667" s="1012"/>
      <c r="I13667" s="1011" t="str">
        <f>CONCATENATE("&lt;numeroLigne&gt;",C13667,"&lt;/numeroLigne&gt;")</f>
        <v>&lt;numeroLigne&gt;110&lt;/numeroLigne&gt;</v>
      </c>
      <c r="K13667" s="1013"/>
    </row>
    <row r="13668" spans="1:11" s="1011" customFormat="1" ht="15" x14ac:dyDescent="0.25">
      <c r="A13668" s="859">
        <f t="shared" si="298"/>
        <v>13667</v>
      </c>
      <c r="B13668" s="845" t="s">
        <v>2564</v>
      </c>
      <c r="C13668" s="1007">
        <f t="shared" si="297"/>
        <v>110</v>
      </c>
      <c r="D13668" s="1015"/>
      <c r="H13668" s="1011" t="s">
        <v>1010</v>
      </c>
      <c r="K13668" s="1013"/>
    </row>
    <row r="13669" spans="1:11" s="1011" customFormat="1" ht="15" x14ac:dyDescent="0.25">
      <c r="A13669" s="859">
        <f t="shared" si="298"/>
        <v>13668</v>
      </c>
      <c r="B13669" s="845" t="s">
        <v>2564</v>
      </c>
      <c r="C13669" s="1007">
        <f t="shared" si="297"/>
        <v>110</v>
      </c>
      <c r="D13669" s="1012"/>
      <c r="H13669" s="1011" t="s">
        <v>1007</v>
      </c>
      <c r="K13669" s="1013"/>
    </row>
    <row r="13670" spans="1:11" s="1011" customFormat="1" ht="15" x14ac:dyDescent="0.25">
      <c r="A13670" s="859">
        <f t="shared" si="298"/>
        <v>13669</v>
      </c>
      <c r="B13670" s="845" t="s">
        <v>2564</v>
      </c>
      <c r="C13670" s="1007">
        <f t="shared" si="297"/>
        <v>110</v>
      </c>
      <c r="D13670" s="1012"/>
      <c r="I13670" s="1011" t="s">
        <v>2180</v>
      </c>
      <c r="K13670" s="1013"/>
    </row>
    <row r="13671" spans="1:11" s="1011" customFormat="1" ht="15" x14ac:dyDescent="0.25">
      <c r="A13671" s="859">
        <f t="shared" si="298"/>
        <v>13670</v>
      </c>
      <c r="B13671" s="845" t="s">
        <v>2564</v>
      </c>
      <c r="C13671" s="1007">
        <f t="shared" si="297"/>
        <v>110</v>
      </c>
      <c r="D13671" s="1014"/>
      <c r="I13671" s="1011" t="str">
        <f>CONCATENATE("&lt;valeur&gt;",VLOOKUP(C13671,'T16 Amort'!A:K,8,0),"&lt;/valeur&gt;")</f>
        <v>&lt;valeur&gt;&lt;/valeur&gt;</v>
      </c>
      <c r="K13671" s="1013"/>
    </row>
    <row r="13672" spans="1:11" s="1011" customFormat="1" ht="15" x14ac:dyDescent="0.25">
      <c r="A13672" s="859">
        <f t="shared" si="298"/>
        <v>13671</v>
      </c>
      <c r="B13672" s="845" t="s">
        <v>2564</v>
      </c>
      <c r="C13672" s="1007">
        <f t="shared" si="297"/>
        <v>110</v>
      </c>
      <c r="D13672" s="1014"/>
      <c r="I13672" s="1011" t="str">
        <f>CONCATENATE("&lt;numeroLigne&gt;",C13672,"&lt;/numeroLigne&gt;")</f>
        <v>&lt;numeroLigne&gt;110&lt;/numeroLigne&gt;</v>
      </c>
      <c r="K13672" s="1013"/>
    </row>
    <row r="13673" spans="1:11" s="1011" customFormat="1" ht="15" x14ac:dyDescent="0.25">
      <c r="A13673" s="859">
        <f t="shared" si="298"/>
        <v>13672</v>
      </c>
      <c r="B13673" s="845" t="s">
        <v>2564</v>
      </c>
      <c r="C13673" s="1007">
        <f t="shared" si="297"/>
        <v>110</v>
      </c>
      <c r="D13673" s="1012"/>
      <c r="H13673" s="1011" t="s">
        <v>1010</v>
      </c>
      <c r="K13673" s="1013"/>
    </row>
    <row r="13674" spans="1:11" s="1011" customFormat="1" ht="15" x14ac:dyDescent="0.25">
      <c r="A13674" s="859">
        <f t="shared" si="298"/>
        <v>13673</v>
      </c>
      <c r="B13674" s="845" t="s">
        <v>2564</v>
      </c>
      <c r="C13674" s="1007">
        <f t="shared" si="297"/>
        <v>110</v>
      </c>
      <c r="D13674" s="1015"/>
      <c r="H13674" s="1011" t="s">
        <v>1007</v>
      </c>
      <c r="K13674" s="1013"/>
    </row>
    <row r="13675" spans="1:11" s="1011" customFormat="1" ht="15" x14ac:dyDescent="0.25">
      <c r="A13675" s="859">
        <f t="shared" si="298"/>
        <v>13674</v>
      </c>
      <c r="B13675" s="845" t="s">
        <v>2564</v>
      </c>
      <c r="C13675" s="1007">
        <f t="shared" si="297"/>
        <v>110</v>
      </c>
      <c r="D13675" s="1012"/>
      <c r="I13675" s="1011" t="s">
        <v>2181</v>
      </c>
      <c r="K13675" s="1013"/>
    </row>
    <row r="13676" spans="1:11" s="1011" customFormat="1" ht="15" x14ac:dyDescent="0.25">
      <c r="A13676" s="859">
        <f t="shared" si="298"/>
        <v>13675</v>
      </c>
      <c r="B13676" s="845" t="s">
        <v>2564</v>
      </c>
      <c r="C13676" s="1007">
        <f t="shared" si="297"/>
        <v>110</v>
      </c>
      <c r="D13676" s="1012"/>
      <c r="I13676" s="1011" t="str">
        <f>CONCATENATE("&lt;valeur&gt;",VLOOKUP(C13676,'T16 Amort'!A:K,9,0),"&lt;/valeur&gt;")</f>
        <v>&lt;valeur&gt;&lt;/valeur&gt;</v>
      </c>
      <c r="K13676" s="1013"/>
    </row>
    <row r="13677" spans="1:11" s="1011" customFormat="1" ht="15" x14ac:dyDescent="0.25">
      <c r="A13677" s="859">
        <f t="shared" si="298"/>
        <v>13676</v>
      </c>
      <c r="B13677" s="845" t="s">
        <v>2564</v>
      </c>
      <c r="C13677" s="1007">
        <f t="shared" si="297"/>
        <v>110</v>
      </c>
      <c r="D13677" s="1014"/>
      <c r="I13677" s="1011" t="str">
        <f>CONCATENATE("&lt;numeroLigne&gt;",C13677,"&lt;/numeroLigne&gt;")</f>
        <v>&lt;numeroLigne&gt;110&lt;/numeroLigne&gt;</v>
      </c>
      <c r="K13677" s="1013"/>
    </row>
    <row r="13678" spans="1:11" s="1011" customFormat="1" ht="15" x14ac:dyDescent="0.25">
      <c r="A13678" s="859">
        <f t="shared" si="298"/>
        <v>13677</v>
      </c>
      <c r="B13678" s="845" t="s">
        <v>2564</v>
      </c>
      <c r="C13678" s="1007">
        <f t="shared" si="297"/>
        <v>110</v>
      </c>
      <c r="D13678" s="1014"/>
      <c r="H13678" s="1011" t="s">
        <v>1010</v>
      </c>
      <c r="K13678" s="1013"/>
    </row>
    <row r="13679" spans="1:11" s="1011" customFormat="1" ht="15" x14ac:dyDescent="0.25">
      <c r="A13679" s="859">
        <f t="shared" si="298"/>
        <v>13678</v>
      </c>
      <c r="B13679" s="845" t="s">
        <v>2564</v>
      </c>
      <c r="C13679" s="1007">
        <f t="shared" ref="C13679:C13742" si="299">C13629+1</f>
        <v>110</v>
      </c>
      <c r="D13679" s="1012"/>
      <c r="H13679" s="1011" t="s">
        <v>1007</v>
      </c>
      <c r="K13679" s="1013"/>
    </row>
    <row r="13680" spans="1:11" s="1011" customFormat="1" ht="15" x14ac:dyDescent="0.25">
      <c r="A13680" s="859">
        <f t="shared" si="298"/>
        <v>13679</v>
      </c>
      <c r="B13680" s="845" t="s">
        <v>2564</v>
      </c>
      <c r="C13680" s="1007">
        <f t="shared" si="299"/>
        <v>110</v>
      </c>
      <c r="D13680" s="1015"/>
      <c r="I13680" s="1011" t="s">
        <v>2182</v>
      </c>
      <c r="K13680" s="1013"/>
    </row>
    <row r="13681" spans="1:11" s="1011" customFormat="1" ht="15" x14ac:dyDescent="0.25">
      <c r="A13681" s="859">
        <f t="shared" si="298"/>
        <v>13680</v>
      </c>
      <c r="B13681" s="845" t="s">
        <v>2564</v>
      </c>
      <c r="C13681" s="1007">
        <f t="shared" si="299"/>
        <v>110</v>
      </c>
      <c r="D13681" s="1012"/>
      <c r="I13681" s="1011" t="str">
        <f>CONCATENATE("&lt;valeur&gt;",VLOOKUP(C13681,'T16 Amort'!A:K,10,0),"&lt;/valeur&gt;")</f>
        <v>&lt;valeur&gt;&lt;/valeur&gt;</v>
      </c>
      <c r="K13681" s="1013"/>
    </row>
    <row r="13682" spans="1:11" s="1011" customFormat="1" ht="15" x14ac:dyDescent="0.25">
      <c r="A13682" s="859">
        <f t="shared" si="298"/>
        <v>13681</v>
      </c>
      <c r="B13682" s="845" t="s">
        <v>2564</v>
      </c>
      <c r="C13682" s="1007">
        <f t="shared" si="299"/>
        <v>110</v>
      </c>
      <c r="D13682" s="1012"/>
      <c r="I13682" s="1011" t="str">
        <f>CONCATENATE("&lt;numeroLigne&gt;",C13682,"&lt;/numeroLigne&gt;")</f>
        <v>&lt;numeroLigne&gt;110&lt;/numeroLigne&gt;</v>
      </c>
      <c r="K13682" s="1013"/>
    </row>
    <row r="13683" spans="1:11" s="1011" customFormat="1" ht="15" x14ac:dyDescent="0.25">
      <c r="A13683" s="859">
        <f t="shared" si="298"/>
        <v>13682</v>
      </c>
      <c r="B13683" s="845" t="s">
        <v>2564</v>
      </c>
      <c r="C13683" s="1007">
        <f t="shared" si="299"/>
        <v>110</v>
      </c>
      <c r="D13683" s="1014"/>
      <c r="H13683" s="1011" t="s">
        <v>1010</v>
      </c>
      <c r="K13683" s="1013"/>
    </row>
    <row r="13684" spans="1:11" s="1011" customFormat="1" ht="15" x14ac:dyDescent="0.25">
      <c r="A13684" s="859">
        <f t="shared" si="298"/>
        <v>13683</v>
      </c>
      <c r="B13684" s="845" t="s">
        <v>2564</v>
      </c>
      <c r="C13684" s="1007">
        <f t="shared" si="299"/>
        <v>110</v>
      </c>
      <c r="D13684" s="1014"/>
      <c r="H13684" s="1011" t="s">
        <v>1007</v>
      </c>
      <c r="K13684" s="1013"/>
    </row>
    <row r="13685" spans="1:11" s="1011" customFormat="1" ht="15" x14ac:dyDescent="0.25">
      <c r="A13685" s="859">
        <f t="shared" si="298"/>
        <v>13684</v>
      </c>
      <c r="B13685" s="845" t="s">
        <v>2564</v>
      </c>
      <c r="C13685" s="1007">
        <f t="shared" si="299"/>
        <v>110</v>
      </c>
      <c r="D13685" s="1012"/>
      <c r="I13685" s="1011" t="s">
        <v>2183</v>
      </c>
      <c r="K13685" s="1013"/>
    </row>
    <row r="13686" spans="1:11" s="1011" customFormat="1" ht="15" x14ac:dyDescent="0.25">
      <c r="A13686" s="859">
        <f t="shared" si="298"/>
        <v>13685</v>
      </c>
      <c r="B13686" s="845" t="s">
        <v>2564</v>
      </c>
      <c r="C13686" s="1007">
        <f t="shared" si="299"/>
        <v>110</v>
      </c>
      <c r="D13686" s="1015"/>
      <c r="I13686" s="1011" t="str">
        <f>CONCATENATE("&lt;valeur&gt;",VLOOKUP(C13686,'T16 Amort'!A:K,11,0),"&lt;/valeur&gt;")</f>
        <v>&lt;valeur&gt;&lt;/valeur&gt;</v>
      </c>
      <c r="K13686" s="1013"/>
    </row>
    <row r="13687" spans="1:11" s="1011" customFormat="1" ht="15" x14ac:dyDescent="0.25">
      <c r="A13687" s="859">
        <f t="shared" si="298"/>
        <v>13686</v>
      </c>
      <c r="B13687" s="845" t="s">
        <v>2564</v>
      </c>
      <c r="C13687" s="1007">
        <f t="shared" si="299"/>
        <v>110</v>
      </c>
      <c r="D13687" s="1012"/>
      <c r="I13687" s="1011" t="str">
        <f>CONCATENATE("&lt;numeroLigne&gt;",C13687,"&lt;/numeroLigne&gt;")</f>
        <v>&lt;numeroLigne&gt;110&lt;/numeroLigne&gt;</v>
      </c>
      <c r="K13687" s="1013"/>
    </row>
    <row r="13688" spans="1:11" s="1011" customFormat="1" ht="15" x14ac:dyDescent="0.25">
      <c r="A13688" s="859">
        <f t="shared" si="298"/>
        <v>13687</v>
      </c>
      <c r="B13688" s="845" t="s">
        <v>2564</v>
      </c>
      <c r="C13688" s="1007">
        <f t="shared" si="299"/>
        <v>110</v>
      </c>
      <c r="D13688" s="1016"/>
      <c r="E13688" s="1017"/>
      <c r="F13688" s="1017"/>
      <c r="G13688" s="1017"/>
      <c r="H13688" s="1017" t="s">
        <v>1010</v>
      </c>
      <c r="I13688" s="1017"/>
      <c r="J13688" s="1017"/>
      <c r="K13688" s="1018"/>
    </row>
    <row r="13689" spans="1:11" s="1011" customFormat="1" ht="15" x14ac:dyDescent="0.25">
      <c r="A13689" s="859">
        <f t="shared" si="298"/>
        <v>13688</v>
      </c>
      <c r="B13689" s="845" t="s">
        <v>2564</v>
      </c>
      <c r="C13689" s="1007">
        <f t="shared" si="299"/>
        <v>111</v>
      </c>
      <c r="D13689" s="1008"/>
      <c r="E13689" s="1009"/>
      <c r="F13689" s="1009"/>
      <c r="G13689" s="1009"/>
      <c r="H13689" s="1009" t="s">
        <v>1007</v>
      </c>
      <c r="I13689" s="1009"/>
      <c r="J13689" s="1009"/>
      <c r="K13689" s="1010"/>
    </row>
    <row r="13690" spans="1:11" s="1011" customFormat="1" ht="15" x14ac:dyDescent="0.25">
      <c r="A13690" s="859">
        <f t="shared" si="298"/>
        <v>13689</v>
      </c>
      <c r="B13690" s="845" t="s">
        <v>2564</v>
      </c>
      <c r="C13690" s="1007">
        <f t="shared" si="299"/>
        <v>111</v>
      </c>
      <c r="D13690" s="1012"/>
      <c r="I13690" s="1011" t="s">
        <v>2174</v>
      </c>
      <c r="K13690" s="1013"/>
    </row>
    <row r="13691" spans="1:11" s="1011" customFormat="1" ht="15" x14ac:dyDescent="0.25">
      <c r="A13691" s="859">
        <f t="shared" si="298"/>
        <v>13690</v>
      </c>
      <c r="B13691" s="845" t="s">
        <v>2564</v>
      </c>
      <c r="C13691" s="1007">
        <f t="shared" si="299"/>
        <v>111</v>
      </c>
      <c r="D13691" s="1014"/>
      <c r="I13691" s="1011" t="str">
        <f>CONCATENATE("&lt;valeur&gt;",VLOOKUP(C13691,'T16 Amort'!A:K,2,0),"&lt;/valeur&gt;")</f>
        <v>&lt;valeur&gt;&lt;/valeur&gt;</v>
      </c>
      <c r="K13691" s="1013"/>
    </row>
    <row r="13692" spans="1:11" s="1011" customFormat="1" ht="15" x14ac:dyDescent="0.25">
      <c r="A13692" s="859">
        <f t="shared" si="298"/>
        <v>13691</v>
      </c>
      <c r="B13692" s="845" t="s">
        <v>2564</v>
      </c>
      <c r="C13692" s="1007">
        <f t="shared" si="299"/>
        <v>111</v>
      </c>
      <c r="D13692" s="1014"/>
      <c r="I13692" s="1011" t="str">
        <f>CONCATENATE("&lt;numeroLigne&gt;",C13692,"&lt;/numeroLigne&gt;")</f>
        <v>&lt;numeroLigne&gt;111&lt;/numeroLigne&gt;</v>
      </c>
      <c r="K13692" s="1013"/>
    </row>
    <row r="13693" spans="1:11" s="1011" customFormat="1" ht="15" x14ac:dyDescent="0.25">
      <c r="A13693" s="859">
        <f t="shared" si="298"/>
        <v>13692</v>
      </c>
      <c r="B13693" s="845" t="s">
        <v>2564</v>
      </c>
      <c r="C13693" s="1007">
        <f t="shared" si="299"/>
        <v>111</v>
      </c>
      <c r="D13693" s="1012"/>
      <c r="H13693" s="1011" t="s">
        <v>1010</v>
      </c>
      <c r="K13693" s="1013"/>
    </row>
    <row r="13694" spans="1:11" s="1011" customFormat="1" ht="15" x14ac:dyDescent="0.25">
      <c r="A13694" s="859">
        <f t="shared" si="298"/>
        <v>13693</v>
      </c>
      <c r="B13694" s="845" t="s">
        <v>2564</v>
      </c>
      <c r="C13694" s="1007">
        <f t="shared" si="299"/>
        <v>111</v>
      </c>
      <c r="D13694" s="1015"/>
      <c r="H13694" s="1011" t="s">
        <v>1007</v>
      </c>
      <c r="K13694" s="1013"/>
    </row>
    <row r="13695" spans="1:11" s="1011" customFormat="1" ht="15" x14ac:dyDescent="0.25">
      <c r="A13695" s="859">
        <f t="shared" si="298"/>
        <v>13694</v>
      </c>
      <c r="B13695" s="845" t="s">
        <v>2564</v>
      </c>
      <c r="C13695" s="1007">
        <f t="shared" si="299"/>
        <v>111</v>
      </c>
      <c r="D13695" s="1012"/>
      <c r="I13695" s="1011" t="s">
        <v>2175</v>
      </c>
      <c r="K13695" s="1013"/>
    </row>
    <row r="13696" spans="1:11" s="1011" customFormat="1" ht="15" x14ac:dyDescent="0.25">
      <c r="A13696" s="859">
        <f t="shared" si="298"/>
        <v>13695</v>
      </c>
      <c r="B13696" s="845" t="s">
        <v>2564</v>
      </c>
      <c r="C13696" s="1007">
        <f t="shared" si="299"/>
        <v>111</v>
      </c>
      <c r="D13696" s="1012"/>
      <c r="I13696" s="1011" t="str">
        <f>CONCATENATE("&lt;valeur&gt;",VLOOKUP(C13696,'T16 Amort'!A:K,3,0),"&lt;/valeur&gt;")</f>
        <v>&lt;valeur&gt;&lt;/valeur&gt;</v>
      </c>
      <c r="K13696" s="1013"/>
    </row>
    <row r="13697" spans="1:11" s="1011" customFormat="1" ht="15" x14ac:dyDescent="0.25">
      <c r="A13697" s="859">
        <f t="shared" si="298"/>
        <v>13696</v>
      </c>
      <c r="B13697" s="845" t="s">
        <v>2564</v>
      </c>
      <c r="C13697" s="1007">
        <f t="shared" si="299"/>
        <v>111</v>
      </c>
      <c r="D13697" s="1014"/>
      <c r="I13697" s="1011" t="str">
        <f>CONCATENATE("&lt;numeroLigne&gt;",C13697,"&lt;/numeroLigne&gt;")</f>
        <v>&lt;numeroLigne&gt;111&lt;/numeroLigne&gt;</v>
      </c>
      <c r="K13697" s="1013"/>
    </row>
    <row r="13698" spans="1:11" s="1011" customFormat="1" ht="15" x14ac:dyDescent="0.25">
      <c r="A13698" s="859">
        <f t="shared" si="298"/>
        <v>13697</v>
      </c>
      <c r="B13698" s="845" t="s">
        <v>2564</v>
      </c>
      <c r="C13698" s="1007">
        <f t="shared" si="299"/>
        <v>111</v>
      </c>
      <c r="D13698" s="1014"/>
      <c r="H13698" s="1011" t="s">
        <v>1010</v>
      </c>
      <c r="K13698" s="1013"/>
    </row>
    <row r="13699" spans="1:11" s="1011" customFormat="1" ht="15" x14ac:dyDescent="0.25">
      <c r="A13699" s="859">
        <f t="shared" si="298"/>
        <v>13698</v>
      </c>
      <c r="B13699" s="845" t="s">
        <v>2564</v>
      </c>
      <c r="C13699" s="1007">
        <f t="shared" si="299"/>
        <v>111</v>
      </c>
      <c r="D13699" s="1012"/>
      <c r="H13699" s="1011" t="s">
        <v>1007</v>
      </c>
      <c r="K13699" s="1013"/>
    </row>
    <row r="13700" spans="1:11" s="1011" customFormat="1" ht="15" x14ac:dyDescent="0.25">
      <c r="A13700" s="859">
        <f t="shared" ref="A13700:A13763" si="300">+A13699+1</f>
        <v>13699</v>
      </c>
      <c r="B13700" s="845" t="s">
        <v>2564</v>
      </c>
      <c r="C13700" s="1007">
        <f t="shared" si="299"/>
        <v>111</v>
      </c>
      <c r="D13700" s="1015"/>
      <c r="I13700" s="1011" t="s">
        <v>2176</v>
      </c>
      <c r="K13700" s="1013"/>
    </row>
    <row r="13701" spans="1:11" s="1011" customFormat="1" ht="15" x14ac:dyDescent="0.25">
      <c r="A13701" s="859">
        <f t="shared" si="300"/>
        <v>13700</v>
      </c>
      <c r="B13701" s="845" t="s">
        <v>2564</v>
      </c>
      <c r="C13701" s="1007">
        <f t="shared" si="299"/>
        <v>111</v>
      </c>
      <c r="D13701" s="1012"/>
      <c r="I13701" s="1011" t="str">
        <f>CONCATENATE("&lt;valeur&gt;",VLOOKUP(C13701,'T16 Amort'!A:K,4,0),"&lt;/valeur&gt;")</f>
        <v>&lt;valeur&gt;&lt;/valeur&gt;</v>
      </c>
      <c r="K13701" s="1013"/>
    </row>
    <row r="13702" spans="1:11" s="1011" customFormat="1" ht="15" x14ac:dyDescent="0.25">
      <c r="A13702" s="859">
        <f t="shared" si="300"/>
        <v>13701</v>
      </c>
      <c r="B13702" s="845" t="s">
        <v>2564</v>
      </c>
      <c r="C13702" s="1007">
        <f t="shared" si="299"/>
        <v>111</v>
      </c>
      <c r="D13702" s="1012"/>
      <c r="I13702" s="1011" t="str">
        <f>CONCATENATE("&lt;numeroLigne&gt;",C13702,"&lt;/numeroLigne&gt;")</f>
        <v>&lt;numeroLigne&gt;111&lt;/numeroLigne&gt;</v>
      </c>
      <c r="K13702" s="1013"/>
    </row>
    <row r="13703" spans="1:11" s="1011" customFormat="1" ht="15" x14ac:dyDescent="0.25">
      <c r="A13703" s="859">
        <f t="shared" si="300"/>
        <v>13702</v>
      </c>
      <c r="B13703" s="845" t="s">
        <v>2564</v>
      </c>
      <c r="C13703" s="1007">
        <f t="shared" si="299"/>
        <v>111</v>
      </c>
      <c r="D13703" s="1014"/>
      <c r="H13703" s="1011" t="s">
        <v>1010</v>
      </c>
      <c r="K13703" s="1013"/>
    </row>
    <row r="13704" spans="1:11" s="1011" customFormat="1" ht="15" x14ac:dyDescent="0.25">
      <c r="A13704" s="859">
        <f t="shared" si="300"/>
        <v>13703</v>
      </c>
      <c r="B13704" s="845" t="s">
        <v>2564</v>
      </c>
      <c r="C13704" s="1007">
        <f t="shared" si="299"/>
        <v>111</v>
      </c>
      <c r="D13704" s="1014"/>
      <c r="H13704" s="1011" t="s">
        <v>1007</v>
      </c>
      <c r="K13704" s="1013"/>
    </row>
    <row r="13705" spans="1:11" s="1011" customFormat="1" ht="15" x14ac:dyDescent="0.25">
      <c r="A13705" s="859">
        <f t="shared" si="300"/>
        <v>13704</v>
      </c>
      <c r="B13705" s="845" t="s">
        <v>2564</v>
      </c>
      <c r="C13705" s="1007">
        <f t="shared" si="299"/>
        <v>111</v>
      </c>
      <c r="D13705" s="1012"/>
      <c r="I13705" s="1011" t="s">
        <v>2177</v>
      </c>
      <c r="K13705" s="1013"/>
    </row>
    <row r="13706" spans="1:11" s="1011" customFormat="1" ht="15" x14ac:dyDescent="0.25">
      <c r="A13706" s="859">
        <f t="shared" si="300"/>
        <v>13705</v>
      </c>
      <c r="B13706" s="845" t="s">
        <v>2564</v>
      </c>
      <c r="C13706" s="1007">
        <f t="shared" si="299"/>
        <v>111</v>
      </c>
      <c r="D13706" s="1015"/>
      <c r="I13706" s="1011" t="str">
        <f>CONCATENATE("&lt;valeur&gt;",VLOOKUP(C13706,'T16 Amort'!A:K,5,0),"&lt;/valeur&gt;")</f>
        <v>&lt;valeur&gt;&lt;/valeur&gt;</v>
      </c>
      <c r="K13706" s="1013"/>
    </row>
    <row r="13707" spans="1:11" s="1011" customFormat="1" ht="15" x14ac:dyDescent="0.25">
      <c r="A13707" s="859">
        <f t="shared" si="300"/>
        <v>13706</v>
      </c>
      <c r="B13707" s="845" t="s">
        <v>2564</v>
      </c>
      <c r="C13707" s="1007">
        <f t="shared" si="299"/>
        <v>111</v>
      </c>
      <c r="D13707" s="1012"/>
      <c r="I13707" s="1011" t="str">
        <f>CONCATENATE("&lt;numeroLigne&gt;",C13707,"&lt;/numeroLigne&gt;")</f>
        <v>&lt;numeroLigne&gt;111&lt;/numeroLigne&gt;</v>
      </c>
      <c r="K13707" s="1013"/>
    </row>
    <row r="13708" spans="1:11" s="1011" customFormat="1" ht="15" x14ac:dyDescent="0.25">
      <c r="A13708" s="859">
        <f t="shared" si="300"/>
        <v>13707</v>
      </c>
      <c r="B13708" s="845" t="s">
        <v>2564</v>
      </c>
      <c r="C13708" s="1007">
        <f t="shared" si="299"/>
        <v>111</v>
      </c>
      <c r="D13708" s="1012"/>
      <c r="H13708" s="1011" t="s">
        <v>1010</v>
      </c>
      <c r="K13708" s="1013"/>
    </row>
    <row r="13709" spans="1:11" s="1011" customFormat="1" ht="15" x14ac:dyDescent="0.25">
      <c r="A13709" s="859">
        <f t="shared" si="300"/>
        <v>13708</v>
      </c>
      <c r="B13709" s="845" t="s">
        <v>2564</v>
      </c>
      <c r="C13709" s="1007">
        <f t="shared" si="299"/>
        <v>111</v>
      </c>
      <c r="D13709" s="1014"/>
      <c r="H13709" s="1011" t="s">
        <v>1007</v>
      </c>
      <c r="K13709" s="1013"/>
    </row>
    <row r="13710" spans="1:11" s="1011" customFormat="1" ht="15" x14ac:dyDescent="0.25">
      <c r="A13710" s="859">
        <f t="shared" si="300"/>
        <v>13709</v>
      </c>
      <c r="B13710" s="845" t="s">
        <v>2564</v>
      </c>
      <c r="C13710" s="1007">
        <f t="shared" si="299"/>
        <v>111</v>
      </c>
      <c r="D13710" s="1014"/>
      <c r="I13710" s="1011" t="s">
        <v>2178</v>
      </c>
      <c r="K13710" s="1013"/>
    </row>
    <row r="13711" spans="1:11" s="1011" customFormat="1" ht="15" x14ac:dyDescent="0.25">
      <c r="A13711" s="859">
        <f t="shared" si="300"/>
        <v>13710</v>
      </c>
      <c r="B13711" s="845" t="s">
        <v>2564</v>
      </c>
      <c r="C13711" s="1007">
        <f t="shared" si="299"/>
        <v>111</v>
      </c>
      <c r="D13711" s="1012"/>
      <c r="I13711" s="1011" t="str">
        <f>CONCATENATE("&lt;valeur&gt;",VLOOKUP(C13711,'T16 Amort'!A:K,6,0),"&lt;/valeur&gt;")</f>
        <v>&lt;valeur&gt;&lt;/valeur&gt;</v>
      </c>
      <c r="K13711" s="1013"/>
    </row>
    <row r="13712" spans="1:11" s="1011" customFormat="1" ht="15" x14ac:dyDescent="0.25">
      <c r="A13712" s="859">
        <f t="shared" si="300"/>
        <v>13711</v>
      </c>
      <c r="B13712" s="845" t="s">
        <v>2564</v>
      </c>
      <c r="C13712" s="1007">
        <f t="shared" si="299"/>
        <v>111</v>
      </c>
      <c r="D13712" s="1015"/>
      <c r="I13712" s="1011" t="str">
        <f>CONCATENATE("&lt;numeroLigne&gt;",C13712,"&lt;/numeroLigne&gt;")</f>
        <v>&lt;numeroLigne&gt;111&lt;/numeroLigne&gt;</v>
      </c>
      <c r="K13712" s="1013"/>
    </row>
    <row r="13713" spans="1:11" s="1011" customFormat="1" ht="15" x14ac:dyDescent="0.25">
      <c r="A13713" s="859">
        <f t="shared" si="300"/>
        <v>13712</v>
      </c>
      <c r="B13713" s="845" t="s">
        <v>2564</v>
      </c>
      <c r="C13713" s="1007">
        <f t="shared" si="299"/>
        <v>111</v>
      </c>
      <c r="D13713" s="1012"/>
      <c r="H13713" s="1011" t="s">
        <v>1010</v>
      </c>
      <c r="K13713" s="1013"/>
    </row>
    <row r="13714" spans="1:11" s="1011" customFormat="1" ht="15" x14ac:dyDescent="0.25">
      <c r="A13714" s="859">
        <f t="shared" si="300"/>
        <v>13713</v>
      </c>
      <c r="B13714" s="845" t="s">
        <v>2564</v>
      </c>
      <c r="C13714" s="1007">
        <f t="shared" si="299"/>
        <v>111</v>
      </c>
      <c r="D13714" s="1012"/>
      <c r="H13714" s="1011" t="s">
        <v>1007</v>
      </c>
      <c r="K13714" s="1013"/>
    </row>
    <row r="13715" spans="1:11" s="1011" customFormat="1" ht="15" x14ac:dyDescent="0.25">
      <c r="A13715" s="859">
        <f t="shared" si="300"/>
        <v>13714</v>
      </c>
      <c r="B13715" s="845" t="s">
        <v>2564</v>
      </c>
      <c r="C13715" s="1007">
        <f t="shared" si="299"/>
        <v>111</v>
      </c>
      <c r="D13715" s="1014"/>
      <c r="I13715" s="1011" t="s">
        <v>2179</v>
      </c>
      <c r="K13715" s="1013"/>
    </row>
    <row r="13716" spans="1:11" s="1011" customFormat="1" ht="15" x14ac:dyDescent="0.25">
      <c r="A13716" s="859">
        <f t="shared" si="300"/>
        <v>13715</v>
      </c>
      <c r="B13716" s="845" t="s">
        <v>2564</v>
      </c>
      <c r="C13716" s="1007">
        <f t="shared" si="299"/>
        <v>111</v>
      </c>
      <c r="D13716" s="1014"/>
      <c r="I13716" s="1011" t="str">
        <f>CONCATENATE("&lt;valeur&gt;",VLOOKUP(C13716,'T16 Amort'!A:K,7,0),"&lt;/valeur&gt;")</f>
        <v>&lt;valeur&gt;&lt;/valeur&gt;</v>
      </c>
      <c r="K13716" s="1013"/>
    </row>
    <row r="13717" spans="1:11" s="1011" customFormat="1" ht="15" x14ac:dyDescent="0.25">
      <c r="A13717" s="859">
        <f t="shared" si="300"/>
        <v>13716</v>
      </c>
      <c r="B13717" s="845" t="s">
        <v>2564</v>
      </c>
      <c r="C13717" s="1007">
        <f t="shared" si="299"/>
        <v>111</v>
      </c>
      <c r="D13717" s="1012"/>
      <c r="I13717" s="1011" t="str">
        <f>CONCATENATE("&lt;numeroLigne&gt;",C13717,"&lt;/numeroLigne&gt;")</f>
        <v>&lt;numeroLigne&gt;111&lt;/numeroLigne&gt;</v>
      </c>
      <c r="K13717" s="1013"/>
    </row>
    <row r="13718" spans="1:11" s="1011" customFormat="1" ht="15" x14ac:dyDescent="0.25">
      <c r="A13718" s="859">
        <f t="shared" si="300"/>
        <v>13717</v>
      </c>
      <c r="B13718" s="845" t="s">
        <v>2564</v>
      </c>
      <c r="C13718" s="1007">
        <f t="shared" si="299"/>
        <v>111</v>
      </c>
      <c r="D13718" s="1015"/>
      <c r="H13718" s="1011" t="s">
        <v>1010</v>
      </c>
      <c r="K13718" s="1013"/>
    </row>
    <row r="13719" spans="1:11" s="1011" customFormat="1" ht="15" x14ac:dyDescent="0.25">
      <c r="A13719" s="859">
        <f t="shared" si="300"/>
        <v>13718</v>
      </c>
      <c r="B13719" s="845" t="s">
        <v>2564</v>
      </c>
      <c r="C13719" s="1007">
        <f t="shared" si="299"/>
        <v>111</v>
      </c>
      <c r="D13719" s="1012"/>
      <c r="H13719" s="1011" t="s">
        <v>1007</v>
      </c>
      <c r="K13719" s="1013"/>
    </row>
    <row r="13720" spans="1:11" s="1011" customFormat="1" ht="15" x14ac:dyDescent="0.25">
      <c r="A13720" s="859">
        <f t="shared" si="300"/>
        <v>13719</v>
      </c>
      <c r="B13720" s="845" t="s">
        <v>2564</v>
      </c>
      <c r="C13720" s="1007">
        <f t="shared" si="299"/>
        <v>111</v>
      </c>
      <c r="D13720" s="1012"/>
      <c r="I13720" s="1011" t="s">
        <v>2180</v>
      </c>
      <c r="K13720" s="1013"/>
    </row>
    <row r="13721" spans="1:11" s="1011" customFormat="1" ht="15" x14ac:dyDescent="0.25">
      <c r="A13721" s="859">
        <f t="shared" si="300"/>
        <v>13720</v>
      </c>
      <c r="B13721" s="845" t="s">
        <v>2564</v>
      </c>
      <c r="C13721" s="1007">
        <f t="shared" si="299"/>
        <v>111</v>
      </c>
      <c r="D13721" s="1014"/>
      <c r="I13721" s="1011" t="str">
        <f>CONCATENATE("&lt;valeur&gt;",VLOOKUP(C13721,'T16 Amort'!A:K,8,0),"&lt;/valeur&gt;")</f>
        <v>&lt;valeur&gt;&lt;/valeur&gt;</v>
      </c>
      <c r="K13721" s="1013"/>
    </row>
    <row r="13722" spans="1:11" s="1011" customFormat="1" ht="15" x14ac:dyDescent="0.25">
      <c r="A13722" s="859">
        <f t="shared" si="300"/>
        <v>13721</v>
      </c>
      <c r="B13722" s="845" t="s">
        <v>2564</v>
      </c>
      <c r="C13722" s="1007">
        <f t="shared" si="299"/>
        <v>111</v>
      </c>
      <c r="D13722" s="1014"/>
      <c r="I13722" s="1011" t="str">
        <f>CONCATENATE("&lt;numeroLigne&gt;",C13722,"&lt;/numeroLigne&gt;")</f>
        <v>&lt;numeroLigne&gt;111&lt;/numeroLigne&gt;</v>
      </c>
      <c r="K13722" s="1013"/>
    </row>
    <row r="13723" spans="1:11" s="1011" customFormat="1" ht="15" x14ac:dyDescent="0.25">
      <c r="A13723" s="859">
        <f t="shared" si="300"/>
        <v>13722</v>
      </c>
      <c r="B13723" s="845" t="s">
        <v>2564</v>
      </c>
      <c r="C13723" s="1007">
        <f t="shared" si="299"/>
        <v>111</v>
      </c>
      <c r="D13723" s="1012"/>
      <c r="H13723" s="1011" t="s">
        <v>1010</v>
      </c>
      <c r="K13723" s="1013"/>
    </row>
    <row r="13724" spans="1:11" s="1011" customFormat="1" ht="15" x14ac:dyDescent="0.25">
      <c r="A13724" s="859">
        <f t="shared" si="300"/>
        <v>13723</v>
      </c>
      <c r="B13724" s="845" t="s">
        <v>2564</v>
      </c>
      <c r="C13724" s="1007">
        <f t="shared" si="299"/>
        <v>111</v>
      </c>
      <c r="D13724" s="1015"/>
      <c r="H13724" s="1011" t="s">
        <v>1007</v>
      </c>
      <c r="K13724" s="1013"/>
    </row>
    <row r="13725" spans="1:11" s="1011" customFormat="1" ht="15" x14ac:dyDescent="0.25">
      <c r="A13725" s="859">
        <f t="shared" si="300"/>
        <v>13724</v>
      </c>
      <c r="B13725" s="845" t="s">
        <v>2564</v>
      </c>
      <c r="C13725" s="1007">
        <f t="shared" si="299"/>
        <v>111</v>
      </c>
      <c r="D13725" s="1012"/>
      <c r="I13725" s="1011" t="s">
        <v>2181</v>
      </c>
      <c r="K13725" s="1013"/>
    </row>
    <row r="13726" spans="1:11" s="1011" customFormat="1" ht="15" x14ac:dyDescent="0.25">
      <c r="A13726" s="859">
        <f t="shared" si="300"/>
        <v>13725</v>
      </c>
      <c r="B13726" s="845" t="s">
        <v>2564</v>
      </c>
      <c r="C13726" s="1007">
        <f t="shared" si="299"/>
        <v>111</v>
      </c>
      <c r="D13726" s="1012"/>
      <c r="I13726" s="1011" t="str">
        <f>CONCATENATE("&lt;valeur&gt;",VLOOKUP(C13726,'T16 Amort'!A:K,9,0),"&lt;/valeur&gt;")</f>
        <v>&lt;valeur&gt;&lt;/valeur&gt;</v>
      </c>
      <c r="K13726" s="1013"/>
    </row>
    <row r="13727" spans="1:11" s="1011" customFormat="1" ht="15" x14ac:dyDescent="0.25">
      <c r="A13727" s="859">
        <f t="shared" si="300"/>
        <v>13726</v>
      </c>
      <c r="B13727" s="845" t="s">
        <v>2564</v>
      </c>
      <c r="C13727" s="1007">
        <f t="shared" si="299"/>
        <v>111</v>
      </c>
      <c r="D13727" s="1014"/>
      <c r="I13727" s="1011" t="str">
        <f>CONCATENATE("&lt;numeroLigne&gt;",C13727,"&lt;/numeroLigne&gt;")</f>
        <v>&lt;numeroLigne&gt;111&lt;/numeroLigne&gt;</v>
      </c>
      <c r="K13727" s="1013"/>
    </row>
    <row r="13728" spans="1:11" s="1011" customFormat="1" ht="15" x14ac:dyDescent="0.25">
      <c r="A13728" s="859">
        <f t="shared" si="300"/>
        <v>13727</v>
      </c>
      <c r="B13728" s="845" t="s">
        <v>2564</v>
      </c>
      <c r="C13728" s="1007">
        <f t="shared" si="299"/>
        <v>111</v>
      </c>
      <c r="D13728" s="1014"/>
      <c r="H13728" s="1011" t="s">
        <v>1010</v>
      </c>
      <c r="K13728" s="1013"/>
    </row>
    <row r="13729" spans="1:11" s="1011" customFormat="1" ht="15" x14ac:dyDescent="0.25">
      <c r="A13729" s="859">
        <f t="shared" si="300"/>
        <v>13728</v>
      </c>
      <c r="B13729" s="845" t="s">
        <v>2564</v>
      </c>
      <c r="C13729" s="1007">
        <f t="shared" si="299"/>
        <v>111</v>
      </c>
      <c r="D13729" s="1012"/>
      <c r="H13729" s="1011" t="s">
        <v>1007</v>
      </c>
      <c r="K13729" s="1013"/>
    </row>
    <row r="13730" spans="1:11" s="1011" customFormat="1" ht="15" x14ac:dyDescent="0.25">
      <c r="A13730" s="859">
        <f t="shared" si="300"/>
        <v>13729</v>
      </c>
      <c r="B13730" s="845" t="s">
        <v>2564</v>
      </c>
      <c r="C13730" s="1007">
        <f t="shared" si="299"/>
        <v>111</v>
      </c>
      <c r="D13730" s="1015"/>
      <c r="I13730" s="1011" t="s">
        <v>2182</v>
      </c>
      <c r="K13730" s="1013"/>
    </row>
    <row r="13731" spans="1:11" s="1011" customFormat="1" ht="15" x14ac:dyDescent="0.25">
      <c r="A13731" s="859">
        <f t="shared" si="300"/>
        <v>13730</v>
      </c>
      <c r="B13731" s="845" t="s">
        <v>2564</v>
      </c>
      <c r="C13731" s="1007">
        <f t="shared" si="299"/>
        <v>111</v>
      </c>
      <c r="D13731" s="1012"/>
      <c r="I13731" s="1011" t="str">
        <f>CONCATENATE("&lt;valeur&gt;",VLOOKUP(C13731,'T16 Amort'!A:K,10,0),"&lt;/valeur&gt;")</f>
        <v>&lt;valeur&gt;&lt;/valeur&gt;</v>
      </c>
      <c r="K13731" s="1013"/>
    </row>
    <row r="13732" spans="1:11" s="1011" customFormat="1" ht="15" x14ac:dyDescent="0.25">
      <c r="A13732" s="859">
        <f t="shared" si="300"/>
        <v>13731</v>
      </c>
      <c r="B13732" s="845" t="s">
        <v>2564</v>
      </c>
      <c r="C13732" s="1007">
        <f t="shared" si="299"/>
        <v>111</v>
      </c>
      <c r="D13732" s="1012"/>
      <c r="I13732" s="1011" t="str">
        <f>CONCATENATE("&lt;numeroLigne&gt;",C13732,"&lt;/numeroLigne&gt;")</f>
        <v>&lt;numeroLigne&gt;111&lt;/numeroLigne&gt;</v>
      </c>
      <c r="K13732" s="1013"/>
    </row>
    <row r="13733" spans="1:11" s="1011" customFormat="1" ht="15" x14ac:dyDescent="0.25">
      <c r="A13733" s="859">
        <f t="shared" si="300"/>
        <v>13732</v>
      </c>
      <c r="B13733" s="845" t="s">
        <v>2564</v>
      </c>
      <c r="C13733" s="1007">
        <f t="shared" si="299"/>
        <v>111</v>
      </c>
      <c r="D13733" s="1014"/>
      <c r="H13733" s="1011" t="s">
        <v>1010</v>
      </c>
      <c r="K13733" s="1013"/>
    </row>
    <row r="13734" spans="1:11" s="1011" customFormat="1" ht="15" x14ac:dyDescent="0.25">
      <c r="A13734" s="859">
        <f t="shared" si="300"/>
        <v>13733</v>
      </c>
      <c r="B13734" s="845" t="s">
        <v>2564</v>
      </c>
      <c r="C13734" s="1007">
        <f t="shared" si="299"/>
        <v>111</v>
      </c>
      <c r="D13734" s="1014"/>
      <c r="H13734" s="1011" t="s">
        <v>1007</v>
      </c>
      <c r="K13734" s="1013"/>
    </row>
    <row r="13735" spans="1:11" s="1011" customFormat="1" ht="15" x14ac:dyDescent="0.25">
      <c r="A13735" s="859">
        <f t="shared" si="300"/>
        <v>13734</v>
      </c>
      <c r="B13735" s="845" t="s">
        <v>2564</v>
      </c>
      <c r="C13735" s="1007">
        <f t="shared" si="299"/>
        <v>111</v>
      </c>
      <c r="D13735" s="1012"/>
      <c r="I13735" s="1011" t="s">
        <v>2183</v>
      </c>
      <c r="K13735" s="1013"/>
    </row>
    <row r="13736" spans="1:11" s="1011" customFormat="1" ht="15" x14ac:dyDescent="0.25">
      <c r="A13736" s="859">
        <f t="shared" si="300"/>
        <v>13735</v>
      </c>
      <c r="B13736" s="845" t="s">
        <v>2564</v>
      </c>
      <c r="C13736" s="1007">
        <f t="shared" si="299"/>
        <v>111</v>
      </c>
      <c r="D13736" s="1015"/>
      <c r="I13736" s="1011" t="str">
        <f>CONCATENATE("&lt;valeur&gt;",VLOOKUP(C13736,'T16 Amort'!A:K,11,0),"&lt;/valeur&gt;")</f>
        <v>&lt;valeur&gt;&lt;/valeur&gt;</v>
      </c>
      <c r="K13736" s="1013"/>
    </row>
    <row r="13737" spans="1:11" s="1011" customFormat="1" ht="15" x14ac:dyDescent="0.25">
      <c r="A13737" s="859">
        <f t="shared" si="300"/>
        <v>13736</v>
      </c>
      <c r="B13737" s="845" t="s">
        <v>2564</v>
      </c>
      <c r="C13737" s="1007">
        <f t="shared" si="299"/>
        <v>111</v>
      </c>
      <c r="D13737" s="1012"/>
      <c r="I13737" s="1011" t="str">
        <f>CONCATENATE("&lt;numeroLigne&gt;",C13737,"&lt;/numeroLigne&gt;")</f>
        <v>&lt;numeroLigne&gt;111&lt;/numeroLigne&gt;</v>
      </c>
      <c r="K13737" s="1013"/>
    </row>
    <row r="13738" spans="1:11" s="1011" customFormat="1" ht="15" x14ac:dyDescent="0.25">
      <c r="A13738" s="859">
        <f t="shared" si="300"/>
        <v>13737</v>
      </c>
      <c r="B13738" s="845" t="s">
        <v>2564</v>
      </c>
      <c r="C13738" s="1007">
        <f t="shared" si="299"/>
        <v>111</v>
      </c>
      <c r="D13738" s="1016"/>
      <c r="E13738" s="1017"/>
      <c r="F13738" s="1017"/>
      <c r="G13738" s="1017"/>
      <c r="H13738" s="1017" t="s">
        <v>1010</v>
      </c>
      <c r="I13738" s="1017"/>
      <c r="J13738" s="1017"/>
      <c r="K13738" s="1018"/>
    </row>
    <row r="13739" spans="1:11" s="1011" customFormat="1" ht="15" x14ac:dyDescent="0.25">
      <c r="A13739" s="859">
        <f t="shared" si="300"/>
        <v>13738</v>
      </c>
      <c r="B13739" s="845" t="s">
        <v>2564</v>
      </c>
      <c r="C13739" s="1007">
        <f t="shared" si="299"/>
        <v>112</v>
      </c>
      <c r="D13739" s="1008"/>
      <c r="E13739" s="1009"/>
      <c r="F13739" s="1009"/>
      <c r="G13739" s="1009"/>
      <c r="H13739" s="1009" t="s">
        <v>1007</v>
      </c>
      <c r="I13739" s="1009"/>
      <c r="J13739" s="1009"/>
      <c r="K13739" s="1010"/>
    </row>
    <row r="13740" spans="1:11" s="1011" customFormat="1" ht="15" x14ac:dyDescent="0.25">
      <c r="A13740" s="859">
        <f t="shared" si="300"/>
        <v>13739</v>
      </c>
      <c r="B13740" s="845" t="s">
        <v>2564</v>
      </c>
      <c r="C13740" s="1007">
        <f t="shared" si="299"/>
        <v>112</v>
      </c>
      <c r="D13740" s="1012"/>
      <c r="I13740" s="1011" t="s">
        <v>2174</v>
      </c>
      <c r="K13740" s="1013"/>
    </row>
    <row r="13741" spans="1:11" s="1011" customFormat="1" ht="15" x14ac:dyDescent="0.25">
      <c r="A13741" s="859">
        <f t="shared" si="300"/>
        <v>13740</v>
      </c>
      <c r="B13741" s="845" t="s">
        <v>2564</v>
      </c>
      <c r="C13741" s="1007">
        <f t="shared" si="299"/>
        <v>112</v>
      </c>
      <c r="D13741" s="1014"/>
      <c r="I13741" s="1011" t="str">
        <f>CONCATENATE("&lt;valeur&gt;",VLOOKUP(C13741,'T16 Amort'!A:K,2,0),"&lt;/valeur&gt;")</f>
        <v>&lt;valeur&gt;&lt;/valeur&gt;</v>
      </c>
      <c r="K13741" s="1013"/>
    </row>
    <row r="13742" spans="1:11" s="1011" customFormat="1" ht="15" x14ac:dyDescent="0.25">
      <c r="A13742" s="859">
        <f t="shared" si="300"/>
        <v>13741</v>
      </c>
      <c r="B13742" s="845" t="s">
        <v>2564</v>
      </c>
      <c r="C13742" s="1007">
        <f t="shared" si="299"/>
        <v>112</v>
      </c>
      <c r="D13742" s="1014"/>
      <c r="I13742" s="1011" t="str">
        <f>CONCATENATE("&lt;numeroLigne&gt;",C13742,"&lt;/numeroLigne&gt;")</f>
        <v>&lt;numeroLigne&gt;112&lt;/numeroLigne&gt;</v>
      </c>
      <c r="K13742" s="1013"/>
    </row>
    <row r="13743" spans="1:11" s="1011" customFormat="1" ht="15" x14ac:dyDescent="0.25">
      <c r="A13743" s="859">
        <f t="shared" si="300"/>
        <v>13742</v>
      </c>
      <c r="B13743" s="845" t="s">
        <v>2564</v>
      </c>
      <c r="C13743" s="1007">
        <f t="shared" ref="C13743:C13806" si="301">C13693+1</f>
        <v>112</v>
      </c>
      <c r="D13743" s="1012"/>
      <c r="H13743" s="1011" t="s">
        <v>1010</v>
      </c>
      <c r="K13743" s="1013"/>
    </row>
    <row r="13744" spans="1:11" s="1011" customFormat="1" ht="15" x14ac:dyDescent="0.25">
      <c r="A13744" s="859">
        <f t="shared" si="300"/>
        <v>13743</v>
      </c>
      <c r="B13744" s="845" t="s">
        <v>2564</v>
      </c>
      <c r="C13744" s="1007">
        <f t="shared" si="301"/>
        <v>112</v>
      </c>
      <c r="D13744" s="1015"/>
      <c r="H13744" s="1011" t="s">
        <v>1007</v>
      </c>
      <c r="K13744" s="1013"/>
    </row>
    <row r="13745" spans="1:11" s="1011" customFormat="1" ht="15" x14ac:dyDescent="0.25">
      <c r="A13745" s="859">
        <f t="shared" si="300"/>
        <v>13744</v>
      </c>
      <c r="B13745" s="845" t="s">
        <v>2564</v>
      </c>
      <c r="C13745" s="1007">
        <f t="shared" si="301"/>
        <v>112</v>
      </c>
      <c r="D13745" s="1012"/>
      <c r="I13745" s="1011" t="s">
        <v>2175</v>
      </c>
      <c r="K13745" s="1013"/>
    </row>
    <row r="13746" spans="1:11" s="1011" customFormat="1" ht="15" x14ac:dyDescent="0.25">
      <c r="A13746" s="859">
        <f t="shared" si="300"/>
        <v>13745</v>
      </c>
      <c r="B13746" s="845" t="s">
        <v>2564</v>
      </c>
      <c r="C13746" s="1007">
        <f t="shared" si="301"/>
        <v>112</v>
      </c>
      <c r="D13746" s="1012"/>
      <c r="I13746" s="1011" t="str">
        <f>CONCATENATE("&lt;valeur&gt;",VLOOKUP(C13746,'T16 Amort'!A:K,3,0),"&lt;/valeur&gt;")</f>
        <v>&lt;valeur&gt;&lt;/valeur&gt;</v>
      </c>
      <c r="K13746" s="1013"/>
    </row>
    <row r="13747" spans="1:11" s="1011" customFormat="1" ht="15" x14ac:dyDescent="0.25">
      <c r="A13747" s="859">
        <f t="shared" si="300"/>
        <v>13746</v>
      </c>
      <c r="B13747" s="845" t="s">
        <v>2564</v>
      </c>
      <c r="C13747" s="1007">
        <f t="shared" si="301"/>
        <v>112</v>
      </c>
      <c r="D13747" s="1014"/>
      <c r="I13747" s="1011" t="str">
        <f>CONCATENATE("&lt;numeroLigne&gt;",C13747,"&lt;/numeroLigne&gt;")</f>
        <v>&lt;numeroLigne&gt;112&lt;/numeroLigne&gt;</v>
      </c>
      <c r="K13747" s="1013"/>
    </row>
    <row r="13748" spans="1:11" s="1011" customFormat="1" ht="15" x14ac:dyDescent="0.25">
      <c r="A13748" s="859">
        <f t="shared" si="300"/>
        <v>13747</v>
      </c>
      <c r="B13748" s="845" t="s">
        <v>2564</v>
      </c>
      <c r="C13748" s="1007">
        <f t="shared" si="301"/>
        <v>112</v>
      </c>
      <c r="D13748" s="1014"/>
      <c r="H13748" s="1011" t="s">
        <v>1010</v>
      </c>
      <c r="K13748" s="1013"/>
    </row>
    <row r="13749" spans="1:11" s="1011" customFormat="1" ht="15" x14ac:dyDescent="0.25">
      <c r="A13749" s="859">
        <f t="shared" si="300"/>
        <v>13748</v>
      </c>
      <c r="B13749" s="845" t="s">
        <v>2564</v>
      </c>
      <c r="C13749" s="1007">
        <f t="shared" si="301"/>
        <v>112</v>
      </c>
      <c r="D13749" s="1012"/>
      <c r="H13749" s="1011" t="s">
        <v>1007</v>
      </c>
      <c r="K13749" s="1013"/>
    </row>
    <row r="13750" spans="1:11" s="1011" customFormat="1" ht="15" x14ac:dyDescent="0.25">
      <c r="A13750" s="859">
        <f t="shared" si="300"/>
        <v>13749</v>
      </c>
      <c r="B13750" s="845" t="s">
        <v>2564</v>
      </c>
      <c r="C13750" s="1007">
        <f t="shared" si="301"/>
        <v>112</v>
      </c>
      <c r="D13750" s="1015"/>
      <c r="I13750" s="1011" t="s">
        <v>2176</v>
      </c>
      <c r="K13750" s="1013"/>
    </row>
    <row r="13751" spans="1:11" s="1011" customFormat="1" ht="15" x14ac:dyDescent="0.25">
      <c r="A13751" s="859">
        <f t="shared" si="300"/>
        <v>13750</v>
      </c>
      <c r="B13751" s="845" t="s">
        <v>2564</v>
      </c>
      <c r="C13751" s="1007">
        <f t="shared" si="301"/>
        <v>112</v>
      </c>
      <c r="D13751" s="1012"/>
      <c r="I13751" s="1011" t="str">
        <f>CONCATENATE("&lt;valeur&gt;",VLOOKUP(C13751,'T16 Amort'!A:K,4,0),"&lt;/valeur&gt;")</f>
        <v>&lt;valeur&gt;&lt;/valeur&gt;</v>
      </c>
      <c r="K13751" s="1013"/>
    </row>
    <row r="13752" spans="1:11" s="1011" customFormat="1" ht="15" x14ac:dyDescent="0.25">
      <c r="A13752" s="859">
        <f t="shared" si="300"/>
        <v>13751</v>
      </c>
      <c r="B13752" s="845" t="s">
        <v>2564</v>
      </c>
      <c r="C13752" s="1007">
        <f t="shared" si="301"/>
        <v>112</v>
      </c>
      <c r="D13752" s="1012"/>
      <c r="I13752" s="1011" t="str">
        <f>CONCATENATE("&lt;numeroLigne&gt;",C13752,"&lt;/numeroLigne&gt;")</f>
        <v>&lt;numeroLigne&gt;112&lt;/numeroLigne&gt;</v>
      </c>
      <c r="K13752" s="1013"/>
    </row>
    <row r="13753" spans="1:11" s="1011" customFormat="1" ht="15" x14ac:dyDescent="0.25">
      <c r="A13753" s="859">
        <f t="shared" si="300"/>
        <v>13752</v>
      </c>
      <c r="B13753" s="845" t="s">
        <v>2564</v>
      </c>
      <c r="C13753" s="1007">
        <f t="shared" si="301"/>
        <v>112</v>
      </c>
      <c r="D13753" s="1014"/>
      <c r="H13753" s="1011" t="s">
        <v>1010</v>
      </c>
      <c r="K13753" s="1013"/>
    </row>
    <row r="13754" spans="1:11" s="1011" customFormat="1" ht="15" x14ac:dyDescent="0.25">
      <c r="A13754" s="859">
        <f t="shared" si="300"/>
        <v>13753</v>
      </c>
      <c r="B13754" s="845" t="s">
        <v>2564</v>
      </c>
      <c r="C13754" s="1007">
        <f t="shared" si="301"/>
        <v>112</v>
      </c>
      <c r="D13754" s="1014"/>
      <c r="H13754" s="1011" t="s">
        <v>1007</v>
      </c>
      <c r="K13754" s="1013"/>
    </row>
    <row r="13755" spans="1:11" s="1011" customFormat="1" ht="15" x14ac:dyDescent="0.25">
      <c r="A13755" s="859">
        <f t="shared" si="300"/>
        <v>13754</v>
      </c>
      <c r="B13755" s="845" t="s">
        <v>2564</v>
      </c>
      <c r="C13755" s="1007">
        <f t="shared" si="301"/>
        <v>112</v>
      </c>
      <c r="D13755" s="1012"/>
      <c r="I13755" s="1011" t="s">
        <v>2177</v>
      </c>
      <c r="K13755" s="1013"/>
    </row>
    <row r="13756" spans="1:11" s="1011" customFormat="1" ht="15" x14ac:dyDescent="0.25">
      <c r="A13756" s="859">
        <f t="shared" si="300"/>
        <v>13755</v>
      </c>
      <c r="B13756" s="845" t="s">
        <v>2564</v>
      </c>
      <c r="C13756" s="1007">
        <f t="shared" si="301"/>
        <v>112</v>
      </c>
      <c r="D13756" s="1015"/>
      <c r="I13756" s="1011" t="str">
        <f>CONCATENATE("&lt;valeur&gt;",VLOOKUP(C13756,'T16 Amort'!A:K,5,0),"&lt;/valeur&gt;")</f>
        <v>&lt;valeur&gt;&lt;/valeur&gt;</v>
      </c>
      <c r="K13756" s="1013"/>
    </row>
    <row r="13757" spans="1:11" s="1011" customFormat="1" ht="15" x14ac:dyDescent="0.25">
      <c r="A13757" s="859">
        <f t="shared" si="300"/>
        <v>13756</v>
      </c>
      <c r="B13757" s="845" t="s">
        <v>2564</v>
      </c>
      <c r="C13757" s="1007">
        <f t="shared" si="301"/>
        <v>112</v>
      </c>
      <c r="D13757" s="1012"/>
      <c r="I13757" s="1011" t="str">
        <f>CONCATENATE("&lt;numeroLigne&gt;",C13757,"&lt;/numeroLigne&gt;")</f>
        <v>&lt;numeroLigne&gt;112&lt;/numeroLigne&gt;</v>
      </c>
      <c r="K13757" s="1013"/>
    </row>
    <row r="13758" spans="1:11" s="1011" customFormat="1" ht="15" x14ac:dyDescent="0.25">
      <c r="A13758" s="859">
        <f t="shared" si="300"/>
        <v>13757</v>
      </c>
      <c r="B13758" s="845" t="s">
        <v>2564</v>
      </c>
      <c r="C13758" s="1007">
        <f t="shared" si="301"/>
        <v>112</v>
      </c>
      <c r="D13758" s="1012"/>
      <c r="H13758" s="1011" t="s">
        <v>1010</v>
      </c>
      <c r="K13758" s="1013"/>
    </row>
    <row r="13759" spans="1:11" s="1011" customFormat="1" ht="15" x14ac:dyDescent="0.25">
      <c r="A13759" s="859">
        <f t="shared" si="300"/>
        <v>13758</v>
      </c>
      <c r="B13759" s="845" t="s">
        <v>2564</v>
      </c>
      <c r="C13759" s="1007">
        <f t="shared" si="301"/>
        <v>112</v>
      </c>
      <c r="D13759" s="1014"/>
      <c r="H13759" s="1011" t="s">
        <v>1007</v>
      </c>
      <c r="K13759" s="1013"/>
    </row>
    <row r="13760" spans="1:11" s="1011" customFormat="1" ht="15" x14ac:dyDescent="0.25">
      <c r="A13760" s="859">
        <f t="shared" si="300"/>
        <v>13759</v>
      </c>
      <c r="B13760" s="845" t="s">
        <v>2564</v>
      </c>
      <c r="C13760" s="1007">
        <f t="shared" si="301"/>
        <v>112</v>
      </c>
      <c r="D13760" s="1014"/>
      <c r="I13760" s="1011" t="s">
        <v>2178</v>
      </c>
      <c r="K13760" s="1013"/>
    </row>
    <row r="13761" spans="1:11" s="1011" customFormat="1" ht="15" x14ac:dyDescent="0.25">
      <c r="A13761" s="859">
        <f t="shared" si="300"/>
        <v>13760</v>
      </c>
      <c r="B13761" s="845" t="s">
        <v>2564</v>
      </c>
      <c r="C13761" s="1007">
        <f t="shared" si="301"/>
        <v>112</v>
      </c>
      <c r="D13761" s="1012"/>
      <c r="I13761" s="1011" t="str">
        <f>CONCATENATE("&lt;valeur&gt;",VLOOKUP(C13761,'T16 Amort'!A:K,6,0),"&lt;/valeur&gt;")</f>
        <v>&lt;valeur&gt;&lt;/valeur&gt;</v>
      </c>
      <c r="K13761" s="1013"/>
    </row>
    <row r="13762" spans="1:11" s="1011" customFormat="1" ht="15" x14ac:dyDescent="0.25">
      <c r="A13762" s="859">
        <f t="shared" si="300"/>
        <v>13761</v>
      </c>
      <c r="B13762" s="845" t="s">
        <v>2564</v>
      </c>
      <c r="C13762" s="1007">
        <f t="shared" si="301"/>
        <v>112</v>
      </c>
      <c r="D13762" s="1015"/>
      <c r="I13762" s="1011" t="str">
        <f>CONCATENATE("&lt;numeroLigne&gt;",C13762,"&lt;/numeroLigne&gt;")</f>
        <v>&lt;numeroLigne&gt;112&lt;/numeroLigne&gt;</v>
      </c>
      <c r="K13762" s="1013"/>
    </row>
    <row r="13763" spans="1:11" s="1011" customFormat="1" ht="15" x14ac:dyDescent="0.25">
      <c r="A13763" s="859">
        <f t="shared" si="300"/>
        <v>13762</v>
      </c>
      <c r="B13763" s="845" t="s">
        <v>2564</v>
      </c>
      <c r="C13763" s="1007">
        <f t="shared" si="301"/>
        <v>112</v>
      </c>
      <c r="D13763" s="1012"/>
      <c r="H13763" s="1011" t="s">
        <v>1010</v>
      </c>
      <c r="K13763" s="1013"/>
    </row>
    <row r="13764" spans="1:11" s="1011" customFormat="1" ht="15" x14ac:dyDescent="0.25">
      <c r="A13764" s="859">
        <f t="shared" ref="A13764:A13827" si="302">+A13763+1</f>
        <v>13763</v>
      </c>
      <c r="B13764" s="845" t="s">
        <v>2564</v>
      </c>
      <c r="C13764" s="1007">
        <f t="shared" si="301"/>
        <v>112</v>
      </c>
      <c r="D13764" s="1012"/>
      <c r="H13764" s="1011" t="s">
        <v>1007</v>
      </c>
      <c r="K13764" s="1013"/>
    </row>
    <row r="13765" spans="1:11" s="1011" customFormat="1" ht="15" x14ac:dyDescent="0.25">
      <c r="A13765" s="859">
        <f t="shared" si="302"/>
        <v>13764</v>
      </c>
      <c r="B13765" s="845" t="s">
        <v>2564</v>
      </c>
      <c r="C13765" s="1007">
        <f t="shared" si="301"/>
        <v>112</v>
      </c>
      <c r="D13765" s="1014"/>
      <c r="I13765" s="1011" t="s">
        <v>2179</v>
      </c>
      <c r="K13765" s="1013"/>
    </row>
    <row r="13766" spans="1:11" s="1011" customFormat="1" ht="15" x14ac:dyDescent="0.25">
      <c r="A13766" s="859">
        <f t="shared" si="302"/>
        <v>13765</v>
      </c>
      <c r="B13766" s="845" t="s">
        <v>2564</v>
      </c>
      <c r="C13766" s="1007">
        <f t="shared" si="301"/>
        <v>112</v>
      </c>
      <c r="D13766" s="1014"/>
      <c r="I13766" s="1011" t="str">
        <f>CONCATENATE("&lt;valeur&gt;",VLOOKUP(C13766,'T16 Amort'!A:K,7,0),"&lt;/valeur&gt;")</f>
        <v>&lt;valeur&gt;&lt;/valeur&gt;</v>
      </c>
      <c r="K13766" s="1013"/>
    </row>
    <row r="13767" spans="1:11" s="1011" customFormat="1" ht="15" x14ac:dyDescent="0.25">
      <c r="A13767" s="859">
        <f t="shared" si="302"/>
        <v>13766</v>
      </c>
      <c r="B13767" s="845" t="s">
        <v>2564</v>
      </c>
      <c r="C13767" s="1007">
        <f t="shared" si="301"/>
        <v>112</v>
      </c>
      <c r="D13767" s="1012"/>
      <c r="I13767" s="1011" t="str">
        <f>CONCATENATE("&lt;numeroLigne&gt;",C13767,"&lt;/numeroLigne&gt;")</f>
        <v>&lt;numeroLigne&gt;112&lt;/numeroLigne&gt;</v>
      </c>
      <c r="K13767" s="1013"/>
    </row>
    <row r="13768" spans="1:11" s="1011" customFormat="1" ht="15" x14ac:dyDescent="0.25">
      <c r="A13768" s="859">
        <f t="shared" si="302"/>
        <v>13767</v>
      </c>
      <c r="B13768" s="845" t="s">
        <v>2564</v>
      </c>
      <c r="C13768" s="1007">
        <f t="shared" si="301"/>
        <v>112</v>
      </c>
      <c r="D13768" s="1015"/>
      <c r="H13768" s="1011" t="s">
        <v>1010</v>
      </c>
      <c r="K13768" s="1013"/>
    </row>
    <row r="13769" spans="1:11" s="1011" customFormat="1" ht="15" x14ac:dyDescent="0.25">
      <c r="A13769" s="859">
        <f t="shared" si="302"/>
        <v>13768</v>
      </c>
      <c r="B13769" s="845" t="s">
        <v>2564</v>
      </c>
      <c r="C13769" s="1007">
        <f t="shared" si="301"/>
        <v>112</v>
      </c>
      <c r="D13769" s="1012"/>
      <c r="H13769" s="1011" t="s">
        <v>1007</v>
      </c>
      <c r="K13769" s="1013"/>
    </row>
    <row r="13770" spans="1:11" s="1011" customFormat="1" ht="15" x14ac:dyDescent="0.25">
      <c r="A13770" s="859">
        <f t="shared" si="302"/>
        <v>13769</v>
      </c>
      <c r="B13770" s="845" t="s">
        <v>2564</v>
      </c>
      <c r="C13770" s="1007">
        <f t="shared" si="301"/>
        <v>112</v>
      </c>
      <c r="D13770" s="1012"/>
      <c r="I13770" s="1011" t="s">
        <v>2180</v>
      </c>
      <c r="K13770" s="1013"/>
    </row>
    <row r="13771" spans="1:11" s="1011" customFormat="1" ht="15" x14ac:dyDescent="0.25">
      <c r="A13771" s="859">
        <f t="shared" si="302"/>
        <v>13770</v>
      </c>
      <c r="B13771" s="845" t="s">
        <v>2564</v>
      </c>
      <c r="C13771" s="1007">
        <f t="shared" si="301"/>
        <v>112</v>
      </c>
      <c r="D13771" s="1014"/>
      <c r="I13771" s="1011" t="str">
        <f>CONCATENATE("&lt;valeur&gt;",VLOOKUP(C13771,'T16 Amort'!A:K,8,0),"&lt;/valeur&gt;")</f>
        <v>&lt;valeur&gt;&lt;/valeur&gt;</v>
      </c>
      <c r="K13771" s="1013"/>
    </row>
    <row r="13772" spans="1:11" s="1011" customFormat="1" ht="15" x14ac:dyDescent="0.25">
      <c r="A13772" s="859">
        <f t="shared" si="302"/>
        <v>13771</v>
      </c>
      <c r="B13772" s="845" t="s">
        <v>2564</v>
      </c>
      <c r="C13772" s="1007">
        <f t="shared" si="301"/>
        <v>112</v>
      </c>
      <c r="D13772" s="1014"/>
      <c r="I13772" s="1011" t="str">
        <f>CONCATENATE("&lt;numeroLigne&gt;",C13772,"&lt;/numeroLigne&gt;")</f>
        <v>&lt;numeroLigne&gt;112&lt;/numeroLigne&gt;</v>
      </c>
      <c r="K13772" s="1013"/>
    </row>
    <row r="13773" spans="1:11" s="1011" customFormat="1" ht="15" x14ac:dyDescent="0.25">
      <c r="A13773" s="859">
        <f t="shared" si="302"/>
        <v>13772</v>
      </c>
      <c r="B13773" s="845" t="s">
        <v>2564</v>
      </c>
      <c r="C13773" s="1007">
        <f t="shared" si="301"/>
        <v>112</v>
      </c>
      <c r="D13773" s="1012"/>
      <c r="H13773" s="1011" t="s">
        <v>1010</v>
      </c>
      <c r="K13773" s="1013"/>
    </row>
    <row r="13774" spans="1:11" s="1011" customFormat="1" ht="15" x14ac:dyDescent="0.25">
      <c r="A13774" s="859">
        <f t="shared" si="302"/>
        <v>13773</v>
      </c>
      <c r="B13774" s="845" t="s">
        <v>2564</v>
      </c>
      <c r="C13774" s="1007">
        <f t="shared" si="301"/>
        <v>112</v>
      </c>
      <c r="D13774" s="1015"/>
      <c r="H13774" s="1011" t="s">
        <v>1007</v>
      </c>
      <c r="K13774" s="1013"/>
    </row>
    <row r="13775" spans="1:11" s="1011" customFormat="1" ht="15" x14ac:dyDescent="0.25">
      <c r="A13775" s="859">
        <f t="shared" si="302"/>
        <v>13774</v>
      </c>
      <c r="B13775" s="845" t="s">
        <v>2564</v>
      </c>
      <c r="C13775" s="1007">
        <f t="shared" si="301"/>
        <v>112</v>
      </c>
      <c r="D13775" s="1012"/>
      <c r="I13775" s="1011" t="s">
        <v>2181</v>
      </c>
      <c r="K13775" s="1013"/>
    </row>
    <row r="13776" spans="1:11" s="1011" customFormat="1" ht="15" x14ac:dyDescent="0.25">
      <c r="A13776" s="859">
        <f t="shared" si="302"/>
        <v>13775</v>
      </c>
      <c r="B13776" s="845" t="s">
        <v>2564</v>
      </c>
      <c r="C13776" s="1007">
        <f t="shared" si="301"/>
        <v>112</v>
      </c>
      <c r="D13776" s="1012"/>
      <c r="I13776" s="1011" t="str">
        <f>CONCATENATE("&lt;valeur&gt;",VLOOKUP(C13776,'T16 Amort'!A:K,9,0),"&lt;/valeur&gt;")</f>
        <v>&lt;valeur&gt;&lt;/valeur&gt;</v>
      </c>
      <c r="K13776" s="1013"/>
    </row>
    <row r="13777" spans="1:11" s="1011" customFormat="1" ht="15" x14ac:dyDescent="0.25">
      <c r="A13777" s="859">
        <f t="shared" si="302"/>
        <v>13776</v>
      </c>
      <c r="B13777" s="845" t="s">
        <v>2564</v>
      </c>
      <c r="C13777" s="1007">
        <f t="shared" si="301"/>
        <v>112</v>
      </c>
      <c r="D13777" s="1014"/>
      <c r="I13777" s="1011" t="str">
        <f>CONCATENATE("&lt;numeroLigne&gt;",C13777,"&lt;/numeroLigne&gt;")</f>
        <v>&lt;numeroLigne&gt;112&lt;/numeroLigne&gt;</v>
      </c>
      <c r="K13777" s="1013"/>
    </row>
    <row r="13778" spans="1:11" s="1011" customFormat="1" ht="15" x14ac:dyDescent="0.25">
      <c r="A13778" s="859">
        <f t="shared" si="302"/>
        <v>13777</v>
      </c>
      <c r="B13778" s="845" t="s">
        <v>2564</v>
      </c>
      <c r="C13778" s="1007">
        <f t="shared" si="301"/>
        <v>112</v>
      </c>
      <c r="D13778" s="1014"/>
      <c r="H13778" s="1011" t="s">
        <v>1010</v>
      </c>
      <c r="K13778" s="1013"/>
    </row>
    <row r="13779" spans="1:11" s="1011" customFormat="1" ht="15" x14ac:dyDescent="0.25">
      <c r="A13779" s="859">
        <f t="shared" si="302"/>
        <v>13778</v>
      </c>
      <c r="B13779" s="845" t="s">
        <v>2564</v>
      </c>
      <c r="C13779" s="1007">
        <f t="shared" si="301"/>
        <v>112</v>
      </c>
      <c r="D13779" s="1012"/>
      <c r="H13779" s="1011" t="s">
        <v>1007</v>
      </c>
      <c r="K13779" s="1013"/>
    </row>
    <row r="13780" spans="1:11" s="1011" customFormat="1" ht="15" x14ac:dyDescent="0.25">
      <c r="A13780" s="859">
        <f t="shared" si="302"/>
        <v>13779</v>
      </c>
      <c r="B13780" s="845" t="s">
        <v>2564</v>
      </c>
      <c r="C13780" s="1007">
        <f t="shared" si="301"/>
        <v>112</v>
      </c>
      <c r="D13780" s="1015"/>
      <c r="I13780" s="1011" t="s">
        <v>2182</v>
      </c>
      <c r="K13780" s="1013"/>
    </row>
    <row r="13781" spans="1:11" s="1011" customFormat="1" ht="15" x14ac:dyDescent="0.25">
      <c r="A13781" s="859">
        <f t="shared" si="302"/>
        <v>13780</v>
      </c>
      <c r="B13781" s="845" t="s">
        <v>2564</v>
      </c>
      <c r="C13781" s="1007">
        <f t="shared" si="301"/>
        <v>112</v>
      </c>
      <c r="D13781" s="1012"/>
      <c r="I13781" s="1011" t="str">
        <f>CONCATENATE("&lt;valeur&gt;",VLOOKUP(C13781,'T16 Amort'!A:K,10,0),"&lt;/valeur&gt;")</f>
        <v>&lt;valeur&gt;&lt;/valeur&gt;</v>
      </c>
      <c r="K13781" s="1013"/>
    </row>
    <row r="13782" spans="1:11" s="1011" customFormat="1" ht="15" x14ac:dyDescent="0.25">
      <c r="A13782" s="859">
        <f t="shared" si="302"/>
        <v>13781</v>
      </c>
      <c r="B13782" s="845" t="s">
        <v>2564</v>
      </c>
      <c r="C13782" s="1007">
        <f t="shared" si="301"/>
        <v>112</v>
      </c>
      <c r="D13782" s="1012"/>
      <c r="I13782" s="1011" t="str">
        <f>CONCATENATE("&lt;numeroLigne&gt;",C13782,"&lt;/numeroLigne&gt;")</f>
        <v>&lt;numeroLigne&gt;112&lt;/numeroLigne&gt;</v>
      </c>
      <c r="K13782" s="1013"/>
    </row>
    <row r="13783" spans="1:11" s="1011" customFormat="1" ht="15" x14ac:dyDescent="0.25">
      <c r="A13783" s="859">
        <f t="shared" si="302"/>
        <v>13782</v>
      </c>
      <c r="B13783" s="845" t="s">
        <v>2564</v>
      </c>
      <c r="C13783" s="1007">
        <f t="shared" si="301"/>
        <v>112</v>
      </c>
      <c r="D13783" s="1014"/>
      <c r="H13783" s="1011" t="s">
        <v>1010</v>
      </c>
      <c r="K13783" s="1013"/>
    </row>
    <row r="13784" spans="1:11" s="1011" customFormat="1" ht="15" x14ac:dyDescent="0.25">
      <c r="A13784" s="859">
        <f t="shared" si="302"/>
        <v>13783</v>
      </c>
      <c r="B13784" s="845" t="s">
        <v>2564</v>
      </c>
      <c r="C13784" s="1007">
        <f t="shared" si="301"/>
        <v>112</v>
      </c>
      <c r="D13784" s="1014"/>
      <c r="H13784" s="1011" t="s">
        <v>1007</v>
      </c>
      <c r="K13784" s="1013"/>
    </row>
    <row r="13785" spans="1:11" s="1011" customFormat="1" ht="15" x14ac:dyDescent="0.25">
      <c r="A13785" s="859">
        <f t="shared" si="302"/>
        <v>13784</v>
      </c>
      <c r="B13785" s="845" t="s">
        <v>2564</v>
      </c>
      <c r="C13785" s="1007">
        <f t="shared" si="301"/>
        <v>112</v>
      </c>
      <c r="D13785" s="1012"/>
      <c r="I13785" s="1011" t="s">
        <v>2183</v>
      </c>
      <c r="K13785" s="1013"/>
    </row>
    <row r="13786" spans="1:11" s="1011" customFormat="1" ht="15" x14ac:dyDescent="0.25">
      <c r="A13786" s="859">
        <f t="shared" si="302"/>
        <v>13785</v>
      </c>
      <c r="B13786" s="845" t="s">
        <v>2564</v>
      </c>
      <c r="C13786" s="1007">
        <f t="shared" si="301"/>
        <v>112</v>
      </c>
      <c r="D13786" s="1015"/>
      <c r="I13786" s="1011" t="str">
        <f>CONCATENATE("&lt;valeur&gt;",VLOOKUP(C13786,'T16 Amort'!A:K,11,0),"&lt;/valeur&gt;")</f>
        <v>&lt;valeur&gt;&lt;/valeur&gt;</v>
      </c>
      <c r="K13786" s="1013"/>
    </row>
    <row r="13787" spans="1:11" s="1011" customFormat="1" ht="15" x14ac:dyDescent="0.25">
      <c r="A13787" s="859">
        <f t="shared" si="302"/>
        <v>13786</v>
      </c>
      <c r="B13787" s="845" t="s">
        <v>2564</v>
      </c>
      <c r="C13787" s="1007">
        <f t="shared" si="301"/>
        <v>112</v>
      </c>
      <c r="D13787" s="1012"/>
      <c r="I13787" s="1011" t="str">
        <f>CONCATENATE("&lt;numeroLigne&gt;",C13787,"&lt;/numeroLigne&gt;")</f>
        <v>&lt;numeroLigne&gt;112&lt;/numeroLigne&gt;</v>
      </c>
      <c r="K13787" s="1013"/>
    </row>
    <row r="13788" spans="1:11" s="1011" customFormat="1" ht="15" x14ac:dyDescent="0.25">
      <c r="A13788" s="859">
        <f t="shared" si="302"/>
        <v>13787</v>
      </c>
      <c r="B13788" s="845" t="s">
        <v>2564</v>
      </c>
      <c r="C13788" s="1007">
        <f t="shared" si="301"/>
        <v>112</v>
      </c>
      <c r="D13788" s="1016"/>
      <c r="E13788" s="1017"/>
      <c r="F13788" s="1017"/>
      <c r="G13788" s="1017"/>
      <c r="H13788" s="1017" t="s">
        <v>1010</v>
      </c>
      <c r="I13788" s="1017"/>
      <c r="J13788" s="1017"/>
      <c r="K13788" s="1018"/>
    </row>
    <row r="13789" spans="1:11" s="1011" customFormat="1" ht="15" x14ac:dyDescent="0.25">
      <c r="A13789" s="859">
        <f t="shared" si="302"/>
        <v>13788</v>
      </c>
      <c r="B13789" s="845" t="s">
        <v>2564</v>
      </c>
      <c r="C13789" s="1007">
        <f t="shared" si="301"/>
        <v>113</v>
      </c>
      <c r="D13789" s="1008"/>
      <c r="E13789" s="1009"/>
      <c r="F13789" s="1009"/>
      <c r="G13789" s="1009"/>
      <c r="H13789" s="1009" t="s">
        <v>1007</v>
      </c>
      <c r="I13789" s="1009"/>
      <c r="J13789" s="1009"/>
      <c r="K13789" s="1010"/>
    </row>
    <row r="13790" spans="1:11" s="1011" customFormat="1" ht="15" x14ac:dyDescent="0.25">
      <c r="A13790" s="859">
        <f t="shared" si="302"/>
        <v>13789</v>
      </c>
      <c r="B13790" s="845" t="s">
        <v>2564</v>
      </c>
      <c r="C13790" s="1007">
        <f t="shared" si="301"/>
        <v>113</v>
      </c>
      <c r="D13790" s="1012"/>
      <c r="I13790" s="1011" t="s">
        <v>2174</v>
      </c>
      <c r="K13790" s="1013"/>
    </row>
    <row r="13791" spans="1:11" s="1011" customFormat="1" ht="15" x14ac:dyDescent="0.25">
      <c r="A13791" s="859">
        <f t="shared" si="302"/>
        <v>13790</v>
      </c>
      <c r="B13791" s="845" t="s">
        <v>2564</v>
      </c>
      <c r="C13791" s="1007">
        <f t="shared" si="301"/>
        <v>113</v>
      </c>
      <c r="D13791" s="1014"/>
      <c r="I13791" s="1011" t="str">
        <f>CONCATENATE("&lt;valeur&gt;",VLOOKUP(C13791,'T16 Amort'!A:K,2,0),"&lt;/valeur&gt;")</f>
        <v>&lt;valeur&gt;&lt;/valeur&gt;</v>
      </c>
      <c r="K13791" s="1013"/>
    </row>
    <row r="13792" spans="1:11" s="1011" customFormat="1" ht="15" x14ac:dyDescent="0.25">
      <c r="A13792" s="859">
        <f t="shared" si="302"/>
        <v>13791</v>
      </c>
      <c r="B13792" s="845" t="s">
        <v>2564</v>
      </c>
      <c r="C13792" s="1007">
        <f t="shared" si="301"/>
        <v>113</v>
      </c>
      <c r="D13792" s="1014"/>
      <c r="I13792" s="1011" t="str">
        <f>CONCATENATE("&lt;numeroLigne&gt;",C13792,"&lt;/numeroLigne&gt;")</f>
        <v>&lt;numeroLigne&gt;113&lt;/numeroLigne&gt;</v>
      </c>
      <c r="K13792" s="1013"/>
    </row>
    <row r="13793" spans="1:11" s="1011" customFormat="1" ht="15" x14ac:dyDescent="0.25">
      <c r="A13793" s="859">
        <f t="shared" si="302"/>
        <v>13792</v>
      </c>
      <c r="B13793" s="845" t="s">
        <v>2564</v>
      </c>
      <c r="C13793" s="1007">
        <f t="shared" si="301"/>
        <v>113</v>
      </c>
      <c r="D13793" s="1012"/>
      <c r="H13793" s="1011" t="s">
        <v>1010</v>
      </c>
      <c r="K13793" s="1013"/>
    </row>
    <row r="13794" spans="1:11" s="1011" customFormat="1" ht="15" x14ac:dyDescent="0.25">
      <c r="A13794" s="859">
        <f t="shared" si="302"/>
        <v>13793</v>
      </c>
      <c r="B13794" s="845" t="s">
        <v>2564</v>
      </c>
      <c r="C13794" s="1007">
        <f t="shared" si="301"/>
        <v>113</v>
      </c>
      <c r="D13794" s="1015"/>
      <c r="H13794" s="1011" t="s">
        <v>1007</v>
      </c>
      <c r="K13794" s="1013"/>
    </row>
    <row r="13795" spans="1:11" s="1011" customFormat="1" ht="15" x14ac:dyDescent="0.25">
      <c r="A13795" s="859">
        <f t="shared" si="302"/>
        <v>13794</v>
      </c>
      <c r="B13795" s="845" t="s">
        <v>2564</v>
      </c>
      <c r="C13795" s="1007">
        <f t="shared" si="301"/>
        <v>113</v>
      </c>
      <c r="D13795" s="1012"/>
      <c r="I13795" s="1011" t="s">
        <v>2175</v>
      </c>
      <c r="K13795" s="1013"/>
    </row>
    <row r="13796" spans="1:11" s="1011" customFormat="1" ht="15" x14ac:dyDescent="0.25">
      <c r="A13796" s="859">
        <f t="shared" si="302"/>
        <v>13795</v>
      </c>
      <c r="B13796" s="845" t="s">
        <v>2564</v>
      </c>
      <c r="C13796" s="1007">
        <f t="shared" si="301"/>
        <v>113</v>
      </c>
      <c r="D13796" s="1012"/>
      <c r="I13796" s="1011" t="str">
        <f>CONCATENATE("&lt;valeur&gt;",VLOOKUP(C13796,'T16 Amort'!A:K,3,0),"&lt;/valeur&gt;")</f>
        <v>&lt;valeur&gt;&lt;/valeur&gt;</v>
      </c>
      <c r="K13796" s="1013"/>
    </row>
    <row r="13797" spans="1:11" s="1011" customFormat="1" ht="15" x14ac:dyDescent="0.25">
      <c r="A13797" s="859">
        <f t="shared" si="302"/>
        <v>13796</v>
      </c>
      <c r="B13797" s="845" t="s">
        <v>2564</v>
      </c>
      <c r="C13797" s="1007">
        <f t="shared" si="301"/>
        <v>113</v>
      </c>
      <c r="D13797" s="1014"/>
      <c r="I13797" s="1011" t="str">
        <f>CONCATENATE("&lt;numeroLigne&gt;",C13797,"&lt;/numeroLigne&gt;")</f>
        <v>&lt;numeroLigne&gt;113&lt;/numeroLigne&gt;</v>
      </c>
      <c r="K13797" s="1013"/>
    </row>
    <row r="13798" spans="1:11" s="1011" customFormat="1" ht="15" x14ac:dyDescent="0.25">
      <c r="A13798" s="859">
        <f t="shared" si="302"/>
        <v>13797</v>
      </c>
      <c r="B13798" s="845" t="s">
        <v>2564</v>
      </c>
      <c r="C13798" s="1007">
        <f t="shared" si="301"/>
        <v>113</v>
      </c>
      <c r="D13798" s="1014"/>
      <c r="H13798" s="1011" t="s">
        <v>1010</v>
      </c>
      <c r="K13798" s="1013"/>
    </row>
    <row r="13799" spans="1:11" s="1011" customFormat="1" ht="15" x14ac:dyDescent="0.25">
      <c r="A13799" s="859">
        <f t="shared" si="302"/>
        <v>13798</v>
      </c>
      <c r="B13799" s="845" t="s">
        <v>2564</v>
      </c>
      <c r="C13799" s="1007">
        <f t="shared" si="301"/>
        <v>113</v>
      </c>
      <c r="D13799" s="1012"/>
      <c r="H13799" s="1011" t="s">
        <v>1007</v>
      </c>
      <c r="K13799" s="1013"/>
    </row>
    <row r="13800" spans="1:11" s="1011" customFormat="1" ht="15" x14ac:dyDescent="0.25">
      <c r="A13800" s="859">
        <f t="shared" si="302"/>
        <v>13799</v>
      </c>
      <c r="B13800" s="845" t="s">
        <v>2564</v>
      </c>
      <c r="C13800" s="1007">
        <f t="shared" si="301"/>
        <v>113</v>
      </c>
      <c r="D13800" s="1015"/>
      <c r="I13800" s="1011" t="s">
        <v>2176</v>
      </c>
      <c r="K13800" s="1013"/>
    </row>
    <row r="13801" spans="1:11" s="1011" customFormat="1" ht="15" x14ac:dyDescent="0.25">
      <c r="A13801" s="859">
        <f t="shared" si="302"/>
        <v>13800</v>
      </c>
      <c r="B13801" s="845" t="s">
        <v>2564</v>
      </c>
      <c r="C13801" s="1007">
        <f t="shared" si="301"/>
        <v>113</v>
      </c>
      <c r="D13801" s="1012"/>
      <c r="I13801" s="1011" t="str">
        <f>CONCATENATE("&lt;valeur&gt;",VLOOKUP(C13801,'T16 Amort'!A:K,4,0),"&lt;/valeur&gt;")</f>
        <v>&lt;valeur&gt;&lt;/valeur&gt;</v>
      </c>
      <c r="K13801" s="1013"/>
    </row>
    <row r="13802" spans="1:11" s="1011" customFormat="1" ht="15" x14ac:dyDescent="0.25">
      <c r="A13802" s="859">
        <f t="shared" si="302"/>
        <v>13801</v>
      </c>
      <c r="B13802" s="845" t="s">
        <v>2564</v>
      </c>
      <c r="C13802" s="1007">
        <f t="shared" si="301"/>
        <v>113</v>
      </c>
      <c r="D13802" s="1012"/>
      <c r="I13802" s="1011" t="str">
        <f>CONCATENATE("&lt;numeroLigne&gt;",C13802,"&lt;/numeroLigne&gt;")</f>
        <v>&lt;numeroLigne&gt;113&lt;/numeroLigne&gt;</v>
      </c>
      <c r="K13802" s="1013"/>
    </row>
    <row r="13803" spans="1:11" s="1011" customFormat="1" ht="15" x14ac:dyDescent="0.25">
      <c r="A13803" s="859">
        <f t="shared" si="302"/>
        <v>13802</v>
      </c>
      <c r="B13803" s="845" t="s">
        <v>2564</v>
      </c>
      <c r="C13803" s="1007">
        <f t="shared" si="301"/>
        <v>113</v>
      </c>
      <c r="D13803" s="1014"/>
      <c r="H13803" s="1011" t="s">
        <v>1010</v>
      </c>
      <c r="K13803" s="1013"/>
    </row>
    <row r="13804" spans="1:11" s="1011" customFormat="1" ht="15" x14ac:dyDescent="0.25">
      <c r="A13804" s="859">
        <f t="shared" si="302"/>
        <v>13803</v>
      </c>
      <c r="B13804" s="845" t="s">
        <v>2564</v>
      </c>
      <c r="C13804" s="1007">
        <f t="shared" si="301"/>
        <v>113</v>
      </c>
      <c r="D13804" s="1014"/>
      <c r="H13804" s="1011" t="s">
        <v>1007</v>
      </c>
      <c r="K13804" s="1013"/>
    </row>
    <row r="13805" spans="1:11" s="1011" customFormat="1" ht="15" x14ac:dyDescent="0.25">
      <c r="A13805" s="859">
        <f t="shared" si="302"/>
        <v>13804</v>
      </c>
      <c r="B13805" s="845" t="s">
        <v>2564</v>
      </c>
      <c r="C13805" s="1007">
        <f t="shared" si="301"/>
        <v>113</v>
      </c>
      <c r="D13805" s="1012"/>
      <c r="I13805" s="1011" t="s">
        <v>2177</v>
      </c>
      <c r="K13805" s="1013"/>
    </row>
    <row r="13806" spans="1:11" s="1011" customFormat="1" ht="15" x14ac:dyDescent="0.25">
      <c r="A13806" s="859">
        <f t="shared" si="302"/>
        <v>13805</v>
      </c>
      <c r="B13806" s="845" t="s">
        <v>2564</v>
      </c>
      <c r="C13806" s="1007">
        <f t="shared" si="301"/>
        <v>113</v>
      </c>
      <c r="D13806" s="1015"/>
      <c r="I13806" s="1011" t="str">
        <f>CONCATENATE("&lt;valeur&gt;",VLOOKUP(C13806,'T16 Amort'!A:K,5,0),"&lt;/valeur&gt;")</f>
        <v>&lt;valeur&gt;&lt;/valeur&gt;</v>
      </c>
      <c r="K13806" s="1013"/>
    </row>
    <row r="13807" spans="1:11" s="1011" customFormat="1" ht="15" x14ac:dyDescent="0.25">
      <c r="A13807" s="859">
        <f t="shared" si="302"/>
        <v>13806</v>
      </c>
      <c r="B13807" s="845" t="s">
        <v>2564</v>
      </c>
      <c r="C13807" s="1007">
        <f t="shared" ref="C13807:C13870" si="303">C13757+1</f>
        <v>113</v>
      </c>
      <c r="D13807" s="1012"/>
      <c r="I13807" s="1011" t="str">
        <f>CONCATENATE("&lt;numeroLigne&gt;",C13807,"&lt;/numeroLigne&gt;")</f>
        <v>&lt;numeroLigne&gt;113&lt;/numeroLigne&gt;</v>
      </c>
      <c r="K13807" s="1013"/>
    </row>
    <row r="13808" spans="1:11" s="1011" customFormat="1" ht="15" x14ac:dyDescent="0.25">
      <c r="A13808" s="859">
        <f t="shared" si="302"/>
        <v>13807</v>
      </c>
      <c r="B13808" s="845" t="s">
        <v>2564</v>
      </c>
      <c r="C13808" s="1007">
        <f t="shared" si="303"/>
        <v>113</v>
      </c>
      <c r="D13808" s="1012"/>
      <c r="H13808" s="1011" t="s">
        <v>1010</v>
      </c>
      <c r="K13808" s="1013"/>
    </row>
    <row r="13809" spans="1:11" s="1011" customFormat="1" ht="15" x14ac:dyDescent="0.25">
      <c r="A13809" s="859">
        <f t="shared" si="302"/>
        <v>13808</v>
      </c>
      <c r="B13809" s="845" t="s">
        <v>2564</v>
      </c>
      <c r="C13809" s="1007">
        <f t="shared" si="303"/>
        <v>113</v>
      </c>
      <c r="D13809" s="1014"/>
      <c r="H13809" s="1011" t="s">
        <v>1007</v>
      </c>
      <c r="K13809" s="1013"/>
    </row>
    <row r="13810" spans="1:11" s="1011" customFormat="1" ht="15" x14ac:dyDescent="0.25">
      <c r="A13810" s="859">
        <f t="shared" si="302"/>
        <v>13809</v>
      </c>
      <c r="B13810" s="845" t="s">
        <v>2564</v>
      </c>
      <c r="C13810" s="1007">
        <f t="shared" si="303"/>
        <v>113</v>
      </c>
      <c r="D13810" s="1014"/>
      <c r="I13810" s="1011" t="s">
        <v>2178</v>
      </c>
      <c r="K13810" s="1013"/>
    </row>
    <row r="13811" spans="1:11" s="1011" customFormat="1" ht="15" x14ac:dyDescent="0.25">
      <c r="A13811" s="859">
        <f t="shared" si="302"/>
        <v>13810</v>
      </c>
      <c r="B13811" s="845" t="s">
        <v>2564</v>
      </c>
      <c r="C13811" s="1007">
        <f t="shared" si="303"/>
        <v>113</v>
      </c>
      <c r="D13811" s="1012"/>
      <c r="I13811" s="1011" t="str">
        <f>CONCATENATE("&lt;valeur&gt;",VLOOKUP(C13811,'T16 Amort'!A:K,6,0),"&lt;/valeur&gt;")</f>
        <v>&lt;valeur&gt;&lt;/valeur&gt;</v>
      </c>
      <c r="K13811" s="1013"/>
    </row>
    <row r="13812" spans="1:11" s="1011" customFormat="1" ht="15" x14ac:dyDescent="0.25">
      <c r="A13812" s="859">
        <f t="shared" si="302"/>
        <v>13811</v>
      </c>
      <c r="B13812" s="845" t="s">
        <v>2564</v>
      </c>
      <c r="C13812" s="1007">
        <f t="shared" si="303"/>
        <v>113</v>
      </c>
      <c r="D13812" s="1015"/>
      <c r="I13812" s="1011" t="str">
        <f>CONCATENATE("&lt;numeroLigne&gt;",C13812,"&lt;/numeroLigne&gt;")</f>
        <v>&lt;numeroLigne&gt;113&lt;/numeroLigne&gt;</v>
      </c>
      <c r="K13812" s="1013"/>
    </row>
    <row r="13813" spans="1:11" s="1011" customFormat="1" ht="15" x14ac:dyDescent="0.25">
      <c r="A13813" s="859">
        <f t="shared" si="302"/>
        <v>13812</v>
      </c>
      <c r="B13813" s="845" t="s">
        <v>2564</v>
      </c>
      <c r="C13813" s="1007">
        <f t="shared" si="303"/>
        <v>113</v>
      </c>
      <c r="D13813" s="1012"/>
      <c r="H13813" s="1011" t="s">
        <v>1010</v>
      </c>
      <c r="K13813" s="1013"/>
    </row>
    <row r="13814" spans="1:11" s="1011" customFormat="1" ht="15" x14ac:dyDescent="0.25">
      <c r="A13814" s="859">
        <f t="shared" si="302"/>
        <v>13813</v>
      </c>
      <c r="B13814" s="845" t="s">
        <v>2564</v>
      </c>
      <c r="C13814" s="1007">
        <f t="shared" si="303"/>
        <v>113</v>
      </c>
      <c r="D13814" s="1012"/>
      <c r="H13814" s="1011" t="s">
        <v>1007</v>
      </c>
      <c r="K13814" s="1013"/>
    </row>
    <row r="13815" spans="1:11" s="1011" customFormat="1" ht="15" x14ac:dyDescent="0.25">
      <c r="A13815" s="859">
        <f t="shared" si="302"/>
        <v>13814</v>
      </c>
      <c r="B13815" s="845" t="s">
        <v>2564</v>
      </c>
      <c r="C13815" s="1007">
        <f t="shared" si="303"/>
        <v>113</v>
      </c>
      <c r="D13815" s="1014"/>
      <c r="I13815" s="1011" t="s">
        <v>2179</v>
      </c>
      <c r="K13815" s="1013"/>
    </row>
    <row r="13816" spans="1:11" s="1011" customFormat="1" ht="15" x14ac:dyDescent="0.25">
      <c r="A13816" s="859">
        <f t="shared" si="302"/>
        <v>13815</v>
      </c>
      <c r="B13816" s="845" t="s">
        <v>2564</v>
      </c>
      <c r="C13816" s="1007">
        <f t="shared" si="303"/>
        <v>113</v>
      </c>
      <c r="D13816" s="1014"/>
      <c r="I13816" s="1011" t="str">
        <f>CONCATENATE("&lt;valeur&gt;",VLOOKUP(C13816,'T16 Amort'!A:K,7,0),"&lt;/valeur&gt;")</f>
        <v>&lt;valeur&gt;&lt;/valeur&gt;</v>
      </c>
      <c r="K13816" s="1013"/>
    </row>
    <row r="13817" spans="1:11" s="1011" customFormat="1" ht="15" x14ac:dyDescent="0.25">
      <c r="A13817" s="859">
        <f t="shared" si="302"/>
        <v>13816</v>
      </c>
      <c r="B13817" s="845" t="s">
        <v>2564</v>
      </c>
      <c r="C13817" s="1007">
        <f t="shared" si="303"/>
        <v>113</v>
      </c>
      <c r="D13817" s="1012"/>
      <c r="I13817" s="1011" t="str">
        <f>CONCATENATE("&lt;numeroLigne&gt;",C13817,"&lt;/numeroLigne&gt;")</f>
        <v>&lt;numeroLigne&gt;113&lt;/numeroLigne&gt;</v>
      </c>
      <c r="K13817" s="1013"/>
    </row>
    <row r="13818" spans="1:11" s="1011" customFormat="1" ht="15" x14ac:dyDescent="0.25">
      <c r="A13818" s="859">
        <f t="shared" si="302"/>
        <v>13817</v>
      </c>
      <c r="B13818" s="845" t="s">
        <v>2564</v>
      </c>
      <c r="C13818" s="1007">
        <f t="shared" si="303"/>
        <v>113</v>
      </c>
      <c r="D13818" s="1015"/>
      <c r="H13818" s="1011" t="s">
        <v>1010</v>
      </c>
      <c r="K13818" s="1013"/>
    </row>
    <row r="13819" spans="1:11" s="1011" customFormat="1" ht="15" x14ac:dyDescent="0.25">
      <c r="A13819" s="859">
        <f t="shared" si="302"/>
        <v>13818</v>
      </c>
      <c r="B13819" s="845" t="s">
        <v>2564</v>
      </c>
      <c r="C13819" s="1007">
        <f t="shared" si="303"/>
        <v>113</v>
      </c>
      <c r="D13819" s="1012"/>
      <c r="H13819" s="1011" t="s">
        <v>1007</v>
      </c>
      <c r="K13819" s="1013"/>
    </row>
    <row r="13820" spans="1:11" s="1011" customFormat="1" ht="15" x14ac:dyDescent="0.25">
      <c r="A13820" s="859">
        <f t="shared" si="302"/>
        <v>13819</v>
      </c>
      <c r="B13820" s="845" t="s">
        <v>2564</v>
      </c>
      <c r="C13820" s="1007">
        <f t="shared" si="303"/>
        <v>113</v>
      </c>
      <c r="D13820" s="1012"/>
      <c r="I13820" s="1011" t="s">
        <v>2180</v>
      </c>
      <c r="K13820" s="1013"/>
    </row>
    <row r="13821" spans="1:11" s="1011" customFormat="1" ht="15" x14ac:dyDescent="0.25">
      <c r="A13821" s="859">
        <f t="shared" si="302"/>
        <v>13820</v>
      </c>
      <c r="B13821" s="845" t="s">
        <v>2564</v>
      </c>
      <c r="C13821" s="1007">
        <f t="shared" si="303"/>
        <v>113</v>
      </c>
      <c r="D13821" s="1014"/>
      <c r="I13821" s="1011" t="str">
        <f>CONCATENATE("&lt;valeur&gt;",VLOOKUP(C13821,'T16 Amort'!A:K,8,0),"&lt;/valeur&gt;")</f>
        <v>&lt;valeur&gt;&lt;/valeur&gt;</v>
      </c>
      <c r="K13821" s="1013"/>
    </row>
    <row r="13822" spans="1:11" s="1011" customFormat="1" ht="15" x14ac:dyDescent="0.25">
      <c r="A13822" s="859">
        <f t="shared" si="302"/>
        <v>13821</v>
      </c>
      <c r="B13822" s="845" t="s">
        <v>2564</v>
      </c>
      <c r="C13822" s="1007">
        <f t="shared" si="303"/>
        <v>113</v>
      </c>
      <c r="D13822" s="1014"/>
      <c r="I13822" s="1011" t="str">
        <f>CONCATENATE("&lt;numeroLigne&gt;",C13822,"&lt;/numeroLigne&gt;")</f>
        <v>&lt;numeroLigne&gt;113&lt;/numeroLigne&gt;</v>
      </c>
      <c r="K13822" s="1013"/>
    </row>
    <row r="13823" spans="1:11" s="1011" customFormat="1" ht="15" x14ac:dyDescent="0.25">
      <c r="A13823" s="859">
        <f t="shared" si="302"/>
        <v>13822</v>
      </c>
      <c r="B13823" s="845" t="s">
        <v>2564</v>
      </c>
      <c r="C13823" s="1007">
        <f t="shared" si="303"/>
        <v>113</v>
      </c>
      <c r="D13823" s="1012"/>
      <c r="H13823" s="1011" t="s">
        <v>1010</v>
      </c>
      <c r="K13823" s="1013"/>
    </row>
    <row r="13824" spans="1:11" s="1011" customFormat="1" ht="15" x14ac:dyDescent="0.25">
      <c r="A13824" s="859">
        <f t="shared" si="302"/>
        <v>13823</v>
      </c>
      <c r="B13824" s="845" t="s">
        <v>2564</v>
      </c>
      <c r="C13824" s="1007">
        <f t="shared" si="303"/>
        <v>113</v>
      </c>
      <c r="D13824" s="1015"/>
      <c r="H13824" s="1011" t="s">
        <v>1007</v>
      </c>
      <c r="K13824" s="1013"/>
    </row>
    <row r="13825" spans="1:11" s="1011" customFormat="1" ht="15" x14ac:dyDescent="0.25">
      <c r="A13825" s="859">
        <f t="shared" si="302"/>
        <v>13824</v>
      </c>
      <c r="B13825" s="845" t="s">
        <v>2564</v>
      </c>
      <c r="C13825" s="1007">
        <f t="shared" si="303"/>
        <v>113</v>
      </c>
      <c r="D13825" s="1012"/>
      <c r="I13825" s="1011" t="s">
        <v>2181</v>
      </c>
      <c r="K13825" s="1013"/>
    </row>
    <row r="13826" spans="1:11" s="1011" customFormat="1" ht="15" x14ac:dyDescent="0.25">
      <c r="A13826" s="859">
        <f t="shared" si="302"/>
        <v>13825</v>
      </c>
      <c r="B13826" s="845" t="s">
        <v>2564</v>
      </c>
      <c r="C13826" s="1007">
        <f t="shared" si="303"/>
        <v>113</v>
      </c>
      <c r="D13826" s="1012"/>
      <c r="I13826" s="1011" t="str">
        <f>CONCATENATE("&lt;valeur&gt;",VLOOKUP(C13826,'T16 Amort'!A:K,9,0),"&lt;/valeur&gt;")</f>
        <v>&lt;valeur&gt;&lt;/valeur&gt;</v>
      </c>
      <c r="K13826" s="1013"/>
    </row>
    <row r="13827" spans="1:11" s="1011" customFormat="1" ht="15" x14ac:dyDescent="0.25">
      <c r="A13827" s="859">
        <f t="shared" si="302"/>
        <v>13826</v>
      </c>
      <c r="B13827" s="845" t="s">
        <v>2564</v>
      </c>
      <c r="C13827" s="1007">
        <f t="shared" si="303"/>
        <v>113</v>
      </c>
      <c r="D13827" s="1014"/>
      <c r="I13827" s="1011" t="str">
        <f>CONCATENATE("&lt;numeroLigne&gt;",C13827,"&lt;/numeroLigne&gt;")</f>
        <v>&lt;numeroLigne&gt;113&lt;/numeroLigne&gt;</v>
      </c>
      <c r="K13827" s="1013"/>
    </row>
    <row r="13828" spans="1:11" s="1011" customFormat="1" ht="15" x14ac:dyDescent="0.25">
      <c r="A13828" s="859">
        <f t="shared" ref="A13828:A13891" si="304">+A13827+1</f>
        <v>13827</v>
      </c>
      <c r="B13828" s="845" t="s">
        <v>2564</v>
      </c>
      <c r="C13828" s="1007">
        <f t="shared" si="303"/>
        <v>113</v>
      </c>
      <c r="D13828" s="1014"/>
      <c r="H13828" s="1011" t="s">
        <v>1010</v>
      </c>
      <c r="K13828" s="1013"/>
    </row>
    <row r="13829" spans="1:11" s="1011" customFormat="1" ht="15" x14ac:dyDescent="0.25">
      <c r="A13829" s="859">
        <f t="shared" si="304"/>
        <v>13828</v>
      </c>
      <c r="B13829" s="845" t="s">
        <v>2564</v>
      </c>
      <c r="C13829" s="1007">
        <f t="shared" si="303"/>
        <v>113</v>
      </c>
      <c r="D13829" s="1012"/>
      <c r="H13829" s="1011" t="s">
        <v>1007</v>
      </c>
      <c r="K13829" s="1013"/>
    </row>
    <row r="13830" spans="1:11" s="1011" customFormat="1" ht="15" x14ac:dyDescent="0.25">
      <c r="A13830" s="859">
        <f t="shared" si="304"/>
        <v>13829</v>
      </c>
      <c r="B13830" s="845" t="s">
        <v>2564</v>
      </c>
      <c r="C13830" s="1007">
        <f t="shared" si="303"/>
        <v>113</v>
      </c>
      <c r="D13830" s="1015"/>
      <c r="I13830" s="1011" t="s">
        <v>2182</v>
      </c>
      <c r="K13830" s="1013"/>
    </row>
    <row r="13831" spans="1:11" s="1011" customFormat="1" ht="15" x14ac:dyDescent="0.25">
      <c r="A13831" s="859">
        <f t="shared" si="304"/>
        <v>13830</v>
      </c>
      <c r="B13831" s="845" t="s">
        <v>2564</v>
      </c>
      <c r="C13831" s="1007">
        <f t="shared" si="303"/>
        <v>113</v>
      </c>
      <c r="D13831" s="1012"/>
      <c r="I13831" s="1011" t="str">
        <f>CONCATENATE("&lt;valeur&gt;",VLOOKUP(C13831,'T16 Amort'!A:K,10,0),"&lt;/valeur&gt;")</f>
        <v>&lt;valeur&gt;&lt;/valeur&gt;</v>
      </c>
      <c r="K13831" s="1013"/>
    </row>
    <row r="13832" spans="1:11" s="1011" customFormat="1" ht="15" x14ac:dyDescent="0.25">
      <c r="A13832" s="859">
        <f t="shared" si="304"/>
        <v>13831</v>
      </c>
      <c r="B13832" s="845" t="s">
        <v>2564</v>
      </c>
      <c r="C13832" s="1007">
        <f t="shared" si="303"/>
        <v>113</v>
      </c>
      <c r="D13832" s="1012"/>
      <c r="I13832" s="1011" t="str">
        <f>CONCATENATE("&lt;numeroLigne&gt;",C13832,"&lt;/numeroLigne&gt;")</f>
        <v>&lt;numeroLigne&gt;113&lt;/numeroLigne&gt;</v>
      </c>
      <c r="K13832" s="1013"/>
    </row>
    <row r="13833" spans="1:11" s="1011" customFormat="1" ht="15" x14ac:dyDescent="0.25">
      <c r="A13833" s="859">
        <f t="shared" si="304"/>
        <v>13832</v>
      </c>
      <c r="B13833" s="845" t="s">
        <v>2564</v>
      </c>
      <c r="C13833" s="1007">
        <f t="shared" si="303"/>
        <v>113</v>
      </c>
      <c r="D13833" s="1014"/>
      <c r="H13833" s="1011" t="s">
        <v>1010</v>
      </c>
      <c r="K13833" s="1013"/>
    </row>
    <row r="13834" spans="1:11" s="1011" customFormat="1" ht="15" x14ac:dyDescent="0.25">
      <c r="A13834" s="859">
        <f t="shared" si="304"/>
        <v>13833</v>
      </c>
      <c r="B13834" s="845" t="s">
        <v>2564</v>
      </c>
      <c r="C13834" s="1007">
        <f t="shared" si="303"/>
        <v>113</v>
      </c>
      <c r="D13834" s="1014"/>
      <c r="H13834" s="1011" t="s">
        <v>1007</v>
      </c>
      <c r="K13834" s="1013"/>
    </row>
    <row r="13835" spans="1:11" s="1011" customFormat="1" ht="15" x14ac:dyDescent="0.25">
      <c r="A13835" s="859">
        <f t="shared" si="304"/>
        <v>13834</v>
      </c>
      <c r="B13835" s="845" t="s">
        <v>2564</v>
      </c>
      <c r="C13835" s="1007">
        <f t="shared" si="303"/>
        <v>113</v>
      </c>
      <c r="D13835" s="1012"/>
      <c r="I13835" s="1011" t="s">
        <v>2183</v>
      </c>
      <c r="K13835" s="1013"/>
    </row>
    <row r="13836" spans="1:11" s="1011" customFormat="1" ht="15" x14ac:dyDescent="0.25">
      <c r="A13836" s="859">
        <f t="shared" si="304"/>
        <v>13835</v>
      </c>
      <c r="B13836" s="845" t="s">
        <v>2564</v>
      </c>
      <c r="C13836" s="1007">
        <f t="shared" si="303"/>
        <v>113</v>
      </c>
      <c r="D13836" s="1015"/>
      <c r="I13836" s="1011" t="str">
        <f>CONCATENATE("&lt;valeur&gt;",VLOOKUP(C13836,'T16 Amort'!A:K,11,0),"&lt;/valeur&gt;")</f>
        <v>&lt;valeur&gt;&lt;/valeur&gt;</v>
      </c>
      <c r="K13836" s="1013"/>
    </row>
    <row r="13837" spans="1:11" s="1011" customFormat="1" ht="15" x14ac:dyDescent="0.25">
      <c r="A13837" s="859">
        <f t="shared" si="304"/>
        <v>13836</v>
      </c>
      <c r="B13837" s="845" t="s">
        <v>2564</v>
      </c>
      <c r="C13837" s="1007">
        <f t="shared" si="303"/>
        <v>113</v>
      </c>
      <c r="D13837" s="1012"/>
      <c r="I13837" s="1011" t="str">
        <f>CONCATENATE("&lt;numeroLigne&gt;",C13837,"&lt;/numeroLigne&gt;")</f>
        <v>&lt;numeroLigne&gt;113&lt;/numeroLigne&gt;</v>
      </c>
      <c r="K13837" s="1013"/>
    </row>
    <row r="13838" spans="1:11" s="1011" customFormat="1" ht="15" x14ac:dyDescent="0.25">
      <c r="A13838" s="859">
        <f t="shared" si="304"/>
        <v>13837</v>
      </c>
      <c r="B13838" s="845" t="s">
        <v>2564</v>
      </c>
      <c r="C13838" s="1007">
        <f t="shared" si="303"/>
        <v>113</v>
      </c>
      <c r="D13838" s="1016"/>
      <c r="E13838" s="1017"/>
      <c r="F13838" s="1017"/>
      <c r="G13838" s="1017"/>
      <c r="H13838" s="1017" t="s">
        <v>1010</v>
      </c>
      <c r="I13838" s="1017"/>
      <c r="J13838" s="1017"/>
      <c r="K13838" s="1018"/>
    </row>
    <row r="13839" spans="1:11" s="1011" customFormat="1" ht="15" x14ac:dyDescent="0.25">
      <c r="A13839" s="859">
        <f t="shared" si="304"/>
        <v>13838</v>
      </c>
      <c r="B13839" s="845" t="s">
        <v>2564</v>
      </c>
      <c r="C13839" s="1007">
        <f t="shared" si="303"/>
        <v>114</v>
      </c>
      <c r="D13839" s="1008"/>
      <c r="E13839" s="1009"/>
      <c r="F13839" s="1009"/>
      <c r="G13839" s="1009"/>
      <c r="H13839" s="1009" t="s">
        <v>1007</v>
      </c>
      <c r="I13839" s="1009"/>
      <c r="J13839" s="1009"/>
      <c r="K13839" s="1010"/>
    </row>
    <row r="13840" spans="1:11" s="1011" customFormat="1" ht="15" x14ac:dyDescent="0.25">
      <c r="A13840" s="859">
        <f t="shared" si="304"/>
        <v>13839</v>
      </c>
      <c r="B13840" s="845" t="s">
        <v>2564</v>
      </c>
      <c r="C13840" s="1007">
        <f t="shared" si="303"/>
        <v>114</v>
      </c>
      <c r="D13840" s="1012"/>
      <c r="I13840" s="1011" t="s">
        <v>2174</v>
      </c>
      <c r="K13840" s="1013"/>
    </row>
    <row r="13841" spans="1:11" s="1011" customFormat="1" ht="15" x14ac:dyDescent="0.25">
      <c r="A13841" s="859">
        <f t="shared" si="304"/>
        <v>13840</v>
      </c>
      <c r="B13841" s="845" t="s">
        <v>2564</v>
      </c>
      <c r="C13841" s="1007">
        <f t="shared" si="303"/>
        <v>114</v>
      </c>
      <c r="D13841" s="1014"/>
      <c r="I13841" s="1011" t="str">
        <f>CONCATENATE("&lt;valeur&gt;",VLOOKUP(C13841,'T16 Amort'!A:K,2,0),"&lt;/valeur&gt;")</f>
        <v>&lt;valeur&gt;&lt;/valeur&gt;</v>
      </c>
      <c r="K13841" s="1013"/>
    </row>
    <row r="13842" spans="1:11" s="1011" customFormat="1" ht="15" x14ac:dyDescent="0.25">
      <c r="A13842" s="859">
        <f t="shared" si="304"/>
        <v>13841</v>
      </c>
      <c r="B13842" s="845" t="s">
        <v>2564</v>
      </c>
      <c r="C13842" s="1007">
        <f t="shared" si="303"/>
        <v>114</v>
      </c>
      <c r="D13842" s="1014"/>
      <c r="I13842" s="1011" t="str">
        <f>CONCATENATE("&lt;numeroLigne&gt;",C13842,"&lt;/numeroLigne&gt;")</f>
        <v>&lt;numeroLigne&gt;114&lt;/numeroLigne&gt;</v>
      </c>
      <c r="K13842" s="1013"/>
    </row>
    <row r="13843" spans="1:11" s="1011" customFormat="1" ht="15" x14ac:dyDescent="0.25">
      <c r="A13843" s="859">
        <f t="shared" si="304"/>
        <v>13842</v>
      </c>
      <c r="B13843" s="845" t="s">
        <v>2564</v>
      </c>
      <c r="C13843" s="1007">
        <f t="shared" si="303"/>
        <v>114</v>
      </c>
      <c r="D13843" s="1012"/>
      <c r="H13843" s="1011" t="s">
        <v>1010</v>
      </c>
      <c r="K13843" s="1013"/>
    </row>
    <row r="13844" spans="1:11" s="1011" customFormat="1" ht="15" x14ac:dyDescent="0.25">
      <c r="A13844" s="859">
        <f t="shared" si="304"/>
        <v>13843</v>
      </c>
      <c r="B13844" s="845" t="s">
        <v>2564</v>
      </c>
      <c r="C13844" s="1007">
        <f t="shared" si="303"/>
        <v>114</v>
      </c>
      <c r="D13844" s="1015"/>
      <c r="H13844" s="1011" t="s">
        <v>1007</v>
      </c>
      <c r="K13844" s="1013"/>
    </row>
    <row r="13845" spans="1:11" s="1011" customFormat="1" ht="15" x14ac:dyDescent="0.25">
      <c r="A13845" s="859">
        <f t="shared" si="304"/>
        <v>13844</v>
      </c>
      <c r="B13845" s="845" t="s">
        <v>2564</v>
      </c>
      <c r="C13845" s="1007">
        <f t="shared" si="303"/>
        <v>114</v>
      </c>
      <c r="D13845" s="1012"/>
      <c r="I13845" s="1011" t="s">
        <v>2175</v>
      </c>
      <c r="K13845" s="1013"/>
    </row>
    <row r="13846" spans="1:11" s="1011" customFormat="1" ht="15" x14ac:dyDescent="0.25">
      <c r="A13846" s="859">
        <f t="shared" si="304"/>
        <v>13845</v>
      </c>
      <c r="B13846" s="845" t="s">
        <v>2564</v>
      </c>
      <c r="C13846" s="1007">
        <f t="shared" si="303"/>
        <v>114</v>
      </c>
      <c r="D13846" s="1012"/>
      <c r="I13846" s="1011" t="str">
        <f>CONCATENATE("&lt;valeur&gt;",VLOOKUP(C13846,'T16 Amort'!A:K,3,0),"&lt;/valeur&gt;")</f>
        <v>&lt;valeur&gt;&lt;/valeur&gt;</v>
      </c>
      <c r="K13846" s="1013"/>
    </row>
    <row r="13847" spans="1:11" s="1011" customFormat="1" ht="15" x14ac:dyDescent="0.25">
      <c r="A13847" s="859">
        <f t="shared" si="304"/>
        <v>13846</v>
      </c>
      <c r="B13847" s="845" t="s">
        <v>2564</v>
      </c>
      <c r="C13847" s="1007">
        <f t="shared" si="303"/>
        <v>114</v>
      </c>
      <c r="D13847" s="1014"/>
      <c r="I13847" s="1011" t="str">
        <f>CONCATENATE("&lt;numeroLigne&gt;",C13847,"&lt;/numeroLigne&gt;")</f>
        <v>&lt;numeroLigne&gt;114&lt;/numeroLigne&gt;</v>
      </c>
      <c r="K13847" s="1013"/>
    </row>
    <row r="13848" spans="1:11" s="1011" customFormat="1" ht="15" x14ac:dyDescent="0.25">
      <c r="A13848" s="859">
        <f t="shared" si="304"/>
        <v>13847</v>
      </c>
      <c r="B13848" s="845" t="s">
        <v>2564</v>
      </c>
      <c r="C13848" s="1007">
        <f t="shared" si="303"/>
        <v>114</v>
      </c>
      <c r="D13848" s="1014"/>
      <c r="H13848" s="1011" t="s">
        <v>1010</v>
      </c>
      <c r="K13848" s="1013"/>
    </row>
    <row r="13849" spans="1:11" s="1011" customFormat="1" ht="15" x14ac:dyDescent="0.25">
      <c r="A13849" s="859">
        <f t="shared" si="304"/>
        <v>13848</v>
      </c>
      <c r="B13849" s="845" t="s">
        <v>2564</v>
      </c>
      <c r="C13849" s="1007">
        <f t="shared" si="303"/>
        <v>114</v>
      </c>
      <c r="D13849" s="1012"/>
      <c r="H13849" s="1011" t="s">
        <v>1007</v>
      </c>
      <c r="K13849" s="1013"/>
    </row>
    <row r="13850" spans="1:11" s="1011" customFormat="1" ht="15" x14ac:dyDescent="0.25">
      <c r="A13850" s="859">
        <f t="shared" si="304"/>
        <v>13849</v>
      </c>
      <c r="B13850" s="845" t="s">
        <v>2564</v>
      </c>
      <c r="C13850" s="1007">
        <f t="shared" si="303"/>
        <v>114</v>
      </c>
      <c r="D13850" s="1015"/>
      <c r="I13850" s="1011" t="s">
        <v>2176</v>
      </c>
      <c r="K13850" s="1013"/>
    </row>
    <row r="13851" spans="1:11" s="1011" customFormat="1" ht="15" x14ac:dyDescent="0.25">
      <c r="A13851" s="859">
        <f t="shared" si="304"/>
        <v>13850</v>
      </c>
      <c r="B13851" s="845" t="s">
        <v>2564</v>
      </c>
      <c r="C13851" s="1007">
        <f t="shared" si="303"/>
        <v>114</v>
      </c>
      <c r="D13851" s="1012"/>
      <c r="I13851" s="1011" t="str">
        <f>CONCATENATE("&lt;valeur&gt;",VLOOKUP(C13851,'T16 Amort'!A:K,4,0),"&lt;/valeur&gt;")</f>
        <v>&lt;valeur&gt;&lt;/valeur&gt;</v>
      </c>
      <c r="K13851" s="1013"/>
    </row>
    <row r="13852" spans="1:11" s="1011" customFormat="1" ht="15" x14ac:dyDescent="0.25">
      <c r="A13852" s="859">
        <f t="shared" si="304"/>
        <v>13851</v>
      </c>
      <c r="B13852" s="845" t="s">
        <v>2564</v>
      </c>
      <c r="C13852" s="1007">
        <f t="shared" si="303"/>
        <v>114</v>
      </c>
      <c r="D13852" s="1012"/>
      <c r="I13852" s="1011" t="str">
        <f>CONCATENATE("&lt;numeroLigne&gt;",C13852,"&lt;/numeroLigne&gt;")</f>
        <v>&lt;numeroLigne&gt;114&lt;/numeroLigne&gt;</v>
      </c>
      <c r="K13852" s="1013"/>
    </row>
    <row r="13853" spans="1:11" s="1011" customFormat="1" ht="15" x14ac:dyDescent="0.25">
      <c r="A13853" s="859">
        <f t="shared" si="304"/>
        <v>13852</v>
      </c>
      <c r="B13853" s="845" t="s">
        <v>2564</v>
      </c>
      <c r="C13853" s="1007">
        <f t="shared" si="303"/>
        <v>114</v>
      </c>
      <c r="D13853" s="1014"/>
      <c r="H13853" s="1011" t="s">
        <v>1010</v>
      </c>
      <c r="K13853" s="1013"/>
    </row>
    <row r="13854" spans="1:11" s="1011" customFormat="1" ht="15" x14ac:dyDescent="0.25">
      <c r="A13854" s="859">
        <f t="shared" si="304"/>
        <v>13853</v>
      </c>
      <c r="B13854" s="845" t="s">
        <v>2564</v>
      </c>
      <c r="C13854" s="1007">
        <f t="shared" si="303"/>
        <v>114</v>
      </c>
      <c r="D13854" s="1014"/>
      <c r="H13854" s="1011" t="s">
        <v>1007</v>
      </c>
      <c r="K13854" s="1013"/>
    </row>
    <row r="13855" spans="1:11" s="1011" customFormat="1" ht="15" x14ac:dyDescent="0.25">
      <c r="A13855" s="859">
        <f t="shared" si="304"/>
        <v>13854</v>
      </c>
      <c r="B13855" s="845" t="s">
        <v>2564</v>
      </c>
      <c r="C13855" s="1007">
        <f t="shared" si="303"/>
        <v>114</v>
      </c>
      <c r="D13855" s="1012"/>
      <c r="I13855" s="1011" t="s">
        <v>2177</v>
      </c>
      <c r="K13855" s="1013"/>
    </row>
    <row r="13856" spans="1:11" s="1011" customFormat="1" ht="15" x14ac:dyDescent="0.25">
      <c r="A13856" s="859">
        <f t="shared" si="304"/>
        <v>13855</v>
      </c>
      <c r="B13856" s="845" t="s">
        <v>2564</v>
      </c>
      <c r="C13856" s="1007">
        <f t="shared" si="303"/>
        <v>114</v>
      </c>
      <c r="D13856" s="1015"/>
      <c r="I13856" s="1011" t="str">
        <f>CONCATENATE("&lt;valeur&gt;",VLOOKUP(C13856,'T16 Amort'!A:K,5,0),"&lt;/valeur&gt;")</f>
        <v>&lt;valeur&gt;&lt;/valeur&gt;</v>
      </c>
      <c r="K13856" s="1013"/>
    </row>
    <row r="13857" spans="1:11" s="1011" customFormat="1" ht="15" x14ac:dyDescent="0.25">
      <c r="A13857" s="859">
        <f t="shared" si="304"/>
        <v>13856</v>
      </c>
      <c r="B13857" s="845" t="s">
        <v>2564</v>
      </c>
      <c r="C13857" s="1007">
        <f t="shared" si="303"/>
        <v>114</v>
      </c>
      <c r="D13857" s="1012"/>
      <c r="I13857" s="1011" t="str">
        <f>CONCATENATE("&lt;numeroLigne&gt;",C13857,"&lt;/numeroLigne&gt;")</f>
        <v>&lt;numeroLigne&gt;114&lt;/numeroLigne&gt;</v>
      </c>
      <c r="K13857" s="1013"/>
    </row>
    <row r="13858" spans="1:11" s="1011" customFormat="1" ht="15" x14ac:dyDescent="0.25">
      <c r="A13858" s="859">
        <f t="shared" si="304"/>
        <v>13857</v>
      </c>
      <c r="B13858" s="845" t="s">
        <v>2564</v>
      </c>
      <c r="C13858" s="1007">
        <f t="shared" si="303"/>
        <v>114</v>
      </c>
      <c r="D13858" s="1012"/>
      <c r="H13858" s="1011" t="s">
        <v>1010</v>
      </c>
      <c r="K13858" s="1013"/>
    </row>
    <row r="13859" spans="1:11" s="1011" customFormat="1" ht="15" x14ac:dyDescent="0.25">
      <c r="A13859" s="859">
        <f t="shared" si="304"/>
        <v>13858</v>
      </c>
      <c r="B13859" s="845" t="s">
        <v>2564</v>
      </c>
      <c r="C13859" s="1007">
        <f t="shared" si="303"/>
        <v>114</v>
      </c>
      <c r="D13859" s="1014"/>
      <c r="H13859" s="1011" t="s">
        <v>1007</v>
      </c>
      <c r="K13859" s="1013"/>
    </row>
    <row r="13860" spans="1:11" s="1011" customFormat="1" ht="15" x14ac:dyDescent="0.25">
      <c r="A13860" s="859">
        <f t="shared" si="304"/>
        <v>13859</v>
      </c>
      <c r="B13860" s="845" t="s">
        <v>2564</v>
      </c>
      <c r="C13860" s="1007">
        <f t="shared" si="303"/>
        <v>114</v>
      </c>
      <c r="D13860" s="1014"/>
      <c r="I13860" s="1011" t="s">
        <v>2178</v>
      </c>
      <c r="K13860" s="1013"/>
    </row>
    <row r="13861" spans="1:11" s="1011" customFormat="1" ht="15" x14ac:dyDescent="0.25">
      <c r="A13861" s="859">
        <f t="shared" si="304"/>
        <v>13860</v>
      </c>
      <c r="B13861" s="845" t="s">
        <v>2564</v>
      </c>
      <c r="C13861" s="1007">
        <f t="shared" si="303"/>
        <v>114</v>
      </c>
      <c r="D13861" s="1012"/>
      <c r="I13861" s="1011" t="str">
        <f>CONCATENATE("&lt;valeur&gt;",VLOOKUP(C13861,'T16 Amort'!A:K,6,0),"&lt;/valeur&gt;")</f>
        <v>&lt;valeur&gt;&lt;/valeur&gt;</v>
      </c>
      <c r="K13861" s="1013"/>
    </row>
    <row r="13862" spans="1:11" s="1011" customFormat="1" ht="15" x14ac:dyDescent="0.25">
      <c r="A13862" s="859">
        <f t="shared" si="304"/>
        <v>13861</v>
      </c>
      <c r="B13862" s="845" t="s">
        <v>2564</v>
      </c>
      <c r="C13862" s="1007">
        <f t="shared" si="303"/>
        <v>114</v>
      </c>
      <c r="D13862" s="1015"/>
      <c r="I13862" s="1011" t="str">
        <f>CONCATENATE("&lt;numeroLigne&gt;",C13862,"&lt;/numeroLigne&gt;")</f>
        <v>&lt;numeroLigne&gt;114&lt;/numeroLigne&gt;</v>
      </c>
      <c r="K13862" s="1013"/>
    </row>
    <row r="13863" spans="1:11" s="1011" customFormat="1" ht="15" x14ac:dyDescent="0.25">
      <c r="A13863" s="859">
        <f t="shared" si="304"/>
        <v>13862</v>
      </c>
      <c r="B13863" s="845" t="s">
        <v>2564</v>
      </c>
      <c r="C13863" s="1007">
        <f t="shared" si="303"/>
        <v>114</v>
      </c>
      <c r="D13863" s="1012"/>
      <c r="H13863" s="1011" t="s">
        <v>1010</v>
      </c>
      <c r="K13863" s="1013"/>
    </row>
    <row r="13864" spans="1:11" s="1011" customFormat="1" ht="15" x14ac:dyDescent="0.25">
      <c r="A13864" s="859">
        <f t="shared" si="304"/>
        <v>13863</v>
      </c>
      <c r="B13864" s="845" t="s">
        <v>2564</v>
      </c>
      <c r="C13864" s="1007">
        <f t="shared" si="303"/>
        <v>114</v>
      </c>
      <c r="D13864" s="1012"/>
      <c r="H13864" s="1011" t="s">
        <v>1007</v>
      </c>
      <c r="K13864" s="1013"/>
    </row>
    <row r="13865" spans="1:11" s="1011" customFormat="1" ht="15" x14ac:dyDescent="0.25">
      <c r="A13865" s="859">
        <f t="shared" si="304"/>
        <v>13864</v>
      </c>
      <c r="B13865" s="845" t="s">
        <v>2564</v>
      </c>
      <c r="C13865" s="1007">
        <f t="shared" si="303"/>
        <v>114</v>
      </c>
      <c r="D13865" s="1014"/>
      <c r="I13865" s="1011" t="s">
        <v>2179</v>
      </c>
      <c r="K13865" s="1013"/>
    </row>
    <row r="13866" spans="1:11" s="1011" customFormat="1" ht="15" x14ac:dyDescent="0.25">
      <c r="A13866" s="859">
        <f t="shared" si="304"/>
        <v>13865</v>
      </c>
      <c r="B13866" s="845" t="s">
        <v>2564</v>
      </c>
      <c r="C13866" s="1007">
        <f t="shared" si="303"/>
        <v>114</v>
      </c>
      <c r="D13866" s="1014"/>
      <c r="I13866" s="1011" t="str">
        <f>CONCATENATE("&lt;valeur&gt;",VLOOKUP(C13866,'T16 Amort'!A:K,7,0),"&lt;/valeur&gt;")</f>
        <v>&lt;valeur&gt;&lt;/valeur&gt;</v>
      </c>
      <c r="K13866" s="1013"/>
    </row>
    <row r="13867" spans="1:11" s="1011" customFormat="1" ht="15" x14ac:dyDescent="0.25">
      <c r="A13867" s="859">
        <f t="shared" si="304"/>
        <v>13866</v>
      </c>
      <c r="B13867" s="845" t="s">
        <v>2564</v>
      </c>
      <c r="C13867" s="1007">
        <f t="shared" si="303"/>
        <v>114</v>
      </c>
      <c r="D13867" s="1012"/>
      <c r="I13867" s="1011" t="str">
        <f>CONCATENATE("&lt;numeroLigne&gt;",C13867,"&lt;/numeroLigne&gt;")</f>
        <v>&lt;numeroLigne&gt;114&lt;/numeroLigne&gt;</v>
      </c>
      <c r="K13867" s="1013"/>
    </row>
    <row r="13868" spans="1:11" s="1011" customFormat="1" ht="15" x14ac:dyDescent="0.25">
      <c r="A13868" s="859">
        <f t="shared" si="304"/>
        <v>13867</v>
      </c>
      <c r="B13868" s="845" t="s">
        <v>2564</v>
      </c>
      <c r="C13868" s="1007">
        <f t="shared" si="303"/>
        <v>114</v>
      </c>
      <c r="D13868" s="1015"/>
      <c r="H13868" s="1011" t="s">
        <v>1010</v>
      </c>
      <c r="K13868" s="1013"/>
    </row>
    <row r="13869" spans="1:11" s="1011" customFormat="1" ht="15" x14ac:dyDescent="0.25">
      <c r="A13869" s="859">
        <f t="shared" si="304"/>
        <v>13868</v>
      </c>
      <c r="B13869" s="845" t="s">
        <v>2564</v>
      </c>
      <c r="C13869" s="1007">
        <f t="shared" si="303"/>
        <v>114</v>
      </c>
      <c r="D13869" s="1012"/>
      <c r="H13869" s="1011" t="s">
        <v>1007</v>
      </c>
      <c r="K13869" s="1013"/>
    </row>
    <row r="13870" spans="1:11" s="1011" customFormat="1" ht="15" x14ac:dyDescent="0.25">
      <c r="A13870" s="859">
        <f t="shared" si="304"/>
        <v>13869</v>
      </c>
      <c r="B13870" s="845" t="s">
        <v>2564</v>
      </c>
      <c r="C13870" s="1007">
        <f t="shared" si="303"/>
        <v>114</v>
      </c>
      <c r="D13870" s="1012"/>
      <c r="I13870" s="1011" t="s">
        <v>2180</v>
      </c>
      <c r="K13870" s="1013"/>
    </row>
    <row r="13871" spans="1:11" s="1011" customFormat="1" ht="15" x14ac:dyDescent="0.25">
      <c r="A13871" s="859">
        <f t="shared" si="304"/>
        <v>13870</v>
      </c>
      <c r="B13871" s="845" t="s">
        <v>2564</v>
      </c>
      <c r="C13871" s="1007">
        <f t="shared" ref="C13871:C13934" si="305">C13821+1</f>
        <v>114</v>
      </c>
      <c r="D13871" s="1014"/>
      <c r="I13871" s="1011" t="str">
        <f>CONCATENATE("&lt;valeur&gt;",VLOOKUP(C13871,'T16 Amort'!A:K,8,0),"&lt;/valeur&gt;")</f>
        <v>&lt;valeur&gt;&lt;/valeur&gt;</v>
      </c>
      <c r="K13871" s="1013"/>
    </row>
    <row r="13872" spans="1:11" s="1011" customFormat="1" ht="15" x14ac:dyDescent="0.25">
      <c r="A13872" s="859">
        <f t="shared" si="304"/>
        <v>13871</v>
      </c>
      <c r="B13872" s="845" t="s">
        <v>2564</v>
      </c>
      <c r="C13872" s="1007">
        <f t="shared" si="305"/>
        <v>114</v>
      </c>
      <c r="D13872" s="1014"/>
      <c r="I13872" s="1011" t="str">
        <f>CONCATENATE("&lt;numeroLigne&gt;",C13872,"&lt;/numeroLigne&gt;")</f>
        <v>&lt;numeroLigne&gt;114&lt;/numeroLigne&gt;</v>
      </c>
      <c r="K13872" s="1013"/>
    </row>
    <row r="13873" spans="1:11" s="1011" customFormat="1" ht="15" x14ac:dyDescent="0.25">
      <c r="A13873" s="859">
        <f t="shared" si="304"/>
        <v>13872</v>
      </c>
      <c r="B13873" s="845" t="s">
        <v>2564</v>
      </c>
      <c r="C13873" s="1007">
        <f t="shared" si="305"/>
        <v>114</v>
      </c>
      <c r="D13873" s="1012"/>
      <c r="H13873" s="1011" t="s">
        <v>1010</v>
      </c>
      <c r="K13873" s="1013"/>
    </row>
    <row r="13874" spans="1:11" s="1011" customFormat="1" ht="15" x14ac:dyDescent="0.25">
      <c r="A13874" s="859">
        <f t="shared" si="304"/>
        <v>13873</v>
      </c>
      <c r="B13874" s="845" t="s">
        <v>2564</v>
      </c>
      <c r="C13874" s="1007">
        <f t="shared" si="305"/>
        <v>114</v>
      </c>
      <c r="D13874" s="1015"/>
      <c r="H13874" s="1011" t="s">
        <v>1007</v>
      </c>
      <c r="K13874" s="1013"/>
    </row>
    <row r="13875" spans="1:11" s="1011" customFormat="1" ht="15" x14ac:dyDescent="0.25">
      <c r="A13875" s="859">
        <f t="shared" si="304"/>
        <v>13874</v>
      </c>
      <c r="B13875" s="845" t="s">
        <v>2564</v>
      </c>
      <c r="C13875" s="1007">
        <f t="shared" si="305"/>
        <v>114</v>
      </c>
      <c r="D13875" s="1012"/>
      <c r="I13875" s="1011" t="s">
        <v>2181</v>
      </c>
      <c r="K13875" s="1013"/>
    </row>
    <row r="13876" spans="1:11" s="1011" customFormat="1" ht="15" x14ac:dyDescent="0.25">
      <c r="A13876" s="859">
        <f t="shared" si="304"/>
        <v>13875</v>
      </c>
      <c r="B13876" s="845" t="s">
        <v>2564</v>
      </c>
      <c r="C13876" s="1007">
        <f t="shared" si="305"/>
        <v>114</v>
      </c>
      <c r="D13876" s="1012"/>
      <c r="I13876" s="1011" t="str">
        <f>CONCATENATE("&lt;valeur&gt;",VLOOKUP(C13876,'T16 Amort'!A:K,9,0),"&lt;/valeur&gt;")</f>
        <v>&lt;valeur&gt;&lt;/valeur&gt;</v>
      </c>
      <c r="K13876" s="1013"/>
    </row>
    <row r="13877" spans="1:11" s="1011" customFormat="1" ht="15" x14ac:dyDescent="0.25">
      <c r="A13877" s="859">
        <f t="shared" si="304"/>
        <v>13876</v>
      </c>
      <c r="B13877" s="845" t="s">
        <v>2564</v>
      </c>
      <c r="C13877" s="1007">
        <f t="shared" si="305"/>
        <v>114</v>
      </c>
      <c r="D13877" s="1014"/>
      <c r="I13877" s="1011" t="str">
        <f>CONCATENATE("&lt;numeroLigne&gt;",C13877,"&lt;/numeroLigne&gt;")</f>
        <v>&lt;numeroLigne&gt;114&lt;/numeroLigne&gt;</v>
      </c>
      <c r="K13877" s="1013"/>
    </row>
    <row r="13878" spans="1:11" s="1011" customFormat="1" ht="15" x14ac:dyDescent="0.25">
      <c r="A13878" s="859">
        <f t="shared" si="304"/>
        <v>13877</v>
      </c>
      <c r="B13878" s="845" t="s">
        <v>2564</v>
      </c>
      <c r="C13878" s="1007">
        <f t="shared" si="305"/>
        <v>114</v>
      </c>
      <c r="D13878" s="1014"/>
      <c r="H13878" s="1011" t="s">
        <v>1010</v>
      </c>
      <c r="K13878" s="1013"/>
    </row>
    <row r="13879" spans="1:11" s="1011" customFormat="1" ht="15" x14ac:dyDescent="0.25">
      <c r="A13879" s="859">
        <f t="shared" si="304"/>
        <v>13878</v>
      </c>
      <c r="B13879" s="845" t="s">
        <v>2564</v>
      </c>
      <c r="C13879" s="1007">
        <f t="shared" si="305"/>
        <v>114</v>
      </c>
      <c r="D13879" s="1012"/>
      <c r="H13879" s="1011" t="s">
        <v>1007</v>
      </c>
      <c r="K13879" s="1013"/>
    </row>
    <row r="13880" spans="1:11" s="1011" customFormat="1" ht="15" x14ac:dyDescent="0.25">
      <c r="A13880" s="859">
        <f t="shared" si="304"/>
        <v>13879</v>
      </c>
      <c r="B13880" s="845" t="s">
        <v>2564</v>
      </c>
      <c r="C13880" s="1007">
        <f t="shared" si="305"/>
        <v>114</v>
      </c>
      <c r="D13880" s="1015"/>
      <c r="I13880" s="1011" t="s">
        <v>2182</v>
      </c>
      <c r="K13880" s="1013"/>
    </row>
    <row r="13881" spans="1:11" s="1011" customFormat="1" ht="15" x14ac:dyDescent="0.25">
      <c r="A13881" s="859">
        <f t="shared" si="304"/>
        <v>13880</v>
      </c>
      <c r="B13881" s="845" t="s">
        <v>2564</v>
      </c>
      <c r="C13881" s="1007">
        <f t="shared" si="305"/>
        <v>114</v>
      </c>
      <c r="D13881" s="1012"/>
      <c r="I13881" s="1011" t="str">
        <f>CONCATENATE("&lt;valeur&gt;",VLOOKUP(C13881,'T16 Amort'!A:K,10,0),"&lt;/valeur&gt;")</f>
        <v>&lt;valeur&gt;&lt;/valeur&gt;</v>
      </c>
      <c r="K13881" s="1013"/>
    </row>
    <row r="13882" spans="1:11" s="1011" customFormat="1" ht="15" x14ac:dyDescent="0.25">
      <c r="A13882" s="859">
        <f t="shared" si="304"/>
        <v>13881</v>
      </c>
      <c r="B13882" s="845" t="s">
        <v>2564</v>
      </c>
      <c r="C13882" s="1007">
        <f t="shared" si="305"/>
        <v>114</v>
      </c>
      <c r="D13882" s="1012"/>
      <c r="I13882" s="1011" t="str">
        <f>CONCATENATE("&lt;numeroLigne&gt;",C13882,"&lt;/numeroLigne&gt;")</f>
        <v>&lt;numeroLigne&gt;114&lt;/numeroLigne&gt;</v>
      </c>
      <c r="K13882" s="1013"/>
    </row>
    <row r="13883" spans="1:11" s="1011" customFormat="1" ht="15" x14ac:dyDescent="0.25">
      <c r="A13883" s="859">
        <f t="shared" si="304"/>
        <v>13882</v>
      </c>
      <c r="B13883" s="845" t="s">
        <v>2564</v>
      </c>
      <c r="C13883" s="1007">
        <f t="shared" si="305"/>
        <v>114</v>
      </c>
      <c r="D13883" s="1014"/>
      <c r="H13883" s="1011" t="s">
        <v>1010</v>
      </c>
      <c r="K13883" s="1013"/>
    </row>
    <row r="13884" spans="1:11" s="1011" customFormat="1" ht="15" x14ac:dyDescent="0.25">
      <c r="A13884" s="859">
        <f t="shared" si="304"/>
        <v>13883</v>
      </c>
      <c r="B13884" s="845" t="s">
        <v>2564</v>
      </c>
      <c r="C13884" s="1007">
        <f t="shared" si="305"/>
        <v>114</v>
      </c>
      <c r="D13884" s="1014"/>
      <c r="H13884" s="1011" t="s">
        <v>1007</v>
      </c>
      <c r="K13884" s="1013"/>
    </row>
    <row r="13885" spans="1:11" s="1011" customFormat="1" ht="15" x14ac:dyDescent="0.25">
      <c r="A13885" s="859">
        <f t="shared" si="304"/>
        <v>13884</v>
      </c>
      <c r="B13885" s="845" t="s">
        <v>2564</v>
      </c>
      <c r="C13885" s="1007">
        <f t="shared" si="305"/>
        <v>114</v>
      </c>
      <c r="D13885" s="1012"/>
      <c r="I13885" s="1011" t="s">
        <v>2183</v>
      </c>
      <c r="K13885" s="1013"/>
    </row>
    <row r="13886" spans="1:11" s="1011" customFormat="1" ht="15" x14ac:dyDescent="0.25">
      <c r="A13886" s="859">
        <f t="shared" si="304"/>
        <v>13885</v>
      </c>
      <c r="B13886" s="845" t="s">
        <v>2564</v>
      </c>
      <c r="C13886" s="1007">
        <f t="shared" si="305"/>
        <v>114</v>
      </c>
      <c r="D13886" s="1015"/>
      <c r="I13886" s="1011" t="str">
        <f>CONCATENATE("&lt;valeur&gt;",VLOOKUP(C13886,'T16 Amort'!A:K,11,0),"&lt;/valeur&gt;")</f>
        <v>&lt;valeur&gt;&lt;/valeur&gt;</v>
      </c>
      <c r="K13886" s="1013"/>
    </row>
    <row r="13887" spans="1:11" s="1011" customFormat="1" ht="15" x14ac:dyDescent="0.25">
      <c r="A13887" s="859">
        <f t="shared" si="304"/>
        <v>13886</v>
      </c>
      <c r="B13887" s="845" t="s">
        <v>2564</v>
      </c>
      <c r="C13887" s="1007">
        <f t="shared" si="305"/>
        <v>114</v>
      </c>
      <c r="D13887" s="1012"/>
      <c r="I13887" s="1011" t="str">
        <f>CONCATENATE("&lt;numeroLigne&gt;",C13887,"&lt;/numeroLigne&gt;")</f>
        <v>&lt;numeroLigne&gt;114&lt;/numeroLigne&gt;</v>
      </c>
      <c r="K13887" s="1013"/>
    </row>
    <row r="13888" spans="1:11" s="1011" customFormat="1" ht="15" x14ac:dyDescent="0.25">
      <c r="A13888" s="859">
        <f t="shared" si="304"/>
        <v>13887</v>
      </c>
      <c r="B13888" s="845" t="s">
        <v>2564</v>
      </c>
      <c r="C13888" s="1007">
        <f t="shared" si="305"/>
        <v>114</v>
      </c>
      <c r="D13888" s="1016"/>
      <c r="E13888" s="1017"/>
      <c r="F13888" s="1017"/>
      <c r="G13888" s="1017"/>
      <c r="H13888" s="1017" t="s">
        <v>1010</v>
      </c>
      <c r="I13888" s="1017"/>
      <c r="J13888" s="1017"/>
      <c r="K13888" s="1018"/>
    </row>
    <row r="13889" spans="1:11" s="1011" customFormat="1" ht="15" x14ac:dyDescent="0.25">
      <c r="A13889" s="859">
        <f t="shared" si="304"/>
        <v>13888</v>
      </c>
      <c r="B13889" s="845" t="s">
        <v>2564</v>
      </c>
      <c r="C13889" s="1007">
        <f t="shared" si="305"/>
        <v>115</v>
      </c>
      <c r="D13889" s="1008"/>
      <c r="E13889" s="1009"/>
      <c r="F13889" s="1009"/>
      <c r="G13889" s="1009"/>
      <c r="H13889" s="1009" t="s">
        <v>1007</v>
      </c>
      <c r="I13889" s="1009"/>
      <c r="J13889" s="1009"/>
      <c r="K13889" s="1010"/>
    </row>
    <row r="13890" spans="1:11" s="1011" customFormat="1" ht="15" x14ac:dyDescent="0.25">
      <c r="A13890" s="859">
        <f t="shared" si="304"/>
        <v>13889</v>
      </c>
      <c r="B13890" s="845" t="s">
        <v>2564</v>
      </c>
      <c r="C13890" s="1007">
        <f t="shared" si="305"/>
        <v>115</v>
      </c>
      <c r="D13890" s="1012"/>
      <c r="I13890" s="1011" t="s">
        <v>2174</v>
      </c>
      <c r="K13890" s="1013"/>
    </row>
    <row r="13891" spans="1:11" s="1011" customFormat="1" ht="15" x14ac:dyDescent="0.25">
      <c r="A13891" s="859">
        <f t="shared" si="304"/>
        <v>13890</v>
      </c>
      <c r="B13891" s="845" t="s">
        <v>2564</v>
      </c>
      <c r="C13891" s="1007">
        <f t="shared" si="305"/>
        <v>115</v>
      </c>
      <c r="D13891" s="1014"/>
      <c r="I13891" s="1011" t="str">
        <f>CONCATENATE("&lt;valeur&gt;",VLOOKUP(C13891,'T16 Amort'!A:K,2,0),"&lt;/valeur&gt;")</f>
        <v>&lt;valeur&gt;&lt;/valeur&gt;</v>
      </c>
      <c r="K13891" s="1013"/>
    </row>
    <row r="13892" spans="1:11" s="1011" customFormat="1" ht="15" x14ac:dyDescent="0.25">
      <c r="A13892" s="859">
        <f t="shared" ref="A13892:A13955" si="306">+A13891+1</f>
        <v>13891</v>
      </c>
      <c r="B13892" s="845" t="s">
        <v>2564</v>
      </c>
      <c r="C13892" s="1007">
        <f t="shared" si="305"/>
        <v>115</v>
      </c>
      <c r="D13892" s="1014"/>
      <c r="I13892" s="1011" t="str">
        <f>CONCATENATE("&lt;numeroLigne&gt;",C13892,"&lt;/numeroLigne&gt;")</f>
        <v>&lt;numeroLigne&gt;115&lt;/numeroLigne&gt;</v>
      </c>
      <c r="K13892" s="1013"/>
    </row>
    <row r="13893" spans="1:11" s="1011" customFormat="1" ht="15" x14ac:dyDescent="0.25">
      <c r="A13893" s="859">
        <f t="shared" si="306"/>
        <v>13892</v>
      </c>
      <c r="B13893" s="845" t="s">
        <v>2564</v>
      </c>
      <c r="C13893" s="1007">
        <f t="shared" si="305"/>
        <v>115</v>
      </c>
      <c r="D13893" s="1012"/>
      <c r="H13893" s="1011" t="s">
        <v>1010</v>
      </c>
      <c r="K13893" s="1013"/>
    </row>
    <row r="13894" spans="1:11" s="1011" customFormat="1" ht="15" x14ac:dyDescent="0.25">
      <c r="A13894" s="859">
        <f t="shared" si="306"/>
        <v>13893</v>
      </c>
      <c r="B13894" s="845" t="s">
        <v>2564</v>
      </c>
      <c r="C13894" s="1007">
        <f t="shared" si="305"/>
        <v>115</v>
      </c>
      <c r="D13894" s="1015"/>
      <c r="H13894" s="1011" t="s">
        <v>1007</v>
      </c>
      <c r="K13894" s="1013"/>
    </row>
    <row r="13895" spans="1:11" s="1011" customFormat="1" ht="15" x14ac:dyDescent="0.25">
      <c r="A13895" s="859">
        <f t="shared" si="306"/>
        <v>13894</v>
      </c>
      <c r="B13895" s="845" t="s">
        <v>2564</v>
      </c>
      <c r="C13895" s="1007">
        <f t="shared" si="305"/>
        <v>115</v>
      </c>
      <c r="D13895" s="1012"/>
      <c r="I13895" s="1011" t="s">
        <v>2175</v>
      </c>
      <c r="K13895" s="1013"/>
    </row>
    <row r="13896" spans="1:11" s="1011" customFormat="1" ht="15" x14ac:dyDescent="0.25">
      <c r="A13896" s="859">
        <f t="shared" si="306"/>
        <v>13895</v>
      </c>
      <c r="B13896" s="845" t="s">
        <v>2564</v>
      </c>
      <c r="C13896" s="1007">
        <f t="shared" si="305"/>
        <v>115</v>
      </c>
      <c r="D13896" s="1012"/>
      <c r="I13896" s="1011" t="str">
        <f>CONCATENATE("&lt;valeur&gt;",VLOOKUP(C13896,'T16 Amort'!A:K,3,0),"&lt;/valeur&gt;")</f>
        <v>&lt;valeur&gt;&lt;/valeur&gt;</v>
      </c>
      <c r="K13896" s="1013"/>
    </row>
    <row r="13897" spans="1:11" s="1011" customFormat="1" ht="15" x14ac:dyDescent="0.25">
      <c r="A13897" s="859">
        <f t="shared" si="306"/>
        <v>13896</v>
      </c>
      <c r="B13897" s="845" t="s">
        <v>2564</v>
      </c>
      <c r="C13897" s="1007">
        <f t="shared" si="305"/>
        <v>115</v>
      </c>
      <c r="D13897" s="1014"/>
      <c r="I13897" s="1011" t="str">
        <f>CONCATENATE("&lt;numeroLigne&gt;",C13897,"&lt;/numeroLigne&gt;")</f>
        <v>&lt;numeroLigne&gt;115&lt;/numeroLigne&gt;</v>
      </c>
      <c r="K13897" s="1013"/>
    </row>
    <row r="13898" spans="1:11" s="1011" customFormat="1" ht="15" x14ac:dyDescent="0.25">
      <c r="A13898" s="859">
        <f t="shared" si="306"/>
        <v>13897</v>
      </c>
      <c r="B13898" s="845" t="s">
        <v>2564</v>
      </c>
      <c r="C13898" s="1007">
        <f t="shared" si="305"/>
        <v>115</v>
      </c>
      <c r="D13898" s="1014"/>
      <c r="H13898" s="1011" t="s">
        <v>1010</v>
      </c>
      <c r="K13898" s="1013"/>
    </row>
    <row r="13899" spans="1:11" s="1011" customFormat="1" ht="15" x14ac:dyDescent="0.25">
      <c r="A13899" s="859">
        <f t="shared" si="306"/>
        <v>13898</v>
      </c>
      <c r="B13899" s="845" t="s">
        <v>2564</v>
      </c>
      <c r="C13899" s="1007">
        <f t="shared" si="305"/>
        <v>115</v>
      </c>
      <c r="D13899" s="1012"/>
      <c r="H13899" s="1011" t="s">
        <v>1007</v>
      </c>
      <c r="K13899" s="1013"/>
    </row>
    <row r="13900" spans="1:11" s="1011" customFormat="1" ht="15" x14ac:dyDescent="0.25">
      <c r="A13900" s="859">
        <f t="shared" si="306"/>
        <v>13899</v>
      </c>
      <c r="B13900" s="845" t="s">
        <v>2564</v>
      </c>
      <c r="C13900" s="1007">
        <f t="shared" si="305"/>
        <v>115</v>
      </c>
      <c r="D13900" s="1015"/>
      <c r="I13900" s="1011" t="s">
        <v>2176</v>
      </c>
      <c r="K13900" s="1013"/>
    </row>
    <row r="13901" spans="1:11" s="1011" customFormat="1" ht="15" x14ac:dyDescent="0.25">
      <c r="A13901" s="859">
        <f t="shared" si="306"/>
        <v>13900</v>
      </c>
      <c r="B13901" s="845" t="s">
        <v>2564</v>
      </c>
      <c r="C13901" s="1007">
        <f t="shared" si="305"/>
        <v>115</v>
      </c>
      <c r="D13901" s="1012"/>
      <c r="I13901" s="1011" t="str">
        <f>CONCATENATE("&lt;valeur&gt;",VLOOKUP(C13901,'T16 Amort'!A:K,4,0),"&lt;/valeur&gt;")</f>
        <v>&lt;valeur&gt;&lt;/valeur&gt;</v>
      </c>
      <c r="K13901" s="1013"/>
    </row>
    <row r="13902" spans="1:11" s="1011" customFormat="1" ht="15" x14ac:dyDescent="0.25">
      <c r="A13902" s="859">
        <f t="shared" si="306"/>
        <v>13901</v>
      </c>
      <c r="B13902" s="845" t="s">
        <v>2564</v>
      </c>
      <c r="C13902" s="1007">
        <f t="shared" si="305"/>
        <v>115</v>
      </c>
      <c r="D13902" s="1012"/>
      <c r="I13902" s="1011" t="str">
        <f>CONCATENATE("&lt;numeroLigne&gt;",C13902,"&lt;/numeroLigne&gt;")</f>
        <v>&lt;numeroLigne&gt;115&lt;/numeroLigne&gt;</v>
      </c>
      <c r="K13902" s="1013"/>
    </row>
    <row r="13903" spans="1:11" s="1011" customFormat="1" ht="15" x14ac:dyDescent="0.25">
      <c r="A13903" s="859">
        <f t="shared" si="306"/>
        <v>13902</v>
      </c>
      <c r="B13903" s="845" t="s">
        <v>2564</v>
      </c>
      <c r="C13903" s="1007">
        <f t="shared" si="305"/>
        <v>115</v>
      </c>
      <c r="D13903" s="1014"/>
      <c r="H13903" s="1011" t="s">
        <v>1010</v>
      </c>
      <c r="K13903" s="1013"/>
    </row>
    <row r="13904" spans="1:11" s="1011" customFormat="1" ht="15" x14ac:dyDescent="0.25">
      <c r="A13904" s="859">
        <f t="shared" si="306"/>
        <v>13903</v>
      </c>
      <c r="B13904" s="845" t="s">
        <v>2564</v>
      </c>
      <c r="C13904" s="1007">
        <f t="shared" si="305"/>
        <v>115</v>
      </c>
      <c r="D13904" s="1014"/>
      <c r="H13904" s="1011" t="s">
        <v>1007</v>
      </c>
      <c r="K13904" s="1013"/>
    </row>
    <row r="13905" spans="1:11" s="1011" customFormat="1" ht="15" x14ac:dyDescent="0.25">
      <c r="A13905" s="859">
        <f t="shared" si="306"/>
        <v>13904</v>
      </c>
      <c r="B13905" s="845" t="s">
        <v>2564</v>
      </c>
      <c r="C13905" s="1007">
        <f t="shared" si="305"/>
        <v>115</v>
      </c>
      <c r="D13905" s="1012"/>
      <c r="I13905" s="1011" t="s">
        <v>2177</v>
      </c>
      <c r="K13905" s="1013"/>
    </row>
    <row r="13906" spans="1:11" s="1011" customFormat="1" ht="15" x14ac:dyDescent="0.25">
      <c r="A13906" s="859">
        <f t="shared" si="306"/>
        <v>13905</v>
      </c>
      <c r="B13906" s="845" t="s">
        <v>2564</v>
      </c>
      <c r="C13906" s="1007">
        <f t="shared" si="305"/>
        <v>115</v>
      </c>
      <c r="D13906" s="1015"/>
      <c r="I13906" s="1011" t="str">
        <f>CONCATENATE("&lt;valeur&gt;",VLOOKUP(C13906,'T16 Amort'!A:K,5,0),"&lt;/valeur&gt;")</f>
        <v>&lt;valeur&gt;&lt;/valeur&gt;</v>
      </c>
      <c r="K13906" s="1013"/>
    </row>
    <row r="13907" spans="1:11" s="1011" customFormat="1" ht="15" x14ac:dyDescent="0.25">
      <c r="A13907" s="859">
        <f t="shared" si="306"/>
        <v>13906</v>
      </c>
      <c r="B13907" s="845" t="s">
        <v>2564</v>
      </c>
      <c r="C13907" s="1007">
        <f t="shared" si="305"/>
        <v>115</v>
      </c>
      <c r="D13907" s="1012"/>
      <c r="I13907" s="1011" t="str">
        <f>CONCATENATE("&lt;numeroLigne&gt;",C13907,"&lt;/numeroLigne&gt;")</f>
        <v>&lt;numeroLigne&gt;115&lt;/numeroLigne&gt;</v>
      </c>
      <c r="K13907" s="1013"/>
    </row>
    <row r="13908" spans="1:11" s="1011" customFormat="1" ht="15" x14ac:dyDescent="0.25">
      <c r="A13908" s="859">
        <f t="shared" si="306"/>
        <v>13907</v>
      </c>
      <c r="B13908" s="845" t="s">
        <v>2564</v>
      </c>
      <c r="C13908" s="1007">
        <f t="shared" si="305"/>
        <v>115</v>
      </c>
      <c r="D13908" s="1012"/>
      <c r="H13908" s="1011" t="s">
        <v>1010</v>
      </c>
      <c r="K13908" s="1013"/>
    </row>
    <row r="13909" spans="1:11" s="1011" customFormat="1" ht="15" x14ac:dyDescent="0.25">
      <c r="A13909" s="859">
        <f t="shared" si="306"/>
        <v>13908</v>
      </c>
      <c r="B13909" s="845" t="s">
        <v>2564</v>
      </c>
      <c r="C13909" s="1007">
        <f t="shared" si="305"/>
        <v>115</v>
      </c>
      <c r="D13909" s="1014"/>
      <c r="H13909" s="1011" t="s">
        <v>1007</v>
      </c>
      <c r="K13909" s="1013"/>
    </row>
    <row r="13910" spans="1:11" s="1011" customFormat="1" ht="15" x14ac:dyDescent="0.25">
      <c r="A13910" s="859">
        <f t="shared" si="306"/>
        <v>13909</v>
      </c>
      <c r="B13910" s="845" t="s">
        <v>2564</v>
      </c>
      <c r="C13910" s="1007">
        <f t="shared" si="305"/>
        <v>115</v>
      </c>
      <c r="D13910" s="1014"/>
      <c r="I13910" s="1011" t="s">
        <v>2178</v>
      </c>
      <c r="K13910" s="1013"/>
    </row>
    <row r="13911" spans="1:11" s="1011" customFormat="1" ht="15" x14ac:dyDescent="0.25">
      <c r="A13911" s="859">
        <f t="shared" si="306"/>
        <v>13910</v>
      </c>
      <c r="B13911" s="845" t="s">
        <v>2564</v>
      </c>
      <c r="C13911" s="1007">
        <f t="shared" si="305"/>
        <v>115</v>
      </c>
      <c r="D13911" s="1012"/>
      <c r="I13911" s="1011" t="str">
        <f>CONCATENATE("&lt;valeur&gt;",VLOOKUP(C13911,'T16 Amort'!A:K,6,0),"&lt;/valeur&gt;")</f>
        <v>&lt;valeur&gt;&lt;/valeur&gt;</v>
      </c>
      <c r="K13911" s="1013"/>
    </row>
    <row r="13912" spans="1:11" s="1011" customFormat="1" ht="15" x14ac:dyDescent="0.25">
      <c r="A13912" s="859">
        <f t="shared" si="306"/>
        <v>13911</v>
      </c>
      <c r="B13912" s="845" t="s">
        <v>2564</v>
      </c>
      <c r="C13912" s="1007">
        <f t="shared" si="305"/>
        <v>115</v>
      </c>
      <c r="D13912" s="1015"/>
      <c r="I13912" s="1011" t="str">
        <f>CONCATENATE("&lt;numeroLigne&gt;",C13912,"&lt;/numeroLigne&gt;")</f>
        <v>&lt;numeroLigne&gt;115&lt;/numeroLigne&gt;</v>
      </c>
      <c r="K13912" s="1013"/>
    </row>
    <row r="13913" spans="1:11" s="1011" customFormat="1" ht="15" x14ac:dyDescent="0.25">
      <c r="A13913" s="859">
        <f t="shared" si="306"/>
        <v>13912</v>
      </c>
      <c r="B13913" s="845" t="s">
        <v>2564</v>
      </c>
      <c r="C13913" s="1007">
        <f t="shared" si="305"/>
        <v>115</v>
      </c>
      <c r="D13913" s="1012"/>
      <c r="H13913" s="1011" t="s">
        <v>1010</v>
      </c>
      <c r="K13913" s="1013"/>
    </row>
    <row r="13914" spans="1:11" s="1011" customFormat="1" ht="15" x14ac:dyDescent="0.25">
      <c r="A13914" s="859">
        <f t="shared" si="306"/>
        <v>13913</v>
      </c>
      <c r="B13914" s="845" t="s">
        <v>2564</v>
      </c>
      <c r="C13914" s="1007">
        <f t="shared" si="305"/>
        <v>115</v>
      </c>
      <c r="D13914" s="1012"/>
      <c r="H13914" s="1011" t="s">
        <v>1007</v>
      </c>
      <c r="K13914" s="1013"/>
    </row>
    <row r="13915" spans="1:11" s="1011" customFormat="1" ht="15" x14ac:dyDescent="0.25">
      <c r="A13915" s="859">
        <f t="shared" si="306"/>
        <v>13914</v>
      </c>
      <c r="B13915" s="845" t="s">
        <v>2564</v>
      </c>
      <c r="C13915" s="1007">
        <f t="shared" si="305"/>
        <v>115</v>
      </c>
      <c r="D13915" s="1014"/>
      <c r="I13915" s="1011" t="s">
        <v>2179</v>
      </c>
      <c r="K13915" s="1013"/>
    </row>
    <row r="13916" spans="1:11" s="1011" customFormat="1" ht="15" x14ac:dyDescent="0.25">
      <c r="A13916" s="859">
        <f t="shared" si="306"/>
        <v>13915</v>
      </c>
      <c r="B13916" s="845" t="s">
        <v>2564</v>
      </c>
      <c r="C13916" s="1007">
        <f t="shared" si="305"/>
        <v>115</v>
      </c>
      <c r="D13916" s="1014"/>
      <c r="I13916" s="1011" t="str">
        <f>CONCATENATE("&lt;valeur&gt;",VLOOKUP(C13916,'T16 Amort'!A:K,7,0),"&lt;/valeur&gt;")</f>
        <v>&lt;valeur&gt;&lt;/valeur&gt;</v>
      </c>
      <c r="K13916" s="1013"/>
    </row>
    <row r="13917" spans="1:11" s="1011" customFormat="1" ht="15" x14ac:dyDescent="0.25">
      <c r="A13917" s="859">
        <f t="shared" si="306"/>
        <v>13916</v>
      </c>
      <c r="B13917" s="845" t="s">
        <v>2564</v>
      </c>
      <c r="C13917" s="1007">
        <f t="shared" si="305"/>
        <v>115</v>
      </c>
      <c r="D13917" s="1012"/>
      <c r="I13917" s="1011" t="str">
        <f>CONCATENATE("&lt;numeroLigne&gt;",C13917,"&lt;/numeroLigne&gt;")</f>
        <v>&lt;numeroLigne&gt;115&lt;/numeroLigne&gt;</v>
      </c>
      <c r="K13917" s="1013"/>
    </row>
    <row r="13918" spans="1:11" s="1011" customFormat="1" ht="15" x14ac:dyDescent="0.25">
      <c r="A13918" s="859">
        <f t="shared" si="306"/>
        <v>13917</v>
      </c>
      <c r="B13918" s="845" t="s">
        <v>2564</v>
      </c>
      <c r="C13918" s="1007">
        <f t="shared" si="305"/>
        <v>115</v>
      </c>
      <c r="D13918" s="1015"/>
      <c r="H13918" s="1011" t="s">
        <v>1010</v>
      </c>
      <c r="K13918" s="1013"/>
    </row>
    <row r="13919" spans="1:11" s="1011" customFormat="1" ht="15" x14ac:dyDescent="0.25">
      <c r="A13919" s="859">
        <f t="shared" si="306"/>
        <v>13918</v>
      </c>
      <c r="B13919" s="845" t="s">
        <v>2564</v>
      </c>
      <c r="C13919" s="1007">
        <f t="shared" si="305"/>
        <v>115</v>
      </c>
      <c r="D13919" s="1012"/>
      <c r="H13919" s="1011" t="s">
        <v>1007</v>
      </c>
      <c r="K13919" s="1013"/>
    </row>
    <row r="13920" spans="1:11" s="1011" customFormat="1" ht="15" x14ac:dyDescent="0.25">
      <c r="A13920" s="859">
        <f t="shared" si="306"/>
        <v>13919</v>
      </c>
      <c r="B13920" s="845" t="s">
        <v>2564</v>
      </c>
      <c r="C13920" s="1007">
        <f t="shared" si="305"/>
        <v>115</v>
      </c>
      <c r="D13920" s="1012"/>
      <c r="I13920" s="1011" t="s">
        <v>2180</v>
      </c>
      <c r="K13920" s="1013"/>
    </row>
    <row r="13921" spans="1:11" s="1011" customFormat="1" ht="15" x14ac:dyDescent="0.25">
      <c r="A13921" s="859">
        <f t="shared" si="306"/>
        <v>13920</v>
      </c>
      <c r="B13921" s="845" t="s">
        <v>2564</v>
      </c>
      <c r="C13921" s="1007">
        <f t="shared" si="305"/>
        <v>115</v>
      </c>
      <c r="D13921" s="1014"/>
      <c r="I13921" s="1011" t="str">
        <f>CONCATENATE("&lt;valeur&gt;",VLOOKUP(C13921,'T16 Amort'!A:K,8,0),"&lt;/valeur&gt;")</f>
        <v>&lt;valeur&gt;&lt;/valeur&gt;</v>
      </c>
      <c r="K13921" s="1013"/>
    </row>
    <row r="13922" spans="1:11" s="1011" customFormat="1" ht="15" x14ac:dyDescent="0.25">
      <c r="A13922" s="859">
        <f t="shared" si="306"/>
        <v>13921</v>
      </c>
      <c r="B13922" s="845" t="s">
        <v>2564</v>
      </c>
      <c r="C13922" s="1007">
        <f t="shared" si="305"/>
        <v>115</v>
      </c>
      <c r="D13922" s="1014"/>
      <c r="I13922" s="1011" t="str">
        <f>CONCATENATE("&lt;numeroLigne&gt;",C13922,"&lt;/numeroLigne&gt;")</f>
        <v>&lt;numeroLigne&gt;115&lt;/numeroLigne&gt;</v>
      </c>
      <c r="K13922" s="1013"/>
    </row>
    <row r="13923" spans="1:11" s="1011" customFormat="1" ht="15" x14ac:dyDescent="0.25">
      <c r="A13923" s="859">
        <f t="shared" si="306"/>
        <v>13922</v>
      </c>
      <c r="B13923" s="845" t="s">
        <v>2564</v>
      </c>
      <c r="C13923" s="1007">
        <f t="shared" si="305"/>
        <v>115</v>
      </c>
      <c r="D13923" s="1012"/>
      <c r="H13923" s="1011" t="s">
        <v>1010</v>
      </c>
      <c r="K13923" s="1013"/>
    </row>
    <row r="13924" spans="1:11" s="1011" customFormat="1" ht="15" x14ac:dyDescent="0.25">
      <c r="A13924" s="859">
        <f t="shared" si="306"/>
        <v>13923</v>
      </c>
      <c r="B13924" s="845" t="s">
        <v>2564</v>
      </c>
      <c r="C13924" s="1007">
        <f t="shared" si="305"/>
        <v>115</v>
      </c>
      <c r="D13924" s="1015"/>
      <c r="H13924" s="1011" t="s">
        <v>1007</v>
      </c>
      <c r="K13924" s="1013"/>
    </row>
    <row r="13925" spans="1:11" s="1011" customFormat="1" ht="15" x14ac:dyDescent="0.25">
      <c r="A13925" s="859">
        <f t="shared" si="306"/>
        <v>13924</v>
      </c>
      <c r="B13925" s="845" t="s">
        <v>2564</v>
      </c>
      <c r="C13925" s="1007">
        <f t="shared" si="305"/>
        <v>115</v>
      </c>
      <c r="D13925" s="1012"/>
      <c r="I13925" s="1011" t="s">
        <v>2181</v>
      </c>
      <c r="K13925" s="1013"/>
    </row>
    <row r="13926" spans="1:11" s="1011" customFormat="1" ht="15" x14ac:dyDescent="0.25">
      <c r="A13926" s="859">
        <f t="shared" si="306"/>
        <v>13925</v>
      </c>
      <c r="B13926" s="845" t="s">
        <v>2564</v>
      </c>
      <c r="C13926" s="1007">
        <f t="shared" si="305"/>
        <v>115</v>
      </c>
      <c r="D13926" s="1012"/>
      <c r="I13926" s="1011" t="str">
        <f>CONCATENATE("&lt;valeur&gt;",VLOOKUP(C13926,'T16 Amort'!A:K,9,0),"&lt;/valeur&gt;")</f>
        <v>&lt;valeur&gt;&lt;/valeur&gt;</v>
      </c>
      <c r="K13926" s="1013"/>
    </row>
    <row r="13927" spans="1:11" s="1011" customFormat="1" ht="15" x14ac:dyDescent="0.25">
      <c r="A13927" s="859">
        <f t="shared" si="306"/>
        <v>13926</v>
      </c>
      <c r="B13927" s="845" t="s">
        <v>2564</v>
      </c>
      <c r="C13927" s="1007">
        <f t="shared" si="305"/>
        <v>115</v>
      </c>
      <c r="D13927" s="1014"/>
      <c r="I13927" s="1011" t="str">
        <f>CONCATENATE("&lt;numeroLigne&gt;",C13927,"&lt;/numeroLigne&gt;")</f>
        <v>&lt;numeroLigne&gt;115&lt;/numeroLigne&gt;</v>
      </c>
      <c r="K13927" s="1013"/>
    </row>
    <row r="13928" spans="1:11" s="1011" customFormat="1" ht="15" x14ac:dyDescent="0.25">
      <c r="A13928" s="859">
        <f t="shared" si="306"/>
        <v>13927</v>
      </c>
      <c r="B13928" s="845" t="s">
        <v>2564</v>
      </c>
      <c r="C13928" s="1007">
        <f t="shared" si="305"/>
        <v>115</v>
      </c>
      <c r="D13928" s="1014"/>
      <c r="H13928" s="1011" t="s">
        <v>1010</v>
      </c>
      <c r="K13928" s="1013"/>
    </row>
    <row r="13929" spans="1:11" s="1011" customFormat="1" ht="15" x14ac:dyDescent="0.25">
      <c r="A13929" s="859">
        <f t="shared" si="306"/>
        <v>13928</v>
      </c>
      <c r="B13929" s="845" t="s">
        <v>2564</v>
      </c>
      <c r="C13929" s="1007">
        <f t="shared" si="305"/>
        <v>115</v>
      </c>
      <c r="D13929" s="1012"/>
      <c r="H13929" s="1011" t="s">
        <v>1007</v>
      </c>
      <c r="K13929" s="1013"/>
    </row>
    <row r="13930" spans="1:11" s="1011" customFormat="1" ht="15" x14ac:dyDescent="0.25">
      <c r="A13930" s="859">
        <f t="shared" si="306"/>
        <v>13929</v>
      </c>
      <c r="B13930" s="845" t="s">
        <v>2564</v>
      </c>
      <c r="C13930" s="1007">
        <f t="shared" si="305"/>
        <v>115</v>
      </c>
      <c r="D13930" s="1015"/>
      <c r="I13930" s="1011" t="s">
        <v>2182</v>
      </c>
      <c r="K13930" s="1013"/>
    </row>
    <row r="13931" spans="1:11" s="1011" customFormat="1" ht="15" x14ac:dyDescent="0.25">
      <c r="A13931" s="859">
        <f t="shared" si="306"/>
        <v>13930</v>
      </c>
      <c r="B13931" s="845" t="s">
        <v>2564</v>
      </c>
      <c r="C13931" s="1007">
        <f t="shared" si="305"/>
        <v>115</v>
      </c>
      <c r="D13931" s="1012"/>
      <c r="I13931" s="1011" t="str">
        <f>CONCATENATE("&lt;valeur&gt;",VLOOKUP(C13931,'T16 Amort'!A:K,10,0),"&lt;/valeur&gt;")</f>
        <v>&lt;valeur&gt;&lt;/valeur&gt;</v>
      </c>
      <c r="K13931" s="1013"/>
    </row>
    <row r="13932" spans="1:11" s="1011" customFormat="1" ht="15" x14ac:dyDescent="0.25">
      <c r="A13932" s="859">
        <f t="shared" si="306"/>
        <v>13931</v>
      </c>
      <c r="B13932" s="845" t="s">
        <v>2564</v>
      </c>
      <c r="C13932" s="1007">
        <f t="shared" si="305"/>
        <v>115</v>
      </c>
      <c r="D13932" s="1012"/>
      <c r="I13932" s="1011" t="str">
        <f>CONCATENATE("&lt;numeroLigne&gt;",C13932,"&lt;/numeroLigne&gt;")</f>
        <v>&lt;numeroLigne&gt;115&lt;/numeroLigne&gt;</v>
      </c>
      <c r="K13932" s="1013"/>
    </row>
    <row r="13933" spans="1:11" s="1011" customFormat="1" ht="15" x14ac:dyDescent="0.25">
      <c r="A13933" s="859">
        <f t="shared" si="306"/>
        <v>13932</v>
      </c>
      <c r="B13933" s="845" t="s">
        <v>2564</v>
      </c>
      <c r="C13933" s="1007">
        <f t="shared" si="305"/>
        <v>115</v>
      </c>
      <c r="D13933" s="1014"/>
      <c r="H13933" s="1011" t="s">
        <v>1010</v>
      </c>
      <c r="K13933" s="1013"/>
    </row>
    <row r="13934" spans="1:11" s="1011" customFormat="1" ht="15" x14ac:dyDescent="0.25">
      <c r="A13934" s="859">
        <f t="shared" si="306"/>
        <v>13933</v>
      </c>
      <c r="B13934" s="845" t="s">
        <v>2564</v>
      </c>
      <c r="C13934" s="1007">
        <f t="shared" si="305"/>
        <v>115</v>
      </c>
      <c r="D13934" s="1014"/>
      <c r="H13934" s="1011" t="s">
        <v>1007</v>
      </c>
      <c r="K13934" s="1013"/>
    </row>
    <row r="13935" spans="1:11" s="1011" customFormat="1" ht="15" x14ac:dyDescent="0.25">
      <c r="A13935" s="859">
        <f t="shared" si="306"/>
        <v>13934</v>
      </c>
      <c r="B13935" s="845" t="s">
        <v>2564</v>
      </c>
      <c r="C13935" s="1007">
        <f t="shared" ref="C13935:C13998" si="307">C13885+1</f>
        <v>115</v>
      </c>
      <c r="D13935" s="1012"/>
      <c r="I13935" s="1011" t="s">
        <v>2183</v>
      </c>
      <c r="K13935" s="1013"/>
    </row>
    <row r="13936" spans="1:11" s="1011" customFormat="1" ht="15" x14ac:dyDescent="0.25">
      <c r="A13936" s="859">
        <f t="shared" si="306"/>
        <v>13935</v>
      </c>
      <c r="B13936" s="845" t="s">
        <v>2564</v>
      </c>
      <c r="C13936" s="1007">
        <f t="shared" si="307"/>
        <v>115</v>
      </c>
      <c r="D13936" s="1015"/>
      <c r="I13936" s="1011" t="str">
        <f>CONCATENATE("&lt;valeur&gt;",VLOOKUP(C13936,'T16 Amort'!A:K,11,0),"&lt;/valeur&gt;")</f>
        <v>&lt;valeur&gt;&lt;/valeur&gt;</v>
      </c>
      <c r="K13936" s="1013"/>
    </row>
    <row r="13937" spans="1:11" s="1011" customFormat="1" ht="15" x14ac:dyDescent="0.25">
      <c r="A13937" s="859">
        <f t="shared" si="306"/>
        <v>13936</v>
      </c>
      <c r="B13937" s="845" t="s">
        <v>2564</v>
      </c>
      <c r="C13937" s="1007">
        <f t="shared" si="307"/>
        <v>115</v>
      </c>
      <c r="D13937" s="1012"/>
      <c r="I13937" s="1011" t="str">
        <f>CONCATENATE("&lt;numeroLigne&gt;",C13937,"&lt;/numeroLigne&gt;")</f>
        <v>&lt;numeroLigne&gt;115&lt;/numeroLigne&gt;</v>
      </c>
      <c r="K13937" s="1013"/>
    </row>
    <row r="13938" spans="1:11" s="1011" customFormat="1" ht="15" x14ac:dyDescent="0.25">
      <c r="A13938" s="859">
        <f t="shared" si="306"/>
        <v>13937</v>
      </c>
      <c r="B13938" s="845" t="s">
        <v>2564</v>
      </c>
      <c r="C13938" s="1007">
        <f t="shared" si="307"/>
        <v>115</v>
      </c>
      <c r="D13938" s="1016"/>
      <c r="E13938" s="1017"/>
      <c r="F13938" s="1017"/>
      <c r="G13938" s="1017"/>
      <c r="H13938" s="1017" t="s">
        <v>1010</v>
      </c>
      <c r="I13938" s="1017"/>
      <c r="J13938" s="1017"/>
      <c r="K13938" s="1018"/>
    </row>
    <row r="13939" spans="1:11" s="1011" customFormat="1" ht="15" x14ac:dyDescent="0.25">
      <c r="A13939" s="859">
        <f t="shared" si="306"/>
        <v>13938</v>
      </c>
      <c r="B13939" s="845" t="s">
        <v>2564</v>
      </c>
      <c r="C13939" s="1007">
        <f t="shared" si="307"/>
        <v>116</v>
      </c>
      <c r="D13939" s="1008"/>
      <c r="E13939" s="1009"/>
      <c r="F13939" s="1009"/>
      <c r="G13939" s="1009"/>
      <c r="H13939" s="1009" t="s">
        <v>1007</v>
      </c>
      <c r="I13939" s="1009"/>
      <c r="J13939" s="1009"/>
      <c r="K13939" s="1010"/>
    </row>
    <row r="13940" spans="1:11" s="1011" customFormat="1" ht="15" x14ac:dyDescent="0.25">
      <c r="A13940" s="859">
        <f t="shared" si="306"/>
        <v>13939</v>
      </c>
      <c r="B13940" s="845" t="s">
        <v>2564</v>
      </c>
      <c r="C13940" s="1007">
        <f t="shared" si="307"/>
        <v>116</v>
      </c>
      <c r="D13940" s="1012"/>
      <c r="I13940" s="1011" t="s">
        <v>2174</v>
      </c>
      <c r="K13940" s="1013"/>
    </row>
    <row r="13941" spans="1:11" s="1011" customFormat="1" ht="15" x14ac:dyDescent="0.25">
      <c r="A13941" s="859">
        <f t="shared" si="306"/>
        <v>13940</v>
      </c>
      <c r="B13941" s="845" t="s">
        <v>2564</v>
      </c>
      <c r="C13941" s="1007">
        <f t="shared" si="307"/>
        <v>116</v>
      </c>
      <c r="D13941" s="1014"/>
      <c r="I13941" s="1011" t="str">
        <f>CONCATENATE("&lt;valeur&gt;",VLOOKUP(C13941,'T16 Amort'!A:K,2,0),"&lt;/valeur&gt;")</f>
        <v>&lt;valeur&gt;&lt;/valeur&gt;</v>
      </c>
      <c r="K13941" s="1013"/>
    </row>
    <row r="13942" spans="1:11" s="1011" customFormat="1" ht="15" x14ac:dyDescent="0.25">
      <c r="A13942" s="859">
        <f t="shared" si="306"/>
        <v>13941</v>
      </c>
      <c r="B13942" s="845" t="s">
        <v>2564</v>
      </c>
      <c r="C13942" s="1007">
        <f t="shared" si="307"/>
        <v>116</v>
      </c>
      <c r="D13942" s="1014"/>
      <c r="I13942" s="1011" t="str">
        <f>CONCATENATE("&lt;numeroLigne&gt;",C13942,"&lt;/numeroLigne&gt;")</f>
        <v>&lt;numeroLigne&gt;116&lt;/numeroLigne&gt;</v>
      </c>
      <c r="K13942" s="1013"/>
    </row>
    <row r="13943" spans="1:11" s="1011" customFormat="1" ht="15" x14ac:dyDescent="0.25">
      <c r="A13943" s="859">
        <f t="shared" si="306"/>
        <v>13942</v>
      </c>
      <c r="B13943" s="845" t="s">
        <v>2564</v>
      </c>
      <c r="C13943" s="1007">
        <f t="shared" si="307"/>
        <v>116</v>
      </c>
      <c r="D13943" s="1012"/>
      <c r="H13943" s="1011" t="s">
        <v>1010</v>
      </c>
      <c r="K13943" s="1013"/>
    </row>
    <row r="13944" spans="1:11" s="1011" customFormat="1" ht="15" x14ac:dyDescent="0.25">
      <c r="A13944" s="859">
        <f t="shared" si="306"/>
        <v>13943</v>
      </c>
      <c r="B13944" s="845" t="s">
        <v>2564</v>
      </c>
      <c r="C13944" s="1007">
        <f t="shared" si="307"/>
        <v>116</v>
      </c>
      <c r="D13944" s="1015"/>
      <c r="H13944" s="1011" t="s">
        <v>1007</v>
      </c>
      <c r="K13944" s="1013"/>
    </row>
    <row r="13945" spans="1:11" s="1011" customFormat="1" ht="15" x14ac:dyDescent="0.25">
      <c r="A13945" s="859">
        <f t="shared" si="306"/>
        <v>13944</v>
      </c>
      <c r="B13945" s="845" t="s">
        <v>2564</v>
      </c>
      <c r="C13945" s="1007">
        <f t="shared" si="307"/>
        <v>116</v>
      </c>
      <c r="D13945" s="1012"/>
      <c r="I13945" s="1011" t="s">
        <v>2175</v>
      </c>
      <c r="K13945" s="1013"/>
    </row>
    <row r="13946" spans="1:11" s="1011" customFormat="1" ht="15" x14ac:dyDescent="0.25">
      <c r="A13946" s="859">
        <f t="shared" si="306"/>
        <v>13945</v>
      </c>
      <c r="B13946" s="845" t="s">
        <v>2564</v>
      </c>
      <c r="C13946" s="1007">
        <f t="shared" si="307"/>
        <v>116</v>
      </c>
      <c r="D13946" s="1012"/>
      <c r="I13946" s="1011" t="str">
        <f>CONCATENATE("&lt;valeur&gt;",VLOOKUP(C13946,'T16 Amort'!A:K,3,0),"&lt;/valeur&gt;")</f>
        <v>&lt;valeur&gt;&lt;/valeur&gt;</v>
      </c>
      <c r="K13946" s="1013"/>
    </row>
    <row r="13947" spans="1:11" s="1011" customFormat="1" ht="15" x14ac:dyDescent="0.25">
      <c r="A13947" s="859">
        <f t="shared" si="306"/>
        <v>13946</v>
      </c>
      <c r="B13947" s="845" t="s">
        <v>2564</v>
      </c>
      <c r="C13947" s="1007">
        <f t="shared" si="307"/>
        <v>116</v>
      </c>
      <c r="D13947" s="1014"/>
      <c r="I13947" s="1011" t="str">
        <f>CONCATENATE("&lt;numeroLigne&gt;",C13947,"&lt;/numeroLigne&gt;")</f>
        <v>&lt;numeroLigne&gt;116&lt;/numeroLigne&gt;</v>
      </c>
      <c r="K13947" s="1013"/>
    </row>
    <row r="13948" spans="1:11" s="1011" customFormat="1" ht="15" x14ac:dyDescent="0.25">
      <c r="A13948" s="859">
        <f t="shared" si="306"/>
        <v>13947</v>
      </c>
      <c r="B13948" s="845" t="s">
        <v>2564</v>
      </c>
      <c r="C13948" s="1007">
        <f t="shared" si="307"/>
        <v>116</v>
      </c>
      <c r="D13948" s="1014"/>
      <c r="H13948" s="1011" t="s">
        <v>1010</v>
      </c>
      <c r="K13948" s="1013"/>
    </row>
    <row r="13949" spans="1:11" s="1011" customFormat="1" ht="15" x14ac:dyDescent="0.25">
      <c r="A13949" s="859">
        <f t="shared" si="306"/>
        <v>13948</v>
      </c>
      <c r="B13949" s="845" t="s">
        <v>2564</v>
      </c>
      <c r="C13949" s="1007">
        <f t="shared" si="307"/>
        <v>116</v>
      </c>
      <c r="D13949" s="1012"/>
      <c r="H13949" s="1011" t="s">
        <v>1007</v>
      </c>
      <c r="K13949" s="1013"/>
    </row>
    <row r="13950" spans="1:11" s="1011" customFormat="1" ht="15" x14ac:dyDescent="0.25">
      <c r="A13950" s="859">
        <f t="shared" si="306"/>
        <v>13949</v>
      </c>
      <c r="B13950" s="845" t="s">
        <v>2564</v>
      </c>
      <c r="C13950" s="1007">
        <f t="shared" si="307"/>
        <v>116</v>
      </c>
      <c r="D13950" s="1015"/>
      <c r="I13950" s="1011" t="s">
        <v>2176</v>
      </c>
      <c r="K13950" s="1013"/>
    </row>
    <row r="13951" spans="1:11" s="1011" customFormat="1" ht="15" x14ac:dyDescent="0.25">
      <c r="A13951" s="859">
        <f t="shared" si="306"/>
        <v>13950</v>
      </c>
      <c r="B13951" s="845" t="s">
        <v>2564</v>
      </c>
      <c r="C13951" s="1007">
        <f t="shared" si="307"/>
        <v>116</v>
      </c>
      <c r="D13951" s="1012"/>
      <c r="I13951" s="1011" t="str">
        <f>CONCATENATE("&lt;valeur&gt;",VLOOKUP(C13951,'T16 Amort'!A:K,4,0),"&lt;/valeur&gt;")</f>
        <v>&lt;valeur&gt;&lt;/valeur&gt;</v>
      </c>
      <c r="K13951" s="1013"/>
    </row>
    <row r="13952" spans="1:11" s="1011" customFormat="1" ht="15" x14ac:dyDescent="0.25">
      <c r="A13952" s="859">
        <f t="shared" si="306"/>
        <v>13951</v>
      </c>
      <c r="B13952" s="845" t="s">
        <v>2564</v>
      </c>
      <c r="C13952" s="1007">
        <f t="shared" si="307"/>
        <v>116</v>
      </c>
      <c r="D13952" s="1012"/>
      <c r="I13952" s="1011" t="str">
        <f>CONCATENATE("&lt;numeroLigne&gt;",C13952,"&lt;/numeroLigne&gt;")</f>
        <v>&lt;numeroLigne&gt;116&lt;/numeroLigne&gt;</v>
      </c>
      <c r="K13952" s="1013"/>
    </row>
    <row r="13953" spans="1:11" s="1011" customFormat="1" ht="15" x14ac:dyDescent="0.25">
      <c r="A13953" s="859">
        <f t="shared" si="306"/>
        <v>13952</v>
      </c>
      <c r="B13953" s="845" t="s">
        <v>2564</v>
      </c>
      <c r="C13953" s="1007">
        <f t="shared" si="307"/>
        <v>116</v>
      </c>
      <c r="D13953" s="1014"/>
      <c r="H13953" s="1011" t="s">
        <v>1010</v>
      </c>
      <c r="K13953" s="1013"/>
    </row>
    <row r="13954" spans="1:11" s="1011" customFormat="1" ht="15" x14ac:dyDescent="0.25">
      <c r="A13954" s="859">
        <f t="shared" si="306"/>
        <v>13953</v>
      </c>
      <c r="B13954" s="845" t="s">
        <v>2564</v>
      </c>
      <c r="C13954" s="1007">
        <f t="shared" si="307"/>
        <v>116</v>
      </c>
      <c r="D13954" s="1014"/>
      <c r="H13954" s="1011" t="s">
        <v>1007</v>
      </c>
      <c r="K13954" s="1013"/>
    </row>
    <row r="13955" spans="1:11" s="1011" customFormat="1" ht="15" x14ac:dyDescent="0.25">
      <c r="A13955" s="859">
        <f t="shared" si="306"/>
        <v>13954</v>
      </c>
      <c r="B13955" s="845" t="s">
        <v>2564</v>
      </c>
      <c r="C13955" s="1007">
        <f t="shared" si="307"/>
        <v>116</v>
      </c>
      <c r="D13955" s="1012"/>
      <c r="I13955" s="1011" t="s">
        <v>2177</v>
      </c>
      <c r="K13955" s="1013"/>
    </row>
    <row r="13956" spans="1:11" s="1011" customFormat="1" ht="15" x14ac:dyDescent="0.25">
      <c r="A13956" s="859">
        <f t="shared" ref="A13956:A14019" si="308">+A13955+1</f>
        <v>13955</v>
      </c>
      <c r="B13956" s="845" t="s">
        <v>2564</v>
      </c>
      <c r="C13956" s="1007">
        <f t="shared" si="307"/>
        <v>116</v>
      </c>
      <c r="D13956" s="1015"/>
      <c r="I13956" s="1011" t="str">
        <f>CONCATENATE("&lt;valeur&gt;",VLOOKUP(C13956,'T16 Amort'!A:K,5,0),"&lt;/valeur&gt;")</f>
        <v>&lt;valeur&gt;&lt;/valeur&gt;</v>
      </c>
      <c r="K13956" s="1013"/>
    </row>
    <row r="13957" spans="1:11" s="1011" customFormat="1" ht="15" x14ac:dyDescent="0.25">
      <c r="A13957" s="859">
        <f t="shared" si="308"/>
        <v>13956</v>
      </c>
      <c r="B13957" s="845" t="s">
        <v>2564</v>
      </c>
      <c r="C13957" s="1007">
        <f t="shared" si="307"/>
        <v>116</v>
      </c>
      <c r="D13957" s="1012"/>
      <c r="I13957" s="1011" t="str">
        <f>CONCATENATE("&lt;numeroLigne&gt;",C13957,"&lt;/numeroLigne&gt;")</f>
        <v>&lt;numeroLigne&gt;116&lt;/numeroLigne&gt;</v>
      </c>
      <c r="K13957" s="1013"/>
    </row>
    <row r="13958" spans="1:11" s="1011" customFormat="1" ht="15" x14ac:dyDescent="0.25">
      <c r="A13958" s="859">
        <f t="shared" si="308"/>
        <v>13957</v>
      </c>
      <c r="B13958" s="845" t="s">
        <v>2564</v>
      </c>
      <c r="C13958" s="1007">
        <f t="shared" si="307"/>
        <v>116</v>
      </c>
      <c r="D13958" s="1012"/>
      <c r="H13958" s="1011" t="s">
        <v>1010</v>
      </c>
      <c r="K13958" s="1013"/>
    </row>
    <row r="13959" spans="1:11" s="1011" customFormat="1" ht="15" x14ac:dyDescent="0.25">
      <c r="A13959" s="859">
        <f t="shared" si="308"/>
        <v>13958</v>
      </c>
      <c r="B13959" s="845" t="s">
        <v>2564</v>
      </c>
      <c r="C13959" s="1007">
        <f t="shared" si="307"/>
        <v>116</v>
      </c>
      <c r="D13959" s="1014"/>
      <c r="H13959" s="1011" t="s">
        <v>1007</v>
      </c>
      <c r="K13959" s="1013"/>
    </row>
    <row r="13960" spans="1:11" s="1011" customFormat="1" ht="15" x14ac:dyDescent="0.25">
      <c r="A13960" s="859">
        <f t="shared" si="308"/>
        <v>13959</v>
      </c>
      <c r="B13960" s="845" t="s">
        <v>2564</v>
      </c>
      <c r="C13960" s="1007">
        <f t="shared" si="307"/>
        <v>116</v>
      </c>
      <c r="D13960" s="1014"/>
      <c r="I13960" s="1011" t="s">
        <v>2178</v>
      </c>
      <c r="K13960" s="1013"/>
    </row>
    <row r="13961" spans="1:11" s="1011" customFormat="1" ht="15" x14ac:dyDescent="0.25">
      <c r="A13961" s="859">
        <f t="shared" si="308"/>
        <v>13960</v>
      </c>
      <c r="B13961" s="845" t="s">
        <v>2564</v>
      </c>
      <c r="C13961" s="1007">
        <f t="shared" si="307"/>
        <v>116</v>
      </c>
      <c r="D13961" s="1012"/>
      <c r="I13961" s="1011" t="str">
        <f>CONCATENATE("&lt;valeur&gt;",VLOOKUP(C13961,'T16 Amort'!A:K,6,0),"&lt;/valeur&gt;")</f>
        <v>&lt;valeur&gt;&lt;/valeur&gt;</v>
      </c>
      <c r="K13961" s="1013"/>
    </row>
    <row r="13962" spans="1:11" s="1011" customFormat="1" ht="15" x14ac:dyDescent="0.25">
      <c r="A13962" s="859">
        <f t="shared" si="308"/>
        <v>13961</v>
      </c>
      <c r="B13962" s="845" t="s">
        <v>2564</v>
      </c>
      <c r="C13962" s="1007">
        <f t="shared" si="307"/>
        <v>116</v>
      </c>
      <c r="D13962" s="1015"/>
      <c r="I13962" s="1011" t="str">
        <f>CONCATENATE("&lt;numeroLigne&gt;",C13962,"&lt;/numeroLigne&gt;")</f>
        <v>&lt;numeroLigne&gt;116&lt;/numeroLigne&gt;</v>
      </c>
      <c r="K13962" s="1013"/>
    </row>
    <row r="13963" spans="1:11" s="1011" customFormat="1" ht="15" x14ac:dyDescent="0.25">
      <c r="A13963" s="859">
        <f t="shared" si="308"/>
        <v>13962</v>
      </c>
      <c r="B13963" s="845" t="s">
        <v>2564</v>
      </c>
      <c r="C13963" s="1007">
        <f t="shared" si="307"/>
        <v>116</v>
      </c>
      <c r="D13963" s="1012"/>
      <c r="H13963" s="1011" t="s">
        <v>1010</v>
      </c>
      <c r="K13963" s="1013"/>
    </row>
    <row r="13964" spans="1:11" s="1011" customFormat="1" ht="15" x14ac:dyDescent="0.25">
      <c r="A13964" s="859">
        <f t="shared" si="308"/>
        <v>13963</v>
      </c>
      <c r="B13964" s="845" t="s">
        <v>2564</v>
      </c>
      <c r="C13964" s="1007">
        <f t="shared" si="307"/>
        <v>116</v>
      </c>
      <c r="D13964" s="1012"/>
      <c r="H13964" s="1011" t="s">
        <v>1007</v>
      </c>
      <c r="K13964" s="1013"/>
    </row>
    <row r="13965" spans="1:11" s="1011" customFormat="1" ht="15" x14ac:dyDescent="0.25">
      <c r="A13965" s="859">
        <f t="shared" si="308"/>
        <v>13964</v>
      </c>
      <c r="B13965" s="845" t="s">
        <v>2564</v>
      </c>
      <c r="C13965" s="1007">
        <f t="shared" si="307"/>
        <v>116</v>
      </c>
      <c r="D13965" s="1014"/>
      <c r="I13965" s="1011" t="s">
        <v>2179</v>
      </c>
      <c r="K13965" s="1013"/>
    </row>
    <row r="13966" spans="1:11" s="1011" customFormat="1" ht="15" x14ac:dyDescent="0.25">
      <c r="A13966" s="859">
        <f t="shared" si="308"/>
        <v>13965</v>
      </c>
      <c r="B13966" s="845" t="s">
        <v>2564</v>
      </c>
      <c r="C13966" s="1007">
        <f t="shared" si="307"/>
        <v>116</v>
      </c>
      <c r="D13966" s="1014"/>
      <c r="I13966" s="1011" t="str">
        <f>CONCATENATE("&lt;valeur&gt;",VLOOKUP(C13966,'T16 Amort'!A:K,7,0),"&lt;/valeur&gt;")</f>
        <v>&lt;valeur&gt;&lt;/valeur&gt;</v>
      </c>
      <c r="K13966" s="1013"/>
    </row>
    <row r="13967" spans="1:11" s="1011" customFormat="1" ht="15" x14ac:dyDescent="0.25">
      <c r="A13967" s="859">
        <f t="shared" si="308"/>
        <v>13966</v>
      </c>
      <c r="B13967" s="845" t="s">
        <v>2564</v>
      </c>
      <c r="C13967" s="1007">
        <f t="shared" si="307"/>
        <v>116</v>
      </c>
      <c r="D13967" s="1012"/>
      <c r="I13967" s="1011" t="str">
        <f>CONCATENATE("&lt;numeroLigne&gt;",C13967,"&lt;/numeroLigne&gt;")</f>
        <v>&lt;numeroLigne&gt;116&lt;/numeroLigne&gt;</v>
      </c>
      <c r="K13967" s="1013"/>
    </row>
    <row r="13968" spans="1:11" s="1011" customFormat="1" ht="15" x14ac:dyDescent="0.25">
      <c r="A13968" s="859">
        <f t="shared" si="308"/>
        <v>13967</v>
      </c>
      <c r="B13968" s="845" t="s">
        <v>2564</v>
      </c>
      <c r="C13968" s="1007">
        <f t="shared" si="307"/>
        <v>116</v>
      </c>
      <c r="D13968" s="1015"/>
      <c r="H13968" s="1011" t="s">
        <v>1010</v>
      </c>
      <c r="K13968" s="1013"/>
    </row>
    <row r="13969" spans="1:11" s="1011" customFormat="1" ht="15" x14ac:dyDescent="0.25">
      <c r="A13969" s="859">
        <f t="shared" si="308"/>
        <v>13968</v>
      </c>
      <c r="B13969" s="845" t="s">
        <v>2564</v>
      </c>
      <c r="C13969" s="1007">
        <f t="shared" si="307"/>
        <v>116</v>
      </c>
      <c r="D13969" s="1012"/>
      <c r="H13969" s="1011" t="s">
        <v>1007</v>
      </c>
      <c r="K13969" s="1013"/>
    </row>
    <row r="13970" spans="1:11" s="1011" customFormat="1" ht="15" x14ac:dyDescent="0.25">
      <c r="A13970" s="859">
        <f t="shared" si="308"/>
        <v>13969</v>
      </c>
      <c r="B13970" s="845" t="s">
        <v>2564</v>
      </c>
      <c r="C13970" s="1007">
        <f t="shared" si="307"/>
        <v>116</v>
      </c>
      <c r="D13970" s="1012"/>
      <c r="I13970" s="1011" t="s">
        <v>2180</v>
      </c>
      <c r="K13970" s="1013"/>
    </row>
    <row r="13971" spans="1:11" s="1011" customFormat="1" ht="15" x14ac:dyDescent="0.25">
      <c r="A13971" s="859">
        <f t="shared" si="308"/>
        <v>13970</v>
      </c>
      <c r="B13971" s="845" t="s">
        <v>2564</v>
      </c>
      <c r="C13971" s="1007">
        <f t="shared" si="307"/>
        <v>116</v>
      </c>
      <c r="D13971" s="1014"/>
      <c r="I13971" s="1011" t="str">
        <f>CONCATENATE("&lt;valeur&gt;",VLOOKUP(C13971,'T16 Amort'!A:K,8,0),"&lt;/valeur&gt;")</f>
        <v>&lt;valeur&gt;&lt;/valeur&gt;</v>
      </c>
      <c r="K13971" s="1013"/>
    </row>
    <row r="13972" spans="1:11" s="1011" customFormat="1" ht="15" x14ac:dyDescent="0.25">
      <c r="A13972" s="859">
        <f t="shared" si="308"/>
        <v>13971</v>
      </c>
      <c r="B13972" s="845" t="s">
        <v>2564</v>
      </c>
      <c r="C13972" s="1007">
        <f t="shared" si="307"/>
        <v>116</v>
      </c>
      <c r="D13972" s="1014"/>
      <c r="I13972" s="1011" t="str">
        <f>CONCATENATE("&lt;numeroLigne&gt;",C13972,"&lt;/numeroLigne&gt;")</f>
        <v>&lt;numeroLigne&gt;116&lt;/numeroLigne&gt;</v>
      </c>
      <c r="K13972" s="1013"/>
    </row>
    <row r="13973" spans="1:11" s="1011" customFormat="1" ht="15" x14ac:dyDescent="0.25">
      <c r="A13973" s="859">
        <f t="shared" si="308"/>
        <v>13972</v>
      </c>
      <c r="B13973" s="845" t="s">
        <v>2564</v>
      </c>
      <c r="C13973" s="1007">
        <f t="shared" si="307"/>
        <v>116</v>
      </c>
      <c r="D13973" s="1012"/>
      <c r="H13973" s="1011" t="s">
        <v>1010</v>
      </c>
      <c r="K13973" s="1013"/>
    </row>
    <row r="13974" spans="1:11" s="1011" customFormat="1" ht="15" x14ac:dyDescent="0.25">
      <c r="A13974" s="859">
        <f t="shared" si="308"/>
        <v>13973</v>
      </c>
      <c r="B13974" s="845" t="s">
        <v>2564</v>
      </c>
      <c r="C13974" s="1007">
        <f t="shared" si="307"/>
        <v>116</v>
      </c>
      <c r="D13974" s="1015"/>
      <c r="H13974" s="1011" t="s">
        <v>1007</v>
      </c>
      <c r="K13974" s="1013"/>
    </row>
    <row r="13975" spans="1:11" s="1011" customFormat="1" ht="15" x14ac:dyDescent="0.25">
      <c r="A13975" s="859">
        <f t="shared" si="308"/>
        <v>13974</v>
      </c>
      <c r="B13975" s="845" t="s">
        <v>2564</v>
      </c>
      <c r="C13975" s="1007">
        <f t="shared" si="307"/>
        <v>116</v>
      </c>
      <c r="D13975" s="1012"/>
      <c r="I13975" s="1011" t="s">
        <v>2181</v>
      </c>
      <c r="K13975" s="1013"/>
    </row>
    <row r="13976" spans="1:11" s="1011" customFormat="1" ht="15" x14ac:dyDescent="0.25">
      <c r="A13976" s="859">
        <f t="shared" si="308"/>
        <v>13975</v>
      </c>
      <c r="B13976" s="845" t="s">
        <v>2564</v>
      </c>
      <c r="C13976" s="1007">
        <f t="shared" si="307"/>
        <v>116</v>
      </c>
      <c r="D13976" s="1012"/>
      <c r="I13976" s="1011" t="str">
        <f>CONCATENATE("&lt;valeur&gt;",VLOOKUP(C13976,'T16 Amort'!A:K,9,0),"&lt;/valeur&gt;")</f>
        <v>&lt;valeur&gt;&lt;/valeur&gt;</v>
      </c>
      <c r="K13976" s="1013"/>
    </row>
    <row r="13977" spans="1:11" s="1011" customFormat="1" ht="15" x14ac:dyDescent="0.25">
      <c r="A13977" s="859">
        <f t="shared" si="308"/>
        <v>13976</v>
      </c>
      <c r="B13977" s="845" t="s">
        <v>2564</v>
      </c>
      <c r="C13977" s="1007">
        <f t="shared" si="307"/>
        <v>116</v>
      </c>
      <c r="D13977" s="1014"/>
      <c r="I13977" s="1011" t="str">
        <f>CONCATENATE("&lt;numeroLigne&gt;",C13977,"&lt;/numeroLigne&gt;")</f>
        <v>&lt;numeroLigne&gt;116&lt;/numeroLigne&gt;</v>
      </c>
      <c r="K13977" s="1013"/>
    </row>
    <row r="13978" spans="1:11" s="1011" customFormat="1" ht="15" x14ac:dyDescent="0.25">
      <c r="A13978" s="859">
        <f t="shared" si="308"/>
        <v>13977</v>
      </c>
      <c r="B13978" s="845" t="s">
        <v>2564</v>
      </c>
      <c r="C13978" s="1007">
        <f t="shared" si="307"/>
        <v>116</v>
      </c>
      <c r="D13978" s="1014"/>
      <c r="H13978" s="1011" t="s">
        <v>1010</v>
      </c>
      <c r="K13978" s="1013"/>
    </row>
    <row r="13979" spans="1:11" s="1011" customFormat="1" ht="15" x14ac:dyDescent="0.25">
      <c r="A13979" s="859">
        <f t="shared" si="308"/>
        <v>13978</v>
      </c>
      <c r="B13979" s="845" t="s">
        <v>2564</v>
      </c>
      <c r="C13979" s="1007">
        <f t="shared" si="307"/>
        <v>116</v>
      </c>
      <c r="D13979" s="1012"/>
      <c r="H13979" s="1011" t="s">
        <v>1007</v>
      </c>
      <c r="K13979" s="1013"/>
    </row>
    <row r="13980" spans="1:11" s="1011" customFormat="1" ht="15" x14ac:dyDescent="0.25">
      <c r="A13980" s="859">
        <f t="shared" si="308"/>
        <v>13979</v>
      </c>
      <c r="B13980" s="845" t="s">
        <v>2564</v>
      </c>
      <c r="C13980" s="1007">
        <f t="shared" si="307"/>
        <v>116</v>
      </c>
      <c r="D13980" s="1015"/>
      <c r="I13980" s="1011" t="s">
        <v>2182</v>
      </c>
      <c r="K13980" s="1013"/>
    </row>
    <row r="13981" spans="1:11" s="1011" customFormat="1" ht="15" x14ac:dyDescent="0.25">
      <c r="A13981" s="859">
        <f t="shared" si="308"/>
        <v>13980</v>
      </c>
      <c r="B13981" s="845" t="s">
        <v>2564</v>
      </c>
      <c r="C13981" s="1007">
        <f t="shared" si="307"/>
        <v>116</v>
      </c>
      <c r="D13981" s="1012"/>
      <c r="I13981" s="1011" t="str">
        <f>CONCATENATE("&lt;valeur&gt;",VLOOKUP(C13981,'T16 Amort'!A:K,10,0),"&lt;/valeur&gt;")</f>
        <v>&lt;valeur&gt;&lt;/valeur&gt;</v>
      </c>
      <c r="K13981" s="1013"/>
    </row>
    <row r="13982" spans="1:11" s="1011" customFormat="1" ht="15" x14ac:dyDescent="0.25">
      <c r="A13982" s="859">
        <f t="shared" si="308"/>
        <v>13981</v>
      </c>
      <c r="B13982" s="845" t="s">
        <v>2564</v>
      </c>
      <c r="C13982" s="1007">
        <f t="shared" si="307"/>
        <v>116</v>
      </c>
      <c r="D13982" s="1012"/>
      <c r="I13982" s="1011" t="str">
        <f>CONCATENATE("&lt;numeroLigne&gt;",C13982,"&lt;/numeroLigne&gt;")</f>
        <v>&lt;numeroLigne&gt;116&lt;/numeroLigne&gt;</v>
      </c>
      <c r="K13982" s="1013"/>
    </row>
    <row r="13983" spans="1:11" s="1011" customFormat="1" ht="15" x14ac:dyDescent="0.25">
      <c r="A13983" s="859">
        <f t="shared" si="308"/>
        <v>13982</v>
      </c>
      <c r="B13983" s="845" t="s">
        <v>2564</v>
      </c>
      <c r="C13983" s="1007">
        <f t="shared" si="307"/>
        <v>116</v>
      </c>
      <c r="D13983" s="1014"/>
      <c r="H13983" s="1011" t="s">
        <v>1010</v>
      </c>
      <c r="K13983" s="1013"/>
    </row>
    <row r="13984" spans="1:11" s="1011" customFormat="1" ht="15" x14ac:dyDescent="0.25">
      <c r="A13984" s="859">
        <f t="shared" si="308"/>
        <v>13983</v>
      </c>
      <c r="B13984" s="845" t="s">
        <v>2564</v>
      </c>
      <c r="C13984" s="1007">
        <f t="shared" si="307"/>
        <v>116</v>
      </c>
      <c r="D13984" s="1014"/>
      <c r="H13984" s="1011" t="s">
        <v>1007</v>
      </c>
      <c r="K13984" s="1013"/>
    </row>
    <row r="13985" spans="1:11" s="1011" customFormat="1" ht="15" x14ac:dyDescent="0.25">
      <c r="A13985" s="859">
        <f t="shared" si="308"/>
        <v>13984</v>
      </c>
      <c r="B13985" s="845" t="s">
        <v>2564</v>
      </c>
      <c r="C13985" s="1007">
        <f t="shared" si="307"/>
        <v>116</v>
      </c>
      <c r="D13985" s="1012"/>
      <c r="I13985" s="1011" t="s">
        <v>2183</v>
      </c>
      <c r="K13985" s="1013"/>
    </row>
    <row r="13986" spans="1:11" s="1011" customFormat="1" ht="15" x14ac:dyDescent="0.25">
      <c r="A13986" s="859">
        <f t="shared" si="308"/>
        <v>13985</v>
      </c>
      <c r="B13986" s="845" t="s">
        <v>2564</v>
      </c>
      <c r="C13986" s="1007">
        <f t="shared" si="307"/>
        <v>116</v>
      </c>
      <c r="D13986" s="1015"/>
      <c r="I13986" s="1011" t="str">
        <f>CONCATENATE("&lt;valeur&gt;",VLOOKUP(C13986,'T16 Amort'!A:K,11,0),"&lt;/valeur&gt;")</f>
        <v>&lt;valeur&gt;&lt;/valeur&gt;</v>
      </c>
      <c r="K13986" s="1013"/>
    </row>
    <row r="13987" spans="1:11" s="1011" customFormat="1" ht="15" x14ac:dyDescent="0.25">
      <c r="A13987" s="859">
        <f t="shared" si="308"/>
        <v>13986</v>
      </c>
      <c r="B13987" s="845" t="s">
        <v>2564</v>
      </c>
      <c r="C13987" s="1007">
        <f t="shared" si="307"/>
        <v>116</v>
      </c>
      <c r="D13987" s="1012"/>
      <c r="I13987" s="1011" t="str">
        <f>CONCATENATE("&lt;numeroLigne&gt;",C13987,"&lt;/numeroLigne&gt;")</f>
        <v>&lt;numeroLigne&gt;116&lt;/numeroLigne&gt;</v>
      </c>
      <c r="K13987" s="1013"/>
    </row>
    <row r="13988" spans="1:11" s="1011" customFormat="1" ht="15" x14ac:dyDescent="0.25">
      <c r="A13988" s="859">
        <f t="shared" si="308"/>
        <v>13987</v>
      </c>
      <c r="B13988" s="845" t="s">
        <v>2564</v>
      </c>
      <c r="C13988" s="1007">
        <f t="shared" si="307"/>
        <v>116</v>
      </c>
      <c r="D13988" s="1016"/>
      <c r="E13988" s="1017"/>
      <c r="F13988" s="1017"/>
      <c r="G13988" s="1017"/>
      <c r="H13988" s="1017" t="s">
        <v>1010</v>
      </c>
      <c r="I13988" s="1017"/>
      <c r="J13988" s="1017"/>
      <c r="K13988" s="1018"/>
    </row>
    <row r="13989" spans="1:11" s="1011" customFormat="1" ht="15" x14ac:dyDescent="0.25">
      <c r="A13989" s="859">
        <f t="shared" si="308"/>
        <v>13988</v>
      </c>
      <c r="B13989" s="845" t="s">
        <v>2564</v>
      </c>
      <c r="C13989" s="1007">
        <f t="shared" si="307"/>
        <v>117</v>
      </c>
      <c r="D13989" s="1008"/>
      <c r="E13989" s="1009"/>
      <c r="F13989" s="1009"/>
      <c r="G13989" s="1009"/>
      <c r="H13989" s="1009" t="s">
        <v>1007</v>
      </c>
      <c r="I13989" s="1009"/>
      <c r="J13989" s="1009"/>
      <c r="K13989" s="1010"/>
    </row>
    <row r="13990" spans="1:11" s="1011" customFormat="1" ht="15" x14ac:dyDescent="0.25">
      <c r="A13990" s="859">
        <f t="shared" si="308"/>
        <v>13989</v>
      </c>
      <c r="B13990" s="845" t="s">
        <v>2564</v>
      </c>
      <c r="C13990" s="1007">
        <f t="shared" si="307"/>
        <v>117</v>
      </c>
      <c r="D13990" s="1012"/>
      <c r="I13990" s="1011" t="s">
        <v>2174</v>
      </c>
      <c r="K13990" s="1013"/>
    </row>
    <row r="13991" spans="1:11" s="1011" customFormat="1" ht="15" x14ac:dyDescent="0.25">
      <c r="A13991" s="859">
        <f t="shared" si="308"/>
        <v>13990</v>
      </c>
      <c r="B13991" s="845" t="s">
        <v>2564</v>
      </c>
      <c r="C13991" s="1007">
        <f t="shared" si="307"/>
        <v>117</v>
      </c>
      <c r="D13991" s="1014"/>
      <c r="I13991" s="1011" t="str">
        <f>CONCATENATE("&lt;valeur&gt;",VLOOKUP(C13991,'T16 Amort'!A:K,2,0),"&lt;/valeur&gt;")</f>
        <v>&lt;valeur&gt;&lt;/valeur&gt;</v>
      </c>
      <c r="K13991" s="1013"/>
    </row>
    <row r="13992" spans="1:11" s="1011" customFormat="1" ht="15" x14ac:dyDescent="0.25">
      <c r="A13992" s="859">
        <f t="shared" si="308"/>
        <v>13991</v>
      </c>
      <c r="B13992" s="845" t="s">
        <v>2564</v>
      </c>
      <c r="C13992" s="1007">
        <f t="shared" si="307"/>
        <v>117</v>
      </c>
      <c r="D13992" s="1014"/>
      <c r="I13992" s="1011" t="str">
        <f>CONCATENATE("&lt;numeroLigne&gt;",C13992,"&lt;/numeroLigne&gt;")</f>
        <v>&lt;numeroLigne&gt;117&lt;/numeroLigne&gt;</v>
      </c>
      <c r="K13992" s="1013"/>
    </row>
    <row r="13993" spans="1:11" s="1011" customFormat="1" ht="15" x14ac:dyDescent="0.25">
      <c r="A13993" s="859">
        <f t="shared" si="308"/>
        <v>13992</v>
      </c>
      <c r="B13993" s="845" t="s">
        <v>2564</v>
      </c>
      <c r="C13993" s="1007">
        <f t="shared" si="307"/>
        <v>117</v>
      </c>
      <c r="D13993" s="1012"/>
      <c r="H13993" s="1011" t="s">
        <v>1010</v>
      </c>
      <c r="K13993" s="1013"/>
    </row>
    <row r="13994" spans="1:11" s="1011" customFormat="1" ht="15" x14ac:dyDescent="0.25">
      <c r="A13994" s="859">
        <f t="shared" si="308"/>
        <v>13993</v>
      </c>
      <c r="B13994" s="845" t="s">
        <v>2564</v>
      </c>
      <c r="C13994" s="1007">
        <f t="shared" si="307"/>
        <v>117</v>
      </c>
      <c r="D13994" s="1015"/>
      <c r="H13994" s="1011" t="s">
        <v>1007</v>
      </c>
      <c r="K13994" s="1013"/>
    </row>
    <row r="13995" spans="1:11" s="1011" customFormat="1" ht="15" x14ac:dyDescent="0.25">
      <c r="A13995" s="859">
        <f t="shared" si="308"/>
        <v>13994</v>
      </c>
      <c r="B13995" s="845" t="s">
        <v>2564</v>
      </c>
      <c r="C13995" s="1007">
        <f t="shared" si="307"/>
        <v>117</v>
      </c>
      <c r="D13995" s="1012"/>
      <c r="I13995" s="1011" t="s">
        <v>2175</v>
      </c>
      <c r="K13995" s="1013"/>
    </row>
    <row r="13996" spans="1:11" s="1011" customFormat="1" ht="15" x14ac:dyDescent="0.25">
      <c r="A13996" s="859">
        <f t="shared" si="308"/>
        <v>13995</v>
      </c>
      <c r="B13996" s="845" t="s">
        <v>2564</v>
      </c>
      <c r="C13996" s="1007">
        <f t="shared" si="307"/>
        <v>117</v>
      </c>
      <c r="D13996" s="1012"/>
      <c r="I13996" s="1011" t="str">
        <f>CONCATENATE("&lt;valeur&gt;",VLOOKUP(C13996,'T16 Amort'!A:K,3,0),"&lt;/valeur&gt;")</f>
        <v>&lt;valeur&gt;&lt;/valeur&gt;</v>
      </c>
      <c r="K13996" s="1013"/>
    </row>
    <row r="13997" spans="1:11" s="1011" customFormat="1" ht="15" x14ac:dyDescent="0.25">
      <c r="A13997" s="859">
        <f t="shared" si="308"/>
        <v>13996</v>
      </c>
      <c r="B13997" s="845" t="s">
        <v>2564</v>
      </c>
      <c r="C13997" s="1007">
        <f t="shared" si="307"/>
        <v>117</v>
      </c>
      <c r="D13997" s="1014"/>
      <c r="I13997" s="1011" t="str">
        <f>CONCATENATE("&lt;numeroLigne&gt;",C13997,"&lt;/numeroLigne&gt;")</f>
        <v>&lt;numeroLigne&gt;117&lt;/numeroLigne&gt;</v>
      </c>
      <c r="K13997" s="1013"/>
    </row>
    <row r="13998" spans="1:11" s="1011" customFormat="1" ht="15" x14ac:dyDescent="0.25">
      <c r="A13998" s="859">
        <f t="shared" si="308"/>
        <v>13997</v>
      </c>
      <c r="B13998" s="845" t="s">
        <v>2564</v>
      </c>
      <c r="C13998" s="1007">
        <f t="shared" si="307"/>
        <v>117</v>
      </c>
      <c r="D13998" s="1014"/>
      <c r="H13998" s="1011" t="s">
        <v>1010</v>
      </c>
      <c r="K13998" s="1013"/>
    </row>
    <row r="13999" spans="1:11" s="1011" customFormat="1" ht="15" x14ac:dyDescent="0.25">
      <c r="A13999" s="859">
        <f t="shared" si="308"/>
        <v>13998</v>
      </c>
      <c r="B13999" s="845" t="s">
        <v>2564</v>
      </c>
      <c r="C13999" s="1007">
        <f t="shared" ref="C13999:C14062" si="309">C13949+1</f>
        <v>117</v>
      </c>
      <c r="D13999" s="1012"/>
      <c r="H13999" s="1011" t="s">
        <v>1007</v>
      </c>
      <c r="K13999" s="1013"/>
    </row>
    <row r="14000" spans="1:11" s="1011" customFormat="1" ht="15" x14ac:dyDescent="0.25">
      <c r="A14000" s="859">
        <f t="shared" si="308"/>
        <v>13999</v>
      </c>
      <c r="B14000" s="845" t="s">
        <v>2564</v>
      </c>
      <c r="C14000" s="1007">
        <f t="shared" si="309"/>
        <v>117</v>
      </c>
      <c r="D14000" s="1015"/>
      <c r="I14000" s="1011" t="s">
        <v>2176</v>
      </c>
      <c r="K14000" s="1013"/>
    </row>
    <row r="14001" spans="1:11" s="1011" customFormat="1" ht="15" x14ac:dyDescent="0.25">
      <c r="A14001" s="859">
        <f t="shared" si="308"/>
        <v>14000</v>
      </c>
      <c r="B14001" s="845" t="s">
        <v>2564</v>
      </c>
      <c r="C14001" s="1007">
        <f t="shared" si="309"/>
        <v>117</v>
      </c>
      <c r="D14001" s="1012"/>
      <c r="I14001" s="1011" t="str">
        <f>CONCATENATE("&lt;valeur&gt;",VLOOKUP(C14001,'T16 Amort'!A:K,4,0),"&lt;/valeur&gt;")</f>
        <v>&lt;valeur&gt;&lt;/valeur&gt;</v>
      </c>
      <c r="K14001" s="1013"/>
    </row>
    <row r="14002" spans="1:11" s="1011" customFormat="1" ht="15" x14ac:dyDescent="0.25">
      <c r="A14002" s="859">
        <f t="shared" si="308"/>
        <v>14001</v>
      </c>
      <c r="B14002" s="845" t="s">
        <v>2564</v>
      </c>
      <c r="C14002" s="1007">
        <f t="shared" si="309"/>
        <v>117</v>
      </c>
      <c r="D14002" s="1012"/>
      <c r="I14002" s="1011" t="str">
        <f>CONCATENATE("&lt;numeroLigne&gt;",C14002,"&lt;/numeroLigne&gt;")</f>
        <v>&lt;numeroLigne&gt;117&lt;/numeroLigne&gt;</v>
      </c>
      <c r="K14002" s="1013"/>
    </row>
    <row r="14003" spans="1:11" s="1011" customFormat="1" ht="15" x14ac:dyDescent="0.25">
      <c r="A14003" s="859">
        <f t="shared" si="308"/>
        <v>14002</v>
      </c>
      <c r="B14003" s="845" t="s">
        <v>2564</v>
      </c>
      <c r="C14003" s="1007">
        <f t="shared" si="309"/>
        <v>117</v>
      </c>
      <c r="D14003" s="1014"/>
      <c r="H14003" s="1011" t="s">
        <v>1010</v>
      </c>
      <c r="K14003" s="1013"/>
    </row>
    <row r="14004" spans="1:11" s="1011" customFormat="1" ht="15" x14ac:dyDescent="0.25">
      <c r="A14004" s="859">
        <f t="shared" si="308"/>
        <v>14003</v>
      </c>
      <c r="B14004" s="845" t="s">
        <v>2564</v>
      </c>
      <c r="C14004" s="1007">
        <f t="shared" si="309"/>
        <v>117</v>
      </c>
      <c r="D14004" s="1014"/>
      <c r="H14004" s="1011" t="s">
        <v>1007</v>
      </c>
      <c r="K14004" s="1013"/>
    </row>
    <row r="14005" spans="1:11" s="1011" customFormat="1" ht="15" x14ac:dyDescent="0.25">
      <c r="A14005" s="859">
        <f t="shared" si="308"/>
        <v>14004</v>
      </c>
      <c r="B14005" s="845" t="s">
        <v>2564</v>
      </c>
      <c r="C14005" s="1007">
        <f t="shared" si="309"/>
        <v>117</v>
      </c>
      <c r="D14005" s="1012"/>
      <c r="I14005" s="1011" t="s">
        <v>2177</v>
      </c>
      <c r="K14005" s="1013"/>
    </row>
    <row r="14006" spans="1:11" s="1011" customFormat="1" ht="15" x14ac:dyDescent="0.25">
      <c r="A14006" s="859">
        <f t="shared" si="308"/>
        <v>14005</v>
      </c>
      <c r="B14006" s="845" t="s">
        <v>2564</v>
      </c>
      <c r="C14006" s="1007">
        <f t="shared" si="309"/>
        <v>117</v>
      </c>
      <c r="D14006" s="1015"/>
      <c r="I14006" s="1011" t="str">
        <f>CONCATENATE("&lt;valeur&gt;",VLOOKUP(C14006,'T16 Amort'!A:K,5,0),"&lt;/valeur&gt;")</f>
        <v>&lt;valeur&gt;&lt;/valeur&gt;</v>
      </c>
      <c r="K14006" s="1013"/>
    </row>
    <row r="14007" spans="1:11" s="1011" customFormat="1" ht="15" x14ac:dyDescent="0.25">
      <c r="A14007" s="859">
        <f t="shared" si="308"/>
        <v>14006</v>
      </c>
      <c r="B14007" s="845" t="s">
        <v>2564</v>
      </c>
      <c r="C14007" s="1007">
        <f t="shared" si="309"/>
        <v>117</v>
      </c>
      <c r="D14007" s="1012"/>
      <c r="I14007" s="1011" t="str">
        <f>CONCATENATE("&lt;numeroLigne&gt;",C14007,"&lt;/numeroLigne&gt;")</f>
        <v>&lt;numeroLigne&gt;117&lt;/numeroLigne&gt;</v>
      </c>
      <c r="K14007" s="1013"/>
    </row>
    <row r="14008" spans="1:11" s="1011" customFormat="1" ht="15" x14ac:dyDescent="0.25">
      <c r="A14008" s="859">
        <f t="shared" si="308"/>
        <v>14007</v>
      </c>
      <c r="B14008" s="845" t="s">
        <v>2564</v>
      </c>
      <c r="C14008" s="1007">
        <f t="shared" si="309"/>
        <v>117</v>
      </c>
      <c r="D14008" s="1012"/>
      <c r="H14008" s="1011" t="s">
        <v>1010</v>
      </c>
      <c r="K14008" s="1013"/>
    </row>
    <row r="14009" spans="1:11" s="1011" customFormat="1" ht="15" x14ac:dyDescent="0.25">
      <c r="A14009" s="859">
        <f t="shared" si="308"/>
        <v>14008</v>
      </c>
      <c r="B14009" s="845" t="s">
        <v>2564</v>
      </c>
      <c r="C14009" s="1007">
        <f t="shared" si="309"/>
        <v>117</v>
      </c>
      <c r="D14009" s="1014"/>
      <c r="H14009" s="1011" t="s">
        <v>1007</v>
      </c>
      <c r="K14009" s="1013"/>
    </row>
    <row r="14010" spans="1:11" s="1011" customFormat="1" ht="15" x14ac:dyDescent="0.25">
      <c r="A14010" s="859">
        <f t="shared" si="308"/>
        <v>14009</v>
      </c>
      <c r="B14010" s="845" t="s">
        <v>2564</v>
      </c>
      <c r="C14010" s="1007">
        <f t="shared" si="309"/>
        <v>117</v>
      </c>
      <c r="D14010" s="1014"/>
      <c r="I14010" s="1011" t="s">
        <v>2178</v>
      </c>
      <c r="K14010" s="1013"/>
    </row>
    <row r="14011" spans="1:11" s="1011" customFormat="1" ht="15" x14ac:dyDescent="0.25">
      <c r="A14011" s="859">
        <f t="shared" si="308"/>
        <v>14010</v>
      </c>
      <c r="B14011" s="845" t="s">
        <v>2564</v>
      </c>
      <c r="C14011" s="1007">
        <f t="shared" si="309"/>
        <v>117</v>
      </c>
      <c r="D14011" s="1012"/>
      <c r="I14011" s="1011" t="str">
        <f>CONCATENATE("&lt;valeur&gt;",VLOOKUP(C14011,'T16 Amort'!A:K,6,0),"&lt;/valeur&gt;")</f>
        <v>&lt;valeur&gt;&lt;/valeur&gt;</v>
      </c>
      <c r="K14011" s="1013"/>
    </row>
    <row r="14012" spans="1:11" s="1011" customFormat="1" ht="15" x14ac:dyDescent="0.25">
      <c r="A14012" s="859">
        <f t="shared" si="308"/>
        <v>14011</v>
      </c>
      <c r="B14012" s="845" t="s">
        <v>2564</v>
      </c>
      <c r="C14012" s="1007">
        <f t="shared" si="309"/>
        <v>117</v>
      </c>
      <c r="D14012" s="1015"/>
      <c r="I14012" s="1011" t="str">
        <f>CONCATENATE("&lt;numeroLigne&gt;",C14012,"&lt;/numeroLigne&gt;")</f>
        <v>&lt;numeroLigne&gt;117&lt;/numeroLigne&gt;</v>
      </c>
      <c r="K14012" s="1013"/>
    </row>
    <row r="14013" spans="1:11" s="1011" customFormat="1" ht="15" x14ac:dyDescent="0.25">
      <c r="A14013" s="859">
        <f t="shared" si="308"/>
        <v>14012</v>
      </c>
      <c r="B14013" s="845" t="s">
        <v>2564</v>
      </c>
      <c r="C14013" s="1007">
        <f t="shared" si="309"/>
        <v>117</v>
      </c>
      <c r="D14013" s="1012"/>
      <c r="H14013" s="1011" t="s">
        <v>1010</v>
      </c>
      <c r="K14013" s="1013"/>
    </row>
    <row r="14014" spans="1:11" s="1011" customFormat="1" ht="15" x14ac:dyDescent="0.25">
      <c r="A14014" s="859">
        <f t="shared" si="308"/>
        <v>14013</v>
      </c>
      <c r="B14014" s="845" t="s">
        <v>2564</v>
      </c>
      <c r="C14014" s="1007">
        <f t="shared" si="309"/>
        <v>117</v>
      </c>
      <c r="D14014" s="1012"/>
      <c r="H14014" s="1011" t="s">
        <v>1007</v>
      </c>
      <c r="K14014" s="1013"/>
    </row>
    <row r="14015" spans="1:11" s="1011" customFormat="1" ht="15" x14ac:dyDescent="0.25">
      <c r="A14015" s="859">
        <f t="shared" si="308"/>
        <v>14014</v>
      </c>
      <c r="B14015" s="845" t="s">
        <v>2564</v>
      </c>
      <c r="C14015" s="1007">
        <f t="shared" si="309"/>
        <v>117</v>
      </c>
      <c r="D14015" s="1014"/>
      <c r="I14015" s="1011" t="s">
        <v>2179</v>
      </c>
      <c r="K14015" s="1013"/>
    </row>
    <row r="14016" spans="1:11" s="1011" customFormat="1" ht="15" x14ac:dyDescent="0.25">
      <c r="A14016" s="859">
        <f t="shared" si="308"/>
        <v>14015</v>
      </c>
      <c r="B14016" s="845" t="s">
        <v>2564</v>
      </c>
      <c r="C14016" s="1007">
        <f t="shared" si="309"/>
        <v>117</v>
      </c>
      <c r="D14016" s="1014"/>
      <c r="I14016" s="1011" t="str">
        <f>CONCATENATE("&lt;valeur&gt;",VLOOKUP(C14016,'T16 Amort'!A:K,7,0),"&lt;/valeur&gt;")</f>
        <v>&lt;valeur&gt;&lt;/valeur&gt;</v>
      </c>
      <c r="K14016" s="1013"/>
    </row>
    <row r="14017" spans="1:11" s="1011" customFormat="1" ht="15" x14ac:dyDescent="0.25">
      <c r="A14017" s="859">
        <f t="shared" si="308"/>
        <v>14016</v>
      </c>
      <c r="B14017" s="845" t="s">
        <v>2564</v>
      </c>
      <c r="C14017" s="1007">
        <f t="shared" si="309"/>
        <v>117</v>
      </c>
      <c r="D14017" s="1012"/>
      <c r="I14017" s="1011" t="str">
        <f>CONCATENATE("&lt;numeroLigne&gt;",C14017,"&lt;/numeroLigne&gt;")</f>
        <v>&lt;numeroLigne&gt;117&lt;/numeroLigne&gt;</v>
      </c>
      <c r="K14017" s="1013"/>
    </row>
    <row r="14018" spans="1:11" s="1011" customFormat="1" ht="15" x14ac:dyDescent="0.25">
      <c r="A14018" s="859">
        <f t="shared" si="308"/>
        <v>14017</v>
      </c>
      <c r="B14018" s="845" t="s">
        <v>2564</v>
      </c>
      <c r="C14018" s="1007">
        <f t="shared" si="309"/>
        <v>117</v>
      </c>
      <c r="D14018" s="1015"/>
      <c r="H14018" s="1011" t="s">
        <v>1010</v>
      </c>
      <c r="K14018" s="1013"/>
    </row>
    <row r="14019" spans="1:11" s="1011" customFormat="1" ht="15" x14ac:dyDescent="0.25">
      <c r="A14019" s="859">
        <f t="shared" si="308"/>
        <v>14018</v>
      </c>
      <c r="B14019" s="845" t="s">
        <v>2564</v>
      </c>
      <c r="C14019" s="1007">
        <f t="shared" si="309"/>
        <v>117</v>
      </c>
      <c r="D14019" s="1012"/>
      <c r="H14019" s="1011" t="s">
        <v>1007</v>
      </c>
      <c r="K14019" s="1013"/>
    </row>
    <row r="14020" spans="1:11" s="1011" customFormat="1" ht="15" x14ac:dyDescent="0.25">
      <c r="A14020" s="859">
        <f t="shared" ref="A14020:A14083" si="310">+A14019+1</f>
        <v>14019</v>
      </c>
      <c r="B14020" s="845" t="s">
        <v>2564</v>
      </c>
      <c r="C14020" s="1007">
        <f t="shared" si="309"/>
        <v>117</v>
      </c>
      <c r="D14020" s="1012"/>
      <c r="I14020" s="1011" t="s">
        <v>2180</v>
      </c>
      <c r="K14020" s="1013"/>
    </row>
    <row r="14021" spans="1:11" s="1011" customFormat="1" ht="15" x14ac:dyDescent="0.25">
      <c r="A14021" s="859">
        <f t="shared" si="310"/>
        <v>14020</v>
      </c>
      <c r="B14021" s="845" t="s">
        <v>2564</v>
      </c>
      <c r="C14021" s="1007">
        <f t="shared" si="309"/>
        <v>117</v>
      </c>
      <c r="D14021" s="1014"/>
      <c r="I14021" s="1011" t="str">
        <f>CONCATENATE("&lt;valeur&gt;",VLOOKUP(C14021,'T16 Amort'!A:K,8,0),"&lt;/valeur&gt;")</f>
        <v>&lt;valeur&gt;&lt;/valeur&gt;</v>
      </c>
      <c r="K14021" s="1013"/>
    </row>
    <row r="14022" spans="1:11" s="1011" customFormat="1" ht="15" x14ac:dyDescent="0.25">
      <c r="A14022" s="859">
        <f t="shared" si="310"/>
        <v>14021</v>
      </c>
      <c r="B14022" s="845" t="s">
        <v>2564</v>
      </c>
      <c r="C14022" s="1007">
        <f t="shared" si="309"/>
        <v>117</v>
      </c>
      <c r="D14022" s="1014"/>
      <c r="I14022" s="1011" t="str">
        <f>CONCATENATE("&lt;numeroLigne&gt;",C14022,"&lt;/numeroLigne&gt;")</f>
        <v>&lt;numeroLigne&gt;117&lt;/numeroLigne&gt;</v>
      </c>
      <c r="K14022" s="1013"/>
    </row>
    <row r="14023" spans="1:11" s="1011" customFormat="1" ht="15" x14ac:dyDescent="0.25">
      <c r="A14023" s="859">
        <f t="shared" si="310"/>
        <v>14022</v>
      </c>
      <c r="B14023" s="845" t="s">
        <v>2564</v>
      </c>
      <c r="C14023" s="1007">
        <f t="shared" si="309"/>
        <v>117</v>
      </c>
      <c r="D14023" s="1012"/>
      <c r="H14023" s="1011" t="s">
        <v>1010</v>
      </c>
      <c r="K14023" s="1013"/>
    </row>
    <row r="14024" spans="1:11" s="1011" customFormat="1" ht="15" x14ac:dyDescent="0.25">
      <c r="A14024" s="859">
        <f t="shared" si="310"/>
        <v>14023</v>
      </c>
      <c r="B14024" s="845" t="s">
        <v>2564</v>
      </c>
      <c r="C14024" s="1007">
        <f t="shared" si="309"/>
        <v>117</v>
      </c>
      <c r="D14024" s="1015"/>
      <c r="H14024" s="1011" t="s">
        <v>1007</v>
      </c>
      <c r="K14024" s="1013"/>
    </row>
    <row r="14025" spans="1:11" s="1011" customFormat="1" ht="15" x14ac:dyDescent="0.25">
      <c r="A14025" s="859">
        <f t="shared" si="310"/>
        <v>14024</v>
      </c>
      <c r="B14025" s="845" t="s">
        <v>2564</v>
      </c>
      <c r="C14025" s="1007">
        <f t="shared" si="309"/>
        <v>117</v>
      </c>
      <c r="D14025" s="1012"/>
      <c r="I14025" s="1011" t="s">
        <v>2181</v>
      </c>
      <c r="K14025" s="1013"/>
    </row>
    <row r="14026" spans="1:11" s="1011" customFormat="1" ht="15" x14ac:dyDescent="0.25">
      <c r="A14026" s="859">
        <f t="shared" si="310"/>
        <v>14025</v>
      </c>
      <c r="B14026" s="845" t="s">
        <v>2564</v>
      </c>
      <c r="C14026" s="1007">
        <f t="shared" si="309"/>
        <v>117</v>
      </c>
      <c r="D14026" s="1012"/>
      <c r="I14026" s="1011" t="str">
        <f>CONCATENATE("&lt;valeur&gt;",VLOOKUP(C14026,'T16 Amort'!A:K,9,0),"&lt;/valeur&gt;")</f>
        <v>&lt;valeur&gt;&lt;/valeur&gt;</v>
      </c>
      <c r="K14026" s="1013"/>
    </row>
    <row r="14027" spans="1:11" s="1011" customFormat="1" ht="15" x14ac:dyDescent="0.25">
      <c r="A14027" s="859">
        <f t="shared" si="310"/>
        <v>14026</v>
      </c>
      <c r="B14027" s="845" t="s">
        <v>2564</v>
      </c>
      <c r="C14027" s="1007">
        <f t="shared" si="309"/>
        <v>117</v>
      </c>
      <c r="D14027" s="1014"/>
      <c r="I14027" s="1011" t="str">
        <f>CONCATENATE("&lt;numeroLigne&gt;",C14027,"&lt;/numeroLigne&gt;")</f>
        <v>&lt;numeroLigne&gt;117&lt;/numeroLigne&gt;</v>
      </c>
      <c r="K14027" s="1013"/>
    </row>
    <row r="14028" spans="1:11" s="1011" customFormat="1" ht="15" x14ac:dyDescent="0.25">
      <c r="A14028" s="859">
        <f t="shared" si="310"/>
        <v>14027</v>
      </c>
      <c r="B14028" s="845" t="s">
        <v>2564</v>
      </c>
      <c r="C14028" s="1007">
        <f t="shared" si="309"/>
        <v>117</v>
      </c>
      <c r="D14028" s="1014"/>
      <c r="H14028" s="1011" t="s">
        <v>1010</v>
      </c>
      <c r="K14028" s="1013"/>
    </row>
    <row r="14029" spans="1:11" s="1011" customFormat="1" ht="15" x14ac:dyDescent="0.25">
      <c r="A14029" s="859">
        <f t="shared" si="310"/>
        <v>14028</v>
      </c>
      <c r="B14029" s="845" t="s">
        <v>2564</v>
      </c>
      <c r="C14029" s="1007">
        <f t="shared" si="309"/>
        <v>117</v>
      </c>
      <c r="D14029" s="1012"/>
      <c r="H14029" s="1011" t="s">
        <v>1007</v>
      </c>
      <c r="K14029" s="1013"/>
    </row>
    <row r="14030" spans="1:11" s="1011" customFormat="1" ht="15" x14ac:dyDescent="0.25">
      <c r="A14030" s="859">
        <f t="shared" si="310"/>
        <v>14029</v>
      </c>
      <c r="B14030" s="845" t="s">
        <v>2564</v>
      </c>
      <c r="C14030" s="1007">
        <f t="shared" si="309"/>
        <v>117</v>
      </c>
      <c r="D14030" s="1015"/>
      <c r="I14030" s="1011" t="s">
        <v>2182</v>
      </c>
      <c r="K14030" s="1013"/>
    </row>
    <row r="14031" spans="1:11" s="1011" customFormat="1" ht="15" x14ac:dyDescent="0.25">
      <c r="A14031" s="859">
        <f t="shared" si="310"/>
        <v>14030</v>
      </c>
      <c r="B14031" s="845" t="s">
        <v>2564</v>
      </c>
      <c r="C14031" s="1007">
        <f t="shared" si="309"/>
        <v>117</v>
      </c>
      <c r="D14031" s="1012"/>
      <c r="I14031" s="1011" t="str">
        <f>CONCATENATE("&lt;valeur&gt;",VLOOKUP(C14031,'T16 Amort'!A:K,10,0),"&lt;/valeur&gt;")</f>
        <v>&lt;valeur&gt;&lt;/valeur&gt;</v>
      </c>
      <c r="K14031" s="1013"/>
    </row>
    <row r="14032" spans="1:11" s="1011" customFormat="1" ht="15" x14ac:dyDescent="0.25">
      <c r="A14032" s="859">
        <f t="shared" si="310"/>
        <v>14031</v>
      </c>
      <c r="B14032" s="845" t="s">
        <v>2564</v>
      </c>
      <c r="C14032" s="1007">
        <f t="shared" si="309"/>
        <v>117</v>
      </c>
      <c r="D14032" s="1012"/>
      <c r="I14032" s="1011" t="str">
        <f>CONCATENATE("&lt;numeroLigne&gt;",C14032,"&lt;/numeroLigne&gt;")</f>
        <v>&lt;numeroLigne&gt;117&lt;/numeroLigne&gt;</v>
      </c>
      <c r="K14032" s="1013"/>
    </row>
    <row r="14033" spans="1:11" s="1011" customFormat="1" ht="15" x14ac:dyDescent="0.25">
      <c r="A14033" s="859">
        <f t="shared" si="310"/>
        <v>14032</v>
      </c>
      <c r="B14033" s="845" t="s">
        <v>2564</v>
      </c>
      <c r="C14033" s="1007">
        <f t="shared" si="309"/>
        <v>117</v>
      </c>
      <c r="D14033" s="1014"/>
      <c r="H14033" s="1011" t="s">
        <v>1010</v>
      </c>
      <c r="K14033" s="1013"/>
    </row>
    <row r="14034" spans="1:11" s="1011" customFormat="1" ht="15" x14ac:dyDescent="0.25">
      <c r="A14034" s="859">
        <f t="shared" si="310"/>
        <v>14033</v>
      </c>
      <c r="B14034" s="845" t="s">
        <v>2564</v>
      </c>
      <c r="C14034" s="1007">
        <f t="shared" si="309"/>
        <v>117</v>
      </c>
      <c r="D14034" s="1014"/>
      <c r="H14034" s="1011" t="s">
        <v>1007</v>
      </c>
      <c r="K14034" s="1013"/>
    </row>
    <row r="14035" spans="1:11" s="1011" customFormat="1" ht="15" x14ac:dyDescent="0.25">
      <c r="A14035" s="859">
        <f t="shared" si="310"/>
        <v>14034</v>
      </c>
      <c r="B14035" s="845" t="s">
        <v>2564</v>
      </c>
      <c r="C14035" s="1007">
        <f t="shared" si="309"/>
        <v>117</v>
      </c>
      <c r="D14035" s="1012"/>
      <c r="I14035" s="1011" t="s">
        <v>2183</v>
      </c>
      <c r="K14035" s="1013"/>
    </row>
    <row r="14036" spans="1:11" s="1011" customFormat="1" ht="15" x14ac:dyDescent="0.25">
      <c r="A14036" s="859">
        <f t="shared" si="310"/>
        <v>14035</v>
      </c>
      <c r="B14036" s="845" t="s">
        <v>2564</v>
      </c>
      <c r="C14036" s="1007">
        <f t="shared" si="309"/>
        <v>117</v>
      </c>
      <c r="D14036" s="1015"/>
      <c r="I14036" s="1011" t="str">
        <f>CONCATENATE("&lt;valeur&gt;",VLOOKUP(C14036,'T16 Amort'!A:K,11,0),"&lt;/valeur&gt;")</f>
        <v>&lt;valeur&gt;&lt;/valeur&gt;</v>
      </c>
      <c r="K14036" s="1013"/>
    </row>
    <row r="14037" spans="1:11" s="1011" customFormat="1" ht="15" x14ac:dyDescent="0.25">
      <c r="A14037" s="859">
        <f t="shared" si="310"/>
        <v>14036</v>
      </c>
      <c r="B14037" s="845" t="s">
        <v>2564</v>
      </c>
      <c r="C14037" s="1007">
        <f t="shared" si="309"/>
        <v>117</v>
      </c>
      <c r="D14037" s="1012"/>
      <c r="I14037" s="1011" t="str">
        <f>CONCATENATE("&lt;numeroLigne&gt;",C14037,"&lt;/numeroLigne&gt;")</f>
        <v>&lt;numeroLigne&gt;117&lt;/numeroLigne&gt;</v>
      </c>
      <c r="K14037" s="1013"/>
    </row>
    <row r="14038" spans="1:11" s="1011" customFormat="1" ht="15" x14ac:dyDescent="0.25">
      <c r="A14038" s="859">
        <f t="shared" si="310"/>
        <v>14037</v>
      </c>
      <c r="B14038" s="845" t="s">
        <v>2564</v>
      </c>
      <c r="C14038" s="1007">
        <f t="shared" si="309"/>
        <v>117</v>
      </c>
      <c r="D14038" s="1016"/>
      <c r="E14038" s="1017"/>
      <c r="F14038" s="1017"/>
      <c r="G14038" s="1017"/>
      <c r="H14038" s="1017" t="s">
        <v>1010</v>
      </c>
      <c r="I14038" s="1017"/>
      <c r="J14038" s="1017"/>
      <c r="K14038" s="1018"/>
    </row>
    <row r="14039" spans="1:11" s="1011" customFormat="1" ht="15" x14ac:dyDescent="0.25">
      <c r="A14039" s="859">
        <f t="shared" si="310"/>
        <v>14038</v>
      </c>
      <c r="B14039" s="845" t="s">
        <v>2564</v>
      </c>
      <c r="C14039" s="1007">
        <f t="shared" si="309"/>
        <v>118</v>
      </c>
      <c r="D14039" s="1008"/>
      <c r="E14039" s="1009"/>
      <c r="F14039" s="1009"/>
      <c r="G14039" s="1009"/>
      <c r="H14039" s="1009" t="s">
        <v>1007</v>
      </c>
      <c r="I14039" s="1009"/>
      <c r="J14039" s="1009"/>
      <c r="K14039" s="1010"/>
    </row>
    <row r="14040" spans="1:11" s="1011" customFormat="1" ht="15" x14ac:dyDescent="0.25">
      <c r="A14040" s="859">
        <f t="shared" si="310"/>
        <v>14039</v>
      </c>
      <c r="B14040" s="845" t="s">
        <v>2564</v>
      </c>
      <c r="C14040" s="1007">
        <f t="shared" si="309"/>
        <v>118</v>
      </c>
      <c r="D14040" s="1012"/>
      <c r="I14040" s="1011" t="s">
        <v>2174</v>
      </c>
      <c r="K14040" s="1013"/>
    </row>
    <row r="14041" spans="1:11" s="1011" customFormat="1" ht="15" x14ac:dyDescent="0.25">
      <c r="A14041" s="859">
        <f t="shared" si="310"/>
        <v>14040</v>
      </c>
      <c r="B14041" s="845" t="s">
        <v>2564</v>
      </c>
      <c r="C14041" s="1007">
        <f t="shared" si="309"/>
        <v>118</v>
      </c>
      <c r="D14041" s="1014"/>
      <c r="I14041" s="1011" t="str">
        <f>CONCATENATE("&lt;valeur&gt;",VLOOKUP(C14041,'T16 Amort'!A:K,2,0),"&lt;/valeur&gt;")</f>
        <v>&lt;valeur&gt;&lt;/valeur&gt;</v>
      </c>
      <c r="K14041" s="1013"/>
    </row>
    <row r="14042" spans="1:11" s="1011" customFormat="1" ht="15" x14ac:dyDescent="0.25">
      <c r="A14042" s="859">
        <f t="shared" si="310"/>
        <v>14041</v>
      </c>
      <c r="B14042" s="845" t="s">
        <v>2564</v>
      </c>
      <c r="C14042" s="1007">
        <f t="shared" si="309"/>
        <v>118</v>
      </c>
      <c r="D14042" s="1014"/>
      <c r="I14042" s="1011" t="str">
        <f>CONCATENATE("&lt;numeroLigne&gt;",C14042,"&lt;/numeroLigne&gt;")</f>
        <v>&lt;numeroLigne&gt;118&lt;/numeroLigne&gt;</v>
      </c>
      <c r="K14042" s="1013"/>
    </row>
    <row r="14043" spans="1:11" s="1011" customFormat="1" ht="15" x14ac:dyDescent="0.25">
      <c r="A14043" s="859">
        <f t="shared" si="310"/>
        <v>14042</v>
      </c>
      <c r="B14043" s="845" t="s">
        <v>2564</v>
      </c>
      <c r="C14043" s="1007">
        <f t="shared" si="309"/>
        <v>118</v>
      </c>
      <c r="D14043" s="1012"/>
      <c r="H14043" s="1011" t="s">
        <v>1010</v>
      </c>
      <c r="K14043" s="1013"/>
    </row>
    <row r="14044" spans="1:11" s="1011" customFormat="1" ht="15" x14ac:dyDescent="0.25">
      <c r="A14044" s="859">
        <f t="shared" si="310"/>
        <v>14043</v>
      </c>
      <c r="B14044" s="845" t="s">
        <v>2564</v>
      </c>
      <c r="C14044" s="1007">
        <f t="shared" si="309"/>
        <v>118</v>
      </c>
      <c r="D14044" s="1015"/>
      <c r="H14044" s="1011" t="s">
        <v>1007</v>
      </c>
      <c r="K14044" s="1013"/>
    </row>
    <row r="14045" spans="1:11" s="1011" customFormat="1" ht="15" x14ac:dyDescent="0.25">
      <c r="A14045" s="859">
        <f t="shared" si="310"/>
        <v>14044</v>
      </c>
      <c r="B14045" s="845" t="s">
        <v>2564</v>
      </c>
      <c r="C14045" s="1007">
        <f t="shared" si="309"/>
        <v>118</v>
      </c>
      <c r="D14045" s="1012"/>
      <c r="I14045" s="1011" t="s">
        <v>2175</v>
      </c>
      <c r="K14045" s="1013"/>
    </row>
    <row r="14046" spans="1:11" s="1011" customFormat="1" ht="15" x14ac:dyDescent="0.25">
      <c r="A14046" s="859">
        <f t="shared" si="310"/>
        <v>14045</v>
      </c>
      <c r="B14046" s="845" t="s">
        <v>2564</v>
      </c>
      <c r="C14046" s="1007">
        <f t="shared" si="309"/>
        <v>118</v>
      </c>
      <c r="D14046" s="1012"/>
      <c r="I14046" s="1011" t="str">
        <f>CONCATENATE("&lt;valeur&gt;",VLOOKUP(C14046,'T16 Amort'!A:K,3,0),"&lt;/valeur&gt;")</f>
        <v>&lt;valeur&gt;&lt;/valeur&gt;</v>
      </c>
      <c r="K14046" s="1013"/>
    </row>
    <row r="14047" spans="1:11" s="1011" customFormat="1" ht="15" x14ac:dyDescent="0.25">
      <c r="A14047" s="859">
        <f t="shared" si="310"/>
        <v>14046</v>
      </c>
      <c r="B14047" s="845" t="s">
        <v>2564</v>
      </c>
      <c r="C14047" s="1007">
        <f t="shared" si="309"/>
        <v>118</v>
      </c>
      <c r="D14047" s="1014"/>
      <c r="I14047" s="1011" t="str">
        <f>CONCATENATE("&lt;numeroLigne&gt;",C14047,"&lt;/numeroLigne&gt;")</f>
        <v>&lt;numeroLigne&gt;118&lt;/numeroLigne&gt;</v>
      </c>
      <c r="K14047" s="1013"/>
    </row>
    <row r="14048" spans="1:11" s="1011" customFormat="1" ht="15" x14ac:dyDescent="0.25">
      <c r="A14048" s="859">
        <f t="shared" si="310"/>
        <v>14047</v>
      </c>
      <c r="B14048" s="845" t="s">
        <v>2564</v>
      </c>
      <c r="C14048" s="1007">
        <f t="shared" si="309"/>
        <v>118</v>
      </c>
      <c r="D14048" s="1014"/>
      <c r="H14048" s="1011" t="s">
        <v>1010</v>
      </c>
      <c r="K14048" s="1013"/>
    </row>
    <row r="14049" spans="1:11" s="1011" customFormat="1" ht="15" x14ac:dyDescent="0.25">
      <c r="A14049" s="859">
        <f t="shared" si="310"/>
        <v>14048</v>
      </c>
      <c r="B14049" s="845" t="s">
        <v>2564</v>
      </c>
      <c r="C14049" s="1007">
        <f t="shared" si="309"/>
        <v>118</v>
      </c>
      <c r="D14049" s="1012"/>
      <c r="H14049" s="1011" t="s">
        <v>1007</v>
      </c>
      <c r="K14049" s="1013"/>
    </row>
    <row r="14050" spans="1:11" s="1011" customFormat="1" ht="15" x14ac:dyDescent="0.25">
      <c r="A14050" s="859">
        <f t="shared" si="310"/>
        <v>14049</v>
      </c>
      <c r="B14050" s="845" t="s">
        <v>2564</v>
      </c>
      <c r="C14050" s="1007">
        <f t="shared" si="309"/>
        <v>118</v>
      </c>
      <c r="D14050" s="1015"/>
      <c r="I14050" s="1011" t="s">
        <v>2176</v>
      </c>
      <c r="K14050" s="1013"/>
    </row>
    <row r="14051" spans="1:11" s="1011" customFormat="1" ht="15" x14ac:dyDescent="0.25">
      <c r="A14051" s="859">
        <f t="shared" si="310"/>
        <v>14050</v>
      </c>
      <c r="B14051" s="845" t="s">
        <v>2564</v>
      </c>
      <c r="C14051" s="1007">
        <f t="shared" si="309"/>
        <v>118</v>
      </c>
      <c r="D14051" s="1012"/>
      <c r="I14051" s="1011" t="str">
        <f>CONCATENATE("&lt;valeur&gt;",VLOOKUP(C14051,'T16 Amort'!A:K,4,0),"&lt;/valeur&gt;")</f>
        <v>&lt;valeur&gt;&lt;/valeur&gt;</v>
      </c>
      <c r="K14051" s="1013"/>
    </row>
    <row r="14052" spans="1:11" s="1011" customFormat="1" ht="15" x14ac:dyDescent="0.25">
      <c r="A14052" s="859">
        <f t="shared" si="310"/>
        <v>14051</v>
      </c>
      <c r="B14052" s="845" t="s">
        <v>2564</v>
      </c>
      <c r="C14052" s="1007">
        <f t="shared" si="309"/>
        <v>118</v>
      </c>
      <c r="D14052" s="1012"/>
      <c r="I14052" s="1011" t="str">
        <f>CONCATENATE("&lt;numeroLigne&gt;",C14052,"&lt;/numeroLigne&gt;")</f>
        <v>&lt;numeroLigne&gt;118&lt;/numeroLigne&gt;</v>
      </c>
      <c r="K14052" s="1013"/>
    </row>
    <row r="14053" spans="1:11" s="1011" customFormat="1" ht="15" x14ac:dyDescent="0.25">
      <c r="A14053" s="859">
        <f t="shared" si="310"/>
        <v>14052</v>
      </c>
      <c r="B14053" s="845" t="s">
        <v>2564</v>
      </c>
      <c r="C14053" s="1007">
        <f t="shared" si="309"/>
        <v>118</v>
      </c>
      <c r="D14053" s="1014"/>
      <c r="H14053" s="1011" t="s">
        <v>1010</v>
      </c>
      <c r="K14053" s="1013"/>
    </row>
    <row r="14054" spans="1:11" s="1011" customFormat="1" ht="15" x14ac:dyDescent="0.25">
      <c r="A14054" s="859">
        <f t="shared" si="310"/>
        <v>14053</v>
      </c>
      <c r="B14054" s="845" t="s">
        <v>2564</v>
      </c>
      <c r="C14054" s="1007">
        <f t="shared" si="309"/>
        <v>118</v>
      </c>
      <c r="D14054" s="1014"/>
      <c r="H14054" s="1011" t="s">
        <v>1007</v>
      </c>
      <c r="K14054" s="1013"/>
    </row>
    <row r="14055" spans="1:11" s="1011" customFormat="1" ht="15" x14ac:dyDescent="0.25">
      <c r="A14055" s="859">
        <f t="shared" si="310"/>
        <v>14054</v>
      </c>
      <c r="B14055" s="845" t="s">
        <v>2564</v>
      </c>
      <c r="C14055" s="1007">
        <f t="shared" si="309"/>
        <v>118</v>
      </c>
      <c r="D14055" s="1012"/>
      <c r="I14055" s="1011" t="s">
        <v>2177</v>
      </c>
      <c r="K14055" s="1013"/>
    </row>
    <row r="14056" spans="1:11" s="1011" customFormat="1" ht="15" x14ac:dyDescent="0.25">
      <c r="A14056" s="859">
        <f t="shared" si="310"/>
        <v>14055</v>
      </c>
      <c r="B14056" s="845" t="s">
        <v>2564</v>
      </c>
      <c r="C14056" s="1007">
        <f t="shared" si="309"/>
        <v>118</v>
      </c>
      <c r="D14056" s="1015"/>
      <c r="I14056" s="1011" t="str">
        <f>CONCATENATE("&lt;valeur&gt;",VLOOKUP(C14056,'T16 Amort'!A:K,5,0),"&lt;/valeur&gt;")</f>
        <v>&lt;valeur&gt;&lt;/valeur&gt;</v>
      </c>
      <c r="K14056" s="1013"/>
    </row>
    <row r="14057" spans="1:11" s="1011" customFormat="1" ht="15" x14ac:dyDescent="0.25">
      <c r="A14057" s="859">
        <f t="shared" si="310"/>
        <v>14056</v>
      </c>
      <c r="B14057" s="845" t="s">
        <v>2564</v>
      </c>
      <c r="C14057" s="1007">
        <f t="shared" si="309"/>
        <v>118</v>
      </c>
      <c r="D14057" s="1012"/>
      <c r="I14057" s="1011" t="str">
        <f>CONCATENATE("&lt;numeroLigne&gt;",C14057,"&lt;/numeroLigne&gt;")</f>
        <v>&lt;numeroLigne&gt;118&lt;/numeroLigne&gt;</v>
      </c>
      <c r="K14057" s="1013"/>
    </row>
    <row r="14058" spans="1:11" s="1011" customFormat="1" ht="15" x14ac:dyDescent="0.25">
      <c r="A14058" s="859">
        <f t="shared" si="310"/>
        <v>14057</v>
      </c>
      <c r="B14058" s="845" t="s">
        <v>2564</v>
      </c>
      <c r="C14058" s="1007">
        <f t="shared" si="309"/>
        <v>118</v>
      </c>
      <c r="D14058" s="1012"/>
      <c r="H14058" s="1011" t="s">
        <v>1010</v>
      </c>
      <c r="K14058" s="1013"/>
    </row>
    <row r="14059" spans="1:11" s="1011" customFormat="1" ht="15" x14ac:dyDescent="0.25">
      <c r="A14059" s="859">
        <f t="shared" si="310"/>
        <v>14058</v>
      </c>
      <c r="B14059" s="845" t="s">
        <v>2564</v>
      </c>
      <c r="C14059" s="1007">
        <f t="shared" si="309"/>
        <v>118</v>
      </c>
      <c r="D14059" s="1014"/>
      <c r="H14059" s="1011" t="s">
        <v>1007</v>
      </c>
      <c r="K14059" s="1013"/>
    </row>
    <row r="14060" spans="1:11" s="1011" customFormat="1" ht="15" x14ac:dyDescent="0.25">
      <c r="A14060" s="859">
        <f t="shared" si="310"/>
        <v>14059</v>
      </c>
      <c r="B14060" s="845" t="s">
        <v>2564</v>
      </c>
      <c r="C14060" s="1007">
        <f t="shared" si="309"/>
        <v>118</v>
      </c>
      <c r="D14060" s="1014"/>
      <c r="I14060" s="1011" t="s">
        <v>2178</v>
      </c>
      <c r="K14060" s="1013"/>
    </row>
    <row r="14061" spans="1:11" s="1011" customFormat="1" ht="15" x14ac:dyDescent="0.25">
      <c r="A14061" s="859">
        <f t="shared" si="310"/>
        <v>14060</v>
      </c>
      <c r="B14061" s="845" t="s">
        <v>2564</v>
      </c>
      <c r="C14061" s="1007">
        <f t="shared" si="309"/>
        <v>118</v>
      </c>
      <c r="D14061" s="1012"/>
      <c r="I14061" s="1011" t="str">
        <f>CONCATENATE("&lt;valeur&gt;",VLOOKUP(C14061,'T16 Amort'!A:K,6,0),"&lt;/valeur&gt;")</f>
        <v>&lt;valeur&gt;&lt;/valeur&gt;</v>
      </c>
      <c r="K14061" s="1013"/>
    </row>
    <row r="14062" spans="1:11" s="1011" customFormat="1" ht="15" x14ac:dyDescent="0.25">
      <c r="A14062" s="859">
        <f t="shared" si="310"/>
        <v>14061</v>
      </c>
      <c r="B14062" s="845" t="s">
        <v>2564</v>
      </c>
      <c r="C14062" s="1007">
        <f t="shared" si="309"/>
        <v>118</v>
      </c>
      <c r="D14062" s="1015"/>
      <c r="I14062" s="1011" t="str">
        <f>CONCATENATE("&lt;numeroLigne&gt;",C14062,"&lt;/numeroLigne&gt;")</f>
        <v>&lt;numeroLigne&gt;118&lt;/numeroLigne&gt;</v>
      </c>
      <c r="K14062" s="1013"/>
    </row>
    <row r="14063" spans="1:11" s="1011" customFormat="1" ht="15" x14ac:dyDescent="0.25">
      <c r="A14063" s="859">
        <f t="shared" si="310"/>
        <v>14062</v>
      </c>
      <c r="B14063" s="845" t="s">
        <v>2564</v>
      </c>
      <c r="C14063" s="1007">
        <f t="shared" ref="C14063:C14126" si="311">C14013+1</f>
        <v>118</v>
      </c>
      <c r="D14063" s="1012"/>
      <c r="H14063" s="1011" t="s">
        <v>1010</v>
      </c>
      <c r="K14063" s="1013"/>
    </row>
    <row r="14064" spans="1:11" s="1011" customFormat="1" ht="15" x14ac:dyDescent="0.25">
      <c r="A14064" s="859">
        <f t="shared" si="310"/>
        <v>14063</v>
      </c>
      <c r="B14064" s="845" t="s">
        <v>2564</v>
      </c>
      <c r="C14064" s="1007">
        <f t="shared" si="311"/>
        <v>118</v>
      </c>
      <c r="D14064" s="1012"/>
      <c r="H14064" s="1011" t="s">
        <v>1007</v>
      </c>
      <c r="K14064" s="1013"/>
    </row>
    <row r="14065" spans="1:11" s="1011" customFormat="1" ht="15" x14ac:dyDescent="0.25">
      <c r="A14065" s="859">
        <f t="shared" si="310"/>
        <v>14064</v>
      </c>
      <c r="B14065" s="845" t="s">
        <v>2564</v>
      </c>
      <c r="C14065" s="1007">
        <f t="shared" si="311"/>
        <v>118</v>
      </c>
      <c r="D14065" s="1014"/>
      <c r="I14065" s="1011" t="s">
        <v>2179</v>
      </c>
      <c r="K14065" s="1013"/>
    </row>
    <row r="14066" spans="1:11" s="1011" customFormat="1" ht="15" x14ac:dyDescent="0.25">
      <c r="A14066" s="859">
        <f t="shared" si="310"/>
        <v>14065</v>
      </c>
      <c r="B14066" s="845" t="s">
        <v>2564</v>
      </c>
      <c r="C14066" s="1007">
        <f t="shared" si="311"/>
        <v>118</v>
      </c>
      <c r="D14066" s="1014"/>
      <c r="I14066" s="1011" t="str">
        <f>CONCATENATE("&lt;valeur&gt;",VLOOKUP(C14066,'T16 Amort'!A:K,7,0),"&lt;/valeur&gt;")</f>
        <v>&lt;valeur&gt;&lt;/valeur&gt;</v>
      </c>
      <c r="K14066" s="1013"/>
    </row>
    <row r="14067" spans="1:11" s="1011" customFormat="1" ht="15" x14ac:dyDescent="0.25">
      <c r="A14067" s="859">
        <f t="shared" si="310"/>
        <v>14066</v>
      </c>
      <c r="B14067" s="845" t="s">
        <v>2564</v>
      </c>
      <c r="C14067" s="1007">
        <f t="shared" si="311"/>
        <v>118</v>
      </c>
      <c r="D14067" s="1012"/>
      <c r="I14067" s="1011" t="str">
        <f>CONCATENATE("&lt;numeroLigne&gt;",C14067,"&lt;/numeroLigne&gt;")</f>
        <v>&lt;numeroLigne&gt;118&lt;/numeroLigne&gt;</v>
      </c>
      <c r="K14067" s="1013"/>
    </row>
    <row r="14068" spans="1:11" s="1011" customFormat="1" ht="15" x14ac:dyDescent="0.25">
      <c r="A14068" s="859">
        <f t="shared" si="310"/>
        <v>14067</v>
      </c>
      <c r="B14068" s="845" t="s">
        <v>2564</v>
      </c>
      <c r="C14068" s="1007">
        <f t="shared" si="311"/>
        <v>118</v>
      </c>
      <c r="D14068" s="1015"/>
      <c r="H14068" s="1011" t="s">
        <v>1010</v>
      </c>
      <c r="K14068" s="1013"/>
    </row>
    <row r="14069" spans="1:11" s="1011" customFormat="1" ht="15" x14ac:dyDescent="0.25">
      <c r="A14069" s="859">
        <f t="shared" si="310"/>
        <v>14068</v>
      </c>
      <c r="B14069" s="845" t="s">
        <v>2564</v>
      </c>
      <c r="C14069" s="1007">
        <f t="shared" si="311"/>
        <v>118</v>
      </c>
      <c r="D14069" s="1012"/>
      <c r="H14069" s="1011" t="s">
        <v>1007</v>
      </c>
      <c r="K14069" s="1013"/>
    </row>
    <row r="14070" spans="1:11" s="1011" customFormat="1" ht="15" x14ac:dyDescent="0.25">
      <c r="A14070" s="859">
        <f t="shared" si="310"/>
        <v>14069</v>
      </c>
      <c r="B14070" s="845" t="s">
        <v>2564</v>
      </c>
      <c r="C14070" s="1007">
        <f t="shared" si="311"/>
        <v>118</v>
      </c>
      <c r="D14070" s="1012"/>
      <c r="I14070" s="1011" t="s">
        <v>2180</v>
      </c>
      <c r="K14070" s="1013"/>
    </row>
    <row r="14071" spans="1:11" s="1011" customFormat="1" ht="15" x14ac:dyDescent="0.25">
      <c r="A14071" s="859">
        <f t="shared" si="310"/>
        <v>14070</v>
      </c>
      <c r="B14071" s="845" t="s">
        <v>2564</v>
      </c>
      <c r="C14071" s="1007">
        <f t="shared" si="311"/>
        <v>118</v>
      </c>
      <c r="D14071" s="1014"/>
      <c r="I14071" s="1011" t="str">
        <f>CONCATENATE("&lt;valeur&gt;",VLOOKUP(C14071,'T16 Amort'!A:K,8,0),"&lt;/valeur&gt;")</f>
        <v>&lt;valeur&gt;&lt;/valeur&gt;</v>
      </c>
      <c r="K14071" s="1013"/>
    </row>
    <row r="14072" spans="1:11" s="1011" customFormat="1" ht="15" x14ac:dyDescent="0.25">
      <c r="A14072" s="859">
        <f t="shared" si="310"/>
        <v>14071</v>
      </c>
      <c r="B14072" s="845" t="s">
        <v>2564</v>
      </c>
      <c r="C14072" s="1007">
        <f t="shared" si="311"/>
        <v>118</v>
      </c>
      <c r="D14072" s="1014"/>
      <c r="I14072" s="1011" t="str">
        <f>CONCATENATE("&lt;numeroLigne&gt;",C14072,"&lt;/numeroLigne&gt;")</f>
        <v>&lt;numeroLigne&gt;118&lt;/numeroLigne&gt;</v>
      </c>
      <c r="K14072" s="1013"/>
    </row>
    <row r="14073" spans="1:11" s="1011" customFormat="1" ht="15" x14ac:dyDescent="0.25">
      <c r="A14073" s="859">
        <f t="shared" si="310"/>
        <v>14072</v>
      </c>
      <c r="B14073" s="845" t="s">
        <v>2564</v>
      </c>
      <c r="C14073" s="1007">
        <f t="shared" si="311"/>
        <v>118</v>
      </c>
      <c r="D14073" s="1012"/>
      <c r="H14073" s="1011" t="s">
        <v>1010</v>
      </c>
      <c r="K14073" s="1013"/>
    </row>
    <row r="14074" spans="1:11" s="1011" customFormat="1" ht="15" x14ac:dyDescent="0.25">
      <c r="A14074" s="859">
        <f t="shared" si="310"/>
        <v>14073</v>
      </c>
      <c r="B14074" s="845" t="s">
        <v>2564</v>
      </c>
      <c r="C14074" s="1007">
        <f t="shared" si="311"/>
        <v>118</v>
      </c>
      <c r="D14074" s="1015"/>
      <c r="H14074" s="1011" t="s">
        <v>1007</v>
      </c>
      <c r="K14074" s="1013"/>
    </row>
    <row r="14075" spans="1:11" s="1011" customFormat="1" ht="15" x14ac:dyDescent="0.25">
      <c r="A14075" s="859">
        <f t="shared" si="310"/>
        <v>14074</v>
      </c>
      <c r="B14075" s="845" t="s">
        <v>2564</v>
      </c>
      <c r="C14075" s="1007">
        <f t="shared" si="311"/>
        <v>118</v>
      </c>
      <c r="D14075" s="1012"/>
      <c r="I14075" s="1011" t="s">
        <v>2181</v>
      </c>
      <c r="K14075" s="1013"/>
    </row>
    <row r="14076" spans="1:11" s="1011" customFormat="1" ht="15" x14ac:dyDescent="0.25">
      <c r="A14076" s="859">
        <f t="shared" si="310"/>
        <v>14075</v>
      </c>
      <c r="B14076" s="845" t="s">
        <v>2564</v>
      </c>
      <c r="C14076" s="1007">
        <f t="shared" si="311"/>
        <v>118</v>
      </c>
      <c r="D14076" s="1012"/>
      <c r="I14076" s="1011" t="str">
        <f>CONCATENATE("&lt;valeur&gt;",VLOOKUP(C14076,'T16 Amort'!A:K,9,0),"&lt;/valeur&gt;")</f>
        <v>&lt;valeur&gt;&lt;/valeur&gt;</v>
      </c>
      <c r="K14076" s="1013"/>
    </row>
    <row r="14077" spans="1:11" s="1011" customFormat="1" ht="15" x14ac:dyDescent="0.25">
      <c r="A14077" s="859">
        <f t="shared" si="310"/>
        <v>14076</v>
      </c>
      <c r="B14077" s="845" t="s">
        <v>2564</v>
      </c>
      <c r="C14077" s="1007">
        <f t="shared" si="311"/>
        <v>118</v>
      </c>
      <c r="D14077" s="1014"/>
      <c r="I14077" s="1011" t="str">
        <f>CONCATENATE("&lt;numeroLigne&gt;",C14077,"&lt;/numeroLigne&gt;")</f>
        <v>&lt;numeroLigne&gt;118&lt;/numeroLigne&gt;</v>
      </c>
      <c r="K14077" s="1013"/>
    </row>
    <row r="14078" spans="1:11" s="1011" customFormat="1" ht="15" x14ac:dyDescent="0.25">
      <c r="A14078" s="859">
        <f t="shared" si="310"/>
        <v>14077</v>
      </c>
      <c r="B14078" s="845" t="s">
        <v>2564</v>
      </c>
      <c r="C14078" s="1007">
        <f t="shared" si="311"/>
        <v>118</v>
      </c>
      <c r="D14078" s="1014"/>
      <c r="H14078" s="1011" t="s">
        <v>1010</v>
      </c>
      <c r="K14078" s="1013"/>
    </row>
    <row r="14079" spans="1:11" s="1011" customFormat="1" ht="15" x14ac:dyDescent="0.25">
      <c r="A14079" s="859">
        <f t="shared" si="310"/>
        <v>14078</v>
      </c>
      <c r="B14079" s="845" t="s">
        <v>2564</v>
      </c>
      <c r="C14079" s="1007">
        <f t="shared" si="311"/>
        <v>118</v>
      </c>
      <c r="D14079" s="1012"/>
      <c r="H14079" s="1011" t="s">
        <v>1007</v>
      </c>
      <c r="K14079" s="1013"/>
    </row>
    <row r="14080" spans="1:11" s="1011" customFormat="1" ht="15" x14ac:dyDescent="0.25">
      <c r="A14080" s="859">
        <f t="shared" si="310"/>
        <v>14079</v>
      </c>
      <c r="B14080" s="845" t="s">
        <v>2564</v>
      </c>
      <c r="C14080" s="1007">
        <f t="shared" si="311"/>
        <v>118</v>
      </c>
      <c r="D14080" s="1015"/>
      <c r="I14080" s="1011" t="s">
        <v>2182</v>
      </c>
      <c r="K14080" s="1013"/>
    </row>
    <row r="14081" spans="1:11" s="1011" customFormat="1" ht="15" x14ac:dyDescent="0.25">
      <c r="A14081" s="859">
        <f t="shared" si="310"/>
        <v>14080</v>
      </c>
      <c r="B14081" s="845" t="s">
        <v>2564</v>
      </c>
      <c r="C14081" s="1007">
        <f t="shared" si="311"/>
        <v>118</v>
      </c>
      <c r="D14081" s="1012"/>
      <c r="I14081" s="1011" t="str">
        <f>CONCATENATE("&lt;valeur&gt;",VLOOKUP(C14081,'T16 Amort'!A:K,10,0),"&lt;/valeur&gt;")</f>
        <v>&lt;valeur&gt;&lt;/valeur&gt;</v>
      </c>
      <c r="K14081" s="1013"/>
    </row>
    <row r="14082" spans="1:11" s="1011" customFormat="1" ht="15" x14ac:dyDescent="0.25">
      <c r="A14082" s="859">
        <f t="shared" si="310"/>
        <v>14081</v>
      </c>
      <c r="B14082" s="845" t="s">
        <v>2564</v>
      </c>
      <c r="C14082" s="1007">
        <f t="shared" si="311"/>
        <v>118</v>
      </c>
      <c r="D14082" s="1012"/>
      <c r="I14082" s="1011" t="str">
        <f>CONCATENATE("&lt;numeroLigne&gt;",C14082,"&lt;/numeroLigne&gt;")</f>
        <v>&lt;numeroLigne&gt;118&lt;/numeroLigne&gt;</v>
      </c>
      <c r="K14082" s="1013"/>
    </row>
    <row r="14083" spans="1:11" s="1011" customFormat="1" ht="15" x14ac:dyDescent="0.25">
      <c r="A14083" s="859">
        <f t="shared" si="310"/>
        <v>14082</v>
      </c>
      <c r="B14083" s="845" t="s">
        <v>2564</v>
      </c>
      <c r="C14083" s="1007">
        <f t="shared" si="311"/>
        <v>118</v>
      </c>
      <c r="D14083" s="1014"/>
      <c r="H14083" s="1011" t="s">
        <v>1010</v>
      </c>
      <c r="K14083" s="1013"/>
    </row>
    <row r="14084" spans="1:11" s="1011" customFormat="1" ht="15" x14ac:dyDescent="0.25">
      <c r="A14084" s="859">
        <f t="shared" ref="A14084:A14147" si="312">+A14083+1</f>
        <v>14083</v>
      </c>
      <c r="B14084" s="845" t="s">
        <v>2564</v>
      </c>
      <c r="C14084" s="1007">
        <f t="shared" si="311"/>
        <v>118</v>
      </c>
      <c r="D14084" s="1014"/>
      <c r="H14084" s="1011" t="s">
        <v>1007</v>
      </c>
      <c r="K14084" s="1013"/>
    </row>
    <row r="14085" spans="1:11" s="1011" customFormat="1" ht="15" x14ac:dyDescent="0.25">
      <c r="A14085" s="859">
        <f t="shared" si="312"/>
        <v>14084</v>
      </c>
      <c r="B14085" s="845" t="s">
        <v>2564</v>
      </c>
      <c r="C14085" s="1007">
        <f t="shared" si="311"/>
        <v>118</v>
      </c>
      <c r="D14085" s="1012"/>
      <c r="I14085" s="1011" t="s">
        <v>2183</v>
      </c>
      <c r="K14085" s="1013"/>
    </row>
    <row r="14086" spans="1:11" s="1011" customFormat="1" ht="15" x14ac:dyDescent="0.25">
      <c r="A14086" s="859">
        <f t="shared" si="312"/>
        <v>14085</v>
      </c>
      <c r="B14086" s="845" t="s">
        <v>2564</v>
      </c>
      <c r="C14086" s="1007">
        <f t="shared" si="311"/>
        <v>118</v>
      </c>
      <c r="D14086" s="1015"/>
      <c r="I14086" s="1011" t="str">
        <f>CONCATENATE("&lt;valeur&gt;",VLOOKUP(C14086,'T16 Amort'!A:K,11,0),"&lt;/valeur&gt;")</f>
        <v>&lt;valeur&gt;&lt;/valeur&gt;</v>
      </c>
      <c r="K14086" s="1013"/>
    </row>
    <row r="14087" spans="1:11" s="1011" customFormat="1" ht="15" x14ac:dyDescent="0.25">
      <c r="A14087" s="859">
        <f t="shared" si="312"/>
        <v>14086</v>
      </c>
      <c r="B14087" s="845" t="s">
        <v>2564</v>
      </c>
      <c r="C14087" s="1007">
        <f t="shared" si="311"/>
        <v>118</v>
      </c>
      <c r="D14087" s="1012"/>
      <c r="I14087" s="1011" t="str">
        <f>CONCATENATE("&lt;numeroLigne&gt;",C14087,"&lt;/numeroLigne&gt;")</f>
        <v>&lt;numeroLigne&gt;118&lt;/numeroLigne&gt;</v>
      </c>
      <c r="K14087" s="1013"/>
    </row>
    <row r="14088" spans="1:11" s="1011" customFormat="1" ht="15" x14ac:dyDescent="0.25">
      <c r="A14088" s="859">
        <f t="shared" si="312"/>
        <v>14087</v>
      </c>
      <c r="B14088" s="845" t="s">
        <v>2564</v>
      </c>
      <c r="C14088" s="1007">
        <f t="shared" si="311"/>
        <v>118</v>
      </c>
      <c r="D14088" s="1016"/>
      <c r="E14088" s="1017"/>
      <c r="F14088" s="1017"/>
      <c r="G14088" s="1017"/>
      <c r="H14088" s="1017" t="s">
        <v>1010</v>
      </c>
      <c r="I14088" s="1017"/>
      <c r="J14088" s="1017"/>
      <c r="K14088" s="1018"/>
    </row>
    <row r="14089" spans="1:11" s="1011" customFormat="1" ht="15" x14ac:dyDescent="0.25">
      <c r="A14089" s="859">
        <f t="shared" si="312"/>
        <v>14088</v>
      </c>
      <c r="B14089" s="845" t="s">
        <v>2564</v>
      </c>
      <c r="C14089" s="1007">
        <f t="shared" si="311"/>
        <v>119</v>
      </c>
      <c r="D14089" s="1008"/>
      <c r="E14089" s="1009"/>
      <c r="F14089" s="1009"/>
      <c r="G14089" s="1009"/>
      <c r="H14089" s="1009" t="s">
        <v>1007</v>
      </c>
      <c r="I14089" s="1009"/>
      <c r="J14089" s="1009"/>
      <c r="K14089" s="1010"/>
    </row>
    <row r="14090" spans="1:11" s="1011" customFormat="1" ht="15" x14ac:dyDescent="0.25">
      <c r="A14090" s="859">
        <f t="shared" si="312"/>
        <v>14089</v>
      </c>
      <c r="B14090" s="845" t="s">
        <v>2564</v>
      </c>
      <c r="C14090" s="1007">
        <f t="shared" si="311"/>
        <v>119</v>
      </c>
      <c r="D14090" s="1012"/>
      <c r="I14090" s="1011" t="s">
        <v>2174</v>
      </c>
      <c r="K14090" s="1013"/>
    </row>
    <row r="14091" spans="1:11" s="1011" customFormat="1" ht="15" x14ac:dyDescent="0.25">
      <c r="A14091" s="859">
        <f t="shared" si="312"/>
        <v>14090</v>
      </c>
      <c r="B14091" s="845" t="s">
        <v>2564</v>
      </c>
      <c r="C14091" s="1007">
        <f t="shared" si="311"/>
        <v>119</v>
      </c>
      <c r="D14091" s="1014"/>
      <c r="I14091" s="1011" t="str">
        <f>CONCATENATE("&lt;valeur&gt;",VLOOKUP(C14091,'T16 Amort'!A:K,2,0),"&lt;/valeur&gt;")</f>
        <v>&lt;valeur&gt;&lt;/valeur&gt;</v>
      </c>
      <c r="K14091" s="1013"/>
    </row>
    <row r="14092" spans="1:11" s="1011" customFormat="1" ht="15" x14ac:dyDescent="0.25">
      <c r="A14092" s="859">
        <f t="shared" si="312"/>
        <v>14091</v>
      </c>
      <c r="B14092" s="845" t="s">
        <v>2564</v>
      </c>
      <c r="C14092" s="1007">
        <f t="shared" si="311"/>
        <v>119</v>
      </c>
      <c r="D14092" s="1014"/>
      <c r="I14092" s="1011" t="str">
        <f>CONCATENATE("&lt;numeroLigne&gt;",C14092,"&lt;/numeroLigne&gt;")</f>
        <v>&lt;numeroLigne&gt;119&lt;/numeroLigne&gt;</v>
      </c>
      <c r="K14092" s="1013"/>
    </row>
    <row r="14093" spans="1:11" s="1011" customFormat="1" ht="15" x14ac:dyDescent="0.25">
      <c r="A14093" s="859">
        <f t="shared" si="312"/>
        <v>14092</v>
      </c>
      <c r="B14093" s="845" t="s">
        <v>2564</v>
      </c>
      <c r="C14093" s="1007">
        <f t="shared" si="311"/>
        <v>119</v>
      </c>
      <c r="D14093" s="1012"/>
      <c r="H14093" s="1011" t="s">
        <v>1010</v>
      </c>
      <c r="K14093" s="1013"/>
    </row>
    <row r="14094" spans="1:11" s="1011" customFormat="1" ht="15" x14ac:dyDescent="0.25">
      <c r="A14094" s="859">
        <f t="shared" si="312"/>
        <v>14093</v>
      </c>
      <c r="B14094" s="845" t="s">
        <v>2564</v>
      </c>
      <c r="C14094" s="1007">
        <f t="shared" si="311"/>
        <v>119</v>
      </c>
      <c r="D14094" s="1015"/>
      <c r="H14094" s="1011" t="s">
        <v>1007</v>
      </c>
      <c r="K14094" s="1013"/>
    </row>
    <row r="14095" spans="1:11" s="1011" customFormat="1" ht="15" x14ac:dyDescent="0.25">
      <c r="A14095" s="859">
        <f t="shared" si="312"/>
        <v>14094</v>
      </c>
      <c r="B14095" s="845" t="s">
        <v>2564</v>
      </c>
      <c r="C14095" s="1007">
        <f t="shared" si="311"/>
        <v>119</v>
      </c>
      <c r="D14095" s="1012"/>
      <c r="I14095" s="1011" t="s">
        <v>2175</v>
      </c>
      <c r="K14095" s="1013"/>
    </row>
    <row r="14096" spans="1:11" s="1011" customFormat="1" ht="15" x14ac:dyDescent="0.25">
      <c r="A14096" s="859">
        <f t="shared" si="312"/>
        <v>14095</v>
      </c>
      <c r="B14096" s="845" t="s">
        <v>2564</v>
      </c>
      <c r="C14096" s="1007">
        <f t="shared" si="311"/>
        <v>119</v>
      </c>
      <c r="D14096" s="1012"/>
      <c r="I14096" s="1011" t="str">
        <f>CONCATENATE("&lt;valeur&gt;",VLOOKUP(C14096,'T16 Amort'!A:K,3,0),"&lt;/valeur&gt;")</f>
        <v>&lt;valeur&gt;&lt;/valeur&gt;</v>
      </c>
      <c r="K14096" s="1013"/>
    </row>
    <row r="14097" spans="1:11" s="1011" customFormat="1" ht="15" x14ac:dyDescent="0.25">
      <c r="A14097" s="859">
        <f t="shared" si="312"/>
        <v>14096</v>
      </c>
      <c r="B14097" s="845" t="s">
        <v>2564</v>
      </c>
      <c r="C14097" s="1007">
        <f t="shared" si="311"/>
        <v>119</v>
      </c>
      <c r="D14097" s="1014"/>
      <c r="I14097" s="1011" t="str">
        <f>CONCATENATE("&lt;numeroLigne&gt;",C14097,"&lt;/numeroLigne&gt;")</f>
        <v>&lt;numeroLigne&gt;119&lt;/numeroLigne&gt;</v>
      </c>
      <c r="K14097" s="1013"/>
    </row>
    <row r="14098" spans="1:11" s="1011" customFormat="1" ht="15" x14ac:dyDescent="0.25">
      <c r="A14098" s="859">
        <f t="shared" si="312"/>
        <v>14097</v>
      </c>
      <c r="B14098" s="845" t="s">
        <v>2564</v>
      </c>
      <c r="C14098" s="1007">
        <f t="shared" si="311"/>
        <v>119</v>
      </c>
      <c r="D14098" s="1014"/>
      <c r="H14098" s="1011" t="s">
        <v>1010</v>
      </c>
      <c r="K14098" s="1013"/>
    </row>
    <row r="14099" spans="1:11" s="1011" customFormat="1" ht="15" x14ac:dyDescent="0.25">
      <c r="A14099" s="859">
        <f t="shared" si="312"/>
        <v>14098</v>
      </c>
      <c r="B14099" s="845" t="s">
        <v>2564</v>
      </c>
      <c r="C14099" s="1007">
        <f t="shared" si="311"/>
        <v>119</v>
      </c>
      <c r="D14099" s="1012"/>
      <c r="H14099" s="1011" t="s">
        <v>1007</v>
      </c>
      <c r="K14099" s="1013"/>
    </row>
    <row r="14100" spans="1:11" s="1011" customFormat="1" ht="15" x14ac:dyDescent="0.25">
      <c r="A14100" s="859">
        <f t="shared" si="312"/>
        <v>14099</v>
      </c>
      <c r="B14100" s="845" t="s">
        <v>2564</v>
      </c>
      <c r="C14100" s="1007">
        <f t="shared" si="311"/>
        <v>119</v>
      </c>
      <c r="D14100" s="1015"/>
      <c r="I14100" s="1011" t="s">
        <v>2176</v>
      </c>
      <c r="K14100" s="1013"/>
    </row>
    <row r="14101" spans="1:11" s="1011" customFormat="1" ht="15" x14ac:dyDescent="0.25">
      <c r="A14101" s="859">
        <f t="shared" si="312"/>
        <v>14100</v>
      </c>
      <c r="B14101" s="845" t="s">
        <v>2564</v>
      </c>
      <c r="C14101" s="1007">
        <f t="shared" si="311"/>
        <v>119</v>
      </c>
      <c r="D14101" s="1012"/>
      <c r="I14101" s="1011" t="str">
        <f>CONCATENATE("&lt;valeur&gt;",VLOOKUP(C14101,'T16 Amort'!A:K,4,0),"&lt;/valeur&gt;")</f>
        <v>&lt;valeur&gt;&lt;/valeur&gt;</v>
      </c>
      <c r="K14101" s="1013"/>
    </row>
    <row r="14102" spans="1:11" s="1011" customFormat="1" ht="15" x14ac:dyDescent="0.25">
      <c r="A14102" s="859">
        <f t="shared" si="312"/>
        <v>14101</v>
      </c>
      <c r="B14102" s="845" t="s">
        <v>2564</v>
      </c>
      <c r="C14102" s="1007">
        <f t="shared" si="311"/>
        <v>119</v>
      </c>
      <c r="D14102" s="1012"/>
      <c r="I14102" s="1011" t="str">
        <f>CONCATENATE("&lt;numeroLigne&gt;",C14102,"&lt;/numeroLigne&gt;")</f>
        <v>&lt;numeroLigne&gt;119&lt;/numeroLigne&gt;</v>
      </c>
      <c r="K14102" s="1013"/>
    </row>
    <row r="14103" spans="1:11" s="1011" customFormat="1" ht="15" x14ac:dyDescent="0.25">
      <c r="A14103" s="859">
        <f t="shared" si="312"/>
        <v>14102</v>
      </c>
      <c r="B14103" s="845" t="s">
        <v>2564</v>
      </c>
      <c r="C14103" s="1007">
        <f t="shared" si="311"/>
        <v>119</v>
      </c>
      <c r="D14103" s="1014"/>
      <c r="H14103" s="1011" t="s">
        <v>1010</v>
      </c>
      <c r="K14103" s="1013"/>
    </row>
    <row r="14104" spans="1:11" s="1011" customFormat="1" ht="15" x14ac:dyDescent="0.25">
      <c r="A14104" s="859">
        <f t="shared" si="312"/>
        <v>14103</v>
      </c>
      <c r="B14104" s="845" t="s">
        <v>2564</v>
      </c>
      <c r="C14104" s="1007">
        <f t="shared" si="311"/>
        <v>119</v>
      </c>
      <c r="D14104" s="1014"/>
      <c r="H14104" s="1011" t="s">
        <v>1007</v>
      </c>
      <c r="K14104" s="1013"/>
    </row>
    <row r="14105" spans="1:11" s="1011" customFormat="1" ht="15" x14ac:dyDescent="0.25">
      <c r="A14105" s="859">
        <f t="shared" si="312"/>
        <v>14104</v>
      </c>
      <c r="B14105" s="845" t="s">
        <v>2564</v>
      </c>
      <c r="C14105" s="1007">
        <f t="shared" si="311"/>
        <v>119</v>
      </c>
      <c r="D14105" s="1012"/>
      <c r="I14105" s="1011" t="s">
        <v>2177</v>
      </c>
      <c r="K14105" s="1013"/>
    </row>
    <row r="14106" spans="1:11" s="1011" customFormat="1" ht="15" x14ac:dyDescent="0.25">
      <c r="A14106" s="859">
        <f t="shared" si="312"/>
        <v>14105</v>
      </c>
      <c r="B14106" s="845" t="s">
        <v>2564</v>
      </c>
      <c r="C14106" s="1007">
        <f t="shared" si="311"/>
        <v>119</v>
      </c>
      <c r="D14106" s="1015"/>
      <c r="I14106" s="1011" t="str">
        <f>CONCATENATE("&lt;valeur&gt;",VLOOKUP(C14106,'T16 Amort'!A:K,5,0),"&lt;/valeur&gt;")</f>
        <v>&lt;valeur&gt;&lt;/valeur&gt;</v>
      </c>
      <c r="K14106" s="1013"/>
    </row>
    <row r="14107" spans="1:11" s="1011" customFormat="1" ht="15" x14ac:dyDescent="0.25">
      <c r="A14107" s="859">
        <f t="shared" si="312"/>
        <v>14106</v>
      </c>
      <c r="B14107" s="845" t="s">
        <v>2564</v>
      </c>
      <c r="C14107" s="1007">
        <f t="shared" si="311"/>
        <v>119</v>
      </c>
      <c r="D14107" s="1012"/>
      <c r="I14107" s="1011" t="str">
        <f>CONCATENATE("&lt;numeroLigne&gt;",C14107,"&lt;/numeroLigne&gt;")</f>
        <v>&lt;numeroLigne&gt;119&lt;/numeroLigne&gt;</v>
      </c>
      <c r="K14107" s="1013"/>
    </row>
    <row r="14108" spans="1:11" s="1011" customFormat="1" ht="15" x14ac:dyDescent="0.25">
      <c r="A14108" s="859">
        <f t="shared" si="312"/>
        <v>14107</v>
      </c>
      <c r="B14108" s="845" t="s">
        <v>2564</v>
      </c>
      <c r="C14108" s="1007">
        <f t="shared" si="311"/>
        <v>119</v>
      </c>
      <c r="D14108" s="1012"/>
      <c r="H14108" s="1011" t="s">
        <v>1010</v>
      </c>
      <c r="K14108" s="1013"/>
    </row>
    <row r="14109" spans="1:11" s="1011" customFormat="1" ht="15" x14ac:dyDescent="0.25">
      <c r="A14109" s="859">
        <f t="shared" si="312"/>
        <v>14108</v>
      </c>
      <c r="B14109" s="845" t="s">
        <v>2564</v>
      </c>
      <c r="C14109" s="1007">
        <f t="shared" si="311"/>
        <v>119</v>
      </c>
      <c r="D14109" s="1014"/>
      <c r="H14109" s="1011" t="s">
        <v>1007</v>
      </c>
      <c r="K14109" s="1013"/>
    </row>
    <row r="14110" spans="1:11" s="1011" customFormat="1" ht="15" x14ac:dyDescent="0.25">
      <c r="A14110" s="859">
        <f t="shared" si="312"/>
        <v>14109</v>
      </c>
      <c r="B14110" s="845" t="s">
        <v>2564</v>
      </c>
      <c r="C14110" s="1007">
        <f t="shared" si="311"/>
        <v>119</v>
      </c>
      <c r="D14110" s="1014"/>
      <c r="I14110" s="1011" t="s">
        <v>2178</v>
      </c>
      <c r="K14110" s="1013"/>
    </row>
    <row r="14111" spans="1:11" s="1011" customFormat="1" ht="15" x14ac:dyDescent="0.25">
      <c r="A14111" s="859">
        <f t="shared" si="312"/>
        <v>14110</v>
      </c>
      <c r="B14111" s="845" t="s">
        <v>2564</v>
      </c>
      <c r="C14111" s="1007">
        <f t="shared" si="311"/>
        <v>119</v>
      </c>
      <c r="D14111" s="1012"/>
      <c r="I14111" s="1011" t="str">
        <f>CONCATENATE("&lt;valeur&gt;",VLOOKUP(C14111,'T16 Amort'!A:K,6,0),"&lt;/valeur&gt;")</f>
        <v>&lt;valeur&gt;&lt;/valeur&gt;</v>
      </c>
      <c r="K14111" s="1013"/>
    </row>
    <row r="14112" spans="1:11" s="1011" customFormat="1" ht="15" x14ac:dyDescent="0.25">
      <c r="A14112" s="859">
        <f t="shared" si="312"/>
        <v>14111</v>
      </c>
      <c r="B14112" s="845" t="s">
        <v>2564</v>
      </c>
      <c r="C14112" s="1007">
        <f t="shared" si="311"/>
        <v>119</v>
      </c>
      <c r="D14112" s="1015"/>
      <c r="I14112" s="1011" t="str">
        <f>CONCATENATE("&lt;numeroLigne&gt;",C14112,"&lt;/numeroLigne&gt;")</f>
        <v>&lt;numeroLigne&gt;119&lt;/numeroLigne&gt;</v>
      </c>
      <c r="K14112" s="1013"/>
    </row>
    <row r="14113" spans="1:11" s="1011" customFormat="1" ht="15" x14ac:dyDescent="0.25">
      <c r="A14113" s="859">
        <f t="shared" si="312"/>
        <v>14112</v>
      </c>
      <c r="B14113" s="845" t="s">
        <v>2564</v>
      </c>
      <c r="C14113" s="1007">
        <f t="shared" si="311"/>
        <v>119</v>
      </c>
      <c r="D14113" s="1012"/>
      <c r="H14113" s="1011" t="s">
        <v>1010</v>
      </c>
      <c r="K14113" s="1013"/>
    </row>
    <row r="14114" spans="1:11" s="1011" customFormat="1" ht="15" x14ac:dyDescent="0.25">
      <c r="A14114" s="859">
        <f t="shared" si="312"/>
        <v>14113</v>
      </c>
      <c r="B14114" s="845" t="s">
        <v>2564</v>
      </c>
      <c r="C14114" s="1007">
        <f t="shared" si="311"/>
        <v>119</v>
      </c>
      <c r="D14114" s="1012"/>
      <c r="H14114" s="1011" t="s">
        <v>1007</v>
      </c>
      <c r="K14114" s="1013"/>
    </row>
    <row r="14115" spans="1:11" s="1011" customFormat="1" ht="15" x14ac:dyDescent="0.25">
      <c r="A14115" s="859">
        <f t="shared" si="312"/>
        <v>14114</v>
      </c>
      <c r="B14115" s="845" t="s">
        <v>2564</v>
      </c>
      <c r="C14115" s="1007">
        <f t="shared" si="311"/>
        <v>119</v>
      </c>
      <c r="D14115" s="1014"/>
      <c r="I14115" s="1011" t="s">
        <v>2179</v>
      </c>
      <c r="K14115" s="1013"/>
    </row>
    <row r="14116" spans="1:11" s="1011" customFormat="1" ht="15" x14ac:dyDescent="0.25">
      <c r="A14116" s="859">
        <f t="shared" si="312"/>
        <v>14115</v>
      </c>
      <c r="B14116" s="845" t="s">
        <v>2564</v>
      </c>
      <c r="C14116" s="1007">
        <f t="shared" si="311"/>
        <v>119</v>
      </c>
      <c r="D14116" s="1014"/>
      <c r="I14116" s="1011" t="str">
        <f>CONCATENATE("&lt;valeur&gt;",VLOOKUP(C14116,'T16 Amort'!A:K,7,0),"&lt;/valeur&gt;")</f>
        <v>&lt;valeur&gt;&lt;/valeur&gt;</v>
      </c>
      <c r="K14116" s="1013"/>
    </row>
    <row r="14117" spans="1:11" s="1011" customFormat="1" ht="15" x14ac:dyDescent="0.25">
      <c r="A14117" s="859">
        <f t="shared" si="312"/>
        <v>14116</v>
      </c>
      <c r="B14117" s="845" t="s">
        <v>2564</v>
      </c>
      <c r="C14117" s="1007">
        <f t="shared" si="311"/>
        <v>119</v>
      </c>
      <c r="D14117" s="1012"/>
      <c r="I14117" s="1011" t="str">
        <f>CONCATENATE("&lt;numeroLigne&gt;",C14117,"&lt;/numeroLigne&gt;")</f>
        <v>&lt;numeroLigne&gt;119&lt;/numeroLigne&gt;</v>
      </c>
      <c r="K14117" s="1013"/>
    </row>
    <row r="14118" spans="1:11" s="1011" customFormat="1" ht="15" x14ac:dyDescent="0.25">
      <c r="A14118" s="859">
        <f t="shared" si="312"/>
        <v>14117</v>
      </c>
      <c r="B14118" s="845" t="s">
        <v>2564</v>
      </c>
      <c r="C14118" s="1007">
        <f t="shared" si="311"/>
        <v>119</v>
      </c>
      <c r="D14118" s="1015"/>
      <c r="H14118" s="1011" t="s">
        <v>1010</v>
      </c>
      <c r="K14118" s="1013"/>
    </row>
    <row r="14119" spans="1:11" s="1011" customFormat="1" ht="15" x14ac:dyDescent="0.25">
      <c r="A14119" s="859">
        <f t="shared" si="312"/>
        <v>14118</v>
      </c>
      <c r="B14119" s="845" t="s">
        <v>2564</v>
      </c>
      <c r="C14119" s="1007">
        <f t="shared" si="311"/>
        <v>119</v>
      </c>
      <c r="D14119" s="1012"/>
      <c r="H14119" s="1011" t="s">
        <v>1007</v>
      </c>
      <c r="K14119" s="1013"/>
    </row>
    <row r="14120" spans="1:11" s="1011" customFormat="1" ht="15" x14ac:dyDescent="0.25">
      <c r="A14120" s="859">
        <f t="shared" si="312"/>
        <v>14119</v>
      </c>
      <c r="B14120" s="845" t="s">
        <v>2564</v>
      </c>
      <c r="C14120" s="1007">
        <f t="shared" si="311"/>
        <v>119</v>
      </c>
      <c r="D14120" s="1012"/>
      <c r="I14120" s="1011" t="s">
        <v>2180</v>
      </c>
      <c r="K14120" s="1013"/>
    </row>
    <row r="14121" spans="1:11" s="1011" customFormat="1" ht="15" x14ac:dyDescent="0.25">
      <c r="A14121" s="859">
        <f t="shared" si="312"/>
        <v>14120</v>
      </c>
      <c r="B14121" s="845" t="s">
        <v>2564</v>
      </c>
      <c r="C14121" s="1007">
        <f t="shared" si="311"/>
        <v>119</v>
      </c>
      <c r="D14121" s="1014"/>
      <c r="I14121" s="1011" t="str">
        <f>CONCATENATE("&lt;valeur&gt;",VLOOKUP(C14121,'T16 Amort'!A:K,8,0),"&lt;/valeur&gt;")</f>
        <v>&lt;valeur&gt;&lt;/valeur&gt;</v>
      </c>
      <c r="K14121" s="1013"/>
    </row>
    <row r="14122" spans="1:11" s="1011" customFormat="1" ht="15" x14ac:dyDescent="0.25">
      <c r="A14122" s="859">
        <f t="shared" si="312"/>
        <v>14121</v>
      </c>
      <c r="B14122" s="845" t="s">
        <v>2564</v>
      </c>
      <c r="C14122" s="1007">
        <f t="shared" si="311"/>
        <v>119</v>
      </c>
      <c r="D14122" s="1014"/>
      <c r="I14122" s="1011" t="str">
        <f>CONCATENATE("&lt;numeroLigne&gt;",C14122,"&lt;/numeroLigne&gt;")</f>
        <v>&lt;numeroLigne&gt;119&lt;/numeroLigne&gt;</v>
      </c>
      <c r="K14122" s="1013"/>
    </row>
    <row r="14123" spans="1:11" s="1011" customFormat="1" ht="15" x14ac:dyDescent="0.25">
      <c r="A14123" s="859">
        <f t="shared" si="312"/>
        <v>14122</v>
      </c>
      <c r="B14123" s="845" t="s">
        <v>2564</v>
      </c>
      <c r="C14123" s="1007">
        <f t="shared" si="311"/>
        <v>119</v>
      </c>
      <c r="D14123" s="1012"/>
      <c r="H14123" s="1011" t="s">
        <v>1010</v>
      </c>
      <c r="K14123" s="1013"/>
    </row>
    <row r="14124" spans="1:11" s="1011" customFormat="1" ht="15" x14ac:dyDescent="0.25">
      <c r="A14124" s="859">
        <f t="shared" si="312"/>
        <v>14123</v>
      </c>
      <c r="B14124" s="845" t="s">
        <v>2564</v>
      </c>
      <c r="C14124" s="1007">
        <f t="shared" si="311"/>
        <v>119</v>
      </c>
      <c r="D14124" s="1015"/>
      <c r="H14124" s="1011" t="s">
        <v>1007</v>
      </c>
      <c r="K14124" s="1013"/>
    </row>
    <row r="14125" spans="1:11" s="1011" customFormat="1" ht="15" x14ac:dyDescent="0.25">
      <c r="A14125" s="859">
        <f t="shared" si="312"/>
        <v>14124</v>
      </c>
      <c r="B14125" s="845" t="s">
        <v>2564</v>
      </c>
      <c r="C14125" s="1007">
        <f t="shared" si="311"/>
        <v>119</v>
      </c>
      <c r="D14125" s="1012"/>
      <c r="I14125" s="1011" t="s">
        <v>2181</v>
      </c>
      <c r="K14125" s="1013"/>
    </row>
    <row r="14126" spans="1:11" s="1011" customFormat="1" ht="15" x14ac:dyDescent="0.25">
      <c r="A14126" s="859">
        <f t="shared" si="312"/>
        <v>14125</v>
      </c>
      <c r="B14126" s="845" t="s">
        <v>2564</v>
      </c>
      <c r="C14126" s="1007">
        <f t="shared" si="311"/>
        <v>119</v>
      </c>
      <c r="D14126" s="1012"/>
      <c r="I14126" s="1011" t="str">
        <f>CONCATENATE("&lt;valeur&gt;",VLOOKUP(C14126,'T16 Amort'!A:K,9,0),"&lt;/valeur&gt;")</f>
        <v>&lt;valeur&gt;&lt;/valeur&gt;</v>
      </c>
      <c r="K14126" s="1013"/>
    </row>
    <row r="14127" spans="1:11" s="1011" customFormat="1" ht="15" x14ac:dyDescent="0.25">
      <c r="A14127" s="859">
        <f t="shared" si="312"/>
        <v>14126</v>
      </c>
      <c r="B14127" s="845" t="s">
        <v>2564</v>
      </c>
      <c r="C14127" s="1007">
        <f t="shared" ref="C14127:C14190" si="313">C14077+1</f>
        <v>119</v>
      </c>
      <c r="D14127" s="1014"/>
      <c r="I14127" s="1011" t="str">
        <f>CONCATENATE("&lt;numeroLigne&gt;",C14127,"&lt;/numeroLigne&gt;")</f>
        <v>&lt;numeroLigne&gt;119&lt;/numeroLigne&gt;</v>
      </c>
      <c r="K14127" s="1013"/>
    </row>
    <row r="14128" spans="1:11" s="1011" customFormat="1" ht="15" x14ac:dyDescent="0.25">
      <c r="A14128" s="859">
        <f t="shared" si="312"/>
        <v>14127</v>
      </c>
      <c r="B14128" s="845" t="s">
        <v>2564</v>
      </c>
      <c r="C14128" s="1007">
        <f t="shared" si="313"/>
        <v>119</v>
      </c>
      <c r="D14128" s="1014"/>
      <c r="H14128" s="1011" t="s">
        <v>1010</v>
      </c>
      <c r="K14128" s="1013"/>
    </row>
    <row r="14129" spans="1:11" s="1011" customFormat="1" ht="15" x14ac:dyDescent="0.25">
      <c r="A14129" s="859">
        <f t="shared" si="312"/>
        <v>14128</v>
      </c>
      <c r="B14129" s="845" t="s">
        <v>2564</v>
      </c>
      <c r="C14129" s="1007">
        <f t="shared" si="313"/>
        <v>119</v>
      </c>
      <c r="D14129" s="1012"/>
      <c r="H14129" s="1011" t="s">
        <v>1007</v>
      </c>
      <c r="K14129" s="1013"/>
    </row>
    <row r="14130" spans="1:11" s="1011" customFormat="1" ht="15" x14ac:dyDescent="0.25">
      <c r="A14130" s="859">
        <f t="shared" si="312"/>
        <v>14129</v>
      </c>
      <c r="B14130" s="845" t="s">
        <v>2564</v>
      </c>
      <c r="C14130" s="1007">
        <f t="shared" si="313"/>
        <v>119</v>
      </c>
      <c r="D14130" s="1015"/>
      <c r="I14130" s="1011" t="s">
        <v>2182</v>
      </c>
      <c r="K14130" s="1013"/>
    </row>
    <row r="14131" spans="1:11" s="1011" customFormat="1" ht="15" x14ac:dyDescent="0.25">
      <c r="A14131" s="859">
        <f t="shared" si="312"/>
        <v>14130</v>
      </c>
      <c r="B14131" s="845" t="s">
        <v>2564</v>
      </c>
      <c r="C14131" s="1007">
        <f t="shared" si="313"/>
        <v>119</v>
      </c>
      <c r="D14131" s="1012"/>
      <c r="I14131" s="1011" t="str">
        <f>CONCATENATE("&lt;valeur&gt;",VLOOKUP(C14131,'T16 Amort'!A:K,10,0),"&lt;/valeur&gt;")</f>
        <v>&lt;valeur&gt;&lt;/valeur&gt;</v>
      </c>
      <c r="K14131" s="1013"/>
    </row>
    <row r="14132" spans="1:11" s="1011" customFormat="1" ht="15" x14ac:dyDescent="0.25">
      <c r="A14132" s="859">
        <f t="shared" si="312"/>
        <v>14131</v>
      </c>
      <c r="B14132" s="845" t="s">
        <v>2564</v>
      </c>
      <c r="C14132" s="1007">
        <f t="shared" si="313"/>
        <v>119</v>
      </c>
      <c r="D14132" s="1012"/>
      <c r="I14132" s="1011" t="str">
        <f>CONCATENATE("&lt;numeroLigne&gt;",C14132,"&lt;/numeroLigne&gt;")</f>
        <v>&lt;numeroLigne&gt;119&lt;/numeroLigne&gt;</v>
      </c>
      <c r="K14132" s="1013"/>
    </row>
    <row r="14133" spans="1:11" s="1011" customFormat="1" ht="15" x14ac:dyDescent="0.25">
      <c r="A14133" s="859">
        <f t="shared" si="312"/>
        <v>14132</v>
      </c>
      <c r="B14133" s="845" t="s">
        <v>2564</v>
      </c>
      <c r="C14133" s="1007">
        <f t="shared" si="313"/>
        <v>119</v>
      </c>
      <c r="D14133" s="1014"/>
      <c r="H14133" s="1011" t="s">
        <v>1010</v>
      </c>
      <c r="K14133" s="1013"/>
    </row>
    <row r="14134" spans="1:11" s="1011" customFormat="1" ht="15" x14ac:dyDescent="0.25">
      <c r="A14134" s="859">
        <f t="shared" si="312"/>
        <v>14133</v>
      </c>
      <c r="B14134" s="845" t="s">
        <v>2564</v>
      </c>
      <c r="C14134" s="1007">
        <f t="shared" si="313"/>
        <v>119</v>
      </c>
      <c r="D14134" s="1014"/>
      <c r="H14134" s="1011" t="s">
        <v>1007</v>
      </c>
      <c r="K14134" s="1013"/>
    </row>
    <row r="14135" spans="1:11" s="1011" customFormat="1" ht="15" x14ac:dyDescent="0.25">
      <c r="A14135" s="859">
        <f t="shared" si="312"/>
        <v>14134</v>
      </c>
      <c r="B14135" s="845" t="s">
        <v>2564</v>
      </c>
      <c r="C14135" s="1007">
        <f t="shared" si="313"/>
        <v>119</v>
      </c>
      <c r="D14135" s="1012"/>
      <c r="I14135" s="1011" t="s">
        <v>2183</v>
      </c>
      <c r="K14135" s="1013"/>
    </row>
    <row r="14136" spans="1:11" s="1011" customFormat="1" ht="15" x14ac:dyDescent="0.25">
      <c r="A14136" s="859">
        <f t="shared" si="312"/>
        <v>14135</v>
      </c>
      <c r="B14136" s="845" t="s">
        <v>2564</v>
      </c>
      <c r="C14136" s="1007">
        <f t="shared" si="313"/>
        <v>119</v>
      </c>
      <c r="D14136" s="1015"/>
      <c r="I14136" s="1011" t="str">
        <f>CONCATENATE("&lt;valeur&gt;",VLOOKUP(C14136,'T16 Amort'!A:K,11,0),"&lt;/valeur&gt;")</f>
        <v>&lt;valeur&gt;&lt;/valeur&gt;</v>
      </c>
      <c r="K14136" s="1013"/>
    </row>
    <row r="14137" spans="1:11" s="1011" customFormat="1" ht="15" x14ac:dyDescent="0.25">
      <c r="A14137" s="859">
        <f t="shared" si="312"/>
        <v>14136</v>
      </c>
      <c r="B14137" s="845" t="s">
        <v>2564</v>
      </c>
      <c r="C14137" s="1007">
        <f t="shared" si="313"/>
        <v>119</v>
      </c>
      <c r="D14137" s="1012"/>
      <c r="I14137" s="1011" t="str">
        <f>CONCATENATE("&lt;numeroLigne&gt;",C14137,"&lt;/numeroLigne&gt;")</f>
        <v>&lt;numeroLigne&gt;119&lt;/numeroLigne&gt;</v>
      </c>
      <c r="K14137" s="1013"/>
    </row>
    <row r="14138" spans="1:11" s="1011" customFormat="1" ht="15" x14ac:dyDescent="0.25">
      <c r="A14138" s="859">
        <f t="shared" si="312"/>
        <v>14137</v>
      </c>
      <c r="B14138" s="845" t="s">
        <v>2564</v>
      </c>
      <c r="C14138" s="1007">
        <f t="shared" si="313"/>
        <v>119</v>
      </c>
      <c r="D14138" s="1016"/>
      <c r="E14138" s="1017"/>
      <c r="F14138" s="1017"/>
      <c r="G14138" s="1017"/>
      <c r="H14138" s="1017" t="s">
        <v>1010</v>
      </c>
      <c r="I14138" s="1017"/>
      <c r="J14138" s="1017"/>
      <c r="K14138" s="1018"/>
    </row>
    <row r="14139" spans="1:11" s="1011" customFormat="1" ht="15" x14ac:dyDescent="0.25">
      <c r="A14139" s="859">
        <f t="shared" si="312"/>
        <v>14138</v>
      </c>
      <c r="B14139" s="845" t="s">
        <v>2564</v>
      </c>
      <c r="C14139" s="1007">
        <f t="shared" si="313"/>
        <v>120</v>
      </c>
      <c r="D14139" s="1008"/>
      <c r="E14139" s="1009"/>
      <c r="F14139" s="1009"/>
      <c r="G14139" s="1009"/>
      <c r="H14139" s="1009" t="s">
        <v>1007</v>
      </c>
      <c r="I14139" s="1009"/>
      <c r="J14139" s="1009"/>
      <c r="K14139" s="1010"/>
    </row>
    <row r="14140" spans="1:11" s="1011" customFormat="1" ht="15" x14ac:dyDescent="0.25">
      <c r="A14140" s="859">
        <f t="shared" si="312"/>
        <v>14139</v>
      </c>
      <c r="B14140" s="845" t="s">
        <v>2564</v>
      </c>
      <c r="C14140" s="1007">
        <f t="shared" si="313"/>
        <v>120</v>
      </c>
      <c r="D14140" s="1012"/>
      <c r="I14140" s="1011" t="s">
        <v>2174</v>
      </c>
      <c r="K14140" s="1013"/>
    </row>
    <row r="14141" spans="1:11" s="1011" customFormat="1" ht="15" x14ac:dyDescent="0.25">
      <c r="A14141" s="859">
        <f t="shared" si="312"/>
        <v>14140</v>
      </c>
      <c r="B14141" s="845" t="s">
        <v>2564</v>
      </c>
      <c r="C14141" s="1007">
        <f t="shared" si="313"/>
        <v>120</v>
      </c>
      <c r="D14141" s="1014"/>
      <c r="I14141" s="1011" t="str">
        <f>CONCATENATE("&lt;valeur&gt;",VLOOKUP(C14141,'T16 Amort'!A:K,2,0),"&lt;/valeur&gt;")</f>
        <v>&lt;valeur&gt;&lt;/valeur&gt;</v>
      </c>
      <c r="K14141" s="1013"/>
    </row>
    <row r="14142" spans="1:11" s="1011" customFormat="1" ht="15" x14ac:dyDescent="0.25">
      <c r="A14142" s="859">
        <f t="shared" si="312"/>
        <v>14141</v>
      </c>
      <c r="B14142" s="845" t="s">
        <v>2564</v>
      </c>
      <c r="C14142" s="1007">
        <f t="shared" si="313"/>
        <v>120</v>
      </c>
      <c r="D14142" s="1014"/>
      <c r="I14142" s="1011" t="str">
        <f>CONCATENATE("&lt;numeroLigne&gt;",C14142,"&lt;/numeroLigne&gt;")</f>
        <v>&lt;numeroLigne&gt;120&lt;/numeroLigne&gt;</v>
      </c>
      <c r="K14142" s="1013"/>
    </row>
    <row r="14143" spans="1:11" s="1011" customFormat="1" ht="15" x14ac:dyDescent="0.25">
      <c r="A14143" s="859">
        <f t="shared" si="312"/>
        <v>14142</v>
      </c>
      <c r="B14143" s="845" t="s">
        <v>2564</v>
      </c>
      <c r="C14143" s="1007">
        <f t="shared" si="313"/>
        <v>120</v>
      </c>
      <c r="D14143" s="1012"/>
      <c r="H14143" s="1011" t="s">
        <v>1010</v>
      </c>
      <c r="K14143" s="1013"/>
    </row>
    <row r="14144" spans="1:11" s="1011" customFormat="1" ht="15" x14ac:dyDescent="0.25">
      <c r="A14144" s="859">
        <f t="shared" si="312"/>
        <v>14143</v>
      </c>
      <c r="B14144" s="845" t="s">
        <v>2564</v>
      </c>
      <c r="C14144" s="1007">
        <f t="shared" si="313"/>
        <v>120</v>
      </c>
      <c r="D14144" s="1015"/>
      <c r="H14144" s="1011" t="s">
        <v>1007</v>
      </c>
      <c r="K14144" s="1013"/>
    </row>
    <row r="14145" spans="1:11" s="1011" customFormat="1" ht="15" x14ac:dyDescent="0.25">
      <c r="A14145" s="859">
        <f t="shared" si="312"/>
        <v>14144</v>
      </c>
      <c r="B14145" s="845" t="s">
        <v>2564</v>
      </c>
      <c r="C14145" s="1007">
        <f t="shared" si="313"/>
        <v>120</v>
      </c>
      <c r="D14145" s="1012"/>
      <c r="I14145" s="1011" t="s">
        <v>2175</v>
      </c>
      <c r="K14145" s="1013"/>
    </row>
    <row r="14146" spans="1:11" s="1011" customFormat="1" ht="15" x14ac:dyDescent="0.25">
      <c r="A14146" s="859">
        <f t="shared" si="312"/>
        <v>14145</v>
      </c>
      <c r="B14146" s="845" t="s">
        <v>2564</v>
      </c>
      <c r="C14146" s="1007">
        <f t="shared" si="313"/>
        <v>120</v>
      </c>
      <c r="D14146" s="1012"/>
      <c r="I14146" s="1011" t="str">
        <f>CONCATENATE("&lt;valeur&gt;",VLOOKUP(C14146,'T16 Amort'!A:K,3,0),"&lt;/valeur&gt;")</f>
        <v>&lt;valeur&gt;&lt;/valeur&gt;</v>
      </c>
      <c r="K14146" s="1013"/>
    </row>
    <row r="14147" spans="1:11" s="1011" customFormat="1" ht="15" x14ac:dyDescent="0.25">
      <c r="A14147" s="859">
        <f t="shared" si="312"/>
        <v>14146</v>
      </c>
      <c r="B14147" s="845" t="s">
        <v>2564</v>
      </c>
      <c r="C14147" s="1007">
        <f t="shared" si="313"/>
        <v>120</v>
      </c>
      <c r="D14147" s="1014"/>
      <c r="I14147" s="1011" t="str">
        <f>CONCATENATE("&lt;numeroLigne&gt;",C14147,"&lt;/numeroLigne&gt;")</f>
        <v>&lt;numeroLigne&gt;120&lt;/numeroLigne&gt;</v>
      </c>
      <c r="K14147" s="1013"/>
    </row>
    <row r="14148" spans="1:11" s="1011" customFormat="1" ht="15" x14ac:dyDescent="0.25">
      <c r="A14148" s="859">
        <f t="shared" ref="A14148:A14211" si="314">+A14147+1</f>
        <v>14147</v>
      </c>
      <c r="B14148" s="845" t="s">
        <v>2564</v>
      </c>
      <c r="C14148" s="1007">
        <f t="shared" si="313"/>
        <v>120</v>
      </c>
      <c r="D14148" s="1014"/>
      <c r="H14148" s="1011" t="s">
        <v>1010</v>
      </c>
      <c r="K14148" s="1013"/>
    </row>
    <row r="14149" spans="1:11" s="1011" customFormat="1" ht="15" x14ac:dyDescent="0.25">
      <c r="A14149" s="859">
        <f t="shared" si="314"/>
        <v>14148</v>
      </c>
      <c r="B14149" s="845" t="s">
        <v>2564</v>
      </c>
      <c r="C14149" s="1007">
        <f t="shared" si="313"/>
        <v>120</v>
      </c>
      <c r="D14149" s="1012"/>
      <c r="H14149" s="1011" t="s">
        <v>1007</v>
      </c>
      <c r="K14149" s="1013"/>
    </row>
    <row r="14150" spans="1:11" s="1011" customFormat="1" ht="15" x14ac:dyDescent="0.25">
      <c r="A14150" s="859">
        <f t="shared" si="314"/>
        <v>14149</v>
      </c>
      <c r="B14150" s="845" t="s">
        <v>2564</v>
      </c>
      <c r="C14150" s="1007">
        <f t="shared" si="313"/>
        <v>120</v>
      </c>
      <c r="D14150" s="1015"/>
      <c r="I14150" s="1011" t="s">
        <v>2176</v>
      </c>
      <c r="K14150" s="1013"/>
    </row>
    <row r="14151" spans="1:11" s="1011" customFormat="1" ht="15" x14ac:dyDescent="0.25">
      <c r="A14151" s="859">
        <f t="shared" si="314"/>
        <v>14150</v>
      </c>
      <c r="B14151" s="845" t="s">
        <v>2564</v>
      </c>
      <c r="C14151" s="1007">
        <f t="shared" si="313"/>
        <v>120</v>
      </c>
      <c r="D14151" s="1012"/>
      <c r="I14151" s="1011" t="str">
        <f>CONCATENATE("&lt;valeur&gt;",VLOOKUP(C14151,'T16 Amort'!A:K,4,0),"&lt;/valeur&gt;")</f>
        <v>&lt;valeur&gt;&lt;/valeur&gt;</v>
      </c>
      <c r="K14151" s="1013"/>
    </row>
    <row r="14152" spans="1:11" s="1011" customFormat="1" ht="15" x14ac:dyDescent="0.25">
      <c r="A14152" s="859">
        <f t="shared" si="314"/>
        <v>14151</v>
      </c>
      <c r="B14152" s="845" t="s">
        <v>2564</v>
      </c>
      <c r="C14152" s="1007">
        <f t="shared" si="313"/>
        <v>120</v>
      </c>
      <c r="D14152" s="1012"/>
      <c r="I14152" s="1011" t="str">
        <f>CONCATENATE("&lt;numeroLigne&gt;",C14152,"&lt;/numeroLigne&gt;")</f>
        <v>&lt;numeroLigne&gt;120&lt;/numeroLigne&gt;</v>
      </c>
      <c r="K14152" s="1013"/>
    </row>
    <row r="14153" spans="1:11" s="1011" customFormat="1" ht="15" x14ac:dyDescent="0.25">
      <c r="A14153" s="859">
        <f t="shared" si="314"/>
        <v>14152</v>
      </c>
      <c r="B14153" s="845" t="s">
        <v>2564</v>
      </c>
      <c r="C14153" s="1007">
        <f t="shared" si="313"/>
        <v>120</v>
      </c>
      <c r="D14153" s="1014"/>
      <c r="H14153" s="1011" t="s">
        <v>1010</v>
      </c>
      <c r="K14153" s="1013"/>
    </row>
    <row r="14154" spans="1:11" s="1011" customFormat="1" ht="15" x14ac:dyDescent="0.25">
      <c r="A14154" s="859">
        <f t="shared" si="314"/>
        <v>14153</v>
      </c>
      <c r="B14154" s="845" t="s">
        <v>2564</v>
      </c>
      <c r="C14154" s="1007">
        <f t="shared" si="313"/>
        <v>120</v>
      </c>
      <c r="D14154" s="1014"/>
      <c r="H14154" s="1011" t="s">
        <v>1007</v>
      </c>
      <c r="K14154" s="1013"/>
    </row>
    <row r="14155" spans="1:11" s="1011" customFormat="1" ht="15" x14ac:dyDescent="0.25">
      <c r="A14155" s="859">
        <f t="shared" si="314"/>
        <v>14154</v>
      </c>
      <c r="B14155" s="845" t="s">
        <v>2564</v>
      </c>
      <c r="C14155" s="1007">
        <f t="shared" si="313"/>
        <v>120</v>
      </c>
      <c r="D14155" s="1012"/>
      <c r="I14155" s="1011" t="s">
        <v>2177</v>
      </c>
      <c r="K14155" s="1013"/>
    </row>
    <row r="14156" spans="1:11" s="1011" customFormat="1" ht="15" x14ac:dyDescent="0.25">
      <c r="A14156" s="859">
        <f t="shared" si="314"/>
        <v>14155</v>
      </c>
      <c r="B14156" s="845" t="s">
        <v>2564</v>
      </c>
      <c r="C14156" s="1007">
        <f t="shared" si="313"/>
        <v>120</v>
      </c>
      <c r="D14156" s="1015"/>
      <c r="I14156" s="1011" t="str">
        <f>CONCATENATE("&lt;valeur&gt;",VLOOKUP(C14156,'T16 Amort'!A:K,5,0),"&lt;/valeur&gt;")</f>
        <v>&lt;valeur&gt;&lt;/valeur&gt;</v>
      </c>
      <c r="K14156" s="1013"/>
    </row>
    <row r="14157" spans="1:11" s="1011" customFormat="1" ht="15" x14ac:dyDescent="0.25">
      <c r="A14157" s="859">
        <f t="shared" si="314"/>
        <v>14156</v>
      </c>
      <c r="B14157" s="845" t="s">
        <v>2564</v>
      </c>
      <c r="C14157" s="1007">
        <f t="shared" si="313"/>
        <v>120</v>
      </c>
      <c r="D14157" s="1012"/>
      <c r="I14157" s="1011" t="str">
        <f>CONCATENATE("&lt;numeroLigne&gt;",C14157,"&lt;/numeroLigne&gt;")</f>
        <v>&lt;numeroLigne&gt;120&lt;/numeroLigne&gt;</v>
      </c>
      <c r="K14157" s="1013"/>
    </row>
    <row r="14158" spans="1:11" s="1011" customFormat="1" ht="15" x14ac:dyDescent="0.25">
      <c r="A14158" s="859">
        <f t="shared" si="314"/>
        <v>14157</v>
      </c>
      <c r="B14158" s="845" t="s">
        <v>2564</v>
      </c>
      <c r="C14158" s="1007">
        <f t="shared" si="313"/>
        <v>120</v>
      </c>
      <c r="D14158" s="1012"/>
      <c r="H14158" s="1011" t="s">
        <v>1010</v>
      </c>
      <c r="K14158" s="1013"/>
    </row>
    <row r="14159" spans="1:11" s="1011" customFormat="1" ht="15" x14ac:dyDescent="0.25">
      <c r="A14159" s="859">
        <f t="shared" si="314"/>
        <v>14158</v>
      </c>
      <c r="B14159" s="845" t="s">
        <v>2564</v>
      </c>
      <c r="C14159" s="1007">
        <f t="shared" si="313"/>
        <v>120</v>
      </c>
      <c r="D14159" s="1014"/>
      <c r="H14159" s="1011" t="s">
        <v>1007</v>
      </c>
      <c r="K14159" s="1013"/>
    </row>
    <row r="14160" spans="1:11" s="1011" customFormat="1" ht="15" x14ac:dyDescent="0.25">
      <c r="A14160" s="859">
        <f t="shared" si="314"/>
        <v>14159</v>
      </c>
      <c r="B14160" s="845" t="s">
        <v>2564</v>
      </c>
      <c r="C14160" s="1007">
        <f t="shared" si="313"/>
        <v>120</v>
      </c>
      <c r="D14160" s="1014"/>
      <c r="I14160" s="1011" t="s">
        <v>2178</v>
      </c>
      <c r="K14160" s="1013"/>
    </row>
    <row r="14161" spans="1:11" s="1011" customFormat="1" ht="15" x14ac:dyDescent="0.25">
      <c r="A14161" s="859">
        <f t="shared" si="314"/>
        <v>14160</v>
      </c>
      <c r="B14161" s="845" t="s">
        <v>2564</v>
      </c>
      <c r="C14161" s="1007">
        <f t="shared" si="313"/>
        <v>120</v>
      </c>
      <c r="D14161" s="1012"/>
      <c r="I14161" s="1011" t="str">
        <f>CONCATENATE("&lt;valeur&gt;",VLOOKUP(C14161,'T16 Amort'!A:K,6,0),"&lt;/valeur&gt;")</f>
        <v>&lt;valeur&gt;&lt;/valeur&gt;</v>
      </c>
      <c r="K14161" s="1013"/>
    </row>
    <row r="14162" spans="1:11" s="1011" customFormat="1" ht="15" x14ac:dyDescent="0.25">
      <c r="A14162" s="859">
        <f t="shared" si="314"/>
        <v>14161</v>
      </c>
      <c r="B14162" s="845" t="s">
        <v>2564</v>
      </c>
      <c r="C14162" s="1007">
        <f t="shared" si="313"/>
        <v>120</v>
      </c>
      <c r="D14162" s="1015"/>
      <c r="I14162" s="1011" t="str">
        <f>CONCATENATE("&lt;numeroLigne&gt;",C14162,"&lt;/numeroLigne&gt;")</f>
        <v>&lt;numeroLigne&gt;120&lt;/numeroLigne&gt;</v>
      </c>
      <c r="K14162" s="1013"/>
    </row>
    <row r="14163" spans="1:11" s="1011" customFormat="1" ht="15" x14ac:dyDescent="0.25">
      <c r="A14163" s="859">
        <f t="shared" si="314"/>
        <v>14162</v>
      </c>
      <c r="B14163" s="845" t="s">
        <v>2564</v>
      </c>
      <c r="C14163" s="1007">
        <f t="shared" si="313"/>
        <v>120</v>
      </c>
      <c r="D14163" s="1012"/>
      <c r="H14163" s="1011" t="s">
        <v>1010</v>
      </c>
      <c r="K14163" s="1013"/>
    </row>
    <row r="14164" spans="1:11" s="1011" customFormat="1" ht="15" x14ac:dyDescent="0.25">
      <c r="A14164" s="859">
        <f t="shared" si="314"/>
        <v>14163</v>
      </c>
      <c r="B14164" s="845" t="s">
        <v>2564</v>
      </c>
      <c r="C14164" s="1007">
        <f t="shared" si="313"/>
        <v>120</v>
      </c>
      <c r="D14164" s="1012"/>
      <c r="H14164" s="1011" t="s">
        <v>1007</v>
      </c>
      <c r="K14164" s="1013"/>
    </row>
    <row r="14165" spans="1:11" s="1011" customFormat="1" ht="15" x14ac:dyDescent="0.25">
      <c r="A14165" s="859">
        <f t="shared" si="314"/>
        <v>14164</v>
      </c>
      <c r="B14165" s="845" t="s">
        <v>2564</v>
      </c>
      <c r="C14165" s="1007">
        <f t="shared" si="313"/>
        <v>120</v>
      </c>
      <c r="D14165" s="1014"/>
      <c r="I14165" s="1011" t="s">
        <v>2179</v>
      </c>
      <c r="K14165" s="1013"/>
    </row>
    <row r="14166" spans="1:11" s="1011" customFormat="1" ht="15" x14ac:dyDescent="0.25">
      <c r="A14166" s="859">
        <f t="shared" si="314"/>
        <v>14165</v>
      </c>
      <c r="B14166" s="845" t="s">
        <v>2564</v>
      </c>
      <c r="C14166" s="1007">
        <f t="shared" si="313"/>
        <v>120</v>
      </c>
      <c r="D14166" s="1014"/>
      <c r="I14166" s="1011" t="str">
        <f>CONCATENATE("&lt;valeur&gt;",VLOOKUP(C14166,'T16 Amort'!A:K,7,0),"&lt;/valeur&gt;")</f>
        <v>&lt;valeur&gt;&lt;/valeur&gt;</v>
      </c>
      <c r="K14166" s="1013"/>
    </row>
    <row r="14167" spans="1:11" s="1011" customFormat="1" ht="15" x14ac:dyDescent="0.25">
      <c r="A14167" s="859">
        <f t="shared" si="314"/>
        <v>14166</v>
      </c>
      <c r="B14167" s="845" t="s">
        <v>2564</v>
      </c>
      <c r="C14167" s="1007">
        <f t="shared" si="313"/>
        <v>120</v>
      </c>
      <c r="D14167" s="1012"/>
      <c r="I14167" s="1011" t="str">
        <f>CONCATENATE("&lt;numeroLigne&gt;",C14167,"&lt;/numeroLigne&gt;")</f>
        <v>&lt;numeroLigne&gt;120&lt;/numeroLigne&gt;</v>
      </c>
      <c r="K14167" s="1013"/>
    </row>
    <row r="14168" spans="1:11" s="1011" customFormat="1" ht="15" x14ac:dyDescent="0.25">
      <c r="A14168" s="859">
        <f t="shared" si="314"/>
        <v>14167</v>
      </c>
      <c r="B14168" s="845" t="s">
        <v>2564</v>
      </c>
      <c r="C14168" s="1007">
        <f t="shared" si="313"/>
        <v>120</v>
      </c>
      <c r="D14168" s="1015"/>
      <c r="H14168" s="1011" t="s">
        <v>1010</v>
      </c>
      <c r="K14168" s="1013"/>
    </row>
    <row r="14169" spans="1:11" s="1011" customFormat="1" ht="15" x14ac:dyDescent="0.25">
      <c r="A14169" s="859">
        <f t="shared" si="314"/>
        <v>14168</v>
      </c>
      <c r="B14169" s="845" t="s">
        <v>2564</v>
      </c>
      <c r="C14169" s="1007">
        <f t="shared" si="313"/>
        <v>120</v>
      </c>
      <c r="D14169" s="1012"/>
      <c r="H14169" s="1011" t="s">
        <v>1007</v>
      </c>
      <c r="K14169" s="1013"/>
    </row>
    <row r="14170" spans="1:11" s="1011" customFormat="1" ht="15" x14ac:dyDescent="0.25">
      <c r="A14170" s="859">
        <f t="shared" si="314"/>
        <v>14169</v>
      </c>
      <c r="B14170" s="845" t="s">
        <v>2564</v>
      </c>
      <c r="C14170" s="1007">
        <f t="shared" si="313"/>
        <v>120</v>
      </c>
      <c r="D14170" s="1012"/>
      <c r="I14170" s="1011" t="s">
        <v>2180</v>
      </c>
      <c r="K14170" s="1013"/>
    </row>
    <row r="14171" spans="1:11" s="1011" customFormat="1" ht="15" x14ac:dyDescent="0.25">
      <c r="A14171" s="859">
        <f t="shared" si="314"/>
        <v>14170</v>
      </c>
      <c r="B14171" s="845" t="s">
        <v>2564</v>
      </c>
      <c r="C14171" s="1007">
        <f t="shared" si="313"/>
        <v>120</v>
      </c>
      <c r="D14171" s="1014"/>
      <c r="I14171" s="1011" t="str">
        <f>CONCATENATE("&lt;valeur&gt;",VLOOKUP(C14171,'T16 Amort'!A:K,8,0),"&lt;/valeur&gt;")</f>
        <v>&lt;valeur&gt;&lt;/valeur&gt;</v>
      </c>
      <c r="K14171" s="1013"/>
    </row>
    <row r="14172" spans="1:11" s="1011" customFormat="1" ht="15" x14ac:dyDescent="0.25">
      <c r="A14172" s="859">
        <f t="shared" si="314"/>
        <v>14171</v>
      </c>
      <c r="B14172" s="845" t="s">
        <v>2564</v>
      </c>
      <c r="C14172" s="1007">
        <f t="shared" si="313"/>
        <v>120</v>
      </c>
      <c r="D14172" s="1014"/>
      <c r="I14172" s="1011" t="str">
        <f>CONCATENATE("&lt;numeroLigne&gt;",C14172,"&lt;/numeroLigne&gt;")</f>
        <v>&lt;numeroLigne&gt;120&lt;/numeroLigne&gt;</v>
      </c>
      <c r="K14172" s="1013"/>
    </row>
    <row r="14173" spans="1:11" s="1011" customFormat="1" ht="15" x14ac:dyDescent="0.25">
      <c r="A14173" s="859">
        <f t="shared" si="314"/>
        <v>14172</v>
      </c>
      <c r="B14173" s="845" t="s">
        <v>2564</v>
      </c>
      <c r="C14173" s="1007">
        <f t="shared" si="313"/>
        <v>120</v>
      </c>
      <c r="D14173" s="1012"/>
      <c r="H14173" s="1011" t="s">
        <v>1010</v>
      </c>
      <c r="K14173" s="1013"/>
    </row>
    <row r="14174" spans="1:11" s="1011" customFormat="1" ht="15" x14ac:dyDescent="0.25">
      <c r="A14174" s="859">
        <f t="shared" si="314"/>
        <v>14173</v>
      </c>
      <c r="B14174" s="845" t="s">
        <v>2564</v>
      </c>
      <c r="C14174" s="1007">
        <f t="shared" si="313"/>
        <v>120</v>
      </c>
      <c r="D14174" s="1015"/>
      <c r="H14174" s="1011" t="s">
        <v>1007</v>
      </c>
      <c r="K14174" s="1013"/>
    </row>
    <row r="14175" spans="1:11" s="1011" customFormat="1" ht="15" x14ac:dyDescent="0.25">
      <c r="A14175" s="859">
        <f t="shared" si="314"/>
        <v>14174</v>
      </c>
      <c r="B14175" s="845" t="s">
        <v>2564</v>
      </c>
      <c r="C14175" s="1007">
        <f t="shared" si="313"/>
        <v>120</v>
      </c>
      <c r="D14175" s="1012"/>
      <c r="I14175" s="1011" t="s">
        <v>2181</v>
      </c>
      <c r="K14175" s="1013"/>
    </row>
    <row r="14176" spans="1:11" s="1011" customFormat="1" ht="15" x14ac:dyDescent="0.25">
      <c r="A14176" s="859">
        <f t="shared" si="314"/>
        <v>14175</v>
      </c>
      <c r="B14176" s="845" t="s">
        <v>2564</v>
      </c>
      <c r="C14176" s="1007">
        <f t="shared" si="313"/>
        <v>120</v>
      </c>
      <c r="D14176" s="1012"/>
      <c r="I14176" s="1011" t="str">
        <f>CONCATENATE("&lt;valeur&gt;",VLOOKUP(C14176,'T16 Amort'!A:K,9,0),"&lt;/valeur&gt;")</f>
        <v>&lt;valeur&gt;&lt;/valeur&gt;</v>
      </c>
      <c r="K14176" s="1013"/>
    </row>
    <row r="14177" spans="1:11" s="1011" customFormat="1" ht="15" x14ac:dyDescent="0.25">
      <c r="A14177" s="859">
        <f t="shared" si="314"/>
        <v>14176</v>
      </c>
      <c r="B14177" s="845" t="s">
        <v>2564</v>
      </c>
      <c r="C14177" s="1007">
        <f t="shared" si="313"/>
        <v>120</v>
      </c>
      <c r="D14177" s="1014"/>
      <c r="I14177" s="1011" t="str">
        <f>CONCATENATE("&lt;numeroLigne&gt;",C14177,"&lt;/numeroLigne&gt;")</f>
        <v>&lt;numeroLigne&gt;120&lt;/numeroLigne&gt;</v>
      </c>
      <c r="K14177" s="1013"/>
    </row>
    <row r="14178" spans="1:11" s="1011" customFormat="1" ht="15" x14ac:dyDescent="0.25">
      <c r="A14178" s="859">
        <f t="shared" si="314"/>
        <v>14177</v>
      </c>
      <c r="B14178" s="845" t="s">
        <v>2564</v>
      </c>
      <c r="C14178" s="1007">
        <f t="shared" si="313"/>
        <v>120</v>
      </c>
      <c r="D14178" s="1014"/>
      <c r="H14178" s="1011" t="s">
        <v>1010</v>
      </c>
      <c r="K14178" s="1013"/>
    </row>
    <row r="14179" spans="1:11" s="1011" customFormat="1" ht="15" x14ac:dyDescent="0.25">
      <c r="A14179" s="859">
        <f t="shared" si="314"/>
        <v>14178</v>
      </c>
      <c r="B14179" s="845" t="s">
        <v>2564</v>
      </c>
      <c r="C14179" s="1007">
        <f t="shared" si="313"/>
        <v>120</v>
      </c>
      <c r="D14179" s="1012"/>
      <c r="H14179" s="1011" t="s">
        <v>1007</v>
      </c>
      <c r="K14179" s="1013"/>
    </row>
    <row r="14180" spans="1:11" s="1011" customFormat="1" ht="15" x14ac:dyDescent="0.25">
      <c r="A14180" s="859">
        <f t="shared" si="314"/>
        <v>14179</v>
      </c>
      <c r="B14180" s="845" t="s">
        <v>2564</v>
      </c>
      <c r="C14180" s="1007">
        <f t="shared" si="313"/>
        <v>120</v>
      </c>
      <c r="D14180" s="1015"/>
      <c r="I14180" s="1011" t="s">
        <v>2182</v>
      </c>
      <c r="K14180" s="1013"/>
    </row>
    <row r="14181" spans="1:11" s="1011" customFormat="1" ht="15" x14ac:dyDescent="0.25">
      <c r="A14181" s="859">
        <f t="shared" si="314"/>
        <v>14180</v>
      </c>
      <c r="B14181" s="845" t="s">
        <v>2564</v>
      </c>
      <c r="C14181" s="1007">
        <f t="shared" si="313"/>
        <v>120</v>
      </c>
      <c r="D14181" s="1012"/>
      <c r="I14181" s="1011" t="str">
        <f>CONCATENATE("&lt;valeur&gt;",VLOOKUP(C14181,'T16 Amort'!A:K,10,0),"&lt;/valeur&gt;")</f>
        <v>&lt;valeur&gt;&lt;/valeur&gt;</v>
      </c>
      <c r="K14181" s="1013"/>
    </row>
    <row r="14182" spans="1:11" s="1011" customFormat="1" ht="15" x14ac:dyDescent="0.25">
      <c r="A14182" s="859">
        <f t="shared" si="314"/>
        <v>14181</v>
      </c>
      <c r="B14182" s="845" t="s">
        <v>2564</v>
      </c>
      <c r="C14182" s="1007">
        <f t="shared" si="313"/>
        <v>120</v>
      </c>
      <c r="D14182" s="1012"/>
      <c r="I14182" s="1011" t="str">
        <f>CONCATENATE("&lt;numeroLigne&gt;",C14182,"&lt;/numeroLigne&gt;")</f>
        <v>&lt;numeroLigne&gt;120&lt;/numeroLigne&gt;</v>
      </c>
      <c r="K14182" s="1013"/>
    </row>
    <row r="14183" spans="1:11" s="1011" customFormat="1" ht="15" x14ac:dyDescent="0.25">
      <c r="A14183" s="859">
        <f t="shared" si="314"/>
        <v>14182</v>
      </c>
      <c r="B14183" s="845" t="s">
        <v>2564</v>
      </c>
      <c r="C14183" s="1007">
        <f t="shared" si="313"/>
        <v>120</v>
      </c>
      <c r="D14183" s="1014"/>
      <c r="H14183" s="1011" t="s">
        <v>1010</v>
      </c>
      <c r="K14183" s="1013"/>
    </row>
    <row r="14184" spans="1:11" s="1011" customFormat="1" ht="15" x14ac:dyDescent="0.25">
      <c r="A14184" s="859">
        <f t="shared" si="314"/>
        <v>14183</v>
      </c>
      <c r="B14184" s="845" t="s">
        <v>2564</v>
      </c>
      <c r="C14184" s="1007">
        <f t="shared" si="313"/>
        <v>120</v>
      </c>
      <c r="D14184" s="1014"/>
      <c r="H14184" s="1011" t="s">
        <v>1007</v>
      </c>
      <c r="K14184" s="1013"/>
    </row>
    <row r="14185" spans="1:11" s="1011" customFormat="1" ht="15" x14ac:dyDescent="0.25">
      <c r="A14185" s="859">
        <f t="shared" si="314"/>
        <v>14184</v>
      </c>
      <c r="B14185" s="845" t="s">
        <v>2564</v>
      </c>
      <c r="C14185" s="1007">
        <f t="shared" si="313"/>
        <v>120</v>
      </c>
      <c r="D14185" s="1012"/>
      <c r="I14185" s="1011" t="s">
        <v>2183</v>
      </c>
      <c r="K14185" s="1013"/>
    </row>
    <row r="14186" spans="1:11" s="1011" customFormat="1" ht="15" x14ac:dyDescent="0.25">
      <c r="A14186" s="859">
        <f t="shared" si="314"/>
        <v>14185</v>
      </c>
      <c r="B14186" s="845" t="s">
        <v>2564</v>
      </c>
      <c r="C14186" s="1007">
        <f t="shared" si="313"/>
        <v>120</v>
      </c>
      <c r="D14186" s="1015"/>
      <c r="I14186" s="1011" t="str">
        <f>CONCATENATE("&lt;valeur&gt;",VLOOKUP(C14186,'T16 Amort'!A:K,11,0),"&lt;/valeur&gt;")</f>
        <v>&lt;valeur&gt;&lt;/valeur&gt;</v>
      </c>
      <c r="K14186" s="1013"/>
    </row>
    <row r="14187" spans="1:11" s="1011" customFormat="1" ht="15" x14ac:dyDescent="0.25">
      <c r="A14187" s="859">
        <f t="shared" si="314"/>
        <v>14186</v>
      </c>
      <c r="B14187" s="845" t="s">
        <v>2564</v>
      </c>
      <c r="C14187" s="1007">
        <f t="shared" si="313"/>
        <v>120</v>
      </c>
      <c r="D14187" s="1012"/>
      <c r="I14187" s="1011" t="str">
        <f>CONCATENATE("&lt;numeroLigne&gt;",C14187,"&lt;/numeroLigne&gt;")</f>
        <v>&lt;numeroLigne&gt;120&lt;/numeroLigne&gt;</v>
      </c>
      <c r="K14187" s="1013"/>
    </row>
    <row r="14188" spans="1:11" s="1011" customFormat="1" ht="15" x14ac:dyDescent="0.25">
      <c r="A14188" s="859">
        <f t="shared" si="314"/>
        <v>14187</v>
      </c>
      <c r="B14188" s="845" t="s">
        <v>2564</v>
      </c>
      <c r="C14188" s="1007">
        <f t="shared" si="313"/>
        <v>120</v>
      </c>
      <c r="D14188" s="1016"/>
      <c r="E14188" s="1017"/>
      <c r="F14188" s="1017"/>
      <c r="G14188" s="1017"/>
      <c r="H14188" s="1017" t="s">
        <v>1010</v>
      </c>
      <c r="I14188" s="1017"/>
      <c r="J14188" s="1017"/>
      <c r="K14188" s="1018"/>
    </row>
    <row r="14189" spans="1:11" s="1011" customFormat="1" ht="15" x14ac:dyDescent="0.25">
      <c r="A14189" s="859">
        <f t="shared" si="314"/>
        <v>14188</v>
      </c>
      <c r="B14189" s="845" t="s">
        <v>2564</v>
      </c>
      <c r="C14189" s="1007">
        <f t="shared" si="313"/>
        <v>121</v>
      </c>
      <c r="D14189" s="1008"/>
      <c r="E14189" s="1009"/>
      <c r="F14189" s="1009"/>
      <c r="G14189" s="1009"/>
      <c r="H14189" s="1009" t="s">
        <v>1007</v>
      </c>
      <c r="I14189" s="1009"/>
      <c r="J14189" s="1009"/>
      <c r="K14189" s="1010"/>
    </row>
    <row r="14190" spans="1:11" s="1011" customFormat="1" ht="15" x14ac:dyDescent="0.25">
      <c r="A14190" s="859">
        <f t="shared" si="314"/>
        <v>14189</v>
      </c>
      <c r="B14190" s="845" t="s">
        <v>2564</v>
      </c>
      <c r="C14190" s="1007">
        <f t="shared" si="313"/>
        <v>121</v>
      </c>
      <c r="D14190" s="1012"/>
      <c r="I14190" s="1011" t="s">
        <v>2174</v>
      </c>
      <c r="K14190" s="1013"/>
    </row>
    <row r="14191" spans="1:11" s="1011" customFormat="1" ht="15" x14ac:dyDescent="0.25">
      <c r="A14191" s="859">
        <f t="shared" si="314"/>
        <v>14190</v>
      </c>
      <c r="B14191" s="845" t="s">
        <v>2564</v>
      </c>
      <c r="C14191" s="1007">
        <f t="shared" ref="C14191:C14254" si="315">C14141+1</f>
        <v>121</v>
      </c>
      <c r="D14191" s="1014"/>
      <c r="I14191" s="1011" t="str">
        <f>CONCATENATE("&lt;valeur&gt;",VLOOKUP(C14191,'T16 Amort'!A:K,2,0),"&lt;/valeur&gt;")</f>
        <v>&lt;valeur&gt;&lt;/valeur&gt;</v>
      </c>
      <c r="K14191" s="1013"/>
    </row>
    <row r="14192" spans="1:11" s="1011" customFormat="1" ht="15" x14ac:dyDescent="0.25">
      <c r="A14192" s="859">
        <f t="shared" si="314"/>
        <v>14191</v>
      </c>
      <c r="B14192" s="845" t="s">
        <v>2564</v>
      </c>
      <c r="C14192" s="1007">
        <f t="shared" si="315"/>
        <v>121</v>
      </c>
      <c r="D14192" s="1014"/>
      <c r="I14192" s="1011" t="str">
        <f>CONCATENATE("&lt;numeroLigne&gt;",C14192,"&lt;/numeroLigne&gt;")</f>
        <v>&lt;numeroLigne&gt;121&lt;/numeroLigne&gt;</v>
      </c>
      <c r="K14192" s="1013"/>
    </row>
    <row r="14193" spans="1:11" s="1011" customFormat="1" ht="15" x14ac:dyDescent="0.25">
      <c r="A14193" s="859">
        <f t="shared" si="314"/>
        <v>14192</v>
      </c>
      <c r="B14193" s="845" t="s">
        <v>2564</v>
      </c>
      <c r="C14193" s="1007">
        <f t="shared" si="315"/>
        <v>121</v>
      </c>
      <c r="D14193" s="1012"/>
      <c r="H14193" s="1011" t="s">
        <v>1010</v>
      </c>
      <c r="K14193" s="1013"/>
    </row>
    <row r="14194" spans="1:11" s="1011" customFormat="1" ht="15" x14ac:dyDescent="0.25">
      <c r="A14194" s="859">
        <f t="shared" si="314"/>
        <v>14193</v>
      </c>
      <c r="B14194" s="845" t="s">
        <v>2564</v>
      </c>
      <c r="C14194" s="1007">
        <f t="shared" si="315"/>
        <v>121</v>
      </c>
      <c r="D14194" s="1015"/>
      <c r="H14194" s="1011" t="s">
        <v>1007</v>
      </c>
      <c r="K14194" s="1013"/>
    </row>
    <row r="14195" spans="1:11" s="1011" customFormat="1" ht="15" x14ac:dyDescent="0.25">
      <c r="A14195" s="859">
        <f t="shared" si="314"/>
        <v>14194</v>
      </c>
      <c r="B14195" s="845" t="s">
        <v>2564</v>
      </c>
      <c r="C14195" s="1007">
        <f t="shared" si="315"/>
        <v>121</v>
      </c>
      <c r="D14195" s="1012"/>
      <c r="I14195" s="1011" t="s">
        <v>2175</v>
      </c>
      <c r="K14195" s="1013"/>
    </row>
    <row r="14196" spans="1:11" s="1011" customFormat="1" ht="15" x14ac:dyDescent="0.25">
      <c r="A14196" s="859">
        <f t="shared" si="314"/>
        <v>14195</v>
      </c>
      <c r="B14196" s="845" t="s">
        <v>2564</v>
      </c>
      <c r="C14196" s="1007">
        <f t="shared" si="315"/>
        <v>121</v>
      </c>
      <c r="D14196" s="1012"/>
      <c r="I14196" s="1011" t="str">
        <f>CONCATENATE("&lt;valeur&gt;",VLOOKUP(C14196,'T16 Amort'!A:K,3,0),"&lt;/valeur&gt;")</f>
        <v>&lt;valeur&gt;&lt;/valeur&gt;</v>
      </c>
      <c r="K14196" s="1013"/>
    </row>
    <row r="14197" spans="1:11" s="1011" customFormat="1" ht="15" x14ac:dyDescent="0.25">
      <c r="A14197" s="859">
        <f t="shared" si="314"/>
        <v>14196</v>
      </c>
      <c r="B14197" s="845" t="s">
        <v>2564</v>
      </c>
      <c r="C14197" s="1007">
        <f t="shared" si="315"/>
        <v>121</v>
      </c>
      <c r="D14197" s="1014"/>
      <c r="I14197" s="1011" t="str">
        <f>CONCATENATE("&lt;numeroLigne&gt;",C14197,"&lt;/numeroLigne&gt;")</f>
        <v>&lt;numeroLigne&gt;121&lt;/numeroLigne&gt;</v>
      </c>
      <c r="K14197" s="1013"/>
    </row>
    <row r="14198" spans="1:11" s="1011" customFormat="1" ht="15" x14ac:dyDescent="0.25">
      <c r="A14198" s="859">
        <f t="shared" si="314"/>
        <v>14197</v>
      </c>
      <c r="B14198" s="845" t="s">
        <v>2564</v>
      </c>
      <c r="C14198" s="1007">
        <f t="shared" si="315"/>
        <v>121</v>
      </c>
      <c r="D14198" s="1014"/>
      <c r="H14198" s="1011" t="s">
        <v>1010</v>
      </c>
      <c r="K14198" s="1013"/>
    </row>
    <row r="14199" spans="1:11" s="1011" customFormat="1" ht="15" x14ac:dyDescent="0.25">
      <c r="A14199" s="859">
        <f t="shared" si="314"/>
        <v>14198</v>
      </c>
      <c r="B14199" s="845" t="s">
        <v>2564</v>
      </c>
      <c r="C14199" s="1007">
        <f t="shared" si="315"/>
        <v>121</v>
      </c>
      <c r="D14199" s="1012"/>
      <c r="H14199" s="1011" t="s">
        <v>1007</v>
      </c>
      <c r="K14199" s="1013"/>
    </row>
    <row r="14200" spans="1:11" s="1011" customFormat="1" ht="15" x14ac:dyDescent="0.25">
      <c r="A14200" s="859">
        <f t="shared" si="314"/>
        <v>14199</v>
      </c>
      <c r="B14200" s="845" t="s">
        <v>2564</v>
      </c>
      <c r="C14200" s="1007">
        <f t="shared" si="315"/>
        <v>121</v>
      </c>
      <c r="D14200" s="1015"/>
      <c r="I14200" s="1011" t="s">
        <v>2176</v>
      </c>
      <c r="K14200" s="1013"/>
    </row>
    <row r="14201" spans="1:11" s="1011" customFormat="1" ht="15" x14ac:dyDescent="0.25">
      <c r="A14201" s="859">
        <f t="shared" si="314"/>
        <v>14200</v>
      </c>
      <c r="B14201" s="845" t="s">
        <v>2564</v>
      </c>
      <c r="C14201" s="1007">
        <f t="shared" si="315"/>
        <v>121</v>
      </c>
      <c r="D14201" s="1012"/>
      <c r="I14201" s="1011" t="str">
        <f>CONCATENATE("&lt;valeur&gt;",VLOOKUP(C14201,'T16 Amort'!A:K,4,0),"&lt;/valeur&gt;")</f>
        <v>&lt;valeur&gt;&lt;/valeur&gt;</v>
      </c>
      <c r="K14201" s="1013"/>
    </row>
    <row r="14202" spans="1:11" s="1011" customFormat="1" ht="15" x14ac:dyDescent="0.25">
      <c r="A14202" s="859">
        <f t="shared" si="314"/>
        <v>14201</v>
      </c>
      <c r="B14202" s="845" t="s">
        <v>2564</v>
      </c>
      <c r="C14202" s="1007">
        <f t="shared" si="315"/>
        <v>121</v>
      </c>
      <c r="D14202" s="1012"/>
      <c r="I14202" s="1011" t="str">
        <f>CONCATENATE("&lt;numeroLigne&gt;",C14202,"&lt;/numeroLigne&gt;")</f>
        <v>&lt;numeroLigne&gt;121&lt;/numeroLigne&gt;</v>
      </c>
      <c r="K14202" s="1013"/>
    </row>
    <row r="14203" spans="1:11" s="1011" customFormat="1" ht="15" x14ac:dyDescent="0.25">
      <c r="A14203" s="859">
        <f t="shared" si="314"/>
        <v>14202</v>
      </c>
      <c r="B14203" s="845" t="s">
        <v>2564</v>
      </c>
      <c r="C14203" s="1007">
        <f t="shared" si="315"/>
        <v>121</v>
      </c>
      <c r="D14203" s="1014"/>
      <c r="H14203" s="1011" t="s">
        <v>1010</v>
      </c>
      <c r="K14203" s="1013"/>
    </row>
    <row r="14204" spans="1:11" s="1011" customFormat="1" ht="15" x14ac:dyDescent="0.25">
      <c r="A14204" s="859">
        <f t="shared" si="314"/>
        <v>14203</v>
      </c>
      <c r="B14204" s="845" t="s">
        <v>2564</v>
      </c>
      <c r="C14204" s="1007">
        <f t="shared" si="315"/>
        <v>121</v>
      </c>
      <c r="D14204" s="1014"/>
      <c r="H14204" s="1011" t="s">
        <v>1007</v>
      </c>
      <c r="K14204" s="1013"/>
    </row>
    <row r="14205" spans="1:11" s="1011" customFormat="1" ht="15" x14ac:dyDescent="0.25">
      <c r="A14205" s="859">
        <f t="shared" si="314"/>
        <v>14204</v>
      </c>
      <c r="B14205" s="845" t="s">
        <v>2564</v>
      </c>
      <c r="C14205" s="1007">
        <f t="shared" si="315"/>
        <v>121</v>
      </c>
      <c r="D14205" s="1012"/>
      <c r="I14205" s="1011" t="s">
        <v>2177</v>
      </c>
      <c r="K14205" s="1013"/>
    </row>
    <row r="14206" spans="1:11" s="1011" customFormat="1" ht="15" x14ac:dyDescent="0.25">
      <c r="A14206" s="859">
        <f t="shared" si="314"/>
        <v>14205</v>
      </c>
      <c r="B14206" s="845" t="s">
        <v>2564</v>
      </c>
      <c r="C14206" s="1007">
        <f t="shared" si="315"/>
        <v>121</v>
      </c>
      <c r="D14206" s="1015"/>
      <c r="I14206" s="1011" t="str">
        <f>CONCATENATE("&lt;valeur&gt;",VLOOKUP(C14206,'T16 Amort'!A:K,5,0),"&lt;/valeur&gt;")</f>
        <v>&lt;valeur&gt;&lt;/valeur&gt;</v>
      </c>
      <c r="K14206" s="1013"/>
    </row>
    <row r="14207" spans="1:11" s="1011" customFormat="1" ht="15" x14ac:dyDescent="0.25">
      <c r="A14207" s="859">
        <f t="shared" si="314"/>
        <v>14206</v>
      </c>
      <c r="B14207" s="845" t="s">
        <v>2564</v>
      </c>
      <c r="C14207" s="1007">
        <f t="shared" si="315"/>
        <v>121</v>
      </c>
      <c r="D14207" s="1012"/>
      <c r="I14207" s="1011" t="str">
        <f>CONCATENATE("&lt;numeroLigne&gt;",C14207,"&lt;/numeroLigne&gt;")</f>
        <v>&lt;numeroLigne&gt;121&lt;/numeroLigne&gt;</v>
      </c>
      <c r="K14207" s="1013"/>
    </row>
    <row r="14208" spans="1:11" s="1011" customFormat="1" ht="15" x14ac:dyDescent="0.25">
      <c r="A14208" s="859">
        <f t="shared" si="314"/>
        <v>14207</v>
      </c>
      <c r="B14208" s="845" t="s">
        <v>2564</v>
      </c>
      <c r="C14208" s="1007">
        <f t="shared" si="315"/>
        <v>121</v>
      </c>
      <c r="D14208" s="1012"/>
      <c r="H14208" s="1011" t="s">
        <v>1010</v>
      </c>
      <c r="K14208" s="1013"/>
    </row>
    <row r="14209" spans="1:11" s="1011" customFormat="1" ht="15" x14ac:dyDescent="0.25">
      <c r="A14209" s="859">
        <f t="shared" si="314"/>
        <v>14208</v>
      </c>
      <c r="B14209" s="845" t="s">
        <v>2564</v>
      </c>
      <c r="C14209" s="1007">
        <f t="shared" si="315"/>
        <v>121</v>
      </c>
      <c r="D14209" s="1014"/>
      <c r="H14209" s="1011" t="s">
        <v>1007</v>
      </c>
      <c r="K14209" s="1013"/>
    </row>
    <row r="14210" spans="1:11" s="1011" customFormat="1" ht="15" x14ac:dyDescent="0.25">
      <c r="A14210" s="859">
        <f t="shared" si="314"/>
        <v>14209</v>
      </c>
      <c r="B14210" s="845" t="s">
        <v>2564</v>
      </c>
      <c r="C14210" s="1007">
        <f t="shared" si="315"/>
        <v>121</v>
      </c>
      <c r="D14210" s="1014"/>
      <c r="I14210" s="1011" t="s">
        <v>2178</v>
      </c>
      <c r="K14210" s="1013"/>
    </row>
    <row r="14211" spans="1:11" s="1011" customFormat="1" ht="15" x14ac:dyDescent="0.25">
      <c r="A14211" s="859">
        <f t="shared" si="314"/>
        <v>14210</v>
      </c>
      <c r="B14211" s="845" t="s">
        <v>2564</v>
      </c>
      <c r="C14211" s="1007">
        <f t="shared" si="315"/>
        <v>121</v>
      </c>
      <c r="D14211" s="1012"/>
      <c r="I14211" s="1011" t="str">
        <f>CONCATENATE("&lt;valeur&gt;",VLOOKUP(C14211,'T16 Amort'!A:K,6,0),"&lt;/valeur&gt;")</f>
        <v>&lt;valeur&gt;&lt;/valeur&gt;</v>
      </c>
      <c r="K14211" s="1013"/>
    </row>
    <row r="14212" spans="1:11" s="1011" customFormat="1" ht="15" x14ac:dyDescent="0.25">
      <c r="A14212" s="859">
        <f t="shared" ref="A14212:A14275" si="316">+A14211+1</f>
        <v>14211</v>
      </c>
      <c r="B14212" s="845" t="s">
        <v>2564</v>
      </c>
      <c r="C14212" s="1007">
        <f t="shared" si="315"/>
        <v>121</v>
      </c>
      <c r="D14212" s="1015"/>
      <c r="I14212" s="1011" t="str">
        <f>CONCATENATE("&lt;numeroLigne&gt;",C14212,"&lt;/numeroLigne&gt;")</f>
        <v>&lt;numeroLigne&gt;121&lt;/numeroLigne&gt;</v>
      </c>
      <c r="K14212" s="1013"/>
    </row>
    <row r="14213" spans="1:11" s="1011" customFormat="1" ht="15" x14ac:dyDescent="0.25">
      <c r="A14213" s="859">
        <f t="shared" si="316"/>
        <v>14212</v>
      </c>
      <c r="B14213" s="845" t="s">
        <v>2564</v>
      </c>
      <c r="C14213" s="1007">
        <f t="shared" si="315"/>
        <v>121</v>
      </c>
      <c r="D14213" s="1012"/>
      <c r="H14213" s="1011" t="s">
        <v>1010</v>
      </c>
      <c r="K14213" s="1013"/>
    </row>
    <row r="14214" spans="1:11" s="1011" customFormat="1" ht="15" x14ac:dyDescent="0.25">
      <c r="A14214" s="859">
        <f t="shared" si="316"/>
        <v>14213</v>
      </c>
      <c r="B14214" s="845" t="s">
        <v>2564</v>
      </c>
      <c r="C14214" s="1007">
        <f t="shared" si="315"/>
        <v>121</v>
      </c>
      <c r="D14214" s="1012"/>
      <c r="H14214" s="1011" t="s">
        <v>1007</v>
      </c>
      <c r="K14214" s="1013"/>
    </row>
    <row r="14215" spans="1:11" s="1011" customFormat="1" ht="15" x14ac:dyDescent="0.25">
      <c r="A14215" s="859">
        <f t="shared" si="316"/>
        <v>14214</v>
      </c>
      <c r="B14215" s="845" t="s">
        <v>2564</v>
      </c>
      <c r="C14215" s="1007">
        <f t="shared" si="315"/>
        <v>121</v>
      </c>
      <c r="D14215" s="1014"/>
      <c r="I14215" s="1011" t="s">
        <v>2179</v>
      </c>
      <c r="K14215" s="1013"/>
    </row>
    <row r="14216" spans="1:11" s="1011" customFormat="1" ht="15" x14ac:dyDescent="0.25">
      <c r="A14216" s="859">
        <f t="shared" si="316"/>
        <v>14215</v>
      </c>
      <c r="B14216" s="845" t="s">
        <v>2564</v>
      </c>
      <c r="C14216" s="1007">
        <f t="shared" si="315"/>
        <v>121</v>
      </c>
      <c r="D14216" s="1014"/>
      <c r="I14216" s="1011" t="str">
        <f>CONCATENATE("&lt;valeur&gt;",VLOOKUP(C14216,'T16 Amort'!A:K,7,0),"&lt;/valeur&gt;")</f>
        <v>&lt;valeur&gt;&lt;/valeur&gt;</v>
      </c>
      <c r="K14216" s="1013"/>
    </row>
    <row r="14217" spans="1:11" s="1011" customFormat="1" ht="15" x14ac:dyDescent="0.25">
      <c r="A14217" s="859">
        <f t="shared" si="316"/>
        <v>14216</v>
      </c>
      <c r="B14217" s="845" t="s">
        <v>2564</v>
      </c>
      <c r="C14217" s="1007">
        <f t="shared" si="315"/>
        <v>121</v>
      </c>
      <c r="D14217" s="1012"/>
      <c r="I14217" s="1011" t="str">
        <f>CONCATENATE("&lt;numeroLigne&gt;",C14217,"&lt;/numeroLigne&gt;")</f>
        <v>&lt;numeroLigne&gt;121&lt;/numeroLigne&gt;</v>
      </c>
      <c r="K14217" s="1013"/>
    </row>
    <row r="14218" spans="1:11" s="1011" customFormat="1" ht="15" x14ac:dyDescent="0.25">
      <c r="A14218" s="859">
        <f t="shared" si="316"/>
        <v>14217</v>
      </c>
      <c r="B14218" s="845" t="s">
        <v>2564</v>
      </c>
      <c r="C14218" s="1007">
        <f t="shared" si="315"/>
        <v>121</v>
      </c>
      <c r="D14218" s="1015"/>
      <c r="H14218" s="1011" t="s">
        <v>1010</v>
      </c>
      <c r="K14218" s="1013"/>
    </row>
    <row r="14219" spans="1:11" s="1011" customFormat="1" ht="15" x14ac:dyDescent="0.25">
      <c r="A14219" s="859">
        <f t="shared" si="316"/>
        <v>14218</v>
      </c>
      <c r="B14219" s="845" t="s">
        <v>2564</v>
      </c>
      <c r="C14219" s="1007">
        <f t="shared" si="315"/>
        <v>121</v>
      </c>
      <c r="D14219" s="1012"/>
      <c r="H14219" s="1011" t="s">
        <v>1007</v>
      </c>
      <c r="K14219" s="1013"/>
    </row>
    <row r="14220" spans="1:11" s="1011" customFormat="1" ht="15" x14ac:dyDescent="0.25">
      <c r="A14220" s="859">
        <f t="shared" si="316"/>
        <v>14219</v>
      </c>
      <c r="B14220" s="845" t="s">
        <v>2564</v>
      </c>
      <c r="C14220" s="1007">
        <f t="shared" si="315"/>
        <v>121</v>
      </c>
      <c r="D14220" s="1012"/>
      <c r="I14220" s="1011" t="s">
        <v>2180</v>
      </c>
      <c r="K14220" s="1013"/>
    </row>
    <row r="14221" spans="1:11" s="1011" customFormat="1" ht="15" x14ac:dyDescent="0.25">
      <c r="A14221" s="859">
        <f t="shared" si="316"/>
        <v>14220</v>
      </c>
      <c r="B14221" s="845" t="s">
        <v>2564</v>
      </c>
      <c r="C14221" s="1007">
        <f t="shared" si="315"/>
        <v>121</v>
      </c>
      <c r="D14221" s="1014"/>
      <c r="I14221" s="1011" t="str">
        <f>CONCATENATE("&lt;valeur&gt;",VLOOKUP(C14221,'T16 Amort'!A:K,8,0),"&lt;/valeur&gt;")</f>
        <v>&lt;valeur&gt;&lt;/valeur&gt;</v>
      </c>
      <c r="K14221" s="1013"/>
    </row>
    <row r="14222" spans="1:11" s="1011" customFormat="1" ht="15" x14ac:dyDescent="0.25">
      <c r="A14222" s="859">
        <f t="shared" si="316"/>
        <v>14221</v>
      </c>
      <c r="B14222" s="845" t="s">
        <v>2564</v>
      </c>
      <c r="C14222" s="1007">
        <f t="shared" si="315"/>
        <v>121</v>
      </c>
      <c r="D14222" s="1014"/>
      <c r="I14222" s="1011" t="str">
        <f>CONCATENATE("&lt;numeroLigne&gt;",C14222,"&lt;/numeroLigne&gt;")</f>
        <v>&lt;numeroLigne&gt;121&lt;/numeroLigne&gt;</v>
      </c>
      <c r="K14222" s="1013"/>
    </row>
    <row r="14223" spans="1:11" s="1011" customFormat="1" ht="15" x14ac:dyDescent="0.25">
      <c r="A14223" s="859">
        <f t="shared" si="316"/>
        <v>14222</v>
      </c>
      <c r="B14223" s="845" t="s">
        <v>2564</v>
      </c>
      <c r="C14223" s="1007">
        <f t="shared" si="315"/>
        <v>121</v>
      </c>
      <c r="D14223" s="1012"/>
      <c r="H14223" s="1011" t="s">
        <v>1010</v>
      </c>
      <c r="K14223" s="1013"/>
    </row>
    <row r="14224" spans="1:11" s="1011" customFormat="1" ht="15" x14ac:dyDescent="0.25">
      <c r="A14224" s="859">
        <f t="shared" si="316"/>
        <v>14223</v>
      </c>
      <c r="B14224" s="845" t="s">
        <v>2564</v>
      </c>
      <c r="C14224" s="1007">
        <f t="shared" si="315"/>
        <v>121</v>
      </c>
      <c r="D14224" s="1015"/>
      <c r="H14224" s="1011" t="s">
        <v>1007</v>
      </c>
      <c r="K14224" s="1013"/>
    </row>
    <row r="14225" spans="1:11" s="1011" customFormat="1" ht="15" x14ac:dyDescent="0.25">
      <c r="A14225" s="859">
        <f t="shared" si="316"/>
        <v>14224</v>
      </c>
      <c r="B14225" s="845" t="s">
        <v>2564</v>
      </c>
      <c r="C14225" s="1007">
        <f t="shared" si="315"/>
        <v>121</v>
      </c>
      <c r="D14225" s="1012"/>
      <c r="I14225" s="1011" t="s">
        <v>2181</v>
      </c>
      <c r="K14225" s="1013"/>
    </row>
    <row r="14226" spans="1:11" s="1011" customFormat="1" ht="15" x14ac:dyDescent="0.25">
      <c r="A14226" s="859">
        <f t="shared" si="316"/>
        <v>14225</v>
      </c>
      <c r="B14226" s="845" t="s">
        <v>2564</v>
      </c>
      <c r="C14226" s="1007">
        <f t="shared" si="315"/>
        <v>121</v>
      </c>
      <c r="D14226" s="1012"/>
      <c r="I14226" s="1011" t="str">
        <f>CONCATENATE("&lt;valeur&gt;",VLOOKUP(C14226,'T16 Amort'!A:K,9,0),"&lt;/valeur&gt;")</f>
        <v>&lt;valeur&gt;&lt;/valeur&gt;</v>
      </c>
      <c r="K14226" s="1013"/>
    </row>
    <row r="14227" spans="1:11" s="1011" customFormat="1" ht="15" x14ac:dyDescent="0.25">
      <c r="A14227" s="859">
        <f t="shared" si="316"/>
        <v>14226</v>
      </c>
      <c r="B14227" s="845" t="s">
        <v>2564</v>
      </c>
      <c r="C14227" s="1007">
        <f t="shared" si="315"/>
        <v>121</v>
      </c>
      <c r="D14227" s="1014"/>
      <c r="I14227" s="1011" t="str">
        <f>CONCATENATE("&lt;numeroLigne&gt;",C14227,"&lt;/numeroLigne&gt;")</f>
        <v>&lt;numeroLigne&gt;121&lt;/numeroLigne&gt;</v>
      </c>
      <c r="K14227" s="1013"/>
    </row>
    <row r="14228" spans="1:11" s="1011" customFormat="1" ht="15" x14ac:dyDescent="0.25">
      <c r="A14228" s="859">
        <f t="shared" si="316"/>
        <v>14227</v>
      </c>
      <c r="B14228" s="845" t="s">
        <v>2564</v>
      </c>
      <c r="C14228" s="1007">
        <f t="shared" si="315"/>
        <v>121</v>
      </c>
      <c r="D14228" s="1014"/>
      <c r="H14228" s="1011" t="s">
        <v>1010</v>
      </c>
      <c r="K14228" s="1013"/>
    </row>
    <row r="14229" spans="1:11" s="1011" customFormat="1" ht="15" x14ac:dyDescent="0.25">
      <c r="A14229" s="859">
        <f t="shared" si="316"/>
        <v>14228</v>
      </c>
      <c r="B14229" s="845" t="s">
        <v>2564</v>
      </c>
      <c r="C14229" s="1007">
        <f t="shared" si="315"/>
        <v>121</v>
      </c>
      <c r="D14229" s="1012"/>
      <c r="H14229" s="1011" t="s">
        <v>1007</v>
      </c>
      <c r="K14229" s="1013"/>
    </row>
    <row r="14230" spans="1:11" s="1011" customFormat="1" ht="15" x14ac:dyDescent="0.25">
      <c r="A14230" s="859">
        <f t="shared" si="316"/>
        <v>14229</v>
      </c>
      <c r="B14230" s="845" t="s">
        <v>2564</v>
      </c>
      <c r="C14230" s="1007">
        <f t="shared" si="315"/>
        <v>121</v>
      </c>
      <c r="D14230" s="1015"/>
      <c r="I14230" s="1011" t="s">
        <v>2182</v>
      </c>
      <c r="K14230" s="1013"/>
    </row>
    <row r="14231" spans="1:11" s="1011" customFormat="1" ht="15" x14ac:dyDescent="0.25">
      <c r="A14231" s="859">
        <f t="shared" si="316"/>
        <v>14230</v>
      </c>
      <c r="B14231" s="845" t="s">
        <v>2564</v>
      </c>
      <c r="C14231" s="1007">
        <f t="shared" si="315"/>
        <v>121</v>
      </c>
      <c r="D14231" s="1012"/>
      <c r="I14231" s="1011" t="str">
        <f>CONCATENATE("&lt;valeur&gt;",VLOOKUP(C14231,'T16 Amort'!A:K,10,0),"&lt;/valeur&gt;")</f>
        <v>&lt;valeur&gt;&lt;/valeur&gt;</v>
      </c>
      <c r="K14231" s="1013"/>
    </row>
    <row r="14232" spans="1:11" s="1011" customFormat="1" ht="15" x14ac:dyDescent="0.25">
      <c r="A14232" s="859">
        <f t="shared" si="316"/>
        <v>14231</v>
      </c>
      <c r="B14232" s="845" t="s">
        <v>2564</v>
      </c>
      <c r="C14232" s="1007">
        <f t="shared" si="315"/>
        <v>121</v>
      </c>
      <c r="D14232" s="1012"/>
      <c r="I14232" s="1011" t="str">
        <f>CONCATENATE("&lt;numeroLigne&gt;",C14232,"&lt;/numeroLigne&gt;")</f>
        <v>&lt;numeroLigne&gt;121&lt;/numeroLigne&gt;</v>
      </c>
      <c r="K14232" s="1013"/>
    </row>
    <row r="14233" spans="1:11" s="1011" customFormat="1" ht="15" x14ac:dyDescent="0.25">
      <c r="A14233" s="859">
        <f t="shared" si="316"/>
        <v>14232</v>
      </c>
      <c r="B14233" s="845" t="s">
        <v>2564</v>
      </c>
      <c r="C14233" s="1007">
        <f t="shared" si="315"/>
        <v>121</v>
      </c>
      <c r="D14233" s="1014"/>
      <c r="H14233" s="1011" t="s">
        <v>1010</v>
      </c>
      <c r="K14233" s="1013"/>
    </row>
    <row r="14234" spans="1:11" s="1011" customFormat="1" ht="15" x14ac:dyDescent="0.25">
      <c r="A14234" s="859">
        <f t="shared" si="316"/>
        <v>14233</v>
      </c>
      <c r="B14234" s="845" t="s">
        <v>2564</v>
      </c>
      <c r="C14234" s="1007">
        <f t="shared" si="315"/>
        <v>121</v>
      </c>
      <c r="D14234" s="1014"/>
      <c r="H14234" s="1011" t="s">
        <v>1007</v>
      </c>
      <c r="K14234" s="1013"/>
    </row>
    <row r="14235" spans="1:11" s="1011" customFormat="1" ht="15" x14ac:dyDescent="0.25">
      <c r="A14235" s="859">
        <f t="shared" si="316"/>
        <v>14234</v>
      </c>
      <c r="B14235" s="845" t="s">
        <v>2564</v>
      </c>
      <c r="C14235" s="1007">
        <f t="shared" si="315"/>
        <v>121</v>
      </c>
      <c r="D14235" s="1012"/>
      <c r="I14235" s="1011" t="s">
        <v>2183</v>
      </c>
      <c r="K14235" s="1013"/>
    </row>
    <row r="14236" spans="1:11" s="1011" customFormat="1" ht="15" x14ac:dyDescent="0.25">
      <c r="A14236" s="859">
        <f t="shared" si="316"/>
        <v>14235</v>
      </c>
      <c r="B14236" s="845" t="s">
        <v>2564</v>
      </c>
      <c r="C14236" s="1007">
        <f t="shared" si="315"/>
        <v>121</v>
      </c>
      <c r="D14236" s="1015"/>
      <c r="I14236" s="1011" t="str">
        <f>CONCATENATE("&lt;valeur&gt;",VLOOKUP(C14236,'T16 Amort'!A:K,11,0),"&lt;/valeur&gt;")</f>
        <v>&lt;valeur&gt;&lt;/valeur&gt;</v>
      </c>
      <c r="K14236" s="1013"/>
    </row>
    <row r="14237" spans="1:11" s="1011" customFormat="1" ht="15" x14ac:dyDescent="0.25">
      <c r="A14237" s="859">
        <f t="shared" si="316"/>
        <v>14236</v>
      </c>
      <c r="B14237" s="845" t="s">
        <v>2564</v>
      </c>
      <c r="C14237" s="1007">
        <f t="shared" si="315"/>
        <v>121</v>
      </c>
      <c r="D14237" s="1012"/>
      <c r="I14237" s="1011" t="str">
        <f>CONCATENATE("&lt;numeroLigne&gt;",C14237,"&lt;/numeroLigne&gt;")</f>
        <v>&lt;numeroLigne&gt;121&lt;/numeroLigne&gt;</v>
      </c>
      <c r="K14237" s="1013"/>
    </row>
    <row r="14238" spans="1:11" s="1011" customFormat="1" ht="15" x14ac:dyDescent="0.25">
      <c r="A14238" s="859">
        <f t="shared" si="316"/>
        <v>14237</v>
      </c>
      <c r="B14238" s="845" t="s">
        <v>2564</v>
      </c>
      <c r="C14238" s="1007">
        <f t="shared" si="315"/>
        <v>121</v>
      </c>
      <c r="D14238" s="1016"/>
      <c r="E14238" s="1017"/>
      <c r="F14238" s="1017"/>
      <c r="G14238" s="1017"/>
      <c r="H14238" s="1017" t="s">
        <v>1010</v>
      </c>
      <c r="I14238" s="1017"/>
      <c r="J14238" s="1017"/>
      <c r="K14238" s="1018"/>
    </row>
    <row r="14239" spans="1:11" s="1011" customFormat="1" ht="15" x14ac:dyDescent="0.25">
      <c r="A14239" s="859">
        <f t="shared" si="316"/>
        <v>14238</v>
      </c>
      <c r="B14239" s="845" t="s">
        <v>2564</v>
      </c>
      <c r="C14239" s="1007">
        <f t="shared" si="315"/>
        <v>122</v>
      </c>
      <c r="D14239" s="1008"/>
      <c r="E14239" s="1009"/>
      <c r="F14239" s="1009"/>
      <c r="G14239" s="1009"/>
      <c r="H14239" s="1009" t="s">
        <v>1007</v>
      </c>
      <c r="I14239" s="1009"/>
      <c r="J14239" s="1009"/>
      <c r="K14239" s="1010"/>
    </row>
    <row r="14240" spans="1:11" s="1011" customFormat="1" ht="15" x14ac:dyDescent="0.25">
      <c r="A14240" s="859">
        <f t="shared" si="316"/>
        <v>14239</v>
      </c>
      <c r="B14240" s="845" t="s">
        <v>2564</v>
      </c>
      <c r="C14240" s="1007">
        <f t="shared" si="315"/>
        <v>122</v>
      </c>
      <c r="D14240" s="1012"/>
      <c r="I14240" s="1011" t="s">
        <v>2174</v>
      </c>
      <c r="K14240" s="1013"/>
    </row>
    <row r="14241" spans="1:11" s="1011" customFormat="1" ht="15" x14ac:dyDescent="0.25">
      <c r="A14241" s="859">
        <f t="shared" si="316"/>
        <v>14240</v>
      </c>
      <c r="B14241" s="845" t="s">
        <v>2564</v>
      </c>
      <c r="C14241" s="1007">
        <f t="shared" si="315"/>
        <v>122</v>
      </c>
      <c r="D14241" s="1014"/>
      <c r="I14241" s="1011" t="str">
        <f>CONCATENATE("&lt;valeur&gt;",VLOOKUP(C14241,'T16 Amort'!A:K,2,0),"&lt;/valeur&gt;")</f>
        <v>&lt;valeur&gt;&lt;/valeur&gt;</v>
      </c>
      <c r="K14241" s="1013"/>
    </row>
    <row r="14242" spans="1:11" s="1011" customFormat="1" ht="15" x14ac:dyDescent="0.25">
      <c r="A14242" s="859">
        <f t="shared" si="316"/>
        <v>14241</v>
      </c>
      <c r="B14242" s="845" t="s">
        <v>2564</v>
      </c>
      <c r="C14242" s="1007">
        <f t="shared" si="315"/>
        <v>122</v>
      </c>
      <c r="D14242" s="1014"/>
      <c r="I14242" s="1011" t="str">
        <f>CONCATENATE("&lt;numeroLigne&gt;",C14242,"&lt;/numeroLigne&gt;")</f>
        <v>&lt;numeroLigne&gt;122&lt;/numeroLigne&gt;</v>
      </c>
      <c r="K14242" s="1013"/>
    </row>
    <row r="14243" spans="1:11" s="1011" customFormat="1" ht="15" x14ac:dyDescent="0.25">
      <c r="A14243" s="859">
        <f t="shared" si="316"/>
        <v>14242</v>
      </c>
      <c r="B14243" s="845" t="s">
        <v>2564</v>
      </c>
      <c r="C14243" s="1007">
        <f t="shared" si="315"/>
        <v>122</v>
      </c>
      <c r="D14243" s="1012"/>
      <c r="H14243" s="1011" t="s">
        <v>1010</v>
      </c>
      <c r="K14243" s="1013"/>
    </row>
    <row r="14244" spans="1:11" s="1011" customFormat="1" ht="15" x14ac:dyDescent="0.25">
      <c r="A14244" s="859">
        <f t="shared" si="316"/>
        <v>14243</v>
      </c>
      <c r="B14244" s="845" t="s">
        <v>2564</v>
      </c>
      <c r="C14244" s="1007">
        <f t="shared" si="315"/>
        <v>122</v>
      </c>
      <c r="D14244" s="1015"/>
      <c r="H14244" s="1011" t="s">
        <v>1007</v>
      </c>
      <c r="K14244" s="1013"/>
    </row>
    <row r="14245" spans="1:11" s="1011" customFormat="1" ht="15" x14ac:dyDescent="0.25">
      <c r="A14245" s="859">
        <f t="shared" si="316"/>
        <v>14244</v>
      </c>
      <c r="B14245" s="845" t="s">
        <v>2564</v>
      </c>
      <c r="C14245" s="1007">
        <f t="shared" si="315"/>
        <v>122</v>
      </c>
      <c r="D14245" s="1012"/>
      <c r="I14245" s="1011" t="s">
        <v>2175</v>
      </c>
      <c r="K14245" s="1013"/>
    </row>
    <row r="14246" spans="1:11" s="1011" customFormat="1" ht="15" x14ac:dyDescent="0.25">
      <c r="A14246" s="859">
        <f t="shared" si="316"/>
        <v>14245</v>
      </c>
      <c r="B14246" s="845" t="s">
        <v>2564</v>
      </c>
      <c r="C14246" s="1007">
        <f t="shared" si="315"/>
        <v>122</v>
      </c>
      <c r="D14246" s="1012"/>
      <c r="I14246" s="1011" t="str">
        <f>CONCATENATE("&lt;valeur&gt;",VLOOKUP(C14246,'T16 Amort'!A:K,3,0),"&lt;/valeur&gt;")</f>
        <v>&lt;valeur&gt;&lt;/valeur&gt;</v>
      </c>
      <c r="K14246" s="1013"/>
    </row>
    <row r="14247" spans="1:11" s="1011" customFormat="1" ht="15" x14ac:dyDescent="0.25">
      <c r="A14247" s="859">
        <f t="shared" si="316"/>
        <v>14246</v>
      </c>
      <c r="B14247" s="845" t="s">
        <v>2564</v>
      </c>
      <c r="C14247" s="1007">
        <f t="shared" si="315"/>
        <v>122</v>
      </c>
      <c r="D14247" s="1014"/>
      <c r="I14247" s="1011" t="str">
        <f>CONCATENATE("&lt;numeroLigne&gt;",C14247,"&lt;/numeroLigne&gt;")</f>
        <v>&lt;numeroLigne&gt;122&lt;/numeroLigne&gt;</v>
      </c>
      <c r="K14247" s="1013"/>
    </row>
    <row r="14248" spans="1:11" s="1011" customFormat="1" ht="15" x14ac:dyDescent="0.25">
      <c r="A14248" s="859">
        <f t="shared" si="316"/>
        <v>14247</v>
      </c>
      <c r="B14248" s="845" t="s">
        <v>2564</v>
      </c>
      <c r="C14248" s="1007">
        <f t="shared" si="315"/>
        <v>122</v>
      </c>
      <c r="D14248" s="1014"/>
      <c r="H14248" s="1011" t="s">
        <v>1010</v>
      </c>
      <c r="K14248" s="1013"/>
    </row>
    <row r="14249" spans="1:11" s="1011" customFormat="1" ht="15" x14ac:dyDescent="0.25">
      <c r="A14249" s="859">
        <f t="shared" si="316"/>
        <v>14248</v>
      </c>
      <c r="B14249" s="845" t="s">
        <v>2564</v>
      </c>
      <c r="C14249" s="1007">
        <f t="shared" si="315"/>
        <v>122</v>
      </c>
      <c r="D14249" s="1012"/>
      <c r="H14249" s="1011" t="s">
        <v>1007</v>
      </c>
      <c r="K14249" s="1013"/>
    </row>
    <row r="14250" spans="1:11" s="1011" customFormat="1" ht="15" x14ac:dyDescent="0.25">
      <c r="A14250" s="859">
        <f t="shared" si="316"/>
        <v>14249</v>
      </c>
      <c r="B14250" s="845" t="s">
        <v>2564</v>
      </c>
      <c r="C14250" s="1007">
        <f t="shared" si="315"/>
        <v>122</v>
      </c>
      <c r="D14250" s="1015"/>
      <c r="I14250" s="1011" t="s">
        <v>2176</v>
      </c>
      <c r="K14250" s="1013"/>
    </row>
    <row r="14251" spans="1:11" s="1011" customFormat="1" ht="15" x14ac:dyDescent="0.25">
      <c r="A14251" s="859">
        <f t="shared" si="316"/>
        <v>14250</v>
      </c>
      <c r="B14251" s="845" t="s">
        <v>2564</v>
      </c>
      <c r="C14251" s="1007">
        <f t="shared" si="315"/>
        <v>122</v>
      </c>
      <c r="D14251" s="1012"/>
      <c r="I14251" s="1011" t="str">
        <f>CONCATENATE("&lt;valeur&gt;",VLOOKUP(C14251,'T16 Amort'!A:K,4,0),"&lt;/valeur&gt;")</f>
        <v>&lt;valeur&gt;&lt;/valeur&gt;</v>
      </c>
      <c r="K14251" s="1013"/>
    </row>
    <row r="14252" spans="1:11" s="1011" customFormat="1" ht="15" x14ac:dyDescent="0.25">
      <c r="A14252" s="859">
        <f t="shared" si="316"/>
        <v>14251</v>
      </c>
      <c r="B14252" s="845" t="s">
        <v>2564</v>
      </c>
      <c r="C14252" s="1007">
        <f t="shared" si="315"/>
        <v>122</v>
      </c>
      <c r="D14252" s="1012"/>
      <c r="I14252" s="1011" t="str">
        <f>CONCATENATE("&lt;numeroLigne&gt;",C14252,"&lt;/numeroLigne&gt;")</f>
        <v>&lt;numeroLigne&gt;122&lt;/numeroLigne&gt;</v>
      </c>
      <c r="K14252" s="1013"/>
    </row>
    <row r="14253" spans="1:11" s="1011" customFormat="1" ht="15" x14ac:dyDescent="0.25">
      <c r="A14253" s="859">
        <f t="shared" si="316"/>
        <v>14252</v>
      </c>
      <c r="B14253" s="845" t="s">
        <v>2564</v>
      </c>
      <c r="C14253" s="1007">
        <f t="shared" si="315"/>
        <v>122</v>
      </c>
      <c r="D14253" s="1014"/>
      <c r="H14253" s="1011" t="s">
        <v>1010</v>
      </c>
      <c r="K14253" s="1013"/>
    </row>
    <row r="14254" spans="1:11" s="1011" customFormat="1" ht="15" x14ac:dyDescent="0.25">
      <c r="A14254" s="859">
        <f t="shared" si="316"/>
        <v>14253</v>
      </c>
      <c r="B14254" s="845" t="s">
        <v>2564</v>
      </c>
      <c r="C14254" s="1007">
        <f t="shared" si="315"/>
        <v>122</v>
      </c>
      <c r="D14254" s="1014"/>
      <c r="H14254" s="1011" t="s">
        <v>1007</v>
      </c>
      <c r="K14254" s="1013"/>
    </row>
    <row r="14255" spans="1:11" s="1011" customFormat="1" ht="15" x14ac:dyDescent="0.25">
      <c r="A14255" s="859">
        <f t="shared" si="316"/>
        <v>14254</v>
      </c>
      <c r="B14255" s="845" t="s">
        <v>2564</v>
      </c>
      <c r="C14255" s="1007">
        <f t="shared" ref="C14255:C14318" si="317">C14205+1</f>
        <v>122</v>
      </c>
      <c r="D14255" s="1012"/>
      <c r="I14255" s="1011" t="s">
        <v>2177</v>
      </c>
      <c r="K14255" s="1013"/>
    </row>
    <row r="14256" spans="1:11" s="1011" customFormat="1" ht="15" x14ac:dyDescent="0.25">
      <c r="A14256" s="859">
        <f t="shared" si="316"/>
        <v>14255</v>
      </c>
      <c r="B14256" s="845" t="s">
        <v>2564</v>
      </c>
      <c r="C14256" s="1007">
        <f t="shared" si="317"/>
        <v>122</v>
      </c>
      <c r="D14256" s="1015"/>
      <c r="I14256" s="1011" t="str">
        <f>CONCATENATE("&lt;valeur&gt;",VLOOKUP(C14256,'T16 Amort'!A:K,5,0),"&lt;/valeur&gt;")</f>
        <v>&lt;valeur&gt;&lt;/valeur&gt;</v>
      </c>
      <c r="K14256" s="1013"/>
    </row>
    <row r="14257" spans="1:11" s="1011" customFormat="1" ht="15" x14ac:dyDescent="0.25">
      <c r="A14257" s="859">
        <f t="shared" si="316"/>
        <v>14256</v>
      </c>
      <c r="B14257" s="845" t="s">
        <v>2564</v>
      </c>
      <c r="C14257" s="1007">
        <f t="shared" si="317"/>
        <v>122</v>
      </c>
      <c r="D14257" s="1012"/>
      <c r="I14257" s="1011" t="str">
        <f>CONCATENATE("&lt;numeroLigne&gt;",C14257,"&lt;/numeroLigne&gt;")</f>
        <v>&lt;numeroLigne&gt;122&lt;/numeroLigne&gt;</v>
      </c>
      <c r="K14257" s="1013"/>
    </row>
    <row r="14258" spans="1:11" s="1011" customFormat="1" ht="15" x14ac:dyDescent="0.25">
      <c r="A14258" s="859">
        <f t="shared" si="316"/>
        <v>14257</v>
      </c>
      <c r="B14258" s="845" t="s">
        <v>2564</v>
      </c>
      <c r="C14258" s="1007">
        <f t="shared" si="317"/>
        <v>122</v>
      </c>
      <c r="D14258" s="1012"/>
      <c r="H14258" s="1011" t="s">
        <v>1010</v>
      </c>
      <c r="K14258" s="1013"/>
    </row>
    <row r="14259" spans="1:11" s="1011" customFormat="1" ht="15" x14ac:dyDescent="0.25">
      <c r="A14259" s="859">
        <f t="shared" si="316"/>
        <v>14258</v>
      </c>
      <c r="B14259" s="845" t="s">
        <v>2564</v>
      </c>
      <c r="C14259" s="1007">
        <f t="shared" si="317"/>
        <v>122</v>
      </c>
      <c r="D14259" s="1014"/>
      <c r="H14259" s="1011" t="s">
        <v>1007</v>
      </c>
      <c r="K14259" s="1013"/>
    </row>
    <row r="14260" spans="1:11" s="1011" customFormat="1" ht="15" x14ac:dyDescent="0.25">
      <c r="A14260" s="859">
        <f t="shared" si="316"/>
        <v>14259</v>
      </c>
      <c r="B14260" s="845" t="s">
        <v>2564</v>
      </c>
      <c r="C14260" s="1007">
        <f t="shared" si="317"/>
        <v>122</v>
      </c>
      <c r="D14260" s="1014"/>
      <c r="I14260" s="1011" t="s">
        <v>2178</v>
      </c>
      <c r="K14260" s="1013"/>
    </row>
    <row r="14261" spans="1:11" s="1011" customFormat="1" ht="15" x14ac:dyDescent="0.25">
      <c r="A14261" s="859">
        <f t="shared" si="316"/>
        <v>14260</v>
      </c>
      <c r="B14261" s="845" t="s">
        <v>2564</v>
      </c>
      <c r="C14261" s="1007">
        <f t="shared" si="317"/>
        <v>122</v>
      </c>
      <c r="D14261" s="1012"/>
      <c r="I14261" s="1011" t="str">
        <f>CONCATENATE("&lt;valeur&gt;",VLOOKUP(C14261,'T16 Amort'!A:K,6,0),"&lt;/valeur&gt;")</f>
        <v>&lt;valeur&gt;&lt;/valeur&gt;</v>
      </c>
      <c r="K14261" s="1013"/>
    </row>
    <row r="14262" spans="1:11" s="1011" customFormat="1" ht="15" x14ac:dyDescent="0.25">
      <c r="A14262" s="859">
        <f t="shared" si="316"/>
        <v>14261</v>
      </c>
      <c r="B14262" s="845" t="s">
        <v>2564</v>
      </c>
      <c r="C14262" s="1007">
        <f t="shared" si="317"/>
        <v>122</v>
      </c>
      <c r="D14262" s="1015"/>
      <c r="I14262" s="1011" t="str">
        <f>CONCATENATE("&lt;numeroLigne&gt;",C14262,"&lt;/numeroLigne&gt;")</f>
        <v>&lt;numeroLigne&gt;122&lt;/numeroLigne&gt;</v>
      </c>
      <c r="K14262" s="1013"/>
    </row>
    <row r="14263" spans="1:11" s="1011" customFormat="1" ht="15" x14ac:dyDescent="0.25">
      <c r="A14263" s="859">
        <f t="shared" si="316"/>
        <v>14262</v>
      </c>
      <c r="B14263" s="845" t="s">
        <v>2564</v>
      </c>
      <c r="C14263" s="1007">
        <f t="shared" si="317"/>
        <v>122</v>
      </c>
      <c r="D14263" s="1012"/>
      <c r="H14263" s="1011" t="s">
        <v>1010</v>
      </c>
      <c r="K14263" s="1013"/>
    </row>
    <row r="14264" spans="1:11" s="1011" customFormat="1" ht="15" x14ac:dyDescent="0.25">
      <c r="A14264" s="859">
        <f t="shared" si="316"/>
        <v>14263</v>
      </c>
      <c r="B14264" s="845" t="s">
        <v>2564</v>
      </c>
      <c r="C14264" s="1007">
        <f t="shared" si="317"/>
        <v>122</v>
      </c>
      <c r="D14264" s="1012"/>
      <c r="H14264" s="1011" t="s">
        <v>1007</v>
      </c>
      <c r="K14264" s="1013"/>
    </row>
    <row r="14265" spans="1:11" s="1011" customFormat="1" ht="15" x14ac:dyDescent="0.25">
      <c r="A14265" s="859">
        <f t="shared" si="316"/>
        <v>14264</v>
      </c>
      <c r="B14265" s="845" t="s">
        <v>2564</v>
      </c>
      <c r="C14265" s="1007">
        <f t="shared" si="317"/>
        <v>122</v>
      </c>
      <c r="D14265" s="1014"/>
      <c r="I14265" s="1011" t="s">
        <v>2179</v>
      </c>
      <c r="K14265" s="1013"/>
    </row>
    <row r="14266" spans="1:11" s="1011" customFormat="1" ht="15" x14ac:dyDescent="0.25">
      <c r="A14266" s="859">
        <f t="shared" si="316"/>
        <v>14265</v>
      </c>
      <c r="B14266" s="845" t="s">
        <v>2564</v>
      </c>
      <c r="C14266" s="1007">
        <f t="shared" si="317"/>
        <v>122</v>
      </c>
      <c r="D14266" s="1014"/>
      <c r="I14266" s="1011" t="str">
        <f>CONCATENATE("&lt;valeur&gt;",VLOOKUP(C14266,'T16 Amort'!A:K,7,0),"&lt;/valeur&gt;")</f>
        <v>&lt;valeur&gt;&lt;/valeur&gt;</v>
      </c>
      <c r="K14266" s="1013"/>
    </row>
    <row r="14267" spans="1:11" s="1011" customFormat="1" ht="15" x14ac:dyDescent="0.25">
      <c r="A14267" s="859">
        <f t="shared" si="316"/>
        <v>14266</v>
      </c>
      <c r="B14267" s="845" t="s">
        <v>2564</v>
      </c>
      <c r="C14267" s="1007">
        <f t="shared" si="317"/>
        <v>122</v>
      </c>
      <c r="D14267" s="1012"/>
      <c r="I14267" s="1011" t="str">
        <f>CONCATENATE("&lt;numeroLigne&gt;",C14267,"&lt;/numeroLigne&gt;")</f>
        <v>&lt;numeroLigne&gt;122&lt;/numeroLigne&gt;</v>
      </c>
      <c r="K14267" s="1013"/>
    </row>
    <row r="14268" spans="1:11" s="1011" customFormat="1" ht="15" x14ac:dyDescent="0.25">
      <c r="A14268" s="859">
        <f t="shared" si="316"/>
        <v>14267</v>
      </c>
      <c r="B14268" s="845" t="s">
        <v>2564</v>
      </c>
      <c r="C14268" s="1007">
        <f t="shared" si="317"/>
        <v>122</v>
      </c>
      <c r="D14268" s="1015"/>
      <c r="H14268" s="1011" t="s">
        <v>1010</v>
      </c>
      <c r="K14268" s="1013"/>
    </row>
    <row r="14269" spans="1:11" s="1011" customFormat="1" ht="15" x14ac:dyDescent="0.25">
      <c r="A14269" s="859">
        <f t="shared" si="316"/>
        <v>14268</v>
      </c>
      <c r="B14269" s="845" t="s">
        <v>2564</v>
      </c>
      <c r="C14269" s="1007">
        <f t="shared" si="317"/>
        <v>122</v>
      </c>
      <c r="D14269" s="1012"/>
      <c r="H14269" s="1011" t="s">
        <v>1007</v>
      </c>
      <c r="K14269" s="1013"/>
    </row>
    <row r="14270" spans="1:11" s="1011" customFormat="1" ht="15" x14ac:dyDescent="0.25">
      <c r="A14270" s="859">
        <f t="shared" si="316"/>
        <v>14269</v>
      </c>
      <c r="B14270" s="845" t="s">
        <v>2564</v>
      </c>
      <c r="C14270" s="1007">
        <f t="shared" si="317"/>
        <v>122</v>
      </c>
      <c r="D14270" s="1012"/>
      <c r="I14270" s="1011" t="s">
        <v>2180</v>
      </c>
      <c r="K14270" s="1013"/>
    </row>
    <row r="14271" spans="1:11" s="1011" customFormat="1" ht="15" x14ac:dyDescent="0.25">
      <c r="A14271" s="859">
        <f t="shared" si="316"/>
        <v>14270</v>
      </c>
      <c r="B14271" s="845" t="s">
        <v>2564</v>
      </c>
      <c r="C14271" s="1007">
        <f t="shared" si="317"/>
        <v>122</v>
      </c>
      <c r="D14271" s="1014"/>
      <c r="I14271" s="1011" t="str">
        <f>CONCATENATE("&lt;valeur&gt;",VLOOKUP(C14271,'T16 Amort'!A:K,8,0),"&lt;/valeur&gt;")</f>
        <v>&lt;valeur&gt;&lt;/valeur&gt;</v>
      </c>
      <c r="K14271" s="1013"/>
    </row>
    <row r="14272" spans="1:11" s="1011" customFormat="1" ht="15" x14ac:dyDescent="0.25">
      <c r="A14272" s="859">
        <f t="shared" si="316"/>
        <v>14271</v>
      </c>
      <c r="B14272" s="845" t="s">
        <v>2564</v>
      </c>
      <c r="C14272" s="1007">
        <f t="shared" si="317"/>
        <v>122</v>
      </c>
      <c r="D14272" s="1014"/>
      <c r="I14272" s="1011" t="str">
        <f>CONCATENATE("&lt;numeroLigne&gt;",C14272,"&lt;/numeroLigne&gt;")</f>
        <v>&lt;numeroLigne&gt;122&lt;/numeroLigne&gt;</v>
      </c>
      <c r="K14272" s="1013"/>
    </row>
    <row r="14273" spans="1:11" s="1011" customFormat="1" ht="15" x14ac:dyDescent="0.25">
      <c r="A14273" s="859">
        <f t="shared" si="316"/>
        <v>14272</v>
      </c>
      <c r="B14273" s="845" t="s">
        <v>2564</v>
      </c>
      <c r="C14273" s="1007">
        <f t="shared" si="317"/>
        <v>122</v>
      </c>
      <c r="D14273" s="1012"/>
      <c r="H14273" s="1011" t="s">
        <v>1010</v>
      </c>
      <c r="K14273" s="1013"/>
    </row>
    <row r="14274" spans="1:11" s="1011" customFormat="1" ht="15" x14ac:dyDescent="0.25">
      <c r="A14274" s="859">
        <f t="shared" si="316"/>
        <v>14273</v>
      </c>
      <c r="B14274" s="845" t="s">
        <v>2564</v>
      </c>
      <c r="C14274" s="1007">
        <f t="shared" si="317"/>
        <v>122</v>
      </c>
      <c r="D14274" s="1015"/>
      <c r="H14274" s="1011" t="s">
        <v>1007</v>
      </c>
      <c r="K14274" s="1013"/>
    </row>
    <row r="14275" spans="1:11" s="1011" customFormat="1" ht="15" x14ac:dyDescent="0.25">
      <c r="A14275" s="859">
        <f t="shared" si="316"/>
        <v>14274</v>
      </c>
      <c r="B14275" s="845" t="s">
        <v>2564</v>
      </c>
      <c r="C14275" s="1007">
        <f t="shared" si="317"/>
        <v>122</v>
      </c>
      <c r="D14275" s="1012"/>
      <c r="I14275" s="1011" t="s">
        <v>2181</v>
      </c>
      <c r="K14275" s="1013"/>
    </row>
    <row r="14276" spans="1:11" s="1011" customFormat="1" ht="15" x14ac:dyDescent="0.25">
      <c r="A14276" s="859">
        <f t="shared" ref="A14276:A14339" si="318">+A14275+1</f>
        <v>14275</v>
      </c>
      <c r="B14276" s="845" t="s">
        <v>2564</v>
      </c>
      <c r="C14276" s="1007">
        <f t="shared" si="317"/>
        <v>122</v>
      </c>
      <c r="D14276" s="1012"/>
      <c r="I14276" s="1011" t="str">
        <f>CONCATENATE("&lt;valeur&gt;",VLOOKUP(C14276,'T16 Amort'!A:K,9,0),"&lt;/valeur&gt;")</f>
        <v>&lt;valeur&gt;&lt;/valeur&gt;</v>
      </c>
      <c r="K14276" s="1013"/>
    </row>
    <row r="14277" spans="1:11" s="1011" customFormat="1" ht="15" x14ac:dyDescent="0.25">
      <c r="A14277" s="859">
        <f t="shared" si="318"/>
        <v>14276</v>
      </c>
      <c r="B14277" s="845" t="s">
        <v>2564</v>
      </c>
      <c r="C14277" s="1007">
        <f t="shared" si="317"/>
        <v>122</v>
      </c>
      <c r="D14277" s="1014"/>
      <c r="I14277" s="1011" t="str">
        <f>CONCATENATE("&lt;numeroLigne&gt;",C14277,"&lt;/numeroLigne&gt;")</f>
        <v>&lt;numeroLigne&gt;122&lt;/numeroLigne&gt;</v>
      </c>
      <c r="K14277" s="1013"/>
    </row>
    <row r="14278" spans="1:11" s="1011" customFormat="1" ht="15" x14ac:dyDescent="0.25">
      <c r="A14278" s="859">
        <f t="shared" si="318"/>
        <v>14277</v>
      </c>
      <c r="B14278" s="845" t="s">
        <v>2564</v>
      </c>
      <c r="C14278" s="1007">
        <f t="shared" si="317"/>
        <v>122</v>
      </c>
      <c r="D14278" s="1014"/>
      <c r="H14278" s="1011" t="s">
        <v>1010</v>
      </c>
      <c r="K14278" s="1013"/>
    </row>
    <row r="14279" spans="1:11" s="1011" customFormat="1" ht="15" x14ac:dyDescent="0.25">
      <c r="A14279" s="859">
        <f t="shared" si="318"/>
        <v>14278</v>
      </c>
      <c r="B14279" s="845" t="s">
        <v>2564</v>
      </c>
      <c r="C14279" s="1007">
        <f t="shared" si="317"/>
        <v>122</v>
      </c>
      <c r="D14279" s="1012"/>
      <c r="H14279" s="1011" t="s">
        <v>1007</v>
      </c>
      <c r="K14279" s="1013"/>
    </row>
    <row r="14280" spans="1:11" s="1011" customFormat="1" ht="15" x14ac:dyDescent="0.25">
      <c r="A14280" s="859">
        <f t="shared" si="318"/>
        <v>14279</v>
      </c>
      <c r="B14280" s="845" t="s">
        <v>2564</v>
      </c>
      <c r="C14280" s="1007">
        <f t="shared" si="317"/>
        <v>122</v>
      </c>
      <c r="D14280" s="1015"/>
      <c r="I14280" s="1011" t="s">
        <v>2182</v>
      </c>
      <c r="K14280" s="1013"/>
    </row>
    <row r="14281" spans="1:11" s="1011" customFormat="1" ht="15" x14ac:dyDescent="0.25">
      <c r="A14281" s="859">
        <f t="shared" si="318"/>
        <v>14280</v>
      </c>
      <c r="B14281" s="845" t="s">
        <v>2564</v>
      </c>
      <c r="C14281" s="1007">
        <f t="shared" si="317"/>
        <v>122</v>
      </c>
      <c r="D14281" s="1012"/>
      <c r="I14281" s="1011" t="str">
        <f>CONCATENATE("&lt;valeur&gt;",VLOOKUP(C14281,'T16 Amort'!A:K,10,0),"&lt;/valeur&gt;")</f>
        <v>&lt;valeur&gt;&lt;/valeur&gt;</v>
      </c>
      <c r="K14281" s="1013"/>
    </row>
    <row r="14282" spans="1:11" s="1011" customFormat="1" ht="15" x14ac:dyDescent="0.25">
      <c r="A14282" s="859">
        <f t="shared" si="318"/>
        <v>14281</v>
      </c>
      <c r="B14282" s="845" t="s">
        <v>2564</v>
      </c>
      <c r="C14282" s="1007">
        <f t="shared" si="317"/>
        <v>122</v>
      </c>
      <c r="D14282" s="1012"/>
      <c r="I14282" s="1011" t="str">
        <f>CONCATENATE("&lt;numeroLigne&gt;",C14282,"&lt;/numeroLigne&gt;")</f>
        <v>&lt;numeroLigne&gt;122&lt;/numeroLigne&gt;</v>
      </c>
      <c r="K14282" s="1013"/>
    </row>
    <row r="14283" spans="1:11" s="1011" customFormat="1" ht="15" x14ac:dyDescent="0.25">
      <c r="A14283" s="859">
        <f t="shared" si="318"/>
        <v>14282</v>
      </c>
      <c r="B14283" s="845" t="s">
        <v>2564</v>
      </c>
      <c r="C14283" s="1007">
        <f t="shared" si="317"/>
        <v>122</v>
      </c>
      <c r="D14283" s="1014"/>
      <c r="H14283" s="1011" t="s">
        <v>1010</v>
      </c>
      <c r="K14283" s="1013"/>
    </row>
    <row r="14284" spans="1:11" s="1011" customFormat="1" ht="15" x14ac:dyDescent="0.25">
      <c r="A14284" s="859">
        <f t="shared" si="318"/>
        <v>14283</v>
      </c>
      <c r="B14284" s="845" t="s">
        <v>2564</v>
      </c>
      <c r="C14284" s="1007">
        <f t="shared" si="317"/>
        <v>122</v>
      </c>
      <c r="D14284" s="1014"/>
      <c r="H14284" s="1011" t="s">
        <v>1007</v>
      </c>
      <c r="K14284" s="1013"/>
    </row>
    <row r="14285" spans="1:11" s="1011" customFormat="1" ht="15" x14ac:dyDescent="0.25">
      <c r="A14285" s="859">
        <f t="shared" si="318"/>
        <v>14284</v>
      </c>
      <c r="B14285" s="845" t="s">
        <v>2564</v>
      </c>
      <c r="C14285" s="1007">
        <f t="shared" si="317"/>
        <v>122</v>
      </c>
      <c r="D14285" s="1012"/>
      <c r="I14285" s="1011" t="s">
        <v>2183</v>
      </c>
      <c r="K14285" s="1013"/>
    </row>
    <row r="14286" spans="1:11" s="1011" customFormat="1" ht="15" x14ac:dyDescent="0.25">
      <c r="A14286" s="859">
        <f t="shared" si="318"/>
        <v>14285</v>
      </c>
      <c r="B14286" s="845" t="s">
        <v>2564</v>
      </c>
      <c r="C14286" s="1007">
        <f t="shared" si="317"/>
        <v>122</v>
      </c>
      <c r="D14286" s="1015"/>
      <c r="I14286" s="1011" t="str">
        <f>CONCATENATE("&lt;valeur&gt;",VLOOKUP(C14286,'T16 Amort'!A:K,11,0),"&lt;/valeur&gt;")</f>
        <v>&lt;valeur&gt;&lt;/valeur&gt;</v>
      </c>
      <c r="K14286" s="1013"/>
    </row>
    <row r="14287" spans="1:11" s="1011" customFormat="1" ht="15" x14ac:dyDescent="0.25">
      <c r="A14287" s="859">
        <f t="shared" si="318"/>
        <v>14286</v>
      </c>
      <c r="B14287" s="845" t="s">
        <v>2564</v>
      </c>
      <c r="C14287" s="1007">
        <f t="shared" si="317"/>
        <v>122</v>
      </c>
      <c r="D14287" s="1012"/>
      <c r="I14287" s="1011" t="str">
        <f>CONCATENATE("&lt;numeroLigne&gt;",C14287,"&lt;/numeroLigne&gt;")</f>
        <v>&lt;numeroLigne&gt;122&lt;/numeroLigne&gt;</v>
      </c>
      <c r="K14287" s="1013"/>
    </row>
    <row r="14288" spans="1:11" s="1011" customFormat="1" ht="15" x14ac:dyDescent="0.25">
      <c r="A14288" s="859">
        <f t="shared" si="318"/>
        <v>14287</v>
      </c>
      <c r="B14288" s="845" t="s">
        <v>2564</v>
      </c>
      <c r="C14288" s="1007">
        <f t="shared" si="317"/>
        <v>122</v>
      </c>
      <c r="D14288" s="1016"/>
      <c r="E14288" s="1017"/>
      <c r="F14288" s="1017"/>
      <c r="G14288" s="1017"/>
      <c r="H14288" s="1017" t="s">
        <v>1010</v>
      </c>
      <c r="I14288" s="1017"/>
      <c r="J14288" s="1017"/>
      <c r="K14288" s="1018"/>
    </row>
    <row r="14289" spans="1:11" s="1011" customFormat="1" ht="15" x14ac:dyDescent="0.25">
      <c r="A14289" s="859">
        <f t="shared" si="318"/>
        <v>14288</v>
      </c>
      <c r="B14289" s="845" t="s">
        <v>2564</v>
      </c>
      <c r="C14289" s="1007">
        <f t="shared" si="317"/>
        <v>123</v>
      </c>
      <c r="D14289" s="1008"/>
      <c r="E14289" s="1009"/>
      <c r="F14289" s="1009"/>
      <c r="G14289" s="1009"/>
      <c r="H14289" s="1009" t="s">
        <v>1007</v>
      </c>
      <c r="I14289" s="1009"/>
      <c r="J14289" s="1009"/>
      <c r="K14289" s="1010"/>
    </row>
    <row r="14290" spans="1:11" s="1011" customFormat="1" ht="15" x14ac:dyDescent="0.25">
      <c r="A14290" s="859">
        <f t="shared" si="318"/>
        <v>14289</v>
      </c>
      <c r="B14290" s="845" t="s">
        <v>2564</v>
      </c>
      <c r="C14290" s="1007">
        <f t="shared" si="317"/>
        <v>123</v>
      </c>
      <c r="D14290" s="1012"/>
      <c r="I14290" s="1011" t="s">
        <v>2174</v>
      </c>
      <c r="K14290" s="1013"/>
    </row>
    <row r="14291" spans="1:11" s="1011" customFormat="1" ht="15" x14ac:dyDescent="0.25">
      <c r="A14291" s="859">
        <f t="shared" si="318"/>
        <v>14290</v>
      </c>
      <c r="B14291" s="845" t="s">
        <v>2564</v>
      </c>
      <c r="C14291" s="1007">
        <f t="shared" si="317"/>
        <v>123</v>
      </c>
      <c r="D14291" s="1014"/>
      <c r="I14291" s="1011" t="str">
        <f>CONCATENATE("&lt;valeur&gt;",VLOOKUP(C14291,'T16 Amort'!A:K,2,0),"&lt;/valeur&gt;")</f>
        <v>&lt;valeur&gt;&lt;/valeur&gt;</v>
      </c>
      <c r="K14291" s="1013"/>
    </row>
    <row r="14292" spans="1:11" s="1011" customFormat="1" ht="15" x14ac:dyDescent="0.25">
      <c r="A14292" s="859">
        <f t="shared" si="318"/>
        <v>14291</v>
      </c>
      <c r="B14292" s="845" t="s">
        <v>2564</v>
      </c>
      <c r="C14292" s="1007">
        <f t="shared" si="317"/>
        <v>123</v>
      </c>
      <c r="D14292" s="1014"/>
      <c r="I14292" s="1011" t="str">
        <f>CONCATENATE("&lt;numeroLigne&gt;",C14292,"&lt;/numeroLigne&gt;")</f>
        <v>&lt;numeroLigne&gt;123&lt;/numeroLigne&gt;</v>
      </c>
      <c r="K14292" s="1013"/>
    </row>
    <row r="14293" spans="1:11" s="1011" customFormat="1" ht="15" x14ac:dyDescent="0.25">
      <c r="A14293" s="859">
        <f t="shared" si="318"/>
        <v>14292</v>
      </c>
      <c r="B14293" s="845" t="s">
        <v>2564</v>
      </c>
      <c r="C14293" s="1007">
        <f t="shared" si="317"/>
        <v>123</v>
      </c>
      <c r="D14293" s="1012"/>
      <c r="H14293" s="1011" t="s">
        <v>1010</v>
      </c>
      <c r="K14293" s="1013"/>
    </row>
    <row r="14294" spans="1:11" s="1011" customFormat="1" ht="15" x14ac:dyDescent="0.25">
      <c r="A14294" s="859">
        <f t="shared" si="318"/>
        <v>14293</v>
      </c>
      <c r="B14294" s="845" t="s">
        <v>2564</v>
      </c>
      <c r="C14294" s="1007">
        <f t="shared" si="317"/>
        <v>123</v>
      </c>
      <c r="D14294" s="1015"/>
      <c r="H14294" s="1011" t="s">
        <v>1007</v>
      </c>
      <c r="K14294" s="1013"/>
    </row>
    <row r="14295" spans="1:11" s="1011" customFormat="1" ht="15" x14ac:dyDescent="0.25">
      <c r="A14295" s="859">
        <f t="shared" si="318"/>
        <v>14294</v>
      </c>
      <c r="B14295" s="845" t="s">
        <v>2564</v>
      </c>
      <c r="C14295" s="1007">
        <f t="shared" si="317"/>
        <v>123</v>
      </c>
      <c r="D14295" s="1012"/>
      <c r="I14295" s="1011" t="s">
        <v>2175</v>
      </c>
      <c r="K14295" s="1013"/>
    </row>
    <row r="14296" spans="1:11" s="1011" customFormat="1" ht="15" x14ac:dyDescent="0.25">
      <c r="A14296" s="859">
        <f t="shared" si="318"/>
        <v>14295</v>
      </c>
      <c r="B14296" s="845" t="s">
        <v>2564</v>
      </c>
      <c r="C14296" s="1007">
        <f t="shared" si="317"/>
        <v>123</v>
      </c>
      <c r="D14296" s="1012"/>
      <c r="I14296" s="1011" t="str">
        <f>CONCATENATE("&lt;valeur&gt;",VLOOKUP(C14296,'T16 Amort'!A:K,3,0),"&lt;/valeur&gt;")</f>
        <v>&lt;valeur&gt;&lt;/valeur&gt;</v>
      </c>
      <c r="K14296" s="1013"/>
    </row>
    <row r="14297" spans="1:11" s="1011" customFormat="1" ht="15" x14ac:dyDescent="0.25">
      <c r="A14297" s="859">
        <f t="shared" si="318"/>
        <v>14296</v>
      </c>
      <c r="B14297" s="845" t="s">
        <v>2564</v>
      </c>
      <c r="C14297" s="1007">
        <f t="shared" si="317"/>
        <v>123</v>
      </c>
      <c r="D14297" s="1014"/>
      <c r="I14297" s="1011" t="str">
        <f>CONCATENATE("&lt;numeroLigne&gt;",C14297,"&lt;/numeroLigne&gt;")</f>
        <v>&lt;numeroLigne&gt;123&lt;/numeroLigne&gt;</v>
      </c>
      <c r="K14297" s="1013"/>
    </row>
    <row r="14298" spans="1:11" s="1011" customFormat="1" ht="15" x14ac:dyDescent="0.25">
      <c r="A14298" s="859">
        <f t="shared" si="318"/>
        <v>14297</v>
      </c>
      <c r="B14298" s="845" t="s">
        <v>2564</v>
      </c>
      <c r="C14298" s="1007">
        <f t="shared" si="317"/>
        <v>123</v>
      </c>
      <c r="D14298" s="1014"/>
      <c r="H14298" s="1011" t="s">
        <v>1010</v>
      </c>
      <c r="K14298" s="1013"/>
    </row>
    <row r="14299" spans="1:11" s="1011" customFormat="1" ht="15" x14ac:dyDescent="0.25">
      <c r="A14299" s="859">
        <f t="shared" si="318"/>
        <v>14298</v>
      </c>
      <c r="B14299" s="845" t="s">
        <v>2564</v>
      </c>
      <c r="C14299" s="1007">
        <f t="shared" si="317"/>
        <v>123</v>
      </c>
      <c r="D14299" s="1012"/>
      <c r="H14299" s="1011" t="s">
        <v>1007</v>
      </c>
      <c r="K14299" s="1013"/>
    </row>
    <row r="14300" spans="1:11" s="1011" customFormat="1" ht="15" x14ac:dyDescent="0.25">
      <c r="A14300" s="859">
        <f t="shared" si="318"/>
        <v>14299</v>
      </c>
      <c r="B14300" s="845" t="s">
        <v>2564</v>
      </c>
      <c r="C14300" s="1007">
        <f t="shared" si="317"/>
        <v>123</v>
      </c>
      <c r="D14300" s="1015"/>
      <c r="I14300" s="1011" t="s">
        <v>2176</v>
      </c>
      <c r="K14300" s="1013"/>
    </row>
    <row r="14301" spans="1:11" s="1011" customFormat="1" ht="15" x14ac:dyDescent="0.25">
      <c r="A14301" s="859">
        <f t="shared" si="318"/>
        <v>14300</v>
      </c>
      <c r="B14301" s="845" t="s">
        <v>2564</v>
      </c>
      <c r="C14301" s="1007">
        <f t="shared" si="317"/>
        <v>123</v>
      </c>
      <c r="D14301" s="1012"/>
      <c r="I14301" s="1011" t="str">
        <f>CONCATENATE("&lt;valeur&gt;",VLOOKUP(C14301,'T16 Amort'!A:K,4,0),"&lt;/valeur&gt;")</f>
        <v>&lt;valeur&gt;&lt;/valeur&gt;</v>
      </c>
      <c r="K14301" s="1013"/>
    </row>
    <row r="14302" spans="1:11" s="1011" customFormat="1" ht="15" x14ac:dyDescent="0.25">
      <c r="A14302" s="859">
        <f t="shared" si="318"/>
        <v>14301</v>
      </c>
      <c r="B14302" s="845" t="s">
        <v>2564</v>
      </c>
      <c r="C14302" s="1007">
        <f t="shared" si="317"/>
        <v>123</v>
      </c>
      <c r="D14302" s="1012"/>
      <c r="I14302" s="1011" t="str">
        <f>CONCATENATE("&lt;numeroLigne&gt;",C14302,"&lt;/numeroLigne&gt;")</f>
        <v>&lt;numeroLigne&gt;123&lt;/numeroLigne&gt;</v>
      </c>
      <c r="K14302" s="1013"/>
    </row>
    <row r="14303" spans="1:11" s="1011" customFormat="1" ht="15" x14ac:dyDescent="0.25">
      <c r="A14303" s="859">
        <f t="shared" si="318"/>
        <v>14302</v>
      </c>
      <c r="B14303" s="845" t="s">
        <v>2564</v>
      </c>
      <c r="C14303" s="1007">
        <f t="shared" si="317"/>
        <v>123</v>
      </c>
      <c r="D14303" s="1014"/>
      <c r="H14303" s="1011" t="s">
        <v>1010</v>
      </c>
      <c r="K14303" s="1013"/>
    </row>
    <row r="14304" spans="1:11" s="1011" customFormat="1" ht="15" x14ac:dyDescent="0.25">
      <c r="A14304" s="859">
        <f t="shared" si="318"/>
        <v>14303</v>
      </c>
      <c r="B14304" s="845" t="s">
        <v>2564</v>
      </c>
      <c r="C14304" s="1007">
        <f t="shared" si="317"/>
        <v>123</v>
      </c>
      <c r="D14304" s="1014"/>
      <c r="H14304" s="1011" t="s">
        <v>1007</v>
      </c>
      <c r="K14304" s="1013"/>
    </row>
    <row r="14305" spans="1:11" s="1011" customFormat="1" ht="15" x14ac:dyDescent="0.25">
      <c r="A14305" s="859">
        <f t="shared" si="318"/>
        <v>14304</v>
      </c>
      <c r="B14305" s="845" t="s">
        <v>2564</v>
      </c>
      <c r="C14305" s="1007">
        <f t="shared" si="317"/>
        <v>123</v>
      </c>
      <c r="D14305" s="1012"/>
      <c r="I14305" s="1011" t="s">
        <v>2177</v>
      </c>
      <c r="K14305" s="1013"/>
    </row>
    <row r="14306" spans="1:11" s="1011" customFormat="1" ht="15" x14ac:dyDescent="0.25">
      <c r="A14306" s="859">
        <f t="shared" si="318"/>
        <v>14305</v>
      </c>
      <c r="B14306" s="845" t="s">
        <v>2564</v>
      </c>
      <c r="C14306" s="1007">
        <f t="shared" si="317"/>
        <v>123</v>
      </c>
      <c r="D14306" s="1015"/>
      <c r="I14306" s="1011" t="str">
        <f>CONCATENATE("&lt;valeur&gt;",VLOOKUP(C14306,'T16 Amort'!A:K,5,0),"&lt;/valeur&gt;")</f>
        <v>&lt;valeur&gt;&lt;/valeur&gt;</v>
      </c>
      <c r="K14306" s="1013"/>
    </row>
    <row r="14307" spans="1:11" s="1011" customFormat="1" ht="15" x14ac:dyDescent="0.25">
      <c r="A14307" s="859">
        <f t="shared" si="318"/>
        <v>14306</v>
      </c>
      <c r="B14307" s="845" t="s">
        <v>2564</v>
      </c>
      <c r="C14307" s="1007">
        <f t="shared" si="317"/>
        <v>123</v>
      </c>
      <c r="D14307" s="1012"/>
      <c r="I14307" s="1011" t="str">
        <f>CONCATENATE("&lt;numeroLigne&gt;",C14307,"&lt;/numeroLigne&gt;")</f>
        <v>&lt;numeroLigne&gt;123&lt;/numeroLigne&gt;</v>
      </c>
      <c r="K14307" s="1013"/>
    </row>
    <row r="14308" spans="1:11" s="1011" customFormat="1" ht="15" x14ac:dyDescent="0.25">
      <c r="A14308" s="859">
        <f t="shared" si="318"/>
        <v>14307</v>
      </c>
      <c r="B14308" s="845" t="s">
        <v>2564</v>
      </c>
      <c r="C14308" s="1007">
        <f t="shared" si="317"/>
        <v>123</v>
      </c>
      <c r="D14308" s="1012"/>
      <c r="H14308" s="1011" t="s">
        <v>1010</v>
      </c>
      <c r="K14308" s="1013"/>
    </row>
    <row r="14309" spans="1:11" s="1011" customFormat="1" ht="15" x14ac:dyDescent="0.25">
      <c r="A14309" s="859">
        <f t="shared" si="318"/>
        <v>14308</v>
      </c>
      <c r="B14309" s="845" t="s">
        <v>2564</v>
      </c>
      <c r="C14309" s="1007">
        <f t="shared" si="317"/>
        <v>123</v>
      </c>
      <c r="D14309" s="1014"/>
      <c r="H14309" s="1011" t="s">
        <v>1007</v>
      </c>
      <c r="K14309" s="1013"/>
    </row>
    <row r="14310" spans="1:11" s="1011" customFormat="1" ht="15" x14ac:dyDescent="0.25">
      <c r="A14310" s="859">
        <f t="shared" si="318"/>
        <v>14309</v>
      </c>
      <c r="B14310" s="845" t="s">
        <v>2564</v>
      </c>
      <c r="C14310" s="1007">
        <f t="shared" si="317"/>
        <v>123</v>
      </c>
      <c r="D14310" s="1014"/>
      <c r="I14310" s="1011" t="s">
        <v>2178</v>
      </c>
      <c r="K14310" s="1013"/>
    </row>
    <row r="14311" spans="1:11" s="1011" customFormat="1" ht="15" x14ac:dyDescent="0.25">
      <c r="A14311" s="859">
        <f t="shared" si="318"/>
        <v>14310</v>
      </c>
      <c r="B14311" s="845" t="s">
        <v>2564</v>
      </c>
      <c r="C14311" s="1007">
        <f t="shared" si="317"/>
        <v>123</v>
      </c>
      <c r="D14311" s="1012"/>
      <c r="I14311" s="1011" t="str">
        <f>CONCATENATE("&lt;valeur&gt;",VLOOKUP(C14311,'T16 Amort'!A:K,6,0),"&lt;/valeur&gt;")</f>
        <v>&lt;valeur&gt;&lt;/valeur&gt;</v>
      </c>
      <c r="K14311" s="1013"/>
    </row>
    <row r="14312" spans="1:11" s="1011" customFormat="1" ht="15" x14ac:dyDescent="0.25">
      <c r="A14312" s="859">
        <f t="shared" si="318"/>
        <v>14311</v>
      </c>
      <c r="B14312" s="845" t="s">
        <v>2564</v>
      </c>
      <c r="C14312" s="1007">
        <f t="shared" si="317"/>
        <v>123</v>
      </c>
      <c r="D14312" s="1015"/>
      <c r="I14312" s="1011" t="str">
        <f>CONCATENATE("&lt;numeroLigne&gt;",C14312,"&lt;/numeroLigne&gt;")</f>
        <v>&lt;numeroLigne&gt;123&lt;/numeroLigne&gt;</v>
      </c>
      <c r="K14312" s="1013"/>
    </row>
    <row r="14313" spans="1:11" s="1011" customFormat="1" ht="15" x14ac:dyDescent="0.25">
      <c r="A14313" s="859">
        <f t="shared" si="318"/>
        <v>14312</v>
      </c>
      <c r="B14313" s="845" t="s">
        <v>2564</v>
      </c>
      <c r="C14313" s="1007">
        <f t="shared" si="317"/>
        <v>123</v>
      </c>
      <c r="D14313" s="1012"/>
      <c r="H14313" s="1011" t="s">
        <v>1010</v>
      </c>
      <c r="K14313" s="1013"/>
    </row>
    <row r="14314" spans="1:11" s="1011" customFormat="1" ht="15" x14ac:dyDescent="0.25">
      <c r="A14314" s="859">
        <f t="shared" si="318"/>
        <v>14313</v>
      </c>
      <c r="B14314" s="845" t="s">
        <v>2564</v>
      </c>
      <c r="C14314" s="1007">
        <f t="shared" si="317"/>
        <v>123</v>
      </c>
      <c r="D14314" s="1012"/>
      <c r="H14314" s="1011" t="s">
        <v>1007</v>
      </c>
      <c r="K14314" s="1013"/>
    </row>
    <row r="14315" spans="1:11" s="1011" customFormat="1" ht="15" x14ac:dyDescent="0.25">
      <c r="A14315" s="859">
        <f t="shared" si="318"/>
        <v>14314</v>
      </c>
      <c r="B14315" s="845" t="s">
        <v>2564</v>
      </c>
      <c r="C14315" s="1007">
        <f t="shared" si="317"/>
        <v>123</v>
      </c>
      <c r="D14315" s="1014"/>
      <c r="I14315" s="1011" t="s">
        <v>2179</v>
      </c>
      <c r="K14315" s="1013"/>
    </row>
    <row r="14316" spans="1:11" s="1011" customFormat="1" ht="15" x14ac:dyDescent="0.25">
      <c r="A14316" s="859">
        <f t="shared" si="318"/>
        <v>14315</v>
      </c>
      <c r="B14316" s="845" t="s">
        <v>2564</v>
      </c>
      <c r="C14316" s="1007">
        <f t="shared" si="317"/>
        <v>123</v>
      </c>
      <c r="D14316" s="1014"/>
      <c r="I14316" s="1011" t="str">
        <f>CONCATENATE("&lt;valeur&gt;",VLOOKUP(C14316,'T16 Amort'!A:K,7,0),"&lt;/valeur&gt;")</f>
        <v>&lt;valeur&gt;&lt;/valeur&gt;</v>
      </c>
      <c r="K14316" s="1013"/>
    </row>
    <row r="14317" spans="1:11" s="1011" customFormat="1" ht="15" x14ac:dyDescent="0.25">
      <c r="A14317" s="859">
        <f t="shared" si="318"/>
        <v>14316</v>
      </c>
      <c r="B14317" s="845" t="s">
        <v>2564</v>
      </c>
      <c r="C14317" s="1007">
        <f t="shared" si="317"/>
        <v>123</v>
      </c>
      <c r="D14317" s="1012"/>
      <c r="I14317" s="1011" t="str">
        <f>CONCATENATE("&lt;numeroLigne&gt;",C14317,"&lt;/numeroLigne&gt;")</f>
        <v>&lt;numeroLigne&gt;123&lt;/numeroLigne&gt;</v>
      </c>
      <c r="K14317" s="1013"/>
    </row>
    <row r="14318" spans="1:11" s="1011" customFormat="1" ht="15" x14ac:dyDescent="0.25">
      <c r="A14318" s="859">
        <f t="shared" si="318"/>
        <v>14317</v>
      </c>
      <c r="B14318" s="845" t="s">
        <v>2564</v>
      </c>
      <c r="C14318" s="1007">
        <f t="shared" si="317"/>
        <v>123</v>
      </c>
      <c r="D14318" s="1015"/>
      <c r="H14318" s="1011" t="s">
        <v>1010</v>
      </c>
      <c r="K14318" s="1013"/>
    </row>
    <row r="14319" spans="1:11" s="1011" customFormat="1" ht="15" x14ac:dyDescent="0.25">
      <c r="A14319" s="859">
        <f t="shared" si="318"/>
        <v>14318</v>
      </c>
      <c r="B14319" s="845" t="s">
        <v>2564</v>
      </c>
      <c r="C14319" s="1007">
        <f t="shared" ref="C14319:C14382" si="319">C14269+1</f>
        <v>123</v>
      </c>
      <c r="D14319" s="1012"/>
      <c r="H14319" s="1011" t="s">
        <v>1007</v>
      </c>
      <c r="K14319" s="1013"/>
    </row>
    <row r="14320" spans="1:11" s="1011" customFormat="1" ht="15" x14ac:dyDescent="0.25">
      <c r="A14320" s="859">
        <f t="shared" si="318"/>
        <v>14319</v>
      </c>
      <c r="B14320" s="845" t="s">
        <v>2564</v>
      </c>
      <c r="C14320" s="1007">
        <f t="shared" si="319"/>
        <v>123</v>
      </c>
      <c r="D14320" s="1012"/>
      <c r="I14320" s="1011" t="s">
        <v>2180</v>
      </c>
      <c r="K14320" s="1013"/>
    </row>
    <row r="14321" spans="1:11" s="1011" customFormat="1" ht="15" x14ac:dyDescent="0.25">
      <c r="A14321" s="859">
        <f t="shared" si="318"/>
        <v>14320</v>
      </c>
      <c r="B14321" s="845" t="s">
        <v>2564</v>
      </c>
      <c r="C14321" s="1007">
        <f t="shared" si="319"/>
        <v>123</v>
      </c>
      <c r="D14321" s="1014"/>
      <c r="I14321" s="1011" t="str">
        <f>CONCATENATE("&lt;valeur&gt;",VLOOKUP(C14321,'T16 Amort'!A:K,8,0),"&lt;/valeur&gt;")</f>
        <v>&lt;valeur&gt;&lt;/valeur&gt;</v>
      </c>
      <c r="K14321" s="1013"/>
    </row>
    <row r="14322" spans="1:11" s="1011" customFormat="1" ht="15" x14ac:dyDescent="0.25">
      <c r="A14322" s="859">
        <f t="shared" si="318"/>
        <v>14321</v>
      </c>
      <c r="B14322" s="845" t="s">
        <v>2564</v>
      </c>
      <c r="C14322" s="1007">
        <f t="shared" si="319"/>
        <v>123</v>
      </c>
      <c r="D14322" s="1014"/>
      <c r="I14322" s="1011" t="str">
        <f>CONCATENATE("&lt;numeroLigne&gt;",C14322,"&lt;/numeroLigne&gt;")</f>
        <v>&lt;numeroLigne&gt;123&lt;/numeroLigne&gt;</v>
      </c>
      <c r="K14322" s="1013"/>
    </row>
    <row r="14323" spans="1:11" s="1011" customFormat="1" ht="15" x14ac:dyDescent="0.25">
      <c r="A14323" s="859">
        <f t="shared" si="318"/>
        <v>14322</v>
      </c>
      <c r="B14323" s="845" t="s">
        <v>2564</v>
      </c>
      <c r="C14323" s="1007">
        <f t="shared" si="319"/>
        <v>123</v>
      </c>
      <c r="D14323" s="1012"/>
      <c r="H14323" s="1011" t="s">
        <v>1010</v>
      </c>
      <c r="K14323" s="1013"/>
    </row>
    <row r="14324" spans="1:11" s="1011" customFormat="1" ht="15" x14ac:dyDescent="0.25">
      <c r="A14324" s="859">
        <f t="shared" si="318"/>
        <v>14323</v>
      </c>
      <c r="B14324" s="845" t="s">
        <v>2564</v>
      </c>
      <c r="C14324" s="1007">
        <f t="shared" si="319"/>
        <v>123</v>
      </c>
      <c r="D14324" s="1015"/>
      <c r="H14324" s="1011" t="s">
        <v>1007</v>
      </c>
      <c r="K14324" s="1013"/>
    </row>
    <row r="14325" spans="1:11" s="1011" customFormat="1" ht="15" x14ac:dyDescent="0.25">
      <c r="A14325" s="859">
        <f t="shared" si="318"/>
        <v>14324</v>
      </c>
      <c r="B14325" s="845" t="s">
        <v>2564</v>
      </c>
      <c r="C14325" s="1007">
        <f t="shared" si="319"/>
        <v>123</v>
      </c>
      <c r="D14325" s="1012"/>
      <c r="I14325" s="1011" t="s">
        <v>2181</v>
      </c>
      <c r="K14325" s="1013"/>
    </row>
    <row r="14326" spans="1:11" s="1011" customFormat="1" ht="15" x14ac:dyDescent="0.25">
      <c r="A14326" s="859">
        <f t="shared" si="318"/>
        <v>14325</v>
      </c>
      <c r="B14326" s="845" t="s">
        <v>2564</v>
      </c>
      <c r="C14326" s="1007">
        <f t="shared" si="319"/>
        <v>123</v>
      </c>
      <c r="D14326" s="1012"/>
      <c r="I14326" s="1011" t="str">
        <f>CONCATENATE("&lt;valeur&gt;",VLOOKUP(C14326,'T16 Amort'!A:K,9,0),"&lt;/valeur&gt;")</f>
        <v>&lt;valeur&gt;&lt;/valeur&gt;</v>
      </c>
      <c r="K14326" s="1013"/>
    </row>
    <row r="14327" spans="1:11" s="1011" customFormat="1" ht="15" x14ac:dyDescent="0.25">
      <c r="A14327" s="859">
        <f t="shared" si="318"/>
        <v>14326</v>
      </c>
      <c r="B14327" s="845" t="s">
        <v>2564</v>
      </c>
      <c r="C14327" s="1007">
        <f t="shared" si="319"/>
        <v>123</v>
      </c>
      <c r="D14327" s="1014"/>
      <c r="I14327" s="1011" t="str">
        <f>CONCATENATE("&lt;numeroLigne&gt;",C14327,"&lt;/numeroLigne&gt;")</f>
        <v>&lt;numeroLigne&gt;123&lt;/numeroLigne&gt;</v>
      </c>
      <c r="K14327" s="1013"/>
    </row>
    <row r="14328" spans="1:11" s="1011" customFormat="1" ht="15" x14ac:dyDescent="0.25">
      <c r="A14328" s="859">
        <f t="shared" si="318"/>
        <v>14327</v>
      </c>
      <c r="B14328" s="845" t="s">
        <v>2564</v>
      </c>
      <c r="C14328" s="1007">
        <f t="shared" si="319"/>
        <v>123</v>
      </c>
      <c r="D14328" s="1014"/>
      <c r="H14328" s="1011" t="s">
        <v>1010</v>
      </c>
      <c r="K14328" s="1013"/>
    </row>
    <row r="14329" spans="1:11" s="1011" customFormat="1" ht="15" x14ac:dyDescent="0.25">
      <c r="A14329" s="859">
        <f t="shared" si="318"/>
        <v>14328</v>
      </c>
      <c r="B14329" s="845" t="s">
        <v>2564</v>
      </c>
      <c r="C14329" s="1007">
        <f t="shared" si="319"/>
        <v>123</v>
      </c>
      <c r="D14329" s="1012"/>
      <c r="H14329" s="1011" t="s">
        <v>1007</v>
      </c>
      <c r="K14329" s="1013"/>
    </row>
    <row r="14330" spans="1:11" s="1011" customFormat="1" ht="15" x14ac:dyDescent="0.25">
      <c r="A14330" s="859">
        <f t="shared" si="318"/>
        <v>14329</v>
      </c>
      <c r="B14330" s="845" t="s">
        <v>2564</v>
      </c>
      <c r="C14330" s="1007">
        <f t="shared" si="319"/>
        <v>123</v>
      </c>
      <c r="D14330" s="1015"/>
      <c r="I14330" s="1011" t="s">
        <v>2182</v>
      </c>
      <c r="K14330" s="1013"/>
    </row>
    <row r="14331" spans="1:11" s="1011" customFormat="1" ht="15" x14ac:dyDescent="0.25">
      <c r="A14331" s="859">
        <f t="shared" si="318"/>
        <v>14330</v>
      </c>
      <c r="B14331" s="845" t="s">
        <v>2564</v>
      </c>
      <c r="C14331" s="1007">
        <f t="shared" si="319"/>
        <v>123</v>
      </c>
      <c r="D14331" s="1012"/>
      <c r="I14331" s="1011" t="str">
        <f>CONCATENATE("&lt;valeur&gt;",VLOOKUP(C14331,'T16 Amort'!A:K,10,0),"&lt;/valeur&gt;")</f>
        <v>&lt;valeur&gt;&lt;/valeur&gt;</v>
      </c>
      <c r="K14331" s="1013"/>
    </row>
    <row r="14332" spans="1:11" s="1011" customFormat="1" ht="15" x14ac:dyDescent="0.25">
      <c r="A14332" s="859">
        <f t="shared" si="318"/>
        <v>14331</v>
      </c>
      <c r="B14332" s="845" t="s">
        <v>2564</v>
      </c>
      <c r="C14332" s="1007">
        <f t="shared" si="319"/>
        <v>123</v>
      </c>
      <c r="D14332" s="1012"/>
      <c r="I14332" s="1011" t="str">
        <f>CONCATENATE("&lt;numeroLigne&gt;",C14332,"&lt;/numeroLigne&gt;")</f>
        <v>&lt;numeroLigne&gt;123&lt;/numeroLigne&gt;</v>
      </c>
      <c r="K14332" s="1013"/>
    </row>
    <row r="14333" spans="1:11" s="1011" customFormat="1" ht="15" x14ac:dyDescent="0.25">
      <c r="A14333" s="859">
        <f t="shared" si="318"/>
        <v>14332</v>
      </c>
      <c r="B14333" s="845" t="s">
        <v>2564</v>
      </c>
      <c r="C14333" s="1007">
        <f t="shared" si="319"/>
        <v>123</v>
      </c>
      <c r="D14333" s="1014"/>
      <c r="H14333" s="1011" t="s">
        <v>1010</v>
      </c>
      <c r="K14333" s="1013"/>
    </row>
    <row r="14334" spans="1:11" s="1011" customFormat="1" ht="15" x14ac:dyDescent="0.25">
      <c r="A14334" s="859">
        <f t="shared" si="318"/>
        <v>14333</v>
      </c>
      <c r="B14334" s="845" t="s">
        <v>2564</v>
      </c>
      <c r="C14334" s="1007">
        <f t="shared" si="319"/>
        <v>123</v>
      </c>
      <c r="D14334" s="1014"/>
      <c r="H14334" s="1011" t="s">
        <v>1007</v>
      </c>
      <c r="K14334" s="1013"/>
    </row>
    <row r="14335" spans="1:11" s="1011" customFormat="1" ht="15" x14ac:dyDescent="0.25">
      <c r="A14335" s="859">
        <f t="shared" si="318"/>
        <v>14334</v>
      </c>
      <c r="B14335" s="845" t="s">
        <v>2564</v>
      </c>
      <c r="C14335" s="1007">
        <f t="shared" si="319"/>
        <v>123</v>
      </c>
      <c r="D14335" s="1012"/>
      <c r="I14335" s="1011" t="s">
        <v>2183</v>
      </c>
      <c r="K14335" s="1013"/>
    </row>
    <row r="14336" spans="1:11" s="1011" customFormat="1" ht="15" x14ac:dyDescent="0.25">
      <c r="A14336" s="859">
        <f t="shared" si="318"/>
        <v>14335</v>
      </c>
      <c r="B14336" s="845" t="s">
        <v>2564</v>
      </c>
      <c r="C14336" s="1007">
        <f t="shared" si="319"/>
        <v>123</v>
      </c>
      <c r="D14336" s="1015"/>
      <c r="I14336" s="1011" t="str">
        <f>CONCATENATE("&lt;valeur&gt;",VLOOKUP(C14336,'T16 Amort'!A:K,11,0),"&lt;/valeur&gt;")</f>
        <v>&lt;valeur&gt;&lt;/valeur&gt;</v>
      </c>
      <c r="K14336" s="1013"/>
    </row>
    <row r="14337" spans="1:11" s="1011" customFormat="1" ht="15" x14ac:dyDescent="0.25">
      <c r="A14337" s="859">
        <f t="shared" si="318"/>
        <v>14336</v>
      </c>
      <c r="B14337" s="845" t="s">
        <v>2564</v>
      </c>
      <c r="C14337" s="1007">
        <f t="shared" si="319"/>
        <v>123</v>
      </c>
      <c r="D14337" s="1012"/>
      <c r="I14337" s="1011" t="str">
        <f>CONCATENATE("&lt;numeroLigne&gt;",C14337,"&lt;/numeroLigne&gt;")</f>
        <v>&lt;numeroLigne&gt;123&lt;/numeroLigne&gt;</v>
      </c>
      <c r="K14337" s="1013"/>
    </row>
    <row r="14338" spans="1:11" s="1011" customFormat="1" ht="15" x14ac:dyDescent="0.25">
      <c r="A14338" s="859">
        <f t="shared" si="318"/>
        <v>14337</v>
      </c>
      <c r="B14338" s="845" t="s">
        <v>2564</v>
      </c>
      <c r="C14338" s="1007">
        <f t="shared" si="319"/>
        <v>123</v>
      </c>
      <c r="D14338" s="1016"/>
      <c r="E14338" s="1017"/>
      <c r="F14338" s="1017"/>
      <c r="G14338" s="1017"/>
      <c r="H14338" s="1017" t="s">
        <v>1010</v>
      </c>
      <c r="I14338" s="1017"/>
      <c r="J14338" s="1017"/>
      <c r="K14338" s="1018"/>
    </row>
    <row r="14339" spans="1:11" s="1011" customFormat="1" ht="15" x14ac:dyDescent="0.25">
      <c r="A14339" s="859">
        <f t="shared" si="318"/>
        <v>14338</v>
      </c>
      <c r="B14339" s="845" t="s">
        <v>2564</v>
      </c>
      <c r="C14339" s="1007">
        <f t="shared" si="319"/>
        <v>124</v>
      </c>
      <c r="D14339" s="1008"/>
      <c r="E14339" s="1009"/>
      <c r="F14339" s="1009"/>
      <c r="G14339" s="1009"/>
      <c r="H14339" s="1009" t="s">
        <v>1007</v>
      </c>
      <c r="I14339" s="1009"/>
      <c r="J14339" s="1009"/>
      <c r="K14339" s="1010"/>
    </row>
    <row r="14340" spans="1:11" s="1011" customFormat="1" ht="15" x14ac:dyDescent="0.25">
      <c r="A14340" s="859">
        <f t="shared" ref="A14340:A14403" si="320">+A14339+1</f>
        <v>14339</v>
      </c>
      <c r="B14340" s="845" t="s">
        <v>2564</v>
      </c>
      <c r="C14340" s="1007">
        <f t="shared" si="319"/>
        <v>124</v>
      </c>
      <c r="D14340" s="1012"/>
      <c r="I14340" s="1011" t="s">
        <v>2174</v>
      </c>
      <c r="K14340" s="1013"/>
    </row>
    <row r="14341" spans="1:11" s="1011" customFormat="1" ht="15" x14ac:dyDescent="0.25">
      <c r="A14341" s="859">
        <f t="shared" si="320"/>
        <v>14340</v>
      </c>
      <c r="B14341" s="845" t="s">
        <v>2564</v>
      </c>
      <c r="C14341" s="1007">
        <f t="shared" si="319"/>
        <v>124</v>
      </c>
      <c r="D14341" s="1014"/>
      <c r="I14341" s="1011" t="str">
        <f>CONCATENATE("&lt;valeur&gt;",VLOOKUP(C14341,'T16 Amort'!A:K,2,0),"&lt;/valeur&gt;")</f>
        <v>&lt;valeur&gt;&lt;/valeur&gt;</v>
      </c>
      <c r="K14341" s="1013"/>
    </row>
    <row r="14342" spans="1:11" s="1011" customFormat="1" ht="15" x14ac:dyDescent="0.25">
      <c r="A14342" s="859">
        <f t="shared" si="320"/>
        <v>14341</v>
      </c>
      <c r="B14342" s="845" t="s">
        <v>2564</v>
      </c>
      <c r="C14342" s="1007">
        <f t="shared" si="319"/>
        <v>124</v>
      </c>
      <c r="D14342" s="1014"/>
      <c r="I14342" s="1011" t="str">
        <f>CONCATENATE("&lt;numeroLigne&gt;",C14342,"&lt;/numeroLigne&gt;")</f>
        <v>&lt;numeroLigne&gt;124&lt;/numeroLigne&gt;</v>
      </c>
      <c r="K14342" s="1013"/>
    </row>
    <row r="14343" spans="1:11" s="1011" customFormat="1" ht="15" x14ac:dyDescent="0.25">
      <c r="A14343" s="859">
        <f t="shared" si="320"/>
        <v>14342</v>
      </c>
      <c r="B14343" s="845" t="s">
        <v>2564</v>
      </c>
      <c r="C14343" s="1007">
        <f t="shared" si="319"/>
        <v>124</v>
      </c>
      <c r="D14343" s="1012"/>
      <c r="H14343" s="1011" t="s">
        <v>1010</v>
      </c>
      <c r="K14343" s="1013"/>
    </row>
    <row r="14344" spans="1:11" s="1011" customFormat="1" ht="15" x14ac:dyDescent="0.25">
      <c r="A14344" s="859">
        <f t="shared" si="320"/>
        <v>14343</v>
      </c>
      <c r="B14344" s="845" t="s">
        <v>2564</v>
      </c>
      <c r="C14344" s="1007">
        <f t="shared" si="319"/>
        <v>124</v>
      </c>
      <c r="D14344" s="1015"/>
      <c r="H14344" s="1011" t="s">
        <v>1007</v>
      </c>
      <c r="K14344" s="1013"/>
    </row>
    <row r="14345" spans="1:11" s="1011" customFormat="1" ht="15" x14ac:dyDescent="0.25">
      <c r="A14345" s="859">
        <f t="shared" si="320"/>
        <v>14344</v>
      </c>
      <c r="B14345" s="845" t="s">
        <v>2564</v>
      </c>
      <c r="C14345" s="1007">
        <f t="shared" si="319"/>
        <v>124</v>
      </c>
      <c r="D14345" s="1012"/>
      <c r="I14345" s="1011" t="s">
        <v>2175</v>
      </c>
      <c r="K14345" s="1013"/>
    </row>
    <row r="14346" spans="1:11" s="1011" customFormat="1" ht="15" x14ac:dyDescent="0.25">
      <c r="A14346" s="859">
        <f t="shared" si="320"/>
        <v>14345</v>
      </c>
      <c r="B14346" s="845" t="s">
        <v>2564</v>
      </c>
      <c r="C14346" s="1007">
        <f t="shared" si="319"/>
        <v>124</v>
      </c>
      <c r="D14346" s="1012"/>
      <c r="I14346" s="1011" t="str">
        <f>CONCATENATE("&lt;valeur&gt;",VLOOKUP(C14346,'T16 Amort'!A:K,3,0),"&lt;/valeur&gt;")</f>
        <v>&lt;valeur&gt;&lt;/valeur&gt;</v>
      </c>
      <c r="K14346" s="1013"/>
    </row>
    <row r="14347" spans="1:11" s="1011" customFormat="1" ht="15" x14ac:dyDescent="0.25">
      <c r="A14347" s="859">
        <f t="shared" si="320"/>
        <v>14346</v>
      </c>
      <c r="B14347" s="845" t="s">
        <v>2564</v>
      </c>
      <c r="C14347" s="1007">
        <f t="shared" si="319"/>
        <v>124</v>
      </c>
      <c r="D14347" s="1014"/>
      <c r="I14347" s="1011" t="str">
        <f>CONCATENATE("&lt;numeroLigne&gt;",C14347,"&lt;/numeroLigne&gt;")</f>
        <v>&lt;numeroLigne&gt;124&lt;/numeroLigne&gt;</v>
      </c>
      <c r="K14347" s="1013"/>
    </row>
    <row r="14348" spans="1:11" s="1011" customFormat="1" ht="15" x14ac:dyDescent="0.25">
      <c r="A14348" s="859">
        <f t="shared" si="320"/>
        <v>14347</v>
      </c>
      <c r="B14348" s="845" t="s">
        <v>2564</v>
      </c>
      <c r="C14348" s="1007">
        <f t="shared" si="319"/>
        <v>124</v>
      </c>
      <c r="D14348" s="1014"/>
      <c r="H14348" s="1011" t="s">
        <v>1010</v>
      </c>
      <c r="K14348" s="1013"/>
    </row>
    <row r="14349" spans="1:11" s="1011" customFormat="1" ht="15" x14ac:dyDescent="0.25">
      <c r="A14349" s="859">
        <f t="shared" si="320"/>
        <v>14348</v>
      </c>
      <c r="B14349" s="845" t="s">
        <v>2564</v>
      </c>
      <c r="C14349" s="1007">
        <f t="shared" si="319"/>
        <v>124</v>
      </c>
      <c r="D14349" s="1012"/>
      <c r="H14349" s="1011" t="s">
        <v>1007</v>
      </c>
      <c r="K14349" s="1013"/>
    </row>
    <row r="14350" spans="1:11" s="1011" customFormat="1" ht="15" x14ac:dyDescent="0.25">
      <c r="A14350" s="859">
        <f t="shared" si="320"/>
        <v>14349</v>
      </c>
      <c r="B14350" s="845" t="s">
        <v>2564</v>
      </c>
      <c r="C14350" s="1007">
        <f t="shared" si="319"/>
        <v>124</v>
      </c>
      <c r="D14350" s="1015"/>
      <c r="I14350" s="1011" t="s">
        <v>2176</v>
      </c>
      <c r="K14350" s="1013"/>
    </row>
    <row r="14351" spans="1:11" s="1011" customFormat="1" ht="15" x14ac:dyDescent="0.25">
      <c r="A14351" s="859">
        <f t="shared" si="320"/>
        <v>14350</v>
      </c>
      <c r="B14351" s="845" t="s">
        <v>2564</v>
      </c>
      <c r="C14351" s="1007">
        <f t="shared" si="319"/>
        <v>124</v>
      </c>
      <c r="D14351" s="1012"/>
      <c r="I14351" s="1011" t="str">
        <f>CONCATENATE("&lt;valeur&gt;",VLOOKUP(C14351,'T16 Amort'!A:K,4,0),"&lt;/valeur&gt;")</f>
        <v>&lt;valeur&gt;&lt;/valeur&gt;</v>
      </c>
      <c r="K14351" s="1013"/>
    </row>
    <row r="14352" spans="1:11" s="1011" customFormat="1" ht="15" x14ac:dyDescent="0.25">
      <c r="A14352" s="859">
        <f t="shared" si="320"/>
        <v>14351</v>
      </c>
      <c r="B14352" s="845" t="s">
        <v>2564</v>
      </c>
      <c r="C14352" s="1007">
        <f t="shared" si="319"/>
        <v>124</v>
      </c>
      <c r="D14352" s="1012"/>
      <c r="I14352" s="1011" t="str">
        <f>CONCATENATE("&lt;numeroLigne&gt;",C14352,"&lt;/numeroLigne&gt;")</f>
        <v>&lt;numeroLigne&gt;124&lt;/numeroLigne&gt;</v>
      </c>
      <c r="K14352" s="1013"/>
    </row>
    <row r="14353" spans="1:11" s="1011" customFormat="1" ht="15" x14ac:dyDescent="0.25">
      <c r="A14353" s="859">
        <f t="shared" si="320"/>
        <v>14352</v>
      </c>
      <c r="B14353" s="845" t="s">
        <v>2564</v>
      </c>
      <c r="C14353" s="1007">
        <f t="shared" si="319"/>
        <v>124</v>
      </c>
      <c r="D14353" s="1014"/>
      <c r="H14353" s="1011" t="s">
        <v>1010</v>
      </c>
      <c r="K14353" s="1013"/>
    </row>
    <row r="14354" spans="1:11" s="1011" customFormat="1" ht="15" x14ac:dyDescent="0.25">
      <c r="A14354" s="859">
        <f t="shared" si="320"/>
        <v>14353</v>
      </c>
      <c r="B14354" s="845" t="s">
        <v>2564</v>
      </c>
      <c r="C14354" s="1007">
        <f t="shared" si="319"/>
        <v>124</v>
      </c>
      <c r="D14354" s="1014"/>
      <c r="H14354" s="1011" t="s">
        <v>1007</v>
      </c>
      <c r="K14354" s="1013"/>
    </row>
    <row r="14355" spans="1:11" s="1011" customFormat="1" ht="15" x14ac:dyDescent="0.25">
      <c r="A14355" s="859">
        <f t="shared" si="320"/>
        <v>14354</v>
      </c>
      <c r="B14355" s="845" t="s">
        <v>2564</v>
      </c>
      <c r="C14355" s="1007">
        <f t="shared" si="319"/>
        <v>124</v>
      </c>
      <c r="D14355" s="1012"/>
      <c r="I14355" s="1011" t="s">
        <v>2177</v>
      </c>
      <c r="K14355" s="1013"/>
    </row>
    <row r="14356" spans="1:11" s="1011" customFormat="1" ht="15" x14ac:dyDescent="0.25">
      <c r="A14356" s="859">
        <f t="shared" si="320"/>
        <v>14355</v>
      </c>
      <c r="B14356" s="845" t="s">
        <v>2564</v>
      </c>
      <c r="C14356" s="1007">
        <f t="shared" si="319"/>
        <v>124</v>
      </c>
      <c r="D14356" s="1015"/>
      <c r="I14356" s="1011" t="str">
        <f>CONCATENATE("&lt;valeur&gt;",VLOOKUP(C14356,'T16 Amort'!A:K,5,0),"&lt;/valeur&gt;")</f>
        <v>&lt;valeur&gt;&lt;/valeur&gt;</v>
      </c>
      <c r="K14356" s="1013"/>
    </row>
    <row r="14357" spans="1:11" s="1011" customFormat="1" ht="15" x14ac:dyDescent="0.25">
      <c r="A14357" s="859">
        <f t="shared" si="320"/>
        <v>14356</v>
      </c>
      <c r="B14357" s="845" t="s">
        <v>2564</v>
      </c>
      <c r="C14357" s="1007">
        <f t="shared" si="319"/>
        <v>124</v>
      </c>
      <c r="D14357" s="1012"/>
      <c r="I14357" s="1011" t="str">
        <f>CONCATENATE("&lt;numeroLigne&gt;",C14357,"&lt;/numeroLigne&gt;")</f>
        <v>&lt;numeroLigne&gt;124&lt;/numeroLigne&gt;</v>
      </c>
      <c r="K14357" s="1013"/>
    </row>
    <row r="14358" spans="1:11" s="1011" customFormat="1" ht="15" x14ac:dyDescent="0.25">
      <c r="A14358" s="859">
        <f t="shared" si="320"/>
        <v>14357</v>
      </c>
      <c r="B14358" s="845" t="s">
        <v>2564</v>
      </c>
      <c r="C14358" s="1007">
        <f t="shared" si="319"/>
        <v>124</v>
      </c>
      <c r="D14358" s="1012"/>
      <c r="H14358" s="1011" t="s">
        <v>1010</v>
      </c>
      <c r="K14358" s="1013"/>
    </row>
    <row r="14359" spans="1:11" s="1011" customFormat="1" ht="15" x14ac:dyDescent="0.25">
      <c r="A14359" s="859">
        <f t="shared" si="320"/>
        <v>14358</v>
      </c>
      <c r="B14359" s="845" t="s">
        <v>2564</v>
      </c>
      <c r="C14359" s="1007">
        <f t="shared" si="319"/>
        <v>124</v>
      </c>
      <c r="D14359" s="1014"/>
      <c r="H14359" s="1011" t="s">
        <v>1007</v>
      </c>
      <c r="K14359" s="1013"/>
    </row>
    <row r="14360" spans="1:11" s="1011" customFormat="1" ht="15" x14ac:dyDescent="0.25">
      <c r="A14360" s="859">
        <f t="shared" si="320"/>
        <v>14359</v>
      </c>
      <c r="B14360" s="845" t="s">
        <v>2564</v>
      </c>
      <c r="C14360" s="1007">
        <f t="shared" si="319"/>
        <v>124</v>
      </c>
      <c r="D14360" s="1014"/>
      <c r="I14360" s="1011" t="s">
        <v>2178</v>
      </c>
      <c r="K14360" s="1013"/>
    </row>
    <row r="14361" spans="1:11" s="1011" customFormat="1" ht="15" x14ac:dyDescent="0.25">
      <c r="A14361" s="859">
        <f t="shared" si="320"/>
        <v>14360</v>
      </c>
      <c r="B14361" s="845" t="s">
        <v>2564</v>
      </c>
      <c r="C14361" s="1007">
        <f t="shared" si="319"/>
        <v>124</v>
      </c>
      <c r="D14361" s="1012"/>
      <c r="I14361" s="1011" t="str">
        <f>CONCATENATE("&lt;valeur&gt;",VLOOKUP(C14361,'T16 Amort'!A:K,6,0),"&lt;/valeur&gt;")</f>
        <v>&lt;valeur&gt;&lt;/valeur&gt;</v>
      </c>
      <c r="K14361" s="1013"/>
    </row>
    <row r="14362" spans="1:11" s="1011" customFormat="1" ht="15" x14ac:dyDescent="0.25">
      <c r="A14362" s="859">
        <f t="shared" si="320"/>
        <v>14361</v>
      </c>
      <c r="B14362" s="845" t="s">
        <v>2564</v>
      </c>
      <c r="C14362" s="1007">
        <f t="shared" si="319"/>
        <v>124</v>
      </c>
      <c r="D14362" s="1015"/>
      <c r="I14362" s="1011" t="str">
        <f>CONCATENATE("&lt;numeroLigne&gt;",C14362,"&lt;/numeroLigne&gt;")</f>
        <v>&lt;numeroLigne&gt;124&lt;/numeroLigne&gt;</v>
      </c>
      <c r="K14362" s="1013"/>
    </row>
    <row r="14363" spans="1:11" s="1011" customFormat="1" ht="15" x14ac:dyDescent="0.25">
      <c r="A14363" s="859">
        <f t="shared" si="320"/>
        <v>14362</v>
      </c>
      <c r="B14363" s="845" t="s">
        <v>2564</v>
      </c>
      <c r="C14363" s="1007">
        <f t="shared" si="319"/>
        <v>124</v>
      </c>
      <c r="D14363" s="1012"/>
      <c r="H14363" s="1011" t="s">
        <v>1010</v>
      </c>
      <c r="K14363" s="1013"/>
    </row>
    <row r="14364" spans="1:11" s="1011" customFormat="1" ht="15" x14ac:dyDescent="0.25">
      <c r="A14364" s="859">
        <f t="shared" si="320"/>
        <v>14363</v>
      </c>
      <c r="B14364" s="845" t="s">
        <v>2564</v>
      </c>
      <c r="C14364" s="1007">
        <f t="shared" si="319"/>
        <v>124</v>
      </c>
      <c r="D14364" s="1012"/>
      <c r="H14364" s="1011" t="s">
        <v>1007</v>
      </c>
      <c r="K14364" s="1013"/>
    </row>
    <row r="14365" spans="1:11" s="1011" customFormat="1" ht="15" x14ac:dyDescent="0.25">
      <c r="A14365" s="859">
        <f t="shared" si="320"/>
        <v>14364</v>
      </c>
      <c r="B14365" s="845" t="s">
        <v>2564</v>
      </c>
      <c r="C14365" s="1007">
        <f t="shared" si="319"/>
        <v>124</v>
      </c>
      <c r="D14365" s="1014"/>
      <c r="I14365" s="1011" t="s">
        <v>2179</v>
      </c>
      <c r="K14365" s="1013"/>
    </row>
    <row r="14366" spans="1:11" s="1011" customFormat="1" ht="15" x14ac:dyDescent="0.25">
      <c r="A14366" s="859">
        <f t="shared" si="320"/>
        <v>14365</v>
      </c>
      <c r="B14366" s="845" t="s">
        <v>2564</v>
      </c>
      <c r="C14366" s="1007">
        <f t="shared" si="319"/>
        <v>124</v>
      </c>
      <c r="D14366" s="1014"/>
      <c r="I14366" s="1011" t="str">
        <f>CONCATENATE("&lt;valeur&gt;",VLOOKUP(C14366,'T16 Amort'!A:K,7,0),"&lt;/valeur&gt;")</f>
        <v>&lt;valeur&gt;&lt;/valeur&gt;</v>
      </c>
      <c r="K14366" s="1013"/>
    </row>
    <row r="14367" spans="1:11" s="1011" customFormat="1" ht="15" x14ac:dyDescent="0.25">
      <c r="A14367" s="859">
        <f t="shared" si="320"/>
        <v>14366</v>
      </c>
      <c r="B14367" s="845" t="s">
        <v>2564</v>
      </c>
      <c r="C14367" s="1007">
        <f t="shared" si="319"/>
        <v>124</v>
      </c>
      <c r="D14367" s="1012"/>
      <c r="I14367" s="1011" t="str">
        <f>CONCATENATE("&lt;numeroLigne&gt;",C14367,"&lt;/numeroLigne&gt;")</f>
        <v>&lt;numeroLigne&gt;124&lt;/numeroLigne&gt;</v>
      </c>
      <c r="K14367" s="1013"/>
    </row>
    <row r="14368" spans="1:11" s="1011" customFormat="1" ht="15" x14ac:dyDescent="0.25">
      <c r="A14368" s="859">
        <f t="shared" si="320"/>
        <v>14367</v>
      </c>
      <c r="B14368" s="845" t="s">
        <v>2564</v>
      </c>
      <c r="C14368" s="1007">
        <f t="shared" si="319"/>
        <v>124</v>
      </c>
      <c r="D14368" s="1015"/>
      <c r="H14368" s="1011" t="s">
        <v>1010</v>
      </c>
      <c r="K14368" s="1013"/>
    </row>
    <row r="14369" spans="1:11" s="1011" customFormat="1" ht="15" x14ac:dyDescent="0.25">
      <c r="A14369" s="859">
        <f t="shared" si="320"/>
        <v>14368</v>
      </c>
      <c r="B14369" s="845" t="s">
        <v>2564</v>
      </c>
      <c r="C14369" s="1007">
        <f t="shared" si="319"/>
        <v>124</v>
      </c>
      <c r="D14369" s="1012"/>
      <c r="H14369" s="1011" t="s">
        <v>1007</v>
      </c>
      <c r="K14369" s="1013"/>
    </row>
    <row r="14370" spans="1:11" s="1011" customFormat="1" ht="15" x14ac:dyDescent="0.25">
      <c r="A14370" s="859">
        <f t="shared" si="320"/>
        <v>14369</v>
      </c>
      <c r="B14370" s="845" t="s">
        <v>2564</v>
      </c>
      <c r="C14370" s="1007">
        <f t="shared" si="319"/>
        <v>124</v>
      </c>
      <c r="D14370" s="1012"/>
      <c r="I14370" s="1011" t="s">
        <v>2180</v>
      </c>
      <c r="K14370" s="1013"/>
    </row>
    <row r="14371" spans="1:11" s="1011" customFormat="1" ht="15" x14ac:dyDescent="0.25">
      <c r="A14371" s="859">
        <f t="shared" si="320"/>
        <v>14370</v>
      </c>
      <c r="B14371" s="845" t="s">
        <v>2564</v>
      </c>
      <c r="C14371" s="1007">
        <f t="shared" si="319"/>
        <v>124</v>
      </c>
      <c r="D14371" s="1014"/>
      <c r="I14371" s="1011" t="str">
        <f>CONCATENATE("&lt;valeur&gt;",VLOOKUP(C14371,'T16 Amort'!A:K,8,0),"&lt;/valeur&gt;")</f>
        <v>&lt;valeur&gt;&lt;/valeur&gt;</v>
      </c>
      <c r="K14371" s="1013"/>
    </row>
    <row r="14372" spans="1:11" s="1011" customFormat="1" ht="15" x14ac:dyDescent="0.25">
      <c r="A14372" s="859">
        <f t="shared" si="320"/>
        <v>14371</v>
      </c>
      <c r="B14372" s="845" t="s">
        <v>2564</v>
      </c>
      <c r="C14372" s="1007">
        <f t="shared" si="319"/>
        <v>124</v>
      </c>
      <c r="D14372" s="1014"/>
      <c r="I14372" s="1011" t="str">
        <f>CONCATENATE("&lt;numeroLigne&gt;",C14372,"&lt;/numeroLigne&gt;")</f>
        <v>&lt;numeroLigne&gt;124&lt;/numeroLigne&gt;</v>
      </c>
      <c r="K14372" s="1013"/>
    </row>
    <row r="14373" spans="1:11" s="1011" customFormat="1" ht="15" x14ac:dyDescent="0.25">
      <c r="A14373" s="859">
        <f t="shared" si="320"/>
        <v>14372</v>
      </c>
      <c r="B14373" s="845" t="s">
        <v>2564</v>
      </c>
      <c r="C14373" s="1007">
        <f t="shared" si="319"/>
        <v>124</v>
      </c>
      <c r="D14373" s="1012"/>
      <c r="H14373" s="1011" t="s">
        <v>1010</v>
      </c>
      <c r="K14373" s="1013"/>
    </row>
    <row r="14374" spans="1:11" s="1011" customFormat="1" ht="15" x14ac:dyDescent="0.25">
      <c r="A14374" s="859">
        <f t="shared" si="320"/>
        <v>14373</v>
      </c>
      <c r="B14374" s="845" t="s">
        <v>2564</v>
      </c>
      <c r="C14374" s="1007">
        <f t="shared" si="319"/>
        <v>124</v>
      </c>
      <c r="D14374" s="1015"/>
      <c r="H14374" s="1011" t="s">
        <v>1007</v>
      </c>
      <c r="K14374" s="1013"/>
    </row>
    <row r="14375" spans="1:11" s="1011" customFormat="1" ht="15" x14ac:dyDescent="0.25">
      <c r="A14375" s="859">
        <f t="shared" si="320"/>
        <v>14374</v>
      </c>
      <c r="B14375" s="845" t="s">
        <v>2564</v>
      </c>
      <c r="C14375" s="1007">
        <f t="shared" si="319"/>
        <v>124</v>
      </c>
      <c r="D14375" s="1012"/>
      <c r="I14375" s="1011" t="s">
        <v>2181</v>
      </c>
      <c r="K14375" s="1013"/>
    </row>
    <row r="14376" spans="1:11" s="1011" customFormat="1" ht="15" x14ac:dyDescent="0.25">
      <c r="A14376" s="859">
        <f t="shared" si="320"/>
        <v>14375</v>
      </c>
      <c r="B14376" s="845" t="s">
        <v>2564</v>
      </c>
      <c r="C14376" s="1007">
        <f t="shared" si="319"/>
        <v>124</v>
      </c>
      <c r="D14376" s="1012"/>
      <c r="I14376" s="1011" t="str">
        <f>CONCATENATE("&lt;valeur&gt;",VLOOKUP(C14376,'T16 Amort'!A:K,9,0),"&lt;/valeur&gt;")</f>
        <v>&lt;valeur&gt;&lt;/valeur&gt;</v>
      </c>
      <c r="K14376" s="1013"/>
    </row>
    <row r="14377" spans="1:11" s="1011" customFormat="1" ht="15" x14ac:dyDescent="0.25">
      <c r="A14377" s="859">
        <f t="shared" si="320"/>
        <v>14376</v>
      </c>
      <c r="B14377" s="845" t="s">
        <v>2564</v>
      </c>
      <c r="C14377" s="1007">
        <f t="shared" si="319"/>
        <v>124</v>
      </c>
      <c r="D14377" s="1014"/>
      <c r="I14377" s="1011" t="str">
        <f>CONCATENATE("&lt;numeroLigne&gt;",C14377,"&lt;/numeroLigne&gt;")</f>
        <v>&lt;numeroLigne&gt;124&lt;/numeroLigne&gt;</v>
      </c>
      <c r="K14377" s="1013"/>
    </row>
    <row r="14378" spans="1:11" s="1011" customFormat="1" ht="15" x14ac:dyDescent="0.25">
      <c r="A14378" s="859">
        <f t="shared" si="320"/>
        <v>14377</v>
      </c>
      <c r="B14378" s="845" t="s">
        <v>2564</v>
      </c>
      <c r="C14378" s="1007">
        <f t="shared" si="319"/>
        <v>124</v>
      </c>
      <c r="D14378" s="1014"/>
      <c r="H14378" s="1011" t="s">
        <v>1010</v>
      </c>
      <c r="K14378" s="1013"/>
    </row>
    <row r="14379" spans="1:11" s="1011" customFormat="1" ht="15" x14ac:dyDescent="0.25">
      <c r="A14379" s="859">
        <f t="shared" si="320"/>
        <v>14378</v>
      </c>
      <c r="B14379" s="845" t="s">
        <v>2564</v>
      </c>
      <c r="C14379" s="1007">
        <f t="shared" si="319"/>
        <v>124</v>
      </c>
      <c r="D14379" s="1012"/>
      <c r="H14379" s="1011" t="s">
        <v>1007</v>
      </c>
      <c r="K14379" s="1013"/>
    </row>
    <row r="14380" spans="1:11" s="1011" customFormat="1" ht="15" x14ac:dyDescent="0.25">
      <c r="A14380" s="859">
        <f t="shared" si="320"/>
        <v>14379</v>
      </c>
      <c r="B14380" s="845" t="s">
        <v>2564</v>
      </c>
      <c r="C14380" s="1007">
        <f t="shared" si="319"/>
        <v>124</v>
      </c>
      <c r="D14380" s="1015"/>
      <c r="I14380" s="1011" t="s">
        <v>2182</v>
      </c>
      <c r="K14380" s="1013"/>
    </row>
    <row r="14381" spans="1:11" s="1011" customFormat="1" ht="15" x14ac:dyDescent="0.25">
      <c r="A14381" s="859">
        <f t="shared" si="320"/>
        <v>14380</v>
      </c>
      <c r="B14381" s="845" t="s">
        <v>2564</v>
      </c>
      <c r="C14381" s="1007">
        <f t="shared" si="319"/>
        <v>124</v>
      </c>
      <c r="D14381" s="1012"/>
      <c r="I14381" s="1011" t="str">
        <f>CONCATENATE("&lt;valeur&gt;",VLOOKUP(C14381,'T16 Amort'!A:K,10,0),"&lt;/valeur&gt;")</f>
        <v>&lt;valeur&gt;&lt;/valeur&gt;</v>
      </c>
      <c r="K14381" s="1013"/>
    </row>
    <row r="14382" spans="1:11" s="1011" customFormat="1" ht="15" x14ac:dyDescent="0.25">
      <c r="A14382" s="859">
        <f t="shared" si="320"/>
        <v>14381</v>
      </c>
      <c r="B14382" s="845" t="s">
        <v>2564</v>
      </c>
      <c r="C14382" s="1007">
        <f t="shared" si="319"/>
        <v>124</v>
      </c>
      <c r="D14382" s="1012"/>
      <c r="I14382" s="1011" t="str">
        <f>CONCATENATE("&lt;numeroLigne&gt;",C14382,"&lt;/numeroLigne&gt;")</f>
        <v>&lt;numeroLigne&gt;124&lt;/numeroLigne&gt;</v>
      </c>
      <c r="K14382" s="1013"/>
    </row>
    <row r="14383" spans="1:11" s="1011" customFormat="1" ht="15" x14ac:dyDescent="0.25">
      <c r="A14383" s="859">
        <f t="shared" si="320"/>
        <v>14382</v>
      </c>
      <c r="B14383" s="845" t="s">
        <v>2564</v>
      </c>
      <c r="C14383" s="1007">
        <f t="shared" ref="C14383:C14446" si="321">C14333+1</f>
        <v>124</v>
      </c>
      <c r="D14383" s="1014"/>
      <c r="H14383" s="1011" t="s">
        <v>1010</v>
      </c>
      <c r="K14383" s="1013"/>
    </row>
    <row r="14384" spans="1:11" s="1011" customFormat="1" ht="15" x14ac:dyDescent="0.25">
      <c r="A14384" s="859">
        <f t="shared" si="320"/>
        <v>14383</v>
      </c>
      <c r="B14384" s="845" t="s">
        <v>2564</v>
      </c>
      <c r="C14384" s="1007">
        <f t="shared" si="321"/>
        <v>124</v>
      </c>
      <c r="D14384" s="1014"/>
      <c r="H14384" s="1011" t="s">
        <v>1007</v>
      </c>
      <c r="K14384" s="1013"/>
    </row>
    <row r="14385" spans="1:11" s="1011" customFormat="1" ht="15" x14ac:dyDescent="0.25">
      <c r="A14385" s="859">
        <f t="shared" si="320"/>
        <v>14384</v>
      </c>
      <c r="B14385" s="845" t="s">
        <v>2564</v>
      </c>
      <c r="C14385" s="1007">
        <f t="shared" si="321"/>
        <v>124</v>
      </c>
      <c r="D14385" s="1012"/>
      <c r="I14385" s="1011" t="s">
        <v>2183</v>
      </c>
      <c r="K14385" s="1013"/>
    </row>
    <row r="14386" spans="1:11" s="1011" customFormat="1" ht="15" x14ac:dyDescent="0.25">
      <c r="A14386" s="859">
        <f t="shared" si="320"/>
        <v>14385</v>
      </c>
      <c r="B14386" s="845" t="s">
        <v>2564</v>
      </c>
      <c r="C14386" s="1007">
        <f t="shared" si="321"/>
        <v>124</v>
      </c>
      <c r="D14386" s="1015"/>
      <c r="I14386" s="1011" t="str">
        <f>CONCATENATE("&lt;valeur&gt;",VLOOKUP(C14386,'T16 Amort'!A:K,11,0),"&lt;/valeur&gt;")</f>
        <v>&lt;valeur&gt;&lt;/valeur&gt;</v>
      </c>
      <c r="K14386" s="1013"/>
    </row>
    <row r="14387" spans="1:11" s="1011" customFormat="1" ht="15" x14ac:dyDescent="0.25">
      <c r="A14387" s="859">
        <f t="shared" si="320"/>
        <v>14386</v>
      </c>
      <c r="B14387" s="845" t="s">
        <v>2564</v>
      </c>
      <c r="C14387" s="1007">
        <f t="shared" si="321"/>
        <v>124</v>
      </c>
      <c r="D14387" s="1012"/>
      <c r="I14387" s="1011" t="str">
        <f>CONCATENATE("&lt;numeroLigne&gt;",C14387,"&lt;/numeroLigne&gt;")</f>
        <v>&lt;numeroLigne&gt;124&lt;/numeroLigne&gt;</v>
      </c>
      <c r="K14387" s="1013"/>
    </row>
    <row r="14388" spans="1:11" s="1011" customFormat="1" ht="15" x14ac:dyDescent="0.25">
      <c r="A14388" s="859">
        <f t="shared" si="320"/>
        <v>14387</v>
      </c>
      <c r="B14388" s="845" t="s">
        <v>2564</v>
      </c>
      <c r="C14388" s="1007">
        <f t="shared" si="321"/>
        <v>124</v>
      </c>
      <c r="D14388" s="1016"/>
      <c r="E14388" s="1017"/>
      <c r="F14388" s="1017"/>
      <c r="G14388" s="1017"/>
      <c r="H14388" s="1017" t="s">
        <v>1010</v>
      </c>
      <c r="I14388" s="1017"/>
      <c r="J14388" s="1017"/>
      <c r="K14388" s="1018"/>
    </row>
    <row r="14389" spans="1:11" s="1011" customFormat="1" ht="15" x14ac:dyDescent="0.25">
      <c r="A14389" s="859">
        <f t="shared" si="320"/>
        <v>14388</v>
      </c>
      <c r="B14389" s="845" t="s">
        <v>2564</v>
      </c>
      <c r="C14389" s="1007">
        <f t="shared" si="321"/>
        <v>125</v>
      </c>
      <c r="D14389" s="1008"/>
      <c r="E14389" s="1009"/>
      <c r="F14389" s="1009"/>
      <c r="G14389" s="1009"/>
      <c r="H14389" s="1009" t="s">
        <v>1007</v>
      </c>
      <c r="I14389" s="1009"/>
      <c r="J14389" s="1009"/>
      <c r="K14389" s="1010"/>
    </row>
    <row r="14390" spans="1:11" s="1011" customFormat="1" ht="15" x14ac:dyDescent="0.25">
      <c r="A14390" s="859">
        <f t="shared" si="320"/>
        <v>14389</v>
      </c>
      <c r="B14390" s="845" t="s">
        <v>2564</v>
      </c>
      <c r="C14390" s="1007">
        <f t="shared" si="321"/>
        <v>125</v>
      </c>
      <c r="D14390" s="1012"/>
      <c r="I14390" s="1011" t="s">
        <v>2174</v>
      </c>
      <c r="K14390" s="1013"/>
    </row>
    <row r="14391" spans="1:11" s="1011" customFormat="1" ht="15" x14ac:dyDescent="0.25">
      <c r="A14391" s="859">
        <f t="shared" si="320"/>
        <v>14390</v>
      </c>
      <c r="B14391" s="845" t="s">
        <v>2564</v>
      </c>
      <c r="C14391" s="1007">
        <f t="shared" si="321"/>
        <v>125</v>
      </c>
      <c r="D14391" s="1014"/>
      <c r="I14391" s="1011" t="str">
        <f>CONCATENATE("&lt;valeur&gt;",VLOOKUP(C14391,'T16 Amort'!A:K,2,0),"&lt;/valeur&gt;")</f>
        <v>&lt;valeur&gt;&lt;/valeur&gt;</v>
      </c>
      <c r="K14391" s="1013"/>
    </row>
    <row r="14392" spans="1:11" s="1011" customFormat="1" ht="15" x14ac:dyDescent="0.25">
      <c r="A14392" s="859">
        <f t="shared" si="320"/>
        <v>14391</v>
      </c>
      <c r="B14392" s="845" t="s">
        <v>2564</v>
      </c>
      <c r="C14392" s="1007">
        <f t="shared" si="321"/>
        <v>125</v>
      </c>
      <c r="D14392" s="1014"/>
      <c r="I14392" s="1011" t="str">
        <f>CONCATENATE("&lt;numeroLigne&gt;",C14392,"&lt;/numeroLigne&gt;")</f>
        <v>&lt;numeroLigne&gt;125&lt;/numeroLigne&gt;</v>
      </c>
      <c r="K14392" s="1013"/>
    </row>
    <row r="14393" spans="1:11" s="1011" customFormat="1" ht="15" x14ac:dyDescent="0.25">
      <c r="A14393" s="859">
        <f t="shared" si="320"/>
        <v>14392</v>
      </c>
      <c r="B14393" s="845" t="s">
        <v>2564</v>
      </c>
      <c r="C14393" s="1007">
        <f t="shared" si="321"/>
        <v>125</v>
      </c>
      <c r="D14393" s="1012"/>
      <c r="H14393" s="1011" t="s">
        <v>1010</v>
      </c>
      <c r="K14393" s="1013"/>
    </row>
    <row r="14394" spans="1:11" s="1011" customFormat="1" ht="15" x14ac:dyDescent="0.25">
      <c r="A14394" s="859">
        <f t="shared" si="320"/>
        <v>14393</v>
      </c>
      <c r="B14394" s="845" t="s">
        <v>2564</v>
      </c>
      <c r="C14394" s="1007">
        <f t="shared" si="321"/>
        <v>125</v>
      </c>
      <c r="D14394" s="1015"/>
      <c r="H14394" s="1011" t="s">
        <v>1007</v>
      </c>
      <c r="K14394" s="1013"/>
    </row>
    <row r="14395" spans="1:11" s="1011" customFormat="1" ht="15" x14ac:dyDescent="0.25">
      <c r="A14395" s="859">
        <f t="shared" si="320"/>
        <v>14394</v>
      </c>
      <c r="B14395" s="845" t="s">
        <v>2564</v>
      </c>
      <c r="C14395" s="1007">
        <f t="shared" si="321"/>
        <v>125</v>
      </c>
      <c r="D14395" s="1012"/>
      <c r="I14395" s="1011" t="s">
        <v>2175</v>
      </c>
      <c r="K14395" s="1013"/>
    </row>
    <row r="14396" spans="1:11" s="1011" customFormat="1" ht="15" x14ac:dyDescent="0.25">
      <c r="A14396" s="859">
        <f t="shared" si="320"/>
        <v>14395</v>
      </c>
      <c r="B14396" s="845" t="s">
        <v>2564</v>
      </c>
      <c r="C14396" s="1007">
        <f t="shared" si="321"/>
        <v>125</v>
      </c>
      <c r="D14396" s="1012"/>
      <c r="I14396" s="1011" t="str">
        <f>CONCATENATE("&lt;valeur&gt;",VLOOKUP(C14396,'T16 Amort'!A:K,3,0),"&lt;/valeur&gt;")</f>
        <v>&lt;valeur&gt;&lt;/valeur&gt;</v>
      </c>
      <c r="K14396" s="1013"/>
    </row>
    <row r="14397" spans="1:11" s="1011" customFormat="1" ht="15" x14ac:dyDescent="0.25">
      <c r="A14397" s="859">
        <f t="shared" si="320"/>
        <v>14396</v>
      </c>
      <c r="B14397" s="845" t="s">
        <v>2564</v>
      </c>
      <c r="C14397" s="1007">
        <f t="shared" si="321"/>
        <v>125</v>
      </c>
      <c r="D14397" s="1014"/>
      <c r="I14397" s="1011" t="str">
        <f>CONCATENATE("&lt;numeroLigne&gt;",C14397,"&lt;/numeroLigne&gt;")</f>
        <v>&lt;numeroLigne&gt;125&lt;/numeroLigne&gt;</v>
      </c>
      <c r="K14397" s="1013"/>
    </row>
    <row r="14398" spans="1:11" s="1011" customFormat="1" ht="15" x14ac:dyDescent="0.25">
      <c r="A14398" s="859">
        <f t="shared" si="320"/>
        <v>14397</v>
      </c>
      <c r="B14398" s="845" t="s">
        <v>2564</v>
      </c>
      <c r="C14398" s="1007">
        <f t="shared" si="321"/>
        <v>125</v>
      </c>
      <c r="D14398" s="1014"/>
      <c r="H14398" s="1011" t="s">
        <v>1010</v>
      </c>
      <c r="K14398" s="1013"/>
    </row>
    <row r="14399" spans="1:11" s="1011" customFormat="1" ht="15" x14ac:dyDescent="0.25">
      <c r="A14399" s="859">
        <f t="shared" si="320"/>
        <v>14398</v>
      </c>
      <c r="B14399" s="845" t="s">
        <v>2564</v>
      </c>
      <c r="C14399" s="1007">
        <f t="shared" si="321"/>
        <v>125</v>
      </c>
      <c r="D14399" s="1012"/>
      <c r="H14399" s="1011" t="s">
        <v>1007</v>
      </c>
      <c r="K14399" s="1013"/>
    </row>
    <row r="14400" spans="1:11" s="1011" customFormat="1" ht="15" x14ac:dyDescent="0.25">
      <c r="A14400" s="859">
        <f t="shared" si="320"/>
        <v>14399</v>
      </c>
      <c r="B14400" s="845" t="s">
        <v>2564</v>
      </c>
      <c r="C14400" s="1007">
        <f t="shared" si="321"/>
        <v>125</v>
      </c>
      <c r="D14400" s="1015"/>
      <c r="I14400" s="1011" t="s">
        <v>2176</v>
      </c>
      <c r="K14400" s="1013"/>
    </row>
    <row r="14401" spans="1:11" s="1011" customFormat="1" ht="15" x14ac:dyDescent="0.25">
      <c r="A14401" s="859">
        <f t="shared" si="320"/>
        <v>14400</v>
      </c>
      <c r="B14401" s="845" t="s">
        <v>2564</v>
      </c>
      <c r="C14401" s="1007">
        <f t="shared" si="321"/>
        <v>125</v>
      </c>
      <c r="D14401" s="1012"/>
      <c r="I14401" s="1011" t="str">
        <f>CONCATENATE("&lt;valeur&gt;",VLOOKUP(C14401,'T16 Amort'!A:K,4,0),"&lt;/valeur&gt;")</f>
        <v>&lt;valeur&gt;&lt;/valeur&gt;</v>
      </c>
      <c r="K14401" s="1013"/>
    </row>
    <row r="14402" spans="1:11" s="1011" customFormat="1" ht="15" x14ac:dyDescent="0.25">
      <c r="A14402" s="859">
        <f t="shared" si="320"/>
        <v>14401</v>
      </c>
      <c r="B14402" s="845" t="s">
        <v>2564</v>
      </c>
      <c r="C14402" s="1007">
        <f t="shared" si="321"/>
        <v>125</v>
      </c>
      <c r="D14402" s="1012"/>
      <c r="I14402" s="1011" t="str">
        <f>CONCATENATE("&lt;numeroLigne&gt;",C14402,"&lt;/numeroLigne&gt;")</f>
        <v>&lt;numeroLigne&gt;125&lt;/numeroLigne&gt;</v>
      </c>
      <c r="K14402" s="1013"/>
    </row>
    <row r="14403" spans="1:11" s="1011" customFormat="1" ht="15" x14ac:dyDescent="0.25">
      <c r="A14403" s="859">
        <f t="shared" si="320"/>
        <v>14402</v>
      </c>
      <c r="B14403" s="845" t="s">
        <v>2564</v>
      </c>
      <c r="C14403" s="1007">
        <f t="shared" si="321"/>
        <v>125</v>
      </c>
      <c r="D14403" s="1014"/>
      <c r="H14403" s="1011" t="s">
        <v>1010</v>
      </c>
      <c r="K14403" s="1013"/>
    </row>
    <row r="14404" spans="1:11" s="1011" customFormat="1" ht="15" x14ac:dyDescent="0.25">
      <c r="A14404" s="859">
        <f t="shared" ref="A14404:A14467" si="322">+A14403+1</f>
        <v>14403</v>
      </c>
      <c r="B14404" s="845" t="s">
        <v>2564</v>
      </c>
      <c r="C14404" s="1007">
        <f t="shared" si="321"/>
        <v>125</v>
      </c>
      <c r="D14404" s="1014"/>
      <c r="H14404" s="1011" t="s">
        <v>1007</v>
      </c>
      <c r="K14404" s="1013"/>
    </row>
    <row r="14405" spans="1:11" s="1011" customFormat="1" ht="15" x14ac:dyDescent="0.25">
      <c r="A14405" s="859">
        <f t="shared" si="322"/>
        <v>14404</v>
      </c>
      <c r="B14405" s="845" t="s">
        <v>2564</v>
      </c>
      <c r="C14405" s="1007">
        <f t="shared" si="321"/>
        <v>125</v>
      </c>
      <c r="D14405" s="1012"/>
      <c r="I14405" s="1011" t="s">
        <v>2177</v>
      </c>
      <c r="K14405" s="1013"/>
    </row>
    <row r="14406" spans="1:11" s="1011" customFormat="1" ht="15" x14ac:dyDescent="0.25">
      <c r="A14406" s="859">
        <f t="shared" si="322"/>
        <v>14405</v>
      </c>
      <c r="B14406" s="845" t="s">
        <v>2564</v>
      </c>
      <c r="C14406" s="1007">
        <f t="shared" si="321"/>
        <v>125</v>
      </c>
      <c r="D14406" s="1015"/>
      <c r="I14406" s="1011" t="str">
        <f>CONCATENATE("&lt;valeur&gt;",VLOOKUP(C14406,'T16 Amort'!A:K,5,0),"&lt;/valeur&gt;")</f>
        <v>&lt;valeur&gt;&lt;/valeur&gt;</v>
      </c>
      <c r="K14406" s="1013"/>
    </row>
    <row r="14407" spans="1:11" s="1011" customFormat="1" ht="15" x14ac:dyDescent="0.25">
      <c r="A14407" s="859">
        <f t="shared" si="322"/>
        <v>14406</v>
      </c>
      <c r="B14407" s="845" t="s">
        <v>2564</v>
      </c>
      <c r="C14407" s="1007">
        <f t="shared" si="321"/>
        <v>125</v>
      </c>
      <c r="D14407" s="1012"/>
      <c r="I14407" s="1011" t="str">
        <f>CONCATENATE("&lt;numeroLigne&gt;",C14407,"&lt;/numeroLigne&gt;")</f>
        <v>&lt;numeroLigne&gt;125&lt;/numeroLigne&gt;</v>
      </c>
      <c r="K14407" s="1013"/>
    </row>
    <row r="14408" spans="1:11" s="1011" customFormat="1" ht="15" x14ac:dyDescent="0.25">
      <c r="A14408" s="859">
        <f t="shared" si="322"/>
        <v>14407</v>
      </c>
      <c r="B14408" s="845" t="s">
        <v>2564</v>
      </c>
      <c r="C14408" s="1007">
        <f t="shared" si="321"/>
        <v>125</v>
      </c>
      <c r="D14408" s="1012"/>
      <c r="H14408" s="1011" t="s">
        <v>1010</v>
      </c>
      <c r="K14408" s="1013"/>
    </row>
    <row r="14409" spans="1:11" s="1011" customFormat="1" ht="15" x14ac:dyDescent="0.25">
      <c r="A14409" s="859">
        <f t="shared" si="322"/>
        <v>14408</v>
      </c>
      <c r="B14409" s="845" t="s">
        <v>2564</v>
      </c>
      <c r="C14409" s="1007">
        <f t="shared" si="321"/>
        <v>125</v>
      </c>
      <c r="D14409" s="1014"/>
      <c r="H14409" s="1011" t="s">
        <v>1007</v>
      </c>
      <c r="K14409" s="1013"/>
    </row>
    <row r="14410" spans="1:11" s="1011" customFormat="1" ht="15" x14ac:dyDescent="0.25">
      <c r="A14410" s="859">
        <f t="shared" si="322"/>
        <v>14409</v>
      </c>
      <c r="B14410" s="845" t="s">
        <v>2564</v>
      </c>
      <c r="C14410" s="1007">
        <f t="shared" si="321"/>
        <v>125</v>
      </c>
      <c r="D14410" s="1014"/>
      <c r="I14410" s="1011" t="s">
        <v>2178</v>
      </c>
      <c r="K14410" s="1013"/>
    </row>
    <row r="14411" spans="1:11" s="1011" customFormat="1" ht="15" x14ac:dyDescent="0.25">
      <c r="A14411" s="859">
        <f t="shared" si="322"/>
        <v>14410</v>
      </c>
      <c r="B14411" s="845" t="s">
        <v>2564</v>
      </c>
      <c r="C14411" s="1007">
        <f t="shared" si="321"/>
        <v>125</v>
      </c>
      <c r="D14411" s="1012"/>
      <c r="I14411" s="1011" t="str">
        <f>CONCATENATE("&lt;valeur&gt;",VLOOKUP(C14411,'T16 Amort'!A:K,6,0),"&lt;/valeur&gt;")</f>
        <v>&lt;valeur&gt;&lt;/valeur&gt;</v>
      </c>
      <c r="K14411" s="1013"/>
    </row>
    <row r="14412" spans="1:11" s="1011" customFormat="1" ht="15" x14ac:dyDescent="0.25">
      <c r="A14412" s="859">
        <f t="shared" si="322"/>
        <v>14411</v>
      </c>
      <c r="B14412" s="845" t="s">
        <v>2564</v>
      </c>
      <c r="C14412" s="1007">
        <f t="shared" si="321"/>
        <v>125</v>
      </c>
      <c r="D14412" s="1015"/>
      <c r="I14412" s="1011" t="str">
        <f>CONCATENATE("&lt;numeroLigne&gt;",C14412,"&lt;/numeroLigne&gt;")</f>
        <v>&lt;numeroLigne&gt;125&lt;/numeroLigne&gt;</v>
      </c>
      <c r="K14412" s="1013"/>
    </row>
    <row r="14413" spans="1:11" s="1011" customFormat="1" ht="15" x14ac:dyDescent="0.25">
      <c r="A14413" s="859">
        <f t="shared" si="322"/>
        <v>14412</v>
      </c>
      <c r="B14413" s="845" t="s">
        <v>2564</v>
      </c>
      <c r="C14413" s="1007">
        <f t="shared" si="321"/>
        <v>125</v>
      </c>
      <c r="D14413" s="1012"/>
      <c r="H14413" s="1011" t="s">
        <v>1010</v>
      </c>
      <c r="K14413" s="1013"/>
    </row>
    <row r="14414" spans="1:11" s="1011" customFormat="1" ht="15" x14ac:dyDescent="0.25">
      <c r="A14414" s="859">
        <f t="shared" si="322"/>
        <v>14413</v>
      </c>
      <c r="B14414" s="845" t="s">
        <v>2564</v>
      </c>
      <c r="C14414" s="1007">
        <f t="shared" si="321"/>
        <v>125</v>
      </c>
      <c r="D14414" s="1012"/>
      <c r="H14414" s="1011" t="s">
        <v>1007</v>
      </c>
      <c r="K14414" s="1013"/>
    </row>
    <row r="14415" spans="1:11" s="1011" customFormat="1" ht="15" x14ac:dyDescent="0.25">
      <c r="A14415" s="859">
        <f t="shared" si="322"/>
        <v>14414</v>
      </c>
      <c r="B14415" s="845" t="s">
        <v>2564</v>
      </c>
      <c r="C14415" s="1007">
        <f t="shared" si="321"/>
        <v>125</v>
      </c>
      <c r="D14415" s="1014"/>
      <c r="I14415" s="1011" t="s">
        <v>2179</v>
      </c>
      <c r="K14415" s="1013"/>
    </row>
    <row r="14416" spans="1:11" s="1011" customFormat="1" ht="15" x14ac:dyDescent="0.25">
      <c r="A14416" s="859">
        <f t="shared" si="322"/>
        <v>14415</v>
      </c>
      <c r="B14416" s="845" t="s">
        <v>2564</v>
      </c>
      <c r="C14416" s="1007">
        <f t="shared" si="321"/>
        <v>125</v>
      </c>
      <c r="D14416" s="1014"/>
      <c r="I14416" s="1011" t="str">
        <f>CONCATENATE("&lt;valeur&gt;",VLOOKUP(C14416,'T16 Amort'!A:K,7,0),"&lt;/valeur&gt;")</f>
        <v>&lt;valeur&gt;&lt;/valeur&gt;</v>
      </c>
      <c r="K14416" s="1013"/>
    </row>
    <row r="14417" spans="1:11" s="1011" customFormat="1" ht="15" x14ac:dyDescent="0.25">
      <c r="A14417" s="859">
        <f t="shared" si="322"/>
        <v>14416</v>
      </c>
      <c r="B14417" s="845" t="s">
        <v>2564</v>
      </c>
      <c r="C14417" s="1007">
        <f t="shared" si="321"/>
        <v>125</v>
      </c>
      <c r="D14417" s="1012"/>
      <c r="I14417" s="1011" t="str">
        <f>CONCATENATE("&lt;numeroLigne&gt;",C14417,"&lt;/numeroLigne&gt;")</f>
        <v>&lt;numeroLigne&gt;125&lt;/numeroLigne&gt;</v>
      </c>
      <c r="K14417" s="1013"/>
    </row>
    <row r="14418" spans="1:11" s="1011" customFormat="1" ht="15" x14ac:dyDescent="0.25">
      <c r="A14418" s="859">
        <f t="shared" si="322"/>
        <v>14417</v>
      </c>
      <c r="B14418" s="845" t="s">
        <v>2564</v>
      </c>
      <c r="C14418" s="1007">
        <f t="shared" si="321"/>
        <v>125</v>
      </c>
      <c r="D14418" s="1015"/>
      <c r="H14418" s="1011" t="s">
        <v>1010</v>
      </c>
      <c r="K14418" s="1013"/>
    </row>
    <row r="14419" spans="1:11" s="1011" customFormat="1" ht="15" x14ac:dyDescent="0.25">
      <c r="A14419" s="859">
        <f t="shared" si="322"/>
        <v>14418</v>
      </c>
      <c r="B14419" s="845" t="s">
        <v>2564</v>
      </c>
      <c r="C14419" s="1007">
        <f t="shared" si="321"/>
        <v>125</v>
      </c>
      <c r="D14419" s="1012"/>
      <c r="H14419" s="1011" t="s">
        <v>1007</v>
      </c>
      <c r="K14419" s="1013"/>
    </row>
    <row r="14420" spans="1:11" s="1011" customFormat="1" ht="15" x14ac:dyDescent="0.25">
      <c r="A14420" s="859">
        <f t="shared" si="322"/>
        <v>14419</v>
      </c>
      <c r="B14420" s="845" t="s">
        <v>2564</v>
      </c>
      <c r="C14420" s="1007">
        <f t="shared" si="321"/>
        <v>125</v>
      </c>
      <c r="D14420" s="1012"/>
      <c r="I14420" s="1011" t="s">
        <v>2180</v>
      </c>
      <c r="K14420" s="1013"/>
    </row>
    <row r="14421" spans="1:11" s="1011" customFormat="1" ht="15" x14ac:dyDescent="0.25">
      <c r="A14421" s="859">
        <f t="shared" si="322"/>
        <v>14420</v>
      </c>
      <c r="B14421" s="845" t="s">
        <v>2564</v>
      </c>
      <c r="C14421" s="1007">
        <f t="shared" si="321"/>
        <v>125</v>
      </c>
      <c r="D14421" s="1014"/>
      <c r="I14421" s="1011" t="str">
        <f>CONCATENATE("&lt;valeur&gt;",VLOOKUP(C14421,'T16 Amort'!A:K,8,0),"&lt;/valeur&gt;")</f>
        <v>&lt;valeur&gt;&lt;/valeur&gt;</v>
      </c>
      <c r="K14421" s="1013"/>
    </row>
    <row r="14422" spans="1:11" s="1011" customFormat="1" ht="15" x14ac:dyDescent="0.25">
      <c r="A14422" s="859">
        <f t="shared" si="322"/>
        <v>14421</v>
      </c>
      <c r="B14422" s="845" t="s">
        <v>2564</v>
      </c>
      <c r="C14422" s="1007">
        <f t="shared" si="321"/>
        <v>125</v>
      </c>
      <c r="D14422" s="1014"/>
      <c r="I14422" s="1011" t="str">
        <f>CONCATENATE("&lt;numeroLigne&gt;",C14422,"&lt;/numeroLigne&gt;")</f>
        <v>&lt;numeroLigne&gt;125&lt;/numeroLigne&gt;</v>
      </c>
      <c r="K14422" s="1013"/>
    </row>
    <row r="14423" spans="1:11" s="1011" customFormat="1" ht="15" x14ac:dyDescent="0.25">
      <c r="A14423" s="859">
        <f t="shared" si="322"/>
        <v>14422</v>
      </c>
      <c r="B14423" s="845" t="s">
        <v>2564</v>
      </c>
      <c r="C14423" s="1007">
        <f t="shared" si="321"/>
        <v>125</v>
      </c>
      <c r="D14423" s="1012"/>
      <c r="H14423" s="1011" t="s">
        <v>1010</v>
      </c>
      <c r="K14423" s="1013"/>
    </row>
    <row r="14424" spans="1:11" s="1011" customFormat="1" ht="15" x14ac:dyDescent="0.25">
      <c r="A14424" s="859">
        <f t="shared" si="322"/>
        <v>14423</v>
      </c>
      <c r="B14424" s="845" t="s">
        <v>2564</v>
      </c>
      <c r="C14424" s="1007">
        <f t="shared" si="321"/>
        <v>125</v>
      </c>
      <c r="D14424" s="1015"/>
      <c r="H14424" s="1011" t="s">
        <v>1007</v>
      </c>
      <c r="K14424" s="1013"/>
    </row>
    <row r="14425" spans="1:11" s="1011" customFormat="1" ht="15" x14ac:dyDescent="0.25">
      <c r="A14425" s="859">
        <f t="shared" si="322"/>
        <v>14424</v>
      </c>
      <c r="B14425" s="845" t="s">
        <v>2564</v>
      </c>
      <c r="C14425" s="1007">
        <f t="shared" si="321"/>
        <v>125</v>
      </c>
      <c r="D14425" s="1012"/>
      <c r="I14425" s="1011" t="s">
        <v>2181</v>
      </c>
      <c r="K14425" s="1013"/>
    </row>
    <row r="14426" spans="1:11" s="1011" customFormat="1" ht="15" x14ac:dyDescent="0.25">
      <c r="A14426" s="859">
        <f t="shared" si="322"/>
        <v>14425</v>
      </c>
      <c r="B14426" s="845" t="s">
        <v>2564</v>
      </c>
      <c r="C14426" s="1007">
        <f t="shared" si="321"/>
        <v>125</v>
      </c>
      <c r="D14426" s="1012"/>
      <c r="I14426" s="1011" t="str">
        <f>CONCATENATE("&lt;valeur&gt;",VLOOKUP(C14426,'T16 Amort'!A:K,9,0),"&lt;/valeur&gt;")</f>
        <v>&lt;valeur&gt;&lt;/valeur&gt;</v>
      </c>
      <c r="K14426" s="1013"/>
    </row>
    <row r="14427" spans="1:11" s="1011" customFormat="1" ht="15" x14ac:dyDescent="0.25">
      <c r="A14427" s="859">
        <f t="shared" si="322"/>
        <v>14426</v>
      </c>
      <c r="B14427" s="845" t="s">
        <v>2564</v>
      </c>
      <c r="C14427" s="1007">
        <f t="shared" si="321"/>
        <v>125</v>
      </c>
      <c r="D14427" s="1014"/>
      <c r="I14427" s="1011" t="str">
        <f>CONCATENATE("&lt;numeroLigne&gt;",C14427,"&lt;/numeroLigne&gt;")</f>
        <v>&lt;numeroLigne&gt;125&lt;/numeroLigne&gt;</v>
      </c>
      <c r="K14427" s="1013"/>
    </row>
    <row r="14428" spans="1:11" s="1011" customFormat="1" ht="15" x14ac:dyDescent="0.25">
      <c r="A14428" s="859">
        <f t="shared" si="322"/>
        <v>14427</v>
      </c>
      <c r="B14428" s="845" t="s">
        <v>2564</v>
      </c>
      <c r="C14428" s="1007">
        <f t="shared" si="321"/>
        <v>125</v>
      </c>
      <c r="D14428" s="1014"/>
      <c r="H14428" s="1011" t="s">
        <v>1010</v>
      </c>
      <c r="K14428" s="1013"/>
    </row>
    <row r="14429" spans="1:11" s="1011" customFormat="1" ht="15" x14ac:dyDescent="0.25">
      <c r="A14429" s="859">
        <f t="shared" si="322"/>
        <v>14428</v>
      </c>
      <c r="B14429" s="845" t="s">
        <v>2564</v>
      </c>
      <c r="C14429" s="1007">
        <f t="shared" si="321"/>
        <v>125</v>
      </c>
      <c r="D14429" s="1012"/>
      <c r="H14429" s="1011" t="s">
        <v>1007</v>
      </c>
      <c r="K14429" s="1013"/>
    </row>
    <row r="14430" spans="1:11" s="1011" customFormat="1" ht="15" x14ac:dyDescent="0.25">
      <c r="A14430" s="859">
        <f t="shared" si="322"/>
        <v>14429</v>
      </c>
      <c r="B14430" s="845" t="s">
        <v>2564</v>
      </c>
      <c r="C14430" s="1007">
        <f t="shared" si="321"/>
        <v>125</v>
      </c>
      <c r="D14430" s="1015"/>
      <c r="I14430" s="1011" t="s">
        <v>2182</v>
      </c>
      <c r="K14430" s="1013"/>
    </row>
    <row r="14431" spans="1:11" s="1011" customFormat="1" ht="15" x14ac:dyDescent="0.25">
      <c r="A14431" s="859">
        <f t="shared" si="322"/>
        <v>14430</v>
      </c>
      <c r="B14431" s="845" t="s">
        <v>2564</v>
      </c>
      <c r="C14431" s="1007">
        <f t="shared" si="321"/>
        <v>125</v>
      </c>
      <c r="D14431" s="1012"/>
      <c r="I14431" s="1011" t="str">
        <f>CONCATENATE("&lt;valeur&gt;",VLOOKUP(C14431,'T16 Amort'!A:K,10,0),"&lt;/valeur&gt;")</f>
        <v>&lt;valeur&gt;&lt;/valeur&gt;</v>
      </c>
      <c r="K14431" s="1013"/>
    </row>
    <row r="14432" spans="1:11" s="1011" customFormat="1" ht="15" x14ac:dyDescent="0.25">
      <c r="A14432" s="859">
        <f t="shared" si="322"/>
        <v>14431</v>
      </c>
      <c r="B14432" s="845" t="s">
        <v>2564</v>
      </c>
      <c r="C14432" s="1007">
        <f t="shared" si="321"/>
        <v>125</v>
      </c>
      <c r="D14432" s="1012"/>
      <c r="I14432" s="1011" t="str">
        <f>CONCATENATE("&lt;numeroLigne&gt;",C14432,"&lt;/numeroLigne&gt;")</f>
        <v>&lt;numeroLigne&gt;125&lt;/numeroLigne&gt;</v>
      </c>
      <c r="K14432" s="1013"/>
    </row>
    <row r="14433" spans="1:11" s="1011" customFormat="1" ht="15" x14ac:dyDescent="0.25">
      <c r="A14433" s="859">
        <f t="shared" si="322"/>
        <v>14432</v>
      </c>
      <c r="B14433" s="845" t="s">
        <v>2564</v>
      </c>
      <c r="C14433" s="1007">
        <f t="shared" si="321"/>
        <v>125</v>
      </c>
      <c r="D14433" s="1014"/>
      <c r="H14433" s="1011" t="s">
        <v>1010</v>
      </c>
      <c r="K14433" s="1013"/>
    </row>
    <row r="14434" spans="1:11" s="1011" customFormat="1" ht="15" x14ac:dyDescent="0.25">
      <c r="A14434" s="859">
        <f t="shared" si="322"/>
        <v>14433</v>
      </c>
      <c r="B14434" s="845" t="s">
        <v>2564</v>
      </c>
      <c r="C14434" s="1007">
        <f t="shared" si="321"/>
        <v>125</v>
      </c>
      <c r="D14434" s="1014"/>
      <c r="H14434" s="1011" t="s">
        <v>1007</v>
      </c>
      <c r="K14434" s="1013"/>
    </row>
    <row r="14435" spans="1:11" s="1011" customFormat="1" ht="15" x14ac:dyDescent="0.25">
      <c r="A14435" s="859">
        <f t="shared" si="322"/>
        <v>14434</v>
      </c>
      <c r="B14435" s="845" t="s">
        <v>2564</v>
      </c>
      <c r="C14435" s="1007">
        <f t="shared" si="321"/>
        <v>125</v>
      </c>
      <c r="D14435" s="1012"/>
      <c r="I14435" s="1011" t="s">
        <v>2183</v>
      </c>
      <c r="K14435" s="1013"/>
    </row>
    <row r="14436" spans="1:11" s="1011" customFormat="1" ht="15" x14ac:dyDescent="0.25">
      <c r="A14436" s="859">
        <f t="shared" si="322"/>
        <v>14435</v>
      </c>
      <c r="B14436" s="845" t="s">
        <v>2564</v>
      </c>
      <c r="C14436" s="1007">
        <f t="shared" si="321"/>
        <v>125</v>
      </c>
      <c r="D14436" s="1015"/>
      <c r="I14436" s="1011" t="str">
        <f>CONCATENATE("&lt;valeur&gt;",VLOOKUP(C14436,'T16 Amort'!A:K,11,0),"&lt;/valeur&gt;")</f>
        <v>&lt;valeur&gt;&lt;/valeur&gt;</v>
      </c>
      <c r="K14436" s="1013"/>
    </row>
    <row r="14437" spans="1:11" s="1011" customFormat="1" ht="15" x14ac:dyDescent="0.25">
      <c r="A14437" s="859">
        <f t="shared" si="322"/>
        <v>14436</v>
      </c>
      <c r="B14437" s="845" t="s">
        <v>2564</v>
      </c>
      <c r="C14437" s="1007">
        <f t="shared" si="321"/>
        <v>125</v>
      </c>
      <c r="D14437" s="1012"/>
      <c r="I14437" s="1011" t="str">
        <f>CONCATENATE("&lt;numeroLigne&gt;",C14437,"&lt;/numeroLigne&gt;")</f>
        <v>&lt;numeroLigne&gt;125&lt;/numeroLigne&gt;</v>
      </c>
      <c r="K14437" s="1013"/>
    </row>
    <row r="14438" spans="1:11" s="1011" customFormat="1" ht="15" x14ac:dyDescent="0.25">
      <c r="A14438" s="859">
        <f t="shared" si="322"/>
        <v>14437</v>
      </c>
      <c r="B14438" s="845" t="s">
        <v>2564</v>
      </c>
      <c r="C14438" s="1007">
        <f t="shared" si="321"/>
        <v>125</v>
      </c>
      <c r="D14438" s="1016"/>
      <c r="E14438" s="1017"/>
      <c r="F14438" s="1017"/>
      <c r="G14438" s="1017"/>
      <c r="H14438" s="1017" t="s">
        <v>1010</v>
      </c>
      <c r="I14438" s="1017"/>
      <c r="J14438" s="1017"/>
      <c r="K14438" s="1018"/>
    </row>
    <row r="14439" spans="1:11" s="1011" customFormat="1" ht="15" x14ac:dyDescent="0.25">
      <c r="A14439" s="859">
        <f t="shared" si="322"/>
        <v>14438</v>
      </c>
      <c r="B14439" s="845" t="s">
        <v>2564</v>
      </c>
      <c r="C14439" s="1007">
        <f t="shared" si="321"/>
        <v>126</v>
      </c>
      <c r="D14439" s="1008"/>
      <c r="E14439" s="1009"/>
      <c r="F14439" s="1009"/>
      <c r="G14439" s="1009"/>
      <c r="H14439" s="1009" t="s">
        <v>1007</v>
      </c>
      <c r="I14439" s="1009"/>
      <c r="J14439" s="1009"/>
      <c r="K14439" s="1010"/>
    </row>
    <row r="14440" spans="1:11" s="1011" customFormat="1" ht="15" x14ac:dyDescent="0.25">
      <c r="A14440" s="859">
        <f t="shared" si="322"/>
        <v>14439</v>
      </c>
      <c r="B14440" s="845" t="s">
        <v>2564</v>
      </c>
      <c r="C14440" s="1007">
        <f t="shared" si="321"/>
        <v>126</v>
      </c>
      <c r="D14440" s="1012"/>
      <c r="I14440" s="1011" t="s">
        <v>2174</v>
      </c>
      <c r="K14440" s="1013"/>
    </row>
    <row r="14441" spans="1:11" s="1011" customFormat="1" ht="15" x14ac:dyDescent="0.25">
      <c r="A14441" s="859">
        <f t="shared" si="322"/>
        <v>14440</v>
      </c>
      <c r="B14441" s="845" t="s">
        <v>2564</v>
      </c>
      <c r="C14441" s="1007">
        <f t="shared" si="321"/>
        <v>126</v>
      </c>
      <c r="D14441" s="1014"/>
      <c r="I14441" s="1011" t="str">
        <f>CONCATENATE("&lt;valeur&gt;",VLOOKUP(C14441,'T16 Amort'!A:K,2,0),"&lt;/valeur&gt;")</f>
        <v>&lt;valeur&gt;&lt;/valeur&gt;</v>
      </c>
      <c r="K14441" s="1013"/>
    </row>
    <row r="14442" spans="1:11" s="1011" customFormat="1" ht="15" x14ac:dyDescent="0.25">
      <c r="A14442" s="859">
        <f t="shared" si="322"/>
        <v>14441</v>
      </c>
      <c r="B14442" s="845" t="s">
        <v>2564</v>
      </c>
      <c r="C14442" s="1007">
        <f t="shared" si="321"/>
        <v>126</v>
      </c>
      <c r="D14442" s="1014"/>
      <c r="I14442" s="1011" t="str">
        <f>CONCATENATE("&lt;numeroLigne&gt;",C14442,"&lt;/numeroLigne&gt;")</f>
        <v>&lt;numeroLigne&gt;126&lt;/numeroLigne&gt;</v>
      </c>
      <c r="K14442" s="1013"/>
    </row>
    <row r="14443" spans="1:11" s="1011" customFormat="1" ht="15" x14ac:dyDescent="0.25">
      <c r="A14443" s="859">
        <f t="shared" si="322"/>
        <v>14442</v>
      </c>
      <c r="B14443" s="845" t="s">
        <v>2564</v>
      </c>
      <c r="C14443" s="1007">
        <f t="shared" si="321"/>
        <v>126</v>
      </c>
      <c r="D14443" s="1012"/>
      <c r="H14443" s="1011" t="s">
        <v>1010</v>
      </c>
      <c r="K14443" s="1013"/>
    </row>
    <row r="14444" spans="1:11" s="1011" customFormat="1" ht="15" x14ac:dyDescent="0.25">
      <c r="A14444" s="859">
        <f t="shared" si="322"/>
        <v>14443</v>
      </c>
      <c r="B14444" s="845" t="s">
        <v>2564</v>
      </c>
      <c r="C14444" s="1007">
        <f t="shared" si="321"/>
        <v>126</v>
      </c>
      <c r="D14444" s="1015"/>
      <c r="H14444" s="1011" t="s">
        <v>1007</v>
      </c>
      <c r="K14444" s="1013"/>
    </row>
    <row r="14445" spans="1:11" s="1011" customFormat="1" ht="15" x14ac:dyDescent="0.25">
      <c r="A14445" s="859">
        <f t="shared" si="322"/>
        <v>14444</v>
      </c>
      <c r="B14445" s="845" t="s">
        <v>2564</v>
      </c>
      <c r="C14445" s="1007">
        <f t="shared" si="321"/>
        <v>126</v>
      </c>
      <c r="D14445" s="1012"/>
      <c r="I14445" s="1011" t="s">
        <v>2175</v>
      </c>
      <c r="K14445" s="1013"/>
    </row>
    <row r="14446" spans="1:11" s="1011" customFormat="1" ht="15" x14ac:dyDescent="0.25">
      <c r="A14446" s="859">
        <f t="shared" si="322"/>
        <v>14445</v>
      </c>
      <c r="B14446" s="845" t="s">
        <v>2564</v>
      </c>
      <c r="C14446" s="1007">
        <f t="shared" si="321"/>
        <v>126</v>
      </c>
      <c r="D14446" s="1012"/>
      <c r="I14446" s="1011" t="str">
        <f>CONCATENATE("&lt;valeur&gt;",VLOOKUP(C14446,'T16 Amort'!A:K,3,0),"&lt;/valeur&gt;")</f>
        <v>&lt;valeur&gt;&lt;/valeur&gt;</v>
      </c>
      <c r="K14446" s="1013"/>
    </row>
    <row r="14447" spans="1:11" s="1011" customFormat="1" ht="15" x14ac:dyDescent="0.25">
      <c r="A14447" s="859">
        <f t="shared" si="322"/>
        <v>14446</v>
      </c>
      <c r="B14447" s="845" t="s">
        <v>2564</v>
      </c>
      <c r="C14447" s="1007">
        <f t="shared" ref="C14447:C14510" si="323">C14397+1</f>
        <v>126</v>
      </c>
      <c r="D14447" s="1014"/>
      <c r="I14447" s="1011" t="str">
        <f>CONCATENATE("&lt;numeroLigne&gt;",C14447,"&lt;/numeroLigne&gt;")</f>
        <v>&lt;numeroLigne&gt;126&lt;/numeroLigne&gt;</v>
      </c>
      <c r="K14447" s="1013"/>
    </row>
    <row r="14448" spans="1:11" s="1011" customFormat="1" ht="15" x14ac:dyDescent="0.25">
      <c r="A14448" s="859">
        <f t="shared" si="322"/>
        <v>14447</v>
      </c>
      <c r="B14448" s="845" t="s">
        <v>2564</v>
      </c>
      <c r="C14448" s="1007">
        <f t="shared" si="323"/>
        <v>126</v>
      </c>
      <c r="D14448" s="1014"/>
      <c r="H14448" s="1011" t="s">
        <v>1010</v>
      </c>
      <c r="K14448" s="1013"/>
    </row>
    <row r="14449" spans="1:11" s="1011" customFormat="1" ht="15" x14ac:dyDescent="0.25">
      <c r="A14449" s="859">
        <f t="shared" si="322"/>
        <v>14448</v>
      </c>
      <c r="B14449" s="845" t="s">
        <v>2564</v>
      </c>
      <c r="C14449" s="1007">
        <f t="shared" si="323"/>
        <v>126</v>
      </c>
      <c r="D14449" s="1012"/>
      <c r="H14449" s="1011" t="s">
        <v>1007</v>
      </c>
      <c r="K14449" s="1013"/>
    </row>
    <row r="14450" spans="1:11" s="1011" customFormat="1" ht="15" x14ac:dyDescent="0.25">
      <c r="A14450" s="859">
        <f t="shared" si="322"/>
        <v>14449</v>
      </c>
      <c r="B14450" s="845" t="s">
        <v>2564</v>
      </c>
      <c r="C14450" s="1007">
        <f t="shared" si="323"/>
        <v>126</v>
      </c>
      <c r="D14450" s="1015"/>
      <c r="I14450" s="1011" t="s">
        <v>2176</v>
      </c>
      <c r="K14450" s="1013"/>
    </row>
    <row r="14451" spans="1:11" s="1011" customFormat="1" ht="15" x14ac:dyDescent="0.25">
      <c r="A14451" s="859">
        <f t="shared" si="322"/>
        <v>14450</v>
      </c>
      <c r="B14451" s="845" t="s">
        <v>2564</v>
      </c>
      <c r="C14451" s="1007">
        <f t="shared" si="323"/>
        <v>126</v>
      </c>
      <c r="D14451" s="1012"/>
      <c r="I14451" s="1011" t="str">
        <f>CONCATENATE("&lt;valeur&gt;",VLOOKUP(C14451,'T16 Amort'!A:K,4,0),"&lt;/valeur&gt;")</f>
        <v>&lt;valeur&gt;&lt;/valeur&gt;</v>
      </c>
      <c r="K14451" s="1013"/>
    </row>
    <row r="14452" spans="1:11" s="1011" customFormat="1" ht="15" x14ac:dyDescent="0.25">
      <c r="A14452" s="859">
        <f t="shared" si="322"/>
        <v>14451</v>
      </c>
      <c r="B14452" s="845" t="s">
        <v>2564</v>
      </c>
      <c r="C14452" s="1007">
        <f t="shared" si="323"/>
        <v>126</v>
      </c>
      <c r="D14452" s="1012"/>
      <c r="I14452" s="1011" t="str">
        <f>CONCATENATE("&lt;numeroLigne&gt;",C14452,"&lt;/numeroLigne&gt;")</f>
        <v>&lt;numeroLigne&gt;126&lt;/numeroLigne&gt;</v>
      </c>
      <c r="K14452" s="1013"/>
    </row>
    <row r="14453" spans="1:11" s="1011" customFormat="1" ht="15" x14ac:dyDescent="0.25">
      <c r="A14453" s="859">
        <f t="shared" si="322"/>
        <v>14452</v>
      </c>
      <c r="B14453" s="845" t="s">
        <v>2564</v>
      </c>
      <c r="C14453" s="1007">
        <f t="shared" si="323"/>
        <v>126</v>
      </c>
      <c r="D14453" s="1014"/>
      <c r="H14453" s="1011" t="s">
        <v>1010</v>
      </c>
      <c r="K14453" s="1013"/>
    </row>
    <row r="14454" spans="1:11" s="1011" customFormat="1" ht="15" x14ac:dyDescent="0.25">
      <c r="A14454" s="859">
        <f t="shared" si="322"/>
        <v>14453</v>
      </c>
      <c r="B14454" s="845" t="s">
        <v>2564</v>
      </c>
      <c r="C14454" s="1007">
        <f t="shared" si="323"/>
        <v>126</v>
      </c>
      <c r="D14454" s="1014"/>
      <c r="H14454" s="1011" t="s">
        <v>1007</v>
      </c>
      <c r="K14454" s="1013"/>
    </row>
    <row r="14455" spans="1:11" s="1011" customFormat="1" ht="15" x14ac:dyDescent="0.25">
      <c r="A14455" s="859">
        <f t="shared" si="322"/>
        <v>14454</v>
      </c>
      <c r="B14455" s="845" t="s">
        <v>2564</v>
      </c>
      <c r="C14455" s="1007">
        <f t="shared" si="323"/>
        <v>126</v>
      </c>
      <c r="D14455" s="1012"/>
      <c r="I14455" s="1011" t="s">
        <v>2177</v>
      </c>
      <c r="K14455" s="1013"/>
    </row>
    <row r="14456" spans="1:11" s="1011" customFormat="1" ht="15" x14ac:dyDescent="0.25">
      <c r="A14456" s="859">
        <f t="shared" si="322"/>
        <v>14455</v>
      </c>
      <c r="B14456" s="845" t="s">
        <v>2564</v>
      </c>
      <c r="C14456" s="1007">
        <f t="shared" si="323"/>
        <v>126</v>
      </c>
      <c r="D14456" s="1015"/>
      <c r="I14456" s="1011" t="str">
        <f>CONCATENATE("&lt;valeur&gt;",VLOOKUP(C14456,'T16 Amort'!A:K,5,0),"&lt;/valeur&gt;")</f>
        <v>&lt;valeur&gt;&lt;/valeur&gt;</v>
      </c>
      <c r="K14456" s="1013"/>
    </row>
    <row r="14457" spans="1:11" s="1011" customFormat="1" ht="15" x14ac:dyDescent="0.25">
      <c r="A14457" s="859">
        <f t="shared" si="322"/>
        <v>14456</v>
      </c>
      <c r="B14457" s="845" t="s">
        <v>2564</v>
      </c>
      <c r="C14457" s="1007">
        <f t="shared" si="323"/>
        <v>126</v>
      </c>
      <c r="D14457" s="1012"/>
      <c r="I14457" s="1011" t="str">
        <f>CONCATENATE("&lt;numeroLigne&gt;",C14457,"&lt;/numeroLigne&gt;")</f>
        <v>&lt;numeroLigne&gt;126&lt;/numeroLigne&gt;</v>
      </c>
      <c r="K14457" s="1013"/>
    </row>
    <row r="14458" spans="1:11" s="1011" customFormat="1" ht="15" x14ac:dyDescent="0.25">
      <c r="A14458" s="859">
        <f t="shared" si="322"/>
        <v>14457</v>
      </c>
      <c r="B14458" s="845" t="s">
        <v>2564</v>
      </c>
      <c r="C14458" s="1007">
        <f t="shared" si="323"/>
        <v>126</v>
      </c>
      <c r="D14458" s="1012"/>
      <c r="H14458" s="1011" t="s">
        <v>1010</v>
      </c>
      <c r="K14458" s="1013"/>
    </row>
    <row r="14459" spans="1:11" s="1011" customFormat="1" ht="15" x14ac:dyDescent="0.25">
      <c r="A14459" s="859">
        <f t="shared" si="322"/>
        <v>14458</v>
      </c>
      <c r="B14459" s="845" t="s">
        <v>2564</v>
      </c>
      <c r="C14459" s="1007">
        <f t="shared" si="323"/>
        <v>126</v>
      </c>
      <c r="D14459" s="1014"/>
      <c r="H14459" s="1011" t="s">
        <v>1007</v>
      </c>
      <c r="K14459" s="1013"/>
    </row>
    <row r="14460" spans="1:11" s="1011" customFormat="1" ht="15" x14ac:dyDescent="0.25">
      <c r="A14460" s="859">
        <f t="shared" si="322"/>
        <v>14459</v>
      </c>
      <c r="B14460" s="845" t="s">
        <v>2564</v>
      </c>
      <c r="C14460" s="1007">
        <f t="shared" si="323"/>
        <v>126</v>
      </c>
      <c r="D14460" s="1014"/>
      <c r="I14460" s="1011" t="s">
        <v>2178</v>
      </c>
      <c r="K14460" s="1013"/>
    </row>
    <row r="14461" spans="1:11" s="1011" customFormat="1" ht="15" x14ac:dyDescent="0.25">
      <c r="A14461" s="859">
        <f t="shared" si="322"/>
        <v>14460</v>
      </c>
      <c r="B14461" s="845" t="s">
        <v>2564</v>
      </c>
      <c r="C14461" s="1007">
        <f t="shared" si="323"/>
        <v>126</v>
      </c>
      <c r="D14461" s="1012"/>
      <c r="I14461" s="1011" t="str">
        <f>CONCATENATE("&lt;valeur&gt;",VLOOKUP(C14461,'T16 Amort'!A:K,6,0),"&lt;/valeur&gt;")</f>
        <v>&lt;valeur&gt;&lt;/valeur&gt;</v>
      </c>
      <c r="K14461" s="1013"/>
    </row>
    <row r="14462" spans="1:11" s="1011" customFormat="1" ht="15" x14ac:dyDescent="0.25">
      <c r="A14462" s="859">
        <f t="shared" si="322"/>
        <v>14461</v>
      </c>
      <c r="B14462" s="845" t="s">
        <v>2564</v>
      </c>
      <c r="C14462" s="1007">
        <f t="shared" si="323"/>
        <v>126</v>
      </c>
      <c r="D14462" s="1015"/>
      <c r="I14462" s="1011" t="str">
        <f>CONCATENATE("&lt;numeroLigne&gt;",C14462,"&lt;/numeroLigne&gt;")</f>
        <v>&lt;numeroLigne&gt;126&lt;/numeroLigne&gt;</v>
      </c>
      <c r="K14462" s="1013"/>
    </row>
    <row r="14463" spans="1:11" s="1011" customFormat="1" ht="15" x14ac:dyDescent="0.25">
      <c r="A14463" s="859">
        <f t="shared" si="322"/>
        <v>14462</v>
      </c>
      <c r="B14463" s="845" t="s">
        <v>2564</v>
      </c>
      <c r="C14463" s="1007">
        <f t="shared" si="323"/>
        <v>126</v>
      </c>
      <c r="D14463" s="1012"/>
      <c r="H14463" s="1011" t="s">
        <v>1010</v>
      </c>
      <c r="K14463" s="1013"/>
    </row>
    <row r="14464" spans="1:11" s="1011" customFormat="1" ht="15" x14ac:dyDescent="0.25">
      <c r="A14464" s="859">
        <f t="shared" si="322"/>
        <v>14463</v>
      </c>
      <c r="B14464" s="845" t="s">
        <v>2564</v>
      </c>
      <c r="C14464" s="1007">
        <f t="shared" si="323"/>
        <v>126</v>
      </c>
      <c r="D14464" s="1012"/>
      <c r="H14464" s="1011" t="s">
        <v>1007</v>
      </c>
      <c r="K14464" s="1013"/>
    </row>
    <row r="14465" spans="1:11" s="1011" customFormat="1" ht="15" x14ac:dyDescent="0.25">
      <c r="A14465" s="859">
        <f t="shared" si="322"/>
        <v>14464</v>
      </c>
      <c r="B14465" s="845" t="s">
        <v>2564</v>
      </c>
      <c r="C14465" s="1007">
        <f t="shared" si="323"/>
        <v>126</v>
      </c>
      <c r="D14465" s="1014"/>
      <c r="I14465" s="1011" t="s">
        <v>2179</v>
      </c>
      <c r="K14465" s="1013"/>
    </row>
    <row r="14466" spans="1:11" s="1011" customFormat="1" ht="15" x14ac:dyDescent="0.25">
      <c r="A14466" s="859">
        <f t="shared" si="322"/>
        <v>14465</v>
      </c>
      <c r="B14466" s="845" t="s">
        <v>2564</v>
      </c>
      <c r="C14466" s="1007">
        <f t="shared" si="323"/>
        <v>126</v>
      </c>
      <c r="D14466" s="1014"/>
      <c r="I14466" s="1011" t="str">
        <f>CONCATENATE("&lt;valeur&gt;",VLOOKUP(C14466,'T16 Amort'!A:K,7,0),"&lt;/valeur&gt;")</f>
        <v>&lt;valeur&gt;&lt;/valeur&gt;</v>
      </c>
      <c r="K14466" s="1013"/>
    </row>
    <row r="14467" spans="1:11" s="1011" customFormat="1" ht="15" x14ac:dyDescent="0.25">
      <c r="A14467" s="859">
        <f t="shared" si="322"/>
        <v>14466</v>
      </c>
      <c r="B14467" s="845" t="s">
        <v>2564</v>
      </c>
      <c r="C14467" s="1007">
        <f t="shared" si="323"/>
        <v>126</v>
      </c>
      <c r="D14467" s="1012"/>
      <c r="I14467" s="1011" t="str">
        <f>CONCATENATE("&lt;numeroLigne&gt;",C14467,"&lt;/numeroLigne&gt;")</f>
        <v>&lt;numeroLigne&gt;126&lt;/numeroLigne&gt;</v>
      </c>
      <c r="K14467" s="1013"/>
    </row>
    <row r="14468" spans="1:11" s="1011" customFormat="1" ht="15" x14ac:dyDescent="0.25">
      <c r="A14468" s="859">
        <f t="shared" ref="A14468:A14531" si="324">+A14467+1</f>
        <v>14467</v>
      </c>
      <c r="B14468" s="845" t="s">
        <v>2564</v>
      </c>
      <c r="C14468" s="1007">
        <f t="shared" si="323"/>
        <v>126</v>
      </c>
      <c r="D14468" s="1015"/>
      <c r="H14468" s="1011" t="s">
        <v>1010</v>
      </c>
      <c r="K14468" s="1013"/>
    </row>
    <row r="14469" spans="1:11" s="1011" customFormat="1" ht="15" x14ac:dyDescent="0.25">
      <c r="A14469" s="859">
        <f t="shared" si="324"/>
        <v>14468</v>
      </c>
      <c r="B14469" s="845" t="s">
        <v>2564</v>
      </c>
      <c r="C14469" s="1007">
        <f t="shared" si="323"/>
        <v>126</v>
      </c>
      <c r="D14469" s="1012"/>
      <c r="H14469" s="1011" t="s">
        <v>1007</v>
      </c>
      <c r="K14469" s="1013"/>
    </row>
    <row r="14470" spans="1:11" s="1011" customFormat="1" ht="15" x14ac:dyDescent="0.25">
      <c r="A14470" s="859">
        <f t="shared" si="324"/>
        <v>14469</v>
      </c>
      <c r="B14470" s="845" t="s">
        <v>2564</v>
      </c>
      <c r="C14470" s="1007">
        <f t="shared" si="323"/>
        <v>126</v>
      </c>
      <c r="D14470" s="1012"/>
      <c r="I14470" s="1011" t="s">
        <v>2180</v>
      </c>
      <c r="K14470" s="1013"/>
    </row>
    <row r="14471" spans="1:11" s="1011" customFormat="1" ht="15" x14ac:dyDescent="0.25">
      <c r="A14471" s="859">
        <f t="shared" si="324"/>
        <v>14470</v>
      </c>
      <c r="B14471" s="845" t="s">
        <v>2564</v>
      </c>
      <c r="C14471" s="1007">
        <f t="shared" si="323"/>
        <v>126</v>
      </c>
      <c r="D14471" s="1014"/>
      <c r="I14471" s="1011" t="str">
        <f>CONCATENATE("&lt;valeur&gt;",VLOOKUP(C14471,'T16 Amort'!A:K,8,0),"&lt;/valeur&gt;")</f>
        <v>&lt;valeur&gt;&lt;/valeur&gt;</v>
      </c>
      <c r="K14471" s="1013"/>
    </row>
    <row r="14472" spans="1:11" s="1011" customFormat="1" ht="15" x14ac:dyDescent="0.25">
      <c r="A14472" s="859">
        <f t="shared" si="324"/>
        <v>14471</v>
      </c>
      <c r="B14472" s="845" t="s">
        <v>2564</v>
      </c>
      <c r="C14472" s="1007">
        <f t="shared" si="323"/>
        <v>126</v>
      </c>
      <c r="D14472" s="1014"/>
      <c r="I14472" s="1011" t="str">
        <f>CONCATENATE("&lt;numeroLigne&gt;",C14472,"&lt;/numeroLigne&gt;")</f>
        <v>&lt;numeroLigne&gt;126&lt;/numeroLigne&gt;</v>
      </c>
      <c r="K14472" s="1013"/>
    </row>
    <row r="14473" spans="1:11" s="1011" customFormat="1" ht="15" x14ac:dyDescent="0.25">
      <c r="A14473" s="859">
        <f t="shared" si="324"/>
        <v>14472</v>
      </c>
      <c r="B14473" s="845" t="s">
        <v>2564</v>
      </c>
      <c r="C14473" s="1007">
        <f t="shared" si="323"/>
        <v>126</v>
      </c>
      <c r="D14473" s="1012"/>
      <c r="H14473" s="1011" t="s">
        <v>1010</v>
      </c>
      <c r="K14473" s="1013"/>
    </row>
    <row r="14474" spans="1:11" s="1011" customFormat="1" ht="15" x14ac:dyDescent="0.25">
      <c r="A14474" s="859">
        <f t="shared" si="324"/>
        <v>14473</v>
      </c>
      <c r="B14474" s="845" t="s">
        <v>2564</v>
      </c>
      <c r="C14474" s="1007">
        <f t="shared" si="323"/>
        <v>126</v>
      </c>
      <c r="D14474" s="1015"/>
      <c r="H14474" s="1011" t="s">
        <v>1007</v>
      </c>
      <c r="K14474" s="1013"/>
    </row>
    <row r="14475" spans="1:11" s="1011" customFormat="1" ht="15" x14ac:dyDescent="0.25">
      <c r="A14475" s="859">
        <f t="shared" si="324"/>
        <v>14474</v>
      </c>
      <c r="B14475" s="845" t="s">
        <v>2564</v>
      </c>
      <c r="C14475" s="1007">
        <f t="shared" si="323"/>
        <v>126</v>
      </c>
      <c r="D14475" s="1012"/>
      <c r="I14475" s="1011" t="s">
        <v>2181</v>
      </c>
      <c r="K14475" s="1013"/>
    </row>
    <row r="14476" spans="1:11" s="1011" customFormat="1" ht="15" x14ac:dyDescent="0.25">
      <c r="A14476" s="859">
        <f t="shared" si="324"/>
        <v>14475</v>
      </c>
      <c r="B14476" s="845" t="s">
        <v>2564</v>
      </c>
      <c r="C14476" s="1007">
        <f t="shared" si="323"/>
        <v>126</v>
      </c>
      <c r="D14476" s="1012"/>
      <c r="I14476" s="1011" t="str">
        <f>CONCATENATE("&lt;valeur&gt;",VLOOKUP(C14476,'T16 Amort'!A:K,9,0),"&lt;/valeur&gt;")</f>
        <v>&lt;valeur&gt;&lt;/valeur&gt;</v>
      </c>
      <c r="K14476" s="1013"/>
    </row>
    <row r="14477" spans="1:11" s="1011" customFormat="1" ht="15" x14ac:dyDescent="0.25">
      <c r="A14477" s="859">
        <f t="shared" si="324"/>
        <v>14476</v>
      </c>
      <c r="B14477" s="845" t="s">
        <v>2564</v>
      </c>
      <c r="C14477" s="1007">
        <f t="shared" si="323"/>
        <v>126</v>
      </c>
      <c r="D14477" s="1014"/>
      <c r="I14477" s="1011" t="str">
        <f>CONCATENATE("&lt;numeroLigne&gt;",C14477,"&lt;/numeroLigne&gt;")</f>
        <v>&lt;numeroLigne&gt;126&lt;/numeroLigne&gt;</v>
      </c>
      <c r="K14477" s="1013"/>
    </row>
    <row r="14478" spans="1:11" s="1011" customFormat="1" ht="15" x14ac:dyDescent="0.25">
      <c r="A14478" s="859">
        <f t="shared" si="324"/>
        <v>14477</v>
      </c>
      <c r="B14478" s="845" t="s">
        <v>2564</v>
      </c>
      <c r="C14478" s="1007">
        <f t="shared" si="323"/>
        <v>126</v>
      </c>
      <c r="D14478" s="1014"/>
      <c r="H14478" s="1011" t="s">
        <v>1010</v>
      </c>
      <c r="K14478" s="1013"/>
    </row>
    <row r="14479" spans="1:11" s="1011" customFormat="1" ht="15" x14ac:dyDescent="0.25">
      <c r="A14479" s="859">
        <f t="shared" si="324"/>
        <v>14478</v>
      </c>
      <c r="B14479" s="845" t="s">
        <v>2564</v>
      </c>
      <c r="C14479" s="1007">
        <f t="shared" si="323"/>
        <v>126</v>
      </c>
      <c r="D14479" s="1012"/>
      <c r="H14479" s="1011" t="s">
        <v>1007</v>
      </c>
      <c r="K14479" s="1013"/>
    </row>
    <row r="14480" spans="1:11" s="1011" customFormat="1" ht="15" x14ac:dyDescent="0.25">
      <c r="A14480" s="859">
        <f t="shared" si="324"/>
        <v>14479</v>
      </c>
      <c r="B14480" s="845" t="s">
        <v>2564</v>
      </c>
      <c r="C14480" s="1007">
        <f t="shared" si="323"/>
        <v>126</v>
      </c>
      <c r="D14480" s="1015"/>
      <c r="I14480" s="1011" t="s">
        <v>2182</v>
      </c>
      <c r="K14480" s="1013"/>
    </row>
    <row r="14481" spans="1:11" s="1011" customFormat="1" ht="15" x14ac:dyDescent="0.25">
      <c r="A14481" s="859">
        <f t="shared" si="324"/>
        <v>14480</v>
      </c>
      <c r="B14481" s="845" t="s">
        <v>2564</v>
      </c>
      <c r="C14481" s="1007">
        <f t="shared" si="323"/>
        <v>126</v>
      </c>
      <c r="D14481" s="1012"/>
      <c r="I14481" s="1011" t="str">
        <f>CONCATENATE("&lt;valeur&gt;",VLOOKUP(C14481,'T16 Amort'!A:K,10,0),"&lt;/valeur&gt;")</f>
        <v>&lt;valeur&gt;&lt;/valeur&gt;</v>
      </c>
      <c r="K14481" s="1013"/>
    </row>
    <row r="14482" spans="1:11" s="1011" customFormat="1" ht="15" x14ac:dyDescent="0.25">
      <c r="A14482" s="859">
        <f t="shared" si="324"/>
        <v>14481</v>
      </c>
      <c r="B14482" s="845" t="s">
        <v>2564</v>
      </c>
      <c r="C14482" s="1007">
        <f t="shared" si="323"/>
        <v>126</v>
      </c>
      <c r="D14482" s="1012"/>
      <c r="I14482" s="1011" t="str">
        <f>CONCATENATE("&lt;numeroLigne&gt;",C14482,"&lt;/numeroLigne&gt;")</f>
        <v>&lt;numeroLigne&gt;126&lt;/numeroLigne&gt;</v>
      </c>
      <c r="K14482" s="1013"/>
    </row>
    <row r="14483" spans="1:11" s="1011" customFormat="1" ht="15" x14ac:dyDescent="0.25">
      <c r="A14483" s="859">
        <f t="shared" si="324"/>
        <v>14482</v>
      </c>
      <c r="B14483" s="845" t="s">
        <v>2564</v>
      </c>
      <c r="C14483" s="1007">
        <f t="shared" si="323"/>
        <v>126</v>
      </c>
      <c r="D14483" s="1014"/>
      <c r="H14483" s="1011" t="s">
        <v>1010</v>
      </c>
      <c r="K14483" s="1013"/>
    </row>
    <row r="14484" spans="1:11" s="1011" customFormat="1" ht="15" x14ac:dyDescent="0.25">
      <c r="A14484" s="859">
        <f t="shared" si="324"/>
        <v>14483</v>
      </c>
      <c r="B14484" s="845" t="s">
        <v>2564</v>
      </c>
      <c r="C14484" s="1007">
        <f t="shared" si="323"/>
        <v>126</v>
      </c>
      <c r="D14484" s="1014"/>
      <c r="H14484" s="1011" t="s">
        <v>1007</v>
      </c>
      <c r="K14484" s="1013"/>
    </row>
    <row r="14485" spans="1:11" s="1011" customFormat="1" ht="15" x14ac:dyDescent="0.25">
      <c r="A14485" s="859">
        <f t="shared" si="324"/>
        <v>14484</v>
      </c>
      <c r="B14485" s="845" t="s">
        <v>2564</v>
      </c>
      <c r="C14485" s="1007">
        <f t="shared" si="323"/>
        <v>126</v>
      </c>
      <c r="D14485" s="1012"/>
      <c r="I14485" s="1011" t="s">
        <v>2183</v>
      </c>
      <c r="K14485" s="1013"/>
    </row>
    <row r="14486" spans="1:11" s="1011" customFormat="1" ht="15" x14ac:dyDescent="0.25">
      <c r="A14486" s="859">
        <f t="shared" si="324"/>
        <v>14485</v>
      </c>
      <c r="B14486" s="845" t="s">
        <v>2564</v>
      </c>
      <c r="C14486" s="1007">
        <f t="shared" si="323"/>
        <v>126</v>
      </c>
      <c r="D14486" s="1015"/>
      <c r="I14486" s="1011" t="str">
        <f>CONCATENATE("&lt;valeur&gt;",VLOOKUP(C14486,'T16 Amort'!A:K,11,0),"&lt;/valeur&gt;")</f>
        <v>&lt;valeur&gt;&lt;/valeur&gt;</v>
      </c>
      <c r="K14486" s="1013"/>
    </row>
    <row r="14487" spans="1:11" s="1011" customFormat="1" ht="15" x14ac:dyDescent="0.25">
      <c r="A14487" s="859">
        <f t="shared" si="324"/>
        <v>14486</v>
      </c>
      <c r="B14487" s="845" t="s">
        <v>2564</v>
      </c>
      <c r="C14487" s="1007">
        <f t="shared" si="323"/>
        <v>126</v>
      </c>
      <c r="D14487" s="1012"/>
      <c r="I14487" s="1011" t="str">
        <f>CONCATENATE("&lt;numeroLigne&gt;",C14487,"&lt;/numeroLigne&gt;")</f>
        <v>&lt;numeroLigne&gt;126&lt;/numeroLigne&gt;</v>
      </c>
      <c r="K14487" s="1013"/>
    </row>
    <row r="14488" spans="1:11" s="1011" customFormat="1" ht="15" x14ac:dyDescent="0.25">
      <c r="A14488" s="859">
        <f t="shared" si="324"/>
        <v>14487</v>
      </c>
      <c r="B14488" s="845" t="s">
        <v>2564</v>
      </c>
      <c r="C14488" s="1007">
        <f t="shared" si="323"/>
        <v>126</v>
      </c>
      <c r="D14488" s="1016"/>
      <c r="E14488" s="1017"/>
      <c r="F14488" s="1017"/>
      <c r="G14488" s="1017"/>
      <c r="H14488" s="1017" t="s">
        <v>1010</v>
      </c>
      <c r="I14488" s="1017"/>
      <c r="J14488" s="1017"/>
      <c r="K14488" s="1018"/>
    </row>
    <row r="14489" spans="1:11" s="1011" customFormat="1" ht="15" x14ac:dyDescent="0.25">
      <c r="A14489" s="859">
        <f t="shared" si="324"/>
        <v>14488</v>
      </c>
      <c r="B14489" s="845" t="s">
        <v>2564</v>
      </c>
      <c r="C14489" s="1007">
        <f t="shared" si="323"/>
        <v>127</v>
      </c>
      <c r="D14489" s="1008"/>
      <c r="E14489" s="1009"/>
      <c r="F14489" s="1009"/>
      <c r="G14489" s="1009"/>
      <c r="H14489" s="1009" t="s">
        <v>1007</v>
      </c>
      <c r="I14489" s="1009"/>
      <c r="J14489" s="1009"/>
      <c r="K14489" s="1010"/>
    </row>
    <row r="14490" spans="1:11" s="1011" customFormat="1" ht="15" x14ac:dyDescent="0.25">
      <c r="A14490" s="859">
        <f t="shared" si="324"/>
        <v>14489</v>
      </c>
      <c r="B14490" s="845" t="s">
        <v>2564</v>
      </c>
      <c r="C14490" s="1007">
        <f t="shared" si="323"/>
        <v>127</v>
      </c>
      <c r="D14490" s="1012"/>
      <c r="I14490" s="1011" t="s">
        <v>2174</v>
      </c>
      <c r="K14490" s="1013"/>
    </row>
    <row r="14491" spans="1:11" s="1011" customFormat="1" ht="15" x14ac:dyDescent="0.25">
      <c r="A14491" s="859">
        <f t="shared" si="324"/>
        <v>14490</v>
      </c>
      <c r="B14491" s="845" t="s">
        <v>2564</v>
      </c>
      <c r="C14491" s="1007">
        <f t="shared" si="323"/>
        <v>127</v>
      </c>
      <c r="D14491" s="1014"/>
      <c r="I14491" s="1011" t="str">
        <f>CONCATENATE("&lt;valeur&gt;",VLOOKUP(C14491,'T16 Amort'!A:K,2,0),"&lt;/valeur&gt;")</f>
        <v>&lt;valeur&gt;&lt;/valeur&gt;</v>
      </c>
      <c r="K14491" s="1013"/>
    </row>
    <row r="14492" spans="1:11" s="1011" customFormat="1" ht="15" x14ac:dyDescent="0.25">
      <c r="A14492" s="859">
        <f t="shared" si="324"/>
        <v>14491</v>
      </c>
      <c r="B14492" s="845" t="s">
        <v>2564</v>
      </c>
      <c r="C14492" s="1007">
        <f t="shared" si="323"/>
        <v>127</v>
      </c>
      <c r="D14492" s="1014"/>
      <c r="I14492" s="1011" t="str">
        <f>CONCATENATE("&lt;numeroLigne&gt;",C14492,"&lt;/numeroLigne&gt;")</f>
        <v>&lt;numeroLigne&gt;127&lt;/numeroLigne&gt;</v>
      </c>
      <c r="K14492" s="1013"/>
    </row>
    <row r="14493" spans="1:11" s="1011" customFormat="1" ht="15" x14ac:dyDescent="0.25">
      <c r="A14493" s="859">
        <f t="shared" si="324"/>
        <v>14492</v>
      </c>
      <c r="B14493" s="845" t="s">
        <v>2564</v>
      </c>
      <c r="C14493" s="1007">
        <f t="shared" si="323"/>
        <v>127</v>
      </c>
      <c r="D14493" s="1012"/>
      <c r="H14493" s="1011" t="s">
        <v>1010</v>
      </c>
      <c r="K14493" s="1013"/>
    </row>
    <row r="14494" spans="1:11" s="1011" customFormat="1" ht="15" x14ac:dyDescent="0.25">
      <c r="A14494" s="859">
        <f t="shared" si="324"/>
        <v>14493</v>
      </c>
      <c r="B14494" s="845" t="s">
        <v>2564</v>
      </c>
      <c r="C14494" s="1007">
        <f t="shared" si="323"/>
        <v>127</v>
      </c>
      <c r="D14494" s="1015"/>
      <c r="H14494" s="1011" t="s">
        <v>1007</v>
      </c>
      <c r="K14494" s="1013"/>
    </row>
    <row r="14495" spans="1:11" s="1011" customFormat="1" ht="15" x14ac:dyDescent="0.25">
      <c r="A14495" s="859">
        <f t="shared" si="324"/>
        <v>14494</v>
      </c>
      <c r="B14495" s="845" t="s">
        <v>2564</v>
      </c>
      <c r="C14495" s="1007">
        <f t="shared" si="323"/>
        <v>127</v>
      </c>
      <c r="D14495" s="1012"/>
      <c r="I14495" s="1011" t="s">
        <v>2175</v>
      </c>
      <c r="K14495" s="1013"/>
    </row>
    <row r="14496" spans="1:11" s="1011" customFormat="1" ht="15" x14ac:dyDescent="0.25">
      <c r="A14496" s="859">
        <f t="shared" si="324"/>
        <v>14495</v>
      </c>
      <c r="B14496" s="845" t="s">
        <v>2564</v>
      </c>
      <c r="C14496" s="1007">
        <f t="shared" si="323"/>
        <v>127</v>
      </c>
      <c r="D14496" s="1012"/>
      <c r="I14496" s="1011" t="str">
        <f>CONCATENATE("&lt;valeur&gt;",VLOOKUP(C14496,'T16 Amort'!A:K,3,0),"&lt;/valeur&gt;")</f>
        <v>&lt;valeur&gt;&lt;/valeur&gt;</v>
      </c>
      <c r="K14496" s="1013"/>
    </row>
    <row r="14497" spans="1:11" s="1011" customFormat="1" ht="15" x14ac:dyDescent="0.25">
      <c r="A14497" s="859">
        <f t="shared" si="324"/>
        <v>14496</v>
      </c>
      <c r="B14497" s="845" t="s">
        <v>2564</v>
      </c>
      <c r="C14497" s="1007">
        <f t="shared" si="323"/>
        <v>127</v>
      </c>
      <c r="D14497" s="1014"/>
      <c r="I14497" s="1011" t="str">
        <f>CONCATENATE("&lt;numeroLigne&gt;",C14497,"&lt;/numeroLigne&gt;")</f>
        <v>&lt;numeroLigne&gt;127&lt;/numeroLigne&gt;</v>
      </c>
      <c r="K14497" s="1013"/>
    </row>
    <row r="14498" spans="1:11" s="1011" customFormat="1" ht="15" x14ac:dyDescent="0.25">
      <c r="A14498" s="859">
        <f t="shared" si="324"/>
        <v>14497</v>
      </c>
      <c r="B14498" s="845" t="s">
        <v>2564</v>
      </c>
      <c r="C14498" s="1007">
        <f t="shared" si="323"/>
        <v>127</v>
      </c>
      <c r="D14498" s="1014"/>
      <c r="H14498" s="1011" t="s">
        <v>1010</v>
      </c>
      <c r="K14498" s="1013"/>
    </row>
    <row r="14499" spans="1:11" s="1011" customFormat="1" ht="15" x14ac:dyDescent="0.25">
      <c r="A14499" s="859">
        <f t="shared" si="324"/>
        <v>14498</v>
      </c>
      <c r="B14499" s="845" t="s">
        <v>2564</v>
      </c>
      <c r="C14499" s="1007">
        <f t="shared" si="323"/>
        <v>127</v>
      </c>
      <c r="D14499" s="1012"/>
      <c r="H14499" s="1011" t="s">
        <v>1007</v>
      </c>
      <c r="K14499" s="1013"/>
    </row>
    <row r="14500" spans="1:11" s="1011" customFormat="1" ht="15" x14ac:dyDescent="0.25">
      <c r="A14500" s="859">
        <f t="shared" si="324"/>
        <v>14499</v>
      </c>
      <c r="B14500" s="845" t="s">
        <v>2564</v>
      </c>
      <c r="C14500" s="1007">
        <f t="shared" si="323"/>
        <v>127</v>
      </c>
      <c r="D14500" s="1015"/>
      <c r="I14500" s="1011" t="s">
        <v>2176</v>
      </c>
      <c r="K14500" s="1013"/>
    </row>
    <row r="14501" spans="1:11" s="1011" customFormat="1" ht="15" x14ac:dyDescent="0.25">
      <c r="A14501" s="859">
        <f t="shared" si="324"/>
        <v>14500</v>
      </c>
      <c r="B14501" s="845" t="s">
        <v>2564</v>
      </c>
      <c r="C14501" s="1007">
        <f t="shared" si="323"/>
        <v>127</v>
      </c>
      <c r="D14501" s="1012"/>
      <c r="I14501" s="1011" t="str">
        <f>CONCATENATE("&lt;valeur&gt;",VLOOKUP(C14501,'T16 Amort'!A:K,4,0),"&lt;/valeur&gt;")</f>
        <v>&lt;valeur&gt;&lt;/valeur&gt;</v>
      </c>
      <c r="K14501" s="1013"/>
    </row>
    <row r="14502" spans="1:11" s="1011" customFormat="1" ht="15" x14ac:dyDescent="0.25">
      <c r="A14502" s="859">
        <f t="shared" si="324"/>
        <v>14501</v>
      </c>
      <c r="B14502" s="845" t="s">
        <v>2564</v>
      </c>
      <c r="C14502" s="1007">
        <f t="shared" si="323"/>
        <v>127</v>
      </c>
      <c r="D14502" s="1012"/>
      <c r="I14502" s="1011" t="str">
        <f>CONCATENATE("&lt;numeroLigne&gt;",C14502,"&lt;/numeroLigne&gt;")</f>
        <v>&lt;numeroLigne&gt;127&lt;/numeroLigne&gt;</v>
      </c>
      <c r="K14502" s="1013"/>
    </row>
    <row r="14503" spans="1:11" s="1011" customFormat="1" ht="15" x14ac:dyDescent="0.25">
      <c r="A14503" s="859">
        <f t="shared" si="324"/>
        <v>14502</v>
      </c>
      <c r="B14503" s="845" t="s">
        <v>2564</v>
      </c>
      <c r="C14503" s="1007">
        <f t="shared" si="323"/>
        <v>127</v>
      </c>
      <c r="D14503" s="1014"/>
      <c r="H14503" s="1011" t="s">
        <v>1010</v>
      </c>
      <c r="K14503" s="1013"/>
    </row>
    <row r="14504" spans="1:11" s="1011" customFormat="1" ht="15" x14ac:dyDescent="0.25">
      <c r="A14504" s="859">
        <f t="shared" si="324"/>
        <v>14503</v>
      </c>
      <c r="B14504" s="845" t="s">
        <v>2564</v>
      </c>
      <c r="C14504" s="1007">
        <f t="shared" si="323"/>
        <v>127</v>
      </c>
      <c r="D14504" s="1014"/>
      <c r="H14504" s="1011" t="s">
        <v>1007</v>
      </c>
      <c r="K14504" s="1013"/>
    </row>
    <row r="14505" spans="1:11" s="1011" customFormat="1" ht="15" x14ac:dyDescent="0.25">
      <c r="A14505" s="859">
        <f t="shared" si="324"/>
        <v>14504</v>
      </c>
      <c r="B14505" s="845" t="s">
        <v>2564</v>
      </c>
      <c r="C14505" s="1007">
        <f t="shared" si="323"/>
        <v>127</v>
      </c>
      <c r="D14505" s="1012"/>
      <c r="I14505" s="1011" t="s">
        <v>2177</v>
      </c>
      <c r="K14505" s="1013"/>
    </row>
    <row r="14506" spans="1:11" s="1011" customFormat="1" ht="15" x14ac:dyDescent="0.25">
      <c r="A14506" s="859">
        <f t="shared" si="324"/>
        <v>14505</v>
      </c>
      <c r="B14506" s="845" t="s">
        <v>2564</v>
      </c>
      <c r="C14506" s="1007">
        <f t="shared" si="323"/>
        <v>127</v>
      </c>
      <c r="D14506" s="1015"/>
      <c r="I14506" s="1011" t="str">
        <f>CONCATENATE("&lt;valeur&gt;",VLOOKUP(C14506,'T16 Amort'!A:K,5,0),"&lt;/valeur&gt;")</f>
        <v>&lt;valeur&gt;&lt;/valeur&gt;</v>
      </c>
      <c r="K14506" s="1013"/>
    </row>
    <row r="14507" spans="1:11" s="1011" customFormat="1" ht="15" x14ac:dyDescent="0.25">
      <c r="A14507" s="859">
        <f t="shared" si="324"/>
        <v>14506</v>
      </c>
      <c r="B14507" s="845" t="s">
        <v>2564</v>
      </c>
      <c r="C14507" s="1007">
        <f t="shared" si="323"/>
        <v>127</v>
      </c>
      <c r="D14507" s="1012"/>
      <c r="I14507" s="1011" t="str">
        <f>CONCATENATE("&lt;numeroLigne&gt;",C14507,"&lt;/numeroLigne&gt;")</f>
        <v>&lt;numeroLigne&gt;127&lt;/numeroLigne&gt;</v>
      </c>
      <c r="K14507" s="1013"/>
    </row>
    <row r="14508" spans="1:11" s="1011" customFormat="1" ht="15" x14ac:dyDescent="0.25">
      <c r="A14508" s="859">
        <f t="shared" si="324"/>
        <v>14507</v>
      </c>
      <c r="B14508" s="845" t="s">
        <v>2564</v>
      </c>
      <c r="C14508" s="1007">
        <f t="shared" si="323"/>
        <v>127</v>
      </c>
      <c r="D14508" s="1012"/>
      <c r="H14508" s="1011" t="s">
        <v>1010</v>
      </c>
      <c r="K14508" s="1013"/>
    </row>
    <row r="14509" spans="1:11" s="1011" customFormat="1" ht="15" x14ac:dyDescent="0.25">
      <c r="A14509" s="859">
        <f t="shared" si="324"/>
        <v>14508</v>
      </c>
      <c r="B14509" s="845" t="s">
        <v>2564</v>
      </c>
      <c r="C14509" s="1007">
        <f t="shared" si="323"/>
        <v>127</v>
      </c>
      <c r="D14509" s="1014"/>
      <c r="H14509" s="1011" t="s">
        <v>1007</v>
      </c>
      <c r="K14509" s="1013"/>
    </row>
    <row r="14510" spans="1:11" s="1011" customFormat="1" ht="15" x14ac:dyDescent="0.25">
      <c r="A14510" s="859">
        <f t="shared" si="324"/>
        <v>14509</v>
      </c>
      <c r="B14510" s="845" t="s">
        <v>2564</v>
      </c>
      <c r="C14510" s="1007">
        <f t="shared" si="323"/>
        <v>127</v>
      </c>
      <c r="D14510" s="1014"/>
      <c r="I14510" s="1011" t="s">
        <v>2178</v>
      </c>
      <c r="K14510" s="1013"/>
    </row>
    <row r="14511" spans="1:11" s="1011" customFormat="1" ht="15" x14ac:dyDescent="0.25">
      <c r="A14511" s="859">
        <f t="shared" si="324"/>
        <v>14510</v>
      </c>
      <c r="B14511" s="845" t="s">
        <v>2564</v>
      </c>
      <c r="C14511" s="1007">
        <f t="shared" ref="C14511:C14574" si="325">C14461+1</f>
        <v>127</v>
      </c>
      <c r="D14511" s="1012"/>
      <c r="I14511" s="1011" t="str">
        <f>CONCATENATE("&lt;valeur&gt;",VLOOKUP(C14511,'T16 Amort'!A:K,6,0),"&lt;/valeur&gt;")</f>
        <v>&lt;valeur&gt;&lt;/valeur&gt;</v>
      </c>
      <c r="K14511" s="1013"/>
    </row>
    <row r="14512" spans="1:11" s="1011" customFormat="1" ht="15" x14ac:dyDescent="0.25">
      <c r="A14512" s="859">
        <f t="shared" si="324"/>
        <v>14511</v>
      </c>
      <c r="B14512" s="845" t="s">
        <v>2564</v>
      </c>
      <c r="C14512" s="1007">
        <f t="shared" si="325"/>
        <v>127</v>
      </c>
      <c r="D14512" s="1015"/>
      <c r="I14512" s="1011" t="str">
        <f>CONCATENATE("&lt;numeroLigne&gt;",C14512,"&lt;/numeroLigne&gt;")</f>
        <v>&lt;numeroLigne&gt;127&lt;/numeroLigne&gt;</v>
      </c>
      <c r="K14512" s="1013"/>
    </row>
    <row r="14513" spans="1:11" s="1011" customFormat="1" ht="15" x14ac:dyDescent="0.25">
      <c r="A14513" s="859">
        <f t="shared" si="324"/>
        <v>14512</v>
      </c>
      <c r="B14513" s="845" t="s">
        <v>2564</v>
      </c>
      <c r="C14513" s="1007">
        <f t="shared" si="325"/>
        <v>127</v>
      </c>
      <c r="D14513" s="1012"/>
      <c r="H14513" s="1011" t="s">
        <v>1010</v>
      </c>
      <c r="K14513" s="1013"/>
    </row>
    <row r="14514" spans="1:11" s="1011" customFormat="1" ht="15" x14ac:dyDescent="0.25">
      <c r="A14514" s="859">
        <f t="shared" si="324"/>
        <v>14513</v>
      </c>
      <c r="B14514" s="845" t="s">
        <v>2564</v>
      </c>
      <c r="C14514" s="1007">
        <f t="shared" si="325"/>
        <v>127</v>
      </c>
      <c r="D14514" s="1012"/>
      <c r="H14514" s="1011" t="s">
        <v>1007</v>
      </c>
      <c r="K14514" s="1013"/>
    </row>
    <row r="14515" spans="1:11" s="1011" customFormat="1" ht="15" x14ac:dyDescent="0.25">
      <c r="A14515" s="859">
        <f t="shared" si="324"/>
        <v>14514</v>
      </c>
      <c r="B14515" s="845" t="s">
        <v>2564</v>
      </c>
      <c r="C14515" s="1007">
        <f t="shared" si="325"/>
        <v>127</v>
      </c>
      <c r="D14515" s="1014"/>
      <c r="I14515" s="1011" t="s">
        <v>2179</v>
      </c>
      <c r="K14515" s="1013"/>
    </row>
    <row r="14516" spans="1:11" s="1011" customFormat="1" ht="15" x14ac:dyDescent="0.25">
      <c r="A14516" s="859">
        <f t="shared" si="324"/>
        <v>14515</v>
      </c>
      <c r="B14516" s="845" t="s">
        <v>2564</v>
      </c>
      <c r="C14516" s="1007">
        <f t="shared" si="325"/>
        <v>127</v>
      </c>
      <c r="D14516" s="1014"/>
      <c r="I14516" s="1011" t="str">
        <f>CONCATENATE("&lt;valeur&gt;",VLOOKUP(C14516,'T16 Amort'!A:K,7,0),"&lt;/valeur&gt;")</f>
        <v>&lt;valeur&gt;&lt;/valeur&gt;</v>
      </c>
      <c r="K14516" s="1013"/>
    </row>
    <row r="14517" spans="1:11" s="1011" customFormat="1" ht="15" x14ac:dyDescent="0.25">
      <c r="A14517" s="859">
        <f t="shared" si="324"/>
        <v>14516</v>
      </c>
      <c r="B14517" s="845" t="s">
        <v>2564</v>
      </c>
      <c r="C14517" s="1007">
        <f t="shared" si="325"/>
        <v>127</v>
      </c>
      <c r="D14517" s="1012"/>
      <c r="I14517" s="1011" t="str">
        <f>CONCATENATE("&lt;numeroLigne&gt;",C14517,"&lt;/numeroLigne&gt;")</f>
        <v>&lt;numeroLigne&gt;127&lt;/numeroLigne&gt;</v>
      </c>
      <c r="K14517" s="1013"/>
    </row>
    <row r="14518" spans="1:11" s="1011" customFormat="1" ht="15" x14ac:dyDescent="0.25">
      <c r="A14518" s="859">
        <f t="shared" si="324"/>
        <v>14517</v>
      </c>
      <c r="B14518" s="845" t="s">
        <v>2564</v>
      </c>
      <c r="C14518" s="1007">
        <f t="shared" si="325"/>
        <v>127</v>
      </c>
      <c r="D14518" s="1015"/>
      <c r="H14518" s="1011" t="s">
        <v>1010</v>
      </c>
      <c r="K14518" s="1013"/>
    </row>
    <row r="14519" spans="1:11" s="1011" customFormat="1" ht="15" x14ac:dyDescent="0.25">
      <c r="A14519" s="859">
        <f t="shared" si="324"/>
        <v>14518</v>
      </c>
      <c r="B14519" s="845" t="s">
        <v>2564</v>
      </c>
      <c r="C14519" s="1007">
        <f t="shared" si="325"/>
        <v>127</v>
      </c>
      <c r="D14519" s="1012"/>
      <c r="H14519" s="1011" t="s">
        <v>1007</v>
      </c>
      <c r="K14519" s="1013"/>
    </row>
    <row r="14520" spans="1:11" s="1011" customFormat="1" ht="15" x14ac:dyDescent="0.25">
      <c r="A14520" s="859">
        <f t="shared" si="324"/>
        <v>14519</v>
      </c>
      <c r="B14520" s="845" t="s">
        <v>2564</v>
      </c>
      <c r="C14520" s="1007">
        <f t="shared" si="325"/>
        <v>127</v>
      </c>
      <c r="D14520" s="1012"/>
      <c r="I14520" s="1011" t="s">
        <v>2180</v>
      </c>
      <c r="K14520" s="1013"/>
    </row>
    <row r="14521" spans="1:11" s="1011" customFormat="1" ht="15" x14ac:dyDescent="0.25">
      <c r="A14521" s="859">
        <f t="shared" si="324"/>
        <v>14520</v>
      </c>
      <c r="B14521" s="845" t="s">
        <v>2564</v>
      </c>
      <c r="C14521" s="1007">
        <f t="shared" si="325"/>
        <v>127</v>
      </c>
      <c r="D14521" s="1014"/>
      <c r="I14521" s="1011" t="str">
        <f>CONCATENATE("&lt;valeur&gt;",VLOOKUP(C14521,'T16 Amort'!A:K,8,0),"&lt;/valeur&gt;")</f>
        <v>&lt;valeur&gt;&lt;/valeur&gt;</v>
      </c>
      <c r="K14521" s="1013"/>
    </row>
    <row r="14522" spans="1:11" s="1011" customFormat="1" ht="15" x14ac:dyDescent="0.25">
      <c r="A14522" s="859">
        <f t="shared" si="324"/>
        <v>14521</v>
      </c>
      <c r="B14522" s="845" t="s">
        <v>2564</v>
      </c>
      <c r="C14522" s="1007">
        <f t="shared" si="325"/>
        <v>127</v>
      </c>
      <c r="D14522" s="1014"/>
      <c r="I14522" s="1011" t="str">
        <f>CONCATENATE("&lt;numeroLigne&gt;",C14522,"&lt;/numeroLigne&gt;")</f>
        <v>&lt;numeroLigne&gt;127&lt;/numeroLigne&gt;</v>
      </c>
      <c r="K14522" s="1013"/>
    </row>
    <row r="14523" spans="1:11" s="1011" customFormat="1" ht="15" x14ac:dyDescent="0.25">
      <c r="A14523" s="859">
        <f t="shared" si="324"/>
        <v>14522</v>
      </c>
      <c r="B14523" s="845" t="s">
        <v>2564</v>
      </c>
      <c r="C14523" s="1007">
        <f t="shared" si="325"/>
        <v>127</v>
      </c>
      <c r="D14523" s="1012"/>
      <c r="H14523" s="1011" t="s">
        <v>1010</v>
      </c>
      <c r="K14523" s="1013"/>
    </row>
    <row r="14524" spans="1:11" s="1011" customFormat="1" ht="15" x14ac:dyDescent="0.25">
      <c r="A14524" s="859">
        <f t="shared" si="324"/>
        <v>14523</v>
      </c>
      <c r="B14524" s="845" t="s">
        <v>2564</v>
      </c>
      <c r="C14524" s="1007">
        <f t="shared" si="325"/>
        <v>127</v>
      </c>
      <c r="D14524" s="1015"/>
      <c r="H14524" s="1011" t="s">
        <v>1007</v>
      </c>
      <c r="K14524" s="1013"/>
    </row>
    <row r="14525" spans="1:11" s="1011" customFormat="1" ht="15" x14ac:dyDescent="0.25">
      <c r="A14525" s="859">
        <f t="shared" si="324"/>
        <v>14524</v>
      </c>
      <c r="B14525" s="845" t="s">
        <v>2564</v>
      </c>
      <c r="C14525" s="1007">
        <f t="shared" si="325"/>
        <v>127</v>
      </c>
      <c r="D14525" s="1012"/>
      <c r="I14525" s="1011" t="s">
        <v>2181</v>
      </c>
      <c r="K14525" s="1013"/>
    </row>
    <row r="14526" spans="1:11" s="1011" customFormat="1" ht="15" x14ac:dyDescent="0.25">
      <c r="A14526" s="859">
        <f t="shared" si="324"/>
        <v>14525</v>
      </c>
      <c r="B14526" s="845" t="s">
        <v>2564</v>
      </c>
      <c r="C14526" s="1007">
        <f t="shared" si="325"/>
        <v>127</v>
      </c>
      <c r="D14526" s="1012"/>
      <c r="I14526" s="1011" t="str">
        <f>CONCATENATE("&lt;valeur&gt;",VLOOKUP(C14526,'T16 Amort'!A:K,9,0),"&lt;/valeur&gt;")</f>
        <v>&lt;valeur&gt;&lt;/valeur&gt;</v>
      </c>
      <c r="K14526" s="1013"/>
    </row>
    <row r="14527" spans="1:11" s="1011" customFormat="1" ht="15" x14ac:dyDescent="0.25">
      <c r="A14527" s="859">
        <f t="shared" si="324"/>
        <v>14526</v>
      </c>
      <c r="B14527" s="845" t="s">
        <v>2564</v>
      </c>
      <c r="C14527" s="1007">
        <f t="shared" si="325"/>
        <v>127</v>
      </c>
      <c r="D14527" s="1014"/>
      <c r="I14527" s="1011" t="str">
        <f>CONCATENATE("&lt;numeroLigne&gt;",C14527,"&lt;/numeroLigne&gt;")</f>
        <v>&lt;numeroLigne&gt;127&lt;/numeroLigne&gt;</v>
      </c>
      <c r="K14527" s="1013"/>
    </row>
    <row r="14528" spans="1:11" s="1011" customFormat="1" ht="15" x14ac:dyDescent="0.25">
      <c r="A14528" s="859">
        <f t="shared" si="324"/>
        <v>14527</v>
      </c>
      <c r="B14528" s="845" t="s">
        <v>2564</v>
      </c>
      <c r="C14528" s="1007">
        <f t="shared" si="325"/>
        <v>127</v>
      </c>
      <c r="D14528" s="1014"/>
      <c r="H14528" s="1011" t="s">
        <v>1010</v>
      </c>
      <c r="K14528" s="1013"/>
    </row>
    <row r="14529" spans="1:11" s="1011" customFormat="1" ht="15" x14ac:dyDescent="0.25">
      <c r="A14529" s="859">
        <f t="shared" si="324"/>
        <v>14528</v>
      </c>
      <c r="B14529" s="845" t="s">
        <v>2564</v>
      </c>
      <c r="C14529" s="1007">
        <f t="shared" si="325"/>
        <v>127</v>
      </c>
      <c r="D14529" s="1012"/>
      <c r="H14529" s="1011" t="s">
        <v>1007</v>
      </c>
      <c r="K14529" s="1013"/>
    </row>
    <row r="14530" spans="1:11" s="1011" customFormat="1" ht="15" x14ac:dyDescent="0.25">
      <c r="A14530" s="859">
        <f t="shared" si="324"/>
        <v>14529</v>
      </c>
      <c r="B14530" s="845" t="s">
        <v>2564</v>
      </c>
      <c r="C14530" s="1007">
        <f t="shared" si="325"/>
        <v>127</v>
      </c>
      <c r="D14530" s="1015"/>
      <c r="I14530" s="1011" t="s">
        <v>2182</v>
      </c>
      <c r="K14530" s="1013"/>
    </row>
    <row r="14531" spans="1:11" s="1011" customFormat="1" ht="15" x14ac:dyDescent="0.25">
      <c r="A14531" s="859">
        <f t="shared" si="324"/>
        <v>14530</v>
      </c>
      <c r="B14531" s="845" t="s">
        <v>2564</v>
      </c>
      <c r="C14531" s="1007">
        <f t="shared" si="325"/>
        <v>127</v>
      </c>
      <c r="D14531" s="1012"/>
      <c r="I14531" s="1011" t="str">
        <f>CONCATENATE("&lt;valeur&gt;",VLOOKUP(C14531,'T16 Amort'!A:K,10,0),"&lt;/valeur&gt;")</f>
        <v>&lt;valeur&gt;&lt;/valeur&gt;</v>
      </c>
      <c r="K14531" s="1013"/>
    </row>
    <row r="14532" spans="1:11" s="1011" customFormat="1" ht="15" x14ac:dyDescent="0.25">
      <c r="A14532" s="859">
        <f t="shared" ref="A14532:A14595" si="326">+A14531+1</f>
        <v>14531</v>
      </c>
      <c r="B14532" s="845" t="s">
        <v>2564</v>
      </c>
      <c r="C14532" s="1007">
        <f t="shared" si="325"/>
        <v>127</v>
      </c>
      <c r="D14532" s="1012"/>
      <c r="I14532" s="1011" t="str">
        <f>CONCATENATE("&lt;numeroLigne&gt;",C14532,"&lt;/numeroLigne&gt;")</f>
        <v>&lt;numeroLigne&gt;127&lt;/numeroLigne&gt;</v>
      </c>
      <c r="K14532" s="1013"/>
    </row>
    <row r="14533" spans="1:11" s="1011" customFormat="1" ht="15" x14ac:dyDescent="0.25">
      <c r="A14533" s="859">
        <f t="shared" si="326"/>
        <v>14532</v>
      </c>
      <c r="B14533" s="845" t="s">
        <v>2564</v>
      </c>
      <c r="C14533" s="1007">
        <f t="shared" si="325"/>
        <v>127</v>
      </c>
      <c r="D14533" s="1014"/>
      <c r="H14533" s="1011" t="s">
        <v>1010</v>
      </c>
      <c r="K14533" s="1013"/>
    </row>
    <row r="14534" spans="1:11" s="1011" customFormat="1" ht="15" x14ac:dyDescent="0.25">
      <c r="A14534" s="859">
        <f t="shared" si="326"/>
        <v>14533</v>
      </c>
      <c r="B14534" s="845" t="s">
        <v>2564</v>
      </c>
      <c r="C14534" s="1007">
        <f t="shared" si="325"/>
        <v>127</v>
      </c>
      <c r="D14534" s="1014"/>
      <c r="H14534" s="1011" t="s">
        <v>1007</v>
      </c>
      <c r="K14534" s="1013"/>
    </row>
    <row r="14535" spans="1:11" s="1011" customFormat="1" ht="15" x14ac:dyDescent="0.25">
      <c r="A14535" s="859">
        <f t="shared" si="326"/>
        <v>14534</v>
      </c>
      <c r="B14535" s="845" t="s">
        <v>2564</v>
      </c>
      <c r="C14535" s="1007">
        <f t="shared" si="325"/>
        <v>127</v>
      </c>
      <c r="D14535" s="1012"/>
      <c r="I14535" s="1011" t="s">
        <v>2183</v>
      </c>
      <c r="K14535" s="1013"/>
    </row>
    <row r="14536" spans="1:11" s="1011" customFormat="1" ht="15" x14ac:dyDescent="0.25">
      <c r="A14536" s="859">
        <f t="shared" si="326"/>
        <v>14535</v>
      </c>
      <c r="B14536" s="845" t="s">
        <v>2564</v>
      </c>
      <c r="C14536" s="1007">
        <f t="shared" si="325"/>
        <v>127</v>
      </c>
      <c r="D14536" s="1015"/>
      <c r="I14536" s="1011" t="str">
        <f>CONCATENATE("&lt;valeur&gt;",VLOOKUP(C14536,'T16 Amort'!A:K,11,0),"&lt;/valeur&gt;")</f>
        <v>&lt;valeur&gt;&lt;/valeur&gt;</v>
      </c>
      <c r="K14536" s="1013"/>
    </row>
    <row r="14537" spans="1:11" s="1011" customFormat="1" ht="15" x14ac:dyDescent="0.25">
      <c r="A14537" s="859">
        <f t="shared" si="326"/>
        <v>14536</v>
      </c>
      <c r="B14537" s="845" t="s">
        <v>2564</v>
      </c>
      <c r="C14537" s="1007">
        <f t="shared" si="325"/>
        <v>127</v>
      </c>
      <c r="D14537" s="1012"/>
      <c r="I14537" s="1011" t="str">
        <f>CONCATENATE("&lt;numeroLigne&gt;",C14537,"&lt;/numeroLigne&gt;")</f>
        <v>&lt;numeroLigne&gt;127&lt;/numeroLigne&gt;</v>
      </c>
      <c r="K14537" s="1013"/>
    </row>
    <row r="14538" spans="1:11" s="1011" customFormat="1" ht="15" x14ac:dyDescent="0.25">
      <c r="A14538" s="859">
        <f t="shared" si="326"/>
        <v>14537</v>
      </c>
      <c r="B14538" s="845" t="s">
        <v>2564</v>
      </c>
      <c r="C14538" s="1007">
        <f t="shared" si="325"/>
        <v>127</v>
      </c>
      <c r="D14538" s="1016"/>
      <c r="E14538" s="1017"/>
      <c r="F14538" s="1017"/>
      <c r="G14538" s="1017"/>
      <c r="H14538" s="1017" t="s">
        <v>1010</v>
      </c>
      <c r="I14538" s="1017"/>
      <c r="J14538" s="1017"/>
      <c r="K14538" s="1018"/>
    </row>
    <row r="14539" spans="1:11" s="1011" customFormat="1" ht="15" x14ac:dyDescent="0.25">
      <c r="A14539" s="859">
        <f t="shared" si="326"/>
        <v>14538</v>
      </c>
      <c r="B14539" s="845" t="s">
        <v>2564</v>
      </c>
      <c r="C14539" s="1007">
        <f t="shared" si="325"/>
        <v>128</v>
      </c>
      <c r="D14539" s="1008"/>
      <c r="E14539" s="1009"/>
      <c r="F14539" s="1009"/>
      <c r="G14539" s="1009"/>
      <c r="H14539" s="1009" t="s">
        <v>1007</v>
      </c>
      <c r="I14539" s="1009"/>
      <c r="J14539" s="1009"/>
      <c r="K14539" s="1010"/>
    </row>
    <row r="14540" spans="1:11" s="1011" customFormat="1" ht="15" x14ac:dyDescent="0.25">
      <c r="A14540" s="859">
        <f t="shared" si="326"/>
        <v>14539</v>
      </c>
      <c r="B14540" s="845" t="s">
        <v>2564</v>
      </c>
      <c r="C14540" s="1007">
        <f t="shared" si="325"/>
        <v>128</v>
      </c>
      <c r="D14540" s="1012"/>
      <c r="I14540" s="1011" t="s">
        <v>2174</v>
      </c>
      <c r="K14540" s="1013"/>
    </row>
    <row r="14541" spans="1:11" s="1011" customFormat="1" ht="15" x14ac:dyDescent="0.25">
      <c r="A14541" s="859">
        <f t="shared" si="326"/>
        <v>14540</v>
      </c>
      <c r="B14541" s="845" t="s">
        <v>2564</v>
      </c>
      <c r="C14541" s="1007">
        <f t="shared" si="325"/>
        <v>128</v>
      </c>
      <c r="D14541" s="1014"/>
      <c r="I14541" s="1011" t="str">
        <f>CONCATENATE("&lt;valeur&gt;",VLOOKUP(C14541,'T16 Amort'!A:K,2,0),"&lt;/valeur&gt;")</f>
        <v>&lt;valeur&gt;&lt;/valeur&gt;</v>
      </c>
      <c r="K14541" s="1013"/>
    </row>
    <row r="14542" spans="1:11" s="1011" customFormat="1" ht="15" x14ac:dyDescent="0.25">
      <c r="A14542" s="859">
        <f t="shared" si="326"/>
        <v>14541</v>
      </c>
      <c r="B14542" s="845" t="s">
        <v>2564</v>
      </c>
      <c r="C14542" s="1007">
        <f t="shared" si="325"/>
        <v>128</v>
      </c>
      <c r="D14542" s="1014"/>
      <c r="I14542" s="1011" t="str">
        <f>CONCATENATE("&lt;numeroLigne&gt;",C14542,"&lt;/numeroLigne&gt;")</f>
        <v>&lt;numeroLigne&gt;128&lt;/numeroLigne&gt;</v>
      </c>
      <c r="K14542" s="1013"/>
    </row>
    <row r="14543" spans="1:11" s="1011" customFormat="1" ht="15" x14ac:dyDescent="0.25">
      <c r="A14543" s="859">
        <f t="shared" si="326"/>
        <v>14542</v>
      </c>
      <c r="B14543" s="845" t="s">
        <v>2564</v>
      </c>
      <c r="C14543" s="1007">
        <f t="shared" si="325"/>
        <v>128</v>
      </c>
      <c r="D14543" s="1012"/>
      <c r="H14543" s="1011" t="s">
        <v>1010</v>
      </c>
      <c r="K14543" s="1013"/>
    </row>
    <row r="14544" spans="1:11" s="1011" customFormat="1" ht="15" x14ac:dyDescent="0.25">
      <c r="A14544" s="859">
        <f t="shared" si="326"/>
        <v>14543</v>
      </c>
      <c r="B14544" s="845" t="s">
        <v>2564</v>
      </c>
      <c r="C14544" s="1007">
        <f t="shared" si="325"/>
        <v>128</v>
      </c>
      <c r="D14544" s="1015"/>
      <c r="H14544" s="1011" t="s">
        <v>1007</v>
      </c>
      <c r="K14544" s="1013"/>
    </row>
    <row r="14545" spans="1:11" s="1011" customFormat="1" ht="15" x14ac:dyDescent="0.25">
      <c r="A14545" s="859">
        <f t="shared" si="326"/>
        <v>14544</v>
      </c>
      <c r="B14545" s="845" t="s">
        <v>2564</v>
      </c>
      <c r="C14545" s="1007">
        <f t="shared" si="325"/>
        <v>128</v>
      </c>
      <c r="D14545" s="1012"/>
      <c r="I14545" s="1011" t="s">
        <v>2175</v>
      </c>
      <c r="K14545" s="1013"/>
    </row>
    <row r="14546" spans="1:11" s="1011" customFormat="1" ht="15" x14ac:dyDescent="0.25">
      <c r="A14546" s="859">
        <f t="shared" si="326"/>
        <v>14545</v>
      </c>
      <c r="B14546" s="845" t="s">
        <v>2564</v>
      </c>
      <c r="C14546" s="1007">
        <f t="shared" si="325"/>
        <v>128</v>
      </c>
      <c r="D14546" s="1012"/>
      <c r="I14546" s="1011" t="str">
        <f>CONCATENATE("&lt;valeur&gt;",VLOOKUP(C14546,'T16 Amort'!A:K,3,0),"&lt;/valeur&gt;")</f>
        <v>&lt;valeur&gt;&lt;/valeur&gt;</v>
      </c>
      <c r="K14546" s="1013"/>
    </row>
    <row r="14547" spans="1:11" s="1011" customFormat="1" ht="15" x14ac:dyDescent="0.25">
      <c r="A14547" s="859">
        <f t="shared" si="326"/>
        <v>14546</v>
      </c>
      <c r="B14547" s="845" t="s">
        <v>2564</v>
      </c>
      <c r="C14547" s="1007">
        <f t="shared" si="325"/>
        <v>128</v>
      </c>
      <c r="D14547" s="1014"/>
      <c r="I14547" s="1011" t="str">
        <f>CONCATENATE("&lt;numeroLigne&gt;",C14547,"&lt;/numeroLigne&gt;")</f>
        <v>&lt;numeroLigne&gt;128&lt;/numeroLigne&gt;</v>
      </c>
      <c r="K14547" s="1013"/>
    </row>
    <row r="14548" spans="1:11" s="1011" customFormat="1" ht="15" x14ac:dyDescent="0.25">
      <c r="A14548" s="859">
        <f t="shared" si="326"/>
        <v>14547</v>
      </c>
      <c r="B14548" s="845" t="s">
        <v>2564</v>
      </c>
      <c r="C14548" s="1007">
        <f t="shared" si="325"/>
        <v>128</v>
      </c>
      <c r="D14548" s="1014"/>
      <c r="H14548" s="1011" t="s">
        <v>1010</v>
      </c>
      <c r="K14548" s="1013"/>
    </row>
    <row r="14549" spans="1:11" s="1011" customFormat="1" ht="15" x14ac:dyDescent="0.25">
      <c r="A14549" s="859">
        <f t="shared" si="326"/>
        <v>14548</v>
      </c>
      <c r="B14549" s="845" t="s">
        <v>2564</v>
      </c>
      <c r="C14549" s="1007">
        <f t="shared" si="325"/>
        <v>128</v>
      </c>
      <c r="D14549" s="1012"/>
      <c r="H14549" s="1011" t="s">
        <v>1007</v>
      </c>
      <c r="K14549" s="1013"/>
    </row>
    <row r="14550" spans="1:11" s="1011" customFormat="1" ht="15" x14ac:dyDescent="0.25">
      <c r="A14550" s="859">
        <f t="shared" si="326"/>
        <v>14549</v>
      </c>
      <c r="B14550" s="845" t="s">
        <v>2564</v>
      </c>
      <c r="C14550" s="1007">
        <f t="shared" si="325"/>
        <v>128</v>
      </c>
      <c r="D14550" s="1015"/>
      <c r="I14550" s="1011" t="s">
        <v>2176</v>
      </c>
      <c r="K14550" s="1013"/>
    </row>
    <row r="14551" spans="1:11" s="1011" customFormat="1" ht="15" x14ac:dyDescent="0.25">
      <c r="A14551" s="859">
        <f t="shared" si="326"/>
        <v>14550</v>
      </c>
      <c r="B14551" s="845" t="s">
        <v>2564</v>
      </c>
      <c r="C14551" s="1007">
        <f t="shared" si="325"/>
        <v>128</v>
      </c>
      <c r="D14551" s="1012"/>
      <c r="I14551" s="1011" t="str">
        <f>CONCATENATE("&lt;valeur&gt;",VLOOKUP(C14551,'T16 Amort'!A:K,4,0),"&lt;/valeur&gt;")</f>
        <v>&lt;valeur&gt;&lt;/valeur&gt;</v>
      </c>
      <c r="K14551" s="1013"/>
    </row>
    <row r="14552" spans="1:11" s="1011" customFormat="1" ht="15" x14ac:dyDescent="0.25">
      <c r="A14552" s="859">
        <f t="shared" si="326"/>
        <v>14551</v>
      </c>
      <c r="B14552" s="845" t="s">
        <v>2564</v>
      </c>
      <c r="C14552" s="1007">
        <f t="shared" si="325"/>
        <v>128</v>
      </c>
      <c r="D14552" s="1012"/>
      <c r="I14552" s="1011" t="str">
        <f>CONCATENATE("&lt;numeroLigne&gt;",C14552,"&lt;/numeroLigne&gt;")</f>
        <v>&lt;numeroLigne&gt;128&lt;/numeroLigne&gt;</v>
      </c>
      <c r="K14552" s="1013"/>
    </row>
    <row r="14553" spans="1:11" s="1011" customFormat="1" ht="15" x14ac:dyDescent="0.25">
      <c r="A14553" s="859">
        <f t="shared" si="326"/>
        <v>14552</v>
      </c>
      <c r="B14553" s="845" t="s">
        <v>2564</v>
      </c>
      <c r="C14553" s="1007">
        <f t="shared" si="325"/>
        <v>128</v>
      </c>
      <c r="D14553" s="1014"/>
      <c r="H14553" s="1011" t="s">
        <v>1010</v>
      </c>
      <c r="K14553" s="1013"/>
    </row>
    <row r="14554" spans="1:11" s="1011" customFormat="1" ht="15" x14ac:dyDescent="0.25">
      <c r="A14554" s="859">
        <f t="shared" si="326"/>
        <v>14553</v>
      </c>
      <c r="B14554" s="845" t="s">
        <v>2564</v>
      </c>
      <c r="C14554" s="1007">
        <f t="shared" si="325"/>
        <v>128</v>
      </c>
      <c r="D14554" s="1014"/>
      <c r="H14554" s="1011" t="s">
        <v>1007</v>
      </c>
      <c r="K14554" s="1013"/>
    </row>
    <row r="14555" spans="1:11" s="1011" customFormat="1" ht="15" x14ac:dyDescent="0.25">
      <c r="A14555" s="859">
        <f t="shared" si="326"/>
        <v>14554</v>
      </c>
      <c r="B14555" s="845" t="s">
        <v>2564</v>
      </c>
      <c r="C14555" s="1007">
        <f t="shared" si="325"/>
        <v>128</v>
      </c>
      <c r="D14555" s="1012"/>
      <c r="I14555" s="1011" t="s">
        <v>2177</v>
      </c>
      <c r="K14555" s="1013"/>
    </row>
    <row r="14556" spans="1:11" s="1011" customFormat="1" ht="15" x14ac:dyDescent="0.25">
      <c r="A14556" s="859">
        <f t="shared" si="326"/>
        <v>14555</v>
      </c>
      <c r="B14556" s="845" t="s">
        <v>2564</v>
      </c>
      <c r="C14556" s="1007">
        <f t="shared" si="325"/>
        <v>128</v>
      </c>
      <c r="D14556" s="1015"/>
      <c r="I14556" s="1011" t="str">
        <f>CONCATENATE("&lt;valeur&gt;",VLOOKUP(C14556,'T16 Amort'!A:K,5,0),"&lt;/valeur&gt;")</f>
        <v>&lt;valeur&gt;&lt;/valeur&gt;</v>
      </c>
      <c r="K14556" s="1013"/>
    </row>
    <row r="14557" spans="1:11" s="1011" customFormat="1" ht="15" x14ac:dyDescent="0.25">
      <c r="A14557" s="859">
        <f t="shared" si="326"/>
        <v>14556</v>
      </c>
      <c r="B14557" s="845" t="s">
        <v>2564</v>
      </c>
      <c r="C14557" s="1007">
        <f t="shared" si="325"/>
        <v>128</v>
      </c>
      <c r="D14557" s="1012"/>
      <c r="I14557" s="1011" t="str">
        <f>CONCATENATE("&lt;numeroLigne&gt;",C14557,"&lt;/numeroLigne&gt;")</f>
        <v>&lt;numeroLigne&gt;128&lt;/numeroLigne&gt;</v>
      </c>
      <c r="K14557" s="1013"/>
    </row>
    <row r="14558" spans="1:11" s="1011" customFormat="1" ht="15" x14ac:dyDescent="0.25">
      <c r="A14558" s="859">
        <f t="shared" si="326"/>
        <v>14557</v>
      </c>
      <c r="B14558" s="845" t="s">
        <v>2564</v>
      </c>
      <c r="C14558" s="1007">
        <f t="shared" si="325"/>
        <v>128</v>
      </c>
      <c r="D14558" s="1012"/>
      <c r="H14558" s="1011" t="s">
        <v>1010</v>
      </c>
      <c r="K14558" s="1013"/>
    </row>
    <row r="14559" spans="1:11" s="1011" customFormat="1" ht="15" x14ac:dyDescent="0.25">
      <c r="A14559" s="859">
        <f t="shared" si="326"/>
        <v>14558</v>
      </c>
      <c r="B14559" s="845" t="s">
        <v>2564</v>
      </c>
      <c r="C14559" s="1007">
        <f t="shared" si="325"/>
        <v>128</v>
      </c>
      <c r="D14559" s="1014"/>
      <c r="H14559" s="1011" t="s">
        <v>1007</v>
      </c>
      <c r="K14559" s="1013"/>
    </row>
    <row r="14560" spans="1:11" s="1011" customFormat="1" ht="15" x14ac:dyDescent="0.25">
      <c r="A14560" s="859">
        <f t="shared" si="326"/>
        <v>14559</v>
      </c>
      <c r="B14560" s="845" t="s">
        <v>2564</v>
      </c>
      <c r="C14560" s="1007">
        <f t="shared" si="325"/>
        <v>128</v>
      </c>
      <c r="D14560" s="1014"/>
      <c r="I14560" s="1011" t="s">
        <v>2178</v>
      </c>
      <c r="K14560" s="1013"/>
    </row>
    <row r="14561" spans="1:11" s="1011" customFormat="1" ht="15" x14ac:dyDescent="0.25">
      <c r="A14561" s="859">
        <f t="shared" si="326"/>
        <v>14560</v>
      </c>
      <c r="B14561" s="845" t="s">
        <v>2564</v>
      </c>
      <c r="C14561" s="1007">
        <f t="shared" si="325"/>
        <v>128</v>
      </c>
      <c r="D14561" s="1012"/>
      <c r="I14561" s="1011" t="str">
        <f>CONCATENATE("&lt;valeur&gt;",VLOOKUP(C14561,'T16 Amort'!A:K,6,0),"&lt;/valeur&gt;")</f>
        <v>&lt;valeur&gt;&lt;/valeur&gt;</v>
      </c>
      <c r="K14561" s="1013"/>
    </row>
    <row r="14562" spans="1:11" s="1011" customFormat="1" ht="15" x14ac:dyDescent="0.25">
      <c r="A14562" s="859">
        <f t="shared" si="326"/>
        <v>14561</v>
      </c>
      <c r="B14562" s="845" t="s">
        <v>2564</v>
      </c>
      <c r="C14562" s="1007">
        <f t="shared" si="325"/>
        <v>128</v>
      </c>
      <c r="D14562" s="1015"/>
      <c r="I14562" s="1011" t="str">
        <f>CONCATENATE("&lt;numeroLigne&gt;",C14562,"&lt;/numeroLigne&gt;")</f>
        <v>&lt;numeroLigne&gt;128&lt;/numeroLigne&gt;</v>
      </c>
      <c r="K14562" s="1013"/>
    </row>
    <row r="14563" spans="1:11" s="1011" customFormat="1" ht="15" x14ac:dyDescent="0.25">
      <c r="A14563" s="859">
        <f t="shared" si="326"/>
        <v>14562</v>
      </c>
      <c r="B14563" s="845" t="s">
        <v>2564</v>
      </c>
      <c r="C14563" s="1007">
        <f t="shared" si="325"/>
        <v>128</v>
      </c>
      <c r="D14563" s="1012"/>
      <c r="H14563" s="1011" t="s">
        <v>1010</v>
      </c>
      <c r="K14563" s="1013"/>
    </row>
    <row r="14564" spans="1:11" s="1011" customFormat="1" ht="15" x14ac:dyDescent="0.25">
      <c r="A14564" s="859">
        <f t="shared" si="326"/>
        <v>14563</v>
      </c>
      <c r="B14564" s="845" t="s">
        <v>2564</v>
      </c>
      <c r="C14564" s="1007">
        <f t="shared" si="325"/>
        <v>128</v>
      </c>
      <c r="D14564" s="1012"/>
      <c r="H14564" s="1011" t="s">
        <v>1007</v>
      </c>
      <c r="K14564" s="1013"/>
    </row>
    <row r="14565" spans="1:11" s="1011" customFormat="1" ht="15" x14ac:dyDescent="0.25">
      <c r="A14565" s="859">
        <f t="shared" si="326"/>
        <v>14564</v>
      </c>
      <c r="B14565" s="845" t="s">
        <v>2564</v>
      </c>
      <c r="C14565" s="1007">
        <f t="shared" si="325"/>
        <v>128</v>
      </c>
      <c r="D14565" s="1014"/>
      <c r="I14565" s="1011" t="s">
        <v>2179</v>
      </c>
      <c r="K14565" s="1013"/>
    </row>
    <row r="14566" spans="1:11" s="1011" customFormat="1" ht="15" x14ac:dyDescent="0.25">
      <c r="A14566" s="859">
        <f t="shared" si="326"/>
        <v>14565</v>
      </c>
      <c r="B14566" s="845" t="s">
        <v>2564</v>
      </c>
      <c r="C14566" s="1007">
        <f t="shared" si="325"/>
        <v>128</v>
      </c>
      <c r="D14566" s="1014"/>
      <c r="I14566" s="1011" t="str">
        <f>CONCATENATE("&lt;valeur&gt;",VLOOKUP(C14566,'T16 Amort'!A:K,7,0),"&lt;/valeur&gt;")</f>
        <v>&lt;valeur&gt;&lt;/valeur&gt;</v>
      </c>
      <c r="K14566" s="1013"/>
    </row>
    <row r="14567" spans="1:11" s="1011" customFormat="1" ht="15" x14ac:dyDescent="0.25">
      <c r="A14567" s="859">
        <f t="shared" si="326"/>
        <v>14566</v>
      </c>
      <c r="B14567" s="845" t="s">
        <v>2564</v>
      </c>
      <c r="C14567" s="1007">
        <f t="shared" si="325"/>
        <v>128</v>
      </c>
      <c r="D14567" s="1012"/>
      <c r="I14567" s="1011" t="str">
        <f>CONCATENATE("&lt;numeroLigne&gt;",C14567,"&lt;/numeroLigne&gt;")</f>
        <v>&lt;numeroLigne&gt;128&lt;/numeroLigne&gt;</v>
      </c>
      <c r="K14567" s="1013"/>
    </row>
    <row r="14568" spans="1:11" s="1011" customFormat="1" ht="15" x14ac:dyDescent="0.25">
      <c r="A14568" s="859">
        <f t="shared" si="326"/>
        <v>14567</v>
      </c>
      <c r="B14568" s="845" t="s">
        <v>2564</v>
      </c>
      <c r="C14568" s="1007">
        <f t="shared" si="325"/>
        <v>128</v>
      </c>
      <c r="D14568" s="1015"/>
      <c r="H14568" s="1011" t="s">
        <v>1010</v>
      </c>
      <c r="K14568" s="1013"/>
    </row>
    <row r="14569" spans="1:11" s="1011" customFormat="1" ht="15" x14ac:dyDescent="0.25">
      <c r="A14569" s="859">
        <f t="shared" si="326"/>
        <v>14568</v>
      </c>
      <c r="B14569" s="845" t="s">
        <v>2564</v>
      </c>
      <c r="C14569" s="1007">
        <f t="shared" si="325"/>
        <v>128</v>
      </c>
      <c r="D14569" s="1012"/>
      <c r="H14569" s="1011" t="s">
        <v>1007</v>
      </c>
      <c r="K14569" s="1013"/>
    </row>
    <row r="14570" spans="1:11" s="1011" customFormat="1" ht="15" x14ac:dyDescent="0.25">
      <c r="A14570" s="859">
        <f t="shared" si="326"/>
        <v>14569</v>
      </c>
      <c r="B14570" s="845" t="s">
        <v>2564</v>
      </c>
      <c r="C14570" s="1007">
        <f t="shared" si="325"/>
        <v>128</v>
      </c>
      <c r="D14570" s="1012"/>
      <c r="I14570" s="1011" t="s">
        <v>2180</v>
      </c>
      <c r="K14570" s="1013"/>
    </row>
    <row r="14571" spans="1:11" s="1011" customFormat="1" ht="15" x14ac:dyDescent="0.25">
      <c r="A14571" s="859">
        <f t="shared" si="326"/>
        <v>14570</v>
      </c>
      <c r="B14571" s="845" t="s">
        <v>2564</v>
      </c>
      <c r="C14571" s="1007">
        <f t="shared" si="325"/>
        <v>128</v>
      </c>
      <c r="D14571" s="1014"/>
      <c r="I14571" s="1011" t="str">
        <f>CONCATENATE("&lt;valeur&gt;",VLOOKUP(C14571,'T16 Amort'!A:K,8,0),"&lt;/valeur&gt;")</f>
        <v>&lt;valeur&gt;&lt;/valeur&gt;</v>
      </c>
      <c r="K14571" s="1013"/>
    </row>
    <row r="14572" spans="1:11" s="1011" customFormat="1" ht="15" x14ac:dyDescent="0.25">
      <c r="A14572" s="859">
        <f t="shared" si="326"/>
        <v>14571</v>
      </c>
      <c r="B14572" s="845" t="s">
        <v>2564</v>
      </c>
      <c r="C14572" s="1007">
        <f t="shared" si="325"/>
        <v>128</v>
      </c>
      <c r="D14572" s="1014"/>
      <c r="I14572" s="1011" t="str">
        <f>CONCATENATE("&lt;numeroLigne&gt;",C14572,"&lt;/numeroLigne&gt;")</f>
        <v>&lt;numeroLigne&gt;128&lt;/numeroLigne&gt;</v>
      </c>
      <c r="K14572" s="1013"/>
    </row>
    <row r="14573" spans="1:11" s="1011" customFormat="1" ht="15" x14ac:dyDescent="0.25">
      <c r="A14573" s="859">
        <f t="shared" si="326"/>
        <v>14572</v>
      </c>
      <c r="B14573" s="845" t="s">
        <v>2564</v>
      </c>
      <c r="C14573" s="1007">
        <f t="shared" si="325"/>
        <v>128</v>
      </c>
      <c r="D14573" s="1012"/>
      <c r="H14573" s="1011" t="s">
        <v>1010</v>
      </c>
      <c r="K14573" s="1013"/>
    </row>
    <row r="14574" spans="1:11" s="1011" customFormat="1" ht="15" x14ac:dyDescent="0.25">
      <c r="A14574" s="859">
        <f t="shared" si="326"/>
        <v>14573</v>
      </c>
      <c r="B14574" s="845" t="s">
        <v>2564</v>
      </c>
      <c r="C14574" s="1007">
        <f t="shared" si="325"/>
        <v>128</v>
      </c>
      <c r="D14574" s="1015"/>
      <c r="H14574" s="1011" t="s">
        <v>1007</v>
      </c>
      <c r="K14574" s="1013"/>
    </row>
    <row r="14575" spans="1:11" s="1011" customFormat="1" ht="15" x14ac:dyDescent="0.25">
      <c r="A14575" s="859">
        <f t="shared" si="326"/>
        <v>14574</v>
      </c>
      <c r="B14575" s="845" t="s">
        <v>2564</v>
      </c>
      <c r="C14575" s="1007">
        <f t="shared" ref="C14575:C14638" si="327">C14525+1</f>
        <v>128</v>
      </c>
      <c r="D14575" s="1012"/>
      <c r="I14575" s="1011" t="s">
        <v>2181</v>
      </c>
      <c r="K14575" s="1013"/>
    </row>
    <row r="14576" spans="1:11" s="1011" customFormat="1" ht="15" x14ac:dyDescent="0.25">
      <c r="A14576" s="859">
        <f t="shared" si="326"/>
        <v>14575</v>
      </c>
      <c r="B14576" s="845" t="s">
        <v>2564</v>
      </c>
      <c r="C14576" s="1007">
        <f t="shared" si="327"/>
        <v>128</v>
      </c>
      <c r="D14576" s="1012"/>
      <c r="I14576" s="1011" t="str">
        <f>CONCATENATE("&lt;valeur&gt;",VLOOKUP(C14576,'T16 Amort'!A:K,9,0),"&lt;/valeur&gt;")</f>
        <v>&lt;valeur&gt;&lt;/valeur&gt;</v>
      </c>
      <c r="K14576" s="1013"/>
    </row>
    <row r="14577" spans="1:11" s="1011" customFormat="1" ht="15" x14ac:dyDescent="0.25">
      <c r="A14577" s="859">
        <f t="shared" si="326"/>
        <v>14576</v>
      </c>
      <c r="B14577" s="845" t="s">
        <v>2564</v>
      </c>
      <c r="C14577" s="1007">
        <f t="shared" si="327"/>
        <v>128</v>
      </c>
      <c r="D14577" s="1014"/>
      <c r="I14577" s="1011" t="str">
        <f>CONCATENATE("&lt;numeroLigne&gt;",C14577,"&lt;/numeroLigne&gt;")</f>
        <v>&lt;numeroLigne&gt;128&lt;/numeroLigne&gt;</v>
      </c>
      <c r="K14577" s="1013"/>
    </row>
    <row r="14578" spans="1:11" s="1011" customFormat="1" ht="15" x14ac:dyDescent="0.25">
      <c r="A14578" s="859">
        <f t="shared" si="326"/>
        <v>14577</v>
      </c>
      <c r="B14578" s="845" t="s">
        <v>2564</v>
      </c>
      <c r="C14578" s="1007">
        <f t="shared" si="327"/>
        <v>128</v>
      </c>
      <c r="D14578" s="1014"/>
      <c r="H14578" s="1011" t="s">
        <v>1010</v>
      </c>
      <c r="K14578" s="1013"/>
    </row>
    <row r="14579" spans="1:11" s="1011" customFormat="1" ht="15" x14ac:dyDescent="0.25">
      <c r="A14579" s="859">
        <f t="shared" si="326"/>
        <v>14578</v>
      </c>
      <c r="B14579" s="845" t="s">
        <v>2564</v>
      </c>
      <c r="C14579" s="1007">
        <f t="shared" si="327"/>
        <v>128</v>
      </c>
      <c r="D14579" s="1012"/>
      <c r="H14579" s="1011" t="s">
        <v>1007</v>
      </c>
      <c r="K14579" s="1013"/>
    </row>
    <row r="14580" spans="1:11" s="1011" customFormat="1" ht="15" x14ac:dyDescent="0.25">
      <c r="A14580" s="859">
        <f t="shared" si="326"/>
        <v>14579</v>
      </c>
      <c r="B14580" s="845" t="s">
        <v>2564</v>
      </c>
      <c r="C14580" s="1007">
        <f t="shared" si="327"/>
        <v>128</v>
      </c>
      <c r="D14580" s="1015"/>
      <c r="I14580" s="1011" t="s">
        <v>2182</v>
      </c>
      <c r="K14580" s="1013"/>
    </row>
    <row r="14581" spans="1:11" s="1011" customFormat="1" ht="15" x14ac:dyDescent="0.25">
      <c r="A14581" s="859">
        <f t="shared" si="326"/>
        <v>14580</v>
      </c>
      <c r="B14581" s="845" t="s">
        <v>2564</v>
      </c>
      <c r="C14581" s="1007">
        <f t="shared" si="327"/>
        <v>128</v>
      </c>
      <c r="D14581" s="1012"/>
      <c r="I14581" s="1011" t="str">
        <f>CONCATENATE("&lt;valeur&gt;",VLOOKUP(C14581,'T16 Amort'!A:K,10,0),"&lt;/valeur&gt;")</f>
        <v>&lt;valeur&gt;&lt;/valeur&gt;</v>
      </c>
      <c r="K14581" s="1013"/>
    </row>
    <row r="14582" spans="1:11" s="1011" customFormat="1" ht="15" x14ac:dyDescent="0.25">
      <c r="A14582" s="859">
        <f t="shared" si="326"/>
        <v>14581</v>
      </c>
      <c r="B14582" s="845" t="s">
        <v>2564</v>
      </c>
      <c r="C14582" s="1007">
        <f t="shared" si="327"/>
        <v>128</v>
      </c>
      <c r="D14582" s="1012"/>
      <c r="I14582" s="1011" t="str">
        <f>CONCATENATE("&lt;numeroLigne&gt;",C14582,"&lt;/numeroLigne&gt;")</f>
        <v>&lt;numeroLigne&gt;128&lt;/numeroLigne&gt;</v>
      </c>
      <c r="K14582" s="1013"/>
    </row>
    <row r="14583" spans="1:11" s="1011" customFormat="1" ht="15" x14ac:dyDescent="0.25">
      <c r="A14583" s="859">
        <f t="shared" si="326"/>
        <v>14582</v>
      </c>
      <c r="B14583" s="845" t="s">
        <v>2564</v>
      </c>
      <c r="C14583" s="1007">
        <f t="shared" si="327"/>
        <v>128</v>
      </c>
      <c r="D14583" s="1014"/>
      <c r="H14583" s="1011" t="s">
        <v>1010</v>
      </c>
      <c r="K14583" s="1013"/>
    </row>
    <row r="14584" spans="1:11" s="1011" customFormat="1" ht="15" x14ac:dyDescent="0.25">
      <c r="A14584" s="859">
        <f t="shared" si="326"/>
        <v>14583</v>
      </c>
      <c r="B14584" s="845" t="s">
        <v>2564</v>
      </c>
      <c r="C14584" s="1007">
        <f t="shared" si="327"/>
        <v>128</v>
      </c>
      <c r="D14584" s="1014"/>
      <c r="H14584" s="1011" t="s">
        <v>1007</v>
      </c>
      <c r="K14584" s="1013"/>
    </row>
    <row r="14585" spans="1:11" s="1011" customFormat="1" ht="15" x14ac:dyDescent="0.25">
      <c r="A14585" s="859">
        <f t="shared" si="326"/>
        <v>14584</v>
      </c>
      <c r="B14585" s="845" t="s">
        <v>2564</v>
      </c>
      <c r="C14585" s="1007">
        <f t="shared" si="327"/>
        <v>128</v>
      </c>
      <c r="D14585" s="1012"/>
      <c r="I14585" s="1011" t="s">
        <v>2183</v>
      </c>
      <c r="K14585" s="1013"/>
    </row>
    <row r="14586" spans="1:11" s="1011" customFormat="1" ht="15" x14ac:dyDescent="0.25">
      <c r="A14586" s="859">
        <f t="shared" si="326"/>
        <v>14585</v>
      </c>
      <c r="B14586" s="845" t="s">
        <v>2564</v>
      </c>
      <c r="C14586" s="1007">
        <f t="shared" si="327"/>
        <v>128</v>
      </c>
      <c r="D14586" s="1015"/>
      <c r="I14586" s="1011" t="str">
        <f>CONCATENATE("&lt;valeur&gt;",VLOOKUP(C14586,'T16 Amort'!A:K,11,0),"&lt;/valeur&gt;")</f>
        <v>&lt;valeur&gt;&lt;/valeur&gt;</v>
      </c>
      <c r="K14586" s="1013"/>
    </row>
    <row r="14587" spans="1:11" s="1011" customFormat="1" ht="15" x14ac:dyDescent="0.25">
      <c r="A14587" s="859">
        <f t="shared" si="326"/>
        <v>14586</v>
      </c>
      <c r="B14587" s="845" t="s">
        <v>2564</v>
      </c>
      <c r="C14587" s="1007">
        <f t="shared" si="327"/>
        <v>128</v>
      </c>
      <c r="D14587" s="1012"/>
      <c r="I14587" s="1011" t="str">
        <f>CONCATENATE("&lt;numeroLigne&gt;",C14587,"&lt;/numeroLigne&gt;")</f>
        <v>&lt;numeroLigne&gt;128&lt;/numeroLigne&gt;</v>
      </c>
      <c r="K14587" s="1013"/>
    </row>
    <row r="14588" spans="1:11" s="1011" customFormat="1" ht="15" x14ac:dyDescent="0.25">
      <c r="A14588" s="859">
        <f t="shared" si="326"/>
        <v>14587</v>
      </c>
      <c r="B14588" s="845" t="s">
        <v>2564</v>
      </c>
      <c r="C14588" s="1007">
        <f t="shared" si="327"/>
        <v>128</v>
      </c>
      <c r="D14588" s="1016"/>
      <c r="E14588" s="1017"/>
      <c r="F14588" s="1017"/>
      <c r="G14588" s="1017"/>
      <c r="H14588" s="1017" t="s">
        <v>1010</v>
      </c>
      <c r="I14588" s="1017"/>
      <c r="J14588" s="1017"/>
      <c r="K14588" s="1018"/>
    </row>
    <row r="14589" spans="1:11" s="1011" customFormat="1" ht="15" x14ac:dyDescent="0.25">
      <c r="A14589" s="859">
        <f t="shared" si="326"/>
        <v>14588</v>
      </c>
      <c r="B14589" s="845" t="s">
        <v>2564</v>
      </c>
      <c r="C14589" s="1007">
        <f t="shared" si="327"/>
        <v>129</v>
      </c>
      <c r="D14589" s="1008"/>
      <c r="E14589" s="1009"/>
      <c r="F14589" s="1009"/>
      <c r="G14589" s="1009"/>
      <c r="H14589" s="1009" t="s">
        <v>1007</v>
      </c>
      <c r="I14589" s="1009"/>
      <c r="J14589" s="1009"/>
      <c r="K14589" s="1010"/>
    </row>
    <row r="14590" spans="1:11" s="1011" customFormat="1" ht="15" x14ac:dyDescent="0.25">
      <c r="A14590" s="859">
        <f t="shared" si="326"/>
        <v>14589</v>
      </c>
      <c r="B14590" s="845" t="s">
        <v>2564</v>
      </c>
      <c r="C14590" s="1007">
        <f t="shared" si="327"/>
        <v>129</v>
      </c>
      <c r="D14590" s="1012"/>
      <c r="I14590" s="1011" t="s">
        <v>2174</v>
      </c>
      <c r="K14590" s="1013"/>
    </row>
    <row r="14591" spans="1:11" s="1011" customFormat="1" ht="15" x14ac:dyDescent="0.25">
      <c r="A14591" s="859">
        <f t="shared" si="326"/>
        <v>14590</v>
      </c>
      <c r="B14591" s="845" t="s">
        <v>2564</v>
      </c>
      <c r="C14591" s="1007">
        <f t="shared" si="327"/>
        <v>129</v>
      </c>
      <c r="D14591" s="1014"/>
      <c r="I14591" s="1011" t="str">
        <f>CONCATENATE("&lt;valeur&gt;",VLOOKUP(C14591,'T16 Amort'!A:K,2,0),"&lt;/valeur&gt;")</f>
        <v>&lt;valeur&gt;&lt;/valeur&gt;</v>
      </c>
      <c r="K14591" s="1013"/>
    </row>
    <row r="14592" spans="1:11" s="1011" customFormat="1" ht="15" x14ac:dyDescent="0.25">
      <c r="A14592" s="859">
        <f t="shared" si="326"/>
        <v>14591</v>
      </c>
      <c r="B14592" s="845" t="s">
        <v>2564</v>
      </c>
      <c r="C14592" s="1007">
        <f t="shared" si="327"/>
        <v>129</v>
      </c>
      <c r="D14592" s="1014"/>
      <c r="I14592" s="1011" t="str">
        <f>CONCATENATE("&lt;numeroLigne&gt;",C14592,"&lt;/numeroLigne&gt;")</f>
        <v>&lt;numeroLigne&gt;129&lt;/numeroLigne&gt;</v>
      </c>
      <c r="K14592" s="1013"/>
    </row>
    <row r="14593" spans="1:11" s="1011" customFormat="1" ht="15" x14ac:dyDescent="0.25">
      <c r="A14593" s="859">
        <f t="shared" si="326"/>
        <v>14592</v>
      </c>
      <c r="B14593" s="845" t="s">
        <v>2564</v>
      </c>
      <c r="C14593" s="1007">
        <f t="shared" si="327"/>
        <v>129</v>
      </c>
      <c r="D14593" s="1012"/>
      <c r="H14593" s="1011" t="s">
        <v>1010</v>
      </c>
      <c r="K14593" s="1013"/>
    </row>
    <row r="14594" spans="1:11" s="1011" customFormat="1" ht="15" x14ac:dyDescent="0.25">
      <c r="A14594" s="859">
        <f t="shared" si="326"/>
        <v>14593</v>
      </c>
      <c r="B14594" s="845" t="s">
        <v>2564</v>
      </c>
      <c r="C14594" s="1007">
        <f t="shared" si="327"/>
        <v>129</v>
      </c>
      <c r="D14594" s="1015"/>
      <c r="H14594" s="1011" t="s">
        <v>1007</v>
      </c>
      <c r="K14594" s="1013"/>
    </row>
    <row r="14595" spans="1:11" s="1011" customFormat="1" ht="15" x14ac:dyDescent="0.25">
      <c r="A14595" s="859">
        <f t="shared" si="326"/>
        <v>14594</v>
      </c>
      <c r="B14595" s="845" t="s">
        <v>2564</v>
      </c>
      <c r="C14595" s="1007">
        <f t="shared" si="327"/>
        <v>129</v>
      </c>
      <c r="D14595" s="1012"/>
      <c r="I14595" s="1011" t="s">
        <v>2175</v>
      </c>
      <c r="K14595" s="1013"/>
    </row>
    <row r="14596" spans="1:11" s="1011" customFormat="1" ht="15" x14ac:dyDescent="0.25">
      <c r="A14596" s="859">
        <f t="shared" ref="A14596:A14659" si="328">+A14595+1</f>
        <v>14595</v>
      </c>
      <c r="B14596" s="845" t="s">
        <v>2564</v>
      </c>
      <c r="C14596" s="1007">
        <f t="shared" si="327"/>
        <v>129</v>
      </c>
      <c r="D14596" s="1012"/>
      <c r="I14596" s="1011" t="str">
        <f>CONCATENATE("&lt;valeur&gt;",VLOOKUP(C14596,'T16 Amort'!A:K,3,0),"&lt;/valeur&gt;")</f>
        <v>&lt;valeur&gt;&lt;/valeur&gt;</v>
      </c>
      <c r="K14596" s="1013"/>
    </row>
    <row r="14597" spans="1:11" s="1011" customFormat="1" ht="15" x14ac:dyDescent="0.25">
      <c r="A14597" s="859">
        <f t="shared" si="328"/>
        <v>14596</v>
      </c>
      <c r="B14597" s="845" t="s">
        <v>2564</v>
      </c>
      <c r="C14597" s="1007">
        <f t="shared" si="327"/>
        <v>129</v>
      </c>
      <c r="D14597" s="1014"/>
      <c r="I14597" s="1011" t="str">
        <f>CONCATENATE("&lt;numeroLigne&gt;",C14597,"&lt;/numeroLigne&gt;")</f>
        <v>&lt;numeroLigne&gt;129&lt;/numeroLigne&gt;</v>
      </c>
      <c r="K14597" s="1013"/>
    </row>
    <row r="14598" spans="1:11" s="1011" customFormat="1" ht="15" x14ac:dyDescent="0.25">
      <c r="A14598" s="859">
        <f t="shared" si="328"/>
        <v>14597</v>
      </c>
      <c r="B14598" s="845" t="s">
        <v>2564</v>
      </c>
      <c r="C14598" s="1007">
        <f t="shared" si="327"/>
        <v>129</v>
      </c>
      <c r="D14598" s="1014"/>
      <c r="H14598" s="1011" t="s">
        <v>1010</v>
      </c>
      <c r="K14598" s="1013"/>
    </row>
    <row r="14599" spans="1:11" s="1011" customFormat="1" ht="15" x14ac:dyDescent="0.25">
      <c r="A14599" s="859">
        <f t="shared" si="328"/>
        <v>14598</v>
      </c>
      <c r="B14599" s="845" t="s">
        <v>2564</v>
      </c>
      <c r="C14599" s="1007">
        <f t="shared" si="327"/>
        <v>129</v>
      </c>
      <c r="D14599" s="1012"/>
      <c r="H14599" s="1011" t="s">
        <v>1007</v>
      </c>
      <c r="K14599" s="1013"/>
    </row>
    <row r="14600" spans="1:11" s="1011" customFormat="1" ht="15" x14ac:dyDescent="0.25">
      <c r="A14600" s="859">
        <f t="shared" si="328"/>
        <v>14599</v>
      </c>
      <c r="B14600" s="845" t="s">
        <v>2564</v>
      </c>
      <c r="C14600" s="1007">
        <f t="shared" si="327"/>
        <v>129</v>
      </c>
      <c r="D14600" s="1015"/>
      <c r="I14600" s="1011" t="s">
        <v>2176</v>
      </c>
      <c r="K14600" s="1013"/>
    </row>
    <row r="14601" spans="1:11" s="1011" customFormat="1" ht="15" x14ac:dyDescent="0.25">
      <c r="A14601" s="859">
        <f t="shared" si="328"/>
        <v>14600</v>
      </c>
      <c r="B14601" s="845" t="s">
        <v>2564</v>
      </c>
      <c r="C14601" s="1007">
        <f t="shared" si="327"/>
        <v>129</v>
      </c>
      <c r="D14601" s="1012"/>
      <c r="I14601" s="1011" t="str">
        <f>CONCATENATE("&lt;valeur&gt;",VLOOKUP(C14601,'T16 Amort'!A:K,4,0),"&lt;/valeur&gt;")</f>
        <v>&lt;valeur&gt;&lt;/valeur&gt;</v>
      </c>
      <c r="K14601" s="1013"/>
    </row>
    <row r="14602" spans="1:11" s="1011" customFormat="1" ht="15" x14ac:dyDescent="0.25">
      <c r="A14602" s="859">
        <f t="shared" si="328"/>
        <v>14601</v>
      </c>
      <c r="B14602" s="845" t="s">
        <v>2564</v>
      </c>
      <c r="C14602" s="1007">
        <f t="shared" si="327"/>
        <v>129</v>
      </c>
      <c r="D14602" s="1012"/>
      <c r="I14602" s="1011" t="str">
        <f>CONCATENATE("&lt;numeroLigne&gt;",C14602,"&lt;/numeroLigne&gt;")</f>
        <v>&lt;numeroLigne&gt;129&lt;/numeroLigne&gt;</v>
      </c>
      <c r="K14602" s="1013"/>
    </row>
    <row r="14603" spans="1:11" s="1011" customFormat="1" ht="15" x14ac:dyDescent="0.25">
      <c r="A14603" s="859">
        <f t="shared" si="328"/>
        <v>14602</v>
      </c>
      <c r="B14603" s="845" t="s">
        <v>2564</v>
      </c>
      <c r="C14603" s="1007">
        <f t="shared" si="327"/>
        <v>129</v>
      </c>
      <c r="D14603" s="1014"/>
      <c r="H14603" s="1011" t="s">
        <v>1010</v>
      </c>
      <c r="K14603" s="1013"/>
    </row>
    <row r="14604" spans="1:11" s="1011" customFormat="1" ht="15" x14ac:dyDescent="0.25">
      <c r="A14604" s="859">
        <f t="shared" si="328"/>
        <v>14603</v>
      </c>
      <c r="B14604" s="845" t="s">
        <v>2564</v>
      </c>
      <c r="C14604" s="1007">
        <f t="shared" si="327"/>
        <v>129</v>
      </c>
      <c r="D14604" s="1014"/>
      <c r="H14604" s="1011" t="s">
        <v>1007</v>
      </c>
      <c r="K14604" s="1013"/>
    </row>
    <row r="14605" spans="1:11" s="1011" customFormat="1" ht="15" x14ac:dyDescent="0.25">
      <c r="A14605" s="859">
        <f t="shared" si="328"/>
        <v>14604</v>
      </c>
      <c r="B14605" s="845" t="s">
        <v>2564</v>
      </c>
      <c r="C14605" s="1007">
        <f t="shared" si="327"/>
        <v>129</v>
      </c>
      <c r="D14605" s="1012"/>
      <c r="I14605" s="1011" t="s">
        <v>2177</v>
      </c>
      <c r="K14605" s="1013"/>
    </row>
    <row r="14606" spans="1:11" s="1011" customFormat="1" ht="15" x14ac:dyDescent="0.25">
      <c r="A14606" s="859">
        <f t="shared" si="328"/>
        <v>14605</v>
      </c>
      <c r="B14606" s="845" t="s">
        <v>2564</v>
      </c>
      <c r="C14606" s="1007">
        <f t="shared" si="327"/>
        <v>129</v>
      </c>
      <c r="D14606" s="1015"/>
      <c r="I14606" s="1011" t="str">
        <f>CONCATENATE("&lt;valeur&gt;",VLOOKUP(C14606,'T16 Amort'!A:K,5,0),"&lt;/valeur&gt;")</f>
        <v>&lt;valeur&gt;&lt;/valeur&gt;</v>
      </c>
      <c r="K14606" s="1013"/>
    </row>
    <row r="14607" spans="1:11" s="1011" customFormat="1" ht="15" x14ac:dyDescent="0.25">
      <c r="A14607" s="859">
        <f t="shared" si="328"/>
        <v>14606</v>
      </c>
      <c r="B14607" s="845" t="s">
        <v>2564</v>
      </c>
      <c r="C14607" s="1007">
        <f t="shared" si="327"/>
        <v>129</v>
      </c>
      <c r="D14607" s="1012"/>
      <c r="I14607" s="1011" t="str">
        <f>CONCATENATE("&lt;numeroLigne&gt;",C14607,"&lt;/numeroLigne&gt;")</f>
        <v>&lt;numeroLigne&gt;129&lt;/numeroLigne&gt;</v>
      </c>
      <c r="K14607" s="1013"/>
    </row>
    <row r="14608" spans="1:11" s="1011" customFormat="1" ht="15" x14ac:dyDescent="0.25">
      <c r="A14608" s="859">
        <f t="shared" si="328"/>
        <v>14607</v>
      </c>
      <c r="B14608" s="845" t="s">
        <v>2564</v>
      </c>
      <c r="C14608" s="1007">
        <f t="shared" si="327"/>
        <v>129</v>
      </c>
      <c r="D14608" s="1012"/>
      <c r="H14608" s="1011" t="s">
        <v>1010</v>
      </c>
      <c r="K14608" s="1013"/>
    </row>
    <row r="14609" spans="1:11" s="1011" customFormat="1" ht="15" x14ac:dyDescent="0.25">
      <c r="A14609" s="859">
        <f t="shared" si="328"/>
        <v>14608</v>
      </c>
      <c r="B14609" s="845" t="s">
        <v>2564</v>
      </c>
      <c r="C14609" s="1007">
        <f t="shared" si="327"/>
        <v>129</v>
      </c>
      <c r="D14609" s="1014"/>
      <c r="H14609" s="1011" t="s">
        <v>1007</v>
      </c>
      <c r="K14609" s="1013"/>
    </row>
    <row r="14610" spans="1:11" s="1011" customFormat="1" ht="15" x14ac:dyDescent="0.25">
      <c r="A14610" s="859">
        <f t="shared" si="328"/>
        <v>14609</v>
      </c>
      <c r="B14610" s="845" t="s">
        <v>2564</v>
      </c>
      <c r="C14610" s="1007">
        <f t="shared" si="327"/>
        <v>129</v>
      </c>
      <c r="D14610" s="1014"/>
      <c r="I14610" s="1011" t="s">
        <v>2178</v>
      </c>
      <c r="K14610" s="1013"/>
    </row>
    <row r="14611" spans="1:11" s="1011" customFormat="1" ht="15" x14ac:dyDescent="0.25">
      <c r="A14611" s="859">
        <f t="shared" si="328"/>
        <v>14610</v>
      </c>
      <c r="B14611" s="845" t="s">
        <v>2564</v>
      </c>
      <c r="C14611" s="1007">
        <f t="shared" si="327"/>
        <v>129</v>
      </c>
      <c r="D14611" s="1012"/>
      <c r="I14611" s="1011" t="str">
        <f>CONCATENATE("&lt;valeur&gt;",VLOOKUP(C14611,'T16 Amort'!A:K,6,0),"&lt;/valeur&gt;")</f>
        <v>&lt;valeur&gt;&lt;/valeur&gt;</v>
      </c>
      <c r="K14611" s="1013"/>
    </row>
    <row r="14612" spans="1:11" s="1011" customFormat="1" ht="15" x14ac:dyDescent="0.25">
      <c r="A14612" s="859">
        <f t="shared" si="328"/>
        <v>14611</v>
      </c>
      <c r="B14612" s="845" t="s">
        <v>2564</v>
      </c>
      <c r="C14612" s="1007">
        <f t="shared" si="327"/>
        <v>129</v>
      </c>
      <c r="D14612" s="1015"/>
      <c r="I14612" s="1011" t="str">
        <f>CONCATENATE("&lt;numeroLigne&gt;",C14612,"&lt;/numeroLigne&gt;")</f>
        <v>&lt;numeroLigne&gt;129&lt;/numeroLigne&gt;</v>
      </c>
      <c r="K14612" s="1013"/>
    </row>
    <row r="14613" spans="1:11" s="1011" customFormat="1" ht="15" x14ac:dyDescent="0.25">
      <c r="A14613" s="859">
        <f t="shared" si="328"/>
        <v>14612</v>
      </c>
      <c r="B14613" s="845" t="s">
        <v>2564</v>
      </c>
      <c r="C14613" s="1007">
        <f t="shared" si="327"/>
        <v>129</v>
      </c>
      <c r="D14613" s="1012"/>
      <c r="H14613" s="1011" t="s">
        <v>1010</v>
      </c>
      <c r="K14613" s="1013"/>
    </row>
    <row r="14614" spans="1:11" s="1011" customFormat="1" ht="15" x14ac:dyDescent="0.25">
      <c r="A14614" s="859">
        <f t="shared" si="328"/>
        <v>14613</v>
      </c>
      <c r="B14614" s="845" t="s">
        <v>2564</v>
      </c>
      <c r="C14614" s="1007">
        <f t="shared" si="327"/>
        <v>129</v>
      </c>
      <c r="D14614" s="1012"/>
      <c r="H14614" s="1011" t="s">
        <v>1007</v>
      </c>
      <c r="K14614" s="1013"/>
    </row>
    <row r="14615" spans="1:11" s="1011" customFormat="1" ht="15" x14ac:dyDescent="0.25">
      <c r="A14615" s="859">
        <f t="shared" si="328"/>
        <v>14614</v>
      </c>
      <c r="B14615" s="845" t="s">
        <v>2564</v>
      </c>
      <c r="C14615" s="1007">
        <f t="shared" si="327"/>
        <v>129</v>
      </c>
      <c r="D14615" s="1014"/>
      <c r="I14615" s="1011" t="s">
        <v>2179</v>
      </c>
      <c r="K14615" s="1013"/>
    </row>
    <row r="14616" spans="1:11" s="1011" customFormat="1" ht="15" x14ac:dyDescent="0.25">
      <c r="A14616" s="859">
        <f t="shared" si="328"/>
        <v>14615</v>
      </c>
      <c r="B14616" s="845" t="s">
        <v>2564</v>
      </c>
      <c r="C14616" s="1007">
        <f t="shared" si="327"/>
        <v>129</v>
      </c>
      <c r="D14616" s="1014"/>
      <c r="I14616" s="1011" t="str">
        <f>CONCATENATE("&lt;valeur&gt;",VLOOKUP(C14616,'T16 Amort'!A:K,7,0),"&lt;/valeur&gt;")</f>
        <v>&lt;valeur&gt;&lt;/valeur&gt;</v>
      </c>
      <c r="K14616" s="1013"/>
    </row>
    <row r="14617" spans="1:11" s="1011" customFormat="1" ht="15" x14ac:dyDescent="0.25">
      <c r="A14617" s="859">
        <f t="shared" si="328"/>
        <v>14616</v>
      </c>
      <c r="B14617" s="845" t="s">
        <v>2564</v>
      </c>
      <c r="C14617" s="1007">
        <f t="shared" si="327"/>
        <v>129</v>
      </c>
      <c r="D14617" s="1012"/>
      <c r="I14617" s="1011" t="str">
        <f>CONCATENATE("&lt;numeroLigne&gt;",C14617,"&lt;/numeroLigne&gt;")</f>
        <v>&lt;numeroLigne&gt;129&lt;/numeroLigne&gt;</v>
      </c>
      <c r="K14617" s="1013"/>
    </row>
    <row r="14618" spans="1:11" s="1011" customFormat="1" ht="15" x14ac:dyDescent="0.25">
      <c r="A14618" s="859">
        <f t="shared" si="328"/>
        <v>14617</v>
      </c>
      <c r="B14618" s="845" t="s">
        <v>2564</v>
      </c>
      <c r="C14618" s="1007">
        <f t="shared" si="327"/>
        <v>129</v>
      </c>
      <c r="D14618" s="1015"/>
      <c r="H14618" s="1011" t="s">
        <v>1010</v>
      </c>
      <c r="K14618" s="1013"/>
    </row>
    <row r="14619" spans="1:11" s="1011" customFormat="1" ht="15" x14ac:dyDescent="0.25">
      <c r="A14619" s="859">
        <f t="shared" si="328"/>
        <v>14618</v>
      </c>
      <c r="B14619" s="845" t="s">
        <v>2564</v>
      </c>
      <c r="C14619" s="1007">
        <f t="shared" si="327"/>
        <v>129</v>
      </c>
      <c r="D14619" s="1012"/>
      <c r="H14619" s="1011" t="s">
        <v>1007</v>
      </c>
      <c r="K14619" s="1013"/>
    </row>
    <row r="14620" spans="1:11" s="1011" customFormat="1" ht="15" x14ac:dyDescent="0.25">
      <c r="A14620" s="859">
        <f t="shared" si="328"/>
        <v>14619</v>
      </c>
      <c r="B14620" s="845" t="s">
        <v>2564</v>
      </c>
      <c r="C14620" s="1007">
        <f t="shared" si="327"/>
        <v>129</v>
      </c>
      <c r="D14620" s="1012"/>
      <c r="I14620" s="1011" t="s">
        <v>2180</v>
      </c>
      <c r="K14620" s="1013"/>
    </row>
    <row r="14621" spans="1:11" s="1011" customFormat="1" ht="15" x14ac:dyDescent="0.25">
      <c r="A14621" s="859">
        <f t="shared" si="328"/>
        <v>14620</v>
      </c>
      <c r="B14621" s="845" t="s">
        <v>2564</v>
      </c>
      <c r="C14621" s="1007">
        <f t="shared" si="327"/>
        <v>129</v>
      </c>
      <c r="D14621" s="1014"/>
      <c r="I14621" s="1011" t="str">
        <f>CONCATENATE("&lt;valeur&gt;",VLOOKUP(C14621,'T16 Amort'!A:K,8,0),"&lt;/valeur&gt;")</f>
        <v>&lt;valeur&gt;&lt;/valeur&gt;</v>
      </c>
      <c r="K14621" s="1013"/>
    </row>
    <row r="14622" spans="1:11" s="1011" customFormat="1" ht="15" x14ac:dyDescent="0.25">
      <c r="A14622" s="859">
        <f t="shared" si="328"/>
        <v>14621</v>
      </c>
      <c r="B14622" s="845" t="s">
        <v>2564</v>
      </c>
      <c r="C14622" s="1007">
        <f t="shared" si="327"/>
        <v>129</v>
      </c>
      <c r="D14622" s="1014"/>
      <c r="I14622" s="1011" t="str">
        <f>CONCATENATE("&lt;numeroLigne&gt;",C14622,"&lt;/numeroLigne&gt;")</f>
        <v>&lt;numeroLigne&gt;129&lt;/numeroLigne&gt;</v>
      </c>
      <c r="K14622" s="1013"/>
    </row>
    <row r="14623" spans="1:11" s="1011" customFormat="1" ht="15" x14ac:dyDescent="0.25">
      <c r="A14623" s="859">
        <f t="shared" si="328"/>
        <v>14622</v>
      </c>
      <c r="B14623" s="845" t="s">
        <v>2564</v>
      </c>
      <c r="C14623" s="1007">
        <f t="shared" si="327"/>
        <v>129</v>
      </c>
      <c r="D14623" s="1012"/>
      <c r="H14623" s="1011" t="s">
        <v>1010</v>
      </c>
      <c r="K14623" s="1013"/>
    </row>
    <row r="14624" spans="1:11" s="1011" customFormat="1" ht="15" x14ac:dyDescent="0.25">
      <c r="A14624" s="859">
        <f t="shared" si="328"/>
        <v>14623</v>
      </c>
      <c r="B14624" s="845" t="s">
        <v>2564</v>
      </c>
      <c r="C14624" s="1007">
        <f t="shared" si="327"/>
        <v>129</v>
      </c>
      <c r="D14624" s="1015"/>
      <c r="H14624" s="1011" t="s">
        <v>1007</v>
      </c>
      <c r="K14624" s="1013"/>
    </row>
    <row r="14625" spans="1:11" s="1011" customFormat="1" ht="15" x14ac:dyDescent="0.25">
      <c r="A14625" s="859">
        <f t="shared" si="328"/>
        <v>14624</v>
      </c>
      <c r="B14625" s="845" t="s">
        <v>2564</v>
      </c>
      <c r="C14625" s="1007">
        <f t="shared" si="327"/>
        <v>129</v>
      </c>
      <c r="D14625" s="1012"/>
      <c r="I14625" s="1011" t="s">
        <v>2181</v>
      </c>
      <c r="K14625" s="1013"/>
    </row>
    <row r="14626" spans="1:11" s="1011" customFormat="1" ht="15" x14ac:dyDescent="0.25">
      <c r="A14626" s="859">
        <f t="shared" si="328"/>
        <v>14625</v>
      </c>
      <c r="B14626" s="845" t="s">
        <v>2564</v>
      </c>
      <c r="C14626" s="1007">
        <f t="shared" si="327"/>
        <v>129</v>
      </c>
      <c r="D14626" s="1012"/>
      <c r="I14626" s="1011" t="str">
        <f>CONCATENATE("&lt;valeur&gt;",VLOOKUP(C14626,'T16 Amort'!A:K,9,0),"&lt;/valeur&gt;")</f>
        <v>&lt;valeur&gt;&lt;/valeur&gt;</v>
      </c>
      <c r="K14626" s="1013"/>
    </row>
    <row r="14627" spans="1:11" s="1011" customFormat="1" ht="15" x14ac:dyDescent="0.25">
      <c r="A14627" s="859">
        <f t="shared" si="328"/>
        <v>14626</v>
      </c>
      <c r="B14627" s="845" t="s">
        <v>2564</v>
      </c>
      <c r="C14627" s="1007">
        <f t="shared" si="327"/>
        <v>129</v>
      </c>
      <c r="D14627" s="1014"/>
      <c r="I14627" s="1011" t="str">
        <f>CONCATENATE("&lt;numeroLigne&gt;",C14627,"&lt;/numeroLigne&gt;")</f>
        <v>&lt;numeroLigne&gt;129&lt;/numeroLigne&gt;</v>
      </c>
      <c r="K14627" s="1013"/>
    </row>
    <row r="14628" spans="1:11" s="1011" customFormat="1" ht="15" x14ac:dyDescent="0.25">
      <c r="A14628" s="859">
        <f t="shared" si="328"/>
        <v>14627</v>
      </c>
      <c r="B14628" s="845" t="s">
        <v>2564</v>
      </c>
      <c r="C14628" s="1007">
        <f t="shared" si="327"/>
        <v>129</v>
      </c>
      <c r="D14628" s="1014"/>
      <c r="H14628" s="1011" t="s">
        <v>1010</v>
      </c>
      <c r="K14628" s="1013"/>
    </row>
    <row r="14629" spans="1:11" s="1011" customFormat="1" ht="15" x14ac:dyDescent="0.25">
      <c r="A14629" s="859">
        <f t="shared" si="328"/>
        <v>14628</v>
      </c>
      <c r="B14629" s="845" t="s">
        <v>2564</v>
      </c>
      <c r="C14629" s="1007">
        <f t="shared" si="327"/>
        <v>129</v>
      </c>
      <c r="D14629" s="1012"/>
      <c r="H14629" s="1011" t="s">
        <v>1007</v>
      </c>
      <c r="K14629" s="1013"/>
    </row>
    <row r="14630" spans="1:11" s="1011" customFormat="1" ht="15" x14ac:dyDescent="0.25">
      <c r="A14630" s="859">
        <f t="shared" si="328"/>
        <v>14629</v>
      </c>
      <c r="B14630" s="845" t="s">
        <v>2564</v>
      </c>
      <c r="C14630" s="1007">
        <f t="shared" si="327"/>
        <v>129</v>
      </c>
      <c r="D14630" s="1015"/>
      <c r="I14630" s="1011" t="s">
        <v>2182</v>
      </c>
      <c r="K14630" s="1013"/>
    </row>
    <row r="14631" spans="1:11" s="1011" customFormat="1" ht="15" x14ac:dyDescent="0.25">
      <c r="A14631" s="859">
        <f t="shared" si="328"/>
        <v>14630</v>
      </c>
      <c r="B14631" s="845" t="s">
        <v>2564</v>
      </c>
      <c r="C14631" s="1007">
        <f t="shared" si="327"/>
        <v>129</v>
      </c>
      <c r="D14631" s="1012"/>
      <c r="I14631" s="1011" t="str">
        <f>CONCATENATE("&lt;valeur&gt;",VLOOKUP(C14631,'T16 Amort'!A:K,10,0),"&lt;/valeur&gt;")</f>
        <v>&lt;valeur&gt;&lt;/valeur&gt;</v>
      </c>
      <c r="K14631" s="1013"/>
    </row>
    <row r="14632" spans="1:11" s="1011" customFormat="1" ht="15" x14ac:dyDescent="0.25">
      <c r="A14632" s="859">
        <f t="shared" si="328"/>
        <v>14631</v>
      </c>
      <c r="B14632" s="845" t="s">
        <v>2564</v>
      </c>
      <c r="C14632" s="1007">
        <f t="shared" si="327"/>
        <v>129</v>
      </c>
      <c r="D14632" s="1012"/>
      <c r="I14632" s="1011" t="str">
        <f>CONCATENATE("&lt;numeroLigne&gt;",C14632,"&lt;/numeroLigne&gt;")</f>
        <v>&lt;numeroLigne&gt;129&lt;/numeroLigne&gt;</v>
      </c>
      <c r="K14632" s="1013"/>
    </row>
    <row r="14633" spans="1:11" s="1011" customFormat="1" ht="15" x14ac:dyDescent="0.25">
      <c r="A14633" s="859">
        <f t="shared" si="328"/>
        <v>14632</v>
      </c>
      <c r="B14633" s="845" t="s">
        <v>2564</v>
      </c>
      <c r="C14633" s="1007">
        <f t="shared" si="327"/>
        <v>129</v>
      </c>
      <c r="D14633" s="1014"/>
      <c r="H14633" s="1011" t="s">
        <v>1010</v>
      </c>
      <c r="K14633" s="1013"/>
    </row>
    <row r="14634" spans="1:11" s="1011" customFormat="1" ht="15" x14ac:dyDescent="0.25">
      <c r="A14634" s="859">
        <f t="shared" si="328"/>
        <v>14633</v>
      </c>
      <c r="B14634" s="845" t="s">
        <v>2564</v>
      </c>
      <c r="C14634" s="1007">
        <f t="shared" si="327"/>
        <v>129</v>
      </c>
      <c r="D14634" s="1014"/>
      <c r="H14634" s="1011" t="s">
        <v>1007</v>
      </c>
      <c r="K14634" s="1013"/>
    </row>
    <row r="14635" spans="1:11" s="1011" customFormat="1" ht="15" x14ac:dyDescent="0.25">
      <c r="A14635" s="859">
        <f t="shared" si="328"/>
        <v>14634</v>
      </c>
      <c r="B14635" s="845" t="s">
        <v>2564</v>
      </c>
      <c r="C14635" s="1007">
        <f t="shared" si="327"/>
        <v>129</v>
      </c>
      <c r="D14635" s="1012"/>
      <c r="I14635" s="1011" t="s">
        <v>2183</v>
      </c>
      <c r="K14635" s="1013"/>
    </row>
    <row r="14636" spans="1:11" s="1011" customFormat="1" ht="15" x14ac:dyDescent="0.25">
      <c r="A14636" s="859">
        <f t="shared" si="328"/>
        <v>14635</v>
      </c>
      <c r="B14636" s="845" t="s">
        <v>2564</v>
      </c>
      <c r="C14636" s="1007">
        <f t="shared" si="327"/>
        <v>129</v>
      </c>
      <c r="D14636" s="1015"/>
      <c r="I14636" s="1011" t="str">
        <f>CONCATENATE("&lt;valeur&gt;",VLOOKUP(C14636,'T16 Amort'!A:K,11,0),"&lt;/valeur&gt;")</f>
        <v>&lt;valeur&gt;&lt;/valeur&gt;</v>
      </c>
      <c r="K14636" s="1013"/>
    </row>
    <row r="14637" spans="1:11" s="1011" customFormat="1" ht="15" x14ac:dyDescent="0.25">
      <c r="A14637" s="859">
        <f t="shared" si="328"/>
        <v>14636</v>
      </c>
      <c r="B14637" s="845" t="s">
        <v>2564</v>
      </c>
      <c r="C14637" s="1007">
        <f t="shared" si="327"/>
        <v>129</v>
      </c>
      <c r="D14637" s="1012"/>
      <c r="I14637" s="1011" t="str">
        <f>CONCATENATE("&lt;numeroLigne&gt;",C14637,"&lt;/numeroLigne&gt;")</f>
        <v>&lt;numeroLigne&gt;129&lt;/numeroLigne&gt;</v>
      </c>
      <c r="K14637" s="1013"/>
    </row>
    <row r="14638" spans="1:11" s="1011" customFormat="1" ht="15" x14ac:dyDescent="0.25">
      <c r="A14638" s="859">
        <f t="shared" si="328"/>
        <v>14637</v>
      </c>
      <c r="B14638" s="845" t="s">
        <v>2564</v>
      </c>
      <c r="C14638" s="1007">
        <f t="shared" si="327"/>
        <v>129</v>
      </c>
      <c r="D14638" s="1016"/>
      <c r="E14638" s="1017"/>
      <c r="F14638" s="1017"/>
      <c r="G14638" s="1017"/>
      <c r="H14638" s="1017" t="s">
        <v>1010</v>
      </c>
      <c r="I14638" s="1017"/>
      <c r="J14638" s="1017"/>
      <c r="K14638" s="1018"/>
    </row>
    <row r="14639" spans="1:11" s="1011" customFormat="1" ht="15" x14ac:dyDescent="0.25">
      <c r="A14639" s="859">
        <f t="shared" si="328"/>
        <v>14638</v>
      </c>
      <c r="B14639" s="845" t="s">
        <v>2564</v>
      </c>
      <c r="C14639" s="1007">
        <f t="shared" ref="C14639:C14702" si="329">C14589+1</f>
        <v>130</v>
      </c>
      <c r="D14639" s="1008"/>
      <c r="E14639" s="1009"/>
      <c r="F14639" s="1009"/>
      <c r="G14639" s="1009"/>
      <c r="H14639" s="1009" t="s">
        <v>1007</v>
      </c>
      <c r="I14639" s="1009"/>
      <c r="J14639" s="1009"/>
      <c r="K14639" s="1010"/>
    </row>
    <row r="14640" spans="1:11" s="1011" customFormat="1" ht="15" x14ac:dyDescent="0.25">
      <c r="A14640" s="859">
        <f t="shared" si="328"/>
        <v>14639</v>
      </c>
      <c r="B14640" s="845" t="s">
        <v>2564</v>
      </c>
      <c r="C14640" s="1007">
        <f t="shared" si="329"/>
        <v>130</v>
      </c>
      <c r="D14640" s="1012"/>
      <c r="I14640" s="1011" t="s">
        <v>2174</v>
      </c>
      <c r="K14640" s="1013"/>
    </row>
    <row r="14641" spans="1:11" s="1011" customFormat="1" ht="15" x14ac:dyDescent="0.25">
      <c r="A14641" s="859">
        <f t="shared" si="328"/>
        <v>14640</v>
      </c>
      <c r="B14641" s="845" t="s">
        <v>2564</v>
      </c>
      <c r="C14641" s="1007">
        <f t="shared" si="329"/>
        <v>130</v>
      </c>
      <c r="D14641" s="1014"/>
      <c r="I14641" s="1011" t="str">
        <f>CONCATENATE("&lt;valeur&gt;",VLOOKUP(C14641,'T16 Amort'!A:K,2,0),"&lt;/valeur&gt;")</f>
        <v>&lt;valeur&gt;&lt;/valeur&gt;</v>
      </c>
      <c r="K14641" s="1013"/>
    </row>
    <row r="14642" spans="1:11" s="1011" customFormat="1" ht="15" x14ac:dyDescent="0.25">
      <c r="A14642" s="859">
        <f t="shared" si="328"/>
        <v>14641</v>
      </c>
      <c r="B14642" s="845" t="s">
        <v>2564</v>
      </c>
      <c r="C14642" s="1007">
        <f t="shared" si="329"/>
        <v>130</v>
      </c>
      <c r="D14642" s="1014"/>
      <c r="I14642" s="1011" t="str">
        <f>CONCATENATE("&lt;numeroLigne&gt;",C14642,"&lt;/numeroLigne&gt;")</f>
        <v>&lt;numeroLigne&gt;130&lt;/numeroLigne&gt;</v>
      </c>
      <c r="K14642" s="1013"/>
    </row>
    <row r="14643" spans="1:11" s="1011" customFormat="1" ht="15" x14ac:dyDescent="0.25">
      <c r="A14643" s="859">
        <f t="shared" si="328"/>
        <v>14642</v>
      </c>
      <c r="B14643" s="845" t="s">
        <v>2564</v>
      </c>
      <c r="C14643" s="1007">
        <f t="shared" si="329"/>
        <v>130</v>
      </c>
      <c r="D14643" s="1012"/>
      <c r="H14643" s="1011" t="s">
        <v>1010</v>
      </c>
      <c r="K14643" s="1013"/>
    </row>
    <row r="14644" spans="1:11" s="1011" customFormat="1" ht="15" x14ac:dyDescent="0.25">
      <c r="A14644" s="859">
        <f t="shared" si="328"/>
        <v>14643</v>
      </c>
      <c r="B14644" s="845" t="s">
        <v>2564</v>
      </c>
      <c r="C14644" s="1007">
        <f t="shared" si="329"/>
        <v>130</v>
      </c>
      <c r="D14644" s="1015"/>
      <c r="H14644" s="1011" t="s">
        <v>1007</v>
      </c>
      <c r="K14644" s="1013"/>
    </row>
    <row r="14645" spans="1:11" s="1011" customFormat="1" ht="15" x14ac:dyDescent="0.25">
      <c r="A14645" s="859">
        <f t="shared" si="328"/>
        <v>14644</v>
      </c>
      <c r="B14645" s="845" t="s">
        <v>2564</v>
      </c>
      <c r="C14645" s="1007">
        <f t="shared" si="329"/>
        <v>130</v>
      </c>
      <c r="D14645" s="1012"/>
      <c r="I14645" s="1011" t="s">
        <v>2175</v>
      </c>
      <c r="K14645" s="1013"/>
    </row>
    <row r="14646" spans="1:11" s="1011" customFormat="1" ht="15" x14ac:dyDescent="0.25">
      <c r="A14646" s="859">
        <f t="shared" si="328"/>
        <v>14645</v>
      </c>
      <c r="B14646" s="845" t="s">
        <v>2564</v>
      </c>
      <c r="C14646" s="1007">
        <f t="shared" si="329"/>
        <v>130</v>
      </c>
      <c r="D14646" s="1012"/>
      <c r="I14646" s="1011" t="str">
        <f>CONCATENATE("&lt;valeur&gt;",VLOOKUP(C14646,'T16 Amort'!A:K,3,0),"&lt;/valeur&gt;")</f>
        <v>&lt;valeur&gt;&lt;/valeur&gt;</v>
      </c>
      <c r="K14646" s="1013"/>
    </row>
    <row r="14647" spans="1:11" s="1011" customFormat="1" ht="15" x14ac:dyDescent="0.25">
      <c r="A14647" s="859">
        <f t="shared" si="328"/>
        <v>14646</v>
      </c>
      <c r="B14647" s="845" t="s">
        <v>2564</v>
      </c>
      <c r="C14647" s="1007">
        <f t="shared" si="329"/>
        <v>130</v>
      </c>
      <c r="D14647" s="1014"/>
      <c r="I14647" s="1011" t="str">
        <f>CONCATENATE("&lt;numeroLigne&gt;",C14647,"&lt;/numeroLigne&gt;")</f>
        <v>&lt;numeroLigne&gt;130&lt;/numeroLigne&gt;</v>
      </c>
      <c r="K14647" s="1013"/>
    </row>
    <row r="14648" spans="1:11" s="1011" customFormat="1" ht="15" x14ac:dyDescent="0.25">
      <c r="A14648" s="859">
        <f t="shared" si="328"/>
        <v>14647</v>
      </c>
      <c r="B14648" s="845" t="s">
        <v>2564</v>
      </c>
      <c r="C14648" s="1007">
        <f t="shared" si="329"/>
        <v>130</v>
      </c>
      <c r="D14648" s="1014"/>
      <c r="H14648" s="1011" t="s">
        <v>1010</v>
      </c>
      <c r="K14648" s="1013"/>
    </row>
    <row r="14649" spans="1:11" s="1011" customFormat="1" ht="15" x14ac:dyDescent="0.25">
      <c r="A14649" s="859">
        <f t="shared" si="328"/>
        <v>14648</v>
      </c>
      <c r="B14649" s="845" t="s">
        <v>2564</v>
      </c>
      <c r="C14649" s="1007">
        <f t="shared" si="329"/>
        <v>130</v>
      </c>
      <c r="D14649" s="1012"/>
      <c r="H14649" s="1011" t="s">
        <v>1007</v>
      </c>
      <c r="K14649" s="1013"/>
    </row>
    <row r="14650" spans="1:11" s="1011" customFormat="1" ht="15" x14ac:dyDescent="0.25">
      <c r="A14650" s="859">
        <f t="shared" si="328"/>
        <v>14649</v>
      </c>
      <c r="B14650" s="845" t="s">
        <v>2564</v>
      </c>
      <c r="C14650" s="1007">
        <f t="shared" si="329"/>
        <v>130</v>
      </c>
      <c r="D14650" s="1015"/>
      <c r="I14650" s="1011" t="s">
        <v>2176</v>
      </c>
      <c r="K14650" s="1013"/>
    </row>
    <row r="14651" spans="1:11" s="1011" customFormat="1" ht="15" x14ac:dyDescent="0.25">
      <c r="A14651" s="859">
        <f t="shared" si="328"/>
        <v>14650</v>
      </c>
      <c r="B14651" s="845" t="s">
        <v>2564</v>
      </c>
      <c r="C14651" s="1007">
        <f t="shared" si="329"/>
        <v>130</v>
      </c>
      <c r="D14651" s="1012"/>
      <c r="I14651" s="1011" t="str">
        <f>CONCATENATE("&lt;valeur&gt;",VLOOKUP(C14651,'T16 Amort'!A:K,4,0),"&lt;/valeur&gt;")</f>
        <v>&lt;valeur&gt;&lt;/valeur&gt;</v>
      </c>
      <c r="K14651" s="1013"/>
    </row>
    <row r="14652" spans="1:11" s="1011" customFormat="1" ht="15" x14ac:dyDescent="0.25">
      <c r="A14652" s="859">
        <f t="shared" si="328"/>
        <v>14651</v>
      </c>
      <c r="B14652" s="845" t="s">
        <v>2564</v>
      </c>
      <c r="C14652" s="1007">
        <f t="shared" si="329"/>
        <v>130</v>
      </c>
      <c r="D14652" s="1012"/>
      <c r="I14652" s="1011" t="str">
        <f>CONCATENATE("&lt;numeroLigne&gt;",C14652,"&lt;/numeroLigne&gt;")</f>
        <v>&lt;numeroLigne&gt;130&lt;/numeroLigne&gt;</v>
      </c>
      <c r="K14652" s="1013"/>
    </row>
    <row r="14653" spans="1:11" s="1011" customFormat="1" ht="15" x14ac:dyDescent="0.25">
      <c r="A14653" s="859">
        <f t="shared" si="328"/>
        <v>14652</v>
      </c>
      <c r="B14653" s="845" t="s">
        <v>2564</v>
      </c>
      <c r="C14653" s="1007">
        <f t="shared" si="329"/>
        <v>130</v>
      </c>
      <c r="D14653" s="1014"/>
      <c r="H14653" s="1011" t="s">
        <v>1010</v>
      </c>
      <c r="K14653" s="1013"/>
    </row>
    <row r="14654" spans="1:11" s="1011" customFormat="1" ht="15" x14ac:dyDescent="0.25">
      <c r="A14654" s="859">
        <f t="shared" si="328"/>
        <v>14653</v>
      </c>
      <c r="B14654" s="845" t="s">
        <v>2564</v>
      </c>
      <c r="C14654" s="1007">
        <f t="shared" si="329"/>
        <v>130</v>
      </c>
      <c r="D14654" s="1014"/>
      <c r="H14654" s="1011" t="s">
        <v>1007</v>
      </c>
      <c r="K14654" s="1013"/>
    </row>
    <row r="14655" spans="1:11" s="1011" customFormat="1" ht="15" x14ac:dyDescent="0.25">
      <c r="A14655" s="859">
        <f t="shared" si="328"/>
        <v>14654</v>
      </c>
      <c r="B14655" s="845" t="s">
        <v>2564</v>
      </c>
      <c r="C14655" s="1007">
        <f t="shared" si="329"/>
        <v>130</v>
      </c>
      <c r="D14655" s="1012"/>
      <c r="I14655" s="1011" t="s">
        <v>2177</v>
      </c>
      <c r="K14655" s="1013"/>
    </row>
    <row r="14656" spans="1:11" s="1011" customFormat="1" ht="15" x14ac:dyDescent="0.25">
      <c r="A14656" s="859">
        <f t="shared" si="328"/>
        <v>14655</v>
      </c>
      <c r="B14656" s="845" t="s">
        <v>2564</v>
      </c>
      <c r="C14656" s="1007">
        <f t="shared" si="329"/>
        <v>130</v>
      </c>
      <c r="D14656" s="1015"/>
      <c r="I14656" s="1011" t="str">
        <f>CONCATENATE("&lt;valeur&gt;",VLOOKUP(C14656,'T16 Amort'!A:K,5,0),"&lt;/valeur&gt;")</f>
        <v>&lt;valeur&gt;&lt;/valeur&gt;</v>
      </c>
      <c r="K14656" s="1013"/>
    </row>
    <row r="14657" spans="1:11" s="1011" customFormat="1" ht="15" x14ac:dyDescent="0.25">
      <c r="A14657" s="859">
        <f t="shared" si="328"/>
        <v>14656</v>
      </c>
      <c r="B14657" s="845" t="s">
        <v>2564</v>
      </c>
      <c r="C14657" s="1007">
        <f t="shared" si="329"/>
        <v>130</v>
      </c>
      <c r="D14657" s="1012"/>
      <c r="I14657" s="1011" t="str">
        <f>CONCATENATE("&lt;numeroLigne&gt;",C14657,"&lt;/numeroLigne&gt;")</f>
        <v>&lt;numeroLigne&gt;130&lt;/numeroLigne&gt;</v>
      </c>
      <c r="K14657" s="1013"/>
    </row>
    <row r="14658" spans="1:11" s="1011" customFormat="1" ht="15" x14ac:dyDescent="0.25">
      <c r="A14658" s="859">
        <f t="shared" si="328"/>
        <v>14657</v>
      </c>
      <c r="B14658" s="845" t="s">
        <v>2564</v>
      </c>
      <c r="C14658" s="1007">
        <f t="shared" si="329"/>
        <v>130</v>
      </c>
      <c r="D14658" s="1012"/>
      <c r="H14658" s="1011" t="s">
        <v>1010</v>
      </c>
      <c r="K14658" s="1013"/>
    </row>
    <row r="14659" spans="1:11" s="1011" customFormat="1" ht="15" x14ac:dyDescent="0.25">
      <c r="A14659" s="859">
        <f t="shared" si="328"/>
        <v>14658</v>
      </c>
      <c r="B14659" s="845" t="s">
        <v>2564</v>
      </c>
      <c r="C14659" s="1007">
        <f t="shared" si="329"/>
        <v>130</v>
      </c>
      <c r="D14659" s="1014"/>
      <c r="H14659" s="1011" t="s">
        <v>1007</v>
      </c>
      <c r="K14659" s="1013"/>
    </row>
    <row r="14660" spans="1:11" s="1011" customFormat="1" ht="15" x14ac:dyDescent="0.25">
      <c r="A14660" s="859">
        <f t="shared" ref="A14660:A14723" si="330">+A14659+1</f>
        <v>14659</v>
      </c>
      <c r="B14660" s="845" t="s">
        <v>2564</v>
      </c>
      <c r="C14660" s="1007">
        <f t="shared" si="329"/>
        <v>130</v>
      </c>
      <c r="D14660" s="1014"/>
      <c r="I14660" s="1011" t="s">
        <v>2178</v>
      </c>
      <c r="K14660" s="1013"/>
    </row>
    <row r="14661" spans="1:11" s="1011" customFormat="1" ht="15" x14ac:dyDescent="0.25">
      <c r="A14661" s="859">
        <f t="shared" si="330"/>
        <v>14660</v>
      </c>
      <c r="B14661" s="845" t="s">
        <v>2564</v>
      </c>
      <c r="C14661" s="1007">
        <f t="shared" si="329"/>
        <v>130</v>
      </c>
      <c r="D14661" s="1012"/>
      <c r="I14661" s="1011" t="str">
        <f>CONCATENATE("&lt;valeur&gt;",VLOOKUP(C14661,'T16 Amort'!A:K,6,0),"&lt;/valeur&gt;")</f>
        <v>&lt;valeur&gt;&lt;/valeur&gt;</v>
      </c>
      <c r="K14661" s="1013"/>
    </row>
    <row r="14662" spans="1:11" s="1011" customFormat="1" ht="15" x14ac:dyDescent="0.25">
      <c r="A14662" s="859">
        <f t="shared" si="330"/>
        <v>14661</v>
      </c>
      <c r="B14662" s="845" t="s">
        <v>2564</v>
      </c>
      <c r="C14662" s="1007">
        <f t="shared" si="329"/>
        <v>130</v>
      </c>
      <c r="D14662" s="1015"/>
      <c r="I14662" s="1011" t="str">
        <f>CONCATENATE("&lt;numeroLigne&gt;",C14662,"&lt;/numeroLigne&gt;")</f>
        <v>&lt;numeroLigne&gt;130&lt;/numeroLigne&gt;</v>
      </c>
      <c r="K14662" s="1013"/>
    </row>
    <row r="14663" spans="1:11" s="1011" customFormat="1" ht="15" x14ac:dyDescent="0.25">
      <c r="A14663" s="859">
        <f t="shared" si="330"/>
        <v>14662</v>
      </c>
      <c r="B14663" s="845" t="s">
        <v>2564</v>
      </c>
      <c r="C14663" s="1007">
        <f t="shared" si="329"/>
        <v>130</v>
      </c>
      <c r="D14663" s="1012"/>
      <c r="H14663" s="1011" t="s">
        <v>1010</v>
      </c>
      <c r="K14663" s="1013"/>
    </row>
    <row r="14664" spans="1:11" s="1011" customFormat="1" ht="15" x14ac:dyDescent="0.25">
      <c r="A14664" s="859">
        <f t="shared" si="330"/>
        <v>14663</v>
      </c>
      <c r="B14664" s="845" t="s">
        <v>2564</v>
      </c>
      <c r="C14664" s="1007">
        <f t="shared" si="329"/>
        <v>130</v>
      </c>
      <c r="D14664" s="1012"/>
      <c r="H14664" s="1011" t="s">
        <v>1007</v>
      </c>
      <c r="K14664" s="1013"/>
    </row>
    <row r="14665" spans="1:11" s="1011" customFormat="1" ht="15" x14ac:dyDescent="0.25">
      <c r="A14665" s="859">
        <f t="shared" si="330"/>
        <v>14664</v>
      </c>
      <c r="B14665" s="845" t="s">
        <v>2564</v>
      </c>
      <c r="C14665" s="1007">
        <f t="shared" si="329"/>
        <v>130</v>
      </c>
      <c r="D14665" s="1014"/>
      <c r="I14665" s="1011" t="s">
        <v>2179</v>
      </c>
      <c r="K14665" s="1013"/>
    </row>
    <row r="14666" spans="1:11" s="1011" customFormat="1" ht="15" x14ac:dyDescent="0.25">
      <c r="A14666" s="859">
        <f t="shared" si="330"/>
        <v>14665</v>
      </c>
      <c r="B14666" s="845" t="s">
        <v>2564</v>
      </c>
      <c r="C14666" s="1007">
        <f t="shared" si="329"/>
        <v>130</v>
      </c>
      <c r="D14666" s="1014"/>
      <c r="I14666" s="1011" t="str">
        <f>CONCATENATE("&lt;valeur&gt;",VLOOKUP(C14666,'T16 Amort'!A:K,7,0),"&lt;/valeur&gt;")</f>
        <v>&lt;valeur&gt;&lt;/valeur&gt;</v>
      </c>
      <c r="K14666" s="1013"/>
    </row>
    <row r="14667" spans="1:11" s="1011" customFormat="1" ht="15" x14ac:dyDescent="0.25">
      <c r="A14667" s="859">
        <f t="shared" si="330"/>
        <v>14666</v>
      </c>
      <c r="B14667" s="845" t="s">
        <v>2564</v>
      </c>
      <c r="C14667" s="1007">
        <f t="shared" si="329"/>
        <v>130</v>
      </c>
      <c r="D14667" s="1012"/>
      <c r="I14667" s="1011" t="str">
        <f>CONCATENATE("&lt;numeroLigne&gt;",C14667,"&lt;/numeroLigne&gt;")</f>
        <v>&lt;numeroLigne&gt;130&lt;/numeroLigne&gt;</v>
      </c>
      <c r="K14667" s="1013"/>
    </row>
    <row r="14668" spans="1:11" s="1011" customFormat="1" ht="15" x14ac:dyDescent="0.25">
      <c r="A14668" s="859">
        <f t="shared" si="330"/>
        <v>14667</v>
      </c>
      <c r="B14668" s="845" t="s">
        <v>2564</v>
      </c>
      <c r="C14668" s="1007">
        <f t="shared" si="329"/>
        <v>130</v>
      </c>
      <c r="D14668" s="1015"/>
      <c r="H14668" s="1011" t="s">
        <v>1010</v>
      </c>
      <c r="K14668" s="1013"/>
    </row>
    <row r="14669" spans="1:11" s="1011" customFormat="1" ht="15" x14ac:dyDescent="0.25">
      <c r="A14669" s="859">
        <f t="shared" si="330"/>
        <v>14668</v>
      </c>
      <c r="B14669" s="845" t="s">
        <v>2564</v>
      </c>
      <c r="C14669" s="1007">
        <f t="shared" si="329"/>
        <v>130</v>
      </c>
      <c r="D14669" s="1012"/>
      <c r="H14669" s="1011" t="s">
        <v>1007</v>
      </c>
      <c r="K14669" s="1013"/>
    </row>
    <row r="14670" spans="1:11" s="1011" customFormat="1" ht="15" x14ac:dyDescent="0.25">
      <c r="A14670" s="859">
        <f t="shared" si="330"/>
        <v>14669</v>
      </c>
      <c r="B14670" s="845" t="s">
        <v>2564</v>
      </c>
      <c r="C14670" s="1007">
        <f t="shared" si="329"/>
        <v>130</v>
      </c>
      <c r="D14670" s="1012"/>
      <c r="I14670" s="1011" t="s">
        <v>2180</v>
      </c>
      <c r="K14670" s="1013"/>
    </row>
    <row r="14671" spans="1:11" s="1011" customFormat="1" ht="15" x14ac:dyDescent="0.25">
      <c r="A14671" s="859">
        <f t="shared" si="330"/>
        <v>14670</v>
      </c>
      <c r="B14671" s="845" t="s">
        <v>2564</v>
      </c>
      <c r="C14671" s="1007">
        <f t="shared" si="329"/>
        <v>130</v>
      </c>
      <c r="D14671" s="1014"/>
      <c r="I14671" s="1011" t="str">
        <f>CONCATENATE("&lt;valeur&gt;",VLOOKUP(C14671,'T16 Amort'!A:K,8,0),"&lt;/valeur&gt;")</f>
        <v>&lt;valeur&gt;&lt;/valeur&gt;</v>
      </c>
      <c r="K14671" s="1013"/>
    </row>
    <row r="14672" spans="1:11" s="1011" customFormat="1" ht="15" x14ac:dyDescent="0.25">
      <c r="A14672" s="859">
        <f t="shared" si="330"/>
        <v>14671</v>
      </c>
      <c r="B14672" s="845" t="s">
        <v>2564</v>
      </c>
      <c r="C14672" s="1007">
        <f t="shared" si="329"/>
        <v>130</v>
      </c>
      <c r="D14672" s="1014"/>
      <c r="I14672" s="1011" t="str">
        <f>CONCATENATE("&lt;numeroLigne&gt;",C14672,"&lt;/numeroLigne&gt;")</f>
        <v>&lt;numeroLigne&gt;130&lt;/numeroLigne&gt;</v>
      </c>
      <c r="K14672" s="1013"/>
    </row>
    <row r="14673" spans="1:11" s="1011" customFormat="1" ht="15" x14ac:dyDescent="0.25">
      <c r="A14673" s="859">
        <f t="shared" si="330"/>
        <v>14672</v>
      </c>
      <c r="B14673" s="845" t="s">
        <v>2564</v>
      </c>
      <c r="C14673" s="1007">
        <f t="shared" si="329"/>
        <v>130</v>
      </c>
      <c r="D14673" s="1012"/>
      <c r="H14673" s="1011" t="s">
        <v>1010</v>
      </c>
      <c r="K14673" s="1013"/>
    </row>
    <row r="14674" spans="1:11" s="1011" customFormat="1" ht="15" x14ac:dyDescent="0.25">
      <c r="A14674" s="859">
        <f t="shared" si="330"/>
        <v>14673</v>
      </c>
      <c r="B14674" s="845" t="s">
        <v>2564</v>
      </c>
      <c r="C14674" s="1007">
        <f t="shared" si="329"/>
        <v>130</v>
      </c>
      <c r="D14674" s="1015"/>
      <c r="H14674" s="1011" t="s">
        <v>1007</v>
      </c>
      <c r="K14674" s="1013"/>
    </row>
    <row r="14675" spans="1:11" s="1011" customFormat="1" ht="15" x14ac:dyDescent="0.25">
      <c r="A14675" s="859">
        <f t="shared" si="330"/>
        <v>14674</v>
      </c>
      <c r="B14675" s="845" t="s">
        <v>2564</v>
      </c>
      <c r="C14675" s="1007">
        <f t="shared" si="329"/>
        <v>130</v>
      </c>
      <c r="D14675" s="1012"/>
      <c r="I14675" s="1011" t="s">
        <v>2181</v>
      </c>
      <c r="K14675" s="1013"/>
    </row>
    <row r="14676" spans="1:11" s="1011" customFormat="1" ht="15" x14ac:dyDescent="0.25">
      <c r="A14676" s="859">
        <f t="shared" si="330"/>
        <v>14675</v>
      </c>
      <c r="B14676" s="845" t="s">
        <v>2564</v>
      </c>
      <c r="C14676" s="1007">
        <f t="shared" si="329"/>
        <v>130</v>
      </c>
      <c r="D14676" s="1012"/>
      <c r="I14676" s="1011" t="str">
        <f>CONCATENATE("&lt;valeur&gt;",VLOOKUP(C14676,'T16 Amort'!A:K,9,0),"&lt;/valeur&gt;")</f>
        <v>&lt;valeur&gt;&lt;/valeur&gt;</v>
      </c>
      <c r="K14676" s="1013"/>
    </row>
    <row r="14677" spans="1:11" s="1011" customFormat="1" ht="15" x14ac:dyDescent="0.25">
      <c r="A14677" s="859">
        <f t="shared" si="330"/>
        <v>14676</v>
      </c>
      <c r="B14677" s="845" t="s">
        <v>2564</v>
      </c>
      <c r="C14677" s="1007">
        <f t="shared" si="329"/>
        <v>130</v>
      </c>
      <c r="D14677" s="1014"/>
      <c r="I14677" s="1011" t="str">
        <f>CONCATENATE("&lt;numeroLigne&gt;",C14677,"&lt;/numeroLigne&gt;")</f>
        <v>&lt;numeroLigne&gt;130&lt;/numeroLigne&gt;</v>
      </c>
      <c r="K14677" s="1013"/>
    </row>
    <row r="14678" spans="1:11" s="1011" customFormat="1" ht="15" x14ac:dyDescent="0.25">
      <c r="A14678" s="859">
        <f t="shared" si="330"/>
        <v>14677</v>
      </c>
      <c r="B14678" s="845" t="s">
        <v>2564</v>
      </c>
      <c r="C14678" s="1007">
        <f t="shared" si="329"/>
        <v>130</v>
      </c>
      <c r="D14678" s="1014"/>
      <c r="H14678" s="1011" t="s">
        <v>1010</v>
      </c>
      <c r="K14678" s="1013"/>
    </row>
    <row r="14679" spans="1:11" s="1011" customFormat="1" ht="15" x14ac:dyDescent="0.25">
      <c r="A14679" s="859">
        <f t="shared" si="330"/>
        <v>14678</v>
      </c>
      <c r="B14679" s="845" t="s">
        <v>2564</v>
      </c>
      <c r="C14679" s="1007">
        <f t="shared" si="329"/>
        <v>130</v>
      </c>
      <c r="D14679" s="1012"/>
      <c r="H14679" s="1011" t="s">
        <v>1007</v>
      </c>
      <c r="K14679" s="1013"/>
    </row>
    <row r="14680" spans="1:11" s="1011" customFormat="1" ht="15" x14ac:dyDescent="0.25">
      <c r="A14680" s="859">
        <f t="shared" si="330"/>
        <v>14679</v>
      </c>
      <c r="B14680" s="845" t="s">
        <v>2564</v>
      </c>
      <c r="C14680" s="1007">
        <f t="shared" si="329"/>
        <v>130</v>
      </c>
      <c r="D14680" s="1015"/>
      <c r="I14680" s="1011" t="s">
        <v>2182</v>
      </c>
      <c r="K14680" s="1013"/>
    </row>
    <row r="14681" spans="1:11" s="1011" customFormat="1" ht="15" x14ac:dyDescent="0.25">
      <c r="A14681" s="859">
        <f t="shared" si="330"/>
        <v>14680</v>
      </c>
      <c r="B14681" s="845" t="s">
        <v>2564</v>
      </c>
      <c r="C14681" s="1007">
        <f t="shared" si="329"/>
        <v>130</v>
      </c>
      <c r="D14681" s="1012"/>
      <c r="I14681" s="1011" t="str">
        <f>CONCATENATE("&lt;valeur&gt;",VLOOKUP(C14681,'T16 Amort'!A:K,10,0),"&lt;/valeur&gt;")</f>
        <v>&lt;valeur&gt;&lt;/valeur&gt;</v>
      </c>
      <c r="K14681" s="1013"/>
    </row>
    <row r="14682" spans="1:11" s="1011" customFormat="1" ht="15" x14ac:dyDescent="0.25">
      <c r="A14682" s="859">
        <f t="shared" si="330"/>
        <v>14681</v>
      </c>
      <c r="B14682" s="845" t="s">
        <v>2564</v>
      </c>
      <c r="C14682" s="1007">
        <f t="shared" si="329"/>
        <v>130</v>
      </c>
      <c r="D14682" s="1012"/>
      <c r="I14682" s="1011" t="str">
        <f>CONCATENATE("&lt;numeroLigne&gt;",C14682,"&lt;/numeroLigne&gt;")</f>
        <v>&lt;numeroLigne&gt;130&lt;/numeroLigne&gt;</v>
      </c>
      <c r="K14682" s="1013"/>
    </row>
    <row r="14683" spans="1:11" s="1011" customFormat="1" ht="15" x14ac:dyDescent="0.25">
      <c r="A14683" s="859">
        <f t="shared" si="330"/>
        <v>14682</v>
      </c>
      <c r="B14683" s="845" t="s">
        <v>2564</v>
      </c>
      <c r="C14683" s="1007">
        <f t="shared" si="329"/>
        <v>130</v>
      </c>
      <c r="D14683" s="1014"/>
      <c r="H14683" s="1011" t="s">
        <v>1010</v>
      </c>
      <c r="K14683" s="1013"/>
    </row>
    <row r="14684" spans="1:11" s="1011" customFormat="1" ht="15" x14ac:dyDescent="0.25">
      <c r="A14684" s="859">
        <f t="shared" si="330"/>
        <v>14683</v>
      </c>
      <c r="B14684" s="845" t="s">
        <v>2564</v>
      </c>
      <c r="C14684" s="1007">
        <f t="shared" si="329"/>
        <v>130</v>
      </c>
      <c r="D14684" s="1014"/>
      <c r="H14684" s="1011" t="s">
        <v>1007</v>
      </c>
      <c r="K14684" s="1013"/>
    </row>
    <row r="14685" spans="1:11" s="1011" customFormat="1" ht="15" x14ac:dyDescent="0.25">
      <c r="A14685" s="859">
        <f t="shared" si="330"/>
        <v>14684</v>
      </c>
      <c r="B14685" s="845" t="s">
        <v>2564</v>
      </c>
      <c r="C14685" s="1007">
        <f t="shared" si="329"/>
        <v>130</v>
      </c>
      <c r="D14685" s="1012"/>
      <c r="I14685" s="1011" t="s">
        <v>2183</v>
      </c>
      <c r="K14685" s="1013"/>
    </row>
    <row r="14686" spans="1:11" s="1011" customFormat="1" ht="15" x14ac:dyDescent="0.25">
      <c r="A14686" s="859">
        <f t="shared" si="330"/>
        <v>14685</v>
      </c>
      <c r="B14686" s="845" t="s">
        <v>2564</v>
      </c>
      <c r="C14686" s="1007">
        <f t="shared" si="329"/>
        <v>130</v>
      </c>
      <c r="D14686" s="1015"/>
      <c r="I14686" s="1011" t="str">
        <f>CONCATENATE("&lt;valeur&gt;",VLOOKUP(C14686,'T16 Amort'!A:K,11,0),"&lt;/valeur&gt;")</f>
        <v>&lt;valeur&gt;&lt;/valeur&gt;</v>
      </c>
      <c r="K14686" s="1013"/>
    </row>
    <row r="14687" spans="1:11" s="1011" customFormat="1" ht="15" x14ac:dyDescent="0.25">
      <c r="A14687" s="859">
        <f t="shared" si="330"/>
        <v>14686</v>
      </c>
      <c r="B14687" s="845" t="s">
        <v>2564</v>
      </c>
      <c r="C14687" s="1007">
        <f t="shared" si="329"/>
        <v>130</v>
      </c>
      <c r="D14687" s="1012"/>
      <c r="I14687" s="1011" t="str">
        <f>CONCATENATE("&lt;numeroLigne&gt;",C14687,"&lt;/numeroLigne&gt;")</f>
        <v>&lt;numeroLigne&gt;130&lt;/numeroLigne&gt;</v>
      </c>
      <c r="K14687" s="1013"/>
    </row>
    <row r="14688" spans="1:11" s="1011" customFormat="1" ht="15" x14ac:dyDescent="0.25">
      <c r="A14688" s="859">
        <f t="shared" si="330"/>
        <v>14687</v>
      </c>
      <c r="B14688" s="845" t="s">
        <v>2564</v>
      </c>
      <c r="C14688" s="1007">
        <f t="shared" si="329"/>
        <v>130</v>
      </c>
      <c r="D14688" s="1016"/>
      <c r="E14688" s="1017"/>
      <c r="F14688" s="1017"/>
      <c r="G14688" s="1017"/>
      <c r="H14688" s="1017" t="s">
        <v>1010</v>
      </c>
      <c r="I14688" s="1017"/>
      <c r="J14688" s="1017"/>
      <c r="K14688" s="1018"/>
    </row>
    <row r="14689" spans="1:11" s="1011" customFormat="1" ht="15" x14ac:dyDescent="0.25">
      <c r="A14689" s="859">
        <f t="shared" si="330"/>
        <v>14688</v>
      </c>
      <c r="B14689" s="845" t="s">
        <v>2564</v>
      </c>
      <c r="C14689" s="1007">
        <f t="shared" si="329"/>
        <v>131</v>
      </c>
      <c r="D14689" s="1008"/>
      <c r="E14689" s="1009"/>
      <c r="F14689" s="1009"/>
      <c r="G14689" s="1009"/>
      <c r="H14689" s="1009" t="s">
        <v>1007</v>
      </c>
      <c r="I14689" s="1009"/>
      <c r="J14689" s="1009"/>
      <c r="K14689" s="1010"/>
    </row>
    <row r="14690" spans="1:11" s="1011" customFormat="1" ht="15" x14ac:dyDescent="0.25">
      <c r="A14690" s="859">
        <f t="shared" si="330"/>
        <v>14689</v>
      </c>
      <c r="B14690" s="845" t="s">
        <v>2564</v>
      </c>
      <c r="C14690" s="1007">
        <f t="shared" si="329"/>
        <v>131</v>
      </c>
      <c r="D14690" s="1012"/>
      <c r="I14690" s="1011" t="s">
        <v>2174</v>
      </c>
      <c r="K14690" s="1013"/>
    </row>
    <row r="14691" spans="1:11" s="1011" customFormat="1" ht="15" x14ac:dyDescent="0.25">
      <c r="A14691" s="859">
        <f t="shared" si="330"/>
        <v>14690</v>
      </c>
      <c r="B14691" s="845" t="s">
        <v>2564</v>
      </c>
      <c r="C14691" s="1007">
        <f t="shared" si="329"/>
        <v>131</v>
      </c>
      <c r="D14691" s="1014"/>
      <c r="I14691" s="1011" t="str">
        <f>CONCATENATE("&lt;valeur&gt;",VLOOKUP(C14691,'T16 Amort'!A:K,2,0),"&lt;/valeur&gt;")</f>
        <v>&lt;valeur&gt;&lt;/valeur&gt;</v>
      </c>
      <c r="K14691" s="1013"/>
    </row>
    <row r="14692" spans="1:11" s="1011" customFormat="1" ht="15" x14ac:dyDescent="0.25">
      <c r="A14692" s="859">
        <f t="shared" si="330"/>
        <v>14691</v>
      </c>
      <c r="B14692" s="845" t="s">
        <v>2564</v>
      </c>
      <c r="C14692" s="1007">
        <f t="shared" si="329"/>
        <v>131</v>
      </c>
      <c r="D14692" s="1014"/>
      <c r="I14692" s="1011" t="str">
        <f>CONCATENATE("&lt;numeroLigne&gt;",C14692,"&lt;/numeroLigne&gt;")</f>
        <v>&lt;numeroLigne&gt;131&lt;/numeroLigne&gt;</v>
      </c>
      <c r="K14692" s="1013"/>
    </row>
    <row r="14693" spans="1:11" s="1011" customFormat="1" ht="15" x14ac:dyDescent="0.25">
      <c r="A14693" s="859">
        <f t="shared" si="330"/>
        <v>14692</v>
      </c>
      <c r="B14693" s="845" t="s">
        <v>2564</v>
      </c>
      <c r="C14693" s="1007">
        <f t="shared" si="329"/>
        <v>131</v>
      </c>
      <c r="D14693" s="1012"/>
      <c r="H14693" s="1011" t="s">
        <v>1010</v>
      </c>
      <c r="K14693" s="1013"/>
    </row>
    <row r="14694" spans="1:11" s="1011" customFormat="1" ht="15" x14ac:dyDescent="0.25">
      <c r="A14694" s="859">
        <f t="shared" si="330"/>
        <v>14693</v>
      </c>
      <c r="B14694" s="845" t="s">
        <v>2564</v>
      </c>
      <c r="C14694" s="1007">
        <f t="shared" si="329"/>
        <v>131</v>
      </c>
      <c r="D14694" s="1015"/>
      <c r="H14694" s="1011" t="s">
        <v>1007</v>
      </c>
      <c r="K14694" s="1013"/>
    </row>
    <row r="14695" spans="1:11" s="1011" customFormat="1" ht="15" x14ac:dyDescent="0.25">
      <c r="A14695" s="859">
        <f t="shared" si="330"/>
        <v>14694</v>
      </c>
      <c r="B14695" s="845" t="s">
        <v>2564</v>
      </c>
      <c r="C14695" s="1007">
        <f t="shared" si="329"/>
        <v>131</v>
      </c>
      <c r="D14695" s="1012"/>
      <c r="I14695" s="1011" t="s">
        <v>2175</v>
      </c>
      <c r="K14695" s="1013"/>
    </row>
    <row r="14696" spans="1:11" s="1011" customFormat="1" ht="15" x14ac:dyDescent="0.25">
      <c r="A14696" s="859">
        <f t="shared" si="330"/>
        <v>14695</v>
      </c>
      <c r="B14696" s="845" t="s">
        <v>2564</v>
      </c>
      <c r="C14696" s="1007">
        <f t="shared" si="329"/>
        <v>131</v>
      </c>
      <c r="D14696" s="1012"/>
      <c r="I14696" s="1011" t="str">
        <f>CONCATENATE("&lt;valeur&gt;",VLOOKUP(C14696,'T16 Amort'!A:K,3,0),"&lt;/valeur&gt;")</f>
        <v>&lt;valeur&gt;&lt;/valeur&gt;</v>
      </c>
      <c r="K14696" s="1013"/>
    </row>
    <row r="14697" spans="1:11" s="1011" customFormat="1" ht="15" x14ac:dyDescent="0.25">
      <c r="A14697" s="859">
        <f t="shared" si="330"/>
        <v>14696</v>
      </c>
      <c r="B14697" s="845" t="s">
        <v>2564</v>
      </c>
      <c r="C14697" s="1007">
        <f t="shared" si="329"/>
        <v>131</v>
      </c>
      <c r="D14697" s="1014"/>
      <c r="I14697" s="1011" t="str">
        <f>CONCATENATE("&lt;numeroLigne&gt;",C14697,"&lt;/numeroLigne&gt;")</f>
        <v>&lt;numeroLigne&gt;131&lt;/numeroLigne&gt;</v>
      </c>
      <c r="K14697" s="1013"/>
    </row>
    <row r="14698" spans="1:11" s="1011" customFormat="1" ht="15" x14ac:dyDescent="0.25">
      <c r="A14698" s="859">
        <f t="shared" si="330"/>
        <v>14697</v>
      </c>
      <c r="B14698" s="845" t="s">
        <v>2564</v>
      </c>
      <c r="C14698" s="1007">
        <f t="shared" si="329"/>
        <v>131</v>
      </c>
      <c r="D14698" s="1014"/>
      <c r="H14698" s="1011" t="s">
        <v>1010</v>
      </c>
      <c r="K14698" s="1013"/>
    </row>
    <row r="14699" spans="1:11" s="1011" customFormat="1" ht="15" x14ac:dyDescent="0.25">
      <c r="A14699" s="859">
        <f t="shared" si="330"/>
        <v>14698</v>
      </c>
      <c r="B14699" s="845" t="s">
        <v>2564</v>
      </c>
      <c r="C14699" s="1007">
        <f t="shared" si="329"/>
        <v>131</v>
      </c>
      <c r="D14699" s="1012"/>
      <c r="H14699" s="1011" t="s">
        <v>1007</v>
      </c>
      <c r="K14699" s="1013"/>
    </row>
    <row r="14700" spans="1:11" s="1011" customFormat="1" ht="15" x14ac:dyDescent="0.25">
      <c r="A14700" s="859">
        <f t="shared" si="330"/>
        <v>14699</v>
      </c>
      <c r="B14700" s="845" t="s">
        <v>2564</v>
      </c>
      <c r="C14700" s="1007">
        <f t="shared" si="329"/>
        <v>131</v>
      </c>
      <c r="D14700" s="1015"/>
      <c r="I14700" s="1011" t="s">
        <v>2176</v>
      </c>
      <c r="K14700" s="1013"/>
    </row>
    <row r="14701" spans="1:11" s="1011" customFormat="1" ht="15" x14ac:dyDescent="0.25">
      <c r="A14701" s="859">
        <f t="shared" si="330"/>
        <v>14700</v>
      </c>
      <c r="B14701" s="845" t="s">
        <v>2564</v>
      </c>
      <c r="C14701" s="1007">
        <f t="shared" si="329"/>
        <v>131</v>
      </c>
      <c r="D14701" s="1012"/>
      <c r="I14701" s="1011" t="str">
        <f>CONCATENATE("&lt;valeur&gt;",VLOOKUP(C14701,'T16 Amort'!A:K,4,0),"&lt;/valeur&gt;")</f>
        <v>&lt;valeur&gt;&lt;/valeur&gt;</v>
      </c>
      <c r="K14701" s="1013"/>
    </row>
    <row r="14702" spans="1:11" s="1011" customFormat="1" ht="15" x14ac:dyDescent="0.25">
      <c r="A14702" s="859">
        <f t="shared" si="330"/>
        <v>14701</v>
      </c>
      <c r="B14702" s="845" t="s">
        <v>2564</v>
      </c>
      <c r="C14702" s="1007">
        <f t="shared" si="329"/>
        <v>131</v>
      </c>
      <c r="D14702" s="1012"/>
      <c r="I14702" s="1011" t="str">
        <f>CONCATENATE("&lt;numeroLigne&gt;",C14702,"&lt;/numeroLigne&gt;")</f>
        <v>&lt;numeroLigne&gt;131&lt;/numeroLigne&gt;</v>
      </c>
      <c r="K14702" s="1013"/>
    </row>
    <row r="14703" spans="1:11" s="1011" customFormat="1" ht="15" x14ac:dyDescent="0.25">
      <c r="A14703" s="859">
        <f t="shared" si="330"/>
        <v>14702</v>
      </c>
      <c r="B14703" s="845" t="s">
        <v>2564</v>
      </c>
      <c r="C14703" s="1007">
        <f t="shared" ref="C14703:C14766" si="331">C14653+1</f>
        <v>131</v>
      </c>
      <c r="D14703" s="1014"/>
      <c r="H14703" s="1011" t="s">
        <v>1010</v>
      </c>
      <c r="K14703" s="1013"/>
    </row>
    <row r="14704" spans="1:11" s="1011" customFormat="1" ht="15" x14ac:dyDescent="0.25">
      <c r="A14704" s="859">
        <f t="shared" si="330"/>
        <v>14703</v>
      </c>
      <c r="B14704" s="845" t="s">
        <v>2564</v>
      </c>
      <c r="C14704" s="1007">
        <f t="shared" si="331"/>
        <v>131</v>
      </c>
      <c r="D14704" s="1014"/>
      <c r="H14704" s="1011" t="s">
        <v>1007</v>
      </c>
      <c r="K14704" s="1013"/>
    </row>
    <row r="14705" spans="1:11" s="1011" customFormat="1" ht="15" x14ac:dyDescent="0.25">
      <c r="A14705" s="859">
        <f t="shared" si="330"/>
        <v>14704</v>
      </c>
      <c r="B14705" s="845" t="s">
        <v>2564</v>
      </c>
      <c r="C14705" s="1007">
        <f t="shared" si="331"/>
        <v>131</v>
      </c>
      <c r="D14705" s="1012"/>
      <c r="I14705" s="1011" t="s">
        <v>2177</v>
      </c>
      <c r="K14705" s="1013"/>
    </row>
    <row r="14706" spans="1:11" s="1011" customFormat="1" ht="15" x14ac:dyDescent="0.25">
      <c r="A14706" s="859">
        <f t="shared" si="330"/>
        <v>14705</v>
      </c>
      <c r="B14706" s="845" t="s">
        <v>2564</v>
      </c>
      <c r="C14706" s="1007">
        <f t="shared" si="331"/>
        <v>131</v>
      </c>
      <c r="D14706" s="1015"/>
      <c r="I14706" s="1011" t="str">
        <f>CONCATENATE("&lt;valeur&gt;",VLOOKUP(C14706,'T16 Amort'!A:K,5,0),"&lt;/valeur&gt;")</f>
        <v>&lt;valeur&gt;&lt;/valeur&gt;</v>
      </c>
      <c r="K14706" s="1013"/>
    </row>
    <row r="14707" spans="1:11" s="1011" customFormat="1" ht="15" x14ac:dyDescent="0.25">
      <c r="A14707" s="859">
        <f t="shared" si="330"/>
        <v>14706</v>
      </c>
      <c r="B14707" s="845" t="s">
        <v>2564</v>
      </c>
      <c r="C14707" s="1007">
        <f t="shared" si="331"/>
        <v>131</v>
      </c>
      <c r="D14707" s="1012"/>
      <c r="I14707" s="1011" t="str">
        <f>CONCATENATE("&lt;numeroLigne&gt;",C14707,"&lt;/numeroLigne&gt;")</f>
        <v>&lt;numeroLigne&gt;131&lt;/numeroLigne&gt;</v>
      </c>
      <c r="K14707" s="1013"/>
    </row>
    <row r="14708" spans="1:11" s="1011" customFormat="1" ht="15" x14ac:dyDescent="0.25">
      <c r="A14708" s="859">
        <f t="shared" si="330"/>
        <v>14707</v>
      </c>
      <c r="B14708" s="845" t="s">
        <v>2564</v>
      </c>
      <c r="C14708" s="1007">
        <f t="shared" si="331"/>
        <v>131</v>
      </c>
      <c r="D14708" s="1012"/>
      <c r="H14708" s="1011" t="s">
        <v>1010</v>
      </c>
      <c r="K14708" s="1013"/>
    </row>
    <row r="14709" spans="1:11" s="1011" customFormat="1" ht="15" x14ac:dyDescent="0.25">
      <c r="A14709" s="859">
        <f t="shared" si="330"/>
        <v>14708</v>
      </c>
      <c r="B14709" s="845" t="s">
        <v>2564</v>
      </c>
      <c r="C14709" s="1007">
        <f t="shared" si="331"/>
        <v>131</v>
      </c>
      <c r="D14709" s="1014"/>
      <c r="H14709" s="1011" t="s">
        <v>1007</v>
      </c>
      <c r="K14709" s="1013"/>
    </row>
    <row r="14710" spans="1:11" s="1011" customFormat="1" ht="15" x14ac:dyDescent="0.25">
      <c r="A14710" s="859">
        <f t="shared" si="330"/>
        <v>14709</v>
      </c>
      <c r="B14710" s="845" t="s">
        <v>2564</v>
      </c>
      <c r="C14710" s="1007">
        <f t="shared" si="331"/>
        <v>131</v>
      </c>
      <c r="D14710" s="1014"/>
      <c r="I14710" s="1011" t="s">
        <v>2178</v>
      </c>
      <c r="K14710" s="1013"/>
    </row>
    <row r="14711" spans="1:11" s="1011" customFormat="1" ht="15" x14ac:dyDescent="0.25">
      <c r="A14711" s="859">
        <f t="shared" si="330"/>
        <v>14710</v>
      </c>
      <c r="B14711" s="845" t="s">
        <v>2564</v>
      </c>
      <c r="C14711" s="1007">
        <f t="shared" si="331"/>
        <v>131</v>
      </c>
      <c r="D14711" s="1012"/>
      <c r="I14711" s="1011" t="str">
        <f>CONCATENATE("&lt;valeur&gt;",VLOOKUP(C14711,'T16 Amort'!A:K,6,0),"&lt;/valeur&gt;")</f>
        <v>&lt;valeur&gt;&lt;/valeur&gt;</v>
      </c>
      <c r="K14711" s="1013"/>
    </row>
    <row r="14712" spans="1:11" s="1011" customFormat="1" ht="15" x14ac:dyDescent="0.25">
      <c r="A14712" s="859">
        <f t="shared" si="330"/>
        <v>14711</v>
      </c>
      <c r="B14712" s="845" t="s">
        <v>2564</v>
      </c>
      <c r="C14712" s="1007">
        <f t="shared" si="331"/>
        <v>131</v>
      </c>
      <c r="D14712" s="1015"/>
      <c r="I14712" s="1011" t="str">
        <f>CONCATENATE("&lt;numeroLigne&gt;",C14712,"&lt;/numeroLigne&gt;")</f>
        <v>&lt;numeroLigne&gt;131&lt;/numeroLigne&gt;</v>
      </c>
      <c r="K14712" s="1013"/>
    </row>
    <row r="14713" spans="1:11" s="1011" customFormat="1" ht="15" x14ac:dyDescent="0.25">
      <c r="A14713" s="859">
        <f t="shared" si="330"/>
        <v>14712</v>
      </c>
      <c r="B14713" s="845" t="s">
        <v>2564</v>
      </c>
      <c r="C14713" s="1007">
        <f t="shared" si="331"/>
        <v>131</v>
      </c>
      <c r="D14713" s="1012"/>
      <c r="H14713" s="1011" t="s">
        <v>1010</v>
      </c>
      <c r="K14713" s="1013"/>
    </row>
    <row r="14714" spans="1:11" s="1011" customFormat="1" ht="15" x14ac:dyDescent="0.25">
      <c r="A14714" s="859">
        <f t="shared" si="330"/>
        <v>14713</v>
      </c>
      <c r="B14714" s="845" t="s">
        <v>2564</v>
      </c>
      <c r="C14714" s="1007">
        <f t="shared" si="331"/>
        <v>131</v>
      </c>
      <c r="D14714" s="1012"/>
      <c r="H14714" s="1011" t="s">
        <v>1007</v>
      </c>
      <c r="K14714" s="1013"/>
    </row>
    <row r="14715" spans="1:11" s="1011" customFormat="1" ht="15" x14ac:dyDescent="0.25">
      <c r="A14715" s="859">
        <f t="shared" si="330"/>
        <v>14714</v>
      </c>
      <c r="B14715" s="845" t="s">
        <v>2564</v>
      </c>
      <c r="C14715" s="1007">
        <f t="shared" si="331"/>
        <v>131</v>
      </c>
      <c r="D14715" s="1014"/>
      <c r="I14715" s="1011" t="s">
        <v>2179</v>
      </c>
      <c r="K14715" s="1013"/>
    </row>
    <row r="14716" spans="1:11" s="1011" customFormat="1" ht="15" x14ac:dyDescent="0.25">
      <c r="A14716" s="859">
        <f t="shared" si="330"/>
        <v>14715</v>
      </c>
      <c r="B14716" s="845" t="s">
        <v>2564</v>
      </c>
      <c r="C14716" s="1007">
        <f t="shared" si="331"/>
        <v>131</v>
      </c>
      <c r="D14716" s="1014"/>
      <c r="I14716" s="1011" t="str">
        <f>CONCATENATE("&lt;valeur&gt;",VLOOKUP(C14716,'T16 Amort'!A:K,7,0),"&lt;/valeur&gt;")</f>
        <v>&lt;valeur&gt;&lt;/valeur&gt;</v>
      </c>
      <c r="K14716" s="1013"/>
    </row>
    <row r="14717" spans="1:11" s="1011" customFormat="1" ht="15" x14ac:dyDescent="0.25">
      <c r="A14717" s="859">
        <f t="shared" si="330"/>
        <v>14716</v>
      </c>
      <c r="B14717" s="845" t="s">
        <v>2564</v>
      </c>
      <c r="C14717" s="1007">
        <f t="shared" si="331"/>
        <v>131</v>
      </c>
      <c r="D14717" s="1012"/>
      <c r="I14717" s="1011" t="str">
        <f>CONCATENATE("&lt;numeroLigne&gt;",C14717,"&lt;/numeroLigne&gt;")</f>
        <v>&lt;numeroLigne&gt;131&lt;/numeroLigne&gt;</v>
      </c>
      <c r="K14717" s="1013"/>
    </row>
    <row r="14718" spans="1:11" s="1011" customFormat="1" ht="15" x14ac:dyDescent="0.25">
      <c r="A14718" s="859">
        <f t="shared" si="330"/>
        <v>14717</v>
      </c>
      <c r="B14718" s="845" t="s">
        <v>2564</v>
      </c>
      <c r="C14718" s="1007">
        <f t="shared" si="331"/>
        <v>131</v>
      </c>
      <c r="D14718" s="1015"/>
      <c r="H14718" s="1011" t="s">
        <v>1010</v>
      </c>
      <c r="K14718" s="1013"/>
    </row>
    <row r="14719" spans="1:11" s="1011" customFormat="1" ht="15" x14ac:dyDescent="0.25">
      <c r="A14719" s="859">
        <f t="shared" si="330"/>
        <v>14718</v>
      </c>
      <c r="B14719" s="845" t="s">
        <v>2564</v>
      </c>
      <c r="C14719" s="1007">
        <f t="shared" si="331"/>
        <v>131</v>
      </c>
      <c r="D14719" s="1012"/>
      <c r="H14719" s="1011" t="s">
        <v>1007</v>
      </c>
      <c r="K14719" s="1013"/>
    </row>
    <row r="14720" spans="1:11" s="1011" customFormat="1" ht="15" x14ac:dyDescent="0.25">
      <c r="A14720" s="859">
        <f t="shared" si="330"/>
        <v>14719</v>
      </c>
      <c r="B14720" s="845" t="s">
        <v>2564</v>
      </c>
      <c r="C14720" s="1007">
        <f t="shared" si="331"/>
        <v>131</v>
      </c>
      <c r="D14720" s="1012"/>
      <c r="I14720" s="1011" t="s">
        <v>2180</v>
      </c>
      <c r="K14720" s="1013"/>
    </row>
    <row r="14721" spans="1:11" s="1011" customFormat="1" ht="15" x14ac:dyDescent="0.25">
      <c r="A14721" s="859">
        <f t="shared" si="330"/>
        <v>14720</v>
      </c>
      <c r="B14721" s="845" t="s">
        <v>2564</v>
      </c>
      <c r="C14721" s="1007">
        <f t="shared" si="331"/>
        <v>131</v>
      </c>
      <c r="D14721" s="1014"/>
      <c r="I14721" s="1011" t="str">
        <f>CONCATENATE("&lt;valeur&gt;",VLOOKUP(C14721,'T16 Amort'!A:K,8,0),"&lt;/valeur&gt;")</f>
        <v>&lt;valeur&gt;&lt;/valeur&gt;</v>
      </c>
      <c r="K14721" s="1013"/>
    </row>
    <row r="14722" spans="1:11" s="1011" customFormat="1" ht="15" x14ac:dyDescent="0.25">
      <c r="A14722" s="859">
        <f t="shared" si="330"/>
        <v>14721</v>
      </c>
      <c r="B14722" s="845" t="s">
        <v>2564</v>
      </c>
      <c r="C14722" s="1007">
        <f t="shared" si="331"/>
        <v>131</v>
      </c>
      <c r="D14722" s="1014"/>
      <c r="I14722" s="1011" t="str">
        <f>CONCATENATE("&lt;numeroLigne&gt;",C14722,"&lt;/numeroLigne&gt;")</f>
        <v>&lt;numeroLigne&gt;131&lt;/numeroLigne&gt;</v>
      </c>
      <c r="K14722" s="1013"/>
    </row>
    <row r="14723" spans="1:11" s="1011" customFormat="1" ht="15" x14ac:dyDescent="0.25">
      <c r="A14723" s="859">
        <f t="shared" si="330"/>
        <v>14722</v>
      </c>
      <c r="B14723" s="845" t="s">
        <v>2564</v>
      </c>
      <c r="C14723" s="1007">
        <f t="shared" si="331"/>
        <v>131</v>
      </c>
      <c r="D14723" s="1012"/>
      <c r="H14723" s="1011" t="s">
        <v>1010</v>
      </c>
      <c r="K14723" s="1013"/>
    </row>
    <row r="14724" spans="1:11" s="1011" customFormat="1" ht="15" x14ac:dyDescent="0.25">
      <c r="A14724" s="859">
        <f t="shared" ref="A14724:A14787" si="332">+A14723+1</f>
        <v>14723</v>
      </c>
      <c r="B14724" s="845" t="s">
        <v>2564</v>
      </c>
      <c r="C14724" s="1007">
        <f t="shared" si="331"/>
        <v>131</v>
      </c>
      <c r="D14724" s="1015"/>
      <c r="H14724" s="1011" t="s">
        <v>1007</v>
      </c>
      <c r="K14724" s="1013"/>
    </row>
    <row r="14725" spans="1:11" s="1011" customFormat="1" ht="15" x14ac:dyDescent="0.25">
      <c r="A14725" s="859">
        <f t="shared" si="332"/>
        <v>14724</v>
      </c>
      <c r="B14725" s="845" t="s">
        <v>2564</v>
      </c>
      <c r="C14725" s="1007">
        <f t="shared" si="331"/>
        <v>131</v>
      </c>
      <c r="D14725" s="1012"/>
      <c r="I14725" s="1011" t="s">
        <v>2181</v>
      </c>
      <c r="K14725" s="1013"/>
    </row>
    <row r="14726" spans="1:11" s="1011" customFormat="1" ht="15" x14ac:dyDescent="0.25">
      <c r="A14726" s="859">
        <f t="shared" si="332"/>
        <v>14725</v>
      </c>
      <c r="B14726" s="845" t="s">
        <v>2564</v>
      </c>
      <c r="C14726" s="1007">
        <f t="shared" si="331"/>
        <v>131</v>
      </c>
      <c r="D14726" s="1012"/>
      <c r="I14726" s="1011" t="str">
        <f>CONCATENATE("&lt;valeur&gt;",VLOOKUP(C14726,'T16 Amort'!A:K,9,0),"&lt;/valeur&gt;")</f>
        <v>&lt;valeur&gt;&lt;/valeur&gt;</v>
      </c>
      <c r="K14726" s="1013"/>
    </row>
    <row r="14727" spans="1:11" s="1011" customFormat="1" ht="15" x14ac:dyDescent="0.25">
      <c r="A14727" s="859">
        <f t="shared" si="332"/>
        <v>14726</v>
      </c>
      <c r="B14727" s="845" t="s">
        <v>2564</v>
      </c>
      <c r="C14727" s="1007">
        <f t="shared" si="331"/>
        <v>131</v>
      </c>
      <c r="D14727" s="1014"/>
      <c r="I14727" s="1011" t="str">
        <f>CONCATENATE("&lt;numeroLigne&gt;",C14727,"&lt;/numeroLigne&gt;")</f>
        <v>&lt;numeroLigne&gt;131&lt;/numeroLigne&gt;</v>
      </c>
      <c r="K14727" s="1013"/>
    </row>
    <row r="14728" spans="1:11" s="1011" customFormat="1" ht="15" x14ac:dyDescent="0.25">
      <c r="A14728" s="859">
        <f t="shared" si="332"/>
        <v>14727</v>
      </c>
      <c r="B14728" s="845" t="s">
        <v>2564</v>
      </c>
      <c r="C14728" s="1007">
        <f t="shared" si="331"/>
        <v>131</v>
      </c>
      <c r="D14728" s="1014"/>
      <c r="H14728" s="1011" t="s">
        <v>1010</v>
      </c>
      <c r="K14728" s="1013"/>
    </row>
    <row r="14729" spans="1:11" s="1011" customFormat="1" ht="15" x14ac:dyDescent="0.25">
      <c r="A14729" s="859">
        <f t="shared" si="332"/>
        <v>14728</v>
      </c>
      <c r="B14729" s="845" t="s">
        <v>2564</v>
      </c>
      <c r="C14729" s="1007">
        <f t="shared" si="331"/>
        <v>131</v>
      </c>
      <c r="D14729" s="1012"/>
      <c r="H14729" s="1011" t="s">
        <v>1007</v>
      </c>
      <c r="K14729" s="1013"/>
    </row>
    <row r="14730" spans="1:11" s="1011" customFormat="1" ht="15" x14ac:dyDescent="0.25">
      <c r="A14730" s="859">
        <f t="shared" si="332"/>
        <v>14729</v>
      </c>
      <c r="B14730" s="845" t="s">
        <v>2564</v>
      </c>
      <c r="C14730" s="1007">
        <f t="shared" si="331"/>
        <v>131</v>
      </c>
      <c r="D14730" s="1015"/>
      <c r="I14730" s="1011" t="s">
        <v>2182</v>
      </c>
      <c r="K14730" s="1013"/>
    </row>
    <row r="14731" spans="1:11" s="1011" customFormat="1" ht="15" x14ac:dyDescent="0.25">
      <c r="A14731" s="859">
        <f t="shared" si="332"/>
        <v>14730</v>
      </c>
      <c r="B14731" s="845" t="s">
        <v>2564</v>
      </c>
      <c r="C14731" s="1007">
        <f t="shared" si="331"/>
        <v>131</v>
      </c>
      <c r="D14731" s="1012"/>
      <c r="I14731" s="1011" t="str">
        <f>CONCATENATE("&lt;valeur&gt;",VLOOKUP(C14731,'T16 Amort'!A:K,10,0),"&lt;/valeur&gt;")</f>
        <v>&lt;valeur&gt;&lt;/valeur&gt;</v>
      </c>
      <c r="K14731" s="1013"/>
    </row>
    <row r="14732" spans="1:11" s="1011" customFormat="1" ht="15" x14ac:dyDescent="0.25">
      <c r="A14732" s="859">
        <f t="shared" si="332"/>
        <v>14731</v>
      </c>
      <c r="B14732" s="845" t="s">
        <v>2564</v>
      </c>
      <c r="C14732" s="1007">
        <f t="shared" si="331"/>
        <v>131</v>
      </c>
      <c r="D14732" s="1012"/>
      <c r="I14732" s="1011" t="str">
        <f>CONCATENATE("&lt;numeroLigne&gt;",C14732,"&lt;/numeroLigne&gt;")</f>
        <v>&lt;numeroLigne&gt;131&lt;/numeroLigne&gt;</v>
      </c>
      <c r="K14732" s="1013"/>
    </row>
    <row r="14733" spans="1:11" s="1011" customFormat="1" ht="15" x14ac:dyDescent="0.25">
      <c r="A14733" s="859">
        <f t="shared" si="332"/>
        <v>14732</v>
      </c>
      <c r="B14733" s="845" t="s">
        <v>2564</v>
      </c>
      <c r="C14733" s="1007">
        <f t="shared" si="331"/>
        <v>131</v>
      </c>
      <c r="D14733" s="1014"/>
      <c r="H14733" s="1011" t="s">
        <v>1010</v>
      </c>
      <c r="K14733" s="1013"/>
    </row>
    <row r="14734" spans="1:11" s="1011" customFormat="1" ht="15" x14ac:dyDescent="0.25">
      <c r="A14734" s="859">
        <f t="shared" si="332"/>
        <v>14733</v>
      </c>
      <c r="B14734" s="845" t="s">
        <v>2564</v>
      </c>
      <c r="C14734" s="1007">
        <f t="shared" si="331"/>
        <v>131</v>
      </c>
      <c r="D14734" s="1014"/>
      <c r="H14734" s="1011" t="s">
        <v>1007</v>
      </c>
      <c r="K14734" s="1013"/>
    </row>
    <row r="14735" spans="1:11" s="1011" customFormat="1" ht="15" x14ac:dyDescent="0.25">
      <c r="A14735" s="859">
        <f t="shared" si="332"/>
        <v>14734</v>
      </c>
      <c r="B14735" s="845" t="s">
        <v>2564</v>
      </c>
      <c r="C14735" s="1007">
        <f t="shared" si="331"/>
        <v>131</v>
      </c>
      <c r="D14735" s="1012"/>
      <c r="I14735" s="1011" t="s">
        <v>2183</v>
      </c>
      <c r="K14735" s="1013"/>
    </row>
    <row r="14736" spans="1:11" s="1011" customFormat="1" ht="15" x14ac:dyDescent="0.25">
      <c r="A14736" s="859">
        <f t="shared" si="332"/>
        <v>14735</v>
      </c>
      <c r="B14736" s="845" t="s">
        <v>2564</v>
      </c>
      <c r="C14736" s="1007">
        <f t="shared" si="331"/>
        <v>131</v>
      </c>
      <c r="D14736" s="1015"/>
      <c r="I14736" s="1011" t="str">
        <f>CONCATENATE("&lt;valeur&gt;",VLOOKUP(C14736,'T16 Amort'!A:K,11,0),"&lt;/valeur&gt;")</f>
        <v>&lt;valeur&gt;&lt;/valeur&gt;</v>
      </c>
      <c r="K14736" s="1013"/>
    </row>
    <row r="14737" spans="1:11" s="1011" customFormat="1" ht="15" x14ac:dyDescent="0.25">
      <c r="A14737" s="859">
        <f t="shared" si="332"/>
        <v>14736</v>
      </c>
      <c r="B14737" s="845" t="s">
        <v>2564</v>
      </c>
      <c r="C14737" s="1007">
        <f t="shared" si="331"/>
        <v>131</v>
      </c>
      <c r="D14737" s="1012"/>
      <c r="I14737" s="1011" t="str">
        <f>CONCATENATE("&lt;numeroLigne&gt;",C14737,"&lt;/numeroLigne&gt;")</f>
        <v>&lt;numeroLigne&gt;131&lt;/numeroLigne&gt;</v>
      </c>
      <c r="K14737" s="1013"/>
    </row>
    <row r="14738" spans="1:11" s="1011" customFormat="1" ht="15" x14ac:dyDescent="0.25">
      <c r="A14738" s="859">
        <f t="shared" si="332"/>
        <v>14737</v>
      </c>
      <c r="B14738" s="845" t="s">
        <v>2564</v>
      </c>
      <c r="C14738" s="1007">
        <f t="shared" si="331"/>
        <v>131</v>
      </c>
      <c r="D14738" s="1016"/>
      <c r="E14738" s="1017"/>
      <c r="F14738" s="1017"/>
      <c r="G14738" s="1017"/>
      <c r="H14738" s="1017" t="s">
        <v>1010</v>
      </c>
      <c r="I14738" s="1017"/>
      <c r="J14738" s="1017"/>
      <c r="K14738" s="1018"/>
    </row>
    <row r="14739" spans="1:11" s="1011" customFormat="1" ht="15" x14ac:dyDescent="0.25">
      <c r="A14739" s="859">
        <f t="shared" si="332"/>
        <v>14738</v>
      </c>
      <c r="B14739" s="845" t="s">
        <v>2564</v>
      </c>
      <c r="C14739" s="1007">
        <f t="shared" si="331"/>
        <v>132</v>
      </c>
      <c r="D14739" s="1008"/>
      <c r="E14739" s="1009"/>
      <c r="F14739" s="1009"/>
      <c r="G14739" s="1009"/>
      <c r="H14739" s="1009" t="s">
        <v>1007</v>
      </c>
      <c r="I14739" s="1009"/>
      <c r="J14739" s="1009"/>
      <c r="K14739" s="1010"/>
    </row>
    <row r="14740" spans="1:11" s="1011" customFormat="1" ht="15" x14ac:dyDescent="0.25">
      <c r="A14740" s="859">
        <f t="shared" si="332"/>
        <v>14739</v>
      </c>
      <c r="B14740" s="845" t="s">
        <v>2564</v>
      </c>
      <c r="C14740" s="1007">
        <f t="shared" si="331"/>
        <v>132</v>
      </c>
      <c r="D14740" s="1012"/>
      <c r="I14740" s="1011" t="s">
        <v>2174</v>
      </c>
      <c r="K14740" s="1013"/>
    </row>
    <row r="14741" spans="1:11" s="1011" customFormat="1" ht="15" x14ac:dyDescent="0.25">
      <c r="A14741" s="859">
        <f t="shared" si="332"/>
        <v>14740</v>
      </c>
      <c r="B14741" s="845" t="s">
        <v>2564</v>
      </c>
      <c r="C14741" s="1007">
        <f t="shared" si="331"/>
        <v>132</v>
      </c>
      <c r="D14741" s="1014"/>
      <c r="I14741" s="1011" t="str">
        <f>CONCATENATE("&lt;valeur&gt;",VLOOKUP(C14741,'T16 Amort'!A:K,2,0),"&lt;/valeur&gt;")</f>
        <v>&lt;valeur&gt;&lt;/valeur&gt;</v>
      </c>
      <c r="K14741" s="1013"/>
    </row>
    <row r="14742" spans="1:11" s="1011" customFormat="1" ht="15" x14ac:dyDescent="0.25">
      <c r="A14742" s="859">
        <f t="shared" si="332"/>
        <v>14741</v>
      </c>
      <c r="B14742" s="845" t="s">
        <v>2564</v>
      </c>
      <c r="C14742" s="1007">
        <f t="shared" si="331"/>
        <v>132</v>
      </c>
      <c r="D14742" s="1014"/>
      <c r="I14742" s="1011" t="str">
        <f>CONCATENATE("&lt;numeroLigne&gt;",C14742,"&lt;/numeroLigne&gt;")</f>
        <v>&lt;numeroLigne&gt;132&lt;/numeroLigne&gt;</v>
      </c>
      <c r="K14742" s="1013"/>
    </row>
    <row r="14743" spans="1:11" s="1011" customFormat="1" ht="15" x14ac:dyDescent="0.25">
      <c r="A14743" s="859">
        <f t="shared" si="332"/>
        <v>14742</v>
      </c>
      <c r="B14743" s="845" t="s">
        <v>2564</v>
      </c>
      <c r="C14743" s="1007">
        <f t="shared" si="331"/>
        <v>132</v>
      </c>
      <c r="D14743" s="1012"/>
      <c r="H14743" s="1011" t="s">
        <v>1010</v>
      </c>
      <c r="K14743" s="1013"/>
    </row>
    <row r="14744" spans="1:11" s="1011" customFormat="1" ht="15" x14ac:dyDescent="0.25">
      <c r="A14744" s="859">
        <f t="shared" si="332"/>
        <v>14743</v>
      </c>
      <c r="B14744" s="845" t="s">
        <v>2564</v>
      </c>
      <c r="C14744" s="1007">
        <f t="shared" si="331"/>
        <v>132</v>
      </c>
      <c r="D14744" s="1015"/>
      <c r="H14744" s="1011" t="s">
        <v>1007</v>
      </c>
      <c r="K14744" s="1013"/>
    </row>
    <row r="14745" spans="1:11" s="1011" customFormat="1" ht="15" x14ac:dyDescent="0.25">
      <c r="A14745" s="859">
        <f t="shared" si="332"/>
        <v>14744</v>
      </c>
      <c r="B14745" s="845" t="s">
        <v>2564</v>
      </c>
      <c r="C14745" s="1007">
        <f t="shared" si="331"/>
        <v>132</v>
      </c>
      <c r="D14745" s="1012"/>
      <c r="I14745" s="1011" t="s">
        <v>2175</v>
      </c>
      <c r="K14745" s="1013"/>
    </row>
    <row r="14746" spans="1:11" s="1011" customFormat="1" ht="15" x14ac:dyDescent="0.25">
      <c r="A14746" s="859">
        <f t="shared" si="332"/>
        <v>14745</v>
      </c>
      <c r="B14746" s="845" t="s">
        <v>2564</v>
      </c>
      <c r="C14746" s="1007">
        <f t="shared" si="331"/>
        <v>132</v>
      </c>
      <c r="D14746" s="1012"/>
      <c r="I14746" s="1011" t="str">
        <f>CONCATENATE("&lt;valeur&gt;",VLOOKUP(C14746,'T16 Amort'!A:K,3,0),"&lt;/valeur&gt;")</f>
        <v>&lt;valeur&gt;&lt;/valeur&gt;</v>
      </c>
      <c r="K14746" s="1013"/>
    </row>
    <row r="14747" spans="1:11" s="1011" customFormat="1" ht="15" x14ac:dyDescent="0.25">
      <c r="A14747" s="859">
        <f t="shared" si="332"/>
        <v>14746</v>
      </c>
      <c r="B14747" s="845" t="s">
        <v>2564</v>
      </c>
      <c r="C14747" s="1007">
        <f t="shared" si="331"/>
        <v>132</v>
      </c>
      <c r="D14747" s="1014"/>
      <c r="I14747" s="1011" t="str">
        <f>CONCATENATE("&lt;numeroLigne&gt;",C14747,"&lt;/numeroLigne&gt;")</f>
        <v>&lt;numeroLigne&gt;132&lt;/numeroLigne&gt;</v>
      </c>
      <c r="K14747" s="1013"/>
    </row>
    <row r="14748" spans="1:11" s="1011" customFormat="1" ht="15" x14ac:dyDescent="0.25">
      <c r="A14748" s="859">
        <f t="shared" si="332"/>
        <v>14747</v>
      </c>
      <c r="B14748" s="845" t="s">
        <v>2564</v>
      </c>
      <c r="C14748" s="1007">
        <f t="shared" si="331"/>
        <v>132</v>
      </c>
      <c r="D14748" s="1014"/>
      <c r="H14748" s="1011" t="s">
        <v>1010</v>
      </c>
      <c r="K14748" s="1013"/>
    </row>
    <row r="14749" spans="1:11" s="1011" customFormat="1" ht="15" x14ac:dyDescent="0.25">
      <c r="A14749" s="859">
        <f t="shared" si="332"/>
        <v>14748</v>
      </c>
      <c r="B14749" s="845" t="s">
        <v>2564</v>
      </c>
      <c r="C14749" s="1007">
        <f t="shared" si="331"/>
        <v>132</v>
      </c>
      <c r="D14749" s="1012"/>
      <c r="H14749" s="1011" t="s">
        <v>1007</v>
      </c>
      <c r="K14749" s="1013"/>
    </row>
    <row r="14750" spans="1:11" s="1011" customFormat="1" ht="15" x14ac:dyDescent="0.25">
      <c r="A14750" s="859">
        <f t="shared" si="332"/>
        <v>14749</v>
      </c>
      <c r="B14750" s="845" t="s">
        <v>2564</v>
      </c>
      <c r="C14750" s="1007">
        <f t="shared" si="331"/>
        <v>132</v>
      </c>
      <c r="D14750" s="1015"/>
      <c r="I14750" s="1011" t="s">
        <v>2176</v>
      </c>
      <c r="K14750" s="1013"/>
    </row>
    <row r="14751" spans="1:11" s="1011" customFormat="1" ht="15" x14ac:dyDescent="0.25">
      <c r="A14751" s="859">
        <f t="shared" si="332"/>
        <v>14750</v>
      </c>
      <c r="B14751" s="845" t="s">
        <v>2564</v>
      </c>
      <c r="C14751" s="1007">
        <f t="shared" si="331"/>
        <v>132</v>
      </c>
      <c r="D14751" s="1012"/>
      <c r="I14751" s="1011" t="str">
        <f>CONCATENATE("&lt;valeur&gt;",VLOOKUP(C14751,'T16 Amort'!A:K,4,0),"&lt;/valeur&gt;")</f>
        <v>&lt;valeur&gt;&lt;/valeur&gt;</v>
      </c>
      <c r="K14751" s="1013"/>
    </row>
    <row r="14752" spans="1:11" s="1011" customFormat="1" ht="15" x14ac:dyDescent="0.25">
      <c r="A14752" s="859">
        <f t="shared" si="332"/>
        <v>14751</v>
      </c>
      <c r="B14752" s="845" t="s">
        <v>2564</v>
      </c>
      <c r="C14752" s="1007">
        <f t="shared" si="331"/>
        <v>132</v>
      </c>
      <c r="D14752" s="1012"/>
      <c r="I14752" s="1011" t="str">
        <f>CONCATENATE("&lt;numeroLigne&gt;",C14752,"&lt;/numeroLigne&gt;")</f>
        <v>&lt;numeroLigne&gt;132&lt;/numeroLigne&gt;</v>
      </c>
      <c r="K14752" s="1013"/>
    </row>
    <row r="14753" spans="1:11" s="1011" customFormat="1" ht="15" x14ac:dyDescent="0.25">
      <c r="A14753" s="859">
        <f t="shared" si="332"/>
        <v>14752</v>
      </c>
      <c r="B14753" s="845" t="s">
        <v>2564</v>
      </c>
      <c r="C14753" s="1007">
        <f t="shared" si="331"/>
        <v>132</v>
      </c>
      <c r="D14753" s="1014"/>
      <c r="H14753" s="1011" t="s">
        <v>1010</v>
      </c>
      <c r="K14753" s="1013"/>
    </row>
    <row r="14754" spans="1:11" s="1011" customFormat="1" ht="15" x14ac:dyDescent="0.25">
      <c r="A14754" s="859">
        <f t="shared" si="332"/>
        <v>14753</v>
      </c>
      <c r="B14754" s="845" t="s">
        <v>2564</v>
      </c>
      <c r="C14754" s="1007">
        <f t="shared" si="331"/>
        <v>132</v>
      </c>
      <c r="D14754" s="1014"/>
      <c r="H14754" s="1011" t="s">
        <v>1007</v>
      </c>
      <c r="K14754" s="1013"/>
    </row>
    <row r="14755" spans="1:11" s="1011" customFormat="1" ht="15" x14ac:dyDescent="0.25">
      <c r="A14755" s="859">
        <f t="shared" si="332"/>
        <v>14754</v>
      </c>
      <c r="B14755" s="845" t="s">
        <v>2564</v>
      </c>
      <c r="C14755" s="1007">
        <f t="shared" si="331"/>
        <v>132</v>
      </c>
      <c r="D14755" s="1012"/>
      <c r="I14755" s="1011" t="s">
        <v>2177</v>
      </c>
      <c r="K14755" s="1013"/>
    </row>
    <row r="14756" spans="1:11" s="1011" customFormat="1" ht="15" x14ac:dyDescent="0.25">
      <c r="A14756" s="859">
        <f t="shared" si="332"/>
        <v>14755</v>
      </c>
      <c r="B14756" s="845" t="s">
        <v>2564</v>
      </c>
      <c r="C14756" s="1007">
        <f t="shared" si="331"/>
        <v>132</v>
      </c>
      <c r="D14756" s="1015"/>
      <c r="I14756" s="1011" t="str">
        <f>CONCATENATE("&lt;valeur&gt;",VLOOKUP(C14756,'T16 Amort'!A:K,5,0),"&lt;/valeur&gt;")</f>
        <v>&lt;valeur&gt;&lt;/valeur&gt;</v>
      </c>
      <c r="K14756" s="1013"/>
    </row>
    <row r="14757" spans="1:11" s="1011" customFormat="1" ht="15" x14ac:dyDescent="0.25">
      <c r="A14757" s="859">
        <f t="shared" si="332"/>
        <v>14756</v>
      </c>
      <c r="B14757" s="845" t="s">
        <v>2564</v>
      </c>
      <c r="C14757" s="1007">
        <f t="shared" si="331"/>
        <v>132</v>
      </c>
      <c r="D14757" s="1012"/>
      <c r="I14757" s="1011" t="str">
        <f>CONCATENATE("&lt;numeroLigne&gt;",C14757,"&lt;/numeroLigne&gt;")</f>
        <v>&lt;numeroLigne&gt;132&lt;/numeroLigne&gt;</v>
      </c>
      <c r="K14757" s="1013"/>
    </row>
    <row r="14758" spans="1:11" s="1011" customFormat="1" ht="15" x14ac:dyDescent="0.25">
      <c r="A14758" s="859">
        <f t="shared" si="332"/>
        <v>14757</v>
      </c>
      <c r="B14758" s="845" t="s">
        <v>2564</v>
      </c>
      <c r="C14758" s="1007">
        <f t="shared" si="331"/>
        <v>132</v>
      </c>
      <c r="D14758" s="1012"/>
      <c r="H14758" s="1011" t="s">
        <v>1010</v>
      </c>
      <c r="K14758" s="1013"/>
    </row>
    <row r="14759" spans="1:11" s="1011" customFormat="1" ht="15" x14ac:dyDescent="0.25">
      <c r="A14759" s="859">
        <f t="shared" si="332"/>
        <v>14758</v>
      </c>
      <c r="B14759" s="845" t="s">
        <v>2564</v>
      </c>
      <c r="C14759" s="1007">
        <f t="shared" si="331"/>
        <v>132</v>
      </c>
      <c r="D14759" s="1014"/>
      <c r="H14759" s="1011" t="s">
        <v>1007</v>
      </c>
      <c r="K14759" s="1013"/>
    </row>
    <row r="14760" spans="1:11" s="1011" customFormat="1" ht="15" x14ac:dyDescent="0.25">
      <c r="A14760" s="859">
        <f t="shared" si="332"/>
        <v>14759</v>
      </c>
      <c r="B14760" s="845" t="s">
        <v>2564</v>
      </c>
      <c r="C14760" s="1007">
        <f t="shared" si="331"/>
        <v>132</v>
      </c>
      <c r="D14760" s="1014"/>
      <c r="I14760" s="1011" t="s">
        <v>2178</v>
      </c>
      <c r="K14760" s="1013"/>
    </row>
    <row r="14761" spans="1:11" s="1011" customFormat="1" ht="15" x14ac:dyDescent="0.25">
      <c r="A14761" s="859">
        <f t="shared" si="332"/>
        <v>14760</v>
      </c>
      <c r="B14761" s="845" t="s">
        <v>2564</v>
      </c>
      <c r="C14761" s="1007">
        <f t="shared" si="331"/>
        <v>132</v>
      </c>
      <c r="D14761" s="1012"/>
      <c r="I14761" s="1011" t="str">
        <f>CONCATENATE("&lt;valeur&gt;",VLOOKUP(C14761,'T16 Amort'!A:K,6,0),"&lt;/valeur&gt;")</f>
        <v>&lt;valeur&gt;&lt;/valeur&gt;</v>
      </c>
      <c r="K14761" s="1013"/>
    </row>
    <row r="14762" spans="1:11" s="1011" customFormat="1" ht="15" x14ac:dyDescent="0.25">
      <c r="A14762" s="859">
        <f t="shared" si="332"/>
        <v>14761</v>
      </c>
      <c r="B14762" s="845" t="s">
        <v>2564</v>
      </c>
      <c r="C14762" s="1007">
        <f t="shared" si="331"/>
        <v>132</v>
      </c>
      <c r="D14762" s="1015"/>
      <c r="I14762" s="1011" t="str">
        <f>CONCATENATE("&lt;numeroLigne&gt;",C14762,"&lt;/numeroLigne&gt;")</f>
        <v>&lt;numeroLigne&gt;132&lt;/numeroLigne&gt;</v>
      </c>
      <c r="K14762" s="1013"/>
    </row>
    <row r="14763" spans="1:11" s="1011" customFormat="1" ht="15" x14ac:dyDescent="0.25">
      <c r="A14763" s="859">
        <f t="shared" si="332"/>
        <v>14762</v>
      </c>
      <c r="B14763" s="845" t="s">
        <v>2564</v>
      </c>
      <c r="C14763" s="1007">
        <f t="shared" si="331"/>
        <v>132</v>
      </c>
      <c r="D14763" s="1012"/>
      <c r="H14763" s="1011" t="s">
        <v>1010</v>
      </c>
      <c r="K14763" s="1013"/>
    </row>
    <row r="14764" spans="1:11" s="1011" customFormat="1" ht="15" x14ac:dyDescent="0.25">
      <c r="A14764" s="859">
        <f t="shared" si="332"/>
        <v>14763</v>
      </c>
      <c r="B14764" s="845" t="s">
        <v>2564</v>
      </c>
      <c r="C14764" s="1007">
        <f t="shared" si="331"/>
        <v>132</v>
      </c>
      <c r="D14764" s="1012"/>
      <c r="H14764" s="1011" t="s">
        <v>1007</v>
      </c>
      <c r="K14764" s="1013"/>
    </row>
    <row r="14765" spans="1:11" s="1011" customFormat="1" ht="15" x14ac:dyDescent="0.25">
      <c r="A14765" s="859">
        <f t="shared" si="332"/>
        <v>14764</v>
      </c>
      <c r="B14765" s="845" t="s">
        <v>2564</v>
      </c>
      <c r="C14765" s="1007">
        <f t="shared" si="331"/>
        <v>132</v>
      </c>
      <c r="D14765" s="1014"/>
      <c r="I14765" s="1011" t="s">
        <v>2179</v>
      </c>
      <c r="K14765" s="1013"/>
    </row>
    <row r="14766" spans="1:11" s="1011" customFormat="1" ht="15" x14ac:dyDescent="0.25">
      <c r="A14766" s="859">
        <f t="shared" si="332"/>
        <v>14765</v>
      </c>
      <c r="B14766" s="845" t="s">
        <v>2564</v>
      </c>
      <c r="C14766" s="1007">
        <f t="shared" si="331"/>
        <v>132</v>
      </c>
      <c r="D14766" s="1014"/>
      <c r="I14766" s="1011" t="str">
        <f>CONCATENATE("&lt;valeur&gt;",VLOOKUP(C14766,'T16 Amort'!A:K,7,0),"&lt;/valeur&gt;")</f>
        <v>&lt;valeur&gt;&lt;/valeur&gt;</v>
      </c>
      <c r="K14766" s="1013"/>
    </row>
    <row r="14767" spans="1:11" s="1011" customFormat="1" ht="15" x14ac:dyDescent="0.25">
      <c r="A14767" s="859">
        <f t="shared" si="332"/>
        <v>14766</v>
      </c>
      <c r="B14767" s="845" t="s">
        <v>2564</v>
      </c>
      <c r="C14767" s="1007">
        <f t="shared" ref="C14767:C14830" si="333">C14717+1</f>
        <v>132</v>
      </c>
      <c r="D14767" s="1012"/>
      <c r="I14767" s="1011" t="str">
        <f>CONCATENATE("&lt;numeroLigne&gt;",C14767,"&lt;/numeroLigne&gt;")</f>
        <v>&lt;numeroLigne&gt;132&lt;/numeroLigne&gt;</v>
      </c>
      <c r="K14767" s="1013"/>
    </row>
    <row r="14768" spans="1:11" s="1011" customFormat="1" ht="15" x14ac:dyDescent="0.25">
      <c r="A14768" s="859">
        <f t="shared" si="332"/>
        <v>14767</v>
      </c>
      <c r="B14768" s="845" t="s">
        <v>2564</v>
      </c>
      <c r="C14768" s="1007">
        <f t="shared" si="333"/>
        <v>132</v>
      </c>
      <c r="D14768" s="1015"/>
      <c r="H14768" s="1011" t="s">
        <v>1010</v>
      </c>
      <c r="K14768" s="1013"/>
    </row>
    <row r="14769" spans="1:11" s="1011" customFormat="1" ht="15" x14ac:dyDescent="0.25">
      <c r="A14769" s="859">
        <f t="shared" si="332"/>
        <v>14768</v>
      </c>
      <c r="B14769" s="845" t="s">
        <v>2564</v>
      </c>
      <c r="C14769" s="1007">
        <f t="shared" si="333"/>
        <v>132</v>
      </c>
      <c r="D14769" s="1012"/>
      <c r="H14769" s="1011" t="s">
        <v>1007</v>
      </c>
      <c r="K14769" s="1013"/>
    </row>
    <row r="14770" spans="1:11" s="1011" customFormat="1" ht="15" x14ac:dyDescent="0.25">
      <c r="A14770" s="859">
        <f t="shared" si="332"/>
        <v>14769</v>
      </c>
      <c r="B14770" s="845" t="s">
        <v>2564</v>
      </c>
      <c r="C14770" s="1007">
        <f t="shared" si="333"/>
        <v>132</v>
      </c>
      <c r="D14770" s="1012"/>
      <c r="I14770" s="1011" t="s">
        <v>2180</v>
      </c>
      <c r="K14770" s="1013"/>
    </row>
    <row r="14771" spans="1:11" s="1011" customFormat="1" ht="15" x14ac:dyDescent="0.25">
      <c r="A14771" s="859">
        <f t="shared" si="332"/>
        <v>14770</v>
      </c>
      <c r="B14771" s="845" t="s">
        <v>2564</v>
      </c>
      <c r="C14771" s="1007">
        <f t="shared" si="333"/>
        <v>132</v>
      </c>
      <c r="D14771" s="1014"/>
      <c r="I14771" s="1011" t="str">
        <f>CONCATENATE("&lt;valeur&gt;",VLOOKUP(C14771,'T16 Amort'!A:K,8,0),"&lt;/valeur&gt;")</f>
        <v>&lt;valeur&gt;&lt;/valeur&gt;</v>
      </c>
      <c r="K14771" s="1013"/>
    </row>
    <row r="14772" spans="1:11" s="1011" customFormat="1" ht="15" x14ac:dyDescent="0.25">
      <c r="A14772" s="859">
        <f t="shared" si="332"/>
        <v>14771</v>
      </c>
      <c r="B14772" s="845" t="s">
        <v>2564</v>
      </c>
      <c r="C14772" s="1007">
        <f t="shared" si="333"/>
        <v>132</v>
      </c>
      <c r="D14772" s="1014"/>
      <c r="I14772" s="1011" t="str">
        <f>CONCATENATE("&lt;numeroLigne&gt;",C14772,"&lt;/numeroLigne&gt;")</f>
        <v>&lt;numeroLigne&gt;132&lt;/numeroLigne&gt;</v>
      </c>
      <c r="K14772" s="1013"/>
    </row>
    <row r="14773" spans="1:11" s="1011" customFormat="1" ht="15" x14ac:dyDescent="0.25">
      <c r="A14773" s="859">
        <f t="shared" si="332"/>
        <v>14772</v>
      </c>
      <c r="B14773" s="845" t="s">
        <v>2564</v>
      </c>
      <c r="C14773" s="1007">
        <f t="shared" si="333"/>
        <v>132</v>
      </c>
      <c r="D14773" s="1012"/>
      <c r="H14773" s="1011" t="s">
        <v>1010</v>
      </c>
      <c r="K14773" s="1013"/>
    </row>
    <row r="14774" spans="1:11" s="1011" customFormat="1" ht="15" x14ac:dyDescent="0.25">
      <c r="A14774" s="859">
        <f t="shared" si="332"/>
        <v>14773</v>
      </c>
      <c r="B14774" s="845" t="s">
        <v>2564</v>
      </c>
      <c r="C14774" s="1007">
        <f t="shared" si="333"/>
        <v>132</v>
      </c>
      <c r="D14774" s="1015"/>
      <c r="H14774" s="1011" t="s">
        <v>1007</v>
      </c>
      <c r="K14774" s="1013"/>
    </row>
    <row r="14775" spans="1:11" s="1011" customFormat="1" ht="15" x14ac:dyDescent="0.25">
      <c r="A14775" s="859">
        <f t="shared" si="332"/>
        <v>14774</v>
      </c>
      <c r="B14775" s="845" t="s">
        <v>2564</v>
      </c>
      <c r="C14775" s="1007">
        <f t="shared" si="333"/>
        <v>132</v>
      </c>
      <c r="D14775" s="1012"/>
      <c r="I14775" s="1011" t="s">
        <v>2181</v>
      </c>
      <c r="K14775" s="1013"/>
    </row>
    <row r="14776" spans="1:11" s="1011" customFormat="1" ht="15" x14ac:dyDescent="0.25">
      <c r="A14776" s="859">
        <f t="shared" si="332"/>
        <v>14775</v>
      </c>
      <c r="B14776" s="845" t="s">
        <v>2564</v>
      </c>
      <c r="C14776" s="1007">
        <f t="shared" si="333"/>
        <v>132</v>
      </c>
      <c r="D14776" s="1012"/>
      <c r="I14776" s="1011" t="str">
        <f>CONCATENATE("&lt;valeur&gt;",VLOOKUP(C14776,'T16 Amort'!A:K,9,0),"&lt;/valeur&gt;")</f>
        <v>&lt;valeur&gt;&lt;/valeur&gt;</v>
      </c>
      <c r="K14776" s="1013"/>
    </row>
    <row r="14777" spans="1:11" s="1011" customFormat="1" ht="15" x14ac:dyDescent="0.25">
      <c r="A14777" s="859">
        <f t="shared" si="332"/>
        <v>14776</v>
      </c>
      <c r="B14777" s="845" t="s">
        <v>2564</v>
      </c>
      <c r="C14777" s="1007">
        <f t="shared" si="333"/>
        <v>132</v>
      </c>
      <c r="D14777" s="1014"/>
      <c r="I14777" s="1011" t="str">
        <f>CONCATENATE("&lt;numeroLigne&gt;",C14777,"&lt;/numeroLigne&gt;")</f>
        <v>&lt;numeroLigne&gt;132&lt;/numeroLigne&gt;</v>
      </c>
      <c r="K14777" s="1013"/>
    </row>
    <row r="14778" spans="1:11" s="1011" customFormat="1" ht="15" x14ac:dyDescent="0.25">
      <c r="A14778" s="859">
        <f t="shared" si="332"/>
        <v>14777</v>
      </c>
      <c r="B14778" s="845" t="s">
        <v>2564</v>
      </c>
      <c r="C14778" s="1007">
        <f t="shared" si="333"/>
        <v>132</v>
      </c>
      <c r="D14778" s="1014"/>
      <c r="H14778" s="1011" t="s">
        <v>1010</v>
      </c>
      <c r="K14778" s="1013"/>
    </row>
    <row r="14779" spans="1:11" s="1011" customFormat="1" ht="15" x14ac:dyDescent="0.25">
      <c r="A14779" s="859">
        <f t="shared" si="332"/>
        <v>14778</v>
      </c>
      <c r="B14779" s="845" t="s">
        <v>2564</v>
      </c>
      <c r="C14779" s="1007">
        <f t="shared" si="333"/>
        <v>132</v>
      </c>
      <c r="D14779" s="1012"/>
      <c r="H14779" s="1011" t="s">
        <v>1007</v>
      </c>
      <c r="K14779" s="1013"/>
    </row>
    <row r="14780" spans="1:11" s="1011" customFormat="1" ht="15" x14ac:dyDescent="0.25">
      <c r="A14780" s="859">
        <f t="shared" si="332"/>
        <v>14779</v>
      </c>
      <c r="B14780" s="845" t="s">
        <v>2564</v>
      </c>
      <c r="C14780" s="1007">
        <f t="shared" si="333"/>
        <v>132</v>
      </c>
      <c r="D14780" s="1015"/>
      <c r="I14780" s="1011" t="s">
        <v>2182</v>
      </c>
      <c r="K14780" s="1013"/>
    </row>
    <row r="14781" spans="1:11" s="1011" customFormat="1" ht="15" x14ac:dyDescent="0.25">
      <c r="A14781" s="859">
        <f t="shared" si="332"/>
        <v>14780</v>
      </c>
      <c r="B14781" s="845" t="s">
        <v>2564</v>
      </c>
      <c r="C14781" s="1007">
        <f t="shared" si="333"/>
        <v>132</v>
      </c>
      <c r="D14781" s="1012"/>
      <c r="I14781" s="1011" t="str">
        <f>CONCATENATE("&lt;valeur&gt;",VLOOKUP(C14781,'T16 Amort'!A:K,10,0),"&lt;/valeur&gt;")</f>
        <v>&lt;valeur&gt;&lt;/valeur&gt;</v>
      </c>
      <c r="K14781" s="1013"/>
    </row>
    <row r="14782" spans="1:11" s="1011" customFormat="1" ht="15" x14ac:dyDescent="0.25">
      <c r="A14782" s="859">
        <f t="shared" si="332"/>
        <v>14781</v>
      </c>
      <c r="B14782" s="845" t="s">
        <v>2564</v>
      </c>
      <c r="C14782" s="1007">
        <f t="shared" si="333"/>
        <v>132</v>
      </c>
      <c r="D14782" s="1012"/>
      <c r="I14782" s="1011" t="str">
        <f>CONCATENATE("&lt;numeroLigne&gt;",C14782,"&lt;/numeroLigne&gt;")</f>
        <v>&lt;numeroLigne&gt;132&lt;/numeroLigne&gt;</v>
      </c>
      <c r="K14782" s="1013"/>
    </row>
    <row r="14783" spans="1:11" s="1011" customFormat="1" ht="15" x14ac:dyDescent="0.25">
      <c r="A14783" s="859">
        <f t="shared" si="332"/>
        <v>14782</v>
      </c>
      <c r="B14783" s="845" t="s">
        <v>2564</v>
      </c>
      <c r="C14783" s="1007">
        <f t="shared" si="333"/>
        <v>132</v>
      </c>
      <c r="D14783" s="1014"/>
      <c r="H14783" s="1011" t="s">
        <v>1010</v>
      </c>
      <c r="K14783" s="1013"/>
    </row>
    <row r="14784" spans="1:11" s="1011" customFormat="1" ht="15" x14ac:dyDescent="0.25">
      <c r="A14784" s="859">
        <f t="shared" si="332"/>
        <v>14783</v>
      </c>
      <c r="B14784" s="845" t="s">
        <v>2564</v>
      </c>
      <c r="C14784" s="1007">
        <f t="shared" si="333"/>
        <v>132</v>
      </c>
      <c r="D14784" s="1014"/>
      <c r="H14784" s="1011" t="s">
        <v>1007</v>
      </c>
      <c r="K14784" s="1013"/>
    </row>
    <row r="14785" spans="1:11" s="1011" customFormat="1" ht="15" x14ac:dyDescent="0.25">
      <c r="A14785" s="859">
        <f t="shared" si="332"/>
        <v>14784</v>
      </c>
      <c r="B14785" s="845" t="s">
        <v>2564</v>
      </c>
      <c r="C14785" s="1007">
        <f t="shared" si="333"/>
        <v>132</v>
      </c>
      <c r="D14785" s="1012"/>
      <c r="I14785" s="1011" t="s">
        <v>2183</v>
      </c>
      <c r="K14785" s="1013"/>
    </row>
    <row r="14786" spans="1:11" s="1011" customFormat="1" ht="15" x14ac:dyDescent="0.25">
      <c r="A14786" s="859">
        <f t="shared" si="332"/>
        <v>14785</v>
      </c>
      <c r="B14786" s="845" t="s">
        <v>2564</v>
      </c>
      <c r="C14786" s="1007">
        <f t="shared" si="333"/>
        <v>132</v>
      </c>
      <c r="D14786" s="1015"/>
      <c r="I14786" s="1011" t="str">
        <f>CONCATENATE("&lt;valeur&gt;",VLOOKUP(C14786,'T16 Amort'!A:K,11,0),"&lt;/valeur&gt;")</f>
        <v>&lt;valeur&gt;&lt;/valeur&gt;</v>
      </c>
      <c r="K14786" s="1013"/>
    </row>
    <row r="14787" spans="1:11" s="1011" customFormat="1" ht="15" x14ac:dyDescent="0.25">
      <c r="A14787" s="859">
        <f t="shared" si="332"/>
        <v>14786</v>
      </c>
      <c r="B14787" s="845" t="s">
        <v>2564</v>
      </c>
      <c r="C14787" s="1007">
        <f t="shared" si="333"/>
        <v>132</v>
      </c>
      <c r="D14787" s="1012"/>
      <c r="I14787" s="1011" t="str">
        <f>CONCATENATE("&lt;numeroLigne&gt;",C14787,"&lt;/numeroLigne&gt;")</f>
        <v>&lt;numeroLigne&gt;132&lt;/numeroLigne&gt;</v>
      </c>
      <c r="K14787" s="1013"/>
    </row>
    <row r="14788" spans="1:11" s="1011" customFormat="1" ht="15" x14ac:dyDescent="0.25">
      <c r="A14788" s="859">
        <f t="shared" ref="A14788:A14851" si="334">+A14787+1</f>
        <v>14787</v>
      </c>
      <c r="B14788" s="845" t="s">
        <v>2564</v>
      </c>
      <c r="C14788" s="1007">
        <f t="shared" si="333"/>
        <v>132</v>
      </c>
      <c r="D14788" s="1016"/>
      <c r="E14788" s="1017"/>
      <c r="F14788" s="1017"/>
      <c r="G14788" s="1017"/>
      <c r="H14788" s="1017" t="s">
        <v>1010</v>
      </c>
      <c r="I14788" s="1017"/>
      <c r="J14788" s="1017"/>
      <c r="K14788" s="1018"/>
    </row>
    <row r="14789" spans="1:11" s="1011" customFormat="1" ht="15" x14ac:dyDescent="0.25">
      <c r="A14789" s="859">
        <f t="shared" si="334"/>
        <v>14788</v>
      </c>
      <c r="B14789" s="845" t="s">
        <v>2564</v>
      </c>
      <c r="C14789" s="1007">
        <f t="shared" si="333"/>
        <v>133</v>
      </c>
      <c r="D14789" s="1008"/>
      <c r="E14789" s="1009"/>
      <c r="F14789" s="1009"/>
      <c r="G14789" s="1009"/>
      <c r="H14789" s="1009" t="s">
        <v>1007</v>
      </c>
      <c r="I14789" s="1009"/>
      <c r="J14789" s="1009"/>
      <c r="K14789" s="1010"/>
    </row>
    <row r="14790" spans="1:11" s="1011" customFormat="1" ht="15" x14ac:dyDescent="0.25">
      <c r="A14790" s="859">
        <f t="shared" si="334"/>
        <v>14789</v>
      </c>
      <c r="B14790" s="845" t="s">
        <v>2564</v>
      </c>
      <c r="C14790" s="1007">
        <f t="shared" si="333"/>
        <v>133</v>
      </c>
      <c r="D14790" s="1012"/>
      <c r="I14790" s="1011" t="s">
        <v>2174</v>
      </c>
      <c r="K14790" s="1013"/>
    </row>
    <row r="14791" spans="1:11" s="1011" customFormat="1" ht="15" x14ac:dyDescent="0.25">
      <c r="A14791" s="859">
        <f t="shared" si="334"/>
        <v>14790</v>
      </c>
      <c r="B14791" s="845" t="s">
        <v>2564</v>
      </c>
      <c r="C14791" s="1007">
        <f t="shared" si="333"/>
        <v>133</v>
      </c>
      <c r="D14791" s="1014"/>
      <c r="I14791" s="1011" t="str">
        <f>CONCATENATE("&lt;valeur&gt;",VLOOKUP(C14791,'T16 Amort'!A:K,2,0),"&lt;/valeur&gt;")</f>
        <v>&lt;valeur&gt;&lt;/valeur&gt;</v>
      </c>
      <c r="K14791" s="1013"/>
    </row>
    <row r="14792" spans="1:11" s="1011" customFormat="1" ht="15" x14ac:dyDescent="0.25">
      <c r="A14792" s="859">
        <f t="shared" si="334"/>
        <v>14791</v>
      </c>
      <c r="B14792" s="845" t="s">
        <v>2564</v>
      </c>
      <c r="C14792" s="1007">
        <f t="shared" si="333"/>
        <v>133</v>
      </c>
      <c r="D14792" s="1014"/>
      <c r="I14792" s="1011" t="str">
        <f>CONCATENATE("&lt;numeroLigne&gt;",C14792,"&lt;/numeroLigne&gt;")</f>
        <v>&lt;numeroLigne&gt;133&lt;/numeroLigne&gt;</v>
      </c>
      <c r="K14792" s="1013"/>
    </row>
    <row r="14793" spans="1:11" s="1011" customFormat="1" ht="15" x14ac:dyDescent="0.25">
      <c r="A14793" s="859">
        <f t="shared" si="334"/>
        <v>14792</v>
      </c>
      <c r="B14793" s="845" t="s">
        <v>2564</v>
      </c>
      <c r="C14793" s="1007">
        <f t="shared" si="333"/>
        <v>133</v>
      </c>
      <c r="D14793" s="1012"/>
      <c r="H14793" s="1011" t="s">
        <v>1010</v>
      </c>
      <c r="K14793" s="1013"/>
    </row>
    <row r="14794" spans="1:11" s="1011" customFormat="1" ht="15" x14ac:dyDescent="0.25">
      <c r="A14794" s="859">
        <f t="shared" si="334"/>
        <v>14793</v>
      </c>
      <c r="B14794" s="845" t="s">
        <v>2564</v>
      </c>
      <c r="C14794" s="1007">
        <f t="shared" si="333"/>
        <v>133</v>
      </c>
      <c r="D14794" s="1015"/>
      <c r="H14794" s="1011" t="s">
        <v>1007</v>
      </c>
      <c r="K14794" s="1013"/>
    </row>
    <row r="14795" spans="1:11" s="1011" customFormat="1" ht="15" x14ac:dyDescent="0.25">
      <c r="A14795" s="859">
        <f t="shared" si="334"/>
        <v>14794</v>
      </c>
      <c r="B14795" s="845" t="s">
        <v>2564</v>
      </c>
      <c r="C14795" s="1007">
        <f t="shared" si="333"/>
        <v>133</v>
      </c>
      <c r="D14795" s="1012"/>
      <c r="I14795" s="1011" t="s">
        <v>2175</v>
      </c>
      <c r="K14795" s="1013"/>
    </row>
    <row r="14796" spans="1:11" s="1011" customFormat="1" ht="15" x14ac:dyDescent="0.25">
      <c r="A14796" s="859">
        <f t="shared" si="334"/>
        <v>14795</v>
      </c>
      <c r="B14796" s="845" t="s">
        <v>2564</v>
      </c>
      <c r="C14796" s="1007">
        <f t="shared" si="333"/>
        <v>133</v>
      </c>
      <c r="D14796" s="1012"/>
      <c r="I14796" s="1011" t="str">
        <f>CONCATENATE("&lt;valeur&gt;",VLOOKUP(C14796,'T16 Amort'!A:K,3,0),"&lt;/valeur&gt;")</f>
        <v>&lt;valeur&gt;&lt;/valeur&gt;</v>
      </c>
      <c r="K14796" s="1013"/>
    </row>
    <row r="14797" spans="1:11" s="1011" customFormat="1" ht="15" x14ac:dyDescent="0.25">
      <c r="A14797" s="859">
        <f t="shared" si="334"/>
        <v>14796</v>
      </c>
      <c r="B14797" s="845" t="s">
        <v>2564</v>
      </c>
      <c r="C14797" s="1007">
        <f t="shared" si="333"/>
        <v>133</v>
      </c>
      <c r="D14797" s="1014"/>
      <c r="I14797" s="1011" t="str">
        <f>CONCATENATE("&lt;numeroLigne&gt;",C14797,"&lt;/numeroLigne&gt;")</f>
        <v>&lt;numeroLigne&gt;133&lt;/numeroLigne&gt;</v>
      </c>
      <c r="K14797" s="1013"/>
    </row>
    <row r="14798" spans="1:11" s="1011" customFormat="1" ht="15" x14ac:dyDescent="0.25">
      <c r="A14798" s="859">
        <f t="shared" si="334"/>
        <v>14797</v>
      </c>
      <c r="B14798" s="845" t="s">
        <v>2564</v>
      </c>
      <c r="C14798" s="1007">
        <f t="shared" si="333"/>
        <v>133</v>
      </c>
      <c r="D14798" s="1014"/>
      <c r="H14798" s="1011" t="s">
        <v>1010</v>
      </c>
      <c r="K14798" s="1013"/>
    </row>
    <row r="14799" spans="1:11" s="1011" customFormat="1" ht="15" x14ac:dyDescent="0.25">
      <c r="A14799" s="859">
        <f t="shared" si="334"/>
        <v>14798</v>
      </c>
      <c r="B14799" s="845" t="s">
        <v>2564</v>
      </c>
      <c r="C14799" s="1007">
        <f t="shared" si="333"/>
        <v>133</v>
      </c>
      <c r="D14799" s="1012"/>
      <c r="H14799" s="1011" t="s">
        <v>1007</v>
      </c>
      <c r="K14799" s="1013"/>
    </row>
    <row r="14800" spans="1:11" s="1011" customFormat="1" ht="15" x14ac:dyDescent="0.25">
      <c r="A14800" s="859">
        <f t="shared" si="334"/>
        <v>14799</v>
      </c>
      <c r="B14800" s="845" t="s">
        <v>2564</v>
      </c>
      <c r="C14800" s="1007">
        <f t="shared" si="333"/>
        <v>133</v>
      </c>
      <c r="D14800" s="1015"/>
      <c r="I14800" s="1011" t="s">
        <v>2176</v>
      </c>
      <c r="K14800" s="1013"/>
    </row>
    <row r="14801" spans="1:11" s="1011" customFormat="1" ht="15" x14ac:dyDescent="0.25">
      <c r="A14801" s="859">
        <f t="shared" si="334"/>
        <v>14800</v>
      </c>
      <c r="B14801" s="845" t="s">
        <v>2564</v>
      </c>
      <c r="C14801" s="1007">
        <f t="shared" si="333"/>
        <v>133</v>
      </c>
      <c r="D14801" s="1012"/>
      <c r="I14801" s="1011" t="str">
        <f>CONCATENATE("&lt;valeur&gt;",VLOOKUP(C14801,'T16 Amort'!A:K,4,0),"&lt;/valeur&gt;")</f>
        <v>&lt;valeur&gt;&lt;/valeur&gt;</v>
      </c>
      <c r="K14801" s="1013"/>
    </row>
    <row r="14802" spans="1:11" s="1011" customFormat="1" ht="15" x14ac:dyDescent="0.25">
      <c r="A14802" s="859">
        <f t="shared" si="334"/>
        <v>14801</v>
      </c>
      <c r="B14802" s="845" t="s">
        <v>2564</v>
      </c>
      <c r="C14802" s="1007">
        <f t="shared" si="333"/>
        <v>133</v>
      </c>
      <c r="D14802" s="1012"/>
      <c r="I14802" s="1011" t="str">
        <f>CONCATENATE("&lt;numeroLigne&gt;",C14802,"&lt;/numeroLigne&gt;")</f>
        <v>&lt;numeroLigne&gt;133&lt;/numeroLigne&gt;</v>
      </c>
      <c r="K14802" s="1013"/>
    </row>
    <row r="14803" spans="1:11" s="1011" customFormat="1" ht="15" x14ac:dyDescent="0.25">
      <c r="A14803" s="859">
        <f t="shared" si="334"/>
        <v>14802</v>
      </c>
      <c r="B14803" s="845" t="s">
        <v>2564</v>
      </c>
      <c r="C14803" s="1007">
        <f t="shared" si="333"/>
        <v>133</v>
      </c>
      <c r="D14803" s="1014"/>
      <c r="H14803" s="1011" t="s">
        <v>1010</v>
      </c>
      <c r="K14803" s="1013"/>
    </row>
    <row r="14804" spans="1:11" s="1011" customFormat="1" ht="15" x14ac:dyDescent="0.25">
      <c r="A14804" s="859">
        <f t="shared" si="334"/>
        <v>14803</v>
      </c>
      <c r="B14804" s="845" t="s">
        <v>2564</v>
      </c>
      <c r="C14804" s="1007">
        <f t="shared" si="333"/>
        <v>133</v>
      </c>
      <c r="D14804" s="1014"/>
      <c r="H14804" s="1011" t="s">
        <v>1007</v>
      </c>
      <c r="K14804" s="1013"/>
    </row>
    <row r="14805" spans="1:11" s="1011" customFormat="1" ht="15" x14ac:dyDescent="0.25">
      <c r="A14805" s="859">
        <f t="shared" si="334"/>
        <v>14804</v>
      </c>
      <c r="B14805" s="845" t="s">
        <v>2564</v>
      </c>
      <c r="C14805" s="1007">
        <f t="shared" si="333"/>
        <v>133</v>
      </c>
      <c r="D14805" s="1012"/>
      <c r="I14805" s="1011" t="s">
        <v>2177</v>
      </c>
      <c r="K14805" s="1013"/>
    </row>
    <row r="14806" spans="1:11" s="1011" customFormat="1" ht="15" x14ac:dyDescent="0.25">
      <c r="A14806" s="859">
        <f t="shared" si="334"/>
        <v>14805</v>
      </c>
      <c r="B14806" s="845" t="s">
        <v>2564</v>
      </c>
      <c r="C14806" s="1007">
        <f t="shared" si="333"/>
        <v>133</v>
      </c>
      <c r="D14806" s="1015"/>
      <c r="I14806" s="1011" t="str">
        <f>CONCATENATE("&lt;valeur&gt;",VLOOKUP(C14806,'T16 Amort'!A:K,5,0),"&lt;/valeur&gt;")</f>
        <v>&lt;valeur&gt;&lt;/valeur&gt;</v>
      </c>
      <c r="K14806" s="1013"/>
    </row>
    <row r="14807" spans="1:11" s="1011" customFormat="1" ht="15" x14ac:dyDescent="0.25">
      <c r="A14807" s="859">
        <f t="shared" si="334"/>
        <v>14806</v>
      </c>
      <c r="B14807" s="845" t="s">
        <v>2564</v>
      </c>
      <c r="C14807" s="1007">
        <f t="shared" si="333"/>
        <v>133</v>
      </c>
      <c r="D14807" s="1012"/>
      <c r="I14807" s="1011" t="str">
        <f>CONCATENATE("&lt;numeroLigne&gt;",C14807,"&lt;/numeroLigne&gt;")</f>
        <v>&lt;numeroLigne&gt;133&lt;/numeroLigne&gt;</v>
      </c>
      <c r="K14807" s="1013"/>
    </row>
    <row r="14808" spans="1:11" s="1011" customFormat="1" ht="15" x14ac:dyDescent="0.25">
      <c r="A14808" s="859">
        <f t="shared" si="334"/>
        <v>14807</v>
      </c>
      <c r="B14808" s="845" t="s">
        <v>2564</v>
      </c>
      <c r="C14808" s="1007">
        <f t="shared" si="333"/>
        <v>133</v>
      </c>
      <c r="D14808" s="1012"/>
      <c r="H14808" s="1011" t="s">
        <v>1010</v>
      </c>
      <c r="K14808" s="1013"/>
    </row>
    <row r="14809" spans="1:11" s="1011" customFormat="1" ht="15" x14ac:dyDescent="0.25">
      <c r="A14809" s="859">
        <f t="shared" si="334"/>
        <v>14808</v>
      </c>
      <c r="B14809" s="845" t="s">
        <v>2564</v>
      </c>
      <c r="C14809" s="1007">
        <f t="shared" si="333"/>
        <v>133</v>
      </c>
      <c r="D14809" s="1014"/>
      <c r="H14809" s="1011" t="s">
        <v>1007</v>
      </c>
      <c r="K14809" s="1013"/>
    </row>
    <row r="14810" spans="1:11" s="1011" customFormat="1" ht="15" x14ac:dyDescent="0.25">
      <c r="A14810" s="859">
        <f t="shared" si="334"/>
        <v>14809</v>
      </c>
      <c r="B14810" s="845" t="s">
        <v>2564</v>
      </c>
      <c r="C14810" s="1007">
        <f t="shared" si="333"/>
        <v>133</v>
      </c>
      <c r="D14810" s="1014"/>
      <c r="I14810" s="1011" t="s">
        <v>2178</v>
      </c>
      <c r="K14810" s="1013"/>
    </row>
    <row r="14811" spans="1:11" s="1011" customFormat="1" ht="15" x14ac:dyDescent="0.25">
      <c r="A14811" s="859">
        <f t="shared" si="334"/>
        <v>14810</v>
      </c>
      <c r="B14811" s="845" t="s">
        <v>2564</v>
      </c>
      <c r="C14811" s="1007">
        <f t="shared" si="333"/>
        <v>133</v>
      </c>
      <c r="D14811" s="1012"/>
      <c r="I14811" s="1011" t="str">
        <f>CONCATENATE("&lt;valeur&gt;",VLOOKUP(C14811,'T16 Amort'!A:K,6,0),"&lt;/valeur&gt;")</f>
        <v>&lt;valeur&gt;&lt;/valeur&gt;</v>
      </c>
      <c r="K14811" s="1013"/>
    </row>
    <row r="14812" spans="1:11" s="1011" customFormat="1" ht="15" x14ac:dyDescent="0.25">
      <c r="A14812" s="859">
        <f t="shared" si="334"/>
        <v>14811</v>
      </c>
      <c r="B14812" s="845" t="s">
        <v>2564</v>
      </c>
      <c r="C14812" s="1007">
        <f t="shared" si="333"/>
        <v>133</v>
      </c>
      <c r="D14812" s="1015"/>
      <c r="I14812" s="1011" t="str">
        <f>CONCATENATE("&lt;numeroLigne&gt;",C14812,"&lt;/numeroLigne&gt;")</f>
        <v>&lt;numeroLigne&gt;133&lt;/numeroLigne&gt;</v>
      </c>
      <c r="K14812" s="1013"/>
    </row>
    <row r="14813" spans="1:11" s="1011" customFormat="1" ht="15" x14ac:dyDescent="0.25">
      <c r="A14813" s="859">
        <f t="shared" si="334"/>
        <v>14812</v>
      </c>
      <c r="B14813" s="845" t="s">
        <v>2564</v>
      </c>
      <c r="C14813" s="1007">
        <f t="shared" si="333"/>
        <v>133</v>
      </c>
      <c r="D14813" s="1012"/>
      <c r="H14813" s="1011" t="s">
        <v>1010</v>
      </c>
      <c r="K14813" s="1013"/>
    </row>
    <row r="14814" spans="1:11" s="1011" customFormat="1" ht="15" x14ac:dyDescent="0.25">
      <c r="A14814" s="859">
        <f t="shared" si="334"/>
        <v>14813</v>
      </c>
      <c r="B14814" s="845" t="s">
        <v>2564</v>
      </c>
      <c r="C14814" s="1007">
        <f t="shared" si="333"/>
        <v>133</v>
      </c>
      <c r="D14814" s="1012"/>
      <c r="H14814" s="1011" t="s">
        <v>1007</v>
      </c>
      <c r="K14814" s="1013"/>
    </row>
    <row r="14815" spans="1:11" s="1011" customFormat="1" ht="15" x14ac:dyDescent="0.25">
      <c r="A14815" s="859">
        <f t="shared" si="334"/>
        <v>14814</v>
      </c>
      <c r="B14815" s="845" t="s">
        <v>2564</v>
      </c>
      <c r="C14815" s="1007">
        <f t="shared" si="333"/>
        <v>133</v>
      </c>
      <c r="D14815" s="1014"/>
      <c r="I14815" s="1011" t="s">
        <v>2179</v>
      </c>
      <c r="K14815" s="1013"/>
    </row>
    <row r="14816" spans="1:11" s="1011" customFormat="1" ht="15" x14ac:dyDescent="0.25">
      <c r="A14816" s="859">
        <f t="shared" si="334"/>
        <v>14815</v>
      </c>
      <c r="B14816" s="845" t="s">
        <v>2564</v>
      </c>
      <c r="C14816" s="1007">
        <f t="shared" si="333"/>
        <v>133</v>
      </c>
      <c r="D14816" s="1014"/>
      <c r="I14816" s="1011" t="str">
        <f>CONCATENATE("&lt;valeur&gt;",VLOOKUP(C14816,'T16 Amort'!A:K,7,0),"&lt;/valeur&gt;")</f>
        <v>&lt;valeur&gt;&lt;/valeur&gt;</v>
      </c>
      <c r="K14816" s="1013"/>
    </row>
    <row r="14817" spans="1:11" s="1011" customFormat="1" ht="15" x14ac:dyDescent="0.25">
      <c r="A14817" s="859">
        <f t="shared" si="334"/>
        <v>14816</v>
      </c>
      <c r="B14817" s="845" t="s">
        <v>2564</v>
      </c>
      <c r="C14817" s="1007">
        <f t="shared" si="333"/>
        <v>133</v>
      </c>
      <c r="D14817" s="1012"/>
      <c r="I14817" s="1011" t="str">
        <f>CONCATENATE("&lt;numeroLigne&gt;",C14817,"&lt;/numeroLigne&gt;")</f>
        <v>&lt;numeroLigne&gt;133&lt;/numeroLigne&gt;</v>
      </c>
      <c r="K14817" s="1013"/>
    </row>
    <row r="14818" spans="1:11" s="1011" customFormat="1" ht="15" x14ac:dyDescent="0.25">
      <c r="A14818" s="859">
        <f t="shared" si="334"/>
        <v>14817</v>
      </c>
      <c r="B14818" s="845" t="s">
        <v>2564</v>
      </c>
      <c r="C14818" s="1007">
        <f t="shared" si="333"/>
        <v>133</v>
      </c>
      <c r="D14818" s="1015"/>
      <c r="H14818" s="1011" t="s">
        <v>1010</v>
      </c>
      <c r="K14818" s="1013"/>
    </row>
    <row r="14819" spans="1:11" s="1011" customFormat="1" ht="15" x14ac:dyDescent="0.25">
      <c r="A14819" s="859">
        <f t="shared" si="334"/>
        <v>14818</v>
      </c>
      <c r="B14819" s="845" t="s">
        <v>2564</v>
      </c>
      <c r="C14819" s="1007">
        <f t="shared" si="333"/>
        <v>133</v>
      </c>
      <c r="D14819" s="1012"/>
      <c r="H14819" s="1011" t="s">
        <v>1007</v>
      </c>
      <c r="K14819" s="1013"/>
    </row>
    <row r="14820" spans="1:11" s="1011" customFormat="1" ht="15" x14ac:dyDescent="0.25">
      <c r="A14820" s="859">
        <f t="shared" si="334"/>
        <v>14819</v>
      </c>
      <c r="B14820" s="845" t="s">
        <v>2564</v>
      </c>
      <c r="C14820" s="1007">
        <f t="shared" si="333"/>
        <v>133</v>
      </c>
      <c r="D14820" s="1012"/>
      <c r="I14820" s="1011" t="s">
        <v>2180</v>
      </c>
      <c r="K14820" s="1013"/>
    </row>
    <row r="14821" spans="1:11" s="1011" customFormat="1" ht="15" x14ac:dyDescent="0.25">
      <c r="A14821" s="859">
        <f t="shared" si="334"/>
        <v>14820</v>
      </c>
      <c r="B14821" s="845" t="s">
        <v>2564</v>
      </c>
      <c r="C14821" s="1007">
        <f t="shared" si="333"/>
        <v>133</v>
      </c>
      <c r="D14821" s="1014"/>
      <c r="I14821" s="1011" t="str">
        <f>CONCATENATE("&lt;valeur&gt;",VLOOKUP(C14821,'T16 Amort'!A:K,8,0),"&lt;/valeur&gt;")</f>
        <v>&lt;valeur&gt;&lt;/valeur&gt;</v>
      </c>
      <c r="K14821" s="1013"/>
    </row>
    <row r="14822" spans="1:11" s="1011" customFormat="1" ht="15" x14ac:dyDescent="0.25">
      <c r="A14822" s="859">
        <f t="shared" si="334"/>
        <v>14821</v>
      </c>
      <c r="B14822" s="845" t="s">
        <v>2564</v>
      </c>
      <c r="C14822" s="1007">
        <f t="shared" si="333"/>
        <v>133</v>
      </c>
      <c r="D14822" s="1014"/>
      <c r="I14822" s="1011" t="str">
        <f>CONCATENATE("&lt;numeroLigne&gt;",C14822,"&lt;/numeroLigne&gt;")</f>
        <v>&lt;numeroLigne&gt;133&lt;/numeroLigne&gt;</v>
      </c>
      <c r="K14822" s="1013"/>
    </row>
    <row r="14823" spans="1:11" s="1011" customFormat="1" ht="15" x14ac:dyDescent="0.25">
      <c r="A14823" s="859">
        <f t="shared" si="334"/>
        <v>14822</v>
      </c>
      <c r="B14823" s="845" t="s">
        <v>2564</v>
      </c>
      <c r="C14823" s="1007">
        <f t="shared" si="333"/>
        <v>133</v>
      </c>
      <c r="D14823" s="1012"/>
      <c r="H14823" s="1011" t="s">
        <v>1010</v>
      </c>
      <c r="K14823" s="1013"/>
    </row>
    <row r="14824" spans="1:11" s="1011" customFormat="1" ht="15" x14ac:dyDescent="0.25">
      <c r="A14824" s="859">
        <f t="shared" si="334"/>
        <v>14823</v>
      </c>
      <c r="B14824" s="845" t="s">
        <v>2564</v>
      </c>
      <c r="C14824" s="1007">
        <f t="shared" si="333"/>
        <v>133</v>
      </c>
      <c r="D14824" s="1015"/>
      <c r="H14824" s="1011" t="s">
        <v>1007</v>
      </c>
      <c r="K14824" s="1013"/>
    </row>
    <row r="14825" spans="1:11" s="1011" customFormat="1" ht="15" x14ac:dyDescent="0.25">
      <c r="A14825" s="859">
        <f t="shared" si="334"/>
        <v>14824</v>
      </c>
      <c r="B14825" s="845" t="s">
        <v>2564</v>
      </c>
      <c r="C14825" s="1007">
        <f t="shared" si="333"/>
        <v>133</v>
      </c>
      <c r="D14825" s="1012"/>
      <c r="I14825" s="1011" t="s">
        <v>2181</v>
      </c>
      <c r="K14825" s="1013"/>
    </row>
    <row r="14826" spans="1:11" s="1011" customFormat="1" ht="15" x14ac:dyDescent="0.25">
      <c r="A14826" s="859">
        <f t="shared" si="334"/>
        <v>14825</v>
      </c>
      <c r="B14826" s="845" t="s">
        <v>2564</v>
      </c>
      <c r="C14826" s="1007">
        <f t="shared" si="333"/>
        <v>133</v>
      </c>
      <c r="D14826" s="1012"/>
      <c r="I14826" s="1011" t="str">
        <f>CONCATENATE("&lt;valeur&gt;",VLOOKUP(C14826,'T16 Amort'!A:K,9,0),"&lt;/valeur&gt;")</f>
        <v>&lt;valeur&gt;&lt;/valeur&gt;</v>
      </c>
      <c r="K14826" s="1013"/>
    </row>
    <row r="14827" spans="1:11" s="1011" customFormat="1" ht="15" x14ac:dyDescent="0.25">
      <c r="A14827" s="859">
        <f t="shared" si="334"/>
        <v>14826</v>
      </c>
      <c r="B14827" s="845" t="s">
        <v>2564</v>
      </c>
      <c r="C14827" s="1007">
        <f t="shared" si="333"/>
        <v>133</v>
      </c>
      <c r="D14827" s="1014"/>
      <c r="I14827" s="1011" t="str">
        <f>CONCATENATE("&lt;numeroLigne&gt;",C14827,"&lt;/numeroLigne&gt;")</f>
        <v>&lt;numeroLigne&gt;133&lt;/numeroLigne&gt;</v>
      </c>
      <c r="K14827" s="1013"/>
    </row>
    <row r="14828" spans="1:11" s="1011" customFormat="1" ht="15" x14ac:dyDescent="0.25">
      <c r="A14828" s="859">
        <f t="shared" si="334"/>
        <v>14827</v>
      </c>
      <c r="B14828" s="845" t="s">
        <v>2564</v>
      </c>
      <c r="C14828" s="1007">
        <f t="shared" si="333"/>
        <v>133</v>
      </c>
      <c r="D14828" s="1014"/>
      <c r="H14828" s="1011" t="s">
        <v>1010</v>
      </c>
      <c r="K14828" s="1013"/>
    </row>
    <row r="14829" spans="1:11" s="1011" customFormat="1" ht="15" x14ac:dyDescent="0.25">
      <c r="A14829" s="859">
        <f t="shared" si="334"/>
        <v>14828</v>
      </c>
      <c r="B14829" s="845" t="s">
        <v>2564</v>
      </c>
      <c r="C14829" s="1007">
        <f t="shared" si="333"/>
        <v>133</v>
      </c>
      <c r="D14829" s="1012"/>
      <c r="H14829" s="1011" t="s">
        <v>1007</v>
      </c>
      <c r="K14829" s="1013"/>
    </row>
    <row r="14830" spans="1:11" s="1011" customFormat="1" ht="15" x14ac:dyDescent="0.25">
      <c r="A14830" s="859">
        <f t="shared" si="334"/>
        <v>14829</v>
      </c>
      <c r="B14830" s="845" t="s">
        <v>2564</v>
      </c>
      <c r="C14830" s="1007">
        <f t="shared" si="333"/>
        <v>133</v>
      </c>
      <c r="D14830" s="1015"/>
      <c r="I14830" s="1011" t="s">
        <v>2182</v>
      </c>
      <c r="K14830" s="1013"/>
    </row>
    <row r="14831" spans="1:11" s="1011" customFormat="1" ht="15" x14ac:dyDescent="0.25">
      <c r="A14831" s="859">
        <f t="shared" si="334"/>
        <v>14830</v>
      </c>
      <c r="B14831" s="845" t="s">
        <v>2564</v>
      </c>
      <c r="C14831" s="1007">
        <f t="shared" ref="C14831:C14894" si="335">C14781+1</f>
        <v>133</v>
      </c>
      <c r="D14831" s="1012"/>
      <c r="I14831" s="1011" t="str">
        <f>CONCATENATE("&lt;valeur&gt;",VLOOKUP(C14831,'T16 Amort'!A:K,10,0),"&lt;/valeur&gt;")</f>
        <v>&lt;valeur&gt;&lt;/valeur&gt;</v>
      </c>
      <c r="K14831" s="1013"/>
    </row>
    <row r="14832" spans="1:11" s="1011" customFormat="1" ht="15" x14ac:dyDescent="0.25">
      <c r="A14832" s="859">
        <f t="shared" si="334"/>
        <v>14831</v>
      </c>
      <c r="B14832" s="845" t="s">
        <v>2564</v>
      </c>
      <c r="C14832" s="1007">
        <f t="shared" si="335"/>
        <v>133</v>
      </c>
      <c r="D14832" s="1012"/>
      <c r="I14832" s="1011" t="str">
        <f>CONCATENATE("&lt;numeroLigne&gt;",C14832,"&lt;/numeroLigne&gt;")</f>
        <v>&lt;numeroLigne&gt;133&lt;/numeroLigne&gt;</v>
      </c>
      <c r="K14832" s="1013"/>
    </row>
    <row r="14833" spans="1:11" s="1011" customFormat="1" ht="15" x14ac:dyDescent="0.25">
      <c r="A14833" s="859">
        <f t="shared" si="334"/>
        <v>14832</v>
      </c>
      <c r="B14833" s="845" t="s">
        <v>2564</v>
      </c>
      <c r="C14833" s="1007">
        <f t="shared" si="335"/>
        <v>133</v>
      </c>
      <c r="D14833" s="1014"/>
      <c r="H14833" s="1011" t="s">
        <v>1010</v>
      </c>
      <c r="K14833" s="1013"/>
    </row>
    <row r="14834" spans="1:11" s="1011" customFormat="1" ht="15" x14ac:dyDescent="0.25">
      <c r="A14834" s="859">
        <f t="shared" si="334"/>
        <v>14833</v>
      </c>
      <c r="B14834" s="845" t="s">
        <v>2564</v>
      </c>
      <c r="C14834" s="1007">
        <f t="shared" si="335"/>
        <v>133</v>
      </c>
      <c r="D14834" s="1014"/>
      <c r="H14834" s="1011" t="s">
        <v>1007</v>
      </c>
      <c r="K14834" s="1013"/>
    </row>
    <row r="14835" spans="1:11" s="1011" customFormat="1" ht="15" x14ac:dyDescent="0.25">
      <c r="A14835" s="859">
        <f t="shared" si="334"/>
        <v>14834</v>
      </c>
      <c r="B14835" s="845" t="s">
        <v>2564</v>
      </c>
      <c r="C14835" s="1007">
        <f t="shared" si="335"/>
        <v>133</v>
      </c>
      <c r="D14835" s="1012"/>
      <c r="I14835" s="1011" t="s">
        <v>2183</v>
      </c>
      <c r="K14835" s="1013"/>
    </row>
    <row r="14836" spans="1:11" s="1011" customFormat="1" ht="15" x14ac:dyDescent="0.25">
      <c r="A14836" s="859">
        <f t="shared" si="334"/>
        <v>14835</v>
      </c>
      <c r="B14836" s="845" t="s">
        <v>2564</v>
      </c>
      <c r="C14836" s="1007">
        <f t="shared" si="335"/>
        <v>133</v>
      </c>
      <c r="D14836" s="1015"/>
      <c r="I14836" s="1011" t="str">
        <f>CONCATENATE("&lt;valeur&gt;",VLOOKUP(C14836,'T16 Amort'!A:K,11,0),"&lt;/valeur&gt;")</f>
        <v>&lt;valeur&gt;&lt;/valeur&gt;</v>
      </c>
      <c r="K14836" s="1013"/>
    </row>
    <row r="14837" spans="1:11" s="1011" customFormat="1" ht="15" x14ac:dyDescent="0.25">
      <c r="A14837" s="859">
        <f t="shared" si="334"/>
        <v>14836</v>
      </c>
      <c r="B14837" s="845" t="s">
        <v>2564</v>
      </c>
      <c r="C14837" s="1007">
        <f t="shared" si="335"/>
        <v>133</v>
      </c>
      <c r="D14837" s="1012"/>
      <c r="I14837" s="1011" t="str">
        <f>CONCATENATE("&lt;numeroLigne&gt;",C14837,"&lt;/numeroLigne&gt;")</f>
        <v>&lt;numeroLigne&gt;133&lt;/numeroLigne&gt;</v>
      </c>
      <c r="K14837" s="1013"/>
    </row>
    <row r="14838" spans="1:11" s="1011" customFormat="1" ht="15" x14ac:dyDescent="0.25">
      <c r="A14838" s="859">
        <f t="shared" si="334"/>
        <v>14837</v>
      </c>
      <c r="B14838" s="845" t="s">
        <v>2564</v>
      </c>
      <c r="C14838" s="1007">
        <f t="shared" si="335"/>
        <v>133</v>
      </c>
      <c r="D14838" s="1016"/>
      <c r="E14838" s="1017"/>
      <c r="F14838" s="1017"/>
      <c r="G14838" s="1017"/>
      <c r="H14838" s="1017" t="s">
        <v>1010</v>
      </c>
      <c r="I14838" s="1017"/>
      <c r="J14838" s="1017"/>
      <c r="K14838" s="1018"/>
    </row>
    <row r="14839" spans="1:11" s="1011" customFormat="1" ht="15" x14ac:dyDescent="0.25">
      <c r="A14839" s="859">
        <f t="shared" si="334"/>
        <v>14838</v>
      </c>
      <c r="B14839" s="845" t="s">
        <v>2564</v>
      </c>
      <c r="C14839" s="1007">
        <f t="shared" si="335"/>
        <v>134</v>
      </c>
      <c r="D14839" s="1008"/>
      <c r="E14839" s="1009"/>
      <c r="F14839" s="1009"/>
      <c r="G14839" s="1009"/>
      <c r="H14839" s="1009" t="s">
        <v>1007</v>
      </c>
      <c r="I14839" s="1009"/>
      <c r="J14839" s="1009"/>
      <c r="K14839" s="1010"/>
    </row>
    <row r="14840" spans="1:11" s="1011" customFormat="1" ht="15" x14ac:dyDescent="0.25">
      <c r="A14840" s="859">
        <f t="shared" si="334"/>
        <v>14839</v>
      </c>
      <c r="B14840" s="845" t="s">
        <v>2564</v>
      </c>
      <c r="C14840" s="1007">
        <f t="shared" si="335"/>
        <v>134</v>
      </c>
      <c r="D14840" s="1012"/>
      <c r="I14840" s="1011" t="s">
        <v>2174</v>
      </c>
      <c r="K14840" s="1013"/>
    </row>
    <row r="14841" spans="1:11" s="1011" customFormat="1" ht="15" x14ac:dyDescent="0.25">
      <c r="A14841" s="859">
        <f t="shared" si="334"/>
        <v>14840</v>
      </c>
      <c r="B14841" s="845" t="s">
        <v>2564</v>
      </c>
      <c r="C14841" s="1007">
        <f t="shared" si="335"/>
        <v>134</v>
      </c>
      <c r="D14841" s="1014"/>
      <c r="I14841" s="1011" t="str">
        <f>CONCATENATE("&lt;valeur&gt;",VLOOKUP(C14841,'T16 Amort'!A:K,2,0),"&lt;/valeur&gt;")</f>
        <v>&lt;valeur&gt;&lt;/valeur&gt;</v>
      </c>
      <c r="K14841" s="1013"/>
    </row>
    <row r="14842" spans="1:11" s="1011" customFormat="1" ht="15" x14ac:dyDescent="0.25">
      <c r="A14842" s="859">
        <f t="shared" si="334"/>
        <v>14841</v>
      </c>
      <c r="B14842" s="845" t="s">
        <v>2564</v>
      </c>
      <c r="C14842" s="1007">
        <f t="shared" si="335"/>
        <v>134</v>
      </c>
      <c r="D14842" s="1014"/>
      <c r="I14842" s="1011" t="str">
        <f>CONCATENATE("&lt;numeroLigne&gt;",C14842,"&lt;/numeroLigne&gt;")</f>
        <v>&lt;numeroLigne&gt;134&lt;/numeroLigne&gt;</v>
      </c>
      <c r="K14842" s="1013"/>
    </row>
    <row r="14843" spans="1:11" s="1011" customFormat="1" ht="15" x14ac:dyDescent="0.25">
      <c r="A14843" s="859">
        <f t="shared" si="334"/>
        <v>14842</v>
      </c>
      <c r="B14843" s="845" t="s">
        <v>2564</v>
      </c>
      <c r="C14843" s="1007">
        <f t="shared" si="335"/>
        <v>134</v>
      </c>
      <c r="D14843" s="1012"/>
      <c r="H14843" s="1011" t="s">
        <v>1010</v>
      </c>
      <c r="K14843" s="1013"/>
    </row>
    <row r="14844" spans="1:11" s="1011" customFormat="1" ht="15" x14ac:dyDescent="0.25">
      <c r="A14844" s="859">
        <f t="shared" si="334"/>
        <v>14843</v>
      </c>
      <c r="B14844" s="845" t="s">
        <v>2564</v>
      </c>
      <c r="C14844" s="1007">
        <f t="shared" si="335"/>
        <v>134</v>
      </c>
      <c r="D14844" s="1015"/>
      <c r="H14844" s="1011" t="s">
        <v>1007</v>
      </c>
      <c r="K14844" s="1013"/>
    </row>
    <row r="14845" spans="1:11" s="1011" customFormat="1" ht="15" x14ac:dyDescent="0.25">
      <c r="A14845" s="859">
        <f t="shared" si="334"/>
        <v>14844</v>
      </c>
      <c r="B14845" s="845" t="s">
        <v>2564</v>
      </c>
      <c r="C14845" s="1007">
        <f t="shared" si="335"/>
        <v>134</v>
      </c>
      <c r="D14845" s="1012"/>
      <c r="I14845" s="1011" t="s">
        <v>2175</v>
      </c>
      <c r="K14845" s="1013"/>
    </row>
    <row r="14846" spans="1:11" s="1011" customFormat="1" ht="15" x14ac:dyDescent="0.25">
      <c r="A14846" s="859">
        <f t="shared" si="334"/>
        <v>14845</v>
      </c>
      <c r="B14846" s="845" t="s">
        <v>2564</v>
      </c>
      <c r="C14846" s="1007">
        <f t="shared" si="335"/>
        <v>134</v>
      </c>
      <c r="D14846" s="1012"/>
      <c r="I14846" s="1011" t="str">
        <f>CONCATENATE("&lt;valeur&gt;",VLOOKUP(C14846,'T16 Amort'!A:K,3,0),"&lt;/valeur&gt;")</f>
        <v>&lt;valeur&gt;&lt;/valeur&gt;</v>
      </c>
      <c r="K14846" s="1013"/>
    </row>
    <row r="14847" spans="1:11" s="1011" customFormat="1" ht="15" x14ac:dyDescent="0.25">
      <c r="A14847" s="859">
        <f t="shared" si="334"/>
        <v>14846</v>
      </c>
      <c r="B14847" s="845" t="s">
        <v>2564</v>
      </c>
      <c r="C14847" s="1007">
        <f t="shared" si="335"/>
        <v>134</v>
      </c>
      <c r="D14847" s="1014"/>
      <c r="I14847" s="1011" t="str">
        <f>CONCATENATE("&lt;numeroLigne&gt;",C14847,"&lt;/numeroLigne&gt;")</f>
        <v>&lt;numeroLigne&gt;134&lt;/numeroLigne&gt;</v>
      </c>
      <c r="K14847" s="1013"/>
    </row>
    <row r="14848" spans="1:11" s="1011" customFormat="1" ht="15" x14ac:dyDescent="0.25">
      <c r="A14848" s="859">
        <f t="shared" si="334"/>
        <v>14847</v>
      </c>
      <c r="B14848" s="845" t="s">
        <v>2564</v>
      </c>
      <c r="C14848" s="1007">
        <f t="shared" si="335"/>
        <v>134</v>
      </c>
      <c r="D14848" s="1014"/>
      <c r="H14848" s="1011" t="s">
        <v>1010</v>
      </c>
      <c r="K14848" s="1013"/>
    </row>
    <row r="14849" spans="1:11" s="1011" customFormat="1" ht="15" x14ac:dyDescent="0.25">
      <c r="A14849" s="859">
        <f t="shared" si="334"/>
        <v>14848</v>
      </c>
      <c r="B14849" s="845" t="s">
        <v>2564</v>
      </c>
      <c r="C14849" s="1007">
        <f t="shared" si="335"/>
        <v>134</v>
      </c>
      <c r="D14849" s="1012"/>
      <c r="H14849" s="1011" t="s">
        <v>1007</v>
      </c>
      <c r="K14849" s="1013"/>
    </row>
    <row r="14850" spans="1:11" s="1011" customFormat="1" ht="15" x14ac:dyDescent="0.25">
      <c r="A14850" s="859">
        <f t="shared" si="334"/>
        <v>14849</v>
      </c>
      <c r="B14850" s="845" t="s">
        <v>2564</v>
      </c>
      <c r="C14850" s="1007">
        <f t="shared" si="335"/>
        <v>134</v>
      </c>
      <c r="D14850" s="1015"/>
      <c r="I14850" s="1011" t="s">
        <v>2176</v>
      </c>
      <c r="K14850" s="1013"/>
    </row>
    <row r="14851" spans="1:11" s="1011" customFormat="1" ht="15" x14ac:dyDescent="0.25">
      <c r="A14851" s="859">
        <f t="shared" si="334"/>
        <v>14850</v>
      </c>
      <c r="B14851" s="845" t="s">
        <v>2564</v>
      </c>
      <c r="C14851" s="1007">
        <f t="shared" si="335"/>
        <v>134</v>
      </c>
      <c r="D14851" s="1012"/>
      <c r="I14851" s="1011" t="str">
        <f>CONCATENATE("&lt;valeur&gt;",VLOOKUP(C14851,'T16 Amort'!A:K,4,0),"&lt;/valeur&gt;")</f>
        <v>&lt;valeur&gt;&lt;/valeur&gt;</v>
      </c>
      <c r="K14851" s="1013"/>
    </row>
    <row r="14852" spans="1:11" s="1011" customFormat="1" ht="15" x14ac:dyDescent="0.25">
      <c r="A14852" s="859">
        <f t="shared" ref="A14852:A14915" si="336">+A14851+1</f>
        <v>14851</v>
      </c>
      <c r="B14852" s="845" t="s">
        <v>2564</v>
      </c>
      <c r="C14852" s="1007">
        <f t="shared" si="335"/>
        <v>134</v>
      </c>
      <c r="D14852" s="1012"/>
      <c r="I14852" s="1011" t="str">
        <f>CONCATENATE("&lt;numeroLigne&gt;",C14852,"&lt;/numeroLigne&gt;")</f>
        <v>&lt;numeroLigne&gt;134&lt;/numeroLigne&gt;</v>
      </c>
      <c r="K14852" s="1013"/>
    </row>
    <row r="14853" spans="1:11" s="1011" customFormat="1" ht="15" x14ac:dyDescent="0.25">
      <c r="A14853" s="859">
        <f t="shared" si="336"/>
        <v>14852</v>
      </c>
      <c r="B14853" s="845" t="s">
        <v>2564</v>
      </c>
      <c r="C14853" s="1007">
        <f t="shared" si="335"/>
        <v>134</v>
      </c>
      <c r="D14853" s="1014"/>
      <c r="H14853" s="1011" t="s">
        <v>1010</v>
      </c>
      <c r="K14853" s="1013"/>
    </row>
    <row r="14854" spans="1:11" s="1011" customFormat="1" ht="15" x14ac:dyDescent="0.25">
      <c r="A14854" s="859">
        <f t="shared" si="336"/>
        <v>14853</v>
      </c>
      <c r="B14854" s="845" t="s">
        <v>2564</v>
      </c>
      <c r="C14854" s="1007">
        <f t="shared" si="335"/>
        <v>134</v>
      </c>
      <c r="D14854" s="1014"/>
      <c r="H14854" s="1011" t="s">
        <v>1007</v>
      </c>
      <c r="K14854" s="1013"/>
    </row>
    <row r="14855" spans="1:11" s="1011" customFormat="1" ht="15" x14ac:dyDescent="0.25">
      <c r="A14855" s="859">
        <f t="shared" si="336"/>
        <v>14854</v>
      </c>
      <c r="B14855" s="845" t="s">
        <v>2564</v>
      </c>
      <c r="C14855" s="1007">
        <f t="shared" si="335"/>
        <v>134</v>
      </c>
      <c r="D14855" s="1012"/>
      <c r="I14855" s="1011" t="s">
        <v>2177</v>
      </c>
      <c r="K14855" s="1013"/>
    </row>
    <row r="14856" spans="1:11" s="1011" customFormat="1" ht="15" x14ac:dyDescent="0.25">
      <c r="A14856" s="859">
        <f t="shared" si="336"/>
        <v>14855</v>
      </c>
      <c r="B14856" s="845" t="s">
        <v>2564</v>
      </c>
      <c r="C14856" s="1007">
        <f t="shared" si="335"/>
        <v>134</v>
      </c>
      <c r="D14856" s="1015"/>
      <c r="I14856" s="1011" t="str">
        <f>CONCATENATE("&lt;valeur&gt;",VLOOKUP(C14856,'T16 Amort'!A:K,5,0),"&lt;/valeur&gt;")</f>
        <v>&lt;valeur&gt;&lt;/valeur&gt;</v>
      </c>
      <c r="K14856" s="1013"/>
    </row>
    <row r="14857" spans="1:11" s="1011" customFormat="1" ht="15" x14ac:dyDescent="0.25">
      <c r="A14857" s="859">
        <f t="shared" si="336"/>
        <v>14856</v>
      </c>
      <c r="B14857" s="845" t="s">
        <v>2564</v>
      </c>
      <c r="C14857" s="1007">
        <f t="shared" si="335"/>
        <v>134</v>
      </c>
      <c r="D14857" s="1012"/>
      <c r="I14857" s="1011" t="str">
        <f>CONCATENATE("&lt;numeroLigne&gt;",C14857,"&lt;/numeroLigne&gt;")</f>
        <v>&lt;numeroLigne&gt;134&lt;/numeroLigne&gt;</v>
      </c>
      <c r="K14857" s="1013"/>
    </row>
    <row r="14858" spans="1:11" s="1011" customFormat="1" ht="15" x14ac:dyDescent="0.25">
      <c r="A14858" s="859">
        <f t="shared" si="336"/>
        <v>14857</v>
      </c>
      <c r="B14858" s="845" t="s">
        <v>2564</v>
      </c>
      <c r="C14858" s="1007">
        <f t="shared" si="335"/>
        <v>134</v>
      </c>
      <c r="D14858" s="1012"/>
      <c r="H14858" s="1011" t="s">
        <v>1010</v>
      </c>
      <c r="K14858" s="1013"/>
    </row>
    <row r="14859" spans="1:11" s="1011" customFormat="1" ht="15" x14ac:dyDescent="0.25">
      <c r="A14859" s="859">
        <f t="shared" si="336"/>
        <v>14858</v>
      </c>
      <c r="B14859" s="845" t="s">
        <v>2564</v>
      </c>
      <c r="C14859" s="1007">
        <f t="shared" si="335"/>
        <v>134</v>
      </c>
      <c r="D14859" s="1014"/>
      <c r="H14859" s="1011" t="s">
        <v>1007</v>
      </c>
      <c r="K14859" s="1013"/>
    </row>
    <row r="14860" spans="1:11" s="1011" customFormat="1" ht="15" x14ac:dyDescent="0.25">
      <c r="A14860" s="859">
        <f t="shared" si="336"/>
        <v>14859</v>
      </c>
      <c r="B14860" s="845" t="s">
        <v>2564</v>
      </c>
      <c r="C14860" s="1007">
        <f t="shared" si="335"/>
        <v>134</v>
      </c>
      <c r="D14860" s="1014"/>
      <c r="I14860" s="1011" t="s">
        <v>2178</v>
      </c>
      <c r="K14860" s="1013"/>
    </row>
    <row r="14861" spans="1:11" s="1011" customFormat="1" ht="15" x14ac:dyDescent="0.25">
      <c r="A14861" s="859">
        <f t="shared" si="336"/>
        <v>14860</v>
      </c>
      <c r="B14861" s="845" t="s">
        <v>2564</v>
      </c>
      <c r="C14861" s="1007">
        <f t="shared" si="335"/>
        <v>134</v>
      </c>
      <c r="D14861" s="1012"/>
      <c r="I14861" s="1011" t="str">
        <f>CONCATENATE("&lt;valeur&gt;",VLOOKUP(C14861,'T16 Amort'!A:K,6,0),"&lt;/valeur&gt;")</f>
        <v>&lt;valeur&gt;&lt;/valeur&gt;</v>
      </c>
      <c r="K14861" s="1013"/>
    </row>
    <row r="14862" spans="1:11" s="1011" customFormat="1" ht="15" x14ac:dyDescent="0.25">
      <c r="A14862" s="859">
        <f t="shared" si="336"/>
        <v>14861</v>
      </c>
      <c r="B14862" s="845" t="s">
        <v>2564</v>
      </c>
      <c r="C14862" s="1007">
        <f t="shared" si="335"/>
        <v>134</v>
      </c>
      <c r="D14862" s="1015"/>
      <c r="I14862" s="1011" t="str">
        <f>CONCATENATE("&lt;numeroLigne&gt;",C14862,"&lt;/numeroLigne&gt;")</f>
        <v>&lt;numeroLigne&gt;134&lt;/numeroLigne&gt;</v>
      </c>
      <c r="K14862" s="1013"/>
    </row>
    <row r="14863" spans="1:11" s="1011" customFormat="1" ht="15" x14ac:dyDescent="0.25">
      <c r="A14863" s="859">
        <f t="shared" si="336"/>
        <v>14862</v>
      </c>
      <c r="B14863" s="845" t="s">
        <v>2564</v>
      </c>
      <c r="C14863" s="1007">
        <f t="shared" si="335"/>
        <v>134</v>
      </c>
      <c r="D14863" s="1012"/>
      <c r="H14863" s="1011" t="s">
        <v>1010</v>
      </c>
      <c r="K14863" s="1013"/>
    </row>
    <row r="14864" spans="1:11" s="1011" customFormat="1" ht="15" x14ac:dyDescent="0.25">
      <c r="A14864" s="859">
        <f t="shared" si="336"/>
        <v>14863</v>
      </c>
      <c r="B14864" s="845" t="s">
        <v>2564</v>
      </c>
      <c r="C14864" s="1007">
        <f t="shared" si="335"/>
        <v>134</v>
      </c>
      <c r="D14864" s="1012"/>
      <c r="H14864" s="1011" t="s">
        <v>1007</v>
      </c>
      <c r="K14864" s="1013"/>
    </row>
    <row r="14865" spans="1:11" s="1011" customFormat="1" ht="15" x14ac:dyDescent="0.25">
      <c r="A14865" s="859">
        <f t="shared" si="336"/>
        <v>14864</v>
      </c>
      <c r="B14865" s="845" t="s">
        <v>2564</v>
      </c>
      <c r="C14865" s="1007">
        <f t="shared" si="335"/>
        <v>134</v>
      </c>
      <c r="D14865" s="1014"/>
      <c r="I14865" s="1011" t="s">
        <v>2179</v>
      </c>
      <c r="K14865" s="1013"/>
    </row>
    <row r="14866" spans="1:11" s="1011" customFormat="1" ht="15" x14ac:dyDescent="0.25">
      <c r="A14866" s="859">
        <f t="shared" si="336"/>
        <v>14865</v>
      </c>
      <c r="B14866" s="845" t="s">
        <v>2564</v>
      </c>
      <c r="C14866" s="1007">
        <f t="shared" si="335"/>
        <v>134</v>
      </c>
      <c r="D14866" s="1014"/>
      <c r="I14866" s="1011" t="str">
        <f>CONCATENATE("&lt;valeur&gt;",VLOOKUP(C14866,'T16 Amort'!A:K,7,0),"&lt;/valeur&gt;")</f>
        <v>&lt;valeur&gt;&lt;/valeur&gt;</v>
      </c>
      <c r="K14866" s="1013"/>
    </row>
    <row r="14867" spans="1:11" s="1011" customFormat="1" ht="15" x14ac:dyDescent="0.25">
      <c r="A14867" s="859">
        <f t="shared" si="336"/>
        <v>14866</v>
      </c>
      <c r="B14867" s="845" t="s">
        <v>2564</v>
      </c>
      <c r="C14867" s="1007">
        <f t="shared" si="335"/>
        <v>134</v>
      </c>
      <c r="D14867" s="1012"/>
      <c r="I14867" s="1011" t="str">
        <f>CONCATENATE("&lt;numeroLigne&gt;",C14867,"&lt;/numeroLigne&gt;")</f>
        <v>&lt;numeroLigne&gt;134&lt;/numeroLigne&gt;</v>
      </c>
      <c r="K14867" s="1013"/>
    </row>
    <row r="14868" spans="1:11" s="1011" customFormat="1" ht="15" x14ac:dyDescent="0.25">
      <c r="A14868" s="859">
        <f t="shared" si="336"/>
        <v>14867</v>
      </c>
      <c r="B14868" s="845" t="s">
        <v>2564</v>
      </c>
      <c r="C14868" s="1007">
        <f t="shared" si="335"/>
        <v>134</v>
      </c>
      <c r="D14868" s="1015"/>
      <c r="H14868" s="1011" t="s">
        <v>1010</v>
      </c>
      <c r="K14868" s="1013"/>
    </row>
    <row r="14869" spans="1:11" s="1011" customFormat="1" ht="15" x14ac:dyDescent="0.25">
      <c r="A14869" s="859">
        <f t="shared" si="336"/>
        <v>14868</v>
      </c>
      <c r="B14869" s="845" t="s">
        <v>2564</v>
      </c>
      <c r="C14869" s="1007">
        <f t="shared" si="335"/>
        <v>134</v>
      </c>
      <c r="D14869" s="1012"/>
      <c r="H14869" s="1011" t="s">
        <v>1007</v>
      </c>
      <c r="K14869" s="1013"/>
    </row>
    <row r="14870" spans="1:11" s="1011" customFormat="1" ht="15" x14ac:dyDescent="0.25">
      <c r="A14870" s="859">
        <f t="shared" si="336"/>
        <v>14869</v>
      </c>
      <c r="B14870" s="845" t="s">
        <v>2564</v>
      </c>
      <c r="C14870" s="1007">
        <f t="shared" si="335"/>
        <v>134</v>
      </c>
      <c r="D14870" s="1012"/>
      <c r="I14870" s="1011" t="s">
        <v>2180</v>
      </c>
      <c r="K14870" s="1013"/>
    </row>
    <row r="14871" spans="1:11" s="1011" customFormat="1" ht="15" x14ac:dyDescent="0.25">
      <c r="A14871" s="859">
        <f t="shared" si="336"/>
        <v>14870</v>
      </c>
      <c r="B14871" s="845" t="s">
        <v>2564</v>
      </c>
      <c r="C14871" s="1007">
        <f t="shared" si="335"/>
        <v>134</v>
      </c>
      <c r="D14871" s="1014"/>
      <c r="I14871" s="1011" t="str">
        <f>CONCATENATE("&lt;valeur&gt;",VLOOKUP(C14871,'T16 Amort'!A:K,8,0),"&lt;/valeur&gt;")</f>
        <v>&lt;valeur&gt;&lt;/valeur&gt;</v>
      </c>
      <c r="K14871" s="1013"/>
    </row>
    <row r="14872" spans="1:11" s="1011" customFormat="1" ht="15" x14ac:dyDescent="0.25">
      <c r="A14872" s="859">
        <f t="shared" si="336"/>
        <v>14871</v>
      </c>
      <c r="B14872" s="845" t="s">
        <v>2564</v>
      </c>
      <c r="C14872" s="1007">
        <f t="shared" si="335"/>
        <v>134</v>
      </c>
      <c r="D14872" s="1014"/>
      <c r="I14872" s="1011" t="str">
        <f>CONCATENATE("&lt;numeroLigne&gt;",C14872,"&lt;/numeroLigne&gt;")</f>
        <v>&lt;numeroLigne&gt;134&lt;/numeroLigne&gt;</v>
      </c>
      <c r="K14872" s="1013"/>
    </row>
    <row r="14873" spans="1:11" s="1011" customFormat="1" ht="15" x14ac:dyDescent="0.25">
      <c r="A14873" s="859">
        <f t="shared" si="336"/>
        <v>14872</v>
      </c>
      <c r="B14873" s="845" t="s">
        <v>2564</v>
      </c>
      <c r="C14873" s="1007">
        <f t="shared" si="335"/>
        <v>134</v>
      </c>
      <c r="D14873" s="1012"/>
      <c r="H14873" s="1011" t="s">
        <v>1010</v>
      </c>
      <c r="K14873" s="1013"/>
    </row>
    <row r="14874" spans="1:11" s="1011" customFormat="1" ht="15" x14ac:dyDescent="0.25">
      <c r="A14874" s="859">
        <f t="shared" si="336"/>
        <v>14873</v>
      </c>
      <c r="B14874" s="845" t="s">
        <v>2564</v>
      </c>
      <c r="C14874" s="1007">
        <f t="shared" si="335"/>
        <v>134</v>
      </c>
      <c r="D14874" s="1015"/>
      <c r="H14874" s="1011" t="s">
        <v>1007</v>
      </c>
      <c r="K14874" s="1013"/>
    </row>
    <row r="14875" spans="1:11" s="1011" customFormat="1" ht="15" x14ac:dyDescent="0.25">
      <c r="A14875" s="859">
        <f t="shared" si="336"/>
        <v>14874</v>
      </c>
      <c r="B14875" s="845" t="s">
        <v>2564</v>
      </c>
      <c r="C14875" s="1007">
        <f t="shared" si="335"/>
        <v>134</v>
      </c>
      <c r="D14875" s="1012"/>
      <c r="I14875" s="1011" t="s">
        <v>2181</v>
      </c>
      <c r="K14875" s="1013"/>
    </row>
    <row r="14876" spans="1:11" s="1011" customFormat="1" ht="15" x14ac:dyDescent="0.25">
      <c r="A14876" s="859">
        <f t="shared" si="336"/>
        <v>14875</v>
      </c>
      <c r="B14876" s="845" t="s">
        <v>2564</v>
      </c>
      <c r="C14876" s="1007">
        <f t="shared" si="335"/>
        <v>134</v>
      </c>
      <c r="D14876" s="1012"/>
      <c r="I14876" s="1011" t="str">
        <f>CONCATENATE("&lt;valeur&gt;",VLOOKUP(C14876,'T16 Amort'!A:K,9,0),"&lt;/valeur&gt;")</f>
        <v>&lt;valeur&gt;&lt;/valeur&gt;</v>
      </c>
      <c r="K14876" s="1013"/>
    </row>
    <row r="14877" spans="1:11" s="1011" customFormat="1" ht="15" x14ac:dyDescent="0.25">
      <c r="A14877" s="859">
        <f t="shared" si="336"/>
        <v>14876</v>
      </c>
      <c r="B14877" s="845" t="s">
        <v>2564</v>
      </c>
      <c r="C14877" s="1007">
        <f t="shared" si="335"/>
        <v>134</v>
      </c>
      <c r="D14877" s="1014"/>
      <c r="I14877" s="1011" t="str">
        <f>CONCATENATE("&lt;numeroLigne&gt;",C14877,"&lt;/numeroLigne&gt;")</f>
        <v>&lt;numeroLigne&gt;134&lt;/numeroLigne&gt;</v>
      </c>
      <c r="K14877" s="1013"/>
    </row>
    <row r="14878" spans="1:11" s="1011" customFormat="1" ht="15" x14ac:dyDescent="0.25">
      <c r="A14878" s="859">
        <f t="shared" si="336"/>
        <v>14877</v>
      </c>
      <c r="B14878" s="845" t="s">
        <v>2564</v>
      </c>
      <c r="C14878" s="1007">
        <f t="shared" si="335"/>
        <v>134</v>
      </c>
      <c r="D14878" s="1014"/>
      <c r="H14878" s="1011" t="s">
        <v>1010</v>
      </c>
      <c r="K14878" s="1013"/>
    </row>
    <row r="14879" spans="1:11" s="1011" customFormat="1" ht="15" x14ac:dyDescent="0.25">
      <c r="A14879" s="859">
        <f t="shared" si="336"/>
        <v>14878</v>
      </c>
      <c r="B14879" s="845" t="s">
        <v>2564</v>
      </c>
      <c r="C14879" s="1007">
        <f t="shared" si="335"/>
        <v>134</v>
      </c>
      <c r="D14879" s="1012"/>
      <c r="H14879" s="1011" t="s">
        <v>1007</v>
      </c>
      <c r="K14879" s="1013"/>
    </row>
    <row r="14880" spans="1:11" s="1011" customFormat="1" ht="15" x14ac:dyDescent="0.25">
      <c r="A14880" s="859">
        <f t="shared" si="336"/>
        <v>14879</v>
      </c>
      <c r="B14880" s="845" t="s">
        <v>2564</v>
      </c>
      <c r="C14880" s="1007">
        <f t="shared" si="335"/>
        <v>134</v>
      </c>
      <c r="D14880" s="1015"/>
      <c r="I14880" s="1011" t="s">
        <v>2182</v>
      </c>
      <c r="K14880" s="1013"/>
    </row>
    <row r="14881" spans="1:11" s="1011" customFormat="1" ht="15" x14ac:dyDescent="0.25">
      <c r="A14881" s="859">
        <f t="shared" si="336"/>
        <v>14880</v>
      </c>
      <c r="B14881" s="845" t="s">
        <v>2564</v>
      </c>
      <c r="C14881" s="1007">
        <f t="shared" si="335"/>
        <v>134</v>
      </c>
      <c r="D14881" s="1012"/>
      <c r="I14881" s="1011" t="str">
        <f>CONCATENATE("&lt;valeur&gt;",VLOOKUP(C14881,'T16 Amort'!A:K,10,0),"&lt;/valeur&gt;")</f>
        <v>&lt;valeur&gt;&lt;/valeur&gt;</v>
      </c>
      <c r="K14881" s="1013"/>
    </row>
    <row r="14882" spans="1:11" s="1011" customFormat="1" ht="15" x14ac:dyDescent="0.25">
      <c r="A14882" s="859">
        <f t="shared" si="336"/>
        <v>14881</v>
      </c>
      <c r="B14882" s="845" t="s">
        <v>2564</v>
      </c>
      <c r="C14882" s="1007">
        <f t="shared" si="335"/>
        <v>134</v>
      </c>
      <c r="D14882" s="1012"/>
      <c r="I14882" s="1011" t="str">
        <f>CONCATENATE("&lt;numeroLigne&gt;",C14882,"&lt;/numeroLigne&gt;")</f>
        <v>&lt;numeroLigne&gt;134&lt;/numeroLigne&gt;</v>
      </c>
      <c r="K14882" s="1013"/>
    </row>
    <row r="14883" spans="1:11" s="1011" customFormat="1" ht="15" x14ac:dyDescent="0.25">
      <c r="A14883" s="859">
        <f t="shared" si="336"/>
        <v>14882</v>
      </c>
      <c r="B14883" s="845" t="s">
        <v>2564</v>
      </c>
      <c r="C14883" s="1007">
        <f t="shared" si="335"/>
        <v>134</v>
      </c>
      <c r="D14883" s="1014"/>
      <c r="H14883" s="1011" t="s">
        <v>1010</v>
      </c>
      <c r="K14883" s="1013"/>
    </row>
    <row r="14884" spans="1:11" s="1011" customFormat="1" ht="15" x14ac:dyDescent="0.25">
      <c r="A14884" s="859">
        <f t="shared" si="336"/>
        <v>14883</v>
      </c>
      <c r="B14884" s="845" t="s">
        <v>2564</v>
      </c>
      <c r="C14884" s="1007">
        <f t="shared" si="335"/>
        <v>134</v>
      </c>
      <c r="D14884" s="1014"/>
      <c r="H14884" s="1011" t="s">
        <v>1007</v>
      </c>
      <c r="K14884" s="1013"/>
    </row>
    <row r="14885" spans="1:11" s="1011" customFormat="1" ht="15" x14ac:dyDescent="0.25">
      <c r="A14885" s="859">
        <f t="shared" si="336"/>
        <v>14884</v>
      </c>
      <c r="B14885" s="845" t="s">
        <v>2564</v>
      </c>
      <c r="C14885" s="1007">
        <f t="shared" si="335"/>
        <v>134</v>
      </c>
      <c r="D14885" s="1012"/>
      <c r="I14885" s="1011" t="s">
        <v>2183</v>
      </c>
      <c r="K14885" s="1013"/>
    </row>
    <row r="14886" spans="1:11" s="1011" customFormat="1" ht="15" x14ac:dyDescent="0.25">
      <c r="A14886" s="859">
        <f t="shared" si="336"/>
        <v>14885</v>
      </c>
      <c r="B14886" s="845" t="s">
        <v>2564</v>
      </c>
      <c r="C14886" s="1007">
        <f t="shared" si="335"/>
        <v>134</v>
      </c>
      <c r="D14886" s="1015"/>
      <c r="I14886" s="1011" t="str">
        <f>CONCATENATE("&lt;valeur&gt;",VLOOKUP(C14886,'T16 Amort'!A:K,11,0),"&lt;/valeur&gt;")</f>
        <v>&lt;valeur&gt;&lt;/valeur&gt;</v>
      </c>
      <c r="K14886" s="1013"/>
    </row>
    <row r="14887" spans="1:11" s="1011" customFormat="1" ht="15" x14ac:dyDescent="0.25">
      <c r="A14887" s="859">
        <f t="shared" si="336"/>
        <v>14886</v>
      </c>
      <c r="B14887" s="845" t="s">
        <v>2564</v>
      </c>
      <c r="C14887" s="1007">
        <f t="shared" si="335"/>
        <v>134</v>
      </c>
      <c r="D14887" s="1012"/>
      <c r="I14887" s="1011" t="str">
        <f>CONCATENATE("&lt;numeroLigne&gt;",C14887,"&lt;/numeroLigne&gt;")</f>
        <v>&lt;numeroLigne&gt;134&lt;/numeroLigne&gt;</v>
      </c>
      <c r="K14887" s="1013"/>
    </row>
    <row r="14888" spans="1:11" s="1011" customFormat="1" ht="15" x14ac:dyDescent="0.25">
      <c r="A14888" s="859">
        <f t="shared" si="336"/>
        <v>14887</v>
      </c>
      <c r="B14888" s="845" t="s">
        <v>2564</v>
      </c>
      <c r="C14888" s="1007">
        <f t="shared" si="335"/>
        <v>134</v>
      </c>
      <c r="D14888" s="1016"/>
      <c r="E14888" s="1017"/>
      <c r="F14888" s="1017"/>
      <c r="G14888" s="1017"/>
      <c r="H14888" s="1017" t="s">
        <v>1010</v>
      </c>
      <c r="I14888" s="1017"/>
      <c r="J14888" s="1017"/>
      <c r="K14888" s="1018"/>
    </row>
    <row r="14889" spans="1:11" s="1011" customFormat="1" ht="15" x14ac:dyDescent="0.25">
      <c r="A14889" s="859">
        <f t="shared" si="336"/>
        <v>14888</v>
      </c>
      <c r="B14889" s="845" t="s">
        <v>2564</v>
      </c>
      <c r="C14889" s="1007">
        <f t="shared" si="335"/>
        <v>135</v>
      </c>
      <c r="D14889" s="1008"/>
      <c r="E14889" s="1009"/>
      <c r="F14889" s="1009"/>
      <c r="G14889" s="1009"/>
      <c r="H14889" s="1009" t="s">
        <v>1007</v>
      </c>
      <c r="I14889" s="1009"/>
      <c r="J14889" s="1009"/>
      <c r="K14889" s="1010"/>
    </row>
    <row r="14890" spans="1:11" s="1011" customFormat="1" ht="15" x14ac:dyDescent="0.25">
      <c r="A14890" s="859">
        <f t="shared" si="336"/>
        <v>14889</v>
      </c>
      <c r="B14890" s="845" t="s">
        <v>2564</v>
      </c>
      <c r="C14890" s="1007">
        <f t="shared" si="335"/>
        <v>135</v>
      </c>
      <c r="D14890" s="1012"/>
      <c r="I14890" s="1011" t="s">
        <v>2174</v>
      </c>
      <c r="K14890" s="1013"/>
    </row>
    <row r="14891" spans="1:11" s="1011" customFormat="1" ht="15" x14ac:dyDescent="0.25">
      <c r="A14891" s="859">
        <f t="shared" si="336"/>
        <v>14890</v>
      </c>
      <c r="B14891" s="845" t="s">
        <v>2564</v>
      </c>
      <c r="C14891" s="1007">
        <f t="shared" si="335"/>
        <v>135</v>
      </c>
      <c r="D14891" s="1014"/>
      <c r="I14891" s="1011" t="str">
        <f>CONCATENATE("&lt;valeur&gt;",VLOOKUP(C14891,'T16 Amort'!A:K,2,0),"&lt;/valeur&gt;")</f>
        <v>&lt;valeur&gt;&lt;/valeur&gt;</v>
      </c>
      <c r="K14891" s="1013"/>
    </row>
    <row r="14892" spans="1:11" s="1011" customFormat="1" ht="15" x14ac:dyDescent="0.25">
      <c r="A14892" s="859">
        <f t="shared" si="336"/>
        <v>14891</v>
      </c>
      <c r="B14892" s="845" t="s">
        <v>2564</v>
      </c>
      <c r="C14892" s="1007">
        <f t="shared" si="335"/>
        <v>135</v>
      </c>
      <c r="D14892" s="1014"/>
      <c r="I14892" s="1011" t="str">
        <f>CONCATENATE("&lt;numeroLigne&gt;",C14892,"&lt;/numeroLigne&gt;")</f>
        <v>&lt;numeroLigne&gt;135&lt;/numeroLigne&gt;</v>
      </c>
      <c r="K14892" s="1013"/>
    </row>
    <row r="14893" spans="1:11" s="1011" customFormat="1" ht="15" x14ac:dyDescent="0.25">
      <c r="A14893" s="859">
        <f t="shared" si="336"/>
        <v>14892</v>
      </c>
      <c r="B14893" s="845" t="s">
        <v>2564</v>
      </c>
      <c r="C14893" s="1007">
        <f t="shared" si="335"/>
        <v>135</v>
      </c>
      <c r="D14893" s="1012"/>
      <c r="H14893" s="1011" t="s">
        <v>1010</v>
      </c>
      <c r="K14893" s="1013"/>
    </row>
    <row r="14894" spans="1:11" s="1011" customFormat="1" ht="15" x14ac:dyDescent="0.25">
      <c r="A14894" s="859">
        <f t="shared" si="336"/>
        <v>14893</v>
      </c>
      <c r="B14894" s="845" t="s">
        <v>2564</v>
      </c>
      <c r="C14894" s="1007">
        <f t="shared" si="335"/>
        <v>135</v>
      </c>
      <c r="D14894" s="1015"/>
      <c r="H14894" s="1011" t="s">
        <v>1007</v>
      </c>
      <c r="K14894" s="1013"/>
    </row>
    <row r="14895" spans="1:11" s="1011" customFormat="1" ht="15" x14ac:dyDescent="0.25">
      <c r="A14895" s="859">
        <f t="shared" si="336"/>
        <v>14894</v>
      </c>
      <c r="B14895" s="845" t="s">
        <v>2564</v>
      </c>
      <c r="C14895" s="1007">
        <f t="shared" ref="C14895:C14958" si="337">C14845+1</f>
        <v>135</v>
      </c>
      <c r="D14895" s="1012"/>
      <c r="I14895" s="1011" t="s">
        <v>2175</v>
      </c>
      <c r="K14895" s="1013"/>
    </row>
    <row r="14896" spans="1:11" s="1011" customFormat="1" ht="15" x14ac:dyDescent="0.25">
      <c r="A14896" s="859">
        <f t="shared" si="336"/>
        <v>14895</v>
      </c>
      <c r="B14896" s="845" t="s">
        <v>2564</v>
      </c>
      <c r="C14896" s="1007">
        <f t="shared" si="337"/>
        <v>135</v>
      </c>
      <c r="D14896" s="1012"/>
      <c r="I14896" s="1011" t="str">
        <f>CONCATENATE("&lt;valeur&gt;",VLOOKUP(C14896,'T16 Amort'!A:K,3,0),"&lt;/valeur&gt;")</f>
        <v>&lt;valeur&gt;&lt;/valeur&gt;</v>
      </c>
      <c r="K14896" s="1013"/>
    </row>
    <row r="14897" spans="1:11" s="1011" customFormat="1" ht="15" x14ac:dyDescent="0.25">
      <c r="A14897" s="859">
        <f t="shared" si="336"/>
        <v>14896</v>
      </c>
      <c r="B14897" s="845" t="s">
        <v>2564</v>
      </c>
      <c r="C14897" s="1007">
        <f t="shared" si="337"/>
        <v>135</v>
      </c>
      <c r="D14897" s="1014"/>
      <c r="I14897" s="1011" t="str">
        <f>CONCATENATE("&lt;numeroLigne&gt;",C14897,"&lt;/numeroLigne&gt;")</f>
        <v>&lt;numeroLigne&gt;135&lt;/numeroLigne&gt;</v>
      </c>
      <c r="K14897" s="1013"/>
    </row>
    <row r="14898" spans="1:11" s="1011" customFormat="1" ht="15" x14ac:dyDescent="0.25">
      <c r="A14898" s="859">
        <f t="shared" si="336"/>
        <v>14897</v>
      </c>
      <c r="B14898" s="845" t="s">
        <v>2564</v>
      </c>
      <c r="C14898" s="1007">
        <f t="shared" si="337"/>
        <v>135</v>
      </c>
      <c r="D14898" s="1014"/>
      <c r="H14898" s="1011" t="s">
        <v>1010</v>
      </c>
      <c r="K14898" s="1013"/>
    </row>
    <row r="14899" spans="1:11" s="1011" customFormat="1" ht="15" x14ac:dyDescent="0.25">
      <c r="A14899" s="859">
        <f t="shared" si="336"/>
        <v>14898</v>
      </c>
      <c r="B14899" s="845" t="s">
        <v>2564</v>
      </c>
      <c r="C14899" s="1007">
        <f t="shared" si="337"/>
        <v>135</v>
      </c>
      <c r="D14899" s="1012"/>
      <c r="H14899" s="1011" t="s">
        <v>1007</v>
      </c>
      <c r="K14899" s="1013"/>
    </row>
    <row r="14900" spans="1:11" s="1011" customFormat="1" ht="15" x14ac:dyDescent="0.25">
      <c r="A14900" s="859">
        <f t="shared" si="336"/>
        <v>14899</v>
      </c>
      <c r="B14900" s="845" t="s">
        <v>2564</v>
      </c>
      <c r="C14900" s="1007">
        <f t="shared" si="337"/>
        <v>135</v>
      </c>
      <c r="D14900" s="1015"/>
      <c r="I14900" s="1011" t="s">
        <v>2176</v>
      </c>
      <c r="K14900" s="1013"/>
    </row>
    <row r="14901" spans="1:11" s="1011" customFormat="1" ht="15" x14ac:dyDescent="0.25">
      <c r="A14901" s="859">
        <f t="shared" si="336"/>
        <v>14900</v>
      </c>
      <c r="B14901" s="845" t="s">
        <v>2564</v>
      </c>
      <c r="C14901" s="1007">
        <f t="shared" si="337"/>
        <v>135</v>
      </c>
      <c r="D14901" s="1012"/>
      <c r="I14901" s="1011" t="str">
        <f>CONCATENATE("&lt;valeur&gt;",VLOOKUP(C14901,'T16 Amort'!A:K,4,0),"&lt;/valeur&gt;")</f>
        <v>&lt;valeur&gt;&lt;/valeur&gt;</v>
      </c>
      <c r="K14901" s="1013"/>
    </row>
    <row r="14902" spans="1:11" s="1011" customFormat="1" ht="15" x14ac:dyDescent="0.25">
      <c r="A14902" s="859">
        <f t="shared" si="336"/>
        <v>14901</v>
      </c>
      <c r="B14902" s="845" t="s">
        <v>2564</v>
      </c>
      <c r="C14902" s="1007">
        <f t="shared" si="337"/>
        <v>135</v>
      </c>
      <c r="D14902" s="1012"/>
      <c r="I14902" s="1011" t="str">
        <f>CONCATENATE("&lt;numeroLigne&gt;",C14902,"&lt;/numeroLigne&gt;")</f>
        <v>&lt;numeroLigne&gt;135&lt;/numeroLigne&gt;</v>
      </c>
      <c r="K14902" s="1013"/>
    </row>
    <row r="14903" spans="1:11" s="1011" customFormat="1" ht="15" x14ac:dyDescent="0.25">
      <c r="A14903" s="859">
        <f t="shared" si="336"/>
        <v>14902</v>
      </c>
      <c r="B14903" s="845" t="s">
        <v>2564</v>
      </c>
      <c r="C14903" s="1007">
        <f t="shared" si="337"/>
        <v>135</v>
      </c>
      <c r="D14903" s="1014"/>
      <c r="H14903" s="1011" t="s">
        <v>1010</v>
      </c>
      <c r="K14903" s="1013"/>
    </row>
    <row r="14904" spans="1:11" s="1011" customFormat="1" ht="15" x14ac:dyDescent="0.25">
      <c r="A14904" s="859">
        <f t="shared" si="336"/>
        <v>14903</v>
      </c>
      <c r="B14904" s="845" t="s">
        <v>2564</v>
      </c>
      <c r="C14904" s="1007">
        <f t="shared" si="337"/>
        <v>135</v>
      </c>
      <c r="D14904" s="1014"/>
      <c r="H14904" s="1011" t="s">
        <v>1007</v>
      </c>
      <c r="K14904" s="1013"/>
    </row>
    <row r="14905" spans="1:11" s="1011" customFormat="1" ht="15" x14ac:dyDescent="0.25">
      <c r="A14905" s="859">
        <f t="shared" si="336"/>
        <v>14904</v>
      </c>
      <c r="B14905" s="845" t="s">
        <v>2564</v>
      </c>
      <c r="C14905" s="1007">
        <f t="shared" si="337"/>
        <v>135</v>
      </c>
      <c r="D14905" s="1012"/>
      <c r="I14905" s="1011" t="s">
        <v>2177</v>
      </c>
      <c r="K14905" s="1013"/>
    </row>
    <row r="14906" spans="1:11" s="1011" customFormat="1" ht="15" x14ac:dyDescent="0.25">
      <c r="A14906" s="859">
        <f t="shared" si="336"/>
        <v>14905</v>
      </c>
      <c r="B14906" s="845" t="s">
        <v>2564</v>
      </c>
      <c r="C14906" s="1007">
        <f t="shared" si="337"/>
        <v>135</v>
      </c>
      <c r="D14906" s="1015"/>
      <c r="I14906" s="1011" t="str">
        <f>CONCATENATE("&lt;valeur&gt;",VLOOKUP(C14906,'T16 Amort'!A:K,5,0),"&lt;/valeur&gt;")</f>
        <v>&lt;valeur&gt;&lt;/valeur&gt;</v>
      </c>
      <c r="K14906" s="1013"/>
    </row>
    <row r="14907" spans="1:11" s="1011" customFormat="1" ht="15" x14ac:dyDescent="0.25">
      <c r="A14907" s="859">
        <f t="shared" si="336"/>
        <v>14906</v>
      </c>
      <c r="B14907" s="845" t="s">
        <v>2564</v>
      </c>
      <c r="C14907" s="1007">
        <f t="shared" si="337"/>
        <v>135</v>
      </c>
      <c r="D14907" s="1012"/>
      <c r="I14907" s="1011" t="str">
        <f>CONCATENATE("&lt;numeroLigne&gt;",C14907,"&lt;/numeroLigne&gt;")</f>
        <v>&lt;numeroLigne&gt;135&lt;/numeroLigne&gt;</v>
      </c>
      <c r="K14907" s="1013"/>
    </row>
    <row r="14908" spans="1:11" s="1011" customFormat="1" ht="15" x14ac:dyDescent="0.25">
      <c r="A14908" s="859">
        <f t="shared" si="336"/>
        <v>14907</v>
      </c>
      <c r="B14908" s="845" t="s">
        <v>2564</v>
      </c>
      <c r="C14908" s="1007">
        <f t="shared" si="337"/>
        <v>135</v>
      </c>
      <c r="D14908" s="1012"/>
      <c r="H14908" s="1011" t="s">
        <v>1010</v>
      </c>
      <c r="K14908" s="1013"/>
    </row>
    <row r="14909" spans="1:11" s="1011" customFormat="1" ht="15" x14ac:dyDescent="0.25">
      <c r="A14909" s="859">
        <f t="shared" si="336"/>
        <v>14908</v>
      </c>
      <c r="B14909" s="845" t="s">
        <v>2564</v>
      </c>
      <c r="C14909" s="1007">
        <f t="shared" si="337"/>
        <v>135</v>
      </c>
      <c r="D14909" s="1014"/>
      <c r="H14909" s="1011" t="s">
        <v>1007</v>
      </c>
      <c r="K14909" s="1013"/>
    </row>
    <row r="14910" spans="1:11" s="1011" customFormat="1" ht="15" x14ac:dyDescent="0.25">
      <c r="A14910" s="859">
        <f t="shared" si="336"/>
        <v>14909</v>
      </c>
      <c r="B14910" s="845" t="s">
        <v>2564</v>
      </c>
      <c r="C14910" s="1007">
        <f t="shared" si="337"/>
        <v>135</v>
      </c>
      <c r="D14910" s="1014"/>
      <c r="I14910" s="1011" t="s">
        <v>2178</v>
      </c>
      <c r="K14910" s="1013"/>
    </row>
    <row r="14911" spans="1:11" s="1011" customFormat="1" ht="15" x14ac:dyDescent="0.25">
      <c r="A14911" s="859">
        <f t="shared" si="336"/>
        <v>14910</v>
      </c>
      <c r="B14911" s="845" t="s">
        <v>2564</v>
      </c>
      <c r="C14911" s="1007">
        <f t="shared" si="337"/>
        <v>135</v>
      </c>
      <c r="D14911" s="1012"/>
      <c r="I14911" s="1011" t="str">
        <f>CONCATENATE("&lt;valeur&gt;",VLOOKUP(C14911,'T16 Amort'!A:K,6,0),"&lt;/valeur&gt;")</f>
        <v>&lt;valeur&gt;&lt;/valeur&gt;</v>
      </c>
      <c r="K14911" s="1013"/>
    </row>
    <row r="14912" spans="1:11" s="1011" customFormat="1" ht="15" x14ac:dyDescent="0.25">
      <c r="A14912" s="859">
        <f t="shared" si="336"/>
        <v>14911</v>
      </c>
      <c r="B14912" s="845" t="s">
        <v>2564</v>
      </c>
      <c r="C14912" s="1007">
        <f t="shared" si="337"/>
        <v>135</v>
      </c>
      <c r="D14912" s="1015"/>
      <c r="I14912" s="1011" t="str">
        <f>CONCATENATE("&lt;numeroLigne&gt;",C14912,"&lt;/numeroLigne&gt;")</f>
        <v>&lt;numeroLigne&gt;135&lt;/numeroLigne&gt;</v>
      </c>
      <c r="K14912" s="1013"/>
    </row>
    <row r="14913" spans="1:11" s="1011" customFormat="1" ht="15" x14ac:dyDescent="0.25">
      <c r="A14913" s="859">
        <f t="shared" si="336"/>
        <v>14912</v>
      </c>
      <c r="B14913" s="845" t="s">
        <v>2564</v>
      </c>
      <c r="C14913" s="1007">
        <f t="shared" si="337"/>
        <v>135</v>
      </c>
      <c r="D14913" s="1012"/>
      <c r="H14913" s="1011" t="s">
        <v>1010</v>
      </c>
      <c r="K14913" s="1013"/>
    </row>
    <row r="14914" spans="1:11" s="1011" customFormat="1" ht="15" x14ac:dyDescent="0.25">
      <c r="A14914" s="859">
        <f t="shared" si="336"/>
        <v>14913</v>
      </c>
      <c r="B14914" s="845" t="s">
        <v>2564</v>
      </c>
      <c r="C14914" s="1007">
        <f t="shared" si="337"/>
        <v>135</v>
      </c>
      <c r="D14914" s="1012"/>
      <c r="H14914" s="1011" t="s">
        <v>1007</v>
      </c>
      <c r="K14914" s="1013"/>
    </row>
    <row r="14915" spans="1:11" s="1011" customFormat="1" ht="15" x14ac:dyDescent="0.25">
      <c r="A14915" s="859">
        <f t="shared" si="336"/>
        <v>14914</v>
      </c>
      <c r="B14915" s="845" t="s">
        <v>2564</v>
      </c>
      <c r="C14915" s="1007">
        <f t="shared" si="337"/>
        <v>135</v>
      </c>
      <c r="D14915" s="1014"/>
      <c r="I14915" s="1011" t="s">
        <v>2179</v>
      </c>
      <c r="K14915" s="1013"/>
    </row>
    <row r="14916" spans="1:11" s="1011" customFormat="1" ht="15" x14ac:dyDescent="0.25">
      <c r="A14916" s="859">
        <f t="shared" ref="A14916:A14979" si="338">+A14915+1</f>
        <v>14915</v>
      </c>
      <c r="B14916" s="845" t="s">
        <v>2564</v>
      </c>
      <c r="C14916" s="1007">
        <f t="shared" si="337"/>
        <v>135</v>
      </c>
      <c r="D14916" s="1014"/>
      <c r="I14916" s="1011" t="str">
        <f>CONCATENATE("&lt;valeur&gt;",VLOOKUP(C14916,'T16 Amort'!A:K,7,0),"&lt;/valeur&gt;")</f>
        <v>&lt;valeur&gt;&lt;/valeur&gt;</v>
      </c>
      <c r="K14916" s="1013"/>
    </row>
    <row r="14917" spans="1:11" s="1011" customFormat="1" ht="15" x14ac:dyDescent="0.25">
      <c r="A14917" s="859">
        <f t="shared" si="338"/>
        <v>14916</v>
      </c>
      <c r="B14917" s="845" t="s">
        <v>2564</v>
      </c>
      <c r="C14917" s="1007">
        <f t="shared" si="337"/>
        <v>135</v>
      </c>
      <c r="D14917" s="1012"/>
      <c r="I14917" s="1011" t="str">
        <f>CONCATENATE("&lt;numeroLigne&gt;",C14917,"&lt;/numeroLigne&gt;")</f>
        <v>&lt;numeroLigne&gt;135&lt;/numeroLigne&gt;</v>
      </c>
      <c r="K14917" s="1013"/>
    </row>
    <row r="14918" spans="1:11" s="1011" customFormat="1" ht="15" x14ac:dyDescent="0.25">
      <c r="A14918" s="859">
        <f t="shared" si="338"/>
        <v>14917</v>
      </c>
      <c r="B14918" s="845" t="s">
        <v>2564</v>
      </c>
      <c r="C14918" s="1007">
        <f t="shared" si="337"/>
        <v>135</v>
      </c>
      <c r="D14918" s="1015"/>
      <c r="H14918" s="1011" t="s">
        <v>1010</v>
      </c>
      <c r="K14918" s="1013"/>
    </row>
    <row r="14919" spans="1:11" s="1011" customFormat="1" ht="15" x14ac:dyDescent="0.25">
      <c r="A14919" s="859">
        <f t="shared" si="338"/>
        <v>14918</v>
      </c>
      <c r="B14919" s="845" t="s">
        <v>2564</v>
      </c>
      <c r="C14919" s="1007">
        <f t="shared" si="337"/>
        <v>135</v>
      </c>
      <c r="D14919" s="1012"/>
      <c r="H14919" s="1011" t="s">
        <v>1007</v>
      </c>
      <c r="K14919" s="1013"/>
    </row>
    <row r="14920" spans="1:11" s="1011" customFormat="1" ht="15" x14ac:dyDescent="0.25">
      <c r="A14920" s="859">
        <f t="shared" si="338"/>
        <v>14919</v>
      </c>
      <c r="B14920" s="845" t="s">
        <v>2564</v>
      </c>
      <c r="C14920" s="1007">
        <f t="shared" si="337"/>
        <v>135</v>
      </c>
      <c r="D14920" s="1012"/>
      <c r="I14920" s="1011" t="s">
        <v>2180</v>
      </c>
      <c r="K14920" s="1013"/>
    </row>
    <row r="14921" spans="1:11" s="1011" customFormat="1" ht="15" x14ac:dyDescent="0.25">
      <c r="A14921" s="859">
        <f t="shared" si="338"/>
        <v>14920</v>
      </c>
      <c r="B14921" s="845" t="s">
        <v>2564</v>
      </c>
      <c r="C14921" s="1007">
        <f t="shared" si="337"/>
        <v>135</v>
      </c>
      <c r="D14921" s="1014"/>
      <c r="I14921" s="1011" t="str">
        <f>CONCATENATE("&lt;valeur&gt;",VLOOKUP(C14921,'T16 Amort'!A:K,8,0),"&lt;/valeur&gt;")</f>
        <v>&lt;valeur&gt;&lt;/valeur&gt;</v>
      </c>
      <c r="K14921" s="1013"/>
    </row>
    <row r="14922" spans="1:11" s="1011" customFormat="1" ht="15" x14ac:dyDescent="0.25">
      <c r="A14922" s="859">
        <f t="shared" si="338"/>
        <v>14921</v>
      </c>
      <c r="B14922" s="845" t="s">
        <v>2564</v>
      </c>
      <c r="C14922" s="1007">
        <f t="shared" si="337"/>
        <v>135</v>
      </c>
      <c r="D14922" s="1014"/>
      <c r="I14922" s="1011" t="str">
        <f>CONCATENATE("&lt;numeroLigne&gt;",C14922,"&lt;/numeroLigne&gt;")</f>
        <v>&lt;numeroLigne&gt;135&lt;/numeroLigne&gt;</v>
      </c>
      <c r="K14922" s="1013"/>
    </row>
    <row r="14923" spans="1:11" s="1011" customFormat="1" ht="15" x14ac:dyDescent="0.25">
      <c r="A14923" s="859">
        <f t="shared" si="338"/>
        <v>14922</v>
      </c>
      <c r="B14923" s="845" t="s">
        <v>2564</v>
      </c>
      <c r="C14923" s="1007">
        <f t="shared" si="337"/>
        <v>135</v>
      </c>
      <c r="D14923" s="1012"/>
      <c r="H14923" s="1011" t="s">
        <v>1010</v>
      </c>
      <c r="K14923" s="1013"/>
    </row>
    <row r="14924" spans="1:11" s="1011" customFormat="1" ht="15" x14ac:dyDescent="0.25">
      <c r="A14924" s="859">
        <f t="shared" si="338"/>
        <v>14923</v>
      </c>
      <c r="B14924" s="845" t="s">
        <v>2564</v>
      </c>
      <c r="C14924" s="1007">
        <f t="shared" si="337"/>
        <v>135</v>
      </c>
      <c r="D14924" s="1015"/>
      <c r="H14924" s="1011" t="s">
        <v>1007</v>
      </c>
      <c r="K14924" s="1013"/>
    </row>
    <row r="14925" spans="1:11" s="1011" customFormat="1" ht="15" x14ac:dyDescent="0.25">
      <c r="A14925" s="859">
        <f t="shared" si="338"/>
        <v>14924</v>
      </c>
      <c r="B14925" s="845" t="s">
        <v>2564</v>
      </c>
      <c r="C14925" s="1007">
        <f t="shared" si="337"/>
        <v>135</v>
      </c>
      <c r="D14925" s="1012"/>
      <c r="I14925" s="1011" t="s">
        <v>2181</v>
      </c>
      <c r="K14925" s="1013"/>
    </row>
    <row r="14926" spans="1:11" s="1011" customFormat="1" ht="15" x14ac:dyDescent="0.25">
      <c r="A14926" s="859">
        <f t="shared" si="338"/>
        <v>14925</v>
      </c>
      <c r="B14926" s="845" t="s">
        <v>2564</v>
      </c>
      <c r="C14926" s="1007">
        <f t="shared" si="337"/>
        <v>135</v>
      </c>
      <c r="D14926" s="1012"/>
      <c r="I14926" s="1011" t="str">
        <f>CONCATENATE("&lt;valeur&gt;",VLOOKUP(C14926,'T16 Amort'!A:K,9,0),"&lt;/valeur&gt;")</f>
        <v>&lt;valeur&gt;&lt;/valeur&gt;</v>
      </c>
      <c r="K14926" s="1013"/>
    </row>
    <row r="14927" spans="1:11" s="1011" customFormat="1" ht="15" x14ac:dyDescent="0.25">
      <c r="A14927" s="859">
        <f t="shared" si="338"/>
        <v>14926</v>
      </c>
      <c r="B14927" s="845" t="s">
        <v>2564</v>
      </c>
      <c r="C14927" s="1007">
        <f t="shared" si="337"/>
        <v>135</v>
      </c>
      <c r="D14927" s="1014"/>
      <c r="I14927" s="1011" t="str">
        <f>CONCATENATE("&lt;numeroLigne&gt;",C14927,"&lt;/numeroLigne&gt;")</f>
        <v>&lt;numeroLigne&gt;135&lt;/numeroLigne&gt;</v>
      </c>
      <c r="K14927" s="1013"/>
    </row>
    <row r="14928" spans="1:11" s="1011" customFormat="1" ht="15" x14ac:dyDescent="0.25">
      <c r="A14928" s="859">
        <f t="shared" si="338"/>
        <v>14927</v>
      </c>
      <c r="B14928" s="845" t="s">
        <v>2564</v>
      </c>
      <c r="C14928" s="1007">
        <f t="shared" si="337"/>
        <v>135</v>
      </c>
      <c r="D14928" s="1014"/>
      <c r="H14928" s="1011" t="s">
        <v>1010</v>
      </c>
      <c r="K14928" s="1013"/>
    </row>
    <row r="14929" spans="1:11" s="1011" customFormat="1" ht="15" x14ac:dyDescent="0.25">
      <c r="A14929" s="859">
        <f t="shared" si="338"/>
        <v>14928</v>
      </c>
      <c r="B14929" s="845" t="s">
        <v>2564</v>
      </c>
      <c r="C14929" s="1007">
        <f t="shared" si="337"/>
        <v>135</v>
      </c>
      <c r="D14929" s="1012"/>
      <c r="H14929" s="1011" t="s">
        <v>1007</v>
      </c>
      <c r="K14929" s="1013"/>
    </row>
    <row r="14930" spans="1:11" s="1011" customFormat="1" ht="15" x14ac:dyDescent="0.25">
      <c r="A14930" s="859">
        <f t="shared" si="338"/>
        <v>14929</v>
      </c>
      <c r="B14930" s="845" t="s">
        <v>2564</v>
      </c>
      <c r="C14930" s="1007">
        <f t="shared" si="337"/>
        <v>135</v>
      </c>
      <c r="D14930" s="1015"/>
      <c r="I14930" s="1011" t="s">
        <v>2182</v>
      </c>
      <c r="K14930" s="1013"/>
    </row>
    <row r="14931" spans="1:11" s="1011" customFormat="1" ht="15" x14ac:dyDescent="0.25">
      <c r="A14931" s="859">
        <f t="shared" si="338"/>
        <v>14930</v>
      </c>
      <c r="B14931" s="845" t="s">
        <v>2564</v>
      </c>
      <c r="C14931" s="1007">
        <f t="shared" si="337"/>
        <v>135</v>
      </c>
      <c r="D14931" s="1012"/>
      <c r="I14931" s="1011" t="str">
        <f>CONCATENATE("&lt;valeur&gt;",VLOOKUP(C14931,'T16 Amort'!A:K,10,0),"&lt;/valeur&gt;")</f>
        <v>&lt;valeur&gt;&lt;/valeur&gt;</v>
      </c>
      <c r="K14931" s="1013"/>
    </row>
    <row r="14932" spans="1:11" s="1011" customFormat="1" ht="15" x14ac:dyDescent="0.25">
      <c r="A14932" s="859">
        <f t="shared" si="338"/>
        <v>14931</v>
      </c>
      <c r="B14932" s="845" t="s">
        <v>2564</v>
      </c>
      <c r="C14932" s="1007">
        <f t="shared" si="337"/>
        <v>135</v>
      </c>
      <c r="D14932" s="1012"/>
      <c r="I14932" s="1011" t="str">
        <f>CONCATENATE("&lt;numeroLigne&gt;",C14932,"&lt;/numeroLigne&gt;")</f>
        <v>&lt;numeroLigne&gt;135&lt;/numeroLigne&gt;</v>
      </c>
      <c r="K14932" s="1013"/>
    </row>
    <row r="14933" spans="1:11" s="1011" customFormat="1" ht="15" x14ac:dyDescent="0.25">
      <c r="A14933" s="859">
        <f t="shared" si="338"/>
        <v>14932</v>
      </c>
      <c r="B14933" s="845" t="s">
        <v>2564</v>
      </c>
      <c r="C14933" s="1007">
        <f t="shared" si="337"/>
        <v>135</v>
      </c>
      <c r="D14933" s="1014"/>
      <c r="H14933" s="1011" t="s">
        <v>1010</v>
      </c>
      <c r="K14933" s="1013"/>
    </row>
    <row r="14934" spans="1:11" s="1011" customFormat="1" ht="15" x14ac:dyDescent="0.25">
      <c r="A14934" s="859">
        <f t="shared" si="338"/>
        <v>14933</v>
      </c>
      <c r="B14934" s="845" t="s">
        <v>2564</v>
      </c>
      <c r="C14934" s="1007">
        <f t="shared" si="337"/>
        <v>135</v>
      </c>
      <c r="D14934" s="1014"/>
      <c r="H14934" s="1011" t="s">
        <v>1007</v>
      </c>
      <c r="K14934" s="1013"/>
    </row>
    <row r="14935" spans="1:11" s="1011" customFormat="1" ht="15" x14ac:dyDescent="0.25">
      <c r="A14935" s="859">
        <f t="shared" si="338"/>
        <v>14934</v>
      </c>
      <c r="B14935" s="845" t="s">
        <v>2564</v>
      </c>
      <c r="C14935" s="1007">
        <f t="shared" si="337"/>
        <v>135</v>
      </c>
      <c r="D14935" s="1012"/>
      <c r="I14935" s="1011" t="s">
        <v>2183</v>
      </c>
      <c r="K14935" s="1013"/>
    </row>
    <row r="14936" spans="1:11" s="1011" customFormat="1" ht="15" x14ac:dyDescent="0.25">
      <c r="A14936" s="859">
        <f t="shared" si="338"/>
        <v>14935</v>
      </c>
      <c r="B14936" s="845" t="s">
        <v>2564</v>
      </c>
      <c r="C14936" s="1007">
        <f t="shared" si="337"/>
        <v>135</v>
      </c>
      <c r="D14936" s="1015"/>
      <c r="I14936" s="1011" t="str">
        <f>CONCATENATE("&lt;valeur&gt;",VLOOKUP(C14936,'T16 Amort'!A:K,11,0),"&lt;/valeur&gt;")</f>
        <v>&lt;valeur&gt;&lt;/valeur&gt;</v>
      </c>
      <c r="K14936" s="1013"/>
    </row>
    <row r="14937" spans="1:11" s="1011" customFormat="1" ht="15" x14ac:dyDescent="0.25">
      <c r="A14937" s="859">
        <f t="shared" si="338"/>
        <v>14936</v>
      </c>
      <c r="B14937" s="845" t="s">
        <v>2564</v>
      </c>
      <c r="C14937" s="1007">
        <f t="shared" si="337"/>
        <v>135</v>
      </c>
      <c r="D14937" s="1012"/>
      <c r="I14937" s="1011" t="str">
        <f>CONCATENATE("&lt;numeroLigne&gt;",C14937,"&lt;/numeroLigne&gt;")</f>
        <v>&lt;numeroLigne&gt;135&lt;/numeroLigne&gt;</v>
      </c>
      <c r="K14937" s="1013"/>
    </row>
    <row r="14938" spans="1:11" s="1011" customFormat="1" ht="15" x14ac:dyDescent="0.25">
      <c r="A14938" s="859">
        <f t="shared" si="338"/>
        <v>14937</v>
      </c>
      <c r="B14938" s="845" t="s">
        <v>2564</v>
      </c>
      <c r="C14938" s="1007">
        <f t="shared" si="337"/>
        <v>135</v>
      </c>
      <c r="D14938" s="1016"/>
      <c r="E14938" s="1017"/>
      <c r="F14938" s="1017"/>
      <c r="G14938" s="1017"/>
      <c r="H14938" s="1017" t="s">
        <v>1010</v>
      </c>
      <c r="I14938" s="1017"/>
      <c r="J14938" s="1017"/>
      <c r="K14938" s="1018"/>
    </row>
    <row r="14939" spans="1:11" s="1011" customFormat="1" ht="15" x14ac:dyDescent="0.25">
      <c r="A14939" s="859">
        <f t="shared" si="338"/>
        <v>14938</v>
      </c>
      <c r="B14939" s="845" t="s">
        <v>2564</v>
      </c>
      <c r="C14939" s="1007">
        <f t="shared" si="337"/>
        <v>136</v>
      </c>
      <c r="D14939" s="1008"/>
      <c r="E14939" s="1009"/>
      <c r="F14939" s="1009"/>
      <c r="G14939" s="1009"/>
      <c r="H14939" s="1009" t="s">
        <v>1007</v>
      </c>
      <c r="I14939" s="1009"/>
      <c r="J14939" s="1009"/>
      <c r="K14939" s="1010"/>
    </row>
    <row r="14940" spans="1:11" s="1011" customFormat="1" ht="15" x14ac:dyDescent="0.25">
      <c r="A14940" s="859">
        <f t="shared" si="338"/>
        <v>14939</v>
      </c>
      <c r="B14940" s="845" t="s">
        <v>2564</v>
      </c>
      <c r="C14940" s="1007">
        <f t="shared" si="337"/>
        <v>136</v>
      </c>
      <c r="D14940" s="1012"/>
      <c r="I14940" s="1011" t="s">
        <v>2174</v>
      </c>
      <c r="K14940" s="1013"/>
    </row>
    <row r="14941" spans="1:11" s="1011" customFormat="1" ht="15" x14ac:dyDescent="0.25">
      <c r="A14941" s="859">
        <f t="shared" si="338"/>
        <v>14940</v>
      </c>
      <c r="B14941" s="845" t="s">
        <v>2564</v>
      </c>
      <c r="C14941" s="1007">
        <f t="shared" si="337"/>
        <v>136</v>
      </c>
      <c r="D14941" s="1014"/>
      <c r="I14941" s="1011" t="str">
        <f>CONCATENATE("&lt;valeur&gt;",VLOOKUP(C14941,'T16 Amort'!A:K,2,0),"&lt;/valeur&gt;")</f>
        <v>&lt;valeur&gt;&lt;/valeur&gt;</v>
      </c>
      <c r="K14941" s="1013"/>
    </row>
    <row r="14942" spans="1:11" s="1011" customFormat="1" ht="15" x14ac:dyDescent="0.25">
      <c r="A14942" s="859">
        <f t="shared" si="338"/>
        <v>14941</v>
      </c>
      <c r="B14942" s="845" t="s">
        <v>2564</v>
      </c>
      <c r="C14942" s="1007">
        <f t="shared" si="337"/>
        <v>136</v>
      </c>
      <c r="D14942" s="1014"/>
      <c r="I14942" s="1011" t="str">
        <f>CONCATENATE("&lt;numeroLigne&gt;",C14942,"&lt;/numeroLigne&gt;")</f>
        <v>&lt;numeroLigne&gt;136&lt;/numeroLigne&gt;</v>
      </c>
      <c r="K14942" s="1013"/>
    </row>
    <row r="14943" spans="1:11" s="1011" customFormat="1" ht="15" x14ac:dyDescent="0.25">
      <c r="A14943" s="859">
        <f t="shared" si="338"/>
        <v>14942</v>
      </c>
      <c r="B14943" s="845" t="s">
        <v>2564</v>
      </c>
      <c r="C14943" s="1007">
        <f t="shared" si="337"/>
        <v>136</v>
      </c>
      <c r="D14943" s="1012"/>
      <c r="H14943" s="1011" t="s">
        <v>1010</v>
      </c>
      <c r="K14943" s="1013"/>
    </row>
    <row r="14944" spans="1:11" s="1011" customFormat="1" ht="15" x14ac:dyDescent="0.25">
      <c r="A14944" s="859">
        <f t="shared" si="338"/>
        <v>14943</v>
      </c>
      <c r="B14944" s="845" t="s">
        <v>2564</v>
      </c>
      <c r="C14944" s="1007">
        <f t="shared" si="337"/>
        <v>136</v>
      </c>
      <c r="D14944" s="1015"/>
      <c r="H14944" s="1011" t="s">
        <v>1007</v>
      </c>
      <c r="K14944" s="1013"/>
    </row>
    <row r="14945" spans="1:11" s="1011" customFormat="1" ht="15" x14ac:dyDescent="0.25">
      <c r="A14945" s="859">
        <f t="shared" si="338"/>
        <v>14944</v>
      </c>
      <c r="B14945" s="845" t="s">
        <v>2564</v>
      </c>
      <c r="C14945" s="1007">
        <f t="shared" si="337"/>
        <v>136</v>
      </c>
      <c r="D14945" s="1012"/>
      <c r="I14945" s="1011" t="s">
        <v>2175</v>
      </c>
      <c r="K14945" s="1013"/>
    </row>
    <row r="14946" spans="1:11" s="1011" customFormat="1" ht="15" x14ac:dyDescent="0.25">
      <c r="A14946" s="859">
        <f t="shared" si="338"/>
        <v>14945</v>
      </c>
      <c r="B14946" s="845" t="s">
        <v>2564</v>
      </c>
      <c r="C14946" s="1007">
        <f t="shared" si="337"/>
        <v>136</v>
      </c>
      <c r="D14946" s="1012"/>
      <c r="I14946" s="1011" t="str">
        <f>CONCATENATE("&lt;valeur&gt;",VLOOKUP(C14946,'T16 Amort'!A:K,3,0),"&lt;/valeur&gt;")</f>
        <v>&lt;valeur&gt;&lt;/valeur&gt;</v>
      </c>
      <c r="K14946" s="1013"/>
    </row>
    <row r="14947" spans="1:11" s="1011" customFormat="1" ht="15" x14ac:dyDescent="0.25">
      <c r="A14947" s="859">
        <f t="shared" si="338"/>
        <v>14946</v>
      </c>
      <c r="B14947" s="845" t="s">
        <v>2564</v>
      </c>
      <c r="C14947" s="1007">
        <f t="shared" si="337"/>
        <v>136</v>
      </c>
      <c r="D14947" s="1014"/>
      <c r="I14947" s="1011" t="str">
        <f>CONCATENATE("&lt;numeroLigne&gt;",C14947,"&lt;/numeroLigne&gt;")</f>
        <v>&lt;numeroLigne&gt;136&lt;/numeroLigne&gt;</v>
      </c>
      <c r="K14947" s="1013"/>
    </row>
    <row r="14948" spans="1:11" s="1011" customFormat="1" ht="15" x14ac:dyDescent="0.25">
      <c r="A14948" s="859">
        <f t="shared" si="338"/>
        <v>14947</v>
      </c>
      <c r="B14948" s="845" t="s">
        <v>2564</v>
      </c>
      <c r="C14948" s="1007">
        <f t="shared" si="337"/>
        <v>136</v>
      </c>
      <c r="D14948" s="1014"/>
      <c r="H14948" s="1011" t="s">
        <v>1010</v>
      </c>
      <c r="K14948" s="1013"/>
    </row>
    <row r="14949" spans="1:11" s="1011" customFormat="1" ht="15" x14ac:dyDescent="0.25">
      <c r="A14949" s="859">
        <f t="shared" si="338"/>
        <v>14948</v>
      </c>
      <c r="B14949" s="845" t="s">
        <v>2564</v>
      </c>
      <c r="C14949" s="1007">
        <f t="shared" si="337"/>
        <v>136</v>
      </c>
      <c r="D14949" s="1012"/>
      <c r="H14949" s="1011" t="s">
        <v>1007</v>
      </c>
      <c r="K14949" s="1013"/>
    </row>
    <row r="14950" spans="1:11" s="1011" customFormat="1" ht="15" x14ac:dyDescent="0.25">
      <c r="A14950" s="859">
        <f t="shared" si="338"/>
        <v>14949</v>
      </c>
      <c r="B14950" s="845" t="s">
        <v>2564</v>
      </c>
      <c r="C14950" s="1007">
        <f t="shared" si="337"/>
        <v>136</v>
      </c>
      <c r="D14950" s="1015"/>
      <c r="I14950" s="1011" t="s">
        <v>2176</v>
      </c>
      <c r="K14950" s="1013"/>
    </row>
    <row r="14951" spans="1:11" s="1011" customFormat="1" ht="15" x14ac:dyDescent="0.25">
      <c r="A14951" s="859">
        <f t="shared" si="338"/>
        <v>14950</v>
      </c>
      <c r="B14951" s="845" t="s">
        <v>2564</v>
      </c>
      <c r="C14951" s="1007">
        <f t="shared" si="337"/>
        <v>136</v>
      </c>
      <c r="D14951" s="1012"/>
      <c r="I14951" s="1011" t="str">
        <f>CONCATENATE("&lt;valeur&gt;",VLOOKUP(C14951,'T16 Amort'!A:K,4,0),"&lt;/valeur&gt;")</f>
        <v>&lt;valeur&gt;&lt;/valeur&gt;</v>
      </c>
      <c r="K14951" s="1013"/>
    </row>
    <row r="14952" spans="1:11" s="1011" customFormat="1" ht="15" x14ac:dyDescent="0.25">
      <c r="A14952" s="859">
        <f t="shared" si="338"/>
        <v>14951</v>
      </c>
      <c r="B14952" s="845" t="s">
        <v>2564</v>
      </c>
      <c r="C14952" s="1007">
        <f t="shared" si="337"/>
        <v>136</v>
      </c>
      <c r="D14952" s="1012"/>
      <c r="I14952" s="1011" t="str">
        <f>CONCATENATE("&lt;numeroLigne&gt;",C14952,"&lt;/numeroLigne&gt;")</f>
        <v>&lt;numeroLigne&gt;136&lt;/numeroLigne&gt;</v>
      </c>
      <c r="K14952" s="1013"/>
    </row>
    <row r="14953" spans="1:11" s="1011" customFormat="1" ht="15" x14ac:dyDescent="0.25">
      <c r="A14953" s="859">
        <f t="shared" si="338"/>
        <v>14952</v>
      </c>
      <c r="B14953" s="845" t="s">
        <v>2564</v>
      </c>
      <c r="C14953" s="1007">
        <f t="shared" si="337"/>
        <v>136</v>
      </c>
      <c r="D14953" s="1014"/>
      <c r="H14953" s="1011" t="s">
        <v>1010</v>
      </c>
      <c r="K14953" s="1013"/>
    </row>
    <row r="14954" spans="1:11" s="1011" customFormat="1" ht="15" x14ac:dyDescent="0.25">
      <c r="A14954" s="859">
        <f t="shared" si="338"/>
        <v>14953</v>
      </c>
      <c r="B14954" s="845" t="s">
        <v>2564</v>
      </c>
      <c r="C14954" s="1007">
        <f t="shared" si="337"/>
        <v>136</v>
      </c>
      <c r="D14954" s="1014"/>
      <c r="H14954" s="1011" t="s">
        <v>1007</v>
      </c>
      <c r="K14954" s="1013"/>
    </row>
    <row r="14955" spans="1:11" s="1011" customFormat="1" ht="15" x14ac:dyDescent="0.25">
      <c r="A14955" s="859">
        <f t="shared" si="338"/>
        <v>14954</v>
      </c>
      <c r="B14955" s="845" t="s">
        <v>2564</v>
      </c>
      <c r="C14955" s="1007">
        <f t="shared" si="337"/>
        <v>136</v>
      </c>
      <c r="D14955" s="1012"/>
      <c r="I14955" s="1011" t="s">
        <v>2177</v>
      </c>
      <c r="K14955" s="1013"/>
    </row>
    <row r="14956" spans="1:11" s="1011" customFormat="1" ht="15" x14ac:dyDescent="0.25">
      <c r="A14956" s="859">
        <f t="shared" si="338"/>
        <v>14955</v>
      </c>
      <c r="B14956" s="845" t="s">
        <v>2564</v>
      </c>
      <c r="C14956" s="1007">
        <f t="shared" si="337"/>
        <v>136</v>
      </c>
      <c r="D14956" s="1015"/>
      <c r="I14956" s="1011" t="str">
        <f>CONCATENATE("&lt;valeur&gt;",VLOOKUP(C14956,'T16 Amort'!A:K,5,0),"&lt;/valeur&gt;")</f>
        <v>&lt;valeur&gt;&lt;/valeur&gt;</v>
      </c>
      <c r="K14956" s="1013"/>
    </row>
    <row r="14957" spans="1:11" s="1011" customFormat="1" ht="15" x14ac:dyDescent="0.25">
      <c r="A14957" s="859">
        <f t="shared" si="338"/>
        <v>14956</v>
      </c>
      <c r="B14957" s="845" t="s">
        <v>2564</v>
      </c>
      <c r="C14957" s="1007">
        <f t="shared" si="337"/>
        <v>136</v>
      </c>
      <c r="D14957" s="1012"/>
      <c r="I14957" s="1011" t="str">
        <f>CONCATENATE("&lt;numeroLigne&gt;",C14957,"&lt;/numeroLigne&gt;")</f>
        <v>&lt;numeroLigne&gt;136&lt;/numeroLigne&gt;</v>
      </c>
      <c r="K14957" s="1013"/>
    </row>
    <row r="14958" spans="1:11" s="1011" customFormat="1" ht="15" x14ac:dyDescent="0.25">
      <c r="A14958" s="859">
        <f t="shared" si="338"/>
        <v>14957</v>
      </c>
      <c r="B14958" s="845" t="s">
        <v>2564</v>
      </c>
      <c r="C14958" s="1007">
        <f t="shared" si="337"/>
        <v>136</v>
      </c>
      <c r="D14958" s="1012"/>
      <c r="H14958" s="1011" t="s">
        <v>1010</v>
      </c>
      <c r="K14958" s="1013"/>
    </row>
    <row r="14959" spans="1:11" s="1011" customFormat="1" ht="15" x14ac:dyDescent="0.25">
      <c r="A14959" s="859">
        <f t="shared" si="338"/>
        <v>14958</v>
      </c>
      <c r="B14959" s="845" t="s">
        <v>2564</v>
      </c>
      <c r="C14959" s="1007">
        <f t="shared" ref="C14959:C15022" si="339">C14909+1</f>
        <v>136</v>
      </c>
      <c r="D14959" s="1014"/>
      <c r="H14959" s="1011" t="s">
        <v>1007</v>
      </c>
      <c r="K14959" s="1013"/>
    </row>
    <row r="14960" spans="1:11" s="1011" customFormat="1" ht="15" x14ac:dyDescent="0.25">
      <c r="A14960" s="859">
        <f t="shared" si="338"/>
        <v>14959</v>
      </c>
      <c r="B14960" s="845" t="s">
        <v>2564</v>
      </c>
      <c r="C14960" s="1007">
        <f t="shared" si="339"/>
        <v>136</v>
      </c>
      <c r="D14960" s="1014"/>
      <c r="I14960" s="1011" t="s">
        <v>2178</v>
      </c>
      <c r="K14960" s="1013"/>
    </row>
    <row r="14961" spans="1:11" s="1011" customFormat="1" ht="15" x14ac:dyDescent="0.25">
      <c r="A14961" s="859">
        <f t="shared" si="338"/>
        <v>14960</v>
      </c>
      <c r="B14961" s="845" t="s">
        <v>2564</v>
      </c>
      <c r="C14961" s="1007">
        <f t="shared" si="339"/>
        <v>136</v>
      </c>
      <c r="D14961" s="1012"/>
      <c r="I14961" s="1011" t="str">
        <f>CONCATENATE("&lt;valeur&gt;",VLOOKUP(C14961,'T16 Amort'!A:K,6,0),"&lt;/valeur&gt;")</f>
        <v>&lt;valeur&gt;&lt;/valeur&gt;</v>
      </c>
      <c r="K14961" s="1013"/>
    </row>
    <row r="14962" spans="1:11" s="1011" customFormat="1" ht="15" x14ac:dyDescent="0.25">
      <c r="A14962" s="859">
        <f t="shared" si="338"/>
        <v>14961</v>
      </c>
      <c r="B14962" s="845" t="s">
        <v>2564</v>
      </c>
      <c r="C14962" s="1007">
        <f t="shared" si="339"/>
        <v>136</v>
      </c>
      <c r="D14962" s="1015"/>
      <c r="I14962" s="1011" t="str">
        <f>CONCATENATE("&lt;numeroLigne&gt;",C14962,"&lt;/numeroLigne&gt;")</f>
        <v>&lt;numeroLigne&gt;136&lt;/numeroLigne&gt;</v>
      </c>
      <c r="K14962" s="1013"/>
    </row>
    <row r="14963" spans="1:11" s="1011" customFormat="1" ht="15" x14ac:dyDescent="0.25">
      <c r="A14963" s="859">
        <f t="shared" si="338"/>
        <v>14962</v>
      </c>
      <c r="B14963" s="845" t="s">
        <v>2564</v>
      </c>
      <c r="C14963" s="1007">
        <f t="shared" si="339"/>
        <v>136</v>
      </c>
      <c r="D14963" s="1012"/>
      <c r="H14963" s="1011" t="s">
        <v>1010</v>
      </c>
      <c r="K14963" s="1013"/>
    </row>
    <row r="14964" spans="1:11" s="1011" customFormat="1" ht="15" x14ac:dyDescent="0.25">
      <c r="A14964" s="859">
        <f t="shared" si="338"/>
        <v>14963</v>
      </c>
      <c r="B14964" s="845" t="s">
        <v>2564</v>
      </c>
      <c r="C14964" s="1007">
        <f t="shared" si="339"/>
        <v>136</v>
      </c>
      <c r="D14964" s="1012"/>
      <c r="H14964" s="1011" t="s">
        <v>1007</v>
      </c>
      <c r="K14964" s="1013"/>
    </row>
    <row r="14965" spans="1:11" s="1011" customFormat="1" ht="15" x14ac:dyDescent="0.25">
      <c r="A14965" s="859">
        <f t="shared" si="338"/>
        <v>14964</v>
      </c>
      <c r="B14965" s="845" t="s">
        <v>2564</v>
      </c>
      <c r="C14965" s="1007">
        <f t="shared" si="339"/>
        <v>136</v>
      </c>
      <c r="D14965" s="1014"/>
      <c r="I14965" s="1011" t="s">
        <v>2179</v>
      </c>
      <c r="K14965" s="1013"/>
    </row>
    <row r="14966" spans="1:11" s="1011" customFormat="1" ht="15" x14ac:dyDescent="0.25">
      <c r="A14966" s="859">
        <f t="shared" si="338"/>
        <v>14965</v>
      </c>
      <c r="B14966" s="845" t="s">
        <v>2564</v>
      </c>
      <c r="C14966" s="1007">
        <f t="shared" si="339"/>
        <v>136</v>
      </c>
      <c r="D14966" s="1014"/>
      <c r="I14966" s="1011" t="str">
        <f>CONCATENATE("&lt;valeur&gt;",VLOOKUP(C14966,'T16 Amort'!A:K,7,0),"&lt;/valeur&gt;")</f>
        <v>&lt;valeur&gt;&lt;/valeur&gt;</v>
      </c>
      <c r="K14966" s="1013"/>
    </row>
    <row r="14967" spans="1:11" s="1011" customFormat="1" ht="15" x14ac:dyDescent="0.25">
      <c r="A14967" s="859">
        <f t="shared" si="338"/>
        <v>14966</v>
      </c>
      <c r="B14967" s="845" t="s">
        <v>2564</v>
      </c>
      <c r="C14967" s="1007">
        <f t="shared" si="339"/>
        <v>136</v>
      </c>
      <c r="D14967" s="1012"/>
      <c r="I14967" s="1011" t="str">
        <f>CONCATENATE("&lt;numeroLigne&gt;",C14967,"&lt;/numeroLigne&gt;")</f>
        <v>&lt;numeroLigne&gt;136&lt;/numeroLigne&gt;</v>
      </c>
      <c r="K14967" s="1013"/>
    </row>
    <row r="14968" spans="1:11" s="1011" customFormat="1" ht="15" x14ac:dyDescent="0.25">
      <c r="A14968" s="859">
        <f t="shared" si="338"/>
        <v>14967</v>
      </c>
      <c r="B14968" s="845" t="s">
        <v>2564</v>
      </c>
      <c r="C14968" s="1007">
        <f t="shared" si="339"/>
        <v>136</v>
      </c>
      <c r="D14968" s="1015"/>
      <c r="H14968" s="1011" t="s">
        <v>1010</v>
      </c>
      <c r="K14968" s="1013"/>
    </row>
    <row r="14969" spans="1:11" s="1011" customFormat="1" ht="15" x14ac:dyDescent="0.25">
      <c r="A14969" s="859">
        <f t="shared" si="338"/>
        <v>14968</v>
      </c>
      <c r="B14969" s="845" t="s">
        <v>2564</v>
      </c>
      <c r="C14969" s="1007">
        <f t="shared" si="339"/>
        <v>136</v>
      </c>
      <c r="D14969" s="1012"/>
      <c r="H14969" s="1011" t="s">
        <v>1007</v>
      </c>
      <c r="K14969" s="1013"/>
    </row>
    <row r="14970" spans="1:11" s="1011" customFormat="1" ht="15" x14ac:dyDescent="0.25">
      <c r="A14970" s="859">
        <f t="shared" si="338"/>
        <v>14969</v>
      </c>
      <c r="B14970" s="845" t="s">
        <v>2564</v>
      </c>
      <c r="C14970" s="1007">
        <f t="shared" si="339"/>
        <v>136</v>
      </c>
      <c r="D14970" s="1012"/>
      <c r="I14970" s="1011" t="s">
        <v>2180</v>
      </c>
      <c r="K14970" s="1013"/>
    </row>
    <row r="14971" spans="1:11" s="1011" customFormat="1" ht="15" x14ac:dyDescent="0.25">
      <c r="A14971" s="859">
        <f t="shared" si="338"/>
        <v>14970</v>
      </c>
      <c r="B14971" s="845" t="s">
        <v>2564</v>
      </c>
      <c r="C14971" s="1007">
        <f t="shared" si="339"/>
        <v>136</v>
      </c>
      <c r="D14971" s="1014"/>
      <c r="I14971" s="1011" t="str">
        <f>CONCATENATE("&lt;valeur&gt;",VLOOKUP(C14971,'T16 Amort'!A:K,8,0),"&lt;/valeur&gt;")</f>
        <v>&lt;valeur&gt;&lt;/valeur&gt;</v>
      </c>
      <c r="K14971" s="1013"/>
    </row>
    <row r="14972" spans="1:11" s="1011" customFormat="1" ht="15" x14ac:dyDescent="0.25">
      <c r="A14972" s="859">
        <f t="shared" si="338"/>
        <v>14971</v>
      </c>
      <c r="B14972" s="845" t="s">
        <v>2564</v>
      </c>
      <c r="C14972" s="1007">
        <f t="shared" si="339"/>
        <v>136</v>
      </c>
      <c r="D14972" s="1014"/>
      <c r="I14972" s="1011" t="str">
        <f>CONCATENATE("&lt;numeroLigne&gt;",C14972,"&lt;/numeroLigne&gt;")</f>
        <v>&lt;numeroLigne&gt;136&lt;/numeroLigne&gt;</v>
      </c>
      <c r="K14972" s="1013"/>
    </row>
    <row r="14973" spans="1:11" s="1011" customFormat="1" ht="15" x14ac:dyDescent="0.25">
      <c r="A14973" s="859">
        <f t="shared" si="338"/>
        <v>14972</v>
      </c>
      <c r="B14973" s="845" t="s">
        <v>2564</v>
      </c>
      <c r="C14973" s="1007">
        <f t="shared" si="339"/>
        <v>136</v>
      </c>
      <c r="D14973" s="1012"/>
      <c r="H14973" s="1011" t="s">
        <v>1010</v>
      </c>
      <c r="K14973" s="1013"/>
    </row>
    <row r="14974" spans="1:11" s="1011" customFormat="1" ht="15" x14ac:dyDescent="0.25">
      <c r="A14974" s="859">
        <f t="shared" si="338"/>
        <v>14973</v>
      </c>
      <c r="B14974" s="845" t="s">
        <v>2564</v>
      </c>
      <c r="C14974" s="1007">
        <f t="shared" si="339"/>
        <v>136</v>
      </c>
      <c r="D14974" s="1015"/>
      <c r="H14974" s="1011" t="s">
        <v>1007</v>
      </c>
      <c r="K14974" s="1013"/>
    </row>
    <row r="14975" spans="1:11" s="1011" customFormat="1" ht="15" x14ac:dyDescent="0.25">
      <c r="A14975" s="859">
        <f t="shared" si="338"/>
        <v>14974</v>
      </c>
      <c r="B14975" s="845" t="s">
        <v>2564</v>
      </c>
      <c r="C14975" s="1007">
        <f t="shared" si="339"/>
        <v>136</v>
      </c>
      <c r="D14975" s="1012"/>
      <c r="I14975" s="1011" t="s">
        <v>2181</v>
      </c>
      <c r="K14975" s="1013"/>
    </row>
    <row r="14976" spans="1:11" s="1011" customFormat="1" ht="15" x14ac:dyDescent="0.25">
      <c r="A14976" s="859">
        <f t="shared" si="338"/>
        <v>14975</v>
      </c>
      <c r="B14976" s="845" t="s">
        <v>2564</v>
      </c>
      <c r="C14976" s="1007">
        <f t="shared" si="339"/>
        <v>136</v>
      </c>
      <c r="D14976" s="1012"/>
      <c r="I14976" s="1011" t="str">
        <f>CONCATENATE("&lt;valeur&gt;",VLOOKUP(C14976,'T16 Amort'!A:K,9,0),"&lt;/valeur&gt;")</f>
        <v>&lt;valeur&gt;&lt;/valeur&gt;</v>
      </c>
      <c r="K14976" s="1013"/>
    </row>
    <row r="14977" spans="1:11" s="1011" customFormat="1" ht="15" x14ac:dyDescent="0.25">
      <c r="A14977" s="859">
        <f t="shared" si="338"/>
        <v>14976</v>
      </c>
      <c r="B14977" s="845" t="s">
        <v>2564</v>
      </c>
      <c r="C14977" s="1007">
        <f t="shared" si="339"/>
        <v>136</v>
      </c>
      <c r="D14977" s="1014"/>
      <c r="I14977" s="1011" t="str">
        <f>CONCATENATE("&lt;numeroLigne&gt;",C14977,"&lt;/numeroLigne&gt;")</f>
        <v>&lt;numeroLigne&gt;136&lt;/numeroLigne&gt;</v>
      </c>
      <c r="K14977" s="1013"/>
    </row>
    <row r="14978" spans="1:11" s="1011" customFormat="1" ht="15" x14ac:dyDescent="0.25">
      <c r="A14978" s="859">
        <f t="shared" si="338"/>
        <v>14977</v>
      </c>
      <c r="B14978" s="845" t="s">
        <v>2564</v>
      </c>
      <c r="C14978" s="1007">
        <f t="shared" si="339"/>
        <v>136</v>
      </c>
      <c r="D14978" s="1014"/>
      <c r="H14978" s="1011" t="s">
        <v>1010</v>
      </c>
      <c r="K14978" s="1013"/>
    </row>
    <row r="14979" spans="1:11" s="1011" customFormat="1" ht="15" x14ac:dyDescent="0.25">
      <c r="A14979" s="859">
        <f t="shared" si="338"/>
        <v>14978</v>
      </c>
      <c r="B14979" s="845" t="s">
        <v>2564</v>
      </c>
      <c r="C14979" s="1007">
        <f t="shared" si="339"/>
        <v>136</v>
      </c>
      <c r="D14979" s="1012"/>
      <c r="H14979" s="1011" t="s">
        <v>1007</v>
      </c>
      <c r="K14979" s="1013"/>
    </row>
    <row r="14980" spans="1:11" s="1011" customFormat="1" ht="15" x14ac:dyDescent="0.25">
      <c r="A14980" s="859">
        <f t="shared" ref="A14980:A15043" si="340">+A14979+1</f>
        <v>14979</v>
      </c>
      <c r="B14980" s="845" t="s">
        <v>2564</v>
      </c>
      <c r="C14980" s="1007">
        <f t="shared" si="339"/>
        <v>136</v>
      </c>
      <c r="D14980" s="1015"/>
      <c r="I14980" s="1011" t="s">
        <v>2182</v>
      </c>
      <c r="K14980" s="1013"/>
    </row>
    <row r="14981" spans="1:11" s="1011" customFormat="1" ht="15" x14ac:dyDescent="0.25">
      <c r="A14981" s="859">
        <f t="shared" si="340"/>
        <v>14980</v>
      </c>
      <c r="B14981" s="845" t="s">
        <v>2564</v>
      </c>
      <c r="C14981" s="1007">
        <f t="shared" si="339"/>
        <v>136</v>
      </c>
      <c r="D14981" s="1012"/>
      <c r="I14981" s="1011" t="str">
        <f>CONCATENATE("&lt;valeur&gt;",VLOOKUP(C14981,'T16 Amort'!A:K,10,0),"&lt;/valeur&gt;")</f>
        <v>&lt;valeur&gt;&lt;/valeur&gt;</v>
      </c>
      <c r="K14981" s="1013"/>
    </row>
    <row r="14982" spans="1:11" s="1011" customFormat="1" ht="15" x14ac:dyDescent="0.25">
      <c r="A14982" s="859">
        <f t="shared" si="340"/>
        <v>14981</v>
      </c>
      <c r="B14982" s="845" t="s">
        <v>2564</v>
      </c>
      <c r="C14982" s="1007">
        <f t="shared" si="339"/>
        <v>136</v>
      </c>
      <c r="D14982" s="1012"/>
      <c r="I14982" s="1011" t="str">
        <f>CONCATENATE("&lt;numeroLigne&gt;",C14982,"&lt;/numeroLigne&gt;")</f>
        <v>&lt;numeroLigne&gt;136&lt;/numeroLigne&gt;</v>
      </c>
      <c r="K14982" s="1013"/>
    </row>
    <row r="14983" spans="1:11" s="1011" customFormat="1" ht="15" x14ac:dyDescent="0.25">
      <c r="A14983" s="859">
        <f t="shared" si="340"/>
        <v>14982</v>
      </c>
      <c r="B14983" s="845" t="s">
        <v>2564</v>
      </c>
      <c r="C14983" s="1007">
        <f t="shared" si="339"/>
        <v>136</v>
      </c>
      <c r="D14983" s="1014"/>
      <c r="H14983" s="1011" t="s">
        <v>1010</v>
      </c>
      <c r="K14983" s="1013"/>
    </row>
    <row r="14984" spans="1:11" s="1011" customFormat="1" ht="15" x14ac:dyDescent="0.25">
      <c r="A14984" s="859">
        <f t="shared" si="340"/>
        <v>14983</v>
      </c>
      <c r="B14984" s="845" t="s">
        <v>2564</v>
      </c>
      <c r="C14984" s="1007">
        <f t="shared" si="339"/>
        <v>136</v>
      </c>
      <c r="D14984" s="1014"/>
      <c r="H14984" s="1011" t="s">
        <v>1007</v>
      </c>
      <c r="K14984" s="1013"/>
    </row>
    <row r="14985" spans="1:11" s="1011" customFormat="1" ht="15" x14ac:dyDescent="0.25">
      <c r="A14985" s="859">
        <f t="shared" si="340"/>
        <v>14984</v>
      </c>
      <c r="B14985" s="845" t="s">
        <v>2564</v>
      </c>
      <c r="C14985" s="1007">
        <f t="shared" si="339"/>
        <v>136</v>
      </c>
      <c r="D14985" s="1012"/>
      <c r="I14985" s="1011" t="s">
        <v>2183</v>
      </c>
      <c r="K14985" s="1013"/>
    </row>
    <row r="14986" spans="1:11" s="1011" customFormat="1" ht="15" x14ac:dyDescent="0.25">
      <c r="A14986" s="859">
        <f t="shared" si="340"/>
        <v>14985</v>
      </c>
      <c r="B14986" s="845" t="s">
        <v>2564</v>
      </c>
      <c r="C14986" s="1007">
        <f t="shared" si="339"/>
        <v>136</v>
      </c>
      <c r="D14986" s="1015"/>
      <c r="I14986" s="1011" t="str">
        <f>CONCATENATE("&lt;valeur&gt;",VLOOKUP(C14986,'T16 Amort'!A:K,11,0),"&lt;/valeur&gt;")</f>
        <v>&lt;valeur&gt;&lt;/valeur&gt;</v>
      </c>
      <c r="K14986" s="1013"/>
    </row>
    <row r="14987" spans="1:11" s="1011" customFormat="1" ht="15" x14ac:dyDescent="0.25">
      <c r="A14987" s="859">
        <f t="shared" si="340"/>
        <v>14986</v>
      </c>
      <c r="B14987" s="845" t="s">
        <v>2564</v>
      </c>
      <c r="C14987" s="1007">
        <f t="shared" si="339"/>
        <v>136</v>
      </c>
      <c r="D14987" s="1012"/>
      <c r="I14987" s="1011" t="str">
        <f>CONCATENATE("&lt;numeroLigne&gt;",C14987,"&lt;/numeroLigne&gt;")</f>
        <v>&lt;numeroLigne&gt;136&lt;/numeroLigne&gt;</v>
      </c>
      <c r="K14987" s="1013"/>
    </row>
    <row r="14988" spans="1:11" s="1011" customFormat="1" ht="15" x14ac:dyDescent="0.25">
      <c r="A14988" s="859">
        <f t="shared" si="340"/>
        <v>14987</v>
      </c>
      <c r="B14988" s="845" t="s">
        <v>2564</v>
      </c>
      <c r="C14988" s="1007">
        <f t="shared" si="339"/>
        <v>136</v>
      </c>
      <c r="D14988" s="1016"/>
      <c r="E14988" s="1017"/>
      <c r="F14988" s="1017"/>
      <c r="G14988" s="1017"/>
      <c r="H14988" s="1017" t="s">
        <v>1010</v>
      </c>
      <c r="I14988" s="1017"/>
      <c r="J14988" s="1017"/>
      <c r="K14988" s="1018"/>
    </row>
    <row r="14989" spans="1:11" s="1011" customFormat="1" ht="15" x14ac:dyDescent="0.25">
      <c r="A14989" s="859">
        <f t="shared" si="340"/>
        <v>14988</v>
      </c>
      <c r="B14989" s="845" t="s">
        <v>2564</v>
      </c>
      <c r="C14989" s="1007">
        <f t="shared" si="339"/>
        <v>137</v>
      </c>
      <c r="D14989" s="1008"/>
      <c r="E14989" s="1009"/>
      <c r="F14989" s="1009"/>
      <c r="G14989" s="1009"/>
      <c r="H14989" s="1009" t="s">
        <v>1007</v>
      </c>
      <c r="I14989" s="1009"/>
      <c r="J14989" s="1009"/>
      <c r="K14989" s="1010"/>
    </row>
    <row r="14990" spans="1:11" s="1011" customFormat="1" ht="15" x14ac:dyDescent="0.25">
      <c r="A14990" s="859">
        <f t="shared" si="340"/>
        <v>14989</v>
      </c>
      <c r="B14990" s="845" t="s">
        <v>2564</v>
      </c>
      <c r="C14990" s="1007">
        <f t="shared" si="339"/>
        <v>137</v>
      </c>
      <c r="D14990" s="1012"/>
      <c r="I14990" s="1011" t="s">
        <v>2174</v>
      </c>
      <c r="K14990" s="1013"/>
    </row>
    <row r="14991" spans="1:11" s="1011" customFormat="1" ht="15" x14ac:dyDescent="0.25">
      <c r="A14991" s="859">
        <f t="shared" si="340"/>
        <v>14990</v>
      </c>
      <c r="B14991" s="845" t="s">
        <v>2564</v>
      </c>
      <c r="C14991" s="1007">
        <f t="shared" si="339"/>
        <v>137</v>
      </c>
      <c r="D14991" s="1014"/>
      <c r="I14991" s="1011" t="str">
        <f>CONCATENATE("&lt;valeur&gt;",VLOOKUP(C14991,'T16 Amort'!A:K,2,0),"&lt;/valeur&gt;")</f>
        <v>&lt;valeur&gt;&lt;/valeur&gt;</v>
      </c>
      <c r="K14991" s="1013"/>
    </row>
    <row r="14992" spans="1:11" s="1011" customFormat="1" ht="15" x14ac:dyDescent="0.25">
      <c r="A14992" s="859">
        <f t="shared" si="340"/>
        <v>14991</v>
      </c>
      <c r="B14992" s="845" t="s">
        <v>2564</v>
      </c>
      <c r="C14992" s="1007">
        <f t="shared" si="339"/>
        <v>137</v>
      </c>
      <c r="D14992" s="1014"/>
      <c r="I14992" s="1011" t="str">
        <f>CONCATENATE("&lt;numeroLigne&gt;",C14992,"&lt;/numeroLigne&gt;")</f>
        <v>&lt;numeroLigne&gt;137&lt;/numeroLigne&gt;</v>
      </c>
      <c r="K14992" s="1013"/>
    </row>
    <row r="14993" spans="1:11" s="1011" customFormat="1" ht="15" x14ac:dyDescent="0.25">
      <c r="A14993" s="859">
        <f t="shared" si="340"/>
        <v>14992</v>
      </c>
      <c r="B14993" s="845" t="s">
        <v>2564</v>
      </c>
      <c r="C14993" s="1007">
        <f t="shared" si="339"/>
        <v>137</v>
      </c>
      <c r="D14993" s="1012"/>
      <c r="H14993" s="1011" t="s">
        <v>1010</v>
      </c>
      <c r="K14993" s="1013"/>
    </row>
    <row r="14994" spans="1:11" s="1011" customFormat="1" ht="15" x14ac:dyDescent="0.25">
      <c r="A14994" s="859">
        <f t="shared" si="340"/>
        <v>14993</v>
      </c>
      <c r="B14994" s="845" t="s">
        <v>2564</v>
      </c>
      <c r="C14994" s="1007">
        <f t="shared" si="339"/>
        <v>137</v>
      </c>
      <c r="D14994" s="1015"/>
      <c r="H14994" s="1011" t="s">
        <v>1007</v>
      </c>
      <c r="K14994" s="1013"/>
    </row>
    <row r="14995" spans="1:11" s="1011" customFormat="1" ht="15" x14ac:dyDescent="0.25">
      <c r="A14995" s="859">
        <f t="shared" si="340"/>
        <v>14994</v>
      </c>
      <c r="B14995" s="845" t="s">
        <v>2564</v>
      </c>
      <c r="C14995" s="1007">
        <f t="shared" si="339"/>
        <v>137</v>
      </c>
      <c r="D14995" s="1012"/>
      <c r="I14995" s="1011" t="s">
        <v>2175</v>
      </c>
      <c r="K14995" s="1013"/>
    </row>
    <row r="14996" spans="1:11" s="1011" customFormat="1" ht="15" x14ac:dyDescent="0.25">
      <c r="A14996" s="859">
        <f t="shared" si="340"/>
        <v>14995</v>
      </c>
      <c r="B14996" s="845" t="s">
        <v>2564</v>
      </c>
      <c r="C14996" s="1007">
        <f t="shared" si="339"/>
        <v>137</v>
      </c>
      <c r="D14996" s="1012"/>
      <c r="I14996" s="1011" t="str">
        <f>CONCATENATE("&lt;valeur&gt;",VLOOKUP(C14996,'T16 Amort'!A:K,3,0),"&lt;/valeur&gt;")</f>
        <v>&lt;valeur&gt;&lt;/valeur&gt;</v>
      </c>
      <c r="K14996" s="1013"/>
    </row>
    <row r="14997" spans="1:11" s="1011" customFormat="1" ht="15" x14ac:dyDescent="0.25">
      <c r="A14997" s="859">
        <f t="shared" si="340"/>
        <v>14996</v>
      </c>
      <c r="B14997" s="845" t="s">
        <v>2564</v>
      </c>
      <c r="C14997" s="1007">
        <f t="shared" si="339"/>
        <v>137</v>
      </c>
      <c r="D14997" s="1014"/>
      <c r="I14997" s="1011" t="str">
        <f>CONCATENATE("&lt;numeroLigne&gt;",C14997,"&lt;/numeroLigne&gt;")</f>
        <v>&lt;numeroLigne&gt;137&lt;/numeroLigne&gt;</v>
      </c>
      <c r="K14997" s="1013"/>
    </row>
    <row r="14998" spans="1:11" s="1011" customFormat="1" ht="15" x14ac:dyDescent="0.25">
      <c r="A14998" s="859">
        <f t="shared" si="340"/>
        <v>14997</v>
      </c>
      <c r="B14998" s="845" t="s">
        <v>2564</v>
      </c>
      <c r="C14998" s="1007">
        <f t="shared" si="339"/>
        <v>137</v>
      </c>
      <c r="D14998" s="1014"/>
      <c r="H14998" s="1011" t="s">
        <v>1010</v>
      </c>
      <c r="K14998" s="1013"/>
    </row>
    <row r="14999" spans="1:11" s="1011" customFormat="1" ht="15" x14ac:dyDescent="0.25">
      <c r="A14999" s="859">
        <f t="shared" si="340"/>
        <v>14998</v>
      </c>
      <c r="B14999" s="845" t="s">
        <v>2564</v>
      </c>
      <c r="C14999" s="1007">
        <f t="shared" si="339"/>
        <v>137</v>
      </c>
      <c r="D14999" s="1012"/>
      <c r="H14999" s="1011" t="s">
        <v>1007</v>
      </c>
      <c r="K14999" s="1013"/>
    </row>
    <row r="15000" spans="1:11" s="1011" customFormat="1" ht="15" x14ac:dyDescent="0.25">
      <c r="A15000" s="859">
        <f t="shared" si="340"/>
        <v>14999</v>
      </c>
      <c r="B15000" s="845" t="s">
        <v>2564</v>
      </c>
      <c r="C15000" s="1007">
        <f t="shared" si="339"/>
        <v>137</v>
      </c>
      <c r="D15000" s="1015"/>
      <c r="I15000" s="1011" t="s">
        <v>2176</v>
      </c>
      <c r="K15000" s="1013"/>
    </row>
    <row r="15001" spans="1:11" s="1011" customFormat="1" ht="15" x14ac:dyDescent="0.25">
      <c r="A15001" s="859">
        <f t="shared" si="340"/>
        <v>15000</v>
      </c>
      <c r="B15001" s="845" t="s">
        <v>2564</v>
      </c>
      <c r="C15001" s="1007">
        <f t="shared" si="339"/>
        <v>137</v>
      </c>
      <c r="D15001" s="1012"/>
      <c r="I15001" s="1011" t="str">
        <f>CONCATENATE("&lt;valeur&gt;",VLOOKUP(C15001,'T16 Amort'!A:K,4,0),"&lt;/valeur&gt;")</f>
        <v>&lt;valeur&gt;&lt;/valeur&gt;</v>
      </c>
      <c r="K15001" s="1013"/>
    </row>
    <row r="15002" spans="1:11" s="1011" customFormat="1" ht="15" x14ac:dyDescent="0.25">
      <c r="A15002" s="859">
        <f t="shared" si="340"/>
        <v>15001</v>
      </c>
      <c r="B15002" s="845" t="s">
        <v>2564</v>
      </c>
      <c r="C15002" s="1007">
        <f t="shared" si="339"/>
        <v>137</v>
      </c>
      <c r="D15002" s="1012"/>
      <c r="I15002" s="1011" t="str">
        <f>CONCATENATE("&lt;numeroLigne&gt;",C15002,"&lt;/numeroLigne&gt;")</f>
        <v>&lt;numeroLigne&gt;137&lt;/numeroLigne&gt;</v>
      </c>
      <c r="K15002" s="1013"/>
    </row>
    <row r="15003" spans="1:11" s="1011" customFormat="1" ht="15" x14ac:dyDescent="0.25">
      <c r="A15003" s="859">
        <f t="shared" si="340"/>
        <v>15002</v>
      </c>
      <c r="B15003" s="845" t="s">
        <v>2564</v>
      </c>
      <c r="C15003" s="1007">
        <f t="shared" si="339"/>
        <v>137</v>
      </c>
      <c r="D15003" s="1014"/>
      <c r="H15003" s="1011" t="s">
        <v>1010</v>
      </c>
      <c r="K15003" s="1013"/>
    </row>
    <row r="15004" spans="1:11" s="1011" customFormat="1" ht="15" x14ac:dyDescent="0.25">
      <c r="A15004" s="859">
        <f t="shared" si="340"/>
        <v>15003</v>
      </c>
      <c r="B15004" s="845" t="s">
        <v>2564</v>
      </c>
      <c r="C15004" s="1007">
        <f t="shared" si="339"/>
        <v>137</v>
      </c>
      <c r="D15004" s="1014"/>
      <c r="H15004" s="1011" t="s">
        <v>1007</v>
      </c>
      <c r="K15004" s="1013"/>
    </row>
    <row r="15005" spans="1:11" s="1011" customFormat="1" ht="15" x14ac:dyDescent="0.25">
      <c r="A15005" s="859">
        <f t="shared" si="340"/>
        <v>15004</v>
      </c>
      <c r="B15005" s="845" t="s">
        <v>2564</v>
      </c>
      <c r="C15005" s="1007">
        <f t="shared" si="339"/>
        <v>137</v>
      </c>
      <c r="D15005" s="1012"/>
      <c r="I15005" s="1011" t="s">
        <v>2177</v>
      </c>
      <c r="K15005" s="1013"/>
    </row>
    <row r="15006" spans="1:11" s="1011" customFormat="1" ht="15" x14ac:dyDescent="0.25">
      <c r="A15006" s="859">
        <f t="shared" si="340"/>
        <v>15005</v>
      </c>
      <c r="B15006" s="845" t="s">
        <v>2564</v>
      </c>
      <c r="C15006" s="1007">
        <f t="shared" si="339"/>
        <v>137</v>
      </c>
      <c r="D15006" s="1015"/>
      <c r="I15006" s="1011" t="str">
        <f>CONCATENATE("&lt;valeur&gt;",VLOOKUP(C15006,'T16 Amort'!A:K,5,0),"&lt;/valeur&gt;")</f>
        <v>&lt;valeur&gt;&lt;/valeur&gt;</v>
      </c>
      <c r="K15006" s="1013"/>
    </row>
    <row r="15007" spans="1:11" s="1011" customFormat="1" ht="15" x14ac:dyDescent="0.25">
      <c r="A15007" s="859">
        <f t="shared" si="340"/>
        <v>15006</v>
      </c>
      <c r="B15007" s="845" t="s">
        <v>2564</v>
      </c>
      <c r="C15007" s="1007">
        <f t="shared" si="339"/>
        <v>137</v>
      </c>
      <c r="D15007" s="1012"/>
      <c r="I15007" s="1011" t="str">
        <f>CONCATENATE("&lt;numeroLigne&gt;",C15007,"&lt;/numeroLigne&gt;")</f>
        <v>&lt;numeroLigne&gt;137&lt;/numeroLigne&gt;</v>
      </c>
      <c r="K15007" s="1013"/>
    </row>
    <row r="15008" spans="1:11" s="1011" customFormat="1" ht="15" x14ac:dyDescent="0.25">
      <c r="A15008" s="859">
        <f t="shared" si="340"/>
        <v>15007</v>
      </c>
      <c r="B15008" s="845" t="s">
        <v>2564</v>
      </c>
      <c r="C15008" s="1007">
        <f t="shared" si="339"/>
        <v>137</v>
      </c>
      <c r="D15008" s="1012"/>
      <c r="H15008" s="1011" t="s">
        <v>1010</v>
      </c>
      <c r="K15008" s="1013"/>
    </row>
    <row r="15009" spans="1:11" s="1011" customFormat="1" ht="15" x14ac:dyDescent="0.25">
      <c r="A15009" s="859">
        <f t="shared" si="340"/>
        <v>15008</v>
      </c>
      <c r="B15009" s="845" t="s">
        <v>2564</v>
      </c>
      <c r="C15009" s="1007">
        <f t="shared" si="339"/>
        <v>137</v>
      </c>
      <c r="D15009" s="1014"/>
      <c r="H15009" s="1011" t="s">
        <v>1007</v>
      </c>
      <c r="K15009" s="1013"/>
    </row>
    <row r="15010" spans="1:11" s="1011" customFormat="1" ht="15" x14ac:dyDescent="0.25">
      <c r="A15010" s="859">
        <f t="shared" si="340"/>
        <v>15009</v>
      </c>
      <c r="B15010" s="845" t="s">
        <v>2564</v>
      </c>
      <c r="C15010" s="1007">
        <f t="shared" si="339"/>
        <v>137</v>
      </c>
      <c r="D15010" s="1014"/>
      <c r="I15010" s="1011" t="s">
        <v>2178</v>
      </c>
      <c r="K15010" s="1013"/>
    </row>
    <row r="15011" spans="1:11" s="1011" customFormat="1" ht="15" x14ac:dyDescent="0.25">
      <c r="A15011" s="859">
        <f t="shared" si="340"/>
        <v>15010</v>
      </c>
      <c r="B15011" s="845" t="s">
        <v>2564</v>
      </c>
      <c r="C15011" s="1007">
        <f t="shared" si="339"/>
        <v>137</v>
      </c>
      <c r="D15011" s="1012"/>
      <c r="I15011" s="1011" t="str">
        <f>CONCATENATE("&lt;valeur&gt;",VLOOKUP(C15011,'T16 Amort'!A:K,6,0),"&lt;/valeur&gt;")</f>
        <v>&lt;valeur&gt;&lt;/valeur&gt;</v>
      </c>
      <c r="K15011" s="1013"/>
    </row>
    <row r="15012" spans="1:11" s="1011" customFormat="1" ht="15" x14ac:dyDescent="0.25">
      <c r="A15012" s="859">
        <f t="shared" si="340"/>
        <v>15011</v>
      </c>
      <c r="B15012" s="845" t="s">
        <v>2564</v>
      </c>
      <c r="C15012" s="1007">
        <f t="shared" si="339"/>
        <v>137</v>
      </c>
      <c r="D15012" s="1015"/>
      <c r="I15012" s="1011" t="str">
        <f>CONCATENATE("&lt;numeroLigne&gt;",C15012,"&lt;/numeroLigne&gt;")</f>
        <v>&lt;numeroLigne&gt;137&lt;/numeroLigne&gt;</v>
      </c>
      <c r="K15012" s="1013"/>
    </row>
    <row r="15013" spans="1:11" s="1011" customFormat="1" ht="15" x14ac:dyDescent="0.25">
      <c r="A15013" s="859">
        <f t="shared" si="340"/>
        <v>15012</v>
      </c>
      <c r="B15013" s="845" t="s">
        <v>2564</v>
      </c>
      <c r="C15013" s="1007">
        <f t="shared" si="339"/>
        <v>137</v>
      </c>
      <c r="D15013" s="1012"/>
      <c r="H15013" s="1011" t="s">
        <v>1010</v>
      </c>
      <c r="K15013" s="1013"/>
    </row>
    <row r="15014" spans="1:11" s="1011" customFormat="1" ht="15" x14ac:dyDescent="0.25">
      <c r="A15014" s="859">
        <f t="shared" si="340"/>
        <v>15013</v>
      </c>
      <c r="B15014" s="845" t="s">
        <v>2564</v>
      </c>
      <c r="C15014" s="1007">
        <f t="shared" si="339"/>
        <v>137</v>
      </c>
      <c r="D15014" s="1012"/>
      <c r="H15014" s="1011" t="s">
        <v>1007</v>
      </c>
      <c r="K15014" s="1013"/>
    </row>
    <row r="15015" spans="1:11" s="1011" customFormat="1" ht="15" x14ac:dyDescent="0.25">
      <c r="A15015" s="859">
        <f t="shared" si="340"/>
        <v>15014</v>
      </c>
      <c r="B15015" s="845" t="s">
        <v>2564</v>
      </c>
      <c r="C15015" s="1007">
        <f t="shared" si="339"/>
        <v>137</v>
      </c>
      <c r="D15015" s="1014"/>
      <c r="I15015" s="1011" t="s">
        <v>2179</v>
      </c>
      <c r="K15015" s="1013"/>
    </row>
    <row r="15016" spans="1:11" s="1011" customFormat="1" ht="15" x14ac:dyDescent="0.25">
      <c r="A15016" s="859">
        <f t="shared" si="340"/>
        <v>15015</v>
      </c>
      <c r="B15016" s="845" t="s">
        <v>2564</v>
      </c>
      <c r="C15016" s="1007">
        <f t="shared" si="339"/>
        <v>137</v>
      </c>
      <c r="D15016" s="1014"/>
      <c r="I15016" s="1011" t="str">
        <f>CONCATENATE("&lt;valeur&gt;",VLOOKUP(C15016,'T16 Amort'!A:K,7,0),"&lt;/valeur&gt;")</f>
        <v>&lt;valeur&gt;&lt;/valeur&gt;</v>
      </c>
      <c r="K15016" s="1013"/>
    </row>
    <row r="15017" spans="1:11" s="1011" customFormat="1" ht="15" x14ac:dyDescent="0.25">
      <c r="A15017" s="859">
        <f t="shared" si="340"/>
        <v>15016</v>
      </c>
      <c r="B15017" s="845" t="s">
        <v>2564</v>
      </c>
      <c r="C15017" s="1007">
        <f t="shared" si="339"/>
        <v>137</v>
      </c>
      <c r="D15017" s="1012"/>
      <c r="I15017" s="1011" t="str">
        <f>CONCATENATE("&lt;numeroLigne&gt;",C15017,"&lt;/numeroLigne&gt;")</f>
        <v>&lt;numeroLigne&gt;137&lt;/numeroLigne&gt;</v>
      </c>
      <c r="K15017" s="1013"/>
    </row>
    <row r="15018" spans="1:11" s="1011" customFormat="1" ht="15" x14ac:dyDescent="0.25">
      <c r="A15018" s="859">
        <f t="shared" si="340"/>
        <v>15017</v>
      </c>
      <c r="B15018" s="845" t="s">
        <v>2564</v>
      </c>
      <c r="C15018" s="1007">
        <f t="shared" si="339"/>
        <v>137</v>
      </c>
      <c r="D15018" s="1015"/>
      <c r="H15018" s="1011" t="s">
        <v>1010</v>
      </c>
      <c r="K15018" s="1013"/>
    </row>
    <row r="15019" spans="1:11" s="1011" customFormat="1" ht="15" x14ac:dyDescent="0.25">
      <c r="A15019" s="859">
        <f t="shared" si="340"/>
        <v>15018</v>
      </c>
      <c r="B15019" s="845" t="s">
        <v>2564</v>
      </c>
      <c r="C15019" s="1007">
        <f t="shared" si="339"/>
        <v>137</v>
      </c>
      <c r="D15019" s="1012"/>
      <c r="H15019" s="1011" t="s">
        <v>1007</v>
      </c>
      <c r="K15019" s="1013"/>
    </row>
    <row r="15020" spans="1:11" s="1011" customFormat="1" ht="15" x14ac:dyDescent="0.25">
      <c r="A15020" s="859">
        <f t="shared" si="340"/>
        <v>15019</v>
      </c>
      <c r="B15020" s="845" t="s">
        <v>2564</v>
      </c>
      <c r="C15020" s="1007">
        <f t="shared" si="339"/>
        <v>137</v>
      </c>
      <c r="D15020" s="1012"/>
      <c r="I15020" s="1011" t="s">
        <v>2180</v>
      </c>
      <c r="K15020" s="1013"/>
    </row>
    <row r="15021" spans="1:11" s="1011" customFormat="1" ht="15" x14ac:dyDescent="0.25">
      <c r="A15021" s="859">
        <f t="shared" si="340"/>
        <v>15020</v>
      </c>
      <c r="B15021" s="845" t="s">
        <v>2564</v>
      </c>
      <c r="C15021" s="1007">
        <f t="shared" si="339"/>
        <v>137</v>
      </c>
      <c r="D15021" s="1014"/>
      <c r="I15021" s="1011" t="str">
        <f>CONCATENATE("&lt;valeur&gt;",VLOOKUP(C15021,'T16 Amort'!A:K,8,0),"&lt;/valeur&gt;")</f>
        <v>&lt;valeur&gt;&lt;/valeur&gt;</v>
      </c>
      <c r="K15021" s="1013"/>
    </row>
    <row r="15022" spans="1:11" s="1011" customFormat="1" ht="15" x14ac:dyDescent="0.25">
      <c r="A15022" s="859">
        <f t="shared" si="340"/>
        <v>15021</v>
      </c>
      <c r="B15022" s="845" t="s">
        <v>2564</v>
      </c>
      <c r="C15022" s="1007">
        <f t="shared" si="339"/>
        <v>137</v>
      </c>
      <c r="D15022" s="1014"/>
      <c r="I15022" s="1011" t="str">
        <f>CONCATENATE("&lt;numeroLigne&gt;",C15022,"&lt;/numeroLigne&gt;")</f>
        <v>&lt;numeroLigne&gt;137&lt;/numeroLigne&gt;</v>
      </c>
      <c r="K15022" s="1013"/>
    </row>
    <row r="15023" spans="1:11" s="1011" customFormat="1" ht="15" x14ac:dyDescent="0.25">
      <c r="A15023" s="859">
        <f t="shared" si="340"/>
        <v>15022</v>
      </c>
      <c r="B15023" s="845" t="s">
        <v>2564</v>
      </c>
      <c r="C15023" s="1007">
        <f t="shared" ref="C15023:C15086" si="341">C14973+1</f>
        <v>137</v>
      </c>
      <c r="D15023" s="1012"/>
      <c r="H15023" s="1011" t="s">
        <v>1010</v>
      </c>
      <c r="K15023" s="1013"/>
    </row>
    <row r="15024" spans="1:11" s="1011" customFormat="1" ht="15" x14ac:dyDescent="0.25">
      <c r="A15024" s="859">
        <f t="shared" si="340"/>
        <v>15023</v>
      </c>
      <c r="B15024" s="845" t="s">
        <v>2564</v>
      </c>
      <c r="C15024" s="1007">
        <f t="shared" si="341"/>
        <v>137</v>
      </c>
      <c r="D15024" s="1015"/>
      <c r="H15024" s="1011" t="s">
        <v>1007</v>
      </c>
      <c r="K15024" s="1013"/>
    </row>
    <row r="15025" spans="1:11" s="1011" customFormat="1" ht="15" x14ac:dyDescent="0.25">
      <c r="A15025" s="859">
        <f t="shared" si="340"/>
        <v>15024</v>
      </c>
      <c r="B15025" s="845" t="s">
        <v>2564</v>
      </c>
      <c r="C15025" s="1007">
        <f t="shared" si="341"/>
        <v>137</v>
      </c>
      <c r="D15025" s="1012"/>
      <c r="I15025" s="1011" t="s">
        <v>2181</v>
      </c>
      <c r="K15025" s="1013"/>
    </row>
    <row r="15026" spans="1:11" s="1011" customFormat="1" ht="15" x14ac:dyDescent="0.25">
      <c r="A15026" s="859">
        <f t="shared" si="340"/>
        <v>15025</v>
      </c>
      <c r="B15026" s="845" t="s">
        <v>2564</v>
      </c>
      <c r="C15026" s="1007">
        <f t="shared" si="341"/>
        <v>137</v>
      </c>
      <c r="D15026" s="1012"/>
      <c r="I15026" s="1011" t="str">
        <f>CONCATENATE("&lt;valeur&gt;",VLOOKUP(C15026,'T16 Amort'!A:K,9,0),"&lt;/valeur&gt;")</f>
        <v>&lt;valeur&gt;&lt;/valeur&gt;</v>
      </c>
      <c r="K15026" s="1013"/>
    </row>
    <row r="15027" spans="1:11" s="1011" customFormat="1" ht="15" x14ac:dyDescent="0.25">
      <c r="A15027" s="859">
        <f t="shared" si="340"/>
        <v>15026</v>
      </c>
      <c r="B15027" s="845" t="s">
        <v>2564</v>
      </c>
      <c r="C15027" s="1007">
        <f t="shared" si="341"/>
        <v>137</v>
      </c>
      <c r="D15027" s="1014"/>
      <c r="I15027" s="1011" t="str">
        <f>CONCATENATE("&lt;numeroLigne&gt;",C15027,"&lt;/numeroLigne&gt;")</f>
        <v>&lt;numeroLigne&gt;137&lt;/numeroLigne&gt;</v>
      </c>
      <c r="K15027" s="1013"/>
    </row>
    <row r="15028" spans="1:11" s="1011" customFormat="1" ht="15" x14ac:dyDescent="0.25">
      <c r="A15028" s="859">
        <f t="shared" si="340"/>
        <v>15027</v>
      </c>
      <c r="B15028" s="845" t="s">
        <v>2564</v>
      </c>
      <c r="C15028" s="1007">
        <f t="shared" si="341"/>
        <v>137</v>
      </c>
      <c r="D15028" s="1014"/>
      <c r="H15028" s="1011" t="s">
        <v>1010</v>
      </c>
      <c r="K15028" s="1013"/>
    </row>
    <row r="15029" spans="1:11" s="1011" customFormat="1" ht="15" x14ac:dyDescent="0.25">
      <c r="A15029" s="859">
        <f t="shared" si="340"/>
        <v>15028</v>
      </c>
      <c r="B15029" s="845" t="s">
        <v>2564</v>
      </c>
      <c r="C15029" s="1007">
        <f t="shared" si="341"/>
        <v>137</v>
      </c>
      <c r="D15029" s="1012"/>
      <c r="H15029" s="1011" t="s">
        <v>1007</v>
      </c>
      <c r="K15029" s="1013"/>
    </row>
    <row r="15030" spans="1:11" s="1011" customFormat="1" ht="15" x14ac:dyDescent="0.25">
      <c r="A15030" s="859">
        <f t="shared" si="340"/>
        <v>15029</v>
      </c>
      <c r="B15030" s="845" t="s">
        <v>2564</v>
      </c>
      <c r="C15030" s="1007">
        <f t="shared" si="341"/>
        <v>137</v>
      </c>
      <c r="D15030" s="1015"/>
      <c r="I15030" s="1011" t="s">
        <v>2182</v>
      </c>
      <c r="K15030" s="1013"/>
    </row>
    <row r="15031" spans="1:11" s="1011" customFormat="1" ht="15" x14ac:dyDescent="0.25">
      <c r="A15031" s="859">
        <f t="shared" si="340"/>
        <v>15030</v>
      </c>
      <c r="B15031" s="845" t="s">
        <v>2564</v>
      </c>
      <c r="C15031" s="1007">
        <f t="shared" si="341"/>
        <v>137</v>
      </c>
      <c r="D15031" s="1012"/>
      <c r="I15031" s="1011" t="str">
        <f>CONCATENATE("&lt;valeur&gt;",VLOOKUP(C15031,'T16 Amort'!A:K,10,0),"&lt;/valeur&gt;")</f>
        <v>&lt;valeur&gt;&lt;/valeur&gt;</v>
      </c>
      <c r="K15031" s="1013"/>
    </row>
    <row r="15032" spans="1:11" s="1011" customFormat="1" ht="15" x14ac:dyDescent="0.25">
      <c r="A15032" s="859">
        <f t="shared" si="340"/>
        <v>15031</v>
      </c>
      <c r="B15032" s="845" t="s">
        <v>2564</v>
      </c>
      <c r="C15032" s="1007">
        <f t="shared" si="341"/>
        <v>137</v>
      </c>
      <c r="D15032" s="1012"/>
      <c r="I15032" s="1011" t="str">
        <f>CONCATENATE("&lt;numeroLigne&gt;",C15032,"&lt;/numeroLigne&gt;")</f>
        <v>&lt;numeroLigne&gt;137&lt;/numeroLigne&gt;</v>
      </c>
      <c r="K15032" s="1013"/>
    </row>
    <row r="15033" spans="1:11" s="1011" customFormat="1" ht="15" x14ac:dyDescent="0.25">
      <c r="A15033" s="859">
        <f t="shared" si="340"/>
        <v>15032</v>
      </c>
      <c r="B15033" s="845" t="s">
        <v>2564</v>
      </c>
      <c r="C15033" s="1007">
        <f t="shared" si="341"/>
        <v>137</v>
      </c>
      <c r="D15033" s="1014"/>
      <c r="H15033" s="1011" t="s">
        <v>1010</v>
      </c>
      <c r="K15033" s="1013"/>
    </row>
    <row r="15034" spans="1:11" s="1011" customFormat="1" ht="15" x14ac:dyDescent="0.25">
      <c r="A15034" s="859">
        <f t="shared" si="340"/>
        <v>15033</v>
      </c>
      <c r="B15034" s="845" t="s">
        <v>2564</v>
      </c>
      <c r="C15034" s="1007">
        <f t="shared" si="341"/>
        <v>137</v>
      </c>
      <c r="D15034" s="1014"/>
      <c r="H15034" s="1011" t="s">
        <v>1007</v>
      </c>
      <c r="K15034" s="1013"/>
    </row>
    <row r="15035" spans="1:11" s="1011" customFormat="1" ht="15" x14ac:dyDescent="0.25">
      <c r="A15035" s="859">
        <f t="shared" si="340"/>
        <v>15034</v>
      </c>
      <c r="B15035" s="845" t="s">
        <v>2564</v>
      </c>
      <c r="C15035" s="1007">
        <f t="shared" si="341"/>
        <v>137</v>
      </c>
      <c r="D15035" s="1012"/>
      <c r="I15035" s="1011" t="s">
        <v>2183</v>
      </c>
      <c r="K15035" s="1013"/>
    </row>
    <row r="15036" spans="1:11" s="1011" customFormat="1" ht="15" x14ac:dyDescent="0.25">
      <c r="A15036" s="859">
        <f t="shared" si="340"/>
        <v>15035</v>
      </c>
      <c r="B15036" s="845" t="s">
        <v>2564</v>
      </c>
      <c r="C15036" s="1007">
        <f t="shared" si="341"/>
        <v>137</v>
      </c>
      <c r="D15036" s="1015"/>
      <c r="I15036" s="1011" t="str">
        <f>CONCATENATE("&lt;valeur&gt;",VLOOKUP(C15036,'T16 Amort'!A:K,11,0),"&lt;/valeur&gt;")</f>
        <v>&lt;valeur&gt;&lt;/valeur&gt;</v>
      </c>
      <c r="K15036" s="1013"/>
    </row>
    <row r="15037" spans="1:11" s="1011" customFormat="1" ht="15" x14ac:dyDescent="0.25">
      <c r="A15037" s="859">
        <f t="shared" si="340"/>
        <v>15036</v>
      </c>
      <c r="B15037" s="845" t="s">
        <v>2564</v>
      </c>
      <c r="C15037" s="1007">
        <f t="shared" si="341"/>
        <v>137</v>
      </c>
      <c r="D15037" s="1012"/>
      <c r="I15037" s="1011" t="str">
        <f>CONCATENATE("&lt;numeroLigne&gt;",C15037,"&lt;/numeroLigne&gt;")</f>
        <v>&lt;numeroLigne&gt;137&lt;/numeroLigne&gt;</v>
      </c>
      <c r="K15037" s="1013"/>
    </row>
    <row r="15038" spans="1:11" s="1011" customFormat="1" ht="15" x14ac:dyDescent="0.25">
      <c r="A15038" s="859">
        <f t="shared" si="340"/>
        <v>15037</v>
      </c>
      <c r="B15038" s="845" t="s">
        <v>2564</v>
      </c>
      <c r="C15038" s="1007">
        <f t="shared" si="341"/>
        <v>137</v>
      </c>
      <c r="D15038" s="1016"/>
      <c r="E15038" s="1017"/>
      <c r="F15038" s="1017"/>
      <c r="G15038" s="1017"/>
      <c r="H15038" s="1017" t="s">
        <v>1010</v>
      </c>
      <c r="I15038" s="1017"/>
      <c r="J15038" s="1017"/>
      <c r="K15038" s="1018"/>
    </row>
    <row r="15039" spans="1:11" s="1011" customFormat="1" ht="15" x14ac:dyDescent="0.25">
      <c r="A15039" s="859">
        <f t="shared" si="340"/>
        <v>15038</v>
      </c>
      <c r="B15039" s="845" t="s">
        <v>2564</v>
      </c>
      <c r="C15039" s="1007">
        <f t="shared" si="341"/>
        <v>138</v>
      </c>
      <c r="D15039" s="1008"/>
      <c r="E15039" s="1009"/>
      <c r="F15039" s="1009"/>
      <c r="G15039" s="1009"/>
      <c r="H15039" s="1009" t="s">
        <v>1007</v>
      </c>
      <c r="I15039" s="1009"/>
      <c r="J15039" s="1009"/>
      <c r="K15039" s="1010"/>
    </row>
    <row r="15040" spans="1:11" s="1011" customFormat="1" ht="15" x14ac:dyDescent="0.25">
      <c r="A15040" s="859">
        <f t="shared" si="340"/>
        <v>15039</v>
      </c>
      <c r="B15040" s="845" t="s">
        <v>2564</v>
      </c>
      <c r="C15040" s="1007">
        <f t="shared" si="341"/>
        <v>138</v>
      </c>
      <c r="D15040" s="1012"/>
      <c r="I15040" s="1011" t="s">
        <v>2174</v>
      </c>
      <c r="K15040" s="1013"/>
    </row>
    <row r="15041" spans="1:11" s="1011" customFormat="1" ht="15" x14ac:dyDescent="0.25">
      <c r="A15041" s="859">
        <f t="shared" si="340"/>
        <v>15040</v>
      </c>
      <c r="B15041" s="845" t="s">
        <v>2564</v>
      </c>
      <c r="C15041" s="1007">
        <f t="shared" si="341"/>
        <v>138</v>
      </c>
      <c r="D15041" s="1014"/>
      <c r="I15041" s="1011" t="str">
        <f>CONCATENATE("&lt;valeur&gt;",VLOOKUP(C15041,'T16 Amort'!A:K,2,0),"&lt;/valeur&gt;")</f>
        <v>&lt;valeur&gt;&lt;/valeur&gt;</v>
      </c>
      <c r="K15041" s="1013"/>
    </row>
    <row r="15042" spans="1:11" s="1011" customFormat="1" ht="15" x14ac:dyDescent="0.25">
      <c r="A15042" s="859">
        <f t="shared" si="340"/>
        <v>15041</v>
      </c>
      <c r="B15042" s="845" t="s">
        <v>2564</v>
      </c>
      <c r="C15042" s="1007">
        <f t="shared" si="341"/>
        <v>138</v>
      </c>
      <c r="D15042" s="1014"/>
      <c r="I15042" s="1011" t="str">
        <f>CONCATENATE("&lt;numeroLigne&gt;",C15042,"&lt;/numeroLigne&gt;")</f>
        <v>&lt;numeroLigne&gt;138&lt;/numeroLigne&gt;</v>
      </c>
      <c r="K15042" s="1013"/>
    </row>
    <row r="15043" spans="1:11" s="1011" customFormat="1" ht="15" x14ac:dyDescent="0.25">
      <c r="A15043" s="859">
        <f t="shared" si="340"/>
        <v>15042</v>
      </c>
      <c r="B15043" s="845" t="s">
        <v>2564</v>
      </c>
      <c r="C15043" s="1007">
        <f t="shared" si="341"/>
        <v>138</v>
      </c>
      <c r="D15043" s="1012"/>
      <c r="H15043" s="1011" t="s">
        <v>1010</v>
      </c>
      <c r="K15043" s="1013"/>
    </row>
    <row r="15044" spans="1:11" s="1011" customFormat="1" ht="15" x14ac:dyDescent="0.25">
      <c r="A15044" s="859">
        <f t="shared" ref="A15044:A15107" si="342">+A15043+1</f>
        <v>15043</v>
      </c>
      <c r="B15044" s="845" t="s">
        <v>2564</v>
      </c>
      <c r="C15044" s="1007">
        <f t="shared" si="341"/>
        <v>138</v>
      </c>
      <c r="D15044" s="1015"/>
      <c r="H15044" s="1011" t="s">
        <v>1007</v>
      </c>
      <c r="K15044" s="1013"/>
    </row>
    <row r="15045" spans="1:11" s="1011" customFormat="1" ht="15" x14ac:dyDescent="0.25">
      <c r="A15045" s="859">
        <f t="shared" si="342"/>
        <v>15044</v>
      </c>
      <c r="B15045" s="845" t="s">
        <v>2564</v>
      </c>
      <c r="C15045" s="1007">
        <f t="shared" si="341"/>
        <v>138</v>
      </c>
      <c r="D15045" s="1012"/>
      <c r="I15045" s="1011" t="s">
        <v>2175</v>
      </c>
      <c r="K15045" s="1013"/>
    </row>
    <row r="15046" spans="1:11" s="1011" customFormat="1" ht="15" x14ac:dyDescent="0.25">
      <c r="A15046" s="859">
        <f t="shared" si="342"/>
        <v>15045</v>
      </c>
      <c r="B15046" s="845" t="s">
        <v>2564</v>
      </c>
      <c r="C15046" s="1007">
        <f t="shared" si="341"/>
        <v>138</v>
      </c>
      <c r="D15046" s="1012"/>
      <c r="I15046" s="1011" t="str">
        <f>CONCATENATE("&lt;valeur&gt;",VLOOKUP(C15046,'T16 Amort'!A:K,3,0),"&lt;/valeur&gt;")</f>
        <v>&lt;valeur&gt;&lt;/valeur&gt;</v>
      </c>
      <c r="K15046" s="1013"/>
    </row>
    <row r="15047" spans="1:11" s="1011" customFormat="1" ht="15" x14ac:dyDescent="0.25">
      <c r="A15047" s="859">
        <f t="shared" si="342"/>
        <v>15046</v>
      </c>
      <c r="B15047" s="845" t="s">
        <v>2564</v>
      </c>
      <c r="C15047" s="1007">
        <f t="shared" si="341"/>
        <v>138</v>
      </c>
      <c r="D15047" s="1014"/>
      <c r="I15047" s="1011" t="str">
        <f>CONCATENATE("&lt;numeroLigne&gt;",C15047,"&lt;/numeroLigne&gt;")</f>
        <v>&lt;numeroLigne&gt;138&lt;/numeroLigne&gt;</v>
      </c>
      <c r="K15047" s="1013"/>
    </row>
    <row r="15048" spans="1:11" s="1011" customFormat="1" ht="15" x14ac:dyDescent="0.25">
      <c r="A15048" s="859">
        <f t="shared" si="342"/>
        <v>15047</v>
      </c>
      <c r="B15048" s="845" t="s">
        <v>2564</v>
      </c>
      <c r="C15048" s="1007">
        <f t="shared" si="341"/>
        <v>138</v>
      </c>
      <c r="D15048" s="1014"/>
      <c r="H15048" s="1011" t="s">
        <v>1010</v>
      </c>
      <c r="K15048" s="1013"/>
    </row>
    <row r="15049" spans="1:11" s="1011" customFormat="1" ht="15" x14ac:dyDescent="0.25">
      <c r="A15049" s="859">
        <f t="shared" si="342"/>
        <v>15048</v>
      </c>
      <c r="B15049" s="845" t="s">
        <v>2564</v>
      </c>
      <c r="C15049" s="1007">
        <f t="shared" si="341"/>
        <v>138</v>
      </c>
      <c r="D15049" s="1012"/>
      <c r="H15049" s="1011" t="s">
        <v>1007</v>
      </c>
      <c r="K15049" s="1013"/>
    </row>
    <row r="15050" spans="1:11" s="1011" customFormat="1" ht="15" x14ac:dyDescent="0.25">
      <c r="A15050" s="859">
        <f t="shared" si="342"/>
        <v>15049</v>
      </c>
      <c r="B15050" s="845" t="s">
        <v>2564</v>
      </c>
      <c r="C15050" s="1007">
        <f t="shared" si="341"/>
        <v>138</v>
      </c>
      <c r="D15050" s="1015"/>
      <c r="I15050" s="1011" t="s">
        <v>2176</v>
      </c>
      <c r="K15050" s="1013"/>
    </row>
    <row r="15051" spans="1:11" s="1011" customFormat="1" ht="15" x14ac:dyDescent="0.25">
      <c r="A15051" s="859">
        <f t="shared" si="342"/>
        <v>15050</v>
      </c>
      <c r="B15051" s="845" t="s">
        <v>2564</v>
      </c>
      <c r="C15051" s="1007">
        <f t="shared" si="341"/>
        <v>138</v>
      </c>
      <c r="D15051" s="1012"/>
      <c r="I15051" s="1011" t="str">
        <f>CONCATENATE("&lt;valeur&gt;",VLOOKUP(C15051,'T16 Amort'!A:K,4,0),"&lt;/valeur&gt;")</f>
        <v>&lt;valeur&gt;&lt;/valeur&gt;</v>
      </c>
      <c r="K15051" s="1013"/>
    </row>
    <row r="15052" spans="1:11" s="1011" customFormat="1" ht="15" x14ac:dyDescent="0.25">
      <c r="A15052" s="859">
        <f t="shared" si="342"/>
        <v>15051</v>
      </c>
      <c r="B15052" s="845" t="s">
        <v>2564</v>
      </c>
      <c r="C15052" s="1007">
        <f t="shared" si="341"/>
        <v>138</v>
      </c>
      <c r="D15052" s="1012"/>
      <c r="I15052" s="1011" t="str">
        <f>CONCATENATE("&lt;numeroLigne&gt;",C15052,"&lt;/numeroLigne&gt;")</f>
        <v>&lt;numeroLigne&gt;138&lt;/numeroLigne&gt;</v>
      </c>
      <c r="K15052" s="1013"/>
    </row>
    <row r="15053" spans="1:11" s="1011" customFormat="1" ht="15" x14ac:dyDescent="0.25">
      <c r="A15053" s="859">
        <f t="shared" si="342"/>
        <v>15052</v>
      </c>
      <c r="B15053" s="845" t="s">
        <v>2564</v>
      </c>
      <c r="C15053" s="1007">
        <f t="shared" si="341"/>
        <v>138</v>
      </c>
      <c r="D15053" s="1014"/>
      <c r="H15053" s="1011" t="s">
        <v>1010</v>
      </c>
      <c r="K15053" s="1013"/>
    </row>
    <row r="15054" spans="1:11" s="1011" customFormat="1" ht="15" x14ac:dyDescent="0.25">
      <c r="A15054" s="859">
        <f t="shared" si="342"/>
        <v>15053</v>
      </c>
      <c r="B15054" s="845" t="s">
        <v>2564</v>
      </c>
      <c r="C15054" s="1007">
        <f t="shared" si="341"/>
        <v>138</v>
      </c>
      <c r="D15054" s="1014"/>
      <c r="H15054" s="1011" t="s">
        <v>1007</v>
      </c>
      <c r="K15054" s="1013"/>
    </row>
    <row r="15055" spans="1:11" s="1011" customFormat="1" ht="15" x14ac:dyDescent="0.25">
      <c r="A15055" s="859">
        <f t="shared" si="342"/>
        <v>15054</v>
      </c>
      <c r="B15055" s="845" t="s">
        <v>2564</v>
      </c>
      <c r="C15055" s="1007">
        <f t="shared" si="341"/>
        <v>138</v>
      </c>
      <c r="D15055" s="1012"/>
      <c r="I15055" s="1011" t="s">
        <v>2177</v>
      </c>
      <c r="K15055" s="1013"/>
    </row>
    <row r="15056" spans="1:11" s="1011" customFormat="1" ht="15" x14ac:dyDescent="0.25">
      <c r="A15056" s="859">
        <f t="shared" si="342"/>
        <v>15055</v>
      </c>
      <c r="B15056" s="845" t="s">
        <v>2564</v>
      </c>
      <c r="C15056" s="1007">
        <f t="shared" si="341"/>
        <v>138</v>
      </c>
      <c r="D15056" s="1015"/>
      <c r="I15056" s="1011" t="str">
        <f>CONCATENATE("&lt;valeur&gt;",VLOOKUP(C15056,'T16 Amort'!A:K,5,0),"&lt;/valeur&gt;")</f>
        <v>&lt;valeur&gt;&lt;/valeur&gt;</v>
      </c>
      <c r="K15056" s="1013"/>
    </row>
    <row r="15057" spans="1:11" s="1011" customFormat="1" ht="15" x14ac:dyDescent="0.25">
      <c r="A15057" s="859">
        <f t="shared" si="342"/>
        <v>15056</v>
      </c>
      <c r="B15057" s="845" t="s">
        <v>2564</v>
      </c>
      <c r="C15057" s="1007">
        <f t="shared" si="341"/>
        <v>138</v>
      </c>
      <c r="D15057" s="1012"/>
      <c r="I15057" s="1011" t="str">
        <f>CONCATENATE("&lt;numeroLigne&gt;",C15057,"&lt;/numeroLigne&gt;")</f>
        <v>&lt;numeroLigne&gt;138&lt;/numeroLigne&gt;</v>
      </c>
      <c r="K15057" s="1013"/>
    </row>
    <row r="15058" spans="1:11" s="1011" customFormat="1" ht="15" x14ac:dyDescent="0.25">
      <c r="A15058" s="859">
        <f t="shared" si="342"/>
        <v>15057</v>
      </c>
      <c r="B15058" s="845" t="s">
        <v>2564</v>
      </c>
      <c r="C15058" s="1007">
        <f t="shared" si="341"/>
        <v>138</v>
      </c>
      <c r="D15058" s="1012"/>
      <c r="H15058" s="1011" t="s">
        <v>1010</v>
      </c>
      <c r="K15058" s="1013"/>
    </row>
    <row r="15059" spans="1:11" s="1011" customFormat="1" ht="15" x14ac:dyDescent="0.25">
      <c r="A15059" s="859">
        <f t="shared" si="342"/>
        <v>15058</v>
      </c>
      <c r="B15059" s="845" t="s">
        <v>2564</v>
      </c>
      <c r="C15059" s="1007">
        <f t="shared" si="341"/>
        <v>138</v>
      </c>
      <c r="D15059" s="1014"/>
      <c r="H15059" s="1011" t="s">
        <v>1007</v>
      </c>
      <c r="K15059" s="1013"/>
    </row>
    <row r="15060" spans="1:11" s="1011" customFormat="1" ht="15" x14ac:dyDescent="0.25">
      <c r="A15060" s="859">
        <f t="shared" si="342"/>
        <v>15059</v>
      </c>
      <c r="B15060" s="845" t="s">
        <v>2564</v>
      </c>
      <c r="C15060" s="1007">
        <f t="shared" si="341"/>
        <v>138</v>
      </c>
      <c r="D15060" s="1014"/>
      <c r="I15060" s="1011" t="s">
        <v>2178</v>
      </c>
      <c r="K15060" s="1013"/>
    </row>
    <row r="15061" spans="1:11" s="1011" customFormat="1" ht="15" x14ac:dyDescent="0.25">
      <c r="A15061" s="859">
        <f t="shared" si="342"/>
        <v>15060</v>
      </c>
      <c r="B15061" s="845" t="s">
        <v>2564</v>
      </c>
      <c r="C15061" s="1007">
        <f t="shared" si="341"/>
        <v>138</v>
      </c>
      <c r="D15061" s="1012"/>
      <c r="I15061" s="1011" t="str">
        <f>CONCATENATE("&lt;valeur&gt;",VLOOKUP(C15061,'T16 Amort'!A:K,6,0),"&lt;/valeur&gt;")</f>
        <v>&lt;valeur&gt;&lt;/valeur&gt;</v>
      </c>
      <c r="K15061" s="1013"/>
    </row>
    <row r="15062" spans="1:11" s="1011" customFormat="1" ht="15" x14ac:dyDescent="0.25">
      <c r="A15062" s="859">
        <f t="shared" si="342"/>
        <v>15061</v>
      </c>
      <c r="B15062" s="845" t="s">
        <v>2564</v>
      </c>
      <c r="C15062" s="1007">
        <f t="shared" si="341"/>
        <v>138</v>
      </c>
      <c r="D15062" s="1015"/>
      <c r="I15062" s="1011" t="str">
        <f>CONCATENATE("&lt;numeroLigne&gt;",C15062,"&lt;/numeroLigne&gt;")</f>
        <v>&lt;numeroLigne&gt;138&lt;/numeroLigne&gt;</v>
      </c>
      <c r="K15062" s="1013"/>
    </row>
    <row r="15063" spans="1:11" s="1011" customFormat="1" ht="15" x14ac:dyDescent="0.25">
      <c r="A15063" s="859">
        <f t="shared" si="342"/>
        <v>15062</v>
      </c>
      <c r="B15063" s="845" t="s">
        <v>2564</v>
      </c>
      <c r="C15063" s="1007">
        <f t="shared" si="341"/>
        <v>138</v>
      </c>
      <c r="D15063" s="1012"/>
      <c r="H15063" s="1011" t="s">
        <v>1010</v>
      </c>
      <c r="K15063" s="1013"/>
    </row>
    <row r="15064" spans="1:11" s="1011" customFormat="1" ht="15" x14ac:dyDescent="0.25">
      <c r="A15064" s="859">
        <f t="shared" si="342"/>
        <v>15063</v>
      </c>
      <c r="B15064" s="845" t="s">
        <v>2564</v>
      </c>
      <c r="C15064" s="1007">
        <f t="shared" si="341"/>
        <v>138</v>
      </c>
      <c r="D15064" s="1012"/>
      <c r="H15064" s="1011" t="s">
        <v>1007</v>
      </c>
      <c r="K15064" s="1013"/>
    </row>
    <row r="15065" spans="1:11" s="1011" customFormat="1" ht="15" x14ac:dyDescent="0.25">
      <c r="A15065" s="859">
        <f t="shared" si="342"/>
        <v>15064</v>
      </c>
      <c r="B15065" s="845" t="s">
        <v>2564</v>
      </c>
      <c r="C15065" s="1007">
        <f t="shared" si="341"/>
        <v>138</v>
      </c>
      <c r="D15065" s="1014"/>
      <c r="I15065" s="1011" t="s">
        <v>2179</v>
      </c>
      <c r="K15065" s="1013"/>
    </row>
    <row r="15066" spans="1:11" s="1011" customFormat="1" ht="15" x14ac:dyDescent="0.25">
      <c r="A15066" s="859">
        <f t="shared" si="342"/>
        <v>15065</v>
      </c>
      <c r="B15066" s="845" t="s">
        <v>2564</v>
      </c>
      <c r="C15066" s="1007">
        <f t="shared" si="341"/>
        <v>138</v>
      </c>
      <c r="D15066" s="1014"/>
      <c r="I15066" s="1011" t="str">
        <f>CONCATENATE("&lt;valeur&gt;",VLOOKUP(C15066,'T16 Amort'!A:K,7,0),"&lt;/valeur&gt;")</f>
        <v>&lt;valeur&gt;&lt;/valeur&gt;</v>
      </c>
      <c r="K15066" s="1013"/>
    </row>
    <row r="15067" spans="1:11" s="1011" customFormat="1" ht="15" x14ac:dyDescent="0.25">
      <c r="A15067" s="859">
        <f t="shared" si="342"/>
        <v>15066</v>
      </c>
      <c r="B15067" s="845" t="s">
        <v>2564</v>
      </c>
      <c r="C15067" s="1007">
        <f t="shared" si="341"/>
        <v>138</v>
      </c>
      <c r="D15067" s="1012"/>
      <c r="I15067" s="1011" t="str">
        <f>CONCATENATE("&lt;numeroLigne&gt;",C15067,"&lt;/numeroLigne&gt;")</f>
        <v>&lt;numeroLigne&gt;138&lt;/numeroLigne&gt;</v>
      </c>
      <c r="K15067" s="1013"/>
    </row>
    <row r="15068" spans="1:11" s="1011" customFormat="1" ht="15" x14ac:dyDescent="0.25">
      <c r="A15068" s="859">
        <f t="shared" si="342"/>
        <v>15067</v>
      </c>
      <c r="B15068" s="845" t="s">
        <v>2564</v>
      </c>
      <c r="C15068" s="1007">
        <f t="shared" si="341"/>
        <v>138</v>
      </c>
      <c r="D15068" s="1015"/>
      <c r="H15068" s="1011" t="s">
        <v>1010</v>
      </c>
      <c r="K15068" s="1013"/>
    </row>
    <row r="15069" spans="1:11" s="1011" customFormat="1" ht="15" x14ac:dyDescent="0.25">
      <c r="A15069" s="859">
        <f t="shared" si="342"/>
        <v>15068</v>
      </c>
      <c r="B15069" s="845" t="s">
        <v>2564</v>
      </c>
      <c r="C15069" s="1007">
        <f t="shared" si="341"/>
        <v>138</v>
      </c>
      <c r="D15069" s="1012"/>
      <c r="H15069" s="1011" t="s">
        <v>1007</v>
      </c>
      <c r="K15069" s="1013"/>
    </row>
    <row r="15070" spans="1:11" s="1011" customFormat="1" ht="15" x14ac:dyDescent="0.25">
      <c r="A15070" s="859">
        <f t="shared" si="342"/>
        <v>15069</v>
      </c>
      <c r="B15070" s="845" t="s">
        <v>2564</v>
      </c>
      <c r="C15070" s="1007">
        <f t="shared" si="341"/>
        <v>138</v>
      </c>
      <c r="D15070" s="1012"/>
      <c r="I15070" s="1011" t="s">
        <v>2180</v>
      </c>
      <c r="K15070" s="1013"/>
    </row>
    <row r="15071" spans="1:11" s="1011" customFormat="1" ht="15" x14ac:dyDescent="0.25">
      <c r="A15071" s="859">
        <f t="shared" si="342"/>
        <v>15070</v>
      </c>
      <c r="B15071" s="845" t="s">
        <v>2564</v>
      </c>
      <c r="C15071" s="1007">
        <f t="shared" si="341"/>
        <v>138</v>
      </c>
      <c r="D15071" s="1014"/>
      <c r="I15071" s="1011" t="str">
        <f>CONCATENATE("&lt;valeur&gt;",VLOOKUP(C15071,'T16 Amort'!A:K,8,0),"&lt;/valeur&gt;")</f>
        <v>&lt;valeur&gt;&lt;/valeur&gt;</v>
      </c>
      <c r="K15071" s="1013"/>
    </row>
    <row r="15072" spans="1:11" s="1011" customFormat="1" ht="15" x14ac:dyDescent="0.25">
      <c r="A15072" s="859">
        <f t="shared" si="342"/>
        <v>15071</v>
      </c>
      <c r="B15072" s="845" t="s">
        <v>2564</v>
      </c>
      <c r="C15072" s="1007">
        <f t="shared" si="341"/>
        <v>138</v>
      </c>
      <c r="D15072" s="1014"/>
      <c r="I15072" s="1011" t="str">
        <f>CONCATENATE("&lt;numeroLigne&gt;",C15072,"&lt;/numeroLigne&gt;")</f>
        <v>&lt;numeroLigne&gt;138&lt;/numeroLigne&gt;</v>
      </c>
      <c r="K15072" s="1013"/>
    </row>
    <row r="15073" spans="1:11" s="1011" customFormat="1" ht="15" x14ac:dyDescent="0.25">
      <c r="A15073" s="859">
        <f t="shared" si="342"/>
        <v>15072</v>
      </c>
      <c r="B15073" s="845" t="s">
        <v>2564</v>
      </c>
      <c r="C15073" s="1007">
        <f t="shared" si="341"/>
        <v>138</v>
      </c>
      <c r="D15073" s="1012"/>
      <c r="H15073" s="1011" t="s">
        <v>1010</v>
      </c>
      <c r="K15073" s="1013"/>
    </row>
    <row r="15074" spans="1:11" s="1011" customFormat="1" ht="15" x14ac:dyDescent="0.25">
      <c r="A15074" s="859">
        <f t="shared" si="342"/>
        <v>15073</v>
      </c>
      <c r="B15074" s="845" t="s">
        <v>2564</v>
      </c>
      <c r="C15074" s="1007">
        <f t="shared" si="341"/>
        <v>138</v>
      </c>
      <c r="D15074" s="1015"/>
      <c r="H15074" s="1011" t="s">
        <v>1007</v>
      </c>
      <c r="K15074" s="1013"/>
    </row>
    <row r="15075" spans="1:11" s="1011" customFormat="1" ht="15" x14ac:dyDescent="0.25">
      <c r="A15075" s="859">
        <f t="shared" si="342"/>
        <v>15074</v>
      </c>
      <c r="B15075" s="845" t="s">
        <v>2564</v>
      </c>
      <c r="C15075" s="1007">
        <f t="shared" si="341"/>
        <v>138</v>
      </c>
      <c r="D15075" s="1012"/>
      <c r="I15075" s="1011" t="s">
        <v>2181</v>
      </c>
      <c r="K15075" s="1013"/>
    </row>
    <row r="15076" spans="1:11" s="1011" customFormat="1" ht="15" x14ac:dyDescent="0.25">
      <c r="A15076" s="859">
        <f t="shared" si="342"/>
        <v>15075</v>
      </c>
      <c r="B15076" s="845" t="s">
        <v>2564</v>
      </c>
      <c r="C15076" s="1007">
        <f t="shared" si="341"/>
        <v>138</v>
      </c>
      <c r="D15076" s="1012"/>
      <c r="I15076" s="1011" t="str">
        <f>CONCATENATE("&lt;valeur&gt;",VLOOKUP(C15076,'T16 Amort'!A:K,9,0),"&lt;/valeur&gt;")</f>
        <v>&lt;valeur&gt;&lt;/valeur&gt;</v>
      </c>
      <c r="K15076" s="1013"/>
    </row>
    <row r="15077" spans="1:11" s="1011" customFormat="1" ht="15" x14ac:dyDescent="0.25">
      <c r="A15077" s="859">
        <f t="shared" si="342"/>
        <v>15076</v>
      </c>
      <c r="B15077" s="845" t="s">
        <v>2564</v>
      </c>
      <c r="C15077" s="1007">
        <f t="shared" si="341"/>
        <v>138</v>
      </c>
      <c r="D15077" s="1014"/>
      <c r="I15077" s="1011" t="str">
        <f>CONCATENATE("&lt;numeroLigne&gt;",C15077,"&lt;/numeroLigne&gt;")</f>
        <v>&lt;numeroLigne&gt;138&lt;/numeroLigne&gt;</v>
      </c>
      <c r="K15077" s="1013"/>
    </row>
    <row r="15078" spans="1:11" s="1011" customFormat="1" ht="15" x14ac:dyDescent="0.25">
      <c r="A15078" s="859">
        <f t="shared" si="342"/>
        <v>15077</v>
      </c>
      <c r="B15078" s="845" t="s">
        <v>2564</v>
      </c>
      <c r="C15078" s="1007">
        <f t="shared" si="341"/>
        <v>138</v>
      </c>
      <c r="D15078" s="1014"/>
      <c r="H15078" s="1011" t="s">
        <v>1010</v>
      </c>
      <c r="K15078" s="1013"/>
    </row>
    <row r="15079" spans="1:11" s="1011" customFormat="1" ht="15" x14ac:dyDescent="0.25">
      <c r="A15079" s="859">
        <f t="shared" si="342"/>
        <v>15078</v>
      </c>
      <c r="B15079" s="845" t="s">
        <v>2564</v>
      </c>
      <c r="C15079" s="1007">
        <f t="shared" si="341"/>
        <v>138</v>
      </c>
      <c r="D15079" s="1012"/>
      <c r="H15079" s="1011" t="s">
        <v>1007</v>
      </c>
      <c r="K15079" s="1013"/>
    </row>
    <row r="15080" spans="1:11" s="1011" customFormat="1" ht="15" x14ac:dyDescent="0.25">
      <c r="A15080" s="859">
        <f t="shared" si="342"/>
        <v>15079</v>
      </c>
      <c r="B15080" s="845" t="s">
        <v>2564</v>
      </c>
      <c r="C15080" s="1007">
        <f t="shared" si="341"/>
        <v>138</v>
      </c>
      <c r="D15080" s="1015"/>
      <c r="I15080" s="1011" t="s">
        <v>2182</v>
      </c>
      <c r="K15080" s="1013"/>
    </row>
    <row r="15081" spans="1:11" s="1011" customFormat="1" ht="15" x14ac:dyDescent="0.25">
      <c r="A15081" s="859">
        <f t="shared" si="342"/>
        <v>15080</v>
      </c>
      <c r="B15081" s="845" t="s">
        <v>2564</v>
      </c>
      <c r="C15081" s="1007">
        <f t="shared" si="341"/>
        <v>138</v>
      </c>
      <c r="D15081" s="1012"/>
      <c r="I15081" s="1011" t="str">
        <f>CONCATENATE("&lt;valeur&gt;",VLOOKUP(C15081,'T16 Amort'!A:K,10,0),"&lt;/valeur&gt;")</f>
        <v>&lt;valeur&gt;&lt;/valeur&gt;</v>
      </c>
      <c r="K15081" s="1013"/>
    </row>
    <row r="15082" spans="1:11" s="1011" customFormat="1" ht="15" x14ac:dyDescent="0.25">
      <c r="A15082" s="859">
        <f t="shared" si="342"/>
        <v>15081</v>
      </c>
      <c r="B15082" s="845" t="s">
        <v>2564</v>
      </c>
      <c r="C15082" s="1007">
        <f t="shared" si="341"/>
        <v>138</v>
      </c>
      <c r="D15082" s="1012"/>
      <c r="I15082" s="1011" t="str">
        <f>CONCATENATE("&lt;numeroLigne&gt;",C15082,"&lt;/numeroLigne&gt;")</f>
        <v>&lt;numeroLigne&gt;138&lt;/numeroLigne&gt;</v>
      </c>
      <c r="K15082" s="1013"/>
    </row>
    <row r="15083" spans="1:11" s="1011" customFormat="1" ht="15" x14ac:dyDescent="0.25">
      <c r="A15083" s="859">
        <f t="shared" si="342"/>
        <v>15082</v>
      </c>
      <c r="B15083" s="845" t="s">
        <v>2564</v>
      </c>
      <c r="C15083" s="1007">
        <f t="shared" si="341"/>
        <v>138</v>
      </c>
      <c r="D15083" s="1014"/>
      <c r="H15083" s="1011" t="s">
        <v>1010</v>
      </c>
      <c r="K15083" s="1013"/>
    </row>
    <row r="15084" spans="1:11" s="1011" customFormat="1" ht="15" x14ac:dyDescent="0.25">
      <c r="A15084" s="859">
        <f t="shared" si="342"/>
        <v>15083</v>
      </c>
      <c r="B15084" s="845" t="s">
        <v>2564</v>
      </c>
      <c r="C15084" s="1007">
        <f t="shared" si="341"/>
        <v>138</v>
      </c>
      <c r="D15084" s="1014"/>
      <c r="H15084" s="1011" t="s">
        <v>1007</v>
      </c>
      <c r="K15084" s="1013"/>
    </row>
    <row r="15085" spans="1:11" s="1011" customFormat="1" ht="15" x14ac:dyDescent="0.25">
      <c r="A15085" s="859">
        <f t="shared" si="342"/>
        <v>15084</v>
      </c>
      <c r="B15085" s="845" t="s">
        <v>2564</v>
      </c>
      <c r="C15085" s="1007">
        <f t="shared" si="341"/>
        <v>138</v>
      </c>
      <c r="D15085" s="1012"/>
      <c r="I15085" s="1011" t="s">
        <v>2183</v>
      </c>
      <c r="K15085" s="1013"/>
    </row>
    <row r="15086" spans="1:11" s="1011" customFormat="1" ht="15" x14ac:dyDescent="0.25">
      <c r="A15086" s="859">
        <f t="shared" si="342"/>
        <v>15085</v>
      </c>
      <c r="B15086" s="845" t="s">
        <v>2564</v>
      </c>
      <c r="C15086" s="1007">
        <f t="shared" si="341"/>
        <v>138</v>
      </c>
      <c r="D15086" s="1015"/>
      <c r="I15086" s="1011" t="str">
        <f>CONCATENATE("&lt;valeur&gt;",VLOOKUP(C15086,'T16 Amort'!A:K,11,0),"&lt;/valeur&gt;")</f>
        <v>&lt;valeur&gt;&lt;/valeur&gt;</v>
      </c>
      <c r="K15086" s="1013"/>
    </row>
    <row r="15087" spans="1:11" s="1011" customFormat="1" ht="15" x14ac:dyDescent="0.25">
      <c r="A15087" s="859">
        <f t="shared" si="342"/>
        <v>15086</v>
      </c>
      <c r="B15087" s="845" t="s">
        <v>2564</v>
      </c>
      <c r="C15087" s="1007">
        <f t="shared" ref="C15087:C15150" si="343">C15037+1</f>
        <v>138</v>
      </c>
      <c r="D15087" s="1012"/>
      <c r="I15087" s="1011" t="str">
        <f>CONCATENATE("&lt;numeroLigne&gt;",C15087,"&lt;/numeroLigne&gt;")</f>
        <v>&lt;numeroLigne&gt;138&lt;/numeroLigne&gt;</v>
      </c>
      <c r="K15087" s="1013"/>
    </row>
    <row r="15088" spans="1:11" s="1011" customFormat="1" ht="15" x14ac:dyDescent="0.25">
      <c r="A15088" s="859">
        <f t="shared" si="342"/>
        <v>15087</v>
      </c>
      <c r="B15088" s="845" t="s">
        <v>2564</v>
      </c>
      <c r="C15088" s="1007">
        <f t="shared" si="343"/>
        <v>138</v>
      </c>
      <c r="D15088" s="1016"/>
      <c r="E15088" s="1017"/>
      <c r="F15088" s="1017"/>
      <c r="G15088" s="1017"/>
      <c r="H15088" s="1017" t="s">
        <v>1010</v>
      </c>
      <c r="I15088" s="1017"/>
      <c r="J15088" s="1017"/>
      <c r="K15088" s="1018"/>
    </row>
    <row r="15089" spans="1:11" s="1011" customFormat="1" ht="15" x14ac:dyDescent="0.25">
      <c r="A15089" s="859">
        <f t="shared" si="342"/>
        <v>15088</v>
      </c>
      <c r="B15089" s="845" t="s">
        <v>2564</v>
      </c>
      <c r="C15089" s="1007">
        <f t="shared" si="343"/>
        <v>139</v>
      </c>
      <c r="D15089" s="1008"/>
      <c r="E15089" s="1009"/>
      <c r="F15089" s="1009"/>
      <c r="G15089" s="1009"/>
      <c r="H15089" s="1009" t="s">
        <v>1007</v>
      </c>
      <c r="I15089" s="1009"/>
      <c r="J15089" s="1009"/>
      <c r="K15089" s="1010"/>
    </row>
    <row r="15090" spans="1:11" s="1011" customFormat="1" ht="15" x14ac:dyDescent="0.25">
      <c r="A15090" s="859">
        <f t="shared" si="342"/>
        <v>15089</v>
      </c>
      <c r="B15090" s="845" t="s">
        <v>2564</v>
      </c>
      <c r="C15090" s="1007">
        <f t="shared" si="343"/>
        <v>139</v>
      </c>
      <c r="D15090" s="1012"/>
      <c r="I15090" s="1011" t="s">
        <v>2174</v>
      </c>
      <c r="K15090" s="1013"/>
    </row>
    <row r="15091" spans="1:11" s="1011" customFormat="1" ht="15" x14ac:dyDescent="0.25">
      <c r="A15091" s="859">
        <f t="shared" si="342"/>
        <v>15090</v>
      </c>
      <c r="B15091" s="845" t="s">
        <v>2564</v>
      </c>
      <c r="C15091" s="1007">
        <f t="shared" si="343"/>
        <v>139</v>
      </c>
      <c r="D15091" s="1014"/>
      <c r="I15091" s="1011" t="str">
        <f>CONCATENATE("&lt;valeur&gt;",VLOOKUP(C15091,'T16 Amort'!A:K,2,0),"&lt;/valeur&gt;")</f>
        <v>&lt;valeur&gt;&lt;/valeur&gt;</v>
      </c>
      <c r="K15091" s="1013"/>
    </row>
    <row r="15092" spans="1:11" s="1011" customFormat="1" ht="15" x14ac:dyDescent="0.25">
      <c r="A15092" s="859">
        <f t="shared" si="342"/>
        <v>15091</v>
      </c>
      <c r="B15092" s="845" t="s">
        <v>2564</v>
      </c>
      <c r="C15092" s="1007">
        <f t="shared" si="343"/>
        <v>139</v>
      </c>
      <c r="D15092" s="1014"/>
      <c r="I15092" s="1011" t="str">
        <f>CONCATENATE("&lt;numeroLigne&gt;",C15092,"&lt;/numeroLigne&gt;")</f>
        <v>&lt;numeroLigne&gt;139&lt;/numeroLigne&gt;</v>
      </c>
      <c r="K15092" s="1013"/>
    </row>
    <row r="15093" spans="1:11" s="1011" customFormat="1" ht="15" x14ac:dyDescent="0.25">
      <c r="A15093" s="859">
        <f t="shared" si="342"/>
        <v>15092</v>
      </c>
      <c r="B15093" s="845" t="s">
        <v>2564</v>
      </c>
      <c r="C15093" s="1007">
        <f t="shared" si="343"/>
        <v>139</v>
      </c>
      <c r="D15093" s="1012"/>
      <c r="H15093" s="1011" t="s">
        <v>1010</v>
      </c>
      <c r="K15093" s="1013"/>
    </row>
    <row r="15094" spans="1:11" s="1011" customFormat="1" ht="15" x14ac:dyDescent="0.25">
      <c r="A15094" s="859">
        <f t="shared" si="342"/>
        <v>15093</v>
      </c>
      <c r="B15094" s="845" t="s">
        <v>2564</v>
      </c>
      <c r="C15094" s="1007">
        <f t="shared" si="343"/>
        <v>139</v>
      </c>
      <c r="D15094" s="1015"/>
      <c r="H15094" s="1011" t="s">
        <v>1007</v>
      </c>
      <c r="K15094" s="1013"/>
    </row>
    <row r="15095" spans="1:11" s="1011" customFormat="1" ht="15" x14ac:dyDescent="0.25">
      <c r="A15095" s="859">
        <f t="shared" si="342"/>
        <v>15094</v>
      </c>
      <c r="B15095" s="845" t="s">
        <v>2564</v>
      </c>
      <c r="C15095" s="1007">
        <f t="shared" si="343"/>
        <v>139</v>
      </c>
      <c r="D15095" s="1012"/>
      <c r="I15095" s="1011" t="s">
        <v>2175</v>
      </c>
      <c r="K15095" s="1013"/>
    </row>
    <row r="15096" spans="1:11" s="1011" customFormat="1" ht="15" x14ac:dyDescent="0.25">
      <c r="A15096" s="859">
        <f t="shared" si="342"/>
        <v>15095</v>
      </c>
      <c r="B15096" s="845" t="s">
        <v>2564</v>
      </c>
      <c r="C15096" s="1007">
        <f t="shared" si="343"/>
        <v>139</v>
      </c>
      <c r="D15096" s="1012"/>
      <c r="I15096" s="1011" t="str">
        <f>CONCATENATE("&lt;valeur&gt;",VLOOKUP(C15096,'T16 Amort'!A:K,3,0),"&lt;/valeur&gt;")</f>
        <v>&lt;valeur&gt;&lt;/valeur&gt;</v>
      </c>
      <c r="K15096" s="1013"/>
    </row>
    <row r="15097" spans="1:11" s="1011" customFormat="1" ht="15" x14ac:dyDescent="0.25">
      <c r="A15097" s="859">
        <f t="shared" si="342"/>
        <v>15096</v>
      </c>
      <c r="B15097" s="845" t="s">
        <v>2564</v>
      </c>
      <c r="C15097" s="1007">
        <f t="shared" si="343"/>
        <v>139</v>
      </c>
      <c r="D15097" s="1014"/>
      <c r="I15097" s="1011" t="str">
        <f>CONCATENATE("&lt;numeroLigne&gt;",C15097,"&lt;/numeroLigne&gt;")</f>
        <v>&lt;numeroLigne&gt;139&lt;/numeroLigne&gt;</v>
      </c>
      <c r="K15097" s="1013"/>
    </row>
    <row r="15098" spans="1:11" s="1011" customFormat="1" ht="15" x14ac:dyDescent="0.25">
      <c r="A15098" s="859">
        <f t="shared" si="342"/>
        <v>15097</v>
      </c>
      <c r="B15098" s="845" t="s">
        <v>2564</v>
      </c>
      <c r="C15098" s="1007">
        <f t="shared" si="343"/>
        <v>139</v>
      </c>
      <c r="D15098" s="1014"/>
      <c r="H15098" s="1011" t="s">
        <v>1010</v>
      </c>
      <c r="K15098" s="1013"/>
    </row>
    <row r="15099" spans="1:11" s="1011" customFormat="1" ht="15" x14ac:dyDescent="0.25">
      <c r="A15099" s="859">
        <f t="shared" si="342"/>
        <v>15098</v>
      </c>
      <c r="B15099" s="845" t="s">
        <v>2564</v>
      </c>
      <c r="C15099" s="1007">
        <f t="shared" si="343"/>
        <v>139</v>
      </c>
      <c r="D15099" s="1012"/>
      <c r="H15099" s="1011" t="s">
        <v>1007</v>
      </c>
      <c r="K15099" s="1013"/>
    </row>
    <row r="15100" spans="1:11" s="1011" customFormat="1" ht="15" x14ac:dyDescent="0.25">
      <c r="A15100" s="859">
        <f t="shared" si="342"/>
        <v>15099</v>
      </c>
      <c r="B15100" s="845" t="s">
        <v>2564</v>
      </c>
      <c r="C15100" s="1007">
        <f t="shared" si="343"/>
        <v>139</v>
      </c>
      <c r="D15100" s="1015"/>
      <c r="I15100" s="1011" t="s">
        <v>2176</v>
      </c>
      <c r="K15100" s="1013"/>
    </row>
    <row r="15101" spans="1:11" s="1011" customFormat="1" ht="15" x14ac:dyDescent="0.25">
      <c r="A15101" s="859">
        <f t="shared" si="342"/>
        <v>15100</v>
      </c>
      <c r="B15101" s="845" t="s">
        <v>2564</v>
      </c>
      <c r="C15101" s="1007">
        <f t="shared" si="343"/>
        <v>139</v>
      </c>
      <c r="D15101" s="1012"/>
      <c r="I15101" s="1011" t="str">
        <f>CONCATENATE("&lt;valeur&gt;",VLOOKUP(C15101,'T16 Amort'!A:K,4,0),"&lt;/valeur&gt;")</f>
        <v>&lt;valeur&gt;&lt;/valeur&gt;</v>
      </c>
      <c r="K15101" s="1013"/>
    </row>
    <row r="15102" spans="1:11" s="1011" customFormat="1" ht="15" x14ac:dyDescent="0.25">
      <c r="A15102" s="859">
        <f t="shared" si="342"/>
        <v>15101</v>
      </c>
      <c r="B15102" s="845" t="s">
        <v>2564</v>
      </c>
      <c r="C15102" s="1007">
        <f t="shared" si="343"/>
        <v>139</v>
      </c>
      <c r="D15102" s="1012"/>
      <c r="I15102" s="1011" t="str">
        <f>CONCATENATE("&lt;numeroLigne&gt;",C15102,"&lt;/numeroLigne&gt;")</f>
        <v>&lt;numeroLigne&gt;139&lt;/numeroLigne&gt;</v>
      </c>
      <c r="K15102" s="1013"/>
    </row>
    <row r="15103" spans="1:11" s="1011" customFormat="1" ht="15" x14ac:dyDescent="0.25">
      <c r="A15103" s="859">
        <f t="shared" si="342"/>
        <v>15102</v>
      </c>
      <c r="B15103" s="845" t="s">
        <v>2564</v>
      </c>
      <c r="C15103" s="1007">
        <f t="shared" si="343"/>
        <v>139</v>
      </c>
      <c r="D15103" s="1014"/>
      <c r="H15103" s="1011" t="s">
        <v>1010</v>
      </c>
      <c r="K15103" s="1013"/>
    </row>
    <row r="15104" spans="1:11" s="1011" customFormat="1" ht="15" x14ac:dyDescent="0.25">
      <c r="A15104" s="859">
        <f t="shared" si="342"/>
        <v>15103</v>
      </c>
      <c r="B15104" s="845" t="s">
        <v>2564</v>
      </c>
      <c r="C15104" s="1007">
        <f t="shared" si="343"/>
        <v>139</v>
      </c>
      <c r="D15104" s="1014"/>
      <c r="H15104" s="1011" t="s">
        <v>1007</v>
      </c>
      <c r="K15104" s="1013"/>
    </row>
    <row r="15105" spans="1:11" s="1011" customFormat="1" ht="15" x14ac:dyDescent="0.25">
      <c r="A15105" s="859">
        <f t="shared" si="342"/>
        <v>15104</v>
      </c>
      <c r="B15105" s="845" t="s">
        <v>2564</v>
      </c>
      <c r="C15105" s="1007">
        <f t="shared" si="343"/>
        <v>139</v>
      </c>
      <c r="D15105" s="1012"/>
      <c r="I15105" s="1011" t="s">
        <v>2177</v>
      </c>
      <c r="K15105" s="1013"/>
    </row>
    <row r="15106" spans="1:11" s="1011" customFormat="1" ht="15" x14ac:dyDescent="0.25">
      <c r="A15106" s="859">
        <f t="shared" si="342"/>
        <v>15105</v>
      </c>
      <c r="B15106" s="845" t="s">
        <v>2564</v>
      </c>
      <c r="C15106" s="1007">
        <f t="shared" si="343"/>
        <v>139</v>
      </c>
      <c r="D15106" s="1015"/>
      <c r="I15106" s="1011" t="str">
        <f>CONCATENATE("&lt;valeur&gt;",VLOOKUP(C15106,'T16 Amort'!A:K,5,0),"&lt;/valeur&gt;")</f>
        <v>&lt;valeur&gt;&lt;/valeur&gt;</v>
      </c>
      <c r="K15106" s="1013"/>
    </row>
    <row r="15107" spans="1:11" s="1011" customFormat="1" ht="15" x14ac:dyDescent="0.25">
      <c r="A15107" s="859">
        <f t="shared" si="342"/>
        <v>15106</v>
      </c>
      <c r="B15107" s="845" t="s">
        <v>2564</v>
      </c>
      <c r="C15107" s="1007">
        <f t="shared" si="343"/>
        <v>139</v>
      </c>
      <c r="D15107" s="1012"/>
      <c r="I15107" s="1011" t="str">
        <f>CONCATENATE("&lt;numeroLigne&gt;",C15107,"&lt;/numeroLigne&gt;")</f>
        <v>&lt;numeroLigne&gt;139&lt;/numeroLigne&gt;</v>
      </c>
      <c r="K15107" s="1013"/>
    </row>
    <row r="15108" spans="1:11" s="1011" customFormat="1" ht="15" x14ac:dyDescent="0.25">
      <c r="A15108" s="859">
        <f t="shared" ref="A15108:A15171" si="344">+A15107+1</f>
        <v>15107</v>
      </c>
      <c r="B15108" s="845" t="s">
        <v>2564</v>
      </c>
      <c r="C15108" s="1007">
        <f t="shared" si="343"/>
        <v>139</v>
      </c>
      <c r="D15108" s="1012"/>
      <c r="H15108" s="1011" t="s">
        <v>1010</v>
      </c>
      <c r="K15108" s="1013"/>
    </row>
    <row r="15109" spans="1:11" s="1011" customFormat="1" ht="15" x14ac:dyDescent="0.25">
      <c r="A15109" s="859">
        <f t="shared" si="344"/>
        <v>15108</v>
      </c>
      <c r="B15109" s="845" t="s">
        <v>2564</v>
      </c>
      <c r="C15109" s="1007">
        <f t="shared" si="343"/>
        <v>139</v>
      </c>
      <c r="D15109" s="1014"/>
      <c r="H15109" s="1011" t="s">
        <v>1007</v>
      </c>
      <c r="K15109" s="1013"/>
    </row>
    <row r="15110" spans="1:11" s="1011" customFormat="1" ht="15" x14ac:dyDescent="0.25">
      <c r="A15110" s="859">
        <f t="shared" si="344"/>
        <v>15109</v>
      </c>
      <c r="B15110" s="845" t="s">
        <v>2564</v>
      </c>
      <c r="C15110" s="1007">
        <f t="shared" si="343"/>
        <v>139</v>
      </c>
      <c r="D15110" s="1014"/>
      <c r="I15110" s="1011" t="s">
        <v>2178</v>
      </c>
      <c r="K15110" s="1013"/>
    </row>
    <row r="15111" spans="1:11" s="1011" customFormat="1" ht="15" x14ac:dyDescent="0.25">
      <c r="A15111" s="859">
        <f t="shared" si="344"/>
        <v>15110</v>
      </c>
      <c r="B15111" s="845" t="s">
        <v>2564</v>
      </c>
      <c r="C15111" s="1007">
        <f t="shared" si="343"/>
        <v>139</v>
      </c>
      <c r="D15111" s="1012"/>
      <c r="I15111" s="1011" t="str">
        <f>CONCATENATE("&lt;valeur&gt;",VLOOKUP(C15111,'T16 Amort'!A:K,6,0),"&lt;/valeur&gt;")</f>
        <v>&lt;valeur&gt;&lt;/valeur&gt;</v>
      </c>
      <c r="K15111" s="1013"/>
    </row>
    <row r="15112" spans="1:11" s="1011" customFormat="1" ht="15" x14ac:dyDescent="0.25">
      <c r="A15112" s="859">
        <f t="shared" si="344"/>
        <v>15111</v>
      </c>
      <c r="B15112" s="845" t="s">
        <v>2564</v>
      </c>
      <c r="C15112" s="1007">
        <f t="shared" si="343"/>
        <v>139</v>
      </c>
      <c r="D15112" s="1015"/>
      <c r="I15112" s="1011" t="str">
        <f>CONCATENATE("&lt;numeroLigne&gt;",C15112,"&lt;/numeroLigne&gt;")</f>
        <v>&lt;numeroLigne&gt;139&lt;/numeroLigne&gt;</v>
      </c>
      <c r="K15112" s="1013"/>
    </row>
    <row r="15113" spans="1:11" s="1011" customFormat="1" ht="15" x14ac:dyDescent="0.25">
      <c r="A15113" s="859">
        <f t="shared" si="344"/>
        <v>15112</v>
      </c>
      <c r="B15113" s="845" t="s">
        <v>2564</v>
      </c>
      <c r="C15113" s="1007">
        <f t="shared" si="343"/>
        <v>139</v>
      </c>
      <c r="D15113" s="1012"/>
      <c r="H15113" s="1011" t="s">
        <v>1010</v>
      </c>
      <c r="K15113" s="1013"/>
    </row>
    <row r="15114" spans="1:11" s="1011" customFormat="1" ht="15" x14ac:dyDescent="0.25">
      <c r="A15114" s="859">
        <f t="shared" si="344"/>
        <v>15113</v>
      </c>
      <c r="B15114" s="845" t="s">
        <v>2564</v>
      </c>
      <c r="C15114" s="1007">
        <f t="shared" si="343"/>
        <v>139</v>
      </c>
      <c r="D15114" s="1012"/>
      <c r="H15114" s="1011" t="s">
        <v>1007</v>
      </c>
      <c r="K15114" s="1013"/>
    </row>
    <row r="15115" spans="1:11" s="1011" customFormat="1" ht="15" x14ac:dyDescent="0.25">
      <c r="A15115" s="859">
        <f t="shared" si="344"/>
        <v>15114</v>
      </c>
      <c r="B15115" s="845" t="s">
        <v>2564</v>
      </c>
      <c r="C15115" s="1007">
        <f t="shared" si="343"/>
        <v>139</v>
      </c>
      <c r="D15115" s="1014"/>
      <c r="I15115" s="1011" t="s">
        <v>2179</v>
      </c>
      <c r="K15115" s="1013"/>
    </row>
    <row r="15116" spans="1:11" s="1011" customFormat="1" ht="15" x14ac:dyDescent="0.25">
      <c r="A15116" s="859">
        <f t="shared" si="344"/>
        <v>15115</v>
      </c>
      <c r="B15116" s="845" t="s">
        <v>2564</v>
      </c>
      <c r="C15116" s="1007">
        <f t="shared" si="343"/>
        <v>139</v>
      </c>
      <c r="D15116" s="1014"/>
      <c r="I15116" s="1011" t="str">
        <f>CONCATENATE("&lt;valeur&gt;",VLOOKUP(C15116,'T16 Amort'!A:K,7,0),"&lt;/valeur&gt;")</f>
        <v>&lt;valeur&gt;&lt;/valeur&gt;</v>
      </c>
      <c r="K15116" s="1013"/>
    </row>
    <row r="15117" spans="1:11" s="1011" customFormat="1" ht="15" x14ac:dyDescent="0.25">
      <c r="A15117" s="859">
        <f t="shared" si="344"/>
        <v>15116</v>
      </c>
      <c r="B15117" s="845" t="s">
        <v>2564</v>
      </c>
      <c r="C15117" s="1007">
        <f t="shared" si="343"/>
        <v>139</v>
      </c>
      <c r="D15117" s="1012"/>
      <c r="I15117" s="1011" t="str">
        <f>CONCATENATE("&lt;numeroLigne&gt;",C15117,"&lt;/numeroLigne&gt;")</f>
        <v>&lt;numeroLigne&gt;139&lt;/numeroLigne&gt;</v>
      </c>
      <c r="K15117" s="1013"/>
    </row>
    <row r="15118" spans="1:11" s="1011" customFormat="1" ht="15" x14ac:dyDescent="0.25">
      <c r="A15118" s="859">
        <f t="shared" si="344"/>
        <v>15117</v>
      </c>
      <c r="B15118" s="845" t="s">
        <v>2564</v>
      </c>
      <c r="C15118" s="1007">
        <f t="shared" si="343"/>
        <v>139</v>
      </c>
      <c r="D15118" s="1015"/>
      <c r="H15118" s="1011" t="s">
        <v>1010</v>
      </c>
      <c r="K15118" s="1013"/>
    </row>
    <row r="15119" spans="1:11" s="1011" customFormat="1" ht="15" x14ac:dyDescent="0.25">
      <c r="A15119" s="859">
        <f t="shared" si="344"/>
        <v>15118</v>
      </c>
      <c r="B15119" s="845" t="s">
        <v>2564</v>
      </c>
      <c r="C15119" s="1007">
        <f t="shared" si="343"/>
        <v>139</v>
      </c>
      <c r="D15119" s="1012"/>
      <c r="H15119" s="1011" t="s">
        <v>1007</v>
      </c>
      <c r="K15119" s="1013"/>
    </row>
    <row r="15120" spans="1:11" s="1011" customFormat="1" ht="15" x14ac:dyDescent="0.25">
      <c r="A15120" s="859">
        <f t="shared" si="344"/>
        <v>15119</v>
      </c>
      <c r="B15120" s="845" t="s">
        <v>2564</v>
      </c>
      <c r="C15120" s="1007">
        <f t="shared" si="343"/>
        <v>139</v>
      </c>
      <c r="D15120" s="1012"/>
      <c r="I15120" s="1011" t="s">
        <v>2180</v>
      </c>
      <c r="K15120" s="1013"/>
    </row>
    <row r="15121" spans="1:11" s="1011" customFormat="1" ht="15" x14ac:dyDescent="0.25">
      <c r="A15121" s="859">
        <f t="shared" si="344"/>
        <v>15120</v>
      </c>
      <c r="B15121" s="845" t="s">
        <v>2564</v>
      </c>
      <c r="C15121" s="1007">
        <f t="shared" si="343"/>
        <v>139</v>
      </c>
      <c r="D15121" s="1014"/>
      <c r="I15121" s="1011" t="str">
        <f>CONCATENATE("&lt;valeur&gt;",VLOOKUP(C15121,'T16 Amort'!A:K,8,0),"&lt;/valeur&gt;")</f>
        <v>&lt;valeur&gt;&lt;/valeur&gt;</v>
      </c>
      <c r="K15121" s="1013"/>
    </row>
    <row r="15122" spans="1:11" s="1011" customFormat="1" ht="15" x14ac:dyDescent="0.25">
      <c r="A15122" s="859">
        <f t="shared" si="344"/>
        <v>15121</v>
      </c>
      <c r="B15122" s="845" t="s">
        <v>2564</v>
      </c>
      <c r="C15122" s="1007">
        <f t="shared" si="343"/>
        <v>139</v>
      </c>
      <c r="D15122" s="1014"/>
      <c r="I15122" s="1011" t="str">
        <f>CONCATENATE("&lt;numeroLigne&gt;",C15122,"&lt;/numeroLigne&gt;")</f>
        <v>&lt;numeroLigne&gt;139&lt;/numeroLigne&gt;</v>
      </c>
      <c r="K15122" s="1013"/>
    </row>
    <row r="15123" spans="1:11" s="1011" customFormat="1" ht="15" x14ac:dyDescent="0.25">
      <c r="A15123" s="859">
        <f t="shared" si="344"/>
        <v>15122</v>
      </c>
      <c r="B15123" s="845" t="s">
        <v>2564</v>
      </c>
      <c r="C15123" s="1007">
        <f t="shared" si="343"/>
        <v>139</v>
      </c>
      <c r="D15123" s="1012"/>
      <c r="H15123" s="1011" t="s">
        <v>1010</v>
      </c>
      <c r="K15123" s="1013"/>
    </row>
    <row r="15124" spans="1:11" s="1011" customFormat="1" ht="15" x14ac:dyDescent="0.25">
      <c r="A15124" s="859">
        <f t="shared" si="344"/>
        <v>15123</v>
      </c>
      <c r="B15124" s="845" t="s">
        <v>2564</v>
      </c>
      <c r="C15124" s="1007">
        <f t="shared" si="343"/>
        <v>139</v>
      </c>
      <c r="D15124" s="1015"/>
      <c r="H15124" s="1011" t="s">
        <v>1007</v>
      </c>
      <c r="K15124" s="1013"/>
    </row>
    <row r="15125" spans="1:11" s="1011" customFormat="1" ht="15" x14ac:dyDescent="0.25">
      <c r="A15125" s="859">
        <f t="shared" si="344"/>
        <v>15124</v>
      </c>
      <c r="B15125" s="845" t="s">
        <v>2564</v>
      </c>
      <c r="C15125" s="1007">
        <f t="shared" si="343"/>
        <v>139</v>
      </c>
      <c r="D15125" s="1012"/>
      <c r="I15125" s="1011" t="s">
        <v>2181</v>
      </c>
      <c r="K15125" s="1013"/>
    </row>
    <row r="15126" spans="1:11" s="1011" customFormat="1" ht="15" x14ac:dyDescent="0.25">
      <c r="A15126" s="859">
        <f t="shared" si="344"/>
        <v>15125</v>
      </c>
      <c r="B15126" s="845" t="s">
        <v>2564</v>
      </c>
      <c r="C15126" s="1007">
        <f t="shared" si="343"/>
        <v>139</v>
      </c>
      <c r="D15126" s="1012"/>
      <c r="I15126" s="1011" t="str">
        <f>CONCATENATE("&lt;valeur&gt;",VLOOKUP(C15126,'T16 Amort'!A:K,9,0),"&lt;/valeur&gt;")</f>
        <v>&lt;valeur&gt;&lt;/valeur&gt;</v>
      </c>
      <c r="K15126" s="1013"/>
    </row>
    <row r="15127" spans="1:11" s="1011" customFormat="1" ht="15" x14ac:dyDescent="0.25">
      <c r="A15127" s="859">
        <f t="shared" si="344"/>
        <v>15126</v>
      </c>
      <c r="B15127" s="845" t="s">
        <v>2564</v>
      </c>
      <c r="C15127" s="1007">
        <f t="shared" si="343"/>
        <v>139</v>
      </c>
      <c r="D15127" s="1014"/>
      <c r="I15127" s="1011" t="str">
        <f>CONCATENATE("&lt;numeroLigne&gt;",C15127,"&lt;/numeroLigne&gt;")</f>
        <v>&lt;numeroLigne&gt;139&lt;/numeroLigne&gt;</v>
      </c>
      <c r="K15127" s="1013"/>
    </row>
    <row r="15128" spans="1:11" s="1011" customFormat="1" ht="15" x14ac:dyDescent="0.25">
      <c r="A15128" s="859">
        <f t="shared" si="344"/>
        <v>15127</v>
      </c>
      <c r="B15128" s="845" t="s">
        <v>2564</v>
      </c>
      <c r="C15128" s="1007">
        <f t="shared" si="343"/>
        <v>139</v>
      </c>
      <c r="D15128" s="1014"/>
      <c r="H15128" s="1011" t="s">
        <v>1010</v>
      </c>
      <c r="K15128" s="1013"/>
    </row>
    <row r="15129" spans="1:11" s="1011" customFormat="1" ht="15" x14ac:dyDescent="0.25">
      <c r="A15129" s="859">
        <f t="shared" si="344"/>
        <v>15128</v>
      </c>
      <c r="B15129" s="845" t="s">
        <v>2564</v>
      </c>
      <c r="C15129" s="1007">
        <f t="shared" si="343"/>
        <v>139</v>
      </c>
      <c r="D15129" s="1012"/>
      <c r="H15129" s="1011" t="s">
        <v>1007</v>
      </c>
      <c r="K15129" s="1013"/>
    </row>
    <row r="15130" spans="1:11" s="1011" customFormat="1" ht="15" x14ac:dyDescent="0.25">
      <c r="A15130" s="859">
        <f t="shared" si="344"/>
        <v>15129</v>
      </c>
      <c r="B15130" s="845" t="s">
        <v>2564</v>
      </c>
      <c r="C15130" s="1007">
        <f t="shared" si="343"/>
        <v>139</v>
      </c>
      <c r="D15130" s="1015"/>
      <c r="I15130" s="1011" t="s">
        <v>2182</v>
      </c>
      <c r="K15130" s="1013"/>
    </row>
    <row r="15131" spans="1:11" s="1011" customFormat="1" ht="15" x14ac:dyDescent="0.25">
      <c r="A15131" s="859">
        <f t="shared" si="344"/>
        <v>15130</v>
      </c>
      <c r="B15131" s="845" t="s">
        <v>2564</v>
      </c>
      <c r="C15131" s="1007">
        <f t="shared" si="343"/>
        <v>139</v>
      </c>
      <c r="D15131" s="1012"/>
      <c r="I15131" s="1011" t="str">
        <f>CONCATENATE("&lt;valeur&gt;",VLOOKUP(C15131,'T16 Amort'!A:K,10,0),"&lt;/valeur&gt;")</f>
        <v>&lt;valeur&gt;&lt;/valeur&gt;</v>
      </c>
      <c r="K15131" s="1013"/>
    </row>
    <row r="15132" spans="1:11" s="1011" customFormat="1" ht="15" x14ac:dyDescent="0.25">
      <c r="A15132" s="859">
        <f t="shared" si="344"/>
        <v>15131</v>
      </c>
      <c r="B15132" s="845" t="s">
        <v>2564</v>
      </c>
      <c r="C15132" s="1007">
        <f t="shared" si="343"/>
        <v>139</v>
      </c>
      <c r="D15132" s="1012"/>
      <c r="I15132" s="1011" t="str">
        <f>CONCATENATE("&lt;numeroLigne&gt;",C15132,"&lt;/numeroLigne&gt;")</f>
        <v>&lt;numeroLigne&gt;139&lt;/numeroLigne&gt;</v>
      </c>
      <c r="K15132" s="1013"/>
    </row>
    <row r="15133" spans="1:11" s="1011" customFormat="1" ht="15" x14ac:dyDescent="0.25">
      <c r="A15133" s="859">
        <f t="shared" si="344"/>
        <v>15132</v>
      </c>
      <c r="B15133" s="845" t="s">
        <v>2564</v>
      </c>
      <c r="C15133" s="1007">
        <f t="shared" si="343"/>
        <v>139</v>
      </c>
      <c r="D15133" s="1014"/>
      <c r="H15133" s="1011" t="s">
        <v>1010</v>
      </c>
      <c r="K15133" s="1013"/>
    </row>
    <row r="15134" spans="1:11" s="1011" customFormat="1" ht="15" x14ac:dyDescent="0.25">
      <c r="A15134" s="859">
        <f t="shared" si="344"/>
        <v>15133</v>
      </c>
      <c r="B15134" s="845" t="s">
        <v>2564</v>
      </c>
      <c r="C15134" s="1007">
        <f t="shared" si="343"/>
        <v>139</v>
      </c>
      <c r="D15134" s="1014"/>
      <c r="H15134" s="1011" t="s">
        <v>1007</v>
      </c>
      <c r="K15134" s="1013"/>
    </row>
    <row r="15135" spans="1:11" s="1011" customFormat="1" ht="15" x14ac:dyDescent="0.25">
      <c r="A15135" s="859">
        <f t="shared" si="344"/>
        <v>15134</v>
      </c>
      <c r="B15135" s="845" t="s">
        <v>2564</v>
      </c>
      <c r="C15135" s="1007">
        <f t="shared" si="343"/>
        <v>139</v>
      </c>
      <c r="D15135" s="1012"/>
      <c r="I15135" s="1011" t="s">
        <v>2183</v>
      </c>
      <c r="K15135" s="1013"/>
    </row>
    <row r="15136" spans="1:11" s="1011" customFormat="1" ht="15" x14ac:dyDescent="0.25">
      <c r="A15136" s="859">
        <f t="shared" si="344"/>
        <v>15135</v>
      </c>
      <c r="B15136" s="845" t="s">
        <v>2564</v>
      </c>
      <c r="C15136" s="1007">
        <f t="shared" si="343"/>
        <v>139</v>
      </c>
      <c r="D15136" s="1015"/>
      <c r="I15136" s="1011" t="str">
        <f>CONCATENATE("&lt;valeur&gt;",VLOOKUP(C15136,'T16 Amort'!A:K,11,0),"&lt;/valeur&gt;")</f>
        <v>&lt;valeur&gt;&lt;/valeur&gt;</v>
      </c>
      <c r="K15136" s="1013"/>
    </row>
    <row r="15137" spans="1:11" s="1011" customFormat="1" ht="15" x14ac:dyDescent="0.25">
      <c r="A15137" s="859">
        <f t="shared" si="344"/>
        <v>15136</v>
      </c>
      <c r="B15137" s="845" t="s">
        <v>2564</v>
      </c>
      <c r="C15137" s="1007">
        <f t="shared" si="343"/>
        <v>139</v>
      </c>
      <c r="D15137" s="1012"/>
      <c r="I15137" s="1011" t="str">
        <f>CONCATENATE("&lt;numeroLigne&gt;",C15137,"&lt;/numeroLigne&gt;")</f>
        <v>&lt;numeroLigne&gt;139&lt;/numeroLigne&gt;</v>
      </c>
      <c r="K15137" s="1013"/>
    </row>
    <row r="15138" spans="1:11" s="1011" customFormat="1" ht="15" x14ac:dyDescent="0.25">
      <c r="A15138" s="859">
        <f t="shared" si="344"/>
        <v>15137</v>
      </c>
      <c r="B15138" s="845" t="s">
        <v>2564</v>
      </c>
      <c r="C15138" s="1007">
        <f t="shared" si="343"/>
        <v>139</v>
      </c>
      <c r="D15138" s="1016"/>
      <c r="E15138" s="1017"/>
      <c r="F15138" s="1017"/>
      <c r="G15138" s="1017"/>
      <c r="H15138" s="1017" t="s">
        <v>1010</v>
      </c>
      <c r="I15138" s="1017"/>
      <c r="J15138" s="1017"/>
      <c r="K15138" s="1018"/>
    </row>
    <row r="15139" spans="1:11" s="1011" customFormat="1" ht="15" x14ac:dyDescent="0.25">
      <c r="A15139" s="859">
        <f t="shared" si="344"/>
        <v>15138</v>
      </c>
      <c r="B15139" s="845" t="s">
        <v>2564</v>
      </c>
      <c r="C15139" s="1007">
        <f t="shared" si="343"/>
        <v>140</v>
      </c>
      <c r="D15139" s="1008"/>
      <c r="E15139" s="1009"/>
      <c r="F15139" s="1009"/>
      <c r="G15139" s="1009"/>
      <c r="H15139" s="1009" t="s">
        <v>1007</v>
      </c>
      <c r="I15139" s="1009"/>
      <c r="J15139" s="1009"/>
      <c r="K15139" s="1010"/>
    </row>
    <row r="15140" spans="1:11" s="1011" customFormat="1" ht="15" x14ac:dyDescent="0.25">
      <c r="A15140" s="859">
        <f t="shared" si="344"/>
        <v>15139</v>
      </c>
      <c r="B15140" s="845" t="s">
        <v>2564</v>
      </c>
      <c r="C15140" s="1007">
        <f t="shared" si="343"/>
        <v>140</v>
      </c>
      <c r="D15140" s="1012"/>
      <c r="I15140" s="1011" t="s">
        <v>2174</v>
      </c>
      <c r="K15140" s="1013"/>
    </row>
    <row r="15141" spans="1:11" s="1011" customFormat="1" ht="15" x14ac:dyDescent="0.25">
      <c r="A15141" s="859">
        <f t="shared" si="344"/>
        <v>15140</v>
      </c>
      <c r="B15141" s="845" t="s">
        <v>2564</v>
      </c>
      <c r="C15141" s="1007">
        <f t="shared" si="343"/>
        <v>140</v>
      </c>
      <c r="D15141" s="1014"/>
      <c r="I15141" s="1011" t="str">
        <f>CONCATENATE("&lt;valeur&gt;",VLOOKUP(C15141,'T16 Amort'!A:K,2,0),"&lt;/valeur&gt;")</f>
        <v>&lt;valeur&gt;&lt;/valeur&gt;</v>
      </c>
      <c r="K15141" s="1013"/>
    </row>
    <row r="15142" spans="1:11" s="1011" customFormat="1" ht="15" x14ac:dyDescent="0.25">
      <c r="A15142" s="859">
        <f t="shared" si="344"/>
        <v>15141</v>
      </c>
      <c r="B15142" s="845" t="s">
        <v>2564</v>
      </c>
      <c r="C15142" s="1007">
        <f t="shared" si="343"/>
        <v>140</v>
      </c>
      <c r="D15142" s="1014"/>
      <c r="I15142" s="1011" t="str">
        <f>CONCATENATE("&lt;numeroLigne&gt;",C15142,"&lt;/numeroLigne&gt;")</f>
        <v>&lt;numeroLigne&gt;140&lt;/numeroLigne&gt;</v>
      </c>
      <c r="K15142" s="1013"/>
    </row>
    <row r="15143" spans="1:11" s="1011" customFormat="1" ht="15" x14ac:dyDescent="0.25">
      <c r="A15143" s="859">
        <f t="shared" si="344"/>
        <v>15142</v>
      </c>
      <c r="B15143" s="845" t="s">
        <v>2564</v>
      </c>
      <c r="C15143" s="1007">
        <f t="shared" si="343"/>
        <v>140</v>
      </c>
      <c r="D15143" s="1012"/>
      <c r="H15143" s="1011" t="s">
        <v>1010</v>
      </c>
      <c r="K15143" s="1013"/>
    </row>
    <row r="15144" spans="1:11" s="1011" customFormat="1" ht="15" x14ac:dyDescent="0.25">
      <c r="A15144" s="859">
        <f t="shared" si="344"/>
        <v>15143</v>
      </c>
      <c r="B15144" s="845" t="s">
        <v>2564</v>
      </c>
      <c r="C15144" s="1007">
        <f t="shared" si="343"/>
        <v>140</v>
      </c>
      <c r="D15144" s="1015"/>
      <c r="H15144" s="1011" t="s">
        <v>1007</v>
      </c>
      <c r="K15144" s="1013"/>
    </row>
    <row r="15145" spans="1:11" s="1011" customFormat="1" ht="15" x14ac:dyDescent="0.25">
      <c r="A15145" s="859">
        <f t="shared" si="344"/>
        <v>15144</v>
      </c>
      <c r="B15145" s="845" t="s">
        <v>2564</v>
      </c>
      <c r="C15145" s="1007">
        <f t="shared" si="343"/>
        <v>140</v>
      </c>
      <c r="D15145" s="1012"/>
      <c r="I15145" s="1011" t="s">
        <v>2175</v>
      </c>
      <c r="K15145" s="1013"/>
    </row>
    <row r="15146" spans="1:11" s="1011" customFormat="1" ht="15" x14ac:dyDescent="0.25">
      <c r="A15146" s="859">
        <f t="shared" si="344"/>
        <v>15145</v>
      </c>
      <c r="B15146" s="845" t="s">
        <v>2564</v>
      </c>
      <c r="C15146" s="1007">
        <f t="shared" si="343"/>
        <v>140</v>
      </c>
      <c r="D15146" s="1012"/>
      <c r="I15146" s="1011" t="str">
        <f>CONCATENATE("&lt;valeur&gt;",VLOOKUP(C15146,'T16 Amort'!A:K,3,0),"&lt;/valeur&gt;")</f>
        <v>&lt;valeur&gt;&lt;/valeur&gt;</v>
      </c>
      <c r="K15146" s="1013"/>
    </row>
    <row r="15147" spans="1:11" s="1011" customFormat="1" ht="15" x14ac:dyDescent="0.25">
      <c r="A15147" s="859">
        <f t="shared" si="344"/>
        <v>15146</v>
      </c>
      <c r="B15147" s="845" t="s">
        <v>2564</v>
      </c>
      <c r="C15147" s="1007">
        <f t="shared" si="343"/>
        <v>140</v>
      </c>
      <c r="D15147" s="1014"/>
      <c r="I15147" s="1011" t="str">
        <f>CONCATENATE("&lt;numeroLigne&gt;",C15147,"&lt;/numeroLigne&gt;")</f>
        <v>&lt;numeroLigne&gt;140&lt;/numeroLigne&gt;</v>
      </c>
      <c r="K15147" s="1013"/>
    </row>
    <row r="15148" spans="1:11" s="1011" customFormat="1" ht="15" x14ac:dyDescent="0.25">
      <c r="A15148" s="859">
        <f t="shared" si="344"/>
        <v>15147</v>
      </c>
      <c r="B15148" s="845" t="s">
        <v>2564</v>
      </c>
      <c r="C15148" s="1007">
        <f t="shared" si="343"/>
        <v>140</v>
      </c>
      <c r="D15148" s="1014"/>
      <c r="H15148" s="1011" t="s">
        <v>1010</v>
      </c>
      <c r="K15148" s="1013"/>
    </row>
    <row r="15149" spans="1:11" s="1011" customFormat="1" ht="15" x14ac:dyDescent="0.25">
      <c r="A15149" s="859">
        <f t="shared" si="344"/>
        <v>15148</v>
      </c>
      <c r="B15149" s="845" t="s">
        <v>2564</v>
      </c>
      <c r="C15149" s="1007">
        <f t="shared" si="343"/>
        <v>140</v>
      </c>
      <c r="D15149" s="1012"/>
      <c r="H15149" s="1011" t="s">
        <v>1007</v>
      </c>
      <c r="K15149" s="1013"/>
    </row>
    <row r="15150" spans="1:11" s="1011" customFormat="1" ht="15" x14ac:dyDescent="0.25">
      <c r="A15150" s="859">
        <f t="shared" si="344"/>
        <v>15149</v>
      </c>
      <c r="B15150" s="845" t="s">
        <v>2564</v>
      </c>
      <c r="C15150" s="1007">
        <f t="shared" si="343"/>
        <v>140</v>
      </c>
      <c r="D15150" s="1015"/>
      <c r="I15150" s="1011" t="s">
        <v>2176</v>
      </c>
      <c r="K15150" s="1013"/>
    </row>
    <row r="15151" spans="1:11" s="1011" customFormat="1" ht="15" x14ac:dyDescent="0.25">
      <c r="A15151" s="859">
        <f t="shared" si="344"/>
        <v>15150</v>
      </c>
      <c r="B15151" s="845" t="s">
        <v>2564</v>
      </c>
      <c r="C15151" s="1007">
        <f t="shared" ref="C15151:C15214" si="345">C15101+1</f>
        <v>140</v>
      </c>
      <c r="D15151" s="1012"/>
      <c r="I15151" s="1011" t="str">
        <f>CONCATENATE("&lt;valeur&gt;",VLOOKUP(C15151,'T16 Amort'!A:K,4,0),"&lt;/valeur&gt;")</f>
        <v>&lt;valeur&gt;&lt;/valeur&gt;</v>
      </c>
      <c r="K15151" s="1013"/>
    </row>
    <row r="15152" spans="1:11" s="1011" customFormat="1" ht="15" x14ac:dyDescent="0.25">
      <c r="A15152" s="859">
        <f t="shared" si="344"/>
        <v>15151</v>
      </c>
      <c r="B15152" s="845" t="s">
        <v>2564</v>
      </c>
      <c r="C15152" s="1007">
        <f t="shared" si="345"/>
        <v>140</v>
      </c>
      <c r="D15152" s="1012"/>
      <c r="I15152" s="1011" t="str">
        <f>CONCATENATE("&lt;numeroLigne&gt;",C15152,"&lt;/numeroLigne&gt;")</f>
        <v>&lt;numeroLigne&gt;140&lt;/numeroLigne&gt;</v>
      </c>
      <c r="K15152" s="1013"/>
    </row>
    <row r="15153" spans="1:11" s="1011" customFormat="1" ht="15" x14ac:dyDescent="0.25">
      <c r="A15153" s="859">
        <f t="shared" si="344"/>
        <v>15152</v>
      </c>
      <c r="B15153" s="845" t="s">
        <v>2564</v>
      </c>
      <c r="C15153" s="1007">
        <f t="shared" si="345"/>
        <v>140</v>
      </c>
      <c r="D15153" s="1014"/>
      <c r="H15153" s="1011" t="s">
        <v>1010</v>
      </c>
      <c r="K15153" s="1013"/>
    </row>
    <row r="15154" spans="1:11" s="1011" customFormat="1" ht="15" x14ac:dyDescent="0.25">
      <c r="A15154" s="859">
        <f t="shared" si="344"/>
        <v>15153</v>
      </c>
      <c r="B15154" s="845" t="s">
        <v>2564</v>
      </c>
      <c r="C15154" s="1007">
        <f t="shared" si="345"/>
        <v>140</v>
      </c>
      <c r="D15154" s="1014"/>
      <c r="H15154" s="1011" t="s">
        <v>1007</v>
      </c>
      <c r="K15154" s="1013"/>
    </row>
    <row r="15155" spans="1:11" s="1011" customFormat="1" ht="15" x14ac:dyDescent="0.25">
      <c r="A15155" s="859">
        <f t="shared" si="344"/>
        <v>15154</v>
      </c>
      <c r="B15155" s="845" t="s">
        <v>2564</v>
      </c>
      <c r="C15155" s="1007">
        <f t="shared" si="345"/>
        <v>140</v>
      </c>
      <c r="D15155" s="1012"/>
      <c r="I15155" s="1011" t="s">
        <v>2177</v>
      </c>
      <c r="K15155" s="1013"/>
    </row>
    <row r="15156" spans="1:11" s="1011" customFormat="1" ht="15" x14ac:dyDescent="0.25">
      <c r="A15156" s="859">
        <f t="shared" si="344"/>
        <v>15155</v>
      </c>
      <c r="B15156" s="845" t="s">
        <v>2564</v>
      </c>
      <c r="C15156" s="1007">
        <f t="shared" si="345"/>
        <v>140</v>
      </c>
      <c r="D15156" s="1015"/>
      <c r="I15156" s="1011" t="str">
        <f>CONCATENATE("&lt;valeur&gt;",VLOOKUP(C15156,'T16 Amort'!A:K,5,0),"&lt;/valeur&gt;")</f>
        <v>&lt;valeur&gt;&lt;/valeur&gt;</v>
      </c>
      <c r="K15156" s="1013"/>
    </row>
    <row r="15157" spans="1:11" s="1011" customFormat="1" ht="15" x14ac:dyDescent="0.25">
      <c r="A15157" s="859">
        <f t="shared" si="344"/>
        <v>15156</v>
      </c>
      <c r="B15157" s="845" t="s">
        <v>2564</v>
      </c>
      <c r="C15157" s="1007">
        <f t="shared" si="345"/>
        <v>140</v>
      </c>
      <c r="D15157" s="1012"/>
      <c r="I15157" s="1011" t="str">
        <f>CONCATENATE("&lt;numeroLigne&gt;",C15157,"&lt;/numeroLigne&gt;")</f>
        <v>&lt;numeroLigne&gt;140&lt;/numeroLigne&gt;</v>
      </c>
      <c r="K15157" s="1013"/>
    </row>
    <row r="15158" spans="1:11" s="1011" customFormat="1" ht="15" x14ac:dyDescent="0.25">
      <c r="A15158" s="859">
        <f t="shared" si="344"/>
        <v>15157</v>
      </c>
      <c r="B15158" s="845" t="s">
        <v>2564</v>
      </c>
      <c r="C15158" s="1007">
        <f t="shared" si="345"/>
        <v>140</v>
      </c>
      <c r="D15158" s="1012"/>
      <c r="H15158" s="1011" t="s">
        <v>1010</v>
      </c>
      <c r="K15158" s="1013"/>
    </row>
    <row r="15159" spans="1:11" s="1011" customFormat="1" ht="15" x14ac:dyDescent="0.25">
      <c r="A15159" s="859">
        <f t="shared" si="344"/>
        <v>15158</v>
      </c>
      <c r="B15159" s="845" t="s">
        <v>2564</v>
      </c>
      <c r="C15159" s="1007">
        <f t="shared" si="345"/>
        <v>140</v>
      </c>
      <c r="D15159" s="1014"/>
      <c r="H15159" s="1011" t="s">
        <v>1007</v>
      </c>
      <c r="K15159" s="1013"/>
    </row>
    <row r="15160" spans="1:11" s="1011" customFormat="1" ht="15" x14ac:dyDescent="0.25">
      <c r="A15160" s="859">
        <f t="shared" si="344"/>
        <v>15159</v>
      </c>
      <c r="B15160" s="845" t="s">
        <v>2564</v>
      </c>
      <c r="C15160" s="1007">
        <f t="shared" si="345"/>
        <v>140</v>
      </c>
      <c r="D15160" s="1014"/>
      <c r="I15160" s="1011" t="s">
        <v>2178</v>
      </c>
      <c r="K15160" s="1013"/>
    </row>
    <row r="15161" spans="1:11" s="1011" customFormat="1" ht="15" x14ac:dyDescent="0.25">
      <c r="A15161" s="859">
        <f t="shared" si="344"/>
        <v>15160</v>
      </c>
      <c r="B15161" s="845" t="s">
        <v>2564</v>
      </c>
      <c r="C15161" s="1007">
        <f t="shared" si="345"/>
        <v>140</v>
      </c>
      <c r="D15161" s="1012"/>
      <c r="I15161" s="1011" t="str">
        <f>CONCATENATE("&lt;valeur&gt;",VLOOKUP(C15161,'T16 Amort'!A:K,6,0),"&lt;/valeur&gt;")</f>
        <v>&lt;valeur&gt;&lt;/valeur&gt;</v>
      </c>
      <c r="K15161" s="1013"/>
    </row>
    <row r="15162" spans="1:11" s="1011" customFormat="1" ht="15" x14ac:dyDescent="0.25">
      <c r="A15162" s="859">
        <f t="shared" si="344"/>
        <v>15161</v>
      </c>
      <c r="B15162" s="845" t="s">
        <v>2564</v>
      </c>
      <c r="C15162" s="1007">
        <f t="shared" si="345"/>
        <v>140</v>
      </c>
      <c r="D15162" s="1015"/>
      <c r="I15162" s="1011" t="str">
        <f>CONCATENATE("&lt;numeroLigne&gt;",C15162,"&lt;/numeroLigne&gt;")</f>
        <v>&lt;numeroLigne&gt;140&lt;/numeroLigne&gt;</v>
      </c>
      <c r="K15162" s="1013"/>
    </row>
    <row r="15163" spans="1:11" s="1011" customFormat="1" ht="15" x14ac:dyDescent="0.25">
      <c r="A15163" s="859">
        <f t="shared" si="344"/>
        <v>15162</v>
      </c>
      <c r="B15163" s="845" t="s">
        <v>2564</v>
      </c>
      <c r="C15163" s="1007">
        <f t="shared" si="345"/>
        <v>140</v>
      </c>
      <c r="D15163" s="1012"/>
      <c r="H15163" s="1011" t="s">
        <v>1010</v>
      </c>
      <c r="K15163" s="1013"/>
    </row>
    <row r="15164" spans="1:11" s="1011" customFormat="1" ht="15" x14ac:dyDescent="0.25">
      <c r="A15164" s="859">
        <f t="shared" si="344"/>
        <v>15163</v>
      </c>
      <c r="B15164" s="845" t="s">
        <v>2564</v>
      </c>
      <c r="C15164" s="1007">
        <f t="shared" si="345"/>
        <v>140</v>
      </c>
      <c r="D15164" s="1012"/>
      <c r="H15164" s="1011" t="s">
        <v>1007</v>
      </c>
      <c r="K15164" s="1013"/>
    </row>
    <row r="15165" spans="1:11" s="1011" customFormat="1" ht="15" x14ac:dyDescent="0.25">
      <c r="A15165" s="859">
        <f t="shared" si="344"/>
        <v>15164</v>
      </c>
      <c r="B15165" s="845" t="s">
        <v>2564</v>
      </c>
      <c r="C15165" s="1007">
        <f t="shared" si="345"/>
        <v>140</v>
      </c>
      <c r="D15165" s="1014"/>
      <c r="I15165" s="1011" t="s">
        <v>2179</v>
      </c>
      <c r="K15165" s="1013"/>
    </row>
    <row r="15166" spans="1:11" s="1011" customFormat="1" ht="15" x14ac:dyDescent="0.25">
      <c r="A15166" s="859">
        <f t="shared" si="344"/>
        <v>15165</v>
      </c>
      <c r="B15166" s="845" t="s">
        <v>2564</v>
      </c>
      <c r="C15166" s="1007">
        <f t="shared" si="345"/>
        <v>140</v>
      </c>
      <c r="D15166" s="1014"/>
      <c r="I15166" s="1011" t="str">
        <f>CONCATENATE("&lt;valeur&gt;",VLOOKUP(C15166,'T16 Amort'!A:K,7,0),"&lt;/valeur&gt;")</f>
        <v>&lt;valeur&gt;&lt;/valeur&gt;</v>
      </c>
      <c r="K15166" s="1013"/>
    </row>
    <row r="15167" spans="1:11" s="1011" customFormat="1" ht="15" x14ac:dyDescent="0.25">
      <c r="A15167" s="859">
        <f t="shared" si="344"/>
        <v>15166</v>
      </c>
      <c r="B15167" s="845" t="s">
        <v>2564</v>
      </c>
      <c r="C15167" s="1007">
        <f t="shared" si="345"/>
        <v>140</v>
      </c>
      <c r="D15167" s="1012"/>
      <c r="I15167" s="1011" t="str">
        <f>CONCATENATE("&lt;numeroLigne&gt;",C15167,"&lt;/numeroLigne&gt;")</f>
        <v>&lt;numeroLigne&gt;140&lt;/numeroLigne&gt;</v>
      </c>
      <c r="K15167" s="1013"/>
    </row>
    <row r="15168" spans="1:11" s="1011" customFormat="1" ht="15" x14ac:dyDescent="0.25">
      <c r="A15168" s="859">
        <f t="shared" si="344"/>
        <v>15167</v>
      </c>
      <c r="B15168" s="845" t="s">
        <v>2564</v>
      </c>
      <c r="C15168" s="1007">
        <f t="shared" si="345"/>
        <v>140</v>
      </c>
      <c r="D15168" s="1015"/>
      <c r="H15168" s="1011" t="s">
        <v>1010</v>
      </c>
      <c r="K15168" s="1013"/>
    </row>
    <row r="15169" spans="1:11" s="1011" customFormat="1" ht="15" x14ac:dyDescent="0.25">
      <c r="A15169" s="859">
        <f t="shared" si="344"/>
        <v>15168</v>
      </c>
      <c r="B15169" s="845" t="s">
        <v>2564</v>
      </c>
      <c r="C15169" s="1007">
        <f t="shared" si="345"/>
        <v>140</v>
      </c>
      <c r="D15169" s="1012"/>
      <c r="H15169" s="1011" t="s">
        <v>1007</v>
      </c>
      <c r="K15169" s="1013"/>
    </row>
    <row r="15170" spans="1:11" s="1011" customFormat="1" ht="15" x14ac:dyDescent="0.25">
      <c r="A15170" s="859">
        <f t="shared" si="344"/>
        <v>15169</v>
      </c>
      <c r="B15170" s="845" t="s">
        <v>2564</v>
      </c>
      <c r="C15170" s="1007">
        <f t="shared" si="345"/>
        <v>140</v>
      </c>
      <c r="D15170" s="1012"/>
      <c r="I15170" s="1011" t="s">
        <v>2180</v>
      </c>
      <c r="K15170" s="1013"/>
    </row>
    <row r="15171" spans="1:11" s="1011" customFormat="1" ht="15" x14ac:dyDescent="0.25">
      <c r="A15171" s="859">
        <f t="shared" si="344"/>
        <v>15170</v>
      </c>
      <c r="B15171" s="845" t="s">
        <v>2564</v>
      </c>
      <c r="C15171" s="1007">
        <f t="shared" si="345"/>
        <v>140</v>
      </c>
      <c r="D15171" s="1014"/>
      <c r="I15171" s="1011" t="str">
        <f>CONCATENATE("&lt;valeur&gt;",VLOOKUP(C15171,'T16 Amort'!A:K,8,0),"&lt;/valeur&gt;")</f>
        <v>&lt;valeur&gt;&lt;/valeur&gt;</v>
      </c>
      <c r="K15171" s="1013"/>
    </row>
    <row r="15172" spans="1:11" s="1011" customFormat="1" ht="15" x14ac:dyDescent="0.25">
      <c r="A15172" s="859">
        <f t="shared" ref="A15172:A15235" si="346">+A15171+1</f>
        <v>15171</v>
      </c>
      <c r="B15172" s="845" t="s">
        <v>2564</v>
      </c>
      <c r="C15172" s="1007">
        <f t="shared" si="345"/>
        <v>140</v>
      </c>
      <c r="D15172" s="1014"/>
      <c r="I15172" s="1011" t="str">
        <f>CONCATENATE("&lt;numeroLigne&gt;",C15172,"&lt;/numeroLigne&gt;")</f>
        <v>&lt;numeroLigne&gt;140&lt;/numeroLigne&gt;</v>
      </c>
      <c r="K15172" s="1013"/>
    </row>
    <row r="15173" spans="1:11" s="1011" customFormat="1" ht="15" x14ac:dyDescent="0.25">
      <c r="A15173" s="859">
        <f t="shared" si="346"/>
        <v>15172</v>
      </c>
      <c r="B15173" s="845" t="s">
        <v>2564</v>
      </c>
      <c r="C15173" s="1007">
        <f t="shared" si="345"/>
        <v>140</v>
      </c>
      <c r="D15173" s="1012"/>
      <c r="H15173" s="1011" t="s">
        <v>1010</v>
      </c>
      <c r="K15173" s="1013"/>
    </row>
    <row r="15174" spans="1:11" s="1011" customFormat="1" ht="15" x14ac:dyDescent="0.25">
      <c r="A15174" s="859">
        <f t="shared" si="346"/>
        <v>15173</v>
      </c>
      <c r="B15174" s="845" t="s">
        <v>2564</v>
      </c>
      <c r="C15174" s="1007">
        <f t="shared" si="345"/>
        <v>140</v>
      </c>
      <c r="D15174" s="1015"/>
      <c r="H15174" s="1011" t="s">
        <v>1007</v>
      </c>
      <c r="K15174" s="1013"/>
    </row>
    <row r="15175" spans="1:11" s="1011" customFormat="1" ht="15" x14ac:dyDescent="0.25">
      <c r="A15175" s="859">
        <f t="shared" si="346"/>
        <v>15174</v>
      </c>
      <c r="B15175" s="845" t="s">
        <v>2564</v>
      </c>
      <c r="C15175" s="1007">
        <f t="shared" si="345"/>
        <v>140</v>
      </c>
      <c r="D15175" s="1012"/>
      <c r="I15175" s="1011" t="s">
        <v>2181</v>
      </c>
      <c r="K15175" s="1013"/>
    </row>
    <row r="15176" spans="1:11" s="1011" customFormat="1" ht="15" x14ac:dyDescent="0.25">
      <c r="A15176" s="859">
        <f t="shared" si="346"/>
        <v>15175</v>
      </c>
      <c r="B15176" s="845" t="s">
        <v>2564</v>
      </c>
      <c r="C15176" s="1007">
        <f t="shared" si="345"/>
        <v>140</v>
      </c>
      <c r="D15176" s="1012"/>
      <c r="I15176" s="1011" t="str">
        <f>CONCATENATE("&lt;valeur&gt;",VLOOKUP(C15176,'T16 Amort'!A:K,9,0),"&lt;/valeur&gt;")</f>
        <v>&lt;valeur&gt;&lt;/valeur&gt;</v>
      </c>
      <c r="K15176" s="1013"/>
    </row>
    <row r="15177" spans="1:11" s="1011" customFormat="1" ht="15" x14ac:dyDescent="0.25">
      <c r="A15177" s="859">
        <f t="shared" si="346"/>
        <v>15176</v>
      </c>
      <c r="B15177" s="845" t="s">
        <v>2564</v>
      </c>
      <c r="C15177" s="1007">
        <f t="shared" si="345"/>
        <v>140</v>
      </c>
      <c r="D15177" s="1014"/>
      <c r="I15177" s="1011" t="str">
        <f>CONCATENATE("&lt;numeroLigne&gt;",C15177,"&lt;/numeroLigne&gt;")</f>
        <v>&lt;numeroLigne&gt;140&lt;/numeroLigne&gt;</v>
      </c>
      <c r="K15177" s="1013"/>
    </row>
    <row r="15178" spans="1:11" s="1011" customFormat="1" ht="15" x14ac:dyDescent="0.25">
      <c r="A15178" s="859">
        <f t="shared" si="346"/>
        <v>15177</v>
      </c>
      <c r="B15178" s="845" t="s">
        <v>2564</v>
      </c>
      <c r="C15178" s="1007">
        <f t="shared" si="345"/>
        <v>140</v>
      </c>
      <c r="D15178" s="1014"/>
      <c r="H15178" s="1011" t="s">
        <v>1010</v>
      </c>
      <c r="K15178" s="1013"/>
    </row>
    <row r="15179" spans="1:11" s="1011" customFormat="1" ht="15" x14ac:dyDescent="0.25">
      <c r="A15179" s="859">
        <f t="shared" si="346"/>
        <v>15178</v>
      </c>
      <c r="B15179" s="845" t="s">
        <v>2564</v>
      </c>
      <c r="C15179" s="1007">
        <f t="shared" si="345"/>
        <v>140</v>
      </c>
      <c r="D15179" s="1012"/>
      <c r="H15179" s="1011" t="s">
        <v>1007</v>
      </c>
      <c r="K15179" s="1013"/>
    </row>
    <row r="15180" spans="1:11" s="1011" customFormat="1" ht="15" x14ac:dyDescent="0.25">
      <c r="A15180" s="859">
        <f t="shared" si="346"/>
        <v>15179</v>
      </c>
      <c r="B15180" s="845" t="s">
        <v>2564</v>
      </c>
      <c r="C15180" s="1007">
        <f t="shared" si="345"/>
        <v>140</v>
      </c>
      <c r="D15180" s="1015"/>
      <c r="I15180" s="1011" t="s">
        <v>2182</v>
      </c>
      <c r="K15180" s="1013"/>
    </row>
    <row r="15181" spans="1:11" s="1011" customFormat="1" ht="15" x14ac:dyDescent="0.25">
      <c r="A15181" s="859">
        <f t="shared" si="346"/>
        <v>15180</v>
      </c>
      <c r="B15181" s="845" t="s">
        <v>2564</v>
      </c>
      <c r="C15181" s="1007">
        <f t="shared" si="345"/>
        <v>140</v>
      </c>
      <c r="D15181" s="1012"/>
      <c r="I15181" s="1011" t="str">
        <f>CONCATENATE("&lt;valeur&gt;",VLOOKUP(C15181,'T16 Amort'!A:K,10,0),"&lt;/valeur&gt;")</f>
        <v>&lt;valeur&gt;&lt;/valeur&gt;</v>
      </c>
      <c r="K15181" s="1013"/>
    </row>
    <row r="15182" spans="1:11" s="1011" customFormat="1" ht="15" x14ac:dyDescent="0.25">
      <c r="A15182" s="859">
        <f t="shared" si="346"/>
        <v>15181</v>
      </c>
      <c r="B15182" s="845" t="s">
        <v>2564</v>
      </c>
      <c r="C15182" s="1007">
        <f t="shared" si="345"/>
        <v>140</v>
      </c>
      <c r="D15182" s="1012"/>
      <c r="I15182" s="1011" t="str">
        <f>CONCATENATE("&lt;numeroLigne&gt;",C15182,"&lt;/numeroLigne&gt;")</f>
        <v>&lt;numeroLigne&gt;140&lt;/numeroLigne&gt;</v>
      </c>
      <c r="K15182" s="1013"/>
    </row>
    <row r="15183" spans="1:11" s="1011" customFormat="1" ht="15" x14ac:dyDescent="0.25">
      <c r="A15183" s="859">
        <f t="shared" si="346"/>
        <v>15182</v>
      </c>
      <c r="B15183" s="845" t="s">
        <v>2564</v>
      </c>
      <c r="C15183" s="1007">
        <f t="shared" si="345"/>
        <v>140</v>
      </c>
      <c r="D15183" s="1014"/>
      <c r="H15183" s="1011" t="s">
        <v>1010</v>
      </c>
      <c r="K15183" s="1013"/>
    </row>
    <row r="15184" spans="1:11" s="1011" customFormat="1" ht="15" x14ac:dyDescent="0.25">
      <c r="A15184" s="859">
        <f t="shared" si="346"/>
        <v>15183</v>
      </c>
      <c r="B15184" s="845" t="s">
        <v>2564</v>
      </c>
      <c r="C15184" s="1007">
        <f t="shared" si="345"/>
        <v>140</v>
      </c>
      <c r="D15184" s="1014"/>
      <c r="H15184" s="1011" t="s">
        <v>1007</v>
      </c>
      <c r="K15184" s="1013"/>
    </row>
    <row r="15185" spans="1:11" s="1011" customFormat="1" ht="15" x14ac:dyDescent="0.25">
      <c r="A15185" s="859">
        <f t="shared" si="346"/>
        <v>15184</v>
      </c>
      <c r="B15185" s="845" t="s">
        <v>2564</v>
      </c>
      <c r="C15185" s="1007">
        <f t="shared" si="345"/>
        <v>140</v>
      </c>
      <c r="D15185" s="1012"/>
      <c r="I15185" s="1011" t="s">
        <v>2183</v>
      </c>
      <c r="K15185" s="1013"/>
    </row>
    <row r="15186" spans="1:11" s="1011" customFormat="1" ht="15" x14ac:dyDescent="0.25">
      <c r="A15186" s="859">
        <f t="shared" si="346"/>
        <v>15185</v>
      </c>
      <c r="B15186" s="845" t="s">
        <v>2564</v>
      </c>
      <c r="C15186" s="1007">
        <f t="shared" si="345"/>
        <v>140</v>
      </c>
      <c r="D15186" s="1015"/>
      <c r="I15186" s="1011" t="str">
        <f>CONCATENATE("&lt;valeur&gt;",VLOOKUP(C15186,'T16 Amort'!A:K,11,0),"&lt;/valeur&gt;")</f>
        <v>&lt;valeur&gt;&lt;/valeur&gt;</v>
      </c>
      <c r="K15186" s="1013"/>
    </row>
    <row r="15187" spans="1:11" s="1011" customFormat="1" ht="15" x14ac:dyDescent="0.25">
      <c r="A15187" s="859">
        <f t="shared" si="346"/>
        <v>15186</v>
      </c>
      <c r="B15187" s="845" t="s">
        <v>2564</v>
      </c>
      <c r="C15187" s="1007">
        <f t="shared" si="345"/>
        <v>140</v>
      </c>
      <c r="D15187" s="1012"/>
      <c r="I15187" s="1011" t="str">
        <f>CONCATENATE("&lt;numeroLigne&gt;",C15187,"&lt;/numeroLigne&gt;")</f>
        <v>&lt;numeroLigne&gt;140&lt;/numeroLigne&gt;</v>
      </c>
      <c r="K15187" s="1013"/>
    </row>
    <row r="15188" spans="1:11" s="1011" customFormat="1" ht="15" x14ac:dyDescent="0.25">
      <c r="A15188" s="859">
        <f t="shared" si="346"/>
        <v>15187</v>
      </c>
      <c r="B15188" s="845" t="s">
        <v>2564</v>
      </c>
      <c r="C15188" s="1007">
        <f t="shared" si="345"/>
        <v>140</v>
      </c>
      <c r="D15188" s="1016"/>
      <c r="E15188" s="1017"/>
      <c r="F15188" s="1017"/>
      <c r="G15188" s="1017"/>
      <c r="H15188" s="1017" t="s">
        <v>1010</v>
      </c>
      <c r="I15188" s="1017"/>
      <c r="J15188" s="1017"/>
      <c r="K15188" s="1018"/>
    </row>
    <row r="15189" spans="1:11" s="1011" customFormat="1" ht="15" x14ac:dyDescent="0.25">
      <c r="A15189" s="859">
        <f t="shared" si="346"/>
        <v>15188</v>
      </c>
      <c r="B15189" s="845" t="s">
        <v>2564</v>
      </c>
      <c r="C15189" s="1007">
        <f t="shared" si="345"/>
        <v>141</v>
      </c>
      <c r="D15189" s="1008"/>
      <c r="E15189" s="1009"/>
      <c r="F15189" s="1009"/>
      <c r="G15189" s="1009"/>
      <c r="H15189" s="1009" t="s">
        <v>1007</v>
      </c>
      <c r="I15189" s="1009"/>
      <c r="J15189" s="1009"/>
      <c r="K15189" s="1010"/>
    </row>
    <row r="15190" spans="1:11" s="1011" customFormat="1" ht="15" x14ac:dyDescent="0.25">
      <c r="A15190" s="859">
        <f t="shared" si="346"/>
        <v>15189</v>
      </c>
      <c r="B15190" s="845" t="s">
        <v>2564</v>
      </c>
      <c r="C15190" s="1007">
        <f t="shared" si="345"/>
        <v>141</v>
      </c>
      <c r="D15190" s="1012"/>
      <c r="I15190" s="1011" t="s">
        <v>2174</v>
      </c>
      <c r="K15190" s="1013"/>
    </row>
    <row r="15191" spans="1:11" s="1011" customFormat="1" ht="15" x14ac:dyDescent="0.25">
      <c r="A15191" s="859">
        <f t="shared" si="346"/>
        <v>15190</v>
      </c>
      <c r="B15191" s="845" t="s">
        <v>2564</v>
      </c>
      <c r="C15191" s="1007">
        <f t="shared" si="345"/>
        <v>141</v>
      </c>
      <c r="D15191" s="1014"/>
      <c r="I15191" s="1011" t="str">
        <f>CONCATENATE("&lt;valeur&gt;",VLOOKUP(C15191,'T16 Amort'!A:K,2,0),"&lt;/valeur&gt;")</f>
        <v>&lt;valeur&gt;&lt;/valeur&gt;</v>
      </c>
      <c r="K15191" s="1013"/>
    </row>
    <row r="15192" spans="1:11" s="1011" customFormat="1" ht="15" x14ac:dyDescent="0.25">
      <c r="A15192" s="859">
        <f t="shared" si="346"/>
        <v>15191</v>
      </c>
      <c r="B15192" s="845" t="s">
        <v>2564</v>
      </c>
      <c r="C15192" s="1007">
        <f t="shared" si="345"/>
        <v>141</v>
      </c>
      <c r="D15192" s="1014"/>
      <c r="I15192" s="1011" t="str">
        <f>CONCATENATE("&lt;numeroLigne&gt;",C15192,"&lt;/numeroLigne&gt;")</f>
        <v>&lt;numeroLigne&gt;141&lt;/numeroLigne&gt;</v>
      </c>
      <c r="K15192" s="1013"/>
    </row>
    <row r="15193" spans="1:11" s="1011" customFormat="1" ht="15" x14ac:dyDescent="0.25">
      <c r="A15193" s="859">
        <f t="shared" si="346"/>
        <v>15192</v>
      </c>
      <c r="B15193" s="845" t="s">
        <v>2564</v>
      </c>
      <c r="C15193" s="1007">
        <f t="shared" si="345"/>
        <v>141</v>
      </c>
      <c r="D15193" s="1012"/>
      <c r="H15193" s="1011" t="s">
        <v>1010</v>
      </c>
      <c r="K15193" s="1013"/>
    </row>
    <row r="15194" spans="1:11" s="1011" customFormat="1" ht="15" x14ac:dyDescent="0.25">
      <c r="A15194" s="859">
        <f t="shared" si="346"/>
        <v>15193</v>
      </c>
      <c r="B15194" s="845" t="s">
        <v>2564</v>
      </c>
      <c r="C15194" s="1007">
        <f t="shared" si="345"/>
        <v>141</v>
      </c>
      <c r="D15194" s="1015"/>
      <c r="H15194" s="1011" t="s">
        <v>1007</v>
      </c>
      <c r="K15194" s="1013"/>
    </row>
    <row r="15195" spans="1:11" s="1011" customFormat="1" ht="15" x14ac:dyDescent="0.25">
      <c r="A15195" s="859">
        <f t="shared" si="346"/>
        <v>15194</v>
      </c>
      <c r="B15195" s="845" t="s">
        <v>2564</v>
      </c>
      <c r="C15195" s="1007">
        <f t="shared" si="345"/>
        <v>141</v>
      </c>
      <c r="D15195" s="1012"/>
      <c r="I15195" s="1011" t="s">
        <v>2175</v>
      </c>
      <c r="K15195" s="1013"/>
    </row>
    <row r="15196" spans="1:11" s="1011" customFormat="1" ht="15" x14ac:dyDescent="0.25">
      <c r="A15196" s="859">
        <f t="shared" si="346"/>
        <v>15195</v>
      </c>
      <c r="B15196" s="845" t="s">
        <v>2564</v>
      </c>
      <c r="C15196" s="1007">
        <f t="shared" si="345"/>
        <v>141</v>
      </c>
      <c r="D15196" s="1012"/>
      <c r="I15196" s="1011" t="str">
        <f>CONCATENATE("&lt;valeur&gt;",VLOOKUP(C15196,'T16 Amort'!A:K,3,0),"&lt;/valeur&gt;")</f>
        <v>&lt;valeur&gt;&lt;/valeur&gt;</v>
      </c>
      <c r="K15196" s="1013"/>
    </row>
    <row r="15197" spans="1:11" s="1011" customFormat="1" ht="15" x14ac:dyDescent="0.25">
      <c r="A15197" s="859">
        <f t="shared" si="346"/>
        <v>15196</v>
      </c>
      <c r="B15197" s="845" t="s">
        <v>2564</v>
      </c>
      <c r="C15197" s="1007">
        <f t="shared" si="345"/>
        <v>141</v>
      </c>
      <c r="D15197" s="1014"/>
      <c r="I15197" s="1011" t="str">
        <f>CONCATENATE("&lt;numeroLigne&gt;",C15197,"&lt;/numeroLigne&gt;")</f>
        <v>&lt;numeroLigne&gt;141&lt;/numeroLigne&gt;</v>
      </c>
      <c r="K15197" s="1013"/>
    </row>
    <row r="15198" spans="1:11" s="1011" customFormat="1" ht="15" x14ac:dyDescent="0.25">
      <c r="A15198" s="859">
        <f t="shared" si="346"/>
        <v>15197</v>
      </c>
      <c r="B15198" s="845" t="s">
        <v>2564</v>
      </c>
      <c r="C15198" s="1007">
        <f t="shared" si="345"/>
        <v>141</v>
      </c>
      <c r="D15198" s="1014"/>
      <c r="H15198" s="1011" t="s">
        <v>1010</v>
      </c>
      <c r="K15198" s="1013"/>
    </row>
    <row r="15199" spans="1:11" s="1011" customFormat="1" ht="15" x14ac:dyDescent="0.25">
      <c r="A15199" s="859">
        <f t="shared" si="346"/>
        <v>15198</v>
      </c>
      <c r="B15199" s="845" t="s">
        <v>2564</v>
      </c>
      <c r="C15199" s="1007">
        <f t="shared" si="345"/>
        <v>141</v>
      </c>
      <c r="D15199" s="1012"/>
      <c r="H15199" s="1011" t="s">
        <v>1007</v>
      </c>
      <c r="K15199" s="1013"/>
    </row>
    <row r="15200" spans="1:11" s="1011" customFormat="1" ht="15" x14ac:dyDescent="0.25">
      <c r="A15200" s="859">
        <f t="shared" si="346"/>
        <v>15199</v>
      </c>
      <c r="B15200" s="845" t="s">
        <v>2564</v>
      </c>
      <c r="C15200" s="1007">
        <f t="shared" si="345"/>
        <v>141</v>
      </c>
      <c r="D15200" s="1015"/>
      <c r="I15200" s="1011" t="s">
        <v>2176</v>
      </c>
      <c r="K15200" s="1013"/>
    </row>
    <row r="15201" spans="1:11" s="1011" customFormat="1" ht="15" x14ac:dyDescent="0.25">
      <c r="A15201" s="859">
        <f t="shared" si="346"/>
        <v>15200</v>
      </c>
      <c r="B15201" s="845" t="s">
        <v>2564</v>
      </c>
      <c r="C15201" s="1007">
        <f t="shared" si="345"/>
        <v>141</v>
      </c>
      <c r="D15201" s="1012"/>
      <c r="I15201" s="1011" t="str">
        <f>CONCATENATE("&lt;valeur&gt;",VLOOKUP(C15201,'T16 Amort'!A:K,4,0),"&lt;/valeur&gt;")</f>
        <v>&lt;valeur&gt;&lt;/valeur&gt;</v>
      </c>
      <c r="K15201" s="1013"/>
    </row>
    <row r="15202" spans="1:11" s="1011" customFormat="1" ht="15" x14ac:dyDescent="0.25">
      <c r="A15202" s="859">
        <f t="shared" si="346"/>
        <v>15201</v>
      </c>
      <c r="B15202" s="845" t="s">
        <v>2564</v>
      </c>
      <c r="C15202" s="1007">
        <f t="shared" si="345"/>
        <v>141</v>
      </c>
      <c r="D15202" s="1012"/>
      <c r="I15202" s="1011" t="str">
        <f>CONCATENATE("&lt;numeroLigne&gt;",C15202,"&lt;/numeroLigne&gt;")</f>
        <v>&lt;numeroLigne&gt;141&lt;/numeroLigne&gt;</v>
      </c>
      <c r="K15202" s="1013"/>
    </row>
    <row r="15203" spans="1:11" s="1011" customFormat="1" ht="15" x14ac:dyDescent="0.25">
      <c r="A15203" s="859">
        <f t="shared" si="346"/>
        <v>15202</v>
      </c>
      <c r="B15203" s="845" t="s">
        <v>2564</v>
      </c>
      <c r="C15203" s="1007">
        <f t="shared" si="345"/>
        <v>141</v>
      </c>
      <c r="D15203" s="1014"/>
      <c r="H15203" s="1011" t="s">
        <v>1010</v>
      </c>
      <c r="K15203" s="1013"/>
    </row>
    <row r="15204" spans="1:11" s="1011" customFormat="1" ht="15" x14ac:dyDescent="0.25">
      <c r="A15204" s="859">
        <f t="shared" si="346"/>
        <v>15203</v>
      </c>
      <c r="B15204" s="845" t="s">
        <v>2564</v>
      </c>
      <c r="C15204" s="1007">
        <f t="shared" si="345"/>
        <v>141</v>
      </c>
      <c r="D15204" s="1014"/>
      <c r="H15204" s="1011" t="s">
        <v>1007</v>
      </c>
      <c r="K15204" s="1013"/>
    </row>
    <row r="15205" spans="1:11" s="1011" customFormat="1" ht="15" x14ac:dyDescent="0.25">
      <c r="A15205" s="859">
        <f t="shared" si="346"/>
        <v>15204</v>
      </c>
      <c r="B15205" s="845" t="s">
        <v>2564</v>
      </c>
      <c r="C15205" s="1007">
        <f t="shared" si="345"/>
        <v>141</v>
      </c>
      <c r="D15205" s="1012"/>
      <c r="I15205" s="1011" t="s">
        <v>2177</v>
      </c>
      <c r="K15205" s="1013"/>
    </row>
    <row r="15206" spans="1:11" s="1011" customFormat="1" ht="15" x14ac:dyDescent="0.25">
      <c r="A15206" s="859">
        <f t="shared" si="346"/>
        <v>15205</v>
      </c>
      <c r="B15206" s="845" t="s">
        <v>2564</v>
      </c>
      <c r="C15206" s="1007">
        <f t="shared" si="345"/>
        <v>141</v>
      </c>
      <c r="D15206" s="1015"/>
      <c r="I15206" s="1011" t="str">
        <f>CONCATENATE("&lt;valeur&gt;",VLOOKUP(C15206,'T16 Amort'!A:K,5,0),"&lt;/valeur&gt;")</f>
        <v>&lt;valeur&gt;&lt;/valeur&gt;</v>
      </c>
      <c r="K15206" s="1013"/>
    </row>
    <row r="15207" spans="1:11" s="1011" customFormat="1" ht="15" x14ac:dyDescent="0.25">
      <c r="A15207" s="859">
        <f t="shared" si="346"/>
        <v>15206</v>
      </c>
      <c r="B15207" s="845" t="s">
        <v>2564</v>
      </c>
      <c r="C15207" s="1007">
        <f t="shared" si="345"/>
        <v>141</v>
      </c>
      <c r="D15207" s="1012"/>
      <c r="I15207" s="1011" t="str">
        <f>CONCATENATE("&lt;numeroLigne&gt;",C15207,"&lt;/numeroLigne&gt;")</f>
        <v>&lt;numeroLigne&gt;141&lt;/numeroLigne&gt;</v>
      </c>
      <c r="K15207" s="1013"/>
    </row>
    <row r="15208" spans="1:11" s="1011" customFormat="1" ht="15" x14ac:dyDescent="0.25">
      <c r="A15208" s="859">
        <f t="shared" si="346"/>
        <v>15207</v>
      </c>
      <c r="B15208" s="845" t="s">
        <v>2564</v>
      </c>
      <c r="C15208" s="1007">
        <f t="shared" si="345"/>
        <v>141</v>
      </c>
      <c r="D15208" s="1012"/>
      <c r="H15208" s="1011" t="s">
        <v>1010</v>
      </c>
      <c r="K15208" s="1013"/>
    </row>
    <row r="15209" spans="1:11" s="1011" customFormat="1" ht="15" x14ac:dyDescent="0.25">
      <c r="A15209" s="859">
        <f t="shared" si="346"/>
        <v>15208</v>
      </c>
      <c r="B15209" s="845" t="s">
        <v>2564</v>
      </c>
      <c r="C15209" s="1007">
        <f t="shared" si="345"/>
        <v>141</v>
      </c>
      <c r="D15209" s="1014"/>
      <c r="H15209" s="1011" t="s">
        <v>1007</v>
      </c>
      <c r="K15209" s="1013"/>
    </row>
    <row r="15210" spans="1:11" s="1011" customFormat="1" ht="15" x14ac:dyDescent="0.25">
      <c r="A15210" s="859">
        <f t="shared" si="346"/>
        <v>15209</v>
      </c>
      <c r="B15210" s="845" t="s">
        <v>2564</v>
      </c>
      <c r="C15210" s="1007">
        <f t="shared" si="345"/>
        <v>141</v>
      </c>
      <c r="D15210" s="1014"/>
      <c r="I15210" s="1011" t="s">
        <v>2178</v>
      </c>
      <c r="K15210" s="1013"/>
    </row>
    <row r="15211" spans="1:11" s="1011" customFormat="1" ht="15" x14ac:dyDescent="0.25">
      <c r="A15211" s="859">
        <f t="shared" si="346"/>
        <v>15210</v>
      </c>
      <c r="B15211" s="845" t="s">
        <v>2564</v>
      </c>
      <c r="C15211" s="1007">
        <f t="shared" si="345"/>
        <v>141</v>
      </c>
      <c r="D15211" s="1012"/>
      <c r="I15211" s="1011" t="str">
        <f>CONCATENATE("&lt;valeur&gt;",VLOOKUP(C15211,'T16 Amort'!A:K,6,0),"&lt;/valeur&gt;")</f>
        <v>&lt;valeur&gt;&lt;/valeur&gt;</v>
      </c>
      <c r="K15211" s="1013"/>
    </row>
    <row r="15212" spans="1:11" s="1011" customFormat="1" ht="15" x14ac:dyDescent="0.25">
      <c r="A15212" s="859">
        <f t="shared" si="346"/>
        <v>15211</v>
      </c>
      <c r="B15212" s="845" t="s">
        <v>2564</v>
      </c>
      <c r="C15212" s="1007">
        <f t="shared" si="345"/>
        <v>141</v>
      </c>
      <c r="D15212" s="1015"/>
      <c r="I15212" s="1011" t="str">
        <f>CONCATENATE("&lt;numeroLigne&gt;",C15212,"&lt;/numeroLigne&gt;")</f>
        <v>&lt;numeroLigne&gt;141&lt;/numeroLigne&gt;</v>
      </c>
      <c r="K15212" s="1013"/>
    </row>
    <row r="15213" spans="1:11" s="1011" customFormat="1" ht="15" x14ac:dyDescent="0.25">
      <c r="A15213" s="859">
        <f t="shared" si="346"/>
        <v>15212</v>
      </c>
      <c r="B15213" s="845" t="s">
        <v>2564</v>
      </c>
      <c r="C15213" s="1007">
        <f t="shared" si="345"/>
        <v>141</v>
      </c>
      <c r="D15213" s="1012"/>
      <c r="H15213" s="1011" t="s">
        <v>1010</v>
      </c>
      <c r="K15213" s="1013"/>
    </row>
    <row r="15214" spans="1:11" s="1011" customFormat="1" ht="15" x14ac:dyDescent="0.25">
      <c r="A15214" s="859">
        <f t="shared" si="346"/>
        <v>15213</v>
      </c>
      <c r="B15214" s="845" t="s">
        <v>2564</v>
      </c>
      <c r="C15214" s="1007">
        <f t="shared" si="345"/>
        <v>141</v>
      </c>
      <c r="D15214" s="1012"/>
      <c r="H15214" s="1011" t="s">
        <v>1007</v>
      </c>
      <c r="K15214" s="1013"/>
    </row>
    <row r="15215" spans="1:11" s="1011" customFormat="1" ht="15" x14ac:dyDescent="0.25">
      <c r="A15215" s="859">
        <f t="shared" si="346"/>
        <v>15214</v>
      </c>
      <c r="B15215" s="845" t="s">
        <v>2564</v>
      </c>
      <c r="C15215" s="1007">
        <f t="shared" ref="C15215:C15278" si="347">C15165+1</f>
        <v>141</v>
      </c>
      <c r="D15215" s="1014"/>
      <c r="I15215" s="1011" t="s">
        <v>2179</v>
      </c>
      <c r="K15215" s="1013"/>
    </row>
    <row r="15216" spans="1:11" s="1011" customFormat="1" ht="15" x14ac:dyDescent="0.25">
      <c r="A15216" s="859">
        <f t="shared" si="346"/>
        <v>15215</v>
      </c>
      <c r="B15216" s="845" t="s">
        <v>2564</v>
      </c>
      <c r="C15216" s="1007">
        <f t="shared" si="347"/>
        <v>141</v>
      </c>
      <c r="D15216" s="1014"/>
      <c r="I15216" s="1011" t="str">
        <f>CONCATENATE("&lt;valeur&gt;",VLOOKUP(C15216,'T16 Amort'!A:K,7,0),"&lt;/valeur&gt;")</f>
        <v>&lt;valeur&gt;&lt;/valeur&gt;</v>
      </c>
      <c r="K15216" s="1013"/>
    </row>
    <row r="15217" spans="1:11" s="1011" customFormat="1" ht="15" x14ac:dyDescent="0.25">
      <c r="A15217" s="859">
        <f t="shared" si="346"/>
        <v>15216</v>
      </c>
      <c r="B15217" s="845" t="s">
        <v>2564</v>
      </c>
      <c r="C15217" s="1007">
        <f t="shared" si="347"/>
        <v>141</v>
      </c>
      <c r="D15217" s="1012"/>
      <c r="I15217" s="1011" t="str">
        <f>CONCATENATE("&lt;numeroLigne&gt;",C15217,"&lt;/numeroLigne&gt;")</f>
        <v>&lt;numeroLigne&gt;141&lt;/numeroLigne&gt;</v>
      </c>
      <c r="K15217" s="1013"/>
    </row>
    <row r="15218" spans="1:11" s="1011" customFormat="1" ht="15" x14ac:dyDescent="0.25">
      <c r="A15218" s="859">
        <f t="shared" si="346"/>
        <v>15217</v>
      </c>
      <c r="B15218" s="845" t="s">
        <v>2564</v>
      </c>
      <c r="C15218" s="1007">
        <f t="shared" si="347"/>
        <v>141</v>
      </c>
      <c r="D15218" s="1015"/>
      <c r="H15218" s="1011" t="s">
        <v>1010</v>
      </c>
      <c r="K15218" s="1013"/>
    </row>
    <row r="15219" spans="1:11" s="1011" customFormat="1" ht="15" x14ac:dyDescent="0.25">
      <c r="A15219" s="859">
        <f t="shared" si="346"/>
        <v>15218</v>
      </c>
      <c r="B15219" s="845" t="s">
        <v>2564</v>
      </c>
      <c r="C15219" s="1007">
        <f t="shared" si="347"/>
        <v>141</v>
      </c>
      <c r="D15219" s="1012"/>
      <c r="H15219" s="1011" t="s">
        <v>1007</v>
      </c>
      <c r="K15219" s="1013"/>
    </row>
    <row r="15220" spans="1:11" s="1011" customFormat="1" ht="15" x14ac:dyDescent="0.25">
      <c r="A15220" s="859">
        <f t="shared" si="346"/>
        <v>15219</v>
      </c>
      <c r="B15220" s="845" t="s">
        <v>2564</v>
      </c>
      <c r="C15220" s="1007">
        <f t="shared" si="347"/>
        <v>141</v>
      </c>
      <c r="D15220" s="1012"/>
      <c r="I15220" s="1011" t="s">
        <v>2180</v>
      </c>
      <c r="K15220" s="1013"/>
    </row>
    <row r="15221" spans="1:11" s="1011" customFormat="1" ht="15" x14ac:dyDescent="0.25">
      <c r="A15221" s="859">
        <f t="shared" si="346"/>
        <v>15220</v>
      </c>
      <c r="B15221" s="845" t="s">
        <v>2564</v>
      </c>
      <c r="C15221" s="1007">
        <f t="shared" si="347"/>
        <v>141</v>
      </c>
      <c r="D15221" s="1014"/>
      <c r="I15221" s="1011" t="str">
        <f>CONCATENATE("&lt;valeur&gt;",VLOOKUP(C15221,'T16 Amort'!A:K,8,0),"&lt;/valeur&gt;")</f>
        <v>&lt;valeur&gt;&lt;/valeur&gt;</v>
      </c>
      <c r="K15221" s="1013"/>
    </row>
    <row r="15222" spans="1:11" s="1011" customFormat="1" ht="15" x14ac:dyDescent="0.25">
      <c r="A15222" s="859">
        <f t="shared" si="346"/>
        <v>15221</v>
      </c>
      <c r="B15222" s="845" t="s">
        <v>2564</v>
      </c>
      <c r="C15222" s="1007">
        <f t="shared" si="347"/>
        <v>141</v>
      </c>
      <c r="D15222" s="1014"/>
      <c r="I15222" s="1011" t="str">
        <f>CONCATENATE("&lt;numeroLigne&gt;",C15222,"&lt;/numeroLigne&gt;")</f>
        <v>&lt;numeroLigne&gt;141&lt;/numeroLigne&gt;</v>
      </c>
      <c r="K15222" s="1013"/>
    </row>
    <row r="15223" spans="1:11" s="1011" customFormat="1" ht="15" x14ac:dyDescent="0.25">
      <c r="A15223" s="859">
        <f t="shared" si="346"/>
        <v>15222</v>
      </c>
      <c r="B15223" s="845" t="s">
        <v>2564</v>
      </c>
      <c r="C15223" s="1007">
        <f t="shared" si="347"/>
        <v>141</v>
      </c>
      <c r="D15223" s="1012"/>
      <c r="H15223" s="1011" t="s">
        <v>1010</v>
      </c>
      <c r="K15223" s="1013"/>
    </row>
    <row r="15224" spans="1:11" s="1011" customFormat="1" ht="15" x14ac:dyDescent="0.25">
      <c r="A15224" s="859">
        <f t="shared" si="346"/>
        <v>15223</v>
      </c>
      <c r="B15224" s="845" t="s">
        <v>2564</v>
      </c>
      <c r="C15224" s="1007">
        <f t="shared" si="347"/>
        <v>141</v>
      </c>
      <c r="D15224" s="1015"/>
      <c r="H15224" s="1011" t="s">
        <v>1007</v>
      </c>
      <c r="K15224" s="1013"/>
    </row>
    <row r="15225" spans="1:11" s="1011" customFormat="1" ht="15" x14ac:dyDescent="0.25">
      <c r="A15225" s="859">
        <f t="shared" si="346"/>
        <v>15224</v>
      </c>
      <c r="B15225" s="845" t="s">
        <v>2564</v>
      </c>
      <c r="C15225" s="1007">
        <f t="shared" si="347"/>
        <v>141</v>
      </c>
      <c r="D15225" s="1012"/>
      <c r="I15225" s="1011" t="s">
        <v>2181</v>
      </c>
      <c r="K15225" s="1013"/>
    </row>
    <row r="15226" spans="1:11" s="1011" customFormat="1" ht="15" x14ac:dyDescent="0.25">
      <c r="A15226" s="859">
        <f t="shared" si="346"/>
        <v>15225</v>
      </c>
      <c r="B15226" s="845" t="s">
        <v>2564</v>
      </c>
      <c r="C15226" s="1007">
        <f t="shared" si="347"/>
        <v>141</v>
      </c>
      <c r="D15226" s="1012"/>
      <c r="I15226" s="1011" t="str">
        <f>CONCATENATE("&lt;valeur&gt;",VLOOKUP(C15226,'T16 Amort'!A:K,9,0),"&lt;/valeur&gt;")</f>
        <v>&lt;valeur&gt;&lt;/valeur&gt;</v>
      </c>
      <c r="K15226" s="1013"/>
    </row>
    <row r="15227" spans="1:11" s="1011" customFormat="1" ht="15" x14ac:dyDescent="0.25">
      <c r="A15227" s="859">
        <f t="shared" si="346"/>
        <v>15226</v>
      </c>
      <c r="B15227" s="845" t="s">
        <v>2564</v>
      </c>
      <c r="C15227" s="1007">
        <f t="shared" si="347"/>
        <v>141</v>
      </c>
      <c r="D15227" s="1014"/>
      <c r="I15227" s="1011" t="str">
        <f>CONCATENATE("&lt;numeroLigne&gt;",C15227,"&lt;/numeroLigne&gt;")</f>
        <v>&lt;numeroLigne&gt;141&lt;/numeroLigne&gt;</v>
      </c>
      <c r="K15227" s="1013"/>
    </row>
    <row r="15228" spans="1:11" s="1011" customFormat="1" ht="15" x14ac:dyDescent="0.25">
      <c r="A15228" s="859">
        <f t="shared" si="346"/>
        <v>15227</v>
      </c>
      <c r="B15228" s="845" t="s">
        <v>2564</v>
      </c>
      <c r="C15228" s="1007">
        <f t="shared" si="347"/>
        <v>141</v>
      </c>
      <c r="D15228" s="1014"/>
      <c r="H15228" s="1011" t="s">
        <v>1010</v>
      </c>
      <c r="K15228" s="1013"/>
    </row>
    <row r="15229" spans="1:11" s="1011" customFormat="1" ht="15" x14ac:dyDescent="0.25">
      <c r="A15229" s="859">
        <f t="shared" si="346"/>
        <v>15228</v>
      </c>
      <c r="B15229" s="845" t="s">
        <v>2564</v>
      </c>
      <c r="C15229" s="1007">
        <f t="shared" si="347"/>
        <v>141</v>
      </c>
      <c r="D15229" s="1012"/>
      <c r="H15229" s="1011" t="s">
        <v>1007</v>
      </c>
      <c r="K15229" s="1013"/>
    </row>
    <row r="15230" spans="1:11" s="1011" customFormat="1" ht="15" x14ac:dyDescent="0.25">
      <c r="A15230" s="859">
        <f t="shared" si="346"/>
        <v>15229</v>
      </c>
      <c r="B15230" s="845" t="s">
        <v>2564</v>
      </c>
      <c r="C15230" s="1007">
        <f t="shared" si="347"/>
        <v>141</v>
      </c>
      <c r="D15230" s="1015"/>
      <c r="I15230" s="1011" t="s">
        <v>2182</v>
      </c>
      <c r="K15230" s="1013"/>
    </row>
    <row r="15231" spans="1:11" s="1011" customFormat="1" ht="15" x14ac:dyDescent="0.25">
      <c r="A15231" s="859">
        <f t="shared" si="346"/>
        <v>15230</v>
      </c>
      <c r="B15231" s="845" t="s">
        <v>2564</v>
      </c>
      <c r="C15231" s="1007">
        <f t="shared" si="347"/>
        <v>141</v>
      </c>
      <c r="D15231" s="1012"/>
      <c r="I15231" s="1011" t="str">
        <f>CONCATENATE("&lt;valeur&gt;",VLOOKUP(C15231,'T16 Amort'!A:K,10,0),"&lt;/valeur&gt;")</f>
        <v>&lt;valeur&gt;&lt;/valeur&gt;</v>
      </c>
      <c r="K15231" s="1013"/>
    </row>
    <row r="15232" spans="1:11" s="1011" customFormat="1" ht="15" x14ac:dyDescent="0.25">
      <c r="A15232" s="859">
        <f t="shared" si="346"/>
        <v>15231</v>
      </c>
      <c r="B15232" s="845" t="s">
        <v>2564</v>
      </c>
      <c r="C15232" s="1007">
        <f t="shared" si="347"/>
        <v>141</v>
      </c>
      <c r="D15232" s="1012"/>
      <c r="I15232" s="1011" t="str">
        <f>CONCATENATE("&lt;numeroLigne&gt;",C15232,"&lt;/numeroLigne&gt;")</f>
        <v>&lt;numeroLigne&gt;141&lt;/numeroLigne&gt;</v>
      </c>
      <c r="K15232" s="1013"/>
    </row>
    <row r="15233" spans="1:11" s="1011" customFormat="1" ht="15" x14ac:dyDescent="0.25">
      <c r="A15233" s="859">
        <f t="shared" si="346"/>
        <v>15232</v>
      </c>
      <c r="B15233" s="845" t="s">
        <v>2564</v>
      </c>
      <c r="C15233" s="1007">
        <f t="shared" si="347"/>
        <v>141</v>
      </c>
      <c r="D15233" s="1014"/>
      <c r="H15233" s="1011" t="s">
        <v>1010</v>
      </c>
      <c r="K15233" s="1013"/>
    </row>
    <row r="15234" spans="1:11" s="1011" customFormat="1" ht="15" x14ac:dyDescent="0.25">
      <c r="A15234" s="859">
        <f t="shared" si="346"/>
        <v>15233</v>
      </c>
      <c r="B15234" s="845" t="s">
        <v>2564</v>
      </c>
      <c r="C15234" s="1007">
        <f t="shared" si="347"/>
        <v>141</v>
      </c>
      <c r="D15234" s="1014"/>
      <c r="H15234" s="1011" t="s">
        <v>1007</v>
      </c>
      <c r="K15234" s="1013"/>
    </row>
    <row r="15235" spans="1:11" s="1011" customFormat="1" ht="15" x14ac:dyDescent="0.25">
      <c r="A15235" s="859">
        <f t="shared" si="346"/>
        <v>15234</v>
      </c>
      <c r="B15235" s="845" t="s">
        <v>2564</v>
      </c>
      <c r="C15235" s="1007">
        <f t="shared" si="347"/>
        <v>141</v>
      </c>
      <c r="D15235" s="1012"/>
      <c r="I15235" s="1011" t="s">
        <v>2183</v>
      </c>
      <c r="K15235" s="1013"/>
    </row>
    <row r="15236" spans="1:11" s="1011" customFormat="1" ht="15" x14ac:dyDescent="0.25">
      <c r="A15236" s="859">
        <f t="shared" ref="A15236:A15299" si="348">+A15235+1</f>
        <v>15235</v>
      </c>
      <c r="B15236" s="845" t="s">
        <v>2564</v>
      </c>
      <c r="C15236" s="1007">
        <f t="shared" si="347"/>
        <v>141</v>
      </c>
      <c r="D15236" s="1015"/>
      <c r="I15236" s="1011" t="str">
        <f>CONCATENATE("&lt;valeur&gt;",VLOOKUP(C15236,'T16 Amort'!A:K,11,0),"&lt;/valeur&gt;")</f>
        <v>&lt;valeur&gt;&lt;/valeur&gt;</v>
      </c>
      <c r="K15236" s="1013"/>
    </row>
    <row r="15237" spans="1:11" s="1011" customFormat="1" ht="15" x14ac:dyDescent="0.25">
      <c r="A15237" s="859">
        <f t="shared" si="348"/>
        <v>15236</v>
      </c>
      <c r="B15237" s="845" t="s">
        <v>2564</v>
      </c>
      <c r="C15237" s="1007">
        <f t="shared" si="347"/>
        <v>141</v>
      </c>
      <c r="D15237" s="1012"/>
      <c r="I15237" s="1011" t="str">
        <f>CONCATENATE("&lt;numeroLigne&gt;",C15237,"&lt;/numeroLigne&gt;")</f>
        <v>&lt;numeroLigne&gt;141&lt;/numeroLigne&gt;</v>
      </c>
      <c r="K15237" s="1013"/>
    </row>
    <row r="15238" spans="1:11" s="1011" customFormat="1" ht="15" x14ac:dyDescent="0.25">
      <c r="A15238" s="859">
        <f t="shared" si="348"/>
        <v>15237</v>
      </c>
      <c r="B15238" s="845" t="s">
        <v>2564</v>
      </c>
      <c r="C15238" s="1007">
        <f t="shared" si="347"/>
        <v>141</v>
      </c>
      <c r="D15238" s="1016"/>
      <c r="E15238" s="1017"/>
      <c r="F15238" s="1017"/>
      <c r="G15238" s="1017"/>
      <c r="H15238" s="1017" t="s">
        <v>1010</v>
      </c>
      <c r="I15238" s="1017"/>
      <c r="J15238" s="1017"/>
      <c r="K15238" s="1018"/>
    </row>
    <row r="15239" spans="1:11" s="1011" customFormat="1" ht="15" x14ac:dyDescent="0.25">
      <c r="A15239" s="859">
        <f t="shared" si="348"/>
        <v>15238</v>
      </c>
      <c r="B15239" s="845" t="s">
        <v>2564</v>
      </c>
      <c r="C15239" s="1007">
        <f t="shared" si="347"/>
        <v>142</v>
      </c>
      <c r="D15239" s="1008"/>
      <c r="E15239" s="1009"/>
      <c r="F15239" s="1009"/>
      <c r="G15239" s="1009"/>
      <c r="H15239" s="1009" t="s">
        <v>1007</v>
      </c>
      <c r="I15239" s="1009"/>
      <c r="J15239" s="1009"/>
      <c r="K15239" s="1010"/>
    </row>
    <row r="15240" spans="1:11" s="1011" customFormat="1" ht="15" x14ac:dyDescent="0.25">
      <c r="A15240" s="859">
        <f t="shared" si="348"/>
        <v>15239</v>
      </c>
      <c r="B15240" s="845" t="s">
        <v>2564</v>
      </c>
      <c r="C15240" s="1007">
        <f t="shared" si="347"/>
        <v>142</v>
      </c>
      <c r="D15240" s="1012"/>
      <c r="I15240" s="1011" t="s">
        <v>2174</v>
      </c>
      <c r="K15240" s="1013"/>
    </row>
    <row r="15241" spans="1:11" s="1011" customFormat="1" ht="15" x14ac:dyDescent="0.25">
      <c r="A15241" s="859">
        <f t="shared" si="348"/>
        <v>15240</v>
      </c>
      <c r="B15241" s="845" t="s">
        <v>2564</v>
      </c>
      <c r="C15241" s="1007">
        <f t="shared" si="347"/>
        <v>142</v>
      </c>
      <c r="D15241" s="1014"/>
      <c r="I15241" s="1011" t="str">
        <f>CONCATENATE("&lt;valeur&gt;",VLOOKUP(C15241,'T16 Amort'!A:K,2,0),"&lt;/valeur&gt;")</f>
        <v>&lt;valeur&gt;&lt;/valeur&gt;</v>
      </c>
      <c r="K15241" s="1013"/>
    </row>
    <row r="15242" spans="1:11" s="1011" customFormat="1" ht="15" x14ac:dyDescent="0.25">
      <c r="A15242" s="859">
        <f t="shared" si="348"/>
        <v>15241</v>
      </c>
      <c r="B15242" s="845" t="s">
        <v>2564</v>
      </c>
      <c r="C15242" s="1007">
        <f t="shared" si="347"/>
        <v>142</v>
      </c>
      <c r="D15242" s="1014"/>
      <c r="I15242" s="1011" t="str">
        <f>CONCATENATE("&lt;numeroLigne&gt;",C15242,"&lt;/numeroLigne&gt;")</f>
        <v>&lt;numeroLigne&gt;142&lt;/numeroLigne&gt;</v>
      </c>
      <c r="K15242" s="1013"/>
    </row>
    <row r="15243" spans="1:11" s="1011" customFormat="1" ht="15" x14ac:dyDescent="0.25">
      <c r="A15243" s="859">
        <f t="shared" si="348"/>
        <v>15242</v>
      </c>
      <c r="B15243" s="845" t="s">
        <v>2564</v>
      </c>
      <c r="C15243" s="1007">
        <f t="shared" si="347"/>
        <v>142</v>
      </c>
      <c r="D15243" s="1012"/>
      <c r="H15243" s="1011" t="s">
        <v>1010</v>
      </c>
      <c r="K15243" s="1013"/>
    </row>
    <row r="15244" spans="1:11" s="1011" customFormat="1" ht="15" x14ac:dyDescent="0.25">
      <c r="A15244" s="859">
        <f t="shared" si="348"/>
        <v>15243</v>
      </c>
      <c r="B15244" s="845" t="s">
        <v>2564</v>
      </c>
      <c r="C15244" s="1007">
        <f t="shared" si="347"/>
        <v>142</v>
      </c>
      <c r="D15244" s="1015"/>
      <c r="H15244" s="1011" t="s">
        <v>1007</v>
      </c>
      <c r="K15244" s="1013"/>
    </row>
    <row r="15245" spans="1:11" s="1011" customFormat="1" ht="15" x14ac:dyDescent="0.25">
      <c r="A15245" s="859">
        <f t="shared" si="348"/>
        <v>15244</v>
      </c>
      <c r="B15245" s="845" t="s">
        <v>2564</v>
      </c>
      <c r="C15245" s="1007">
        <f t="shared" si="347"/>
        <v>142</v>
      </c>
      <c r="D15245" s="1012"/>
      <c r="I15245" s="1011" t="s">
        <v>2175</v>
      </c>
      <c r="K15245" s="1013"/>
    </row>
    <row r="15246" spans="1:11" s="1011" customFormat="1" ht="15" x14ac:dyDescent="0.25">
      <c r="A15246" s="859">
        <f t="shared" si="348"/>
        <v>15245</v>
      </c>
      <c r="B15246" s="845" t="s">
        <v>2564</v>
      </c>
      <c r="C15246" s="1007">
        <f t="shared" si="347"/>
        <v>142</v>
      </c>
      <c r="D15246" s="1012"/>
      <c r="I15246" s="1011" t="str">
        <f>CONCATENATE("&lt;valeur&gt;",VLOOKUP(C15246,'T16 Amort'!A:K,3,0),"&lt;/valeur&gt;")</f>
        <v>&lt;valeur&gt;&lt;/valeur&gt;</v>
      </c>
      <c r="K15246" s="1013"/>
    </row>
    <row r="15247" spans="1:11" s="1011" customFormat="1" ht="15" x14ac:dyDescent="0.25">
      <c r="A15247" s="859">
        <f t="shared" si="348"/>
        <v>15246</v>
      </c>
      <c r="B15247" s="845" t="s">
        <v>2564</v>
      </c>
      <c r="C15247" s="1007">
        <f t="shared" si="347"/>
        <v>142</v>
      </c>
      <c r="D15247" s="1014"/>
      <c r="I15247" s="1011" t="str">
        <f>CONCATENATE("&lt;numeroLigne&gt;",C15247,"&lt;/numeroLigne&gt;")</f>
        <v>&lt;numeroLigne&gt;142&lt;/numeroLigne&gt;</v>
      </c>
      <c r="K15247" s="1013"/>
    </row>
    <row r="15248" spans="1:11" s="1011" customFormat="1" ht="15" x14ac:dyDescent="0.25">
      <c r="A15248" s="859">
        <f t="shared" si="348"/>
        <v>15247</v>
      </c>
      <c r="B15248" s="845" t="s">
        <v>2564</v>
      </c>
      <c r="C15248" s="1007">
        <f t="shared" si="347"/>
        <v>142</v>
      </c>
      <c r="D15248" s="1014"/>
      <c r="H15248" s="1011" t="s">
        <v>1010</v>
      </c>
      <c r="K15248" s="1013"/>
    </row>
    <row r="15249" spans="1:11" s="1011" customFormat="1" ht="15" x14ac:dyDescent="0.25">
      <c r="A15249" s="859">
        <f t="shared" si="348"/>
        <v>15248</v>
      </c>
      <c r="B15249" s="845" t="s">
        <v>2564</v>
      </c>
      <c r="C15249" s="1007">
        <f t="shared" si="347"/>
        <v>142</v>
      </c>
      <c r="D15249" s="1012"/>
      <c r="H15249" s="1011" t="s">
        <v>1007</v>
      </c>
      <c r="K15249" s="1013"/>
    </row>
    <row r="15250" spans="1:11" s="1011" customFormat="1" ht="15" x14ac:dyDescent="0.25">
      <c r="A15250" s="859">
        <f t="shared" si="348"/>
        <v>15249</v>
      </c>
      <c r="B15250" s="845" t="s">
        <v>2564</v>
      </c>
      <c r="C15250" s="1007">
        <f t="shared" si="347"/>
        <v>142</v>
      </c>
      <c r="D15250" s="1015"/>
      <c r="I15250" s="1011" t="s">
        <v>2176</v>
      </c>
      <c r="K15250" s="1013"/>
    </row>
    <row r="15251" spans="1:11" s="1011" customFormat="1" ht="15" x14ac:dyDescent="0.25">
      <c r="A15251" s="859">
        <f t="shared" si="348"/>
        <v>15250</v>
      </c>
      <c r="B15251" s="845" t="s">
        <v>2564</v>
      </c>
      <c r="C15251" s="1007">
        <f t="shared" si="347"/>
        <v>142</v>
      </c>
      <c r="D15251" s="1012"/>
      <c r="I15251" s="1011" t="str">
        <f>CONCATENATE("&lt;valeur&gt;",VLOOKUP(C15251,'T16 Amort'!A:K,4,0),"&lt;/valeur&gt;")</f>
        <v>&lt;valeur&gt;&lt;/valeur&gt;</v>
      </c>
      <c r="K15251" s="1013"/>
    </row>
    <row r="15252" spans="1:11" s="1011" customFormat="1" ht="15" x14ac:dyDescent="0.25">
      <c r="A15252" s="859">
        <f t="shared" si="348"/>
        <v>15251</v>
      </c>
      <c r="B15252" s="845" t="s">
        <v>2564</v>
      </c>
      <c r="C15252" s="1007">
        <f t="shared" si="347"/>
        <v>142</v>
      </c>
      <c r="D15252" s="1012"/>
      <c r="I15252" s="1011" t="str">
        <f>CONCATENATE("&lt;numeroLigne&gt;",C15252,"&lt;/numeroLigne&gt;")</f>
        <v>&lt;numeroLigne&gt;142&lt;/numeroLigne&gt;</v>
      </c>
      <c r="K15252" s="1013"/>
    </row>
    <row r="15253" spans="1:11" s="1011" customFormat="1" ht="15" x14ac:dyDescent="0.25">
      <c r="A15253" s="859">
        <f t="shared" si="348"/>
        <v>15252</v>
      </c>
      <c r="B15253" s="845" t="s">
        <v>2564</v>
      </c>
      <c r="C15253" s="1007">
        <f t="shared" si="347"/>
        <v>142</v>
      </c>
      <c r="D15253" s="1014"/>
      <c r="H15253" s="1011" t="s">
        <v>1010</v>
      </c>
      <c r="K15253" s="1013"/>
    </row>
    <row r="15254" spans="1:11" s="1011" customFormat="1" ht="15" x14ac:dyDescent="0.25">
      <c r="A15254" s="859">
        <f t="shared" si="348"/>
        <v>15253</v>
      </c>
      <c r="B15254" s="845" t="s">
        <v>2564</v>
      </c>
      <c r="C15254" s="1007">
        <f t="shared" si="347"/>
        <v>142</v>
      </c>
      <c r="D15254" s="1014"/>
      <c r="H15254" s="1011" t="s">
        <v>1007</v>
      </c>
      <c r="K15254" s="1013"/>
    </row>
    <row r="15255" spans="1:11" s="1011" customFormat="1" ht="15" x14ac:dyDescent="0.25">
      <c r="A15255" s="859">
        <f t="shared" si="348"/>
        <v>15254</v>
      </c>
      <c r="B15255" s="845" t="s">
        <v>2564</v>
      </c>
      <c r="C15255" s="1007">
        <f t="shared" si="347"/>
        <v>142</v>
      </c>
      <c r="D15255" s="1012"/>
      <c r="I15255" s="1011" t="s">
        <v>2177</v>
      </c>
      <c r="K15255" s="1013"/>
    </row>
    <row r="15256" spans="1:11" s="1011" customFormat="1" ht="15" x14ac:dyDescent="0.25">
      <c r="A15256" s="859">
        <f t="shared" si="348"/>
        <v>15255</v>
      </c>
      <c r="B15256" s="845" t="s">
        <v>2564</v>
      </c>
      <c r="C15256" s="1007">
        <f t="shared" si="347"/>
        <v>142</v>
      </c>
      <c r="D15256" s="1015"/>
      <c r="I15256" s="1011" t="str">
        <f>CONCATENATE("&lt;valeur&gt;",VLOOKUP(C15256,'T16 Amort'!A:K,5,0),"&lt;/valeur&gt;")</f>
        <v>&lt;valeur&gt;&lt;/valeur&gt;</v>
      </c>
      <c r="K15256" s="1013"/>
    </row>
    <row r="15257" spans="1:11" s="1011" customFormat="1" ht="15" x14ac:dyDescent="0.25">
      <c r="A15257" s="859">
        <f t="shared" si="348"/>
        <v>15256</v>
      </c>
      <c r="B15257" s="845" t="s">
        <v>2564</v>
      </c>
      <c r="C15257" s="1007">
        <f t="shared" si="347"/>
        <v>142</v>
      </c>
      <c r="D15257" s="1012"/>
      <c r="I15257" s="1011" t="str">
        <f>CONCATENATE("&lt;numeroLigne&gt;",C15257,"&lt;/numeroLigne&gt;")</f>
        <v>&lt;numeroLigne&gt;142&lt;/numeroLigne&gt;</v>
      </c>
      <c r="K15257" s="1013"/>
    </row>
    <row r="15258" spans="1:11" s="1011" customFormat="1" ht="15" x14ac:dyDescent="0.25">
      <c r="A15258" s="859">
        <f t="shared" si="348"/>
        <v>15257</v>
      </c>
      <c r="B15258" s="845" t="s">
        <v>2564</v>
      </c>
      <c r="C15258" s="1007">
        <f t="shared" si="347"/>
        <v>142</v>
      </c>
      <c r="D15258" s="1012"/>
      <c r="H15258" s="1011" t="s">
        <v>1010</v>
      </c>
      <c r="K15258" s="1013"/>
    </row>
    <row r="15259" spans="1:11" s="1011" customFormat="1" ht="15" x14ac:dyDescent="0.25">
      <c r="A15259" s="859">
        <f t="shared" si="348"/>
        <v>15258</v>
      </c>
      <c r="B15259" s="845" t="s">
        <v>2564</v>
      </c>
      <c r="C15259" s="1007">
        <f t="shared" si="347"/>
        <v>142</v>
      </c>
      <c r="D15259" s="1014"/>
      <c r="H15259" s="1011" t="s">
        <v>1007</v>
      </c>
      <c r="K15259" s="1013"/>
    </row>
    <row r="15260" spans="1:11" s="1011" customFormat="1" ht="15" x14ac:dyDescent="0.25">
      <c r="A15260" s="859">
        <f t="shared" si="348"/>
        <v>15259</v>
      </c>
      <c r="B15260" s="845" t="s">
        <v>2564</v>
      </c>
      <c r="C15260" s="1007">
        <f t="shared" si="347"/>
        <v>142</v>
      </c>
      <c r="D15260" s="1014"/>
      <c r="I15260" s="1011" t="s">
        <v>2178</v>
      </c>
      <c r="K15260" s="1013"/>
    </row>
    <row r="15261" spans="1:11" s="1011" customFormat="1" ht="15" x14ac:dyDescent="0.25">
      <c r="A15261" s="859">
        <f t="shared" si="348"/>
        <v>15260</v>
      </c>
      <c r="B15261" s="845" t="s">
        <v>2564</v>
      </c>
      <c r="C15261" s="1007">
        <f t="shared" si="347"/>
        <v>142</v>
      </c>
      <c r="D15261" s="1012"/>
      <c r="I15261" s="1011" t="str">
        <f>CONCATENATE("&lt;valeur&gt;",VLOOKUP(C15261,'T16 Amort'!A:K,6,0),"&lt;/valeur&gt;")</f>
        <v>&lt;valeur&gt;&lt;/valeur&gt;</v>
      </c>
      <c r="K15261" s="1013"/>
    </row>
    <row r="15262" spans="1:11" s="1011" customFormat="1" ht="15" x14ac:dyDescent="0.25">
      <c r="A15262" s="859">
        <f t="shared" si="348"/>
        <v>15261</v>
      </c>
      <c r="B15262" s="845" t="s">
        <v>2564</v>
      </c>
      <c r="C15262" s="1007">
        <f t="shared" si="347"/>
        <v>142</v>
      </c>
      <c r="D15262" s="1015"/>
      <c r="I15262" s="1011" t="str">
        <f>CONCATENATE("&lt;numeroLigne&gt;",C15262,"&lt;/numeroLigne&gt;")</f>
        <v>&lt;numeroLigne&gt;142&lt;/numeroLigne&gt;</v>
      </c>
      <c r="K15262" s="1013"/>
    </row>
    <row r="15263" spans="1:11" s="1011" customFormat="1" ht="15" x14ac:dyDescent="0.25">
      <c r="A15263" s="859">
        <f t="shared" si="348"/>
        <v>15262</v>
      </c>
      <c r="B15263" s="845" t="s">
        <v>2564</v>
      </c>
      <c r="C15263" s="1007">
        <f t="shared" si="347"/>
        <v>142</v>
      </c>
      <c r="D15263" s="1012"/>
      <c r="H15263" s="1011" t="s">
        <v>1010</v>
      </c>
      <c r="K15263" s="1013"/>
    </row>
    <row r="15264" spans="1:11" s="1011" customFormat="1" ht="15" x14ac:dyDescent="0.25">
      <c r="A15264" s="859">
        <f t="shared" si="348"/>
        <v>15263</v>
      </c>
      <c r="B15264" s="845" t="s">
        <v>2564</v>
      </c>
      <c r="C15264" s="1007">
        <f t="shared" si="347"/>
        <v>142</v>
      </c>
      <c r="D15264" s="1012"/>
      <c r="H15264" s="1011" t="s">
        <v>1007</v>
      </c>
      <c r="K15264" s="1013"/>
    </row>
    <row r="15265" spans="1:11" s="1011" customFormat="1" ht="15" x14ac:dyDescent="0.25">
      <c r="A15265" s="859">
        <f t="shared" si="348"/>
        <v>15264</v>
      </c>
      <c r="B15265" s="845" t="s">
        <v>2564</v>
      </c>
      <c r="C15265" s="1007">
        <f t="shared" si="347"/>
        <v>142</v>
      </c>
      <c r="D15265" s="1014"/>
      <c r="I15265" s="1011" t="s">
        <v>2179</v>
      </c>
      <c r="K15265" s="1013"/>
    </row>
    <row r="15266" spans="1:11" s="1011" customFormat="1" ht="15" x14ac:dyDescent="0.25">
      <c r="A15266" s="859">
        <f t="shared" si="348"/>
        <v>15265</v>
      </c>
      <c r="B15266" s="845" t="s">
        <v>2564</v>
      </c>
      <c r="C15266" s="1007">
        <f t="shared" si="347"/>
        <v>142</v>
      </c>
      <c r="D15266" s="1014"/>
      <c r="I15266" s="1011" t="str">
        <f>CONCATENATE("&lt;valeur&gt;",VLOOKUP(C15266,'T16 Amort'!A:K,7,0),"&lt;/valeur&gt;")</f>
        <v>&lt;valeur&gt;&lt;/valeur&gt;</v>
      </c>
      <c r="K15266" s="1013"/>
    </row>
    <row r="15267" spans="1:11" s="1011" customFormat="1" ht="15" x14ac:dyDescent="0.25">
      <c r="A15267" s="859">
        <f t="shared" si="348"/>
        <v>15266</v>
      </c>
      <c r="B15267" s="845" t="s">
        <v>2564</v>
      </c>
      <c r="C15267" s="1007">
        <f t="shared" si="347"/>
        <v>142</v>
      </c>
      <c r="D15267" s="1012"/>
      <c r="I15267" s="1011" t="str">
        <f>CONCATENATE("&lt;numeroLigne&gt;",C15267,"&lt;/numeroLigne&gt;")</f>
        <v>&lt;numeroLigne&gt;142&lt;/numeroLigne&gt;</v>
      </c>
      <c r="K15267" s="1013"/>
    </row>
    <row r="15268" spans="1:11" s="1011" customFormat="1" ht="15" x14ac:dyDescent="0.25">
      <c r="A15268" s="859">
        <f t="shared" si="348"/>
        <v>15267</v>
      </c>
      <c r="B15268" s="845" t="s">
        <v>2564</v>
      </c>
      <c r="C15268" s="1007">
        <f t="shared" si="347"/>
        <v>142</v>
      </c>
      <c r="D15268" s="1015"/>
      <c r="H15268" s="1011" t="s">
        <v>1010</v>
      </c>
      <c r="K15268" s="1013"/>
    </row>
    <row r="15269" spans="1:11" s="1011" customFormat="1" ht="15" x14ac:dyDescent="0.25">
      <c r="A15269" s="859">
        <f t="shared" si="348"/>
        <v>15268</v>
      </c>
      <c r="B15269" s="845" t="s">
        <v>2564</v>
      </c>
      <c r="C15269" s="1007">
        <f t="shared" si="347"/>
        <v>142</v>
      </c>
      <c r="D15269" s="1012"/>
      <c r="H15269" s="1011" t="s">
        <v>1007</v>
      </c>
      <c r="K15269" s="1013"/>
    </row>
    <row r="15270" spans="1:11" s="1011" customFormat="1" ht="15" x14ac:dyDescent="0.25">
      <c r="A15270" s="859">
        <f t="shared" si="348"/>
        <v>15269</v>
      </c>
      <c r="B15270" s="845" t="s">
        <v>2564</v>
      </c>
      <c r="C15270" s="1007">
        <f t="shared" si="347"/>
        <v>142</v>
      </c>
      <c r="D15270" s="1012"/>
      <c r="I15270" s="1011" t="s">
        <v>2180</v>
      </c>
      <c r="K15270" s="1013"/>
    </row>
    <row r="15271" spans="1:11" s="1011" customFormat="1" ht="15" x14ac:dyDescent="0.25">
      <c r="A15271" s="859">
        <f t="shared" si="348"/>
        <v>15270</v>
      </c>
      <c r="B15271" s="845" t="s">
        <v>2564</v>
      </c>
      <c r="C15271" s="1007">
        <f t="shared" si="347"/>
        <v>142</v>
      </c>
      <c r="D15271" s="1014"/>
      <c r="I15271" s="1011" t="str">
        <f>CONCATENATE("&lt;valeur&gt;",VLOOKUP(C15271,'T16 Amort'!A:K,8,0),"&lt;/valeur&gt;")</f>
        <v>&lt;valeur&gt;&lt;/valeur&gt;</v>
      </c>
      <c r="K15271" s="1013"/>
    </row>
    <row r="15272" spans="1:11" s="1011" customFormat="1" ht="15" x14ac:dyDescent="0.25">
      <c r="A15272" s="859">
        <f t="shared" si="348"/>
        <v>15271</v>
      </c>
      <c r="B15272" s="845" t="s">
        <v>2564</v>
      </c>
      <c r="C15272" s="1007">
        <f t="shared" si="347"/>
        <v>142</v>
      </c>
      <c r="D15272" s="1014"/>
      <c r="I15272" s="1011" t="str">
        <f>CONCATENATE("&lt;numeroLigne&gt;",C15272,"&lt;/numeroLigne&gt;")</f>
        <v>&lt;numeroLigne&gt;142&lt;/numeroLigne&gt;</v>
      </c>
      <c r="K15272" s="1013"/>
    </row>
    <row r="15273" spans="1:11" s="1011" customFormat="1" ht="15" x14ac:dyDescent="0.25">
      <c r="A15273" s="859">
        <f t="shared" si="348"/>
        <v>15272</v>
      </c>
      <c r="B15273" s="845" t="s">
        <v>2564</v>
      </c>
      <c r="C15273" s="1007">
        <f t="shared" si="347"/>
        <v>142</v>
      </c>
      <c r="D15273" s="1012"/>
      <c r="H15273" s="1011" t="s">
        <v>1010</v>
      </c>
      <c r="K15273" s="1013"/>
    </row>
    <row r="15274" spans="1:11" s="1011" customFormat="1" ht="15" x14ac:dyDescent="0.25">
      <c r="A15274" s="859">
        <f t="shared" si="348"/>
        <v>15273</v>
      </c>
      <c r="B15274" s="845" t="s">
        <v>2564</v>
      </c>
      <c r="C15274" s="1007">
        <f t="shared" si="347"/>
        <v>142</v>
      </c>
      <c r="D15274" s="1015"/>
      <c r="H15274" s="1011" t="s">
        <v>1007</v>
      </c>
      <c r="K15274" s="1013"/>
    </row>
    <row r="15275" spans="1:11" s="1011" customFormat="1" ht="15" x14ac:dyDescent="0.25">
      <c r="A15275" s="859">
        <f t="shared" si="348"/>
        <v>15274</v>
      </c>
      <c r="B15275" s="845" t="s">
        <v>2564</v>
      </c>
      <c r="C15275" s="1007">
        <f t="shared" si="347"/>
        <v>142</v>
      </c>
      <c r="D15275" s="1012"/>
      <c r="I15275" s="1011" t="s">
        <v>2181</v>
      </c>
      <c r="K15275" s="1013"/>
    </row>
    <row r="15276" spans="1:11" s="1011" customFormat="1" ht="15" x14ac:dyDescent="0.25">
      <c r="A15276" s="859">
        <f t="shared" si="348"/>
        <v>15275</v>
      </c>
      <c r="B15276" s="845" t="s">
        <v>2564</v>
      </c>
      <c r="C15276" s="1007">
        <f t="shared" si="347"/>
        <v>142</v>
      </c>
      <c r="D15276" s="1012"/>
      <c r="I15276" s="1011" t="str">
        <f>CONCATENATE("&lt;valeur&gt;",VLOOKUP(C15276,'T16 Amort'!A:K,9,0),"&lt;/valeur&gt;")</f>
        <v>&lt;valeur&gt;&lt;/valeur&gt;</v>
      </c>
      <c r="K15276" s="1013"/>
    </row>
    <row r="15277" spans="1:11" s="1011" customFormat="1" ht="15" x14ac:dyDescent="0.25">
      <c r="A15277" s="859">
        <f t="shared" si="348"/>
        <v>15276</v>
      </c>
      <c r="B15277" s="845" t="s">
        <v>2564</v>
      </c>
      <c r="C15277" s="1007">
        <f t="shared" si="347"/>
        <v>142</v>
      </c>
      <c r="D15277" s="1014"/>
      <c r="I15277" s="1011" t="str">
        <f>CONCATENATE("&lt;numeroLigne&gt;",C15277,"&lt;/numeroLigne&gt;")</f>
        <v>&lt;numeroLigne&gt;142&lt;/numeroLigne&gt;</v>
      </c>
      <c r="K15277" s="1013"/>
    </row>
    <row r="15278" spans="1:11" s="1011" customFormat="1" ht="15" x14ac:dyDescent="0.25">
      <c r="A15278" s="859">
        <f t="shared" si="348"/>
        <v>15277</v>
      </c>
      <c r="B15278" s="845" t="s">
        <v>2564</v>
      </c>
      <c r="C15278" s="1007">
        <f t="shared" si="347"/>
        <v>142</v>
      </c>
      <c r="D15278" s="1014"/>
      <c r="H15278" s="1011" t="s">
        <v>1010</v>
      </c>
      <c r="K15278" s="1013"/>
    </row>
    <row r="15279" spans="1:11" s="1011" customFormat="1" ht="15" x14ac:dyDescent="0.25">
      <c r="A15279" s="859">
        <f t="shared" si="348"/>
        <v>15278</v>
      </c>
      <c r="B15279" s="845" t="s">
        <v>2564</v>
      </c>
      <c r="C15279" s="1007">
        <f t="shared" ref="C15279:C15342" si="349">C15229+1</f>
        <v>142</v>
      </c>
      <c r="D15279" s="1012"/>
      <c r="H15279" s="1011" t="s">
        <v>1007</v>
      </c>
      <c r="K15279" s="1013"/>
    </row>
    <row r="15280" spans="1:11" s="1011" customFormat="1" ht="15" x14ac:dyDescent="0.25">
      <c r="A15280" s="859">
        <f t="shared" si="348"/>
        <v>15279</v>
      </c>
      <c r="B15280" s="845" t="s">
        <v>2564</v>
      </c>
      <c r="C15280" s="1007">
        <f t="shared" si="349"/>
        <v>142</v>
      </c>
      <c r="D15280" s="1015"/>
      <c r="I15280" s="1011" t="s">
        <v>2182</v>
      </c>
      <c r="K15280" s="1013"/>
    </row>
    <row r="15281" spans="1:11" s="1011" customFormat="1" ht="15" x14ac:dyDescent="0.25">
      <c r="A15281" s="859">
        <f t="shared" si="348"/>
        <v>15280</v>
      </c>
      <c r="B15281" s="845" t="s">
        <v>2564</v>
      </c>
      <c r="C15281" s="1007">
        <f t="shared" si="349"/>
        <v>142</v>
      </c>
      <c r="D15281" s="1012"/>
      <c r="I15281" s="1011" t="str">
        <f>CONCATENATE("&lt;valeur&gt;",VLOOKUP(C15281,'T16 Amort'!A:K,10,0),"&lt;/valeur&gt;")</f>
        <v>&lt;valeur&gt;&lt;/valeur&gt;</v>
      </c>
      <c r="K15281" s="1013"/>
    </row>
    <row r="15282" spans="1:11" s="1011" customFormat="1" ht="15" x14ac:dyDescent="0.25">
      <c r="A15282" s="859">
        <f t="shared" si="348"/>
        <v>15281</v>
      </c>
      <c r="B15282" s="845" t="s">
        <v>2564</v>
      </c>
      <c r="C15282" s="1007">
        <f t="shared" si="349"/>
        <v>142</v>
      </c>
      <c r="D15282" s="1012"/>
      <c r="I15282" s="1011" t="str">
        <f>CONCATENATE("&lt;numeroLigne&gt;",C15282,"&lt;/numeroLigne&gt;")</f>
        <v>&lt;numeroLigne&gt;142&lt;/numeroLigne&gt;</v>
      </c>
      <c r="K15282" s="1013"/>
    </row>
    <row r="15283" spans="1:11" s="1011" customFormat="1" ht="15" x14ac:dyDescent="0.25">
      <c r="A15283" s="859">
        <f t="shared" si="348"/>
        <v>15282</v>
      </c>
      <c r="B15283" s="845" t="s">
        <v>2564</v>
      </c>
      <c r="C15283" s="1007">
        <f t="shared" si="349"/>
        <v>142</v>
      </c>
      <c r="D15283" s="1014"/>
      <c r="H15283" s="1011" t="s">
        <v>1010</v>
      </c>
      <c r="K15283" s="1013"/>
    </row>
    <row r="15284" spans="1:11" s="1011" customFormat="1" ht="15" x14ac:dyDescent="0.25">
      <c r="A15284" s="859">
        <f t="shared" si="348"/>
        <v>15283</v>
      </c>
      <c r="B15284" s="845" t="s">
        <v>2564</v>
      </c>
      <c r="C15284" s="1007">
        <f t="shared" si="349"/>
        <v>142</v>
      </c>
      <c r="D15284" s="1014"/>
      <c r="H15284" s="1011" t="s">
        <v>1007</v>
      </c>
      <c r="K15284" s="1013"/>
    </row>
    <row r="15285" spans="1:11" s="1011" customFormat="1" ht="15" x14ac:dyDescent="0.25">
      <c r="A15285" s="859">
        <f t="shared" si="348"/>
        <v>15284</v>
      </c>
      <c r="B15285" s="845" t="s">
        <v>2564</v>
      </c>
      <c r="C15285" s="1007">
        <f t="shared" si="349"/>
        <v>142</v>
      </c>
      <c r="D15285" s="1012"/>
      <c r="I15285" s="1011" t="s">
        <v>2183</v>
      </c>
      <c r="K15285" s="1013"/>
    </row>
    <row r="15286" spans="1:11" s="1011" customFormat="1" ht="15" x14ac:dyDescent="0.25">
      <c r="A15286" s="859">
        <f t="shared" si="348"/>
        <v>15285</v>
      </c>
      <c r="B15286" s="845" t="s">
        <v>2564</v>
      </c>
      <c r="C15286" s="1007">
        <f t="shared" si="349"/>
        <v>142</v>
      </c>
      <c r="D15286" s="1015"/>
      <c r="I15286" s="1011" t="str">
        <f>CONCATENATE("&lt;valeur&gt;",VLOOKUP(C15286,'T16 Amort'!A:K,11,0),"&lt;/valeur&gt;")</f>
        <v>&lt;valeur&gt;&lt;/valeur&gt;</v>
      </c>
      <c r="K15286" s="1013"/>
    </row>
    <row r="15287" spans="1:11" s="1011" customFormat="1" ht="15" x14ac:dyDescent="0.25">
      <c r="A15287" s="859">
        <f t="shared" si="348"/>
        <v>15286</v>
      </c>
      <c r="B15287" s="845" t="s">
        <v>2564</v>
      </c>
      <c r="C15287" s="1007">
        <f t="shared" si="349"/>
        <v>142</v>
      </c>
      <c r="D15287" s="1012"/>
      <c r="I15287" s="1011" t="str">
        <f>CONCATENATE("&lt;numeroLigne&gt;",C15287,"&lt;/numeroLigne&gt;")</f>
        <v>&lt;numeroLigne&gt;142&lt;/numeroLigne&gt;</v>
      </c>
      <c r="K15287" s="1013"/>
    </row>
    <row r="15288" spans="1:11" s="1011" customFormat="1" ht="15" x14ac:dyDescent="0.25">
      <c r="A15288" s="859">
        <f t="shared" si="348"/>
        <v>15287</v>
      </c>
      <c r="B15288" s="845" t="s">
        <v>2564</v>
      </c>
      <c r="C15288" s="1007">
        <f t="shared" si="349"/>
        <v>142</v>
      </c>
      <c r="D15288" s="1016"/>
      <c r="E15288" s="1017"/>
      <c r="F15288" s="1017"/>
      <c r="G15288" s="1017"/>
      <c r="H15288" s="1017" t="s">
        <v>1010</v>
      </c>
      <c r="I15288" s="1017"/>
      <c r="J15288" s="1017"/>
      <c r="K15288" s="1018"/>
    </row>
    <row r="15289" spans="1:11" s="1011" customFormat="1" ht="15" x14ac:dyDescent="0.25">
      <c r="A15289" s="859">
        <f t="shared" si="348"/>
        <v>15288</v>
      </c>
      <c r="B15289" s="845" t="s">
        <v>2564</v>
      </c>
      <c r="C15289" s="1007">
        <f t="shared" si="349"/>
        <v>143</v>
      </c>
      <c r="D15289" s="1008"/>
      <c r="E15289" s="1009"/>
      <c r="F15289" s="1009"/>
      <c r="G15289" s="1009"/>
      <c r="H15289" s="1009" t="s">
        <v>1007</v>
      </c>
      <c r="I15289" s="1009"/>
      <c r="J15289" s="1009"/>
      <c r="K15289" s="1010"/>
    </row>
    <row r="15290" spans="1:11" s="1011" customFormat="1" ht="15" x14ac:dyDescent="0.25">
      <c r="A15290" s="859">
        <f t="shared" si="348"/>
        <v>15289</v>
      </c>
      <c r="B15290" s="845" t="s">
        <v>2564</v>
      </c>
      <c r="C15290" s="1007">
        <f t="shared" si="349"/>
        <v>143</v>
      </c>
      <c r="D15290" s="1012"/>
      <c r="I15290" s="1011" t="s">
        <v>2174</v>
      </c>
      <c r="K15290" s="1013"/>
    </row>
    <row r="15291" spans="1:11" s="1011" customFormat="1" ht="15" x14ac:dyDescent="0.25">
      <c r="A15291" s="859">
        <f t="shared" si="348"/>
        <v>15290</v>
      </c>
      <c r="B15291" s="845" t="s">
        <v>2564</v>
      </c>
      <c r="C15291" s="1007">
        <f t="shared" si="349"/>
        <v>143</v>
      </c>
      <c r="D15291" s="1014"/>
      <c r="I15291" s="1011" t="str">
        <f>CONCATENATE("&lt;valeur&gt;",VLOOKUP(C15291,'T16 Amort'!A:K,2,0),"&lt;/valeur&gt;")</f>
        <v>&lt;valeur&gt;&lt;/valeur&gt;</v>
      </c>
      <c r="K15291" s="1013"/>
    </row>
    <row r="15292" spans="1:11" s="1011" customFormat="1" ht="15" x14ac:dyDescent="0.25">
      <c r="A15292" s="859">
        <f t="shared" si="348"/>
        <v>15291</v>
      </c>
      <c r="B15292" s="845" t="s">
        <v>2564</v>
      </c>
      <c r="C15292" s="1007">
        <f t="shared" si="349"/>
        <v>143</v>
      </c>
      <c r="D15292" s="1014"/>
      <c r="I15292" s="1011" t="str">
        <f>CONCATENATE("&lt;numeroLigne&gt;",C15292,"&lt;/numeroLigne&gt;")</f>
        <v>&lt;numeroLigne&gt;143&lt;/numeroLigne&gt;</v>
      </c>
      <c r="K15292" s="1013"/>
    </row>
    <row r="15293" spans="1:11" s="1011" customFormat="1" ht="15" x14ac:dyDescent="0.25">
      <c r="A15293" s="859">
        <f t="shared" si="348"/>
        <v>15292</v>
      </c>
      <c r="B15293" s="845" t="s">
        <v>2564</v>
      </c>
      <c r="C15293" s="1007">
        <f t="shared" si="349"/>
        <v>143</v>
      </c>
      <c r="D15293" s="1012"/>
      <c r="H15293" s="1011" t="s">
        <v>1010</v>
      </c>
      <c r="K15293" s="1013"/>
    </row>
    <row r="15294" spans="1:11" s="1011" customFormat="1" ht="15" x14ac:dyDescent="0.25">
      <c r="A15294" s="859">
        <f t="shared" si="348"/>
        <v>15293</v>
      </c>
      <c r="B15294" s="845" t="s">
        <v>2564</v>
      </c>
      <c r="C15294" s="1007">
        <f t="shared" si="349"/>
        <v>143</v>
      </c>
      <c r="D15294" s="1015"/>
      <c r="H15294" s="1011" t="s">
        <v>1007</v>
      </c>
      <c r="K15294" s="1013"/>
    </row>
    <row r="15295" spans="1:11" s="1011" customFormat="1" ht="15" x14ac:dyDescent="0.25">
      <c r="A15295" s="859">
        <f t="shared" si="348"/>
        <v>15294</v>
      </c>
      <c r="B15295" s="845" t="s">
        <v>2564</v>
      </c>
      <c r="C15295" s="1007">
        <f t="shared" si="349"/>
        <v>143</v>
      </c>
      <c r="D15295" s="1012"/>
      <c r="I15295" s="1011" t="s">
        <v>2175</v>
      </c>
      <c r="K15295" s="1013"/>
    </row>
    <row r="15296" spans="1:11" s="1011" customFormat="1" ht="15" x14ac:dyDescent="0.25">
      <c r="A15296" s="859">
        <f t="shared" si="348"/>
        <v>15295</v>
      </c>
      <c r="B15296" s="845" t="s">
        <v>2564</v>
      </c>
      <c r="C15296" s="1007">
        <f t="shared" si="349"/>
        <v>143</v>
      </c>
      <c r="D15296" s="1012"/>
      <c r="I15296" s="1011" t="str">
        <f>CONCATENATE("&lt;valeur&gt;",VLOOKUP(C15296,'T16 Amort'!A:K,3,0),"&lt;/valeur&gt;")</f>
        <v>&lt;valeur&gt;&lt;/valeur&gt;</v>
      </c>
      <c r="K15296" s="1013"/>
    </row>
    <row r="15297" spans="1:11" s="1011" customFormat="1" ht="15" x14ac:dyDescent="0.25">
      <c r="A15297" s="859">
        <f t="shared" si="348"/>
        <v>15296</v>
      </c>
      <c r="B15297" s="845" t="s">
        <v>2564</v>
      </c>
      <c r="C15297" s="1007">
        <f t="shared" si="349"/>
        <v>143</v>
      </c>
      <c r="D15297" s="1014"/>
      <c r="I15297" s="1011" t="str">
        <f>CONCATENATE("&lt;numeroLigne&gt;",C15297,"&lt;/numeroLigne&gt;")</f>
        <v>&lt;numeroLigne&gt;143&lt;/numeroLigne&gt;</v>
      </c>
      <c r="K15297" s="1013"/>
    </row>
    <row r="15298" spans="1:11" s="1011" customFormat="1" ht="15" x14ac:dyDescent="0.25">
      <c r="A15298" s="859">
        <f t="shared" si="348"/>
        <v>15297</v>
      </c>
      <c r="B15298" s="845" t="s">
        <v>2564</v>
      </c>
      <c r="C15298" s="1007">
        <f t="shared" si="349"/>
        <v>143</v>
      </c>
      <c r="D15298" s="1014"/>
      <c r="H15298" s="1011" t="s">
        <v>1010</v>
      </c>
      <c r="K15298" s="1013"/>
    </row>
    <row r="15299" spans="1:11" s="1011" customFormat="1" ht="15" x14ac:dyDescent="0.25">
      <c r="A15299" s="859">
        <f t="shared" si="348"/>
        <v>15298</v>
      </c>
      <c r="B15299" s="845" t="s">
        <v>2564</v>
      </c>
      <c r="C15299" s="1007">
        <f t="shared" si="349"/>
        <v>143</v>
      </c>
      <c r="D15299" s="1012"/>
      <c r="H15299" s="1011" t="s">
        <v>1007</v>
      </c>
      <c r="K15299" s="1013"/>
    </row>
    <row r="15300" spans="1:11" s="1011" customFormat="1" ht="15" x14ac:dyDescent="0.25">
      <c r="A15300" s="859">
        <f t="shared" ref="A15300:A15363" si="350">+A15299+1</f>
        <v>15299</v>
      </c>
      <c r="B15300" s="845" t="s">
        <v>2564</v>
      </c>
      <c r="C15300" s="1007">
        <f t="shared" si="349"/>
        <v>143</v>
      </c>
      <c r="D15300" s="1015"/>
      <c r="I15300" s="1011" t="s">
        <v>2176</v>
      </c>
      <c r="K15300" s="1013"/>
    </row>
    <row r="15301" spans="1:11" s="1011" customFormat="1" ht="15" x14ac:dyDescent="0.25">
      <c r="A15301" s="859">
        <f t="shared" si="350"/>
        <v>15300</v>
      </c>
      <c r="B15301" s="845" t="s">
        <v>2564</v>
      </c>
      <c r="C15301" s="1007">
        <f t="shared" si="349"/>
        <v>143</v>
      </c>
      <c r="D15301" s="1012"/>
      <c r="I15301" s="1011" t="str">
        <f>CONCATENATE("&lt;valeur&gt;",VLOOKUP(C15301,'T16 Amort'!A:K,4,0),"&lt;/valeur&gt;")</f>
        <v>&lt;valeur&gt;&lt;/valeur&gt;</v>
      </c>
      <c r="K15301" s="1013"/>
    </row>
    <row r="15302" spans="1:11" s="1011" customFormat="1" ht="15" x14ac:dyDescent="0.25">
      <c r="A15302" s="859">
        <f t="shared" si="350"/>
        <v>15301</v>
      </c>
      <c r="B15302" s="845" t="s">
        <v>2564</v>
      </c>
      <c r="C15302" s="1007">
        <f t="shared" si="349"/>
        <v>143</v>
      </c>
      <c r="D15302" s="1012"/>
      <c r="I15302" s="1011" t="str">
        <f>CONCATENATE("&lt;numeroLigne&gt;",C15302,"&lt;/numeroLigne&gt;")</f>
        <v>&lt;numeroLigne&gt;143&lt;/numeroLigne&gt;</v>
      </c>
      <c r="K15302" s="1013"/>
    </row>
    <row r="15303" spans="1:11" s="1011" customFormat="1" ht="15" x14ac:dyDescent="0.25">
      <c r="A15303" s="859">
        <f t="shared" si="350"/>
        <v>15302</v>
      </c>
      <c r="B15303" s="845" t="s">
        <v>2564</v>
      </c>
      <c r="C15303" s="1007">
        <f t="shared" si="349"/>
        <v>143</v>
      </c>
      <c r="D15303" s="1014"/>
      <c r="H15303" s="1011" t="s">
        <v>1010</v>
      </c>
      <c r="K15303" s="1013"/>
    </row>
    <row r="15304" spans="1:11" s="1011" customFormat="1" ht="15" x14ac:dyDescent="0.25">
      <c r="A15304" s="859">
        <f t="shared" si="350"/>
        <v>15303</v>
      </c>
      <c r="B15304" s="845" t="s">
        <v>2564</v>
      </c>
      <c r="C15304" s="1007">
        <f t="shared" si="349"/>
        <v>143</v>
      </c>
      <c r="D15304" s="1014"/>
      <c r="H15304" s="1011" t="s">
        <v>1007</v>
      </c>
      <c r="K15304" s="1013"/>
    </row>
    <row r="15305" spans="1:11" s="1011" customFormat="1" ht="15" x14ac:dyDescent="0.25">
      <c r="A15305" s="859">
        <f t="shared" si="350"/>
        <v>15304</v>
      </c>
      <c r="B15305" s="845" t="s">
        <v>2564</v>
      </c>
      <c r="C15305" s="1007">
        <f t="shared" si="349"/>
        <v>143</v>
      </c>
      <c r="D15305" s="1012"/>
      <c r="I15305" s="1011" t="s">
        <v>2177</v>
      </c>
      <c r="K15305" s="1013"/>
    </row>
    <row r="15306" spans="1:11" s="1011" customFormat="1" ht="15" x14ac:dyDescent="0.25">
      <c r="A15306" s="859">
        <f t="shared" si="350"/>
        <v>15305</v>
      </c>
      <c r="B15306" s="845" t="s">
        <v>2564</v>
      </c>
      <c r="C15306" s="1007">
        <f t="shared" si="349"/>
        <v>143</v>
      </c>
      <c r="D15306" s="1015"/>
      <c r="I15306" s="1011" t="str">
        <f>CONCATENATE("&lt;valeur&gt;",VLOOKUP(C15306,'T16 Amort'!A:K,5,0),"&lt;/valeur&gt;")</f>
        <v>&lt;valeur&gt;&lt;/valeur&gt;</v>
      </c>
      <c r="K15306" s="1013"/>
    </row>
    <row r="15307" spans="1:11" s="1011" customFormat="1" ht="15" x14ac:dyDescent="0.25">
      <c r="A15307" s="859">
        <f t="shared" si="350"/>
        <v>15306</v>
      </c>
      <c r="B15307" s="845" t="s">
        <v>2564</v>
      </c>
      <c r="C15307" s="1007">
        <f t="shared" si="349"/>
        <v>143</v>
      </c>
      <c r="D15307" s="1012"/>
      <c r="I15307" s="1011" t="str">
        <f>CONCATENATE("&lt;numeroLigne&gt;",C15307,"&lt;/numeroLigne&gt;")</f>
        <v>&lt;numeroLigne&gt;143&lt;/numeroLigne&gt;</v>
      </c>
      <c r="K15307" s="1013"/>
    </row>
    <row r="15308" spans="1:11" s="1011" customFormat="1" ht="15" x14ac:dyDescent="0.25">
      <c r="A15308" s="859">
        <f t="shared" si="350"/>
        <v>15307</v>
      </c>
      <c r="B15308" s="845" t="s">
        <v>2564</v>
      </c>
      <c r="C15308" s="1007">
        <f t="shared" si="349"/>
        <v>143</v>
      </c>
      <c r="D15308" s="1012"/>
      <c r="H15308" s="1011" t="s">
        <v>1010</v>
      </c>
      <c r="K15308" s="1013"/>
    </row>
    <row r="15309" spans="1:11" s="1011" customFormat="1" ht="15" x14ac:dyDescent="0.25">
      <c r="A15309" s="859">
        <f t="shared" si="350"/>
        <v>15308</v>
      </c>
      <c r="B15309" s="845" t="s">
        <v>2564</v>
      </c>
      <c r="C15309" s="1007">
        <f t="shared" si="349"/>
        <v>143</v>
      </c>
      <c r="D15309" s="1014"/>
      <c r="H15309" s="1011" t="s">
        <v>1007</v>
      </c>
      <c r="K15309" s="1013"/>
    </row>
    <row r="15310" spans="1:11" s="1011" customFormat="1" ht="15" x14ac:dyDescent="0.25">
      <c r="A15310" s="859">
        <f t="shared" si="350"/>
        <v>15309</v>
      </c>
      <c r="B15310" s="845" t="s">
        <v>2564</v>
      </c>
      <c r="C15310" s="1007">
        <f t="shared" si="349"/>
        <v>143</v>
      </c>
      <c r="D15310" s="1014"/>
      <c r="I15310" s="1011" t="s">
        <v>2178</v>
      </c>
      <c r="K15310" s="1013"/>
    </row>
    <row r="15311" spans="1:11" s="1011" customFormat="1" ht="15" x14ac:dyDescent="0.25">
      <c r="A15311" s="859">
        <f t="shared" si="350"/>
        <v>15310</v>
      </c>
      <c r="B15311" s="845" t="s">
        <v>2564</v>
      </c>
      <c r="C15311" s="1007">
        <f t="shared" si="349"/>
        <v>143</v>
      </c>
      <c r="D15311" s="1012"/>
      <c r="I15311" s="1011" t="str">
        <f>CONCATENATE("&lt;valeur&gt;",VLOOKUP(C15311,'T16 Amort'!A:K,6,0),"&lt;/valeur&gt;")</f>
        <v>&lt;valeur&gt;&lt;/valeur&gt;</v>
      </c>
      <c r="K15311" s="1013"/>
    </row>
    <row r="15312" spans="1:11" s="1011" customFormat="1" ht="15" x14ac:dyDescent="0.25">
      <c r="A15312" s="859">
        <f t="shared" si="350"/>
        <v>15311</v>
      </c>
      <c r="B15312" s="845" t="s">
        <v>2564</v>
      </c>
      <c r="C15312" s="1007">
        <f t="shared" si="349"/>
        <v>143</v>
      </c>
      <c r="D15312" s="1015"/>
      <c r="I15312" s="1011" t="str">
        <f>CONCATENATE("&lt;numeroLigne&gt;",C15312,"&lt;/numeroLigne&gt;")</f>
        <v>&lt;numeroLigne&gt;143&lt;/numeroLigne&gt;</v>
      </c>
      <c r="K15312" s="1013"/>
    </row>
    <row r="15313" spans="1:11" s="1011" customFormat="1" ht="15" x14ac:dyDescent="0.25">
      <c r="A15313" s="859">
        <f t="shared" si="350"/>
        <v>15312</v>
      </c>
      <c r="B15313" s="845" t="s">
        <v>2564</v>
      </c>
      <c r="C15313" s="1007">
        <f t="shared" si="349"/>
        <v>143</v>
      </c>
      <c r="D15313" s="1012"/>
      <c r="H15313" s="1011" t="s">
        <v>1010</v>
      </c>
      <c r="K15313" s="1013"/>
    </row>
    <row r="15314" spans="1:11" s="1011" customFormat="1" ht="15" x14ac:dyDescent="0.25">
      <c r="A15314" s="859">
        <f t="shared" si="350"/>
        <v>15313</v>
      </c>
      <c r="B15314" s="845" t="s">
        <v>2564</v>
      </c>
      <c r="C15314" s="1007">
        <f t="shared" si="349"/>
        <v>143</v>
      </c>
      <c r="D15314" s="1012"/>
      <c r="H15314" s="1011" t="s">
        <v>1007</v>
      </c>
      <c r="K15314" s="1013"/>
    </row>
    <row r="15315" spans="1:11" s="1011" customFormat="1" ht="15" x14ac:dyDescent="0.25">
      <c r="A15315" s="859">
        <f t="shared" si="350"/>
        <v>15314</v>
      </c>
      <c r="B15315" s="845" t="s">
        <v>2564</v>
      </c>
      <c r="C15315" s="1007">
        <f t="shared" si="349"/>
        <v>143</v>
      </c>
      <c r="D15315" s="1014"/>
      <c r="I15315" s="1011" t="s">
        <v>2179</v>
      </c>
      <c r="K15315" s="1013"/>
    </row>
    <row r="15316" spans="1:11" s="1011" customFormat="1" ht="15" x14ac:dyDescent="0.25">
      <c r="A15316" s="859">
        <f t="shared" si="350"/>
        <v>15315</v>
      </c>
      <c r="B15316" s="845" t="s">
        <v>2564</v>
      </c>
      <c r="C15316" s="1007">
        <f t="shared" si="349"/>
        <v>143</v>
      </c>
      <c r="D15316" s="1014"/>
      <c r="I15316" s="1011" t="str">
        <f>CONCATENATE("&lt;valeur&gt;",VLOOKUP(C15316,'T16 Amort'!A:K,7,0),"&lt;/valeur&gt;")</f>
        <v>&lt;valeur&gt;&lt;/valeur&gt;</v>
      </c>
      <c r="K15316" s="1013"/>
    </row>
    <row r="15317" spans="1:11" s="1011" customFormat="1" ht="15" x14ac:dyDescent="0.25">
      <c r="A15317" s="859">
        <f t="shared" si="350"/>
        <v>15316</v>
      </c>
      <c r="B15317" s="845" t="s">
        <v>2564</v>
      </c>
      <c r="C15317" s="1007">
        <f t="shared" si="349"/>
        <v>143</v>
      </c>
      <c r="D15317" s="1012"/>
      <c r="I15317" s="1011" t="str">
        <f>CONCATENATE("&lt;numeroLigne&gt;",C15317,"&lt;/numeroLigne&gt;")</f>
        <v>&lt;numeroLigne&gt;143&lt;/numeroLigne&gt;</v>
      </c>
      <c r="K15317" s="1013"/>
    </row>
    <row r="15318" spans="1:11" s="1011" customFormat="1" ht="15" x14ac:dyDescent="0.25">
      <c r="A15318" s="859">
        <f t="shared" si="350"/>
        <v>15317</v>
      </c>
      <c r="B15318" s="845" t="s">
        <v>2564</v>
      </c>
      <c r="C15318" s="1007">
        <f t="shared" si="349"/>
        <v>143</v>
      </c>
      <c r="D15318" s="1015"/>
      <c r="H15318" s="1011" t="s">
        <v>1010</v>
      </c>
      <c r="K15318" s="1013"/>
    </row>
    <row r="15319" spans="1:11" s="1011" customFormat="1" ht="15" x14ac:dyDescent="0.25">
      <c r="A15319" s="859">
        <f t="shared" si="350"/>
        <v>15318</v>
      </c>
      <c r="B15319" s="845" t="s">
        <v>2564</v>
      </c>
      <c r="C15319" s="1007">
        <f t="shared" si="349"/>
        <v>143</v>
      </c>
      <c r="D15319" s="1012"/>
      <c r="H15319" s="1011" t="s">
        <v>1007</v>
      </c>
      <c r="K15319" s="1013"/>
    </row>
    <row r="15320" spans="1:11" s="1011" customFormat="1" ht="15" x14ac:dyDescent="0.25">
      <c r="A15320" s="859">
        <f t="shared" si="350"/>
        <v>15319</v>
      </c>
      <c r="B15320" s="845" t="s">
        <v>2564</v>
      </c>
      <c r="C15320" s="1007">
        <f t="shared" si="349"/>
        <v>143</v>
      </c>
      <c r="D15320" s="1012"/>
      <c r="I15320" s="1011" t="s">
        <v>2180</v>
      </c>
      <c r="K15320" s="1013"/>
    </row>
    <row r="15321" spans="1:11" s="1011" customFormat="1" ht="15" x14ac:dyDescent="0.25">
      <c r="A15321" s="859">
        <f t="shared" si="350"/>
        <v>15320</v>
      </c>
      <c r="B15321" s="845" t="s">
        <v>2564</v>
      </c>
      <c r="C15321" s="1007">
        <f t="shared" si="349"/>
        <v>143</v>
      </c>
      <c r="D15321" s="1014"/>
      <c r="I15321" s="1011" t="str">
        <f>CONCATENATE("&lt;valeur&gt;",VLOOKUP(C15321,'T16 Amort'!A:K,8,0),"&lt;/valeur&gt;")</f>
        <v>&lt;valeur&gt;&lt;/valeur&gt;</v>
      </c>
      <c r="K15321" s="1013"/>
    </row>
    <row r="15322" spans="1:11" s="1011" customFormat="1" ht="15" x14ac:dyDescent="0.25">
      <c r="A15322" s="859">
        <f t="shared" si="350"/>
        <v>15321</v>
      </c>
      <c r="B15322" s="845" t="s">
        <v>2564</v>
      </c>
      <c r="C15322" s="1007">
        <f t="shared" si="349"/>
        <v>143</v>
      </c>
      <c r="D15322" s="1014"/>
      <c r="I15322" s="1011" t="str">
        <f>CONCATENATE("&lt;numeroLigne&gt;",C15322,"&lt;/numeroLigne&gt;")</f>
        <v>&lt;numeroLigne&gt;143&lt;/numeroLigne&gt;</v>
      </c>
      <c r="K15322" s="1013"/>
    </row>
    <row r="15323" spans="1:11" s="1011" customFormat="1" ht="15" x14ac:dyDescent="0.25">
      <c r="A15323" s="859">
        <f t="shared" si="350"/>
        <v>15322</v>
      </c>
      <c r="B15323" s="845" t="s">
        <v>2564</v>
      </c>
      <c r="C15323" s="1007">
        <f t="shared" si="349"/>
        <v>143</v>
      </c>
      <c r="D15323" s="1012"/>
      <c r="H15323" s="1011" t="s">
        <v>1010</v>
      </c>
      <c r="K15323" s="1013"/>
    </row>
    <row r="15324" spans="1:11" s="1011" customFormat="1" ht="15" x14ac:dyDescent="0.25">
      <c r="A15324" s="859">
        <f t="shared" si="350"/>
        <v>15323</v>
      </c>
      <c r="B15324" s="845" t="s">
        <v>2564</v>
      </c>
      <c r="C15324" s="1007">
        <f t="shared" si="349"/>
        <v>143</v>
      </c>
      <c r="D15324" s="1015"/>
      <c r="H15324" s="1011" t="s">
        <v>1007</v>
      </c>
      <c r="K15324" s="1013"/>
    </row>
    <row r="15325" spans="1:11" s="1011" customFormat="1" ht="15" x14ac:dyDescent="0.25">
      <c r="A15325" s="859">
        <f t="shared" si="350"/>
        <v>15324</v>
      </c>
      <c r="B15325" s="845" t="s">
        <v>2564</v>
      </c>
      <c r="C15325" s="1007">
        <f t="shared" si="349"/>
        <v>143</v>
      </c>
      <c r="D15325" s="1012"/>
      <c r="I15325" s="1011" t="s">
        <v>2181</v>
      </c>
      <c r="K15325" s="1013"/>
    </row>
    <row r="15326" spans="1:11" s="1011" customFormat="1" ht="15" x14ac:dyDescent="0.25">
      <c r="A15326" s="859">
        <f t="shared" si="350"/>
        <v>15325</v>
      </c>
      <c r="B15326" s="845" t="s">
        <v>2564</v>
      </c>
      <c r="C15326" s="1007">
        <f t="shared" si="349"/>
        <v>143</v>
      </c>
      <c r="D15326" s="1012"/>
      <c r="I15326" s="1011" t="str">
        <f>CONCATENATE("&lt;valeur&gt;",VLOOKUP(C15326,'T16 Amort'!A:K,9,0),"&lt;/valeur&gt;")</f>
        <v>&lt;valeur&gt;&lt;/valeur&gt;</v>
      </c>
      <c r="K15326" s="1013"/>
    </row>
    <row r="15327" spans="1:11" s="1011" customFormat="1" ht="15" x14ac:dyDescent="0.25">
      <c r="A15327" s="859">
        <f t="shared" si="350"/>
        <v>15326</v>
      </c>
      <c r="B15327" s="845" t="s">
        <v>2564</v>
      </c>
      <c r="C15327" s="1007">
        <f t="shared" si="349"/>
        <v>143</v>
      </c>
      <c r="D15327" s="1014"/>
      <c r="I15327" s="1011" t="str">
        <f>CONCATENATE("&lt;numeroLigne&gt;",C15327,"&lt;/numeroLigne&gt;")</f>
        <v>&lt;numeroLigne&gt;143&lt;/numeroLigne&gt;</v>
      </c>
      <c r="K15327" s="1013"/>
    </row>
    <row r="15328" spans="1:11" s="1011" customFormat="1" ht="15" x14ac:dyDescent="0.25">
      <c r="A15328" s="859">
        <f t="shared" si="350"/>
        <v>15327</v>
      </c>
      <c r="B15328" s="845" t="s">
        <v>2564</v>
      </c>
      <c r="C15328" s="1007">
        <f t="shared" si="349"/>
        <v>143</v>
      </c>
      <c r="D15328" s="1014"/>
      <c r="H15328" s="1011" t="s">
        <v>1010</v>
      </c>
      <c r="K15328" s="1013"/>
    </row>
    <row r="15329" spans="1:11" s="1011" customFormat="1" ht="15" x14ac:dyDescent="0.25">
      <c r="A15329" s="859">
        <f t="shared" si="350"/>
        <v>15328</v>
      </c>
      <c r="B15329" s="845" t="s">
        <v>2564</v>
      </c>
      <c r="C15329" s="1007">
        <f t="shared" si="349"/>
        <v>143</v>
      </c>
      <c r="D15329" s="1012"/>
      <c r="H15329" s="1011" t="s">
        <v>1007</v>
      </c>
      <c r="K15329" s="1013"/>
    </row>
    <row r="15330" spans="1:11" s="1011" customFormat="1" ht="15" x14ac:dyDescent="0.25">
      <c r="A15330" s="859">
        <f t="shared" si="350"/>
        <v>15329</v>
      </c>
      <c r="B15330" s="845" t="s">
        <v>2564</v>
      </c>
      <c r="C15330" s="1007">
        <f t="shared" si="349"/>
        <v>143</v>
      </c>
      <c r="D15330" s="1015"/>
      <c r="I15330" s="1011" t="s">
        <v>2182</v>
      </c>
      <c r="K15330" s="1013"/>
    </row>
    <row r="15331" spans="1:11" s="1011" customFormat="1" ht="15" x14ac:dyDescent="0.25">
      <c r="A15331" s="859">
        <f t="shared" si="350"/>
        <v>15330</v>
      </c>
      <c r="B15331" s="845" t="s">
        <v>2564</v>
      </c>
      <c r="C15331" s="1007">
        <f t="shared" si="349"/>
        <v>143</v>
      </c>
      <c r="D15331" s="1012"/>
      <c r="I15331" s="1011" t="str">
        <f>CONCATENATE("&lt;valeur&gt;",VLOOKUP(C15331,'T16 Amort'!A:K,10,0),"&lt;/valeur&gt;")</f>
        <v>&lt;valeur&gt;&lt;/valeur&gt;</v>
      </c>
      <c r="K15331" s="1013"/>
    </row>
    <row r="15332" spans="1:11" s="1011" customFormat="1" ht="15" x14ac:dyDescent="0.25">
      <c r="A15332" s="859">
        <f t="shared" si="350"/>
        <v>15331</v>
      </c>
      <c r="B15332" s="845" t="s">
        <v>2564</v>
      </c>
      <c r="C15332" s="1007">
        <f t="shared" si="349"/>
        <v>143</v>
      </c>
      <c r="D15332" s="1012"/>
      <c r="I15332" s="1011" t="str">
        <f>CONCATENATE("&lt;numeroLigne&gt;",C15332,"&lt;/numeroLigne&gt;")</f>
        <v>&lt;numeroLigne&gt;143&lt;/numeroLigne&gt;</v>
      </c>
      <c r="K15332" s="1013"/>
    </row>
    <row r="15333" spans="1:11" s="1011" customFormat="1" ht="15" x14ac:dyDescent="0.25">
      <c r="A15333" s="859">
        <f t="shared" si="350"/>
        <v>15332</v>
      </c>
      <c r="B15333" s="845" t="s">
        <v>2564</v>
      </c>
      <c r="C15333" s="1007">
        <f t="shared" si="349"/>
        <v>143</v>
      </c>
      <c r="D15333" s="1014"/>
      <c r="H15333" s="1011" t="s">
        <v>1010</v>
      </c>
      <c r="K15333" s="1013"/>
    </row>
    <row r="15334" spans="1:11" s="1011" customFormat="1" ht="15" x14ac:dyDescent="0.25">
      <c r="A15334" s="859">
        <f t="shared" si="350"/>
        <v>15333</v>
      </c>
      <c r="B15334" s="845" t="s">
        <v>2564</v>
      </c>
      <c r="C15334" s="1007">
        <f t="shared" si="349"/>
        <v>143</v>
      </c>
      <c r="D15334" s="1014"/>
      <c r="H15334" s="1011" t="s">
        <v>1007</v>
      </c>
      <c r="K15334" s="1013"/>
    </row>
    <row r="15335" spans="1:11" s="1011" customFormat="1" ht="15" x14ac:dyDescent="0.25">
      <c r="A15335" s="859">
        <f t="shared" si="350"/>
        <v>15334</v>
      </c>
      <c r="B15335" s="845" t="s">
        <v>2564</v>
      </c>
      <c r="C15335" s="1007">
        <f t="shared" si="349"/>
        <v>143</v>
      </c>
      <c r="D15335" s="1012"/>
      <c r="I15335" s="1011" t="s">
        <v>2183</v>
      </c>
      <c r="K15335" s="1013"/>
    </row>
    <row r="15336" spans="1:11" s="1011" customFormat="1" ht="15" x14ac:dyDescent="0.25">
      <c r="A15336" s="859">
        <f t="shared" si="350"/>
        <v>15335</v>
      </c>
      <c r="B15336" s="845" t="s">
        <v>2564</v>
      </c>
      <c r="C15336" s="1007">
        <f t="shared" si="349"/>
        <v>143</v>
      </c>
      <c r="D15336" s="1015"/>
      <c r="I15336" s="1011" t="str">
        <f>CONCATENATE("&lt;valeur&gt;",VLOOKUP(C15336,'T16 Amort'!A:K,11,0),"&lt;/valeur&gt;")</f>
        <v>&lt;valeur&gt;&lt;/valeur&gt;</v>
      </c>
      <c r="K15336" s="1013"/>
    </row>
    <row r="15337" spans="1:11" s="1011" customFormat="1" ht="15" x14ac:dyDescent="0.25">
      <c r="A15337" s="859">
        <f t="shared" si="350"/>
        <v>15336</v>
      </c>
      <c r="B15337" s="845" t="s">
        <v>2564</v>
      </c>
      <c r="C15337" s="1007">
        <f t="shared" si="349"/>
        <v>143</v>
      </c>
      <c r="D15337" s="1012"/>
      <c r="I15337" s="1011" t="str">
        <f>CONCATENATE("&lt;numeroLigne&gt;",C15337,"&lt;/numeroLigne&gt;")</f>
        <v>&lt;numeroLigne&gt;143&lt;/numeroLigne&gt;</v>
      </c>
      <c r="K15337" s="1013"/>
    </row>
    <row r="15338" spans="1:11" s="1011" customFormat="1" ht="15" x14ac:dyDescent="0.25">
      <c r="A15338" s="859">
        <f t="shared" si="350"/>
        <v>15337</v>
      </c>
      <c r="B15338" s="845" t="s">
        <v>2564</v>
      </c>
      <c r="C15338" s="1007">
        <f t="shared" si="349"/>
        <v>143</v>
      </c>
      <c r="D15338" s="1016"/>
      <c r="E15338" s="1017"/>
      <c r="F15338" s="1017"/>
      <c r="G15338" s="1017"/>
      <c r="H15338" s="1017" t="s">
        <v>1010</v>
      </c>
      <c r="I15338" s="1017"/>
      <c r="J15338" s="1017"/>
      <c r="K15338" s="1018"/>
    </row>
    <row r="15339" spans="1:11" s="1011" customFormat="1" ht="15" x14ac:dyDescent="0.25">
      <c r="A15339" s="859">
        <f t="shared" si="350"/>
        <v>15338</v>
      </c>
      <c r="B15339" s="845" t="s">
        <v>2564</v>
      </c>
      <c r="C15339" s="1007">
        <f t="shared" si="349"/>
        <v>144</v>
      </c>
      <c r="D15339" s="1008"/>
      <c r="E15339" s="1009"/>
      <c r="F15339" s="1009"/>
      <c r="G15339" s="1009"/>
      <c r="H15339" s="1009" t="s">
        <v>1007</v>
      </c>
      <c r="I15339" s="1009"/>
      <c r="J15339" s="1009"/>
      <c r="K15339" s="1010"/>
    </row>
    <row r="15340" spans="1:11" s="1011" customFormat="1" ht="15" x14ac:dyDescent="0.25">
      <c r="A15340" s="859">
        <f t="shared" si="350"/>
        <v>15339</v>
      </c>
      <c r="B15340" s="845" t="s">
        <v>2564</v>
      </c>
      <c r="C15340" s="1007">
        <f t="shared" si="349"/>
        <v>144</v>
      </c>
      <c r="D15340" s="1012"/>
      <c r="I15340" s="1011" t="s">
        <v>2174</v>
      </c>
      <c r="K15340" s="1013"/>
    </row>
    <row r="15341" spans="1:11" s="1011" customFormat="1" ht="15" x14ac:dyDescent="0.25">
      <c r="A15341" s="859">
        <f t="shared" si="350"/>
        <v>15340</v>
      </c>
      <c r="B15341" s="845" t="s">
        <v>2564</v>
      </c>
      <c r="C15341" s="1007">
        <f t="shared" si="349"/>
        <v>144</v>
      </c>
      <c r="D15341" s="1014"/>
      <c r="I15341" s="1011" t="str">
        <f>CONCATENATE("&lt;valeur&gt;",VLOOKUP(C15341,'T16 Amort'!A:K,2,0),"&lt;/valeur&gt;")</f>
        <v>&lt;valeur&gt;&lt;/valeur&gt;</v>
      </c>
      <c r="K15341" s="1013"/>
    </row>
    <row r="15342" spans="1:11" s="1011" customFormat="1" ht="15" x14ac:dyDescent="0.25">
      <c r="A15342" s="859">
        <f t="shared" si="350"/>
        <v>15341</v>
      </c>
      <c r="B15342" s="845" t="s">
        <v>2564</v>
      </c>
      <c r="C15342" s="1007">
        <f t="shared" si="349"/>
        <v>144</v>
      </c>
      <c r="D15342" s="1014"/>
      <c r="I15342" s="1011" t="str">
        <f>CONCATENATE("&lt;numeroLigne&gt;",C15342,"&lt;/numeroLigne&gt;")</f>
        <v>&lt;numeroLigne&gt;144&lt;/numeroLigne&gt;</v>
      </c>
      <c r="K15342" s="1013"/>
    </row>
    <row r="15343" spans="1:11" s="1011" customFormat="1" ht="15" x14ac:dyDescent="0.25">
      <c r="A15343" s="859">
        <f t="shared" si="350"/>
        <v>15342</v>
      </c>
      <c r="B15343" s="845" t="s">
        <v>2564</v>
      </c>
      <c r="C15343" s="1007">
        <f t="shared" ref="C15343:C15406" si="351">C15293+1</f>
        <v>144</v>
      </c>
      <c r="D15343" s="1012"/>
      <c r="H15343" s="1011" t="s">
        <v>1010</v>
      </c>
      <c r="K15343" s="1013"/>
    </row>
    <row r="15344" spans="1:11" s="1011" customFormat="1" ht="15" x14ac:dyDescent="0.25">
      <c r="A15344" s="859">
        <f t="shared" si="350"/>
        <v>15343</v>
      </c>
      <c r="B15344" s="845" t="s">
        <v>2564</v>
      </c>
      <c r="C15344" s="1007">
        <f t="shared" si="351"/>
        <v>144</v>
      </c>
      <c r="D15344" s="1015"/>
      <c r="H15344" s="1011" t="s">
        <v>1007</v>
      </c>
      <c r="K15344" s="1013"/>
    </row>
    <row r="15345" spans="1:11" s="1011" customFormat="1" ht="15" x14ac:dyDescent="0.25">
      <c r="A15345" s="859">
        <f t="shared" si="350"/>
        <v>15344</v>
      </c>
      <c r="B15345" s="845" t="s">
        <v>2564</v>
      </c>
      <c r="C15345" s="1007">
        <f t="shared" si="351"/>
        <v>144</v>
      </c>
      <c r="D15345" s="1012"/>
      <c r="I15345" s="1011" t="s">
        <v>2175</v>
      </c>
      <c r="K15345" s="1013"/>
    </row>
    <row r="15346" spans="1:11" s="1011" customFormat="1" ht="15" x14ac:dyDescent="0.25">
      <c r="A15346" s="859">
        <f t="shared" si="350"/>
        <v>15345</v>
      </c>
      <c r="B15346" s="845" t="s">
        <v>2564</v>
      </c>
      <c r="C15346" s="1007">
        <f t="shared" si="351"/>
        <v>144</v>
      </c>
      <c r="D15346" s="1012"/>
      <c r="I15346" s="1011" t="str">
        <f>CONCATENATE("&lt;valeur&gt;",VLOOKUP(C15346,'T16 Amort'!A:K,3,0),"&lt;/valeur&gt;")</f>
        <v>&lt;valeur&gt;&lt;/valeur&gt;</v>
      </c>
      <c r="K15346" s="1013"/>
    </row>
    <row r="15347" spans="1:11" s="1011" customFormat="1" ht="15" x14ac:dyDescent="0.25">
      <c r="A15347" s="859">
        <f t="shared" si="350"/>
        <v>15346</v>
      </c>
      <c r="B15347" s="845" t="s">
        <v>2564</v>
      </c>
      <c r="C15347" s="1007">
        <f t="shared" si="351"/>
        <v>144</v>
      </c>
      <c r="D15347" s="1014"/>
      <c r="I15347" s="1011" t="str">
        <f>CONCATENATE("&lt;numeroLigne&gt;",C15347,"&lt;/numeroLigne&gt;")</f>
        <v>&lt;numeroLigne&gt;144&lt;/numeroLigne&gt;</v>
      </c>
      <c r="K15347" s="1013"/>
    </row>
    <row r="15348" spans="1:11" s="1011" customFormat="1" ht="15" x14ac:dyDescent="0.25">
      <c r="A15348" s="859">
        <f t="shared" si="350"/>
        <v>15347</v>
      </c>
      <c r="B15348" s="845" t="s">
        <v>2564</v>
      </c>
      <c r="C15348" s="1007">
        <f t="shared" si="351"/>
        <v>144</v>
      </c>
      <c r="D15348" s="1014"/>
      <c r="H15348" s="1011" t="s">
        <v>1010</v>
      </c>
      <c r="K15348" s="1013"/>
    </row>
    <row r="15349" spans="1:11" s="1011" customFormat="1" ht="15" x14ac:dyDescent="0.25">
      <c r="A15349" s="859">
        <f t="shared" si="350"/>
        <v>15348</v>
      </c>
      <c r="B15349" s="845" t="s">
        <v>2564</v>
      </c>
      <c r="C15349" s="1007">
        <f t="shared" si="351"/>
        <v>144</v>
      </c>
      <c r="D15349" s="1012"/>
      <c r="H15349" s="1011" t="s">
        <v>1007</v>
      </c>
      <c r="K15349" s="1013"/>
    </row>
    <row r="15350" spans="1:11" s="1011" customFormat="1" ht="15" x14ac:dyDescent="0.25">
      <c r="A15350" s="859">
        <f t="shared" si="350"/>
        <v>15349</v>
      </c>
      <c r="B15350" s="845" t="s">
        <v>2564</v>
      </c>
      <c r="C15350" s="1007">
        <f t="shared" si="351"/>
        <v>144</v>
      </c>
      <c r="D15350" s="1015"/>
      <c r="I15350" s="1011" t="s">
        <v>2176</v>
      </c>
      <c r="K15350" s="1013"/>
    </row>
    <row r="15351" spans="1:11" s="1011" customFormat="1" ht="15" x14ac:dyDescent="0.25">
      <c r="A15351" s="859">
        <f t="shared" si="350"/>
        <v>15350</v>
      </c>
      <c r="B15351" s="845" t="s">
        <v>2564</v>
      </c>
      <c r="C15351" s="1007">
        <f t="shared" si="351"/>
        <v>144</v>
      </c>
      <c r="D15351" s="1012"/>
      <c r="I15351" s="1011" t="str">
        <f>CONCATENATE("&lt;valeur&gt;",VLOOKUP(C15351,'T16 Amort'!A:K,4,0),"&lt;/valeur&gt;")</f>
        <v>&lt;valeur&gt;&lt;/valeur&gt;</v>
      </c>
      <c r="K15351" s="1013"/>
    </row>
    <row r="15352" spans="1:11" s="1011" customFormat="1" ht="15" x14ac:dyDescent="0.25">
      <c r="A15352" s="859">
        <f t="shared" si="350"/>
        <v>15351</v>
      </c>
      <c r="B15352" s="845" t="s">
        <v>2564</v>
      </c>
      <c r="C15352" s="1007">
        <f t="shared" si="351"/>
        <v>144</v>
      </c>
      <c r="D15352" s="1012"/>
      <c r="I15352" s="1011" t="str">
        <f>CONCATENATE("&lt;numeroLigne&gt;",C15352,"&lt;/numeroLigne&gt;")</f>
        <v>&lt;numeroLigne&gt;144&lt;/numeroLigne&gt;</v>
      </c>
      <c r="K15352" s="1013"/>
    </row>
    <row r="15353" spans="1:11" s="1011" customFormat="1" ht="15" x14ac:dyDescent="0.25">
      <c r="A15353" s="859">
        <f t="shared" si="350"/>
        <v>15352</v>
      </c>
      <c r="B15353" s="845" t="s">
        <v>2564</v>
      </c>
      <c r="C15353" s="1007">
        <f t="shared" si="351"/>
        <v>144</v>
      </c>
      <c r="D15353" s="1014"/>
      <c r="H15353" s="1011" t="s">
        <v>1010</v>
      </c>
      <c r="K15353" s="1013"/>
    </row>
    <row r="15354" spans="1:11" s="1011" customFormat="1" ht="15" x14ac:dyDescent="0.25">
      <c r="A15354" s="859">
        <f t="shared" si="350"/>
        <v>15353</v>
      </c>
      <c r="B15354" s="845" t="s">
        <v>2564</v>
      </c>
      <c r="C15354" s="1007">
        <f t="shared" si="351"/>
        <v>144</v>
      </c>
      <c r="D15354" s="1014"/>
      <c r="H15354" s="1011" t="s">
        <v>1007</v>
      </c>
      <c r="K15354" s="1013"/>
    </row>
    <row r="15355" spans="1:11" s="1011" customFormat="1" ht="15" x14ac:dyDescent="0.25">
      <c r="A15355" s="859">
        <f t="shared" si="350"/>
        <v>15354</v>
      </c>
      <c r="B15355" s="845" t="s">
        <v>2564</v>
      </c>
      <c r="C15355" s="1007">
        <f t="shared" si="351"/>
        <v>144</v>
      </c>
      <c r="D15355" s="1012"/>
      <c r="I15355" s="1011" t="s">
        <v>2177</v>
      </c>
      <c r="K15355" s="1013"/>
    </row>
    <row r="15356" spans="1:11" s="1011" customFormat="1" ht="15" x14ac:dyDescent="0.25">
      <c r="A15356" s="859">
        <f t="shared" si="350"/>
        <v>15355</v>
      </c>
      <c r="B15356" s="845" t="s">
        <v>2564</v>
      </c>
      <c r="C15356" s="1007">
        <f t="shared" si="351"/>
        <v>144</v>
      </c>
      <c r="D15356" s="1015"/>
      <c r="I15356" s="1011" t="str">
        <f>CONCATENATE("&lt;valeur&gt;",VLOOKUP(C15356,'T16 Amort'!A:K,5,0),"&lt;/valeur&gt;")</f>
        <v>&lt;valeur&gt;&lt;/valeur&gt;</v>
      </c>
      <c r="K15356" s="1013"/>
    </row>
    <row r="15357" spans="1:11" s="1011" customFormat="1" ht="15" x14ac:dyDescent="0.25">
      <c r="A15357" s="859">
        <f t="shared" si="350"/>
        <v>15356</v>
      </c>
      <c r="B15357" s="845" t="s">
        <v>2564</v>
      </c>
      <c r="C15357" s="1007">
        <f t="shared" si="351"/>
        <v>144</v>
      </c>
      <c r="D15357" s="1012"/>
      <c r="I15357" s="1011" t="str">
        <f>CONCATENATE("&lt;numeroLigne&gt;",C15357,"&lt;/numeroLigne&gt;")</f>
        <v>&lt;numeroLigne&gt;144&lt;/numeroLigne&gt;</v>
      </c>
      <c r="K15357" s="1013"/>
    </row>
    <row r="15358" spans="1:11" s="1011" customFormat="1" ht="15" x14ac:dyDescent="0.25">
      <c r="A15358" s="859">
        <f t="shared" si="350"/>
        <v>15357</v>
      </c>
      <c r="B15358" s="845" t="s">
        <v>2564</v>
      </c>
      <c r="C15358" s="1007">
        <f t="shared" si="351"/>
        <v>144</v>
      </c>
      <c r="D15358" s="1012"/>
      <c r="H15358" s="1011" t="s">
        <v>1010</v>
      </c>
      <c r="K15358" s="1013"/>
    </row>
    <row r="15359" spans="1:11" s="1011" customFormat="1" ht="15" x14ac:dyDescent="0.25">
      <c r="A15359" s="859">
        <f t="shared" si="350"/>
        <v>15358</v>
      </c>
      <c r="B15359" s="845" t="s">
        <v>2564</v>
      </c>
      <c r="C15359" s="1007">
        <f t="shared" si="351"/>
        <v>144</v>
      </c>
      <c r="D15359" s="1014"/>
      <c r="H15359" s="1011" t="s">
        <v>1007</v>
      </c>
      <c r="K15359" s="1013"/>
    </row>
    <row r="15360" spans="1:11" s="1011" customFormat="1" ht="15" x14ac:dyDescent="0.25">
      <c r="A15360" s="859">
        <f t="shared" si="350"/>
        <v>15359</v>
      </c>
      <c r="B15360" s="845" t="s">
        <v>2564</v>
      </c>
      <c r="C15360" s="1007">
        <f t="shared" si="351"/>
        <v>144</v>
      </c>
      <c r="D15360" s="1014"/>
      <c r="I15360" s="1011" t="s">
        <v>2178</v>
      </c>
      <c r="K15360" s="1013"/>
    </row>
    <row r="15361" spans="1:11" s="1011" customFormat="1" ht="15" x14ac:dyDescent="0.25">
      <c r="A15361" s="859">
        <f t="shared" si="350"/>
        <v>15360</v>
      </c>
      <c r="B15361" s="845" t="s">
        <v>2564</v>
      </c>
      <c r="C15361" s="1007">
        <f t="shared" si="351"/>
        <v>144</v>
      </c>
      <c r="D15361" s="1012"/>
      <c r="I15361" s="1011" t="str">
        <f>CONCATENATE("&lt;valeur&gt;",VLOOKUP(C15361,'T16 Amort'!A:K,6,0),"&lt;/valeur&gt;")</f>
        <v>&lt;valeur&gt;&lt;/valeur&gt;</v>
      </c>
      <c r="K15361" s="1013"/>
    </row>
    <row r="15362" spans="1:11" s="1011" customFormat="1" ht="15" x14ac:dyDescent="0.25">
      <c r="A15362" s="859">
        <f t="shared" si="350"/>
        <v>15361</v>
      </c>
      <c r="B15362" s="845" t="s">
        <v>2564</v>
      </c>
      <c r="C15362" s="1007">
        <f t="shared" si="351"/>
        <v>144</v>
      </c>
      <c r="D15362" s="1015"/>
      <c r="I15362" s="1011" t="str">
        <f>CONCATENATE("&lt;numeroLigne&gt;",C15362,"&lt;/numeroLigne&gt;")</f>
        <v>&lt;numeroLigne&gt;144&lt;/numeroLigne&gt;</v>
      </c>
      <c r="K15362" s="1013"/>
    </row>
    <row r="15363" spans="1:11" s="1011" customFormat="1" ht="15" x14ac:dyDescent="0.25">
      <c r="A15363" s="859">
        <f t="shared" si="350"/>
        <v>15362</v>
      </c>
      <c r="B15363" s="845" t="s">
        <v>2564</v>
      </c>
      <c r="C15363" s="1007">
        <f t="shared" si="351"/>
        <v>144</v>
      </c>
      <c r="D15363" s="1012"/>
      <c r="H15363" s="1011" t="s">
        <v>1010</v>
      </c>
      <c r="K15363" s="1013"/>
    </row>
    <row r="15364" spans="1:11" s="1011" customFormat="1" ht="15" x14ac:dyDescent="0.25">
      <c r="A15364" s="859">
        <f t="shared" ref="A15364:A15427" si="352">+A15363+1</f>
        <v>15363</v>
      </c>
      <c r="B15364" s="845" t="s">
        <v>2564</v>
      </c>
      <c r="C15364" s="1007">
        <f t="shared" si="351"/>
        <v>144</v>
      </c>
      <c r="D15364" s="1012"/>
      <c r="H15364" s="1011" t="s">
        <v>1007</v>
      </c>
      <c r="K15364" s="1013"/>
    </row>
    <row r="15365" spans="1:11" s="1011" customFormat="1" ht="15" x14ac:dyDescent="0.25">
      <c r="A15365" s="859">
        <f t="shared" si="352"/>
        <v>15364</v>
      </c>
      <c r="B15365" s="845" t="s">
        <v>2564</v>
      </c>
      <c r="C15365" s="1007">
        <f t="shared" si="351"/>
        <v>144</v>
      </c>
      <c r="D15365" s="1014"/>
      <c r="I15365" s="1011" t="s">
        <v>2179</v>
      </c>
      <c r="K15365" s="1013"/>
    </row>
    <row r="15366" spans="1:11" s="1011" customFormat="1" ht="15" x14ac:dyDescent="0.25">
      <c r="A15366" s="859">
        <f t="shared" si="352"/>
        <v>15365</v>
      </c>
      <c r="B15366" s="845" t="s">
        <v>2564</v>
      </c>
      <c r="C15366" s="1007">
        <f t="shared" si="351"/>
        <v>144</v>
      </c>
      <c r="D15366" s="1014"/>
      <c r="I15366" s="1011" t="str">
        <f>CONCATENATE("&lt;valeur&gt;",VLOOKUP(C15366,'T16 Amort'!A:K,7,0),"&lt;/valeur&gt;")</f>
        <v>&lt;valeur&gt;&lt;/valeur&gt;</v>
      </c>
      <c r="K15366" s="1013"/>
    </row>
    <row r="15367" spans="1:11" s="1011" customFormat="1" ht="15" x14ac:dyDescent="0.25">
      <c r="A15367" s="859">
        <f t="shared" si="352"/>
        <v>15366</v>
      </c>
      <c r="B15367" s="845" t="s">
        <v>2564</v>
      </c>
      <c r="C15367" s="1007">
        <f t="shared" si="351"/>
        <v>144</v>
      </c>
      <c r="D15367" s="1012"/>
      <c r="I15367" s="1011" t="str">
        <f>CONCATENATE("&lt;numeroLigne&gt;",C15367,"&lt;/numeroLigne&gt;")</f>
        <v>&lt;numeroLigne&gt;144&lt;/numeroLigne&gt;</v>
      </c>
      <c r="K15367" s="1013"/>
    </row>
    <row r="15368" spans="1:11" s="1011" customFormat="1" ht="15" x14ac:dyDescent="0.25">
      <c r="A15368" s="859">
        <f t="shared" si="352"/>
        <v>15367</v>
      </c>
      <c r="B15368" s="845" t="s">
        <v>2564</v>
      </c>
      <c r="C15368" s="1007">
        <f t="shared" si="351"/>
        <v>144</v>
      </c>
      <c r="D15368" s="1015"/>
      <c r="H15368" s="1011" t="s">
        <v>1010</v>
      </c>
      <c r="K15368" s="1013"/>
    </row>
    <row r="15369" spans="1:11" s="1011" customFormat="1" ht="15" x14ac:dyDescent="0.25">
      <c r="A15369" s="859">
        <f t="shared" si="352"/>
        <v>15368</v>
      </c>
      <c r="B15369" s="845" t="s">
        <v>2564</v>
      </c>
      <c r="C15369" s="1007">
        <f t="shared" si="351"/>
        <v>144</v>
      </c>
      <c r="D15369" s="1012"/>
      <c r="H15369" s="1011" t="s">
        <v>1007</v>
      </c>
      <c r="K15369" s="1013"/>
    </row>
    <row r="15370" spans="1:11" s="1011" customFormat="1" ht="15" x14ac:dyDescent="0.25">
      <c r="A15370" s="859">
        <f t="shared" si="352"/>
        <v>15369</v>
      </c>
      <c r="B15370" s="845" t="s">
        <v>2564</v>
      </c>
      <c r="C15370" s="1007">
        <f t="shared" si="351"/>
        <v>144</v>
      </c>
      <c r="D15370" s="1012"/>
      <c r="I15370" s="1011" t="s">
        <v>2180</v>
      </c>
      <c r="K15370" s="1013"/>
    </row>
    <row r="15371" spans="1:11" s="1011" customFormat="1" ht="15" x14ac:dyDescent="0.25">
      <c r="A15371" s="859">
        <f t="shared" si="352"/>
        <v>15370</v>
      </c>
      <c r="B15371" s="845" t="s">
        <v>2564</v>
      </c>
      <c r="C15371" s="1007">
        <f t="shared" si="351"/>
        <v>144</v>
      </c>
      <c r="D15371" s="1014"/>
      <c r="I15371" s="1011" t="str">
        <f>CONCATENATE("&lt;valeur&gt;",VLOOKUP(C15371,'T16 Amort'!A:K,8,0),"&lt;/valeur&gt;")</f>
        <v>&lt;valeur&gt;&lt;/valeur&gt;</v>
      </c>
      <c r="K15371" s="1013"/>
    </row>
    <row r="15372" spans="1:11" s="1011" customFormat="1" ht="15" x14ac:dyDescent="0.25">
      <c r="A15372" s="859">
        <f t="shared" si="352"/>
        <v>15371</v>
      </c>
      <c r="B15372" s="845" t="s">
        <v>2564</v>
      </c>
      <c r="C15372" s="1007">
        <f t="shared" si="351"/>
        <v>144</v>
      </c>
      <c r="D15372" s="1014"/>
      <c r="I15372" s="1011" t="str">
        <f>CONCATENATE("&lt;numeroLigne&gt;",C15372,"&lt;/numeroLigne&gt;")</f>
        <v>&lt;numeroLigne&gt;144&lt;/numeroLigne&gt;</v>
      </c>
      <c r="K15372" s="1013"/>
    </row>
    <row r="15373" spans="1:11" s="1011" customFormat="1" ht="15" x14ac:dyDescent="0.25">
      <c r="A15373" s="859">
        <f t="shared" si="352"/>
        <v>15372</v>
      </c>
      <c r="B15373" s="845" t="s">
        <v>2564</v>
      </c>
      <c r="C15373" s="1007">
        <f t="shared" si="351"/>
        <v>144</v>
      </c>
      <c r="D15373" s="1012"/>
      <c r="H15373" s="1011" t="s">
        <v>1010</v>
      </c>
      <c r="K15373" s="1013"/>
    </row>
    <row r="15374" spans="1:11" s="1011" customFormat="1" ht="15" x14ac:dyDescent="0.25">
      <c r="A15374" s="859">
        <f t="shared" si="352"/>
        <v>15373</v>
      </c>
      <c r="B15374" s="845" t="s">
        <v>2564</v>
      </c>
      <c r="C15374" s="1007">
        <f t="shared" si="351"/>
        <v>144</v>
      </c>
      <c r="D15374" s="1015"/>
      <c r="H15374" s="1011" t="s">
        <v>1007</v>
      </c>
      <c r="K15374" s="1013"/>
    </row>
    <row r="15375" spans="1:11" s="1011" customFormat="1" ht="15" x14ac:dyDescent="0.25">
      <c r="A15375" s="859">
        <f t="shared" si="352"/>
        <v>15374</v>
      </c>
      <c r="B15375" s="845" t="s">
        <v>2564</v>
      </c>
      <c r="C15375" s="1007">
        <f t="shared" si="351"/>
        <v>144</v>
      </c>
      <c r="D15375" s="1012"/>
      <c r="I15375" s="1011" t="s">
        <v>2181</v>
      </c>
      <c r="K15375" s="1013"/>
    </row>
    <row r="15376" spans="1:11" s="1011" customFormat="1" ht="15" x14ac:dyDescent="0.25">
      <c r="A15376" s="859">
        <f t="shared" si="352"/>
        <v>15375</v>
      </c>
      <c r="B15376" s="845" t="s">
        <v>2564</v>
      </c>
      <c r="C15376" s="1007">
        <f t="shared" si="351"/>
        <v>144</v>
      </c>
      <c r="D15376" s="1012"/>
      <c r="I15376" s="1011" t="str">
        <f>CONCATENATE("&lt;valeur&gt;",VLOOKUP(C15376,'T16 Amort'!A:K,9,0),"&lt;/valeur&gt;")</f>
        <v>&lt;valeur&gt;&lt;/valeur&gt;</v>
      </c>
      <c r="K15376" s="1013"/>
    </row>
    <row r="15377" spans="1:11" s="1011" customFormat="1" ht="15" x14ac:dyDescent="0.25">
      <c r="A15377" s="859">
        <f t="shared" si="352"/>
        <v>15376</v>
      </c>
      <c r="B15377" s="845" t="s">
        <v>2564</v>
      </c>
      <c r="C15377" s="1007">
        <f t="shared" si="351"/>
        <v>144</v>
      </c>
      <c r="D15377" s="1014"/>
      <c r="I15377" s="1011" t="str">
        <f>CONCATENATE("&lt;numeroLigne&gt;",C15377,"&lt;/numeroLigne&gt;")</f>
        <v>&lt;numeroLigne&gt;144&lt;/numeroLigne&gt;</v>
      </c>
      <c r="K15377" s="1013"/>
    </row>
    <row r="15378" spans="1:11" s="1011" customFormat="1" ht="15" x14ac:dyDescent="0.25">
      <c r="A15378" s="859">
        <f t="shared" si="352"/>
        <v>15377</v>
      </c>
      <c r="B15378" s="845" t="s">
        <v>2564</v>
      </c>
      <c r="C15378" s="1007">
        <f t="shared" si="351"/>
        <v>144</v>
      </c>
      <c r="D15378" s="1014"/>
      <c r="H15378" s="1011" t="s">
        <v>1010</v>
      </c>
      <c r="K15378" s="1013"/>
    </row>
    <row r="15379" spans="1:11" s="1011" customFormat="1" ht="15" x14ac:dyDescent="0.25">
      <c r="A15379" s="859">
        <f t="shared" si="352"/>
        <v>15378</v>
      </c>
      <c r="B15379" s="845" t="s">
        <v>2564</v>
      </c>
      <c r="C15379" s="1007">
        <f t="shared" si="351"/>
        <v>144</v>
      </c>
      <c r="D15379" s="1012"/>
      <c r="H15379" s="1011" t="s">
        <v>1007</v>
      </c>
      <c r="K15379" s="1013"/>
    </row>
    <row r="15380" spans="1:11" s="1011" customFormat="1" ht="15" x14ac:dyDescent="0.25">
      <c r="A15380" s="859">
        <f t="shared" si="352"/>
        <v>15379</v>
      </c>
      <c r="B15380" s="845" t="s">
        <v>2564</v>
      </c>
      <c r="C15380" s="1007">
        <f t="shared" si="351"/>
        <v>144</v>
      </c>
      <c r="D15380" s="1015"/>
      <c r="I15380" s="1011" t="s">
        <v>2182</v>
      </c>
      <c r="K15380" s="1013"/>
    </row>
    <row r="15381" spans="1:11" s="1011" customFormat="1" ht="15" x14ac:dyDescent="0.25">
      <c r="A15381" s="859">
        <f t="shared" si="352"/>
        <v>15380</v>
      </c>
      <c r="B15381" s="845" t="s">
        <v>2564</v>
      </c>
      <c r="C15381" s="1007">
        <f t="shared" si="351"/>
        <v>144</v>
      </c>
      <c r="D15381" s="1012"/>
      <c r="I15381" s="1011" t="str">
        <f>CONCATENATE("&lt;valeur&gt;",VLOOKUP(C15381,'T16 Amort'!A:K,10,0),"&lt;/valeur&gt;")</f>
        <v>&lt;valeur&gt;&lt;/valeur&gt;</v>
      </c>
      <c r="K15381" s="1013"/>
    </row>
    <row r="15382" spans="1:11" s="1011" customFormat="1" ht="15" x14ac:dyDescent="0.25">
      <c r="A15382" s="859">
        <f t="shared" si="352"/>
        <v>15381</v>
      </c>
      <c r="B15382" s="845" t="s">
        <v>2564</v>
      </c>
      <c r="C15382" s="1007">
        <f t="shared" si="351"/>
        <v>144</v>
      </c>
      <c r="D15382" s="1012"/>
      <c r="I15382" s="1011" t="str">
        <f>CONCATENATE("&lt;numeroLigne&gt;",C15382,"&lt;/numeroLigne&gt;")</f>
        <v>&lt;numeroLigne&gt;144&lt;/numeroLigne&gt;</v>
      </c>
      <c r="K15382" s="1013"/>
    </row>
    <row r="15383" spans="1:11" s="1011" customFormat="1" ht="15" x14ac:dyDescent="0.25">
      <c r="A15383" s="859">
        <f t="shared" si="352"/>
        <v>15382</v>
      </c>
      <c r="B15383" s="845" t="s">
        <v>2564</v>
      </c>
      <c r="C15383" s="1007">
        <f t="shared" si="351"/>
        <v>144</v>
      </c>
      <c r="D15383" s="1014"/>
      <c r="H15383" s="1011" t="s">
        <v>1010</v>
      </c>
      <c r="K15383" s="1013"/>
    </row>
    <row r="15384" spans="1:11" s="1011" customFormat="1" ht="15" x14ac:dyDescent="0.25">
      <c r="A15384" s="859">
        <f t="shared" si="352"/>
        <v>15383</v>
      </c>
      <c r="B15384" s="845" t="s">
        <v>2564</v>
      </c>
      <c r="C15384" s="1007">
        <f t="shared" si="351"/>
        <v>144</v>
      </c>
      <c r="D15384" s="1014"/>
      <c r="H15384" s="1011" t="s">
        <v>1007</v>
      </c>
      <c r="K15384" s="1013"/>
    </row>
    <row r="15385" spans="1:11" s="1011" customFormat="1" ht="15" x14ac:dyDescent="0.25">
      <c r="A15385" s="859">
        <f t="shared" si="352"/>
        <v>15384</v>
      </c>
      <c r="B15385" s="845" t="s">
        <v>2564</v>
      </c>
      <c r="C15385" s="1007">
        <f t="shared" si="351"/>
        <v>144</v>
      </c>
      <c r="D15385" s="1012"/>
      <c r="I15385" s="1011" t="s">
        <v>2183</v>
      </c>
      <c r="K15385" s="1013"/>
    </row>
    <row r="15386" spans="1:11" s="1011" customFormat="1" ht="15" x14ac:dyDescent="0.25">
      <c r="A15386" s="859">
        <f t="shared" si="352"/>
        <v>15385</v>
      </c>
      <c r="B15386" s="845" t="s">
        <v>2564</v>
      </c>
      <c r="C15386" s="1007">
        <f t="shared" si="351"/>
        <v>144</v>
      </c>
      <c r="D15386" s="1015"/>
      <c r="I15386" s="1011" t="str">
        <f>CONCATENATE("&lt;valeur&gt;",VLOOKUP(C15386,'T16 Amort'!A:K,11,0),"&lt;/valeur&gt;")</f>
        <v>&lt;valeur&gt;&lt;/valeur&gt;</v>
      </c>
      <c r="K15386" s="1013"/>
    </row>
    <row r="15387" spans="1:11" s="1011" customFormat="1" ht="15" x14ac:dyDescent="0.25">
      <c r="A15387" s="859">
        <f t="shared" si="352"/>
        <v>15386</v>
      </c>
      <c r="B15387" s="845" t="s">
        <v>2564</v>
      </c>
      <c r="C15387" s="1007">
        <f t="shared" si="351"/>
        <v>144</v>
      </c>
      <c r="D15387" s="1012"/>
      <c r="I15387" s="1011" t="str">
        <f>CONCATENATE("&lt;numeroLigne&gt;",C15387,"&lt;/numeroLigne&gt;")</f>
        <v>&lt;numeroLigne&gt;144&lt;/numeroLigne&gt;</v>
      </c>
      <c r="K15387" s="1013"/>
    </row>
    <row r="15388" spans="1:11" s="1011" customFormat="1" ht="15" x14ac:dyDescent="0.25">
      <c r="A15388" s="859">
        <f t="shared" si="352"/>
        <v>15387</v>
      </c>
      <c r="B15388" s="845" t="s">
        <v>2564</v>
      </c>
      <c r="C15388" s="1007">
        <f t="shared" si="351"/>
        <v>144</v>
      </c>
      <c r="D15388" s="1016"/>
      <c r="E15388" s="1017"/>
      <c r="F15388" s="1017"/>
      <c r="G15388" s="1017"/>
      <c r="H15388" s="1017" t="s">
        <v>1010</v>
      </c>
      <c r="I15388" s="1017"/>
      <c r="J15388" s="1017"/>
      <c r="K15388" s="1018"/>
    </row>
    <row r="15389" spans="1:11" s="1011" customFormat="1" ht="15" x14ac:dyDescent="0.25">
      <c r="A15389" s="859">
        <f t="shared" si="352"/>
        <v>15388</v>
      </c>
      <c r="B15389" s="845" t="s">
        <v>2564</v>
      </c>
      <c r="C15389" s="1007">
        <f t="shared" si="351"/>
        <v>145</v>
      </c>
      <c r="D15389" s="1008"/>
      <c r="E15389" s="1009"/>
      <c r="F15389" s="1009"/>
      <c r="G15389" s="1009"/>
      <c r="H15389" s="1009" t="s">
        <v>1007</v>
      </c>
      <c r="I15389" s="1009"/>
      <c r="J15389" s="1009"/>
      <c r="K15389" s="1010"/>
    </row>
    <row r="15390" spans="1:11" s="1011" customFormat="1" ht="15" x14ac:dyDescent="0.25">
      <c r="A15390" s="859">
        <f t="shared" si="352"/>
        <v>15389</v>
      </c>
      <c r="B15390" s="845" t="s">
        <v>2564</v>
      </c>
      <c r="C15390" s="1007">
        <f t="shared" si="351"/>
        <v>145</v>
      </c>
      <c r="D15390" s="1012"/>
      <c r="I15390" s="1011" t="s">
        <v>2174</v>
      </c>
      <c r="K15390" s="1013"/>
    </row>
    <row r="15391" spans="1:11" s="1011" customFormat="1" ht="15" x14ac:dyDescent="0.25">
      <c r="A15391" s="859">
        <f t="shared" si="352"/>
        <v>15390</v>
      </c>
      <c r="B15391" s="845" t="s">
        <v>2564</v>
      </c>
      <c r="C15391" s="1007">
        <f t="shared" si="351"/>
        <v>145</v>
      </c>
      <c r="D15391" s="1014"/>
      <c r="I15391" s="1011" t="str">
        <f>CONCATENATE("&lt;valeur&gt;",VLOOKUP(C15391,'T16 Amort'!A:K,2,0),"&lt;/valeur&gt;")</f>
        <v>&lt;valeur&gt;&lt;/valeur&gt;</v>
      </c>
      <c r="K15391" s="1013"/>
    </row>
    <row r="15392" spans="1:11" s="1011" customFormat="1" ht="15" x14ac:dyDescent="0.25">
      <c r="A15392" s="859">
        <f t="shared" si="352"/>
        <v>15391</v>
      </c>
      <c r="B15392" s="845" t="s">
        <v>2564</v>
      </c>
      <c r="C15392" s="1007">
        <f t="shared" si="351"/>
        <v>145</v>
      </c>
      <c r="D15392" s="1014"/>
      <c r="I15392" s="1011" t="str">
        <f>CONCATENATE("&lt;numeroLigne&gt;",C15392,"&lt;/numeroLigne&gt;")</f>
        <v>&lt;numeroLigne&gt;145&lt;/numeroLigne&gt;</v>
      </c>
      <c r="K15392" s="1013"/>
    </row>
    <row r="15393" spans="1:11" s="1011" customFormat="1" ht="15" x14ac:dyDescent="0.25">
      <c r="A15393" s="859">
        <f t="shared" si="352"/>
        <v>15392</v>
      </c>
      <c r="B15393" s="845" t="s">
        <v>2564</v>
      </c>
      <c r="C15393" s="1007">
        <f t="shared" si="351"/>
        <v>145</v>
      </c>
      <c r="D15393" s="1012"/>
      <c r="H15393" s="1011" t="s">
        <v>1010</v>
      </c>
      <c r="K15393" s="1013"/>
    </row>
    <row r="15394" spans="1:11" s="1011" customFormat="1" ht="15" x14ac:dyDescent="0.25">
      <c r="A15394" s="859">
        <f t="shared" si="352"/>
        <v>15393</v>
      </c>
      <c r="B15394" s="845" t="s">
        <v>2564</v>
      </c>
      <c r="C15394" s="1007">
        <f t="shared" si="351"/>
        <v>145</v>
      </c>
      <c r="D15394" s="1015"/>
      <c r="H15394" s="1011" t="s">
        <v>1007</v>
      </c>
      <c r="K15394" s="1013"/>
    </row>
    <row r="15395" spans="1:11" s="1011" customFormat="1" ht="15" x14ac:dyDescent="0.25">
      <c r="A15395" s="859">
        <f t="shared" si="352"/>
        <v>15394</v>
      </c>
      <c r="B15395" s="845" t="s">
        <v>2564</v>
      </c>
      <c r="C15395" s="1007">
        <f t="shared" si="351"/>
        <v>145</v>
      </c>
      <c r="D15395" s="1012"/>
      <c r="I15395" s="1011" t="s">
        <v>2175</v>
      </c>
      <c r="K15395" s="1013"/>
    </row>
    <row r="15396" spans="1:11" s="1011" customFormat="1" ht="15" x14ac:dyDescent="0.25">
      <c r="A15396" s="859">
        <f t="shared" si="352"/>
        <v>15395</v>
      </c>
      <c r="B15396" s="845" t="s">
        <v>2564</v>
      </c>
      <c r="C15396" s="1007">
        <f t="shared" si="351"/>
        <v>145</v>
      </c>
      <c r="D15396" s="1012"/>
      <c r="I15396" s="1011" t="str">
        <f>CONCATENATE("&lt;valeur&gt;",VLOOKUP(C15396,'T16 Amort'!A:K,3,0),"&lt;/valeur&gt;")</f>
        <v>&lt;valeur&gt;&lt;/valeur&gt;</v>
      </c>
      <c r="K15396" s="1013"/>
    </row>
    <row r="15397" spans="1:11" s="1011" customFormat="1" ht="15" x14ac:dyDescent="0.25">
      <c r="A15397" s="859">
        <f t="shared" si="352"/>
        <v>15396</v>
      </c>
      <c r="B15397" s="845" t="s">
        <v>2564</v>
      </c>
      <c r="C15397" s="1007">
        <f t="shared" si="351"/>
        <v>145</v>
      </c>
      <c r="D15397" s="1014"/>
      <c r="I15397" s="1011" t="str">
        <f>CONCATENATE("&lt;numeroLigne&gt;",C15397,"&lt;/numeroLigne&gt;")</f>
        <v>&lt;numeroLigne&gt;145&lt;/numeroLigne&gt;</v>
      </c>
      <c r="K15397" s="1013"/>
    </row>
    <row r="15398" spans="1:11" s="1011" customFormat="1" ht="15" x14ac:dyDescent="0.25">
      <c r="A15398" s="859">
        <f t="shared" si="352"/>
        <v>15397</v>
      </c>
      <c r="B15398" s="845" t="s">
        <v>2564</v>
      </c>
      <c r="C15398" s="1007">
        <f t="shared" si="351"/>
        <v>145</v>
      </c>
      <c r="D15398" s="1014"/>
      <c r="H15398" s="1011" t="s">
        <v>1010</v>
      </c>
      <c r="K15398" s="1013"/>
    </row>
    <row r="15399" spans="1:11" s="1011" customFormat="1" ht="15" x14ac:dyDescent="0.25">
      <c r="A15399" s="859">
        <f t="shared" si="352"/>
        <v>15398</v>
      </c>
      <c r="B15399" s="845" t="s">
        <v>2564</v>
      </c>
      <c r="C15399" s="1007">
        <f t="shared" si="351"/>
        <v>145</v>
      </c>
      <c r="D15399" s="1012"/>
      <c r="H15399" s="1011" t="s">
        <v>1007</v>
      </c>
      <c r="K15399" s="1013"/>
    </row>
    <row r="15400" spans="1:11" s="1011" customFormat="1" ht="15" x14ac:dyDescent="0.25">
      <c r="A15400" s="859">
        <f t="shared" si="352"/>
        <v>15399</v>
      </c>
      <c r="B15400" s="845" t="s">
        <v>2564</v>
      </c>
      <c r="C15400" s="1007">
        <f t="shared" si="351"/>
        <v>145</v>
      </c>
      <c r="D15400" s="1015"/>
      <c r="I15400" s="1011" t="s">
        <v>2176</v>
      </c>
      <c r="K15400" s="1013"/>
    </row>
    <row r="15401" spans="1:11" s="1011" customFormat="1" ht="15" x14ac:dyDescent="0.25">
      <c r="A15401" s="859">
        <f t="shared" si="352"/>
        <v>15400</v>
      </c>
      <c r="B15401" s="845" t="s">
        <v>2564</v>
      </c>
      <c r="C15401" s="1007">
        <f t="shared" si="351"/>
        <v>145</v>
      </c>
      <c r="D15401" s="1012"/>
      <c r="I15401" s="1011" t="str">
        <f>CONCATENATE("&lt;valeur&gt;",VLOOKUP(C15401,'T16 Amort'!A:K,4,0),"&lt;/valeur&gt;")</f>
        <v>&lt;valeur&gt;&lt;/valeur&gt;</v>
      </c>
      <c r="K15401" s="1013"/>
    </row>
    <row r="15402" spans="1:11" s="1011" customFormat="1" ht="15" x14ac:dyDescent="0.25">
      <c r="A15402" s="859">
        <f t="shared" si="352"/>
        <v>15401</v>
      </c>
      <c r="B15402" s="845" t="s">
        <v>2564</v>
      </c>
      <c r="C15402" s="1007">
        <f t="shared" si="351"/>
        <v>145</v>
      </c>
      <c r="D15402" s="1012"/>
      <c r="I15402" s="1011" t="str">
        <f>CONCATENATE("&lt;numeroLigne&gt;",C15402,"&lt;/numeroLigne&gt;")</f>
        <v>&lt;numeroLigne&gt;145&lt;/numeroLigne&gt;</v>
      </c>
      <c r="K15402" s="1013"/>
    </row>
    <row r="15403" spans="1:11" s="1011" customFormat="1" ht="15" x14ac:dyDescent="0.25">
      <c r="A15403" s="859">
        <f t="shared" si="352"/>
        <v>15402</v>
      </c>
      <c r="B15403" s="845" t="s">
        <v>2564</v>
      </c>
      <c r="C15403" s="1007">
        <f t="shared" si="351"/>
        <v>145</v>
      </c>
      <c r="D15403" s="1014"/>
      <c r="H15403" s="1011" t="s">
        <v>1010</v>
      </c>
      <c r="K15403" s="1013"/>
    </row>
    <row r="15404" spans="1:11" s="1011" customFormat="1" ht="15" x14ac:dyDescent="0.25">
      <c r="A15404" s="859">
        <f t="shared" si="352"/>
        <v>15403</v>
      </c>
      <c r="B15404" s="845" t="s">
        <v>2564</v>
      </c>
      <c r="C15404" s="1007">
        <f t="shared" si="351"/>
        <v>145</v>
      </c>
      <c r="D15404" s="1014"/>
      <c r="H15404" s="1011" t="s">
        <v>1007</v>
      </c>
      <c r="K15404" s="1013"/>
    </row>
    <row r="15405" spans="1:11" s="1011" customFormat="1" ht="15" x14ac:dyDescent="0.25">
      <c r="A15405" s="859">
        <f t="shared" si="352"/>
        <v>15404</v>
      </c>
      <c r="B15405" s="845" t="s">
        <v>2564</v>
      </c>
      <c r="C15405" s="1007">
        <f t="shared" si="351"/>
        <v>145</v>
      </c>
      <c r="D15405" s="1012"/>
      <c r="I15405" s="1011" t="s">
        <v>2177</v>
      </c>
      <c r="K15405" s="1013"/>
    </row>
    <row r="15406" spans="1:11" s="1011" customFormat="1" ht="15" x14ac:dyDescent="0.25">
      <c r="A15406" s="859">
        <f t="shared" si="352"/>
        <v>15405</v>
      </c>
      <c r="B15406" s="845" t="s">
        <v>2564</v>
      </c>
      <c r="C15406" s="1007">
        <f t="shared" si="351"/>
        <v>145</v>
      </c>
      <c r="D15406" s="1015"/>
      <c r="I15406" s="1011" t="str">
        <f>CONCATENATE("&lt;valeur&gt;",VLOOKUP(C15406,'T16 Amort'!A:K,5,0),"&lt;/valeur&gt;")</f>
        <v>&lt;valeur&gt;&lt;/valeur&gt;</v>
      </c>
      <c r="K15406" s="1013"/>
    </row>
    <row r="15407" spans="1:11" s="1011" customFormat="1" ht="15" x14ac:dyDescent="0.25">
      <c r="A15407" s="859">
        <f t="shared" si="352"/>
        <v>15406</v>
      </c>
      <c r="B15407" s="845" t="s">
        <v>2564</v>
      </c>
      <c r="C15407" s="1007">
        <f t="shared" ref="C15407:C15470" si="353">C15357+1</f>
        <v>145</v>
      </c>
      <c r="D15407" s="1012"/>
      <c r="I15407" s="1011" t="str">
        <f>CONCATENATE("&lt;numeroLigne&gt;",C15407,"&lt;/numeroLigne&gt;")</f>
        <v>&lt;numeroLigne&gt;145&lt;/numeroLigne&gt;</v>
      </c>
      <c r="K15407" s="1013"/>
    </row>
    <row r="15408" spans="1:11" s="1011" customFormat="1" ht="15" x14ac:dyDescent="0.25">
      <c r="A15408" s="859">
        <f t="shared" si="352"/>
        <v>15407</v>
      </c>
      <c r="B15408" s="845" t="s">
        <v>2564</v>
      </c>
      <c r="C15408" s="1007">
        <f t="shared" si="353"/>
        <v>145</v>
      </c>
      <c r="D15408" s="1012"/>
      <c r="H15408" s="1011" t="s">
        <v>1010</v>
      </c>
      <c r="K15408" s="1013"/>
    </row>
    <row r="15409" spans="1:11" s="1011" customFormat="1" ht="15" x14ac:dyDescent="0.25">
      <c r="A15409" s="859">
        <f t="shared" si="352"/>
        <v>15408</v>
      </c>
      <c r="B15409" s="845" t="s">
        <v>2564</v>
      </c>
      <c r="C15409" s="1007">
        <f t="shared" si="353"/>
        <v>145</v>
      </c>
      <c r="D15409" s="1014"/>
      <c r="H15409" s="1011" t="s">
        <v>1007</v>
      </c>
      <c r="K15409" s="1013"/>
    </row>
    <row r="15410" spans="1:11" s="1011" customFormat="1" ht="15" x14ac:dyDescent="0.25">
      <c r="A15410" s="859">
        <f t="shared" si="352"/>
        <v>15409</v>
      </c>
      <c r="B15410" s="845" t="s">
        <v>2564</v>
      </c>
      <c r="C15410" s="1007">
        <f t="shared" si="353"/>
        <v>145</v>
      </c>
      <c r="D15410" s="1014"/>
      <c r="I15410" s="1011" t="s">
        <v>2178</v>
      </c>
      <c r="K15410" s="1013"/>
    </row>
    <row r="15411" spans="1:11" s="1011" customFormat="1" ht="15" x14ac:dyDescent="0.25">
      <c r="A15411" s="859">
        <f t="shared" si="352"/>
        <v>15410</v>
      </c>
      <c r="B15411" s="845" t="s">
        <v>2564</v>
      </c>
      <c r="C15411" s="1007">
        <f t="shared" si="353"/>
        <v>145</v>
      </c>
      <c r="D15411" s="1012"/>
      <c r="I15411" s="1011" t="str">
        <f>CONCATENATE("&lt;valeur&gt;",VLOOKUP(C15411,'T16 Amort'!A:K,6,0),"&lt;/valeur&gt;")</f>
        <v>&lt;valeur&gt;&lt;/valeur&gt;</v>
      </c>
      <c r="K15411" s="1013"/>
    </row>
    <row r="15412" spans="1:11" s="1011" customFormat="1" ht="15" x14ac:dyDescent="0.25">
      <c r="A15412" s="859">
        <f t="shared" si="352"/>
        <v>15411</v>
      </c>
      <c r="B15412" s="845" t="s">
        <v>2564</v>
      </c>
      <c r="C15412" s="1007">
        <f t="shared" si="353"/>
        <v>145</v>
      </c>
      <c r="D15412" s="1015"/>
      <c r="I15412" s="1011" t="str">
        <f>CONCATENATE("&lt;numeroLigne&gt;",C15412,"&lt;/numeroLigne&gt;")</f>
        <v>&lt;numeroLigne&gt;145&lt;/numeroLigne&gt;</v>
      </c>
      <c r="K15412" s="1013"/>
    </row>
    <row r="15413" spans="1:11" s="1011" customFormat="1" ht="15" x14ac:dyDescent="0.25">
      <c r="A15413" s="859">
        <f t="shared" si="352"/>
        <v>15412</v>
      </c>
      <c r="B15413" s="845" t="s">
        <v>2564</v>
      </c>
      <c r="C15413" s="1007">
        <f t="shared" si="353"/>
        <v>145</v>
      </c>
      <c r="D15413" s="1012"/>
      <c r="H15413" s="1011" t="s">
        <v>1010</v>
      </c>
      <c r="K15413" s="1013"/>
    </row>
    <row r="15414" spans="1:11" s="1011" customFormat="1" ht="15" x14ac:dyDescent="0.25">
      <c r="A15414" s="859">
        <f t="shared" si="352"/>
        <v>15413</v>
      </c>
      <c r="B15414" s="845" t="s">
        <v>2564</v>
      </c>
      <c r="C15414" s="1007">
        <f t="shared" si="353"/>
        <v>145</v>
      </c>
      <c r="D15414" s="1012"/>
      <c r="H15414" s="1011" t="s">
        <v>1007</v>
      </c>
      <c r="K15414" s="1013"/>
    </row>
    <row r="15415" spans="1:11" s="1011" customFormat="1" ht="15" x14ac:dyDescent="0.25">
      <c r="A15415" s="859">
        <f t="shared" si="352"/>
        <v>15414</v>
      </c>
      <c r="B15415" s="845" t="s">
        <v>2564</v>
      </c>
      <c r="C15415" s="1007">
        <f t="shared" si="353"/>
        <v>145</v>
      </c>
      <c r="D15415" s="1014"/>
      <c r="I15415" s="1011" t="s">
        <v>2179</v>
      </c>
      <c r="K15415" s="1013"/>
    </row>
    <row r="15416" spans="1:11" s="1011" customFormat="1" ht="15" x14ac:dyDescent="0.25">
      <c r="A15416" s="859">
        <f t="shared" si="352"/>
        <v>15415</v>
      </c>
      <c r="B15416" s="845" t="s">
        <v>2564</v>
      </c>
      <c r="C15416" s="1007">
        <f t="shared" si="353"/>
        <v>145</v>
      </c>
      <c r="D15416" s="1014"/>
      <c r="I15416" s="1011" t="str">
        <f>CONCATENATE("&lt;valeur&gt;",VLOOKUP(C15416,'T16 Amort'!A:K,7,0),"&lt;/valeur&gt;")</f>
        <v>&lt;valeur&gt;&lt;/valeur&gt;</v>
      </c>
      <c r="K15416" s="1013"/>
    </row>
    <row r="15417" spans="1:11" s="1011" customFormat="1" ht="15" x14ac:dyDescent="0.25">
      <c r="A15417" s="859">
        <f t="shared" si="352"/>
        <v>15416</v>
      </c>
      <c r="B15417" s="845" t="s">
        <v>2564</v>
      </c>
      <c r="C15417" s="1007">
        <f t="shared" si="353"/>
        <v>145</v>
      </c>
      <c r="D15417" s="1012"/>
      <c r="I15417" s="1011" t="str">
        <f>CONCATENATE("&lt;numeroLigne&gt;",C15417,"&lt;/numeroLigne&gt;")</f>
        <v>&lt;numeroLigne&gt;145&lt;/numeroLigne&gt;</v>
      </c>
      <c r="K15417" s="1013"/>
    </row>
    <row r="15418" spans="1:11" s="1011" customFormat="1" ht="15" x14ac:dyDescent="0.25">
      <c r="A15418" s="859">
        <f t="shared" si="352"/>
        <v>15417</v>
      </c>
      <c r="B15418" s="845" t="s">
        <v>2564</v>
      </c>
      <c r="C15418" s="1007">
        <f t="shared" si="353"/>
        <v>145</v>
      </c>
      <c r="D15418" s="1015"/>
      <c r="H15418" s="1011" t="s">
        <v>1010</v>
      </c>
      <c r="K15418" s="1013"/>
    </row>
    <row r="15419" spans="1:11" s="1011" customFormat="1" ht="15" x14ac:dyDescent="0.25">
      <c r="A15419" s="859">
        <f t="shared" si="352"/>
        <v>15418</v>
      </c>
      <c r="B15419" s="845" t="s">
        <v>2564</v>
      </c>
      <c r="C15419" s="1007">
        <f t="shared" si="353"/>
        <v>145</v>
      </c>
      <c r="D15419" s="1012"/>
      <c r="H15419" s="1011" t="s">
        <v>1007</v>
      </c>
      <c r="K15419" s="1013"/>
    </row>
    <row r="15420" spans="1:11" s="1011" customFormat="1" ht="15" x14ac:dyDescent="0.25">
      <c r="A15420" s="859">
        <f t="shared" si="352"/>
        <v>15419</v>
      </c>
      <c r="B15420" s="845" t="s">
        <v>2564</v>
      </c>
      <c r="C15420" s="1007">
        <f t="shared" si="353"/>
        <v>145</v>
      </c>
      <c r="D15420" s="1012"/>
      <c r="I15420" s="1011" t="s">
        <v>2180</v>
      </c>
      <c r="K15420" s="1013"/>
    </row>
    <row r="15421" spans="1:11" s="1011" customFormat="1" ht="15" x14ac:dyDescent="0.25">
      <c r="A15421" s="859">
        <f t="shared" si="352"/>
        <v>15420</v>
      </c>
      <c r="B15421" s="845" t="s">
        <v>2564</v>
      </c>
      <c r="C15421" s="1007">
        <f t="shared" si="353"/>
        <v>145</v>
      </c>
      <c r="D15421" s="1014"/>
      <c r="I15421" s="1011" t="str">
        <f>CONCATENATE("&lt;valeur&gt;",VLOOKUP(C15421,'T16 Amort'!A:K,8,0),"&lt;/valeur&gt;")</f>
        <v>&lt;valeur&gt;&lt;/valeur&gt;</v>
      </c>
      <c r="K15421" s="1013"/>
    </row>
    <row r="15422" spans="1:11" s="1011" customFormat="1" ht="15" x14ac:dyDescent="0.25">
      <c r="A15422" s="859">
        <f t="shared" si="352"/>
        <v>15421</v>
      </c>
      <c r="B15422" s="845" t="s">
        <v>2564</v>
      </c>
      <c r="C15422" s="1007">
        <f t="shared" si="353"/>
        <v>145</v>
      </c>
      <c r="D15422" s="1014"/>
      <c r="I15422" s="1011" t="str">
        <f>CONCATENATE("&lt;numeroLigne&gt;",C15422,"&lt;/numeroLigne&gt;")</f>
        <v>&lt;numeroLigne&gt;145&lt;/numeroLigne&gt;</v>
      </c>
      <c r="K15422" s="1013"/>
    </row>
    <row r="15423" spans="1:11" s="1011" customFormat="1" ht="15" x14ac:dyDescent="0.25">
      <c r="A15423" s="859">
        <f t="shared" si="352"/>
        <v>15422</v>
      </c>
      <c r="B15423" s="845" t="s">
        <v>2564</v>
      </c>
      <c r="C15423" s="1007">
        <f t="shared" si="353"/>
        <v>145</v>
      </c>
      <c r="D15423" s="1012"/>
      <c r="H15423" s="1011" t="s">
        <v>1010</v>
      </c>
      <c r="K15423" s="1013"/>
    </row>
    <row r="15424" spans="1:11" s="1011" customFormat="1" ht="15" x14ac:dyDescent="0.25">
      <c r="A15424" s="859">
        <f t="shared" si="352"/>
        <v>15423</v>
      </c>
      <c r="B15424" s="845" t="s">
        <v>2564</v>
      </c>
      <c r="C15424" s="1007">
        <f t="shared" si="353"/>
        <v>145</v>
      </c>
      <c r="D15424" s="1015"/>
      <c r="H15424" s="1011" t="s">
        <v>1007</v>
      </c>
      <c r="K15424" s="1013"/>
    </row>
    <row r="15425" spans="1:11" s="1011" customFormat="1" ht="15" x14ac:dyDescent="0.25">
      <c r="A15425" s="859">
        <f t="shared" si="352"/>
        <v>15424</v>
      </c>
      <c r="B15425" s="845" t="s">
        <v>2564</v>
      </c>
      <c r="C15425" s="1007">
        <f t="shared" si="353"/>
        <v>145</v>
      </c>
      <c r="D15425" s="1012"/>
      <c r="I15425" s="1011" t="s">
        <v>2181</v>
      </c>
      <c r="K15425" s="1013"/>
    </row>
    <row r="15426" spans="1:11" s="1011" customFormat="1" ht="15" x14ac:dyDescent="0.25">
      <c r="A15426" s="859">
        <f t="shared" si="352"/>
        <v>15425</v>
      </c>
      <c r="B15426" s="845" t="s">
        <v>2564</v>
      </c>
      <c r="C15426" s="1007">
        <f t="shared" si="353"/>
        <v>145</v>
      </c>
      <c r="D15426" s="1012"/>
      <c r="I15426" s="1011" t="str">
        <f>CONCATENATE("&lt;valeur&gt;",VLOOKUP(C15426,'T16 Amort'!A:K,9,0),"&lt;/valeur&gt;")</f>
        <v>&lt;valeur&gt;&lt;/valeur&gt;</v>
      </c>
      <c r="K15426" s="1013"/>
    </row>
    <row r="15427" spans="1:11" s="1011" customFormat="1" ht="15" x14ac:dyDescent="0.25">
      <c r="A15427" s="859">
        <f t="shared" si="352"/>
        <v>15426</v>
      </c>
      <c r="B15427" s="845" t="s">
        <v>2564</v>
      </c>
      <c r="C15427" s="1007">
        <f t="shared" si="353"/>
        <v>145</v>
      </c>
      <c r="D15427" s="1014"/>
      <c r="I15427" s="1011" t="str">
        <f>CONCATENATE("&lt;numeroLigne&gt;",C15427,"&lt;/numeroLigne&gt;")</f>
        <v>&lt;numeroLigne&gt;145&lt;/numeroLigne&gt;</v>
      </c>
      <c r="K15427" s="1013"/>
    </row>
    <row r="15428" spans="1:11" s="1011" customFormat="1" ht="15" x14ac:dyDescent="0.25">
      <c r="A15428" s="859">
        <f t="shared" ref="A15428:A15491" si="354">+A15427+1</f>
        <v>15427</v>
      </c>
      <c r="B15428" s="845" t="s">
        <v>2564</v>
      </c>
      <c r="C15428" s="1007">
        <f t="shared" si="353"/>
        <v>145</v>
      </c>
      <c r="D15428" s="1014"/>
      <c r="H15428" s="1011" t="s">
        <v>1010</v>
      </c>
      <c r="K15428" s="1013"/>
    </row>
    <row r="15429" spans="1:11" s="1011" customFormat="1" ht="15" x14ac:dyDescent="0.25">
      <c r="A15429" s="859">
        <f t="shared" si="354"/>
        <v>15428</v>
      </c>
      <c r="B15429" s="845" t="s">
        <v>2564</v>
      </c>
      <c r="C15429" s="1007">
        <f t="shared" si="353"/>
        <v>145</v>
      </c>
      <c r="D15429" s="1012"/>
      <c r="H15429" s="1011" t="s">
        <v>1007</v>
      </c>
      <c r="K15429" s="1013"/>
    </row>
    <row r="15430" spans="1:11" s="1011" customFormat="1" ht="15" x14ac:dyDescent="0.25">
      <c r="A15430" s="859">
        <f t="shared" si="354"/>
        <v>15429</v>
      </c>
      <c r="B15430" s="845" t="s">
        <v>2564</v>
      </c>
      <c r="C15430" s="1007">
        <f t="shared" si="353"/>
        <v>145</v>
      </c>
      <c r="D15430" s="1015"/>
      <c r="I15430" s="1011" t="s">
        <v>2182</v>
      </c>
      <c r="K15430" s="1013"/>
    </row>
    <row r="15431" spans="1:11" s="1011" customFormat="1" ht="15" x14ac:dyDescent="0.25">
      <c r="A15431" s="859">
        <f t="shared" si="354"/>
        <v>15430</v>
      </c>
      <c r="B15431" s="845" t="s">
        <v>2564</v>
      </c>
      <c r="C15431" s="1007">
        <f t="shared" si="353"/>
        <v>145</v>
      </c>
      <c r="D15431" s="1012"/>
      <c r="I15431" s="1011" t="str">
        <f>CONCATENATE("&lt;valeur&gt;",VLOOKUP(C15431,'T16 Amort'!A:K,10,0),"&lt;/valeur&gt;")</f>
        <v>&lt;valeur&gt;&lt;/valeur&gt;</v>
      </c>
      <c r="K15431" s="1013"/>
    </row>
    <row r="15432" spans="1:11" s="1011" customFormat="1" ht="15" x14ac:dyDescent="0.25">
      <c r="A15432" s="859">
        <f t="shared" si="354"/>
        <v>15431</v>
      </c>
      <c r="B15432" s="845" t="s">
        <v>2564</v>
      </c>
      <c r="C15432" s="1007">
        <f t="shared" si="353"/>
        <v>145</v>
      </c>
      <c r="D15432" s="1012"/>
      <c r="I15432" s="1011" t="str">
        <f>CONCATENATE("&lt;numeroLigne&gt;",C15432,"&lt;/numeroLigne&gt;")</f>
        <v>&lt;numeroLigne&gt;145&lt;/numeroLigne&gt;</v>
      </c>
      <c r="K15432" s="1013"/>
    </row>
    <row r="15433" spans="1:11" s="1011" customFormat="1" ht="15" x14ac:dyDescent="0.25">
      <c r="A15433" s="859">
        <f t="shared" si="354"/>
        <v>15432</v>
      </c>
      <c r="B15433" s="845" t="s">
        <v>2564</v>
      </c>
      <c r="C15433" s="1007">
        <f t="shared" si="353"/>
        <v>145</v>
      </c>
      <c r="D15433" s="1014"/>
      <c r="H15433" s="1011" t="s">
        <v>1010</v>
      </c>
      <c r="K15433" s="1013"/>
    </row>
    <row r="15434" spans="1:11" s="1011" customFormat="1" ht="15" x14ac:dyDescent="0.25">
      <c r="A15434" s="859">
        <f t="shared" si="354"/>
        <v>15433</v>
      </c>
      <c r="B15434" s="845" t="s">
        <v>2564</v>
      </c>
      <c r="C15434" s="1007">
        <f t="shared" si="353"/>
        <v>145</v>
      </c>
      <c r="D15434" s="1014"/>
      <c r="H15434" s="1011" t="s">
        <v>1007</v>
      </c>
      <c r="K15434" s="1013"/>
    </row>
    <row r="15435" spans="1:11" s="1011" customFormat="1" ht="15" x14ac:dyDescent="0.25">
      <c r="A15435" s="859">
        <f t="shared" si="354"/>
        <v>15434</v>
      </c>
      <c r="B15435" s="845" t="s">
        <v>2564</v>
      </c>
      <c r="C15435" s="1007">
        <f t="shared" si="353"/>
        <v>145</v>
      </c>
      <c r="D15435" s="1012"/>
      <c r="I15435" s="1011" t="s">
        <v>2183</v>
      </c>
      <c r="K15435" s="1013"/>
    </row>
    <row r="15436" spans="1:11" s="1011" customFormat="1" ht="15" x14ac:dyDescent="0.25">
      <c r="A15436" s="859">
        <f t="shared" si="354"/>
        <v>15435</v>
      </c>
      <c r="B15436" s="845" t="s">
        <v>2564</v>
      </c>
      <c r="C15436" s="1007">
        <f t="shared" si="353"/>
        <v>145</v>
      </c>
      <c r="D15436" s="1015"/>
      <c r="I15436" s="1011" t="str">
        <f>CONCATENATE("&lt;valeur&gt;",VLOOKUP(C15436,'T16 Amort'!A:K,11,0),"&lt;/valeur&gt;")</f>
        <v>&lt;valeur&gt;&lt;/valeur&gt;</v>
      </c>
      <c r="K15436" s="1013"/>
    </row>
    <row r="15437" spans="1:11" s="1011" customFormat="1" ht="15" x14ac:dyDescent="0.25">
      <c r="A15437" s="859">
        <f t="shared" si="354"/>
        <v>15436</v>
      </c>
      <c r="B15437" s="845" t="s">
        <v>2564</v>
      </c>
      <c r="C15437" s="1007">
        <f t="shared" si="353"/>
        <v>145</v>
      </c>
      <c r="D15437" s="1012"/>
      <c r="I15437" s="1011" t="str">
        <f>CONCATENATE("&lt;numeroLigne&gt;",C15437,"&lt;/numeroLigne&gt;")</f>
        <v>&lt;numeroLigne&gt;145&lt;/numeroLigne&gt;</v>
      </c>
      <c r="K15437" s="1013"/>
    </row>
    <row r="15438" spans="1:11" s="1011" customFormat="1" ht="15" x14ac:dyDescent="0.25">
      <c r="A15438" s="859">
        <f t="shared" si="354"/>
        <v>15437</v>
      </c>
      <c r="B15438" s="845" t="s">
        <v>2564</v>
      </c>
      <c r="C15438" s="1007">
        <f t="shared" si="353"/>
        <v>145</v>
      </c>
      <c r="D15438" s="1016"/>
      <c r="E15438" s="1017"/>
      <c r="F15438" s="1017"/>
      <c r="G15438" s="1017"/>
      <c r="H15438" s="1017" t="s">
        <v>1010</v>
      </c>
      <c r="I15438" s="1017"/>
      <c r="J15438" s="1017"/>
      <c r="K15438" s="1018"/>
    </row>
    <row r="15439" spans="1:11" s="1011" customFormat="1" ht="15" x14ac:dyDescent="0.25">
      <c r="A15439" s="859">
        <f t="shared" si="354"/>
        <v>15438</v>
      </c>
      <c r="B15439" s="845" t="s">
        <v>2564</v>
      </c>
      <c r="C15439" s="1007">
        <f t="shared" si="353"/>
        <v>146</v>
      </c>
      <c r="D15439" s="1008"/>
      <c r="E15439" s="1009"/>
      <c r="F15439" s="1009"/>
      <c r="G15439" s="1009"/>
      <c r="H15439" s="1009" t="s">
        <v>1007</v>
      </c>
      <c r="I15439" s="1009"/>
      <c r="J15439" s="1009"/>
      <c r="K15439" s="1010"/>
    </row>
    <row r="15440" spans="1:11" s="1011" customFormat="1" ht="15" x14ac:dyDescent="0.25">
      <c r="A15440" s="859">
        <f t="shared" si="354"/>
        <v>15439</v>
      </c>
      <c r="B15440" s="845" t="s">
        <v>2564</v>
      </c>
      <c r="C15440" s="1007">
        <f t="shared" si="353"/>
        <v>146</v>
      </c>
      <c r="D15440" s="1012"/>
      <c r="I15440" s="1011" t="s">
        <v>2174</v>
      </c>
      <c r="K15440" s="1013"/>
    </row>
    <row r="15441" spans="1:11" s="1011" customFormat="1" ht="15" x14ac:dyDescent="0.25">
      <c r="A15441" s="859">
        <f t="shared" si="354"/>
        <v>15440</v>
      </c>
      <c r="B15441" s="845" t="s">
        <v>2564</v>
      </c>
      <c r="C15441" s="1007">
        <f t="shared" si="353"/>
        <v>146</v>
      </c>
      <c r="D15441" s="1014"/>
      <c r="I15441" s="1011" t="str">
        <f>CONCATENATE("&lt;valeur&gt;",VLOOKUP(C15441,'T16 Amort'!A:K,2,0),"&lt;/valeur&gt;")</f>
        <v>&lt;valeur&gt;&lt;/valeur&gt;</v>
      </c>
      <c r="K15441" s="1013"/>
    </row>
    <row r="15442" spans="1:11" s="1011" customFormat="1" ht="15" x14ac:dyDescent="0.25">
      <c r="A15442" s="859">
        <f t="shared" si="354"/>
        <v>15441</v>
      </c>
      <c r="B15442" s="845" t="s">
        <v>2564</v>
      </c>
      <c r="C15442" s="1007">
        <f t="shared" si="353"/>
        <v>146</v>
      </c>
      <c r="D15442" s="1014"/>
      <c r="I15442" s="1011" t="str">
        <f>CONCATENATE("&lt;numeroLigne&gt;",C15442,"&lt;/numeroLigne&gt;")</f>
        <v>&lt;numeroLigne&gt;146&lt;/numeroLigne&gt;</v>
      </c>
      <c r="K15442" s="1013"/>
    </row>
    <row r="15443" spans="1:11" s="1011" customFormat="1" ht="15" x14ac:dyDescent="0.25">
      <c r="A15443" s="859">
        <f t="shared" si="354"/>
        <v>15442</v>
      </c>
      <c r="B15443" s="845" t="s">
        <v>2564</v>
      </c>
      <c r="C15443" s="1007">
        <f t="shared" si="353"/>
        <v>146</v>
      </c>
      <c r="D15443" s="1012"/>
      <c r="H15443" s="1011" t="s">
        <v>1010</v>
      </c>
      <c r="K15443" s="1013"/>
    </row>
    <row r="15444" spans="1:11" s="1011" customFormat="1" ht="15" x14ac:dyDescent="0.25">
      <c r="A15444" s="859">
        <f t="shared" si="354"/>
        <v>15443</v>
      </c>
      <c r="B15444" s="845" t="s">
        <v>2564</v>
      </c>
      <c r="C15444" s="1007">
        <f t="shared" si="353"/>
        <v>146</v>
      </c>
      <c r="D15444" s="1015"/>
      <c r="H15444" s="1011" t="s">
        <v>1007</v>
      </c>
      <c r="K15444" s="1013"/>
    </row>
    <row r="15445" spans="1:11" s="1011" customFormat="1" ht="15" x14ac:dyDescent="0.25">
      <c r="A15445" s="859">
        <f t="shared" si="354"/>
        <v>15444</v>
      </c>
      <c r="B15445" s="845" t="s">
        <v>2564</v>
      </c>
      <c r="C15445" s="1007">
        <f t="shared" si="353"/>
        <v>146</v>
      </c>
      <c r="D15445" s="1012"/>
      <c r="I15445" s="1011" t="s">
        <v>2175</v>
      </c>
      <c r="K15445" s="1013"/>
    </row>
    <row r="15446" spans="1:11" s="1011" customFormat="1" ht="15" x14ac:dyDescent="0.25">
      <c r="A15446" s="859">
        <f t="shared" si="354"/>
        <v>15445</v>
      </c>
      <c r="B15446" s="845" t="s">
        <v>2564</v>
      </c>
      <c r="C15446" s="1007">
        <f t="shared" si="353"/>
        <v>146</v>
      </c>
      <c r="D15446" s="1012"/>
      <c r="I15446" s="1011" t="str">
        <f>CONCATENATE("&lt;valeur&gt;",VLOOKUP(C15446,'T16 Amort'!A:K,3,0),"&lt;/valeur&gt;")</f>
        <v>&lt;valeur&gt;&lt;/valeur&gt;</v>
      </c>
      <c r="K15446" s="1013"/>
    </row>
    <row r="15447" spans="1:11" s="1011" customFormat="1" ht="15" x14ac:dyDescent="0.25">
      <c r="A15447" s="859">
        <f t="shared" si="354"/>
        <v>15446</v>
      </c>
      <c r="B15447" s="845" t="s">
        <v>2564</v>
      </c>
      <c r="C15447" s="1007">
        <f t="shared" si="353"/>
        <v>146</v>
      </c>
      <c r="D15447" s="1014"/>
      <c r="I15447" s="1011" t="str">
        <f>CONCATENATE("&lt;numeroLigne&gt;",C15447,"&lt;/numeroLigne&gt;")</f>
        <v>&lt;numeroLigne&gt;146&lt;/numeroLigne&gt;</v>
      </c>
      <c r="K15447" s="1013"/>
    </row>
    <row r="15448" spans="1:11" s="1011" customFormat="1" ht="15" x14ac:dyDescent="0.25">
      <c r="A15448" s="859">
        <f t="shared" si="354"/>
        <v>15447</v>
      </c>
      <c r="B15448" s="845" t="s">
        <v>2564</v>
      </c>
      <c r="C15448" s="1007">
        <f t="shared" si="353"/>
        <v>146</v>
      </c>
      <c r="D15448" s="1014"/>
      <c r="H15448" s="1011" t="s">
        <v>1010</v>
      </c>
      <c r="K15448" s="1013"/>
    </row>
    <row r="15449" spans="1:11" s="1011" customFormat="1" ht="15" x14ac:dyDescent="0.25">
      <c r="A15449" s="859">
        <f t="shared" si="354"/>
        <v>15448</v>
      </c>
      <c r="B15449" s="845" t="s">
        <v>2564</v>
      </c>
      <c r="C15449" s="1007">
        <f t="shared" si="353"/>
        <v>146</v>
      </c>
      <c r="D15449" s="1012"/>
      <c r="H15449" s="1011" t="s">
        <v>1007</v>
      </c>
      <c r="K15449" s="1013"/>
    </row>
    <row r="15450" spans="1:11" s="1011" customFormat="1" ht="15" x14ac:dyDescent="0.25">
      <c r="A15450" s="859">
        <f t="shared" si="354"/>
        <v>15449</v>
      </c>
      <c r="B15450" s="845" t="s">
        <v>2564</v>
      </c>
      <c r="C15450" s="1007">
        <f t="shared" si="353"/>
        <v>146</v>
      </c>
      <c r="D15450" s="1015"/>
      <c r="I15450" s="1011" t="s">
        <v>2176</v>
      </c>
      <c r="K15450" s="1013"/>
    </row>
    <row r="15451" spans="1:11" s="1011" customFormat="1" ht="15" x14ac:dyDescent="0.25">
      <c r="A15451" s="859">
        <f t="shared" si="354"/>
        <v>15450</v>
      </c>
      <c r="B15451" s="845" t="s">
        <v>2564</v>
      </c>
      <c r="C15451" s="1007">
        <f t="shared" si="353"/>
        <v>146</v>
      </c>
      <c r="D15451" s="1012"/>
      <c r="I15451" s="1011" t="str">
        <f>CONCATENATE("&lt;valeur&gt;",VLOOKUP(C15451,'T16 Amort'!A:K,4,0),"&lt;/valeur&gt;")</f>
        <v>&lt;valeur&gt;&lt;/valeur&gt;</v>
      </c>
      <c r="K15451" s="1013"/>
    </row>
    <row r="15452" spans="1:11" s="1011" customFormat="1" ht="15" x14ac:dyDescent="0.25">
      <c r="A15452" s="859">
        <f t="shared" si="354"/>
        <v>15451</v>
      </c>
      <c r="B15452" s="845" t="s">
        <v>2564</v>
      </c>
      <c r="C15452" s="1007">
        <f t="shared" si="353"/>
        <v>146</v>
      </c>
      <c r="D15452" s="1012"/>
      <c r="I15452" s="1011" t="str">
        <f>CONCATENATE("&lt;numeroLigne&gt;",C15452,"&lt;/numeroLigne&gt;")</f>
        <v>&lt;numeroLigne&gt;146&lt;/numeroLigne&gt;</v>
      </c>
      <c r="K15452" s="1013"/>
    </row>
    <row r="15453" spans="1:11" s="1011" customFormat="1" ht="15" x14ac:dyDescent="0.25">
      <c r="A15453" s="859">
        <f t="shared" si="354"/>
        <v>15452</v>
      </c>
      <c r="B15453" s="845" t="s">
        <v>2564</v>
      </c>
      <c r="C15453" s="1007">
        <f t="shared" si="353"/>
        <v>146</v>
      </c>
      <c r="D15453" s="1014"/>
      <c r="H15453" s="1011" t="s">
        <v>1010</v>
      </c>
      <c r="K15453" s="1013"/>
    </row>
    <row r="15454" spans="1:11" s="1011" customFormat="1" ht="15" x14ac:dyDescent="0.25">
      <c r="A15454" s="859">
        <f t="shared" si="354"/>
        <v>15453</v>
      </c>
      <c r="B15454" s="845" t="s">
        <v>2564</v>
      </c>
      <c r="C15454" s="1007">
        <f t="shared" si="353"/>
        <v>146</v>
      </c>
      <c r="D15454" s="1014"/>
      <c r="H15454" s="1011" t="s">
        <v>1007</v>
      </c>
      <c r="K15454" s="1013"/>
    </row>
    <row r="15455" spans="1:11" s="1011" customFormat="1" ht="15" x14ac:dyDescent="0.25">
      <c r="A15455" s="859">
        <f t="shared" si="354"/>
        <v>15454</v>
      </c>
      <c r="B15455" s="845" t="s">
        <v>2564</v>
      </c>
      <c r="C15455" s="1007">
        <f t="shared" si="353"/>
        <v>146</v>
      </c>
      <c r="D15455" s="1012"/>
      <c r="I15455" s="1011" t="s">
        <v>2177</v>
      </c>
      <c r="K15455" s="1013"/>
    </row>
    <row r="15456" spans="1:11" s="1011" customFormat="1" ht="15" x14ac:dyDescent="0.25">
      <c r="A15456" s="859">
        <f t="shared" si="354"/>
        <v>15455</v>
      </c>
      <c r="B15456" s="845" t="s">
        <v>2564</v>
      </c>
      <c r="C15456" s="1007">
        <f t="shared" si="353"/>
        <v>146</v>
      </c>
      <c r="D15456" s="1015"/>
      <c r="I15456" s="1011" t="str">
        <f>CONCATENATE("&lt;valeur&gt;",VLOOKUP(C15456,'T16 Amort'!A:K,5,0),"&lt;/valeur&gt;")</f>
        <v>&lt;valeur&gt;&lt;/valeur&gt;</v>
      </c>
      <c r="K15456" s="1013"/>
    </row>
    <row r="15457" spans="1:11" s="1011" customFormat="1" ht="15" x14ac:dyDescent="0.25">
      <c r="A15457" s="859">
        <f t="shared" si="354"/>
        <v>15456</v>
      </c>
      <c r="B15457" s="845" t="s">
        <v>2564</v>
      </c>
      <c r="C15457" s="1007">
        <f t="shared" si="353"/>
        <v>146</v>
      </c>
      <c r="D15457" s="1012"/>
      <c r="I15457" s="1011" t="str">
        <f>CONCATENATE("&lt;numeroLigne&gt;",C15457,"&lt;/numeroLigne&gt;")</f>
        <v>&lt;numeroLigne&gt;146&lt;/numeroLigne&gt;</v>
      </c>
      <c r="K15457" s="1013"/>
    </row>
    <row r="15458" spans="1:11" s="1011" customFormat="1" ht="15" x14ac:dyDescent="0.25">
      <c r="A15458" s="859">
        <f t="shared" si="354"/>
        <v>15457</v>
      </c>
      <c r="B15458" s="845" t="s">
        <v>2564</v>
      </c>
      <c r="C15458" s="1007">
        <f t="shared" si="353"/>
        <v>146</v>
      </c>
      <c r="D15458" s="1012"/>
      <c r="H15458" s="1011" t="s">
        <v>1010</v>
      </c>
      <c r="K15458" s="1013"/>
    </row>
    <row r="15459" spans="1:11" s="1011" customFormat="1" ht="15" x14ac:dyDescent="0.25">
      <c r="A15459" s="859">
        <f t="shared" si="354"/>
        <v>15458</v>
      </c>
      <c r="B15459" s="845" t="s">
        <v>2564</v>
      </c>
      <c r="C15459" s="1007">
        <f t="shared" si="353"/>
        <v>146</v>
      </c>
      <c r="D15459" s="1014"/>
      <c r="H15459" s="1011" t="s">
        <v>1007</v>
      </c>
      <c r="K15459" s="1013"/>
    </row>
    <row r="15460" spans="1:11" s="1011" customFormat="1" ht="15" x14ac:dyDescent="0.25">
      <c r="A15460" s="859">
        <f t="shared" si="354"/>
        <v>15459</v>
      </c>
      <c r="B15460" s="845" t="s">
        <v>2564</v>
      </c>
      <c r="C15460" s="1007">
        <f t="shared" si="353"/>
        <v>146</v>
      </c>
      <c r="D15460" s="1014"/>
      <c r="I15460" s="1011" t="s">
        <v>2178</v>
      </c>
      <c r="K15460" s="1013"/>
    </row>
    <row r="15461" spans="1:11" s="1011" customFormat="1" ht="15" x14ac:dyDescent="0.25">
      <c r="A15461" s="859">
        <f t="shared" si="354"/>
        <v>15460</v>
      </c>
      <c r="B15461" s="845" t="s">
        <v>2564</v>
      </c>
      <c r="C15461" s="1007">
        <f t="shared" si="353"/>
        <v>146</v>
      </c>
      <c r="D15461" s="1012"/>
      <c r="I15461" s="1011" t="str">
        <f>CONCATENATE("&lt;valeur&gt;",VLOOKUP(C15461,'T16 Amort'!A:K,6,0),"&lt;/valeur&gt;")</f>
        <v>&lt;valeur&gt;&lt;/valeur&gt;</v>
      </c>
      <c r="K15461" s="1013"/>
    </row>
    <row r="15462" spans="1:11" s="1011" customFormat="1" ht="15" x14ac:dyDescent="0.25">
      <c r="A15462" s="859">
        <f t="shared" si="354"/>
        <v>15461</v>
      </c>
      <c r="B15462" s="845" t="s">
        <v>2564</v>
      </c>
      <c r="C15462" s="1007">
        <f t="shared" si="353"/>
        <v>146</v>
      </c>
      <c r="D15462" s="1015"/>
      <c r="I15462" s="1011" t="str">
        <f>CONCATENATE("&lt;numeroLigne&gt;",C15462,"&lt;/numeroLigne&gt;")</f>
        <v>&lt;numeroLigne&gt;146&lt;/numeroLigne&gt;</v>
      </c>
      <c r="K15462" s="1013"/>
    </row>
    <row r="15463" spans="1:11" s="1011" customFormat="1" ht="15" x14ac:dyDescent="0.25">
      <c r="A15463" s="859">
        <f t="shared" si="354"/>
        <v>15462</v>
      </c>
      <c r="B15463" s="845" t="s">
        <v>2564</v>
      </c>
      <c r="C15463" s="1007">
        <f t="shared" si="353"/>
        <v>146</v>
      </c>
      <c r="D15463" s="1012"/>
      <c r="H15463" s="1011" t="s">
        <v>1010</v>
      </c>
      <c r="K15463" s="1013"/>
    </row>
    <row r="15464" spans="1:11" s="1011" customFormat="1" ht="15" x14ac:dyDescent="0.25">
      <c r="A15464" s="859">
        <f t="shared" si="354"/>
        <v>15463</v>
      </c>
      <c r="B15464" s="845" t="s">
        <v>2564</v>
      </c>
      <c r="C15464" s="1007">
        <f t="shared" si="353"/>
        <v>146</v>
      </c>
      <c r="D15464" s="1012"/>
      <c r="H15464" s="1011" t="s">
        <v>1007</v>
      </c>
      <c r="K15464" s="1013"/>
    </row>
    <row r="15465" spans="1:11" s="1011" customFormat="1" ht="15" x14ac:dyDescent="0.25">
      <c r="A15465" s="859">
        <f t="shared" si="354"/>
        <v>15464</v>
      </c>
      <c r="B15465" s="845" t="s">
        <v>2564</v>
      </c>
      <c r="C15465" s="1007">
        <f t="shared" si="353"/>
        <v>146</v>
      </c>
      <c r="D15465" s="1014"/>
      <c r="I15465" s="1011" t="s">
        <v>2179</v>
      </c>
      <c r="K15465" s="1013"/>
    </row>
    <row r="15466" spans="1:11" s="1011" customFormat="1" ht="15" x14ac:dyDescent="0.25">
      <c r="A15466" s="859">
        <f t="shared" si="354"/>
        <v>15465</v>
      </c>
      <c r="B15466" s="845" t="s">
        <v>2564</v>
      </c>
      <c r="C15466" s="1007">
        <f t="shared" si="353"/>
        <v>146</v>
      </c>
      <c r="D15466" s="1014"/>
      <c r="I15466" s="1011" t="str">
        <f>CONCATENATE("&lt;valeur&gt;",VLOOKUP(C15466,'T16 Amort'!A:K,7,0),"&lt;/valeur&gt;")</f>
        <v>&lt;valeur&gt;&lt;/valeur&gt;</v>
      </c>
      <c r="K15466" s="1013"/>
    </row>
    <row r="15467" spans="1:11" s="1011" customFormat="1" ht="15" x14ac:dyDescent="0.25">
      <c r="A15467" s="859">
        <f t="shared" si="354"/>
        <v>15466</v>
      </c>
      <c r="B15467" s="845" t="s">
        <v>2564</v>
      </c>
      <c r="C15467" s="1007">
        <f t="shared" si="353"/>
        <v>146</v>
      </c>
      <c r="D15467" s="1012"/>
      <c r="I15467" s="1011" t="str">
        <f>CONCATENATE("&lt;numeroLigne&gt;",C15467,"&lt;/numeroLigne&gt;")</f>
        <v>&lt;numeroLigne&gt;146&lt;/numeroLigne&gt;</v>
      </c>
      <c r="K15467" s="1013"/>
    </row>
    <row r="15468" spans="1:11" s="1011" customFormat="1" ht="15" x14ac:dyDescent="0.25">
      <c r="A15468" s="859">
        <f t="shared" si="354"/>
        <v>15467</v>
      </c>
      <c r="B15468" s="845" t="s">
        <v>2564</v>
      </c>
      <c r="C15468" s="1007">
        <f t="shared" si="353"/>
        <v>146</v>
      </c>
      <c r="D15468" s="1015"/>
      <c r="H15468" s="1011" t="s">
        <v>1010</v>
      </c>
      <c r="K15468" s="1013"/>
    </row>
    <row r="15469" spans="1:11" s="1011" customFormat="1" ht="15" x14ac:dyDescent="0.25">
      <c r="A15469" s="859">
        <f t="shared" si="354"/>
        <v>15468</v>
      </c>
      <c r="B15469" s="845" t="s">
        <v>2564</v>
      </c>
      <c r="C15469" s="1007">
        <f t="shared" si="353"/>
        <v>146</v>
      </c>
      <c r="D15469" s="1012"/>
      <c r="H15469" s="1011" t="s">
        <v>1007</v>
      </c>
      <c r="K15469" s="1013"/>
    </row>
    <row r="15470" spans="1:11" s="1011" customFormat="1" ht="15" x14ac:dyDescent="0.25">
      <c r="A15470" s="859">
        <f t="shared" si="354"/>
        <v>15469</v>
      </c>
      <c r="B15470" s="845" t="s">
        <v>2564</v>
      </c>
      <c r="C15470" s="1007">
        <f t="shared" si="353"/>
        <v>146</v>
      </c>
      <c r="D15470" s="1012"/>
      <c r="I15470" s="1011" t="s">
        <v>2180</v>
      </c>
      <c r="K15470" s="1013"/>
    </row>
    <row r="15471" spans="1:11" s="1011" customFormat="1" ht="15" x14ac:dyDescent="0.25">
      <c r="A15471" s="859">
        <f t="shared" si="354"/>
        <v>15470</v>
      </c>
      <c r="B15471" s="845" t="s">
        <v>2564</v>
      </c>
      <c r="C15471" s="1007">
        <f t="shared" ref="C15471:C15534" si="355">C15421+1</f>
        <v>146</v>
      </c>
      <c r="D15471" s="1014"/>
      <c r="I15471" s="1011" t="str">
        <f>CONCATENATE("&lt;valeur&gt;",VLOOKUP(C15471,'T16 Amort'!A:K,8,0),"&lt;/valeur&gt;")</f>
        <v>&lt;valeur&gt;&lt;/valeur&gt;</v>
      </c>
      <c r="K15471" s="1013"/>
    </row>
    <row r="15472" spans="1:11" s="1011" customFormat="1" ht="15" x14ac:dyDescent="0.25">
      <c r="A15472" s="859">
        <f t="shared" si="354"/>
        <v>15471</v>
      </c>
      <c r="B15472" s="845" t="s">
        <v>2564</v>
      </c>
      <c r="C15472" s="1007">
        <f t="shared" si="355"/>
        <v>146</v>
      </c>
      <c r="D15472" s="1014"/>
      <c r="I15472" s="1011" t="str">
        <f>CONCATENATE("&lt;numeroLigne&gt;",C15472,"&lt;/numeroLigne&gt;")</f>
        <v>&lt;numeroLigne&gt;146&lt;/numeroLigne&gt;</v>
      </c>
      <c r="K15472" s="1013"/>
    </row>
    <row r="15473" spans="1:11" s="1011" customFormat="1" ht="15" x14ac:dyDescent="0.25">
      <c r="A15473" s="859">
        <f t="shared" si="354"/>
        <v>15472</v>
      </c>
      <c r="B15473" s="845" t="s">
        <v>2564</v>
      </c>
      <c r="C15473" s="1007">
        <f t="shared" si="355"/>
        <v>146</v>
      </c>
      <c r="D15473" s="1012"/>
      <c r="H15473" s="1011" t="s">
        <v>1010</v>
      </c>
      <c r="K15473" s="1013"/>
    </row>
    <row r="15474" spans="1:11" s="1011" customFormat="1" ht="15" x14ac:dyDescent="0.25">
      <c r="A15474" s="859">
        <f t="shared" si="354"/>
        <v>15473</v>
      </c>
      <c r="B15474" s="845" t="s">
        <v>2564</v>
      </c>
      <c r="C15474" s="1007">
        <f t="shared" si="355"/>
        <v>146</v>
      </c>
      <c r="D15474" s="1015"/>
      <c r="H15474" s="1011" t="s">
        <v>1007</v>
      </c>
      <c r="K15474" s="1013"/>
    </row>
    <row r="15475" spans="1:11" s="1011" customFormat="1" ht="15" x14ac:dyDescent="0.25">
      <c r="A15475" s="859">
        <f t="shared" si="354"/>
        <v>15474</v>
      </c>
      <c r="B15475" s="845" t="s">
        <v>2564</v>
      </c>
      <c r="C15475" s="1007">
        <f t="shared" si="355"/>
        <v>146</v>
      </c>
      <c r="D15475" s="1012"/>
      <c r="I15475" s="1011" t="s">
        <v>2181</v>
      </c>
      <c r="K15475" s="1013"/>
    </row>
    <row r="15476" spans="1:11" s="1011" customFormat="1" ht="15" x14ac:dyDescent="0.25">
      <c r="A15476" s="859">
        <f t="shared" si="354"/>
        <v>15475</v>
      </c>
      <c r="B15476" s="845" t="s">
        <v>2564</v>
      </c>
      <c r="C15476" s="1007">
        <f t="shared" si="355"/>
        <v>146</v>
      </c>
      <c r="D15476" s="1012"/>
      <c r="I15476" s="1011" t="str">
        <f>CONCATENATE("&lt;valeur&gt;",VLOOKUP(C15476,'T16 Amort'!A:K,9,0),"&lt;/valeur&gt;")</f>
        <v>&lt;valeur&gt;&lt;/valeur&gt;</v>
      </c>
      <c r="K15476" s="1013"/>
    </row>
    <row r="15477" spans="1:11" s="1011" customFormat="1" ht="15" x14ac:dyDescent="0.25">
      <c r="A15477" s="859">
        <f t="shared" si="354"/>
        <v>15476</v>
      </c>
      <c r="B15477" s="845" t="s">
        <v>2564</v>
      </c>
      <c r="C15477" s="1007">
        <f t="shared" si="355"/>
        <v>146</v>
      </c>
      <c r="D15477" s="1014"/>
      <c r="I15477" s="1011" t="str">
        <f>CONCATENATE("&lt;numeroLigne&gt;",C15477,"&lt;/numeroLigne&gt;")</f>
        <v>&lt;numeroLigne&gt;146&lt;/numeroLigne&gt;</v>
      </c>
      <c r="K15477" s="1013"/>
    </row>
    <row r="15478" spans="1:11" s="1011" customFormat="1" ht="15" x14ac:dyDescent="0.25">
      <c r="A15478" s="859">
        <f t="shared" si="354"/>
        <v>15477</v>
      </c>
      <c r="B15478" s="845" t="s">
        <v>2564</v>
      </c>
      <c r="C15478" s="1007">
        <f t="shared" si="355"/>
        <v>146</v>
      </c>
      <c r="D15478" s="1014"/>
      <c r="H15478" s="1011" t="s">
        <v>1010</v>
      </c>
      <c r="K15478" s="1013"/>
    </row>
    <row r="15479" spans="1:11" s="1011" customFormat="1" ht="15" x14ac:dyDescent="0.25">
      <c r="A15479" s="859">
        <f t="shared" si="354"/>
        <v>15478</v>
      </c>
      <c r="B15479" s="845" t="s">
        <v>2564</v>
      </c>
      <c r="C15479" s="1007">
        <f t="shared" si="355"/>
        <v>146</v>
      </c>
      <c r="D15479" s="1012"/>
      <c r="H15479" s="1011" t="s">
        <v>1007</v>
      </c>
      <c r="K15479" s="1013"/>
    </row>
    <row r="15480" spans="1:11" s="1011" customFormat="1" ht="15" x14ac:dyDescent="0.25">
      <c r="A15480" s="859">
        <f t="shared" si="354"/>
        <v>15479</v>
      </c>
      <c r="B15480" s="845" t="s">
        <v>2564</v>
      </c>
      <c r="C15480" s="1007">
        <f t="shared" si="355"/>
        <v>146</v>
      </c>
      <c r="D15480" s="1015"/>
      <c r="I15480" s="1011" t="s">
        <v>2182</v>
      </c>
      <c r="K15480" s="1013"/>
    </row>
    <row r="15481" spans="1:11" s="1011" customFormat="1" ht="15" x14ac:dyDescent="0.25">
      <c r="A15481" s="859">
        <f t="shared" si="354"/>
        <v>15480</v>
      </c>
      <c r="B15481" s="845" t="s">
        <v>2564</v>
      </c>
      <c r="C15481" s="1007">
        <f t="shared" si="355"/>
        <v>146</v>
      </c>
      <c r="D15481" s="1012"/>
      <c r="I15481" s="1011" t="str">
        <f>CONCATENATE("&lt;valeur&gt;",VLOOKUP(C15481,'T16 Amort'!A:K,10,0),"&lt;/valeur&gt;")</f>
        <v>&lt;valeur&gt;&lt;/valeur&gt;</v>
      </c>
      <c r="K15481" s="1013"/>
    </row>
    <row r="15482" spans="1:11" s="1011" customFormat="1" ht="15" x14ac:dyDescent="0.25">
      <c r="A15482" s="859">
        <f t="shared" si="354"/>
        <v>15481</v>
      </c>
      <c r="B15482" s="845" t="s">
        <v>2564</v>
      </c>
      <c r="C15482" s="1007">
        <f t="shared" si="355"/>
        <v>146</v>
      </c>
      <c r="D15482" s="1012"/>
      <c r="I15482" s="1011" t="str">
        <f>CONCATENATE("&lt;numeroLigne&gt;",C15482,"&lt;/numeroLigne&gt;")</f>
        <v>&lt;numeroLigne&gt;146&lt;/numeroLigne&gt;</v>
      </c>
      <c r="K15482" s="1013"/>
    </row>
    <row r="15483" spans="1:11" s="1011" customFormat="1" ht="15" x14ac:dyDescent="0.25">
      <c r="A15483" s="859">
        <f t="shared" si="354"/>
        <v>15482</v>
      </c>
      <c r="B15483" s="845" t="s">
        <v>2564</v>
      </c>
      <c r="C15483" s="1007">
        <f t="shared" si="355"/>
        <v>146</v>
      </c>
      <c r="D15483" s="1014"/>
      <c r="H15483" s="1011" t="s">
        <v>1010</v>
      </c>
      <c r="K15483" s="1013"/>
    </row>
    <row r="15484" spans="1:11" s="1011" customFormat="1" ht="15" x14ac:dyDescent="0.25">
      <c r="A15484" s="859">
        <f t="shared" si="354"/>
        <v>15483</v>
      </c>
      <c r="B15484" s="845" t="s">
        <v>2564</v>
      </c>
      <c r="C15484" s="1007">
        <f t="shared" si="355"/>
        <v>146</v>
      </c>
      <c r="D15484" s="1014"/>
      <c r="H15484" s="1011" t="s">
        <v>1007</v>
      </c>
      <c r="K15484" s="1013"/>
    </row>
    <row r="15485" spans="1:11" s="1011" customFormat="1" ht="15" x14ac:dyDescent="0.25">
      <c r="A15485" s="859">
        <f t="shared" si="354"/>
        <v>15484</v>
      </c>
      <c r="B15485" s="845" t="s">
        <v>2564</v>
      </c>
      <c r="C15485" s="1007">
        <f t="shared" si="355"/>
        <v>146</v>
      </c>
      <c r="D15485" s="1012"/>
      <c r="I15485" s="1011" t="s">
        <v>2183</v>
      </c>
      <c r="K15485" s="1013"/>
    </row>
    <row r="15486" spans="1:11" s="1011" customFormat="1" ht="15" x14ac:dyDescent="0.25">
      <c r="A15486" s="859">
        <f t="shared" si="354"/>
        <v>15485</v>
      </c>
      <c r="B15486" s="845" t="s">
        <v>2564</v>
      </c>
      <c r="C15486" s="1007">
        <f t="shared" si="355"/>
        <v>146</v>
      </c>
      <c r="D15486" s="1015"/>
      <c r="I15486" s="1011" t="str">
        <f>CONCATENATE("&lt;valeur&gt;",VLOOKUP(C15486,'T16 Amort'!A:K,11,0),"&lt;/valeur&gt;")</f>
        <v>&lt;valeur&gt;&lt;/valeur&gt;</v>
      </c>
      <c r="K15486" s="1013"/>
    </row>
    <row r="15487" spans="1:11" s="1011" customFormat="1" ht="15" x14ac:dyDescent="0.25">
      <c r="A15487" s="859">
        <f t="shared" si="354"/>
        <v>15486</v>
      </c>
      <c r="B15487" s="845" t="s">
        <v>2564</v>
      </c>
      <c r="C15487" s="1007">
        <f t="shared" si="355"/>
        <v>146</v>
      </c>
      <c r="D15487" s="1012"/>
      <c r="I15487" s="1011" t="str">
        <f>CONCATENATE("&lt;numeroLigne&gt;",C15487,"&lt;/numeroLigne&gt;")</f>
        <v>&lt;numeroLigne&gt;146&lt;/numeroLigne&gt;</v>
      </c>
      <c r="K15487" s="1013"/>
    </row>
    <row r="15488" spans="1:11" s="1011" customFormat="1" ht="15" x14ac:dyDescent="0.25">
      <c r="A15488" s="859">
        <f t="shared" si="354"/>
        <v>15487</v>
      </c>
      <c r="B15488" s="845" t="s">
        <v>2564</v>
      </c>
      <c r="C15488" s="1007">
        <f t="shared" si="355"/>
        <v>146</v>
      </c>
      <c r="D15488" s="1016"/>
      <c r="E15488" s="1017"/>
      <c r="F15488" s="1017"/>
      <c r="G15488" s="1017"/>
      <c r="H15488" s="1017" t="s">
        <v>1010</v>
      </c>
      <c r="I15488" s="1017"/>
      <c r="J15488" s="1017"/>
      <c r="K15488" s="1018"/>
    </row>
    <row r="15489" spans="1:11" s="1011" customFormat="1" ht="15" x14ac:dyDescent="0.25">
      <c r="A15489" s="859">
        <f t="shared" si="354"/>
        <v>15488</v>
      </c>
      <c r="B15489" s="845" t="s">
        <v>2564</v>
      </c>
      <c r="C15489" s="1007">
        <f t="shared" si="355"/>
        <v>147</v>
      </c>
      <c r="D15489" s="1008"/>
      <c r="E15489" s="1009"/>
      <c r="F15489" s="1009"/>
      <c r="G15489" s="1009"/>
      <c r="H15489" s="1009" t="s">
        <v>1007</v>
      </c>
      <c r="I15489" s="1009"/>
      <c r="J15489" s="1009"/>
      <c r="K15489" s="1010"/>
    </row>
    <row r="15490" spans="1:11" s="1011" customFormat="1" ht="15" x14ac:dyDescent="0.25">
      <c r="A15490" s="859">
        <f t="shared" si="354"/>
        <v>15489</v>
      </c>
      <c r="B15490" s="845" t="s">
        <v>2564</v>
      </c>
      <c r="C15490" s="1007">
        <f t="shared" si="355"/>
        <v>147</v>
      </c>
      <c r="D15490" s="1012"/>
      <c r="I15490" s="1011" t="s">
        <v>2174</v>
      </c>
      <c r="K15490" s="1013"/>
    </row>
    <row r="15491" spans="1:11" s="1011" customFormat="1" ht="15" x14ac:dyDescent="0.25">
      <c r="A15491" s="859">
        <f t="shared" si="354"/>
        <v>15490</v>
      </c>
      <c r="B15491" s="845" t="s">
        <v>2564</v>
      </c>
      <c r="C15491" s="1007">
        <f t="shared" si="355"/>
        <v>147</v>
      </c>
      <c r="D15491" s="1014"/>
      <c r="I15491" s="1011" t="str">
        <f>CONCATENATE("&lt;valeur&gt;",VLOOKUP(C15491,'T16 Amort'!A:K,2,0),"&lt;/valeur&gt;")</f>
        <v>&lt;valeur&gt;&lt;/valeur&gt;</v>
      </c>
      <c r="K15491" s="1013"/>
    </row>
    <row r="15492" spans="1:11" s="1011" customFormat="1" ht="15" x14ac:dyDescent="0.25">
      <c r="A15492" s="859">
        <f t="shared" ref="A15492:A15555" si="356">+A15491+1</f>
        <v>15491</v>
      </c>
      <c r="B15492" s="845" t="s">
        <v>2564</v>
      </c>
      <c r="C15492" s="1007">
        <f t="shared" si="355"/>
        <v>147</v>
      </c>
      <c r="D15492" s="1014"/>
      <c r="I15492" s="1011" t="str">
        <f>CONCATENATE("&lt;numeroLigne&gt;",C15492,"&lt;/numeroLigne&gt;")</f>
        <v>&lt;numeroLigne&gt;147&lt;/numeroLigne&gt;</v>
      </c>
      <c r="K15492" s="1013"/>
    </row>
    <row r="15493" spans="1:11" s="1011" customFormat="1" ht="15" x14ac:dyDescent="0.25">
      <c r="A15493" s="859">
        <f t="shared" si="356"/>
        <v>15492</v>
      </c>
      <c r="B15493" s="845" t="s">
        <v>2564</v>
      </c>
      <c r="C15493" s="1007">
        <f t="shared" si="355"/>
        <v>147</v>
      </c>
      <c r="D15493" s="1012"/>
      <c r="H15493" s="1011" t="s">
        <v>1010</v>
      </c>
      <c r="K15493" s="1013"/>
    </row>
    <row r="15494" spans="1:11" s="1011" customFormat="1" ht="15" x14ac:dyDescent="0.25">
      <c r="A15494" s="859">
        <f t="shared" si="356"/>
        <v>15493</v>
      </c>
      <c r="B15494" s="845" t="s">
        <v>2564</v>
      </c>
      <c r="C15494" s="1007">
        <f t="shared" si="355"/>
        <v>147</v>
      </c>
      <c r="D15494" s="1015"/>
      <c r="H15494" s="1011" t="s">
        <v>1007</v>
      </c>
      <c r="K15494" s="1013"/>
    </row>
    <row r="15495" spans="1:11" s="1011" customFormat="1" ht="15" x14ac:dyDescent="0.25">
      <c r="A15495" s="859">
        <f t="shared" si="356"/>
        <v>15494</v>
      </c>
      <c r="B15495" s="845" t="s">
        <v>2564</v>
      </c>
      <c r="C15495" s="1007">
        <f t="shared" si="355"/>
        <v>147</v>
      </c>
      <c r="D15495" s="1012"/>
      <c r="I15495" s="1011" t="s">
        <v>2175</v>
      </c>
      <c r="K15495" s="1013"/>
    </row>
    <row r="15496" spans="1:11" s="1011" customFormat="1" ht="15" x14ac:dyDescent="0.25">
      <c r="A15496" s="859">
        <f t="shared" si="356"/>
        <v>15495</v>
      </c>
      <c r="B15496" s="845" t="s">
        <v>2564</v>
      </c>
      <c r="C15496" s="1007">
        <f t="shared" si="355"/>
        <v>147</v>
      </c>
      <c r="D15496" s="1012"/>
      <c r="I15496" s="1011" t="str">
        <f>CONCATENATE("&lt;valeur&gt;",VLOOKUP(C15496,'T16 Amort'!A:K,3,0),"&lt;/valeur&gt;")</f>
        <v>&lt;valeur&gt;&lt;/valeur&gt;</v>
      </c>
      <c r="K15496" s="1013"/>
    </row>
    <row r="15497" spans="1:11" s="1011" customFormat="1" ht="15" x14ac:dyDescent="0.25">
      <c r="A15497" s="859">
        <f t="shared" si="356"/>
        <v>15496</v>
      </c>
      <c r="B15497" s="845" t="s">
        <v>2564</v>
      </c>
      <c r="C15497" s="1007">
        <f t="shared" si="355"/>
        <v>147</v>
      </c>
      <c r="D15497" s="1014"/>
      <c r="I15497" s="1011" t="str">
        <f>CONCATENATE("&lt;numeroLigne&gt;",C15497,"&lt;/numeroLigne&gt;")</f>
        <v>&lt;numeroLigne&gt;147&lt;/numeroLigne&gt;</v>
      </c>
      <c r="K15497" s="1013"/>
    </row>
    <row r="15498" spans="1:11" s="1011" customFormat="1" ht="15" x14ac:dyDescent="0.25">
      <c r="A15498" s="859">
        <f t="shared" si="356"/>
        <v>15497</v>
      </c>
      <c r="B15498" s="845" t="s">
        <v>2564</v>
      </c>
      <c r="C15498" s="1007">
        <f t="shared" si="355"/>
        <v>147</v>
      </c>
      <c r="D15498" s="1014"/>
      <c r="H15498" s="1011" t="s">
        <v>1010</v>
      </c>
      <c r="K15498" s="1013"/>
    </row>
    <row r="15499" spans="1:11" s="1011" customFormat="1" ht="15" x14ac:dyDescent="0.25">
      <c r="A15499" s="859">
        <f t="shared" si="356"/>
        <v>15498</v>
      </c>
      <c r="B15499" s="845" t="s">
        <v>2564</v>
      </c>
      <c r="C15499" s="1007">
        <f t="shared" si="355"/>
        <v>147</v>
      </c>
      <c r="D15499" s="1012"/>
      <c r="H15499" s="1011" t="s">
        <v>1007</v>
      </c>
      <c r="K15499" s="1013"/>
    </row>
    <row r="15500" spans="1:11" s="1011" customFormat="1" ht="15" x14ac:dyDescent="0.25">
      <c r="A15500" s="859">
        <f t="shared" si="356"/>
        <v>15499</v>
      </c>
      <c r="B15500" s="845" t="s">
        <v>2564</v>
      </c>
      <c r="C15500" s="1007">
        <f t="shared" si="355"/>
        <v>147</v>
      </c>
      <c r="D15500" s="1015"/>
      <c r="I15500" s="1011" t="s">
        <v>2176</v>
      </c>
      <c r="K15500" s="1013"/>
    </row>
    <row r="15501" spans="1:11" s="1011" customFormat="1" ht="15" x14ac:dyDescent="0.25">
      <c r="A15501" s="859">
        <f t="shared" si="356"/>
        <v>15500</v>
      </c>
      <c r="B15501" s="845" t="s">
        <v>2564</v>
      </c>
      <c r="C15501" s="1007">
        <f t="shared" si="355"/>
        <v>147</v>
      </c>
      <c r="D15501" s="1012"/>
      <c r="I15501" s="1011" t="str">
        <f>CONCATENATE("&lt;valeur&gt;",VLOOKUP(C15501,'T16 Amort'!A:K,4,0),"&lt;/valeur&gt;")</f>
        <v>&lt;valeur&gt;&lt;/valeur&gt;</v>
      </c>
      <c r="K15501" s="1013"/>
    </row>
    <row r="15502" spans="1:11" s="1011" customFormat="1" ht="15" x14ac:dyDescent="0.25">
      <c r="A15502" s="859">
        <f t="shared" si="356"/>
        <v>15501</v>
      </c>
      <c r="B15502" s="845" t="s">
        <v>2564</v>
      </c>
      <c r="C15502" s="1007">
        <f t="shared" si="355"/>
        <v>147</v>
      </c>
      <c r="D15502" s="1012"/>
      <c r="I15502" s="1011" t="str">
        <f>CONCATENATE("&lt;numeroLigne&gt;",C15502,"&lt;/numeroLigne&gt;")</f>
        <v>&lt;numeroLigne&gt;147&lt;/numeroLigne&gt;</v>
      </c>
      <c r="K15502" s="1013"/>
    </row>
    <row r="15503" spans="1:11" s="1011" customFormat="1" ht="15" x14ac:dyDescent="0.25">
      <c r="A15503" s="859">
        <f t="shared" si="356"/>
        <v>15502</v>
      </c>
      <c r="B15503" s="845" t="s">
        <v>2564</v>
      </c>
      <c r="C15503" s="1007">
        <f t="shared" si="355"/>
        <v>147</v>
      </c>
      <c r="D15503" s="1014"/>
      <c r="H15503" s="1011" t="s">
        <v>1010</v>
      </c>
      <c r="K15503" s="1013"/>
    </row>
    <row r="15504" spans="1:11" s="1011" customFormat="1" ht="15" x14ac:dyDescent="0.25">
      <c r="A15504" s="859">
        <f t="shared" si="356"/>
        <v>15503</v>
      </c>
      <c r="B15504" s="845" t="s">
        <v>2564</v>
      </c>
      <c r="C15504" s="1007">
        <f t="shared" si="355"/>
        <v>147</v>
      </c>
      <c r="D15504" s="1014"/>
      <c r="H15504" s="1011" t="s">
        <v>1007</v>
      </c>
      <c r="K15504" s="1013"/>
    </row>
    <row r="15505" spans="1:11" s="1011" customFormat="1" ht="15" x14ac:dyDescent="0.25">
      <c r="A15505" s="859">
        <f t="shared" si="356"/>
        <v>15504</v>
      </c>
      <c r="B15505" s="845" t="s">
        <v>2564</v>
      </c>
      <c r="C15505" s="1007">
        <f t="shared" si="355"/>
        <v>147</v>
      </c>
      <c r="D15505" s="1012"/>
      <c r="I15505" s="1011" t="s">
        <v>2177</v>
      </c>
      <c r="K15505" s="1013"/>
    </row>
    <row r="15506" spans="1:11" s="1011" customFormat="1" ht="15" x14ac:dyDescent="0.25">
      <c r="A15506" s="859">
        <f t="shared" si="356"/>
        <v>15505</v>
      </c>
      <c r="B15506" s="845" t="s">
        <v>2564</v>
      </c>
      <c r="C15506" s="1007">
        <f t="shared" si="355"/>
        <v>147</v>
      </c>
      <c r="D15506" s="1015"/>
      <c r="I15506" s="1011" t="str">
        <f>CONCATENATE("&lt;valeur&gt;",VLOOKUP(C15506,'T16 Amort'!A:K,5,0),"&lt;/valeur&gt;")</f>
        <v>&lt;valeur&gt;&lt;/valeur&gt;</v>
      </c>
      <c r="K15506" s="1013"/>
    </row>
    <row r="15507" spans="1:11" s="1011" customFormat="1" ht="15" x14ac:dyDescent="0.25">
      <c r="A15507" s="859">
        <f t="shared" si="356"/>
        <v>15506</v>
      </c>
      <c r="B15507" s="845" t="s">
        <v>2564</v>
      </c>
      <c r="C15507" s="1007">
        <f t="shared" si="355"/>
        <v>147</v>
      </c>
      <c r="D15507" s="1012"/>
      <c r="I15507" s="1011" t="str">
        <f>CONCATENATE("&lt;numeroLigne&gt;",C15507,"&lt;/numeroLigne&gt;")</f>
        <v>&lt;numeroLigne&gt;147&lt;/numeroLigne&gt;</v>
      </c>
      <c r="K15507" s="1013"/>
    </row>
    <row r="15508" spans="1:11" s="1011" customFormat="1" ht="15" x14ac:dyDescent="0.25">
      <c r="A15508" s="859">
        <f t="shared" si="356"/>
        <v>15507</v>
      </c>
      <c r="B15508" s="845" t="s">
        <v>2564</v>
      </c>
      <c r="C15508" s="1007">
        <f t="shared" si="355"/>
        <v>147</v>
      </c>
      <c r="D15508" s="1012"/>
      <c r="H15508" s="1011" t="s">
        <v>1010</v>
      </c>
      <c r="K15508" s="1013"/>
    </row>
    <row r="15509" spans="1:11" s="1011" customFormat="1" ht="15" x14ac:dyDescent="0.25">
      <c r="A15509" s="859">
        <f t="shared" si="356"/>
        <v>15508</v>
      </c>
      <c r="B15509" s="845" t="s">
        <v>2564</v>
      </c>
      <c r="C15509" s="1007">
        <f t="shared" si="355"/>
        <v>147</v>
      </c>
      <c r="D15509" s="1014"/>
      <c r="H15509" s="1011" t="s">
        <v>1007</v>
      </c>
      <c r="K15509" s="1013"/>
    </row>
    <row r="15510" spans="1:11" s="1011" customFormat="1" ht="15" x14ac:dyDescent="0.25">
      <c r="A15510" s="859">
        <f t="shared" si="356"/>
        <v>15509</v>
      </c>
      <c r="B15510" s="845" t="s">
        <v>2564</v>
      </c>
      <c r="C15510" s="1007">
        <f t="shared" si="355"/>
        <v>147</v>
      </c>
      <c r="D15510" s="1014"/>
      <c r="I15510" s="1011" t="s">
        <v>2178</v>
      </c>
      <c r="K15510" s="1013"/>
    </row>
    <row r="15511" spans="1:11" s="1011" customFormat="1" ht="15" x14ac:dyDescent="0.25">
      <c r="A15511" s="859">
        <f t="shared" si="356"/>
        <v>15510</v>
      </c>
      <c r="B15511" s="845" t="s">
        <v>2564</v>
      </c>
      <c r="C15511" s="1007">
        <f t="shared" si="355"/>
        <v>147</v>
      </c>
      <c r="D15511" s="1012"/>
      <c r="I15511" s="1011" t="str">
        <f>CONCATENATE("&lt;valeur&gt;",VLOOKUP(C15511,'T16 Amort'!A:K,6,0),"&lt;/valeur&gt;")</f>
        <v>&lt;valeur&gt;&lt;/valeur&gt;</v>
      </c>
      <c r="K15511" s="1013"/>
    </row>
    <row r="15512" spans="1:11" s="1011" customFormat="1" ht="15" x14ac:dyDescent="0.25">
      <c r="A15512" s="859">
        <f t="shared" si="356"/>
        <v>15511</v>
      </c>
      <c r="B15512" s="845" t="s">
        <v>2564</v>
      </c>
      <c r="C15512" s="1007">
        <f t="shared" si="355"/>
        <v>147</v>
      </c>
      <c r="D15512" s="1015"/>
      <c r="I15512" s="1011" t="str">
        <f>CONCATENATE("&lt;numeroLigne&gt;",C15512,"&lt;/numeroLigne&gt;")</f>
        <v>&lt;numeroLigne&gt;147&lt;/numeroLigne&gt;</v>
      </c>
      <c r="K15512" s="1013"/>
    </row>
    <row r="15513" spans="1:11" s="1011" customFormat="1" ht="15" x14ac:dyDescent="0.25">
      <c r="A15513" s="859">
        <f t="shared" si="356"/>
        <v>15512</v>
      </c>
      <c r="B15513" s="845" t="s">
        <v>2564</v>
      </c>
      <c r="C15513" s="1007">
        <f t="shared" si="355"/>
        <v>147</v>
      </c>
      <c r="D15513" s="1012"/>
      <c r="H15513" s="1011" t="s">
        <v>1010</v>
      </c>
      <c r="K15513" s="1013"/>
    </row>
    <row r="15514" spans="1:11" s="1011" customFormat="1" ht="15" x14ac:dyDescent="0.25">
      <c r="A15514" s="859">
        <f t="shared" si="356"/>
        <v>15513</v>
      </c>
      <c r="B15514" s="845" t="s">
        <v>2564</v>
      </c>
      <c r="C15514" s="1007">
        <f t="shared" si="355"/>
        <v>147</v>
      </c>
      <c r="D15514" s="1012"/>
      <c r="H15514" s="1011" t="s">
        <v>1007</v>
      </c>
      <c r="K15514" s="1013"/>
    </row>
    <row r="15515" spans="1:11" s="1011" customFormat="1" ht="15" x14ac:dyDescent="0.25">
      <c r="A15515" s="859">
        <f t="shared" si="356"/>
        <v>15514</v>
      </c>
      <c r="B15515" s="845" t="s">
        <v>2564</v>
      </c>
      <c r="C15515" s="1007">
        <f t="shared" si="355"/>
        <v>147</v>
      </c>
      <c r="D15515" s="1014"/>
      <c r="I15515" s="1011" t="s">
        <v>2179</v>
      </c>
      <c r="K15515" s="1013"/>
    </row>
    <row r="15516" spans="1:11" s="1011" customFormat="1" ht="15" x14ac:dyDescent="0.25">
      <c r="A15516" s="859">
        <f t="shared" si="356"/>
        <v>15515</v>
      </c>
      <c r="B15516" s="845" t="s">
        <v>2564</v>
      </c>
      <c r="C15516" s="1007">
        <f t="shared" si="355"/>
        <v>147</v>
      </c>
      <c r="D15516" s="1014"/>
      <c r="I15516" s="1011" t="str">
        <f>CONCATENATE("&lt;valeur&gt;",VLOOKUP(C15516,'T16 Amort'!A:K,7,0),"&lt;/valeur&gt;")</f>
        <v>&lt;valeur&gt;&lt;/valeur&gt;</v>
      </c>
      <c r="K15516" s="1013"/>
    </row>
    <row r="15517" spans="1:11" s="1011" customFormat="1" ht="15" x14ac:dyDescent="0.25">
      <c r="A15517" s="859">
        <f t="shared" si="356"/>
        <v>15516</v>
      </c>
      <c r="B15517" s="845" t="s">
        <v>2564</v>
      </c>
      <c r="C15517" s="1007">
        <f t="shared" si="355"/>
        <v>147</v>
      </c>
      <c r="D15517" s="1012"/>
      <c r="I15517" s="1011" t="str">
        <f>CONCATENATE("&lt;numeroLigne&gt;",C15517,"&lt;/numeroLigne&gt;")</f>
        <v>&lt;numeroLigne&gt;147&lt;/numeroLigne&gt;</v>
      </c>
      <c r="K15517" s="1013"/>
    </row>
    <row r="15518" spans="1:11" s="1011" customFormat="1" ht="15" x14ac:dyDescent="0.25">
      <c r="A15518" s="859">
        <f t="shared" si="356"/>
        <v>15517</v>
      </c>
      <c r="B15518" s="845" t="s">
        <v>2564</v>
      </c>
      <c r="C15518" s="1007">
        <f t="shared" si="355"/>
        <v>147</v>
      </c>
      <c r="D15518" s="1015"/>
      <c r="H15518" s="1011" t="s">
        <v>1010</v>
      </c>
      <c r="K15518" s="1013"/>
    </row>
    <row r="15519" spans="1:11" s="1011" customFormat="1" ht="15" x14ac:dyDescent="0.25">
      <c r="A15519" s="859">
        <f t="shared" si="356"/>
        <v>15518</v>
      </c>
      <c r="B15519" s="845" t="s">
        <v>2564</v>
      </c>
      <c r="C15519" s="1007">
        <f t="shared" si="355"/>
        <v>147</v>
      </c>
      <c r="D15519" s="1012"/>
      <c r="H15519" s="1011" t="s">
        <v>1007</v>
      </c>
      <c r="K15519" s="1013"/>
    </row>
    <row r="15520" spans="1:11" s="1011" customFormat="1" ht="15" x14ac:dyDescent="0.25">
      <c r="A15520" s="859">
        <f t="shared" si="356"/>
        <v>15519</v>
      </c>
      <c r="B15520" s="845" t="s">
        <v>2564</v>
      </c>
      <c r="C15520" s="1007">
        <f t="shared" si="355"/>
        <v>147</v>
      </c>
      <c r="D15520" s="1012"/>
      <c r="I15520" s="1011" t="s">
        <v>2180</v>
      </c>
      <c r="K15520" s="1013"/>
    </row>
    <row r="15521" spans="1:11" s="1011" customFormat="1" ht="15" x14ac:dyDescent="0.25">
      <c r="A15521" s="859">
        <f t="shared" si="356"/>
        <v>15520</v>
      </c>
      <c r="B15521" s="845" t="s">
        <v>2564</v>
      </c>
      <c r="C15521" s="1007">
        <f t="shared" si="355"/>
        <v>147</v>
      </c>
      <c r="D15521" s="1014"/>
      <c r="I15521" s="1011" t="str">
        <f>CONCATENATE("&lt;valeur&gt;",VLOOKUP(C15521,'T16 Amort'!A:K,8,0),"&lt;/valeur&gt;")</f>
        <v>&lt;valeur&gt;&lt;/valeur&gt;</v>
      </c>
      <c r="K15521" s="1013"/>
    </row>
    <row r="15522" spans="1:11" s="1011" customFormat="1" ht="15" x14ac:dyDescent="0.25">
      <c r="A15522" s="859">
        <f t="shared" si="356"/>
        <v>15521</v>
      </c>
      <c r="B15522" s="845" t="s">
        <v>2564</v>
      </c>
      <c r="C15522" s="1007">
        <f t="shared" si="355"/>
        <v>147</v>
      </c>
      <c r="D15522" s="1014"/>
      <c r="I15522" s="1011" t="str">
        <f>CONCATENATE("&lt;numeroLigne&gt;",C15522,"&lt;/numeroLigne&gt;")</f>
        <v>&lt;numeroLigne&gt;147&lt;/numeroLigne&gt;</v>
      </c>
      <c r="K15522" s="1013"/>
    </row>
    <row r="15523" spans="1:11" s="1011" customFormat="1" ht="15" x14ac:dyDescent="0.25">
      <c r="A15523" s="859">
        <f t="shared" si="356"/>
        <v>15522</v>
      </c>
      <c r="B15523" s="845" t="s">
        <v>2564</v>
      </c>
      <c r="C15523" s="1007">
        <f t="shared" si="355"/>
        <v>147</v>
      </c>
      <c r="D15523" s="1012"/>
      <c r="H15523" s="1011" t="s">
        <v>1010</v>
      </c>
      <c r="K15523" s="1013"/>
    </row>
    <row r="15524" spans="1:11" s="1011" customFormat="1" ht="15" x14ac:dyDescent="0.25">
      <c r="A15524" s="859">
        <f t="shared" si="356"/>
        <v>15523</v>
      </c>
      <c r="B15524" s="845" t="s">
        <v>2564</v>
      </c>
      <c r="C15524" s="1007">
        <f t="shared" si="355"/>
        <v>147</v>
      </c>
      <c r="D15524" s="1015"/>
      <c r="H15524" s="1011" t="s">
        <v>1007</v>
      </c>
      <c r="K15524" s="1013"/>
    </row>
    <row r="15525" spans="1:11" s="1011" customFormat="1" ht="15" x14ac:dyDescent="0.25">
      <c r="A15525" s="859">
        <f t="shared" si="356"/>
        <v>15524</v>
      </c>
      <c r="B15525" s="845" t="s">
        <v>2564</v>
      </c>
      <c r="C15525" s="1007">
        <f t="shared" si="355"/>
        <v>147</v>
      </c>
      <c r="D15525" s="1012"/>
      <c r="I15525" s="1011" t="s">
        <v>2181</v>
      </c>
      <c r="K15525" s="1013"/>
    </row>
    <row r="15526" spans="1:11" s="1011" customFormat="1" ht="15" x14ac:dyDescent="0.25">
      <c r="A15526" s="859">
        <f t="shared" si="356"/>
        <v>15525</v>
      </c>
      <c r="B15526" s="845" t="s">
        <v>2564</v>
      </c>
      <c r="C15526" s="1007">
        <f t="shared" si="355"/>
        <v>147</v>
      </c>
      <c r="D15526" s="1012"/>
      <c r="I15526" s="1011" t="str">
        <f>CONCATENATE("&lt;valeur&gt;",VLOOKUP(C15526,'T16 Amort'!A:K,9,0),"&lt;/valeur&gt;")</f>
        <v>&lt;valeur&gt;&lt;/valeur&gt;</v>
      </c>
      <c r="K15526" s="1013"/>
    </row>
    <row r="15527" spans="1:11" s="1011" customFormat="1" ht="15" x14ac:dyDescent="0.25">
      <c r="A15527" s="859">
        <f t="shared" si="356"/>
        <v>15526</v>
      </c>
      <c r="B15527" s="845" t="s">
        <v>2564</v>
      </c>
      <c r="C15527" s="1007">
        <f t="shared" si="355"/>
        <v>147</v>
      </c>
      <c r="D15527" s="1014"/>
      <c r="I15527" s="1011" t="str">
        <f>CONCATENATE("&lt;numeroLigne&gt;",C15527,"&lt;/numeroLigne&gt;")</f>
        <v>&lt;numeroLigne&gt;147&lt;/numeroLigne&gt;</v>
      </c>
      <c r="K15527" s="1013"/>
    </row>
    <row r="15528" spans="1:11" s="1011" customFormat="1" ht="15" x14ac:dyDescent="0.25">
      <c r="A15528" s="859">
        <f t="shared" si="356"/>
        <v>15527</v>
      </c>
      <c r="B15528" s="845" t="s">
        <v>2564</v>
      </c>
      <c r="C15528" s="1007">
        <f t="shared" si="355"/>
        <v>147</v>
      </c>
      <c r="D15528" s="1014"/>
      <c r="H15528" s="1011" t="s">
        <v>1010</v>
      </c>
      <c r="K15528" s="1013"/>
    </row>
    <row r="15529" spans="1:11" s="1011" customFormat="1" ht="15" x14ac:dyDescent="0.25">
      <c r="A15529" s="859">
        <f t="shared" si="356"/>
        <v>15528</v>
      </c>
      <c r="B15529" s="845" t="s">
        <v>2564</v>
      </c>
      <c r="C15529" s="1007">
        <f t="shared" si="355"/>
        <v>147</v>
      </c>
      <c r="D15529" s="1012"/>
      <c r="H15529" s="1011" t="s">
        <v>1007</v>
      </c>
      <c r="K15529" s="1013"/>
    </row>
    <row r="15530" spans="1:11" s="1011" customFormat="1" ht="15" x14ac:dyDescent="0.25">
      <c r="A15530" s="859">
        <f t="shared" si="356"/>
        <v>15529</v>
      </c>
      <c r="B15530" s="845" t="s">
        <v>2564</v>
      </c>
      <c r="C15530" s="1007">
        <f t="shared" si="355"/>
        <v>147</v>
      </c>
      <c r="D15530" s="1015"/>
      <c r="I15530" s="1011" t="s">
        <v>2182</v>
      </c>
      <c r="K15530" s="1013"/>
    </row>
    <row r="15531" spans="1:11" s="1011" customFormat="1" ht="15" x14ac:dyDescent="0.25">
      <c r="A15531" s="859">
        <f t="shared" si="356"/>
        <v>15530</v>
      </c>
      <c r="B15531" s="845" t="s">
        <v>2564</v>
      </c>
      <c r="C15531" s="1007">
        <f t="shared" si="355"/>
        <v>147</v>
      </c>
      <c r="D15531" s="1012"/>
      <c r="I15531" s="1011" t="str">
        <f>CONCATENATE("&lt;valeur&gt;",VLOOKUP(C15531,'T16 Amort'!A:K,10,0),"&lt;/valeur&gt;")</f>
        <v>&lt;valeur&gt;&lt;/valeur&gt;</v>
      </c>
      <c r="K15531" s="1013"/>
    </row>
    <row r="15532" spans="1:11" s="1011" customFormat="1" ht="15" x14ac:dyDescent="0.25">
      <c r="A15532" s="859">
        <f t="shared" si="356"/>
        <v>15531</v>
      </c>
      <c r="B15532" s="845" t="s">
        <v>2564</v>
      </c>
      <c r="C15532" s="1007">
        <f t="shared" si="355"/>
        <v>147</v>
      </c>
      <c r="D15532" s="1012"/>
      <c r="I15532" s="1011" t="str">
        <f>CONCATENATE("&lt;numeroLigne&gt;",C15532,"&lt;/numeroLigne&gt;")</f>
        <v>&lt;numeroLigne&gt;147&lt;/numeroLigne&gt;</v>
      </c>
      <c r="K15532" s="1013"/>
    </row>
    <row r="15533" spans="1:11" s="1011" customFormat="1" ht="15" x14ac:dyDescent="0.25">
      <c r="A15533" s="859">
        <f t="shared" si="356"/>
        <v>15532</v>
      </c>
      <c r="B15533" s="845" t="s">
        <v>2564</v>
      </c>
      <c r="C15533" s="1007">
        <f t="shared" si="355"/>
        <v>147</v>
      </c>
      <c r="D15533" s="1014"/>
      <c r="H15533" s="1011" t="s">
        <v>1010</v>
      </c>
      <c r="K15533" s="1013"/>
    </row>
    <row r="15534" spans="1:11" s="1011" customFormat="1" ht="15" x14ac:dyDescent="0.25">
      <c r="A15534" s="859">
        <f t="shared" si="356"/>
        <v>15533</v>
      </c>
      <c r="B15534" s="845" t="s">
        <v>2564</v>
      </c>
      <c r="C15534" s="1007">
        <f t="shared" si="355"/>
        <v>147</v>
      </c>
      <c r="D15534" s="1014"/>
      <c r="H15534" s="1011" t="s">
        <v>1007</v>
      </c>
      <c r="K15534" s="1013"/>
    </row>
    <row r="15535" spans="1:11" s="1011" customFormat="1" ht="15" x14ac:dyDescent="0.25">
      <c r="A15535" s="859">
        <f t="shared" si="356"/>
        <v>15534</v>
      </c>
      <c r="B15535" s="845" t="s">
        <v>2564</v>
      </c>
      <c r="C15535" s="1007">
        <f t="shared" ref="C15535:C15598" si="357">C15485+1</f>
        <v>147</v>
      </c>
      <c r="D15535" s="1012"/>
      <c r="I15535" s="1011" t="s">
        <v>2183</v>
      </c>
      <c r="K15535" s="1013"/>
    </row>
    <row r="15536" spans="1:11" s="1011" customFormat="1" ht="15" x14ac:dyDescent="0.25">
      <c r="A15536" s="859">
        <f t="shared" si="356"/>
        <v>15535</v>
      </c>
      <c r="B15536" s="845" t="s">
        <v>2564</v>
      </c>
      <c r="C15536" s="1007">
        <f t="shared" si="357"/>
        <v>147</v>
      </c>
      <c r="D15536" s="1015"/>
      <c r="I15536" s="1011" t="str">
        <f>CONCATENATE("&lt;valeur&gt;",VLOOKUP(C15536,'T16 Amort'!A:K,11,0),"&lt;/valeur&gt;")</f>
        <v>&lt;valeur&gt;&lt;/valeur&gt;</v>
      </c>
      <c r="K15536" s="1013"/>
    </row>
    <row r="15537" spans="1:11" s="1011" customFormat="1" ht="15" x14ac:dyDescent="0.25">
      <c r="A15537" s="859">
        <f t="shared" si="356"/>
        <v>15536</v>
      </c>
      <c r="B15537" s="845" t="s">
        <v>2564</v>
      </c>
      <c r="C15537" s="1007">
        <f t="shared" si="357"/>
        <v>147</v>
      </c>
      <c r="D15537" s="1012"/>
      <c r="I15537" s="1011" t="str">
        <f>CONCATENATE("&lt;numeroLigne&gt;",C15537,"&lt;/numeroLigne&gt;")</f>
        <v>&lt;numeroLigne&gt;147&lt;/numeroLigne&gt;</v>
      </c>
      <c r="K15537" s="1013"/>
    </row>
    <row r="15538" spans="1:11" s="1011" customFormat="1" ht="15" x14ac:dyDescent="0.25">
      <c r="A15538" s="859">
        <f t="shared" si="356"/>
        <v>15537</v>
      </c>
      <c r="B15538" s="845" t="s">
        <v>2564</v>
      </c>
      <c r="C15538" s="1007">
        <f t="shared" si="357"/>
        <v>147</v>
      </c>
      <c r="D15538" s="1016"/>
      <c r="E15538" s="1017"/>
      <c r="F15538" s="1017"/>
      <c r="G15538" s="1017"/>
      <c r="H15538" s="1017" t="s">
        <v>1010</v>
      </c>
      <c r="I15538" s="1017"/>
      <c r="J15538" s="1017"/>
      <c r="K15538" s="1018"/>
    </row>
    <row r="15539" spans="1:11" s="1011" customFormat="1" ht="15" x14ac:dyDescent="0.25">
      <c r="A15539" s="859">
        <f t="shared" si="356"/>
        <v>15538</v>
      </c>
      <c r="B15539" s="845" t="s">
        <v>2564</v>
      </c>
      <c r="C15539" s="1007">
        <f t="shared" si="357"/>
        <v>148</v>
      </c>
      <c r="D15539" s="1008"/>
      <c r="E15539" s="1009"/>
      <c r="F15539" s="1009"/>
      <c r="G15539" s="1009"/>
      <c r="H15539" s="1009" t="s">
        <v>1007</v>
      </c>
      <c r="I15539" s="1009"/>
      <c r="J15539" s="1009"/>
      <c r="K15539" s="1010"/>
    </row>
    <row r="15540" spans="1:11" s="1011" customFormat="1" ht="15" x14ac:dyDescent="0.25">
      <c r="A15540" s="859">
        <f t="shared" si="356"/>
        <v>15539</v>
      </c>
      <c r="B15540" s="845" t="s">
        <v>2564</v>
      </c>
      <c r="C15540" s="1007">
        <f t="shared" si="357"/>
        <v>148</v>
      </c>
      <c r="D15540" s="1012"/>
      <c r="I15540" s="1011" t="s">
        <v>2174</v>
      </c>
      <c r="K15540" s="1013"/>
    </row>
    <row r="15541" spans="1:11" s="1011" customFormat="1" ht="15" x14ac:dyDescent="0.25">
      <c r="A15541" s="859">
        <f t="shared" si="356"/>
        <v>15540</v>
      </c>
      <c r="B15541" s="845" t="s">
        <v>2564</v>
      </c>
      <c r="C15541" s="1007">
        <f t="shared" si="357"/>
        <v>148</v>
      </c>
      <c r="D15541" s="1014"/>
      <c r="I15541" s="1011" t="str">
        <f>CONCATENATE("&lt;valeur&gt;",VLOOKUP(C15541,'T16 Amort'!A:K,2,0),"&lt;/valeur&gt;")</f>
        <v>&lt;valeur&gt;&lt;/valeur&gt;</v>
      </c>
      <c r="K15541" s="1013"/>
    </row>
    <row r="15542" spans="1:11" s="1011" customFormat="1" ht="15" x14ac:dyDescent="0.25">
      <c r="A15542" s="859">
        <f t="shared" si="356"/>
        <v>15541</v>
      </c>
      <c r="B15542" s="845" t="s">
        <v>2564</v>
      </c>
      <c r="C15542" s="1007">
        <f t="shared" si="357"/>
        <v>148</v>
      </c>
      <c r="D15542" s="1014"/>
      <c r="I15542" s="1011" t="str">
        <f>CONCATENATE("&lt;numeroLigne&gt;",C15542,"&lt;/numeroLigne&gt;")</f>
        <v>&lt;numeroLigne&gt;148&lt;/numeroLigne&gt;</v>
      </c>
      <c r="K15542" s="1013"/>
    </row>
    <row r="15543" spans="1:11" s="1011" customFormat="1" ht="15" x14ac:dyDescent="0.25">
      <c r="A15543" s="859">
        <f t="shared" si="356"/>
        <v>15542</v>
      </c>
      <c r="B15543" s="845" t="s">
        <v>2564</v>
      </c>
      <c r="C15543" s="1007">
        <f t="shared" si="357"/>
        <v>148</v>
      </c>
      <c r="D15543" s="1012"/>
      <c r="H15543" s="1011" t="s">
        <v>1010</v>
      </c>
      <c r="K15543" s="1013"/>
    </row>
    <row r="15544" spans="1:11" s="1011" customFormat="1" ht="15" x14ac:dyDescent="0.25">
      <c r="A15544" s="859">
        <f t="shared" si="356"/>
        <v>15543</v>
      </c>
      <c r="B15544" s="845" t="s">
        <v>2564</v>
      </c>
      <c r="C15544" s="1007">
        <f t="shared" si="357"/>
        <v>148</v>
      </c>
      <c r="D15544" s="1015"/>
      <c r="H15544" s="1011" t="s">
        <v>1007</v>
      </c>
      <c r="K15544" s="1013"/>
    </row>
    <row r="15545" spans="1:11" s="1011" customFormat="1" ht="15" x14ac:dyDescent="0.25">
      <c r="A15545" s="859">
        <f t="shared" si="356"/>
        <v>15544</v>
      </c>
      <c r="B15545" s="845" t="s">
        <v>2564</v>
      </c>
      <c r="C15545" s="1007">
        <f t="shared" si="357"/>
        <v>148</v>
      </c>
      <c r="D15545" s="1012"/>
      <c r="I15545" s="1011" t="s">
        <v>2175</v>
      </c>
      <c r="K15545" s="1013"/>
    </row>
    <row r="15546" spans="1:11" s="1011" customFormat="1" ht="15" x14ac:dyDescent="0.25">
      <c r="A15546" s="859">
        <f t="shared" si="356"/>
        <v>15545</v>
      </c>
      <c r="B15546" s="845" t="s">
        <v>2564</v>
      </c>
      <c r="C15546" s="1007">
        <f t="shared" si="357"/>
        <v>148</v>
      </c>
      <c r="D15546" s="1012"/>
      <c r="I15546" s="1011" t="str">
        <f>CONCATENATE("&lt;valeur&gt;",VLOOKUP(C15546,'T16 Amort'!A:K,3,0),"&lt;/valeur&gt;")</f>
        <v>&lt;valeur&gt;&lt;/valeur&gt;</v>
      </c>
      <c r="K15546" s="1013"/>
    </row>
    <row r="15547" spans="1:11" s="1011" customFormat="1" ht="15" x14ac:dyDescent="0.25">
      <c r="A15547" s="859">
        <f t="shared" si="356"/>
        <v>15546</v>
      </c>
      <c r="B15547" s="845" t="s">
        <v>2564</v>
      </c>
      <c r="C15547" s="1007">
        <f t="shared" si="357"/>
        <v>148</v>
      </c>
      <c r="D15547" s="1014"/>
      <c r="I15547" s="1011" t="str">
        <f>CONCATENATE("&lt;numeroLigne&gt;",C15547,"&lt;/numeroLigne&gt;")</f>
        <v>&lt;numeroLigne&gt;148&lt;/numeroLigne&gt;</v>
      </c>
      <c r="K15547" s="1013"/>
    </row>
    <row r="15548" spans="1:11" s="1011" customFormat="1" ht="15" x14ac:dyDescent="0.25">
      <c r="A15548" s="859">
        <f t="shared" si="356"/>
        <v>15547</v>
      </c>
      <c r="B15548" s="845" t="s">
        <v>2564</v>
      </c>
      <c r="C15548" s="1007">
        <f t="shared" si="357"/>
        <v>148</v>
      </c>
      <c r="D15548" s="1014"/>
      <c r="H15548" s="1011" t="s">
        <v>1010</v>
      </c>
      <c r="K15548" s="1013"/>
    </row>
    <row r="15549" spans="1:11" s="1011" customFormat="1" ht="15" x14ac:dyDescent="0.25">
      <c r="A15549" s="859">
        <f t="shared" si="356"/>
        <v>15548</v>
      </c>
      <c r="B15549" s="845" t="s">
        <v>2564</v>
      </c>
      <c r="C15549" s="1007">
        <f t="shared" si="357"/>
        <v>148</v>
      </c>
      <c r="D15549" s="1012"/>
      <c r="H15549" s="1011" t="s">
        <v>1007</v>
      </c>
      <c r="K15549" s="1013"/>
    </row>
    <row r="15550" spans="1:11" s="1011" customFormat="1" ht="15" x14ac:dyDescent="0.25">
      <c r="A15550" s="859">
        <f t="shared" si="356"/>
        <v>15549</v>
      </c>
      <c r="B15550" s="845" t="s">
        <v>2564</v>
      </c>
      <c r="C15550" s="1007">
        <f t="shared" si="357"/>
        <v>148</v>
      </c>
      <c r="D15550" s="1015"/>
      <c r="I15550" s="1011" t="s">
        <v>2176</v>
      </c>
      <c r="K15550" s="1013"/>
    </row>
    <row r="15551" spans="1:11" s="1011" customFormat="1" ht="15" x14ac:dyDescent="0.25">
      <c r="A15551" s="859">
        <f t="shared" si="356"/>
        <v>15550</v>
      </c>
      <c r="B15551" s="845" t="s">
        <v>2564</v>
      </c>
      <c r="C15551" s="1007">
        <f t="shared" si="357"/>
        <v>148</v>
      </c>
      <c r="D15551" s="1012"/>
      <c r="I15551" s="1011" t="str">
        <f>CONCATENATE("&lt;valeur&gt;",VLOOKUP(C15551,'T16 Amort'!A:K,4,0),"&lt;/valeur&gt;")</f>
        <v>&lt;valeur&gt;&lt;/valeur&gt;</v>
      </c>
      <c r="K15551" s="1013"/>
    </row>
    <row r="15552" spans="1:11" s="1011" customFormat="1" ht="15" x14ac:dyDescent="0.25">
      <c r="A15552" s="859">
        <f t="shared" si="356"/>
        <v>15551</v>
      </c>
      <c r="B15552" s="845" t="s">
        <v>2564</v>
      </c>
      <c r="C15552" s="1007">
        <f t="shared" si="357"/>
        <v>148</v>
      </c>
      <c r="D15552" s="1012"/>
      <c r="I15552" s="1011" t="str">
        <f>CONCATENATE("&lt;numeroLigne&gt;",C15552,"&lt;/numeroLigne&gt;")</f>
        <v>&lt;numeroLigne&gt;148&lt;/numeroLigne&gt;</v>
      </c>
      <c r="K15552" s="1013"/>
    </row>
    <row r="15553" spans="1:11" s="1011" customFormat="1" ht="15" x14ac:dyDescent="0.25">
      <c r="A15553" s="859">
        <f t="shared" si="356"/>
        <v>15552</v>
      </c>
      <c r="B15553" s="845" t="s">
        <v>2564</v>
      </c>
      <c r="C15553" s="1007">
        <f t="shared" si="357"/>
        <v>148</v>
      </c>
      <c r="D15553" s="1014"/>
      <c r="H15553" s="1011" t="s">
        <v>1010</v>
      </c>
      <c r="K15553" s="1013"/>
    </row>
    <row r="15554" spans="1:11" s="1011" customFormat="1" ht="15" x14ac:dyDescent="0.25">
      <c r="A15554" s="859">
        <f t="shared" si="356"/>
        <v>15553</v>
      </c>
      <c r="B15554" s="845" t="s">
        <v>2564</v>
      </c>
      <c r="C15554" s="1007">
        <f t="shared" si="357"/>
        <v>148</v>
      </c>
      <c r="D15554" s="1014"/>
      <c r="H15554" s="1011" t="s">
        <v>1007</v>
      </c>
      <c r="K15554" s="1013"/>
    </row>
    <row r="15555" spans="1:11" s="1011" customFormat="1" ht="15" x14ac:dyDescent="0.25">
      <c r="A15555" s="859">
        <f t="shared" si="356"/>
        <v>15554</v>
      </c>
      <c r="B15555" s="845" t="s">
        <v>2564</v>
      </c>
      <c r="C15555" s="1007">
        <f t="shared" si="357"/>
        <v>148</v>
      </c>
      <c r="D15555" s="1012"/>
      <c r="I15555" s="1011" t="s">
        <v>2177</v>
      </c>
      <c r="K15555" s="1013"/>
    </row>
    <row r="15556" spans="1:11" s="1011" customFormat="1" ht="15" x14ac:dyDescent="0.25">
      <c r="A15556" s="859">
        <f t="shared" ref="A15556:A15619" si="358">+A15555+1</f>
        <v>15555</v>
      </c>
      <c r="B15556" s="845" t="s">
        <v>2564</v>
      </c>
      <c r="C15556" s="1007">
        <f t="shared" si="357"/>
        <v>148</v>
      </c>
      <c r="D15556" s="1015"/>
      <c r="I15556" s="1011" t="str">
        <f>CONCATENATE("&lt;valeur&gt;",VLOOKUP(C15556,'T16 Amort'!A:K,5,0),"&lt;/valeur&gt;")</f>
        <v>&lt;valeur&gt;&lt;/valeur&gt;</v>
      </c>
      <c r="K15556" s="1013"/>
    </row>
    <row r="15557" spans="1:11" s="1011" customFormat="1" ht="15" x14ac:dyDescent="0.25">
      <c r="A15557" s="859">
        <f t="shared" si="358"/>
        <v>15556</v>
      </c>
      <c r="B15557" s="845" t="s">
        <v>2564</v>
      </c>
      <c r="C15557" s="1007">
        <f t="shared" si="357"/>
        <v>148</v>
      </c>
      <c r="D15557" s="1012"/>
      <c r="I15557" s="1011" t="str">
        <f>CONCATENATE("&lt;numeroLigne&gt;",C15557,"&lt;/numeroLigne&gt;")</f>
        <v>&lt;numeroLigne&gt;148&lt;/numeroLigne&gt;</v>
      </c>
      <c r="K15557" s="1013"/>
    </row>
    <row r="15558" spans="1:11" s="1011" customFormat="1" ht="15" x14ac:dyDescent="0.25">
      <c r="A15558" s="859">
        <f t="shared" si="358"/>
        <v>15557</v>
      </c>
      <c r="B15558" s="845" t="s">
        <v>2564</v>
      </c>
      <c r="C15558" s="1007">
        <f t="shared" si="357"/>
        <v>148</v>
      </c>
      <c r="D15558" s="1012"/>
      <c r="H15558" s="1011" t="s">
        <v>1010</v>
      </c>
      <c r="K15558" s="1013"/>
    </row>
    <row r="15559" spans="1:11" s="1011" customFormat="1" ht="15" x14ac:dyDescent="0.25">
      <c r="A15559" s="859">
        <f t="shared" si="358"/>
        <v>15558</v>
      </c>
      <c r="B15559" s="845" t="s">
        <v>2564</v>
      </c>
      <c r="C15559" s="1007">
        <f t="shared" si="357"/>
        <v>148</v>
      </c>
      <c r="D15559" s="1014"/>
      <c r="H15559" s="1011" t="s">
        <v>1007</v>
      </c>
      <c r="K15559" s="1013"/>
    </row>
    <row r="15560" spans="1:11" s="1011" customFormat="1" ht="15" x14ac:dyDescent="0.25">
      <c r="A15560" s="859">
        <f t="shared" si="358"/>
        <v>15559</v>
      </c>
      <c r="B15560" s="845" t="s">
        <v>2564</v>
      </c>
      <c r="C15560" s="1007">
        <f t="shared" si="357"/>
        <v>148</v>
      </c>
      <c r="D15560" s="1014"/>
      <c r="I15560" s="1011" t="s">
        <v>2178</v>
      </c>
      <c r="K15560" s="1013"/>
    </row>
    <row r="15561" spans="1:11" s="1011" customFormat="1" ht="15" x14ac:dyDescent="0.25">
      <c r="A15561" s="859">
        <f t="shared" si="358"/>
        <v>15560</v>
      </c>
      <c r="B15561" s="845" t="s">
        <v>2564</v>
      </c>
      <c r="C15561" s="1007">
        <f t="shared" si="357"/>
        <v>148</v>
      </c>
      <c r="D15561" s="1012"/>
      <c r="I15561" s="1011" t="str">
        <f>CONCATENATE("&lt;valeur&gt;",VLOOKUP(C15561,'T16 Amort'!A:K,6,0),"&lt;/valeur&gt;")</f>
        <v>&lt;valeur&gt;&lt;/valeur&gt;</v>
      </c>
      <c r="K15561" s="1013"/>
    </row>
    <row r="15562" spans="1:11" s="1011" customFormat="1" ht="15" x14ac:dyDescent="0.25">
      <c r="A15562" s="859">
        <f t="shared" si="358"/>
        <v>15561</v>
      </c>
      <c r="B15562" s="845" t="s">
        <v>2564</v>
      </c>
      <c r="C15562" s="1007">
        <f t="shared" si="357"/>
        <v>148</v>
      </c>
      <c r="D15562" s="1015"/>
      <c r="I15562" s="1011" t="str">
        <f>CONCATENATE("&lt;numeroLigne&gt;",C15562,"&lt;/numeroLigne&gt;")</f>
        <v>&lt;numeroLigne&gt;148&lt;/numeroLigne&gt;</v>
      </c>
      <c r="K15562" s="1013"/>
    </row>
    <row r="15563" spans="1:11" s="1011" customFormat="1" ht="15" x14ac:dyDescent="0.25">
      <c r="A15563" s="859">
        <f t="shared" si="358"/>
        <v>15562</v>
      </c>
      <c r="B15563" s="845" t="s">
        <v>2564</v>
      </c>
      <c r="C15563" s="1007">
        <f t="shared" si="357"/>
        <v>148</v>
      </c>
      <c r="D15563" s="1012"/>
      <c r="H15563" s="1011" t="s">
        <v>1010</v>
      </c>
      <c r="K15563" s="1013"/>
    </row>
    <row r="15564" spans="1:11" s="1011" customFormat="1" ht="15" x14ac:dyDescent="0.25">
      <c r="A15564" s="859">
        <f t="shared" si="358"/>
        <v>15563</v>
      </c>
      <c r="B15564" s="845" t="s">
        <v>2564</v>
      </c>
      <c r="C15564" s="1007">
        <f t="shared" si="357"/>
        <v>148</v>
      </c>
      <c r="D15564" s="1012"/>
      <c r="H15564" s="1011" t="s">
        <v>1007</v>
      </c>
      <c r="K15564" s="1013"/>
    </row>
    <row r="15565" spans="1:11" s="1011" customFormat="1" ht="15" x14ac:dyDescent="0.25">
      <c r="A15565" s="859">
        <f t="shared" si="358"/>
        <v>15564</v>
      </c>
      <c r="B15565" s="845" t="s">
        <v>2564</v>
      </c>
      <c r="C15565" s="1007">
        <f t="shared" si="357"/>
        <v>148</v>
      </c>
      <c r="D15565" s="1014"/>
      <c r="I15565" s="1011" t="s">
        <v>2179</v>
      </c>
      <c r="K15565" s="1013"/>
    </row>
    <row r="15566" spans="1:11" s="1011" customFormat="1" ht="15" x14ac:dyDescent="0.25">
      <c r="A15566" s="859">
        <f t="shared" si="358"/>
        <v>15565</v>
      </c>
      <c r="B15566" s="845" t="s">
        <v>2564</v>
      </c>
      <c r="C15566" s="1007">
        <f t="shared" si="357"/>
        <v>148</v>
      </c>
      <c r="D15566" s="1014"/>
      <c r="I15566" s="1011" t="str">
        <f>CONCATENATE("&lt;valeur&gt;",VLOOKUP(C15566,'T16 Amort'!A:K,7,0),"&lt;/valeur&gt;")</f>
        <v>&lt;valeur&gt;&lt;/valeur&gt;</v>
      </c>
      <c r="K15566" s="1013"/>
    </row>
    <row r="15567" spans="1:11" s="1011" customFormat="1" ht="15" x14ac:dyDescent="0.25">
      <c r="A15567" s="859">
        <f t="shared" si="358"/>
        <v>15566</v>
      </c>
      <c r="B15567" s="845" t="s">
        <v>2564</v>
      </c>
      <c r="C15567" s="1007">
        <f t="shared" si="357"/>
        <v>148</v>
      </c>
      <c r="D15567" s="1012"/>
      <c r="I15567" s="1011" t="str">
        <f>CONCATENATE("&lt;numeroLigne&gt;",C15567,"&lt;/numeroLigne&gt;")</f>
        <v>&lt;numeroLigne&gt;148&lt;/numeroLigne&gt;</v>
      </c>
      <c r="K15567" s="1013"/>
    </row>
    <row r="15568" spans="1:11" s="1011" customFormat="1" ht="15" x14ac:dyDescent="0.25">
      <c r="A15568" s="859">
        <f t="shared" si="358"/>
        <v>15567</v>
      </c>
      <c r="B15568" s="845" t="s">
        <v>2564</v>
      </c>
      <c r="C15568" s="1007">
        <f t="shared" si="357"/>
        <v>148</v>
      </c>
      <c r="D15568" s="1015"/>
      <c r="H15568" s="1011" t="s">
        <v>1010</v>
      </c>
      <c r="K15568" s="1013"/>
    </row>
    <row r="15569" spans="1:11" s="1011" customFormat="1" ht="15" x14ac:dyDescent="0.25">
      <c r="A15569" s="859">
        <f t="shared" si="358"/>
        <v>15568</v>
      </c>
      <c r="B15569" s="845" t="s">
        <v>2564</v>
      </c>
      <c r="C15569" s="1007">
        <f t="shared" si="357"/>
        <v>148</v>
      </c>
      <c r="D15569" s="1012"/>
      <c r="H15569" s="1011" t="s">
        <v>1007</v>
      </c>
      <c r="K15569" s="1013"/>
    </row>
    <row r="15570" spans="1:11" s="1011" customFormat="1" ht="15" x14ac:dyDescent="0.25">
      <c r="A15570" s="859">
        <f t="shared" si="358"/>
        <v>15569</v>
      </c>
      <c r="B15570" s="845" t="s">
        <v>2564</v>
      </c>
      <c r="C15570" s="1007">
        <f t="shared" si="357"/>
        <v>148</v>
      </c>
      <c r="D15570" s="1012"/>
      <c r="I15570" s="1011" t="s">
        <v>2180</v>
      </c>
      <c r="K15570" s="1013"/>
    </row>
    <row r="15571" spans="1:11" s="1011" customFormat="1" ht="15" x14ac:dyDescent="0.25">
      <c r="A15571" s="859">
        <f t="shared" si="358"/>
        <v>15570</v>
      </c>
      <c r="B15571" s="845" t="s">
        <v>2564</v>
      </c>
      <c r="C15571" s="1007">
        <f t="shared" si="357"/>
        <v>148</v>
      </c>
      <c r="D15571" s="1014"/>
      <c r="I15571" s="1011" t="str">
        <f>CONCATENATE("&lt;valeur&gt;",VLOOKUP(C15571,'T16 Amort'!A:K,8,0),"&lt;/valeur&gt;")</f>
        <v>&lt;valeur&gt;&lt;/valeur&gt;</v>
      </c>
      <c r="K15571" s="1013"/>
    </row>
    <row r="15572" spans="1:11" s="1011" customFormat="1" ht="15" x14ac:dyDescent="0.25">
      <c r="A15572" s="859">
        <f t="shared" si="358"/>
        <v>15571</v>
      </c>
      <c r="B15572" s="845" t="s">
        <v>2564</v>
      </c>
      <c r="C15572" s="1007">
        <f t="shared" si="357"/>
        <v>148</v>
      </c>
      <c r="D15572" s="1014"/>
      <c r="I15572" s="1011" t="str">
        <f>CONCATENATE("&lt;numeroLigne&gt;",C15572,"&lt;/numeroLigne&gt;")</f>
        <v>&lt;numeroLigne&gt;148&lt;/numeroLigne&gt;</v>
      </c>
      <c r="K15572" s="1013"/>
    </row>
    <row r="15573" spans="1:11" s="1011" customFormat="1" ht="15" x14ac:dyDescent="0.25">
      <c r="A15573" s="859">
        <f t="shared" si="358"/>
        <v>15572</v>
      </c>
      <c r="B15573" s="845" t="s">
        <v>2564</v>
      </c>
      <c r="C15573" s="1007">
        <f t="shared" si="357"/>
        <v>148</v>
      </c>
      <c r="D15573" s="1012"/>
      <c r="H15573" s="1011" t="s">
        <v>1010</v>
      </c>
      <c r="K15573" s="1013"/>
    </row>
    <row r="15574" spans="1:11" s="1011" customFormat="1" ht="15" x14ac:dyDescent="0.25">
      <c r="A15574" s="859">
        <f t="shared" si="358"/>
        <v>15573</v>
      </c>
      <c r="B15574" s="845" t="s">
        <v>2564</v>
      </c>
      <c r="C15574" s="1007">
        <f t="shared" si="357"/>
        <v>148</v>
      </c>
      <c r="D15574" s="1015"/>
      <c r="H15574" s="1011" t="s">
        <v>1007</v>
      </c>
      <c r="K15574" s="1013"/>
    </row>
    <row r="15575" spans="1:11" s="1011" customFormat="1" ht="15" x14ac:dyDescent="0.25">
      <c r="A15575" s="859">
        <f t="shared" si="358"/>
        <v>15574</v>
      </c>
      <c r="B15575" s="845" t="s">
        <v>2564</v>
      </c>
      <c r="C15575" s="1007">
        <f t="shared" si="357"/>
        <v>148</v>
      </c>
      <c r="D15575" s="1012"/>
      <c r="I15575" s="1011" t="s">
        <v>2181</v>
      </c>
      <c r="K15575" s="1013"/>
    </row>
    <row r="15576" spans="1:11" s="1011" customFormat="1" ht="15" x14ac:dyDescent="0.25">
      <c r="A15576" s="859">
        <f t="shared" si="358"/>
        <v>15575</v>
      </c>
      <c r="B15576" s="845" t="s">
        <v>2564</v>
      </c>
      <c r="C15576" s="1007">
        <f t="shared" si="357"/>
        <v>148</v>
      </c>
      <c r="D15576" s="1012"/>
      <c r="I15576" s="1011" t="str">
        <f>CONCATENATE("&lt;valeur&gt;",VLOOKUP(C15576,'T16 Amort'!A:K,9,0),"&lt;/valeur&gt;")</f>
        <v>&lt;valeur&gt;&lt;/valeur&gt;</v>
      </c>
      <c r="K15576" s="1013"/>
    </row>
    <row r="15577" spans="1:11" s="1011" customFormat="1" ht="15" x14ac:dyDescent="0.25">
      <c r="A15577" s="859">
        <f t="shared" si="358"/>
        <v>15576</v>
      </c>
      <c r="B15577" s="845" t="s">
        <v>2564</v>
      </c>
      <c r="C15577" s="1007">
        <f t="shared" si="357"/>
        <v>148</v>
      </c>
      <c r="D15577" s="1014"/>
      <c r="I15577" s="1011" t="str">
        <f>CONCATENATE("&lt;numeroLigne&gt;",C15577,"&lt;/numeroLigne&gt;")</f>
        <v>&lt;numeroLigne&gt;148&lt;/numeroLigne&gt;</v>
      </c>
      <c r="K15577" s="1013"/>
    </row>
    <row r="15578" spans="1:11" s="1011" customFormat="1" ht="15" x14ac:dyDescent="0.25">
      <c r="A15578" s="859">
        <f t="shared" si="358"/>
        <v>15577</v>
      </c>
      <c r="B15578" s="845" t="s">
        <v>2564</v>
      </c>
      <c r="C15578" s="1007">
        <f t="shared" si="357"/>
        <v>148</v>
      </c>
      <c r="D15578" s="1014"/>
      <c r="H15578" s="1011" t="s">
        <v>1010</v>
      </c>
      <c r="K15578" s="1013"/>
    </row>
    <row r="15579" spans="1:11" s="1011" customFormat="1" ht="15" x14ac:dyDescent="0.25">
      <c r="A15579" s="859">
        <f t="shared" si="358"/>
        <v>15578</v>
      </c>
      <c r="B15579" s="845" t="s">
        <v>2564</v>
      </c>
      <c r="C15579" s="1007">
        <f t="shared" si="357"/>
        <v>148</v>
      </c>
      <c r="D15579" s="1012"/>
      <c r="H15579" s="1011" t="s">
        <v>1007</v>
      </c>
      <c r="K15579" s="1013"/>
    </row>
    <row r="15580" spans="1:11" s="1011" customFormat="1" ht="15" x14ac:dyDescent="0.25">
      <c r="A15580" s="859">
        <f t="shared" si="358"/>
        <v>15579</v>
      </c>
      <c r="B15580" s="845" t="s">
        <v>2564</v>
      </c>
      <c r="C15580" s="1007">
        <f t="shared" si="357"/>
        <v>148</v>
      </c>
      <c r="D15580" s="1015"/>
      <c r="I15580" s="1011" t="s">
        <v>2182</v>
      </c>
      <c r="K15580" s="1013"/>
    </row>
    <row r="15581" spans="1:11" s="1011" customFormat="1" ht="15" x14ac:dyDescent="0.25">
      <c r="A15581" s="859">
        <f t="shared" si="358"/>
        <v>15580</v>
      </c>
      <c r="B15581" s="845" t="s">
        <v>2564</v>
      </c>
      <c r="C15581" s="1007">
        <f t="shared" si="357"/>
        <v>148</v>
      </c>
      <c r="D15581" s="1012"/>
      <c r="I15581" s="1011" t="str">
        <f>CONCATENATE("&lt;valeur&gt;",VLOOKUP(C15581,'T16 Amort'!A:K,10,0),"&lt;/valeur&gt;")</f>
        <v>&lt;valeur&gt;&lt;/valeur&gt;</v>
      </c>
      <c r="K15581" s="1013"/>
    </row>
    <row r="15582" spans="1:11" s="1011" customFormat="1" ht="15" x14ac:dyDescent="0.25">
      <c r="A15582" s="859">
        <f t="shared" si="358"/>
        <v>15581</v>
      </c>
      <c r="B15582" s="845" t="s">
        <v>2564</v>
      </c>
      <c r="C15582" s="1007">
        <f t="shared" si="357"/>
        <v>148</v>
      </c>
      <c r="D15582" s="1012"/>
      <c r="I15582" s="1011" t="str">
        <f>CONCATENATE("&lt;numeroLigne&gt;",C15582,"&lt;/numeroLigne&gt;")</f>
        <v>&lt;numeroLigne&gt;148&lt;/numeroLigne&gt;</v>
      </c>
      <c r="K15582" s="1013"/>
    </row>
    <row r="15583" spans="1:11" s="1011" customFormat="1" ht="15" x14ac:dyDescent="0.25">
      <c r="A15583" s="859">
        <f t="shared" si="358"/>
        <v>15582</v>
      </c>
      <c r="B15583" s="845" t="s">
        <v>2564</v>
      </c>
      <c r="C15583" s="1007">
        <f t="shared" si="357"/>
        <v>148</v>
      </c>
      <c r="D15583" s="1014"/>
      <c r="H15583" s="1011" t="s">
        <v>1010</v>
      </c>
      <c r="K15583" s="1013"/>
    </row>
    <row r="15584" spans="1:11" s="1011" customFormat="1" ht="15" x14ac:dyDescent="0.25">
      <c r="A15584" s="859">
        <f t="shared" si="358"/>
        <v>15583</v>
      </c>
      <c r="B15584" s="845" t="s">
        <v>2564</v>
      </c>
      <c r="C15584" s="1007">
        <f t="shared" si="357"/>
        <v>148</v>
      </c>
      <c r="D15584" s="1014"/>
      <c r="H15584" s="1011" t="s">
        <v>1007</v>
      </c>
      <c r="K15584" s="1013"/>
    </row>
    <row r="15585" spans="1:11" s="1011" customFormat="1" ht="15" x14ac:dyDescent="0.25">
      <c r="A15585" s="859">
        <f t="shared" si="358"/>
        <v>15584</v>
      </c>
      <c r="B15585" s="845" t="s">
        <v>2564</v>
      </c>
      <c r="C15585" s="1007">
        <f t="shared" si="357"/>
        <v>148</v>
      </c>
      <c r="D15585" s="1012"/>
      <c r="I15585" s="1011" t="s">
        <v>2183</v>
      </c>
      <c r="K15585" s="1013"/>
    </row>
    <row r="15586" spans="1:11" s="1011" customFormat="1" ht="15" x14ac:dyDescent="0.25">
      <c r="A15586" s="859">
        <f t="shared" si="358"/>
        <v>15585</v>
      </c>
      <c r="B15586" s="845" t="s">
        <v>2564</v>
      </c>
      <c r="C15586" s="1007">
        <f t="shared" si="357"/>
        <v>148</v>
      </c>
      <c r="D15586" s="1015"/>
      <c r="I15586" s="1011" t="str">
        <f>CONCATENATE("&lt;valeur&gt;",VLOOKUP(C15586,'T16 Amort'!A:K,11,0),"&lt;/valeur&gt;")</f>
        <v>&lt;valeur&gt;&lt;/valeur&gt;</v>
      </c>
      <c r="K15586" s="1013"/>
    </row>
    <row r="15587" spans="1:11" s="1011" customFormat="1" ht="15" x14ac:dyDescent="0.25">
      <c r="A15587" s="859">
        <f t="shared" si="358"/>
        <v>15586</v>
      </c>
      <c r="B15587" s="845" t="s">
        <v>2564</v>
      </c>
      <c r="C15587" s="1007">
        <f t="shared" si="357"/>
        <v>148</v>
      </c>
      <c r="D15587" s="1012"/>
      <c r="I15587" s="1011" t="str">
        <f>CONCATENATE("&lt;numeroLigne&gt;",C15587,"&lt;/numeroLigne&gt;")</f>
        <v>&lt;numeroLigne&gt;148&lt;/numeroLigne&gt;</v>
      </c>
      <c r="K15587" s="1013"/>
    </row>
    <row r="15588" spans="1:11" s="1011" customFormat="1" ht="15" x14ac:dyDescent="0.25">
      <c r="A15588" s="859">
        <f t="shared" si="358"/>
        <v>15587</v>
      </c>
      <c r="B15588" s="845" t="s">
        <v>2564</v>
      </c>
      <c r="C15588" s="1007">
        <f t="shared" si="357"/>
        <v>148</v>
      </c>
      <c r="D15588" s="1016"/>
      <c r="E15588" s="1017"/>
      <c r="F15588" s="1017"/>
      <c r="G15588" s="1017"/>
      <c r="H15588" s="1017" t="s">
        <v>1010</v>
      </c>
      <c r="I15588" s="1017"/>
      <c r="J15588" s="1017"/>
      <c r="K15588" s="1018"/>
    </row>
    <row r="15589" spans="1:11" s="1011" customFormat="1" ht="15" x14ac:dyDescent="0.25">
      <c r="A15589" s="859">
        <f t="shared" si="358"/>
        <v>15588</v>
      </c>
      <c r="B15589" s="845" t="s">
        <v>2564</v>
      </c>
      <c r="C15589" s="1007">
        <f t="shared" si="357"/>
        <v>149</v>
      </c>
      <c r="D15589" s="1008"/>
      <c r="E15589" s="1009"/>
      <c r="F15589" s="1009"/>
      <c r="G15589" s="1009"/>
      <c r="H15589" s="1009" t="s">
        <v>1007</v>
      </c>
      <c r="I15589" s="1009"/>
      <c r="J15589" s="1009"/>
      <c r="K15589" s="1010"/>
    </row>
    <row r="15590" spans="1:11" s="1011" customFormat="1" ht="15" x14ac:dyDescent="0.25">
      <c r="A15590" s="859">
        <f t="shared" si="358"/>
        <v>15589</v>
      </c>
      <c r="B15590" s="845" t="s">
        <v>2564</v>
      </c>
      <c r="C15590" s="1007">
        <f t="shared" si="357"/>
        <v>149</v>
      </c>
      <c r="D15590" s="1012"/>
      <c r="I15590" s="1011" t="s">
        <v>2174</v>
      </c>
      <c r="K15590" s="1013"/>
    </row>
    <row r="15591" spans="1:11" s="1011" customFormat="1" ht="15" x14ac:dyDescent="0.25">
      <c r="A15591" s="859">
        <f t="shared" si="358"/>
        <v>15590</v>
      </c>
      <c r="B15591" s="845" t="s">
        <v>2564</v>
      </c>
      <c r="C15591" s="1007">
        <f t="shared" si="357"/>
        <v>149</v>
      </c>
      <c r="D15591" s="1014"/>
      <c r="I15591" s="1011" t="str">
        <f>CONCATENATE("&lt;valeur&gt;",VLOOKUP(C15591,'T16 Amort'!A:K,2,0),"&lt;/valeur&gt;")</f>
        <v>&lt;valeur&gt;&lt;/valeur&gt;</v>
      </c>
      <c r="K15591" s="1013"/>
    </row>
    <row r="15592" spans="1:11" s="1011" customFormat="1" ht="15" x14ac:dyDescent="0.25">
      <c r="A15592" s="859">
        <f t="shared" si="358"/>
        <v>15591</v>
      </c>
      <c r="B15592" s="845" t="s">
        <v>2564</v>
      </c>
      <c r="C15592" s="1007">
        <f t="shared" si="357"/>
        <v>149</v>
      </c>
      <c r="D15592" s="1014"/>
      <c r="I15592" s="1011" t="str">
        <f>CONCATENATE("&lt;numeroLigne&gt;",C15592,"&lt;/numeroLigne&gt;")</f>
        <v>&lt;numeroLigne&gt;149&lt;/numeroLigne&gt;</v>
      </c>
      <c r="K15592" s="1013"/>
    </row>
    <row r="15593" spans="1:11" s="1011" customFormat="1" ht="15" x14ac:dyDescent="0.25">
      <c r="A15593" s="859">
        <f t="shared" si="358"/>
        <v>15592</v>
      </c>
      <c r="B15593" s="845" t="s">
        <v>2564</v>
      </c>
      <c r="C15593" s="1007">
        <f t="shared" si="357"/>
        <v>149</v>
      </c>
      <c r="D15593" s="1012"/>
      <c r="H15593" s="1011" t="s">
        <v>1010</v>
      </c>
      <c r="K15593" s="1013"/>
    </row>
    <row r="15594" spans="1:11" s="1011" customFormat="1" ht="15" x14ac:dyDescent="0.25">
      <c r="A15594" s="859">
        <f t="shared" si="358"/>
        <v>15593</v>
      </c>
      <c r="B15594" s="845" t="s">
        <v>2564</v>
      </c>
      <c r="C15594" s="1007">
        <f t="shared" si="357"/>
        <v>149</v>
      </c>
      <c r="D15594" s="1015"/>
      <c r="H15594" s="1011" t="s">
        <v>1007</v>
      </c>
      <c r="K15594" s="1013"/>
    </row>
    <row r="15595" spans="1:11" s="1011" customFormat="1" ht="15" x14ac:dyDescent="0.25">
      <c r="A15595" s="859">
        <f t="shared" si="358"/>
        <v>15594</v>
      </c>
      <c r="B15595" s="845" t="s">
        <v>2564</v>
      </c>
      <c r="C15595" s="1007">
        <f t="shared" si="357"/>
        <v>149</v>
      </c>
      <c r="D15595" s="1012"/>
      <c r="I15595" s="1011" t="s">
        <v>2175</v>
      </c>
      <c r="K15595" s="1013"/>
    </row>
    <row r="15596" spans="1:11" s="1011" customFormat="1" ht="15" x14ac:dyDescent="0.25">
      <c r="A15596" s="859">
        <f t="shared" si="358"/>
        <v>15595</v>
      </c>
      <c r="B15596" s="845" t="s">
        <v>2564</v>
      </c>
      <c r="C15596" s="1007">
        <f t="shared" si="357"/>
        <v>149</v>
      </c>
      <c r="D15596" s="1012"/>
      <c r="I15596" s="1011" t="str">
        <f>CONCATENATE("&lt;valeur&gt;",VLOOKUP(C15596,'T16 Amort'!A:K,3,0),"&lt;/valeur&gt;")</f>
        <v>&lt;valeur&gt;&lt;/valeur&gt;</v>
      </c>
      <c r="K15596" s="1013"/>
    </row>
    <row r="15597" spans="1:11" s="1011" customFormat="1" ht="15" x14ac:dyDescent="0.25">
      <c r="A15597" s="859">
        <f t="shared" si="358"/>
        <v>15596</v>
      </c>
      <c r="B15597" s="845" t="s">
        <v>2564</v>
      </c>
      <c r="C15597" s="1007">
        <f t="shared" si="357"/>
        <v>149</v>
      </c>
      <c r="D15597" s="1014"/>
      <c r="I15597" s="1011" t="str">
        <f>CONCATENATE("&lt;numeroLigne&gt;",C15597,"&lt;/numeroLigne&gt;")</f>
        <v>&lt;numeroLigne&gt;149&lt;/numeroLigne&gt;</v>
      </c>
      <c r="K15597" s="1013"/>
    </row>
    <row r="15598" spans="1:11" s="1011" customFormat="1" ht="15" x14ac:dyDescent="0.25">
      <c r="A15598" s="859">
        <f t="shared" si="358"/>
        <v>15597</v>
      </c>
      <c r="B15598" s="845" t="s">
        <v>2564</v>
      </c>
      <c r="C15598" s="1007">
        <f t="shared" si="357"/>
        <v>149</v>
      </c>
      <c r="D15598" s="1014"/>
      <c r="H15598" s="1011" t="s">
        <v>1010</v>
      </c>
      <c r="K15598" s="1013"/>
    </row>
    <row r="15599" spans="1:11" s="1011" customFormat="1" ht="15" x14ac:dyDescent="0.25">
      <c r="A15599" s="859">
        <f t="shared" si="358"/>
        <v>15598</v>
      </c>
      <c r="B15599" s="845" t="s">
        <v>2564</v>
      </c>
      <c r="C15599" s="1007">
        <f t="shared" ref="C15599:C15662" si="359">C15549+1</f>
        <v>149</v>
      </c>
      <c r="D15599" s="1012"/>
      <c r="H15599" s="1011" t="s">
        <v>1007</v>
      </c>
      <c r="K15599" s="1013"/>
    </row>
    <row r="15600" spans="1:11" s="1011" customFormat="1" ht="15" x14ac:dyDescent="0.25">
      <c r="A15600" s="859">
        <f t="shared" si="358"/>
        <v>15599</v>
      </c>
      <c r="B15600" s="845" t="s">
        <v>2564</v>
      </c>
      <c r="C15600" s="1007">
        <f t="shared" si="359"/>
        <v>149</v>
      </c>
      <c r="D15600" s="1015"/>
      <c r="I15600" s="1011" t="s">
        <v>2176</v>
      </c>
      <c r="K15600" s="1013"/>
    </row>
    <row r="15601" spans="1:11" s="1011" customFormat="1" ht="15" x14ac:dyDescent="0.25">
      <c r="A15601" s="859">
        <f t="shared" si="358"/>
        <v>15600</v>
      </c>
      <c r="B15601" s="845" t="s">
        <v>2564</v>
      </c>
      <c r="C15601" s="1007">
        <f t="shared" si="359"/>
        <v>149</v>
      </c>
      <c r="D15601" s="1012"/>
      <c r="I15601" s="1011" t="str">
        <f>CONCATENATE("&lt;valeur&gt;",VLOOKUP(C15601,'T16 Amort'!A:K,4,0),"&lt;/valeur&gt;")</f>
        <v>&lt;valeur&gt;&lt;/valeur&gt;</v>
      </c>
      <c r="K15601" s="1013"/>
    </row>
    <row r="15602" spans="1:11" s="1011" customFormat="1" ht="15" x14ac:dyDescent="0.25">
      <c r="A15602" s="859">
        <f t="shared" si="358"/>
        <v>15601</v>
      </c>
      <c r="B15602" s="845" t="s">
        <v>2564</v>
      </c>
      <c r="C15602" s="1007">
        <f t="shared" si="359"/>
        <v>149</v>
      </c>
      <c r="D15602" s="1012"/>
      <c r="I15602" s="1011" t="str">
        <f>CONCATENATE("&lt;numeroLigne&gt;",C15602,"&lt;/numeroLigne&gt;")</f>
        <v>&lt;numeroLigne&gt;149&lt;/numeroLigne&gt;</v>
      </c>
      <c r="K15602" s="1013"/>
    </row>
    <row r="15603" spans="1:11" s="1011" customFormat="1" ht="15" x14ac:dyDescent="0.25">
      <c r="A15603" s="859">
        <f t="shared" si="358"/>
        <v>15602</v>
      </c>
      <c r="B15603" s="845" t="s">
        <v>2564</v>
      </c>
      <c r="C15603" s="1007">
        <f t="shared" si="359"/>
        <v>149</v>
      </c>
      <c r="D15603" s="1014"/>
      <c r="H15603" s="1011" t="s">
        <v>1010</v>
      </c>
      <c r="K15603" s="1013"/>
    </row>
    <row r="15604" spans="1:11" s="1011" customFormat="1" ht="15" x14ac:dyDescent="0.25">
      <c r="A15604" s="859">
        <f t="shared" si="358"/>
        <v>15603</v>
      </c>
      <c r="B15604" s="845" t="s">
        <v>2564</v>
      </c>
      <c r="C15604" s="1007">
        <f t="shared" si="359"/>
        <v>149</v>
      </c>
      <c r="D15604" s="1014"/>
      <c r="H15604" s="1011" t="s">
        <v>1007</v>
      </c>
      <c r="K15604" s="1013"/>
    </row>
    <row r="15605" spans="1:11" s="1011" customFormat="1" ht="15" x14ac:dyDescent="0.25">
      <c r="A15605" s="859">
        <f t="shared" si="358"/>
        <v>15604</v>
      </c>
      <c r="B15605" s="845" t="s">
        <v>2564</v>
      </c>
      <c r="C15605" s="1007">
        <f t="shared" si="359"/>
        <v>149</v>
      </c>
      <c r="D15605" s="1012"/>
      <c r="I15605" s="1011" t="s">
        <v>2177</v>
      </c>
      <c r="K15605" s="1013"/>
    </row>
    <row r="15606" spans="1:11" s="1011" customFormat="1" ht="15" x14ac:dyDescent="0.25">
      <c r="A15606" s="859">
        <f t="shared" si="358"/>
        <v>15605</v>
      </c>
      <c r="B15606" s="845" t="s">
        <v>2564</v>
      </c>
      <c r="C15606" s="1007">
        <f t="shared" si="359"/>
        <v>149</v>
      </c>
      <c r="D15606" s="1015"/>
      <c r="I15606" s="1011" t="str">
        <f>CONCATENATE("&lt;valeur&gt;",VLOOKUP(C15606,'T16 Amort'!A:K,5,0),"&lt;/valeur&gt;")</f>
        <v>&lt;valeur&gt;&lt;/valeur&gt;</v>
      </c>
      <c r="K15606" s="1013"/>
    </row>
    <row r="15607" spans="1:11" s="1011" customFormat="1" ht="15" x14ac:dyDescent="0.25">
      <c r="A15607" s="859">
        <f t="shared" si="358"/>
        <v>15606</v>
      </c>
      <c r="B15607" s="845" t="s">
        <v>2564</v>
      </c>
      <c r="C15607" s="1007">
        <f t="shared" si="359"/>
        <v>149</v>
      </c>
      <c r="D15607" s="1012"/>
      <c r="I15607" s="1011" t="str">
        <f>CONCATENATE("&lt;numeroLigne&gt;",C15607,"&lt;/numeroLigne&gt;")</f>
        <v>&lt;numeroLigne&gt;149&lt;/numeroLigne&gt;</v>
      </c>
      <c r="K15607" s="1013"/>
    </row>
    <row r="15608" spans="1:11" s="1011" customFormat="1" ht="15" x14ac:dyDescent="0.25">
      <c r="A15608" s="859">
        <f t="shared" si="358"/>
        <v>15607</v>
      </c>
      <c r="B15608" s="845" t="s">
        <v>2564</v>
      </c>
      <c r="C15608" s="1007">
        <f t="shared" si="359"/>
        <v>149</v>
      </c>
      <c r="D15608" s="1012"/>
      <c r="H15608" s="1011" t="s">
        <v>1010</v>
      </c>
      <c r="K15608" s="1013"/>
    </row>
    <row r="15609" spans="1:11" s="1011" customFormat="1" ht="15" x14ac:dyDescent="0.25">
      <c r="A15609" s="859">
        <f t="shared" si="358"/>
        <v>15608</v>
      </c>
      <c r="B15609" s="845" t="s">
        <v>2564</v>
      </c>
      <c r="C15609" s="1007">
        <f t="shared" si="359"/>
        <v>149</v>
      </c>
      <c r="D15609" s="1014"/>
      <c r="H15609" s="1011" t="s">
        <v>1007</v>
      </c>
      <c r="K15609" s="1013"/>
    </row>
    <row r="15610" spans="1:11" s="1011" customFormat="1" ht="15" x14ac:dyDescent="0.25">
      <c r="A15610" s="859">
        <f t="shared" si="358"/>
        <v>15609</v>
      </c>
      <c r="B15610" s="845" t="s">
        <v>2564</v>
      </c>
      <c r="C15610" s="1007">
        <f t="shared" si="359"/>
        <v>149</v>
      </c>
      <c r="D15610" s="1014"/>
      <c r="I15610" s="1011" t="s">
        <v>2178</v>
      </c>
      <c r="K15610" s="1013"/>
    </row>
    <row r="15611" spans="1:11" s="1011" customFormat="1" ht="15" x14ac:dyDescent="0.25">
      <c r="A15611" s="859">
        <f t="shared" si="358"/>
        <v>15610</v>
      </c>
      <c r="B15611" s="845" t="s">
        <v>2564</v>
      </c>
      <c r="C15611" s="1007">
        <f t="shared" si="359"/>
        <v>149</v>
      </c>
      <c r="D15611" s="1012"/>
      <c r="I15611" s="1011" t="str">
        <f>CONCATENATE("&lt;valeur&gt;",VLOOKUP(C15611,'T16 Amort'!A:K,6,0),"&lt;/valeur&gt;")</f>
        <v>&lt;valeur&gt;&lt;/valeur&gt;</v>
      </c>
      <c r="K15611" s="1013"/>
    </row>
    <row r="15612" spans="1:11" s="1011" customFormat="1" ht="15" x14ac:dyDescent="0.25">
      <c r="A15612" s="859">
        <f t="shared" si="358"/>
        <v>15611</v>
      </c>
      <c r="B15612" s="845" t="s">
        <v>2564</v>
      </c>
      <c r="C15612" s="1007">
        <f t="shared" si="359"/>
        <v>149</v>
      </c>
      <c r="D15612" s="1015"/>
      <c r="I15612" s="1011" t="str">
        <f>CONCATENATE("&lt;numeroLigne&gt;",C15612,"&lt;/numeroLigne&gt;")</f>
        <v>&lt;numeroLigne&gt;149&lt;/numeroLigne&gt;</v>
      </c>
      <c r="K15612" s="1013"/>
    </row>
    <row r="15613" spans="1:11" s="1011" customFormat="1" ht="15" x14ac:dyDescent="0.25">
      <c r="A15613" s="859">
        <f t="shared" si="358"/>
        <v>15612</v>
      </c>
      <c r="B15613" s="845" t="s">
        <v>2564</v>
      </c>
      <c r="C15613" s="1007">
        <f t="shared" si="359"/>
        <v>149</v>
      </c>
      <c r="D15613" s="1012"/>
      <c r="H15613" s="1011" t="s">
        <v>1010</v>
      </c>
      <c r="K15613" s="1013"/>
    </row>
    <row r="15614" spans="1:11" s="1011" customFormat="1" ht="15" x14ac:dyDescent="0.25">
      <c r="A15614" s="859">
        <f t="shared" si="358"/>
        <v>15613</v>
      </c>
      <c r="B15614" s="845" t="s">
        <v>2564</v>
      </c>
      <c r="C15614" s="1007">
        <f t="shared" si="359"/>
        <v>149</v>
      </c>
      <c r="D15614" s="1012"/>
      <c r="H15614" s="1011" t="s">
        <v>1007</v>
      </c>
      <c r="K15614" s="1013"/>
    </row>
    <row r="15615" spans="1:11" s="1011" customFormat="1" ht="15" x14ac:dyDescent="0.25">
      <c r="A15615" s="859">
        <f t="shared" si="358"/>
        <v>15614</v>
      </c>
      <c r="B15615" s="845" t="s">
        <v>2564</v>
      </c>
      <c r="C15615" s="1007">
        <f t="shared" si="359"/>
        <v>149</v>
      </c>
      <c r="D15615" s="1014"/>
      <c r="I15615" s="1011" t="s">
        <v>2179</v>
      </c>
      <c r="K15615" s="1013"/>
    </row>
    <row r="15616" spans="1:11" s="1011" customFormat="1" ht="15" x14ac:dyDescent="0.25">
      <c r="A15616" s="859">
        <f t="shared" si="358"/>
        <v>15615</v>
      </c>
      <c r="B15616" s="845" t="s">
        <v>2564</v>
      </c>
      <c r="C15616" s="1007">
        <f t="shared" si="359"/>
        <v>149</v>
      </c>
      <c r="D15616" s="1014"/>
      <c r="I15616" s="1011" t="str">
        <f>CONCATENATE("&lt;valeur&gt;",VLOOKUP(C15616,'T16 Amort'!A:K,7,0),"&lt;/valeur&gt;")</f>
        <v>&lt;valeur&gt;&lt;/valeur&gt;</v>
      </c>
      <c r="K15616" s="1013"/>
    </row>
    <row r="15617" spans="1:11" s="1011" customFormat="1" ht="15" x14ac:dyDescent="0.25">
      <c r="A15617" s="859">
        <f t="shared" si="358"/>
        <v>15616</v>
      </c>
      <c r="B15617" s="845" t="s">
        <v>2564</v>
      </c>
      <c r="C15617" s="1007">
        <f t="shared" si="359"/>
        <v>149</v>
      </c>
      <c r="D15617" s="1012"/>
      <c r="I15617" s="1011" t="str">
        <f>CONCATENATE("&lt;numeroLigne&gt;",C15617,"&lt;/numeroLigne&gt;")</f>
        <v>&lt;numeroLigne&gt;149&lt;/numeroLigne&gt;</v>
      </c>
      <c r="K15617" s="1013"/>
    </row>
    <row r="15618" spans="1:11" s="1011" customFormat="1" ht="15" x14ac:dyDescent="0.25">
      <c r="A15618" s="859">
        <f t="shared" si="358"/>
        <v>15617</v>
      </c>
      <c r="B15618" s="845" t="s">
        <v>2564</v>
      </c>
      <c r="C15618" s="1007">
        <f t="shared" si="359"/>
        <v>149</v>
      </c>
      <c r="D15618" s="1015"/>
      <c r="H15618" s="1011" t="s">
        <v>1010</v>
      </c>
      <c r="K15618" s="1013"/>
    </row>
    <row r="15619" spans="1:11" s="1011" customFormat="1" ht="15" x14ac:dyDescent="0.25">
      <c r="A15619" s="859">
        <f t="shared" si="358"/>
        <v>15618</v>
      </c>
      <c r="B15619" s="845" t="s">
        <v>2564</v>
      </c>
      <c r="C15619" s="1007">
        <f t="shared" si="359"/>
        <v>149</v>
      </c>
      <c r="D15619" s="1012"/>
      <c r="H15619" s="1011" t="s">
        <v>1007</v>
      </c>
      <c r="K15619" s="1013"/>
    </row>
    <row r="15620" spans="1:11" s="1011" customFormat="1" ht="15" x14ac:dyDescent="0.25">
      <c r="A15620" s="859">
        <f t="shared" ref="A15620:A15683" si="360">+A15619+1</f>
        <v>15619</v>
      </c>
      <c r="B15620" s="845" t="s">
        <v>2564</v>
      </c>
      <c r="C15620" s="1007">
        <f t="shared" si="359"/>
        <v>149</v>
      </c>
      <c r="D15620" s="1012"/>
      <c r="I15620" s="1011" t="s">
        <v>2180</v>
      </c>
      <c r="K15620" s="1013"/>
    </row>
    <row r="15621" spans="1:11" s="1011" customFormat="1" ht="15" x14ac:dyDescent="0.25">
      <c r="A15621" s="859">
        <f t="shared" si="360"/>
        <v>15620</v>
      </c>
      <c r="B15621" s="845" t="s">
        <v>2564</v>
      </c>
      <c r="C15621" s="1007">
        <f t="shared" si="359"/>
        <v>149</v>
      </c>
      <c r="D15621" s="1014"/>
      <c r="I15621" s="1011" t="str">
        <f>CONCATENATE("&lt;valeur&gt;",VLOOKUP(C15621,'T16 Amort'!A:K,8,0),"&lt;/valeur&gt;")</f>
        <v>&lt;valeur&gt;&lt;/valeur&gt;</v>
      </c>
      <c r="K15621" s="1013"/>
    </row>
    <row r="15622" spans="1:11" s="1011" customFormat="1" ht="15" x14ac:dyDescent="0.25">
      <c r="A15622" s="859">
        <f t="shared" si="360"/>
        <v>15621</v>
      </c>
      <c r="B15622" s="845" t="s">
        <v>2564</v>
      </c>
      <c r="C15622" s="1007">
        <f t="shared" si="359"/>
        <v>149</v>
      </c>
      <c r="D15622" s="1014"/>
      <c r="I15622" s="1011" t="str">
        <f>CONCATENATE("&lt;numeroLigne&gt;",C15622,"&lt;/numeroLigne&gt;")</f>
        <v>&lt;numeroLigne&gt;149&lt;/numeroLigne&gt;</v>
      </c>
      <c r="K15622" s="1013"/>
    </row>
    <row r="15623" spans="1:11" s="1011" customFormat="1" ht="15" x14ac:dyDescent="0.25">
      <c r="A15623" s="859">
        <f t="shared" si="360"/>
        <v>15622</v>
      </c>
      <c r="B15623" s="845" t="s">
        <v>2564</v>
      </c>
      <c r="C15623" s="1007">
        <f t="shared" si="359"/>
        <v>149</v>
      </c>
      <c r="D15623" s="1012"/>
      <c r="H15623" s="1011" t="s">
        <v>1010</v>
      </c>
      <c r="K15623" s="1013"/>
    </row>
    <row r="15624" spans="1:11" s="1011" customFormat="1" ht="15" x14ac:dyDescent="0.25">
      <c r="A15624" s="859">
        <f t="shared" si="360"/>
        <v>15623</v>
      </c>
      <c r="B15624" s="845" t="s">
        <v>2564</v>
      </c>
      <c r="C15624" s="1007">
        <f t="shared" si="359"/>
        <v>149</v>
      </c>
      <c r="D15624" s="1015"/>
      <c r="H15624" s="1011" t="s">
        <v>1007</v>
      </c>
      <c r="K15624" s="1013"/>
    </row>
    <row r="15625" spans="1:11" s="1011" customFormat="1" ht="15" x14ac:dyDescent="0.25">
      <c r="A15625" s="859">
        <f t="shared" si="360"/>
        <v>15624</v>
      </c>
      <c r="B15625" s="845" t="s">
        <v>2564</v>
      </c>
      <c r="C15625" s="1007">
        <f t="shared" si="359"/>
        <v>149</v>
      </c>
      <c r="D15625" s="1012"/>
      <c r="I15625" s="1011" t="s">
        <v>2181</v>
      </c>
      <c r="K15625" s="1013"/>
    </row>
    <row r="15626" spans="1:11" s="1011" customFormat="1" ht="15" x14ac:dyDescent="0.25">
      <c r="A15626" s="859">
        <f t="shared" si="360"/>
        <v>15625</v>
      </c>
      <c r="B15626" s="845" t="s">
        <v>2564</v>
      </c>
      <c r="C15626" s="1007">
        <f t="shared" si="359"/>
        <v>149</v>
      </c>
      <c r="D15626" s="1012"/>
      <c r="I15626" s="1011" t="str">
        <f>CONCATENATE("&lt;valeur&gt;",VLOOKUP(C15626,'T16 Amort'!A:K,9,0),"&lt;/valeur&gt;")</f>
        <v>&lt;valeur&gt;&lt;/valeur&gt;</v>
      </c>
      <c r="K15626" s="1013"/>
    </row>
    <row r="15627" spans="1:11" s="1011" customFormat="1" ht="15" x14ac:dyDescent="0.25">
      <c r="A15627" s="859">
        <f t="shared" si="360"/>
        <v>15626</v>
      </c>
      <c r="B15627" s="845" t="s">
        <v>2564</v>
      </c>
      <c r="C15627" s="1007">
        <f t="shared" si="359"/>
        <v>149</v>
      </c>
      <c r="D15627" s="1014"/>
      <c r="I15627" s="1011" t="str">
        <f>CONCATENATE("&lt;numeroLigne&gt;",C15627,"&lt;/numeroLigne&gt;")</f>
        <v>&lt;numeroLigne&gt;149&lt;/numeroLigne&gt;</v>
      </c>
      <c r="K15627" s="1013"/>
    </row>
    <row r="15628" spans="1:11" s="1011" customFormat="1" ht="15" x14ac:dyDescent="0.25">
      <c r="A15628" s="859">
        <f t="shared" si="360"/>
        <v>15627</v>
      </c>
      <c r="B15628" s="845" t="s">
        <v>2564</v>
      </c>
      <c r="C15628" s="1007">
        <f t="shared" si="359"/>
        <v>149</v>
      </c>
      <c r="D15628" s="1014"/>
      <c r="H15628" s="1011" t="s">
        <v>1010</v>
      </c>
      <c r="K15628" s="1013"/>
    </row>
    <row r="15629" spans="1:11" s="1011" customFormat="1" ht="15" x14ac:dyDescent="0.25">
      <c r="A15629" s="859">
        <f t="shared" si="360"/>
        <v>15628</v>
      </c>
      <c r="B15629" s="845" t="s">
        <v>2564</v>
      </c>
      <c r="C15629" s="1007">
        <f t="shared" si="359"/>
        <v>149</v>
      </c>
      <c r="D15629" s="1012"/>
      <c r="H15629" s="1011" t="s">
        <v>1007</v>
      </c>
      <c r="K15629" s="1013"/>
    </row>
    <row r="15630" spans="1:11" s="1011" customFormat="1" ht="15" x14ac:dyDescent="0.25">
      <c r="A15630" s="859">
        <f t="shared" si="360"/>
        <v>15629</v>
      </c>
      <c r="B15630" s="845" t="s">
        <v>2564</v>
      </c>
      <c r="C15630" s="1007">
        <f t="shared" si="359"/>
        <v>149</v>
      </c>
      <c r="D15630" s="1015"/>
      <c r="I15630" s="1011" t="s">
        <v>2182</v>
      </c>
      <c r="K15630" s="1013"/>
    </row>
    <row r="15631" spans="1:11" s="1011" customFormat="1" ht="15" x14ac:dyDescent="0.25">
      <c r="A15631" s="859">
        <f t="shared" si="360"/>
        <v>15630</v>
      </c>
      <c r="B15631" s="845" t="s">
        <v>2564</v>
      </c>
      <c r="C15631" s="1007">
        <f t="shared" si="359"/>
        <v>149</v>
      </c>
      <c r="D15631" s="1012"/>
      <c r="I15631" s="1011" t="str">
        <f>CONCATENATE("&lt;valeur&gt;",VLOOKUP(C15631,'T16 Amort'!A:K,10,0),"&lt;/valeur&gt;")</f>
        <v>&lt;valeur&gt;&lt;/valeur&gt;</v>
      </c>
      <c r="K15631" s="1013"/>
    </row>
    <row r="15632" spans="1:11" s="1011" customFormat="1" ht="15" x14ac:dyDescent="0.25">
      <c r="A15632" s="859">
        <f t="shared" si="360"/>
        <v>15631</v>
      </c>
      <c r="B15632" s="845" t="s">
        <v>2564</v>
      </c>
      <c r="C15632" s="1007">
        <f t="shared" si="359"/>
        <v>149</v>
      </c>
      <c r="D15632" s="1012"/>
      <c r="I15632" s="1011" t="str">
        <f>CONCATENATE("&lt;numeroLigne&gt;",C15632,"&lt;/numeroLigne&gt;")</f>
        <v>&lt;numeroLigne&gt;149&lt;/numeroLigne&gt;</v>
      </c>
      <c r="K15632" s="1013"/>
    </row>
    <row r="15633" spans="1:11" s="1011" customFormat="1" ht="15" x14ac:dyDescent="0.25">
      <c r="A15633" s="859">
        <f t="shared" si="360"/>
        <v>15632</v>
      </c>
      <c r="B15633" s="845" t="s">
        <v>2564</v>
      </c>
      <c r="C15633" s="1007">
        <f t="shared" si="359"/>
        <v>149</v>
      </c>
      <c r="D15633" s="1014"/>
      <c r="H15633" s="1011" t="s">
        <v>1010</v>
      </c>
      <c r="K15633" s="1013"/>
    </row>
    <row r="15634" spans="1:11" s="1011" customFormat="1" ht="15" x14ac:dyDescent="0.25">
      <c r="A15634" s="859">
        <f t="shared" si="360"/>
        <v>15633</v>
      </c>
      <c r="B15634" s="845" t="s">
        <v>2564</v>
      </c>
      <c r="C15634" s="1007">
        <f t="shared" si="359"/>
        <v>149</v>
      </c>
      <c r="D15634" s="1014"/>
      <c r="H15634" s="1011" t="s">
        <v>1007</v>
      </c>
      <c r="K15634" s="1013"/>
    </row>
    <row r="15635" spans="1:11" s="1011" customFormat="1" ht="15" x14ac:dyDescent="0.25">
      <c r="A15635" s="859">
        <f t="shared" si="360"/>
        <v>15634</v>
      </c>
      <c r="B15635" s="845" t="s">
        <v>2564</v>
      </c>
      <c r="C15635" s="1007">
        <f t="shared" si="359"/>
        <v>149</v>
      </c>
      <c r="D15635" s="1012"/>
      <c r="I15635" s="1011" t="s">
        <v>2183</v>
      </c>
      <c r="K15635" s="1013"/>
    </row>
    <row r="15636" spans="1:11" s="1011" customFormat="1" ht="15" x14ac:dyDescent="0.25">
      <c r="A15636" s="859">
        <f t="shared" si="360"/>
        <v>15635</v>
      </c>
      <c r="B15636" s="845" t="s">
        <v>2564</v>
      </c>
      <c r="C15636" s="1007">
        <f t="shared" si="359"/>
        <v>149</v>
      </c>
      <c r="D15636" s="1015"/>
      <c r="I15636" s="1011" t="str">
        <f>CONCATENATE("&lt;valeur&gt;",VLOOKUP(C15636,'T16 Amort'!A:K,11,0),"&lt;/valeur&gt;")</f>
        <v>&lt;valeur&gt;&lt;/valeur&gt;</v>
      </c>
      <c r="K15636" s="1013"/>
    </row>
    <row r="15637" spans="1:11" s="1011" customFormat="1" ht="15" x14ac:dyDescent="0.25">
      <c r="A15637" s="859">
        <f t="shared" si="360"/>
        <v>15636</v>
      </c>
      <c r="B15637" s="845" t="s">
        <v>2564</v>
      </c>
      <c r="C15637" s="1007">
        <f t="shared" si="359"/>
        <v>149</v>
      </c>
      <c r="D15637" s="1012"/>
      <c r="I15637" s="1011" t="str">
        <f>CONCATENATE("&lt;numeroLigne&gt;",C15637,"&lt;/numeroLigne&gt;")</f>
        <v>&lt;numeroLigne&gt;149&lt;/numeroLigne&gt;</v>
      </c>
      <c r="K15637" s="1013"/>
    </row>
    <row r="15638" spans="1:11" s="1011" customFormat="1" ht="15" x14ac:dyDescent="0.25">
      <c r="A15638" s="859">
        <f t="shared" si="360"/>
        <v>15637</v>
      </c>
      <c r="B15638" s="845" t="s">
        <v>2564</v>
      </c>
      <c r="C15638" s="1007">
        <f t="shared" si="359"/>
        <v>149</v>
      </c>
      <c r="D15638" s="1016"/>
      <c r="E15638" s="1017"/>
      <c r="F15638" s="1017"/>
      <c r="G15638" s="1017"/>
      <c r="H15638" s="1017" t="s">
        <v>1010</v>
      </c>
      <c r="I15638" s="1017"/>
      <c r="J15638" s="1017"/>
      <c r="K15638" s="1018"/>
    </row>
    <row r="15639" spans="1:11" s="1011" customFormat="1" ht="15" x14ac:dyDescent="0.25">
      <c r="A15639" s="859">
        <f t="shared" si="360"/>
        <v>15638</v>
      </c>
      <c r="B15639" s="845" t="s">
        <v>2564</v>
      </c>
      <c r="C15639" s="1007">
        <f t="shared" si="359"/>
        <v>150</v>
      </c>
      <c r="D15639" s="1008"/>
      <c r="E15639" s="1009"/>
      <c r="F15639" s="1009"/>
      <c r="G15639" s="1009"/>
      <c r="H15639" s="1009" t="s">
        <v>1007</v>
      </c>
      <c r="I15639" s="1009"/>
      <c r="J15639" s="1009"/>
      <c r="K15639" s="1010"/>
    </row>
    <row r="15640" spans="1:11" s="1011" customFormat="1" ht="15" x14ac:dyDescent="0.25">
      <c r="A15640" s="859">
        <f t="shared" si="360"/>
        <v>15639</v>
      </c>
      <c r="B15640" s="845" t="s">
        <v>2564</v>
      </c>
      <c r="C15640" s="1007">
        <f t="shared" si="359"/>
        <v>150</v>
      </c>
      <c r="D15640" s="1012"/>
      <c r="I15640" s="1011" t="s">
        <v>2174</v>
      </c>
      <c r="K15640" s="1013"/>
    </row>
    <row r="15641" spans="1:11" s="1011" customFormat="1" ht="15" x14ac:dyDescent="0.25">
      <c r="A15641" s="859">
        <f t="shared" si="360"/>
        <v>15640</v>
      </c>
      <c r="B15641" s="845" t="s">
        <v>2564</v>
      </c>
      <c r="C15641" s="1007">
        <f t="shared" si="359"/>
        <v>150</v>
      </c>
      <c r="D15641" s="1014"/>
      <c r="I15641" s="1011" t="str">
        <f>CONCATENATE("&lt;valeur&gt;",VLOOKUP(C15641,'T16 Amort'!A:K,2,0),"&lt;/valeur&gt;")</f>
        <v>&lt;valeur&gt;&lt;/valeur&gt;</v>
      </c>
      <c r="K15641" s="1013"/>
    </row>
    <row r="15642" spans="1:11" s="1011" customFormat="1" ht="15" x14ac:dyDescent="0.25">
      <c r="A15642" s="859">
        <f t="shared" si="360"/>
        <v>15641</v>
      </c>
      <c r="B15642" s="845" t="s">
        <v>2564</v>
      </c>
      <c r="C15642" s="1007">
        <f t="shared" si="359"/>
        <v>150</v>
      </c>
      <c r="D15642" s="1014"/>
      <c r="I15642" s="1011" t="str">
        <f>CONCATENATE("&lt;numeroLigne&gt;",C15642,"&lt;/numeroLigne&gt;")</f>
        <v>&lt;numeroLigne&gt;150&lt;/numeroLigne&gt;</v>
      </c>
      <c r="K15642" s="1013"/>
    </row>
    <row r="15643" spans="1:11" s="1011" customFormat="1" ht="15" x14ac:dyDescent="0.25">
      <c r="A15643" s="859">
        <f t="shared" si="360"/>
        <v>15642</v>
      </c>
      <c r="B15643" s="845" t="s">
        <v>2564</v>
      </c>
      <c r="C15643" s="1007">
        <f t="shared" si="359"/>
        <v>150</v>
      </c>
      <c r="D15643" s="1012"/>
      <c r="H15643" s="1011" t="s">
        <v>1010</v>
      </c>
      <c r="K15643" s="1013"/>
    </row>
    <row r="15644" spans="1:11" s="1011" customFormat="1" ht="15" x14ac:dyDescent="0.25">
      <c r="A15644" s="859">
        <f t="shared" si="360"/>
        <v>15643</v>
      </c>
      <c r="B15644" s="845" t="s">
        <v>2564</v>
      </c>
      <c r="C15644" s="1007">
        <f t="shared" si="359"/>
        <v>150</v>
      </c>
      <c r="D15644" s="1015"/>
      <c r="H15644" s="1011" t="s">
        <v>1007</v>
      </c>
      <c r="K15644" s="1013"/>
    </row>
    <row r="15645" spans="1:11" s="1011" customFormat="1" ht="15" x14ac:dyDescent="0.25">
      <c r="A15645" s="859">
        <f t="shared" si="360"/>
        <v>15644</v>
      </c>
      <c r="B15645" s="845" t="s">
        <v>2564</v>
      </c>
      <c r="C15645" s="1007">
        <f t="shared" si="359"/>
        <v>150</v>
      </c>
      <c r="D15645" s="1012"/>
      <c r="I15645" s="1011" t="s">
        <v>2175</v>
      </c>
      <c r="K15645" s="1013"/>
    </row>
    <row r="15646" spans="1:11" s="1011" customFormat="1" ht="15" x14ac:dyDescent="0.25">
      <c r="A15646" s="859">
        <f t="shared" si="360"/>
        <v>15645</v>
      </c>
      <c r="B15646" s="845" t="s">
        <v>2564</v>
      </c>
      <c r="C15646" s="1007">
        <f t="shared" si="359"/>
        <v>150</v>
      </c>
      <c r="D15646" s="1012"/>
      <c r="I15646" s="1011" t="str">
        <f>CONCATENATE("&lt;valeur&gt;",VLOOKUP(C15646,'T16 Amort'!A:K,3,0),"&lt;/valeur&gt;")</f>
        <v>&lt;valeur&gt;&lt;/valeur&gt;</v>
      </c>
      <c r="K15646" s="1013"/>
    </row>
    <row r="15647" spans="1:11" s="1011" customFormat="1" ht="15" x14ac:dyDescent="0.25">
      <c r="A15647" s="859">
        <f t="shared" si="360"/>
        <v>15646</v>
      </c>
      <c r="B15647" s="845" t="s">
        <v>2564</v>
      </c>
      <c r="C15647" s="1007">
        <f t="shared" si="359"/>
        <v>150</v>
      </c>
      <c r="D15647" s="1014"/>
      <c r="I15647" s="1011" t="str">
        <f>CONCATENATE("&lt;numeroLigne&gt;",C15647,"&lt;/numeroLigne&gt;")</f>
        <v>&lt;numeroLigne&gt;150&lt;/numeroLigne&gt;</v>
      </c>
      <c r="K15647" s="1013"/>
    </row>
    <row r="15648" spans="1:11" s="1011" customFormat="1" ht="15" x14ac:dyDescent="0.25">
      <c r="A15648" s="859">
        <f t="shared" si="360"/>
        <v>15647</v>
      </c>
      <c r="B15648" s="845" t="s">
        <v>2564</v>
      </c>
      <c r="C15648" s="1007">
        <f t="shared" si="359"/>
        <v>150</v>
      </c>
      <c r="D15648" s="1014"/>
      <c r="H15648" s="1011" t="s">
        <v>1010</v>
      </c>
      <c r="K15648" s="1013"/>
    </row>
    <row r="15649" spans="1:11" s="1011" customFormat="1" ht="15" x14ac:dyDescent="0.25">
      <c r="A15649" s="859">
        <f t="shared" si="360"/>
        <v>15648</v>
      </c>
      <c r="B15649" s="845" t="s">
        <v>2564</v>
      </c>
      <c r="C15649" s="1007">
        <f t="shared" si="359"/>
        <v>150</v>
      </c>
      <c r="D15649" s="1012"/>
      <c r="H15649" s="1011" t="s">
        <v>1007</v>
      </c>
      <c r="K15649" s="1013"/>
    </row>
    <row r="15650" spans="1:11" s="1011" customFormat="1" ht="15" x14ac:dyDescent="0.25">
      <c r="A15650" s="859">
        <f t="shared" si="360"/>
        <v>15649</v>
      </c>
      <c r="B15650" s="845" t="s">
        <v>2564</v>
      </c>
      <c r="C15650" s="1007">
        <f t="shared" si="359"/>
        <v>150</v>
      </c>
      <c r="D15650" s="1015"/>
      <c r="I15650" s="1011" t="s">
        <v>2176</v>
      </c>
      <c r="K15650" s="1013"/>
    </row>
    <row r="15651" spans="1:11" s="1011" customFormat="1" ht="15" x14ac:dyDescent="0.25">
      <c r="A15651" s="859">
        <f t="shared" si="360"/>
        <v>15650</v>
      </c>
      <c r="B15651" s="845" t="s">
        <v>2564</v>
      </c>
      <c r="C15651" s="1007">
        <f t="shared" si="359"/>
        <v>150</v>
      </c>
      <c r="D15651" s="1012"/>
      <c r="I15651" s="1011" t="str">
        <f>CONCATENATE("&lt;valeur&gt;",VLOOKUP(C15651,'T16 Amort'!A:K,4,0),"&lt;/valeur&gt;")</f>
        <v>&lt;valeur&gt;&lt;/valeur&gt;</v>
      </c>
      <c r="K15651" s="1013"/>
    </row>
    <row r="15652" spans="1:11" s="1011" customFormat="1" ht="15" x14ac:dyDescent="0.25">
      <c r="A15652" s="859">
        <f t="shared" si="360"/>
        <v>15651</v>
      </c>
      <c r="B15652" s="845" t="s">
        <v>2564</v>
      </c>
      <c r="C15652" s="1007">
        <f t="shared" si="359"/>
        <v>150</v>
      </c>
      <c r="D15652" s="1012"/>
      <c r="I15652" s="1011" t="str">
        <f>CONCATENATE("&lt;numeroLigne&gt;",C15652,"&lt;/numeroLigne&gt;")</f>
        <v>&lt;numeroLigne&gt;150&lt;/numeroLigne&gt;</v>
      </c>
      <c r="K15652" s="1013"/>
    </row>
    <row r="15653" spans="1:11" s="1011" customFormat="1" ht="15" x14ac:dyDescent="0.25">
      <c r="A15653" s="859">
        <f t="shared" si="360"/>
        <v>15652</v>
      </c>
      <c r="B15653" s="845" t="s">
        <v>2564</v>
      </c>
      <c r="C15653" s="1007">
        <f t="shared" si="359"/>
        <v>150</v>
      </c>
      <c r="D15653" s="1014"/>
      <c r="H15653" s="1011" t="s">
        <v>1010</v>
      </c>
      <c r="K15653" s="1013"/>
    </row>
    <row r="15654" spans="1:11" s="1011" customFormat="1" ht="15" x14ac:dyDescent="0.25">
      <c r="A15654" s="859">
        <f t="shared" si="360"/>
        <v>15653</v>
      </c>
      <c r="B15654" s="845" t="s">
        <v>2564</v>
      </c>
      <c r="C15654" s="1007">
        <f t="shared" si="359"/>
        <v>150</v>
      </c>
      <c r="D15654" s="1014"/>
      <c r="H15654" s="1011" t="s">
        <v>1007</v>
      </c>
      <c r="K15654" s="1013"/>
    </row>
    <row r="15655" spans="1:11" s="1011" customFormat="1" ht="15" x14ac:dyDescent="0.25">
      <c r="A15655" s="859">
        <f t="shared" si="360"/>
        <v>15654</v>
      </c>
      <c r="B15655" s="845" t="s">
        <v>2564</v>
      </c>
      <c r="C15655" s="1007">
        <f t="shared" si="359"/>
        <v>150</v>
      </c>
      <c r="D15655" s="1012"/>
      <c r="I15655" s="1011" t="s">
        <v>2177</v>
      </c>
      <c r="K15655" s="1013"/>
    </row>
    <row r="15656" spans="1:11" s="1011" customFormat="1" ht="15" x14ac:dyDescent="0.25">
      <c r="A15656" s="859">
        <f t="shared" si="360"/>
        <v>15655</v>
      </c>
      <c r="B15656" s="845" t="s">
        <v>2564</v>
      </c>
      <c r="C15656" s="1007">
        <f t="shared" si="359"/>
        <v>150</v>
      </c>
      <c r="D15656" s="1015"/>
      <c r="I15656" s="1011" t="str">
        <f>CONCATENATE("&lt;valeur&gt;",VLOOKUP(C15656,'T16 Amort'!A:K,5,0),"&lt;/valeur&gt;")</f>
        <v>&lt;valeur&gt;&lt;/valeur&gt;</v>
      </c>
      <c r="K15656" s="1013"/>
    </row>
    <row r="15657" spans="1:11" s="1011" customFormat="1" ht="15" x14ac:dyDescent="0.25">
      <c r="A15657" s="859">
        <f t="shared" si="360"/>
        <v>15656</v>
      </c>
      <c r="B15657" s="845" t="s">
        <v>2564</v>
      </c>
      <c r="C15657" s="1007">
        <f t="shared" si="359"/>
        <v>150</v>
      </c>
      <c r="D15657" s="1012"/>
      <c r="I15657" s="1011" t="str">
        <f>CONCATENATE("&lt;numeroLigne&gt;",C15657,"&lt;/numeroLigne&gt;")</f>
        <v>&lt;numeroLigne&gt;150&lt;/numeroLigne&gt;</v>
      </c>
      <c r="K15657" s="1013"/>
    </row>
    <row r="15658" spans="1:11" s="1011" customFormat="1" ht="15" x14ac:dyDescent="0.25">
      <c r="A15658" s="859">
        <f t="shared" si="360"/>
        <v>15657</v>
      </c>
      <c r="B15658" s="845" t="s">
        <v>2564</v>
      </c>
      <c r="C15658" s="1007">
        <f t="shared" si="359"/>
        <v>150</v>
      </c>
      <c r="D15658" s="1012"/>
      <c r="H15658" s="1011" t="s">
        <v>1010</v>
      </c>
      <c r="K15658" s="1013"/>
    </row>
    <row r="15659" spans="1:11" s="1011" customFormat="1" ht="15" x14ac:dyDescent="0.25">
      <c r="A15659" s="859">
        <f t="shared" si="360"/>
        <v>15658</v>
      </c>
      <c r="B15659" s="845" t="s">
        <v>2564</v>
      </c>
      <c r="C15659" s="1007">
        <f t="shared" si="359"/>
        <v>150</v>
      </c>
      <c r="D15659" s="1014"/>
      <c r="H15659" s="1011" t="s">
        <v>1007</v>
      </c>
      <c r="K15659" s="1013"/>
    </row>
    <row r="15660" spans="1:11" s="1011" customFormat="1" ht="15" x14ac:dyDescent="0.25">
      <c r="A15660" s="859">
        <f t="shared" si="360"/>
        <v>15659</v>
      </c>
      <c r="B15660" s="845" t="s">
        <v>2564</v>
      </c>
      <c r="C15660" s="1007">
        <f t="shared" si="359"/>
        <v>150</v>
      </c>
      <c r="D15660" s="1014"/>
      <c r="I15660" s="1011" t="s">
        <v>2178</v>
      </c>
      <c r="K15660" s="1013"/>
    </row>
    <row r="15661" spans="1:11" s="1011" customFormat="1" ht="15" x14ac:dyDescent="0.25">
      <c r="A15661" s="859">
        <f t="shared" si="360"/>
        <v>15660</v>
      </c>
      <c r="B15661" s="845" t="s">
        <v>2564</v>
      </c>
      <c r="C15661" s="1007">
        <f t="shared" si="359"/>
        <v>150</v>
      </c>
      <c r="D15661" s="1012"/>
      <c r="I15661" s="1011" t="str">
        <f>CONCATENATE("&lt;valeur&gt;",VLOOKUP(C15661,'T16 Amort'!A:K,6,0),"&lt;/valeur&gt;")</f>
        <v>&lt;valeur&gt;&lt;/valeur&gt;</v>
      </c>
      <c r="K15661" s="1013"/>
    </row>
    <row r="15662" spans="1:11" s="1011" customFormat="1" ht="15" x14ac:dyDescent="0.25">
      <c r="A15662" s="859">
        <f t="shared" si="360"/>
        <v>15661</v>
      </c>
      <c r="B15662" s="845" t="s">
        <v>2564</v>
      </c>
      <c r="C15662" s="1007">
        <f t="shared" si="359"/>
        <v>150</v>
      </c>
      <c r="D15662" s="1015"/>
      <c r="I15662" s="1011" t="str">
        <f>CONCATENATE("&lt;numeroLigne&gt;",C15662,"&lt;/numeroLigne&gt;")</f>
        <v>&lt;numeroLigne&gt;150&lt;/numeroLigne&gt;</v>
      </c>
      <c r="K15662" s="1013"/>
    </row>
    <row r="15663" spans="1:11" s="1011" customFormat="1" ht="15" x14ac:dyDescent="0.25">
      <c r="A15663" s="859">
        <f t="shared" si="360"/>
        <v>15662</v>
      </c>
      <c r="B15663" s="845" t="s">
        <v>2564</v>
      </c>
      <c r="C15663" s="1007">
        <f t="shared" ref="C15663:C15726" si="361">C15613+1</f>
        <v>150</v>
      </c>
      <c r="D15663" s="1012"/>
      <c r="H15663" s="1011" t="s">
        <v>1010</v>
      </c>
      <c r="K15663" s="1013"/>
    </row>
    <row r="15664" spans="1:11" s="1011" customFormat="1" ht="15" x14ac:dyDescent="0.25">
      <c r="A15664" s="859">
        <f t="shared" si="360"/>
        <v>15663</v>
      </c>
      <c r="B15664" s="845" t="s">
        <v>2564</v>
      </c>
      <c r="C15664" s="1007">
        <f t="shared" si="361"/>
        <v>150</v>
      </c>
      <c r="D15664" s="1012"/>
      <c r="H15664" s="1011" t="s">
        <v>1007</v>
      </c>
      <c r="K15664" s="1013"/>
    </row>
    <row r="15665" spans="1:11" s="1011" customFormat="1" ht="15" x14ac:dyDescent="0.25">
      <c r="A15665" s="859">
        <f t="shared" si="360"/>
        <v>15664</v>
      </c>
      <c r="B15665" s="845" t="s">
        <v>2564</v>
      </c>
      <c r="C15665" s="1007">
        <f t="shared" si="361"/>
        <v>150</v>
      </c>
      <c r="D15665" s="1014"/>
      <c r="I15665" s="1011" t="s">
        <v>2179</v>
      </c>
      <c r="K15665" s="1013"/>
    </row>
    <row r="15666" spans="1:11" s="1011" customFormat="1" ht="15" x14ac:dyDescent="0.25">
      <c r="A15666" s="859">
        <f t="shared" si="360"/>
        <v>15665</v>
      </c>
      <c r="B15666" s="845" t="s">
        <v>2564</v>
      </c>
      <c r="C15666" s="1007">
        <f t="shared" si="361"/>
        <v>150</v>
      </c>
      <c r="D15666" s="1014"/>
      <c r="I15666" s="1011" t="str">
        <f>CONCATENATE("&lt;valeur&gt;",VLOOKUP(C15666,'T16 Amort'!A:K,7,0),"&lt;/valeur&gt;")</f>
        <v>&lt;valeur&gt;&lt;/valeur&gt;</v>
      </c>
      <c r="K15666" s="1013"/>
    </row>
    <row r="15667" spans="1:11" s="1011" customFormat="1" ht="15" x14ac:dyDescent="0.25">
      <c r="A15667" s="859">
        <f t="shared" si="360"/>
        <v>15666</v>
      </c>
      <c r="B15667" s="845" t="s">
        <v>2564</v>
      </c>
      <c r="C15667" s="1007">
        <f t="shared" si="361"/>
        <v>150</v>
      </c>
      <c r="D15667" s="1012"/>
      <c r="I15667" s="1011" t="str">
        <f>CONCATENATE("&lt;numeroLigne&gt;",C15667,"&lt;/numeroLigne&gt;")</f>
        <v>&lt;numeroLigne&gt;150&lt;/numeroLigne&gt;</v>
      </c>
      <c r="K15667" s="1013"/>
    </row>
    <row r="15668" spans="1:11" s="1011" customFormat="1" ht="15" x14ac:dyDescent="0.25">
      <c r="A15668" s="859">
        <f t="shared" si="360"/>
        <v>15667</v>
      </c>
      <c r="B15668" s="845" t="s">
        <v>2564</v>
      </c>
      <c r="C15668" s="1007">
        <f t="shared" si="361"/>
        <v>150</v>
      </c>
      <c r="D15668" s="1015"/>
      <c r="H15668" s="1011" t="s">
        <v>1010</v>
      </c>
      <c r="K15668" s="1013"/>
    </row>
    <row r="15669" spans="1:11" s="1011" customFormat="1" ht="15" x14ac:dyDescent="0.25">
      <c r="A15669" s="859">
        <f t="shared" si="360"/>
        <v>15668</v>
      </c>
      <c r="B15669" s="845" t="s">
        <v>2564</v>
      </c>
      <c r="C15669" s="1007">
        <f t="shared" si="361"/>
        <v>150</v>
      </c>
      <c r="D15669" s="1012"/>
      <c r="H15669" s="1011" t="s">
        <v>1007</v>
      </c>
      <c r="K15669" s="1013"/>
    </row>
    <row r="15670" spans="1:11" s="1011" customFormat="1" ht="15" x14ac:dyDescent="0.25">
      <c r="A15670" s="859">
        <f t="shared" si="360"/>
        <v>15669</v>
      </c>
      <c r="B15670" s="845" t="s">
        <v>2564</v>
      </c>
      <c r="C15670" s="1007">
        <f t="shared" si="361"/>
        <v>150</v>
      </c>
      <c r="D15670" s="1012"/>
      <c r="I15670" s="1011" t="s">
        <v>2180</v>
      </c>
      <c r="K15670" s="1013"/>
    </row>
    <row r="15671" spans="1:11" s="1011" customFormat="1" ht="15" x14ac:dyDescent="0.25">
      <c r="A15671" s="859">
        <f t="shared" si="360"/>
        <v>15670</v>
      </c>
      <c r="B15671" s="845" t="s">
        <v>2564</v>
      </c>
      <c r="C15671" s="1007">
        <f t="shared" si="361"/>
        <v>150</v>
      </c>
      <c r="D15671" s="1014"/>
      <c r="I15671" s="1011" t="str">
        <f>CONCATENATE("&lt;valeur&gt;",VLOOKUP(C15671,'T16 Amort'!A:K,8,0),"&lt;/valeur&gt;")</f>
        <v>&lt;valeur&gt;&lt;/valeur&gt;</v>
      </c>
      <c r="K15671" s="1013"/>
    </row>
    <row r="15672" spans="1:11" s="1011" customFormat="1" ht="15" x14ac:dyDescent="0.25">
      <c r="A15672" s="859">
        <f t="shared" si="360"/>
        <v>15671</v>
      </c>
      <c r="B15672" s="845" t="s">
        <v>2564</v>
      </c>
      <c r="C15672" s="1007">
        <f t="shared" si="361"/>
        <v>150</v>
      </c>
      <c r="D15672" s="1014"/>
      <c r="I15672" s="1011" t="str">
        <f>CONCATENATE("&lt;numeroLigne&gt;",C15672,"&lt;/numeroLigne&gt;")</f>
        <v>&lt;numeroLigne&gt;150&lt;/numeroLigne&gt;</v>
      </c>
      <c r="K15672" s="1013"/>
    </row>
    <row r="15673" spans="1:11" s="1011" customFormat="1" ht="15" x14ac:dyDescent="0.25">
      <c r="A15673" s="859">
        <f t="shared" si="360"/>
        <v>15672</v>
      </c>
      <c r="B15673" s="845" t="s">
        <v>2564</v>
      </c>
      <c r="C15673" s="1007">
        <f t="shared" si="361"/>
        <v>150</v>
      </c>
      <c r="D15673" s="1012"/>
      <c r="H15673" s="1011" t="s">
        <v>1010</v>
      </c>
      <c r="K15673" s="1013"/>
    </row>
    <row r="15674" spans="1:11" s="1011" customFormat="1" ht="15" x14ac:dyDescent="0.25">
      <c r="A15674" s="859">
        <f t="shared" si="360"/>
        <v>15673</v>
      </c>
      <c r="B15674" s="845" t="s">
        <v>2564</v>
      </c>
      <c r="C15674" s="1007">
        <f t="shared" si="361"/>
        <v>150</v>
      </c>
      <c r="D15674" s="1015"/>
      <c r="H15674" s="1011" t="s">
        <v>1007</v>
      </c>
      <c r="K15674" s="1013"/>
    </row>
    <row r="15675" spans="1:11" s="1011" customFormat="1" ht="15" x14ac:dyDescent="0.25">
      <c r="A15675" s="859">
        <f t="shared" si="360"/>
        <v>15674</v>
      </c>
      <c r="B15675" s="845" t="s">
        <v>2564</v>
      </c>
      <c r="C15675" s="1007">
        <f t="shared" si="361"/>
        <v>150</v>
      </c>
      <c r="D15675" s="1012"/>
      <c r="I15675" s="1011" t="s">
        <v>2181</v>
      </c>
      <c r="K15675" s="1013"/>
    </row>
    <row r="15676" spans="1:11" s="1011" customFormat="1" ht="15" x14ac:dyDescent="0.25">
      <c r="A15676" s="859">
        <f t="shared" si="360"/>
        <v>15675</v>
      </c>
      <c r="B15676" s="845" t="s">
        <v>2564</v>
      </c>
      <c r="C15676" s="1007">
        <f t="shared" si="361"/>
        <v>150</v>
      </c>
      <c r="D15676" s="1012"/>
      <c r="I15676" s="1011" t="str">
        <f>CONCATENATE("&lt;valeur&gt;",VLOOKUP(C15676,'T16 Amort'!A:K,9,0),"&lt;/valeur&gt;")</f>
        <v>&lt;valeur&gt;&lt;/valeur&gt;</v>
      </c>
      <c r="K15676" s="1013"/>
    </row>
    <row r="15677" spans="1:11" s="1011" customFormat="1" ht="15" x14ac:dyDescent="0.25">
      <c r="A15677" s="859">
        <f t="shared" si="360"/>
        <v>15676</v>
      </c>
      <c r="B15677" s="845" t="s">
        <v>2564</v>
      </c>
      <c r="C15677" s="1007">
        <f t="shared" si="361"/>
        <v>150</v>
      </c>
      <c r="D15677" s="1014"/>
      <c r="I15677" s="1011" t="str">
        <f>CONCATENATE("&lt;numeroLigne&gt;",C15677,"&lt;/numeroLigne&gt;")</f>
        <v>&lt;numeroLigne&gt;150&lt;/numeroLigne&gt;</v>
      </c>
      <c r="K15677" s="1013"/>
    </row>
    <row r="15678" spans="1:11" s="1011" customFormat="1" ht="15" x14ac:dyDescent="0.25">
      <c r="A15678" s="859">
        <f t="shared" si="360"/>
        <v>15677</v>
      </c>
      <c r="B15678" s="845" t="s">
        <v>2564</v>
      </c>
      <c r="C15678" s="1007">
        <f t="shared" si="361"/>
        <v>150</v>
      </c>
      <c r="D15678" s="1014"/>
      <c r="H15678" s="1011" t="s">
        <v>1010</v>
      </c>
      <c r="K15678" s="1013"/>
    </row>
    <row r="15679" spans="1:11" s="1011" customFormat="1" ht="15" x14ac:dyDescent="0.25">
      <c r="A15679" s="859">
        <f t="shared" si="360"/>
        <v>15678</v>
      </c>
      <c r="B15679" s="845" t="s">
        <v>2564</v>
      </c>
      <c r="C15679" s="1007">
        <f t="shared" si="361"/>
        <v>150</v>
      </c>
      <c r="D15679" s="1012"/>
      <c r="H15679" s="1011" t="s">
        <v>1007</v>
      </c>
      <c r="K15679" s="1013"/>
    </row>
    <row r="15680" spans="1:11" s="1011" customFormat="1" ht="15" x14ac:dyDescent="0.25">
      <c r="A15680" s="859">
        <f t="shared" si="360"/>
        <v>15679</v>
      </c>
      <c r="B15680" s="845" t="s">
        <v>2564</v>
      </c>
      <c r="C15680" s="1007">
        <f t="shared" si="361"/>
        <v>150</v>
      </c>
      <c r="D15680" s="1015"/>
      <c r="I15680" s="1011" t="s">
        <v>2182</v>
      </c>
      <c r="K15680" s="1013"/>
    </row>
    <row r="15681" spans="1:11" s="1011" customFormat="1" ht="15" x14ac:dyDescent="0.25">
      <c r="A15681" s="859">
        <f t="shared" si="360"/>
        <v>15680</v>
      </c>
      <c r="B15681" s="845" t="s">
        <v>2564</v>
      </c>
      <c r="C15681" s="1007">
        <f t="shared" si="361"/>
        <v>150</v>
      </c>
      <c r="D15681" s="1012"/>
      <c r="I15681" s="1011" t="str">
        <f>CONCATENATE("&lt;valeur&gt;",VLOOKUP(C15681,'T16 Amort'!A:K,10,0),"&lt;/valeur&gt;")</f>
        <v>&lt;valeur&gt;&lt;/valeur&gt;</v>
      </c>
      <c r="K15681" s="1013"/>
    </row>
    <row r="15682" spans="1:11" s="1011" customFormat="1" ht="15" x14ac:dyDescent="0.25">
      <c r="A15682" s="859">
        <f t="shared" si="360"/>
        <v>15681</v>
      </c>
      <c r="B15682" s="845" t="s">
        <v>2564</v>
      </c>
      <c r="C15682" s="1007">
        <f t="shared" si="361"/>
        <v>150</v>
      </c>
      <c r="D15682" s="1012"/>
      <c r="I15682" s="1011" t="str">
        <f>CONCATENATE("&lt;numeroLigne&gt;",C15682,"&lt;/numeroLigne&gt;")</f>
        <v>&lt;numeroLigne&gt;150&lt;/numeroLigne&gt;</v>
      </c>
      <c r="K15682" s="1013"/>
    </row>
    <row r="15683" spans="1:11" s="1011" customFormat="1" ht="15" x14ac:dyDescent="0.25">
      <c r="A15683" s="859">
        <f t="shared" si="360"/>
        <v>15682</v>
      </c>
      <c r="B15683" s="845" t="s">
        <v>2564</v>
      </c>
      <c r="C15683" s="1007">
        <f t="shared" si="361"/>
        <v>150</v>
      </c>
      <c r="D15683" s="1014"/>
      <c r="H15683" s="1011" t="s">
        <v>1010</v>
      </c>
      <c r="K15683" s="1013"/>
    </row>
    <row r="15684" spans="1:11" s="1011" customFormat="1" ht="15" x14ac:dyDescent="0.25">
      <c r="A15684" s="859">
        <f t="shared" ref="A15684:A15747" si="362">+A15683+1</f>
        <v>15683</v>
      </c>
      <c r="B15684" s="845" t="s">
        <v>2564</v>
      </c>
      <c r="C15684" s="1007">
        <f t="shared" si="361"/>
        <v>150</v>
      </c>
      <c r="D15684" s="1014"/>
      <c r="H15684" s="1011" t="s">
        <v>1007</v>
      </c>
      <c r="K15684" s="1013"/>
    </row>
    <row r="15685" spans="1:11" s="1011" customFormat="1" ht="15" x14ac:dyDescent="0.25">
      <c r="A15685" s="859">
        <f t="shared" si="362"/>
        <v>15684</v>
      </c>
      <c r="B15685" s="845" t="s">
        <v>2564</v>
      </c>
      <c r="C15685" s="1007">
        <f t="shared" si="361"/>
        <v>150</v>
      </c>
      <c r="D15685" s="1012"/>
      <c r="I15685" s="1011" t="s">
        <v>2183</v>
      </c>
      <c r="K15685" s="1013"/>
    </row>
    <row r="15686" spans="1:11" s="1011" customFormat="1" ht="15" x14ac:dyDescent="0.25">
      <c r="A15686" s="859">
        <f t="shared" si="362"/>
        <v>15685</v>
      </c>
      <c r="B15686" s="845" t="s">
        <v>2564</v>
      </c>
      <c r="C15686" s="1007">
        <f t="shared" si="361"/>
        <v>150</v>
      </c>
      <c r="D15686" s="1015"/>
      <c r="I15686" s="1011" t="str">
        <f>CONCATENATE("&lt;valeur&gt;",VLOOKUP(C15686,'T16 Amort'!A:K,11,0),"&lt;/valeur&gt;")</f>
        <v>&lt;valeur&gt;&lt;/valeur&gt;</v>
      </c>
      <c r="K15686" s="1013"/>
    </row>
    <row r="15687" spans="1:11" s="1011" customFormat="1" ht="15" x14ac:dyDescent="0.25">
      <c r="A15687" s="859">
        <f t="shared" si="362"/>
        <v>15686</v>
      </c>
      <c r="B15687" s="845" t="s">
        <v>2564</v>
      </c>
      <c r="C15687" s="1007">
        <f t="shared" si="361"/>
        <v>150</v>
      </c>
      <c r="D15687" s="1012"/>
      <c r="I15687" s="1011" t="str">
        <f>CONCATENATE("&lt;numeroLigne&gt;",C15687,"&lt;/numeroLigne&gt;")</f>
        <v>&lt;numeroLigne&gt;150&lt;/numeroLigne&gt;</v>
      </c>
      <c r="K15687" s="1013"/>
    </row>
    <row r="15688" spans="1:11" s="1011" customFormat="1" ht="15" x14ac:dyDescent="0.25">
      <c r="A15688" s="859">
        <f t="shared" si="362"/>
        <v>15687</v>
      </c>
      <c r="B15688" s="845" t="s">
        <v>2564</v>
      </c>
      <c r="C15688" s="1007">
        <f t="shared" si="361"/>
        <v>150</v>
      </c>
      <c r="D15688" s="1016"/>
      <c r="E15688" s="1017"/>
      <c r="F15688" s="1017"/>
      <c r="G15688" s="1017"/>
      <c r="H15688" s="1017" t="s">
        <v>1010</v>
      </c>
      <c r="I15688" s="1017"/>
      <c r="J15688" s="1017"/>
      <c r="K15688" s="1018"/>
    </row>
    <row r="15689" spans="1:11" s="1011" customFormat="1" ht="15" x14ac:dyDescent="0.25">
      <c r="A15689" s="859">
        <f t="shared" si="362"/>
        <v>15688</v>
      </c>
      <c r="B15689" s="845" t="s">
        <v>2564</v>
      </c>
      <c r="C15689" s="1007">
        <f t="shared" si="361"/>
        <v>151</v>
      </c>
      <c r="D15689" s="1008"/>
      <c r="E15689" s="1009"/>
      <c r="F15689" s="1009"/>
      <c r="G15689" s="1009"/>
      <c r="H15689" s="1009" t="s">
        <v>1007</v>
      </c>
      <c r="I15689" s="1009"/>
      <c r="J15689" s="1009"/>
      <c r="K15689" s="1010"/>
    </row>
    <row r="15690" spans="1:11" s="1011" customFormat="1" ht="15" x14ac:dyDescent="0.25">
      <c r="A15690" s="859">
        <f t="shared" si="362"/>
        <v>15689</v>
      </c>
      <c r="B15690" s="845" t="s">
        <v>2564</v>
      </c>
      <c r="C15690" s="1007">
        <f t="shared" si="361"/>
        <v>151</v>
      </c>
      <c r="D15690" s="1012"/>
      <c r="I15690" s="1011" t="s">
        <v>2174</v>
      </c>
      <c r="K15690" s="1013"/>
    </row>
    <row r="15691" spans="1:11" s="1011" customFormat="1" ht="15" x14ac:dyDescent="0.25">
      <c r="A15691" s="859">
        <f t="shared" si="362"/>
        <v>15690</v>
      </c>
      <c r="B15691" s="845" t="s">
        <v>2564</v>
      </c>
      <c r="C15691" s="1007">
        <f t="shared" si="361"/>
        <v>151</v>
      </c>
      <c r="D15691" s="1014"/>
      <c r="I15691" s="1011" t="str">
        <f>CONCATENATE("&lt;valeur&gt;",VLOOKUP(C15691,'T16 Amort'!A:K,2,0),"&lt;/valeur&gt;")</f>
        <v>&lt;valeur&gt;&lt;/valeur&gt;</v>
      </c>
      <c r="K15691" s="1013"/>
    </row>
    <row r="15692" spans="1:11" s="1011" customFormat="1" ht="15" x14ac:dyDescent="0.25">
      <c r="A15692" s="859">
        <f t="shared" si="362"/>
        <v>15691</v>
      </c>
      <c r="B15692" s="845" t="s">
        <v>2564</v>
      </c>
      <c r="C15692" s="1007">
        <f t="shared" si="361"/>
        <v>151</v>
      </c>
      <c r="D15692" s="1014"/>
      <c r="I15692" s="1011" t="str">
        <f>CONCATENATE("&lt;numeroLigne&gt;",C15692,"&lt;/numeroLigne&gt;")</f>
        <v>&lt;numeroLigne&gt;151&lt;/numeroLigne&gt;</v>
      </c>
      <c r="K15692" s="1013"/>
    </row>
    <row r="15693" spans="1:11" s="1011" customFormat="1" ht="15" x14ac:dyDescent="0.25">
      <c r="A15693" s="859">
        <f t="shared" si="362"/>
        <v>15692</v>
      </c>
      <c r="B15693" s="845" t="s">
        <v>2564</v>
      </c>
      <c r="C15693" s="1007">
        <f t="shared" si="361"/>
        <v>151</v>
      </c>
      <c r="D15693" s="1012"/>
      <c r="H15693" s="1011" t="s">
        <v>1010</v>
      </c>
      <c r="K15693" s="1013"/>
    </row>
    <row r="15694" spans="1:11" s="1011" customFormat="1" ht="15" x14ac:dyDescent="0.25">
      <c r="A15694" s="859">
        <f t="shared" si="362"/>
        <v>15693</v>
      </c>
      <c r="B15694" s="845" t="s">
        <v>2564</v>
      </c>
      <c r="C15694" s="1007">
        <f t="shared" si="361"/>
        <v>151</v>
      </c>
      <c r="D15694" s="1015"/>
      <c r="H15694" s="1011" t="s">
        <v>1007</v>
      </c>
      <c r="K15694" s="1013"/>
    </row>
    <row r="15695" spans="1:11" s="1011" customFormat="1" ht="15" x14ac:dyDescent="0.25">
      <c r="A15695" s="859">
        <f t="shared" si="362"/>
        <v>15694</v>
      </c>
      <c r="B15695" s="845" t="s">
        <v>2564</v>
      </c>
      <c r="C15695" s="1007">
        <f t="shared" si="361"/>
        <v>151</v>
      </c>
      <c r="D15695" s="1012"/>
      <c r="I15695" s="1011" t="s">
        <v>2175</v>
      </c>
      <c r="K15695" s="1013"/>
    </row>
    <row r="15696" spans="1:11" s="1011" customFormat="1" ht="15" x14ac:dyDescent="0.25">
      <c r="A15696" s="859">
        <f t="shared" si="362"/>
        <v>15695</v>
      </c>
      <c r="B15696" s="845" t="s">
        <v>2564</v>
      </c>
      <c r="C15696" s="1007">
        <f t="shared" si="361"/>
        <v>151</v>
      </c>
      <c r="D15696" s="1012"/>
      <c r="I15696" s="1011" t="str">
        <f>CONCATENATE("&lt;valeur&gt;",VLOOKUP(C15696,'T16 Amort'!A:K,3,0),"&lt;/valeur&gt;")</f>
        <v>&lt;valeur&gt;&lt;/valeur&gt;</v>
      </c>
      <c r="K15696" s="1013"/>
    </row>
    <row r="15697" spans="1:11" s="1011" customFormat="1" ht="15" x14ac:dyDescent="0.25">
      <c r="A15697" s="859">
        <f t="shared" si="362"/>
        <v>15696</v>
      </c>
      <c r="B15697" s="845" t="s">
        <v>2564</v>
      </c>
      <c r="C15697" s="1007">
        <f t="shared" si="361"/>
        <v>151</v>
      </c>
      <c r="D15697" s="1014"/>
      <c r="I15697" s="1011" t="str">
        <f>CONCATENATE("&lt;numeroLigne&gt;",C15697,"&lt;/numeroLigne&gt;")</f>
        <v>&lt;numeroLigne&gt;151&lt;/numeroLigne&gt;</v>
      </c>
      <c r="K15697" s="1013"/>
    </row>
    <row r="15698" spans="1:11" s="1011" customFormat="1" ht="15" x14ac:dyDescent="0.25">
      <c r="A15698" s="859">
        <f t="shared" si="362"/>
        <v>15697</v>
      </c>
      <c r="B15698" s="845" t="s">
        <v>2564</v>
      </c>
      <c r="C15698" s="1007">
        <f t="shared" si="361"/>
        <v>151</v>
      </c>
      <c r="D15698" s="1014"/>
      <c r="H15698" s="1011" t="s">
        <v>1010</v>
      </c>
      <c r="K15698" s="1013"/>
    </row>
    <row r="15699" spans="1:11" s="1011" customFormat="1" ht="15" x14ac:dyDescent="0.25">
      <c r="A15699" s="859">
        <f t="shared" si="362"/>
        <v>15698</v>
      </c>
      <c r="B15699" s="845" t="s">
        <v>2564</v>
      </c>
      <c r="C15699" s="1007">
        <f t="shared" si="361"/>
        <v>151</v>
      </c>
      <c r="D15699" s="1012"/>
      <c r="H15699" s="1011" t="s">
        <v>1007</v>
      </c>
      <c r="K15699" s="1013"/>
    </row>
    <row r="15700" spans="1:11" s="1011" customFormat="1" ht="15" x14ac:dyDescent="0.25">
      <c r="A15700" s="859">
        <f t="shared" si="362"/>
        <v>15699</v>
      </c>
      <c r="B15700" s="845" t="s">
        <v>2564</v>
      </c>
      <c r="C15700" s="1007">
        <f t="shared" si="361"/>
        <v>151</v>
      </c>
      <c r="D15700" s="1015"/>
      <c r="I15700" s="1011" t="s">
        <v>2176</v>
      </c>
      <c r="K15700" s="1013"/>
    </row>
    <row r="15701" spans="1:11" s="1011" customFormat="1" ht="15" x14ac:dyDescent="0.25">
      <c r="A15701" s="859">
        <f t="shared" si="362"/>
        <v>15700</v>
      </c>
      <c r="B15701" s="845" t="s">
        <v>2564</v>
      </c>
      <c r="C15701" s="1007">
        <f t="shared" si="361"/>
        <v>151</v>
      </c>
      <c r="D15701" s="1012"/>
      <c r="I15701" s="1011" t="str">
        <f>CONCATENATE("&lt;valeur&gt;",VLOOKUP(C15701,'T16 Amort'!A:K,4,0),"&lt;/valeur&gt;")</f>
        <v>&lt;valeur&gt;&lt;/valeur&gt;</v>
      </c>
      <c r="K15701" s="1013"/>
    </row>
    <row r="15702" spans="1:11" s="1011" customFormat="1" ht="15" x14ac:dyDescent="0.25">
      <c r="A15702" s="859">
        <f t="shared" si="362"/>
        <v>15701</v>
      </c>
      <c r="B15702" s="845" t="s">
        <v>2564</v>
      </c>
      <c r="C15702" s="1007">
        <f t="shared" si="361"/>
        <v>151</v>
      </c>
      <c r="D15702" s="1012"/>
      <c r="I15702" s="1011" t="str">
        <f>CONCATENATE("&lt;numeroLigne&gt;",C15702,"&lt;/numeroLigne&gt;")</f>
        <v>&lt;numeroLigne&gt;151&lt;/numeroLigne&gt;</v>
      </c>
      <c r="K15702" s="1013"/>
    </row>
    <row r="15703" spans="1:11" s="1011" customFormat="1" ht="15" x14ac:dyDescent="0.25">
      <c r="A15703" s="859">
        <f t="shared" si="362"/>
        <v>15702</v>
      </c>
      <c r="B15703" s="845" t="s">
        <v>2564</v>
      </c>
      <c r="C15703" s="1007">
        <f t="shared" si="361"/>
        <v>151</v>
      </c>
      <c r="D15703" s="1014"/>
      <c r="H15703" s="1011" t="s">
        <v>1010</v>
      </c>
      <c r="K15703" s="1013"/>
    </row>
    <row r="15704" spans="1:11" s="1011" customFormat="1" ht="15" x14ac:dyDescent="0.25">
      <c r="A15704" s="859">
        <f t="shared" si="362"/>
        <v>15703</v>
      </c>
      <c r="B15704" s="845" t="s">
        <v>2564</v>
      </c>
      <c r="C15704" s="1007">
        <f t="shared" si="361"/>
        <v>151</v>
      </c>
      <c r="D15704" s="1014"/>
      <c r="H15704" s="1011" t="s">
        <v>1007</v>
      </c>
      <c r="K15704" s="1013"/>
    </row>
    <row r="15705" spans="1:11" s="1011" customFormat="1" ht="15" x14ac:dyDescent="0.25">
      <c r="A15705" s="859">
        <f t="shared" si="362"/>
        <v>15704</v>
      </c>
      <c r="B15705" s="845" t="s">
        <v>2564</v>
      </c>
      <c r="C15705" s="1007">
        <f t="shared" si="361"/>
        <v>151</v>
      </c>
      <c r="D15705" s="1012"/>
      <c r="I15705" s="1011" t="s">
        <v>2177</v>
      </c>
      <c r="K15705" s="1013"/>
    </row>
    <row r="15706" spans="1:11" s="1011" customFormat="1" ht="15" x14ac:dyDescent="0.25">
      <c r="A15706" s="859">
        <f t="shared" si="362"/>
        <v>15705</v>
      </c>
      <c r="B15706" s="845" t="s">
        <v>2564</v>
      </c>
      <c r="C15706" s="1007">
        <f t="shared" si="361"/>
        <v>151</v>
      </c>
      <c r="D15706" s="1015"/>
      <c r="I15706" s="1011" t="str">
        <f>CONCATENATE("&lt;valeur&gt;",VLOOKUP(C15706,'T16 Amort'!A:K,5,0),"&lt;/valeur&gt;")</f>
        <v>&lt;valeur&gt;&lt;/valeur&gt;</v>
      </c>
      <c r="K15706" s="1013"/>
    </row>
    <row r="15707" spans="1:11" s="1011" customFormat="1" ht="15" x14ac:dyDescent="0.25">
      <c r="A15707" s="859">
        <f t="shared" si="362"/>
        <v>15706</v>
      </c>
      <c r="B15707" s="845" t="s">
        <v>2564</v>
      </c>
      <c r="C15707" s="1007">
        <f t="shared" si="361"/>
        <v>151</v>
      </c>
      <c r="D15707" s="1012"/>
      <c r="I15707" s="1011" t="str">
        <f>CONCATENATE("&lt;numeroLigne&gt;",C15707,"&lt;/numeroLigne&gt;")</f>
        <v>&lt;numeroLigne&gt;151&lt;/numeroLigne&gt;</v>
      </c>
      <c r="K15707" s="1013"/>
    </row>
    <row r="15708" spans="1:11" s="1011" customFormat="1" ht="15" x14ac:dyDescent="0.25">
      <c r="A15708" s="859">
        <f t="shared" si="362"/>
        <v>15707</v>
      </c>
      <c r="B15708" s="845" t="s">
        <v>2564</v>
      </c>
      <c r="C15708" s="1007">
        <f t="shared" si="361"/>
        <v>151</v>
      </c>
      <c r="D15708" s="1012"/>
      <c r="H15708" s="1011" t="s">
        <v>1010</v>
      </c>
      <c r="K15708" s="1013"/>
    </row>
    <row r="15709" spans="1:11" s="1011" customFormat="1" ht="15" x14ac:dyDescent="0.25">
      <c r="A15709" s="859">
        <f t="shared" si="362"/>
        <v>15708</v>
      </c>
      <c r="B15709" s="845" t="s">
        <v>2564</v>
      </c>
      <c r="C15709" s="1007">
        <f t="shared" si="361"/>
        <v>151</v>
      </c>
      <c r="D15709" s="1014"/>
      <c r="H15709" s="1011" t="s">
        <v>1007</v>
      </c>
      <c r="K15709" s="1013"/>
    </row>
    <row r="15710" spans="1:11" s="1011" customFormat="1" ht="15" x14ac:dyDescent="0.25">
      <c r="A15710" s="859">
        <f t="shared" si="362"/>
        <v>15709</v>
      </c>
      <c r="B15710" s="845" t="s">
        <v>2564</v>
      </c>
      <c r="C15710" s="1007">
        <f t="shared" si="361"/>
        <v>151</v>
      </c>
      <c r="D15710" s="1014"/>
      <c r="I15710" s="1011" t="s">
        <v>2178</v>
      </c>
      <c r="K15710" s="1013"/>
    </row>
    <row r="15711" spans="1:11" s="1011" customFormat="1" ht="15" x14ac:dyDescent="0.25">
      <c r="A15711" s="859">
        <f t="shared" si="362"/>
        <v>15710</v>
      </c>
      <c r="B15711" s="845" t="s">
        <v>2564</v>
      </c>
      <c r="C15711" s="1007">
        <f t="shared" si="361"/>
        <v>151</v>
      </c>
      <c r="D15711" s="1012"/>
      <c r="I15711" s="1011" t="str">
        <f>CONCATENATE("&lt;valeur&gt;",VLOOKUP(C15711,'T16 Amort'!A:K,6,0),"&lt;/valeur&gt;")</f>
        <v>&lt;valeur&gt;&lt;/valeur&gt;</v>
      </c>
      <c r="K15711" s="1013"/>
    </row>
    <row r="15712" spans="1:11" s="1011" customFormat="1" ht="15" x14ac:dyDescent="0.25">
      <c r="A15712" s="859">
        <f t="shared" si="362"/>
        <v>15711</v>
      </c>
      <c r="B15712" s="845" t="s">
        <v>2564</v>
      </c>
      <c r="C15712" s="1007">
        <f t="shared" si="361"/>
        <v>151</v>
      </c>
      <c r="D15712" s="1015"/>
      <c r="I15712" s="1011" t="str">
        <f>CONCATENATE("&lt;numeroLigne&gt;",C15712,"&lt;/numeroLigne&gt;")</f>
        <v>&lt;numeroLigne&gt;151&lt;/numeroLigne&gt;</v>
      </c>
      <c r="K15712" s="1013"/>
    </row>
    <row r="15713" spans="1:11" s="1011" customFormat="1" ht="15" x14ac:dyDescent="0.25">
      <c r="A15713" s="859">
        <f t="shared" si="362"/>
        <v>15712</v>
      </c>
      <c r="B15713" s="845" t="s">
        <v>2564</v>
      </c>
      <c r="C15713" s="1007">
        <f t="shared" si="361"/>
        <v>151</v>
      </c>
      <c r="D15713" s="1012"/>
      <c r="H15713" s="1011" t="s">
        <v>1010</v>
      </c>
      <c r="K15713" s="1013"/>
    </row>
    <row r="15714" spans="1:11" s="1011" customFormat="1" ht="15" x14ac:dyDescent="0.25">
      <c r="A15714" s="859">
        <f t="shared" si="362"/>
        <v>15713</v>
      </c>
      <c r="B15714" s="845" t="s">
        <v>2564</v>
      </c>
      <c r="C15714" s="1007">
        <f t="shared" si="361"/>
        <v>151</v>
      </c>
      <c r="D15714" s="1012"/>
      <c r="H15714" s="1011" t="s">
        <v>1007</v>
      </c>
      <c r="K15714" s="1013"/>
    </row>
    <row r="15715" spans="1:11" s="1011" customFormat="1" ht="15" x14ac:dyDescent="0.25">
      <c r="A15715" s="859">
        <f t="shared" si="362"/>
        <v>15714</v>
      </c>
      <c r="B15715" s="845" t="s">
        <v>2564</v>
      </c>
      <c r="C15715" s="1007">
        <f t="shared" si="361"/>
        <v>151</v>
      </c>
      <c r="D15715" s="1014"/>
      <c r="I15715" s="1011" t="s">
        <v>2179</v>
      </c>
      <c r="K15715" s="1013"/>
    </row>
    <row r="15716" spans="1:11" s="1011" customFormat="1" ht="15" x14ac:dyDescent="0.25">
      <c r="A15716" s="859">
        <f t="shared" si="362"/>
        <v>15715</v>
      </c>
      <c r="B15716" s="845" t="s">
        <v>2564</v>
      </c>
      <c r="C15716" s="1007">
        <f t="shared" si="361"/>
        <v>151</v>
      </c>
      <c r="D15716" s="1014"/>
      <c r="I15716" s="1011" t="str">
        <f>CONCATENATE("&lt;valeur&gt;",VLOOKUP(C15716,'T16 Amort'!A:K,7,0),"&lt;/valeur&gt;")</f>
        <v>&lt;valeur&gt;&lt;/valeur&gt;</v>
      </c>
      <c r="K15716" s="1013"/>
    </row>
    <row r="15717" spans="1:11" s="1011" customFormat="1" ht="15" x14ac:dyDescent="0.25">
      <c r="A15717" s="859">
        <f t="shared" si="362"/>
        <v>15716</v>
      </c>
      <c r="B15717" s="845" t="s">
        <v>2564</v>
      </c>
      <c r="C15717" s="1007">
        <f t="shared" si="361"/>
        <v>151</v>
      </c>
      <c r="D15717" s="1012"/>
      <c r="I15717" s="1011" t="str">
        <f>CONCATENATE("&lt;numeroLigne&gt;",C15717,"&lt;/numeroLigne&gt;")</f>
        <v>&lt;numeroLigne&gt;151&lt;/numeroLigne&gt;</v>
      </c>
      <c r="K15717" s="1013"/>
    </row>
    <row r="15718" spans="1:11" s="1011" customFormat="1" ht="15" x14ac:dyDescent="0.25">
      <c r="A15718" s="859">
        <f t="shared" si="362"/>
        <v>15717</v>
      </c>
      <c r="B15718" s="845" t="s">
        <v>2564</v>
      </c>
      <c r="C15718" s="1007">
        <f t="shared" si="361"/>
        <v>151</v>
      </c>
      <c r="D15718" s="1015"/>
      <c r="H15718" s="1011" t="s">
        <v>1010</v>
      </c>
      <c r="K15718" s="1013"/>
    </row>
    <row r="15719" spans="1:11" s="1011" customFormat="1" ht="15" x14ac:dyDescent="0.25">
      <c r="A15719" s="859">
        <f t="shared" si="362"/>
        <v>15718</v>
      </c>
      <c r="B15719" s="845" t="s">
        <v>2564</v>
      </c>
      <c r="C15719" s="1007">
        <f t="shared" si="361"/>
        <v>151</v>
      </c>
      <c r="D15719" s="1012"/>
      <c r="H15719" s="1011" t="s">
        <v>1007</v>
      </c>
      <c r="K15719" s="1013"/>
    </row>
    <row r="15720" spans="1:11" s="1011" customFormat="1" ht="15" x14ac:dyDescent="0.25">
      <c r="A15720" s="859">
        <f t="shared" si="362"/>
        <v>15719</v>
      </c>
      <c r="B15720" s="845" t="s">
        <v>2564</v>
      </c>
      <c r="C15720" s="1007">
        <f t="shared" si="361"/>
        <v>151</v>
      </c>
      <c r="D15720" s="1012"/>
      <c r="I15720" s="1011" t="s">
        <v>2180</v>
      </c>
      <c r="K15720" s="1013"/>
    </row>
    <row r="15721" spans="1:11" s="1011" customFormat="1" ht="15" x14ac:dyDescent="0.25">
      <c r="A15721" s="859">
        <f t="shared" si="362"/>
        <v>15720</v>
      </c>
      <c r="B15721" s="845" t="s">
        <v>2564</v>
      </c>
      <c r="C15721" s="1007">
        <f t="shared" si="361"/>
        <v>151</v>
      </c>
      <c r="D15721" s="1014"/>
      <c r="I15721" s="1011" t="str">
        <f>CONCATENATE("&lt;valeur&gt;",VLOOKUP(C15721,'T16 Amort'!A:K,8,0),"&lt;/valeur&gt;")</f>
        <v>&lt;valeur&gt;&lt;/valeur&gt;</v>
      </c>
      <c r="K15721" s="1013"/>
    </row>
    <row r="15722" spans="1:11" s="1011" customFormat="1" ht="15" x14ac:dyDescent="0.25">
      <c r="A15722" s="859">
        <f t="shared" si="362"/>
        <v>15721</v>
      </c>
      <c r="B15722" s="845" t="s">
        <v>2564</v>
      </c>
      <c r="C15722" s="1007">
        <f t="shared" si="361"/>
        <v>151</v>
      </c>
      <c r="D15722" s="1014"/>
      <c r="I15722" s="1011" t="str">
        <f>CONCATENATE("&lt;numeroLigne&gt;",C15722,"&lt;/numeroLigne&gt;")</f>
        <v>&lt;numeroLigne&gt;151&lt;/numeroLigne&gt;</v>
      </c>
      <c r="K15722" s="1013"/>
    </row>
    <row r="15723" spans="1:11" s="1011" customFormat="1" ht="15" x14ac:dyDescent="0.25">
      <c r="A15723" s="859">
        <f t="shared" si="362"/>
        <v>15722</v>
      </c>
      <c r="B15723" s="845" t="s">
        <v>2564</v>
      </c>
      <c r="C15723" s="1007">
        <f t="shared" si="361"/>
        <v>151</v>
      </c>
      <c r="D15723" s="1012"/>
      <c r="H15723" s="1011" t="s">
        <v>1010</v>
      </c>
      <c r="K15723" s="1013"/>
    </row>
    <row r="15724" spans="1:11" s="1011" customFormat="1" ht="15" x14ac:dyDescent="0.25">
      <c r="A15724" s="859">
        <f t="shared" si="362"/>
        <v>15723</v>
      </c>
      <c r="B15724" s="845" t="s">
        <v>2564</v>
      </c>
      <c r="C15724" s="1007">
        <f t="shared" si="361"/>
        <v>151</v>
      </c>
      <c r="D15724" s="1015"/>
      <c r="H15724" s="1011" t="s">
        <v>1007</v>
      </c>
      <c r="K15724" s="1013"/>
    </row>
    <row r="15725" spans="1:11" s="1011" customFormat="1" ht="15" x14ac:dyDescent="0.25">
      <c r="A15725" s="859">
        <f t="shared" si="362"/>
        <v>15724</v>
      </c>
      <c r="B15725" s="845" t="s">
        <v>2564</v>
      </c>
      <c r="C15725" s="1007">
        <f t="shared" si="361"/>
        <v>151</v>
      </c>
      <c r="D15725" s="1012"/>
      <c r="I15725" s="1011" t="s">
        <v>2181</v>
      </c>
      <c r="K15725" s="1013"/>
    </row>
    <row r="15726" spans="1:11" s="1011" customFormat="1" ht="15" x14ac:dyDescent="0.25">
      <c r="A15726" s="859">
        <f t="shared" si="362"/>
        <v>15725</v>
      </c>
      <c r="B15726" s="845" t="s">
        <v>2564</v>
      </c>
      <c r="C15726" s="1007">
        <f t="shared" si="361"/>
        <v>151</v>
      </c>
      <c r="D15726" s="1012"/>
      <c r="I15726" s="1011" t="str">
        <f>CONCATENATE("&lt;valeur&gt;",VLOOKUP(C15726,'T16 Amort'!A:K,9,0),"&lt;/valeur&gt;")</f>
        <v>&lt;valeur&gt;&lt;/valeur&gt;</v>
      </c>
      <c r="K15726" s="1013"/>
    </row>
    <row r="15727" spans="1:11" s="1011" customFormat="1" ht="15" x14ac:dyDescent="0.25">
      <c r="A15727" s="859">
        <f t="shared" si="362"/>
        <v>15726</v>
      </c>
      <c r="B15727" s="845" t="s">
        <v>2564</v>
      </c>
      <c r="C15727" s="1007">
        <f t="shared" ref="C15727:C15790" si="363">C15677+1</f>
        <v>151</v>
      </c>
      <c r="D15727" s="1014"/>
      <c r="I15727" s="1011" t="str">
        <f>CONCATENATE("&lt;numeroLigne&gt;",C15727,"&lt;/numeroLigne&gt;")</f>
        <v>&lt;numeroLigne&gt;151&lt;/numeroLigne&gt;</v>
      </c>
      <c r="K15727" s="1013"/>
    </row>
    <row r="15728" spans="1:11" s="1011" customFormat="1" ht="15" x14ac:dyDescent="0.25">
      <c r="A15728" s="859">
        <f t="shared" si="362"/>
        <v>15727</v>
      </c>
      <c r="B15728" s="845" t="s">
        <v>2564</v>
      </c>
      <c r="C15728" s="1007">
        <f t="shared" si="363"/>
        <v>151</v>
      </c>
      <c r="D15728" s="1014"/>
      <c r="H15728" s="1011" t="s">
        <v>1010</v>
      </c>
      <c r="K15728" s="1013"/>
    </row>
    <row r="15729" spans="1:11" s="1011" customFormat="1" ht="15" x14ac:dyDescent="0.25">
      <c r="A15729" s="859">
        <f t="shared" si="362"/>
        <v>15728</v>
      </c>
      <c r="B15729" s="845" t="s">
        <v>2564</v>
      </c>
      <c r="C15729" s="1007">
        <f t="shared" si="363"/>
        <v>151</v>
      </c>
      <c r="D15729" s="1012"/>
      <c r="H15729" s="1011" t="s">
        <v>1007</v>
      </c>
      <c r="K15729" s="1013"/>
    </row>
    <row r="15730" spans="1:11" s="1011" customFormat="1" ht="15" x14ac:dyDescent="0.25">
      <c r="A15730" s="859">
        <f t="shared" si="362"/>
        <v>15729</v>
      </c>
      <c r="B15730" s="845" t="s">
        <v>2564</v>
      </c>
      <c r="C15730" s="1007">
        <f t="shared" si="363"/>
        <v>151</v>
      </c>
      <c r="D15730" s="1015"/>
      <c r="I15730" s="1011" t="s">
        <v>2182</v>
      </c>
      <c r="K15730" s="1013"/>
    </row>
    <row r="15731" spans="1:11" s="1011" customFormat="1" ht="15" x14ac:dyDescent="0.25">
      <c r="A15731" s="859">
        <f t="shared" si="362"/>
        <v>15730</v>
      </c>
      <c r="B15731" s="845" t="s">
        <v>2564</v>
      </c>
      <c r="C15731" s="1007">
        <f t="shared" si="363"/>
        <v>151</v>
      </c>
      <c r="D15731" s="1012"/>
      <c r="I15731" s="1011" t="str">
        <f>CONCATENATE("&lt;valeur&gt;",VLOOKUP(C15731,'T16 Amort'!A:K,10,0),"&lt;/valeur&gt;")</f>
        <v>&lt;valeur&gt;&lt;/valeur&gt;</v>
      </c>
      <c r="K15731" s="1013"/>
    </row>
    <row r="15732" spans="1:11" s="1011" customFormat="1" ht="15" x14ac:dyDescent="0.25">
      <c r="A15732" s="859">
        <f t="shared" si="362"/>
        <v>15731</v>
      </c>
      <c r="B15732" s="845" t="s">
        <v>2564</v>
      </c>
      <c r="C15732" s="1007">
        <f t="shared" si="363"/>
        <v>151</v>
      </c>
      <c r="D15732" s="1012"/>
      <c r="I15732" s="1011" t="str">
        <f>CONCATENATE("&lt;numeroLigne&gt;",C15732,"&lt;/numeroLigne&gt;")</f>
        <v>&lt;numeroLigne&gt;151&lt;/numeroLigne&gt;</v>
      </c>
      <c r="K15732" s="1013"/>
    </row>
    <row r="15733" spans="1:11" s="1011" customFormat="1" ht="15" x14ac:dyDescent="0.25">
      <c r="A15733" s="859">
        <f t="shared" si="362"/>
        <v>15732</v>
      </c>
      <c r="B15733" s="845" t="s">
        <v>2564</v>
      </c>
      <c r="C15733" s="1007">
        <f t="shared" si="363"/>
        <v>151</v>
      </c>
      <c r="D15733" s="1014"/>
      <c r="H15733" s="1011" t="s">
        <v>1010</v>
      </c>
      <c r="K15733" s="1013"/>
    </row>
    <row r="15734" spans="1:11" s="1011" customFormat="1" ht="15" x14ac:dyDescent="0.25">
      <c r="A15734" s="859">
        <f t="shared" si="362"/>
        <v>15733</v>
      </c>
      <c r="B15734" s="845" t="s">
        <v>2564</v>
      </c>
      <c r="C15734" s="1007">
        <f t="shared" si="363"/>
        <v>151</v>
      </c>
      <c r="D15734" s="1014"/>
      <c r="H15734" s="1011" t="s">
        <v>1007</v>
      </c>
      <c r="K15734" s="1013"/>
    </row>
    <row r="15735" spans="1:11" s="1011" customFormat="1" ht="15" x14ac:dyDescent="0.25">
      <c r="A15735" s="859">
        <f t="shared" si="362"/>
        <v>15734</v>
      </c>
      <c r="B15735" s="845" t="s">
        <v>2564</v>
      </c>
      <c r="C15735" s="1007">
        <f t="shared" si="363"/>
        <v>151</v>
      </c>
      <c r="D15735" s="1012"/>
      <c r="I15735" s="1011" t="s">
        <v>2183</v>
      </c>
      <c r="K15735" s="1013"/>
    </row>
    <row r="15736" spans="1:11" s="1011" customFormat="1" ht="15" x14ac:dyDescent="0.25">
      <c r="A15736" s="859">
        <f t="shared" si="362"/>
        <v>15735</v>
      </c>
      <c r="B15736" s="845" t="s">
        <v>2564</v>
      </c>
      <c r="C15736" s="1007">
        <f t="shared" si="363"/>
        <v>151</v>
      </c>
      <c r="D15736" s="1015"/>
      <c r="I15736" s="1011" t="str">
        <f>CONCATENATE("&lt;valeur&gt;",VLOOKUP(C15736,'T16 Amort'!A:K,11,0),"&lt;/valeur&gt;")</f>
        <v>&lt;valeur&gt;&lt;/valeur&gt;</v>
      </c>
      <c r="K15736" s="1013"/>
    </row>
    <row r="15737" spans="1:11" s="1011" customFormat="1" ht="15" x14ac:dyDescent="0.25">
      <c r="A15737" s="859">
        <f t="shared" si="362"/>
        <v>15736</v>
      </c>
      <c r="B15737" s="845" t="s">
        <v>2564</v>
      </c>
      <c r="C15737" s="1007">
        <f t="shared" si="363"/>
        <v>151</v>
      </c>
      <c r="D15737" s="1012"/>
      <c r="I15737" s="1011" t="str">
        <f>CONCATENATE("&lt;numeroLigne&gt;",C15737,"&lt;/numeroLigne&gt;")</f>
        <v>&lt;numeroLigne&gt;151&lt;/numeroLigne&gt;</v>
      </c>
      <c r="K15737" s="1013"/>
    </row>
    <row r="15738" spans="1:11" s="1011" customFormat="1" ht="15" x14ac:dyDescent="0.25">
      <c r="A15738" s="859">
        <f t="shared" si="362"/>
        <v>15737</v>
      </c>
      <c r="B15738" s="845" t="s">
        <v>2564</v>
      </c>
      <c r="C15738" s="1007">
        <f t="shared" si="363"/>
        <v>151</v>
      </c>
      <c r="D15738" s="1016"/>
      <c r="E15738" s="1017"/>
      <c r="F15738" s="1017"/>
      <c r="G15738" s="1017"/>
      <c r="H15738" s="1017" t="s">
        <v>1010</v>
      </c>
      <c r="I15738" s="1017"/>
      <c r="J15738" s="1017"/>
      <c r="K15738" s="1018"/>
    </row>
    <row r="15739" spans="1:11" s="1011" customFormat="1" ht="15" x14ac:dyDescent="0.25">
      <c r="A15739" s="859">
        <f t="shared" si="362"/>
        <v>15738</v>
      </c>
      <c r="B15739" s="845" t="s">
        <v>2564</v>
      </c>
      <c r="C15739" s="1007">
        <f t="shared" si="363"/>
        <v>152</v>
      </c>
      <c r="D15739" s="1008"/>
      <c r="E15739" s="1009"/>
      <c r="F15739" s="1009"/>
      <c r="G15739" s="1009"/>
      <c r="H15739" s="1009" t="s">
        <v>1007</v>
      </c>
      <c r="I15739" s="1009"/>
      <c r="J15739" s="1009"/>
      <c r="K15739" s="1010"/>
    </row>
    <row r="15740" spans="1:11" s="1011" customFormat="1" ht="15" x14ac:dyDescent="0.25">
      <c r="A15740" s="859">
        <f t="shared" si="362"/>
        <v>15739</v>
      </c>
      <c r="B15740" s="845" t="s">
        <v>2564</v>
      </c>
      <c r="C15740" s="1007">
        <f t="shared" si="363"/>
        <v>152</v>
      </c>
      <c r="D15740" s="1012"/>
      <c r="I15740" s="1011" t="s">
        <v>2174</v>
      </c>
      <c r="K15740" s="1013"/>
    </row>
    <row r="15741" spans="1:11" s="1011" customFormat="1" ht="15" x14ac:dyDescent="0.25">
      <c r="A15741" s="859">
        <f t="shared" si="362"/>
        <v>15740</v>
      </c>
      <c r="B15741" s="845" t="s">
        <v>2564</v>
      </c>
      <c r="C15741" s="1007">
        <f t="shared" si="363"/>
        <v>152</v>
      </c>
      <c r="D15741" s="1014"/>
      <c r="I15741" s="1011" t="str">
        <f>CONCATENATE("&lt;valeur&gt;",VLOOKUP(C15741,'T16 Amort'!A:K,2,0),"&lt;/valeur&gt;")</f>
        <v>&lt;valeur&gt;&lt;/valeur&gt;</v>
      </c>
      <c r="K15741" s="1013"/>
    </row>
    <row r="15742" spans="1:11" s="1011" customFormat="1" ht="15" x14ac:dyDescent="0.25">
      <c r="A15742" s="859">
        <f t="shared" si="362"/>
        <v>15741</v>
      </c>
      <c r="B15742" s="845" t="s">
        <v>2564</v>
      </c>
      <c r="C15742" s="1007">
        <f t="shared" si="363"/>
        <v>152</v>
      </c>
      <c r="D15742" s="1014"/>
      <c r="I15742" s="1011" t="str">
        <f>CONCATENATE("&lt;numeroLigne&gt;",C15742,"&lt;/numeroLigne&gt;")</f>
        <v>&lt;numeroLigne&gt;152&lt;/numeroLigne&gt;</v>
      </c>
      <c r="K15742" s="1013"/>
    </row>
    <row r="15743" spans="1:11" s="1011" customFormat="1" ht="15" x14ac:dyDescent="0.25">
      <c r="A15743" s="859">
        <f t="shared" si="362"/>
        <v>15742</v>
      </c>
      <c r="B15743" s="845" t="s">
        <v>2564</v>
      </c>
      <c r="C15743" s="1007">
        <f t="shared" si="363"/>
        <v>152</v>
      </c>
      <c r="D15743" s="1012"/>
      <c r="H15743" s="1011" t="s">
        <v>1010</v>
      </c>
      <c r="K15743" s="1013"/>
    </row>
    <row r="15744" spans="1:11" s="1011" customFormat="1" ht="15" x14ac:dyDescent="0.25">
      <c r="A15744" s="859">
        <f t="shared" si="362"/>
        <v>15743</v>
      </c>
      <c r="B15744" s="845" t="s">
        <v>2564</v>
      </c>
      <c r="C15744" s="1007">
        <f t="shared" si="363"/>
        <v>152</v>
      </c>
      <c r="D15744" s="1015"/>
      <c r="H15744" s="1011" t="s">
        <v>1007</v>
      </c>
      <c r="K15744" s="1013"/>
    </row>
    <row r="15745" spans="1:11" s="1011" customFormat="1" ht="15" x14ac:dyDescent="0.25">
      <c r="A15745" s="859">
        <f t="shared" si="362"/>
        <v>15744</v>
      </c>
      <c r="B15745" s="845" t="s">
        <v>2564</v>
      </c>
      <c r="C15745" s="1007">
        <f t="shared" si="363"/>
        <v>152</v>
      </c>
      <c r="D15745" s="1012"/>
      <c r="I15745" s="1011" t="s">
        <v>2175</v>
      </c>
      <c r="K15745" s="1013"/>
    </row>
    <row r="15746" spans="1:11" s="1011" customFormat="1" ht="15" x14ac:dyDescent="0.25">
      <c r="A15746" s="859">
        <f t="shared" si="362"/>
        <v>15745</v>
      </c>
      <c r="B15746" s="845" t="s">
        <v>2564</v>
      </c>
      <c r="C15746" s="1007">
        <f t="shared" si="363"/>
        <v>152</v>
      </c>
      <c r="D15746" s="1012"/>
      <c r="I15746" s="1011" t="str">
        <f>CONCATENATE("&lt;valeur&gt;",VLOOKUP(C15746,'T16 Amort'!A:K,3,0),"&lt;/valeur&gt;")</f>
        <v>&lt;valeur&gt;&lt;/valeur&gt;</v>
      </c>
      <c r="K15746" s="1013"/>
    </row>
    <row r="15747" spans="1:11" s="1011" customFormat="1" ht="15" x14ac:dyDescent="0.25">
      <c r="A15747" s="859">
        <f t="shared" si="362"/>
        <v>15746</v>
      </c>
      <c r="B15747" s="845" t="s">
        <v>2564</v>
      </c>
      <c r="C15747" s="1007">
        <f t="shared" si="363"/>
        <v>152</v>
      </c>
      <c r="D15747" s="1014"/>
      <c r="I15747" s="1011" t="str">
        <f>CONCATENATE("&lt;numeroLigne&gt;",C15747,"&lt;/numeroLigne&gt;")</f>
        <v>&lt;numeroLigne&gt;152&lt;/numeroLigne&gt;</v>
      </c>
      <c r="K15747" s="1013"/>
    </row>
    <row r="15748" spans="1:11" s="1011" customFormat="1" ht="15" x14ac:dyDescent="0.25">
      <c r="A15748" s="859">
        <f t="shared" ref="A15748:A15811" si="364">+A15747+1</f>
        <v>15747</v>
      </c>
      <c r="B15748" s="845" t="s">
        <v>2564</v>
      </c>
      <c r="C15748" s="1007">
        <f t="shared" si="363"/>
        <v>152</v>
      </c>
      <c r="D15748" s="1014"/>
      <c r="H15748" s="1011" t="s">
        <v>1010</v>
      </c>
      <c r="K15748" s="1013"/>
    </row>
    <row r="15749" spans="1:11" s="1011" customFormat="1" ht="15" x14ac:dyDescent="0.25">
      <c r="A15749" s="859">
        <f t="shared" si="364"/>
        <v>15748</v>
      </c>
      <c r="B15749" s="845" t="s">
        <v>2564</v>
      </c>
      <c r="C15749" s="1007">
        <f t="shared" si="363"/>
        <v>152</v>
      </c>
      <c r="D15749" s="1012"/>
      <c r="H15749" s="1011" t="s">
        <v>1007</v>
      </c>
      <c r="K15749" s="1013"/>
    </row>
    <row r="15750" spans="1:11" s="1011" customFormat="1" ht="15" x14ac:dyDescent="0.25">
      <c r="A15750" s="859">
        <f t="shared" si="364"/>
        <v>15749</v>
      </c>
      <c r="B15750" s="845" t="s">
        <v>2564</v>
      </c>
      <c r="C15750" s="1007">
        <f t="shared" si="363"/>
        <v>152</v>
      </c>
      <c r="D15750" s="1015"/>
      <c r="I15750" s="1011" t="s">
        <v>2176</v>
      </c>
      <c r="K15750" s="1013"/>
    </row>
    <row r="15751" spans="1:11" s="1011" customFormat="1" ht="15" x14ac:dyDescent="0.25">
      <c r="A15751" s="859">
        <f t="shared" si="364"/>
        <v>15750</v>
      </c>
      <c r="B15751" s="845" t="s">
        <v>2564</v>
      </c>
      <c r="C15751" s="1007">
        <f t="shared" si="363"/>
        <v>152</v>
      </c>
      <c r="D15751" s="1012"/>
      <c r="I15751" s="1011" t="str">
        <f>CONCATENATE("&lt;valeur&gt;",VLOOKUP(C15751,'T16 Amort'!A:K,4,0),"&lt;/valeur&gt;")</f>
        <v>&lt;valeur&gt;&lt;/valeur&gt;</v>
      </c>
      <c r="K15751" s="1013"/>
    </row>
    <row r="15752" spans="1:11" s="1011" customFormat="1" ht="15" x14ac:dyDescent="0.25">
      <c r="A15752" s="859">
        <f t="shared" si="364"/>
        <v>15751</v>
      </c>
      <c r="B15752" s="845" t="s">
        <v>2564</v>
      </c>
      <c r="C15752" s="1007">
        <f t="shared" si="363"/>
        <v>152</v>
      </c>
      <c r="D15752" s="1012"/>
      <c r="I15752" s="1011" t="str">
        <f>CONCATENATE("&lt;numeroLigne&gt;",C15752,"&lt;/numeroLigne&gt;")</f>
        <v>&lt;numeroLigne&gt;152&lt;/numeroLigne&gt;</v>
      </c>
      <c r="K15752" s="1013"/>
    </row>
    <row r="15753" spans="1:11" s="1011" customFormat="1" ht="15" x14ac:dyDescent="0.25">
      <c r="A15753" s="859">
        <f t="shared" si="364"/>
        <v>15752</v>
      </c>
      <c r="B15753" s="845" t="s">
        <v>2564</v>
      </c>
      <c r="C15753" s="1007">
        <f t="shared" si="363"/>
        <v>152</v>
      </c>
      <c r="D15753" s="1014"/>
      <c r="H15753" s="1011" t="s">
        <v>1010</v>
      </c>
      <c r="K15753" s="1013"/>
    </row>
    <row r="15754" spans="1:11" s="1011" customFormat="1" ht="15" x14ac:dyDescent="0.25">
      <c r="A15754" s="859">
        <f t="shared" si="364"/>
        <v>15753</v>
      </c>
      <c r="B15754" s="845" t="s">
        <v>2564</v>
      </c>
      <c r="C15754" s="1007">
        <f t="shared" si="363"/>
        <v>152</v>
      </c>
      <c r="D15754" s="1014"/>
      <c r="H15754" s="1011" t="s">
        <v>1007</v>
      </c>
      <c r="K15754" s="1013"/>
    </row>
    <row r="15755" spans="1:11" s="1011" customFormat="1" ht="15" x14ac:dyDescent="0.25">
      <c r="A15755" s="859">
        <f t="shared" si="364"/>
        <v>15754</v>
      </c>
      <c r="B15755" s="845" t="s">
        <v>2564</v>
      </c>
      <c r="C15755" s="1007">
        <f t="shared" si="363"/>
        <v>152</v>
      </c>
      <c r="D15755" s="1012"/>
      <c r="I15755" s="1011" t="s">
        <v>2177</v>
      </c>
      <c r="K15755" s="1013"/>
    </row>
    <row r="15756" spans="1:11" s="1011" customFormat="1" ht="15" x14ac:dyDescent="0.25">
      <c r="A15756" s="859">
        <f t="shared" si="364"/>
        <v>15755</v>
      </c>
      <c r="B15756" s="845" t="s">
        <v>2564</v>
      </c>
      <c r="C15756" s="1007">
        <f t="shared" si="363"/>
        <v>152</v>
      </c>
      <c r="D15756" s="1015"/>
      <c r="I15756" s="1011" t="str">
        <f>CONCATENATE("&lt;valeur&gt;",VLOOKUP(C15756,'T16 Amort'!A:K,5,0),"&lt;/valeur&gt;")</f>
        <v>&lt;valeur&gt;&lt;/valeur&gt;</v>
      </c>
      <c r="K15756" s="1013"/>
    </row>
    <row r="15757" spans="1:11" s="1011" customFormat="1" ht="15" x14ac:dyDescent="0.25">
      <c r="A15757" s="859">
        <f t="shared" si="364"/>
        <v>15756</v>
      </c>
      <c r="B15757" s="845" t="s">
        <v>2564</v>
      </c>
      <c r="C15757" s="1007">
        <f t="shared" si="363"/>
        <v>152</v>
      </c>
      <c r="D15757" s="1012"/>
      <c r="I15757" s="1011" t="str">
        <f>CONCATENATE("&lt;numeroLigne&gt;",C15757,"&lt;/numeroLigne&gt;")</f>
        <v>&lt;numeroLigne&gt;152&lt;/numeroLigne&gt;</v>
      </c>
      <c r="K15757" s="1013"/>
    </row>
    <row r="15758" spans="1:11" s="1011" customFormat="1" ht="15" x14ac:dyDescent="0.25">
      <c r="A15758" s="859">
        <f t="shared" si="364"/>
        <v>15757</v>
      </c>
      <c r="B15758" s="845" t="s">
        <v>2564</v>
      </c>
      <c r="C15758" s="1007">
        <f t="shared" si="363"/>
        <v>152</v>
      </c>
      <c r="D15758" s="1012"/>
      <c r="H15758" s="1011" t="s">
        <v>1010</v>
      </c>
      <c r="K15758" s="1013"/>
    </row>
    <row r="15759" spans="1:11" s="1011" customFormat="1" ht="15" x14ac:dyDescent="0.25">
      <c r="A15759" s="859">
        <f t="shared" si="364"/>
        <v>15758</v>
      </c>
      <c r="B15759" s="845" t="s">
        <v>2564</v>
      </c>
      <c r="C15759" s="1007">
        <f t="shared" si="363"/>
        <v>152</v>
      </c>
      <c r="D15759" s="1014"/>
      <c r="H15759" s="1011" t="s">
        <v>1007</v>
      </c>
      <c r="K15759" s="1013"/>
    </row>
    <row r="15760" spans="1:11" s="1011" customFormat="1" ht="15" x14ac:dyDescent="0.25">
      <c r="A15760" s="859">
        <f t="shared" si="364"/>
        <v>15759</v>
      </c>
      <c r="B15760" s="845" t="s">
        <v>2564</v>
      </c>
      <c r="C15760" s="1007">
        <f t="shared" si="363"/>
        <v>152</v>
      </c>
      <c r="D15760" s="1014"/>
      <c r="I15760" s="1011" t="s">
        <v>2178</v>
      </c>
      <c r="K15760" s="1013"/>
    </row>
    <row r="15761" spans="1:11" s="1011" customFormat="1" ht="15" x14ac:dyDescent="0.25">
      <c r="A15761" s="859">
        <f t="shared" si="364"/>
        <v>15760</v>
      </c>
      <c r="B15761" s="845" t="s">
        <v>2564</v>
      </c>
      <c r="C15761" s="1007">
        <f t="shared" si="363"/>
        <v>152</v>
      </c>
      <c r="D15761" s="1012"/>
      <c r="I15761" s="1011" t="str">
        <f>CONCATENATE("&lt;valeur&gt;",VLOOKUP(C15761,'T16 Amort'!A:K,6,0),"&lt;/valeur&gt;")</f>
        <v>&lt;valeur&gt;&lt;/valeur&gt;</v>
      </c>
      <c r="K15761" s="1013"/>
    </row>
    <row r="15762" spans="1:11" s="1011" customFormat="1" ht="15" x14ac:dyDescent="0.25">
      <c r="A15762" s="859">
        <f t="shared" si="364"/>
        <v>15761</v>
      </c>
      <c r="B15762" s="845" t="s">
        <v>2564</v>
      </c>
      <c r="C15762" s="1007">
        <f t="shared" si="363"/>
        <v>152</v>
      </c>
      <c r="D15762" s="1015"/>
      <c r="I15762" s="1011" t="str">
        <f>CONCATENATE("&lt;numeroLigne&gt;",C15762,"&lt;/numeroLigne&gt;")</f>
        <v>&lt;numeroLigne&gt;152&lt;/numeroLigne&gt;</v>
      </c>
      <c r="K15762" s="1013"/>
    </row>
    <row r="15763" spans="1:11" s="1011" customFormat="1" ht="15" x14ac:dyDescent="0.25">
      <c r="A15763" s="859">
        <f t="shared" si="364"/>
        <v>15762</v>
      </c>
      <c r="B15763" s="845" t="s">
        <v>2564</v>
      </c>
      <c r="C15763" s="1007">
        <f t="shared" si="363"/>
        <v>152</v>
      </c>
      <c r="D15763" s="1012"/>
      <c r="H15763" s="1011" t="s">
        <v>1010</v>
      </c>
      <c r="K15763" s="1013"/>
    </row>
    <row r="15764" spans="1:11" s="1011" customFormat="1" ht="15" x14ac:dyDescent="0.25">
      <c r="A15764" s="859">
        <f t="shared" si="364"/>
        <v>15763</v>
      </c>
      <c r="B15764" s="845" t="s">
        <v>2564</v>
      </c>
      <c r="C15764" s="1007">
        <f t="shared" si="363"/>
        <v>152</v>
      </c>
      <c r="D15764" s="1012"/>
      <c r="H15764" s="1011" t="s">
        <v>1007</v>
      </c>
      <c r="K15764" s="1013"/>
    </row>
    <row r="15765" spans="1:11" s="1011" customFormat="1" ht="15" x14ac:dyDescent="0.25">
      <c r="A15765" s="859">
        <f t="shared" si="364"/>
        <v>15764</v>
      </c>
      <c r="B15765" s="845" t="s">
        <v>2564</v>
      </c>
      <c r="C15765" s="1007">
        <f t="shared" si="363"/>
        <v>152</v>
      </c>
      <c r="D15765" s="1014"/>
      <c r="I15765" s="1011" t="s">
        <v>2179</v>
      </c>
      <c r="K15765" s="1013"/>
    </row>
    <row r="15766" spans="1:11" s="1011" customFormat="1" ht="15" x14ac:dyDescent="0.25">
      <c r="A15766" s="859">
        <f t="shared" si="364"/>
        <v>15765</v>
      </c>
      <c r="B15766" s="845" t="s">
        <v>2564</v>
      </c>
      <c r="C15766" s="1007">
        <f t="shared" si="363"/>
        <v>152</v>
      </c>
      <c r="D15766" s="1014"/>
      <c r="I15766" s="1011" t="str">
        <f>CONCATENATE("&lt;valeur&gt;",VLOOKUP(C15766,'T16 Amort'!A:K,7,0),"&lt;/valeur&gt;")</f>
        <v>&lt;valeur&gt;&lt;/valeur&gt;</v>
      </c>
      <c r="K15766" s="1013"/>
    </row>
    <row r="15767" spans="1:11" s="1011" customFormat="1" ht="15" x14ac:dyDescent="0.25">
      <c r="A15767" s="859">
        <f t="shared" si="364"/>
        <v>15766</v>
      </c>
      <c r="B15767" s="845" t="s">
        <v>2564</v>
      </c>
      <c r="C15767" s="1007">
        <f t="shared" si="363"/>
        <v>152</v>
      </c>
      <c r="D15767" s="1012"/>
      <c r="I15767" s="1011" t="str">
        <f>CONCATENATE("&lt;numeroLigne&gt;",C15767,"&lt;/numeroLigne&gt;")</f>
        <v>&lt;numeroLigne&gt;152&lt;/numeroLigne&gt;</v>
      </c>
      <c r="K15767" s="1013"/>
    </row>
    <row r="15768" spans="1:11" s="1011" customFormat="1" ht="15" x14ac:dyDescent="0.25">
      <c r="A15768" s="859">
        <f t="shared" si="364"/>
        <v>15767</v>
      </c>
      <c r="B15768" s="845" t="s">
        <v>2564</v>
      </c>
      <c r="C15768" s="1007">
        <f t="shared" si="363"/>
        <v>152</v>
      </c>
      <c r="D15768" s="1015"/>
      <c r="H15768" s="1011" t="s">
        <v>1010</v>
      </c>
      <c r="K15768" s="1013"/>
    </row>
    <row r="15769" spans="1:11" s="1011" customFormat="1" ht="15" x14ac:dyDescent="0.25">
      <c r="A15769" s="859">
        <f t="shared" si="364"/>
        <v>15768</v>
      </c>
      <c r="B15769" s="845" t="s">
        <v>2564</v>
      </c>
      <c r="C15769" s="1007">
        <f t="shared" si="363"/>
        <v>152</v>
      </c>
      <c r="D15769" s="1012"/>
      <c r="H15769" s="1011" t="s">
        <v>1007</v>
      </c>
      <c r="K15769" s="1013"/>
    </row>
    <row r="15770" spans="1:11" s="1011" customFormat="1" ht="15" x14ac:dyDescent="0.25">
      <c r="A15770" s="859">
        <f t="shared" si="364"/>
        <v>15769</v>
      </c>
      <c r="B15770" s="845" t="s">
        <v>2564</v>
      </c>
      <c r="C15770" s="1007">
        <f t="shared" si="363"/>
        <v>152</v>
      </c>
      <c r="D15770" s="1012"/>
      <c r="I15770" s="1011" t="s">
        <v>2180</v>
      </c>
      <c r="K15770" s="1013"/>
    </row>
    <row r="15771" spans="1:11" s="1011" customFormat="1" ht="15" x14ac:dyDescent="0.25">
      <c r="A15771" s="859">
        <f t="shared" si="364"/>
        <v>15770</v>
      </c>
      <c r="B15771" s="845" t="s">
        <v>2564</v>
      </c>
      <c r="C15771" s="1007">
        <f t="shared" si="363"/>
        <v>152</v>
      </c>
      <c r="D15771" s="1014"/>
      <c r="I15771" s="1011" t="str">
        <f>CONCATENATE("&lt;valeur&gt;",VLOOKUP(C15771,'T16 Amort'!A:K,8,0),"&lt;/valeur&gt;")</f>
        <v>&lt;valeur&gt;&lt;/valeur&gt;</v>
      </c>
      <c r="K15771" s="1013"/>
    </row>
    <row r="15772" spans="1:11" s="1011" customFormat="1" ht="15" x14ac:dyDescent="0.25">
      <c r="A15772" s="859">
        <f t="shared" si="364"/>
        <v>15771</v>
      </c>
      <c r="B15772" s="845" t="s">
        <v>2564</v>
      </c>
      <c r="C15772" s="1007">
        <f t="shared" si="363"/>
        <v>152</v>
      </c>
      <c r="D15772" s="1014"/>
      <c r="I15772" s="1011" t="str">
        <f>CONCATENATE("&lt;numeroLigne&gt;",C15772,"&lt;/numeroLigne&gt;")</f>
        <v>&lt;numeroLigne&gt;152&lt;/numeroLigne&gt;</v>
      </c>
      <c r="K15772" s="1013"/>
    </row>
    <row r="15773" spans="1:11" s="1011" customFormat="1" ht="15" x14ac:dyDescent="0.25">
      <c r="A15773" s="859">
        <f t="shared" si="364"/>
        <v>15772</v>
      </c>
      <c r="B15773" s="845" t="s">
        <v>2564</v>
      </c>
      <c r="C15773" s="1007">
        <f t="shared" si="363"/>
        <v>152</v>
      </c>
      <c r="D15773" s="1012"/>
      <c r="H15773" s="1011" t="s">
        <v>1010</v>
      </c>
      <c r="K15773" s="1013"/>
    </row>
    <row r="15774" spans="1:11" s="1011" customFormat="1" ht="15" x14ac:dyDescent="0.25">
      <c r="A15774" s="859">
        <f t="shared" si="364"/>
        <v>15773</v>
      </c>
      <c r="B15774" s="845" t="s">
        <v>2564</v>
      </c>
      <c r="C15774" s="1007">
        <f t="shared" si="363"/>
        <v>152</v>
      </c>
      <c r="D15774" s="1015"/>
      <c r="H15774" s="1011" t="s">
        <v>1007</v>
      </c>
      <c r="K15774" s="1013"/>
    </row>
    <row r="15775" spans="1:11" s="1011" customFormat="1" ht="15" x14ac:dyDescent="0.25">
      <c r="A15775" s="859">
        <f t="shared" si="364"/>
        <v>15774</v>
      </c>
      <c r="B15775" s="845" t="s">
        <v>2564</v>
      </c>
      <c r="C15775" s="1007">
        <f t="shared" si="363"/>
        <v>152</v>
      </c>
      <c r="D15775" s="1012"/>
      <c r="I15775" s="1011" t="s">
        <v>2181</v>
      </c>
      <c r="K15775" s="1013"/>
    </row>
    <row r="15776" spans="1:11" s="1011" customFormat="1" ht="15" x14ac:dyDescent="0.25">
      <c r="A15776" s="859">
        <f t="shared" si="364"/>
        <v>15775</v>
      </c>
      <c r="B15776" s="845" t="s">
        <v>2564</v>
      </c>
      <c r="C15776" s="1007">
        <f t="shared" si="363"/>
        <v>152</v>
      </c>
      <c r="D15776" s="1012"/>
      <c r="I15776" s="1011" t="str">
        <f>CONCATENATE("&lt;valeur&gt;",VLOOKUP(C15776,'T16 Amort'!A:K,9,0),"&lt;/valeur&gt;")</f>
        <v>&lt;valeur&gt;&lt;/valeur&gt;</v>
      </c>
      <c r="K15776" s="1013"/>
    </row>
    <row r="15777" spans="1:11" s="1011" customFormat="1" ht="15" x14ac:dyDescent="0.25">
      <c r="A15777" s="859">
        <f t="shared" si="364"/>
        <v>15776</v>
      </c>
      <c r="B15777" s="845" t="s">
        <v>2564</v>
      </c>
      <c r="C15777" s="1007">
        <f t="shared" si="363"/>
        <v>152</v>
      </c>
      <c r="D15777" s="1014"/>
      <c r="I15777" s="1011" t="str">
        <f>CONCATENATE("&lt;numeroLigne&gt;",C15777,"&lt;/numeroLigne&gt;")</f>
        <v>&lt;numeroLigne&gt;152&lt;/numeroLigne&gt;</v>
      </c>
      <c r="K15777" s="1013"/>
    </row>
    <row r="15778" spans="1:11" s="1011" customFormat="1" ht="15" x14ac:dyDescent="0.25">
      <c r="A15778" s="859">
        <f t="shared" si="364"/>
        <v>15777</v>
      </c>
      <c r="B15778" s="845" t="s">
        <v>2564</v>
      </c>
      <c r="C15778" s="1007">
        <f t="shared" si="363"/>
        <v>152</v>
      </c>
      <c r="D15778" s="1014"/>
      <c r="H15778" s="1011" t="s">
        <v>1010</v>
      </c>
      <c r="K15778" s="1013"/>
    </row>
    <row r="15779" spans="1:11" s="1011" customFormat="1" ht="15" x14ac:dyDescent="0.25">
      <c r="A15779" s="859">
        <f t="shared" si="364"/>
        <v>15778</v>
      </c>
      <c r="B15779" s="845" t="s">
        <v>2564</v>
      </c>
      <c r="C15779" s="1007">
        <f t="shared" si="363"/>
        <v>152</v>
      </c>
      <c r="D15779" s="1012"/>
      <c r="H15779" s="1011" t="s">
        <v>1007</v>
      </c>
      <c r="K15779" s="1013"/>
    </row>
    <row r="15780" spans="1:11" s="1011" customFormat="1" ht="15" x14ac:dyDescent="0.25">
      <c r="A15780" s="859">
        <f t="shared" si="364"/>
        <v>15779</v>
      </c>
      <c r="B15780" s="845" t="s">
        <v>2564</v>
      </c>
      <c r="C15780" s="1007">
        <f t="shared" si="363"/>
        <v>152</v>
      </c>
      <c r="D15780" s="1015"/>
      <c r="I15780" s="1011" t="s">
        <v>2182</v>
      </c>
      <c r="K15780" s="1013"/>
    </row>
    <row r="15781" spans="1:11" s="1011" customFormat="1" ht="15" x14ac:dyDescent="0.25">
      <c r="A15781" s="859">
        <f t="shared" si="364"/>
        <v>15780</v>
      </c>
      <c r="B15781" s="845" t="s">
        <v>2564</v>
      </c>
      <c r="C15781" s="1007">
        <f t="shared" si="363"/>
        <v>152</v>
      </c>
      <c r="D15781" s="1012"/>
      <c r="I15781" s="1011" t="str">
        <f>CONCATENATE("&lt;valeur&gt;",VLOOKUP(C15781,'T16 Amort'!A:K,10,0),"&lt;/valeur&gt;")</f>
        <v>&lt;valeur&gt;&lt;/valeur&gt;</v>
      </c>
      <c r="K15781" s="1013"/>
    </row>
    <row r="15782" spans="1:11" s="1011" customFormat="1" ht="15" x14ac:dyDescent="0.25">
      <c r="A15782" s="859">
        <f t="shared" si="364"/>
        <v>15781</v>
      </c>
      <c r="B15782" s="845" t="s">
        <v>2564</v>
      </c>
      <c r="C15782" s="1007">
        <f t="shared" si="363"/>
        <v>152</v>
      </c>
      <c r="D15782" s="1012"/>
      <c r="I15782" s="1011" t="str">
        <f>CONCATENATE("&lt;numeroLigne&gt;",C15782,"&lt;/numeroLigne&gt;")</f>
        <v>&lt;numeroLigne&gt;152&lt;/numeroLigne&gt;</v>
      </c>
      <c r="K15782" s="1013"/>
    </row>
    <row r="15783" spans="1:11" s="1011" customFormat="1" ht="15" x14ac:dyDescent="0.25">
      <c r="A15783" s="859">
        <f t="shared" si="364"/>
        <v>15782</v>
      </c>
      <c r="B15783" s="845" t="s">
        <v>2564</v>
      </c>
      <c r="C15783" s="1007">
        <f t="shared" si="363"/>
        <v>152</v>
      </c>
      <c r="D15783" s="1014"/>
      <c r="H15783" s="1011" t="s">
        <v>1010</v>
      </c>
      <c r="K15783" s="1013"/>
    </row>
    <row r="15784" spans="1:11" s="1011" customFormat="1" ht="15" x14ac:dyDescent="0.25">
      <c r="A15784" s="859">
        <f t="shared" si="364"/>
        <v>15783</v>
      </c>
      <c r="B15784" s="845" t="s">
        <v>2564</v>
      </c>
      <c r="C15784" s="1007">
        <f t="shared" si="363"/>
        <v>152</v>
      </c>
      <c r="D15784" s="1014"/>
      <c r="H15784" s="1011" t="s">
        <v>1007</v>
      </c>
      <c r="K15784" s="1013"/>
    </row>
    <row r="15785" spans="1:11" s="1011" customFormat="1" ht="15" x14ac:dyDescent="0.25">
      <c r="A15785" s="859">
        <f t="shared" si="364"/>
        <v>15784</v>
      </c>
      <c r="B15785" s="845" t="s">
        <v>2564</v>
      </c>
      <c r="C15785" s="1007">
        <f t="shared" si="363"/>
        <v>152</v>
      </c>
      <c r="D15785" s="1012"/>
      <c r="I15785" s="1011" t="s">
        <v>2183</v>
      </c>
      <c r="K15785" s="1013"/>
    </row>
    <row r="15786" spans="1:11" s="1011" customFormat="1" ht="15" x14ac:dyDescent="0.25">
      <c r="A15786" s="859">
        <f t="shared" si="364"/>
        <v>15785</v>
      </c>
      <c r="B15786" s="845" t="s">
        <v>2564</v>
      </c>
      <c r="C15786" s="1007">
        <f t="shared" si="363"/>
        <v>152</v>
      </c>
      <c r="D15786" s="1015"/>
      <c r="I15786" s="1011" t="str">
        <f>CONCATENATE("&lt;valeur&gt;",VLOOKUP(C15786,'T16 Amort'!A:K,11,0),"&lt;/valeur&gt;")</f>
        <v>&lt;valeur&gt;&lt;/valeur&gt;</v>
      </c>
      <c r="K15786" s="1013"/>
    </row>
    <row r="15787" spans="1:11" s="1011" customFormat="1" ht="15" x14ac:dyDescent="0.25">
      <c r="A15787" s="859">
        <f t="shared" si="364"/>
        <v>15786</v>
      </c>
      <c r="B15787" s="845" t="s">
        <v>2564</v>
      </c>
      <c r="C15787" s="1007">
        <f t="shared" si="363"/>
        <v>152</v>
      </c>
      <c r="D15787" s="1012"/>
      <c r="I15787" s="1011" t="str">
        <f>CONCATENATE("&lt;numeroLigne&gt;",C15787,"&lt;/numeroLigne&gt;")</f>
        <v>&lt;numeroLigne&gt;152&lt;/numeroLigne&gt;</v>
      </c>
      <c r="K15787" s="1013"/>
    </row>
    <row r="15788" spans="1:11" s="1011" customFormat="1" ht="15" x14ac:dyDescent="0.25">
      <c r="A15788" s="859">
        <f t="shared" si="364"/>
        <v>15787</v>
      </c>
      <c r="B15788" s="845" t="s">
        <v>2564</v>
      </c>
      <c r="C15788" s="1007">
        <f t="shared" si="363"/>
        <v>152</v>
      </c>
      <c r="D15788" s="1016"/>
      <c r="E15788" s="1017"/>
      <c r="F15788" s="1017"/>
      <c r="G15788" s="1017"/>
      <c r="H15788" s="1017" t="s">
        <v>1010</v>
      </c>
      <c r="I15788" s="1017"/>
      <c r="J15788" s="1017"/>
      <c r="K15788" s="1018"/>
    </row>
    <row r="15789" spans="1:11" s="1011" customFormat="1" ht="15" x14ac:dyDescent="0.25">
      <c r="A15789" s="859">
        <f t="shared" si="364"/>
        <v>15788</v>
      </c>
      <c r="B15789" s="845" t="s">
        <v>2564</v>
      </c>
      <c r="C15789" s="1007">
        <f t="shared" si="363"/>
        <v>153</v>
      </c>
      <c r="D15789" s="1008"/>
      <c r="E15789" s="1009"/>
      <c r="F15789" s="1009"/>
      <c r="G15789" s="1009"/>
      <c r="H15789" s="1009" t="s">
        <v>1007</v>
      </c>
      <c r="I15789" s="1009"/>
      <c r="J15789" s="1009"/>
      <c r="K15789" s="1010"/>
    </row>
    <row r="15790" spans="1:11" s="1011" customFormat="1" ht="15" x14ac:dyDescent="0.25">
      <c r="A15790" s="859">
        <f t="shared" si="364"/>
        <v>15789</v>
      </c>
      <c r="B15790" s="845" t="s">
        <v>2564</v>
      </c>
      <c r="C15790" s="1007">
        <f t="shared" si="363"/>
        <v>153</v>
      </c>
      <c r="D15790" s="1012"/>
      <c r="I15790" s="1011" t="s">
        <v>2174</v>
      </c>
      <c r="K15790" s="1013"/>
    </row>
    <row r="15791" spans="1:11" s="1011" customFormat="1" ht="15" x14ac:dyDescent="0.25">
      <c r="A15791" s="859">
        <f t="shared" si="364"/>
        <v>15790</v>
      </c>
      <c r="B15791" s="845" t="s">
        <v>2564</v>
      </c>
      <c r="C15791" s="1007">
        <f t="shared" ref="C15791:C15854" si="365">C15741+1</f>
        <v>153</v>
      </c>
      <c r="D15791" s="1014"/>
      <c r="I15791" s="1011" t="str">
        <f>CONCATENATE("&lt;valeur&gt;",VLOOKUP(C15791,'T16 Amort'!A:K,2,0),"&lt;/valeur&gt;")</f>
        <v>&lt;valeur&gt;&lt;/valeur&gt;</v>
      </c>
      <c r="K15791" s="1013"/>
    </row>
    <row r="15792" spans="1:11" s="1011" customFormat="1" ht="15" x14ac:dyDescent="0.25">
      <c r="A15792" s="859">
        <f t="shared" si="364"/>
        <v>15791</v>
      </c>
      <c r="B15792" s="845" t="s">
        <v>2564</v>
      </c>
      <c r="C15792" s="1007">
        <f t="shared" si="365"/>
        <v>153</v>
      </c>
      <c r="D15792" s="1014"/>
      <c r="I15792" s="1011" t="str">
        <f>CONCATENATE("&lt;numeroLigne&gt;",C15792,"&lt;/numeroLigne&gt;")</f>
        <v>&lt;numeroLigne&gt;153&lt;/numeroLigne&gt;</v>
      </c>
      <c r="K15792" s="1013"/>
    </row>
    <row r="15793" spans="1:11" s="1011" customFormat="1" ht="15" x14ac:dyDescent="0.25">
      <c r="A15793" s="859">
        <f t="shared" si="364"/>
        <v>15792</v>
      </c>
      <c r="B15793" s="845" t="s">
        <v>2564</v>
      </c>
      <c r="C15793" s="1007">
        <f t="shared" si="365"/>
        <v>153</v>
      </c>
      <c r="D15793" s="1012"/>
      <c r="H15793" s="1011" t="s">
        <v>1010</v>
      </c>
      <c r="K15793" s="1013"/>
    </row>
    <row r="15794" spans="1:11" s="1011" customFormat="1" ht="15" x14ac:dyDescent="0.25">
      <c r="A15794" s="859">
        <f t="shared" si="364"/>
        <v>15793</v>
      </c>
      <c r="B15794" s="845" t="s">
        <v>2564</v>
      </c>
      <c r="C15794" s="1007">
        <f t="shared" si="365"/>
        <v>153</v>
      </c>
      <c r="D15794" s="1015"/>
      <c r="H15794" s="1011" t="s">
        <v>1007</v>
      </c>
      <c r="K15794" s="1013"/>
    </row>
    <row r="15795" spans="1:11" s="1011" customFormat="1" ht="15" x14ac:dyDescent="0.25">
      <c r="A15795" s="859">
        <f t="shared" si="364"/>
        <v>15794</v>
      </c>
      <c r="B15795" s="845" t="s">
        <v>2564</v>
      </c>
      <c r="C15795" s="1007">
        <f t="shared" si="365"/>
        <v>153</v>
      </c>
      <c r="D15795" s="1012"/>
      <c r="I15795" s="1011" t="s">
        <v>2175</v>
      </c>
      <c r="K15795" s="1013"/>
    </row>
    <row r="15796" spans="1:11" s="1011" customFormat="1" ht="15" x14ac:dyDescent="0.25">
      <c r="A15796" s="859">
        <f t="shared" si="364"/>
        <v>15795</v>
      </c>
      <c r="B15796" s="845" t="s">
        <v>2564</v>
      </c>
      <c r="C15796" s="1007">
        <f t="shared" si="365"/>
        <v>153</v>
      </c>
      <c r="D15796" s="1012"/>
      <c r="I15796" s="1011" t="str">
        <f>CONCATENATE("&lt;valeur&gt;",VLOOKUP(C15796,'T16 Amort'!A:K,3,0),"&lt;/valeur&gt;")</f>
        <v>&lt;valeur&gt;&lt;/valeur&gt;</v>
      </c>
      <c r="K15796" s="1013"/>
    </row>
    <row r="15797" spans="1:11" s="1011" customFormat="1" ht="15" x14ac:dyDescent="0.25">
      <c r="A15797" s="859">
        <f t="shared" si="364"/>
        <v>15796</v>
      </c>
      <c r="B15797" s="845" t="s">
        <v>2564</v>
      </c>
      <c r="C15797" s="1007">
        <f t="shared" si="365"/>
        <v>153</v>
      </c>
      <c r="D15797" s="1014"/>
      <c r="I15797" s="1011" t="str">
        <f>CONCATENATE("&lt;numeroLigne&gt;",C15797,"&lt;/numeroLigne&gt;")</f>
        <v>&lt;numeroLigne&gt;153&lt;/numeroLigne&gt;</v>
      </c>
      <c r="K15797" s="1013"/>
    </row>
    <row r="15798" spans="1:11" s="1011" customFormat="1" ht="15" x14ac:dyDescent="0.25">
      <c r="A15798" s="859">
        <f t="shared" si="364"/>
        <v>15797</v>
      </c>
      <c r="B15798" s="845" t="s">
        <v>2564</v>
      </c>
      <c r="C15798" s="1007">
        <f t="shared" si="365"/>
        <v>153</v>
      </c>
      <c r="D15798" s="1014"/>
      <c r="H15798" s="1011" t="s">
        <v>1010</v>
      </c>
      <c r="K15798" s="1013"/>
    </row>
    <row r="15799" spans="1:11" s="1011" customFormat="1" ht="15" x14ac:dyDescent="0.25">
      <c r="A15799" s="859">
        <f t="shared" si="364"/>
        <v>15798</v>
      </c>
      <c r="B15799" s="845" t="s">
        <v>2564</v>
      </c>
      <c r="C15799" s="1007">
        <f t="shared" si="365"/>
        <v>153</v>
      </c>
      <c r="D15799" s="1012"/>
      <c r="H15799" s="1011" t="s">
        <v>1007</v>
      </c>
      <c r="K15799" s="1013"/>
    </row>
    <row r="15800" spans="1:11" s="1011" customFormat="1" ht="15" x14ac:dyDescent="0.25">
      <c r="A15800" s="859">
        <f t="shared" si="364"/>
        <v>15799</v>
      </c>
      <c r="B15800" s="845" t="s">
        <v>2564</v>
      </c>
      <c r="C15800" s="1007">
        <f t="shared" si="365"/>
        <v>153</v>
      </c>
      <c r="D15800" s="1015"/>
      <c r="I15800" s="1011" t="s">
        <v>2176</v>
      </c>
      <c r="K15800" s="1013"/>
    </row>
    <row r="15801" spans="1:11" s="1011" customFormat="1" ht="15" x14ac:dyDescent="0.25">
      <c r="A15801" s="859">
        <f t="shared" si="364"/>
        <v>15800</v>
      </c>
      <c r="B15801" s="845" t="s">
        <v>2564</v>
      </c>
      <c r="C15801" s="1007">
        <f t="shared" si="365"/>
        <v>153</v>
      </c>
      <c r="D15801" s="1012"/>
      <c r="I15801" s="1011" t="str">
        <f>CONCATENATE("&lt;valeur&gt;",VLOOKUP(C15801,'T16 Amort'!A:K,4,0),"&lt;/valeur&gt;")</f>
        <v>&lt;valeur&gt;&lt;/valeur&gt;</v>
      </c>
      <c r="K15801" s="1013"/>
    </row>
    <row r="15802" spans="1:11" s="1011" customFormat="1" ht="15" x14ac:dyDescent="0.25">
      <c r="A15802" s="859">
        <f t="shared" si="364"/>
        <v>15801</v>
      </c>
      <c r="B15802" s="845" t="s">
        <v>2564</v>
      </c>
      <c r="C15802" s="1007">
        <f t="shared" si="365"/>
        <v>153</v>
      </c>
      <c r="D15802" s="1012"/>
      <c r="I15802" s="1011" t="str">
        <f>CONCATENATE("&lt;numeroLigne&gt;",C15802,"&lt;/numeroLigne&gt;")</f>
        <v>&lt;numeroLigne&gt;153&lt;/numeroLigne&gt;</v>
      </c>
      <c r="K15802" s="1013"/>
    </row>
    <row r="15803" spans="1:11" s="1011" customFormat="1" ht="15" x14ac:dyDescent="0.25">
      <c r="A15803" s="859">
        <f t="shared" si="364"/>
        <v>15802</v>
      </c>
      <c r="B15803" s="845" t="s">
        <v>2564</v>
      </c>
      <c r="C15803" s="1007">
        <f t="shared" si="365"/>
        <v>153</v>
      </c>
      <c r="D15803" s="1014"/>
      <c r="H15803" s="1011" t="s">
        <v>1010</v>
      </c>
      <c r="K15803" s="1013"/>
    </row>
    <row r="15804" spans="1:11" s="1011" customFormat="1" ht="15" x14ac:dyDescent="0.25">
      <c r="A15804" s="859">
        <f t="shared" si="364"/>
        <v>15803</v>
      </c>
      <c r="B15804" s="845" t="s">
        <v>2564</v>
      </c>
      <c r="C15804" s="1007">
        <f t="shared" si="365"/>
        <v>153</v>
      </c>
      <c r="D15804" s="1014"/>
      <c r="H15804" s="1011" t="s">
        <v>1007</v>
      </c>
      <c r="K15804" s="1013"/>
    </row>
    <row r="15805" spans="1:11" s="1011" customFormat="1" ht="15" x14ac:dyDescent="0.25">
      <c r="A15805" s="859">
        <f t="shared" si="364"/>
        <v>15804</v>
      </c>
      <c r="B15805" s="845" t="s">
        <v>2564</v>
      </c>
      <c r="C15805" s="1007">
        <f t="shared" si="365"/>
        <v>153</v>
      </c>
      <c r="D15805" s="1012"/>
      <c r="I15805" s="1011" t="s">
        <v>2177</v>
      </c>
      <c r="K15805" s="1013"/>
    </row>
    <row r="15806" spans="1:11" s="1011" customFormat="1" ht="15" x14ac:dyDescent="0.25">
      <c r="A15806" s="859">
        <f t="shared" si="364"/>
        <v>15805</v>
      </c>
      <c r="B15806" s="845" t="s">
        <v>2564</v>
      </c>
      <c r="C15806" s="1007">
        <f t="shared" si="365"/>
        <v>153</v>
      </c>
      <c r="D15806" s="1015"/>
      <c r="I15806" s="1011" t="str">
        <f>CONCATENATE("&lt;valeur&gt;",VLOOKUP(C15806,'T16 Amort'!A:K,5,0),"&lt;/valeur&gt;")</f>
        <v>&lt;valeur&gt;&lt;/valeur&gt;</v>
      </c>
      <c r="K15806" s="1013"/>
    </row>
    <row r="15807" spans="1:11" s="1011" customFormat="1" ht="15" x14ac:dyDescent="0.25">
      <c r="A15807" s="859">
        <f t="shared" si="364"/>
        <v>15806</v>
      </c>
      <c r="B15807" s="845" t="s">
        <v>2564</v>
      </c>
      <c r="C15807" s="1007">
        <f t="shared" si="365"/>
        <v>153</v>
      </c>
      <c r="D15807" s="1012"/>
      <c r="I15807" s="1011" t="str">
        <f>CONCATENATE("&lt;numeroLigne&gt;",C15807,"&lt;/numeroLigne&gt;")</f>
        <v>&lt;numeroLigne&gt;153&lt;/numeroLigne&gt;</v>
      </c>
      <c r="K15807" s="1013"/>
    </row>
    <row r="15808" spans="1:11" s="1011" customFormat="1" ht="15" x14ac:dyDescent="0.25">
      <c r="A15808" s="859">
        <f t="shared" si="364"/>
        <v>15807</v>
      </c>
      <c r="B15808" s="845" t="s">
        <v>2564</v>
      </c>
      <c r="C15808" s="1007">
        <f t="shared" si="365"/>
        <v>153</v>
      </c>
      <c r="D15808" s="1012"/>
      <c r="H15808" s="1011" t="s">
        <v>1010</v>
      </c>
      <c r="K15808" s="1013"/>
    </row>
    <row r="15809" spans="1:11" s="1011" customFormat="1" ht="15" x14ac:dyDescent="0.25">
      <c r="A15809" s="859">
        <f t="shared" si="364"/>
        <v>15808</v>
      </c>
      <c r="B15809" s="845" t="s">
        <v>2564</v>
      </c>
      <c r="C15809" s="1007">
        <f t="shared" si="365"/>
        <v>153</v>
      </c>
      <c r="D15809" s="1014"/>
      <c r="H15809" s="1011" t="s">
        <v>1007</v>
      </c>
      <c r="K15809" s="1013"/>
    </row>
    <row r="15810" spans="1:11" s="1011" customFormat="1" ht="15" x14ac:dyDescent="0.25">
      <c r="A15810" s="859">
        <f t="shared" si="364"/>
        <v>15809</v>
      </c>
      <c r="B15810" s="845" t="s">
        <v>2564</v>
      </c>
      <c r="C15810" s="1007">
        <f t="shared" si="365"/>
        <v>153</v>
      </c>
      <c r="D15810" s="1014"/>
      <c r="I15810" s="1011" t="s">
        <v>2178</v>
      </c>
      <c r="K15810" s="1013"/>
    </row>
    <row r="15811" spans="1:11" s="1011" customFormat="1" ht="15" x14ac:dyDescent="0.25">
      <c r="A15811" s="859">
        <f t="shared" si="364"/>
        <v>15810</v>
      </c>
      <c r="B15811" s="845" t="s">
        <v>2564</v>
      </c>
      <c r="C15811" s="1007">
        <f t="shared" si="365"/>
        <v>153</v>
      </c>
      <c r="D15811" s="1012"/>
      <c r="I15811" s="1011" t="str">
        <f>CONCATENATE("&lt;valeur&gt;",VLOOKUP(C15811,'T16 Amort'!A:K,6,0),"&lt;/valeur&gt;")</f>
        <v>&lt;valeur&gt;&lt;/valeur&gt;</v>
      </c>
      <c r="K15811" s="1013"/>
    </row>
    <row r="15812" spans="1:11" s="1011" customFormat="1" ht="15" x14ac:dyDescent="0.25">
      <c r="A15812" s="859">
        <f t="shared" ref="A15812:A15875" si="366">+A15811+1</f>
        <v>15811</v>
      </c>
      <c r="B15812" s="845" t="s">
        <v>2564</v>
      </c>
      <c r="C15812" s="1007">
        <f t="shared" si="365"/>
        <v>153</v>
      </c>
      <c r="D15812" s="1015"/>
      <c r="I15812" s="1011" t="str">
        <f>CONCATENATE("&lt;numeroLigne&gt;",C15812,"&lt;/numeroLigne&gt;")</f>
        <v>&lt;numeroLigne&gt;153&lt;/numeroLigne&gt;</v>
      </c>
      <c r="K15812" s="1013"/>
    </row>
    <row r="15813" spans="1:11" s="1011" customFormat="1" ht="15" x14ac:dyDescent="0.25">
      <c r="A15813" s="859">
        <f t="shared" si="366"/>
        <v>15812</v>
      </c>
      <c r="B15813" s="845" t="s">
        <v>2564</v>
      </c>
      <c r="C15813" s="1007">
        <f t="shared" si="365"/>
        <v>153</v>
      </c>
      <c r="D15813" s="1012"/>
      <c r="H15813" s="1011" t="s">
        <v>1010</v>
      </c>
      <c r="K15813" s="1013"/>
    </row>
    <row r="15814" spans="1:11" s="1011" customFormat="1" ht="15" x14ac:dyDescent="0.25">
      <c r="A15814" s="859">
        <f t="shared" si="366"/>
        <v>15813</v>
      </c>
      <c r="B15814" s="845" t="s">
        <v>2564</v>
      </c>
      <c r="C15814" s="1007">
        <f t="shared" si="365"/>
        <v>153</v>
      </c>
      <c r="D15814" s="1012"/>
      <c r="H15814" s="1011" t="s">
        <v>1007</v>
      </c>
      <c r="K15814" s="1013"/>
    </row>
    <row r="15815" spans="1:11" s="1011" customFormat="1" ht="15" x14ac:dyDescent="0.25">
      <c r="A15815" s="859">
        <f t="shared" si="366"/>
        <v>15814</v>
      </c>
      <c r="B15815" s="845" t="s">
        <v>2564</v>
      </c>
      <c r="C15815" s="1007">
        <f t="shared" si="365"/>
        <v>153</v>
      </c>
      <c r="D15815" s="1014"/>
      <c r="I15815" s="1011" t="s">
        <v>2179</v>
      </c>
      <c r="K15815" s="1013"/>
    </row>
    <row r="15816" spans="1:11" s="1011" customFormat="1" ht="15" x14ac:dyDescent="0.25">
      <c r="A15816" s="859">
        <f t="shared" si="366"/>
        <v>15815</v>
      </c>
      <c r="B15816" s="845" t="s">
        <v>2564</v>
      </c>
      <c r="C15816" s="1007">
        <f t="shared" si="365"/>
        <v>153</v>
      </c>
      <c r="D15816" s="1014"/>
      <c r="I15816" s="1011" t="str">
        <f>CONCATENATE("&lt;valeur&gt;",VLOOKUP(C15816,'T16 Amort'!A:K,7,0),"&lt;/valeur&gt;")</f>
        <v>&lt;valeur&gt;&lt;/valeur&gt;</v>
      </c>
      <c r="K15816" s="1013"/>
    </row>
    <row r="15817" spans="1:11" s="1011" customFormat="1" ht="15" x14ac:dyDescent="0.25">
      <c r="A15817" s="859">
        <f t="shared" si="366"/>
        <v>15816</v>
      </c>
      <c r="B15817" s="845" t="s">
        <v>2564</v>
      </c>
      <c r="C15817" s="1007">
        <f t="shared" si="365"/>
        <v>153</v>
      </c>
      <c r="D15817" s="1012"/>
      <c r="I15817" s="1011" t="str">
        <f>CONCATENATE("&lt;numeroLigne&gt;",C15817,"&lt;/numeroLigne&gt;")</f>
        <v>&lt;numeroLigne&gt;153&lt;/numeroLigne&gt;</v>
      </c>
      <c r="K15817" s="1013"/>
    </row>
    <row r="15818" spans="1:11" s="1011" customFormat="1" ht="15" x14ac:dyDescent="0.25">
      <c r="A15818" s="859">
        <f t="shared" si="366"/>
        <v>15817</v>
      </c>
      <c r="B15818" s="845" t="s">
        <v>2564</v>
      </c>
      <c r="C15818" s="1007">
        <f t="shared" si="365"/>
        <v>153</v>
      </c>
      <c r="D15818" s="1015"/>
      <c r="H15818" s="1011" t="s">
        <v>1010</v>
      </c>
      <c r="K15818" s="1013"/>
    </row>
    <row r="15819" spans="1:11" s="1011" customFormat="1" ht="15" x14ac:dyDescent="0.25">
      <c r="A15819" s="859">
        <f t="shared" si="366"/>
        <v>15818</v>
      </c>
      <c r="B15819" s="845" t="s">
        <v>2564</v>
      </c>
      <c r="C15819" s="1007">
        <f t="shared" si="365"/>
        <v>153</v>
      </c>
      <c r="D15819" s="1012"/>
      <c r="H15819" s="1011" t="s">
        <v>1007</v>
      </c>
      <c r="K15819" s="1013"/>
    </row>
    <row r="15820" spans="1:11" s="1011" customFormat="1" ht="15" x14ac:dyDescent="0.25">
      <c r="A15820" s="859">
        <f t="shared" si="366"/>
        <v>15819</v>
      </c>
      <c r="B15820" s="845" t="s">
        <v>2564</v>
      </c>
      <c r="C15820" s="1007">
        <f t="shared" si="365"/>
        <v>153</v>
      </c>
      <c r="D15820" s="1012"/>
      <c r="I15820" s="1011" t="s">
        <v>2180</v>
      </c>
      <c r="K15820" s="1013"/>
    </row>
    <row r="15821" spans="1:11" s="1011" customFormat="1" ht="15" x14ac:dyDescent="0.25">
      <c r="A15821" s="859">
        <f t="shared" si="366"/>
        <v>15820</v>
      </c>
      <c r="B15821" s="845" t="s">
        <v>2564</v>
      </c>
      <c r="C15821" s="1007">
        <f t="shared" si="365"/>
        <v>153</v>
      </c>
      <c r="D15821" s="1014"/>
      <c r="I15821" s="1011" t="str">
        <f>CONCATENATE("&lt;valeur&gt;",VLOOKUP(C15821,'T16 Amort'!A:K,8,0),"&lt;/valeur&gt;")</f>
        <v>&lt;valeur&gt;&lt;/valeur&gt;</v>
      </c>
      <c r="K15821" s="1013"/>
    </row>
    <row r="15822" spans="1:11" s="1011" customFormat="1" ht="15" x14ac:dyDescent="0.25">
      <c r="A15822" s="859">
        <f t="shared" si="366"/>
        <v>15821</v>
      </c>
      <c r="B15822" s="845" t="s">
        <v>2564</v>
      </c>
      <c r="C15822" s="1007">
        <f t="shared" si="365"/>
        <v>153</v>
      </c>
      <c r="D15822" s="1014"/>
      <c r="I15822" s="1011" t="str">
        <f>CONCATENATE("&lt;numeroLigne&gt;",C15822,"&lt;/numeroLigne&gt;")</f>
        <v>&lt;numeroLigne&gt;153&lt;/numeroLigne&gt;</v>
      </c>
      <c r="K15822" s="1013"/>
    </row>
    <row r="15823" spans="1:11" s="1011" customFormat="1" ht="15" x14ac:dyDescent="0.25">
      <c r="A15823" s="859">
        <f t="shared" si="366"/>
        <v>15822</v>
      </c>
      <c r="B15823" s="845" t="s">
        <v>2564</v>
      </c>
      <c r="C15823" s="1007">
        <f t="shared" si="365"/>
        <v>153</v>
      </c>
      <c r="D15823" s="1012"/>
      <c r="H15823" s="1011" t="s">
        <v>1010</v>
      </c>
      <c r="K15823" s="1013"/>
    </row>
    <row r="15824" spans="1:11" s="1011" customFormat="1" ht="15" x14ac:dyDescent="0.25">
      <c r="A15824" s="859">
        <f t="shared" si="366"/>
        <v>15823</v>
      </c>
      <c r="B15824" s="845" t="s">
        <v>2564</v>
      </c>
      <c r="C15824" s="1007">
        <f t="shared" si="365"/>
        <v>153</v>
      </c>
      <c r="D15824" s="1015"/>
      <c r="H15824" s="1011" t="s">
        <v>1007</v>
      </c>
      <c r="K15824" s="1013"/>
    </row>
    <row r="15825" spans="1:11" s="1011" customFormat="1" ht="15" x14ac:dyDescent="0.25">
      <c r="A15825" s="859">
        <f t="shared" si="366"/>
        <v>15824</v>
      </c>
      <c r="B15825" s="845" t="s">
        <v>2564</v>
      </c>
      <c r="C15825" s="1007">
        <f t="shared" si="365"/>
        <v>153</v>
      </c>
      <c r="D15825" s="1012"/>
      <c r="I15825" s="1011" t="s">
        <v>2181</v>
      </c>
      <c r="K15825" s="1013"/>
    </row>
    <row r="15826" spans="1:11" s="1011" customFormat="1" ht="15" x14ac:dyDescent="0.25">
      <c r="A15826" s="859">
        <f t="shared" si="366"/>
        <v>15825</v>
      </c>
      <c r="B15826" s="845" t="s">
        <v>2564</v>
      </c>
      <c r="C15826" s="1007">
        <f t="shared" si="365"/>
        <v>153</v>
      </c>
      <c r="D15826" s="1012"/>
      <c r="I15826" s="1011" t="str">
        <f>CONCATENATE("&lt;valeur&gt;",VLOOKUP(C15826,'T16 Amort'!A:K,9,0),"&lt;/valeur&gt;")</f>
        <v>&lt;valeur&gt;&lt;/valeur&gt;</v>
      </c>
      <c r="K15826" s="1013"/>
    </row>
    <row r="15827" spans="1:11" s="1011" customFormat="1" ht="15" x14ac:dyDescent="0.25">
      <c r="A15827" s="859">
        <f t="shared" si="366"/>
        <v>15826</v>
      </c>
      <c r="B15827" s="845" t="s">
        <v>2564</v>
      </c>
      <c r="C15827" s="1007">
        <f t="shared" si="365"/>
        <v>153</v>
      </c>
      <c r="D15827" s="1014"/>
      <c r="I15827" s="1011" t="str">
        <f>CONCATENATE("&lt;numeroLigne&gt;",C15827,"&lt;/numeroLigne&gt;")</f>
        <v>&lt;numeroLigne&gt;153&lt;/numeroLigne&gt;</v>
      </c>
      <c r="K15827" s="1013"/>
    </row>
    <row r="15828" spans="1:11" s="1011" customFormat="1" ht="15" x14ac:dyDescent="0.25">
      <c r="A15828" s="859">
        <f t="shared" si="366"/>
        <v>15827</v>
      </c>
      <c r="B15828" s="845" t="s">
        <v>2564</v>
      </c>
      <c r="C15828" s="1007">
        <f t="shared" si="365"/>
        <v>153</v>
      </c>
      <c r="D15828" s="1014"/>
      <c r="H15828" s="1011" t="s">
        <v>1010</v>
      </c>
      <c r="K15828" s="1013"/>
    </row>
    <row r="15829" spans="1:11" s="1011" customFormat="1" ht="15" x14ac:dyDescent="0.25">
      <c r="A15829" s="859">
        <f t="shared" si="366"/>
        <v>15828</v>
      </c>
      <c r="B15829" s="845" t="s">
        <v>2564</v>
      </c>
      <c r="C15829" s="1007">
        <f t="shared" si="365"/>
        <v>153</v>
      </c>
      <c r="D15829" s="1012"/>
      <c r="H15829" s="1011" t="s">
        <v>1007</v>
      </c>
      <c r="K15829" s="1013"/>
    </row>
    <row r="15830" spans="1:11" s="1011" customFormat="1" ht="15" x14ac:dyDescent="0.25">
      <c r="A15830" s="859">
        <f t="shared" si="366"/>
        <v>15829</v>
      </c>
      <c r="B15830" s="845" t="s">
        <v>2564</v>
      </c>
      <c r="C15830" s="1007">
        <f t="shared" si="365"/>
        <v>153</v>
      </c>
      <c r="D15830" s="1015"/>
      <c r="I15830" s="1011" t="s">
        <v>2182</v>
      </c>
      <c r="K15830" s="1013"/>
    </row>
    <row r="15831" spans="1:11" s="1011" customFormat="1" ht="15" x14ac:dyDescent="0.25">
      <c r="A15831" s="859">
        <f t="shared" si="366"/>
        <v>15830</v>
      </c>
      <c r="B15831" s="845" t="s">
        <v>2564</v>
      </c>
      <c r="C15831" s="1007">
        <f t="shared" si="365"/>
        <v>153</v>
      </c>
      <c r="D15831" s="1012"/>
      <c r="I15831" s="1011" t="str">
        <f>CONCATENATE("&lt;valeur&gt;",VLOOKUP(C15831,'T16 Amort'!A:K,10,0),"&lt;/valeur&gt;")</f>
        <v>&lt;valeur&gt;&lt;/valeur&gt;</v>
      </c>
      <c r="K15831" s="1013"/>
    </row>
    <row r="15832" spans="1:11" s="1011" customFormat="1" ht="15" x14ac:dyDescent="0.25">
      <c r="A15832" s="859">
        <f t="shared" si="366"/>
        <v>15831</v>
      </c>
      <c r="B15832" s="845" t="s">
        <v>2564</v>
      </c>
      <c r="C15832" s="1007">
        <f t="shared" si="365"/>
        <v>153</v>
      </c>
      <c r="D15832" s="1012"/>
      <c r="I15832" s="1011" t="str">
        <f>CONCATENATE("&lt;numeroLigne&gt;",C15832,"&lt;/numeroLigne&gt;")</f>
        <v>&lt;numeroLigne&gt;153&lt;/numeroLigne&gt;</v>
      </c>
      <c r="K15832" s="1013"/>
    </row>
    <row r="15833" spans="1:11" s="1011" customFormat="1" ht="15" x14ac:dyDescent="0.25">
      <c r="A15833" s="859">
        <f t="shared" si="366"/>
        <v>15832</v>
      </c>
      <c r="B15833" s="845" t="s">
        <v>2564</v>
      </c>
      <c r="C15833" s="1007">
        <f t="shared" si="365"/>
        <v>153</v>
      </c>
      <c r="D15833" s="1014"/>
      <c r="H15833" s="1011" t="s">
        <v>1010</v>
      </c>
      <c r="K15833" s="1013"/>
    </row>
    <row r="15834" spans="1:11" s="1011" customFormat="1" ht="15" x14ac:dyDescent="0.25">
      <c r="A15834" s="859">
        <f t="shared" si="366"/>
        <v>15833</v>
      </c>
      <c r="B15834" s="845" t="s">
        <v>2564</v>
      </c>
      <c r="C15834" s="1007">
        <f t="shared" si="365"/>
        <v>153</v>
      </c>
      <c r="D15834" s="1014"/>
      <c r="H15834" s="1011" t="s">
        <v>1007</v>
      </c>
      <c r="K15834" s="1013"/>
    </row>
    <row r="15835" spans="1:11" s="1011" customFormat="1" ht="15" x14ac:dyDescent="0.25">
      <c r="A15835" s="859">
        <f t="shared" si="366"/>
        <v>15834</v>
      </c>
      <c r="B15835" s="845" t="s">
        <v>2564</v>
      </c>
      <c r="C15835" s="1007">
        <f t="shared" si="365"/>
        <v>153</v>
      </c>
      <c r="D15835" s="1012"/>
      <c r="I15835" s="1011" t="s">
        <v>2183</v>
      </c>
      <c r="K15835" s="1013"/>
    </row>
    <row r="15836" spans="1:11" s="1011" customFormat="1" ht="15" x14ac:dyDescent="0.25">
      <c r="A15836" s="859">
        <f t="shared" si="366"/>
        <v>15835</v>
      </c>
      <c r="B15836" s="845" t="s">
        <v>2564</v>
      </c>
      <c r="C15836" s="1007">
        <f t="shared" si="365"/>
        <v>153</v>
      </c>
      <c r="D15836" s="1015"/>
      <c r="I15836" s="1011" t="str">
        <f>CONCATENATE("&lt;valeur&gt;",VLOOKUP(C15836,'T16 Amort'!A:K,11,0),"&lt;/valeur&gt;")</f>
        <v>&lt;valeur&gt;&lt;/valeur&gt;</v>
      </c>
      <c r="K15836" s="1013"/>
    </row>
    <row r="15837" spans="1:11" s="1011" customFormat="1" ht="15" x14ac:dyDescent="0.25">
      <c r="A15837" s="859">
        <f t="shared" si="366"/>
        <v>15836</v>
      </c>
      <c r="B15837" s="845" t="s">
        <v>2564</v>
      </c>
      <c r="C15837" s="1007">
        <f t="shared" si="365"/>
        <v>153</v>
      </c>
      <c r="D15837" s="1012"/>
      <c r="I15837" s="1011" t="str">
        <f>CONCATENATE("&lt;numeroLigne&gt;",C15837,"&lt;/numeroLigne&gt;")</f>
        <v>&lt;numeroLigne&gt;153&lt;/numeroLigne&gt;</v>
      </c>
      <c r="K15837" s="1013"/>
    </row>
    <row r="15838" spans="1:11" s="1011" customFormat="1" ht="15" x14ac:dyDescent="0.25">
      <c r="A15838" s="859">
        <f t="shared" si="366"/>
        <v>15837</v>
      </c>
      <c r="B15838" s="845" t="s">
        <v>2564</v>
      </c>
      <c r="C15838" s="1007">
        <f t="shared" si="365"/>
        <v>153</v>
      </c>
      <c r="D15838" s="1016"/>
      <c r="E15838" s="1017"/>
      <c r="F15838" s="1017"/>
      <c r="G15838" s="1017"/>
      <c r="H15838" s="1017" t="s">
        <v>1010</v>
      </c>
      <c r="I15838" s="1017"/>
      <c r="J15838" s="1017"/>
      <c r="K15838" s="1018"/>
    </row>
    <row r="15839" spans="1:11" s="1011" customFormat="1" ht="15" x14ac:dyDescent="0.25">
      <c r="A15839" s="859">
        <f t="shared" si="366"/>
        <v>15838</v>
      </c>
      <c r="B15839" s="845" t="s">
        <v>2564</v>
      </c>
      <c r="C15839" s="1007">
        <f t="shared" si="365"/>
        <v>154</v>
      </c>
      <c r="D15839" s="1008"/>
      <c r="E15839" s="1009"/>
      <c r="F15839" s="1009"/>
      <c r="G15839" s="1009"/>
      <c r="H15839" s="1009" t="s">
        <v>1007</v>
      </c>
      <c r="I15839" s="1009"/>
      <c r="J15839" s="1009"/>
      <c r="K15839" s="1010"/>
    </row>
    <row r="15840" spans="1:11" s="1011" customFormat="1" ht="15" x14ac:dyDescent="0.25">
      <c r="A15840" s="859">
        <f t="shared" si="366"/>
        <v>15839</v>
      </c>
      <c r="B15840" s="845" t="s">
        <v>2564</v>
      </c>
      <c r="C15840" s="1007">
        <f t="shared" si="365"/>
        <v>154</v>
      </c>
      <c r="D15840" s="1012"/>
      <c r="I15840" s="1011" t="s">
        <v>2174</v>
      </c>
      <c r="K15840" s="1013"/>
    </row>
    <row r="15841" spans="1:11" s="1011" customFormat="1" ht="15" x14ac:dyDescent="0.25">
      <c r="A15841" s="859">
        <f t="shared" si="366"/>
        <v>15840</v>
      </c>
      <c r="B15841" s="845" t="s">
        <v>2564</v>
      </c>
      <c r="C15841" s="1007">
        <f t="shared" si="365"/>
        <v>154</v>
      </c>
      <c r="D15841" s="1014"/>
      <c r="I15841" s="1011" t="str">
        <f>CONCATENATE("&lt;valeur&gt;",VLOOKUP(C15841,'T16 Amort'!A:K,2,0),"&lt;/valeur&gt;")</f>
        <v>&lt;valeur&gt;&lt;/valeur&gt;</v>
      </c>
      <c r="K15841" s="1013"/>
    </row>
    <row r="15842" spans="1:11" s="1011" customFormat="1" ht="15" x14ac:dyDescent="0.25">
      <c r="A15842" s="859">
        <f t="shared" si="366"/>
        <v>15841</v>
      </c>
      <c r="B15842" s="845" t="s">
        <v>2564</v>
      </c>
      <c r="C15842" s="1007">
        <f t="shared" si="365"/>
        <v>154</v>
      </c>
      <c r="D15842" s="1014"/>
      <c r="I15842" s="1011" t="str">
        <f>CONCATENATE("&lt;numeroLigne&gt;",C15842,"&lt;/numeroLigne&gt;")</f>
        <v>&lt;numeroLigne&gt;154&lt;/numeroLigne&gt;</v>
      </c>
      <c r="K15842" s="1013"/>
    </row>
    <row r="15843" spans="1:11" s="1011" customFormat="1" ht="15" x14ac:dyDescent="0.25">
      <c r="A15843" s="859">
        <f t="shared" si="366"/>
        <v>15842</v>
      </c>
      <c r="B15843" s="845" t="s">
        <v>2564</v>
      </c>
      <c r="C15843" s="1007">
        <f t="shared" si="365"/>
        <v>154</v>
      </c>
      <c r="D15843" s="1012"/>
      <c r="H15843" s="1011" t="s">
        <v>1010</v>
      </c>
      <c r="K15843" s="1013"/>
    </row>
    <row r="15844" spans="1:11" s="1011" customFormat="1" ht="15" x14ac:dyDescent="0.25">
      <c r="A15844" s="859">
        <f t="shared" si="366"/>
        <v>15843</v>
      </c>
      <c r="B15844" s="845" t="s">
        <v>2564</v>
      </c>
      <c r="C15844" s="1007">
        <f t="shared" si="365"/>
        <v>154</v>
      </c>
      <c r="D15844" s="1015"/>
      <c r="H15844" s="1011" t="s">
        <v>1007</v>
      </c>
      <c r="K15844" s="1013"/>
    </row>
    <row r="15845" spans="1:11" s="1011" customFormat="1" ht="15" x14ac:dyDescent="0.25">
      <c r="A15845" s="859">
        <f t="shared" si="366"/>
        <v>15844</v>
      </c>
      <c r="B15845" s="845" t="s">
        <v>2564</v>
      </c>
      <c r="C15845" s="1007">
        <f t="shared" si="365"/>
        <v>154</v>
      </c>
      <c r="D15845" s="1012"/>
      <c r="I15845" s="1011" t="s">
        <v>2175</v>
      </c>
      <c r="K15845" s="1013"/>
    </row>
    <row r="15846" spans="1:11" s="1011" customFormat="1" ht="15" x14ac:dyDescent="0.25">
      <c r="A15846" s="859">
        <f t="shared" si="366"/>
        <v>15845</v>
      </c>
      <c r="B15846" s="845" t="s">
        <v>2564</v>
      </c>
      <c r="C15846" s="1007">
        <f t="shared" si="365"/>
        <v>154</v>
      </c>
      <c r="D15846" s="1012"/>
      <c r="I15846" s="1011" t="str">
        <f>CONCATENATE("&lt;valeur&gt;",VLOOKUP(C15846,'T16 Amort'!A:K,3,0),"&lt;/valeur&gt;")</f>
        <v>&lt;valeur&gt;&lt;/valeur&gt;</v>
      </c>
      <c r="K15846" s="1013"/>
    </row>
    <row r="15847" spans="1:11" s="1011" customFormat="1" ht="15" x14ac:dyDescent="0.25">
      <c r="A15847" s="859">
        <f t="shared" si="366"/>
        <v>15846</v>
      </c>
      <c r="B15847" s="845" t="s">
        <v>2564</v>
      </c>
      <c r="C15847" s="1007">
        <f t="shared" si="365"/>
        <v>154</v>
      </c>
      <c r="D15847" s="1014"/>
      <c r="I15847" s="1011" t="str">
        <f>CONCATENATE("&lt;numeroLigne&gt;",C15847,"&lt;/numeroLigne&gt;")</f>
        <v>&lt;numeroLigne&gt;154&lt;/numeroLigne&gt;</v>
      </c>
      <c r="K15847" s="1013"/>
    </row>
    <row r="15848" spans="1:11" s="1011" customFormat="1" ht="15" x14ac:dyDescent="0.25">
      <c r="A15848" s="859">
        <f t="shared" si="366"/>
        <v>15847</v>
      </c>
      <c r="B15848" s="845" t="s">
        <v>2564</v>
      </c>
      <c r="C15848" s="1007">
        <f t="shared" si="365"/>
        <v>154</v>
      </c>
      <c r="D15848" s="1014"/>
      <c r="H15848" s="1011" t="s">
        <v>1010</v>
      </c>
      <c r="K15848" s="1013"/>
    </row>
    <row r="15849" spans="1:11" s="1011" customFormat="1" ht="15" x14ac:dyDescent="0.25">
      <c r="A15849" s="859">
        <f t="shared" si="366"/>
        <v>15848</v>
      </c>
      <c r="B15849" s="845" t="s">
        <v>2564</v>
      </c>
      <c r="C15849" s="1007">
        <f t="shared" si="365"/>
        <v>154</v>
      </c>
      <c r="D15849" s="1012"/>
      <c r="H15849" s="1011" t="s">
        <v>1007</v>
      </c>
      <c r="K15849" s="1013"/>
    </row>
    <row r="15850" spans="1:11" s="1011" customFormat="1" ht="15" x14ac:dyDescent="0.25">
      <c r="A15850" s="859">
        <f t="shared" si="366"/>
        <v>15849</v>
      </c>
      <c r="B15850" s="845" t="s">
        <v>2564</v>
      </c>
      <c r="C15850" s="1007">
        <f t="shared" si="365"/>
        <v>154</v>
      </c>
      <c r="D15850" s="1015"/>
      <c r="I15850" s="1011" t="s">
        <v>2176</v>
      </c>
      <c r="K15850" s="1013"/>
    </row>
    <row r="15851" spans="1:11" s="1011" customFormat="1" ht="15" x14ac:dyDescent="0.25">
      <c r="A15851" s="859">
        <f t="shared" si="366"/>
        <v>15850</v>
      </c>
      <c r="B15851" s="845" t="s">
        <v>2564</v>
      </c>
      <c r="C15851" s="1007">
        <f t="shared" si="365"/>
        <v>154</v>
      </c>
      <c r="D15851" s="1012"/>
      <c r="I15851" s="1011" t="str">
        <f>CONCATENATE("&lt;valeur&gt;",VLOOKUP(C15851,'T16 Amort'!A:K,4,0),"&lt;/valeur&gt;")</f>
        <v>&lt;valeur&gt;&lt;/valeur&gt;</v>
      </c>
      <c r="K15851" s="1013"/>
    </row>
    <row r="15852" spans="1:11" s="1011" customFormat="1" ht="15" x14ac:dyDescent="0.25">
      <c r="A15852" s="859">
        <f t="shared" si="366"/>
        <v>15851</v>
      </c>
      <c r="B15852" s="845" t="s">
        <v>2564</v>
      </c>
      <c r="C15852" s="1007">
        <f t="shared" si="365"/>
        <v>154</v>
      </c>
      <c r="D15852" s="1012"/>
      <c r="I15852" s="1011" t="str">
        <f>CONCATENATE("&lt;numeroLigne&gt;",C15852,"&lt;/numeroLigne&gt;")</f>
        <v>&lt;numeroLigne&gt;154&lt;/numeroLigne&gt;</v>
      </c>
      <c r="K15852" s="1013"/>
    </row>
    <row r="15853" spans="1:11" s="1011" customFormat="1" ht="15" x14ac:dyDescent="0.25">
      <c r="A15853" s="859">
        <f t="shared" si="366"/>
        <v>15852</v>
      </c>
      <c r="B15853" s="845" t="s">
        <v>2564</v>
      </c>
      <c r="C15853" s="1007">
        <f t="shared" si="365"/>
        <v>154</v>
      </c>
      <c r="D15853" s="1014"/>
      <c r="H15853" s="1011" t="s">
        <v>1010</v>
      </c>
      <c r="K15853" s="1013"/>
    </row>
    <row r="15854" spans="1:11" s="1011" customFormat="1" ht="15" x14ac:dyDescent="0.25">
      <c r="A15854" s="859">
        <f t="shared" si="366"/>
        <v>15853</v>
      </c>
      <c r="B15854" s="845" t="s">
        <v>2564</v>
      </c>
      <c r="C15854" s="1007">
        <f t="shared" si="365"/>
        <v>154</v>
      </c>
      <c r="D15854" s="1014"/>
      <c r="H15854" s="1011" t="s">
        <v>1007</v>
      </c>
      <c r="K15854" s="1013"/>
    </row>
    <row r="15855" spans="1:11" s="1011" customFormat="1" ht="15" x14ac:dyDescent="0.25">
      <c r="A15855" s="859">
        <f t="shared" si="366"/>
        <v>15854</v>
      </c>
      <c r="B15855" s="845" t="s">
        <v>2564</v>
      </c>
      <c r="C15855" s="1007">
        <f t="shared" ref="C15855:C15918" si="367">C15805+1</f>
        <v>154</v>
      </c>
      <c r="D15855" s="1012"/>
      <c r="I15855" s="1011" t="s">
        <v>2177</v>
      </c>
      <c r="K15855" s="1013"/>
    </row>
    <row r="15856" spans="1:11" s="1011" customFormat="1" ht="15" x14ac:dyDescent="0.25">
      <c r="A15856" s="859">
        <f t="shared" si="366"/>
        <v>15855</v>
      </c>
      <c r="B15856" s="845" t="s">
        <v>2564</v>
      </c>
      <c r="C15856" s="1007">
        <f t="shared" si="367"/>
        <v>154</v>
      </c>
      <c r="D15856" s="1015"/>
      <c r="I15856" s="1011" t="str">
        <f>CONCATENATE("&lt;valeur&gt;",VLOOKUP(C15856,'T16 Amort'!A:K,5,0),"&lt;/valeur&gt;")</f>
        <v>&lt;valeur&gt;&lt;/valeur&gt;</v>
      </c>
      <c r="K15856" s="1013"/>
    </row>
    <row r="15857" spans="1:11" s="1011" customFormat="1" ht="15" x14ac:dyDescent="0.25">
      <c r="A15857" s="859">
        <f t="shared" si="366"/>
        <v>15856</v>
      </c>
      <c r="B15857" s="845" t="s">
        <v>2564</v>
      </c>
      <c r="C15857" s="1007">
        <f t="shared" si="367"/>
        <v>154</v>
      </c>
      <c r="D15857" s="1012"/>
      <c r="I15857" s="1011" t="str">
        <f>CONCATENATE("&lt;numeroLigne&gt;",C15857,"&lt;/numeroLigne&gt;")</f>
        <v>&lt;numeroLigne&gt;154&lt;/numeroLigne&gt;</v>
      </c>
      <c r="K15857" s="1013"/>
    </row>
    <row r="15858" spans="1:11" s="1011" customFormat="1" ht="15" x14ac:dyDescent="0.25">
      <c r="A15858" s="859">
        <f t="shared" si="366"/>
        <v>15857</v>
      </c>
      <c r="B15858" s="845" t="s">
        <v>2564</v>
      </c>
      <c r="C15858" s="1007">
        <f t="shared" si="367"/>
        <v>154</v>
      </c>
      <c r="D15858" s="1012"/>
      <c r="H15858" s="1011" t="s">
        <v>1010</v>
      </c>
      <c r="K15858" s="1013"/>
    </row>
    <row r="15859" spans="1:11" s="1011" customFormat="1" ht="15" x14ac:dyDescent="0.25">
      <c r="A15859" s="859">
        <f t="shared" si="366"/>
        <v>15858</v>
      </c>
      <c r="B15859" s="845" t="s">
        <v>2564</v>
      </c>
      <c r="C15859" s="1007">
        <f t="shared" si="367"/>
        <v>154</v>
      </c>
      <c r="D15859" s="1014"/>
      <c r="H15859" s="1011" t="s">
        <v>1007</v>
      </c>
      <c r="K15859" s="1013"/>
    </row>
    <row r="15860" spans="1:11" s="1011" customFormat="1" ht="15" x14ac:dyDescent="0.25">
      <c r="A15860" s="859">
        <f t="shared" si="366"/>
        <v>15859</v>
      </c>
      <c r="B15860" s="845" t="s">
        <v>2564</v>
      </c>
      <c r="C15860" s="1007">
        <f t="shared" si="367"/>
        <v>154</v>
      </c>
      <c r="D15860" s="1014"/>
      <c r="I15860" s="1011" t="s">
        <v>2178</v>
      </c>
      <c r="K15860" s="1013"/>
    </row>
    <row r="15861" spans="1:11" s="1011" customFormat="1" ht="15" x14ac:dyDescent="0.25">
      <c r="A15861" s="859">
        <f t="shared" si="366"/>
        <v>15860</v>
      </c>
      <c r="B15861" s="845" t="s">
        <v>2564</v>
      </c>
      <c r="C15861" s="1007">
        <f t="shared" si="367"/>
        <v>154</v>
      </c>
      <c r="D15861" s="1012"/>
      <c r="I15861" s="1011" t="str">
        <f>CONCATENATE("&lt;valeur&gt;",VLOOKUP(C15861,'T16 Amort'!A:K,6,0),"&lt;/valeur&gt;")</f>
        <v>&lt;valeur&gt;&lt;/valeur&gt;</v>
      </c>
      <c r="K15861" s="1013"/>
    </row>
    <row r="15862" spans="1:11" s="1011" customFormat="1" ht="15" x14ac:dyDescent="0.25">
      <c r="A15862" s="859">
        <f t="shared" si="366"/>
        <v>15861</v>
      </c>
      <c r="B15862" s="845" t="s">
        <v>2564</v>
      </c>
      <c r="C15862" s="1007">
        <f t="shared" si="367"/>
        <v>154</v>
      </c>
      <c r="D15862" s="1015"/>
      <c r="I15862" s="1011" t="str">
        <f>CONCATENATE("&lt;numeroLigne&gt;",C15862,"&lt;/numeroLigne&gt;")</f>
        <v>&lt;numeroLigne&gt;154&lt;/numeroLigne&gt;</v>
      </c>
      <c r="K15862" s="1013"/>
    </row>
    <row r="15863" spans="1:11" s="1011" customFormat="1" ht="15" x14ac:dyDescent="0.25">
      <c r="A15863" s="859">
        <f t="shared" si="366"/>
        <v>15862</v>
      </c>
      <c r="B15863" s="845" t="s">
        <v>2564</v>
      </c>
      <c r="C15863" s="1007">
        <f t="shared" si="367"/>
        <v>154</v>
      </c>
      <c r="D15863" s="1012"/>
      <c r="H15863" s="1011" t="s">
        <v>1010</v>
      </c>
      <c r="K15863" s="1013"/>
    </row>
    <row r="15864" spans="1:11" s="1011" customFormat="1" ht="15" x14ac:dyDescent="0.25">
      <c r="A15864" s="859">
        <f t="shared" si="366"/>
        <v>15863</v>
      </c>
      <c r="B15864" s="845" t="s">
        <v>2564</v>
      </c>
      <c r="C15864" s="1007">
        <f t="shared" si="367"/>
        <v>154</v>
      </c>
      <c r="D15864" s="1012"/>
      <c r="H15864" s="1011" t="s">
        <v>1007</v>
      </c>
      <c r="K15864" s="1013"/>
    </row>
    <row r="15865" spans="1:11" s="1011" customFormat="1" ht="15" x14ac:dyDescent="0.25">
      <c r="A15865" s="859">
        <f t="shared" si="366"/>
        <v>15864</v>
      </c>
      <c r="B15865" s="845" t="s">
        <v>2564</v>
      </c>
      <c r="C15865" s="1007">
        <f t="shared" si="367"/>
        <v>154</v>
      </c>
      <c r="D15865" s="1014"/>
      <c r="I15865" s="1011" t="s">
        <v>2179</v>
      </c>
      <c r="K15865" s="1013"/>
    </row>
    <row r="15866" spans="1:11" s="1011" customFormat="1" ht="15" x14ac:dyDescent="0.25">
      <c r="A15866" s="859">
        <f t="shared" si="366"/>
        <v>15865</v>
      </c>
      <c r="B15866" s="845" t="s">
        <v>2564</v>
      </c>
      <c r="C15866" s="1007">
        <f t="shared" si="367"/>
        <v>154</v>
      </c>
      <c r="D15866" s="1014"/>
      <c r="I15866" s="1011" t="str">
        <f>CONCATENATE("&lt;valeur&gt;",VLOOKUP(C15866,'T16 Amort'!A:K,7,0),"&lt;/valeur&gt;")</f>
        <v>&lt;valeur&gt;&lt;/valeur&gt;</v>
      </c>
      <c r="K15866" s="1013"/>
    </row>
    <row r="15867" spans="1:11" s="1011" customFormat="1" ht="15" x14ac:dyDescent="0.25">
      <c r="A15867" s="859">
        <f t="shared" si="366"/>
        <v>15866</v>
      </c>
      <c r="B15867" s="845" t="s">
        <v>2564</v>
      </c>
      <c r="C15867" s="1007">
        <f t="shared" si="367"/>
        <v>154</v>
      </c>
      <c r="D15867" s="1012"/>
      <c r="I15867" s="1011" t="str">
        <f>CONCATENATE("&lt;numeroLigne&gt;",C15867,"&lt;/numeroLigne&gt;")</f>
        <v>&lt;numeroLigne&gt;154&lt;/numeroLigne&gt;</v>
      </c>
      <c r="K15867" s="1013"/>
    </row>
    <row r="15868" spans="1:11" s="1011" customFormat="1" ht="15" x14ac:dyDescent="0.25">
      <c r="A15868" s="859">
        <f t="shared" si="366"/>
        <v>15867</v>
      </c>
      <c r="B15868" s="845" t="s">
        <v>2564</v>
      </c>
      <c r="C15868" s="1007">
        <f t="shared" si="367"/>
        <v>154</v>
      </c>
      <c r="D15868" s="1015"/>
      <c r="H15868" s="1011" t="s">
        <v>1010</v>
      </c>
      <c r="K15868" s="1013"/>
    </row>
    <row r="15869" spans="1:11" s="1011" customFormat="1" ht="15" x14ac:dyDescent="0.25">
      <c r="A15869" s="859">
        <f t="shared" si="366"/>
        <v>15868</v>
      </c>
      <c r="B15869" s="845" t="s">
        <v>2564</v>
      </c>
      <c r="C15869" s="1007">
        <f t="shared" si="367"/>
        <v>154</v>
      </c>
      <c r="D15869" s="1012"/>
      <c r="H15869" s="1011" t="s">
        <v>1007</v>
      </c>
      <c r="K15869" s="1013"/>
    </row>
    <row r="15870" spans="1:11" s="1011" customFormat="1" ht="15" x14ac:dyDescent="0.25">
      <c r="A15870" s="859">
        <f t="shared" si="366"/>
        <v>15869</v>
      </c>
      <c r="B15870" s="845" t="s">
        <v>2564</v>
      </c>
      <c r="C15870" s="1007">
        <f t="shared" si="367"/>
        <v>154</v>
      </c>
      <c r="D15870" s="1012"/>
      <c r="I15870" s="1011" t="s">
        <v>2180</v>
      </c>
      <c r="K15870" s="1013"/>
    </row>
    <row r="15871" spans="1:11" s="1011" customFormat="1" ht="15" x14ac:dyDescent="0.25">
      <c r="A15871" s="859">
        <f t="shared" si="366"/>
        <v>15870</v>
      </c>
      <c r="B15871" s="845" t="s">
        <v>2564</v>
      </c>
      <c r="C15871" s="1007">
        <f t="shared" si="367"/>
        <v>154</v>
      </c>
      <c r="D15871" s="1014"/>
      <c r="I15871" s="1011" t="str">
        <f>CONCATENATE("&lt;valeur&gt;",VLOOKUP(C15871,'T16 Amort'!A:K,8,0),"&lt;/valeur&gt;")</f>
        <v>&lt;valeur&gt;&lt;/valeur&gt;</v>
      </c>
      <c r="K15871" s="1013"/>
    </row>
    <row r="15872" spans="1:11" s="1011" customFormat="1" ht="15" x14ac:dyDescent="0.25">
      <c r="A15872" s="859">
        <f t="shared" si="366"/>
        <v>15871</v>
      </c>
      <c r="B15872" s="845" t="s">
        <v>2564</v>
      </c>
      <c r="C15872" s="1007">
        <f t="shared" si="367"/>
        <v>154</v>
      </c>
      <c r="D15872" s="1014"/>
      <c r="I15872" s="1011" t="str">
        <f>CONCATENATE("&lt;numeroLigne&gt;",C15872,"&lt;/numeroLigne&gt;")</f>
        <v>&lt;numeroLigne&gt;154&lt;/numeroLigne&gt;</v>
      </c>
      <c r="K15872" s="1013"/>
    </row>
    <row r="15873" spans="1:11" s="1011" customFormat="1" ht="15" x14ac:dyDescent="0.25">
      <c r="A15873" s="859">
        <f t="shared" si="366"/>
        <v>15872</v>
      </c>
      <c r="B15873" s="845" t="s">
        <v>2564</v>
      </c>
      <c r="C15873" s="1007">
        <f t="shared" si="367"/>
        <v>154</v>
      </c>
      <c r="D15873" s="1012"/>
      <c r="H15873" s="1011" t="s">
        <v>1010</v>
      </c>
      <c r="K15873" s="1013"/>
    </row>
    <row r="15874" spans="1:11" s="1011" customFormat="1" ht="15" x14ac:dyDescent="0.25">
      <c r="A15874" s="859">
        <f t="shared" si="366"/>
        <v>15873</v>
      </c>
      <c r="B15874" s="845" t="s">
        <v>2564</v>
      </c>
      <c r="C15874" s="1007">
        <f t="shared" si="367"/>
        <v>154</v>
      </c>
      <c r="D15874" s="1015"/>
      <c r="H15874" s="1011" t="s">
        <v>1007</v>
      </c>
      <c r="K15874" s="1013"/>
    </row>
    <row r="15875" spans="1:11" s="1011" customFormat="1" ht="15" x14ac:dyDescent="0.25">
      <c r="A15875" s="859">
        <f t="shared" si="366"/>
        <v>15874</v>
      </c>
      <c r="B15875" s="845" t="s">
        <v>2564</v>
      </c>
      <c r="C15875" s="1007">
        <f t="shared" si="367"/>
        <v>154</v>
      </c>
      <c r="D15875" s="1012"/>
      <c r="I15875" s="1011" t="s">
        <v>2181</v>
      </c>
      <c r="K15875" s="1013"/>
    </row>
    <row r="15876" spans="1:11" s="1011" customFormat="1" ht="15" x14ac:dyDescent="0.25">
      <c r="A15876" s="859">
        <f t="shared" ref="A15876:A15939" si="368">+A15875+1</f>
        <v>15875</v>
      </c>
      <c r="B15876" s="845" t="s">
        <v>2564</v>
      </c>
      <c r="C15876" s="1007">
        <f t="shared" si="367"/>
        <v>154</v>
      </c>
      <c r="D15876" s="1012"/>
      <c r="I15876" s="1011" t="str">
        <f>CONCATENATE("&lt;valeur&gt;",VLOOKUP(C15876,'T16 Amort'!A:K,9,0),"&lt;/valeur&gt;")</f>
        <v>&lt;valeur&gt;&lt;/valeur&gt;</v>
      </c>
      <c r="K15876" s="1013"/>
    </row>
    <row r="15877" spans="1:11" s="1011" customFormat="1" ht="15" x14ac:dyDescent="0.25">
      <c r="A15877" s="859">
        <f t="shared" si="368"/>
        <v>15876</v>
      </c>
      <c r="B15877" s="845" t="s">
        <v>2564</v>
      </c>
      <c r="C15877" s="1007">
        <f t="shared" si="367"/>
        <v>154</v>
      </c>
      <c r="D15877" s="1014"/>
      <c r="I15877" s="1011" t="str">
        <f>CONCATENATE("&lt;numeroLigne&gt;",C15877,"&lt;/numeroLigne&gt;")</f>
        <v>&lt;numeroLigne&gt;154&lt;/numeroLigne&gt;</v>
      </c>
      <c r="K15877" s="1013"/>
    </row>
    <row r="15878" spans="1:11" s="1011" customFormat="1" ht="15" x14ac:dyDescent="0.25">
      <c r="A15878" s="859">
        <f t="shared" si="368"/>
        <v>15877</v>
      </c>
      <c r="B15878" s="845" t="s">
        <v>2564</v>
      </c>
      <c r="C15878" s="1007">
        <f t="shared" si="367"/>
        <v>154</v>
      </c>
      <c r="D15878" s="1014"/>
      <c r="H15878" s="1011" t="s">
        <v>1010</v>
      </c>
      <c r="K15878" s="1013"/>
    </row>
    <row r="15879" spans="1:11" s="1011" customFormat="1" ht="15" x14ac:dyDescent="0.25">
      <c r="A15879" s="859">
        <f t="shared" si="368"/>
        <v>15878</v>
      </c>
      <c r="B15879" s="845" t="s">
        <v>2564</v>
      </c>
      <c r="C15879" s="1007">
        <f t="shared" si="367"/>
        <v>154</v>
      </c>
      <c r="D15879" s="1012"/>
      <c r="H15879" s="1011" t="s">
        <v>1007</v>
      </c>
      <c r="K15879" s="1013"/>
    </row>
    <row r="15880" spans="1:11" s="1011" customFormat="1" ht="15" x14ac:dyDescent="0.25">
      <c r="A15880" s="859">
        <f t="shared" si="368"/>
        <v>15879</v>
      </c>
      <c r="B15880" s="845" t="s">
        <v>2564</v>
      </c>
      <c r="C15880" s="1007">
        <f t="shared" si="367"/>
        <v>154</v>
      </c>
      <c r="D15880" s="1015"/>
      <c r="I15880" s="1011" t="s">
        <v>2182</v>
      </c>
      <c r="K15880" s="1013"/>
    </row>
    <row r="15881" spans="1:11" s="1011" customFormat="1" ht="15" x14ac:dyDescent="0.25">
      <c r="A15881" s="859">
        <f t="shared" si="368"/>
        <v>15880</v>
      </c>
      <c r="B15881" s="845" t="s">
        <v>2564</v>
      </c>
      <c r="C15881" s="1007">
        <f t="shared" si="367"/>
        <v>154</v>
      </c>
      <c r="D15881" s="1012"/>
      <c r="I15881" s="1011" t="str">
        <f>CONCATENATE("&lt;valeur&gt;",VLOOKUP(C15881,'T16 Amort'!A:K,10,0),"&lt;/valeur&gt;")</f>
        <v>&lt;valeur&gt;&lt;/valeur&gt;</v>
      </c>
      <c r="K15881" s="1013"/>
    </row>
    <row r="15882" spans="1:11" s="1011" customFormat="1" ht="15" x14ac:dyDescent="0.25">
      <c r="A15882" s="859">
        <f t="shared" si="368"/>
        <v>15881</v>
      </c>
      <c r="B15882" s="845" t="s">
        <v>2564</v>
      </c>
      <c r="C15882" s="1007">
        <f t="shared" si="367"/>
        <v>154</v>
      </c>
      <c r="D15882" s="1012"/>
      <c r="I15882" s="1011" t="str">
        <f>CONCATENATE("&lt;numeroLigne&gt;",C15882,"&lt;/numeroLigne&gt;")</f>
        <v>&lt;numeroLigne&gt;154&lt;/numeroLigne&gt;</v>
      </c>
      <c r="K15882" s="1013"/>
    </row>
    <row r="15883" spans="1:11" s="1011" customFormat="1" ht="15" x14ac:dyDescent="0.25">
      <c r="A15883" s="859">
        <f t="shared" si="368"/>
        <v>15882</v>
      </c>
      <c r="B15883" s="845" t="s">
        <v>2564</v>
      </c>
      <c r="C15883" s="1007">
        <f t="shared" si="367"/>
        <v>154</v>
      </c>
      <c r="D15883" s="1014"/>
      <c r="H15883" s="1011" t="s">
        <v>1010</v>
      </c>
      <c r="K15883" s="1013"/>
    </row>
    <row r="15884" spans="1:11" s="1011" customFormat="1" ht="15" x14ac:dyDescent="0.25">
      <c r="A15884" s="859">
        <f t="shared" si="368"/>
        <v>15883</v>
      </c>
      <c r="B15884" s="845" t="s">
        <v>2564</v>
      </c>
      <c r="C15884" s="1007">
        <f t="shared" si="367"/>
        <v>154</v>
      </c>
      <c r="D15884" s="1014"/>
      <c r="H15884" s="1011" t="s">
        <v>1007</v>
      </c>
      <c r="K15884" s="1013"/>
    </row>
    <row r="15885" spans="1:11" s="1011" customFormat="1" ht="15" x14ac:dyDescent="0.25">
      <c r="A15885" s="859">
        <f t="shared" si="368"/>
        <v>15884</v>
      </c>
      <c r="B15885" s="845" t="s">
        <v>2564</v>
      </c>
      <c r="C15885" s="1007">
        <f t="shared" si="367"/>
        <v>154</v>
      </c>
      <c r="D15885" s="1012"/>
      <c r="I15885" s="1011" t="s">
        <v>2183</v>
      </c>
      <c r="K15885" s="1013"/>
    </row>
    <row r="15886" spans="1:11" s="1011" customFormat="1" ht="15" x14ac:dyDescent="0.25">
      <c r="A15886" s="859">
        <f t="shared" si="368"/>
        <v>15885</v>
      </c>
      <c r="B15886" s="845" t="s">
        <v>2564</v>
      </c>
      <c r="C15886" s="1007">
        <f t="shared" si="367"/>
        <v>154</v>
      </c>
      <c r="D15886" s="1015"/>
      <c r="I15886" s="1011" t="str">
        <f>CONCATENATE("&lt;valeur&gt;",VLOOKUP(C15886,'T16 Amort'!A:K,11,0),"&lt;/valeur&gt;")</f>
        <v>&lt;valeur&gt;&lt;/valeur&gt;</v>
      </c>
      <c r="K15886" s="1013"/>
    </row>
    <row r="15887" spans="1:11" s="1011" customFormat="1" ht="15" x14ac:dyDescent="0.25">
      <c r="A15887" s="859">
        <f t="shared" si="368"/>
        <v>15886</v>
      </c>
      <c r="B15887" s="845" t="s">
        <v>2564</v>
      </c>
      <c r="C15887" s="1007">
        <f t="shared" si="367"/>
        <v>154</v>
      </c>
      <c r="D15887" s="1012"/>
      <c r="I15887" s="1011" t="str">
        <f>CONCATENATE("&lt;numeroLigne&gt;",C15887,"&lt;/numeroLigne&gt;")</f>
        <v>&lt;numeroLigne&gt;154&lt;/numeroLigne&gt;</v>
      </c>
      <c r="K15887" s="1013"/>
    </row>
    <row r="15888" spans="1:11" s="1011" customFormat="1" ht="15" x14ac:dyDescent="0.25">
      <c r="A15888" s="859">
        <f t="shared" si="368"/>
        <v>15887</v>
      </c>
      <c r="B15888" s="845" t="s">
        <v>2564</v>
      </c>
      <c r="C15888" s="1007">
        <f t="shared" si="367"/>
        <v>154</v>
      </c>
      <c r="D15888" s="1016"/>
      <c r="E15888" s="1017"/>
      <c r="F15888" s="1017"/>
      <c r="G15888" s="1017"/>
      <c r="H15888" s="1017" t="s">
        <v>1010</v>
      </c>
      <c r="I15888" s="1017"/>
      <c r="J15888" s="1017"/>
      <c r="K15888" s="1018"/>
    </row>
    <row r="15889" spans="1:11" s="1011" customFormat="1" ht="15" x14ac:dyDescent="0.25">
      <c r="A15889" s="859">
        <f t="shared" si="368"/>
        <v>15888</v>
      </c>
      <c r="B15889" s="845" t="s">
        <v>2564</v>
      </c>
      <c r="C15889" s="1007">
        <f t="shared" si="367"/>
        <v>155</v>
      </c>
      <c r="D15889" s="1008"/>
      <c r="E15889" s="1009"/>
      <c r="F15889" s="1009"/>
      <c r="G15889" s="1009"/>
      <c r="H15889" s="1009" t="s">
        <v>1007</v>
      </c>
      <c r="I15889" s="1009"/>
      <c r="J15889" s="1009"/>
      <c r="K15889" s="1010"/>
    </row>
    <row r="15890" spans="1:11" s="1011" customFormat="1" ht="15" x14ac:dyDescent="0.25">
      <c r="A15890" s="859">
        <f t="shared" si="368"/>
        <v>15889</v>
      </c>
      <c r="B15890" s="845" t="s">
        <v>2564</v>
      </c>
      <c r="C15890" s="1007">
        <f t="shared" si="367"/>
        <v>155</v>
      </c>
      <c r="D15890" s="1012"/>
      <c r="I15890" s="1011" t="s">
        <v>2174</v>
      </c>
      <c r="K15890" s="1013"/>
    </row>
    <row r="15891" spans="1:11" s="1011" customFormat="1" ht="15" x14ac:dyDescent="0.25">
      <c r="A15891" s="859">
        <f t="shared" si="368"/>
        <v>15890</v>
      </c>
      <c r="B15891" s="845" t="s">
        <v>2564</v>
      </c>
      <c r="C15891" s="1007">
        <f t="shared" si="367"/>
        <v>155</v>
      </c>
      <c r="D15891" s="1014"/>
      <c r="I15891" s="1011" t="str">
        <f>CONCATENATE("&lt;valeur&gt;",VLOOKUP(C15891,'T16 Amort'!A:K,2,0),"&lt;/valeur&gt;")</f>
        <v>&lt;valeur&gt;&lt;/valeur&gt;</v>
      </c>
      <c r="K15891" s="1013"/>
    </row>
    <row r="15892" spans="1:11" s="1011" customFormat="1" ht="15" x14ac:dyDescent="0.25">
      <c r="A15892" s="859">
        <f t="shared" si="368"/>
        <v>15891</v>
      </c>
      <c r="B15892" s="845" t="s">
        <v>2564</v>
      </c>
      <c r="C15892" s="1007">
        <f t="shared" si="367"/>
        <v>155</v>
      </c>
      <c r="D15892" s="1014"/>
      <c r="I15892" s="1011" t="str">
        <f>CONCATENATE("&lt;numeroLigne&gt;",C15892,"&lt;/numeroLigne&gt;")</f>
        <v>&lt;numeroLigne&gt;155&lt;/numeroLigne&gt;</v>
      </c>
      <c r="K15892" s="1013"/>
    </row>
    <row r="15893" spans="1:11" s="1011" customFormat="1" ht="15" x14ac:dyDescent="0.25">
      <c r="A15893" s="859">
        <f t="shared" si="368"/>
        <v>15892</v>
      </c>
      <c r="B15893" s="845" t="s">
        <v>2564</v>
      </c>
      <c r="C15893" s="1007">
        <f t="shared" si="367"/>
        <v>155</v>
      </c>
      <c r="D15893" s="1012"/>
      <c r="H15893" s="1011" t="s">
        <v>1010</v>
      </c>
      <c r="K15893" s="1013"/>
    </row>
    <row r="15894" spans="1:11" s="1011" customFormat="1" ht="15" x14ac:dyDescent="0.25">
      <c r="A15894" s="859">
        <f t="shared" si="368"/>
        <v>15893</v>
      </c>
      <c r="B15894" s="845" t="s">
        <v>2564</v>
      </c>
      <c r="C15894" s="1007">
        <f t="shared" si="367"/>
        <v>155</v>
      </c>
      <c r="D15894" s="1015"/>
      <c r="H15894" s="1011" t="s">
        <v>1007</v>
      </c>
      <c r="K15894" s="1013"/>
    </row>
    <row r="15895" spans="1:11" s="1011" customFormat="1" ht="15" x14ac:dyDescent="0.25">
      <c r="A15895" s="859">
        <f t="shared" si="368"/>
        <v>15894</v>
      </c>
      <c r="B15895" s="845" t="s">
        <v>2564</v>
      </c>
      <c r="C15895" s="1007">
        <f t="shared" si="367"/>
        <v>155</v>
      </c>
      <c r="D15895" s="1012"/>
      <c r="I15895" s="1011" t="s">
        <v>2175</v>
      </c>
      <c r="K15895" s="1013"/>
    </row>
    <row r="15896" spans="1:11" s="1011" customFormat="1" ht="15" x14ac:dyDescent="0.25">
      <c r="A15896" s="859">
        <f t="shared" si="368"/>
        <v>15895</v>
      </c>
      <c r="B15896" s="845" t="s">
        <v>2564</v>
      </c>
      <c r="C15896" s="1007">
        <f t="shared" si="367"/>
        <v>155</v>
      </c>
      <c r="D15896" s="1012"/>
      <c r="I15896" s="1011" t="str">
        <f>CONCATENATE("&lt;valeur&gt;",VLOOKUP(C15896,'T16 Amort'!A:K,3,0),"&lt;/valeur&gt;")</f>
        <v>&lt;valeur&gt;&lt;/valeur&gt;</v>
      </c>
      <c r="K15896" s="1013"/>
    </row>
    <row r="15897" spans="1:11" s="1011" customFormat="1" ht="15" x14ac:dyDescent="0.25">
      <c r="A15897" s="859">
        <f t="shared" si="368"/>
        <v>15896</v>
      </c>
      <c r="B15897" s="845" t="s">
        <v>2564</v>
      </c>
      <c r="C15897" s="1007">
        <f t="shared" si="367"/>
        <v>155</v>
      </c>
      <c r="D15897" s="1014"/>
      <c r="I15897" s="1011" t="str">
        <f>CONCATENATE("&lt;numeroLigne&gt;",C15897,"&lt;/numeroLigne&gt;")</f>
        <v>&lt;numeroLigne&gt;155&lt;/numeroLigne&gt;</v>
      </c>
      <c r="K15897" s="1013"/>
    </row>
    <row r="15898" spans="1:11" s="1011" customFormat="1" ht="15" x14ac:dyDescent="0.25">
      <c r="A15898" s="859">
        <f t="shared" si="368"/>
        <v>15897</v>
      </c>
      <c r="B15898" s="845" t="s">
        <v>2564</v>
      </c>
      <c r="C15898" s="1007">
        <f t="shared" si="367"/>
        <v>155</v>
      </c>
      <c r="D15898" s="1014"/>
      <c r="H15898" s="1011" t="s">
        <v>1010</v>
      </c>
      <c r="K15898" s="1013"/>
    </row>
    <row r="15899" spans="1:11" s="1011" customFormat="1" ht="15" x14ac:dyDescent="0.25">
      <c r="A15899" s="859">
        <f t="shared" si="368"/>
        <v>15898</v>
      </c>
      <c r="B15899" s="845" t="s">
        <v>2564</v>
      </c>
      <c r="C15899" s="1007">
        <f t="shared" si="367"/>
        <v>155</v>
      </c>
      <c r="D15899" s="1012"/>
      <c r="H15899" s="1011" t="s">
        <v>1007</v>
      </c>
      <c r="K15899" s="1013"/>
    </row>
    <row r="15900" spans="1:11" s="1011" customFormat="1" ht="15" x14ac:dyDescent="0.25">
      <c r="A15900" s="859">
        <f t="shared" si="368"/>
        <v>15899</v>
      </c>
      <c r="B15900" s="845" t="s">
        <v>2564</v>
      </c>
      <c r="C15900" s="1007">
        <f t="shared" si="367"/>
        <v>155</v>
      </c>
      <c r="D15900" s="1015"/>
      <c r="I15900" s="1011" t="s">
        <v>2176</v>
      </c>
      <c r="K15900" s="1013"/>
    </row>
    <row r="15901" spans="1:11" s="1011" customFormat="1" ht="15" x14ac:dyDescent="0.25">
      <c r="A15901" s="859">
        <f t="shared" si="368"/>
        <v>15900</v>
      </c>
      <c r="B15901" s="845" t="s">
        <v>2564</v>
      </c>
      <c r="C15901" s="1007">
        <f t="shared" si="367"/>
        <v>155</v>
      </c>
      <c r="D15901" s="1012"/>
      <c r="I15901" s="1011" t="str">
        <f>CONCATENATE("&lt;valeur&gt;",VLOOKUP(C15901,'T16 Amort'!A:K,4,0),"&lt;/valeur&gt;")</f>
        <v>&lt;valeur&gt;&lt;/valeur&gt;</v>
      </c>
      <c r="K15901" s="1013"/>
    </row>
    <row r="15902" spans="1:11" s="1011" customFormat="1" ht="15" x14ac:dyDescent="0.25">
      <c r="A15902" s="859">
        <f t="shared" si="368"/>
        <v>15901</v>
      </c>
      <c r="B15902" s="845" t="s">
        <v>2564</v>
      </c>
      <c r="C15902" s="1007">
        <f t="shared" si="367"/>
        <v>155</v>
      </c>
      <c r="D15902" s="1012"/>
      <c r="I15902" s="1011" t="str">
        <f>CONCATENATE("&lt;numeroLigne&gt;",C15902,"&lt;/numeroLigne&gt;")</f>
        <v>&lt;numeroLigne&gt;155&lt;/numeroLigne&gt;</v>
      </c>
      <c r="K15902" s="1013"/>
    </row>
    <row r="15903" spans="1:11" s="1011" customFormat="1" ht="15" x14ac:dyDescent="0.25">
      <c r="A15903" s="859">
        <f t="shared" si="368"/>
        <v>15902</v>
      </c>
      <c r="B15903" s="845" t="s">
        <v>2564</v>
      </c>
      <c r="C15903" s="1007">
        <f t="shared" si="367"/>
        <v>155</v>
      </c>
      <c r="D15903" s="1014"/>
      <c r="H15903" s="1011" t="s">
        <v>1010</v>
      </c>
      <c r="K15903" s="1013"/>
    </row>
    <row r="15904" spans="1:11" s="1011" customFormat="1" ht="15" x14ac:dyDescent="0.25">
      <c r="A15904" s="859">
        <f t="shared" si="368"/>
        <v>15903</v>
      </c>
      <c r="B15904" s="845" t="s">
        <v>2564</v>
      </c>
      <c r="C15904" s="1007">
        <f t="shared" si="367"/>
        <v>155</v>
      </c>
      <c r="D15904" s="1014"/>
      <c r="H15904" s="1011" t="s">
        <v>1007</v>
      </c>
      <c r="K15904" s="1013"/>
    </row>
    <row r="15905" spans="1:11" s="1011" customFormat="1" ht="15" x14ac:dyDescent="0.25">
      <c r="A15905" s="859">
        <f t="shared" si="368"/>
        <v>15904</v>
      </c>
      <c r="B15905" s="845" t="s">
        <v>2564</v>
      </c>
      <c r="C15905" s="1007">
        <f t="shared" si="367"/>
        <v>155</v>
      </c>
      <c r="D15905" s="1012"/>
      <c r="I15905" s="1011" t="s">
        <v>2177</v>
      </c>
      <c r="K15905" s="1013"/>
    </row>
    <row r="15906" spans="1:11" s="1011" customFormat="1" ht="15" x14ac:dyDescent="0.25">
      <c r="A15906" s="859">
        <f t="shared" si="368"/>
        <v>15905</v>
      </c>
      <c r="B15906" s="845" t="s">
        <v>2564</v>
      </c>
      <c r="C15906" s="1007">
        <f t="shared" si="367"/>
        <v>155</v>
      </c>
      <c r="D15906" s="1015"/>
      <c r="I15906" s="1011" t="str">
        <f>CONCATENATE("&lt;valeur&gt;",VLOOKUP(C15906,'T16 Amort'!A:K,5,0),"&lt;/valeur&gt;")</f>
        <v>&lt;valeur&gt;&lt;/valeur&gt;</v>
      </c>
      <c r="K15906" s="1013"/>
    </row>
    <row r="15907" spans="1:11" s="1011" customFormat="1" ht="15" x14ac:dyDescent="0.25">
      <c r="A15907" s="859">
        <f t="shared" si="368"/>
        <v>15906</v>
      </c>
      <c r="B15907" s="845" t="s">
        <v>2564</v>
      </c>
      <c r="C15907" s="1007">
        <f t="shared" si="367"/>
        <v>155</v>
      </c>
      <c r="D15907" s="1012"/>
      <c r="I15907" s="1011" t="str">
        <f>CONCATENATE("&lt;numeroLigne&gt;",C15907,"&lt;/numeroLigne&gt;")</f>
        <v>&lt;numeroLigne&gt;155&lt;/numeroLigne&gt;</v>
      </c>
      <c r="K15907" s="1013"/>
    </row>
    <row r="15908" spans="1:11" s="1011" customFormat="1" ht="15" x14ac:dyDescent="0.25">
      <c r="A15908" s="859">
        <f t="shared" si="368"/>
        <v>15907</v>
      </c>
      <c r="B15908" s="845" t="s">
        <v>2564</v>
      </c>
      <c r="C15908" s="1007">
        <f t="shared" si="367"/>
        <v>155</v>
      </c>
      <c r="D15908" s="1012"/>
      <c r="H15908" s="1011" t="s">
        <v>1010</v>
      </c>
      <c r="K15908" s="1013"/>
    </row>
    <row r="15909" spans="1:11" s="1011" customFormat="1" ht="15" x14ac:dyDescent="0.25">
      <c r="A15909" s="859">
        <f t="shared" si="368"/>
        <v>15908</v>
      </c>
      <c r="B15909" s="845" t="s">
        <v>2564</v>
      </c>
      <c r="C15909" s="1007">
        <f t="shared" si="367"/>
        <v>155</v>
      </c>
      <c r="D15909" s="1014"/>
      <c r="H15909" s="1011" t="s">
        <v>1007</v>
      </c>
      <c r="K15909" s="1013"/>
    </row>
    <row r="15910" spans="1:11" s="1011" customFormat="1" ht="15" x14ac:dyDescent="0.25">
      <c r="A15910" s="859">
        <f t="shared" si="368"/>
        <v>15909</v>
      </c>
      <c r="B15910" s="845" t="s">
        <v>2564</v>
      </c>
      <c r="C15910" s="1007">
        <f t="shared" si="367"/>
        <v>155</v>
      </c>
      <c r="D15910" s="1014"/>
      <c r="I15910" s="1011" t="s">
        <v>2178</v>
      </c>
      <c r="K15910" s="1013"/>
    </row>
    <row r="15911" spans="1:11" s="1011" customFormat="1" ht="15" x14ac:dyDescent="0.25">
      <c r="A15911" s="859">
        <f t="shared" si="368"/>
        <v>15910</v>
      </c>
      <c r="B15911" s="845" t="s">
        <v>2564</v>
      </c>
      <c r="C15911" s="1007">
        <f t="shared" si="367"/>
        <v>155</v>
      </c>
      <c r="D15911" s="1012"/>
      <c r="I15911" s="1011" t="str">
        <f>CONCATENATE("&lt;valeur&gt;",VLOOKUP(C15911,'T16 Amort'!A:K,6,0),"&lt;/valeur&gt;")</f>
        <v>&lt;valeur&gt;&lt;/valeur&gt;</v>
      </c>
      <c r="K15911" s="1013"/>
    </row>
    <row r="15912" spans="1:11" s="1011" customFormat="1" ht="15" x14ac:dyDescent="0.25">
      <c r="A15912" s="859">
        <f t="shared" si="368"/>
        <v>15911</v>
      </c>
      <c r="B15912" s="845" t="s">
        <v>2564</v>
      </c>
      <c r="C15912" s="1007">
        <f t="shared" si="367"/>
        <v>155</v>
      </c>
      <c r="D15912" s="1015"/>
      <c r="I15912" s="1011" t="str">
        <f>CONCATENATE("&lt;numeroLigne&gt;",C15912,"&lt;/numeroLigne&gt;")</f>
        <v>&lt;numeroLigne&gt;155&lt;/numeroLigne&gt;</v>
      </c>
      <c r="K15912" s="1013"/>
    </row>
    <row r="15913" spans="1:11" s="1011" customFormat="1" ht="15" x14ac:dyDescent="0.25">
      <c r="A15913" s="859">
        <f t="shared" si="368"/>
        <v>15912</v>
      </c>
      <c r="B15913" s="845" t="s">
        <v>2564</v>
      </c>
      <c r="C15913" s="1007">
        <f t="shared" si="367"/>
        <v>155</v>
      </c>
      <c r="D15913" s="1012"/>
      <c r="H15913" s="1011" t="s">
        <v>1010</v>
      </c>
      <c r="K15913" s="1013"/>
    </row>
    <row r="15914" spans="1:11" s="1011" customFormat="1" ht="15" x14ac:dyDescent="0.25">
      <c r="A15914" s="859">
        <f t="shared" si="368"/>
        <v>15913</v>
      </c>
      <c r="B15914" s="845" t="s">
        <v>2564</v>
      </c>
      <c r="C15914" s="1007">
        <f t="shared" si="367"/>
        <v>155</v>
      </c>
      <c r="D15914" s="1012"/>
      <c r="H15914" s="1011" t="s">
        <v>1007</v>
      </c>
      <c r="K15914" s="1013"/>
    </row>
    <row r="15915" spans="1:11" s="1011" customFormat="1" ht="15" x14ac:dyDescent="0.25">
      <c r="A15915" s="859">
        <f t="shared" si="368"/>
        <v>15914</v>
      </c>
      <c r="B15915" s="845" t="s">
        <v>2564</v>
      </c>
      <c r="C15915" s="1007">
        <f t="shared" si="367"/>
        <v>155</v>
      </c>
      <c r="D15915" s="1014"/>
      <c r="I15915" s="1011" t="s">
        <v>2179</v>
      </c>
      <c r="K15915" s="1013"/>
    </row>
    <row r="15916" spans="1:11" s="1011" customFormat="1" ht="15" x14ac:dyDescent="0.25">
      <c r="A15916" s="859">
        <f t="shared" si="368"/>
        <v>15915</v>
      </c>
      <c r="B15916" s="845" t="s">
        <v>2564</v>
      </c>
      <c r="C15916" s="1007">
        <f t="shared" si="367"/>
        <v>155</v>
      </c>
      <c r="D15916" s="1014"/>
      <c r="I15916" s="1011" t="str">
        <f>CONCATENATE("&lt;valeur&gt;",VLOOKUP(C15916,'T16 Amort'!A:K,7,0),"&lt;/valeur&gt;")</f>
        <v>&lt;valeur&gt;&lt;/valeur&gt;</v>
      </c>
      <c r="K15916" s="1013"/>
    </row>
    <row r="15917" spans="1:11" s="1011" customFormat="1" ht="15" x14ac:dyDescent="0.25">
      <c r="A15917" s="859">
        <f t="shared" si="368"/>
        <v>15916</v>
      </c>
      <c r="B15917" s="845" t="s">
        <v>2564</v>
      </c>
      <c r="C15917" s="1007">
        <f t="shared" si="367"/>
        <v>155</v>
      </c>
      <c r="D15917" s="1012"/>
      <c r="I15917" s="1011" t="str">
        <f>CONCATENATE("&lt;numeroLigne&gt;",C15917,"&lt;/numeroLigne&gt;")</f>
        <v>&lt;numeroLigne&gt;155&lt;/numeroLigne&gt;</v>
      </c>
      <c r="K15917" s="1013"/>
    </row>
    <row r="15918" spans="1:11" s="1011" customFormat="1" ht="15" x14ac:dyDescent="0.25">
      <c r="A15918" s="859">
        <f t="shared" si="368"/>
        <v>15917</v>
      </c>
      <c r="B15918" s="845" t="s">
        <v>2564</v>
      </c>
      <c r="C15918" s="1007">
        <f t="shared" si="367"/>
        <v>155</v>
      </c>
      <c r="D15918" s="1015"/>
      <c r="H15918" s="1011" t="s">
        <v>1010</v>
      </c>
      <c r="K15918" s="1013"/>
    </row>
    <row r="15919" spans="1:11" s="1011" customFormat="1" ht="15" x14ac:dyDescent="0.25">
      <c r="A15919" s="859">
        <f t="shared" si="368"/>
        <v>15918</v>
      </c>
      <c r="B15919" s="845" t="s">
        <v>2564</v>
      </c>
      <c r="C15919" s="1007">
        <f t="shared" ref="C15919:C15982" si="369">C15869+1</f>
        <v>155</v>
      </c>
      <c r="D15919" s="1012"/>
      <c r="H15919" s="1011" t="s">
        <v>1007</v>
      </c>
      <c r="K15919" s="1013"/>
    </row>
    <row r="15920" spans="1:11" s="1011" customFormat="1" ht="15" x14ac:dyDescent="0.25">
      <c r="A15920" s="859">
        <f t="shared" si="368"/>
        <v>15919</v>
      </c>
      <c r="B15920" s="845" t="s">
        <v>2564</v>
      </c>
      <c r="C15920" s="1007">
        <f t="shared" si="369"/>
        <v>155</v>
      </c>
      <c r="D15920" s="1012"/>
      <c r="I15920" s="1011" t="s">
        <v>2180</v>
      </c>
      <c r="K15920" s="1013"/>
    </row>
    <row r="15921" spans="1:11" s="1011" customFormat="1" ht="15" x14ac:dyDescent="0.25">
      <c r="A15921" s="859">
        <f t="shared" si="368"/>
        <v>15920</v>
      </c>
      <c r="B15921" s="845" t="s">
        <v>2564</v>
      </c>
      <c r="C15921" s="1007">
        <f t="shared" si="369"/>
        <v>155</v>
      </c>
      <c r="D15921" s="1014"/>
      <c r="I15921" s="1011" t="str">
        <f>CONCATENATE("&lt;valeur&gt;",VLOOKUP(C15921,'T16 Amort'!A:K,8,0),"&lt;/valeur&gt;")</f>
        <v>&lt;valeur&gt;&lt;/valeur&gt;</v>
      </c>
      <c r="K15921" s="1013"/>
    </row>
    <row r="15922" spans="1:11" s="1011" customFormat="1" ht="15" x14ac:dyDescent="0.25">
      <c r="A15922" s="859">
        <f t="shared" si="368"/>
        <v>15921</v>
      </c>
      <c r="B15922" s="845" t="s">
        <v>2564</v>
      </c>
      <c r="C15922" s="1007">
        <f t="shared" si="369"/>
        <v>155</v>
      </c>
      <c r="D15922" s="1014"/>
      <c r="I15922" s="1011" t="str">
        <f>CONCATENATE("&lt;numeroLigne&gt;",C15922,"&lt;/numeroLigne&gt;")</f>
        <v>&lt;numeroLigne&gt;155&lt;/numeroLigne&gt;</v>
      </c>
      <c r="K15922" s="1013"/>
    </row>
    <row r="15923" spans="1:11" s="1011" customFormat="1" ht="15" x14ac:dyDescent="0.25">
      <c r="A15923" s="859">
        <f t="shared" si="368"/>
        <v>15922</v>
      </c>
      <c r="B15923" s="845" t="s">
        <v>2564</v>
      </c>
      <c r="C15923" s="1007">
        <f t="shared" si="369"/>
        <v>155</v>
      </c>
      <c r="D15923" s="1012"/>
      <c r="H15923" s="1011" t="s">
        <v>1010</v>
      </c>
      <c r="K15923" s="1013"/>
    </row>
    <row r="15924" spans="1:11" s="1011" customFormat="1" ht="15" x14ac:dyDescent="0.25">
      <c r="A15924" s="859">
        <f t="shared" si="368"/>
        <v>15923</v>
      </c>
      <c r="B15924" s="845" t="s">
        <v>2564</v>
      </c>
      <c r="C15924" s="1007">
        <f t="shared" si="369"/>
        <v>155</v>
      </c>
      <c r="D15924" s="1015"/>
      <c r="H15924" s="1011" t="s">
        <v>1007</v>
      </c>
      <c r="K15924" s="1013"/>
    </row>
    <row r="15925" spans="1:11" s="1011" customFormat="1" ht="15" x14ac:dyDescent="0.25">
      <c r="A15925" s="859">
        <f t="shared" si="368"/>
        <v>15924</v>
      </c>
      <c r="B15925" s="845" t="s">
        <v>2564</v>
      </c>
      <c r="C15925" s="1007">
        <f t="shared" si="369"/>
        <v>155</v>
      </c>
      <c r="D15925" s="1012"/>
      <c r="I15925" s="1011" t="s">
        <v>2181</v>
      </c>
      <c r="K15925" s="1013"/>
    </row>
    <row r="15926" spans="1:11" s="1011" customFormat="1" ht="15" x14ac:dyDescent="0.25">
      <c r="A15926" s="859">
        <f t="shared" si="368"/>
        <v>15925</v>
      </c>
      <c r="B15926" s="845" t="s">
        <v>2564</v>
      </c>
      <c r="C15926" s="1007">
        <f t="shared" si="369"/>
        <v>155</v>
      </c>
      <c r="D15926" s="1012"/>
      <c r="I15926" s="1011" t="str">
        <f>CONCATENATE("&lt;valeur&gt;",VLOOKUP(C15926,'T16 Amort'!A:K,9,0),"&lt;/valeur&gt;")</f>
        <v>&lt;valeur&gt;&lt;/valeur&gt;</v>
      </c>
      <c r="K15926" s="1013"/>
    </row>
    <row r="15927" spans="1:11" s="1011" customFormat="1" ht="15" x14ac:dyDescent="0.25">
      <c r="A15927" s="859">
        <f t="shared" si="368"/>
        <v>15926</v>
      </c>
      <c r="B15927" s="845" t="s">
        <v>2564</v>
      </c>
      <c r="C15927" s="1007">
        <f t="shared" si="369"/>
        <v>155</v>
      </c>
      <c r="D15927" s="1014"/>
      <c r="I15927" s="1011" t="str">
        <f>CONCATENATE("&lt;numeroLigne&gt;",C15927,"&lt;/numeroLigne&gt;")</f>
        <v>&lt;numeroLigne&gt;155&lt;/numeroLigne&gt;</v>
      </c>
      <c r="K15927" s="1013"/>
    </row>
    <row r="15928" spans="1:11" s="1011" customFormat="1" ht="15" x14ac:dyDescent="0.25">
      <c r="A15928" s="859">
        <f t="shared" si="368"/>
        <v>15927</v>
      </c>
      <c r="B15928" s="845" t="s">
        <v>2564</v>
      </c>
      <c r="C15928" s="1007">
        <f t="shared" si="369"/>
        <v>155</v>
      </c>
      <c r="D15928" s="1014"/>
      <c r="H15928" s="1011" t="s">
        <v>1010</v>
      </c>
      <c r="K15928" s="1013"/>
    </row>
    <row r="15929" spans="1:11" s="1011" customFormat="1" ht="15" x14ac:dyDescent="0.25">
      <c r="A15929" s="859">
        <f t="shared" si="368"/>
        <v>15928</v>
      </c>
      <c r="B15929" s="845" t="s">
        <v>2564</v>
      </c>
      <c r="C15929" s="1007">
        <f t="shared" si="369"/>
        <v>155</v>
      </c>
      <c r="D15929" s="1012"/>
      <c r="H15929" s="1011" t="s">
        <v>1007</v>
      </c>
      <c r="K15929" s="1013"/>
    </row>
    <row r="15930" spans="1:11" s="1011" customFormat="1" ht="15" x14ac:dyDescent="0.25">
      <c r="A15930" s="859">
        <f t="shared" si="368"/>
        <v>15929</v>
      </c>
      <c r="B15930" s="845" t="s">
        <v>2564</v>
      </c>
      <c r="C15930" s="1007">
        <f t="shared" si="369"/>
        <v>155</v>
      </c>
      <c r="D15930" s="1015"/>
      <c r="I15930" s="1011" t="s">
        <v>2182</v>
      </c>
      <c r="K15930" s="1013"/>
    </row>
    <row r="15931" spans="1:11" s="1011" customFormat="1" ht="15" x14ac:dyDescent="0.25">
      <c r="A15931" s="859">
        <f t="shared" si="368"/>
        <v>15930</v>
      </c>
      <c r="B15931" s="845" t="s">
        <v>2564</v>
      </c>
      <c r="C15931" s="1007">
        <f t="shared" si="369"/>
        <v>155</v>
      </c>
      <c r="D15931" s="1012"/>
      <c r="I15931" s="1011" t="str">
        <f>CONCATENATE("&lt;valeur&gt;",VLOOKUP(C15931,'T16 Amort'!A:K,10,0),"&lt;/valeur&gt;")</f>
        <v>&lt;valeur&gt;&lt;/valeur&gt;</v>
      </c>
      <c r="K15931" s="1013"/>
    </row>
    <row r="15932" spans="1:11" s="1011" customFormat="1" ht="15" x14ac:dyDescent="0.25">
      <c r="A15932" s="859">
        <f t="shared" si="368"/>
        <v>15931</v>
      </c>
      <c r="B15932" s="845" t="s">
        <v>2564</v>
      </c>
      <c r="C15932" s="1007">
        <f t="shared" si="369"/>
        <v>155</v>
      </c>
      <c r="D15932" s="1012"/>
      <c r="I15932" s="1011" t="str">
        <f>CONCATENATE("&lt;numeroLigne&gt;",C15932,"&lt;/numeroLigne&gt;")</f>
        <v>&lt;numeroLigne&gt;155&lt;/numeroLigne&gt;</v>
      </c>
      <c r="K15932" s="1013"/>
    </row>
    <row r="15933" spans="1:11" s="1011" customFormat="1" ht="15" x14ac:dyDescent="0.25">
      <c r="A15933" s="859">
        <f t="shared" si="368"/>
        <v>15932</v>
      </c>
      <c r="B15933" s="845" t="s">
        <v>2564</v>
      </c>
      <c r="C15933" s="1007">
        <f t="shared" si="369"/>
        <v>155</v>
      </c>
      <c r="D15933" s="1014"/>
      <c r="H15933" s="1011" t="s">
        <v>1010</v>
      </c>
      <c r="K15933" s="1013"/>
    </row>
    <row r="15934" spans="1:11" s="1011" customFormat="1" ht="15" x14ac:dyDescent="0.25">
      <c r="A15934" s="859">
        <f t="shared" si="368"/>
        <v>15933</v>
      </c>
      <c r="B15934" s="845" t="s">
        <v>2564</v>
      </c>
      <c r="C15934" s="1007">
        <f t="shared" si="369"/>
        <v>155</v>
      </c>
      <c r="D15934" s="1014"/>
      <c r="H15934" s="1011" t="s">
        <v>1007</v>
      </c>
      <c r="K15934" s="1013"/>
    </row>
    <row r="15935" spans="1:11" s="1011" customFormat="1" ht="15" x14ac:dyDescent="0.25">
      <c r="A15935" s="859">
        <f t="shared" si="368"/>
        <v>15934</v>
      </c>
      <c r="B15935" s="845" t="s">
        <v>2564</v>
      </c>
      <c r="C15935" s="1007">
        <f t="shared" si="369"/>
        <v>155</v>
      </c>
      <c r="D15935" s="1012"/>
      <c r="I15935" s="1011" t="s">
        <v>2183</v>
      </c>
      <c r="K15935" s="1013"/>
    </row>
    <row r="15936" spans="1:11" s="1011" customFormat="1" ht="15" x14ac:dyDescent="0.25">
      <c r="A15936" s="859">
        <f t="shared" si="368"/>
        <v>15935</v>
      </c>
      <c r="B15936" s="845" t="s">
        <v>2564</v>
      </c>
      <c r="C15936" s="1007">
        <f t="shared" si="369"/>
        <v>155</v>
      </c>
      <c r="D15936" s="1015"/>
      <c r="I15936" s="1011" t="str">
        <f>CONCATENATE("&lt;valeur&gt;",VLOOKUP(C15936,'T16 Amort'!A:K,11,0),"&lt;/valeur&gt;")</f>
        <v>&lt;valeur&gt;&lt;/valeur&gt;</v>
      </c>
      <c r="K15936" s="1013"/>
    </row>
    <row r="15937" spans="1:11" s="1011" customFormat="1" ht="15" x14ac:dyDescent="0.25">
      <c r="A15937" s="859">
        <f t="shared" si="368"/>
        <v>15936</v>
      </c>
      <c r="B15937" s="845" t="s">
        <v>2564</v>
      </c>
      <c r="C15937" s="1007">
        <f t="shared" si="369"/>
        <v>155</v>
      </c>
      <c r="D15937" s="1012"/>
      <c r="I15937" s="1011" t="str">
        <f>CONCATENATE("&lt;numeroLigne&gt;",C15937,"&lt;/numeroLigne&gt;")</f>
        <v>&lt;numeroLigne&gt;155&lt;/numeroLigne&gt;</v>
      </c>
      <c r="K15937" s="1013"/>
    </row>
    <row r="15938" spans="1:11" s="1011" customFormat="1" ht="15" x14ac:dyDescent="0.25">
      <c r="A15938" s="859">
        <f t="shared" si="368"/>
        <v>15937</v>
      </c>
      <c r="B15938" s="845" t="s">
        <v>2564</v>
      </c>
      <c r="C15938" s="1007">
        <f t="shared" si="369"/>
        <v>155</v>
      </c>
      <c r="D15938" s="1016"/>
      <c r="E15938" s="1017"/>
      <c r="F15938" s="1017"/>
      <c r="G15938" s="1017"/>
      <c r="H15938" s="1017" t="s">
        <v>1010</v>
      </c>
      <c r="I15938" s="1017"/>
      <c r="J15938" s="1017"/>
      <c r="K15938" s="1018"/>
    </row>
    <row r="15939" spans="1:11" s="1011" customFormat="1" ht="15" x14ac:dyDescent="0.25">
      <c r="A15939" s="859">
        <f t="shared" si="368"/>
        <v>15938</v>
      </c>
      <c r="B15939" s="845" t="s">
        <v>2564</v>
      </c>
      <c r="C15939" s="1007">
        <f t="shared" si="369"/>
        <v>156</v>
      </c>
      <c r="D15939" s="1008"/>
      <c r="E15939" s="1009"/>
      <c r="F15939" s="1009"/>
      <c r="G15939" s="1009"/>
      <c r="H15939" s="1009" t="s">
        <v>1007</v>
      </c>
      <c r="I15939" s="1009"/>
      <c r="J15939" s="1009"/>
      <c r="K15939" s="1010"/>
    </row>
    <row r="15940" spans="1:11" s="1011" customFormat="1" ht="15" x14ac:dyDescent="0.25">
      <c r="A15940" s="859">
        <f t="shared" ref="A15940:A16003" si="370">+A15939+1</f>
        <v>15939</v>
      </c>
      <c r="B15940" s="845" t="s">
        <v>2564</v>
      </c>
      <c r="C15940" s="1007">
        <f t="shared" si="369"/>
        <v>156</v>
      </c>
      <c r="D15940" s="1012"/>
      <c r="I15940" s="1011" t="s">
        <v>2174</v>
      </c>
      <c r="K15940" s="1013"/>
    </row>
    <row r="15941" spans="1:11" s="1011" customFormat="1" ht="15" x14ac:dyDescent="0.25">
      <c r="A15941" s="859">
        <f t="shared" si="370"/>
        <v>15940</v>
      </c>
      <c r="B15941" s="845" t="s">
        <v>2564</v>
      </c>
      <c r="C15941" s="1007">
        <f t="shared" si="369"/>
        <v>156</v>
      </c>
      <c r="D15941" s="1014"/>
      <c r="I15941" s="1011" t="str">
        <f>CONCATENATE("&lt;valeur&gt;",VLOOKUP(C15941,'T16 Amort'!A:K,2,0),"&lt;/valeur&gt;")</f>
        <v>&lt;valeur&gt;&lt;/valeur&gt;</v>
      </c>
      <c r="K15941" s="1013"/>
    </row>
    <row r="15942" spans="1:11" s="1011" customFormat="1" ht="15" x14ac:dyDescent="0.25">
      <c r="A15942" s="859">
        <f t="shared" si="370"/>
        <v>15941</v>
      </c>
      <c r="B15942" s="845" t="s">
        <v>2564</v>
      </c>
      <c r="C15942" s="1007">
        <f t="shared" si="369"/>
        <v>156</v>
      </c>
      <c r="D15942" s="1014"/>
      <c r="I15942" s="1011" t="str">
        <f>CONCATENATE("&lt;numeroLigne&gt;",C15942,"&lt;/numeroLigne&gt;")</f>
        <v>&lt;numeroLigne&gt;156&lt;/numeroLigne&gt;</v>
      </c>
      <c r="K15942" s="1013"/>
    </row>
    <row r="15943" spans="1:11" s="1011" customFormat="1" ht="15" x14ac:dyDescent="0.25">
      <c r="A15943" s="859">
        <f t="shared" si="370"/>
        <v>15942</v>
      </c>
      <c r="B15943" s="845" t="s">
        <v>2564</v>
      </c>
      <c r="C15943" s="1007">
        <f t="shared" si="369"/>
        <v>156</v>
      </c>
      <c r="D15943" s="1012"/>
      <c r="H15943" s="1011" t="s">
        <v>1010</v>
      </c>
      <c r="K15943" s="1013"/>
    </row>
    <row r="15944" spans="1:11" s="1011" customFormat="1" ht="15" x14ac:dyDescent="0.25">
      <c r="A15944" s="859">
        <f t="shared" si="370"/>
        <v>15943</v>
      </c>
      <c r="B15944" s="845" t="s">
        <v>2564</v>
      </c>
      <c r="C15944" s="1007">
        <f t="shared" si="369"/>
        <v>156</v>
      </c>
      <c r="D15944" s="1015"/>
      <c r="H15944" s="1011" t="s">
        <v>1007</v>
      </c>
      <c r="K15944" s="1013"/>
    </row>
    <row r="15945" spans="1:11" s="1011" customFormat="1" ht="15" x14ac:dyDescent="0.25">
      <c r="A15945" s="859">
        <f t="shared" si="370"/>
        <v>15944</v>
      </c>
      <c r="B15945" s="845" t="s">
        <v>2564</v>
      </c>
      <c r="C15945" s="1007">
        <f t="shared" si="369"/>
        <v>156</v>
      </c>
      <c r="D15945" s="1012"/>
      <c r="I15945" s="1011" t="s">
        <v>2175</v>
      </c>
      <c r="K15945" s="1013"/>
    </row>
    <row r="15946" spans="1:11" s="1011" customFormat="1" ht="15" x14ac:dyDescent="0.25">
      <c r="A15946" s="859">
        <f t="shared" si="370"/>
        <v>15945</v>
      </c>
      <c r="B15946" s="845" t="s">
        <v>2564</v>
      </c>
      <c r="C15946" s="1007">
        <f t="shared" si="369"/>
        <v>156</v>
      </c>
      <c r="D15946" s="1012"/>
      <c r="I15946" s="1011" t="str">
        <f>CONCATENATE("&lt;valeur&gt;",VLOOKUP(C15946,'T16 Amort'!A:K,3,0),"&lt;/valeur&gt;")</f>
        <v>&lt;valeur&gt;&lt;/valeur&gt;</v>
      </c>
      <c r="K15946" s="1013"/>
    </row>
    <row r="15947" spans="1:11" s="1011" customFormat="1" ht="15" x14ac:dyDescent="0.25">
      <c r="A15947" s="859">
        <f t="shared" si="370"/>
        <v>15946</v>
      </c>
      <c r="B15947" s="845" t="s">
        <v>2564</v>
      </c>
      <c r="C15947" s="1007">
        <f t="shared" si="369"/>
        <v>156</v>
      </c>
      <c r="D15947" s="1014"/>
      <c r="I15947" s="1011" t="str">
        <f>CONCATENATE("&lt;numeroLigne&gt;",C15947,"&lt;/numeroLigne&gt;")</f>
        <v>&lt;numeroLigne&gt;156&lt;/numeroLigne&gt;</v>
      </c>
      <c r="K15947" s="1013"/>
    </row>
    <row r="15948" spans="1:11" s="1011" customFormat="1" ht="15" x14ac:dyDescent="0.25">
      <c r="A15948" s="859">
        <f t="shared" si="370"/>
        <v>15947</v>
      </c>
      <c r="B15948" s="845" t="s">
        <v>2564</v>
      </c>
      <c r="C15948" s="1007">
        <f t="shared" si="369"/>
        <v>156</v>
      </c>
      <c r="D15948" s="1014"/>
      <c r="H15948" s="1011" t="s">
        <v>1010</v>
      </c>
      <c r="K15948" s="1013"/>
    </row>
    <row r="15949" spans="1:11" s="1011" customFormat="1" ht="15" x14ac:dyDescent="0.25">
      <c r="A15949" s="859">
        <f t="shared" si="370"/>
        <v>15948</v>
      </c>
      <c r="B15949" s="845" t="s">
        <v>2564</v>
      </c>
      <c r="C15949" s="1007">
        <f t="shared" si="369"/>
        <v>156</v>
      </c>
      <c r="D15949" s="1012"/>
      <c r="H15949" s="1011" t="s">
        <v>1007</v>
      </c>
      <c r="K15949" s="1013"/>
    </row>
    <row r="15950" spans="1:11" s="1011" customFormat="1" ht="15" x14ac:dyDescent="0.25">
      <c r="A15950" s="859">
        <f t="shared" si="370"/>
        <v>15949</v>
      </c>
      <c r="B15950" s="845" t="s">
        <v>2564</v>
      </c>
      <c r="C15950" s="1007">
        <f t="shared" si="369"/>
        <v>156</v>
      </c>
      <c r="D15950" s="1015"/>
      <c r="I15950" s="1011" t="s">
        <v>2176</v>
      </c>
      <c r="K15950" s="1013"/>
    </row>
    <row r="15951" spans="1:11" s="1011" customFormat="1" ht="15" x14ac:dyDescent="0.25">
      <c r="A15951" s="859">
        <f t="shared" si="370"/>
        <v>15950</v>
      </c>
      <c r="B15951" s="845" t="s">
        <v>2564</v>
      </c>
      <c r="C15951" s="1007">
        <f t="shared" si="369"/>
        <v>156</v>
      </c>
      <c r="D15951" s="1012"/>
      <c r="I15951" s="1011" t="str">
        <f>CONCATENATE("&lt;valeur&gt;",VLOOKUP(C15951,'T16 Amort'!A:K,4,0),"&lt;/valeur&gt;")</f>
        <v>&lt;valeur&gt;&lt;/valeur&gt;</v>
      </c>
      <c r="K15951" s="1013"/>
    </row>
    <row r="15952" spans="1:11" s="1011" customFormat="1" ht="15" x14ac:dyDescent="0.25">
      <c r="A15952" s="859">
        <f t="shared" si="370"/>
        <v>15951</v>
      </c>
      <c r="B15952" s="845" t="s">
        <v>2564</v>
      </c>
      <c r="C15952" s="1007">
        <f t="shared" si="369"/>
        <v>156</v>
      </c>
      <c r="D15952" s="1012"/>
      <c r="I15952" s="1011" t="str">
        <f>CONCATENATE("&lt;numeroLigne&gt;",C15952,"&lt;/numeroLigne&gt;")</f>
        <v>&lt;numeroLigne&gt;156&lt;/numeroLigne&gt;</v>
      </c>
      <c r="K15952" s="1013"/>
    </row>
    <row r="15953" spans="1:11" s="1011" customFormat="1" ht="15" x14ac:dyDescent="0.25">
      <c r="A15953" s="859">
        <f t="shared" si="370"/>
        <v>15952</v>
      </c>
      <c r="B15953" s="845" t="s">
        <v>2564</v>
      </c>
      <c r="C15953" s="1007">
        <f t="shared" si="369"/>
        <v>156</v>
      </c>
      <c r="D15953" s="1014"/>
      <c r="H15953" s="1011" t="s">
        <v>1010</v>
      </c>
      <c r="K15953" s="1013"/>
    </row>
    <row r="15954" spans="1:11" s="1011" customFormat="1" ht="15" x14ac:dyDescent="0.25">
      <c r="A15954" s="859">
        <f t="shared" si="370"/>
        <v>15953</v>
      </c>
      <c r="B15954" s="845" t="s">
        <v>2564</v>
      </c>
      <c r="C15954" s="1007">
        <f t="shared" si="369"/>
        <v>156</v>
      </c>
      <c r="D15954" s="1014"/>
      <c r="H15954" s="1011" t="s">
        <v>1007</v>
      </c>
      <c r="K15954" s="1013"/>
    </row>
    <row r="15955" spans="1:11" s="1011" customFormat="1" ht="15" x14ac:dyDescent="0.25">
      <c r="A15955" s="859">
        <f t="shared" si="370"/>
        <v>15954</v>
      </c>
      <c r="B15955" s="845" t="s">
        <v>2564</v>
      </c>
      <c r="C15955" s="1007">
        <f t="shared" si="369"/>
        <v>156</v>
      </c>
      <c r="D15955" s="1012"/>
      <c r="I15955" s="1011" t="s">
        <v>2177</v>
      </c>
      <c r="K15955" s="1013"/>
    </row>
    <row r="15956" spans="1:11" s="1011" customFormat="1" ht="15" x14ac:dyDescent="0.25">
      <c r="A15956" s="859">
        <f t="shared" si="370"/>
        <v>15955</v>
      </c>
      <c r="B15956" s="845" t="s">
        <v>2564</v>
      </c>
      <c r="C15956" s="1007">
        <f t="shared" si="369"/>
        <v>156</v>
      </c>
      <c r="D15956" s="1015"/>
      <c r="I15956" s="1011" t="str">
        <f>CONCATENATE("&lt;valeur&gt;",VLOOKUP(C15956,'T16 Amort'!A:K,5,0),"&lt;/valeur&gt;")</f>
        <v>&lt;valeur&gt;&lt;/valeur&gt;</v>
      </c>
      <c r="K15956" s="1013"/>
    </row>
    <row r="15957" spans="1:11" s="1011" customFormat="1" ht="15" x14ac:dyDescent="0.25">
      <c r="A15957" s="859">
        <f t="shared" si="370"/>
        <v>15956</v>
      </c>
      <c r="B15957" s="845" t="s">
        <v>2564</v>
      </c>
      <c r="C15957" s="1007">
        <f t="shared" si="369"/>
        <v>156</v>
      </c>
      <c r="D15957" s="1012"/>
      <c r="I15957" s="1011" t="str">
        <f>CONCATENATE("&lt;numeroLigne&gt;",C15957,"&lt;/numeroLigne&gt;")</f>
        <v>&lt;numeroLigne&gt;156&lt;/numeroLigne&gt;</v>
      </c>
      <c r="K15957" s="1013"/>
    </row>
    <row r="15958" spans="1:11" s="1011" customFormat="1" ht="15" x14ac:dyDescent="0.25">
      <c r="A15958" s="859">
        <f t="shared" si="370"/>
        <v>15957</v>
      </c>
      <c r="B15958" s="845" t="s">
        <v>2564</v>
      </c>
      <c r="C15958" s="1007">
        <f t="shared" si="369"/>
        <v>156</v>
      </c>
      <c r="D15958" s="1012"/>
      <c r="H15958" s="1011" t="s">
        <v>1010</v>
      </c>
      <c r="K15958" s="1013"/>
    </row>
    <row r="15959" spans="1:11" s="1011" customFormat="1" ht="15" x14ac:dyDescent="0.25">
      <c r="A15959" s="859">
        <f t="shared" si="370"/>
        <v>15958</v>
      </c>
      <c r="B15959" s="845" t="s">
        <v>2564</v>
      </c>
      <c r="C15959" s="1007">
        <f t="shared" si="369"/>
        <v>156</v>
      </c>
      <c r="D15959" s="1014"/>
      <c r="H15959" s="1011" t="s">
        <v>1007</v>
      </c>
      <c r="K15959" s="1013"/>
    </row>
    <row r="15960" spans="1:11" s="1011" customFormat="1" ht="15" x14ac:dyDescent="0.25">
      <c r="A15960" s="859">
        <f t="shared" si="370"/>
        <v>15959</v>
      </c>
      <c r="B15960" s="845" t="s">
        <v>2564</v>
      </c>
      <c r="C15960" s="1007">
        <f t="shared" si="369"/>
        <v>156</v>
      </c>
      <c r="D15960" s="1014"/>
      <c r="I15960" s="1011" t="s">
        <v>2178</v>
      </c>
      <c r="K15960" s="1013"/>
    </row>
    <row r="15961" spans="1:11" s="1011" customFormat="1" ht="15" x14ac:dyDescent="0.25">
      <c r="A15961" s="859">
        <f t="shared" si="370"/>
        <v>15960</v>
      </c>
      <c r="B15961" s="845" t="s">
        <v>2564</v>
      </c>
      <c r="C15961" s="1007">
        <f t="shared" si="369"/>
        <v>156</v>
      </c>
      <c r="D15961" s="1012"/>
      <c r="I15961" s="1011" t="str">
        <f>CONCATENATE("&lt;valeur&gt;",VLOOKUP(C15961,'T16 Amort'!A:K,6,0),"&lt;/valeur&gt;")</f>
        <v>&lt;valeur&gt;&lt;/valeur&gt;</v>
      </c>
      <c r="K15961" s="1013"/>
    </row>
    <row r="15962" spans="1:11" s="1011" customFormat="1" ht="15" x14ac:dyDescent="0.25">
      <c r="A15962" s="859">
        <f t="shared" si="370"/>
        <v>15961</v>
      </c>
      <c r="B15962" s="845" t="s">
        <v>2564</v>
      </c>
      <c r="C15962" s="1007">
        <f t="shared" si="369"/>
        <v>156</v>
      </c>
      <c r="D15962" s="1015"/>
      <c r="I15962" s="1011" t="str">
        <f>CONCATENATE("&lt;numeroLigne&gt;",C15962,"&lt;/numeroLigne&gt;")</f>
        <v>&lt;numeroLigne&gt;156&lt;/numeroLigne&gt;</v>
      </c>
      <c r="K15962" s="1013"/>
    </row>
    <row r="15963" spans="1:11" s="1011" customFormat="1" ht="15" x14ac:dyDescent="0.25">
      <c r="A15963" s="859">
        <f t="shared" si="370"/>
        <v>15962</v>
      </c>
      <c r="B15963" s="845" t="s">
        <v>2564</v>
      </c>
      <c r="C15963" s="1007">
        <f t="shared" si="369"/>
        <v>156</v>
      </c>
      <c r="D15963" s="1012"/>
      <c r="H15963" s="1011" t="s">
        <v>1010</v>
      </c>
      <c r="K15963" s="1013"/>
    </row>
    <row r="15964" spans="1:11" s="1011" customFormat="1" ht="15" x14ac:dyDescent="0.25">
      <c r="A15964" s="859">
        <f t="shared" si="370"/>
        <v>15963</v>
      </c>
      <c r="B15964" s="845" t="s">
        <v>2564</v>
      </c>
      <c r="C15964" s="1007">
        <f t="shared" si="369"/>
        <v>156</v>
      </c>
      <c r="D15964" s="1012"/>
      <c r="H15964" s="1011" t="s">
        <v>1007</v>
      </c>
      <c r="K15964" s="1013"/>
    </row>
    <row r="15965" spans="1:11" s="1011" customFormat="1" ht="15" x14ac:dyDescent="0.25">
      <c r="A15965" s="859">
        <f t="shared" si="370"/>
        <v>15964</v>
      </c>
      <c r="B15965" s="845" t="s">
        <v>2564</v>
      </c>
      <c r="C15965" s="1007">
        <f t="shared" si="369"/>
        <v>156</v>
      </c>
      <c r="D15965" s="1014"/>
      <c r="I15965" s="1011" t="s">
        <v>2179</v>
      </c>
      <c r="K15965" s="1013"/>
    </row>
    <row r="15966" spans="1:11" s="1011" customFormat="1" ht="15" x14ac:dyDescent="0.25">
      <c r="A15966" s="859">
        <f t="shared" si="370"/>
        <v>15965</v>
      </c>
      <c r="B15966" s="845" t="s">
        <v>2564</v>
      </c>
      <c r="C15966" s="1007">
        <f t="shared" si="369"/>
        <v>156</v>
      </c>
      <c r="D15966" s="1014"/>
      <c r="I15966" s="1011" t="str">
        <f>CONCATENATE("&lt;valeur&gt;",VLOOKUP(C15966,'T16 Amort'!A:K,7,0),"&lt;/valeur&gt;")</f>
        <v>&lt;valeur&gt;&lt;/valeur&gt;</v>
      </c>
      <c r="K15966" s="1013"/>
    </row>
    <row r="15967" spans="1:11" s="1011" customFormat="1" ht="15" x14ac:dyDescent="0.25">
      <c r="A15967" s="859">
        <f t="shared" si="370"/>
        <v>15966</v>
      </c>
      <c r="B15967" s="845" t="s">
        <v>2564</v>
      </c>
      <c r="C15967" s="1007">
        <f t="shared" si="369"/>
        <v>156</v>
      </c>
      <c r="D15967" s="1012"/>
      <c r="I15967" s="1011" t="str">
        <f>CONCATENATE("&lt;numeroLigne&gt;",C15967,"&lt;/numeroLigne&gt;")</f>
        <v>&lt;numeroLigne&gt;156&lt;/numeroLigne&gt;</v>
      </c>
      <c r="K15967" s="1013"/>
    </row>
    <row r="15968" spans="1:11" s="1011" customFormat="1" ht="15" x14ac:dyDescent="0.25">
      <c r="A15968" s="859">
        <f t="shared" si="370"/>
        <v>15967</v>
      </c>
      <c r="B15968" s="845" t="s">
        <v>2564</v>
      </c>
      <c r="C15968" s="1007">
        <f t="shared" si="369"/>
        <v>156</v>
      </c>
      <c r="D15968" s="1015"/>
      <c r="H15968" s="1011" t="s">
        <v>1010</v>
      </c>
      <c r="K15968" s="1013"/>
    </row>
    <row r="15969" spans="1:11" s="1011" customFormat="1" ht="15" x14ac:dyDescent="0.25">
      <c r="A15969" s="859">
        <f t="shared" si="370"/>
        <v>15968</v>
      </c>
      <c r="B15969" s="845" t="s">
        <v>2564</v>
      </c>
      <c r="C15969" s="1007">
        <f t="shared" si="369"/>
        <v>156</v>
      </c>
      <c r="D15969" s="1012"/>
      <c r="H15969" s="1011" t="s">
        <v>1007</v>
      </c>
      <c r="K15969" s="1013"/>
    </row>
    <row r="15970" spans="1:11" s="1011" customFormat="1" ht="15" x14ac:dyDescent="0.25">
      <c r="A15970" s="859">
        <f t="shared" si="370"/>
        <v>15969</v>
      </c>
      <c r="B15970" s="845" t="s">
        <v>2564</v>
      </c>
      <c r="C15970" s="1007">
        <f t="shared" si="369"/>
        <v>156</v>
      </c>
      <c r="D15970" s="1012"/>
      <c r="I15970" s="1011" t="s">
        <v>2180</v>
      </c>
      <c r="K15970" s="1013"/>
    </row>
    <row r="15971" spans="1:11" s="1011" customFormat="1" ht="15" x14ac:dyDescent="0.25">
      <c r="A15971" s="859">
        <f t="shared" si="370"/>
        <v>15970</v>
      </c>
      <c r="B15971" s="845" t="s">
        <v>2564</v>
      </c>
      <c r="C15971" s="1007">
        <f t="shared" si="369"/>
        <v>156</v>
      </c>
      <c r="D15971" s="1014"/>
      <c r="I15971" s="1011" t="str">
        <f>CONCATENATE("&lt;valeur&gt;",VLOOKUP(C15971,'T16 Amort'!A:K,8,0),"&lt;/valeur&gt;")</f>
        <v>&lt;valeur&gt;&lt;/valeur&gt;</v>
      </c>
      <c r="K15971" s="1013"/>
    </row>
    <row r="15972" spans="1:11" s="1011" customFormat="1" ht="15" x14ac:dyDescent="0.25">
      <c r="A15972" s="859">
        <f t="shared" si="370"/>
        <v>15971</v>
      </c>
      <c r="B15972" s="845" t="s">
        <v>2564</v>
      </c>
      <c r="C15972" s="1007">
        <f t="shared" si="369"/>
        <v>156</v>
      </c>
      <c r="D15972" s="1014"/>
      <c r="I15972" s="1011" t="str">
        <f>CONCATENATE("&lt;numeroLigne&gt;",C15972,"&lt;/numeroLigne&gt;")</f>
        <v>&lt;numeroLigne&gt;156&lt;/numeroLigne&gt;</v>
      </c>
      <c r="K15972" s="1013"/>
    </row>
    <row r="15973" spans="1:11" s="1011" customFormat="1" ht="15" x14ac:dyDescent="0.25">
      <c r="A15973" s="859">
        <f t="shared" si="370"/>
        <v>15972</v>
      </c>
      <c r="B15973" s="845" t="s">
        <v>2564</v>
      </c>
      <c r="C15973" s="1007">
        <f t="shared" si="369"/>
        <v>156</v>
      </c>
      <c r="D15973" s="1012"/>
      <c r="H15973" s="1011" t="s">
        <v>1010</v>
      </c>
      <c r="K15973" s="1013"/>
    </row>
    <row r="15974" spans="1:11" s="1011" customFormat="1" ht="15" x14ac:dyDescent="0.25">
      <c r="A15974" s="859">
        <f t="shared" si="370"/>
        <v>15973</v>
      </c>
      <c r="B15974" s="845" t="s">
        <v>2564</v>
      </c>
      <c r="C15974" s="1007">
        <f t="shared" si="369"/>
        <v>156</v>
      </c>
      <c r="D15974" s="1015"/>
      <c r="H15974" s="1011" t="s">
        <v>1007</v>
      </c>
      <c r="K15974" s="1013"/>
    </row>
    <row r="15975" spans="1:11" s="1011" customFormat="1" ht="15" x14ac:dyDescent="0.25">
      <c r="A15975" s="859">
        <f t="shared" si="370"/>
        <v>15974</v>
      </c>
      <c r="B15975" s="845" t="s">
        <v>2564</v>
      </c>
      <c r="C15975" s="1007">
        <f t="shared" si="369"/>
        <v>156</v>
      </c>
      <c r="D15975" s="1012"/>
      <c r="I15975" s="1011" t="s">
        <v>2181</v>
      </c>
      <c r="K15975" s="1013"/>
    </row>
    <row r="15976" spans="1:11" s="1011" customFormat="1" ht="15" x14ac:dyDescent="0.25">
      <c r="A15976" s="859">
        <f t="shared" si="370"/>
        <v>15975</v>
      </c>
      <c r="B15976" s="845" t="s">
        <v>2564</v>
      </c>
      <c r="C15976" s="1007">
        <f t="shared" si="369"/>
        <v>156</v>
      </c>
      <c r="D15976" s="1012"/>
      <c r="I15976" s="1011" t="str">
        <f>CONCATENATE("&lt;valeur&gt;",VLOOKUP(C15976,'T16 Amort'!A:K,9,0),"&lt;/valeur&gt;")</f>
        <v>&lt;valeur&gt;&lt;/valeur&gt;</v>
      </c>
      <c r="K15976" s="1013"/>
    </row>
    <row r="15977" spans="1:11" s="1011" customFormat="1" ht="15" x14ac:dyDescent="0.25">
      <c r="A15977" s="859">
        <f t="shared" si="370"/>
        <v>15976</v>
      </c>
      <c r="B15977" s="845" t="s">
        <v>2564</v>
      </c>
      <c r="C15977" s="1007">
        <f t="shared" si="369"/>
        <v>156</v>
      </c>
      <c r="D15977" s="1014"/>
      <c r="I15977" s="1011" t="str">
        <f>CONCATENATE("&lt;numeroLigne&gt;",C15977,"&lt;/numeroLigne&gt;")</f>
        <v>&lt;numeroLigne&gt;156&lt;/numeroLigne&gt;</v>
      </c>
      <c r="K15977" s="1013"/>
    </row>
    <row r="15978" spans="1:11" s="1011" customFormat="1" ht="15" x14ac:dyDescent="0.25">
      <c r="A15978" s="859">
        <f t="shared" si="370"/>
        <v>15977</v>
      </c>
      <c r="B15978" s="845" t="s">
        <v>2564</v>
      </c>
      <c r="C15978" s="1007">
        <f t="shared" si="369"/>
        <v>156</v>
      </c>
      <c r="D15978" s="1014"/>
      <c r="H15978" s="1011" t="s">
        <v>1010</v>
      </c>
      <c r="K15978" s="1013"/>
    </row>
    <row r="15979" spans="1:11" s="1011" customFormat="1" ht="15" x14ac:dyDescent="0.25">
      <c r="A15979" s="859">
        <f t="shared" si="370"/>
        <v>15978</v>
      </c>
      <c r="B15979" s="845" t="s">
        <v>2564</v>
      </c>
      <c r="C15979" s="1007">
        <f t="shared" si="369"/>
        <v>156</v>
      </c>
      <c r="D15979" s="1012"/>
      <c r="H15979" s="1011" t="s">
        <v>1007</v>
      </c>
      <c r="K15979" s="1013"/>
    </row>
    <row r="15980" spans="1:11" s="1011" customFormat="1" ht="15" x14ac:dyDescent="0.25">
      <c r="A15980" s="859">
        <f t="shared" si="370"/>
        <v>15979</v>
      </c>
      <c r="B15980" s="845" t="s">
        <v>2564</v>
      </c>
      <c r="C15980" s="1007">
        <f t="shared" si="369"/>
        <v>156</v>
      </c>
      <c r="D15980" s="1015"/>
      <c r="I15980" s="1011" t="s">
        <v>2182</v>
      </c>
      <c r="K15980" s="1013"/>
    </row>
    <row r="15981" spans="1:11" s="1011" customFormat="1" ht="15" x14ac:dyDescent="0.25">
      <c r="A15981" s="859">
        <f t="shared" si="370"/>
        <v>15980</v>
      </c>
      <c r="B15981" s="845" t="s">
        <v>2564</v>
      </c>
      <c r="C15981" s="1007">
        <f t="shared" si="369"/>
        <v>156</v>
      </c>
      <c r="D15981" s="1012"/>
      <c r="I15981" s="1011" t="str">
        <f>CONCATENATE("&lt;valeur&gt;",VLOOKUP(C15981,'T16 Amort'!A:K,10,0),"&lt;/valeur&gt;")</f>
        <v>&lt;valeur&gt;&lt;/valeur&gt;</v>
      </c>
      <c r="K15981" s="1013"/>
    </row>
    <row r="15982" spans="1:11" s="1011" customFormat="1" ht="15" x14ac:dyDescent="0.25">
      <c r="A15982" s="859">
        <f t="shared" si="370"/>
        <v>15981</v>
      </c>
      <c r="B15982" s="845" t="s">
        <v>2564</v>
      </c>
      <c r="C15982" s="1007">
        <f t="shared" si="369"/>
        <v>156</v>
      </c>
      <c r="D15982" s="1012"/>
      <c r="I15982" s="1011" t="str">
        <f>CONCATENATE("&lt;numeroLigne&gt;",C15982,"&lt;/numeroLigne&gt;")</f>
        <v>&lt;numeroLigne&gt;156&lt;/numeroLigne&gt;</v>
      </c>
      <c r="K15982" s="1013"/>
    </row>
    <row r="15983" spans="1:11" s="1011" customFormat="1" ht="15" x14ac:dyDescent="0.25">
      <c r="A15983" s="859">
        <f t="shared" si="370"/>
        <v>15982</v>
      </c>
      <c r="B15983" s="845" t="s">
        <v>2564</v>
      </c>
      <c r="C15983" s="1007">
        <f t="shared" ref="C15983:C16046" si="371">C15933+1</f>
        <v>156</v>
      </c>
      <c r="D15983" s="1014"/>
      <c r="H15983" s="1011" t="s">
        <v>1010</v>
      </c>
      <c r="K15983" s="1013"/>
    </row>
    <row r="15984" spans="1:11" s="1011" customFormat="1" ht="15" x14ac:dyDescent="0.25">
      <c r="A15984" s="859">
        <f t="shared" si="370"/>
        <v>15983</v>
      </c>
      <c r="B15984" s="845" t="s">
        <v>2564</v>
      </c>
      <c r="C15984" s="1007">
        <f t="shared" si="371"/>
        <v>156</v>
      </c>
      <c r="D15984" s="1014"/>
      <c r="H15984" s="1011" t="s">
        <v>1007</v>
      </c>
      <c r="K15984" s="1013"/>
    </row>
    <row r="15985" spans="1:11" s="1011" customFormat="1" ht="15" x14ac:dyDescent="0.25">
      <c r="A15985" s="859">
        <f t="shared" si="370"/>
        <v>15984</v>
      </c>
      <c r="B15985" s="845" t="s">
        <v>2564</v>
      </c>
      <c r="C15985" s="1007">
        <f t="shared" si="371"/>
        <v>156</v>
      </c>
      <c r="D15985" s="1012"/>
      <c r="I15985" s="1011" t="s">
        <v>2183</v>
      </c>
      <c r="K15985" s="1013"/>
    </row>
    <row r="15986" spans="1:11" s="1011" customFormat="1" ht="15" x14ac:dyDescent="0.25">
      <c r="A15986" s="859">
        <f t="shared" si="370"/>
        <v>15985</v>
      </c>
      <c r="B15986" s="845" t="s">
        <v>2564</v>
      </c>
      <c r="C15986" s="1007">
        <f t="shared" si="371"/>
        <v>156</v>
      </c>
      <c r="D15986" s="1015"/>
      <c r="I15986" s="1011" t="str">
        <f>CONCATENATE("&lt;valeur&gt;",VLOOKUP(C15986,'T16 Amort'!A:K,11,0),"&lt;/valeur&gt;")</f>
        <v>&lt;valeur&gt;&lt;/valeur&gt;</v>
      </c>
      <c r="K15986" s="1013"/>
    </row>
    <row r="15987" spans="1:11" s="1011" customFormat="1" ht="15" x14ac:dyDescent="0.25">
      <c r="A15987" s="859">
        <f t="shared" si="370"/>
        <v>15986</v>
      </c>
      <c r="B15987" s="845" t="s">
        <v>2564</v>
      </c>
      <c r="C15987" s="1007">
        <f t="shared" si="371"/>
        <v>156</v>
      </c>
      <c r="D15987" s="1012"/>
      <c r="I15987" s="1011" t="str">
        <f>CONCATENATE("&lt;numeroLigne&gt;",C15987,"&lt;/numeroLigne&gt;")</f>
        <v>&lt;numeroLigne&gt;156&lt;/numeroLigne&gt;</v>
      </c>
      <c r="K15987" s="1013"/>
    </row>
    <row r="15988" spans="1:11" s="1011" customFormat="1" ht="15" x14ac:dyDescent="0.25">
      <c r="A15988" s="859">
        <f t="shared" si="370"/>
        <v>15987</v>
      </c>
      <c r="B15988" s="845" t="s">
        <v>2564</v>
      </c>
      <c r="C15988" s="1007">
        <f t="shared" si="371"/>
        <v>156</v>
      </c>
      <c r="D15988" s="1016"/>
      <c r="E15988" s="1017"/>
      <c r="F15988" s="1017"/>
      <c r="G15988" s="1017"/>
      <c r="H15988" s="1017" t="s">
        <v>1010</v>
      </c>
      <c r="I15988" s="1017"/>
      <c r="J15988" s="1017"/>
      <c r="K15988" s="1018"/>
    </row>
    <row r="15989" spans="1:11" s="1011" customFormat="1" ht="15" x14ac:dyDescent="0.25">
      <c r="A15989" s="859">
        <f t="shared" si="370"/>
        <v>15988</v>
      </c>
      <c r="B15989" s="845" t="s">
        <v>2564</v>
      </c>
      <c r="C15989" s="1007">
        <f t="shared" si="371"/>
        <v>157</v>
      </c>
      <c r="D15989" s="1008"/>
      <c r="E15989" s="1009"/>
      <c r="F15989" s="1009"/>
      <c r="G15989" s="1009"/>
      <c r="H15989" s="1009" t="s">
        <v>1007</v>
      </c>
      <c r="I15989" s="1009"/>
      <c r="J15989" s="1009"/>
      <c r="K15989" s="1010"/>
    </row>
    <row r="15990" spans="1:11" s="1011" customFormat="1" ht="15" x14ac:dyDescent="0.25">
      <c r="A15990" s="859">
        <f t="shared" si="370"/>
        <v>15989</v>
      </c>
      <c r="B15990" s="845" t="s">
        <v>2564</v>
      </c>
      <c r="C15990" s="1007">
        <f t="shared" si="371"/>
        <v>157</v>
      </c>
      <c r="D15990" s="1012"/>
      <c r="I15990" s="1011" t="s">
        <v>2174</v>
      </c>
      <c r="K15990" s="1013"/>
    </row>
    <row r="15991" spans="1:11" s="1011" customFormat="1" ht="15" x14ac:dyDescent="0.25">
      <c r="A15991" s="859">
        <f t="shared" si="370"/>
        <v>15990</v>
      </c>
      <c r="B15991" s="845" t="s">
        <v>2564</v>
      </c>
      <c r="C15991" s="1007">
        <f t="shared" si="371"/>
        <v>157</v>
      </c>
      <c r="D15991" s="1014"/>
      <c r="I15991" s="1011" t="str">
        <f>CONCATENATE("&lt;valeur&gt;",VLOOKUP(C15991,'T16 Amort'!A:K,2,0),"&lt;/valeur&gt;")</f>
        <v>&lt;valeur&gt;&lt;/valeur&gt;</v>
      </c>
      <c r="K15991" s="1013"/>
    </row>
    <row r="15992" spans="1:11" s="1011" customFormat="1" ht="15" x14ac:dyDescent="0.25">
      <c r="A15992" s="859">
        <f t="shared" si="370"/>
        <v>15991</v>
      </c>
      <c r="B15992" s="845" t="s">
        <v>2564</v>
      </c>
      <c r="C15992" s="1007">
        <f t="shared" si="371"/>
        <v>157</v>
      </c>
      <c r="D15992" s="1014"/>
      <c r="I15992" s="1011" t="str">
        <f>CONCATENATE("&lt;numeroLigne&gt;",C15992,"&lt;/numeroLigne&gt;")</f>
        <v>&lt;numeroLigne&gt;157&lt;/numeroLigne&gt;</v>
      </c>
      <c r="K15992" s="1013"/>
    </row>
    <row r="15993" spans="1:11" s="1011" customFormat="1" ht="15" x14ac:dyDescent="0.25">
      <c r="A15993" s="859">
        <f t="shared" si="370"/>
        <v>15992</v>
      </c>
      <c r="B15993" s="845" t="s">
        <v>2564</v>
      </c>
      <c r="C15993" s="1007">
        <f t="shared" si="371"/>
        <v>157</v>
      </c>
      <c r="D15993" s="1012"/>
      <c r="H15993" s="1011" t="s">
        <v>1010</v>
      </c>
      <c r="K15993" s="1013"/>
    </row>
    <row r="15994" spans="1:11" s="1011" customFormat="1" ht="15" x14ac:dyDescent="0.25">
      <c r="A15994" s="859">
        <f t="shared" si="370"/>
        <v>15993</v>
      </c>
      <c r="B15994" s="845" t="s">
        <v>2564</v>
      </c>
      <c r="C15994" s="1007">
        <f t="shared" si="371"/>
        <v>157</v>
      </c>
      <c r="D15994" s="1015"/>
      <c r="H15994" s="1011" t="s">
        <v>1007</v>
      </c>
      <c r="K15994" s="1013"/>
    </row>
    <row r="15995" spans="1:11" s="1011" customFormat="1" ht="15" x14ac:dyDescent="0.25">
      <c r="A15995" s="859">
        <f t="shared" si="370"/>
        <v>15994</v>
      </c>
      <c r="B15995" s="845" t="s">
        <v>2564</v>
      </c>
      <c r="C15995" s="1007">
        <f t="shared" si="371"/>
        <v>157</v>
      </c>
      <c r="D15995" s="1012"/>
      <c r="I15995" s="1011" t="s">
        <v>2175</v>
      </c>
      <c r="K15995" s="1013"/>
    </row>
    <row r="15996" spans="1:11" s="1011" customFormat="1" ht="15" x14ac:dyDescent="0.25">
      <c r="A15996" s="859">
        <f t="shared" si="370"/>
        <v>15995</v>
      </c>
      <c r="B15996" s="845" t="s">
        <v>2564</v>
      </c>
      <c r="C15996" s="1007">
        <f t="shared" si="371"/>
        <v>157</v>
      </c>
      <c r="D15996" s="1012"/>
      <c r="I15996" s="1011" t="str">
        <f>CONCATENATE("&lt;valeur&gt;",VLOOKUP(C15996,'T16 Amort'!A:K,3,0),"&lt;/valeur&gt;")</f>
        <v>&lt;valeur&gt;&lt;/valeur&gt;</v>
      </c>
      <c r="K15996" s="1013"/>
    </row>
    <row r="15997" spans="1:11" s="1011" customFormat="1" ht="15" x14ac:dyDescent="0.25">
      <c r="A15997" s="859">
        <f t="shared" si="370"/>
        <v>15996</v>
      </c>
      <c r="B15997" s="845" t="s">
        <v>2564</v>
      </c>
      <c r="C15997" s="1007">
        <f t="shared" si="371"/>
        <v>157</v>
      </c>
      <c r="D15997" s="1014"/>
      <c r="I15997" s="1011" t="str">
        <f>CONCATENATE("&lt;numeroLigne&gt;",C15997,"&lt;/numeroLigne&gt;")</f>
        <v>&lt;numeroLigne&gt;157&lt;/numeroLigne&gt;</v>
      </c>
      <c r="K15997" s="1013"/>
    </row>
    <row r="15998" spans="1:11" s="1011" customFormat="1" ht="15" x14ac:dyDescent="0.25">
      <c r="A15998" s="859">
        <f t="shared" si="370"/>
        <v>15997</v>
      </c>
      <c r="B15998" s="845" t="s">
        <v>2564</v>
      </c>
      <c r="C15998" s="1007">
        <f t="shared" si="371"/>
        <v>157</v>
      </c>
      <c r="D15998" s="1014"/>
      <c r="H15998" s="1011" t="s">
        <v>1010</v>
      </c>
      <c r="K15998" s="1013"/>
    </row>
    <row r="15999" spans="1:11" s="1011" customFormat="1" ht="15" x14ac:dyDescent="0.25">
      <c r="A15999" s="859">
        <f t="shared" si="370"/>
        <v>15998</v>
      </c>
      <c r="B15999" s="845" t="s">
        <v>2564</v>
      </c>
      <c r="C15999" s="1007">
        <f t="shared" si="371"/>
        <v>157</v>
      </c>
      <c r="D15999" s="1012"/>
      <c r="H15999" s="1011" t="s">
        <v>1007</v>
      </c>
      <c r="K15999" s="1013"/>
    </row>
    <row r="16000" spans="1:11" s="1011" customFormat="1" ht="15" x14ac:dyDescent="0.25">
      <c r="A16000" s="859">
        <f t="shared" si="370"/>
        <v>15999</v>
      </c>
      <c r="B16000" s="845" t="s">
        <v>2564</v>
      </c>
      <c r="C16000" s="1007">
        <f t="shared" si="371"/>
        <v>157</v>
      </c>
      <c r="D16000" s="1015"/>
      <c r="I16000" s="1011" t="s">
        <v>2176</v>
      </c>
      <c r="K16000" s="1013"/>
    </row>
    <row r="16001" spans="1:11" s="1011" customFormat="1" ht="15" x14ac:dyDescent="0.25">
      <c r="A16001" s="859">
        <f t="shared" si="370"/>
        <v>16000</v>
      </c>
      <c r="B16001" s="845" t="s">
        <v>2564</v>
      </c>
      <c r="C16001" s="1007">
        <f t="shared" si="371"/>
        <v>157</v>
      </c>
      <c r="D16001" s="1012"/>
      <c r="I16001" s="1011" t="str">
        <f>CONCATENATE("&lt;valeur&gt;",VLOOKUP(C16001,'T16 Amort'!A:K,4,0),"&lt;/valeur&gt;")</f>
        <v>&lt;valeur&gt;&lt;/valeur&gt;</v>
      </c>
      <c r="K16001" s="1013"/>
    </row>
    <row r="16002" spans="1:11" s="1011" customFormat="1" ht="15" x14ac:dyDescent="0.25">
      <c r="A16002" s="859">
        <f t="shared" si="370"/>
        <v>16001</v>
      </c>
      <c r="B16002" s="845" t="s">
        <v>2564</v>
      </c>
      <c r="C16002" s="1007">
        <f t="shared" si="371"/>
        <v>157</v>
      </c>
      <c r="D16002" s="1012"/>
      <c r="I16002" s="1011" t="str">
        <f>CONCATENATE("&lt;numeroLigne&gt;",C16002,"&lt;/numeroLigne&gt;")</f>
        <v>&lt;numeroLigne&gt;157&lt;/numeroLigne&gt;</v>
      </c>
      <c r="K16002" s="1013"/>
    </row>
    <row r="16003" spans="1:11" s="1011" customFormat="1" ht="15" x14ac:dyDescent="0.25">
      <c r="A16003" s="859">
        <f t="shared" si="370"/>
        <v>16002</v>
      </c>
      <c r="B16003" s="845" t="s">
        <v>2564</v>
      </c>
      <c r="C16003" s="1007">
        <f t="shared" si="371"/>
        <v>157</v>
      </c>
      <c r="D16003" s="1014"/>
      <c r="H16003" s="1011" t="s">
        <v>1010</v>
      </c>
      <c r="K16003" s="1013"/>
    </row>
    <row r="16004" spans="1:11" s="1011" customFormat="1" ht="15" x14ac:dyDescent="0.25">
      <c r="A16004" s="859">
        <f t="shared" ref="A16004:A16067" si="372">+A16003+1</f>
        <v>16003</v>
      </c>
      <c r="B16004" s="845" t="s">
        <v>2564</v>
      </c>
      <c r="C16004" s="1007">
        <f t="shared" si="371"/>
        <v>157</v>
      </c>
      <c r="D16004" s="1014"/>
      <c r="H16004" s="1011" t="s">
        <v>1007</v>
      </c>
      <c r="K16004" s="1013"/>
    </row>
    <row r="16005" spans="1:11" s="1011" customFormat="1" ht="15" x14ac:dyDescent="0.25">
      <c r="A16005" s="859">
        <f t="shared" si="372"/>
        <v>16004</v>
      </c>
      <c r="B16005" s="845" t="s">
        <v>2564</v>
      </c>
      <c r="C16005" s="1007">
        <f t="shared" si="371"/>
        <v>157</v>
      </c>
      <c r="D16005" s="1012"/>
      <c r="I16005" s="1011" t="s">
        <v>2177</v>
      </c>
      <c r="K16005" s="1013"/>
    </row>
    <row r="16006" spans="1:11" s="1011" customFormat="1" ht="15" x14ac:dyDescent="0.25">
      <c r="A16006" s="859">
        <f t="shared" si="372"/>
        <v>16005</v>
      </c>
      <c r="B16006" s="845" t="s">
        <v>2564</v>
      </c>
      <c r="C16006" s="1007">
        <f t="shared" si="371"/>
        <v>157</v>
      </c>
      <c r="D16006" s="1015"/>
      <c r="I16006" s="1011" t="str">
        <f>CONCATENATE("&lt;valeur&gt;",VLOOKUP(C16006,'T16 Amort'!A:K,5,0),"&lt;/valeur&gt;")</f>
        <v>&lt;valeur&gt;&lt;/valeur&gt;</v>
      </c>
      <c r="K16006" s="1013"/>
    </row>
    <row r="16007" spans="1:11" s="1011" customFormat="1" ht="15" x14ac:dyDescent="0.25">
      <c r="A16007" s="859">
        <f t="shared" si="372"/>
        <v>16006</v>
      </c>
      <c r="B16007" s="845" t="s">
        <v>2564</v>
      </c>
      <c r="C16007" s="1007">
        <f t="shared" si="371"/>
        <v>157</v>
      </c>
      <c r="D16007" s="1012"/>
      <c r="I16007" s="1011" t="str">
        <f>CONCATENATE("&lt;numeroLigne&gt;",C16007,"&lt;/numeroLigne&gt;")</f>
        <v>&lt;numeroLigne&gt;157&lt;/numeroLigne&gt;</v>
      </c>
      <c r="K16007" s="1013"/>
    </row>
    <row r="16008" spans="1:11" s="1011" customFormat="1" ht="15" x14ac:dyDescent="0.25">
      <c r="A16008" s="859">
        <f t="shared" si="372"/>
        <v>16007</v>
      </c>
      <c r="B16008" s="845" t="s">
        <v>2564</v>
      </c>
      <c r="C16008" s="1007">
        <f t="shared" si="371"/>
        <v>157</v>
      </c>
      <c r="D16008" s="1012"/>
      <c r="H16008" s="1011" t="s">
        <v>1010</v>
      </c>
      <c r="K16008" s="1013"/>
    </row>
    <row r="16009" spans="1:11" s="1011" customFormat="1" ht="15" x14ac:dyDescent="0.25">
      <c r="A16009" s="859">
        <f t="shared" si="372"/>
        <v>16008</v>
      </c>
      <c r="B16009" s="845" t="s">
        <v>2564</v>
      </c>
      <c r="C16009" s="1007">
        <f t="shared" si="371"/>
        <v>157</v>
      </c>
      <c r="D16009" s="1014"/>
      <c r="H16009" s="1011" t="s">
        <v>1007</v>
      </c>
      <c r="K16009" s="1013"/>
    </row>
    <row r="16010" spans="1:11" s="1011" customFormat="1" ht="15" x14ac:dyDescent="0.25">
      <c r="A16010" s="859">
        <f t="shared" si="372"/>
        <v>16009</v>
      </c>
      <c r="B16010" s="845" t="s">
        <v>2564</v>
      </c>
      <c r="C16010" s="1007">
        <f t="shared" si="371"/>
        <v>157</v>
      </c>
      <c r="D16010" s="1014"/>
      <c r="I16010" s="1011" t="s">
        <v>2178</v>
      </c>
      <c r="K16010" s="1013"/>
    </row>
    <row r="16011" spans="1:11" s="1011" customFormat="1" ht="15" x14ac:dyDescent="0.25">
      <c r="A16011" s="859">
        <f t="shared" si="372"/>
        <v>16010</v>
      </c>
      <c r="B16011" s="845" t="s">
        <v>2564</v>
      </c>
      <c r="C16011" s="1007">
        <f t="shared" si="371"/>
        <v>157</v>
      </c>
      <c r="D16011" s="1012"/>
      <c r="I16011" s="1011" t="str">
        <f>CONCATENATE("&lt;valeur&gt;",VLOOKUP(C16011,'T16 Amort'!A:K,6,0),"&lt;/valeur&gt;")</f>
        <v>&lt;valeur&gt;&lt;/valeur&gt;</v>
      </c>
      <c r="K16011" s="1013"/>
    </row>
    <row r="16012" spans="1:11" s="1011" customFormat="1" ht="15" x14ac:dyDescent="0.25">
      <c r="A16012" s="859">
        <f t="shared" si="372"/>
        <v>16011</v>
      </c>
      <c r="B16012" s="845" t="s">
        <v>2564</v>
      </c>
      <c r="C16012" s="1007">
        <f t="shared" si="371"/>
        <v>157</v>
      </c>
      <c r="D16012" s="1015"/>
      <c r="I16012" s="1011" t="str">
        <f>CONCATENATE("&lt;numeroLigne&gt;",C16012,"&lt;/numeroLigne&gt;")</f>
        <v>&lt;numeroLigne&gt;157&lt;/numeroLigne&gt;</v>
      </c>
      <c r="K16012" s="1013"/>
    </row>
    <row r="16013" spans="1:11" s="1011" customFormat="1" ht="15" x14ac:dyDescent="0.25">
      <c r="A16013" s="859">
        <f t="shared" si="372"/>
        <v>16012</v>
      </c>
      <c r="B16013" s="845" t="s">
        <v>2564</v>
      </c>
      <c r="C16013" s="1007">
        <f t="shared" si="371"/>
        <v>157</v>
      </c>
      <c r="D16013" s="1012"/>
      <c r="H16013" s="1011" t="s">
        <v>1010</v>
      </c>
      <c r="K16013" s="1013"/>
    </row>
    <row r="16014" spans="1:11" s="1011" customFormat="1" ht="15" x14ac:dyDescent="0.25">
      <c r="A16014" s="859">
        <f t="shared" si="372"/>
        <v>16013</v>
      </c>
      <c r="B16014" s="845" t="s">
        <v>2564</v>
      </c>
      <c r="C16014" s="1007">
        <f t="shared" si="371"/>
        <v>157</v>
      </c>
      <c r="D16014" s="1012"/>
      <c r="H16014" s="1011" t="s">
        <v>1007</v>
      </c>
      <c r="K16014" s="1013"/>
    </row>
    <row r="16015" spans="1:11" s="1011" customFormat="1" ht="15" x14ac:dyDescent="0.25">
      <c r="A16015" s="859">
        <f t="shared" si="372"/>
        <v>16014</v>
      </c>
      <c r="B16015" s="845" t="s">
        <v>2564</v>
      </c>
      <c r="C16015" s="1007">
        <f t="shared" si="371"/>
        <v>157</v>
      </c>
      <c r="D16015" s="1014"/>
      <c r="I16015" s="1011" t="s">
        <v>2179</v>
      </c>
      <c r="K16015" s="1013"/>
    </row>
    <row r="16016" spans="1:11" s="1011" customFormat="1" ht="15" x14ac:dyDescent="0.25">
      <c r="A16016" s="859">
        <f t="shared" si="372"/>
        <v>16015</v>
      </c>
      <c r="B16016" s="845" t="s">
        <v>2564</v>
      </c>
      <c r="C16016" s="1007">
        <f t="shared" si="371"/>
        <v>157</v>
      </c>
      <c r="D16016" s="1014"/>
      <c r="I16016" s="1011" t="str">
        <f>CONCATENATE("&lt;valeur&gt;",VLOOKUP(C16016,'T16 Amort'!A:K,7,0),"&lt;/valeur&gt;")</f>
        <v>&lt;valeur&gt;&lt;/valeur&gt;</v>
      </c>
      <c r="K16016" s="1013"/>
    </row>
    <row r="16017" spans="1:11" s="1011" customFormat="1" ht="15" x14ac:dyDescent="0.25">
      <c r="A16017" s="859">
        <f t="shared" si="372"/>
        <v>16016</v>
      </c>
      <c r="B16017" s="845" t="s">
        <v>2564</v>
      </c>
      <c r="C16017" s="1007">
        <f t="shared" si="371"/>
        <v>157</v>
      </c>
      <c r="D16017" s="1012"/>
      <c r="I16017" s="1011" t="str">
        <f>CONCATENATE("&lt;numeroLigne&gt;",C16017,"&lt;/numeroLigne&gt;")</f>
        <v>&lt;numeroLigne&gt;157&lt;/numeroLigne&gt;</v>
      </c>
      <c r="K16017" s="1013"/>
    </row>
    <row r="16018" spans="1:11" s="1011" customFormat="1" ht="15" x14ac:dyDescent="0.25">
      <c r="A16018" s="859">
        <f t="shared" si="372"/>
        <v>16017</v>
      </c>
      <c r="B16018" s="845" t="s">
        <v>2564</v>
      </c>
      <c r="C16018" s="1007">
        <f t="shared" si="371"/>
        <v>157</v>
      </c>
      <c r="D16018" s="1015"/>
      <c r="H16018" s="1011" t="s">
        <v>1010</v>
      </c>
      <c r="K16018" s="1013"/>
    </row>
    <row r="16019" spans="1:11" s="1011" customFormat="1" ht="15" x14ac:dyDescent="0.25">
      <c r="A16019" s="859">
        <f t="shared" si="372"/>
        <v>16018</v>
      </c>
      <c r="B16019" s="845" t="s">
        <v>2564</v>
      </c>
      <c r="C16019" s="1007">
        <f t="shared" si="371"/>
        <v>157</v>
      </c>
      <c r="D16019" s="1012"/>
      <c r="H16019" s="1011" t="s">
        <v>1007</v>
      </c>
      <c r="K16019" s="1013"/>
    </row>
    <row r="16020" spans="1:11" s="1011" customFormat="1" ht="15" x14ac:dyDescent="0.25">
      <c r="A16020" s="859">
        <f t="shared" si="372"/>
        <v>16019</v>
      </c>
      <c r="B16020" s="845" t="s">
        <v>2564</v>
      </c>
      <c r="C16020" s="1007">
        <f t="shared" si="371"/>
        <v>157</v>
      </c>
      <c r="D16020" s="1012"/>
      <c r="I16020" s="1011" t="s">
        <v>2180</v>
      </c>
      <c r="K16020" s="1013"/>
    </row>
    <row r="16021" spans="1:11" s="1011" customFormat="1" ht="15" x14ac:dyDescent="0.25">
      <c r="A16021" s="859">
        <f t="shared" si="372"/>
        <v>16020</v>
      </c>
      <c r="B16021" s="845" t="s">
        <v>2564</v>
      </c>
      <c r="C16021" s="1007">
        <f t="shared" si="371"/>
        <v>157</v>
      </c>
      <c r="D16021" s="1014"/>
      <c r="I16021" s="1011" t="str">
        <f>CONCATENATE("&lt;valeur&gt;",VLOOKUP(C16021,'T16 Amort'!A:K,8,0),"&lt;/valeur&gt;")</f>
        <v>&lt;valeur&gt;&lt;/valeur&gt;</v>
      </c>
      <c r="K16021" s="1013"/>
    </row>
    <row r="16022" spans="1:11" s="1011" customFormat="1" ht="15" x14ac:dyDescent="0.25">
      <c r="A16022" s="859">
        <f t="shared" si="372"/>
        <v>16021</v>
      </c>
      <c r="B16022" s="845" t="s">
        <v>2564</v>
      </c>
      <c r="C16022" s="1007">
        <f t="shared" si="371"/>
        <v>157</v>
      </c>
      <c r="D16022" s="1014"/>
      <c r="I16022" s="1011" t="str">
        <f>CONCATENATE("&lt;numeroLigne&gt;",C16022,"&lt;/numeroLigne&gt;")</f>
        <v>&lt;numeroLigne&gt;157&lt;/numeroLigne&gt;</v>
      </c>
      <c r="K16022" s="1013"/>
    </row>
    <row r="16023" spans="1:11" s="1011" customFormat="1" ht="15" x14ac:dyDescent="0.25">
      <c r="A16023" s="859">
        <f t="shared" si="372"/>
        <v>16022</v>
      </c>
      <c r="B16023" s="845" t="s">
        <v>2564</v>
      </c>
      <c r="C16023" s="1007">
        <f t="shared" si="371"/>
        <v>157</v>
      </c>
      <c r="D16023" s="1012"/>
      <c r="H16023" s="1011" t="s">
        <v>1010</v>
      </c>
      <c r="K16023" s="1013"/>
    </row>
    <row r="16024" spans="1:11" s="1011" customFormat="1" ht="15" x14ac:dyDescent="0.25">
      <c r="A16024" s="859">
        <f t="shared" si="372"/>
        <v>16023</v>
      </c>
      <c r="B16024" s="845" t="s">
        <v>2564</v>
      </c>
      <c r="C16024" s="1007">
        <f t="shared" si="371"/>
        <v>157</v>
      </c>
      <c r="D16024" s="1015"/>
      <c r="H16024" s="1011" t="s">
        <v>1007</v>
      </c>
      <c r="K16024" s="1013"/>
    </row>
    <row r="16025" spans="1:11" s="1011" customFormat="1" ht="15" x14ac:dyDescent="0.25">
      <c r="A16025" s="859">
        <f t="shared" si="372"/>
        <v>16024</v>
      </c>
      <c r="B16025" s="845" t="s">
        <v>2564</v>
      </c>
      <c r="C16025" s="1007">
        <f t="shared" si="371"/>
        <v>157</v>
      </c>
      <c r="D16025" s="1012"/>
      <c r="I16025" s="1011" t="s">
        <v>2181</v>
      </c>
      <c r="K16025" s="1013"/>
    </row>
    <row r="16026" spans="1:11" s="1011" customFormat="1" ht="15" x14ac:dyDescent="0.25">
      <c r="A16026" s="859">
        <f t="shared" si="372"/>
        <v>16025</v>
      </c>
      <c r="B16026" s="845" t="s">
        <v>2564</v>
      </c>
      <c r="C16026" s="1007">
        <f t="shared" si="371"/>
        <v>157</v>
      </c>
      <c r="D16026" s="1012"/>
      <c r="I16026" s="1011" t="str">
        <f>CONCATENATE("&lt;valeur&gt;",VLOOKUP(C16026,'T16 Amort'!A:K,9,0),"&lt;/valeur&gt;")</f>
        <v>&lt;valeur&gt;&lt;/valeur&gt;</v>
      </c>
      <c r="K16026" s="1013"/>
    </row>
    <row r="16027" spans="1:11" s="1011" customFormat="1" ht="15" x14ac:dyDescent="0.25">
      <c r="A16027" s="859">
        <f t="shared" si="372"/>
        <v>16026</v>
      </c>
      <c r="B16027" s="845" t="s">
        <v>2564</v>
      </c>
      <c r="C16027" s="1007">
        <f t="shared" si="371"/>
        <v>157</v>
      </c>
      <c r="D16027" s="1014"/>
      <c r="I16027" s="1011" t="str">
        <f>CONCATENATE("&lt;numeroLigne&gt;",C16027,"&lt;/numeroLigne&gt;")</f>
        <v>&lt;numeroLigne&gt;157&lt;/numeroLigne&gt;</v>
      </c>
      <c r="K16027" s="1013"/>
    </row>
    <row r="16028" spans="1:11" s="1011" customFormat="1" ht="15" x14ac:dyDescent="0.25">
      <c r="A16028" s="859">
        <f t="shared" si="372"/>
        <v>16027</v>
      </c>
      <c r="B16028" s="845" t="s">
        <v>2564</v>
      </c>
      <c r="C16028" s="1007">
        <f t="shared" si="371"/>
        <v>157</v>
      </c>
      <c r="D16028" s="1014"/>
      <c r="H16028" s="1011" t="s">
        <v>1010</v>
      </c>
      <c r="K16028" s="1013"/>
    </row>
    <row r="16029" spans="1:11" s="1011" customFormat="1" ht="15" x14ac:dyDescent="0.25">
      <c r="A16029" s="859">
        <f t="shared" si="372"/>
        <v>16028</v>
      </c>
      <c r="B16029" s="845" t="s">
        <v>2564</v>
      </c>
      <c r="C16029" s="1007">
        <f t="shared" si="371"/>
        <v>157</v>
      </c>
      <c r="D16029" s="1012"/>
      <c r="H16029" s="1011" t="s">
        <v>1007</v>
      </c>
      <c r="K16029" s="1013"/>
    </row>
    <row r="16030" spans="1:11" s="1011" customFormat="1" ht="15" x14ac:dyDescent="0.25">
      <c r="A16030" s="859">
        <f t="shared" si="372"/>
        <v>16029</v>
      </c>
      <c r="B16030" s="845" t="s">
        <v>2564</v>
      </c>
      <c r="C16030" s="1007">
        <f t="shared" si="371"/>
        <v>157</v>
      </c>
      <c r="D16030" s="1015"/>
      <c r="I16030" s="1011" t="s">
        <v>2182</v>
      </c>
      <c r="K16030" s="1013"/>
    </row>
    <row r="16031" spans="1:11" s="1011" customFormat="1" ht="15" x14ac:dyDescent="0.25">
      <c r="A16031" s="859">
        <f t="shared" si="372"/>
        <v>16030</v>
      </c>
      <c r="B16031" s="845" t="s">
        <v>2564</v>
      </c>
      <c r="C16031" s="1007">
        <f t="shared" si="371"/>
        <v>157</v>
      </c>
      <c r="D16031" s="1012"/>
      <c r="I16031" s="1011" t="str">
        <f>CONCATENATE("&lt;valeur&gt;",VLOOKUP(C16031,'T16 Amort'!A:K,10,0),"&lt;/valeur&gt;")</f>
        <v>&lt;valeur&gt;&lt;/valeur&gt;</v>
      </c>
      <c r="K16031" s="1013"/>
    </row>
    <row r="16032" spans="1:11" s="1011" customFormat="1" ht="15" x14ac:dyDescent="0.25">
      <c r="A16032" s="859">
        <f t="shared" si="372"/>
        <v>16031</v>
      </c>
      <c r="B16032" s="845" t="s">
        <v>2564</v>
      </c>
      <c r="C16032" s="1007">
        <f t="shared" si="371"/>
        <v>157</v>
      </c>
      <c r="D16032" s="1012"/>
      <c r="I16032" s="1011" t="str">
        <f>CONCATENATE("&lt;numeroLigne&gt;",C16032,"&lt;/numeroLigne&gt;")</f>
        <v>&lt;numeroLigne&gt;157&lt;/numeroLigne&gt;</v>
      </c>
      <c r="K16032" s="1013"/>
    </row>
    <row r="16033" spans="1:11" s="1011" customFormat="1" ht="15" x14ac:dyDescent="0.25">
      <c r="A16033" s="859">
        <f t="shared" si="372"/>
        <v>16032</v>
      </c>
      <c r="B16033" s="845" t="s">
        <v>2564</v>
      </c>
      <c r="C16033" s="1007">
        <f t="shared" si="371"/>
        <v>157</v>
      </c>
      <c r="D16033" s="1014"/>
      <c r="H16033" s="1011" t="s">
        <v>1010</v>
      </c>
      <c r="K16033" s="1013"/>
    </row>
    <row r="16034" spans="1:11" s="1011" customFormat="1" ht="15" x14ac:dyDescent="0.25">
      <c r="A16034" s="859">
        <f t="shared" si="372"/>
        <v>16033</v>
      </c>
      <c r="B16034" s="845" t="s">
        <v>2564</v>
      </c>
      <c r="C16034" s="1007">
        <f t="shared" si="371"/>
        <v>157</v>
      </c>
      <c r="D16034" s="1014"/>
      <c r="H16034" s="1011" t="s">
        <v>1007</v>
      </c>
      <c r="K16034" s="1013"/>
    </row>
    <row r="16035" spans="1:11" s="1011" customFormat="1" ht="15" x14ac:dyDescent="0.25">
      <c r="A16035" s="859">
        <f t="shared" si="372"/>
        <v>16034</v>
      </c>
      <c r="B16035" s="845" t="s">
        <v>2564</v>
      </c>
      <c r="C16035" s="1007">
        <f t="shared" si="371"/>
        <v>157</v>
      </c>
      <c r="D16035" s="1012"/>
      <c r="I16035" s="1011" t="s">
        <v>2183</v>
      </c>
      <c r="K16035" s="1013"/>
    </row>
    <row r="16036" spans="1:11" s="1011" customFormat="1" ht="15" x14ac:dyDescent="0.25">
      <c r="A16036" s="859">
        <f t="shared" si="372"/>
        <v>16035</v>
      </c>
      <c r="B16036" s="845" t="s">
        <v>2564</v>
      </c>
      <c r="C16036" s="1007">
        <f t="shared" si="371"/>
        <v>157</v>
      </c>
      <c r="D16036" s="1015"/>
      <c r="I16036" s="1011" t="str">
        <f>CONCATENATE("&lt;valeur&gt;",VLOOKUP(C16036,'T16 Amort'!A:K,11,0),"&lt;/valeur&gt;")</f>
        <v>&lt;valeur&gt;&lt;/valeur&gt;</v>
      </c>
      <c r="K16036" s="1013"/>
    </row>
    <row r="16037" spans="1:11" s="1011" customFormat="1" ht="15" x14ac:dyDescent="0.25">
      <c r="A16037" s="859">
        <f t="shared" si="372"/>
        <v>16036</v>
      </c>
      <c r="B16037" s="845" t="s">
        <v>2564</v>
      </c>
      <c r="C16037" s="1007">
        <f t="shared" si="371"/>
        <v>157</v>
      </c>
      <c r="D16037" s="1012"/>
      <c r="I16037" s="1011" t="str">
        <f>CONCATENATE("&lt;numeroLigne&gt;",C16037,"&lt;/numeroLigne&gt;")</f>
        <v>&lt;numeroLigne&gt;157&lt;/numeroLigne&gt;</v>
      </c>
      <c r="K16037" s="1013"/>
    </row>
    <row r="16038" spans="1:11" s="1011" customFormat="1" ht="15" x14ac:dyDescent="0.25">
      <c r="A16038" s="859">
        <f t="shared" si="372"/>
        <v>16037</v>
      </c>
      <c r="B16038" s="845" t="s">
        <v>2564</v>
      </c>
      <c r="C16038" s="1007">
        <f t="shared" si="371"/>
        <v>157</v>
      </c>
      <c r="D16038" s="1016"/>
      <c r="E16038" s="1017"/>
      <c r="F16038" s="1017"/>
      <c r="G16038" s="1017"/>
      <c r="H16038" s="1017" t="s">
        <v>1010</v>
      </c>
      <c r="I16038" s="1017"/>
      <c r="J16038" s="1017"/>
      <c r="K16038" s="1018"/>
    </row>
    <row r="16039" spans="1:11" s="1011" customFormat="1" ht="15" x14ac:dyDescent="0.25">
      <c r="A16039" s="859">
        <f t="shared" si="372"/>
        <v>16038</v>
      </c>
      <c r="B16039" s="845" t="s">
        <v>2564</v>
      </c>
      <c r="C16039" s="1007">
        <f t="shared" si="371"/>
        <v>158</v>
      </c>
      <c r="D16039" s="1008"/>
      <c r="E16039" s="1009"/>
      <c r="F16039" s="1009"/>
      <c r="G16039" s="1009"/>
      <c r="H16039" s="1009" t="s">
        <v>1007</v>
      </c>
      <c r="I16039" s="1009"/>
      <c r="J16039" s="1009"/>
      <c r="K16039" s="1010"/>
    </row>
    <row r="16040" spans="1:11" s="1011" customFormat="1" ht="15" x14ac:dyDescent="0.25">
      <c r="A16040" s="859">
        <f t="shared" si="372"/>
        <v>16039</v>
      </c>
      <c r="B16040" s="845" t="s">
        <v>2564</v>
      </c>
      <c r="C16040" s="1007">
        <f t="shared" si="371"/>
        <v>158</v>
      </c>
      <c r="D16040" s="1012"/>
      <c r="I16040" s="1011" t="s">
        <v>2174</v>
      </c>
      <c r="K16040" s="1013"/>
    </row>
    <row r="16041" spans="1:11" s="1011" customFormat="1" ht="15" x14ac:dyDescent="0.25">
      <c r="A16041" s="859">
        <f t="shared" si="372"/>
        <v>16040</v>
      </c>
      <c r="B16041" s="845" t="s">
        <v>2564</v>
      </c>
      <c r="C16041" s="1007">
        <f t="shared" si="371"/>
        <v>158</v>
      </c>
      <c r="D16041" s="1014"/>
      <c r="I16041" s="1011" t="str">
        <f>CONCATENATE("&lt;valeur&gt;",VLOOKUP(C16041,'T16 Amort'!A:K,2,0),"&lt;/valeur&gt;")</f>
        <v>&lt;valeur&gt;&lt;/valeur&gt;</v>
      </c>
      <c r="K16041" s="1013"/>
    </row>
    <row r="16042" spans="1:11" s="1011" customFormat="1" ht="15" x14ac:dyDescent="0.25">
      <c r="A16042" s="859">
        <f t="shared" si="372"/>
        <v>16041</v>
      </c>
      <c r="B16042" s="845" t="s">
        <v>2564</v>
      </c>
      <c r="C16042" s="1007">
        <f t="shared" si="371"/>
        <v>158</v>
      </c>
      <c r="D16042" s="1014"/>
      <c r="I16042" s="1011" t="str">
        <f>CONCATENATE("&lt;numeroLigne&gt;",C16042,"&lt;/numeroLigne&gt;")</f>
        <v>&lt;numeroLigne&gt;158&lt;/numeroLigne&gt;</v>
      </c>
      <c r="K16042" s="1013"/>
    </row>
    <row r="16043" spans="1:11" s="1011" customFormat="1" ht="15" x14ac:dyDescent="0.25">
      <c r="A16043" s="859">
        <f t="shared" si="372"/>
        <v>16042</v>
      </c>
      <c r="B16043" s="845" t="s">
        <v>2564</v>
      </c>
      <c r="C16043" s="1007">
        <f t="shared" si="371"/>
        <v>158</v>
      </c>
      <c r="D16043" s="1012"/>
      <c r="H16043" s="1011" t="s">
        <v>1010</v>
      </c>
      <c r="K16043" s="1013"/>
    </row>
    <row r="16044" spans="1:11" s="1011" customFormat="1" ht="15" x14ac:dyDescent="0.25">
      <c r="A16044" s="859">
        <f t="shared" si="372"/>
        <v>16043</v>
      </c>
      <c r="B16044" s="845" t="s">
        <v>2564</v>
      </c>
      <c r="C16044" s="1007">
        <f t="shared" si="371"/>
        <v>158</v>
      </c>
      <c r="D16044" s="1015"/>
      <c r="H16044" s="1011" t="s">
        <v>1007</v>
      </c>
      <c r="K16044" s="1013"/>
    </row>
    <row r="16045" spans="1:11" s="1011" customFormat="1" ht="15" x14ac:dyDescent="0.25">
      <c r="A16045" s="859">
        <f t="shared" si="372"/>
        <v>16044</v>
      </c>
      <c r="B16045" s="845" t="s">
        <v>2564</v>
      </c>
      <c r="C16045" s="1007">
        <f t="shared" si="371"/>
        <v>158</v>
      </c>
      <c r="D16045" s="1012"/>
      <c r="I16045" s="1011" t="s">
        <v>2175</v>
      </c>
      <c r="K16045" s="1013"/>
    </row>
    <row r="16046" spans="1:11" s="1011" customFormat="1" ht="15" x14ac:dyDescent="0.25">
      <c r="A16046" s="859">
        <f t="shared" si="372"/>
        <v>16045</v>
      </c>
      <c r="B16046" s="845" t="s">
        <v>2564</v>
      </c>
      <c r="C16046" s="1007">
        <f t="shared" si="371"/>
        <v>158</v>
      </c>
      <c r="D16046" s="1012"/>
      <c r="I16046" s="1011" t="str">
        <f>CONCATENATE("&lt;valeur&gt;",VLOOKUP(C16046,'T16 Amort'!A:K,3,0),"&lt;/valeur&gt;")</f>
        <v>&lt;valeur&gt;&lt;/valeur&gt;</v>
      </c>
      <c r="K16046" s="1013"/>
    </row>
    <row r="16047" spans="1:11" s="1011" customFormat="1" ht="15" x14ac:dyDescent="0.25">
      <c r="A16047" s="859">
        <f t="shared" si="372"/>
        <v>16046</v>
      </c>
      <c r="B16047" s="845" t="s">
        <v>2564</v>
      </c>
      <c r="C16047" s="1007">
        <f t="shared" ref="C16047:C16110" si="373">C15997+1</f>
        <v>158</v>
      </c>
      <c r="D16047" s="1014"/>
      <c r="I16047" s="1011" t="str">
        <f>CONCATENATE("&lt;numeroLigne&gt;",C16047,"&lt;/numeroLigne&gt;")</f>
        <v>&lt;numeroLigne&gt;158&lt;/numeroLigne&gt;</v>
      </c>
      <c r="K16047" s="1013"/>
    </row>
    <row r="16048" spans="1:11" s="1011" customFormat="1" ht="15" x14ac:dyDescent="0.25">
      <c r="A16048" s="859">
        <f t="shared" si="372"/>
        <v>16047</v>
      </c>
      <c r="B16048" s="845" t="s">
        <v>2564</v>
      </c>
      <c r="C16048" s="1007">
        <f t="shared" si="373"/>
        <v>158</v>
      </c>
      <c r="D16048" s="1014"/>
      <c r="H16048" s="1011" t="s">
        <v>1010</v>
      </c>
      <c r="K16048" s="1013"/>
    </row>
    <row r="16049" spans="1:11" s="1011" customFormat="1" ht="15" x14ac:dyDescent="0.25">
      <c r="A16049" s="859">
        <f t="shared" si="372"/>
        <v>16048</v>
      </c>
      <c r="B16049" s="845" t="s">
        <v>2564</v>
      </c>
      <c r="C16049" s="1007">
        <f t="shared" si="373"/>
        <v>158</v>
      </c>
      <c r="D16049" s="1012"/>
      <c r="H16049" s="1011" t="s">
        <v>1007</v>
      </c>
      <c r="K16049" s="1013"/>
    </row>
    <row r="16050" spans="1:11" s="1011" customFormat="1" ht="15" x14ac:dyDescent="0.25">
      <c r="A16050" s="859">
        <f t="shared" si="372"/>
        <v>16049</v>
      </c>
      <c r="B16050" s="845" t="s">
        <v>2564</v>
      </c>
      <c r="C16050" s="1007">
        <f t="shared" si="373"/>
        <v>158</v>
      </c>
      <c r="D16050" s="1015"/>
      <c r="I16050" s="1011" t="s">
        <v>2176</v>
      </c>
      <c r="K16050" s="1013"/>
    </row>
    <row r="16051" spans="1:11" s="1011" customFormat="1" ht="15" x14ac:dyDescent="0.25">
      <c r="A16051" s="859">
        <f t="shared" si="372"/>
        <v>16050</v>
      </c>
      <c r="B16051" s="845" t="s">
        <v>2564</v>
      </c>
      <c r="C16051" s="1007">
        <f t="shared" si="373"/>
        <v>158</v>
      </c>
      <c r="D16051" s="1012"/>
      <c r="I16051" s="1011" t="str">
        <f>CONCATENATE("&lt;valeur&gt;",VLOOKUP(C16051,'T16 Amort'!A:K,4,0),"&lt;/valeur&gt;")</f>
        <v>&lt;valeur&gt;&lt;/valeur&gt;</v>
      </c>
      <c r="K16051" s="1013"/>
    </row>
    <row r="16052" spans="1:11" s="1011" customFormat="1" ht="15" x14ac:dyDescent="0.25">
      <c r="A16052" s="859">
        <f t="shared" si="372"/>
        <v>16051</v>
      </c>
      <c r="B16052" s="845" t="s">
        <v>2564</v>
      </c>
      <c r="C16052" s="1007">
        <f t="shared" si="373"/>
        <v>158</v>
      </c>
      <c r="D16052" s="1012"/>
      <c r="I16052" s="1011" t="str">
        <f>CONCATENATE("&lt;numeroLigne&gt;",C16052,"&lt;/numeroLigne&gt;")</f>
        <v>&lt;numeroLigne&gt;158&lt;/numeroLigne&gt;</v>
      </c>
      <c r="K16052" s="1013"/>
    </row>
    <row r="16053" spans="1:11" s="1011" customFormat="1" ht="15" x14ac:dyDescent="0.25">
      <c r="A16053" s="859">
        <f t="shared" si="372"/>
        <v>16052</v>
      </c>
      <c r="B16053" s="845" t="s">
        <v>2564</v>
      </c>
      <c r="C16053" s="1007">
        <f t="shared" si="373"/>
        <v>158</v>
      </c>
      <c r="D16053" s="1014"/>
      <c r="H16053" s="1011" t="s">
        <v>1010</v>
      </c>
      <c r="K16053" s="1013"/>
    </row>
    <row r="16054" spans="1:11" s="1011" customFormat="1" ht="15" x14ac:dyDescent="0.25">
      <c r="A16054" s="859">
        <f t="shared" si="372"/>
        <v>16053</v>
      </c>
      <c r="B16054" s="845" t="s">
        <v>2564</v>
      </c>
      <c r="C16054" s="1007">
        <f t="shared" si="373"/>
        <v>158</v>
      </c>
      <c r="D16054" s="1014"/>
      <c r="H16054" s="1011" t="s">
        <v>1007</v>
      </c>
      <c r="K16054" s="1013"/>
    </row>
    <row r="16055" spans="1:11" s="1011" customFormat="1" ht="15" x14ac:dyDescent="0.25">
      <c r="A16055" s="859">
        <f t="shared" si="372"/>
        <v>16054</v>
      </c>
      <c r="B16055" s="845" t="s">
        <v>2564</v>
      </c>
      <c r="C16055" s="1007">
        <f t="shared" si="373"/>
        <v>158</v>
      </c>
      <c r="D16055" s="1012"/>
      <c r="I16055" s="1011" t="s">
        <v>2177</v>
      </c>
      <c r="K16055" s="1013"/>
    </row>
    <row r="16056" spans="1:11" s="1011" customFormat="1" ht="15" x14ac:dyDescent="0.25">
      <c r="A16056" s="859">
        <f t="shared" si="372"/>
        <v>16055</v>
      </c>
      <c r="B16056" s="845" t="s">
        <v>2564</v>
      </c>
      <c r="C16056" s="1007">
        <f t="shared" si="373"/>
        <v>158</v>
      </c>
      <c r="D16056" s="1015"/>
      <c r="I16056" s="1011" t="str">
        <f>CONCATENATE("&lt;valeur&gt;",VLOOKUP(C16056,'T16 Amort'!A:K,5,0),"&lt;/valeur&gt;")</f>
        <v>&lt;valeur&gt;&lt;/valeur&gt;</v>
      </c>
      <c r="K16056" s="1013"/>
    </row>
    <row r="16057" spans="1:11" s="1011" customFormat="1" ht="15" x14ac:dyDescent="0.25">
      <c r="A16057" s="859">
        <f t="shared" si="372"/>
        <v>16056</v>
      </c>
      <c r="B16057" s="845" t="s">
        <v>2564</v>
      </c>
      <c r="C16057" s="1007">
        <f t="shared" si="373"/>
        <v>158</v>
      </c>
      <c r="D16057" s="1012"/>
      <c r="I16057" s="1011" t="str">
        <f>CONCATENATE("&lt;numeroLigne&gt;",C16057,"&lt;/numeroLigne&gt;")</f>
        <v>&lt;numeroLigne&gt;158&lt;/numeroLigne&gt;</v>
      </c>
      <c r="K16057" s="1013"/>
    </row>
    <row r="16058" spans="1:11" s="1011" customFormat="1" ht="15" x14ac:dyDescent="0.25">
      <c r="A16058" s="859">
        <f t="shared" si="372"/>
        <v>16057</v>
      </c>
      <c r="B16058" s="845" t="s">
        <v>2564</v>
      </c>
      <c r="C16058" s="1007">
        <f t="shared" si="373"/>
        <v>158</v>
      </c>
      <c r="D16058" s="1012"/>
      <c r="H16058" s="1011" t="s">
        <v>1010</v>
      </c>
      <c r="K16058" s="1013"/>
    </row>
    <row r="16059" spans="1:11" s="1011" customFormat="1" ht="15" x14ac:dyDescent="0.25">
      <c r="A16059" s="859">
        <f t="shared" si="372"/>
        <v>16058</v>
      </c>
      <c r="B16059" s="845" t="s">
        <v>2564</v>
      </c>
      <c r="C16059" s="1007">
        <f t="shared" si="373"/>
        <v>158</v>
      </c>
      <c r="D16059" s="1014"/>
      <c r="H16059" s="1011" t="s">
        <v>1007</v>
      </c>
      <c r="K16059" s="1013"/>
    </row>
    <row r="16060" spans="1:11" s="1011" customFormat="1" ht="15" x14ac:dyDescent="0.25">
      <c r="A16060" s="859">
        <f t="shared" si="372"/>
        <v>16059</v>
      </c>
      <c r="B16060" s="845" t="s">
        <v>2564</v>
      </c>
      <c r="C16060" s="1007">
        <f t="shared" si="373"/>
        <v>158</v>
      </c>
      <c r="D16060" s="1014"/>
      <c r="I16060" s="1011" t="s">
        <v>2178</v>
      </c>
      <c r="K16060" s="1013"/>
    </row>
    <row r="16061" spans="1:11" s="1011" customFormat="1" ht="15" x14ac:dyDescent="0.25">
      <c r="A16061" s="859">
        <f t="shared" si="372"/>
        <v>16060</v>
      </c>
      <c r="B16061" s="845" t="s">
        <v>2564</v>
      </c>
      <c r="C16061" s="1007">
        <f t="shared" si="373"/>
        <v>158</v>
      </c>
      <c r="D16061" s="1012"/>
      <c r="I16061" s="1011" t="str">
        <f>CONCATENATE("&lt;valeur&gt;",VLOOKUP(C16061,'T16 Amort'!A:K,6,0),"&lt;/valeur&gt;")</f>
        <v>&lt;valeur&gt;&lt;/valeur&gt;</v>
      </c>
      <c r="K16061" s="1013"/>
    </row>
    <row r="16062" spans="1:11" s="1011" customFormat="1" ht="15" x14ac:dyDescent="0.25">
      <c r="A16062" s="859">
        <f t="shared" si="372"/>
        <v>16061</v>
      </c>
      <c r="B16062" s="845" t="s">
        <v>2564</v>
      </c>
      <c r="C16062" s="1007">
        <f t="shared" si="373"/>
        <v>158</v>
      </c>
      <c r="D16062" s="1015"/>
      <c r="I16062" s="1011" t="str">
        <f>CONCATENATE("&lt;numeroLigne&gt;",C16062,"&lt;/numeroLigne&gt;")</f>
        <v>&lt;numeroLigne&gt;158&lt;/numeroLigne&gt;</v>
      </c>
      <c r="K16062" s="1013"/>
    </row>
    <row r="16063" spans="1:11" s="1011" customFormat="1" ht="15" x14ac:dyDescent="0.25">
      <c r="A16063" s="859">
        <f t="shared" si="372"/>
        <v>16062</v>
      </c>
      <c r="B16063" s="845" t="s">
        <v>2564</v>
      </c>
      <c r="C16063" s="1007">
        <f t="shared" si="373"/>
        <v>158</v>
      </c>
      <c r="D16063" s="1012"/>
      <c r="H16063" s="1011" t="s">
        <v>1010</v>
      </c>
      <c r="K16063" s="1013"/>
    </row>
    <row r="16064" spans="1:11" s="1011" customFormat="1" ht="15" x14ac:dyDescent="0.25">
      <c r="A16064" s="859">
        <f t="shared" si="372"/>
        <v>16063</v>
      </c>
      <c r="B16064" s="845" t="s">
        <v>2564</v>
      </c>
      <c r="C16064" s="1007">
        <f t="shared" si="373"/>
        <v>158</v>
      </c>
      <c r="D16064" s="1012"/>
      <c r="H16064" s="1011" t="s">
        <v>1007</v>
      </c>
      <c r="K16064" s="1013"/>
    </row>
    <row r="16065" spans="1:11" s="1011" customFormat="1" ht="15" x14ac:dyDescent="0.25">
      <c r="A16065" s="859">
        <f t="shared" si="372"/>
        <v>16064</v>
      </c>
      <c r="B16065" s="845" t="s">
        <v>2564</v>
      </c>
      <c r="C16065" s="1007">
        <f t="shared" si="373"/>
        <v>158</v>
      </c>
      <c r="D16065" s="1014"/>
      <c r="I16065" s="1011" t="s">
        <v>2179</v>
      </c>
      <c r="K16065" s="1013"/>
    </row>
    <row r="16066" spans="1:11" s="1011" customFormat="1" ht="15" x14ac:dyDescent="0.25">
      <c r="A16066" s="859">
        <f t="shared" si="372"/>
        <v>16065</v>
      </c>
      <c r="B16066" s="845" t="s">
        <v>2564</v>
      </c>
      <c r="C16066" s="1007">
        <f t="shared" si="373"/>
        <v>158</v>
      </c>
      <c r="D16066" s="1014"/>
      <c r="I16066" s="1011" t="str">
        <f>CONCATENATE("&lt;valeur&gt;",VLOOKUP(C16066,'T16 Amort'!A:K,7,0),"&lt;/valeur&gt;")</f>
        <v>&lt;valeur&gt;&lt;/valeur&gt;</v>
      </c>
      <c r="K16066" s="1013"/>
    </row>
    <row r="16067" spans="1:11" s="1011" customFormat="1" ht="15" x14ac:dyDescent="0.25">
      <c r="A16067" s="859">
        <f t="shared" si="372"/>
        <v>16066</v>
      </c>
      <c r="B16067" s="845" t="s">
        <v>2564</v>
      </c>
      <c r="C16067" s="1007">
        <f t="shared" si="373"/>
        <v>158</v>
      </c>
      <c r="D16067" s="1012"/>
      <c r="I16067" s="1011" t="str">
        <f>CONCATENATE("&lt;numeroLigne&gt;",C16067,"&lt;/numeroLigne&gt;")</f>
        <v>&lt;numeroLigne&gt;158&lt;/numeroLigne&gt;</v>
      </c>
      <c r="K16067" s="1013"/>
    </row>
    <row r="16068" spans="1:11" s="1011" customFormat="1" ht="15" x14ac:dyDescent="0.25">
      <c r="A16068" s="859">
        <f t="shared" ref="A16068:A16131" si="374">+A16067+1</f>
        <v>16067</v>
      </c>
      <c r="B16068" s="845" t="s">
        <v>2564</v>
      </c>
      <c r="C16068" s="1007">
        <f t="shared" si="373"/>
        <v>158</v>
      </c>
      <c r="D16068" s="1015"/>
      <c r="H16068" s="1011" t="s">
        <v>1010</v>
      </c>
      <c r="K16068" s="1013"/>
    </row>
    <row r="16069" spans="1:11" s="1011" customFormat="1" ht="15" x14ac:dyDescent="0.25">
      <c r="A16069" s="859">
        <f t="shared" si="374"/>
        <v>16068</v>
      </c>
      <c r="B16069" s="845" t="s">
        <v>2564</v>
      </c>
      <c r="C16069" s="1007">
        <f t="shared" si="373"/>
        <v>158</v>
      </c>
      <c r="D16069" s="1012"/>
      <c r="H16069" s="1011" t="s">
        <v>1007</v>
      </c>
      <c r="K16069" s="1013"/>
    </row>
    <row r="16070" spans="1:11" s="1011" customFormat="1" ht="15" x14ac:dyDescent="0.25">
      <c r="A16070" s="859">
        <f t="shared" si="374"/>
        <v>16069</v>
      </c>
      <c r="B16070" s="845" t="s">
        <v>2564</v>
      </c>
      <c r="C16070" s="1007">
        <f t="shared" si="373"/>
        <v>158</v>
      </c>
      <c r="D16070" s="1012"/>
      <c r="I16070" s="1011" t="s">
        <v>2180</v>
      </c>
      <c r="K16070" s="1013"/>
    </row>
    <row r="16071" spans="1:11" s="1011" customFormat="1" ht="15" x14ac:dyDescent="0.25">
      <c r="A16071" s="859">
        <f t="shared" si="374"/>
        <v>16070</v>
      </c>
      <c r="B16071" s="845" t="s">
        <v>2564</v>
      </c>
      <c r="C16071" s="1007">
        <f t="shared" si="373"/>
        <v>158</v>
      </c>
      <c r="D16071" s="1014"/>
      <c r="I16071" s="1011" t="str">
        <f>CONCATENATE("&lt;valeur&gt;",VLOOKUP(C16071,'T16 Amort'!A:K,8,0),"&lt;/valeur&gt;")</f>
        <v>&lt;valeur&gt;&lt;/valeur&gt;</v>
      </c>
      <c r="K16071" s="1013"/>
    </row>
    <row r="16072" spans="1:11" s="1011" customFormat="1" ht="15" x14ac:dyDescent="0.25">
      <c r="A16072" s="859">
        <f t="shared" si="374"/>
        <v>16071</v>
      </c>
      <c r="B16072" s="845" t="s">
        <v>2564</v>
      </c>
      <c r="C16072" s="1007">
        <f t="shared" si="373"/>
        <v>158</v>
      </c>
      <c r="D16072" s="1014"/>
      <c r="I16072" s="1011" t="str">
        <f>CONCATENATE("&lt;numeroLigne&gt;",C16072,"&lt;/numeroLigne&gt;")</f>
        <v>&lt;numeroLigne&gt;158&lt;/numeroLigne&gt;</v>
      </c>
      <c r="K16072" s="1013"/>
    </row>
    <row r="16073" spans="1:11" s="1011" customFormat="1" ht="15" x14ac:dyDescent="0.25">
      <c r="A16073" s="859">
        <f t="shared" si="374"/>
        <v>16072</v>
      </c>
      <c r="B16073" s="845" t="s">
        <v>2564</v>
      </c>
      <c r="C16073" s="1007">
        <f t="shared" si="373"/>
        <v>158</v>
      </c>
      <c r="D16073" s="1012"/>
      <c r="H16073" s="1011" t="s">
        <v>1010</v>
      </c>
      <c r="K16073" s="1013"/>
    </row>
    <row r="16074" spans="1:11" s="1011" customFormat="1" ht="15" x14ac:dyDescent="0.25">
      <c r="A16074" s="859">
        <f t="shared" si="374"/>
        <v>16073</v>
      </c>
      <c r="B16074" s="845" t="s">
        <v>2564</v>
      </c>
      <c r="C16074" s="1007">
        <f t="shared" si="373"/>
        <v>158</v>
      </c>
      <c r="D16074" s="1015"/>
      <c r="H16074" s="1011" t="s">
        <v>1007</v>
      </c>
      <c r="K16074" s="1013"/>
    </row>
    <row r="16075" spans="1:11" s="1011" customFormat="1" ht="15" x14ac:dyDescent="0.25">
      <c r="A16075" s="859">
        <f t="shared" si="374"/>
        <v>16074</v>
      </c>
      <c r="B16075" s="845" t="s">
        <v>2564</v>
      </c>
      <c r="C16075" s="1007">
        <f t="shared" si="373"/>
        <v>158</v>
      </c>
      <c r="D16075" s="1012"/>
      <c r="I16075" s="1011" t="s">
        <v>2181</v>
      </c>
      <c r="K16075" s="1013"/>
    </row>
    <row r="16076" spans="1:11" s="1011" customFormat="1" ht="15" x14ac:dyDescent="0.25">
      <c r="A16076" s="859">
        <f t="shared" si="374"/>
        <v>16075</v>
      </c>
      <c r="B16076" s="845" t="s">
        <v>2564</v>
      </c>
      <c r="C16076" s="1007">
        <f t="shared" si="373"/>
        <v>158</v>
      </c>
      <c r="D16076" s="1012"/>
      <c r="I16076" s="1011" t="str">
        <f>CONCATENATE("&lt;valeur&gt;",VLOOKUP(C16076,'T16 Amort'!A:K,9,0),"&lt;/valeur&gt;")</f>
        <v>&lt;valeur&gt;&lt;/valeur&gt;</v>
      </c>
      <c r="K16076" s="1013"/>
    </row>
    <row r="16077" spans="1:11" s="1011" customFormat="1" ht="15" x14ac:dyDescent="0.25">
      <c r="A16077" s="859">
        <f t="shared" si="374"/>
        <v>16076</v>
      </c>
      <c r="B16077" s="845" t="s">
        <v>2564</v>
      </c>
      <c r="C16077" s="1007">
        <f t="shared" si="373"/>
        <v>158</v>
      </c>
      <c r="D16077" s="1014"/>
      <c r="I16077" s="1011" t="str">
        <f>CONCATENATE("&lt;numeroLigne&gt;",C16077,"&lt;/numeroLigne&gt;")</f>
        <v>&lt;numeroLigne&gt;158&lt;/numeroLigne&gt;</v>
      </c>
      <c r="K16077" s="1013"/>
    </row>
    <row r="16078" spans="1:11" s="1011" customFormat="1" ht="15" x14ac:dyDescent="0.25">
      <c r="A16078" s="859">
        <f t="shared" si="374"/>
        <v>16077</v>
      </c>
      <c r="B16078" s="845" t="s">
        <v>2564</v>
      </c>
      <c r="C16078" s="1007">
        <f t="shared" si="373"/>
        <v>158</v>
      </c>
      <c r="D16078" s="1014"/>
      <c r="H16078" s="1011" t="s">
        <v>1010</v>
      </c>
      <c r="K16078" s="1013"/>
    </row>
    <row r="16079" spans="1:11" s="1011" customFormat="1" ht="15" x14ac:dyDescent="0.25">
      <c r="A16079" s="859">
        <f t="shared" si="374"/>
        <v>16078</v>
      </c>
      <c r="B16079" s="845" t="s">
        <v>2564</v>
      </c>
      <c r="C16079" s="1007">
        <f t="shared" si="373"/>
        <v>158</v>
      </c>
      <c r="D16079" s="1012"/>
      <c r="H16079" s="1011" t="s">
        <v>1007</v>
      </c>
      <c r="K16079" s="1013"/>
    </row>
    <row r="16080" spans="1:11" s="1011" customFormat="1" ht="15" x14ac:dyDescent="0.25">
      <c r="A16080" s="859">
        <f t="shared" si="374"/>
        <v>16079</v>
      </c>
      <c r="B16080" s="845" t="s">
        <v>2564</v>
      </c>
      <c r="C16080" s="1007">
        <f t="shared" si="373"/>
        <v>158</v>
      </c>
      <c r="D16080" s="1015"/>
      <c r="I16080" s="1011" t="s">
        <v>2182</v>
      </c>
      <c r="K16080" s="1013"/>
    </row>
    <row r="16081" spans="1:11" s="1011" customFormat="1" ht="15" x14ac:dyDescent="0.25">
      <c r="A16081" s="859">
        <f t="shared" si="374"/>
        <v>16080</v>
      </c>
      <c r="B16081" s="845" t="s">
        <v>2564</v>
      </c>
      <c r="C16081" s="1007">
        <f t="shared" si="373"/>
        <v>158</v>
      </c>
      <c r="D16081" s="1012"/>
      <c r="I16081" s="1011" t="str">
        <f>CONCATENATE("&lt;valeur&gt;",VLOOKUP(C16081,'T16 Amort'!A:K,10,0),"&lt;/valeur&gt;")</f>
        <v>&lt;valeur&gt;&lt;/valeur&gt;</v>
      </c>
      <c r="K16081" s="1013"/>
    </row>
    <row r="16082" spans="1:11" s="1011" customFormat="1" ht="15" x14ac:dyDescent="0.25">
      <c r="A16082" s="859">
        <f t="shared" si="374"/>
        <v>16081</v>
      </c>
      <c r="B16082" s="845" t="s">
        <v>2564</v>
      </c>
      <c r="C16082" s="1007">
        <f t="shared" si="373"/>
        <v>158</v>
      </c>
      <c r="D16082" s="1012"/>
      <c r="I16082" s="1011" t="str">
        <f>CONCATENATE("&lt;numeroLigne&gt;",C16082,"&lt;/numeroLigne&gt;")</f>
        <v>&lt;numeroLigne&gt;158&lt;/numeroLigne&gt;</v>
      </c>
      <c r="K16082" s="1013"/>
    </row>
    <row r="16083" spans="1:11" s="1011" customFormat="1" ht="15" x14ac:dyDescent="0.25">
      <c r="A16083" s="859">
        <f t="shared" si="374"/>
        <v>16082</v>
      </c>
      <c r="B16083" s="845" t="s">
        <v>2564</v>
      </c>
      <c r="C16083" s="1007">
        <f t="shared" si="373"/>
        <v>158</v>
      </c>
      <c r="D16083" s="1014"/>
      <c r="H16083" s="1011" t="s">
        <v>1010</v>
      </c>
      <c r="K16083" s="1013"/>
    </row>
    <row r="16084" spans="1:11" s="1011" customFormat="1" ht="15" x14ac:dyDescent="0.25">
      <c r="A16084" s="859">
        <f t="shared" si="374"/>
        <v>16083</v>
      </c>
      <c r="B16084" s="845" t="s">
        <v>2564</v>
      </c>
      <c r="C16084" s="1007">
        <f t="shared" si="373"/>
        <v>158</v>
      </c>
      <c r="D16084" s="1014"/>
      <c r="H16084" s="1011" t="s">
        <v>1007</v>
      </c>
      <c r="K16084" s="1013"/>
    </row>
    <row r="16085" spans="1:11" s="1011" customFormat="1" ht="15" x14ac:dyDescent="0.25">
      <c r="A16085" s="859">
        <f t="shared" si="374"/>
        <v>16084</v>
      </c>
      <c r="B16085" s="845" t="s">
        <v>2564</v>
      </c>
      <c r="C16085" s="1007">
        <f t="shared" si="373"/>
        <v>158</v>
      </c>
      <c r="D16085" s="1012"/>
      <c r="I16085" s="1011" t="s">
        <v>2183</v>
      </c>
      <c r="K16085" s="1013"/>
    </row>
    <row r="16086" spans="1:11" s="1011" customFormat="1" ht="15" x14ac:dyDescent="0.25">
      <c r="A16086" s="859">
        <f t="shared" si="374"/>
        <v>16085</v>
      </c>
      <c r="B16086" s="845" t="s">
        <v>2564</v>
      </c>
      <c r="C16086" s="1007">
        <f t="shared" si="373"/>
        <v>158</v>
      </c>
      <c r="D16086" s="1015"/>
      <c r="I16086" s="1011" t="str">
        <f>CONCATENATE("&lt;valeur&gt;",VLOOKUP(C16086,'T16 Amort'!A:K,11,0),"&lt;/valeur&gt;")</f>
        <v>&lt;valeur&gt;&lt;/valeur&gt;</v>
      </c>
      <c r="K16086" s="1013"/>
    </row>
    <row r="16087" spans="1:11" s="1011" customFormat="1" ht="15" x14ac:dyDescent="0.25">
      <c r="A16087" s="859">
        <f t="shared" si="374"/>
        <v>16086</v>
      </c>
      <c r="B16087" s="845" t="s">
        <v>2564</v>
      </c>
      <c r="C16087" s="1007">
        <f t="shared" si="373"/>
        <v>158</v>
      </c>
      <c r="D16087" s="1012"/>
      <c r="I16087" s="1011" t="str">
        <f>CONCATENATE("&lt;numeroLigne&gt;",C16087,"&lt;/numeroLigne&gt;")</f>
        <v>&lt;numeroLigne&gt;158&lt;/numeroLigne&gt;</v>
      </c>
      <c r="K16087" s="1013"/>
    </row>
    <row r="16088" spans="1:11" s="1011" customFormat="1" ht="15" x14ac:dyDescent="0.25">
      <c r="A16088" s="859">
        <f t="shared" si="374"/>
        <v>16087</v>
      </c>
      <c r="B16088" s="845" t="s">
        <v>2564</v>
      </c>
      <c r="C16088" s="1007">
        <f t="shared" si="373"/>
        <v>158</v>
      </c>
      <c r="D16088" s="1016"/>
      <c r="E16088" s="1017"/>
      <c r="F16088" s="1017"/>
      <c r="G16088" s="1017"/>
      <c r="H16088" s="1017" t="s">
        <v>1010</v>
      </c>
      <c r="I16088" s="1017"/>
      <c r="J16088" s="1017"/>
      <c r="K16088" s="1018"/>
    </row>
    <row r="16089" spans="1:11" s="1011" customFormat="1" ht="15" x14ac:dyDescent="0.25">
      <c r="A16089" s="859">
        <f t="shared" si="374"/>
        <v>16088</v>
      </c>
      <c r="B16089" s="845" t="s">
        <v>2564</v>
      </c>
      <c r="C16089" s="1007">
        <f t="shared" si="373"/>
        <v>159</v>
      </c>
      <c r="D16089" s="1008"/>
      <c r="E16089" s="1009"/>
      <c r="F16089" s="1009"/>
      <c r="G16089" s="1009"/>
      <c r="H16089" s="1009" t="s">
        <v>1007</v>
      </c>
      <c r="I16089" s="1009"/>
      <c r="J16089" s="1009"/>
      <c r="K16089" s="1010"/>
    </row>
    <row r="16090" spans="1:11" s="1011" customFormat="1" ht="15" x14ac:dyDescent="0.25">
      <c r="A16090" s="859">
        <f t="shared" si="374"/>
        <v>16089</v>
      </c>
      <c r="B16090" s="845" t="s">
        <v>2564</v>
      </c>
      <c r="C16090" s="1007">
        <f t="shared" si="373"/>
        <v>159</v>
      </c>
      <c r="D16090" s="1012"/>
      <c r="I16090" s="1011" t="s">
        <v>2174</v>
      </c>
      <c r="K16090" s="1013"/>
    </row>
    <row r="16091" spans="1:11" s="1011" customFormat="1" ht="15" x14ac:dyDescent="0.25">
      <c r="A16091" s="859">
        <f t="shared" si="374"/>
        <v>16090</v>
      </c>
      <c r="B16091" s="845" t="s">
        <v>2564</v>
      </c>
      <c r="C16091" s="1007">
        <f t="shared" si="373"/>
        <v>159</v>
      </c>
      <c r="D16091" s="1014"/>
      <c r="I16091" s="1011" t="str">
        <f>CONCATENATE("&lt;valeur&gt;",VLOOKUP(C16091,'T16 Amort'!A:K,2,0),"&lt;/valeur&gt;")</f>
        <v>&lt;valeur&gt;&lt;/valeur&gt;</v>
      </c>
      <c r="K16091" s="1013"/>
    </row>
    <row r="16092" spans="1:11" s="1011" customFormat="1" ht="15" x14ac:dyDescent="0.25">
      <c r="A16092" s="859">
        <f t="shared" si="374"/>
        <v>16091</v>
      </c>
      <c r="B16092" s="845" t="s">
        <v>2564</v>
      </c>
      <c r="C16092" s="1007">
        <f t="shared" si="373"/>
        <v>159</v>
      </c>
      <c r="D16092" s="1014"/>
      <c r="I16092" s="1011" t="str">
        <f>CONCATENATE("&lt;numeroLigne&gt;",C16092,"&lt;/numeroLigne&gt;")</f>
        <v>&lt;numeroLigne&gt;159&lt;/numeroLigne&gt;</v>
      </c>
      <c r="K16092" s="1013"/>
    </row>
    <row r="16093" spans="1:11" s="1011" customFormat="1" ht="15" x14ac:dyDescent="0.25">
      <c r="A16093" s="859">
        <f t="shared" si="374"/>
        <v>16092</v>
      </c>
      <c r="B16093" s="845" t="s">
        <v>2564</v>
      </c>
      <c r="C16093" s="1007">
        <f t="shared" si="373"/>
        <v>159</v>
      </c>
      <c r="D16093" s="1012"/>
      <c r="H16093" s="1011" t="s">
        <v>1010</v>
      </c>
      <c r="K16093" s="1013"/>
    </row>
    <row r="16094" spans="1:11" s="1011" customFormat="1" ht="15" x14ac:dyDescent="0.25">
      <c r="A16094" s="859">
        <f t="shared" si="374"/>
        <v>16093</v>
      </c>
      <c r="B16094" s="845" t="s">
        <v>2564</v>
      </c>
      <c r="C16094" s="1007">
        <f t="shared" si="373"/>
        <v>159</v>
      </c>
      <c r="D16094" s="1015"/>
      <c r="H16094" s="1011" t="s">
        <v>1007</v>
      </c>
      <c r="K16094" s="1013"/>
    </row>
    <row r="16095" spans="1:11" s="1011" customFormat="1" ht="15" x14ac:dyDescent="0.25">
      <c r="A16095" s="859">
        <f t="shared" si="374"/>
        <v>16094</v>
      </c>
      <c r="B16095" s="845" t="s">
        <v>2564</v>
      </c>
      <c r="C16095" s="1007">
        <f t="shared" si="373"/>
        <v>159</v>
      </c>
      <c r="D16095" s="1012"/>
      <c r="I16095" s="1011" t="s">
        <v>2175</v>
      </c>
      <c r="K16095" s="1013"/>
    </row>
    <row r="16096" spans="1:11" s="1011" customFormat="1" ht="15" x14ac:dyDescent="0.25">
      <c r="A16096" s="859">
        <f t="shared" si="374"/>
        <v>16095</v>
      </c>
      <c r="B16096" s="845" t="s">
        <v>2564</v>
      </c>
      <c r="C16096" s="1007">
        <f t="shared" si="373"/>
        <v>159</v>
      </c>
      <c r="D16096" s="1012"/>
      <c r="I16096" s="1011" t="str">
        <f>CONCATENATE("&lt;valeur&gt;",VLOOKUP(C16096,'T16 Amort'!A:K,3,0),"&lt;/valeur&gt;")</f>
        <v>&lt;valeur&gt;&lt;/valeur&gt;</v>
      </c>
      <c r="K16096" s="1013"/>
    </row>
    <row r="16097" spans="1:11" s="1011" customFormat="1" ht="15" x14ac:dyDescent="0.25">
      <c r="A16097" s="859">
        <f t="shared" si="374"/>
        <v>16096</v>
      </c>
      <c r="B16097" s="845" t="s">
        <v>2564</v>
      </c>
      <c r="C16097" s="1007">
        <f t="shared" si="373"/>
        <v>159</v>
      </c>
      <c r="D16097" s="1014"/>
      <c r="I16097" s="1011" t="str">
        <f>CONCATENATE("&lt;numeroLigne&gt;",C16097,"&lt;/numeroLigne&gt;")</f>
        <v>&lt;numeroLigne&gt;159&lt;/numeroLigne&gt;</v>
      </c>
      <c r="K16097" s="1013"/>
    </row>
    <row r="16098" spans="1:11" s="1011" customFormat="1" ht="15" x14ac:dyDescent="0.25">
      <c r="A16098" s="859">
        <f t="shared" si="374"/>
        <v>16097</v>
      </c>
      <c r="B16098" s="845" t="s">
        <v>2564</v>
      </c>
      <c r="C16098" s="1007">
        <f t="shared" si="373"/>
        <v>159</v>
      </c>
      <c r="D16098" s="1014"/>
      <c r="H16098" s="1011" t="s">
        <v>1010</v>
      </c>
      <c r="K16098" s="1013"/>
    </row>
    <row r="16099" spans="1:11" s="1011" customFormat="1" ht="15" x14ac:dyDescent="0.25">
      <c r="A16099" s="859">
        <f t="shared" si="374"/>
        <v>16098</v>
      </c>
      <c r="B16099" s="845" t="s">
        <v>2564</v>
      </c>
      <c r="C16099" s="1007">
        <f t="shared" si="373"/>
        <v>159</v>
      </c>
      <c r="D16099" s="1012"/>
      <c r="H16099" s="1011" t="s">
        <v>1007</v>
      </c>
      <c r="K16099" s="1013"/>
    </row>
    <row r="16100" spans="1:11" s="1011" customFormat="1" ht="15" x14ac:dyDescent="0.25">
      <c r="A16100" s="859">
        <f t="shared" si="374"/>
        <v>16099</v>
      </c>
      <c r="B16100" s="845" t="s">
        <v>2564</v>
      </c>
      <c r="C16100" s="1007">
        <f t="shared" si="373"/>
        <v>159</v>
      </c>
      <c r="D16100" s="1015"/>
      <c r="I16100" s="1011" t="s">
        <v>2176</v>
      </c>
      <c r="K16100" s="1013"/>
    </row>
    <row r="16101" spans="1:11" s="1011" customFormat="1" ht="15" x14ac:dyDescent="0.25">
      <c r="A16101" s="859">
        <f t="shared" si="374"/>
        <v>16100</v>
      </c>
      <c r="B16101" s="845" t="s">
        <v>2564</v>
      </c>
      <c r="C16101" s="1007">
        <f t="shared" si="373"/>
        <v>159</v>
      </c>
      <c r="D16101" s="1012"/>
      <c r="I16101" s="1011" t="str">
        <f>CONCATENATE("&lt;valeur&gt;",VLOOKUP(C16101,'T16 Amort'!A:K,4,0),"&lt;/valeur&gt;")</f>
        <v>&lt;valeur&gt;&lt;/valeur&gt;</v>
      </c>
      <c r="K16101" s="1013"/>
    </row>
    <row r="16102" spans="1:11" s="1011" customFormat="1" ht="15" x14ac:dyDescent="0.25">
      <c r="A16102" s="859">
        <f t="shared" si="374"/>
        <v>16101</v>
      </c>
      <c r="B16102" s="845" t="s">
        <v>2564</v>
      </c>
      <c r="C16102" s="1007">
        <f t="shared" si="373"/>
        <v>159</v>
      </c>
      <c r="D16102" s="1012"/>
      <c r="I16102" s="1011" t="str">
        <f>CONCATENATE("&lt;numeroLigne&gt;",C16102,"&lt;/numeroLigne&gt;")</f>
        <v>&lt;numeroLigne&gt;159&lt;/numeroLigne&gt;</v>
      </c>
      <c r="K16102" s="1013"/>
    </row>
    <row r="16103" spans="1:11" s="1011" customFormat="1" ht="15" x14ac:dyDescent="0.25">
      <c r="A16103" s="859">
        <f t="shared" si="374"/>
        <v>16102</v>
      </c>
      <c r="B16103" s="845" t="s">
        <v>2564</v>
      </c>
      <c r="C16103" s="1007">
        <f t="shared" si="373"/>
        <v>159</v>
      </c>
      <c r="D16103" s="1014"/>
      <c r="H16103" s="1011" t="s">
        <v>1010</v>
      </c>
      <c r="K16103" s="1013"/>
    </row>
    <row r="16104" spans="1:11" s="1011" customFormat="1" ht="15" x14ac:dyDescent="0.25">
      <c r="A16104" s="859">
        <f t="shared" si="374"/>
        <v>16103</v>
      </c>
      <c r="B16104" s="845" t="s">
        <v>2564</v>
      </c>
      <c r="C16104" s="1007">
        <f t="shared" si="373"/>
        <v>159</v>
      </c>
      <c r="D16104" s="1014"/>
      <c r="H16104" s="1011" t="s">
        <v>1007</v>
      </c>
      <c r="K16104" s="1013"/>
    </row>
    <row r="16105" spans="1:11" s="1011" customFormat="1" ht="15" x14ac:dyDescent="0.25">
      <c r="A16105" s="859">
        <f t="shared" si="374"/>
        <v>16104</v>
      </c>
      <c r="B16105" s="845" t="s">
        <v>2564</v>
      </c>
      <c r="C16105" s="1007">
        <f t="shared" si="373"/>
        <v>159</v>
      </c>
      <c r="D16105" s="1012"/>
      <c r="I16105" s="1011" t="s">
        <v>2177</v>
      </c>
      <c r="K16105" s="1013"/>
    </row>
    <row r="16106" spans="1:11" s="1011" customFormat="1" ht="15" x14ac:dyDescent="0.25">
      <c r="A16106" s="859">
        <f t="shared" si="374"/>
        <v>16105</v>
      </c>
      <c r="B16106" s="845" t="s">
        <v>2564</v>
      </c>
      <c r="C16106" s="1007">
        <f t="shared" si="373"/>
        <v>159</v>
      </c>
      <c r="D16106" s="1015"/>
      <c r="I16106" s="1011" t="str">
        <f>CONCATENATE("&lt;valeur&gt;",VLOOKUP(C16106,'T16 Amort'!A:K,5,0),"&lt;/valeur&gt;")</f>
        <v>&lt;valeur&gt;&lt;/valeur&gt;</v>
      </c>
      <c r="K16106" s="1013"/>
    </row>
    <row r="16107" spans="1:11" s="1011" customFormat="1" ht="15" x14ac:dyDescent="0.25">
      <c r="A16107" s="859">
        <f t="shared" si="374"/>
        <v>16106</v>
      </c>
      <c r="B16107" s="845" t="s">
        <v>2564</v>
      </c>
      <c r="C16107" s="1007">
        <f t="shared" si="373"/>
        <v>159</v>
      </c>
      <c r="D16107" s="1012"/>
      <c r="I16107" s="1011" t="str">
        <f>CONCATENATE("&lt;numeroLigne&gt;",C16107,"&lt;/numeroLigne&gt;")</f>
        <v>&lt;numeroLigne&gt;159&lt;/numeroLigne&gt;</v>
      </c>
      <c r="K16107" s="1013"/>
    </row>
    <row r="16108" spans="1:11" s="1011" customFormat="1" ht="15" x14ac:dyDescent="0.25">
      <c r="A16108" s="859">
        <f t="shared" si="374"/>
        <v>16107</v>
      </c>
      <c r="B16108" s="845" t="s">
        <v>2564</v>
      </c>
      <c r="C16108" s="1007">
        <f t="shared" si="373"/>
        <v>159</v>
      </c>
      <c r="D16108" s="1012"/>
      <c r="H16108" s="1011" t="s">
        <v>1010</v>
      </c>
      <c r="K16108" s="1013"/>
    </row>
    <row r="16109" spans="1:11" s="1011" customFormat="1" ht="15" x14ac:dyDescent="0.25">
      <c r="A16109" s="859">
        <f t="shared" si="374"/>
        <v>16108</v>
      </c>
      <c r="B16109" s="845" t="s">
        <v>2564</v>
      </c>
      <c r="C16109" s="1007">
        <f t="shared" si="373"/>
        <v>159</v>
      </c>
      <c r="D16109" s="1014"/>
      <c r="H16109" s="1011" t="s">
        <v>1007</v>
      </c>
      <c r="K16109" s="1013"/>
    </row>
    <row r="16110" spans="1:11" s="1011" customFormat="1" ht="15" x14ac:dyDescent="0.25">
      <c r="A16110" s="859">
        <f t="shared" si="374"/>
        <v>16109</v>
      </c>
      <c r="B16110" s="845" t="s">
        <v>2564</v>
      </c>
      <c r="C16110" s="1007">
        <f t="shared" si="373"/>
        <v>159</v>
      </c>
      <c r="D16110" s="1014"/>
      <c r="I16110" s="1011" t="s">
        <v>2178</v>
      </c>
      <c r="K16110" s="1013"/>
    </row>
    <row r="16111" spans="1:11" s="1011" customFormat="1" ht="15" x14ac:dyDescent="0.25">
      <c r="A16111" s="859">
        <f t="shared" si="374"/>
        <v>16110</v>
      </c>
      <c r="B16111" s="845" t="s">
        <v>2564</v>
      </c>
      <c r="C16111" s="1007">
        <f t="shared" ref="C16111:C16174" si="375">C16061+1</f>
        <v>159</v>
      </c>
      <c r="D16111" s="1012"/>
      <c r="I16111" s="1011" t="str">
        <f>CONCATENATE("&lt;valeur&gt;",VLOOKUP(C16111,'T16 Amort'!A:K,6,0),"&lt;/valeur&gt;")</f>
        <v>&lt;valeur&gt;&lt;/valeur&gt;</v>
      </c>
      <c r="K16111" s="1013"/>
    </row>
    <row r="16112" spans="1:11" s="1011" customFormat="1" ht="15" x14ac:dyDescent="0.25">
      <c r="A16112" s="859">
        <f t="shared" si="374"/>
        <v>16111</v>
      </c>
      <c r="B16112" s="845" t="s">
        <v>2564</v>
      </c>
      <c r="C16112" s="1007">
        <f t="shared" si="375"/>
        <v>159</v>
      </c>
      <c r="D16112" s="1015"/>
      <c r="I16112" s="1011" t="str">
        <f>CONCATENATE("&lt;numeroLigne&gt;",C16112,"&lt;/numeroLigne&gt;")</f>
        <v>&lt;numeroLigne&gt;159&lt;/numeroLigne&gt;</v>
      </c>
      <c r="K16112" s="1013"/>
    </row>
    <row r="16113" spans="1:11" s="1011" customFormat="1" ht="15" x14ac:dyDescent="0.25">
      <c r="A16113" s="859">
        <f t="shared" si="374"/>
        <v>16112</v>
      </c>
      <c r="B16113" s="845" t="s">
        <v>2564</v>
      </c>
      <c r="C16113" s="1007">
        <f t="shared" si="375"/>
        <v>159</v>
      </c>
      <c r="D16113" s="1012"/>
      <c r="H16113" s="1011" t="s">
        <v>1010</v>
      </c>
      <c r="K16113" s="1013"/>
    </row>
    <row r="16114" spans="1:11" s="1011" customFormat="1" ht="15" x14ac:dyDescent="0.25">
      <c r="A16114" s="859">
        <f t="shared" si="374"/>
        <v>16113</v>
      </c>
      <c r="B16114" s="845" t="s">
        <v>2564</v>
      </c>
      <c r="C16114" s="1007">
        <f t="shared" si="375"/>
        <v>159</v>
      </c>
      <c r="D16114" s="1012"/>
      <c r="H16114" s="1011" t="s">
        <v>1007</v>
      </c>
      <c r="K16114" s="1013"/>
    </row>
    <row r="16115" spans="1:11" s="1011" customFormat="1" ht="15" x14ac:dyDescent="0.25">
      <c r="A16115" s="859">
        <f t="shared" si="374"/>
        <v>16114</v>
      </c>
      <c r="B16115" s="845" t="s">
        <v>2564</v>
      </c>
      <c r="C16115" s="1007">
        <f t="shared" si="375"/>
        <v>159</v>
      </c>
      <c r="D16115" s="1014"/>
      <c r="I16115" s="1011" t="s">
        <v>2179</v>
      </c>
      <c r="K16115" s="1013"/>
    </row>
    <row r="16116" spans="1:11" s="1011" customFormat="1" ht="15" x14ac:dyDescent="0.25">
      <c r="A16116" s="859">
        <f t="shared" si="374"/>
        <v>16115</v>
      </c>
      <c r="B16116" s="845" t="s">
        <v>2564</v>
      </c>
      <c r="C16116" s="1007">
        <f t="shared" si="375"/>
        <v>159</v>
      </c>
      <c r="D16116" s="1014"/>
      <c r="I16116" s="1011" t="str">
        <f>CONCATENATE("&lt;valeur&gt;",VLOOKUP(C16116,'T16 Amort'!A:K,7,0),"&lt;/valeur&gt;")</f>
        <v>&lt;valeur&gt;&lt;/valeur&gt;</v>
      </c>
      <c r="K16116" s="1013"/>
    </row>
    <row r="16117" spans="1:11" s="1011" customFormat="1" ht="15" x14ac:dyDescent="0.25">
      <c r="A16117" s="859">
        <f t="shared" si="374"/>
        <v>16116</v>
      </c>
      <c r="B16117" s="845" t="s">
        <v>2564</v>
      </c>
      <c r="C16117" s="1007">
        <f t="shared" si="375"/>
        <v>159</v>
      </c>
      <c r="D16117" s="1012"/>
      <c r="I16117" s="1011" t="str">
        <f>CONCATENATE("&lt;numeroLigne&gt;",C16117,"&lt;/numeroLigne&gt;")</f>
        <v>&lt;numeroLigne&gt;159&lt;/numeroLigne&gt;</v>
      </c>
      <c r="K16117" s="1013"/>
    </row>
    <row r="16118" spans="1:11" s="1011" customFormat="1" ht="15" x14ac:dyDescent="0.25">
      <c r="A16118" s="859">
        <f t="shared" si="374"/>
        <v>16117</v>
      </c>
      <c r="B16118" s="845" t="s">
        <v>2564</v>
      </c>
      <c r="C16118" s="1007">
        <f t="shared" si="375"/>
        <v>159</v>
      </c>
      <c r="D16118" s="1015"/>
      <c r="H16118" s="1011" t="s">
        <v>1010</v>
      </c>
      <c r="K16118" s="1013"/>
    </row>
    <row r="16119" spans="1:11" s="1011" customFormat="1" ht="15" x14ac:dyDescent="0.25">
      <c r="A16119" s="859">
        <f t="shared" si="374"/>
        <v>16118</v>
      </c>
      <c r="B16119" s="845" t="s">
        <v>2564</v>
      </c>
      <c r="C16119" s="1007">
        <f t="shared" si="375"/>
        <v>159</v>
      </c>
      <c r="D16119" s="1012"/>
      <c r="H16119" s="1011" t="s">
        <v>1007</v>
      </c>
      <c r="K16119" s="1013"/>
    </row>
    <row r="16120" spans="1:11" s="1011" customFormat="1" ht="15" x14ac:dyDescent="0.25">
      <c r="A16120" s="859">
        <f t="shared" si="374"/>
        <v>16119</v>
      </c>
      <c r="B16120" s="845" t="s">
        <v>2564</v>
      </c>
      <c r="C16120" s="1007">
        <f t="shared" si="375"/>
        <v>159</v>
      </c>
      <c r="D16120" s="1012"/>
      <c r="I16120" s="1011" t="s">
        <v>2180</v>
      </c>
      <c r="K16120" s="1013"/>
    </row>
    <row r="16121" spans="1:11" s="1011" customFormat="1" ht="15" x14ac:dyDescent="0.25">
      <c r="A16121" s="859">
        <f t="shared" si="374"/>
        <v>16120</v>
      </c>
      <c r="B16121" s="845" t="s">
        <v>2564</v>
      </c>
      <c r="C16121" s="1007">
        <f t="shared" si="375"/>
        <v>159</v>
      </c>
      <c r="D16121" s="1014"/>
      <c r="I16121" s="1011" t="str">
        <f>CONCATENATE("&lt;valeur&gt;",VLOOKUP(C16121,'T16 Amort'!A:K,8,0),"&lt;/valeur&gt;")</f>
        <v>&lt;valeur&gt;&lt;/valeur&gt;</v>
      </c>
      <c r="K16121" s="1013"/>
    </row>
    <row r="16122" spans="1:11" s="1011" customFormat="1" ht="15" x14ac:dyDescent="0.25">
      <c r="A16122" s="859">
        <f t="shared" si="374"/>
        <v>16121</v>
      </c>
      <c r="B16122" s="845" t="s">
        <v>2564</v>
      </c>
      <c r="C16122" s="1007">
        <f t="shared" si="375"/>
        <v>159</v>
      </c>
      <c r="D16122" s="1014"/>
      <c r="I16122" s="1011" t="str">
        <f>CONCATENATE("&lt;numeroLigne&gt;",C16122,"&lt;/numeroLigne&gt;")</f>
        <v>&lt;numeroLigne&gt;159&lt;/numeroLigne&gt;</v>
      </c>
      <c r="K16122" s="1013"/>
    </row>
    <row r="16123" spans="1:11" s="1011" customFormat="1" ht="15" x14ac:dyDescent="0.25">
      <c r="A16123" s="859">
        <f t="shared" si="374"/>
        <v>16122</v>
      </c>
      <c r="B16123" s="845" t="s">
        <v>2564</v>
      </c>
      <c r="C16123" s="1007">
        <f t="shared" si="375"/>
        <v>159</v>
      </c>
      <c r="D16123" s="1012"/>
      <c r="H16123" s="1011" t="s">
        <v>1010</v>
      </c>
      <c r="K16123" s="1013"/>
    </row>
    <row r="16124" spans="1:11" s="1011" customFormat="1" ht="15" x14ac:dyDescent="0.25">
      <c r="A16124" s="859">
        <f t="shared" si="374"/>
        <v>16123</v>
      </c>
      <c r="B16124" s="845" t="s">
        <v>2564</v>
      </c>
      <c r="C16124" s="1007">
        <f t="shared" si="375"/>
        <v>159</v>
      </c>
      <c r="D16124" s="1015"/>
      <c r="H16124" s="1011" t="s">
        <v>1007</v>
      </c>
      <c r="K16124" s="1013"/>
    </row>
    <row r="16125" spans="1:11" s="1011" customFormat="1" ht="15" x14ac:dyDescent="0.25">
      <c r="A16125" s="859">
        <f t="shared" si="374"/>
        <v>16124</v>
      </c>
      <c r="B16125" s="845" t="s">
        <v>2564</v>
      </c>
      <c r="C16125" s="1007">
        <f t="shared" si="375"/>
        <v>159</v>
      </c>
      <c r="D16125" s="1012"/>
      <c r="I16125" s="1011" t="s">
        <v>2181</v>
      </c>
      <c r="K16125" s="1013"/>
    </row>
    <row r="16126" spans="1:11" s="1011" customFormat="1" ht="15" x14ac:dyDescent="0.25">
      <c r="A16126" s="859">
        <f t="shared" si="374"/>
        <v>16125</v>
      </c>
      <c r="B16126" s="845" t="s">
        <v>2564</v>
      </c>
      <c r="C16126" s="1007">
        <f t="shared" si="375"/>
        <v>159</v>
      </c>
      <c r="D16126" s="1012"/>
      <c r="I16126" s="1011" t="str">
        <f>CONCATENATE("&lt;valeur&gt;",VLOOKUP(C16126,'T16 Amort'!A:K,9,0),"&lt;/valeur&gt;")</f>
        <v>&lt;valeur&gt;&lt;/valeur&gt;</v>
      </c>
      <c r="K16126" s="1013"/>
    </row>
    <row r="16127" spans="1:11" s="1011" customFormat="1" ht="15" x14ac:dyDescent="0.25">
      <c r="A16127" s="859">
        <f t="shared" si="374"/>
        <v>16126</v>
      </c>
      <c r="B16127" s="845" t="s">
        <v>2564</v>
      </c>
      <c r="C16127" s="1007">
        <f t="shared" si="375"/>
        <v>159</v>
      </c>
      <c r="D16127" s="1014"/>
      <c r="I16127" s="1011" t="str">
        <f>CONCATENATE("&lt;numeroLigne&gt;",C16127,"&lt;/numeroLigne&gt;")</f>
        <v>&lt;numeroLigne&gt;159&lt;/numeroLigne&gt;</v>
      </c>
      <c r="K16127" s="1013"/>
    </row>
    <row r="16128" spans="1:11" s="1011" customFormat="1" ht="15" x14ac:dyDescent="0.25">
      <c r="A16128" s="859">
        <f t="shared" si="374"/>
        <v>16127</v>
      </c>
      <c r="B16128" s="845" t="s">
        <v>2564</v>
      </c>
      <c r="C16128" s="1007">
        <f t="shared" si="375"/>
        <v>159</v>
      </c>
      <c r="D16128" s="1014"/>
      <c r="H16128" s="1011" t="s">
        <v>1010</v>
      </c>
      <c r="K16128" s="1013"/>
    </row>
    <row r="16129" spans="1:11" s="1011" customFormat="1" ht="15" x14ac:dyDescent="0.25">
      <c r="A16129" s="859">
        <f t="shared" si="374"/>
        <v>16128</v>
      </c>
      <c r="B16129" s="845" t="s">
        <v>2564</v>
      </c>
      <c r="C16129" s="1007">
        <f t="shared" si="375"/>
        <v>159</v>
      </c>
      <c r="D16129" s="1012"/>
      <c r="H16129" s="1011" t="s">
        <v>1007</v>
      </c>
      <c r="K16129" s="1013"/>
    </row>
    <row r="16130" spans="1:11" s="1011" customFormat="1" ht="15" x14ac:dyDescent="0.25">
      <c r="A16130" s="859">
        <f t="shared" si="374"/>
        <v>16129</v>
      </c>
      <c r="B16130" s="845" t="s">
        <v>2564</v>
      </c>
      <c r="C16130" s="1007">
        <f t="shared" si="375"/>
        <v>159</v>
      </c>
      <c r="D16130" s="1015"/>
      <c r="I16130" s="1011" t="s">
        <v>2182</v>
      </c>
      <c r="K16130" s="1013"/>
    </row>
    <row r="16131" spans="1:11" s="1011" customFormat="1" ht="15" x14ac:dyDescent="0.25">
      <c r="A16131" s="859">
        <f t="shared" si="374"/>
        <v>16130</v>
      </c>
      <c r="B16131" s="845" t="s">
        <v>2564</v>
      </c>
      <c r="C16131" s="1007">
        <f t="shared" si="375"/>
        <v>159</v>
      </c>
      <c r="D16131" s="1012"/>
      <c r="I16131" s="1011" t="str">
        <f>CONCATENATE("&lt;valeur&gt;",VLOOKUP(C16131,'T16 Amort'!A:K,10,0),"&lt;/valeur&gt;")</f>
        <v>&lt;valeur&gt;&lt;/valeur&gt;</v>
      </c>
      <c r="K16131" s="1013"/>
    </row>
    <row r="16132" spans="1:11" s="1011" customFormat="1" ht="15" x14ac:dyDescent="0.25">
      <c r="A16132" s="859">
        <f t="shared" ref="A16132:A16195" si="376">+A16131+1</f>
        <v>16131</v>
      </c>
      <c r="B16132" s="845" t="s">
        <v>2564</v>
      </c>
      <c r="C16132" s="1007">
        <f t="shared" si="375"/>
        <v>159</v>
      </c>
      <c r="D16132" s="1012"/>
      <c r="I16132" s="1011" t="str">
        <f>CONCATENATE("&lt;numeroLigne&gt;",C16132,"&lt;/numeroLigne&gt;")</f>
        <v>&lt;numeroLigne&gt;159&lt;/numeroLigne&gt;</v>
      </c>
      <c r="K16132" s="1013"/>
    </row>
    <row r="16133" spans="1:11" s="1011" customFormat="1" ht="15" x14ac:dyDescent="0.25">
      <c r="A16133" s="859">
        <f t="shared" si="376"/>
        <v>16132</v>
      </c>
      <c r="B16133" s="845" t="s">
        <v>2564</v>
      </c>
      <c r="C16133" s="1007">
        <f t="shared" si="375"/>
        <v>159</v>
      </c>
      <c r="D16133" s="1014"/>
      <c r="H16133" s="1011" t="s">
        <v>1010</v>
      </c>
      <c r="K16133" s="1013"/>
    </row>
    <row r="16134" spans="1:11" s="1011" customFormat="1" ht="15" x14ac:dyDescent="0.25">
      <c r="A16134" s="859">
        <f t="shared" si="376"/>
        <v>16133</v>
      </c>
      <c r="B16134" s="845" t="s">
        <v>2564</v>
      </c>
      <c r="C16134" s="1007">
        <f t="shared" si="375"/>
        <v>159</v>
      </c>
      <c r="D16134" s="1014"/>
      <c r="H16134" s="1011" t="s">
        <v>1007</v>
      </c>
      <c r="K16134" s="1013"/>
    </row>
    <row r="16135" spans="1:11" s="1011" customFormat="1" ht="15" x14ac:dyDescent="0.25">
      <c r="A16135" s="859">
        <f t="shared" si="376"/>
        <v>16134</v>
      </c>
      <c r="B16135" s="845" t="s">
        <v>2564</v>
      </c>
      <c r="C16135" s="1007">
        <f t="shared" si="375"/>
        <v>159</v>
      </c>
      <c r="D16135" s="1012"/>
      <c r="I16135" s="1011" t="s">
        <v>2183</v>
      </c>
      <c r="K16135" s="1013"/>
    </row>
    <row r="16136" spans="1:11" s="1011" customFormat="1" ht="15" x14ac:dyDescent="0.25">
      <c r="A16136" s="859">
        <f t="shared" si="376"/>
        <v>16135</v>
      </c>
      <c r="B16136" s="845" t="s">
        <v>2564</v>
      </c>
      <c r="C16136" s="1007">
        <f t="shared" si="375"/>
        <v>159</v>
      </c>
      <c r="D16136" s="1015"/>
      <c r="I16136" s="1011" t="str">
        <f>CONCATENATE("&lt;valeur&gt;",VLOOKUP(C16136,'T16 Amort'!A:K,11,0),"&lt;/valeur&gt;")</f>
        <v>&lt;valeur&gt;&lt;/valeur&gt;</v>
      </c>
      <c r="K16136" s="1013"/>
    </row>
    <row r="16137" spans="1:11" s="1011" customFormat="1" ht="15" x14ac:dyDescent="0.25">
      <c r="A16137" s="859">
        <f t="shared" si="376"/>
        <v>16136</v>
      </c>
      <c r="B16137" s="845" t="s">
        <v>2564</v>
      </c>
      <c r="C16137" s="1007">
        <f t="shared" si="375"/>
        <v>159</v>
      </c>
      <c r="D16137" s="1012"/>
      <c r="I16137" s="1011" t="str">
        <f>CONCATENATE("&lt;numeroLigne&gt;",C16137,"&lt;/numeroLigne&gt;")</f>
        <v>&lt;numeroLigne&gt;159&lt;/numeroLigne&gt;</v>
      </c>
      <c r="K16137" s="1013"/>
    </row>
    <row r="16138" spans="1:11" s="1011" customFormat="1" ht="15" x14ac:dyDescent="0.25">
      <c r="A16138" s="859">
        <f t="shared" si="376"/>
        <v>16137</v>
      </c>
      <c r="B16138" s="845" t="s">
        <v>2564</v>
      </c>
      <c r="C16138" s="1007">
        <f t="shared" si="375"/>
        <v>159</v>
      </c>
      <c r="D16138" s="1016"/>
      <c r="E16138" s="1017"/>
      <c r="F16138" s="1017"/>
      <c r="G16138" s="1017"/>
      <c r="H16138" s="1017" t="s">
        <v>1010</v>
      </c>
      <c r="I16138" s="1017"/>
      <c r="J16138" s="1017"/>
      <c r="K16138" s="1018"/>
    </row>
    <row r="16139" spans="1:11" s="1011" customFormat="1" ht="15" x14ac:dyDescent="0.25">
      <c r="A16139" s="859">
        <f t="shared" si="376"/>
        <v>16138</v>
      </c>
      <c r="B16139" s="845" t="s">
        <v>2564</v>
      </c>
      <c r="C16139" s="1007">
        <f t="shared" si="375"/>
        <v>160</v>
      </c>
      <c r="D16139" s="1008"/>
      <c r="E16139" s="1009"/>
      <c r="F16139" s="1009"/>
      <c r="G16139" s="1009"/>
      <c r="H16139" s="1009" t="s">
        <v>1007</v>
      </c>
      <c r="I16139" s="1009"/>
      <c r="J16139" s="1009"/>
      <c r="K16139" s="1010"/>
    </row>
    <row r="16140" spans="1:11" s="1011" customFormat="1" ht="15" x14ac:dyDescent="0.25">
      <c r="A16140" s="859">
        <f t="shared" si="376"/>
        <v>16139</v>
      </c>
      <c r="B16140" s="845" t="s">
        <v>2564</v>
      </c>
      <c r="C16140" s="1007">
        <f t="shared" si="375"/>
        <v>160</v>
      </c>
      <c r="D16140" s="1012"/>
      <c r="I16140" s="1011" t="s">
        <v>2174</v>
      </c>
      <c r="K16140" s="1013"/>
    </row>
    <row r="16141" spans="1:11" s="1011" customFormat="1" ht="15" x14ac:dyDescent="0.25">
      <c r="A16141" s="859">
        <f t="shared" si="376"/>
        <v>16140</v>
      </c>
      <c r="B16141" s="845" t="s">
        <v>2564</v>
      </c>
      <c r="C16141" s="1007">
        <f t="shared" si="375"/>
        <v>160</v>
      </c>
      <c r="D16141" s="1014"/>
      <c r="I16141" s="1011" t="str">
        <f>CONCATENATE("&lt;valeur&gt;",VLOOKUP(C16141,'T16 Amort'!A:K,2,0),"&lt;/valeur&gt;")</f>
        <v>&lt;valeur&gt;&lt;/valeur&gt;</v>
      </c>
      <c r="K16141" s="1013"/>
    </row>
    <row r="16142" spans="1:11" s="1011" customFormat="1" ht="15" x14ac:dyDescent="0.25">
      <c r="A16142" s="859">
        <f t="shared" si="376"/>
        <v>16141</v>
      </c>
      <c r="B16142" s="845" t="s">
        <v>2564</v>
      </c>
      <c r="C16142" s="1007">
        <f t="shared" si="375"/>
        <v>160</v>
      </c>
      <c r="D16142" s="1014"/>
      <c r="I16142" s="1011" t="str">
        <f>CONCATENATE("&lt;numeroLigne&gt;",C16142,"&lt;/numeroLigne&gt;")</f>
        <v>&lt;numeroLigne&gt;160&lt;/numeroLigne&gt;</v>
      </c>
      <c r="K16142" s="1013"/>
    </row>
    <row r="16143" spans="1:11" s="1011" customFormat="1" ht="15" x14ac:dyDescent="0.25">
      <c r="A16143" s="859">
        <f t="shared" si="376"/>
        <v>16142</v>
      </c>
      <c r="B16143" s="845" t="s">
        <v>2564</v>
      </c>
      <c r="C16143" s="1007">
        <f t="shared" si="375"/>
        <v>160</v>
      </c>
      <c r="D16143" s="1012"/>
      <c r="H16143" s="1011" t="s">
        <v>1010</v>
      </c>
      <c r="K16143" s="1013"/>
    </row>
    <row r="16144" spans="1:11" s="1011" customFormat="1" ht="15" x14ac:dyDescent="0.25">
      <c r="A16144" s="859">
        <f t="shared" si="376"/>
        <v>16143</v>
      </c>
      <c r="B16144" s="845" t="s">
        <v>2564</v>
      </c>
      <c r="C16144" s="1007">
        <f t="shared" si="375"/>
        <v>160</v>
      </c>
      <c r="D16144" s="1015"/>
      <c r="H16144" s="1011" t="s">
        <v>1007</v>
      </c>
      <c r="K16144" s="1013"/>
    </row>
    <row r="16145" spans="1:11" s="1011" customFormat="1" ht="15" x14ac:dyDescent="0.25">
      <c r="A16145" s="859">
        <f t="shared" si="376"/>
        <v>16144</v>
      </c>
      <c r="B16145" s="845" t="s">
        <v>2564</v>
      </c>
      <c r="C16145" s="1007">
        <f t="shared" si="375"/>
        <v>160</v>
      </c>
      <c r="D16145" s="1012"/>
      <c r="I16145" s="1011" t="s">
        <v>2175</v>
      </c>
      <c r="K16145" s="1013"/>
    </row>
    <row r="16146" spans="1:11" s="1011" customFormat="1" ht="15" x14ac:dyDescent="0.25">
      <c r="A16146" s="859">
        <f t="shared" si="376"/>
        <v>16145</v>
      </c>
      <c r="B16146" s="845" t="s">
        <v>2564</v>
      </c>
      <c r="C16146" s="1007">
        <f t="shared" si="375"/>
        <v>160</v>
      </c>
      <c r="D16146" s="1012"/>
      <c r="I16146" s="1011" t="str">
        <f>CONCATENATE("&lt;valeur&gt;",VLOOKUP(C16146,'T16 Amort'!A:K,3,0),"&lt;/valeur&gt;")</f>
        <v>&lt;valeur&gt;&lt;/valeur&gt;</v>
      </c>
      <c r="K16146" s="1013"/>
    </row>
    <row r="16147" spans="1:11" s="1011" customFormat="1" ht="15" x14ac:dyDescent="0.25">
      <c r="A16147" s="859">
        <f t="shared" si="376"/>
        <v>16146</v>
      </c>
      <c r="B16147" s="845" t="s">
        <v>2564</v>
      </c>
      <c r="C16147" s="1007">
        <f t="shared" si="375"/>
        <v>160</v>
      </c>
      <c r="D16147" s="1014"/>
      <c r="I16147" s="1011" t="str">
        <f>CONCATENATE("&lt;numeroLigne&gt;",C16147,"&lt;/numeroLigne&gt;")</f>
        <v>&lt;numeroLigne&gt;160&lt;/numeroLigne&gt;</v>
      </c>
      <c r="K16147" s="1013"/>
    </row>
    <row r="16148" spans="1:11" s="1011" customFormat="1" ht="15" x14ac:dyDescent="0.25">
      <c r="A16148" s="859">
        <f t="shared" si="376"/>
        <v>16147</v>
      </c>
      <c r="B16148" s="845" t="s">
        <v>2564</v>
      </c>
      <c r="C16148" s="1007">
        <f t="shared" si="375"/>
        <v>160</v>
      </c>
      <c r="D16148" s="1014"/>
      <c r="H16148" s="1011" t="s">
        <v>1010</v>
      </c>
      <c r="K16148" s="1013"/>
    </row>
    <row r="16149" spans="1:11" s="1011" customFormat="1" ht="15" x14ac:dyDescent="0.25">
      <c r="A16149" s="859">
        <f t="shared" si="376"/>
        <v>16148</v>
      </c>
      <c r="B16149" s="845" t="s">
        <v>2564</v>
      </c>
      <c r="C16149" s="1007">
        <f t="shared" si="375"/>
        <v>160</v>
      </c>
      <c r="D16149" s="1012"/>
      <c r="H16149" s="1011" t="s">
        <v>1007</v>
      </c>
      <c r="K16149" s="1013"/>
    </row>
    <row r="16150" spans="1:11" s="1011" customFormat="1" ht="15" x14ac:dyDescent="0.25">
      <c r="A16150" s="859">
        <f t="shared" si="376"/>
        <v>16149</v>
      </c>
      <c r="B16150" s="845" t="s">
        <v>2564</v>
      </c>
      <c r="C16150" s="1007">
        <f t="shared" si="375"/>
        <v>160</v>
      </c>
      <c r="D16150" s="1015"/>
      <c r="I16150" s="1011" t="s">
        <v>2176</v>
      </c>
      <c r="K16150" s="1013"/>
    </row>
    <row r="16151" spans="1:11" s="1011" customFormat="1" ht="15" x14ac:dyDescent="0.25">
      <c r="A16151" s="859">
        <f t="shared" si="376"/>
        <v>16150</v>
      </c>
      <c r="B16151" s="845" t="s">
        <v>2564</v>
      </c>
      <c r="C16151" s="1007">
        <f t="shared" si="375"/>
        <v>160</v>
      </c>
      <c r="D16151" s="1012"/>
      <c r="I16151" s="1011" t="str">
        <f>CONCATENATE("&lt;valeur&gt;",VLOOKUP(C16151,'T16 Amort'!A:K,4,0),"&lt;/valeur&gt;")</f>
        <v>&lt;valeur&gt;&lt;/valeur&gt;</v>
      </c>
      <c r="K16151" s="1013"/>
    </row>
    <row r="16152" spans="1:11" s="1011" customFormat="1" ht="15" x14ac:dyDescent="0.25">
      <c r="A16152" s="859">
        <f t="shared" si="376"/>
        <v>16151</v>
      </c>
      <c r="B16152" s="845" t="s">
        <v>2564</v>
      </c>
      <c r="C16152" s="1007">
        <f t="shared" si="375"/>
        <v>160</v>
      </c>
      <c r="D16152" s="1012"/>
      <c r="I16152" s="1011" t="str">
        <f>CONCATENATE("&lt;numeroLigne&gt;",C16152,"&lt;/numeroLigne&gt;")</f>
        <v>&lt;numeroLigne&gt;160&lt;/numeroLigne&gt;</v>
      </c>
      <c r="K16152" s="1013"/>
    </row>
    <row r="16153" spans="1:11" s="1011" customFormat="1" ht="15" x14ac:dyDescent="0.25">
      <c r="A16153" s="859">
        <f t="shared" si="376"/>
        <v>16152</v>
      </c>
      <c r="B16153" s="845" t="s">
        <v>2564</v>
      </c>
      <c r="C16153" s="1007">
        <f t="shared" si="375"/>
        <v>160</v>
      </c>
      <c r="D16153" s="1014"/>
      <c r="H16153" s="1011" t="s">
        <v>1010</v>
      </c>
      <c r="K16153" s="1013"/>
    </row>
    <row r="16154" spans="1:11" s="1011" customFormat="1" ht="15" x14ac:dyDescent="0.25">
      <c r="A16154" s="859">
        <f t="shared" si="376"/>
        <v>16153</v>
      </c>
      <c r="B16154" s="845" t="s">
        <v>2564</v>
      </c>
      <c r="C16154" s="1007">
        <f t="shared" si="375"/>
        <v>160</v>
      </c>
      <c r="D16154" s="1014"/>
      <c r="H16154" s="1011" t="s">
        <v>1007</v>
      </c>
      <c r="K16154" s="1013"/>
    </row>
    <row r="16155" spans="1:11" s="1011" customFormat="1" ht="15" x14ac:dyDescent="0.25">
      <c r="A16155" s="859">
        <f t="shared" si="376"/>
        <v>16154</v>
      </c>
      <c r="B16155" s="845" t="s">
        <v>2564</v>
      </c>
      <c r="C16155" s="1007">
        <f t="shared" si="375"/>
        <v>160</v>
      </c>
      <c r="D16155" s="1012"/>
      <c r="I16155" s="1011" t="s">
        <v>2177</v>
      </c>
      <c r="K16155" s="1013"/>
    </row>
    <row r="16156" spans="1:11" s="1011" customFormat="1" ht="15" x14ac:dyDescent="0.25">
      <c r="A16156" s="859">
        <f t="shared" si="376"/>
        <v>16155</v>
      </c>
      <c r="B16156" s="845" t="s">
        <v>2564</v>
      </c>
      <c r="C16156" s="1007">
        <f t="shared" si="375"/>
        <v>160</v>
      </c>
      <c r="D16156" s="1015"/>
      <c r="I16156" s="1011" t="str">
        <f>CONCATENATE("&lt;valeur&gt;",VLOOKUP(C16156,'T16 Amort'!A:K,5,0),"&lt;/valeur&gt;")</f>
        <v>&lt;valeur&gt;&lt;/valeur&gt;</v>
      </c>
      <c r="K16156" s="1013"/>
    </row>
    <row r="16157" spans="1:11" s="1011" customFormat="1" ht="15" x14ac:dyDescent="0.25">
      <c r="A16157" s="859">
        <f t="shared" si="376"/>
        <v>16156</v>
      </c>
      <c r="B16157" s="845" t="s">
        <v>2564</v>
      </c>
      <c r="C16157" s="1007">
        <f t="shared" si="375"/>
        <v>160</v>
      </c>
      <c r="D16157" s="1012"/>
      <c r="I16157" s="1011" t="str">
        <f>CONCATENATE("&lt;numeroLigne&gt;",C16157,"&lt;/numeroLigne&gt;")</f>
        <v>&lt;numeroLigne&gt;160&lt;/numeroLigne&gt;</v>
      </c>
      <c r="K16157" s="1013"/>
    </row>
    <row r="16158" spans="1:11" s="1011" customFormat="1" ht="15" x14ac:dyDescent="0.25">
      <c r="A16158" s="859">
        <f t="shared" si="376"/>
        <v>16157</v>
      </c>
      <c r="B16158" s="845" t="s">
        <v>2564</v>
      </c>
      <c r="C16158" s="1007">
        <f t="shared" si="375"/>
        <v>160</v>
      </c>
      <c r="D16158" s="1012"/>
      <c r="H16158" s="1011" t="s">
        <v>1010</v>
      </c>
      <c r="K16158" s="1013"/>
    </row>
    <row r="16159" spans="1:11" s="1011" customFormat="1" ht="15" x14ac:dyDescent="0.25">
      <c r="A16159" s="859">
        <f t="shared" si="376"/>
        <v>16158</v>
      </c>
      <c r="B16159" s="845" t="s">
        <v>2564</v>
      </c>
      <c r="C16159" s="1007">
        <f t="shared" si="375"/>
        <v>160</v>
      </c>
      <c r="D16159" s="1014"/>
      <c r="H16159" s="1011" t="s">
        <v>1007</v>
      </c>
      <c r="K16159" s="1013"/>
    </row>
    <row r="16160" spans="1:11" s="1011" customFormat="1" ht="15" x14ac:dyDescent="0.25">
      <c r="A16160" s="859">
        <f t="shared" si="376"/>
        <v>16159</v>
      </c>
      <c r="B16160" s="845" t="s">
        <v>2564</v>
      </c>
      <c r="C16160" s="1007">
        <f t="shared" si="375"/>
        <v>160</v>
      </c>
      <c r="D16160" s="1014"/>
      <c r="I16160" s="1011" t="s">
        <v>2178</v>
      </c>
      <c r="K16160" s="1013"/>
    </row>
    <row r="16161" spans="1:11" s="1011" customFormat="1" ht="15" x14ac:dyDescent="0.25">
      <c r="A16161" s="859">
        <f t="shared" si="376"/>
        <v>16160</v>
      </c>
      <c r="B16161" s="845" t="s">
        <v>2564</v>
      </c>
      <c r="C16161" s="1007">
        <f t="shared" si="375"/>
        <v>160</v>
      </c>
      <c r="D16161" s="1012"/>
      <c r="I16161" s="1011" t="str">
        <f>CONCATENATE("&lt;valeur&gt;",VLOOKUP(C16161,'T16 Amort'!A:K,6,0),"&lt;/valeur&gt;")</f>
        <v>&lt;valeur&gt;&lt;/valeur&gt;</v>
      </c>
      <c r="K16161" s="1013"/>
    </row>
    <row r="16162" spans="1:11" s="1011" customFormat="1" ht="15" x14ac:dyDescent="0.25">
      <c r="A16162" s="859">
        <f t="shared" si="376"/>
        <v>16161</v>
      </c>
      <c r="B16162" s="845" t="s">
        <v>2564</v>
      </c>
      <c r="C16162" s="1007">
        <f t="shared" si="375"/>
        <v>160</v>
      </c>
      <c r="D16162" s="1015"/>
      <c r="I16162" s="1011" t="str">
        <f>CONCATENATE("&lt;numeroLigne&gt;",C16162,"&lt;/numeroLigne&gt;")</f>
        <v>&lt;numeroLigne&gt;160&lt;/numeroLigne&gt;</v>
      </c>
      <c r="K16162" s="1013"/>
    </row>
    <row r="16163" spans="1:11" s="1011" customFormat="1" ht="15" x14ac:dyDescent="0.25">
      <c r="A16163" s="859">
        <f t="shared" si="376"/>
        <v>16162</v>
      </c>
      <c r="B16163" s="845" t="s">
        <v>2564</v>
      </c>
      <c r="C16163" s="1007">
        <f t="shared" si="375"/>
        <v>160</v>
      </c>
      <c r="D16163" s="1012"/>
      <c r="H16163" s="1011" t="s">
        <v>1010</v>
      </c>
      <c r="K16163" s="1013"/>
    </row>
    <row r="16164" spans="1:11" s="1011" customFormat="1" ht="15" x14ac:dyDescent="0.25">
      <c r="A16164" s="859">
        <f t="shared" si="376"/>
        <v>16163</v>
      </c>
      <c r="B16164" s="845" t="s">
        <v>2564</v>
      </c>
      <c r="C16164" s="1007">
        <f t="shared" si="375"/>
        <v>160</v>
      </c>
      <c r="D16164" s="1012"/>
      <c r="H16164" s="1011" t="s">
        <v>1007</v>
      </c>
      <c r="K16164" s="1013"/>
    </row>
    <row r="16165" spans="1:11" s="1011" customFormat="1" ht="15" x14ac:dyDescent="0.25">
      <c r="A16165" s="859">
        <f t="shared" si="376"/>
        <v>16164</v>
      </c>
      <c r="B16165" s="845" t="s">
        <v>2564</v>
      </c>
      <c r="C16165" s="1007">
        <f t="shared" si="375"/>
        <v>160</v>
      </c>
      <c r="D16165" s="1014"/>
      <c r="I16165" s="1011" t="s">
        <v>2179</v>
      </c>
      <c r="K16165" s="1013"/>
    </row>
    <row r="16166" spans="1:11" s="1011" customFormat="1" ht="15" x14ac:dyDescent="0.25">
      <c r="A16166" s="859">
        <f t="shared" si="376"/>
        <v>16165</v>
      </c>
      <c r="B16166" s="845" t="s">
        <v>2564</v>
      </c>
      <c r="C16166" s="1007">
        <f t="shared" si="375"/>
        <v>160</v>
      </c>
      <c r="D16166" s="1014"/>
      <c r="I16166" s="1011" t="str">
        <f>CONCATENATE("&lt;valeur&gt;",VLOOKUP(C16166,'T16 Amort'!A:K,7,0),"&lt;/valeur&gt;")</f>
        <v>&lt;valeur&gt;&lt;/valeur&gt;</v>
      </c>
      <c r="K16166" s="1013"/>
    </row>
    <row r="16167" spans="1:11" s="1011" customFormat="1" ht="15" x14ac:dyDescent="0.25">
      <c r="A16167" s="859">
        <f t="shared" si="376"/>
        <v>16166</v>
      </c>
      <c r="B16167" s="845" t="s">
        <v>2564</v>
      </c>
      <c r="C16167" s="1007">
        <f t="shared" si="375"/>
        <v>160</v>
      </c>
      <c r="D16167" s="1012"/>
      <c r="I16167" s="1011" t="str">
        <f>CONCATENATE("&lt;numeroLigne&gt;",C16167,"&lt;/numeroLigne&gt;")</f>
        <v>&lt;numeroLigne&gt;160&lt;/numeroLigne&gt;</v>
      </c>
      <c r="K16167" s="1013"/>
    </row>
    <row r="16168" spans="1:11" s="1011" customFormat="1" ht="15" x14ac:dyDescent="0.25">
      <c r="A16168" s="859">
        <f t="shared" si="376"/>
        <v>16167</v>
      </c>
      <c r="B16168" s="845" t="s">
        <v>2564</v>
      </c>
      <c r="C16168" s="1007">
        <f t="shared" si="375"/>
        <v>160</v>
      </c>
      <c r="D16168" s="1015"/>
      <c r="H16168" s="1011" t="s">
        <v>1010</v>
      </c>
      <c r="K16168" s="1013"/>
    </row>
    <row r="16169" spans="1:11" s="1011" customFormat="1" ht="15" x14ac:dyDescent="0.25">
      <c r="A16169" s="859">
        <f t="shared" si="376"/>
        <v>16168</v>
      </c>
      <c r="B16169" s="845" t="s">
        <v>2564</v>
      </c>
      <c r="C16169" s="1007">
        <f t="shared" si="375"/>
        <v>160</v>
      </c>
      <c r="D16169" s="1012"/>
      <c r="H16169" s="1011" t="s">
        <v>1007</v>
      </c>
      <c r="K16169" s="1013"/>
    </row>
    <row r="16170" spans="1:11" s="1011" customFormat="1" ht="15" x14ac:dyDescent="0.25">
      <c r="A16170" s="859">
        <f t="shared" si="376"/>
        <v>16169</v>
      </c>
      <c r="B16170" s="845" t="s">
        <v>2564</v>
      </c>
      <c r="C16170" s="1007">
        <f t="shared" si="375"/>
        <v>160</v>
      </c>
      <c r="D16170" s="1012"/>
      <c r="I16170" s="1011" t="s">
        <v>2180</v>
      </c>
      <c r="K16170" s="1013"/>
    </row>
    <row r="16171" spans="1:11" s="1011" customFormat="1" ht="15" x14ac:dyDescent="0.25">
      <c r="A16171" s="859">
        <f t="shared" si="376"/>
        <v>16170</v>
      </c>
      <c r="B16171" s="845" t="s">
        <v>2564</v>
      </c>
      <c r="C16171" s="1007">
        <f t="shared" si="375"/>
        <v>160</v>
      </c>
      <c r="D16171" s="1014"/>
      <c r="I16171" s="1011" t="str">
        <f>CONCATENATE("&lt;valeur&gt;",VLOOKUP(C16171,'T16 Amort'!A:K,8,0),"&lt;/valeur&gt;")</f>
        <v>&lt;valeur&gt;&lt;/valeur&gt;</v>
      </c>
      <c r="K16171" s="1013"/>
    </row>
    <row r="16172" spans="1:11" s="1011" customFormat="1" ht="15" x14ac:dyDescent="0.25">
      <c r="A16172" s="859">
        <f t="shared" si="376"/>
        <v>16171</v>
      </c>
      <c r="B16172" s="845" t="s">
        <v>2564</v>
      </c>
      <c r="C16172" s="1007">
        <f t="shared" si="375"/>
        <v>160</v>
      </c>
      <c r="D16172" s="1014"/>
      <c r="I16172" s="1011" t="str">
        <f>CONCATENATE("&lt;numeroLigne&gt;",C16172,"&lt;/numeroLigne&gt;")</f>
        <v>&lt;numeroLigne&gt;160&lt;/numeroLigne&gt;</v>
      </c>
      <c r="K16172" s="1013"/>
    </row>
    <row r="16173" spans="1:11" s="1011" customFormat="1" ht="15" x14ac:dyDescent="0.25">
      <c r="A16173" s="859">
        <f t="shared" si="376"/>
        <v>16172</v>
      </c>
      <c r="B16173" s="845" t="s">
        <v>2564</v>
      </c>
      <c r="C16173" s="1007">
        <f t="shared" si="375"/>
        <v>160</v>
      </c>
      <c r="D16173" s="1012"/>
      <c r="H16173" s="1011" t="s">
        <v>1010</v>
      </c>
      <c r="K16173" s="1013"/>
    </row>
    <row r="16174" spans="1:11" s="1011" customFormat="1" ht="15" x14ac:dyDescent="0.25">
      <c r="A16174" s="859">
        <f t="shared" si="376"/>
        <v>16173</v>
      </c>
      <c r="B16174" s="845" t="s">
        <v>2564</v>
      </c>
      <c r="C16174" s="1007">
        <f t="shared" si="375"/>
        <v>160</v>
      </c>
      <c r="D16174" s="1015"/>
      <c r="H16174" s="1011" t="s">
        <v>1007</v>
      </c>
      <c r="K16174" s="1013"/>
    </row>
    <row r="16175" spans="1:11" s="1011" customFormat="1" ht="15" x14ac:dyDescent="0.25">
      <c r="A16175" s="859">
        <f t="shared" si="376"/>
        <v>16174</v>
      </c>
      <c r="B16175" s="845" t="s">
        <v>2564</v>
      </c>
      <c r="C16175" s="1007">
        <f t="shared" ref="C16175:C16238" si="377">C16125+1</f>
        <v>160</v>
      </c>
      <c r="D16175" s="1012"/>
      <c r="I16175" s="1011" t="s">
        <v>2181</v>
      </c>
      <c r="K16175" s="1013"/>
    </row>
    <row r="16176" spans="1:11" s="1011" customFormat="1" ht="15" x14ac:dyDescent="0.25">
      <c r="A16176" s="859">
        <f t="shared" si="376"/>
        <v>16175</v>
      </c>
      <c r="B16176" s="845" t="s">
        <v>2564</v>
      </c>
      <c r="C16176" s="1007">
        <f t="shared" si="377"/>
        <v>160</v>
      </c>
      <c r="D16176" s="1012"/>
      <c r="I16176" s="1011" t="str">
        <f>CONCATENATE("&lt;valeur&gt;",VLOOKUP(C16176,'T16 Amort'!A:K,9,0),"&lt;/valeur&gt;")</f>
        <v>&lt;valeur&gt;&lt;/valeur&gt;</v>
      </c>
      <c r="K16176" s="1013"/>
    </row>
    <row r="16177" spans="1:11" s="1011" customFormat="1" ht="15" x14ac:dyDescent="0.25">
      <c r="A16177" s="859">
        <f t="shared" si="376"/>
        <v>16176</v>
      </c>
      <c r="B16177" s="845" t="s">
        <v>2564</v>
      </c>
      <c r="C16177" s="1007">
        <f t="shared" si="377"/>
        <v>160</v>
      </c>
      <c r="D16177" s="1014"/>
      <c r="I16177" s="1011" t="str">
        <f>CONCATENATE("&lt;numeroLigne&gt;",C16177,"&lt;/numeroLigne&gt;")</f>
        <v>&lt;numeroLigne&gt;160&lt;/numeroLigne&gt;</v>
      </c>
      <c r="K16177" s="1013"/>
    </row>
    <row r="16178" spans="1:11" s="1011" customFormat="1" ht="15" x14ac:dyDescent="0.25">
      <c r="A16178" s="859">
        <f t="shared" si="376"/>
        <v>16177</v>
      </c>
      <c r="B16178" s="845" t="s">
        <v>2564</v>
      </c>
      <c r="C16178" s="1007">
        <f t="shared" si="377"/>
        <v>160</v>
      </c>
      <c r="D16178" s="1014"/>
      <c r="H16178" s="1011" t="s">
        <v>1010</v>
      </c>
      <c r="K16178" s="1013"/>
    </row>
    <row r="16179" spans="1:11" s="1011" customFormat="1" ht="15" x14ac:dyDescent="0.25">
      <c r="A16179" s="859">
        <f t="shared" si="376"/>
        <v>16178</v>
      </c>
      <c r="B16179" s="845" t="s">
        <v>2564</v>
      </c>
      <c r="C16179" s="1007">
        <f t="shared" si="377"/>
        <v>160</v>
      </c>
      <c r="D16179" s="1012"/>
      <c r="H16179" s="1011" t="s">
        <v>1007</v>
      </c>
      <c r="K16179" s="1013"/>
    </row>
    <row r="16180" spans="1:11" s="1011" customFormat="1" ht="15" x14ac:dyDescent="0.25">
      <c r="A16180" s="859">
        <f t="shared" si="376"/>
        <v>16179</v>
      </c>
      <c r="B16180" s="845" t="s">
        <v>2564</v>
      </c>
      <c r="C16180" s="1007">
        <f t="shared" si="377"/>
        <v>160</v>
      </c>
      <c r="D16180" s="1015"/>
      <c r="I16180" s="1011" t="s">
        <v>2182</v>
      </c>
      <c r="K16180" s="1013"/>
    </row>
    <row r="16181" spans="1:11" s="1011" customFormat="1" ht="15" x14ac:dyDescent="0.25">
      <c r="A16181" s="859">
        <f t="shared" si="376"/>
        <v>16180</v>
      </c>
      <c r="B16181" s="845" t="s">
        <v>2564</v>
      </c>
      <c r="C16181" s="1007">
        <f t="shared" si="377"/>
        <v>160</v>
      </c>
      <c r="D16181" s="1012"/>
      <c r="I16181" s="1011" t="str">
        <f>CONCATENATE("&lt;valeur&gt;",VLOOKUP(C16181,'T16 Amort'!A:K,10,0),"&lt;/valeur&gt;")</f>
        <v>&lt;valeur&gt;&lt;/valeur&gt;</v>
      </c>
      <c r="K16181" s="1013"/>
    </row>
    <row r="16182" spans="1:11" s="1011" customFormat="1" ht="15" x14ac:dyDescent="0.25">
      <c r="A16182" s="859">
        <f t="shared" si="376"/>
        <v>16181</v>
      </c>
      <c r="B16182" s="845" t="s">
        <v>2564</v>
      </c>
      <c r="C16182" s="1007">
        <f t="shared" si="377"/>
        <v>160</v>
      </c>
      <c r="D16182" s="1012"/>
      <c r="I16182" s="1011" t="str">
        <f>CONCATENATE("&lt;numeroLigne&gt;",C16182,"&lt;/numeroLigne&gt;")</f>
        <v>&lt;numeroLigne&gt;160&lt;/numeroLigne&gt;</v>
      </c>
      <c r="K16182" s="1013"/>
    </row>
    <row r="16183" spans="1:11" s="1011" customFormat="1" ht="15" x14ac:dyDescent="0.25">
      <c r="A16183" s="859">
        <f t="shared" si="376"/>
        <v>16182</v>
      </c>
      <c r="B16183" s="845" t="s">
        <v>2564</v>
      </c>
      <c r="C16183" s="1007">
        <f t="shared" si="377"/>
        <v>160</v>
      </c>
      <c r="D16183" s="1014"/>
      <c r="H16183" s="1011" t="s">
        <v>1010</v>
      </c>
      <c r="K16183" s="1013"/>
    </row>
    <row r="16184" spans="1:11" s="1011" customFormat="1" ht="15" x14ac:dyDescent="0.25">
      <c r="A16184" s="859">
        <f t="shared" si="376"/>
        <v>16183</v>
      </c>
      <c r="B16184" s="845" t="s">
        <v>2564</v>
      </c>
      <c r="C16184" s="1007">
        <f t="shared" si="377"/>
        <v>160</v>
      </c>
      <c r="D16184" s="1014"/>
      <c r="H16184" s="1011" t="s">
        <v>1007</v>
      </c>
      <c r="K16184" s="1013"/>
    </row>
    <row r="16185" spans="1:11" s="1011" customFormat="1" ht="15" x14ac:dyDescent="0.25">
      <c r="A16185" s="859">
        <f t="shared" si="376"/>
        <v>16184</v>
      </c>
      <c r="B16185" s="845" t="s">
        <v>2564</v>
      </c>
      <c r="C16185" s="1007">
        <f t="shared" si="377"/>
        <v>160</v>
      </c>
      <c r="D16185" s="1012"/>
      <c r="I16185" s="1011" t="s">
        <v>2183</v>
      </c>
      <c r="K16185" s="1013"/>
    </row>
    <row r="16186" spans="1:11" s="1011" customFormat="1" ht="15" x14ac:dyDescent="0.25">
      <c r="A16186" s="859">
        <f t="shared" si="376"/>
        <v>16185</v>
      </c>
      <c r="B16186" s="845" t="s">
        <v>2564</v>
      </c>
      <c r="C16186" s="1007">
        <f t="shared" si="377"/>
        <v>160</v>
      </c>
      <c r="D16186" s="1015"/>
      <c r="I16186" s="1011" t="str">
        <f>CONCATENATE("&lt;valeur&gt;",VLOOKUP(C16186,'T16 Amort'!A:K,11,0),"&lt;/valeur&gt;")</f>
        <v>&lt;valeur&gt;&lt;/valeur&gt;</v>
      </c>
      <c r="K16186" s="1013"/>
    </row>
    <row r="16187" spans="1:11" s="1011" customFormat="1" ht="15" x14ac:dyDescent="0.25">
      <c r="A16187" s="859">
        <f t="shared" si="376"/>
        <v>16186</v>
      </c>
      <c r="B16187" s="845" t="s">
        <v>2564</v>
      </c>
      <c r="C16187" s="1007">
        <f t="shared" si="377"/>
        <v>160</v>
      </c>
      <c r="D16187" s="1012"/>
      <c r="I16187" s="1011" t="str">
        <f>CONCATENATE("&lt;numeroLigne&gt;",C16187,"&lt;/numeroLigne&gt;")</f>
        <v>&lt;numeroLigne&gt;160&lt;/numeroLigne&gt;</v>
      </c>
      <c r="K16187" s="1013"/>
    </row>
    <row r="16188" spans="1:11" s="1011" customFormat="1" ht="15" x14ac:dyDescent="0.25">
      <c r="A16188" s="859">
        <f t="shared" si="376"/>
        <v>16187</v>
      </c>
      <c r="B16188" s="845" t="s">
        <v>2564</v>
      </c>
      <c r="C16188" s="1007">
        <f t="shared" si="377"/>
        <v>160</v>
      </c>
      <c r="D16188" s="1016"/>
      <c r="E16188" s="1017"/>
      <c r="F16188" s="1017"/>
      <c r="G16188" s="1017"/>
      <c r="H16188" s="1017" t="s">
        <v>1010</v>
      </c>
      <c r="I16188" s="1017"/>
      <c r="J16188" s="1017"/>
      <c r="K16188" s="1018"/>
    </row>
    <row r="16189" spans="1:11" s="1011" customFormat="1" ht="15" x14ac:dyDescent="0.25">
      <c r="A16189" s="859">
        <f t="shared" si="376"/>
        <v>16188</v>
      </c>
      <c r="B16189" s="845" t="s">
        <v>2564</v>
      </c>
      <c r="C16189" s="1007">
        <f t="shared" si="377"/>
        <v>161</v>
      </c>
      <c r="D16189" s="1008"/>
      <c r="E16189" s="1009"/>
      <c r="F16189" s="1009"/>
      <c r="G16189" s="1009"/>
      <c r="H16189" s="1009" t="s">
        <v>1007</v>
      </c>
      <c r="I16189" s="1009"/>
      <c r="J16189" s="1009"/>
      <c r="K16189" s="1010"/>
    </row>
    <row r="16190" spans="1:11" s="1011" customFormat="1" ht="15" x14ac:dyDescent="0.25">
      <c r="A16190" s="859">
        <f t="shared" si="376"/>
        <v>16189</v>
      </c>
      <c r="B16190" s="845" t="s">
        <v>2564</v>
      </c>
      <c r="C16190" s="1007">
        <f t="shared" si="377"/>
        <v>161</v>
      </c>
      <c r="D16190" s="1012"/>
      <c r="I16190" s="1011" t="s">
        <v>2174</v>
      </c>
      <c r="K16190" s="1013"/>
    </row>
    <row r="16191" spans="1:11" s="1011" customFormat="1" ht="15" x14ac:dyDescent="0.25">
      <c r="A16191" s="859">
        <f t="shared" si="376"/>
        <v>16190</v>
      </c>
      <c r="B16191" s="845" t="s">
        <v>2564</v>
      </c>
      <c r="C16191" s="1007">
        <f t="shared" si="377"/>
        <v>161</v>
      </c>
      <c r="D16191" s="1014"/>
      <c r="I16191" s="1011" t="str">
        <f>CONCATENATE("&lt;valeur&gt;",VLOOKUP(C16191,'T16 Amort'!A:K,2,0),"&lt;/valeur&gt;")</f>
        <v>&lt;valeur&gt;&lt;/valeur&gt;</v>
      </c>
      <c r="K16191" s="1013"/>
    </row>
    <row r="16192" spans="1:11" s="1011" customFormat="1" ht="15" x14ac:dyDescent="0.25">
      <c r="A16192" s="859">
        <f t="shared" si="376"/>
        <v>16191</v>
      </c>
      <c r="B16192" s="845" t="s">
        <v>2564</v>
      </c>
      <c r="C16192" s="1007">
        <f t="shared" si="377"/>
        <v>161</v>
      </c>
      <c r="D16192" s="1014"/>
      <c r="I16192" s="1011" t="str">
        <f>CONCATENATE("&lt;numeroLigne&gt;",C16192,"&lt;/numeroLigne&gt;")</f>
        <v>&lt;numeroLigne&gt;161&lt;/numeroLigne&gt;</v>
      </c>
      <c r="K16192" s="1013"/>
    </row>
    <row r="16193" spans="1:11" s="1011" customFormat="1" ht="15" x14ac:dyDescent="0.25">
      <c r="A16193" s="859">
        <f t="shared" si="376"/>
        <v>16192</v>
      </c>
      <c r="B16193" s="845" t="s">
        <v>2564</v>
      </c>
      <c r="C16193" s="1007">
        <f t="shared" si="377"/>
        <v>161</v>
      </c>
      <c r="D16193" s="1012"/>
      <c r="H16193" s="1011" t="s">
        <v>1010</v>
      </c>
      <c r="K16193" s="1013"/>
    </row>
    <row r="16194" spans="1:11" s="1011" customFormat="1" ht="15" x14ac:dyDescent="0.25">
      <c r="A16194" s="859">
        <f t="shared" si="376"/>
        <v>16193</v>
      </c>
      <c r="B16194" s="845" t="s">
        <v>2564</v>
      </c>
      <c r="C16194" s="1007">
        <f t="shared" si="377"/>
        <v>161</v>
      </c>
      <c r="D16194" s="1015"/>
      <c r="H16194" s="1011" t="s">
        <v>1007</v>
      </c>
      <c r="K16194" s="1013"/>
    </row>
    <row r="16195" spans="1:11" s="1011" customFormat="1" ht="15" x14ac:dyDescent="0.25">
      <c r="A16195" s="859">
        <f t="shared" si="376"/>
        <v>16194</v>
      </c>
      <c r="B16195" s="845" t="s">
        <v>2564</v>
      </c>
      <c r="C16195" s="1007">
        <f t="shared" si="377"/>
        <v>161</v>
      </c>
      <c r="D16195" s="1012"/>
      <c r="I16195" s="1011" t="s">
        <v>2175</v>
      </c>
      <c r="K16195" s="1013"/>
    </row>
    <row r="16196" spans="1:11" s="1011" customFormat="1" ht="15" x14ac:dyDescent="0.25">
      <c r="A16196" s="859">
        <f t="shared" ref="A16196:A16259" si="378">+A16195+1</f>
        <v>16195</v>
      </c>
      <c r="B16196" s="845" t="s">
        <v>2564</v>
      </c>
      <c r="C16196" s="1007">
        <f t="shared" si="377"/>
        <v>161</v>
      </c>
      <c r="D16196" s="1012"/>
      <c r="I16196" s="1011" t="str">
        <f>CONCATENATE("&lt;valeur&gt;",VLOOKUP(C16196,'T16 Amort'!A:K,3,0),"&lt;/valeur&gt;")</f>
        <v>&lt;valeur&gt;&lt;/valeur&gt;</v>
      </c>
      <c r="K16196" s="1013"/>
    </row>
    <row r="16197" spans="1:11" s="1011" customFormat="1" ht="15" x14ac:dyDescent="0.25">
      <c r="A16197" s="859">
        <f t="shared" si="378"/>
        <v>16196</v>
      </c>
      <c r="B16197" s="845" t="s">
        <v>2564</v>
      </c>
      <c r="C16197" s="1007">
        <f t="shared" si="377"/>
        <v>161</v>
      </c>
      <c r="D16197" s="1014"/>
      <c r="I16197" s="1011" t="str">
        <f>CONCATENATE("&lt;numeroLigne&gt;",C16197,"&lt;/numeroLigne&gt;")</f>
        <v>&lt;numeroLigne&gt;161&lt;/numeroLigne&gt;</v>
      </c>
      <c r="K16197" s="1013"/>
    </row>
    <row r="16198" spans="1:11" s="1011" customFormat="1" ht="15" x14ac:dyDescent="0.25">
      <c r="A16198" s="859">
        <f t="shared" si="378"/>
        <v>16197</v>
      </c>
      <c r="B16198" s="845" t="s">
        <v>2564</v>
      </c>
      <c r="C16198" s="1007">
        <f t="shared" si="377"/>
        <v>161</v>
      </c>
      <c r="D16198" s="1014"/>
      <c r="H16198" s="1011" t="s">
        <v>1010</v>
      </c>
      <c r="K16198" s="1013"/>
    </row>
    <row r="16199" spans="1:11" s="1011" customFormat="1" ht="15" x14ac:dyDescent="0.25">
      <c r="A16199" s="859">
        <f t="shared" si="378"/>
        <v>16198</v>
      </c>
      <c r="B16199" s="845" t="s">
        <v>2564</v>
      </c>
      <c r="C16199" s="1007">
        <f t="shared" si="377"/>
        <v>161</v>
      </c>
      <c r="D16199" s="1012"/>
      <c r="H16199" s="1011" t="s">
        <v>1007</v>
      </c>
      <c r="K16199" s="1013"/>
    </row>
    <row r="16200" spans="1:11" s="1011" customFormat="1" ht="15" x14ac:dyDescent="0.25">
      <c r="A16200" s="859">
        <f t="shared" si="378"/>
        <v>16199</v>
      </c>
      <c r="B16200" s="845" t="s">
        <v>2564</v>
      </c>
      <c r="C16200" s="1007">
        <f t="shared" si="377"/>
        <v>161</v>
      </c>
      <c r="D16200" s="1015"/>
      <c r="I16200" s="1011" t="s">
        <v>2176</v>
      </c>
      <c r="K16200" s="1013"/>
    </row>
    <row r="16201" spans="1:11" s="1011" customFormat="1" ht="15" x14ac:dyDescent="0.25">
      <c r="A16201" s="859">
        <f t="shared" si="378"/>
        <v>16200</v>
      </c>
      <c r="B16201" s="845" t="s">
        <v>2564</v>
      </c>
      <c r="C16201" s="1007">
        <f t="shared" si="377"/>
        <v>161</v>
      </c>
      <c r="D16201" s="1012"/>
      <c r="I16201" s="1011" t="str">
        <f>CONCATENATE("&lt;valeur&gt;",VLOOKUP(C16201,'T16 Amort'!A:K,4,0),"&lt;/valeur&gt;")</f>
        <v>&lt;valeur&gt;&lt;/valeur&gt;</v>
      </c>
      <c r="K16201" s="1013"/>
    </row>
    <row r="16202" spans="1:11" s="1011" customFormat="1" ht="15" x14ac:dyDescent="0.25">
      <c r="A16202" s="859">
        <f t="shared" si="378"/>
        <v>16201</v>
      </c>
      <c r="B16202" s="845" t="s">
        <v>2564</v>
      </c>
      <c r="C16202" s="1007">
        <f t="shared" si="377"/>
        <v>161</v>
      </c>
      <c r="D16202" s="1012"/>
      <c r="I16202" s="1011" t="str">
        <f>CONCATENATE("&lt;numeroLigne&gt;",C16202,"&lt;/numeroLigne&gt;")</f>
        <v>&lt;numeroLigne&gt;161&lt;/numeroLigne&gt;</v>
      </c>
      <c r="K16202" s="1013"/>
    </row>
    <row r="16203" spans="1:11" s="1011" customFormat="1" ht="15" x14ac:dyDescent="0.25">
      <c r="A16203" s="859">
        <f t="shared" si="378"/>
        <v>16202</v>
      </c>
      <c r="B16203" s="845" t="s">
        <v>2564</v>
      </c>
      <c r="C16203" s="1007">
        <f t="shared" si="377"/>
        <v>161</v>
      </c>
      <c r="D16203" s="1014"/>
      <c r="H16203" s="1011" t="s">
        <v>1010</v>
      </c>
      <c r="K16203" s="1013"/>
    </row>
    <row r="16204" spans="1:11" s="1011" customFormat="1" ht="15" x14ac:dyDescent="0.25">
      <c r="A16204" s="859">
        <f t="shared" si="378"/>
        <v>16203</v>
      </c>
      <c r="B16204" s="845" t="s">
        <v>2564</v>
      </c>
      <c r="C16204" s="1007">
        <f t="shared" si="377"/>
        <v>161</v>
      </c>
      <c r="D16204" s="1014"/>
      <c r="H16204" s="1011" t="s">
        <v>1007</v>
      </c>
      <c r="K16204" s="1013"/>
    </row>
    <row r="16205" spans="1:11" s="1011" customFormat="1" ht="15" x14ac:dyDescent="0.25">
      <c r="A16205" s="859">
        <f t="shared" si="378"/>
        <v>16204</v>
      </c>
      <c r="B16205" s="845" t="s">
        <v>2564</v>
      </c>
      <c r="C16205" s="1007">
        <f t="shared" si="377"/>
        <v>161</v>
      </c>
      <c r="D16205" s="1012"/>
      <c r="I16205" s="1011" t="s">
        <v>2177</v>
      </c>
      <c r="K16205" s="1013"/>
    </row>
    <row r="16206" spans="1:11" s="1011" customFormat="1" ht="15" x14ac:dyDescent="0.25">
      <c r="A16206" s="859">
        <f t="shared" si="378"/>
        <v>16205</v>
      </c>
      <c r="B16206" s="845" t="s">
        <v>2564</v>
      </c>
      <c r="C16206" s="1007">
        <f t="shared" si="377"/>
        <v>161</v>
      </c>
      <c r="D16206" s="1015"/>
      <c r="I16206" s="1011" t="str">
        <f>CONCATENATE("&lt;valeur&gt;",VLOOKUP(C16206,'T16 Amort'!A:K,5,0),"&lt;/valeur&gt;")</f>
        <v>&lt;valeur&gt;&lt;/valeur&gt;</v>
      </c>
      <c r="K16206" s="1013"/>
    </row>
    <row r="16207" spans="1:11" s="1011" customFormat="1" ht="15" x14ac:dyDescent="0.25">
      <c r="A16207" s="859">
        <f t="shared" si="378"/>
        <v>16206</v>
      </c>
      <c r="B16207" s="845" t="s">
        <v>2564</v>
      </c>
      <c r="C16207" s="1007">
        <f t="shared" si="377"/>
        <v>161</v>
      </c>
      <c r="D16207" s="1012"/>
      <c r="I16207" s="1011" t="str">
        <f>CONCATENATE("&lt;numeroLigne&gt;",C16207,"&lt;/numeroLigne&gt;")</f>
        <v>&lt;numeroLigne&gt;161&lt;/numeroLigne&gt;</v>
      </c>
      <c r="K16207" s="1013"/>
    </row>
    <row r="16208" spans="1:11" s="1011" customFormat="1" ht="15" x14ac:dyDescent="0.25">
      <c r="A16208" s="859">
        <f t="shared" si="378"/>
        <v>16207</v>
      </c>
      <c r="B16208" s="845" t="s">
        <v>2564</v>
      </c>
      <c r="C16208" s="1007">
        <f t="shared" si="377"/>
        <v>161</v>
      </c>
      <c r="D16208" s="1012"/>
      <c r="H16208" s="1011" t="s">
        <v>1010</v>
      </c>
      <c r="K16208" s="1013"/>
    </row>
    <row r="16209" spans="1:11" s="1011" customFormat="1" ht="15" x14ac:dyDescent="0.25">
      <c r="A16209" s="859">
        <f t="shared" si="378"/>
        <v>16208</v>
      </c>
      <c r="B16209" s="845" t="s">
        <v>2564</v>
      </c>
      <c r="C16209" s="1007">
        <f t="shared" si="377"/>
        <v>161</v>
      </c>
      <c r="D16209" s="1014"/>
      <c r="H16209" s="1011" t="s">
        <v>1007</v>
      </c>
      <c r="K16209" s="1013"/>
    </row>
    <row r="16210" spans="1:11" s="1011" customFormat="1" ht="15" x14ac:dyDescent="0.25">
      <c r="A16210" s="859">
        <f t="shared" si="378"/>
        <v>16209</v>
      </c>
      <c r="B16210" s="845" t="s">
        <v>2564</v>
      </c>
      <c r="C16210" s="1007">
        <f t="shared" si="377"/>
        <v>161</v>
      </c>
      <c r="D16210" s="1014"/>
      <c r="I16210" s="1011" t="s">
        <v>2178</v>
      </c>
      <c r="K16210" s="1013"/>
    </row>
    <row r="16211" spans="1:11" s="1011" customFormat="1" ht="15" x14ac:dyDescent="0.25">
      <c r="A16211" s="859">
        <f t="shared" si="378"/>
        <v>16210</v>
      </c>
      <c r="B16211" s="845" t="s">
        <v>2564</v>
      </c>
      <c r="C16211" s="1007">
        <f t="shared" si="377"/>
        <v>161</v>
      </c>
      <c r="D16211" s="1012"/>
      <c r="I16211" s="1011" t="str">
        <f>CONCATENATE("&lt;valeur&gt;",VLOOKUP(C16211,'T16 Amort'!A:K,6,0),"&lt;/valeur&gt;")</f>
        <v>&lt;valeur&gt;&lt;/valeur&gt;</v>
      </c>
      <c r="K16211" s="1013"/>
    </row>
    <row r="16212" spans="1:11" s="1011" customFormat="1" ht="15" x14ac:dyDescent="0.25">
      <c r="A16212" s="859">
        <f t="shared" si="378"/>
        <v>16211</v>
      </c>
      <c r="B16212" s="845" t="s">
        <v>2564</v>
      </c>
      <c r="C16212" s="1007">
        <f t="shared" si="377"/>
        <v>161</v>
      </c>
      <c r="D16212" s="1015"/>
      <c r="I16212" s="1011" t="str">
        <f>CONCATENATE("&lt;numeroLigne&gt;",C16212,"&lt;/numeroLigne&gt;")</f>
        <v>&lt;numeroLigne&gt;161&lt;/numeroLigne&gt;</v>
      </c>
      <c r="K16212" s="1013"/>
    </row>
    <row r="16213" spans="1:11" s="1011" customFormat="1" ht="15" x14ac:dyDescent="0.25">
      <c r="A16213" s="859">
        <f t="shared" si="378"/>
        <v>16212</v>
      </c>
      <c r="B16213" s="845" t="s">
        <v>2564</v>
      </c>
      <c r="C16213" s="1007">
        <f t="shared" si="377"/>
        <v>161</v>
      </c>
      <c r="D16213" s="1012"/>
      <c r="H16213" s="1011" t="s">
        <v>1010</v>
      </c>
      <c r="K16213" s="1013"/>
    </row>
    <row r="16214" spans="1:11" s="1011" customFormat="1" ht="15" x14ac:dyDescent="0.25">
      <c r="A16214" s="859">
        <f t="shared" si="378"/>
        <v>16213</v>
      </c>
      <c r="B16214" s="845" t="s">
        <v>2564</v>
      </c>
      <c r="C16214" s="1007">
        <f t="shared" si="377"/>
        <v>161</v>
      </c>
      <c r="D16214" s="1012"/>
      <c r="H16214" s="1011" t="s">
        <v>1007</v>
      </c>
      <c r="K16214" s="1013"/>
    </row>
    <row r="16215" spans="1:11" s="1011" customFormat="1" ht="15" x14ac:dyDescent="0.25">
      <c r="A16215" s="859">
        <f t="shared" si="378"/>
        <v>16214</v>
      </c>
      <c r="B16215" s="845" t="s">
        <v>2564</v>
      </c>
      <c r="C16215" s="1007">
        <f t="shared" si="377"/>
        <v>161</v>
      </c>
      <c r="D16215" s="1014"/>
      <c r="I16215" s="1011" t="s">
        <v>2179</v>
      </c>
      <c r="K16215" s="1013"/>
    </row>
    <row r="16216" spans="1:11" s="1011" customFormat="1" ht="15" x14ac:dyDescent="0.25">
      <c r="A16216" s="859">
        <f t="shared" si="378"/>
        <v>16215</v>
      </c>
      <c r="B16216" s="845" t="s">
        <v>2564</v>
      </c>
      <c r="C16216" s="1007">
        <f t="shared" si="377"/>
        <v>161</v>
      </c>
      <c r="D16216" s="1014"/>
      <c r="I16216" s="1011" t="str">
        <f>CONCATENATE("&lt;valeur&gt;",VLOOKUP(C16216,'T16 Amort'!A:K,7,0),"&lt;/valeur&gt;")</f>
        <v>&lt;valeur&gt;&lt;/valeur&gt;</v>
      </c>
      <c r="K16216" s="1013"/>
    </row>
    <row r="16217" spans="1:11" s="1011" customFormat="1" ht="15" x14ac:dyDescent="0.25">
      <c r="A16217" s="859">
        <f t="shared" si="378"/>
        <v>16216</v>
      </c>
      <c r="B16217" s="845" t="s">
        <v>2564</v>
      </c>
      <c r="C16217" s="1007">
        <f t="shared" si="377"/>
        <v>161</v>
      </c>
      <c r="D16217" s="1012"/>
      <c r="I16217" s="1011" t="str">
        <f>CONCATENATE("&lt;numeroLigne&gt;",C16217,"&lt;/numeroLigne&gt;")</f>
        <v>&lt;numeroLigne&gt;161&lt;/numeroLigne&gt;</v>
      </c>
      <c r="K16217" s="1013"/>
    </row>
    <row r="16218" spans="1:11" s="1011" customFormat="1" ht="15" x14ac:dyDescent="0.25">
      <c r="A16218" s="859">
        <f t="shared" si="378"/>
        <v>16217</v>
      </c>
      <c r="B16218" s="845" t="s">
        <v>2564</v>
      </c>
      <c r="C16218" s="1007">
        <f t="shared" si="377"/>
        <v>161</v>
      </c>
      <c r="D16218" s="1015"/>
      <c r="H16218" s="1011" t="s">
        <v>1010</v>
      </c>
      <c r="K16218" s="1013"/>
    </row>
    <row r="16219" spans="1:11" s="1011" customFormat="1" ht="15" x14ac:dyDescent="0.25">
      <c r="A16219" s="859">
        <f t="shared" si="378"/>
        <v>16218</v>
      </c>
      <c r="B16219" s="845" t="s">
        <v>2564</v>
      </c>
      <c r="C16219" s="1007">
        <f t="shared" si="377"/>
        <v>161</v>
      </c>
      <c r="D16219" s="1012"/>
      <c r="H16219" s="1011" t="s">
        <v>1007</v>
      </c>
      <c r="K16219" s="1013"/>
    </row>
    <row r="16220" spans="1:11" s="1011" customFormat="1" ht="15" x14ac:dyDescent="0.25">
      <c r="A16220" s="859">
        <f t="shared" si="378"/>
        <v>16219</v>
      </c>
      <c r="B16220" s="845" t="s">
        <v>2564</v>
      </c>
      <c r="C16220" s="1007">
        <f t="shared" si="377"/>
        <v>161</v>
      </c>
      <c r="D16220" s="1012"/>
      <c r="I16220" s="1011" t="s">
        <v>2180</v>
      </c>
      <c r="K16220" s="1013"/>
    </row>
    <row r="16221" spans="1:11" s="1011" customFormat="1" ht="15" x14ac:dyDescent="0.25">
      <c r="A16221" s="859">
        <f t="shared" si="378"/>
        <v>16220</v>
      </c>
      <c r="B16221" s="845" t="s">
        <v>2564</v>
      </c>
      <c r="C16221" s="1007">
        <f t="shared" si="377"/>
        <v>161</v>
      </c>
      <c r="D16221" s="1014"/>
      <c r="I16221" s="1011" t="str">
        <f>CONCATENATE("&lt;valeur&gt;",VLOOKUP(C16221,'T16 Amort'!A:K,8,0),"&lt;/valeur&gt;")</f>
        <v>&lt;valeur&gt;&lt;/valeur&gt;</v>
      </c>
      <c r="K16221" s="1013"/>
    </row>
    <row r="16222" spans="1:11" s="1011" customFormat="1" ht="15" x14ac:dyDescent="0.25">
      <c r="A16222" s="859">
        <f t="shared" si="378"/>
        <v>16221</v>
      </c>
      <c r="B16222" s="845" t="s">
        <v>2564</v>
      </c>
      <c r="C16222" s="1007">
        <f t="shared" si="377"/>
        <v>161</v>
      </c>
      <c r="D16222" s="1014"/>
      <c r="I16222" s="1011" t="str">
        <f>CONCATENATE("&lt;numeroLigne&gt;",C16222,"&lt;/numeroLigne&gt;")</f>
        <v>&lt;numeroLigne&gt;161&lt;/numeroLigne&gt;</v>
      </c>
      <c r="K16222" s="1013"/>
    </row>
    <row r="16223" spans="1:11" s="1011" customFormat="1" ht="15" x14ac:dyDescent="0.25">
      <c r="A16223" s="859">
        <f t="shared" si="378"/>
        <v>16222</v>
      </c>
      <c r="B16223" s="845" t="s">
        <v>2564</v>
      </c>
      <c r="C16223" s="1007">
        <f t="shared" si="377"/>
        <v>161</v>
      </c>
      <c r="D16223" s="1012"/>
      <c r="H16223" s="1011" t="s">
        <v>1010</v>
      </c>
      <c r="K16223" s="1013"/>
    </row>
    <row r="16224" spans="1:11" s="1011" customFormat="1" ht="15" x14ac:dyDescent="0.25">
      <c r="A16224" s="859">
        <f t="shared" si="378"/>
        <v>16223</v>
      </c>
      <c r="B16224" s="845" t="s">
        <v>2564</v>
      </c>
      <c r="C16224" s="1007">
        <f t="shared" si="377"/>
        <v>161</v>
      </c>
      <c r="D16224" s="1015"/>
      <c r="H16224" s="1011" t="s">
        <v>1007</v>
      </c>
      <c r="K16224" s="1013"/>
    </row>
    <row r="16225" spans="1:11" s="1011" customFormat="1" ht="15" x14ac:dyDescent="0.25">
      <c r="A16225" s="859">
        <f t="shared" si="378"/>
        <v>16224</v>
      </c>
      <c r="B16225" s="845" t="s">
        <v>2564</v>
      </c>
      <c r="C16225" s="1007">
        <f t="shared" si="377"/>
        <v>161</v>
      </c>
      <c r="D16225" s="1012"/>
      <c r="I16225" s="1011" t="s">
        <v>2181</v>
      </c>
      <c r="K16225" s="1013"/>
    </row>
    <row r="16226" spans="1:11" s="1011" customFormat="1" ht="15" x14ac:dyDescent="0.25">
      <c r="A16226" s="859">
        <f t="shared" si="378"/>
        <v>16225</v>
      </c>
      <c r="B16226" s="845" t="s">
        <v>2564</v>
      </c>
      <c r="C16226" s="1007">
        <f t="shared" si="377"/>
        <v>161</v>
      </c>
      <c r="D16226" s="1012"/>
      <c r="I16226" s="1011" t="str">
        <f>CONCATENATE("&lt;valeur&gt;",VLOOKUP(C16226,'T16 Amort'!A:K,9,0),"&lt;/valeur&gt;")</f>
        <v>&lt;valeur&gt;&lt;/valeur&gt;</v>
      </c>
      <c r="K16226" s="1013"/>
    </row>
    <row r="16227" spans="1:11" s="1011" customFormat="1" ht="15" x14ac:dyDescent="0.25">
      <c r="A16227" s="859">
        <f t="shared" si="378"/>
        <v>16226</v>
      </c>
      <c r="B16227" s="845" t="s">
        <v>2564</v>
      </c>
      <c r="C16227" s="1007">
        <f t="shared" si="377"/>
        <v>161</v>
      </c>
      <c r="D16227" s="1014"/>
      <c r="I16227" s="1011" t="str">
        <f>CONCATENATE("&lt;numeroLigne&gt;",C16227,"&lt;/numeroLigne&gt;")</f>
        <v>&lt;numeroLigne&gt;161&lt;/numeroLigne&gt;</v>
      </c>
      <c r="K16227" s="1013"/>
    </row>
    <row r="16228" spans="1:11" s="1011" customFormat="1" ht="15" x14ac:dyDescent="0.25">
      <c r="A16228" s="859">
        <f t="shared" si="378"/>
        <v>16227</v>
      </c>
      <c r="B16228" s="845" t="s">
        <v>2564</v>
      </c>
      <c r="C16228" s="1007">
        <f t="shared" si="377"/>
        <v>161</v>
      </c>
      <c r="D16228" s="1014"/>
      <c r="H16228" s="1011" t="s">
        <v>1010</v>
      </c>
      <c r="K16228" s="1013"/>
    </row>
    <row r="16229" spans="1:11" s="1011" customFormat="1" ht="15" x14ac:dyDescent="0.25">
      <c r="A16229" s="859">
        <f t="shared" si="378"/>
        <v>16228</v>
      </c>
      <c r="B16229" s="845" t="s">
        <v>2564</v>
      </c>
      <c r="C16229" s="1007">
        <f t="shared" si="377"/>
        <v>161</v>
      </c>
      <c r="D16229" s="1012"/>
      <c r="H16229" s="1011" t="s">
        <v>1007</v>
      </c>
      <c r="K16229" s="1013"/>
    </row>
    <row r="16230" spans="1:11" s="1011" customFormat="1" ht="15" x14ac:dyDescent="0.25">
      <c r="A16230" s="859">
        <f t="shared" si="378"/>
        <v>16229</v>
      </c>
      <c r="B16230" s="845" t="s">
        <v>2564</v>
      </c>
      <c r="C16230" s="1007">
        <f t="shared" si="377"/>
        <v>161</v>
      </c>
      <c r="D16230" s="1015"/>
      <c r="I16230" s="1011" t="s">
        <v>2182</v>
      </c>
      <c r="K16230" s="1013"/>
    </row>
    <row r="16231" spans="1:11" s="1011" customFormat="1" ht="15" x14ac:dyDescent="0.25">
      <c r="A16231" s="859">
        <f t="shared" si="378"/>
        <v>16230</v>
      </c>
      <c r="B16231" s="845" t="s">
        <v>2564</v>
      </c>
      <c r="C16231" s="1007">
        <f t="shared" si="377"/>
        <v>161</v>
      </c>
      <c r="D16231" s="1012"/>
      <c r="I16231" s="1011" t="str">
        <f>CONCATENATE("&lt;valeur&gt;",VLOOKUP(C16231,'T16 Amort'!A:K,10,0),"&lt;/valeur&gt;")</f>
        <v>&lt;valeur&gt;&lt;/valeur&gt;</v>
      </c>
      <c r="K16231" s="1013"/>
    </row>
    <row r="16232" spans="1:11" s="1011" customFormat="1" ht="15" x14ac:dyDescent="0.25">
      <c r="A16232" s="859">
        <f t="shared" si="378"/>
        <v>16231</v>
      </c>
      <c r="B16232" s="845" t="s">
        <v>2564</v>
      </c>
      <c r="C16232" s="1007">
        <f t="shared" si="377"/>
        <v>161</v>
      </c>
      <c r="D16232" s="1012"/>
      <c r="I16232" s="1011" t="str">
        <f>CONCATENATE("&lt;numeroLigne&gt;",C16232,"&lt;/numeroLigne&gt;")</f>
        <v>&lt;numeroLigne&gt;161&lt;/numeroLigne&gt;</v>
      </c>
      <c r="K16232" s="1013"/>
    </row>
    <row r="16233" spans="1:11" s="1011" customFormat="1" ht="15" x14ac:dyDescent="0.25">
      <c r="A16233" s="859">
        <f t="shared" si="378"/>
        <v>16232</v>
      </c>
      <c r="B16233" s="845" t="s">
        <v>2564</v>
      </c>
      <c r="C16233" s="1007">
        <f t="shared" si="377"/>
        <v>161</v>
      </c>
      <c r="D16233" s="1014"/>
      <c r="H16233" s="1011" t="s">
        <v>1010</v>
      </c>
      <c r="K16233" s="1013"/>
    </row>
    <row r="16234" spans="1:11" s="1011" customFormat="1" ht="15" x14ac:dyDescent="0.25">
      <c r="A16234" s="859">
        <f t="shared" si="378"/>
        <v>16233</v>
      </c>
      <c r="B16234" s="845" t="s">
        <v>2564</v>
      </c>
      <c r="C16234" s="1007">
        <f t="shared" si="377"/>
        <v>161</v>
      </c>
      <c r="D16234" s="1014"/>
      <c r="H16234" s="1011" t="s">
        <v>1007</v>
      </c>
      <c r="K16234" s="1013"/>
    </row>
    <row r="16235" spans="1:11" s="1011" customFormat="1" ht="15" x14ac:dyDescent="0.25">
      <c r="A16235" s="859">
        <f t="shared" si="378"/>
        <v>16234</v>
      </c>
      <c r="B16235" s="845" t="s">
        <v>2564</v>
      </c>
      <c r="C16235" s="1007">
        <f t="shared" si="377"/>
        <v>161</v>
      </c>
      <c r="D16235" s="1012"/>
      <c r="I16235" s="1011" t="s">
        <v>2183</v>
      </c>
      <c r="K16235" s="1013"/>
    </row>
    <row r="16236" spans="1:11" s="1011" customFormat="1" ht="15" x14ac:dyDescent="0.25">
      <c r="A16236" s="859">
        <f t="shared" si="378"/>
        <v>16235</v>
      </c>
      <c r="B16236" s="845" t="s">
        <v>2564</v>
      </c>
      <c r="C16236" s="1007">
        <f t="shared" si="377"/>
        <v>161</v>
      </c>
      <c r="D16236" s="1015"/>
      <c r="I16236" s="1011" t="str">
        <f>CONCATENATE("&lt;valeur&gt;",VLOOKUP(C16236,'T16 Amort'!A:K,11,0),"&lt;/valeur&gt;")</f>
        <v>&lt;valeur&gt;&lt;/valeur&gt;</v>
      </c>
      <c r="K16236" s="1013"/>
    </row>
    <row r="16237" spans="1:11" s="1011" customFormat="1" ht="15" x14ac:dyDescent="0.25">
      <c r="A16237" s="859">
        <f t="shared" si="378"/>
        <v>16236</v>
      </c>
      <c r="B16237" s="845" t="s">
        <v>2564</v>
      </c>
      <c r="C16237" s="1007">
        <f t="shared" si="377"/>
        <v>161</v>
      </c>
      <c r="D16237" s="1012"/>
      <c r="I16237" s="1011" t="str">
        <f>CONCATENATE("&lt;numeroLigne&gt;",C16237,"&lt;/numeroLigne&gt;")</f>
        <v>&lt;numeroLigne&gt;161&lt;/numeroLigne&gt;</v>
      </c>
      <c r="K16237" s="1013"/>
    </row>
    <row r="16238" spans="1:11" s="1011" customFormat="1" ht="15" x14ac:dyDescent="0.25">
      <c r="A16238" s="859">
        <f t="shared" si="378"/>
        <v>16237</v>
      </c>
      <c r="B16238" s="845" t="s">
        <v>2564</v>
      </c>
      <c r="C16238" s="1007">
        <f t="shared" si="377"/>
        <v>161</v>
      </c>
      <c r="D16238" s="1016"/>
      <c r="E16238" s="1017"/>
      <c r="F16238" s="1017"/>
      <c r="G16238" s="1017"/>
      <c r="H16238" s="1017" t="s">
        <v>1010</v>
      </c>
      <c r="I16238" s="1017"/>
      <c r="J16238" s="1017"/>
      <c r="K16238" s="1018"/>
    </row>
    <row r="16239" spans="1:11" s="1011" customFormat="1" ht="15" x14ac:dyDescent="0.25">
      <c r="A16239" s="859">
        <f t="shared" si="378"/>
        <v>16238</v>
      </c>
      <c r="B16239" s="845" t="s">
        <v>2564</v>
      </c>
      <c r="C16239" s="1007">
        <f t="shared" ref="C16239:C16302" si="379">C16189+1</f>
        <v>162</v>
      </c>
      <c r="D16239" s="1008"/>
      <c r="E16239" s="1009"/>
      <c r="F16239" s="1009"/>
      <c r="G16239" s="1009"/>
      <c r="H16239" s="1009" t="s">
        <v>1007</v>
      </c>
      <c r="I16239" s="1009"/>
      <c r="J16239" s="1009"/>
      <c r="K16239" s="1010"/>
    </row>
    <row r="16240" spans="1:11" s="1011" customFormat="1" ht="15" x14ac:dyDescent="0.25">
      <c r="A16240" s="859">
        <f t="shared" si="378"/>
        <v>16239</v>
      </c>
      <c r="B16240" s="845" t="s">
        <v>2564</v>
      </c>
      <c r="C16240" s="1007">
        <f t="shared" si="379"/>
        <v>162</v>
      </c>
      <c r="D16240" s="1012"/>
      <c r="I16240" s="1011" t="s">
        <v>2174</v>
      </c>
      <c r="K16240" s="1013"/>
    </row>
    <row r="16241" spans="1:11" s="1011" customFormat="1" ht="15" x14ac:dyDescent="0.25">
      <c r="A16241" s="859">
        <f t="shared" si="378"/>
        <v>16240</v>
      </c>
      <c r="B16241" s="845" t="s">
        <v>2564</v>
      </c>
      <c r="C16241" s="1007">
        <f t="shared" si="379"/>
        <v>162</v>
      </c>
      <c r="D16241" s="1014"/>
      <c r="I16241" s="1011" t="str">
        <f>CONCATENATE("&lt;valeur&gt;",VLOOKUP(C16241,'T16 Amort'!A:K,2,0),"&lt;/valeur&gt;")</f>
        <v>&lt;valeur&gt;&lt;/valeur&gt;</v>
      </c>
      <c r="K16241" s="1013"/>
    </row>
    <row r="16242" spans="1:11" s="1011" customFormat="1" ht="15" x14ac:dyDescent="0.25">
      <c r="A16242" s="859">
        <f t="shared" si="378"/>
        <v>16241</v>
      </c>
      <c r="B16242" s="845" t="s">
        <v>2564</v>
      </c>
      <c r="C16242" s="1007">
        <f t="shared" si="379"/>
        <v>162</v>
      </c>
      <c r="D16242" s="1014"/>
      <c r="I16242" s="1011" t="str">
        <f>CONCATENATE("&lt;numeroLigne&gt;",C16242,"&lt;/numeroLigne&gt;")</f>
        <v>&lt;numeroLigne&gt;162&lt;/numeroLigne&gt;</v>
      </c>
      <c r="K16242" s="1013"/>
    </row>
    <row r="16243" spans="1:11" s="1011" customFormat="1" ht="15" x14ac:dyDescent="0.25">
      <c r="A16243" s="859">
        <f t="shared" si="378"/>
        <v>16242</v>
      </c>
      <c r="B16243" s="845" t="s">
        <v>2564</v>
      </c>
      <c r="C16243" s="1007">
        <f t="shared" si="379"/>
        <v>162</v>
      </c>
      <c r="D16243" s="1012"/>
      <c r="H16243" s="1011" t="s">
        <v>1010</v>
      </c>
      <c r="K16243" s="1013"/>
    </row>
    <row r="16244" spans="1:11" s="1011" customFormat="1" ht="15" x14ac:dyDescent="0.25">
      <c r="A16244" s="859">
        <f t="shared" si="378"/>
        <v>16243</v>
      </c>
      <c r="B16244" s="845" t="s">
        <v>2564</v>
      </c>
      <c r="C16244" s="1007">
        <f t="shared" si="379"/>
        <v>162</v>
      </c>
      <c r="D16244" s="1015"/>
      <c r="H16244" s="1011" t="s">
        <v>1007</v>
      </c>
      <c r="K16244" s="1013"/>
    </row>
    <row r="16245" spans="1:11" s="1011" customFormat="1" ht="15" x14ac:dyDescent="0.25">
      <c r="A16245" s="859">
        <f t="shared" si="378"/>
        <v>16244</v>
      </c>
      <c r="B16245" s="845" t="s">
        <v>2564</v>
      </c>
      <c r="C16245" s="1007">
        <f t="shared" si="379"/>
        <v>162</v>
      </c>
      <c r="D16245" s="1012"/>
      <c r="I16245" s="1011" t="s">
        <v>2175</v>
      </c>
      <c r="K16245" s="1013"/>
    </row>
    <row r="16246" spans="1:11" s="1011" customFormat="1" ht="15" x14ac:dyDescent="0.25">
      <c r="A16246" s="859">
        <f t="shared" si="378"/>
        <v>16245</v>
      </c>
      <c r="B16246" s="845" t="s">
        <v>2564</v>
      </c>
      <c r="C16246" s="1007">
        <f t="shared" si="379"/>
        <v>162</v>
      </c>
      <c r="D16246" s="1012"/>
      <c r="I16246" s="1011" t="str">
        <f>CONCATENATE("&lt;valeur&gt;",VLOOKUP(C16246,'T16 Amort'!A:K,3,0),"&lt;/valeur&gt;")</f>
        <v>&lt;valeur&gt;&lt;/valeur&gt;</v>
      </c>
      <c r="K16246" s="1013"/>
    </row>
    <row r="16247" spans="1:11" s="1011" customFormat="1" ht="15" x14ac:dyDescent="0.25">
      <c r="A16247" s="859">
        <f t="shared" si="378"/>
        <v>16246</v>
      </c>
      <c r="B16247" s="845" t="s">
        <v>2564</v>
      </c>
      <c r="C16247" s="1007">
        <f t="shared" si="379"/>
        <v>162</v>
      </c>
      <c r="D16247" s="1014"/>
      <c r="I16247" s="1011" t="str">
        <f>CONCATENATE("&lt;numeroLigne&gt;",C16247,"&lt;/numeroLigne&gt;")</f>
        <v>&lt;numeroLigne&gt;162&lt;/numeroLigne&gt;</v>
      </c>
      <c r="K16247" s="1013"/>
    </row>
    <row r="16248" spans="1:11" s="1011" customFormat="1" ht="15" x14ac:dyDescent="0.25">
      <c r="A16248" s="859">
        <f t="shared" si="378"/>
        <v>16247</v>
      </c>
      <c r="B16248" s="845" t="s">
        <v>2564</v>
      </c>
      <c r="C16248" s="1007">
        <f t="shared" si="379"/>
        <v>162</v>
      </c>
      <c r="D16248" s="1014"/>
      <c r="H16248" s="1011" t="s">
        <v>1010</v>
      </c>
      <c r="K16248" s="1013"/>
    </row>
    <row r="16249" spans="1:11" s="1011" customFormat="1" ht="15" x14ac:dyDescent="0.25">
      <c r="A16249" s="859">
        <f t="shared" si="378"/>
        <v>16248</v>
      </c>
      <c r="B16249" s="845" t="s">
        <v>2564</v>
      </c>
      <c r="C16249" s="1007">
        <f t="shared" si="379"/>
        <v>162</v>
      </c>
      <c r="D16249" s="1012"/>
      <c r="H16249" s="1011" t="s">
        <v>1007</v>
      </c>
      <c r="K16249" s="1013"/>
    </row>
    <row r="16250" spans="1:11" s="1011" customFormat="1" ht="15" x14ac:dyDescent="0.25">
      <c r="A16250" s="859">
        <f t="shared" si="378"/>
        <v>16249</v>
      </c>
      <c r="B16250" s="845" t="s">
        <v>2564</v>
      </c>
      <c r="C16250" s="1007">
        <f t="shared" si="379"/>
        <v>162</v>
      </c>
      <c r="D16250" s="1015"/>
      <c r="I16250" s="1011" t="s">
        <v>2176</v>
      </c>
      <c r="K16250" s="1013"/>
    </row>
    <row r="16251" spans="1:11" s="1011" customFormat="1" ht="15" x14ac:dyDescent="0.25">
      <c r="A16251" s="859">
        <f t="shared" si="378"/>
        <v>16250</v>
      </c>
      <c r="B16251" s="845" t="s">
        <v>2564</v>
      </c>
      <c r="C16251" s="1007">
        <f t="shared" si="379"/>
        <v>162</v>
      </c>
      <c r="D16251" s="1012"/>
      <c r="I16251" s="1011" t="str">
        <f>CONCATENATE("&lt;valeur&gt;",VLOOKUP(C16251,'T16 Amort'!A:K,4,0),"&lt;/valeur&gt;")</f>
        <v>&lt;valeur&gt;&lt;/valeur&gt;</v>
      </c>
      <c r="K16251" s="1013"/>
    </row>
    <row r="16252" spans="1:11" s="1011" customFormat="1" ht="15" x14ac:dyDescent="0.25">
      <c r="A16252" s="859">
        <f t="shared" si="378"/>
        <v>16251</v>
      </c>
      <c r="B16252" s="845" t="s">
        <v>2564</v>
      </c>
      <c r="C16252" s="1007">
        <f t="shared" si="379"/>
        <v>162</v>
      </c>
      <c r="D16252" s="1012"/>
      <c r="I16252" s="1011" t="str">
        <f>CONCATENATE("&lt;numeroLigne&gt;",C16252,"&lt;/numeroLigne&gt;")</f>
        <v>&lt;numeroLigne&gt;162&lt;/numeroLigne&gt;</v>
      </c>
      <c r="K16252" s="1013"/>
    </row>
    <row r="16253" spans="1:11" s="1011" customFormat="1" ht="15" x14ac:dyDescent="0.25">
      <c r="A16253" s="859">
        <f t="shared" si="378"/>
        <v>16252</v>
      </c>
      <c r="B16253" s="845" t="s">
        <v>2564</v>
      </c>
      <c r="C16253" s="1007">
        <f t="shared" si="379"/>
        <v>162</v>
      </c>
      <c r="D16253" s="1014"/>
      <c r="H16253" s="1011" t="s">
        <v>1010</v>
      </c>
      <c r="K16253" s="1013"/>
    </row>
    <row r="16254" spans="1:11" s="1011" customFormat="1" ht="15" x14ac:dyDescent="0.25">
      <c r="A16254" s="859">
        <f t="shared" si="378"/>
        <v>16253</v>
      </c>
      <c r="B16254" s="845" t="s">
        <v>2564</v>
      </c>
      <c r="C16254" s="1007">
        <f t="shared" si="379"/>
        <v>162</v>
      </c>
      <c r="D16254" s="1014"/>
      <c r="H16254" s="1011" t="s">
        <v>1007</v>
      </c>
      <c r="K16254" s="1013"/>
    </row>
    <row r="16255" spans="1:11" s="1011" customFormat="1" ht="15" x14ac:dyDescent="0.25">
      <c r="A16255" s="859">
        <f t="shared" si="378"/>
        <v>16254</v>
      </c>
      <c r="B16255" s="845" t="s">
        <v>2564</v>
      </c>
      <c r="C16255" s="1007">
        <f t="shared" si="379"/>
        <v>162</v>
      </c>
      <c r="D16255" s="1012"/>
      <c r="I16255" s="1011" t="s">
        <v>2177</v>
      </c>
      <c r="K16255" s="1013"/>
    </row>
    <row r="16256" spans="1:11" s="1011" customFormat="1" ht="15" x14ac:dyDescent="0.25">
      <c r="A16256" s="859">
        <f t="shared" si="378"/>
        <v>16255</v>
      </c>
      <c r="B16256" s="845" t="s">
        <v>2564</v>
      </c>
      <c r="C16256" s="1007">
        <f t="shared" si="379"/>
        <v>162</v>
      </c>
      <c r="D16256" s="1015"/>
      <c r="I16256" s="1011" t="str">
        <f>CONCATENATE("&lt;valeur&gt;",VLOOKUP(C16256,'T16 Amort'!A:K,5,0),"&lt;/valeur&gt;")</f>
        <v>&lt;valeur&gt;&lt;/valeur&gt;</v>
      </c>
      <c r="K16256" s="1013"/>
    </row>
    <row r="16257" spans="1:11" s="1011" customFormat="1" ht="15" x14ac:dyDescent="0.25">
      <c r="A16257" s="859">
        <f t="shared" si="378"/>
        <v>16256</v>
      </c>
      <c r="B16257" s="845" t="s">
        <v>2564</v>
      </c>
      <c r="C16257" s="1007">
        <f t="shared" si="379"/>
        <v>162</v>
      </c>
      <c r="D16257" s="1012"/>
      <c r="I16257" s="1011" t="str">
        <f>CONCATENATE("&lt;numeroLigne&gt;",C16257,"&lt;/numeroLigne&gt;")</f>
        <v>&lt;numeroLigne&gt;162&lt;/numeroLigne&gt;</v>
      </c>
      <c r="K16257" s="1013"/>
    </row>
    <row r="16258" spans="1:11" s="1011" customFormat="1" ht="15" x14ac:dyDescent="0.25">
      <c r="A16258" s="859">
        <f t="shared" si="378"/>
        <v>16257</v>
      </c>
      <c r="B16258" s="845" t="s">
        <v>2564</v>
      </c>
      <c r="C16258" s="1007">
        <f t="shared" si="379"/>
        <v>162</v>
      </c>
      <c r="D16258" s="1012"/>
      <c r="H16258" s="1011" t="s">
        <v>1010</v>
      </c>
      <c r="K16258" s="1013"/>
    </row>
    <row r="16259" spans="1:11" s="1011" customFormat="1" ht="15" x14ac:dyDescent="0.25">
      <c r="A16259" s="859">
        <f t="shared" si="378"/>
        <v>16258</v>
      </c>
      <c r="B16259" s="845" t="s">
        <v>2564</v>
      </c>
      <c r="C16259" s="1007">
        <f t="shared" si="379"/>
        <v>162</v>
      </c>
      <c r="D16259" s="1014"/>
      <c r="H16259" s="1011" t="s">
        <v>1007</v>
      </c>
      <c r="K16259" s="1013"/>
    </row>
    <row r="16260" spans="1:11" s="1011" customFormat="1" ht="15" x14ac:dyDescent="0.25">
      <c r="A16260" s="859">
        <f t="shared" ref="A16260:A16323" si="380">+A16259+1</f>
        <v>16259</v>
      </c>
      <c r="B16260" s="845" t="s">
        <v>2564</v>
      </c>
      <c r="C16260" s="1007">
        <f t="shared" si="379"/>
        <v>162</v>
      </c>
      <c r="D16260" s="1014"/>
      <c r="I16260" s="1011" t="s">
        <v>2178</v>
      </c>
      <c r="K16260" s="1013"/>
    </row>
    <row r="16261" spans="1:11" s="1011" customFormat="1" ht="15" x14ac:dyDescent="0.25">
      <c r="A16261" s="859">
        <f t="shared" si="380"/>
        <v>16260</v>
      </c>
      <c r="B16261" s="845" t="s">
        <v>2564</v>
      </c>
      <c r="C16261" s="1007">
        <f t="shared" si="379"/>
        <v>162</v>
      </c>
      <c r="D16261" s="1012"/>
      <c r="I16261" s="1011" t="str">
        <f>CONCATENATE("&lt;valeur&gt;",VLOOKUP(C16261,'T16 Amort'!A:K,6,0),"&lt;/valeur&gt;")</f>
        <v>&lt;valeur&gt;&lt;/valeur&gt;</v>
      </c>
      <c r="K16261" s="1013"/>
    </row>
    <row r="16262" spans="1:11" s="1011" customFormat="1" ht="15" x14ac:dyDescent="0.25">
      <c r="A16262" s="859">
        <f t="shared" si="380"/>
        <v>16261</v>
      </c>
      <c r="B16262" s="845" t="s">
        <v>2564</v>
      </c>
      <c r="C16262" s="1007">
        <f t="shared" si="379"/>
        <v>162</v>
      </c>
      <c r="D16262" s="1015"/>
      <c r="I16262" s="1011" t="str">
        <f>CONCATENATE("&lt;numeroLigne&gt;",C16262,"&lt;/numeroLigne&gt;")</f>
        <v>&lt;numeroLigne&gt;162&lt;/numeroLigne&gt;</v>
      </c>
      <c r="K16262" s="1013"/>
    </row>
    <row r="16263" spans="1:11" s="1011" customFormat="1" ht="15" x14ac:dyDescent="0.25">
      <c r="A16263" s="859">
        <f t="shared" si="380"/>
        <v>16262</v>
      </c>
      <c r="B16263" s="845" t="s">
        <v>2564</v>
      </c>
      <c r="C16263" s="1007">
        <f t="shared" si="379"/>
        <v>162</v>
      </c>
      <c r="D16263" s="1012"/>
      <c r="H16263" s="1011" t="s">
        <v>1010</v>
      </c>
      <c r="K16263" s="1013"/>
    </row>
    <row r="16264" spans="1:11" s="1011" customFormat="1" ht="15" x14ac:dyDescent="0.25">
      <c r="A16264" s="859">
        <f t="shared" si="380"/>
        <v>16263</v>
      </c>
      <c r="B16264" s="845" t="s">
        <v>2564</v>
      </c>
      <c r="C16264" s="1007">
        <f t="shared" si="379"/>
        <v>162</v>
      </c>
      <c r="D16264" s="1012"/>
      <c r="H16264" s="1011" t="s">
        <v>1007</v>
      </c>
      <c r="K16264" s="1013"/>
    </row>
    <row r="16265" spans="1:11" s="1011" customFormat="1" ht="15" x14ac:dyDescent="0.25">
      <c r="A16265" s="859">
        <f t="shared" si="380"/>
        <v>16264</v>
      </c>
      <c r="B16265" s="845" t="s">
        <v>2564</v>
      </c>
      <c r="C16265" s="1007">
        <f t="shared" si="379"/>
        <v>162</v>
      </c>
      <c r="D16265" s="1014"/>
      <c r="I16265" s="1011" t="s">
        <v>2179</v>
      </c>
      <c r="K16265" s="1013"/>
    </row>
    <row r="16266" spans="1:11" s="1011" customFormat="1" ht="15" x14ac:dyDescent="0.25">
      <c r="A16266" s="859">
        <f t="shared" si="380"/>
        <v>16265</v>
      </c>
      <c r="B16266" s="845" t="s">
        <v>2564</v>
      </c>
      <c r="C16266" s="1007">
        <f t="shared" si="379"/>
        <v>162</v>
      </c>
      <c r="D16266" s="1014"/>
      <c r="I16266" s="1011" t="str">
        <f>CONCATENATE("&lt;valeur&gt;",VLOOKUP(C16266,'T16 Amort'!A:K,7,0),"&lt;/valeur&gt;")</f>
        <v>&lt;valeur&gt;&lt;/valeur&gt;</v>
      </c>
      <c r="K16266" s="1013"/>
    </row>
    <row r="16267" spans="1:11" s="1011" customFormat="1" ht="15" x14ac:dyDescent="0.25">
      <c r="A16267" s="859">
        <f t="shared" si="380"/>
        <v>16266</v>
      </c>
      <c r="B16267" s="845" t="s">
        <v>2564</v>
      </c>
      <c r="C16267" s="1007">
        <f t="shared" si="379"/>
        <v>162</v>
      </c>
      <c r="D16267" s="1012"/>
      <c r="I16267" s="1011" t="str">
        <f>CONCATENATE("&lt;numeroLigne&gt;",C16267,"&lt;/numeroLigne&gt;")</f>
        <v>&lt;numeroLigne&gt;162&lt;/numeroLigne&gt;</v>
      </c>
      <c r="K16267" s="1013"/>
    </row>
    <row r="16268" spans="1:11" s="1011" customFormat="1" ht="15" x14ac:dyDescent="0.25">
      <c r="A16268" s="859">
        <f t="shared" si="380"/>
        <v>16267</v>
      </c>
      <c r="B16268" s="845" t="s">
        <v>2564</v>
      </c>
      <c r="C16268" s="1007">
        <f t="shared" si="379"/>
        <v>162</v>
      </c>
      <c r="D16268" s="1015"/>
      <c r="H16268" s="1011" t="s">
        <v>1010</v>
      </c>
      <c r="K16268" s="1013"/>
    </row>
    <row r="16269" spans="1:11" s="1011" customFormat="1" ht="15" x14ac:dyDescent="0.25">
      <c r="A16269" s="859">
        <f t="shared" si="380"/>
        <v>16268</v>
      </c>
      <c r="B16269" s="845" t="s">
        <v>2564</v>
      </c>
      <c r="C16269" s="1007">
        <f t="shared" si="379"/>
        <v>162</v>
      </c>
      <c r="D16269" s="1012"/>
      <c r="H16269" s="1011" t="s">
        <v>1007</v>
      </c>
      <c r="K16269" s="1013"/>
    </row>
    <row r="16270" spans="1:11" s="1011" customFormat="1" ht="15" x14ac:dyDescent="0.25">
      <c r="A16270" s="859">
        <f t="shared" si="380"/>
        <v>16269</v>
      </c>
      <c r="B16270" s="845" t="s">
        <v>2564</v>
      </c>
      <c r="C16270" s="1007">
        <f t="shared" si="379"/>
        <v>162</v>
      </c>
      <c r="D16270" s="1012"/>
      <c r="I16270" s="1011" t="s">
        <v>2180</v>
      </c>
      <c r="K16270" s="1013"/>
    </row>
    <row r="16271" spans="1:11" s="1011" customFormat="1" ht="15" x14ac:dyDescent="0.25">
      <c r="A16271" s="859">
        <f t="shared" si="380"/>
        <v>16270</v>
      </c>
      <c r="B16271" s="845" t="s">
        <v>2564</v>
      </c>
      <c r="C16271" s="1007">
        <f t="shared" si="379"/>
        <v>162</v>
      </c>
      <c r="D16271" s="1014"/>
      <c r="I16271" s="1011" t="str">
        <f>CONCATENATE("&lt;valeur&gt;",VLOOKUP(C16271,'T16 Amort'!A:K,8,0),"&lt;/valeur&gt;")</f>
        <v>&lt;valeur&gt;&lt;/valeur&gt;</v>
      </c>
      <c r="K16271" s="1013"/>
    </row>
    <row r="16272" spans="1:11" s="1011" customFormat="1" ht="15" x14ac:dyDescent="0.25">
      <c r="A16272" s="859">
        <f t="shared" si="380"/>
        <v>16271</v>
      </c>
      <c r="B16272" s="845" t="s">
        <v>2564</v>
      </c>
      <c r="C16272" s="1007">
        <f t="shared" si="379"/>
        <v>162</v>
      </c>
      <c r="D16272" s="1014"/>
      <c r="I16272" s="1011" t="str">
        <f>CONCATENATE("&lt;numeroLigne&gt;",C16272,"&lt;/numeroLigne&gt;")</f>
        <v>&lt;numeroLigne&gt;162&lt;/numeroLigne&gt;</v>
      </c>
      <c r="K16272" s="1013"/>
    </row>
    <row r="16273" spans="1:11" s="1011" customFormat="1" ht="15" x14ac:dyDescent="0.25">
      <c r="A16273" s="859">
        <f t="shared" si="380"/>
        <v>16272</v>
      </c>
      <c r="B16273" s="845" t="s">
        <v>2564</v>
      </c>
      <c r="C16273" s="1007">
        <f t="shared" si="379"/>
        <v>162</v>
      </c>
      <c r="D16273" s="1012"/>
      <c r="H16273" s="1011" t="s">
        <v>1010</v>
      </c>
      <c r="K16273" s="1013"/>
    </row>
    <row r="16274" spans="1:11" s="1011" customFormat="1" ht="15" x14ac:dyDescent="0.25">
      <c r="A16274" s="859">
        <f t="shared" si="380"/>
        <v>16273</v>
      </c>
      <c r="B16274" s="845" t="s">
        <v>2564</v>
      </c>
      <c r="C16274" s="1007">
        <f t="shared" si="379"/>
        <v>162</v>
      </c>
      <c r="D16274" s="1015"/>
      <c r="H16274" s="1011" t="s">
        <v>1007</v>
      </c>
      <c r="K16274" s="1013"/>
    </row>
    <row r="16275" spans="1:11" s="1011" customFormat="1" ht="15" x14ac:dyDescent="0.25">
      <c r="A16275" s="859">
        <f t="shared" si="380"/>
        <v>16274</v>
      </c>
      <c r="B16275" s="845" t="s">
        <v>2564</v>
      </c>
      <c r="C16275" s="1007">
        <f t="shared" si="379"/>
        <v>162</v>
      </c>
      <c r="D16275" s="1012"/>
      <c r="I16275" s="1011" t="s">
        <v>2181</v>
      </c>
      <c r="K16275" s="1013"/>
    </row>
    <row r="16276" spans="1:11" s="1011" customFormat="1" ht="15" x14ac:dyDescent="0.25">
      <c r="A16276" s="859">
        <f t="shared" si="380"/>
        <v>16275</v>
      </c>
      <c r="B16276" s="845" t="s">
        <v>2564</v>
      </c>
      <c r="C16276" s="1007">
        <f t="shared" si="379"/>
        <v>162</v>
      </c>
      <c r="D16276" s="1012"/>
      <c r="I16276" s="1011" t="str">
        <f>CONCATENATE("&lt;valeur&gt;",VLOOKUP(C16276,'T16 Amort'!A:K,9,0),"&lt;/valeur&gt;")</f>
        <v>&lt;valeur&gt;&lt;/valeur&gt;</v>
      </c>
      <c r="K16276" s="1013"/>
    </row>
    <row r="16277" spans="1:11" s="1011" customFormat="1" ht="15" x14ac:dyDescent="0.25">
      <c r="A16277" s="859">
        <f t="shared" si="380"/>
        <v>16276</v>
      </c>
      <c r="B16277" s="845" t="s">
        <v>2564</v>
      </c>
      <c r="C16277" s="1007">
        <f t="shared" si="379"/>
        <v>162</v>
      </c>
      <c r="D16277" s="1014"/>
      <c r="I16277" s="1011" t="str">
        <f>CONCATENATE("&lt;numeroLigne&gt;",C16277,"&lt;/numeroLigne&gt;")</f>
        <v>&lt;numeroLigne&gt;162&lt;/numeroLigne&gt;</v>
      </c>
      <c r="K16277" s="1013"/>
    </row>
    <row r="16278" spans="1:11" s="1011" customFormat="1" ht="15" x14ac:dyDescent="0.25">
      <c r="A16278" s="859">
        <f t="shared" si="380"/>
        <v>16277</v>
      </c>
      <c r="B16278" s="845" t="s">
        <v>2564</v>
      </c>
      <c r="C16278" s="1007">
        <f t="shared" si="379"/>
        <v>162</v>
      </c>
      <c r="D16278" s="1014"/>
      <c r="H16278" s="1011" t="s">
        <v>1010</v>
      </c>
      <c r="K16278" s="1013"/>
    </row>
    <row r="16279" spans="1:11" s="1011" customFormat="1" ht="15" x14ac:dyDescent="0.25">
      <c r="A16279" s="859">
        <f t="shared" si="380"/>
        <v>16278</v>
      </c>
      <c r="B16279" s="845" t="s">
        <v>2564</v>
      </c>
      <c r="C16279" s="1007">
        <f t="shared" si="379"/>
        <v>162</v>
      </c>
      <c r="D16279" s="1012"/>
      <c r="H16279" s="1011" t="s">
        <v>1007</v>
      </c>
      <c r="K16279" s="1013"/>
    </row>
    <row r="16280" spans="1:11" s="1011" customFormat="1" ht="15" x14ac:dyDescent="0.25">
      <c r="A16280" s="859">
        <f t="shared" si="380"/>
        <v>16279</v>
      </c>
      <c r="B16280" s="845" t="s">
        <v>2564</v>
      </c>
      <c r="C16280" s="1007">
        <f t="shared" si="379"/>
        <v>162</v>
      </c>
      <c r="D16280" s="1015"/>
      <c r="I16280" s="1011" t="s">
        <v>2182</v>
      </c>
      <c r="K16280" s="1013"/>
    </row>
    <row r="16281" spans="1:11" s="1011" customFormat="1" ht="15" x14ac:dyDescent="0.25">
      <c r="A16281" s="859">
        <f t="shared" si="380"/>
        <v>16280</v>
      </c>
      <c r="B16281" s="845" t="s">
        <v>2564</v>
      </c>
      <c r="C16281" s="1007">
        <f t="shared" si="379"/>
        <v>162</v>
      </c>
      <c r="D16281" s="1012"/>
      <c r="I16281" s="1011" t="str">
        <f>CONCATENATE("&lt;valeur&gt;",VLOOKUP(C16281,'T16 Amort'!A:K,10,0),"&lt;/valeur&gt;")</f>
        <v>&lt;valeur&gt;&lt;/valeur&gt;</v>
      </c>
      <c r="K16281" s="1013"/>
    </row>
    <row r="16282" spans="1:11" s="1011" customFormat="1" ht="15" x14ac:dyDescent="0.25">
      <c r="A16282" s="859">
        <f t="shared" si="380"/>
        <v>16281</v>
      </c>
      <c r="B16282" s="845" t="s">
        <v>2564</v>
      </c>
      <c r="C16282" s="1007">
        <f t="shared" si="379"/>
        <v>162</v>
      </c>
      <c r="D16282" s="1012"/>
      <c r="I16282" s="1011" t="str">
        <f>CONCATENATE("&lt;numeroLigne&gt;",C16282,"&lt;/numeroLigne&gt;")</f>
        <v>&lt;numeroLigne&gt;162&lt;/numeroLigne&gt;</v>
      </c>
      <c r="K16282" s="1013"/>
    </row>
    <row r="16283" spans="1:11" s="1011" customFormat="1" ht="15" x14ac:dyDescent="0.25">
      <c r="A16283" s="859">
        <f t="shared" si="380"/>
        <v>16282</v>
      </c>
      <c r="B16283" s="845" t="s">
        <v>2564</v>
      </c>
      <c r="C16283" s="1007">
        <f t="shared" si="379"/>
        <v>162</v>
      </c>
      <c r="D16283" s="1014"/>
      <c r="H16283" s="1011" t="s">
        <v>1010</v>
      </c>
      <c r="K16283" s="1013"/>
    </row>
    <row r="16284" spans="1:11" s="1011" customFormat="1" ht="15" x14ac:dyDescent="0.25">
      <c r="A16284" s="859">
        <f t="shared" si="380"/>
        <v>16283</v>
      </c>
      <c r="B16284" s="845" t="s">
        <v>2564</v>
      </c>
      <c r="C16284" s="1007">
        <f t="shared" si="379"/>
        <v>162</v>
      </c>
      <c r="D16284" s="1014"/>
      <c r="H16284" s="1011" t="s">
        <v>1007</v>
      </c>
      <c r="K16284" s="1013"/>
    </row>
    <row r="16285" spans="1:11" s="1011" customFormat="1" ht="15" x14ac:dyDescent="0.25">
      <c r="A16285" s="859">
        <f t="shared" si="380"/>
        <v>16284</v>
      </c>
      <c r="B16285" s="845" t="s">
        <v>2564</v>
      </c>
      <c r="C16285" s="1007">
        <f t="shared" si="379"/>
        <v>162</v>
      </c>
      <c r="D16285" s="1012"/>
      <c r="I16285" s="1011" t="s">
        <v>2183</v>
      </c>
      <c r="K16285" s="1013"/>
    </row>
    <row r="16286" spans="1:11" s="1011" customFormat="1" ht="15" x14ac:dyDescent="0.25">
      <c r="A16286" s="859">
        <f t="shared" si="380"/>
        <v>16285</v>
      </c>
      <c r="B16286" s="845" t="s">
        <v>2564</v>
      </c>
      <c r="C16286" s="1007">
        <f t="shared" si="379"/>
        <v>162</v>
      </c>
      <c r="D16286" s="1015"/>
      <c r="I16286" s="1011" t="str">
        <f>CONCATENATE("&lt;valeur&gt;",VLOOKUP(C16286,'T16 Amort'!A:K,11,0),"&lt;/valeur&gt;")</f>
        <v>&lt;valeur&gt;&lt;/valeur&gt;</v>
      </c>
      <c r="K16286" s="1013"/>
    </row>
    <row r="16287" spans="1:11" s="1011" customFormat="1" ht="15" x14ac:dyDescent="0.25">
      <c r="A16287" s="859">
        <f t="shared" si="380"/>
        <v>16286</v>
      </c>
      <c r="B16287" s="845" t="s">
        <v>2564</v>
      </c>
      <c r="C16287" s="1007">
        <f t="shared" si="379"/>
        <v>162</v>
      </c>
      <c r="D16287" s="1012"/>
      <c r="I16287" s="1011" t="str">
        <f>CONCATENATE("&lt;numeroLigne&gt;",C16287,"&lt;/numeroLigne&gt;")</f>
        <v>&lt;numeroLigne&gt;162&lt;/numeroLigne&gt;</v>
      </c>
      <c r="K16287" s="1013"/>
    </row>
    <row r="16288" spans="1:11" s="1011" customFormat="1" ht="15" x14ac:dyDescent="0.25">
      <c r="A16288" s="859">
        <f t="shared" si="380"/>
        <v>16287</v>
      </c>
      <c r="B16288" s="845" t="s">
        <v>2564</v>
      </c>
      <c r="C16288" s="1007">
        <f t="shared" si="379"/>
        <v>162</v>
      </c>
      <c r="D16288" s="1016"/>
      <c r="E16288" s="1017"/>
      <c r="F16288" s="1017"/>
      <c r="G16288" s="1017"/>
      <c r="H16288" s="1017" t="s">
        <v>1010</v>
      </c>
      <c r="I16288" s="1017"/>
      <c r="J16288" s="1017"/>
      <c r="K16288" s="1018"/>
    </row>
    <row r="16289" spans="1:11" s="1011" customFormat="1" ht="15" x14ac:dyDescent="0.25">
      <c r="A16289" s="859">
        <f t="shared" si="380"/>
        <v>16288</v>
      </c>
      <c r="B16289" s="845" t="s">
        <v>2564</v>
      </c>
      <c r="C16289" s="1007">
        <f t="shared" si="379"/>
        <v>163</v>
      </c>
      <c r="D16289" s="1008"/>
      <c r="E16289" s="1009"/>
      <c r="F16289" s="1009"/>
      <c r="G16289" s="1009"/>
      <c r="H16289" s="1009" t="s">
        <v>1007</v>
      </c>
      <c r="I16289" s="1009"/>
      <c r="J16289" s="1009"/>
      <c r="K16289" s="1010"/>
    </row>
    <row r="16290" spans="1:11" s="1011" customFormat="1" ht="15" x14ac:dyDescent="0.25">
      <c r="A16290" s="859">
        <f t="shared" si="380"/>
        <v>16289</v>
      </c>
      <c r="B16290" s="845" t="s">
        <v>2564</v>
      </c>
      <c r="C16290" s="1007">
        <f t="shared" si="379"/>
        <v>163</v>
      </c>
      <c r="D16290" s="1012"/>
      <c r="I16290" s="1011" t="s">
        <v>2174</v>
      </c>
      <c r="K16290" s="1013"/>
    </row>
    <row r="16291" spans="1:11" s="1011" customFormat="1" ht="15" x14ac:dyDescent="0.25">
      <c r="A16291" s="859">
        <f t="shared" si="380"/>
        <v>16290</v>
      </c>
      <c r="B16291" s="845" t="s">
        <v>2564</v>
      </c>
      <c r="C16291" s="1007">
        <f t="shared" si="379"/>
        <v>163</v>
      </c>
      <c r="D16291" s="1014"/>
      <c r="I16291" s="1011" t="str">
        <f>CONCATENATE("&lt;valeur&gt;",VLOOKUP(C16291,'T16 Amort'!A:K,2,0),"&lt;/valeur&gt;")</f>
        <v>&lt;valeur&gt;&lt;/valeur&gt;</v>
      </c>
      <c r="K16291" s="1013"/>
    </row>
    <row r="16292" spans="1:11" s="1011" customFormat="1" ht="15" x14ac:dyDescent="0.25">
      <c r="A16292" s="859">
        <f t="shared" si="380"/>
        <v>16291</v>
      </c>
      <c r="B16292" s="845" t="s">
        <v>2564</v>
      </c>
      <c r="C16292" s="1007">
        <f t="shared" si="379"/>
        <v>163</v>
      </c>
      <c r="D16292" s="1014"/>
      <c r="I16292" s="1011" t="str">
        <f>CONCATENATE("&lt;numeroLigne&gt;",C16292,"&lt;/numeroLigne&gt;")</f>
        <v>&lt;numeroLigne&gt;163&lt;/numeroLigne&gt;</v>
      </c>
      <c r="K16292" s="1013"/>
    </row>
    <row r="16293" spans="1:11" s="1011" customFormat="1" ht="15" x14ac:dyDescent="0.25">
      <c r="A16293" s="859">
        <f t="shared" si="380"/>
        <v>16292</v>
      </c>
      <c r="B16293" s="845" t="s">
        <v>2564</v>
      </c>
      <c r="C16293" s="1007">
        <f t="shared" si="379"/>
        <v>163</v>
      </c>
      <c r="D16293" s="1012"/>
      <c r="H16293" s="1011" t="s">
        <v>1010</v>
      </c>
      <c r="K16293" s="1013"/>
    </row>
    <row r="16294" spans="1:11" s="1011" customFormat="1" ht="15" x14ac:dyDescent="0.25">
      <c r="A16294" s="859">
        <f t="shared" si="380"/>
        <v>16293</v>
      </c>
      <c r="B16294" s="845" t="s">
        <v>2564</v>
      </c>
      <c r="C16294" s="1007">
        <f t="shared" si="379"/>
        <v>163</v>
      </c>
      <c r="D16294" s="1015"/>
      <c r="H16294" s="1011" t="s">
        <v>1007</v>
      </c>
      <c r="K16294" s="1013"/>
    </row>
    <row r="16295" spans="1:11" s="1011" customFormat="1" ht="15" x14ac:dyDescent="0.25">
      <c r="A16295" s="859">
        <f t="shared" si="380"/>
        <v>16294</v>
      </c>
      <c r="B16295" s="845" t="s">
        <v>2564</v>
      </c>
      <c r="C16295" s="1007">
        <f t="shared" si="379"/>
        <v>163</v>
      </c>
      <c r="D16295" s="1012"/>
      <c r="I16295" s="1011" t="s">
        <v>2175</v>
      </c>
      <c r="K16295" s="1013"/>
    </row>
    <row r="16296" spans="1:11" s="1011" customFormat="1" ht="15" x14ac:dyDescent="0.25">
      <c r="A16296" s="859">
        <f t="shared" si="380"/>
        <v>16295</v>
      </c>
      <c r="B16296" s="845" t="s">
        <v>2564</v>
      </c>
      <c r="C16296" s="1007">
        <f t="shared" si="379"/>
        <v>163</v>
      </c>
      <c r="D16296" s="1012"/>
      <c r="I16296" s="1011" t="str">
        <f>CONCATENATE("&lt;valeur&gt;",VLOOKUP(C16296,'T16 Amort'!A:K,3,0),"&lt;/valeur&gt;")</f>
        <v>&lt;valeur&gt;&lt;/valeur&gt;</v>
      </c>
      <c r="K16296" s="1013"/>
    </row>
    <row r="16297" spans="1:11" s="1011" customFormat="1" ht="15" x14ac:dyDescent="0.25">
      <c r="A16297" s="859">
        <f t="shared" si="380"/>
        <v>16296</v>
      </c>
      <c r="B16297" s="845" t="s">
        <v>2564</v>
      </c>
      <c r="C16297" s="1007">
        <f t="shared" si="379"/>
        <v>163</v>
      </c>
      <c r="D16297" s="1014"/>
      <c r="I16297" s="1011" t="str">
        <f>CONCATENATE("&lt;numeroLigne&gt;",C16297,"&lt;/numeroLigne&gt;")</f>
        <v>&lt;numeroLigne&gt;163&lt;/numeroLigne&gt;</v>
      </c>
      <c r="K16297" s="1013"/>
    </row>
    <row r="16298" spans="1:11" s="1011" customFormat="1" ht="15" x14ac:dyDescent="0.25">
      <c r="A16298" s="859">
        <f t="shared" si="380"/>
        <v>16297</v>
      </c>
      <c r="B16298" s="845" t="s">
        <v>2564</v>
      </c>
      <c r="C16298" s="1007">
        <f t="shared" si="379"/>
        <v>163</v>
      </c>
      <c r="D16298" s="1014"/>
      <c r="H16298" s="1011" t="s">
        <v>1010</v>
      </c>
      <c r="K16298" s="1013"/>
    </row>
    <row r="16299" spans="1:11" s="1011" customFormat="1" ht="15" x14ac:dyDescent="0.25">
      <c r="A16299" s="859">
        <f t="shared" si="380"/>
        <v>16298</v>
      </c>
      <c r="B16299" s="845" t="s">
        <v>2564</v>
      </c>
      <c r="C16299" s="1007">
        <f t="shared" si="379"/>
        <v>163</v>
      </c>
      <c r="D16299" s="1012"/>
      <c r="H16299" s="1011" t="s">
        <v>1007</v>
      </c>
      <c r="K16299" s="1013"/>
    </row>
    <row r="16300" spans="1:11" s="1011" customFormat="1" ht="15" x14ac:dyDescent="0.25">
      <c r="A16300" s="859">
        <f t="shared" si="380"/>
        <v>16299</v>
      </c>
      <c r="B16300" s="845" t="s">
        <v>2564</v>
      </c>
      <c r="C16300" s="1007">
        <f t="shared" si="379"/>
        <v>163</v>
      </c>
      <c r="D16300" s="1015"/>
      <c r="I16300" s="1011" t="s">
        <v>2176</v>
      </c>
      <c r="K16300" s="1013"/>
    </row>
    <row r="16301" spans="1:11" s="1011" customFormat="1" ht="15" x14ac:dyDescent="0.25">
      <c r="A16301" s="859">
        <f t="shared" si="380"/>
        <v>16300</v>
      </c>
      <c r="B16301" s="845" t="s">
        <v>2564</v>
      </c>
      <c r="C16301" s="1007">
        <f t="shared" si="379"/>
        <v>163</v>
      </c>
      <c r="D16301" s="1012"/>
      <c r="I16301" s="1011" t="str">
        <f>CONCATENATE("&lt;valeur&gt;",VLOOKUP(C16301,'T16 Amort'!A:K,4,0),"&lt;/valeur&gt;")</f>
        <v>&lt;valeur&gt;&lt;/valeur&gt;</v>
      </c>
      <c r="K16301" s="1013"/>
    </row>
    <row r="16302" spans="1:11" s="1011" customFormat="1" ht="15" x14ac:dyDescent="0.25">
      <c r="A16302" s="859">
        <f t="shared" si="380"/>
        <v>16301</v>
      </c>
      <c r="B16302" s="845" t="s">
        <v>2564</v>
      </c>
      <c r="C16302" s="1007">
        <f t="shared" si="379"/>
        <v>163</v>
      </c>
      <c r="D16302" s="1012"/>
      <c r="I16302" s="1011" t="str">
        <f>CONCATENATE("&lt;numeroLigne&gt;",C16302,"&lt;/numeroLigne&gt;")</f>
        <v>&lt;numeroLigne&gt;163&lt;/numeroLigne&gt;</v>
      </c>
      <c r="K16302" s="1013"/>
    </row>
    <row r="16303" spans="1:11" s="1011" customFormat="1" ht="15" x14ac:dyDescent="0.25">
      <c r="A16303" s="859">
        <f t="shared" si="380"/>
        <v>16302</v>
      </c>
      <c r="B16303" s="845" t="s">
        <v>2564</v>
      </c>
      <c r="C16303" s="1007">
        <f t="shared" ref="C16303:C16366" si="381">C16253+1</f>
        <v>163</v>
      </c>
      <c r="D16303" s="1014"/>
      <c r="H16303" s="1011" t="s">
        <v>1010</v>
      </c>
      <c r="K16303" s="1013"/>
    </row>
    <row r="16304" spans="1:11" s="1011" customFormat="1" ht="15" x14ac:dyDescent="0.25">
      <c r="A16304" s="859">
        <f t="shared" si="380"/>
        <v>16303</v>
      </c>
      <c r="B16304" s="845" t="s">
        <v>2564</v>
      </c>
      <c r="C16304" s="1007">
        <f t="shared" si="381"/>
        <v>163</v>
      </c>
      <c r="D16304" s="1014"/>
      <c r="H16304" s="1011" t="s">
        <v>1007</v>
      </c>
      <c r="K16304" s="1013"/>
    </row>
    <row r="16305" spans="1:11" s="1011" customFormat="1" ht="15" x14ac:dyDescent="0.25">
      <c r="A16305" s="859">
        <f t="shared" si="380"/>
        <v>16304</v>
      </c>
      <c r="B16305" s="845" t="s">
        <v>2564</v>
      </c>
      <c r="C16305" s="1007">
        <f t="shared" si="381"/>
        <v>163</v>
      </c>
      <c r="D16305" s="1012"/>
      <c r="I16305" s="1011" t="s">
        <v>2177</v>
      </c>
      <c r="K16305" s="1013"/>
    </row>
    <row r="16306" spans="1:11" s="1011" customFormat="1" ht="15" x14ac:dyDescent="0.25">
      <c r="A16306" s="859">
        <f t="shared" si="380"/>
        <v>16305</v>
      </c>
      <c r="B16306" s="845" t="s">
        <v>2564</v>
      </c>
      <c r="C16306" s="1007">
        <f t="shared" si="381"/>
        <v>163</v>
      </c>
      <c r="D16306" s="1015"/>
      <c r="I16306" s="1011" t="str">
        <f>CONCATENATE("&lt;valeur&gt;",VLOOKUP(C16306,'T16 Amort'!A:K,5,0),"&lt;/valeur&gt;")</f>
        <v>&lt;valeur&gt;&lt;/valeur&gt;</v>
      </c>
      <c r="K16306" s="1013"/>
    </row>
    <row r="16307" spans="1:11" s="1011" customFormat="1" ht="15" x14ac:dyDescent="0.25">
      <c r="A16307" s="859">
        <f t="shared" si="380"/>
        <v>16306</v>
      </c>
      <c r="B16307" s="845" t="s">
        <v>2564</v>
      </c>
      <c r="C16307" s="1007">
        <f t="shared" si="381"/>
        <v>163</v>
      </c>
      <c r="D16307" s="1012"/>
      <c r="I16307" s="1011" t="str">
        <f>CONCATENATE("&lt;numeroLigne&gt;",C16307,"&lt;/numeroLigne&gt;")</f>
        <v>&lt;numeroLigne&gt;163&lt;/numeroLigne&gt;</v>
      </c>
      <c r="K16307" s="1013"/>
    </row>
    <row r="16308" spans="1:11" s="1011" customFormat="1" ht="15" x14ac:dyDescent="0.25">
      <c r="A16308" s="859">
        <f t="shared" si="380"/>
        <v>16307</v>
      </c>
      <c r="B16308" s="845" t="s">
        <v>2564</v>
      </c>
      <c r="C16308" s="1007">
        <f t="shared" si="381"/>
        <v>163</v>
      </c>
      <c r="D16308" s="1012"/>
      <c r="H16308" s="1011" t="s">
        <v>1010</v>
      </c>
      <c r="K16308" s="1013"/>
    </row>
    <row r="16309" spans="1:11" s="1011" customFormat="1" ht="15" x14ac:dyDescent="0.25">
      <c r="A16309" s="859">
        <f t="shared" si="380"/>
        <v>16308</v>
      </c>
      <c r="B16309" s="845" t="s">
        <v>2564</v>
      </c>
      <c r="C16309" s="1007">
        <f t="shared" si="381"/>
        <v>163</v>
      </c>
      <c r="D16309" s="1014"/>
      <c r="H16309" s="1011" t="s">
        <v>1007</v>
      </c>
      <c r="K16309" s="1013"/>
    </row>
    <row r="16310" spans="1:11" s="1011" customFormat="1" ht="15" x14ac:dyDescent="0.25">
      <c r="A16310" s="859">
        <f t="shared" si="380"/>
        <v>16309</v>
      </c>
      <c r="B16310" s="845" t="s">
        <v>2564</v>
      </c>
      <c r="C16310" s="1007">
        <f t="shared" si="381"/>
        <v>163</v>
      </c>
      <c r="D16310" s="1014"/>
      <c r="I16310" s="1011" t="s">
        <v>2178</v>
      </c>
      <c r="K16310" s="1013"/>
    </row>
    <row r="16311" spans="1:11" s="1011" customFormat="1" ht="15" x14ac:dyDescent="0.25">
      <c r="A16311" s="859">
        <f t="shared" si="380"/>
        <v>16310</v>
      </c>
      <c r="B16311" s="845" t="s">
        <v>2564</v>
      </c>
      <c r="C16311" s="1007">
        <f t="shared" si="381"/>
        <v>163</v>
      </c>
      <c r="D16311" s="1012"/>
      <c r="I16311" s="1011" t="str">
        <f>CONCATENATE("&lt;valeur&gt;",VLOOKUP(C16311,'T16 Amort'!A:K,6,0),"&lt;/valeur&gt;")</f>
        <v>&lt;valeur&gt;&lt;/valeur&gt;</v>
      </c>
      <c r="K16311" s="1013"/>
    </row>
    <row r="16312" spans="1:11" s="1011" customFormat="1" ht="15" x14ac:dyDescent="0.25">
      <c r="A16312" s="859">
        <f t="shared" si="380"/>
        <v>16311</v>
      </c>
      <c r="B16312" s="845" t="s">
        <v>2564</v>
      </c>
      <c r="C16312" s="1007">
        <f t="shared" si="381"/>
        <v>163</v>
      </c>
      <c r="D16312" s="1015"/>
      <c r="I16312" s="1011" t="str">
        <f>CONCATENATE("&lt;numeroLigne&gt;",C16312,"&lt;/numeroLigne&gt;")</f>
        <v>&lt;numeroLigne&gt;163&lt;/numeroLigne&gt;</v>
      </c>
      <c r="K16312" s="1013"/>
    </row>
    <row r="16313" spans="1:11" s="1011" customFormat="1" ht="15" x14ac:dyDescent="0.25">
      <c r="A16313" s="859">
        <f t="shared" si="380"/>
        <v>16312</v>
      </c>
      <c r="B16313" s="845" t="s">
        <v>2564</v>
      </c>
      <c r="C16313" s="1007">
        <f t="shared" si="381"/>
        <v>163</v>
      </c>
      <c r="D16313" s="1012"/>
      <c r="H16313" s="1011" t="s">
        <v>1010</v>
      </c>
      <c r="K16313" s="1013"/>
    </row>
    <row r="16314" spans="1:11" s="1011" customFormat="1" ht="15" x14ac:dyDescent="0.25">
      <c r="A16314" s="859">
        <f t="shared" si="380"/>
        <v>16313</v>
      </c>
      <c r="B16314" s="845" t="s">
        <v>2564</v>
      </c>
      <c r="C16314" s="1007">
        <f t="shared" si="381"/>
        <v>163</v>
      </c>
      <c r="D16314" s="1012"/>
      <c r="H16314" s="1011" t="s">
        <v>1007</v>
      </c>
      <c r="K16314" s="1013"/>
    </row>
    <row r="16315" spans="1:11" s="1011" customFormat="1" ht="15" x14ac:dyDescent="0.25">
      <c r="A16315" s="859">
        <f t="shared" si="380"/>
        <v>16314</v>
      </c>
      <c r="B16315" s="845" t="s">
        <v>2564</v>
      </c>
      <c r="C16315" s="1007">
        <f t="shared" si="381"/>
        <v>163</v>
      </c>
      <c r="D16315" s="1014"/>
      <c r="I16315" s="1011" t="s">
        <v>2179</v>
      </c>
      <c r="K16315" s="1013"/>
    </row>
    <row r="16316" spans="1:11" s="1011" customFormat="1" ht="15" x14ac:dyDescent="0.25">
      <c r="A16316" s="859">
        <f t="shared" si="380"/>
        <v>16315</v>
      </c>
      <c r="B16316" s="845" t="s">
        <v>2564</v>
      </c>
      <c r="C16316" s="1007">
        <f t="shared" si="381"/>
        <v>163</v>
      </c>
      <c r="D16316" s="1014"/>
      <c r="I16316" s="1011" t="str">
        <f>CONCATENATE("&lt;valeur&gt;",VLOOKUP(C16316,'T16 Amort'!A:K,7,0),"&lt;/valeur&gt;")</f>
        <v>&lt;valeur&gt;&lt;/valeur&gt;</v>
      </c>
      <c r="K16316" s="1013"/>
    </row>
    <row r="16317" spans="1:11" s="1011" customFormat="1" ht="15" x14ac:dyDescent="0.25">
      <c r="A16317" s="859">
        <f t="shared" si="380"/>
        <v>16316</v>
      </c>
      <c r="B16317" s="845" t="s">
        <v>2564</v>
      </c>
      <c r="C16317" s="1007">
        <f t="shared" si="381"/>
        <v>163</v>
      </c>
      <c r="D16317" s="1012"/>
      <c r="I16317" s="1011" t="str">
        <f>CONCATENATE("&lt;numeroLigne&gt;",C16317,"&lt;/numeroLigne&gt;")</f>
        <v>&lt;numeroLigne&gt;163&lt;/numeroLigne&gt;</v>
      </c>
      <c r="K16317" s="1013"/>
    </row>
    <row r="16318" spans="1:11" s="1011" customFormat="1" ht="15" x14ac:dyDescent="0.25">
      <c r="A16318" s="859">
        <f t="shared" si="380"/>
        <v>16317</v>
      </c>
      <c r="B16318" s="845" t="s">
        <v>2564</v>
      </c>
      <c r="C16318" s="1007">
        <f t="shared" si="381"/>
        <v>163</v>
      </c>
      <c r="D16318" s="1015"/>
      <c r="H16318" s="1011" t="s">
        <v>1010</v>
      </c>
      <c r="K16318" s="1013"/>
    </row>
    <row r="16319" spans="1:11" s="1011" customFormat="1" ht="15" x14ac:dyDescent="0.25">
      <c r="A16319" s="859">
        <f t="shared" si="380"/>
        <v>16318</v>
      </c>
      <c r="B16319" s="845" t="s">
        <v>2564</v>
      </c>
      <c r="C16319" s="1007">
        <f t="shared" si="381"/>
        <v>163</v>
      </c>
      <c r="D16319" s="1012"/>
      <c r="H16319" s="1011" t="s">
        <v>1007</v>
      </c>
      <c r="K16319" s="1013"/>
    </row>
    <row r="16320" spans="1:11" s="1011" customFormat="1" ht="15" x14ac:dyDescent="0.25">
      <c r="A16320" s="859">
        <f t="shared" si="380"/>
        <v>16319</v>
      </c>
      <c r="B16320" s="845" t="s">
        <v>2564</v>
      </c>
      <c r="C16320" s="1007">
        <f t="shared" si="381"/>
        <v>163</v>
      </c>
      <c r="D16320" s="1012"/>
      <c r="I16320" s="1011" t="s">
        <v>2180</v>
      </c>
      <c r="K16320" s="1013"/>
    </row>
    <row r="16321" spans="1:11" s="1011" customFormat="1" ht="15" x14ac:dyDescent="0.25">
      <c r="A16321" s="859">
        <f t="shared" si="380"/>
        <v>16320</v>
      </c>
      <c r="B16321" s="845" t="s">
        <v>2564</v>
      </c>
      <c r="C16321" s="1007">
        <f t="shared" si="381"/>
        <v>163</v>
      </c>
      <c r="D16321" s="1014"/>
      <c r="I16321" s="1011" t="str">
        <f>CONCATENATE("&lt;valeur&gt;",VLOOKUP(C16321,'T16 Amort'!A:K,8,0),"&lt;/valeur&gt;")</f>
        <v>&lt;valeur&gt;&lt;/valeur&gt;</v>
      </c>
      <c r="K16321" s="1013"/>
    </row>
    <row r="16322" spans="1:11" s="1011" customFormat="1" ht="15" x14ac:dyDescent="0.25">
      <c r="A16322" s="859">
        <f t="shared" si="380"/>
        <v>16321</v>
      </c>
      <c r="B16322" s="845" t="s">
        <v>2564</v>
      </c>
      <c r="C16322" s="1007">
        <f t="shared" si="381"/>
        <v>163</v>
      </c>
      <c r="D16322" s="1014"/>
      <c r="I16322" s="1011" t="str">
        <f>CONCATENATE("&lt;numeroLigne&gt;",C16322,"&lt;/numeroLigne&gt;")</f>
        <v>&lt;numeroLigne&gt;163&lt;/numeroLigne&gt;</v>
      </c>
      <c r="K16322" s="1013"/>
    </row>
    <row r="16323" spans="1:11" s="1011" customFormat="1" ht="15" x14ac:dyDescent="0.25">
      <c r="A16323" s="859">
        <f t="shared" si="380"/>
        <v>16322</v>
      </c>
      <c r="B16323" s="845" t="s">
        <v>2564</v>
      </c>
      <c r="C16323" s="1007">
        <f t="shared" si="381"/>
        <v>163</v>
      </c>
      <c r="D16323" s="1012"/>
      <c r="H16323" s="1011" t="s">
        <v>1010</v>
      </c>
      <c r="K16323" s="1013"/>
    </row>
    <row r="16324" spans="1:11" s="1011" customFormat="1" ht="15" x14ac:dyDescent="0.25">
      <c r="A16324" s="859">
        <f t="shared" ref="A16324:A16387" si="382">+A16323+1</f>
        <v>16323</v>
      </c>
      <c r="B16324" s="845" t="s">
        <v>2564</v>
      </c>
      <c r="C16324" s="1007">
        <f t="shared" si="381"/>
        <v>163</v>
      </c>
      <c r="D16324" s="1015"/>
      <c r="H16324" s="1011" t="s">
        <v>1007</v>
      </c>
      <c r="K16324" s="1013"/>
    </row>
    <row r="16325" spans="1:11" s="1011" customFormat="1" ht="15" x14ac:dyDescent="0.25">
      <c r="A16325" s="859">
        <f t="shared" si="382"/>
        <v>16324</v>
      </c>
      <c r="B16325" s="845" t="s">
        <v>2564</v>
      </c>
      <c r="C16325" s="1007">
        <f t="shared" si="381"/>
        <v>163</v>
      </c>
      <c r="D16325" s="1012"/>
      <c r="I16325" s="1011" t="s">
        <v>2181</v>
      </c>
      <c r="K16325" s="1013"/>
    </row>
    <row r="16326" spans="1:11" s="1011" customFormat="1" ht="15" x14ac:dyDescent="0.25">
      <c r="A16326" s="859">
        <f t="shared" si="382"/>
        <v>16325</v>
      </c>
      <c r="B16326" s="845" t="s">
        <v>2564</v>
      </c>
      <c r="C16326" s="1007">
        <f t="shared" si="381"/>
        <v>163</v>
      </c>
      <c r="D16326" s="1012"/>
      <c r="I16326" s="1011" t="str">
        <f>CONCATENATE("&lt;valeur&gt;",VLOOKUP(C16326,'T16 Amort'!A:K,9,0),"&lt;/valeur&gt;")</f>
        <v>&lt;valeur&gt;&lt;/valeur&gt;</v>
      </c>
      <c r="K16326" s="1013"/>
    </row>
    <row r="16327" spans="1:11" s="1011" customFormat="1" ht="15" x14ac:dyDescent="0.25">
      <c r="A16327" s="859">
        <f t="shared" si="382"/>
        <v>16326</v>
      </c>
      <c r="B16327" s="845" t="s">
        <v>2564</v>
      </c>
      <c r="C16327" s="1007">
        <f t="shared" si="381"/>
        <v>163</v>
      </c>
      <c r="D16327" s="1014"/>
      <c r="I16327" s="1011" t="str">
        <f>CONCATENATE("&lt;numeroLigne&gt;",C16327,"&lt;/numeroLigne&gt;")</f>
        <v>&lt;numeroLigne&gt;163&lt;/numeroLigne&gt;</v>
      </c>
      <c r="K16327" s="1013"/>
    </row>
    <row r="16328" spans="1:11" s="1011" customFormat="1" ht="15" x14ac:dyDescent="0.25">
      <c r="A16328" s="859">
        <f t="shared" si="382"/>
        <v>16327</v>
      </c>
      <c r="B16328" s="845" t="s">
        <v>2564</v>
      </c>
      <c r="C16328" s="1007">
        <f t="shared" si="381"/>
        <v>163</v>
      </c>
      <c r="D16328" s="1014"/>
      <c r="H16328" s="1011" t="s">
        <v>1010</v>
      </c>
      <c r="K16328" s="1013"/>
    </row>
    <row r="16329" spans="1:11" s="1011" customFormat="1" ht="15" x14ac:dyDescent="0.25">
      <c r="A16329" s="859">
        <f t="shared" si="382"/>
        <v>16328</v>
      </c>
      <c r="B16329" s="845" t="s">
        <v>2564</v>
      </c>
      <c r="C16329" s="1007">
        <f t="shared" si="381"/>
        <v>163</v>
      </c>
      <c r="D16329" s="1012"/>
      <c r="H16329" s="1011" t="s">
        <v>1007</v>
      </c>
      <c r="K16329" s="1013"/>
    </row>
    <row r="16330" spans="1:11" s="1011" customFormat="1" ht="15" x14ac:dyDescent="0.25">
      <c r="A16330" s="859">
        <f t="shared" si="382"/>
        <v>16329</v>
      </c>
      <c r="B16330" s="845" t="s">
        <v>2564</v>
      </c>
      <c r="C16330" s="1007">
        <f t="shared" si="381"/>
        <v>163</v>
      </c>
      <c r="D16330" s="1015"/>
      <c r="I16330" s="1011" t="s">
        <v>2182</v>
      </c>
      <c r="K16330" s="1013"/>
    </row>
    <row r="16331" spans="1:11" s="1011" customFormat="1" ht="15" x14ac:dyDescent="0.25">
      <c r="A16331" s="859">
        <f t="shared" si="382"/>
        <v>16330</v>
      </c>
      <c r="B16331" s="845" t="s">
        <v>2564</v>
      </c>
      <c r="C16331" s="1007">
        <f t="shared" si="381"/>
        <v>163</v>
      </c>
      <c r="D16331" s="1012"/>
      <c r="I16331" s="1011" t="str">
        <f>CONCATENATE("&lt;valeur&gt;",VLOOKUP(C16331,'T16 Amort'!A:K,10,0),"&lt;/valeur&gt;")</f>
        <v>&lt;valeur&gt;&lt;/valeur&gt;</v>
      </c>
      <c r="K16331" s="1013"/>
    </row>
    <row r="16332" spans="1:11" s="1011" customFormat="1" ht="15" x14ac:dyDescent="0.25">
      <c r="A16332" s="859">
        <f t="shared" si="382"/>
        <v>16331</v>
      </c>
      <c r="B16332" s="845" t="s">
        <v>2564</v>
      </c>
      <c r="C16332" s="1007">
        <f t="shared" si="381"/>
        <v>163</v>
      </c>
      <c r="D16332" s="1012"/>
      <c r="I16332" s="1011" t="str">
        <f>CONCATENATE("&lt;numeroLigne&gt;",C16332,"&lt;/numeroLigne&gt;")</f>
        <v>&lt;numeroLigne&gt;163&lt;/numeroLigne&gt;</v>
      </c>
      <c r="K16332" s="1013"/>
    </row>
    <row r="16333" spans="1:11" s="1011" customFormat="1" ht="15" x14ac:dyDescent="0.25">
      <c r="A16333" s="859">
        <f t="shared" si="382"/>
        <v>16332</v>
      </c>
      <c r="B16333" s="845" t="s">
        <v>2564</v>
      </c>
      <c r="C16333" s="1007">
        <f t="shared" si="381"/>
        <v>163</v>
      </c>
      <c r="D16333" s="1014"/>
      <c r="H16333" s="1011" t="s">
        <v>1010</v>
      </c>
      <c r="K16333" s="1013"/>
    </row>
    <row r="16334" spans="1:11" s="1011" customFormat="1" ht="15" x14ac:dyDescent="0.25">
      <c r="A16334" s="859">
        <f t="shared" si="382"/>
        <v>16333</v>
      </c>
      <c r="B16334" s="845" t="s">
        <v>2564</v>
      </c>
      <c r="C16334" s="1007">
        <f t="shared" si="381"/>
        <v>163</v>
      </c>
      <c r="D16334" s="1014"/>
      <c r="H16334" s="1011" t="s">
        <v>1007</v>
      </c>
      <c r="K16334" s="1013"/>
    </row>
    <row r="16335" spans="1:11" s="1011" customFormat="1" ht="15" x14ac:dyDescent="0.25">
      <c r="A16335" s="859">
        <f t="shared" si="382"/>
        <v>16334</v>
      </c>
      <c r="B16335" s="845" t="s">
        <v>2564</v>
      </c>
      <c r="C16335" s="1007">
        <f t="shared" si="381"/>
        <v>163</v>
      </c>
      <c r="D16335" s="1012"/>
      <c r="I16335" s="1011" t="s">
        <v>2183</v>
      </c>
      <c r="K16335" s="1013"/>
    </row>
    <row r="16336" spans="1:11" s="1011" customFormat="1" ht="15" x14ac:dyDescent="0.25">
      <c r="A16336" s="859">
        <f t="shared" si="382"/>
        <v>16335</v>
      </c>
      <c r="B16336" s="845" t="s">
        <v>2564</v>
      </c>
      <c r="C16336" s="1007">
        <f t="shared" si="381"/>
        <v>163</v>
      </c>
      <c r="D16336" s="1015"/>
      <c r="I16336" s="1011" t="str">
        <f>CONCATENATE("&lt;valeur&gt;",VLOOKUP(C16336,'T16 Amort'!A:K,11,0),"&lt;/valeur&gt;")</f>
        <v>&lt;valeur&gt;&lt;/valeur&gt;</v>
      </c>
      <c r="K16336" s="1013"/>
    </row>
    <row r="16337" spans="1:11" s="1011" customFormat="1" ht="15" x14ac:dyDescent="0.25">
      <c r="A16337" s="859">
        <f t="shared" si="382"/>
        <v>16336</v>
      </c>
      <c r="B16337" s="845" t="s">
        <v>2564</v>
      </c>
      <c r="C16337" s="1007">
        <f t="shared" si="381"/>
        <v>163</v>
      </c>
      <c r="D16337" s="1012"/>
      <c r="I16337" s="1011" t="str">
        <f>CONCATENATE("&lt;numeroLigne&gt;",C16337,"&lt;/numeroLigne&gt;")</f>
        <v>&lt;numeroLigne&gt;163&lt;/numeroLigne&gt;</v>
      </c>
      <c r="K16337" s="1013"/>
    </row>
    <row r="16338" spans="1:11" s="1011" customFormat="1" ht="15" x14ac:dyDescent="0.25">
      <c r="A16338" s="859">
        <f t="shared" si="382"/>
        <v>16337</v>
      </c>
      <c r="B16338" s="845" t="s">
        <v>2564</v>
      </c>
      <c r="C16338" s="1007">
        <f t="shared" si="381"/>
        <v>163</v>
      </c>
      <c r="D16338" s="1016"/>
      <c r="E16338" s="1017"/>
      <c r="F16338" s="1017"/>
      <c r="G16338" s="1017"/>
      <c r="H16338" s="1017" t="s">
        <v>1010</v>
      </c>
      <c r="I16338" s="1017"/>
      <c r="J16338" s="1017"/>
      <c r="K16338" s="1018"/>
    </row>
    <row r="16339" spans="1:11" s="1011" customFormat="1" ht="15" x14ac:dyDescent="0.25">
      <c r="A16339" s="859">
        <f t="shared" si="382"/>
        <v>16338</v>
      </c>
      <c r="B16339" s="845" t="s">
        <v>2564</v>
      </c>
      <c r="C16339" s="1007">
        <f t="shared" si="381"/>
        <v>164</v>
      </c>
      <c r="D16339" s="1008"/>
      <c r="E16339" s="1009"/>
      <c r="F16339" s="1009"/>
      <c r="G16339" s="1009"/>
      <c r="H16339" s="1009" t="s">
        <v>1007</v>
      </c>
      <c r="I16339" s="1009"/>
      <c r="J16339" s="1009"/>
      <c r="K16339" s="1010"/>
    </row>
    <row r="16340" spans="1:11" s="1011" customFormat="1" ht="15" x14ac:dyDescent="0.25">
      <c r="A16340" s="859">
        <f t="shared" si="382"/>
        <v>16339</v>
      </c>
      <c r="B16340" s="845" t="s">
        <v>2564</v>
      </c>
      <c r="C16340" s="1007">
        <f t="shared" si="381"/>
        <v>164</v>
      </c>
      <c r="D16340" s="1012"/>
      <c r="I16340" s="1011" t="s">
        <v>2174</v>
      </c>
      <c r="K16340" s="1013"/>
    </row>
    <row r="16341" spans="1:11" s="1011" customFormat="1" ht="15" x14ac:dyDescent="0.25">
      <c r="A16341" s="859">
        <f t="shared" si="382"/>
        <v>16340</v>
      </c>
      <c r="B16341" s="845" t="s">
        <v>2564</v>
      </c>
      <c r="C16341" s="1007">
        <f t="shared" si="381"/>
        <v>164</v>
      </c>
      <c r="D16341" s="1014"/>
      <c r="I16341" s="1011" t="str">
        <f>CONCATENATE("&lt;valeur&gt;",VLOOKUP(C16341,'T16 Amort'!A:K,2,0),"&lt;/valeur&gt;")</f>
        <v>&lt;valeur&gt;&lt;/valeur&gt;</v>
      </c>
      <c r="K16341" s="1013"/>
    </row>
    <row r="16342" spans="1:11" s="1011" customFormat="1" ht="15" x14ac:dyDescent="0.25">
      <c r="A16342" s="859">
        <f t="shared" si="382"/>
        <v>16341</v>
      </c>
      <c r="B16342" s="845" t="s">
        <v>2564</v>
      </c>
      <c r="C16342" s="1007">
        <f t="shared" si="381"/>
        <v>164</v>
      </c>
      <c r="D16342" s="1014"/>
      <c r="I16342" s="1011" t="str">
        <f>CONCATENATE("&lt;numeroLigne&gt;",C16342,"&lt;/numeroLigne&gt;")</f>
        <v>&lt;numeroLigne&gt;164&lt;/numeroLigne&gt;</v>
      </c>
      <c r="K16342" s="1013"/>
    </row>
    <row r="16343" spans="1:11" s="1011" customFormat="1" ht="15" x14ac:dyDescent="0.25">
      <c r="A16343" s="859">
        <f t="shared" si="382"/>
        <v>16342</v>
      </c>
      <c r="B16343" s="845" t="s">
        <v>2564</v>
      </c>
      <c r="C16343" s="1007">
        <f t="shared" si="381"/>
        <v>164</v>
      </c>
      <c r="D16343" s="1012"/>
      <c r="H16343" s="1011" t="s">
        <v>1010</v>
      </c>
      <c r="K16343" s="1013"/>
    </row>
    <row r="16344" spans="1:11" s="1011" customFormat="1" ht="15" x14ac:dyDescent="0.25">
      <c r="A16344" s="859">
        <f t="shared" si="382"/>
        <v>16343</v>
      </c>
      <c r="B16344" s="845" t="s">
        <v>2564</v>
      </c>
      <c r="C16344" s="1007">
        <f t="shared" si="381"/>
        <v>164</v>
      </c>
      <c r="D16344" s="1015"/>
      <c r="H16344" s="1011" t="s">
        <v>1007</v>
      </c>
      <c r="K16344" s="1013"/>
    </row>
    <row r="16345" spans="1:11" s="1011" customFormat="1" ht="15" x14ac:dyDescent="0.25">
      <c r="A16345" s="859">
        <f t="shared" si="382"/>
        <v>16344</v>
      </c>
      <c r="B16345" s="845" t="s">
        <v>2564</v>
      </c>
      <c r="C16345" s="1007">
        <f t="shared" si="381"/>
        <v>164</v>
      </c>
      <c r="D16345" s="1012"/>
      <c r="I16345" s="1011" t="s">
        <v>2175</v>
      </c>
      <c r="K16345" s="1013"/>
    </row>
    <row r="16346" spans="1:11" s="1011" customFormat="1" ht="15" x14ac:dyDescent="0.25">
      <c r="A16346" s="859">
        <f t="shared" si="382"/>
        <v>16345</v>
      </c>
      <c r="B16346" s="845" t="s">
        <v>2564</v>
      </c>
      <c r="C16346" s="1007">
        <f t="shared" si="381"/>
        <v>164</v>
      </c>
      <c r="D16346" s="1012"/>
      <c r="I16346" s="1011" t="str">
        <f>CONCATENATE("&lt;valeur&gt;",VLOOKUP(C16346,'T16 Amort'!A:K,3,0),"&lt;/valeur&gt;")</f>
        <v>&lt;valeur&gt;&lt;/valeur&gt;</v>
      </c>
      <c r="K16346" s="1013"/>
    </row>
    <row r="16347" spans="1:11" s="1011" customFormat="1" ht="15" x14ac:dyDescent="0.25">
      <c r="A16347" s="859">
        <f t="shared" si="382"/>
        <v>16346</v>
      </c>
      <c r="B16347" s="845" t="s">
        <v>2564</v>
      </c>
      <c r="C16347" s="1007">
        <f t="shared" si="381"/>
        <v>164</v>
      </c>
      <c r="D16347" s="1014"/>
      <c r="I16347" s="1011" t="str">
        <f>CONCATENATE("&lt;numeroLigne&gt;",C16347,"&lt;/numeroLigne&gt;")</f>
        <v>&lt;numeroLigne&gt;164&lt;/numeroLigne&gt;</v>
      </c>
      <c r="K16347" s="1013"/>
    </row>
    <row r="16348" spans="1:11" s="1011" customFormat="1" ht="15" x14ac:dyDescent="0.25">
      <c r="A16348" s="859">
        <f t="shared" si="382"/>
        <v>16347</v>
      </c>
      <c r="B16348" s="845" t="s">
        <v>2564</v>
      </c>
      <c r="C16348" s="1007">
        <f t="shared" si="381"/>
        <v>164</v>
      </c>
      <c r="D16348" s="1014"/>
      <c r="H16348" s="1011" t="s">
        <v>1010</v>
      </c>
      <c r="K16348" s="1013"/>
    </row>
    <row r="16349" spans="1:11" s="1011" customFormat="1" ht="15" x14ac:dyDescent="0.25">
      <c r="A16349" s="859">
        <f t="shared" si="382"/>
        <v>16348</v>
      </c>
      <c r="B16349" s="845" t="s">
        <v>2564</v>
      </c>
      <c r="C16349" s="1007">
        <f t="shared" si="381"/>
        <v>164</v>
      </c>
      <c r="D16349" s="1012"/>
      <c r="H16349" s="1011" t="s">
        <v>1007</v>
      </c>
      <c r="K16349" s="1013"/>
    </row>
    <row r="16350" spans="1:11" s="1011" customFormat="1" ht="15" x14ac:dyDescent="0.25">
      <c r="A16350" s="859">
        <f t="shared" si="382"/>
        <v>16349</v>
      </c>
      <c r="B16350" s="845" t="s">
        <v>2564</v>
      </c>
      <c r="C16350" s="1007">
        <f t="shared" si="381"/>
        <v>164</v>
      </c>
      <c r="D16350" s="1015"/>
      <c r="I16350" s="1011" t="s">
        <v>2176</v>
      </c>
      <c r="K16350" s="1013"/>
    </row>
    <row r="16351" spans="1:11" s="1011" customFormat="1" ht="15" x14ac:dyDescent="0.25">
      <c r="A16351" s="859">
        <f t="shared" si="382"/>
        <v>16350</v>
      </c>
      <c r="B16351" s="845" t="s">
        <v>2564</v>
      </c>
      <c r="C16351" s="1007">
        <f t="shared" si="381"/>
        <v>164</v>
      </c>
      <c r="D16351" s="1012"/>
      <c r="I16351" s="1011" t="str">
        <f>CONCATENATE("&lt;valeur&gt;",VLOOKUP(C16351,'T16 Amort'!A:K,4,0),"&lt;/valeur&gt;")</f>
        <v>&lt;valeur&gt;&lt;/valeur&gt;</v>
      </c>
      <c r="K16351" s="1013"/>
    </row>
    <row r="16352" spans="1:11" s="1011" customFormat="1" ht="15" x14ac:dyDescent="0.25">
      <c r="A16352" s="859">
        <f t="shared" si="382"/>
        <v>16351</v>
      </c>
      <c r="B16352" s="845" t="s">
        <v>2564</v>
      </c>
      <c r="C16352" s="1007">
        <f t="shared" si="381"/>
        <v>164</v>
      </c>
      <c r="D16352" s="1012"/>
      <c r="I16352" s="1011" t="str">
        <f>CONCATENATE("&lt;numeroLigne&gt;",C16352,"&lt;/numeroLigne&gt;")</f>
        <v>&lt;numeroLigne&gt;164&lt;/numeroLigne&gt;</v>
      </c>
      <c r="K16352" s="1013"/>
    </row>
    <row r="16353" spans="1:11" s="1011" customFormat="1" ht="15" x14ac:dyDescent="0.25">
      <c r="A16353" s="859">
        <f t="shared" si="382"/>
        <v>16352</v>
      </c>
      <c r="B16353" s="845" t="s">
        <v>2564</v>
      </c>
      <c r="C16353" s="1007">
        <f t="shared" si="381"/>
        <v>164</v>
      </c>
      <c r="D16353" s="1014"/>
      <c r="H16353" s="1011" t="s">
        <v>1010</v>
      </c>
      <c r="K16353" s="1013"/>
    </row>
    <row r="16354" spans="1:11" s="1011" customFormat="1" ht="15" x14ac:dyDescent="0.25">
      <c r="A16354" s="859">
        <f t="shared" si="382"/>
        <v>16353</v>
      </c>
      <c r="B16354" s="845" t="s">
        <v>2564</v>
      </c>
      <c r="C16354" s="1007">
        <f t="shared" si="381"/>
        <v>164</v>
      </c>
      <c r="D16354" s="1014"/>
      <c r="H16354" s="1011" t="s">
        <v>1007</v>
      </c>
      <c r="K16354" s="1013"/>
    </row>
    <row r="16355" spans="1:11" s="1011" customFormat="1" ht="15" x14ac:dyDescent="0.25">
      <c r="A16355" s="859">
        <f t="shared" si="382"/>
        <v>16354</v>
      </c>
      <c r="B16355" s="845" t="s">
        <v>2564</v>
      </c>
      <c r="C16355" s="1007">
        <f t="shared" si="381"/>
        <v>164</v>
      </c>
      <c r="D16355" s="1012"/>
      <c r="I16355" s="1011" t="s">
        <v>2177</v>
      </c>
      <c r="K16355" s="1013"/>
    </row>
    <row r="16356" spans="1:11" s="1011" customFormat="1" ht="15" x14ac:dyDescent="0.25">
      <c r="A16356" s="859">
        <f t="shared" si="382"/>
        <v>16355</v>
      </c>
      <c r="B16356" s="845" t="s">
        <v>2564</v>
      </c>
      <c r="C16356" s="1007">
        <f t="shared" si="381"/>
        <v>164</v>
      </c>
      <c r="D16356" s="1015"/>
      <c r="I16356" s="1011" t="str">
        <f>CONCATENATE("&lt;valeur&gt;",VLOOKUP(C16356,'T16 Amort'!A:K,5,0),"&lt;/valeur&gt;")</f>
        <v>&lt;valeur&gt;&lt;/valeur&gt;</v>
      </c>
      <c r="K16356" s="1013"/>
    </row>
    <row r="16357" spans="1:11" s="1011" customFormat="1" ht="15" x14ac:dyDescent="0.25">
      <c r="A16357" s="859">
        <f t="shared" si="382"/>
        <v>16356</v>
      </c>
      <c r="B16357" s="845" t="s">
        <v>2564</v>
      </c>
      <c r="C16357" s="1007">
        <f t="shared" si="381"/>
        <v>164</v>
      </c>
      <c r="D16357" s="1012"/>
      <c r="I16357" s="1011" t="str">
        <f>CONCATENATE("&lt;numeroLigne&gt;",C16357,"&lt;/numeroLigne&gt;")</f>
        <v>&lt;numeroLigne&gt;164&lt;/numeroLigne&gt;</v>
      </c>
      <c r="K16357" s="1013"/>
    </row>
    <row r="16358" spans="1:11" s="1011" customFormat="1" ht="15" x14ac:dyDescent="0.25">
      <c r="A16358" s="859">
        <f t="shared" si="382"/>
        <v>16357</v>
      </c>
      <c r="B16358" s="845" t="s">
        <v>2564</v>
      </c>
      <c r="C16358" s="1007">
        <f t="shared" si="381"/>
        <v>164</v>
      </c>
      <c r="D16358" s="1012"/>
      <c r="H16358" s="1011" t="s">
        <v>1010</v>
      </c>
      <c r="K16358" s="1013"/>
    </row>
    <row r="16359" spans="1:11" s="1011" customFormat="1" ht="15" x14ac:dyDescent="0.25">
      <c r="A16359" s="859">
        <f t="shared" si="382"/>
        <v>16358</v>
      </c>
      <c r="B16359" s="845" t="s">
        <v>2564</v>
      </c>
      <c r="C16359" s="1007">
        <f t="shared" si="381"/>
        <v>164</v>
      </c>
      <c r="D16359" s="1014"/>
      <c r="H16359" s="1011" t="s">
        <v>1007</v>
      </c>
      <c r="K16359" s="1013"/>
    </row>
    <row r="16360" spans="1:11" s="1011" customFormat="1" ht="15" x14ac:dyDescent="0.25">
      <c r="A16360" s="859">
        <f t="shared" si="382"/>
        <v>16359</v>
      </c>
      <c r="B16360" s="845" t="s">
        <v>2564</v>
      </c>
      <c r="C16360" s="1007">
        <f t="shared" si="381"/>
        <v>164</v>
      </c>
      <c r="D16360" s="1014"/>
      <c r="I16360" s="1011" t="s">
        <v>2178</v>
      </c>
      <c r="K16360" s="1013"/>
    </row>
    <row r="16361" spans="1:11" s="1011" customFormat="1" ht="15" x14ac:dyDescent="0.25">
      <c r="A16361" s="859">
        <f t="shared" si="382"/>
        <v>16360</v>
      </c>
      <c r="B16361" s="845" t="s">
        <v>2564</v>
      </c>
      <c r="C16361" s="1007">
        <f t="shared" si="381"/>
        <v>164</v>
      </c>
      <c r="D16361" s="1012"/>
      <c r="I16361" s="1011" t="str">
        <f>CONCATENATE("&lt;valeur&gt;",VLOOKUP(C16361,'T16 Amort'!A:K,6,0),"&lt;/valeur&gt;")</f>
        <v>&lt;valeur&gt;&lt;/valeur&gt;</v>
      </c>
      <c r="K16361" s="1013"/>
    </row>
    <row r="16362" spans="1:11" s="1011" customFormat="1" ht="15" x14ac:dyDescent="0.25">
      <c r="A16362" s="859">
        <f t="shared" si="382"/>
        <v>16361</v>
      </c>
      <c r="B16362" s="845" t="s">
        <v>2564</v>
      </c>
      <c r="C16362" s="1007">
        <f t="shared" si="381"/>
        <v>164</v>
      </c>
      <c r="D16362" s="1015"/>
      <c r="I16362" s="1011" t="str">
        <f>CONCATENATE("&lt;numeroLigne&gt;",C16362,"&lt;/numeroLigne&gt;")</f>
        <v>&lt;numeroLigne&gt;164&lt;/numeroLigne&gt;</v>
      </c>
      <c r="K16362" s="1013"/>
    </row>
    <row r="16363" spans="1:11" s="1011" customFormat="1" ht="15" x14ac:dyDescent="0.25">
      <c r="A16363" s="859">
        <f t="shared" si="382"/>
        <v>16362</v>
      </c>
      <c r="B16363" s="845" t="s">
        <v>2564</v>
      </c>
      <c r="C16363" s="1007">
        <f t="shared" si="381"/>
        <v>164</v>
      </c>
      <c r="D16363" s="1012"/>
      <c r="H16363" s="1011" t="s">
        <v>1010</v>
      </c>
      <c r="K16363" s="1013"/>
    </row>
    <row r="16364" spans="1:11" s="1011" customFormat="1" ht="15" x14ac:dyDescent="0.25">
      <c r="A16364" s="859">
        <f t="shared" si="382"/>
        <v>16363</v>
      </c>
      <c r="B16364" s="845" t="s">
        <v>2564</v>
      </c>
      <c r="C16364" s="1007">
        <f t="shared" si="381"/>
        <v>164</v>
      </c>
      <c r="D16364" s="1012"/>
      <c r="H16364" s="1011" t="s">
        <v>1007</v>
      </c>
      <c r="K16364" s="1013"/>
    </row>
    <row r="16365" spans="1:11" s="1011" customFormat="1" ht="15" x14ac:dyDescent="0.25">
      <c r="A16365" s="859">
        <f t="shared" si="382"/>
        <v>16364</v>
      </c>
      <c r="B16365" s="845" t="s">
        <v>2564</v>
      </c>
      <c r="C16365" s="1007">
        <f t="shared" si="381"/>
        <v>164</v>
      </c>
      <c r="D16365" s="1014"/>
      <c r="I16365" s="1011" t="s">
        <v>2179</v>
      </c>
      <c r="K16365" s="1013"/>
    </row>
    <row r="16366" spans="1:11" s="1011" customFormat="1" ht="15" x14ac:dyDescent="0.25">
      <c r="A16366" s="859">
        <f t="shared" si="382"/>
        <v>16365</v>
      </c>
      <c r="B16366" s="845" t="s">
        <v>2564</v>
      </c>
      <c r="C16366" s="1007">
        <f t="shared" si="381"/>
        <v>164</v>
      </c>
      <c r="D16366" s="1014"/>
      <c r="I16366" s="1011" t="str">
        <f>CONCATENATE("&lt;valeur&gt;",VLOOKUP(C16366,'T16 Amort'!A:K,7,0),"&lt;/valeur&gt;")</f>
        <v>&lt;valeur&gt;&lt;/valeur&gt;</v>
      </c>
      <c r="K16366" s="1013"/>
    </row>
    <row r="16367" spans="1:11" s="1011" customFormat="1" ht="15" x14ac:dyDescent="0.25">
      <c r="A16367" s="859">
        <f t="shared" si="382"/>
        <v>16366</v>
      </c>
      <c r="B16367" s="845" t="s">
        <v>2564</v>
      </c>
      <c r="C16367" s="1007">
        <f t="shared" ref="C16367:C16430" si="383">C16317+1</f>
        <v>164</v>
      </c>
      <c r="D16367" s="1012"/>
      <c r="I16367" s="1011" t="str">
        <f>CONCATENATE("&lt;numeroLigne&gt;",C16367,"&lt;/numeroLigne&gt;")</f>
        <v>&lt;numeroLigne&gt;164&lt;/numeroLigne&gt;</v>
      </c>
      <c r="K16367" s="1013"/>
    </row>
    <row r="16368" spans="1:11" s="1011" customFormat="1" ht="15" x14ac:dyDescent="0.25">
      <c r="A16368" s="859">
        <f t="shared" si="382"/>
        <v>16367</v>
      </c>
      <c r="B16368" s="845" t="s">
        <v>2564</v>
      </c>
      <c r="C16368" s="1007">
        <f t="shared" si="383"/>
        <v>164</v>
      </c>
      <c r="D16368" s="1015"/>
      <c r="H16368" s="1011" t="s">
        <v>1010</v>
      </c>
      <c r="K16368" s="1013"/>
    </row>
    <row r="16369" spans="1:11" s="1011" customFormat="1" ht="15" x14ac:dyDescent="0.25">
      <c r="A16369" s="859">
        <f t="shared" si="382"/>
        <v>16368</v>
      </c>
      <c r="B16369" s="845" t="s">
        <v>2564</v>
      </c>
      <c r="C16369" s="1007">
        <f t="shared" si="383"/>
        <v>164</v>
      </c>
      <c r="D16369" s="1012"/>
      <c r="H16369" s="1011" t="s">
        <v>1007</v>
      </c>
      <c r="K16369" s="1013"/>
    </row>
    <row r="16370" spans="1:11" s="1011" customFormat="1" ht="15" x14ac:dyDescent="0.25">
      <c r="A16370" s="859">
        <f t="shared" si="382"/>
        <v>16369</v>
      </c>
      <c r="B16370" s="845" t="s">
        <v>2564</v>
      </c>
      <c r="C16370" s="1007">
        <f t="shared" si="383"/>
        <v>164</v>
      </c>
      <c r="D16370" s="1012"/>
      <c r="I16370" s="1011" t="s">
        <v>2180</v>
      </c>
      <c r="K16370" s="1013"/>
    </row>
    <row r="16371" spans="1:11" s="1011" customFormat="1" ht="15" x14ac:dyDescent="0.25">
      <c r="A16371" s="859">
        <f t="shared" si="382"/>
        <v>16370</v>
      </c>
      <c r="B16371" s="845" t="s">
        <v>2564</v>
      </c>
      <c r="C16371" s="1007">
        <f t="shared" si="383"/>
        <v>164</v>
      </c>
      <c r="D16371" s="1014"/>
      <c r="I16371" s="1011" t="str">
        <f>CONCATENATE("&lt;valeur&gt;",VLOOKUP(C16371,'T16 Amort'!A:K,8,0),"&lt;/valeur&gt;")</f>
        <v>&lt;valeur&gt;&lt;/valeur&gt;</v>
      </c>
      <c r="K16371" s="1013"/>
    </row>
    <row r="16372" spans="1:11" s="1011" customFormat="1" ht="15" x14ac:dyDescent="0.25">
      <c r="A16372" s="859">
        <f t="shared" si="382"/>
        <v>16371</v>
      </c>
      <c r="B16372" s="845" t="s">
        <v>2564</v>
      </c>
      <c r="C16372" s="1007">
        <f t="shared" si="383"/>
        <v>164</v>
      </c>
      <c r="D16372" s="1014"/>
      <c r="I16372" s="1011" t="str">
        <f>CONCATENATE("&lt;numeroLigne&gt;",C16372,"&lt;/numeroLigne&gt;")</f>
        <v>&lt;numeroLigne&gt;164&lt;/numeroLigne&gt;</v>
      </c>
      <c r="K16372" s="1013"/>
    </row>
    <row r="16373" spans="1:11" s="1011" customFormat="1" ht="15" x14ac:dyDescent="0.25">
      <c r="A16373" s="859">
        <f t="shared" si="382"/>
        <v>16372</v>
      </c>
      <c r="B16373" s="845" t="s">
        <v>2564</v>
      </c>
      <c r="C16373" s="1007">
        <f t="shared" si="383"/>
        <v>164</v>
      </c>
      <c r="D16373" s="1012"/>
      <c r="H16373" s="1011" t="s">
        <v>1010</v>
      </c>
      <c r="K16373" s="1013"/>
    </row>
    <row r="16374" spans="1:11" s="1011" customFormat="1" ht="15" x14ac:dyDescent="0.25">
      <c r="A16374" s="859">
        <f t="shared" si="382"/>
        <v>16373</v>
      </c>
      <c r="B16374" s="845" t="s">
        <v>2564</v>
      </c>
      <c r="C16374" s="1007">
        <f t="shared" si="383"/>
        <v>164</v>
      </c>
      <c r="D16374" s="1015"/>
      <c r="H16374" s="1011" t="s">
        <v>1007</v>
      </c>
      <c r="K16374" s="1013"/>
    </row>
    <row r="16375" spans="1:11" s="1011" customFormat="1" ht="15" x14ac:dyDescent="0.25">
      <c r="A16375" s="859">
        <f t="shared" si="382"/>
        <v>16374</v>
      </c>
      <c r="B16375" s="845" t="s">
        <v>2564</v>
      </c>
      <c r="C16375" s="1007">
        <f t="shared" si="383"/>
        <v>164</v>
      </c>
      <c r="D16375" s="1012"/>
      <c r="I16375" s="1011" t="s">
        <v>2181</v>
      </c>
      <c r="K16375" s="1013"/>
    </row>
    <row r="16376" spans="1:11" s="1011" customFormat="1" ht="15" x14ac:dyDescent="0.25">
      <c r="A16376" s="859">
        <f t="shared" si="382"/>
        <v>16375</v>
      </c>
      <c r="B16376" s="845" t="s">
        <v>2564</v>
      </c>
      <c r="C16376" s="1007">
        <f t="shared" si="383"/>
        <v>164</v>
      </c>
      <c r="D16376" s="1012"/>
      <c r="I16376" s="1011" t="str">
        <f>CONCATENATE("&lt;valeur&gt;",VLOOKUP(C16376,'T16 Amort'!A:K,9,0),"&lt;/valeur&gt;")</f>
        <v>&lt;valeur&gt;&lt;/valeur&gt;</v>
      </c>
      <c r="K16376" s="1013"/>
    </row>
    <row r="16377" spans="1:11" s="1011" customFormat="1" ht="15" x14ac:dyDescent="0.25">
      <c r="A16377" s="859">
        <f t="shared" si="382"/>
        <v>16376</v>
      </c>
      <c r="B16377" s="845" t="s">
        <v>2564</v>
      </c>
      <c r="C16377" s="1007">
        <f t="shared" si="383"/>
        <v>164</v>
      </c>
      <c r="D16377" s="1014"/>
      <c r="I16377" s="1011" t="str">
        <f>CONCATENATE("&lt;numeroLigne&gt;",C16377,"&lt;/numeroLigne&gt;")</f>
        <v>&lt;numeroLigne&gt;164&lt;/numeroLigne&gt;</v>
      </c>
      <c r="K16377" s="1013"/>
    </row>
    <row r="16378" spans="1:11" s="1011" customFormat="1" ht="15" x14ac:dyDescent="0.25">
      <c r="A16378" s="859">
        <f t="shared" si="382"/>
        <v>16377</v>
      </c>
      <c r="B16378" s="845" t="s">
        <v>2564</v>
      </c>
      <c r="C16378" s="1007">
        <f t="shared" si="383"/>
        <v>164</v>
      </c>
      <c r="D16378" s="1014"/>
      <c r="H16378" s="1011" t="s">
        <v>1010</v>
      </c>
      <c r="K16378" s="1013"/>
    </row>
    <row r="16379" spans="1:11" s="1011" customFormat="1" ht="15" x14ac:dyDescent="0.25">
      <c r="A16379" s="859">
        <f t="shared" si="382"/>
        <v>16378</v>
      </c>
      <c r="B16379" s="845" t="s">
        <v>2564</v>
      </c>
      <c r="C16379" s="1007">
        <f t="shared" si="383"/>
        <v>164</v>
      </c>
      <c r="D16379" s="1012"/>
      <c r="H16379" s="1011" t="s">
        <v>1007</v>
      </c>
      <c r="K16379" s="1013"/>
    </row>
    <row r="16380" spans="1:11" s="1011" customFormat="1" ht="15" x14ac:dyDescent="0.25">
      <c r="A16380" s="859">
        <f t="shared" si="382"/>
        <v>16379</v>
      </c>
      <c r="B16380" s="845" t="s">
        <v>2564</v>
      </c>
      <c r="C16380" s="1007">
        <f t="shared" si="383"/>
        <v>164</v>
      </c>
      <c r="D16380" s="1015"/>
      <c r="I16380" s="1011" t="s">
        <v>2182</v>
      </c>
      <c r="K16380" s="1013"/>
    </row>
    <row r="16381" spans="1:11" s="1011" customFormat="1" ht="15" x14ac:dyDescent="0.25">
      <c r="A16381" s="859">
        <f t="shared" si="382"/>
        <v>16380</v>
      </c>
      <c r="B16381" s="845" t="s">
        <v>2564</v>
      </c>
      <c r="C16381" s="1007">
        <f t="shared" si="383"/>
        <v>164</v>
      </c>
      <c r="D16381" s="1012"/>
      <c r="I16381" s="1011" t="str">
        <f>CONCATENATE("&lt;valeur&gt;",VLOOKUP(C16381,'T16 Amort'!A:K,10,0),"&lt;/valeur&gt;")</f>
        <v>&lt;valeur&gt;&lt;/valeur&gt;</v>
      </c>
      <c r="K16381" s="1013"/>
    </row>
    <row r="16382" spans="1:11" s="1011" customFormat="1" ht="15" x14ac:dyDescent="0.25">
      <c r="A16382" s="859">
        <f t="shared" si="382"/>
        <v>16381</v>
      </c>
      <c r="B16382" s="845" t="s">
        <v>2564</v>
      </c>
      <c r="C16382" s="1007">
        <f t="shared" si="383"/>
        <v>164</v>
      </c>
      <c r="D16382" s="1012"/>
      <c r="I16382" s="1011" t="str">
        <f>CONCATENATE("&lt;numeroLigne&gt;",C16382,"&lt;/numeroLigne&gt;")</f>
        <v>&lt;numeroLigne&gt;164&lt;/numeroLigne&gt;</v>
      </c>
      <c r="K16382" s="1013"/>
    </row>
    <row r="16383" spans="1:11" s="1011" customFormat="1" ht="15" x14ac:dyDescent="0.25">
      <c r="A16383" s="859">
        <f t="shared" si="382"/>
        <v>16382</v>
      </c>
      <c r="B16383" s="845" t="s">
        <v>2564</v>
      </c>
      <c r="C16383" s="1007">
        <f t="shared" si="383"/>
        <v>164</v>
      </c>
      <c r="D16383" s="1014"/>
      <c r="H16383" s="1011" t="s">
        <v>1010</v>
      </c>
      <c r="K16383" s="1013"/>
    </row>
    <row r="16384" spans="1:11" s="1011" customFormat="1" ht="15" x14ac:dyDescent="0.25">
      <c r="A16384" s="859">
        <f t="shared" si="382"/>
        <v>16383</v>
      </c>
      <c r="B16384" s="845" t="s">
        <v>2564</v>
      </c>
      <c r="C16384" s="1007">
        <f t="shared" si="383"/>
        <v>164</v>
      </c>
      <c r="D16384" s="1014"/>
      <c r="H16384" s="1011" t="s">
        <v>1007</v>
      </c>
      <c r="K16384" s="1013"/>
    </row>
    <row r="16385" spans="1:11" s="1011" customFormat="1" ht="15" x14ac:dyDescent="0.25">
      <c r="A16385" s="859">
        <f t="shared" si="382"/>
        <v>16384</v>
      </c>
      <c r="B16385" s="845" t="s">
        <v>2564</v>
      </c>
      <c r="C16385" s="1007">
        <f t="shared" si="383"/>
        <v>164</v>
      </c>
      <c r="D16385" s="1012"/>
      <c r="I16385" s="1011" t="s">
        <v>2183</v>
      </c>
      <c r="K16385" s="1013"/>
    </row>
    <row r="16386" spans="1:11" s="1011" customFormat="1" ht="15" x14ac:dyDescent="0.25">
      <c r="A16386" s="859">
        <f t="shared" si="382"/>
        <v>16385</v>
      </c>
      <c r="B16386" s="845" t="s">
        <v>2564</v>
      </c>
      <c r="C16386" s="1007">
        <f t="shared" si="383"/>
        <v>164</v>
      </c>
      <c r="D16386" s="1015"/>
      <c r="I16386" s="1011" t="str">
        <f>CONCATENATE("&lt;valeur&gt;",VLOOKUP(C16386,'T16 Amort'!A:K,11,0),"&lt;/valeur&gt;")</f>
        <v>&lt;valeur&gt;&lt;/valeur&gt;</v>
      </c>
      <c r="K16386" s="1013"/>
    </row>
    <row r="16387" spans="1:11" s="1011" customFormat="1" ht="15" x14ac:dyDescent="0.25">
      <c r="A16387" s="859">
        <f t="shared" si="382"/>
        <v>16386</v>
      </c>
      <c r="B16387" s="845" t="s">
        <v>2564</v>
      </c>
      <c r="C16387" s="1007">
        <f t="shared" si="383"/>
        <v>164</v>
      </c>
      <c r="D16387" s="1012"/>
      <c r="I16387" s="1011" t="str">
        <f>CONCATENATE("&lt;numeroLigne&gt;",C16387,"&lt;/numeroLigne&gt;")</f>
        <v>&lt;numeroLigne&gt;164&lt;/numeroLigne&gt;</v>
      </c>
      <c r="K16387" s="1013"/>
    </row>
    <row r="16388" spans="1:11" s="1011" customFormat="1" ht="15" x14ac:dyDescent="0.25">
      <c r="A16388" s="859">
        <f t="shared" ref="A16388:A16451" si="384">+A16387+1</f>
        <v>16387</v>
      </c>
      <c r="B16388" s="845" t="s">
        <v>2564</v>
      </c>
      <c r="C16388" s="1007">
        <f t="shared" si="383"/>
        <v>164</v>
      </c>
      <c r="D16388" s="1016"/>
      <c r="E16388" s="1017"/>
      <c r="F16388" s="1017"/>
      <c r="G16388" s="1017"/>
      <c r="H16388" s="1017" t="s">
        <v>1010</v>
      </c>
      <c r="I16388" s="1017"/>
      <c r="J16388" s="1017"/>
      <c r="K16388" s="1018"/>
    </row>
    <row r="16389" spans="1:11" s="1011" customFormat="1" ht="15" x14ac:dyDescent="0.25">
      <c r="A16389" s="859">
        <f t="shared" si="384"/>
        <v>16388</v>
      </c>
      <c r="B16389" s="845" t="s">
        <v>2564</v>
      </c>
      <c r="C16389" s="1007">
        <f t="shared" si="383"/>
        <v>165</v>
      </c>
      <c r="D16389" s="1008"/>
      <c r="E16389" s="1009"/>
      <c r="F16389" s="1009"/>
      <c r="G16389" s="1009"/>
      <c r="H16389" s="1009" t="s">
        <v>1007</v>
      </c>
      <c r="I16389" s="1009"/>
      <c r="J16389" s="1009"/>
      <c r="K16389" s="1010"/>
    </row>
    <row r="16390" spans="1:11" s="1011" customFormat="1" ht="15" x14ac:dyDescent="0.25">
      <c r="A16390" s="859">
        <f t="shared" si="384"/>
        <v>16389</v>
      </c>
      <c r="B16390" s="845" t="s">
        <v>2564</v>
      </c>
      <c r="C16390" s="1007">
        <f t="shared" si="383"/>
        <v>165</v>
      </c>
      <c r="D16390" s="1012"/>
      <c r="I16390" s="1011" t="s">
        <v>2174</v>
      </c>
      <c r="K16390" s="1013"/>
    </row>
    <row r="16391" spans="1:11" s="1011" customFormat="1" ht="15" x14ac:dyDescent="0.25">
      <c r="A16391" s="859">
        <f t="shared" si="384"/>
        <v>16390</v>
      </c>
      <c r="B16391" s="845" t="s">
        <v>2564</v>
      </c>
      <c r="C16391" s="1007">
        <f t="shared" si="383"/>
        <v>165</v>
      </c>
      <c r="D16391" s="1014"/>
      <c r="I16391" s="1011" t="str">
        <f>CONCATENATE("&lt;valeur&gt;",VLOOKUP(C16391,'T16 Amort'!A:K,2,0),"&lt;/valeur&gt;")</f>
        <v>&lt;valeur&gt;&lt;/valeur&gt;</v>
      </c>
      <c r="K16391" s="1013"/>
    </row>
    <row r="16392" spans="1:11" s="1011" customFormat="1" ht="15" x14ac:dyDescent="0.25">
      <c r="A16392" s="859">
        <f t="shared" si="384"/>
        <v>16391</v>
      </c>
      <c r="B16392" s="845" t="s">
        <v>2564</v>
      </c>
      <c r="C16392" s="1007">
        <f t="shared" si="383"/>
        <v>165</v>
      </c>
      <c r="D16392" s="1014"/>
      <c r="I16392" s="1011" t="str">
        <f>CONCATENATE("&lt;numeroLigne&gt;",C16392,"&lt;/numeroLigne&gt;")</f>
        <v>&lt;numeroLigne&gt;165&lt;/numeroLigne&gt;</v>
      </c>
      <c r="K16392" s="1013"/>
    </row>
    <row r="16393" spans="1:11" s="1011" customFormat="1" ht="15" x14ac:dyDescent="0.25">
      <c r="A16393" s="859">
        <f t="shared" si="384"/>
        <v>16392</v>
      </c>
      <c r="B16393" s="845" t="s">
        <v>2564</v>
      </c>
      <c r="C16393" s="1007">
        <f t="shared" si="383"/>
        <v>165</v>
      </c>
      <c r="D16393" s="1012"/>
      <c r="H16393" s="1011" t="s">
        <v>1010</v>
      </c>
      <c r="K16393" s="1013"/>
    </row>
    <row r="16394" spans="1:11" s="1011" customFormat="1" ht="15" x14ac:dyDescent="0.25">
      <c r="A16394" s="859">
        <f t="shared" si="384"/>
        <v>16393</v>
      </c>
      <c r="B16394" s="845" t="s">
        <v>2564</v>
      </c>
      <c r="C16394" s="1007">
        <f t="shared" si="383"/>
        <v>165</v>
      </c>
      <c r="D16394" s="1015"/>
      <c r="H16394" s="1011" t="s">
        <v>1007</v>
      </c>
      <c r="K16394" s="1013"/>
    </row>
    <row r="16395" spans="1:11" s="1011" customFormat="1" ht="15" x14ac:dyDescent="0.25">
      <c r="A16395" s="859">
        <f t="shared" si="384"/>
        <v>16394</v>
      </c>
      <c r="B16395" s="845" t="s">
        <v>2564</v>
      </c>
      <c r="C16395" s="1007">
        <f t="shared" si="383"/>
        <v>165</v>
      </c>
      <c r="D16395" s="1012"/>
      <c r="I16395" s="1011" t="s">
        <v>2175</v>
      </c>
      <c r="K16395" s="1013"/>
    </row>
    <row r="16396" spans="1:11" s="1011" customFormat="1" ht="15" x14ac:dyDescent="0.25">
      <c r="A16396" s="859">
        <f t="shared" si="384"/>
        <v>16395</v>
      </c>
      <c r="B16396" s="845" t="s">
        <v>2564</v>
      </c>
      <c r="C16396" s="1007">
        <f t="shared" si="383"/>
        <v>165</v>
      </c>
      <c r="D16396" s="1012"/>
      <c r="I16396" s="1011" t="str">
        <f>CONCATENATE("&lt;valeur&gt;",VLOOKUP(C16396,'T16 Amort'!A:K,3,0),"&lt;/valeur&gt;")</f>
        <v>&lt;valeur&gt;&lt;/valeur&gt;</v>
      </c>
      <c r="K16396" s="1013"/>
    </row>
    <row r="16397" spans="1:11" s="1011" customFormat="1" ht="15" x14ac:dyDescent="0.25">
      <c r="A16397" s="859">
        <f t="shared" si="384"/>
        <v>16396</v>
      </c>
      <c r="B16397" s="845" t="s">
        <v>2564</v>
      </c>
      <c r="C16397" s="1007">
        <f t="shared" si="383"/>
        <v>165</v>
      </c>
      <c r="D16397" s="1014"/>
      <c r="I16397" s="1011" t="str">
        <f>CONCATENATE("&lt;numeroLigne&gt;",C16397,"&lt;/numeroLigne&gt;")</f>
        <v>&lt;numeroLigne&gt;165&lt;/numeroLigne&gt;</v>
      </c>
      <c r="K16397" s="1013"/>
    </row>
    <row r="16398" spans="1:11" s="1011" customFormat="1" ht="15" x14ac:dyDescent="0.25">
      <c r="A16398" s="859">
        <f t="shared" si="384"/>
        <v>16397</v>
      </c>
      <c r="B16398" s="845" t="s">
        <v>2564</v>
      </c>
      <c r="C16398" s="1007">
        <f t="shared" si="383"/>
        <v>165</v>
      </c>
      <c r="D16398" s="1014"/>
      <c r="H16398" s="1011" t="s">
        <v>1010</v>
      </c>
      <c r="K16398" s="1013"/>
    </row>
    <row r="16399" spans="1:11" s="1011" customFormat="1" ht="15" x14ac:dyDescent="0.25">
      <c r="A16399" s="859">
        <f t="shared" si="384"/>
        <v>16398</v>
      </c>
      <c r="B16399" s="845" t="s">
        <v>2564</v>
      </c>
      <c r="C16399" s="1007">
        <f t="shared" si="383"/>
        <v>165</v>
      </c>
      <c r="D16399" s="1012"/>
      <c r="H16399" s="1011" t="s">
        <v>1007</v>
      </c>
      <c r="K16399" s="1013"/>
    </row>
    <row r="16400" spans="1:11" s="1011" customFormat="1" ht="15" x14ac:dyDescent="0.25">
      <c r="A16400" s="859">
        <f t="shared" si="384"/>
        <v>16399</v>
      </c>
      <c r="B16400" s="845" t="s">
        <v>2564</v>
      </c>
      <c r="C16400" s="1007">
        <f t="shared" si="383"/>
        <v>165</v>
      </c>
      <c r="D16400" s="1015"/>
      <c r="I16400" s="1011" t="s">
        <v>2176</v>
      </c>
      <c r="K16400" s="1013"/>
    </row>
    <row r="16401" spans="1:11" s="1011" customFormat="1" ht="15" x14ac:dyDescent="0.25">
      <c r="A16401" s="859">
        <f t="shared" si="384"/>
        <v>16400</v>
      </c>
      <c r="B16401" s="845" t="s">
        <v>2564</v>
      </c>
      <c r="C16401" s="1007">
        <f t="shared" si="383"/>
        <v>165</v>
      </c>
      <c r="D16401" s="1012"/>
      <c r="I16401" s="1011" t="str">
        <f>CONCATENATE("&lt;valeur&gt;",VLOOKUP(C16401,'T16 Amort'!A:K,4,0),"&lt;/valeur&gt;")</f>
        <v>&lt;valeur&gt;&lt;/valeur&gt;</v>
      </c>
      <c r="K16401" s="1013"/>
    </row>
    <row r="16402" spans="1:11" s="1011" customFormat="1" ht="15" x14ac:dyDescent="0.25">
      <c r="A16402" s="859">
        <f t="shared" si="384"/>
        <v>16401</v>
      </c>
      <c r="B16402" s="845" t="s">
        <v>2564</v>
      </c>
      <c r="C16402" s="1007">
        <f t="shared" si="383"/>
        <v>165</v>
      </c>
      <c r="D16402" s="1012"/>
      <c r="I16402" s="1011" t="str">
        <f>CONCATENATE("&lt;numeroLigne&gt;",C16402,"&lt;/numeroLigne&gt;")</f>
        <v>&lt;numeroLigne&gt;165&lt;/numeroLigne&gt;</v>
      </c>
      <c r="K16402" s="1013"/>
    </row>
    <row r="16403" spans="1:11" s="1011" customFormat="1" ht="15" x14ac:dyDescent="0.25">
      <c r="A16403" s="859">
        <f t="shared" si="384"/>
        <v>16402</v>
      </c>
      <c r="B16403" s="845" t="s">
        <v>2564</v>
      </c>
      <c r="C16403" s="1007">
        <f t="shared" si="383"/>
        <v>165</v>
      </c>
      <c r="D16403" s="1014"/>
      <c r="H16403" s="1011" t="s">
        <v>1010</v>
      </c>
      <c r="K16403" s="1013"/>
    </row>
    <row r="16404" spans="1:11" s="1011" customFormat="1" ht="15" x14ac:dyDescent="0.25">
      <c r="A16404" s="859">
        <f t="shared" si="384"/>
        <v>16403</v>
      </c>
      <c r="B16404" s="845" t="s">
        <v>2564</v>
      </c>
      <c r="C16404" s="1007">
        <f t="shared" si="383"/>
        <v>165</v>
      </c>
      <c r="D16404" s="1014"/>
      <c r="H16404" s="1011" t="s">
        <v>1007</v>
      </c>
      <c r="K16404" s="1013"/>
    </row>
    <row r="16405" spans="1:11" s="1011" customFormat="1" ht="15" x14ac:dyDescent="0.25">
      <c r="A16405" s="859">
        <f t="shared" si="384"/>
        <v>16404</v>
      </c>
      <c r="B16405" s="845" t="s">
        <v>2564</v>
      </c>
      <c r="C16405" s="1007">
        <f t="shared" si="383"/>
        <v>165</v>
      </c>
      <c r="D16405" s="1012"/>
      <c r="I16405" s="1011" t="s">
        <v>2177</v>
      </c>
      <c r="K16405" s="1013"/>
    </row>
    <row r="16406" spans="1:11" s="1011" customFormat="1" ht="15" x14ac:dyDescent="0.25">
      <c r="A16406" s="859">
        <f t="shared" si="384"/>
        <v>16405</v>
      </c>
      <c r="B16406" s="845" t="s">
        <v>2564</v>
      </c>
      <c r="C16406" s="1007">
        <f t="shared" si="383"/>
        <v>165</v>
      </c>
      <c r="D16406" s="1015"/>
      <c r="I16406" s="1011" t="str">
        <f>CONCATENATE("&lt;valeur&gt;",VLOOKUP(C16406,'T16 Amort'!A:K,5,0),"&lt;/valeur&gt;")</f>
        <v>&lt;valeur&gt;&lt;/valeur&gt;</v>
      </c>
      <c r="K16406" s="1013"/>
    </row>
    <row r="16407" spans="1:11" s="1011" customFormat="1" ht="15" x14ac:dyDescent="0.25">
      <c r="A16407" s="859">
        <f t="shared" si="384"/>
        <v>16406</v>
      </c>
      <c r="B16407" s="845" t="s">
        <v>2564</v>
      </c>
      <c r="C16407" s="1007">
        <f t="shared" si="383"/>
        <v>165</v>
      </c>
      <c r="D16407" s="1012"/>
      <c r="I16407" s="1011" t="str">
        <f>CONCATENATE("&lt;numeroLigne&gt;",C16407,"&lt;/numeroLigne&gt;")</f>
        <v>&lt;numeroLigne&gt;165&lt;/numeroLigne&gt;</v>
      </c>
      <c r="K16407" s="1013"/>
    </row>
    <row r="16408" spans="1:11" s="1011" customFormat="1" ht="15" x14ac:dyDescent="0.25">
      <c r="A16408" s="859">
        <f t="shared" si="384"/>
        <v>16407</v>
      </c>
      <c r="B16408" s="845" t="s">
        <v>2564</v>
      </c>
      <c r="C16408" s="1007">
        <f t="shared" si="383"/>
        <v>165</v>
      </c>
      <c r="D16408" s="1012"/>
      <c r="H16408" s="1011" t="s">
        <v>1010</v>
      </c>
      <c r="K16408" s="1013"/>
    </row>
    <row r="16409" spans="1:11" s="1011" customFormat="1" ht="15" x14ac:dyDescent="0.25">
      <c r="A16409" s="859">
        <f t="shared" si="384"/>
        <v>16408</v>
      </c>
      <c r="B16409" s="845" t="s">
        <v>2564</v>
      </c>
      <c r="C16409" s="1007">
        <f t="shared" si="383"/>
        <v>165</v>
      </c>
      <c r="D16409" s="1014"/>
      <c r="H16409" s="1011" t="s">
        <v>1007</v>
      </c>
      <c r="K16409" s="1013"/>
    </row>
    <row r="16410" spans="1:11" s="1011" customFormat="1" ht="15" x14ac:dyDescent="0.25">
      <c r="A16410" s="859">
        <f t="shared" si="384"/>
        <v>16409</v>
      </c>
      <c r="B16410" s="845" t="s">
        <v>2564</v>
      </c>
      <c r="C16410" s="1007">
        <f t="shared" si="383"/>
        <v>165</v>
      </c>
      <c r="D16410" s="1014"/>
      <c r="I16410" s="1011" t="s">
        <v>2178</v>
      </c>
      <c r="K16410" s="1013"/>
    </row>
    <row r="16411" spans="1:11" s="1011" customFormat="1" ht="15" x14ac:dyDescent="0.25">
      <c r="A16411" s="859">
        <f t="shared" si="384"/>
        <v>16410</v>
      </c>
      <c r="B16411" s="845" t="s">
        <v>2564</v>
      </c>
      <c r="C16411" s="1007">
        <f t="shared" si="383"/>
        <v>165</v>
      </c>
      <c r="D16411" s="1012"/>
      <c r="I16411" s="1011" t="str">
        <f>CONCATENATE("&lt;valeur&gt;",VLOOKUP(C16411,'T16 Amort'!A:K,6,0),"&lt;/valeur&gt;")</f>
        <v>&lt;valeur&gt;&lt;/valeur&gt;</v>
      </c>
      <c r="K16411" s="1013"/>
    </row>
    <row r="16412" spans="1:11" s="1011" customFormat="1" ht="15" x14ac:dyDescent="0.25">
      <c r="A16412" s="859">
        <f t="shared" si="384"/>
        <v>16411</v>
      </c>
      <c r="B16412" s="845" t="s">
        <v>2564</v>
      </c>
      <c r="C16412" s="1007">
        <f t="shared" si="383"/>
        <v>165</v>
      </c>
      <c r="D16412" s="1015"/>
      <c r="I16412" s="1011" t="str">
        <f>CONCATENATE("&lt;numeroLigne&gt;",C16412,"&lt;/numeroLigne&gt;")</f>
        <v>&lt;numeroLigne&gt;165&lt;/numeroLigne&gt;</v>
      </c>
      <c r="K16412" s="1013"/>
    </row>
    <row r="16413" spans="1:11" s="1011" customFormat="1" ht="15" x14ac:dyDescent="0.25">
      <c r="A16413" s="859">
        <f t="shared" si="384"/>
        <v>16412</v>
      </c>
      <c r="B16413" s="845" t="s">
        <v>2564</v>
      </c>
      <c r="C16413" s="1007">
        <f t="shared" si="383"/>
        <v>165</v>
      </c>
      <c r="D16413" s="1012"/>
      <c r="H16413" s="1011" t="s">
        <v>1010</v>
      </c>
      <c r="K16413" s="1013"/>
    </row>
    <row r="16414" spans="1:11" s="1011" customFormat="1" ht="15" x14ac:dyDescent="0.25">
      <c r="A16414" s="859">
        <f t="shared" si="384"/>
        <v>16413</v>
      </c>
      <c r="B16414" s="845" t="s">
        <v>2564</v>
      </c>
      <c r="C16414" s="1007">
        <f t="shared" si="383"/>
        <v>165</v>
      </c>
      <c r="D16414" s="1012"/>
      <c r="H16414" s="1011" t="s">
        <v>1007</v>
      </c>
      <c r="K16414" s="1013"/>
    </row>
    <row r="16415" spans="1:11" s="1011" customFormat="1" ht="15" x14ac:dyDescent="0.25">
      <c r="A16415" s="859">
        <f t="shared" si="384"/>
        <v>16414</v>
      </c>
      <c r="B16415" s="845" t="s">
        <v>2564</v>
      </c>
      <c r="C16415" s="1007">
        <f t="shared" si="383"/>
        <v>165</v>
      </c>
      <c r="D16415" s="1014"/>
      <c r="I16415" s="1011" t="s">
        <v>2179</v>
      </c>
      <c r="K16415" s="1013"/>
    </row>
    <row r="16416" spans="1:11" s="1011" customFormat="1" ht="15" x14ac:dyDescent="0.25">
      <c r="A16416" s="859">
        <f t="shared" si="384"/>
        <v>16415</v>
      </c>
      <c r="B16416" s="845" t="s">
        <v>2564</v>
      </c>
      <c r="C16416" s="1007">
        <f t="shared" si="383"/>
        <v>165</v>
      </c>
      <c r="D16416" s="1014"/>
      <c r="I16416" s="1011" t="str">
        <f>CONCATENATE("&lt;valeur&gt;",VLOOKUP(C16416,'T16 Amort'!A:K,7,0),"&lt;/valeur&gt;")</f>
        <v>&lt;valeur&gt;&lt;/valeur&gt;</v>
      </c>
      <c r="K16416" s="1013"/>
    </row>
    <row r="16417" spans="1:11" s="1011" customFormat="1" ht="15" x14ac:dyDescent="0.25">
      <c r="A16417" s="859">
        <f t="shared" si="384"/>
        <v>16416</v>
      </c>
      <c r="B16417" s="845" t="s">
        <v>2564</v>
      </c>
      <c r="C16417" s="1007">
        <f t="shared" si="383"/>
        <v>165</v>
      </c>
      <c r="D16417" s="1012"/>
      <c r="I16417" s="1011" t="str">
        <f>CONCATENATE("&lt;numeroLigne&gt;",C16417,"&lt;/numeroLigne&gt;")</f>
        <v>&lt;numeroLigne&gt;165&lt;/numeroLigne&gt;</v>
      </c>
      <c r="K16417" s="1013"/>
    </row>
    <row r="16418" spans="1:11" s="1011" customFormat="1" ht="15" x14ac:dyDescent="0.25">
      <c r="A16418" s="859">
        <f t="shared" si="384"/>
        <v>16417</v>
      </c>
      <c r="B16418" s="845" t="s">
        <v>2564</v>
      </c>
      <c r="C16418" s="1007">
        <f t="shared" si="383"/>
        <v>165</v>
      </c>
      <c r="D16418" s="1015"/>
      <c r="H16418" s="1011" t="s">
        <v>1010</v>
      </c>
      <c r="K16418" s="1013"/>
    </row>
    <row r="16419" spans="1:11" s="1011" customFormat="1" ht="15" x14ac:dyDescent="0.25">
      <c r="A16419" s="859">
        <f t="shared" si="384"/>
        <v>16418</v>
      </c>
      <c r="B16419" s="845" t="s">
        <v>2564</v>
      </c>
      <c r="C16419" s="1007">
        <f t="shared" si="383"/>
        <v>165</v>
      </c>
      <c r="D16419" s="1012"/>
      <c r="H16419" s="1011" t="s">
        <v>1007</v>
      </c>
      <c r="K16419" s="1013"/>
    </row>
    <row r="16420" spans="1:11" s="1011" customFormat="1" ht="15" x14ac:dyDescent="0.25">
      <c r="A16420" s="859">
        <f t="shared" si="384"/>
        <v>16419</v>
      </c>
      <c r="B16420" s="845" t="s">
        <v>2564</v>
      </c>
      <c r="C16420" s="1007">
        <f t="shared" si="383"/>
        <v>165</v>
      </c>
      <c r="D16420" s="1012"/>
      <c r="I16420" s="1011" t="s">
        <v>2180</v>
      </c>
      <c r="K16420" s="1013"/>
    </row>
    <row r="16421" spans="1:11" s="1011" customFormat="1" ht="15" x14ac:dyDescent="0.25">
      <c r="A16421" s="859">
        <f t="shared" si="384"/>
        <v>16420</v>
      </c>
      <c r="B16421" s="845" t="s">
        <v>2564</v>
      </c>
      <c r="C16421" s="1007">
        <f t="shared" si="383"/>
        <v>165</v>
      </c>
      <c r="D16421" s="1014"/>
      <c r="I16421" s="1011" t="str">
        <f>CONCATENATE("&lt;valeur&gt;",VLOOKUP(C16421,'T16 Amort'!A:K,8,0),"&lt;/valeur&gt;")</f>
        <v>&lt;valeur&gt;&lt;/valeur&gt;</v>
      </c>
      <c r="K16421" s="1013"/>
    </row>
    <row r="16422" spans="1:11" s="1011" customFormat="1" ht="15" x14ac:dyDescent="0.25">
      <c r="A16422" s="859">
        <f t="shared" si="384"/>
        <v>16421</v>
      </c>
      <c r="B16422" s="845" t="s">
        <v>2564</v>
      </c>
      <c r="C16422" s="1007">
        <f t="shared" si="383"/>
        <v>165</v>
      </c>
      <c r="D16422" s="1014"/>
      <c r="I16422" s="1011" t="str">
        <f>CONCATENATE("&lt;numeroLigne&gt;",C16422,"&lt;/numeroLigne&gt;")</f>
        <v>&lt;numeroLigne&gt;165&lt;/numeroLigne&gt;</v>
      </c>
      <c r="K16422" s="1013"/>
    </row>
    <row r="16423" spans="1:11" s="1011" customFormat="1" ht="15" x14ac:dyDescent="0.25">
      <c r="A16423" s="859">
        <f t="shared" si="384"/>
        <v>16422</v>
      </c>
      <c r="B16423" s="845" t="s">
        <v>2564</v>
      </c>
      <c r="C16423" s="1007">
        <f t="shared" si="383"/>
        <v>165</v>
      </c>
      <c r="D16423" s="1012"/>
      <c r="H16423" s="1011" t="s">
        <v>1010</v>
      </c>
      <c r="K16423" s="1013"/>
    </row>
    <row r="16424" spans="1:11" s="1011" customFormat="1" ht="15" x14ac:dyDescent="0.25">
      <c r="A16424" s="859">
        <f t="shared" si="384"/>
        <v>16423</v>
      </c>
      <c r="B16424" s="845" t="s">
        <v>2564</v>
      </c>
      <c r="C16424" s="1007">
        <f t="shared" si="383"/>
        <v>165</v>
      </c>
      <c r="D16424" s="1015"/>
      <c r="H16424" s="1011" t="s">
        <v>1007</v>
      </c>
      <c r="K16424" s="1013"/>
    </row>
    <row r="16425" spans="1:11" s="1011" customFormat="1" ht="15" x14ac:dyDescent="0.25">
      <c r="A16425" s="859">
        <f t="shared" si="384"/>
        <v>16424</v>
      </c>
      <c r="B16425" s="845" t="s">
        <v>2564</v>
      </c>
      <c r="C16425" s="1007">
        <f t="shared" si="383"/>
        <v>165</v>
      </c>
      <c r="D16425" s="1012"/>
      <c r="I16425" s="1011" t="s">
        <v>2181</v>
      </c>
      <c r="K16425" s="1013"/>
    </row>
    <row r="16426" spans="1:11" s="1011" customFormat="1" ht="15" x14ac:dyDescent="0.25">
      <c r="A16426" s="859">
        <f t="shared" si="384"/>
        <v>16425</v>
      </c>
      <c r="B16426" s="845" t="s">
        <v>2564</v>
      </c>
      <c r="C16426" s="1007">
        <f t="shared" si="383"/>
        <v>165</v>
      </c>
      <c r="D16426" s="1012"/>
      <c r="I16426" s="1011" t="str">
        <f>CONCATENATE("&lt;valeur&gt;",VLOOKUP(C16426,'T16 Amort'!A:K,9,0),"&lt;/valeur&gt;")</f>
        <v>&lt;valeur&gt;&lt;/valeur&gt;</v>
      </c>
      <c r="K16426" s="1013"/>
    </row>
    <row r="16427" spans="1:11" s="1011" customFormat="1" ht="15" x14ac:dyDescent="0.25">
      <c r="A16427" s="859">
        <f t="shared" si="384"/>
        <v>16426</v>
      </c>
      <c r="B16427" s="845" t="s">
        <v>2564</v>
      </c>
      <c r="C16427" s="1007">
        <f t="shared" si="383"/>
        <v>165</v>
      </c>
      <c r="D16427" s="1014"/>
      <c r="I16427" s="1011" t="str">
        <f>CONCATENATE("&lt;numeroLigne&gt;",C16427,"&lt;/numeroLigne&gt;")</f>
        <v>&lt;numeroLigne&gt;165&lt;/numeroLigne&gt;</v>
      </c>
      <c r="K16427" s="1013"/>
    </row>
    <row r="16428" spans="1:11" s="1011" customFormat="1" ht="15" x14ac:dyDescent="0.25">
      <c r="A16428" s="859">
        <f t="shared" si="384"/>
        <v>16427</v>
      </c>
      <c r="B16428" s="845" t="s">
        <v>2564</v>
      </c>
      <c r="C16428" s="1007">
        <f t="shared" si="383"/>
        <v>165</v>
      </c>
      <c r="D16428" s="1014"/>
      <c r="H16428" s="1011" t="s">
        <v>1010</v>
      </c>
      <c r="K16428" s="1013"/>
    </row>
    <row r="16429" spans="1:11" s="1011" customFormat="1" ht="15" x14ac:dyDescent="0.25">
      <c r="A16429" s="859">
        <f t="shared" si="384"/>
        <v>16428</v>
      </c>
      <c r="B16429" s="845" t="s">
        <v>2564</v>
      </c>
      <c r="C16429" s="1007">
        <f t="shared" si="383"/>
        <v>165</v>
      </c>
      <c r="D16429" s="1012"/>
      <c r="H16429" s="1011" t="s">
        <v>1007</v>
      </c>
      <c r="K16429" s="1013"/>
    </row>
    <row r="16430" spans="1:11" s="1011" customFormat="1" ht="15" x14ac:dyDescent="0.25">
      <c r="A16430" s="859">
        <f t="shared" si="384"/>
        <v>16429</v>
      </c>
      <c r="B16430" s="845" t="s">
        <v>2564</v>
      </c>
      <c r="C16430" s="1007">
        <f t="shared" si="383"/>
        <v>165</v>
      </c>
      <c r="D16430" s="1015"/>
      <c r="I16430" s="1011" t="s">
        <v>2182</v>
      </c>
      <c r="K16430" s="1013"/>
    </row>
    <row r="16431" spans="1:11" s="1011" customFormat="1" ht="15" x14ac:dyDescent="0.25">
      <c r="A16431" s="859">
        <f t="shared" si="384"/>
        <v>16430</v>
      </c>
      <c r="B16431" s="845" t="s">
        <v>2564</v>
      </c>
      <c r="C16431" s="1007">
        <f t="shared" ref="C16431:C16494" si="385">C16381+1</f>
        <v>165</v>
      </c>
      <c r="D16431" s="1012"/>
      <c r="I16431" s="1011" t="str">
        <f>CONCATENATE("&lt;valeur&gt;",VLOOKUP(C16431,'T16 Amort'!A:K,10,0),"&lt;/valeur&gt;")</f>
        <v>&lt;valeur&gt;&lt;/valeur&gt;</v>
      </c>
      <c r="K16431" s="1013"/>
    </row>
    <row r="16432" spans="1:11" s="1011" customFormat="1" ht="15" x14ac:dyDescent="0.25">
      <c r="A16432" s="859">
        <f t="shared" si="384"/>
        <v>16431</v>
      </c>
      <c r="B16432" s="845" t="s">
        <v>2564</v>
      </c>
      <c r="C16432" s="1007">
        <f t="shared" si="385"/>
        <v>165</v>
      </c>
      <c r="D16432" s="1012"/>
      <c r="I16432" s="1011" t="str">
        <f>CONCATENATE("&lt;numeroLigne&gt;",C16432,"&lt;/numeroLigne&gt;")</f>
        <v>&lt;numeroLigne&gt;165&lt;/numeroLigne&gt;</v>
      </c>
      <c r="K16432" s="1013"/>
    </row>
    <row r="16433" spans="1:11" s="1011" customFormat="1" ht="15" x14ac:dyDescent="0.25">
      <c r="A16433" s="859">
        <f t="shared" si="384"/>
        <v>16432</v>
      </c>
      <c r="B16433" s="845" t="s">
        <v>2564</v>
      </c>
      <c r="C16433" s="1007">
        <f t="shared" si="385"/>
        <v>165</v>
      </c>
      <c r="D16433" s="1014"/>
      <c r="H16433" s="1011" t="s">
        <v>1010</v>
      </c>
      <c r="K16433" s="1013"/>
    </row>
    <row r="16434" spans="1:11" s="1011" customFormat="1" ht="15" x14ac:dyDescent="0.25">
      <c r="A16434" s="859">
        <f t="shared" si="384"/>
        <v>16433</v>
      </c>
      <c r="B16434" s="845" t="s">
        <v>2564</v>
      </c>
      <c r="C16434" s="1007">
        <f t="shared" si="385"/>
        <v>165</v>
      </c>
      <c r="D16434" s="1014"/>
      <c r="H16434" s="1011" t="s">
        <v>1007</v>
      </c>
      <c r="K16434" s="1013"/>
    </row>
    <row r="16435" spans="1:11" s="1011" customFormat="1" ht="15" x14ac:dyDescent="0.25">
      <c r="A16435" s="859">
        <f t="shared" si="384"/>
        <v>16434</v>
      </c>
      <c r="B16435" s="845" t="s">
        <v>2564</v>
      </c>
      <c r="C16435" s="1007">
        <f t="shared" si="385"/>
        <v>165</v>
      </c>
      <c r="D16435" s="1012"/>
      <c r="I16435" s="1011" t="s">
        <v>2183</v>
      </c>
      <c r="K16435" s="1013"/>
    </row>
    <row r="16436" spans="1:11" s="1011" customFormat="1" ht="15" x14ac:dyDescent="0.25">
      <c r="A16436" s="859">
        <f t="shared" si="384"/>
        <v>16435</v>
      </c>
      <c r="B16436" s="845" t="s">
        <v>2564</v>
      </c>
      <c r="C16436" s="1007">
        <f t="shared" si="385"/>
        <v>165</v>
      </c>
      <c r="D16436" s="1015"/>
      <c r="I16436" s="1011" t="str">
        <f>CONCATENATE("&lt;valeur&gt;",VLOOKUP(C16436,'T16 Amort'!A:K,11,0),"&lt;/valeur&gt;")</f>
        <v>&lt;valeur&gt;&lt;/valeur&gt;</v>
      </c>
      <c r="K16436" s="1013"/>
    </row>
    <row r="16437" spans="1:11" s="1011" customFormat="1" ht="15" x14ac:dyDescent="0.25">
      <c r="A16437" s="859">
        <f t="shared" si="384"/>
        <v>16436</v>
      </c>
      <c r="B16437" s="845" t="s">
        <v>2564</v>
      </c>
      <c r="C16437" s="1007">
        <f t="shared" si="385"/>
        <v>165</v>
      </c>
      <c r="D16437" s="1012"/>
      <c r="I16437" s="1011" t="str">
        <f>CONCATENATE("&lt;numeroLigne&gt;",C16437,"&lt;/numeroLigne&gt;")</f>
        <v>&lt;numeroLigne&gt;165&lt;/numeroLigne&gt;</v>
      </c>
      <c r="K16437" s="1013"/>
    </row>
    <row r="16438" spans="1:11" s="1011" customFormat="1" ht="15" x14ac:dyDescent="0.25">
      <c r="A16438" s="859">
        <f t="shared" si="384"/>
        <v>16437</v>
      </c>
      <c r="B16438" s="845" t="s">
        <v>2564</v>
      </c>
      <c r="C16438" s="1007">
        <f t="shared" si="385"/>
        <v>165</v>
      </c>
      <c r="D16438" s="1016"/>
      <c r="E16438" s="1017"/>
      <c r="F16438" s="1017"/>
      <c r="G16438" s="1017"/>
      <c r="H16438" s="1017" t="s">
        <v>1010</v>
      </c>
      <c r="I16438" s="1017"/>
      <c r="J16438" s="1017"/>
      <c r="K16438" s="1018"/>
    </row>
    <row r="16439" spans="1:11" s="1011" customFormat="1" ht="15" x14ac:dyDescent="0.25">
      <c r="A16439" s="859">
        <f t="shared" si="384"/>
        <v>16438</v>
      </c>
      <c r="B16439" s="845" t="s">
        <v>2564</v>
      </c>
      <c r="C16439" s="1007">
        <f t="shared" si="385"/>
        <v>166</v>
      </c>
      <c r="D16439" s="1008"/>
      <c r="E16439" s="1009"/>
      <c r="F16439" s="1009"/>
      <c r="G16439" s="1009"/>
      <c r="H16439" s="1009" t="s">
        <v>1007</v>
      </c>
      <c r="I16439" s="1009"/>
      <c r="J16439" s="1009"/>
      <c r="K16439" s="1010"/>
    </row>
    <row r="16440" spans="1:11" s="1011" customFormat="1" ht="15" x14ac:dyDescent="0.25">
      <c r="A16440" s="859">
        <f t="shared" si="384"/>
        <v>16439</v>
      </c>
      <c r="B16440" s="845" t="s">
        <v>2564</v>
      </c>
      <c r="C16440" s="1007">
        <f t="shared" si="385"/>
        <v>166</v>
      </c>
      <c r="D16440" s="1012"/>
      <c r="I16440" s="1011" t="s">
        <v>2174</v>
      </c>
      <c r="K16440" s="1013"/>
    </row>
    <row r="16441" spans="1:11" s="1011" customFormat="1" ht="15" x14ac:dyDescent="0.25">
      <c r="A16441" s="859">
        <f t="shared" si="384"/>
        <v>16440</v>
      </c>
      <c r="B16441" s="845" t="s">
        <v>2564</v>
      </c>
      <c r="C16441" s="1007">
        <f t="shared" si="385"/>
        <v>166</v>
      </c>
      <c r="D16441" s="1014"/>
      <c r="I16441" s="1011" t="str">
        <f>CONCATENATE("&lt;valeur&gt;",VLOOKUP(C16441,'T16 Amort'!A:K,2,0),"&lt;/valeur&gt;")</f>
        <v>&lt;valeur&gt;&lt;/valeur&gt;</v>
      </c>
      <c r="K16441" s="1013"/>
    </row>
    <row r="16442" spans="1:11" s="1011" customFormat="1" ht="15" x14ac:dyDescent="0.25">
      <c r="A16442" s="859">
        <f t="shared" si="384"/>
        <v>16441</v>
      </c>
      <c r="B16442" s="845" t="s">
        <v>2564</v>
      </c>
      <c r="C16442" s="1007">
        <f t="shared" si="385"/>
        <v>166</v>
      </c>
      <c r="D16442" s="1014"/>
      <c r="I16442" s="1011" t="str">
        <f>CONCATENATE("&lt;numeroLigne&gt;",C16442,"&lt;/numeroLigne&gt;")</f>
        <v>&lt;numeroLigne&gt;166&lt;/numeroLigne&gt;</v>
      </c>
      <c r="K16442" s="1013"/>
    </row>
    <row r="16443" spans="1:11" s="1011" customFormat="1" ht="15" x14ac:dyDescent="0.25">
      <c r="A16443" s="859">
        <f t="shared" si="384"/>
        <v>16442</v>
      </c>
      <c r="B16443" s="845" t="s">
        <v>2564</v>
      </c>
      <c r="C16443" s="1007">
        <f t="shared" si="385"/>
        <v>166</v>
      </c>
      <c r="D16443" s="1012"/>
      <c r="H16443" s="1011" t="s">
        <v>1010</v>
      </c>
      <c r="K16443" s="1013"/>
    </row>
    <row r="16444" spans="1:11" s="1011" customFormat="1" ht="15" x14ac:dyDescent="0.25">
      <c r="A16444" s="859">
        <f t="shared" si="384"/>
        <v>16443</v>
      </c>
      <c r="B16444" s="845" t="s">
        <v>2564</v>
      </c>
      <c r="C16444" s="1007">
        <f t="shared" si="385"/>
        <v>166</v>
      </c>
      <c r="D16444" s="1015"/>
      <c r="H16444" s="1011" t="s">
        <v>1007</v>
      </c>
      <c r="K16444" s="1013"/>
    </row>
    <row r="16445" spans="1:11" s="1011" customFormat="1" ht="15" x14ac:dyDescent="0.25">
      <c r="A16445" s="859">
        <f t="shared" si="384"/>
        <v>16444</v>
      </c>
      <c r="B16445" s="845" t="s">
        <v>2564</v>
      </c>
      <c r="C16445" s="1007">
        <f t="shared" si="385"/>
        <v>166</v>
      </c>
      <c r="D16445" s="1012"/>
      <c r="I16445" s="1011" t="s">
        <v>2175</v>
      </c>
      <c r="K16445" s="1013"/>
    </row>
    <row r="16446" spans="1:11" s="1011" customFormat="1" ht="15" x14ac:dyDescent="0.25">
      <c r="A16446" s="859">
        <f t="shared" si="384"/>
        <v>16445</v>
      </c>
      <c r="B16446" s="845" t="s">
        <v>2564</v>
      </c>
      <c r="C16446" s="1007">
        <f t="shared" si="385"/>
        <v>166</v>
      </c>
      <c r="D16446" s="1012"/>
      <c r="I16446" s="1011" t="str">
        <f>CONCATENATE("&lt;valeur&gt;",VLOOKUP(C16446,'T16 Amort'!A:K,3,0),"&lt;/valeur&gt;")</f>
        <v>&lt;valeur&gt;&lt;/valeur&gt;</v>
      </c>
      <c r="K16446" s="1013"/>
    </row>
    <row r="16447" spans="1:11" s="1011" customFormat="1" ht="15" x14ac:dyDescent="0.25">
      <c r="A16447" s="859">
        <f t="shared" si="384"/>
        <v>16446</v>
      </c>
      <c r="B16447" s="845" t="s">
        <v>2564</v>
      </c>
      <c r="C16447" s="1007">
        <f t="shared" si="385"/>
        <v>166</v>
      </c>
      <c r="D16447" s="1014"/>
      <c r="I16447" s="1011" t="str">
        <f>CONCATENATE("&lt;numeroLigne&gt;",C16447,"&lt;/numeroLigne&gt;")</f>
        <v>&lt;numeroLigne&gt;166&lt;/numeroLigne&gt;</v>
      </c>
      <c r="K16447" s="1013"/>
    </row>
    <row r="16448" spans="1:11" s="1011" customFormat="1" ht="15" x14ac:dyDescent="0.25">
      <c r="A16448" s="859">
        <f t="shared" si="384"/>
        <v>16447</v>
      </c>
      <c r="B16448" s="845" t="s">
        <v>2564</v>
      </c>
      <c r="C16448" s="1007">
        <f t="shared" si="385"/>
        <v>166</v>
      </c>
      <c r="D16448" s="1014"/>
      <c r="H16448" s="1011" t="s">
        <v>1010</v>
      </c>
      <c r="K16448" s="1013"/>
    </row>
    <row r="16449" spans="1:11" s="1011" customFormat="1" ht="15" x14ac:dyDescent="0.25">
      <c r="A16449" s="859">
        <f t="shared" si="384"/>
        <v>16448</v>
      </c>
      <c r="B16449" s="845" t="s">
        <v>2564</v>
      </c>
      <c r="C16449" s="1007">
        <f t="shared" si="385"/>
        <v>166</v>
      </c>
      <c r="D16449" s="1012"/>
      <c r="H16449" s="1011" t="s">
        <v>1007</v>
      </c>
      <c r="K16449" s="1013"/>
    </row>
    <row r="16450" spans="1:11" s="1011" customFormat="1" ht="15" x14ac:dyDescent="0.25">
      <c r="A16450" s="859">
        <f t="shared" si="384"/>
        <v>16449</v>
      </c>
      <c r="B16450" s="845" t="s">
        <v>2564</v>
      </c>
      <c r="C16450" s="1007">
        <f t="shared" si="385"/>
        <v>166</v>
      </c>
      <c r="D16450" s="1015"/>
      <c r="I16450" s="1011" t="s">
        <v>2176</v>
      </c>
      <c r="K16450" s="1013"/>
    </row>
    <row r="16451" spans="1:11" s="1011" customFormat="1" ht="15" x14ac:dyDescent="0.25">
      <c r="A16451" s="859">
        <f t="shared" si="384"/>
        <v>16450</v>
      </c>
      <c r="B16451" s="845" t="s">
        <v>2564</v>
      </c>
      <c r="C16451" s="1007">
        <f t="shared" si="385"/>
        <v>166</v>
      </c>
      <c r="D16451" s="1012"/>
      <c r="I16451" s="1011" t="str">
        <f>CONCATENATE("&lt;valeur&gt;",VLOOKUP(C16451,'T16 Amort'!A:K,4,0),"&lt;/valeur&gt;")</f>
        <v>&lt;valeur&gt;&lt;/valeur&gt;</v>
      </c>
      <c r="K16451" s="1013"/>
    </row>
    <row r="16452" spans="1:11" s="1011" customFormat="1" ht="15" x14ac:dyDescent="0.25">
      <c r="A16452" s="859">
        <f t="shared" ref="A16452:A16515" si="386">+A16451+1</f>
        <v>16451</v>
      </c>
      <c r="B16452" s="845" t="s">
        <v>2564</v>
      </c>
      <c r="C16452" s="1007">
        <f t="shared" si="385"/>
        <v>166</v>
      </c>
      <c r="D16452" s="1012"/>
      <c r="I16452" s="1011" t="str">
        <f>CONCATENATE("&lt;numeroLigne&gt;",C16452,"&lt;/numeroLigne&gt;")</f>
        <v>&lt;numeroLigne&gt;166&lt;/numeroLigne&gt;</v>
      </c>
      <c r="K16452" s="1013"/>
    </row>
    <row r="16453" spans="1:11" s="1011" customFormat="1" ht="15" x14ac:dyDescent="0.25">
      <c r="A16453" s="859">
        <f t="shared" si="386"/>
        <v>16452</v>
      </c>
      <c r="B16453" s="845" t="s">
        <v>2564</v>
      </c>
      <c r="C16453" s="1007">
        <f t="shared" si="385"/>
        <v>166</v>
      </c>
      <c r="D16453" s="1014"/>
      <c r="H16453" s="1011" t="s">
        <v>1010</v>
      </c>
      <c r="K16453" s="1013"/>
    </row>
    <row r="16454" spans="1:11" s="1011" customFormat="1" ht="15" x14ac:dyDescent="0.25">
      <c r="A16454" s="859">
        <f t="shared" si="386"/>
        <v>16453</v>
      </c>
      <c r="B16454" s="845" t="s">
        <v>2564</v>
      </c>
      <c r="C16454" s="1007">
        <f t="shared" si="385"/>
        <v>166</v>
      </c>
      <c r="D16454" s="1014"/>
      <c r="H16454" s="1011" t="s">
        <v>1007</v>
      </c>
      <c r="K16454" s="1013"/>
    </row>
    <row r="16455" spans="1:11" s="1011" customFormat="1" ht="15" x14ac:dyDescent="0.25">
      <c r="A16455" s="859">
        <f t="shared" si="386"/>
        <v>16454</v>
      </c>
      <c r="B16455" s="845" t="s">
        <v>2564</v>
      </c>
      <c r="C16455" s="1007">
        <f t="shared" si="385"/>
        <v>166</v>
      </c>
      <c r="D16455" s="1012"/>
      <c r="I16455" s="1011" t="s">
        <v>2177</v>
      </c>
      <c r="K16455" s="1013"/>
    </row>
    <row r="16456" spans="1:11" s="1011" customFormat="1" ht="15" x14ac:dyDescent="0.25">
      <c r="A16456" s="859">
        <f t="shared" si="386"/>
        <v>16455</v>
      </c>
      <c r="B16456" s="845" t="s">
        <v>2564</v>
      </c>
      <c r="C16456" s="1007">
        <f t="shared" si="385"/>
        <v>166</v>
      </c>
      <c r="D16456" s="1015"/>
      <c r="I16456" s="1011" t="str">
        <f>CONCATENATE("&lt;valeur&gt;",VLOOKUP(C16456,'T16 Amort'!A:K,5,0),"&lt;/valeur&gt;")</f>
        <v>&lt;valeur&gt;&lt;/valeur&gt;</v>
      </c>
      <c r="K16456" s="1013"/>
    </row>
    <row r="16457" spans="1:11" s="1011" customFormat="1" ht="15" x14ac:dyDescent="0.25">
      <c r="A16457" s="859">
        <f t="shared" si="386"/>
        <v>16456</v>
      </c>
      <c r="B16457" s="845" t="s">
        <v>2564</v>
      </c>
      <c r="C16457" s="1007">
        <f t="shared" si="385"/>
        <v>166</v>
      </c>
      <c r="D16457" s="1012"/>
      <c r="I16457" s="1011" t="str">
        <f>CONCATENATE("&lt;numeroLigne&gt;",C16457,"&lt;/numeroLigne&gt;")</f>
        <v>&lt;numeroLigne&gt;166&lt;/numeroLigne&gt;</v>
      </c>
      <c r="K16457" s="1013"/>
    </row>
    <row r="16458" spans="1:11" s="1011" customFormat="1" ht="15" x14ac:dyDescent="0.25">
      <c r="A16458" s="859">
        <f t="shared" si="386"/>
        <v>16457</v>
      </c>
      <c r="B16458" s="845" t="s">
        <v>2564</v>
      </c>
      <c r="C16458" s="1007">
        <f t="shared" si="385"/>
        <v>166</v>
      </c>
      <c r="D16458" s="1012"/>
      <c r="H16458" s="1011" t="s">
        <v>1010</v>
      </c>
      <c r="K16458" s="1013"/>
    </row>
    <row r="16459" spans="1:11" s="1011" customFormat="1" ht="15" x14ac:dyDescent="0.25">
      <c r="A16459" s="859">
        <f t="shared" si="386"/>
        <v>16458</v>
      </c>
      <c r="B16459" s="845" t="s">
        <v>2564</v>
      </c>
      <c r="C16459" s="1007">
        <f t="shared" si="385"/>
        <v>166</v>
      </c>
      <c r="D16459" s="1014"/>
      <c r="H16459" s="1011" t="s">
        <v>1007</v>
      </c>
      <c r="K16459" s="1013"/>
    </row>
    <row r="16460" spans="1:11" s="1011" customFormat="1" ht="15" x14ac:dyDescent="0.25">
      <c r="A16460" s="859">
        <f t="shared" si="386"/>
        <v>16459</v>
      </c>
      <c r="B16460" s="845" t="s">
        <v>2564</v>
      </c>
      <c r="C16460" s="1007">
        <f t="shared" si="385"/>
        <v>166</v>
      </c>
      <c r="D16460" s="1014"/>
      <c r="I16460" s="1011" t="s">
        <v>2178</v>
      </c>
      <c r="K16460" s="1013"/>
    </row>
    <row r="16461" spans="1:11" s="1011" customFormat="1" ht="15" x14ac:dyDescent="0.25">
      <c r="A16461" s="859">
        <f t="shared" si="386"/>
        <v>16460</v>
      </c>
      <c r="B16461" s="845" t="s">
        <v>2564</v>
      </c>
      <c r="C16461" s="1007">
        <f t="shared" si="385"/>
        <v>166</v>
      </c>
      <c r="D16461" s="1012"/>
      <c r="I16461" s="1011" t="str">
        <f>CONCATENATE("&lt;valeur&gt;",VLOOKUP(C16461,'T16 Amort'!A:K,6,0),"&lt;/valeur&gt;")</f>
        <v>&lt;valeur&gt;&lt;/valeur&gt;</v>
      </c>
      <c r="K16461" s="1013"/>
    </row>
    <row r="16462" spans="1:11" s="1011" customFormat="1" ht="15" x14ac:dyDescent="0.25">
      <c r="A16462" s="859">
        <f t="shared" si="386"/>
        <v>16461</v>
      </c>
      <c r="B16462" s="845" t="s">
        <v>2564</v>
      </c>
      <c r="C16462" s="1007">
        <f t="shared" si="385"/>
        <v>166</v>
      </c>
      <c r="D16462" s="1015"/>
      <c r="I16462" s="1011" t="str">
        <f>CONCATENATE("&lt;numeroLigne&gt;",C16462,"&lt;/numeroLigne&gt;")</f>
        <v>&lt;numeroLigne&gt;166&lt;/numeroLigne&gt;</v>
      </c>
      <c r="K16462" s="1013"/>
    </row>
    <row r="16463" spans="1:11" s="1011" customFormat="1" ht="15" x14ac:dyDescent="0.25">
      <c r="A16463" s="859">
        <f t="shared" si="386"/>
        <v>16462</v>
      </c>
      <c r="B16463" s="845" t="s">
        <v>2564</v>
      </c>
      <c r="C16463" s="1007">
        <f t="shared" si="385"/>
        <v>166</v>
      </c>
      <c r="D16463" s="1012"/>
      <c r="H16463" s="1011" t="s">
        <v>1010</v>
      </c>
      <c r="K16463" s="1013"/>
    </row>
    <row r="16464" spans="1:11" s="1011" customFormat="1" ht="15" x14ac:dyDescent="0.25">
      <c r="A16464" s="859">
        <f t="shared" si="386"/>
        <v>16463</v>
      </c>
      <c r="B16464" s="845" t="s">
        <v>2564</v>
      </c>
      <c r="C16464" s="1007">
        <f t="shared" si="385"/>
        <v>166</v>
      </c>
      <c r="D16464" s="1012"/>
      <c r="H16464" s="1011" t="s">
        <v>1007</v>
      </c>
      <c r="K16464" s="1013"/>
    </row>
    <row r="16465" spans="1:11" s="1011" customFormat="1" ht="15" x14ac:dyDescent="0.25">
      <c r="A16465" s="859">
        <f t="shared" si="386"/>
        <v>16464</v>
      </c>
      <c r="B16465" s="845" t="s">
        <v>2564</v>
      </c>
      <c r="C16465" s="1007">
        <f t="shared" si="385"/>
        <v>166</v>
      </c>
      <c r="D16465" s="1014"/>
      <c r="I16465" s="1011" t="s">
        <v>2179</v>
      </c>
      <c r="K16465" s="1013"/>
    </row>
    <row r="16466" spans="1:11" s="1011" customFormat="1" ht="15" x14ac:dyDescent="0.25">
      <c r="A16466" s="859">
        <f t="shared" si="386"/>
        <v>16465</v>
      </c>
      <c r="B16466" s="845" t="s">
        <v>2564</v>
      </c>
      <c r="C16466" s="1007">
        <f t="shared" si="385"/>
        <v>166</v>
      </c>
      <c r="D16466" s="1014"/>
      <c r="I16466" s="1011" t="str">
        <f>CONCATENATE("&lt;valeur&gt;",VLOOKUP(C16466,'T16 Amort'!A:K,7,0),"&lt;/valeur&gt;")</f>
        <v>&lt;valeur&gt;&lt;/valeur&gt;</v>
      </c>
      <c r="K16466" s="1013"/>
    </row>
    <row r="16467" spans="1:11" s="1011" customFormat="1" ht="15" x14ac:dyDescent="0.25">
      <c r="A16467" s="859">
        <f t="shared" si="386"/>
        <v>16466</v>
      </c>
      <c r="B16467" s="845" t="s">
        <v>2564</v>
      </c>
      <c r="C16467" s="1007">
        <f t="shared" si="385"/>
        <v>166</v>
      </c>
      <c r="D16467" s="1012"/>
      <c r="I16467" s="1011" t="str">
        <f>CONCATENATE("&lt;numeroLigne&gt;",C16467,"&lt;/numeroLigne&gt;")</f>
        <v>&lt;numeroLigne&gt;166&lt;/numeroLigne&gt;</v>
      </c>
      <c r="K16467" s="1013"/>
    </row>
    <row r="16468" spans="1:11" s="1011" customFormat="1" ht="15" x14ac:dyDescent="0.25">
      <c r="A16468" s="859">
        <f t="shared" si="386"/>
        <v>16467</v>
      </c>
      <c r="B16468" s="845" t="s">
        <v>2564</v>
      </c>
      <c r="C16468" s="1007">
        <f t="shared" si="385"/>
        <v>166</v>
      </c>
      <c r="D16468" s="1015"/>
      <c r="H16468" s="1011" t="s">
        <v>1010</v>
      </c>
      <c r="K16468" s="1013"/>
    </row>
    <row r="16469" spans="1:11" s="1011" customFormat="1" ht="15" x14ac:dyDescent="0.25">
      <c r="A16469" s="859">
        <f t="shared" si="386"/>
        <v>16468</v>
      </c>
      <c r="B16469" s="845" t="s">
        <v>2564</v>
      </c>
      <c r="C16469" s="1007">
        <f t="shared" si="385"/>
        <v>166</v>
      </c>
      <c r="D16469" s="1012"/>
      <c r="H16469" s="1011" t="s">
        <v>1007</v>
      </c>
      <c r="K16469" s="1013"/>
    </row>
    <row r="16470" spans="1:11" s="1011" customFormat="1" ht="15" x14ac:dyDescent="0.25">
      <c r="A16470" s="859">
        <f t="shared" si="386"/>
        <v>16469</v>
      </c>
      <c r="B16470" s="845" t="s">
        <v>2564</v>
      </c>
      <c r="C16470" s="1007">
        <f t="shared" si="385"/>
        <v>166</v>
      </c>
      <c r="D16470" s="1012"/>
      <c r="I16470" s="1011" t="s">
        <v>2180</v>
      </c>
      <c r="K16470" s="1013"/>
    </row>
    <row r="16471" spans="1:11" s="1011" customFormat="1" ht="15" x14ac:dyDescent="0.25">
      <c r="A16471" s="859">
        <f t="shared" si="386"/>
        <v>16470</v>
      </c>
      <c r="B16471" s="845" t="s">
        <v>2564</v>
      </c>
      <c r="C16471" s="1007">
        <f t="shared" si="385"/>
        <v>166</v>
      </c>
      <c r="D16471" s="1014"/>
      <c r="I16471" s="1011" t="str">
        <f>CONCATENATE("&lt;valeur&gt;",VLOOKUP(C16471,'T16 Amort'!A:K,8,0),"&lt;/valeur&gt;")</f>
        <v>&lt;valeur&gt;&lt;/valeur&gt;</v>
      </c>
      <c r="K16471" s="1013"/>
    </row>
    <row r="16472" spans="1:11" s="1011" customFormat="1" ht="15" x14ac:dyDescent="0.25">
      <c r="A16472" s="859">
        <f t="shared" si="386"/>
        <v>16471</v>
      </c>
      <c r="B16472" s="845" t="s">
        <v>2564</v>
      </c>
      <c r="C16472" s="1007">
        <f t="shared" si="385"/>
        <v>166</v>
      </c>
      <c r="D16472" s="1014"/>
      <c r="I16472" s="1011" t="str">
        <f>CONCATENATE("&lt;numeroLigne&gt;",C16472,"&lt;/numeroLigne&gt;")</f>
        <v>&lt;numeroLigne&gt;166&lt;/numeroLigne&gt;</v>
      </c>
      <c r="K16472" s="1013"/>
    </row>
    <row r="16473" spans="1:11" s="1011" customFormat="1" ht="15" x14ac:dyDescent="0.25">
      <c r="A16473" s="859">
        <f t="shared" si="386"/>
        <v>16472</v>
      </c>
      <c r="B16473" s="845" t="s">
        <v>2564</v>
      </c>
      <c r="C16473" s="1007">
        <f t="shared" si="385"/>
        <v>166</v>
      </c>
      <c r="D16473" s="1012"/>
      <c r="H16473" s="1011" t="s">
        <v>1010</v>
      </c>
      <c r="K16473" s="1013"/>
    </row>
    <row r="16474" spans="1:11" s="1011" customFormat="1" ht="15" x14ac:dyDescent="0.25">
      <c r="A16474" s="859">
        <f t="shared" si="386"/>
        <v>16473</v>
      </c>
      <c r="B16474" s="845" t="s">
        <v>2564</v>
      </c>
      <c r="C16474" s="1007">
        <f t="shared" si="385"/>
        <v>166</v>
      </c>
      <c r="D16474" s="1015"/>
      <c r="H16474" s="1011" t="s">
        <v>1007</v>
      </c>
      <c r="K16474" s="1013"/>
    </row>
    <row r="16475" spans="1:11" s="1011" customFormat="1" ht="15" x14ac:dyDescent="0.25">
      <c r="A16475" s="859">
        <f t="shared" si="386"/>
        <v>16474</v>
      </c>
      <c r="B16475" s="845" t="s">
        <v>2564</v>
      </c>
      <c r="C16475" s="1007">
        <f t="shared" si="385"/>
        <v>166</v>
      </c>
      <c r="D16475" s="1012"/>
      <c r="I16475" s="1011" t="s">
        <v>2181</v>
      </c>
      <c r="K16475" s="1013"/>
    </row>
    <row r="16476" spans="1:11" s="1011" customFormat="1" ht="15" x14ac:dyDescent="0.25">
      <c r="A16476" s="859">
        <f t="shared" si="386"/>
        <v>16475</v>
      </c>
      <c r="B16476" s="845" t="s">
        <v>2564</v>
      </c>
      <c r="C16476" s="1007">
        <f t="shared" si="385"/>
        <v>166</v>
      </c>
      <c r="D16476" s="1012"/>
      <c r="I16476" s="1011" t="str">
        <f>CONCATENATE("&lt;valeur&gt;",VLOOKUP(C16476,'T16 Amort'!A:K,9,0),"&lt;/valeur&gt;")</f>
        <v>&lt;valeur&gt;&lt;/valeur&gt;</v>
      </c>
      <c r="K16476" s="1013"/>
    </row>
    <row r="16477" spans="1:11" s="1011" customFormat="1" ht="15" x14ac:dyDescent="0.25">
      <c r="A16477" s="859">
        <f t="shared" si="386"/>
        <v>16476</v>
      </c>
      <c r="B16477" s="845" t="s">
        <v>2564</v>
      </c>
      <c r="C16477" s="1007">
        <f t="shared" si="385"/>
        <v>166</v>
      </c>
      <c r="D16477" s="1014"/>
      <c r="I16477" s="1011" t="str">
        <f>CONCATENATE("&lt;numeroLigne&gt;",C16477,"&lt;/numeroLigne&gt;")</f>
        <v>&lt;numeroLigne&gt;166&lt;/numeroLigne&gt;</v>
      </c>
      <c r="K16477" s="1013"/>
    </row>
    <row r="16478" spans="1:11" s="1011" customFormat="1" ht="15" x14ac:dyDescent="0.25">
      <c r="A16478" s="859">
        <f t="shared" si="386"/>
        <v>16477</v>
      </c>
      <c r="B16478" s="845" t="s">
        <v>2564</v>
      </c>
      <c r="C16478" s="1007">
        <f t="shared" si="385"/>
        <v>166</v>
      </c>
      <c r="D16478" s="1014"/>
      <c r="H16478" s="1011" t="s">
        <v>1010</v>
      </c>
      <c r="K16478" s="1013"/>
    </row>
    <row r="16479" spans="1:11" s="1011" customFormat="1" ht="15" x14ac:dyDescent="0.25">
      <c r="A16479" s="859">
        <f t="shared" si="386"/>
        <v>16478</v>
      </c>
      <c r="B16479" s="845" t="s">
        <v>2564</v>
      </c>
      <c r="C16479" s="1007">
        <f t="shared" si="385"/>
        <v>166</v>
      </c>
      <c r="D16479" s="1012"/>
      <c r="H16479" s="1011" t="s">
        <v>1007</v>
      </c>
      <c r="K16479" s="1013"/>
    </row>
    <row r="16480" spans="1:11" s="1011" customFormat="1" ht="15" x14ac:dyDescent="0.25">
      <c r="A16480" s="859">
        <f t="shared" si="386"/>
        <v>16479</v>
      </c>
      <c r="B16480" s="845" t="s">
        <v>2564</v>
      </c>
      <c r="C16480" s="1007">
        <f t="shared" si="385"/>
        <v>166</v>
      </c>
      <c r="D16480" s="1015"/>
      <c r="I16480" s="1011" t="s">
        <v>2182</v>
      </c>
      <c r="K16480" s="1013"/>
    </row>
    <row r="16481" spans="1:11" s="1011" customFormat="1" ht="15" x14ac:dyDescent="0.25">
      <c r="A16481" s="859">
        <f t="shared" si="386"/>
        <v>16480</v>
      </c>
      <c r="B16481" s="845" t="s">
        <v>2564</v>
      </c>
      <c r="C16481" s="1007">
        <f t="shared" si="385"/>
        <v>166</v>
      </c>
      <c r="D16481" s="1012"/>
      <c r="I16481" s="1011" t="str">
        <f>CONCATENATE("&lt;valeur&gt;",VLOOKUP(C16481,'T16 Amort'!A:K,10,0),"&lt;/valeur&gt;")</f>
        <v>&lt;valeur&gt;&lt;/valeur&gt;</v>
      </c>
      <c r="K16481" s="1013"/>
    </row>
    <row r="16482" spans="1:11" s="1011" customFormat="1" ht="15" x14ac:dyDescent="0.25">
      <c r="A16482" s="859">
        <f t="shared" si="386"/>
        <v>16481</v>
      </c>
      <c r="B16482" s="845" t="s">
        <v>2564</v>
      </c>
      <c r="C16482" s="1007">
        <f t="shared" si="385"/>
        <v>166</v>
      </c>
      <c r="D16482" s="1012"/>
      <c r="I16482" s="1011" t="str">
        <f>CONCATENATE("&lt;numeroLigne&gt;",C16482,"&lt;/numeroLigne&gt;")</f>
        <v>&lt;numeroLigne&gt;166&lt;/numeroLigne&gt;</v>
      </c>
      <c r="K16482" s="1013"/>
    </row>
    <row r="16483" spans="1:11" s="1011" customFormat="1" ht="15" x14ac:dyDescent="0.25">
      <c r="A16483" s="859">
        <f t="shared" si="386"/>
        <v>16482</v>
      </c>
      <c r="B16483" s="845" t="s">
        <v>2564</v>
      </c>
      <c r="C16483" s="1007">
        <f t="shared" si="385"/>
        <v>166</v>
      </c>
      <c r="D16483" s="1014"/>
      <c r="H16483" s="1011" t="s">
        <v>1010</v>
      </c>
      <c r="K16483" s="1013"/>
    </row>
    <row r="16484" spans="1:11" s="1011" customFormat="1" ht="15" x14ac:dyDescent="0.25">
      <c r="A16484" s="859">
        <f t="shared" si="386"/>
        <v>16483</v>
      </c>
      <c r="B16484" s="845" t="s">
        <v>2564</v>
      </c>
      <c r="C16484" s="1007">
        <f t="shared" si="385"/>
        <v>166</v>
      </c>
      <c r="D16484" s="1014"/>
      <c r="H16484" s="1011" t="s">
        <v>1007</v>
      </c>
      <c r="K16484" s="1013"/>
    </row>
    <row r="16485" spans="1:11" s="1011" customFormat="1" ht="15" x14ac:dyDescent="0.25">
      <c r="A16485" s="859">
        <f t="shared" si="386"/>
        <v>16484</v>
      </c>
      <c r="B16485" s="845" t="s">
        <v>2564</v>
      </c>
      <c r="C16485" s="1007">
        <f t="shared" si="385"/>
        <v>166</v>
      </c>
      <c r="D16485" s="1012"/>
      <c r="I16485" s="1011" t="s">
        <v>2183</v>
      </c>
      <c r="K16485" s="1013"/>
    </row>
    <row r="16486" spans="1:11" s="1011" customFormat="1" ht="15" x14ac:dyDescent="0.25">
      <c r="A16486" s="859">
        <f t="shared" si="386"/>
        <v>16485</v>
      </c>
      <c r="B16486" s="845" t="s">
        <v>2564</v>
      </c>
      <c r="C16486" s="1007">
        <f t="shared" si="385"/>
        <v>166</v>
      </c>
      <c r="D16486" s="1015"/>
      <c r="I16486" s="1011" t="str">
        <f>CONCATENATE("&lt;valeur&gt;",VLOOKUP(C16486,'T16 Amort'!A:K,11,0),"&lt;/valeur&gt;")</f>
        <v>&lt;valeur&gt;&lt;/valeur&gt;</v>
      </c>
      <c r="K16486" s="1013"/>
    </row>
    <row r="16487" spans="1:11" s="1011" customFormat="1" ht="15" x14ac:dyDescent="0.25">
      <c r="A16487" s="859">
        <f t="shared" si="386"/>
        <v>16486</v>
      </c>
      <c r="B16487" s="845" t="s">
        <v>2564</v>
      </c>
      <c r="C16487" s="1007">
        <f t="shared" si="385"/>
        <v>166</v>
      </c>
      <c r="D16487" s="1012"/>
      <c r="I16487" s="1011" t="str">
        <f>CONCATENATE("&lt;numeroLigne&gt;",C16487,"&lt;/numeroLigne&gt;")</f>
        <v>&lt;numeroLigne&gt;166&lt;/numeroLigne&gt;</v>
      </c>
      <c r="K16487" s="1013"/>
    </row>
    <row r="16488" spans="1:11" s="1011" customFormat="1" ht="15" x14ac:dyDescent="0.25">
      <c r="A16488" s="859">
        <f t="shared" si="386"/>
        <v>16487</v>
      </c>
      <c r="B16488" s="845" t="s">
        <v>2564</v>
      </c>
      <c r="C16488" s="1007">
        <f t="shared" si="385"/>
        <v>166</v>
      </c>
      <c r="D16488" s="1016"/>
      <c r="E16488" s="1017"/>
      <c r="F16488" s="1017"/>
      <c r="G16488" s="1017"/>
      <c r="H16488" s="1017" t="s">
        <v>1010</v>
      </c>
      <c r="I16488" s="1017"/>
      <c r="J16488" s="1017"/>
      <c r="K16488" s="1018"/>
    </row>
    <row r="16489" spans="1:11" s="1011" customFormat="1" ht="15" x14ac:dyDescent="0.25">
      <c r="A16489" s="859">
        <f t="shared" si="386"/>
        <v>16488</v>
      </c>
      <c r="B16489" s="845" t="s">
        <v>2564</v>
      </c>
      <c r="C16489" s="1007">
        <f t="shared" si="385"/>
        <v>167</v>
      </c>
      <c r="D16489" s="1008"/>
      <c r="E16489" s="1009"/>
      <c r="F16489" s="1009"/>
      <c r="G16489" s="1009"/>
      <c r="H16489" s="1009" t="s">
        <v>1007</v>
      </c>
      <c r="I16489" s="1009"/>
      <c r="J16489" s="1009"/>
      <c r="K16489" s="1010"/>
    </row>
    <row r="16490" spans="1:11" s="1011" customFormat="1" ht="15" x14ac:dyDescent="0.25">
      <c r="A16490" s="859">
        <f t="shared" si="386"/>
        <v>16489</v>
      </c>
      <c r="B16490" s="845" t="s">
        <v>2564</v>
      </c>
      <c r="C16490" s="1007">
        <f t="shared" si="385"/>
        <v>167</v>
      </c>
      <c r="D16490" s="1012"/>
      <c r="I16490" s="1011" t="s">
        <v>2174</v>
      </c>
      <c r="K16490" s="1013"/>
    </row>
    <row r="16491" spans="1:11" s="1011" customFormat="1" ht="15" x14ac:dyDescent="0.25">
      <c r="A16491" s="859">
        <f t="shared" si="386"/>
        <v>16490</v>
      </c>
      <c r="B16491" s="845" t="s">
        <v>2564</v>
      </c>
      <c r="C16491" s="1007">
        <f t="shared" si="385"/>
        <v>167</v>
      </c>
      <c r="D16491" s="1014"/>
      <c r="I16491" s="1011" t="str">
        <f>CONCATENATE("&lt;valeur&gt;",VLOOKUP(C16491,'T16 Amort'!A:K,2,0),"&lt;/valeur&gt;")</f>
        <v>&lt;valeur&gt;&lt;/valeur&gt;</v>
      </c>
      <c r="K16491" s="1013"/>
    </row>
    <row r="16492" spans="1:11" s="1011" customFormat="1" ht="15" x14ac:dyDescent="0.25">
      <c r="A16492" s="859">
        <f t="shared" si="386"/>
        <v>16491</v>
      </c>
      <c r="B16492" s="845" t="s">
        <v>2564</v>
      </c>
      <c r="C16492" s="1007">
        <f t="shared" si="385"/>
        <v>167</v>
      </c>
      <c r="D16492" s="1014"/>
      <c r="I16492" s="1011" t="str">
        <f>CONCATENATE("&lt;numeroLigne&gt;",C16492,"&lt;/numeroLigne&gt;")</f>
        <v>&lt;numeroLigne&gt;167&lt;/numeroLigne&gt;</v>
      </c>
      <c r="K16492" s="1013"/>
    </row>
    <row r="16493" spans="1:11" s="1011" customFormat="1" ht="15" x14ac:dyDescent="0.25">
      <c r="A16493" s="859">
        <f t="shared" si="386"/>
        <v>16492</v>
      </c>
      <c r="B16493" s="845" t="s">
        <v>2564</v>
      </c>
      <c r="C16493" s="1007">
        <f t="shared" si="385"/>
        <v>167</v>
      </c>
      <c r="D16493" s="1012"/>
      <c r="H16493" s="1011" t="s">
        <v>1010</v>
      </c>
      <c r="K16493" s="1013"/>
    </row>
    <row r="16494" spans="1:11" s="1011" customFormat="1" ht="15" x14ac:dyDescent="0.25">
      <c r="A16494" s="859">
        <f t="shared" si="386"/>
        <v>16493</v>
      </c>
      <c r="B16494" s="845" t="s">
        <v>2564</v>
      </c>
      <c r="C16494" s="1007">
        <f t="shared" si="385"/>
        <v>167</v>
      </c>
      <c r="D16494" s="1015"/>
      <c r="H16494" s="1011" t="s">
        <v>1007</v>
      </c>
      <c r="K16494" s="1013"/>
    </row>
    <row r="16495" spans="1:11" s="1011" customFormat="1" ht="15" x14ac:dyDescent="0.25">
      <c r="A16495" s="859">
        <f t="shared" si="386"/>
        <v>16494</v>
      </c>
      <c r="B16495" s="845" t="s">
        <v>2564</v>
      </c>
      <c r="C16495" s="1007">
        <f t="shared" ref="C16495:C16558" si="387">C16445+1</f>
        <v>167</v>
      </c>
      <c r="D16495" s="1012"/>
      <c r="I16495" s="1011" t="s">
        <v>2175</v>
      </c>
      <c r="K16495" s="1013"/>
    </row>
    <row r="16496" spans="1:11" s="1011" customFormat="1" ht="15" x14ac:dyDescent="0.25">
      <c r="A16496" s="859">
        <f t="shared" si="386"/>
        <v>16495</v>
      </c>
      <c r="B16496" s="845" t="s">
        <v>2564</v>
      </c>
      <c r="C16496" s="1007">
        <f t="shared" si="387"/>
        <v>167</v>
      </c>
      <c r="D16496" s="1012"/>
      <c r="I16496" s="1011" t="str">
        <f>CONCATENATE("&lt;valeur&gt;",VLOOKUP(C16496,'T16 Amort'!A:K,3,0),"&lt;/valeur&gt;")</f>
        <v>&lt;valeur&gt;&lt;/valeur&gt;</v>
      </c>
      <c r="K16496" s="1013"/>
    </row>
    <row r="16497" spans="1:11" s="1011" customFormat="1" ht="15" x14ac:dyDescent="0.25">
      <c r="A16497" s="859">
        <f t="shared" si="386"/>
        <v>16496</v>
      </c>
      <c r="B16497" s="845" t="s">
        <v>2564</v>
      </c>
      <c r="C16497" s="1007">
        <f t="shared" si="387"/>
        <v>167</v>
      </c>
      <c r="D16497" s="1014"/>
      <c r="I16497" s="1011" t="str">
        <f>CONCATENATE("&lt;numeroLigne&gt;",C16497,"&lt;/numeroLigne&gt;")</f>
        <v>&lt;numeroLigne&gt;167&lt;/numeroLigne&gt;</v>
      </c>
      <c r="K16497" s="1013"/>
    </row>
    <row r="16498" spans="1:11" s="1011" customFormat="1" ht="15" x14ac:dyDescent="0.25">
      <c r="A16498" s="859">
        <f t="shared" si="386"/>
        <v>16497</v>
      </c>
      <c r="B16498" s="845" t="s">
        <v>2564</v>
      </c>
      <c r="C16498" s="1007">
        <f t="shared" si="387"/>
        <v>167</v>
      </c>
      <c r="D16498" s="1014"/>
      <c r="H16498" s="1011" t="s">
        <v>1010</v>
      </c>
      <c r="K16498" s="1013"/>
    </row>
    <row r="16499" spans="1:11" s="1011" customFormat="1" ht="15" x14ac:dyDescent="0.25">
      <c r="A16499" s="859">
        <f t="shared" si="386"/>
        <v>16498</v>
      </c>
      <c r="B16499" s="845" t="s">
        <v>2564</v>
      </c>
      <c r="C16499" s="1007">
        <f t="shared" si="387"/>
        <v>167</v>
      </c>
      <c r="D16499" s="1012"/>
      <c r="H16499" s="1011" t="s">
        <v>1007</v>
      </c>
      <c r="K16499" s="1013"/>
    </row>
    <row r="16500" spans="1:11" s="1011" customFormat="1" ht="15" x14ac:dyDescent="0.25">
      <c r="A16500" s="859">
        <f t="shared" si="386"/>
        <v>16499</v>
      </c>
      <c r="B16500" s="845" t="s">
        <v>2564</v>
      </c>
      <c r="C16500" s="1007">
        <f t="shared" si="387"/>
        <v>167</v>
      </c>
      <c r="D16500" s="1015"/>
      <c r="I16500" s="1011" t="s">
        <v>2176</v>
      </c>
      <c r="K16500" s="1013"/>
    </row>
    <row r="16501" spans="1:11" s="1011" customFormat="1" ht="15" x14ac:dyDescent="0.25">
      <c r="A16501" s="859">
        <f t="shared" si="386"/>
        <v>16500</v>
      </c>
      <c r="B16501" s="845" t="s">
        <v>2564</v>
      </c>
      <c r="C16501" s="1007">
        <f t="shared" si="387"/>
        <v>167</v>
      </c>
      <c r="D16501" s="1012"/>
      <c r="I16501" s="1011" t="str">
        <f>CONCATENATE("&lt;valeur&gt;",VLOOKUP(C16501,'T16 Amort'!A:K,4,0),"&lt;/valeur&gt;")</f>
        <v>&lt;valeur&gt;&lt;/valeur&gt;</v>
      </c>
      <c r="K16501" s="1013"/>
    </row>
    <row r="16502" spans="1:11" s="1011" customFormat="1" ht="15" x14ac:dyDescent="0.25">
      <c r="A16502" s="859">
        <f t="shared" si="386"/>
        <v>16501</v>
      </c>
      <c r="B16502" s="845" t="s">
        <v>2564</v>
      </c>
      <c r="C16502" s="1007">
        <f t="shared" si="387"/>
        <v>167</v>
      </c>
      <c r="D16502" s="1012"/>
      <c r="I16502" s="1011" t="str">
        <f>CONCATENATE("&lt;numeroLigne&gt;",C16502,"&lt;/numeroLigne&gt;")</f>
        <v>&lt;numeroLigne&gt;167&lt;/numeroLigne&gt;</v>
      </c>
      <c r="K16502" s="1013"/>
    </row>
    <row r="16503" spans="1:11" s="1011" customFormat="1" ht="15" x14ac:dyDescent="0.25">
      <c r="A16503" s="859">
        <f t="shared" si="386"/>
        <v>16502</v>
      </c>
      <c r="B16503" s="845" t="s">
        <v>2564</v>
      </c>
      <c r="C16503" s="1007">
        <f t="shared" si="387"/>
        <v>167</v>
      </c>
      <c r="D16503" s="1014"/>
      <c r="H16503" s="1011" t="s">
        <v>1010</v>
      </c>
      <c r="K16503" s="1013"/>
    </row>
    <row r="16504" spans="1:11" s="1011" customFormat="1" ht="15" x14ac:dyDescent="0.25">
      <c r="A16504" s="859">
        <f t="shared" si="386"/>
        <v>16503</v>
      </c>
      <c r="B16504" s="845" t="s">
        <v>2564</v>
      </c>
      <c r="C16504" s="1007">
        <f t="shared" si="387"/>
        <v>167</v>
      </c>
      <c r="D16504" s="1014"/>
      <c r="H16504" s="1011" t="s">
        <v>1007</v>
      </c>
      <c r="K16504" s="1013"/>
    </row>
    <row r="16505" spans="1:11" s="1011" customFormat="1" ht="15" x14ac:dyDescent="0.25">
      <c r="A16505" s="859">
        <f t="shared" si="386"/>
        <v>16504</v>
      </c>
      <c r="B16505" s="845" t="s">
        <v>2564</v>
      </c>
      <c r="C16505" s="1007">
        <f t="shared" si="387"/>
        <v>167</v>
      </c>
      <c r="D16505" s="1012"/>
      <c r="I16505" s="1011" t="s">
        <v>2177</v>
      </c>
      <c r="K16505" s="1013"/>
    </row>
    <row r="16506" spans="1:11" s="1011" customFormat="1" ht="15" x14ac:dyDescent="0.25">
      <c r="A16506" s="859">
        <f t="shared" si="386"/>
        <v>16505</v>
      </c>
      <c r="B16506" s="845" t="s">
        <v>2564</v>
      </c>
      <c r="C16506" s="1007">
        <f t="shared" si="387"/>
        <v>167</v>
      </c>
      <c r="D16506" s="1015"/>
      <c r="I16506" s="1011" t="str">
        <f>CONCATENATE("&lt;valeur&gt;",VLOOKUP(C16506,'T16 Amort'!A:K,5,0),"&lt;/valeur&gt;")</f>
        <v>&lt;valeur&gt;&lt;/valeur&gt;</v>
      </c>
      <c r="K16506" s="1013"/>
    </row>
    <row r="16507" spans="1:11" s="1011" customFormat="1" ht="15" x14ac:dyDescent="0.25">
      <c r="A16507" s="859">
        <f t="shared" si="386"/>
        <v>16506</v>
      </c>
      <c r="B16507" s="845" t="s">
        <v>2564</v>
      </c>
      <c r="C16507" s="1007">
        <f t="shared" si="387"/>
        <v>167</v>
      </c>
      <c r="D16507" s="1012"/>
      <c r="I16507" s="1011" t="str">
        <f>CONCATENATE("&lt;numeroLigne&gt;",C16507,"&lt;/numeroLigne&gt;")</f>
        <v>&lt;numeroLigne&gt;167&lt;/numeroLigne&gt;</v>
      </c>
      <c r="K16507" s="1013"/>
    </row>
    <row r="16508" spans="1:11" s="1011" customFormat="1" ht="15" x14ac:dyDescent="0.25">
      <c r="A16508" s="859">
        <f t="shared" si="386"/>
        <v>16507</v>
      </c>
      <c r="B16508" s="845" t="s">
        <v>2564</v>
      </c>
      <c r="C16508" s="1007">
        <f t="shared" si="387"/>
        <v>167</v>
      </c>
      <c r="D16508" s="1012"/>
      <c r="H16508" s="1011" t="s">
        <v>1010</v>
      </c>
      <c r="K16508" s="1013"/>
    </row>
    <row r="16509" spans="1:11" s="1011" customFormat="1" ht="15" x14ac:dyDescent="0.25">
      <c r="A16509" s="859">
        <f t="shared" si="386"/>
        <v>16508</v>
      </c>
      <c r="B16509" s="845" t="s">
        <v>2564</v>
      </c>
      <c r="C16509" s="1007">
        <f t="shared" si="387"/>
        <v>167</v>
      </c>
      <c r="D16509" s="1014"/>
      <c r="H16509" s="1011" t="s">
        <v>1007</v>
      </c>
      <c r="K16509" s="1013"/>
    </row>
    <row r="16510" spans="1:11" s="1011" customFormat="1" ht="15" x14ac:dyDescent="0.25">
      <c r="A16510" s="859">
        <f t="shared" si="386"/>
        <v>16509</v>
      </c>
      <c r="B16510" s="845" t="s">
        <v>2564</v>
      </c>
      <c r="C16510" s="1007">
        <f t="shared" si="387"/>
        <v>167</v>
      </c>
      <c r="D16510" s="1014"/>
      <c r="I16510" s="1011" t="s">
        <v>2178</v>
      </c>
      <c r="K16510" s="1013"/>
    </row>
    <row r="16511" spans="1:11" s="1011" customFormat="1" ht="15" x14ac:dyDescent="0.25">
      <c r="A16511" s="859">
        <f t="shared" si="386"/>
        <v>16510</v>
      </c>
      <c r="B16511" s="845" t="s">
        <v>2564</v>
      </c>
      <c r="C16511" s="1007">
        <f t="shared" si="387"/>
        <v>167</v>
      </c>
      <c r="D16511" s="1012"/>
      <c r="I16511" s="1011" t="str">
        <f>CONCATENATE("&lt;valeur&gt;",VLOOKUP(C16511,'T16 Amort'!A:K,6,0),"&lt;/valeur&gt;")</f>
        <v>&lt;valeur&gt;&lt;/valeur&gt;</v>
      </c>
      <c r="K16511" s="1013"/>
    </row>
    <row r="16512" spans="1:11" s="1011" customFormat="1" ht="15" x14ac:dyDescent="0.25">
      <c r="A16512" s="859">
        <f t="shared" si="386"/>
        <v>16511</v>
      </c>
      <c r="B16512" s="845" t="s">
        <v>2564</v>
      </c>
      <c r="C16512" s="1007">
        <f t="shared" si="387"/>
        <v>167</v>
      </c>
      <c r="D16512" s="1015"/>
      <c r="I16512" s="1011" t="str">
        <f>CONCATENATE("&lt;numeroLigne&gt;",C16512,"&lt;/numeroLigne&gt;")</f>
        <v>&lt;numeroLigne&gt;167&lt;/numeroLigne&gt;</v>
      </c>
      <c r="K16512" s="1013"/>
    </row>
    <row r="16513" spans="1:11" s="1011" customFormat="1" ht="15" x14ac:dyDescent="0.25">
      <c r="A16513" s="859">
        <f t="shared" si="386"/>
        <v>16512</v>
      </c>
      <c r="B16513" s="845" t="s">
        <v>2564</v>
      </c>
      <c r="C16513" s="1007">
        <f t="shared" si="387"/>
        <v>167</v>
      </c>
      <c r="D16513" s="1012"/>
      <c r="H16513" s="1011" t="s">
        <v>1010</v>
      </c>
      <c r="K16513" s="1013"/>
    </row>
    <row r="16514" spans="1:11" s="1011" customFormat="1" ht="15" x14ac:dyDescent="0.25">
      <c r="A16514" s="859">
        <f t="shared" si="386"/>
        <v>16513</v>
      </c>
      <c r="B16514" s="845" t="s">
        <v>2564</v>
      </c>
      <c r="C16514" s="1007">
        <f t="shared" si="387"/>
        <v>167</v>
      </c>
      <c r="D16514" s="1012"/>
      <c r="H16514" s="1011" t="s">
        <v>1007</v>
      </c>
      <c r="K16514" s="1013"/>
    </row>
    <row r="16515" spans="1:11" s="1011" customFormat="1" ht="15" x14ac:dyDescent="0.25">
      <c r="A16515" s="859">
        <f t="shared" si="386"/>
        <v>16514</v>
      </c>
      <c r="B16515" s="845" t="s">
        <v>2564</v>
      </c>
      <c r="C16515" s="1007">
        <f t="shared" si="387"/>
        <v>167</v>
      </c>
      <c r="D16515" s="1014"/>
      <c r="I16515" s="1011" t="s">
        <v>2179</v>
      </c>
      <c r="K16515" s="1013"/>
    </row>
    <row r="16516" spans="1:11" s="1011" customFormat="1" ht="15" x14ac:dyDescent="0.25">
      <c r="A16516" s="859">
        <f t="shared" ref="A16516:A16579" si="388">+A16515+1</f>
        <v>16515</v>
      </c>
      <c r="B16516" s="845" t="s">
        <v>2564</v>
      </c>
      <c r="C16516" s="1007">
        <f t="shared" si="387"/>
        <v>167</v>
      </c>
      <c r="D16516" s="1014"/>
      <c r="I16516" s="1011" t="str">
        <f>CONCATENATE("&lt;valeur&gt;",VLOOKUP(C16516,'T16 Amort'!A:K,7,0),"&lt;/valeur&gt;")</f>
        <v>&lt;valeur&gt;&lt;/valeur&gt;</v>
      </c>
      <c r="K16516" s="1013"/>
    </row>
    <row r="16517" spans="1:11" s="1011" customFormat="1" ht="15" x14ac:dyDescent="0.25">
      <c r="A16517" s="859">
        <f t="shared" si="388"/>
        <v>16516</v>
      </c>
      <c r="B16517" s="845" t="s">
        <v>2564</v>
      </c>
      <c r="C16517" s="1007">
        <f t="shared" si="387"/>
        <v>167</v>
      </c>
      <c r="D16517" s="1012"/>
      <c r="I16517" s="1011" t="str">
        <f>CONCATENATE("&lt;numeroLigne&gt;",C16517,"&lt;/numeroLigne&gt;")</f>
        <v>&lt;numeroLigne&gt;167&lt;/numeroLigne&gt;</v>
      </c>
      <c r="K16517" s="1013"/>
    </row>
    <row r="16518" spans="1:11" s="1011" customFormat="1" ht="15" x14ac:dyDescent="0.25">
      <c r="A16518" s="859">
        <f t="shared" si="388"/>
        <v>16517</v>
      </c>
      <c r="B16518" s="845" t="s">
        <v>2564</v>
      </c>
      <c r="C16518" s="1007">
        <f t="shared" si="387"/>
        <v>167</v>
      </c>
      <c r="D16518" s="1015"/>
      <c r="H16518" s="1011" t="s">
        <v>1010</v>
      </c>
      <c r="K16518" s="1013"/>
    </row>
    <row r="16519" spans="1:11" s="1011" customFormat="1" ht="15" x14ac:dyDescent="0.25">
      <c r="A16519" s="859">
        <f t="shared" si="388"/>
        <v>16518</v>
      </c>
      <c r="B16519" s="845" t="s">
        <v>2564</v>
      </c>
      <c r="C16519" s="1007">
        <f t="shared" si="387"/>
        <v>167</v>
      </c>
      <c r="D16519" s="1012"/>
      <c r="H16519" s="1011" t="s">
        <v>1007</v>
      </c>
      <c r="K16519" s="1013"/>
    </row>
    <row r="16520" spans="1:11" s="1011" customFormat="1" ht="15" x14ac:dyDescent="0.25">
      <c r="A16520" s="859">
        <f t="shared" si="388"/>
        <v>16519</v>
      </c>
      <c r="B16520" s="845" t="s">
        <v>2564</v>
      </c>
      <c r="C16520" s="1007">
        <f t="shared" si="387"/>
        <v>167</v>
      </c>
      <c r="D16520" s="1012"/>
      <c r="I16520" s="1011" t="s">
        <v>2180</v>
      </c>
      <c r="K16520" s="1013"/>
    </row>
    <row r="16521" spans="1:11" s="1011" customFormat="1" ht="15" x14ac:dyDescent="0.25">
      <c r="A16521" s="859">
        <f t="shared" si="388"/>
        <v>16520</v>
      </c>
      <c r="B16521" s="845" t="s">
        <v>2564</v>
      </c>
      <c r="C16521" s="1007">
        <f t="shared" si="387"/>
        <v>167</v>
      </c>
      <c r="D16521" s="1014"/>
      <c r="I16521" s="1011" t="str">
        <f>CONCATENATE("&lt;valeur&gt;",VLOOKUP(C16521,'T16 Amort'!A:K,8,0),"&lt;/valeur&gt;")</f>
        <v>&lt;valeur&gt;&lt;/valeur&gt;</v>
      </c>
      <c r="K16521" s="1013"/>
    </row>
    <row r="16522" spans="1:11" s="1011" customFormat="1" ht="15" x14ac:dyDescent="0.25">
      <c r="A16522" s="859">
        <f t="shared" si="388"/>
        <v>16521</v>
      </c>
      <c r="B16522" s="845" t="s">
        <v>2564</v>
      </c>
      <c r="C16522" s="1007">
        <f t="shared" si="387"/>
        <v>167</v>
      </c>
      <c r="D16522" s="1014"/>
      <c r="I16522" s="1011" t="str">
        <f>CONCATENATE("&lt;numeroLigne&gt;",C16522,"&lt;/numeroLigne&gt;")</f>
        <v>&lt;numeroLigne&gt;167&lt;/numeroLigne&gt;</v>
      </c>
      <c r="K16522" s="1013"/>
    </row>
    <row r="16523" spans="1:11" s="1011" customFormat="1" ht="15" x14ac:dyDescent="0.25">
      <c r="A16523" s="859">
        <f t="shared" si="388"/>
        <v>16522</v>
      </c>
      <c r="B16523" s="845" t="s">
        <v>2564</v>
      </c>
      <c r="C16523" s="1007">
        <f t="shared" si="387"/>
        <v>167</v>
      </c>
      <c r="D16523" s="1012"/>
      <c r="H16523" s="1011" t="s">
        <v>1010</v>
      </c>
      <c r="K16523" s="1013"/>
    </row>
    <row r="16524" spans="1:11" s="1011" customFormat="1" ht="15" x14ac:dyDescent="0.25">
      <c r="A16524" s="859">
        <f t="shared" si="388"/>
        <v>16523</v>
      </c>
      <c r="B16524" s="845" t="s">
        <v>2564</v>
      </c>
      <c r="C16524" s="1007">
        <f t="shared" si="387"/>
        <v>167</v>
      </c>
      <c r="D16524" s="1015"/>
      <c r="H16524" s="1011" t="s">
        <v>1007</v>
      </c>
      <c r="K16524" s="1013"/>
    </row>
    <row r="16525" spans="1:11" s="1011" customFormat="1" ht="15" x14ac:dyDescent="0.25">
      <c r="A16525" s="859">
        <f t="shared" si="388"/>
        <v>16524</v>
      </c>
      <c r="B16525" s="845" t="s">
        <v>2564</v>
      </c>
      <c r="C16525" s="1007">
        <f t="shared" si="387"/>
        <v>167</v>
      </c>
      <c r="D16525" s="1012"/>
      <c r="I16525" s="1011" t="s">
        <v>2181</v>
      </c>
      <c r="K16525" s="1013"/>
    </row>
    <row r="16526" spans="1:11" s="1011" customFormat="1" ht="15" x14ac:dyDescent="0.25">
      <c r="A16526" s="859">
        <f t="shared" si="388"/>
        <v>16525</v>
      </c>
      <c r="B16526" s="845" t="s">
        <v>2564</v>
      </c>
      <c r="C16526" s="1007">
        <f t="shared" si="387"/>
        <v>167</v>
      </c>
      <c r="D16526" s="1012"/>
      <c r="I16526" s="1011" t="str">
        <f>CONCATENATE("&lt;valeur&gt;",VLOOKUP(C16526,'T16 Amort'!A:K,9,0),"&lt;/valeur&gt;")</f>
        <v>&lt;valeur&gt;&lt;/valeur&gt;</v>
      </c>
      <c r="K16526" s="1013"/>
    </row>
    <row r="16527" spans="1:11" s="1011" customFormat="1" ht="15" x14ac:dyDescent="0.25">
      <c r="A16527" s="859">
        <f t="shared" si="388"/>
        <v>16526</v>
      </c>
      <c r="B16527" s="845" t="s">
        <v>2564</v>
      </c>
      <c r="C16527" s="1007">
        <f t="shared" si="387"/>
        <v>167</v>
      </c>
      <c r="D16527" s="1014"/>
      <c r="I16527" s="1011" t="str">
        <f>CONCATENATE("&lt;numeroLigne&gt;",C16527,"&lt;/numeroLigne&gt;")</f>
        <v>&lt;numeroLigne&gt;167&lt;/numeroLigne&gt;</v>
      </c>
      <c r="K16527" s="1013"/>
    </row>
    <row r="16528" spans="1:11" s="1011" customFormat="1" ht="15" x14ac:dyDescent="0.25">
      <c r="A16528" s="859">
        <f t="shared" si="388"/>
        <v>16527</v>
      </c>
      <c r="B16528" s="845" t="s">
        <v>2564</v>
      </c>
      <c r="C16528" s="1007">
        <f t="shared" si="387"/>
        <v>167</v>
      </c>
      <c r="D16528" s="1014"/>
      <c r="H16528" s="1011" t="s">
        <v>1010</v>
      </c>
      <c r="K16528" s="1013"/>
    </row>
    <row r="16529" spans="1:11" s="1011" customFormat="1" ht="15" x14ac:dyDescent="0.25">
      <c r="A16529" s="859">
        <f t="shared" si="388"/>
        <v>16528</v>
      </c>
      <c r="B16529" s="845" t="s">
        <v>2564</v>
      </c>
      <c r="C16529" s="1007">
        <f t="shared" si="387"/>
        <v>167</v>
      </c>
      <c r="D16529" s="1012"/>
      <c r="H16529" s="1011" t="s">
        <v>1007</v>
      </c>
      <c r="K16529" s="1013"/>
    </row>
    <row r="16530" spans="1:11" s="1011" customFormat="1" ht="15" x14ac:dyDescent="0.25">
      <c r="A16530" s="859">
        <f t="shared" si="388"/>
        <v>16529</v>
      </c>
      <c r="B16530" s="845" t="s">
        <v>2564</v>
      </c>
      <c r="C16530" s="1007">
        <f t="shared" si="387"/>
        <v>167</v>
      </c>
      <c r="D16530" s="1015"/>
      <c r="I16530" s="1011" t="s">
        <v>2182</v>
      </c>
      <c r="K16530" s="1013"/>
    </row>
    <row r="16531" spans="1:11" s="1011" customFormat="1" ht="15" x14ac:dyDescent="0.25">
      <c r="A16531" s="859">
        <f t="shared" si="388"/>
        <v>16530</v>
      </c>
      <c r="B16531" s="845" t="s">
        <v>2564</v>
      </c>
      <c r="C16531" s="1007">
        <f t="shared" si="387"/>
        <v>167</v>
      </c>
      <c r="D16531" s="1012"/>
      <c r="I16531" s="1011" t="str">
        <f>CONCATENATE("&lt;valeur&gt;",VLOOKUP(C16531,'T16 Amort'!A:K,10,0),"&lt;/valeur&gt;")</f>
        <v>&lt;valeur&gt;&lt;/valeur&gt;</v>
      </c>
      <c r="K16531" s="1013"/>
    </row>
    <row r="16532" spans="1:11" s="1011" customFormat="1" ht="15" x14ac:dyDescent="0.25">
      <c r="A16532" s="859">
        <f t="shared" si="388"/>
        <v>16531</v>
      </c>
      <c r="B16532" s="845" t="s">
        <v>2564</v>
      </c>
      <c r="C16532" s="1007">
        <f t="shared" si="387"/>
        <v>167</v>
      </c>
      <c r="D16532" s="1012"/>
      <c r="I16532" s="1011" t="str">
        <f>CONCATENATE("&lt;numeroLigne&gt;",C16532,"&lt;/numeroLigne&gt;")</f>
        <v>&lt;numeroLigne&gt;167&lt;/numeroLigne&gt;</v>
      </c>
      <c r="K16532" s="1013"/>
    </row>
    <row r="16533" spans="1:11" s="1011" customFormat="1" ht="15" x14ac:dyDescent="0.25">
      <c r="A16533" s="859">
        <f t="shared" si="388"/>
        <v>16532</v>
      </c>
      <c r="B16533" s="845" t="s">
        <v>2564</v>
      </c>
      <c r="C16533" s="1007">
        <f t="shared" si="387"/>
        <v>167</v>
      </c>
      <c r="D16533" s="1014"/>
      <c r="H16533" s="1011" t="s">
        <v>1010</v>
      </c>
      <c r="K16533" s="1013"/>
    </row>
    <row r="16534" spans="1:11" s="1011" customFormat="1" ht="15" x14ac:dyDescent="0.25">
      <c r="A16534" s="859">
        <f t="shared" si="388"/>
        <v>16533</v>
      </c>
      <c r="B16534" s="845" t="s">
        <v>2564</v>
      </c>
      <c r="C16534" s="1007">
        <f t="shared" si="387"/>
        <v>167</v>
      </c>
      <c r="D16534" s="1014"/>
      <c r="H16534" s="1011" t="s">
        <v>1007</v>
      </c>
      <c r="K16534" s="1013"/>
    </row>
    <row r="16535" spans="1:11" s="1011" customFormat="1" ht="15" x14ac:dyDescent="0.25">
      <c r="A16535" s="859">
        <f t="shared" si="388"/>
        <v>16534</v>
      </c>
      <c r="B16535" s="845" t="s">
        <v>2564</v>
      </c>
      <c r="C16535" s="1007">
        <f t="shared" si="387"/>
        <v>167</v>
      </c>
      <c r="D16535" s="1012"/>
      <c r="I16535" s="1011" t="s">
        <v>2183</v>
      </c>
      <c r="K16535" s="1013"/>
    </row>
    <row r="16536" spans="1:11" s="1011" customFormat="1" ht="15" x14ac:dyDescent="0.25">
      <c r="A16536" s="859">
        <f t="shared" si="388"/>
        <v>16535</v>
      </c>
      <c r="B16536" s="845" t="s">
        <v>2564</v>
      </c>
      <c r="C16536" s="1007">
        <f t="shared" si="387"/>
        <v>167</v>
      </c>
      <c r="D16536" s="1015"/>
      <c r="I16536" s="1011" t="str">
        <f>CONCATENATE("&lt;valeur&gt;",VLOOKUP(C16536,'T16 Amort'!A:K,11,0),"&lt;/valeur&gt;")</f>
        <v>&lt;valeur&gt;&lt;/valeur&gt;</v>
      </c>
      <c r="K16536" s="1013"/>
    </row>
    <row r="16537" spans="1:11" s="1011" customFormat="1" ht="15" x14ac:dyDescent="0.25">
      <c r="A16537" s="859">
        <f t="shared" si="388"/>
        <v>16536</v>
      </c>
      <c r="B16537" s="845" t="s">
        <v>2564</v>
      </c>
      <c r="C16537" s="1007">
        <f t="shared" si="387"/>
        <v>167</v>
      </c>
      <c r="D16537" s="1012"/>
      <c r="I16537" s="1011" t="str">
        <f>CONCATENATE("&lt;numeroLigne&gt;",C16537,"&lt;/numeroLigne&gt;")</f>
        <v>&lt;numeroLigne&gt;167&lt;/numeroLigne&gt;</v>
      </c>
      <c r="K16537" s="1013"/>
    </row>
    <row r="16538" spans="1:11" s="1011" customFormat="1" ht="15" x14ac:dyDescent="0.25">
      <c r="A16538" s="859">
        <f t="shared" si="388"/>
        <v>16537</v>
      </c>
      <c r="B16538" s="845" t="s">
        <v>2564</v>
      </c>
      <c r="C16538" s="1007">
        <f t="shared" si="387"/>
        <v>167</v>
      </c>
      <c r="D16538" s="1016"/>
      <c r="E16538" s="1017"/>
      <c r="F16538" s="1017"/>
      <c r="G16538" s="1017"/>
      <c r="H16538" s="1017" t="s">
        <v>1010</v>
      </c>
      <c r="I16538" s="1017"/>
      <c r="J16538" s="1017"/>
      <c r="K16538" s="1018"/>
    </row>
    <row r="16539" spans="1:11" s="1011" customFormat="1" ht="15" x14ac:dyDescent="0.25">
      <c r="A16539" s="859">
        <f t="shared" si="388"/>
        <v>16538</v>
      </c>
      <c r="B16539" s="845" t="s">
        <v>2564</v>
      </c>
      <c r="C16539" s="1007">
        <f t="shared" si="387"/>
        <v>168</v>
      </c>
      <c r="D16539" s="1008"/>
      <c r="E16539" s="1009"/>
      <c r="F16539" s="1009"/>
      <c r="G16539" s="1009"/>
      <c r="H16539" s="1009" t="s">
        <v>1007</v>
      </c>
      <c r="I16539" s="1009"/>
      <c r="J16539" s="1009"/>
      <c r="K16539" s="1010"/>
    </row>
    <row r="16540" spans="1:11" s="1011" customFormat="1" ht="15" x14ac:dyDescent="0.25">
      <c r="A16540" s="859">
        <f t="shared" si="388"/>
        <v>16539</v>
      </c>
      <c r="B16540" s="845" t="s">
        <v>2564</v>
      </c>
      <c r="C16540" s="1007">
        <f t="shared" si="387"/>
        <v>168</v>
      </c>
      <c r="D16540" s="1012"/>
      <c r="I16540" s="1011" t="s">
        <v>2174</v>
      </c>
      <c r="K16540" s="1013"/>
    </row>
    <row r="16541" spans="1:11" s="1011" customFormat="1" ht="15" x14ac:dyDescent="0.25">
      <c r="A16541" s="859">
        <f t="shared" si="388"/>
        <v>16540</v>
      </c>
      <c r="B16541" s="845" t="s">
        <v>2564</v>
      </c>
      <c r="C16541" s="1007">
        <f t="shared" si="387"/>
        <v>168</v>
      </c>
      <c r="D16541" s="1014"/>
      <c r="I16541" s="1011" t="str">
        <f>CONCATENATE("&lt;valeur&gt;",VLOOKUP(C16541,'T16 Amort'!A:K,2,0),"&lt;/valeur&gt;")</f>
        <v>&lt;valeur&gt;&lt;/valeur&gt;</v>
      </c>
      <c r="K16541" s="1013"/>
    </row>
    <row r="16542" spans="1:11" s="1011" customFormat="1" ht="15" x14ac:dyDescent="0.25">
      <c r="A16542" s="859">
        <f t="shared" si="388"/>
        <v>16541</v>
      </c>
      <c r="B16542" s="845" t="s">
        <v>2564</v>
      </c>
      <c r="C16542" s="1007">
        <f t="shared" si="387"/>
        <v>168</v>
      </c>
      <c r="D16542" s="1014"/>
      <c r="I16542" s="1011" t="str">
        <f>CONCATENATE("&lt;numeroLigne&gt;",C16542,"&lt;/numeroLigne&gt;")</f>
        <v>&lt;numeroLigne&gt;168&lt;/numeroLigne&gt;</v>
      </c>
      <c r="K16542" s="1013"/>
    </row>
    <row r="16543" spans="1:11" s="1011" customFormat="1" ht="15" x14ac:dyDescent="0.25">
      <c r="A16543" s="859">
        <f t="shared" si="388"/>
        <v>16542</v>
      </c>
      <c r="B16543" s="845" t="s">
        <v>2564</v>
      </c>
      <c r="C16543" s="1007">
        <f t="shared" si="387"/>
        <v>168</v>
      </c>
      <c r="D16543" s="1012"/>
      <c r="H16543" s="1011" t="s">
        <v>1010</v>
      </c>
      <c r="K16543" s="1013"/>
    </row>
    <row r="16544" spans="1:11" s="1011" customFormat="1" ht="15" x14ac:dyDescent="0.25">
      <c r="A16544" s="859">
        <f t="shared" si="388"/>
        <v>16543</v>
      </c>
      <c r="B16544" s="845" t="s">
        <v>2564</v>
      </c>
      <c r="C16544" s="1007">
        <f t="shared" si="387"/>
        <v>168</v>
      </c>
      <c r="D16544" s="1015"/>
      <c r="H16544" s="1011" t="s">
        <v>1007</v>
      </c>
      <c r="K16544" s="1013"/>
    </row>
    <row r="16545" spans="1:11" s="1011" customFormat="1" ht="15" x14ac:dyDescent="0.25">
      <c r="A16545" s="859">
        <f t="shared" si="388"/>
        <v>16544</v>
      </c>
      <c r="B16545" s="845" t="s">
        <v>2564</v>
      </c>
      <c r="C16545" s="1007">
        <f t="shared" si="387"/>
        <v>168</v>
      </c>
      <c r="D16545" s="1012"/>
      <c r="I16545" s="1011" t="s">
        <v>2175</v>
      </c>
      <c r="K16545" s="1013"/>
    </row>
    <row r="16546" spans="1:11" s="1011" customFormat="1" ht="15" x14ac:dyDescent="0.25">
      <c r="A16546" s="859">
        <f t="shared" si="388"/>
        <v>16545</v>
      </c>
      <c r="B16546" s="845" t="s">
        <v>2564</v>
      </c>
      <c r="C16546" s="1007">
        <f t="shared" si="387"/>
        <v>168</v>
      </c>
      <c r="D16546" s="1012"/>
      <c r="I16546" s="1011" t="str">
        <f>CONCATENATE("&lt;valeur&gt;",VLOOKUP(C16546,'T16 Amort'!A:K,3,0),"&lt;/valeur&gt;")</f>
        <v>&lt;valeur&gt;&lt;/valeur&gt;</v>
      </c>
      <c r="K16546" s="1013"/>
    </row>
    <row r="16547" spans="1:11" s="1011" customFormat="1" ht="15" x14ac:dyDescent="0.25">
      <c r="A16547" s="859">
        <f t="shared" si="388"/>
        <v>16546</v>
      </c>
      <c r="B16547" s="845" t="s">
        <v>2564</v>
      </c>
      <c r="C16547" s="1007">
        <f t="shared" si="387"/>
        <v>168</v>
      </c>
      <c r="D16547" s="1014"/>
      <c r="I16547" s="1011" t="str">
        <f>CONCATENATE("&lt;numeroLigne&gt;",C16547,"&lt;/numeroLigne&gt;")</f>
        <v>&lt;numeroLigne&gt;168&lt;/numeroLigne&gt;</v>
      </c>
      <c r="K16547" s="1013"/>
    </row>
    <row r="16548" spans="1:11" s="1011" customFormat="1" ht="15" x14ac:dyDescent="0.25">
      <c r="A16548" s="859">
        <f t="shared" si="388"/>
        <v>16547</v>
      </c>
      <c r="B16548" s="845" t="s">
        <v>2564</v>
      </c>
      <c r="C16548" s="1007">
        <f t="shared" si="387"/>
        <v>168</v>
      </c>
      <c r="D16548" s="1014"/>
      <c r="H16548" s="1011" t="s">
        <v>1010</v>
      </c>
      <c r="K16548" s="1013"/>
    </row>
    <row r="16549" spans="1:11" s="1011" customFormat="1" ht="15" x14ac:dyDescent="0.25">
      <c r="A16549" s="859">
        <f t="shared" si="388"/>
        <v>16548</v>
      </c>
      <c r="B16549" s="845" t="s">
        <v>2564</v>
      </c>
      <c r="C16549" s="1007">
        <f t="shared" si="387"/>
        <v>168</v>
      </c>
      <c r="D16549" s="1012"/>
      <c r="H16549" s="1011" t="s">
        <v>1007</v>
      </c>
      <c r="K16549" s="1013"/>
    </row>
    <row r="16550" spans="1:11" s="1011" customFormat="1" ht="15" x14ac:dyDescent="0.25">
      <c r="A16550" s="859">
        <f t="shared" si="388"/>
        <v>16549</v>
      </c>
      <c r="B16550" s="845" t="s">
        <v>2564</v>
      </c>
      <c r="C16550" s="1007">
        <f t="shared" si="387"/>
        <v>168</v>
      </c>
      <c r="D16550" s="1015"/>
      <c r="I16550" s="1011" t="s">
        <v>2176</v>
      </c>
      <c r="K16550" s="1013"/>
    </row>
    <row r="16551" spans="1:11" s="1011" customFormat="1" ht="15" x14ac:dyDescent="0.25">
      <c r="A16551" s="859">
        <f t="shared" si="388"/>
        <v>16550</v>
      </c>
      <c r="B16551" s="845" t="s">
        <v>2564</v>
      </c>
      <c r="C16551" s="1007">
        <f t="shared" si="387"/>
        <v>168</v>
      </c>
      <c r="D16551" s="1012"/>
      <c r="I16551" s="1011" t="str">
        <f>CONCATENATE("&lt;valeur&gt;",VLOOKUP(C16551,'T16 Amort'!A:K,4,0),"&lt;/valeur&gt;")</f>
        <v>&lt;valeur&gt;&lt;/valeur&gt;</v>
      </c>
      <c r="K16551" s="1013"/>
    </row>
    <row r="16552" spans="1:11" s="1011" customFormat="1" ht="15" x14ac:dyDescent="0.25">
      <c r="A16552" s="859">
        <f t="shared" si="388"/>
        <v>16551</v>
      </c>
      <c r="B16552" s="845" t="s">
        <v>2564</v>
      </c>
      <c r="C16552" s="1007">
        <f t="shared" si="387"/>
        <v>168</v>
      </c>
      <c r="D16552" s="1012"/>
      <c r="I16552" s="1011" t="str">
        <f>CONCATENATE("&lt;numeroLigne&gt;",C16552,"&lt;/numeroLigne&gt;")</f>
        <v>&lt;numeroLigne&gt;168&lt;/numeroLigne&gt;</v>
      </c>
      <c r="K16552" s="1013"/>
    </row>
    <row r="16553" spans="1:11" s="1011" customFormat="1" ht="15" x14ac:dyDescent="0.25">
      <c r="A16553" s="859">
        <f t="shared" si="388"/>
        <v>16552</v>
      </c>
      <c r="B16553" s="845" t="s">
        <v>2564</v>
      </c>
      <c r="C16553" s="1007">
        <f t="shared" si="387"/>
        <v>168</v>
      </c>
      <c r="D16553" s="1014"/>
      <c r="H16553" s="1011" t="s">
        <v>1010</v>
      </c>
      <c r="K16553" s="1013"/>
    </row>
    <row r="16554" spans="1:11" s="1011" customFormat="1" ht="15" x14ac:dyDescent="0.25">
      <c r="A16554" s="859">
        <f t="shared" si="388"/>
        <v>16553</v>
      </c>
      <c r="B16554" s="845" t="s">
        <v>2564</v>
      </c>
      <c r="C16554" s="1007">
        <f t="shared" si="387"/>
        <v>168</v>
      </c>
      <c r="D16554" s="1014"/>
      <c r="H16554" s="1011" t="s">
        <v>1007</v>
      </c>
      <c r="K16554" s="1013"/>
    </row>
    <row r="16555" spans="1:11" s="1011" customFormat="1" ht="15" x14ac:dyDescent="0.25">
      <c r="A16555" s="859">
        <f t="shared" si="388"/>
        <v>16554</v>
      </c>
      <c r="B16555" s="845" t="s">
        <v>2564</v>
      </c>
      <c r="C16555" s="1007">
        <f t="shared" si="387"/>
        <v>168</v>
      </c>
      <c r="D16555" s="1012"/>
      <c r="I16555" s="1011" t="s">
        <v>2177</v>
      </c>
      <c r="K16555" s="1013"/>
    </row>
    <row r="16556" spans="1:11" s="1011" customFormat="1" ht="15" x14ac:dyDescent="0.25">
      <c r="A16556" s="859">
        <f t="shared" si="388"/>
        <v>16555</v>
      </c>
      <c r="B16556" s="845" t="s">
        <v>2564</v>
      </c>
      <c r="C16556" s="1007">
        <f t="shared" si="387"/>
        <v>168</v>
      </c>
      <c r="D16556" s="1015"/>
      <c r="I16556" s="1011" t="str">
        <f>CONCATENATE("&lt;valeur&gt;",VLOOKUP(C16556,'T16 Amort'!A:K,5,0),"&lt;/valeur&gt;")</f>
        <v>&lt;valeur&gt;&lt;/valeur&gt;</v>
      </c>
      <c r="K16556" s="1013"/>
    </row>
    <row r="16557" spans="1:11" s="1011" customFormat="1" ht="15" x14ac:dyDescent="0.25">
      <c r="A16557" s="859">
        <f t="shared" si="388"/>
        <v>16556</v>
      </c>
      <c r="B16557" s="845" t="s">
        <v>2564</v>
      </c>
      <c r="C16557" s="1007">
        <f t="shared" si="387"/>
        <v>168</v>
      </c>
      <c r="D16557" s="1012"/>
      <c r="I16557" s="1011" t="str">
        <f>CONCATENATE("&lt;numeroLigne&gt;",C16557,"&lt;/numeroLigne&gt;")</f>
        <v>&lt;numeroLigne&gt;168&lt;/numeroLigne&gt;</v>
      </c>
      <c r="K16557" s="1013"/>
    </row>
    <row r="16558" spans="1:11" s="1011" customFormat="1" ht="15" x14ac:dyDescent="0.25">
      <c r="A16558" s="859">
        <f t="shared" si="388"/>
        <v>16557</v>
      </c>
      <c r="B16558" s="845" t="s">
        <v>2564</v>
      </c>
      <c r="C16558" s="1007">
        <f t="shared" si="387"/>
        <v>168</v>
      </c>
      <c r="D16558" s="1012"/>
      <c r="H16558" s="1011" t="s">
        <v>1010</v>
      </c>
      <c r="K16558" s="1013"/>
    </row>
    <row r="16559" spans="1:11" s="1011" customFormat="1" ht="15" x14ac:dyDescent="0.25">
      <c r="A16559" s="859">
        <f t="shared" si="388"/>
        <v>16558</v>
      </c>
      <c r="B16559" s="845" t="s">
        <v>2564</v>
      </c>
      <c r="C16559" s="1007">
        <f t="shared" ref="C16559:C16622" si="389">C16509+1</f>
        <v>168</v>
      </c>
      <c r="D16559" s="1014"/>
      <c r="H16559" s="1011" t="s">
        <v>1007</v>
      </c>
      <c r="K16559" s="1013"/>
    </row>
    <row r="16560" spans="1:11" s="1011" customFormat="1" ht="15" x14ac:dyDescent="0.25">
      <c r="A16560" s="859">
        <f t="shared" si="388"/>
        <v>16559</v>
      </c>
      <c r="B16560" s="845" t="s">
        <v>2564</v>
      </c>
      <c r="C16560" s="1007">
        <f t="shared" si="389"/>
        <v>168</v>
      </c>
      <c r="D16560" s="1014"/>
      <c r="I16560" s="1011" t="s">
        <v>2178</v>
      </c>
      <c r="K16560" s="1013"/>
    </row>
    <row r="16561" spans="1:11" s="1011" customFormat="1" ht="15" x14ac:dyDescent="0.25">
      <c r="A16561" s="859">
        <f t="shared" si="388"/>
        <v>16560</v>
      </c>
      <c r="B16561" s="845" t="s">
        <v>2564</v>
      </c>
      <c r="C16561" s="1007">
        <f t="shared" si="389"/>
        <v>168</v>
      </c>
      <c r="D16561" s="1012"/>
      <c r="I16561" s="1011" t="str">
        <f>CONCATENATE("&lt;valeur&gt;",VLOOKUP(C16561,'T16 Amort'!A:K,6,0),"&lt;/valeur&gt;")</f>
        <v>&lt;valeur&gt;&lt;/valeur&gt;</v>
      </c>
      <c r="K16561" s="1013"/>
    </row>
    <row r="16562" spans="1:11" s="1011" customFormat="1" ht="15" x14ac:dyDescent="0.25">
      <c r="A16562" s="859">
        <f t="shared" si="388"/>
        <v>16561</v>
      </c>
      <c r="B16562" s="845" t="s">
        <v>2564</v>
      </c>
      <c r="C16562" s="1007">
        <f t="shared" si="389"/>
        <v>168</v>
      </c>
      <c r="D16562" s="1015"/>
      <c r="I16562" s="1011" t="str">
        <f>CONCATENATE("&lt;numeroLigne&gt;",C16562,"&lt;/numeroLigne&gt;")</f>
        <v>&lt;numeroLigne&gt;168&lt;/numeroLigne&gt;</v>
      </c>
      <c r="K16562" s="1013"/>
    </row>
    <row r="16563" spans="1:11" s="1011" customFormat="1" ht="15" x14ac:dyDescent="0.25">
      <c r="A16563" s="859">
        <f t="shared" si="388"/>
        <v>16562</v>
      </c>
      <c r="B16563" s="845" t="s">
        <v>2564</v>
      </c>
      <c r="C16563" s="1007">
        <f t="shared" si="389"/>
        <v>168</v>
      </c>
      <c r="D16563" s="1012"/>
      <c r="H16563" s="1011" t="s">
        <v>1010</v>
      </c>
      <c r="K16563" s="1013"/>
    </row>
    <row r="16564" spans="1:11" s="1011" customFormat="1" ht="15" x14ac:dyDescent="0.25">
      <c r="A16564" s="859">
        <f t="shared" si="388"/>
        <v>16563</v>
      </c>
      <c r="B16564" s="845" t="s">
        <v>2564</v>
      </c>
      <c r="C16564" s="1007">
        <f t="shared" si="389"/>
        <v>168</v>
      </c>
      <c r="D16564" s="1012"/>
      <c r="H16564" s="1011" t="s">
        <v>1007</v>
      </c>
      <c r="K16564" s="1013"/>
    </row>
    <row r="16565" spans="1:11" s="1011" customFormat="1" ht="15" x14ac:dyDescent="0.25">
      <c r="A16565" s="859">
        <f t="shared" si="388"/>
        <v>16564</v>
      </c>
      <c r="B16565" s="845" t="s">
        <v>2564</v>
      </c>
      <c r="C16565" s="1007">
        <f t="shared" si="389"/>
        <v>168</v>
      </c>
      <c r="D16565" s="1014"/>
      <c r="I16565" s="1011" t="s">
        <v>2179</v>
      </c>
      <c r="K16565" s="1013"/>
    </row>
    <row r="16566" spans="1:11" s="1011" customFormat="1" ht="15" x14ac:dyDescent="0.25">
      <c r="A16566" s="859">
        <f t="shared" si="388"/>
        <v>16565</v>
      </c>
      <c r="B16566" s="845" t="s">
        <v>2564</v>
      </c>
      <c r="C16566" s="1007">
        <f t="shared" si="389"/>
        <v>168</v>
      </c>
      <c r="D16566" s="1014"/>
      <c r="I16566" s="1011" t="str">
        <f>CONCATENATE("&lt;valeur&gt;",VLOOKUP(C16566,'T16 Amort'!A:K,7,0),"&lt;/valeur&gt;")</f>
        <v>&lt;valeur&gt;&lt;/valeur&gt;</v>
      </c>
      <c r="K16566" s="1013"/>
    </row>
    <row r="16567" spans="1:11" s="1011" customFormat="1" ht="15" x14ac:dyDescent="0.25">
      <c r="A16567" s="859">
        <f t="shared" si="388"/>
        <v>16566</v>
      </c>
      <c r="B16567" s="845" t="s">
        <v>2564</v>
      </c>
      <c r="C16567" s="1007">
        <f t="shared" si="389"/>
        <v>168</v>
      </c>
      <c r="D16567" s="1012"/>
      <c r="I16567" s="1011" t="str">
        <f>CONCATENATE("&lt;numeroLigne&gt;",C16567,"&lt;/numeroLigne&gt;")</f>
        <v>&lt;numeroLigne&gt;168&lt;/numeroLigne&gt;</v>
      </c>
      <c r="K16567" s="1013"/>
    </row>
    <row r="16568" spans="1:11" s="1011" customFormat="1" ht="15" x14ac:dyDescent="0.25">
      <c r="A16568" s="859">
        <f t="shared" si="388"/>
        <v>16567</v>
      </c>
      <c r="B16568" s="845" t="s">
        <v>2564</v>
      </c>
      <c r="C16568" s="1007">
        <f t="shared" si="389"/>
        <v>168</v>
      </c>
      <c r="D16568" s="1015"/>
      <c r="H16568" s="1011" t="s">
        <v>1010</v>
      </c>
      <c r="K16568" s="1013"/>
    </row>
    <row r="16569" spans="1:11" s="1011" customFormat="1" ht="15" x14ac:dyDescent="0.25">
      <c r="A16569" s="859">
        <f t="shared" si="388"/>
        <v>16568</v>
      </c>
      <c r="B16569" s="845" t="s">
        <v>2564</v>
      </c>
      <c r="C16569" s="1007">
        <f t="shared" si="389"/>
        <v>168</v>
      </c>
      <c r="D16569" s="1012"/>
      <c r="H16569" s="1011" t="s">
        <v>1007</v>
      </c>
      <c r="K16569" s="1013"/>
    </row>
    <row r="16570" spans="1:11" s="1011" customFormat="1" ht="15" x14ac:dyDescent="0.25">
      <c r="A16570" s="859">
        <f t="shared" si="388"/>
        <v>16569</v>
      </c>
      <c r="B16570" s="845" t="s">
        <v>2564</v>
      </c>
      <c r="C16570" s="1007">
        <f t="shared" si="389"/>
        <v>168</v>
      </c>
      <c r="D16570" s="1012"/>
      <c r="I16570" s="1011" t="s">
        <v>2180</v>
      </c>
      <c r="K16570" s="1013"/>
    </row>
    <row r="16571" spans="1:11" s="1011" customFormat="1" ht="15" x14ac:dyDescent="0.25">
      <c r="A16571" s="859">
        <f t="shared" si="388"/>
        <v>16570</v>
      </c>
      <c r="B16571" s="845" t="s">
        <v>2564</v>
      </c>
      <c r="C16571" s="1007">
        <f t="shared" si="389"/>
        <v>168</v>
      </c>
      <c r="D16571" s="1014"/>
      <c r="I16571" s="1011" t="str">
        <f>CONCATENATE("&lt;valeur&gt;",VLOOKUP(C16571,'T16 Amort'!A:K,8,0),"&lt;/valeur&gt;")</f>
        <v>&lt;valeur&gt;&lt;/valeur&gt;</v>
      </c>
      <c r="K16571" s="1013"/>
    </row>
    <row r="16572" spans="1:11" s="1011" customFormat="1" ht="15" x14ac:dyDescent="0.25">
      <c r="A16572" s="859">
        <f t="shared" si="388"/>
        <v>16571</v>
      </c>
      <c r="B16572" s="845" t="s">
        <v>2564</v>
      </c>
      <c r="C16572" s="1007">
        <f t="shared" si="389"/>
        <v>168</v>
      </c>
      <c r="D16572" s="1014"/>
      <c r="I16572" s="1011" t="str">
        <f>CONCATENATE("&lt;numeroLigne&gt;",C16572,"&lt;/numeroLigne&gt;")</f>
        <v>&lt;numeroLigne&gt;168&lt;/numeroLigne&gt;</v>
      </c>
      <c r="K16572" s="1013"/>
    </row>
    <row r="16573" spans="1:11" s="1011" customFormat="1" ht="15" x14ac:dyDescent="0.25">
      <c r="A16573" s="859">
        <f t="shared" si="388"/>
        <v>16572</v>
      </c>
      <c r="B16573" s="845" t="s">
        <v>2564</v>
      </c>
      <c r="C16573" s="1007">
        <f t="shared" si="389"/>
        <v>168</v>
      </c>
      <c r="D16573" s="1012"/>
      <c r="H16573" s="1011" t="s">
        <v>1010</v>
      </c>
      <c r="K16573" s="1013"/>
    </row>
    <row r="16574" spans="1:11" s="1011" customFormat="1" ht="15" x14ac:dyDescent="0.25">
      <c r="A16574" s="859">
        <f t="shared" si="388"/>
        <v>16573</v>
      </c>
      <c r="B16574" s="845" t="s">
        <v>2564</v>
      </c>
      <c r="C16574" s="1007">
        <f t="shared" si="389"/>
        <v>168</v>
      </c>
      <c r="D16574" s="1015"/>
      <c r="H16574" s="1011" t="s">
        <v>1007</v>
      </c>
      <c r="K16574" s="1013"/>
    </row>
    <row r="16575" spans="1:11" s="1011" customFormat="1" ht="15" x14ac:dyDescent="0.25">
      <c r="A16575" s="859">
        <f t="shared" si="388"/>
        <v>16574</v>
      </c>
      <c r="B16575" s="845" t="s">
        <v>2564</v>
      </c>
      <c r="C16575" s="1007">
        <f t="shared" si="389"/>
        <v>168</v>
      </c>
      <c r="D16575" s="1012"/>
      <c r="I16575" s="1011" t="s">
        <v>2181</v>
      </c>
      <c r="K16575" s="1013"/>
    </row>
    <row r="16576" spans="1:11" s="1011" customFormat="1" ht="15" x14ac:dyDescent="0.25">
      <c r="A16576" s="859">
        <f t="shared" si="388"/>
        <v>16575</v>
      </c>
      <c r="B16576" s="845" t="s">
        <v>2564</v>
      </c>
      <c r="C16576" s="1007">
        <f t="shared" si="389"/>
        <v>168</v>
      </c>
      <c r="D16576" s="1012"/>
      <c r="I16576" s="1011" t="str">
        <f>CONCATENATE("&lt;valeur&gt;",VLOOKUP(C16576,'T16 Amort'!A:K,9,0),"&lt;/valeur&gt;")</f>
        <v>&lt;valeur&gt;&lt;/valeur&gt;</v>
      </c>
      <c r="K16576" s="1013"/>
    </row>
    <row r="16577" spans="1:11" s="1011" customFormat="1" ht="15" x14ac:dyDescent="0.25">
      <c r="A16577" s="859">
        <f t="shared" si="388"/>
        <v>16576</v>
      </c>
      <c r="B16577" s="845" t="s">
        <v>2564</v>
      </c>
      <c r="C16577" s="1007">
        <f t="shared" si="389"/>
        <v>168</v>
      </c>
      <c r="D16577" s="1014"/>
      <c r="I16577" s="1011" t="str">
        <f>CONCATENATE("&lt;numeroLigne&gt;",C16577,"&lt;/numeroLigne&gt;")</f>
        <v>&lt;numeroLigne&gt;168&lt;/numeroLigne&gt;</v>
      </c>
      <c r="K16577" s="1013"/>
    </row>
    <row r="16578" spans="1:11" s="1011" customFormat="1" ht="15" x14ac:dyDescent="0.25">
      <c r="A16578" s="859">
        <f t="shared" si="388"/>
        <v>16577</v>
      </c>
      <c r="B16578" s="845" t="s">
        <v>2564</v>
      </c>
      <c r="C16578" s="1007">
        <f t="shared" si="389"/>
        <v>168</v>
      </c>
      <c r="D16578" s="1014"/>
      <c r="H16578" s="1011" t="s">
        <v>1010</v>
      </c>
      <c r="K16578" s="1013"/>
    </row>
    <row r="16579" spans="1:11" s="1011" customFormat="1" ht="15" x14ac:dyDescent="0.25">
      <c r="A16579" s="859">
        <f t="shared" si="388"/>
        <v>16578</v>
      </c>
      <c r="B16579" s="845" t="s">
        <v>2564</v>
      </c>
      <c r="C16579" s="1007">
        <f t="shared" si="389"/>
        <v>168</v>
      </c>
      <c r="D16579" s="1012"/>
      <c r="H16579" s="1011" t="s">
        <v>1007</v>
      </c>
      <c r="K16579" s="1013"/>
    </row>
    <row r="16580" spans="1:11" s="1011" customFormat="1" ht="15" x14ac:dyDescent="0.25">
      <c r="A16580" s="859">
        <f t="shared" ref="A16580:A16643" si="390">+A16579+1</f>
        <v>16579</v>
      </c>
      <c r="B16580" s="845" t="s">
        <v>2564</v>
      </c>
      <c r="C16580" s="1007">
        <f t="shared" si="389"/>
        <v>168</v>
      </c>
      <c r="D16580" s="1015"/>
      <c r="I16580" s="1011" t="s">
        <v>2182</v>
      </c>
      <c r="K16580" s="1013"/>
    </row>
    <row r="16581" spans="1:11" s="1011" customFormat="1" ht="15" x14ac:dyDescent="0.25">
      <c r="A16581" s="859">
        <f t="shared" si="390"/>
        <v>16580</v>
      </c>
      <c r="B16581" s="845" t="s">
        <v>2564</v>
      </c>
      <c r="C16581" s="1007">
        <f t="shared" si="389"/>
        <v>168</v>
      </c>
      <c r="D16581" s="1012"/>
      <c r="I16581" s="1011" t="str">
        <f>CONCATENATE("&lt;valeur&gt;",VLOOKUP(C16581,'T16 Amort'!A:K,10,0),"&lt;/valeur&gt;")</f>
        <v>&lt;valeur&gt;&lt;/valeur&gt;</v>
      </c>
      <c r="K16581" s="1013"/>
    </row>
    <row r="16582" spans="1:11" s="1011" customFormat="1" ht="15" x14ac:dyDescent="0.25">
      <c r="A16582" s="859">
        <f t="shared" si="390"/>
        <v>16581</v>
      </c>
      <c r="B16582" s="845" t="s">
        <v>2564</v>
      </c>
      <c r="C16582" s="1007">
        <f t="shared" si="389"/>
        <v>168</v>
      </c>
      <c r="D16582" s="1012"/>
      <c r="I16582" s="1011" t="str">
        <f>CONCATENATE("&lt;numeroLigne&gt;",C16582,"&lt;/numeroLigne&gt;")</f>
        <v>&lt;numeroLigne&gt;168&lt;/numeroLigne&gt;</v>
      </c>
      <c r="K16582" s="1013"/>
    </row>
    <row r="16583" spans="1:11" s="1011" customFormat="1" ht="15" x14ac:dyDescent="0.25">
      <c r="A16583" s="859">
        <f t="shared" si="390"/>
        <v>16582</v>
      </c>
      <c r="B16583" s="845" t="s">
        <v>2564</v>
      </c>
      <c r="C16583" s="1007">
        <f t="shared" si="389"/>
        <v>168</v>
      </c>
      <c r="D16583" s="1014"/>
      <c r="H16583" s="1011" t="s">
        <v>1010</v>
      </c>
      <c r="K16583" s="1013"/>
    </row>
    <row r="16584" spans="1:11" s="1011" customFormat="1" ht="15" x14ac:dyDescent="0.25">
      <c r="A16584" s="859">
        <f t="shared" si="390"/>
        <v>16583</v>
      </c>
      <c r="B16584" s="845" t="s">
        <v>2564</v>
      </c>
      <c r="C16584" s="1007">
        <f t="shared" si="389"/>
        <v>168</v>
      </c>
      <c r="D16584" s="1014"/>
      <c r="H16584" s="1011" t="s">
        <v>1007</v>
      </c>
      <c r="K16584" s="1013"/>
    </row>
    <row r="16585" spans="1:11" s="1011" customFormat="1" ht="15" x14ac:dyDescent="0.25">
      <c r="A16585" s="859">
        <f t="shared" si="390"/>
        <v>16584</v>
      </c>
      <c r="B16585" s="845" t="s">
        <v>2564</v>
      </c>
      <c r="C16585" s="1007">
        <f t="shared" si="389"/>
        <v>168</v>
      </c>
      <c r="D16585" s="1012"/>
      <c r="I16585" s="1011" t="s">
        <v>2183</v>
      </c>
      <c r="K16585" s="1013"/>
    </row>
    <row r="16586" spans="1:11" s="1011" customFormat="1" ht="15" x14ac:dyDescent="0.25">
      <c r="A16586" s="859">
        <f t="shared" si="390"/>
        <v>16585</v>
      </c>
      <c r="B16586" s="845" t="s">
        <v>2564</v>
      </c>
      <c r="C16586" s="1007">
        <f t="shared" si="389"/>
        <v>168</v>
      </c>
      <c r="D16586" s="1015"/>
      <c r="I16586" s="1011" t="str">
        <f>CONCATENATE("&lt;valeur&gt;",VLOOKUP(C16586,'T16 Amort'!A:K,11,0),"&lt;/valeur&gt;")</f>
        <v>&lt;valeur&gt;&lt;/valeur&gt;</v>
      </c>
      <c r="K16586" s="1013"/>
    </row>
    <row r="16587" spans="1:11" s="1011" customFormat="1" ht="15" x14ac:dyDescent="0.25">
      <c r="A16587" s="859">
        <f t="shared" si="390"/>
        <v>16586</v>
      </c>
      <c r="B16587" s="845" t="s">
        <v>2564</v>
      </c>
      <c r="C16587" s="1007">
        <f t="shared" si="389"/>
        <v>168</v>
      </c>
      <c r="D16587" s="1012"/>
      <c r="I16587" s="1011" t="str">
        <f>CONCATENATE("&lt;numeroLigne&gt;",C16587,"&lt;/numeroLigne&gt;")</f>
        <v>&lt;numeroLigne&gt;168&lt;/numeroLigne&gt;</v>
      </c>
      <c r="K16587" s="1013"/>
    </row>
    <row r="16588" spans="1:11" s="1011" customFormat="1" ht="15" x14ac:dyDescent="0.25">
      <c r="A16588" s="859">
        <f t="shared" si="390"/>
        <v>16587</v>
      </c>
      <c r="B16588" s="845" t="s">
        <v>2564</v>
      </c>
      <c r="C16588" s="1007">
        <f t="shared" si="389"/>
        <v>168</v>
      </c>
      <c r="D16588" s="1016"/>
      <c r="E16588" s="1017"/>
      <c r="F16588" s="1017"/>
      <c r="G16588" s="1017"/>
      <c r="H16588" s="1017" t="s">
        <v>1010</v>
      </c>
      <c r="I16588" s="1017"/>
      <c r="J16588" s="1017"/>
      <c r="K16588" s="1018"/>
    </row>
    <row r="16589" spans="1:11" s="1011" customFormat="1" ht="15" x14ac:dyDescent="0.25">
      <c r="A16589" s="859">
        <f t="shared" si="390"/>
        <v>16588</v>
      </c>
      <c r="B16589" s="845" t="s">
        <v>2564</v>
      </c>
      <c r="C16589" s="1007">
        <f t="shared" si="389"/>
        <v>169</v>
      </c>
      <c r="D16589" s="1008"/>
      <c r="E16589" s="1009"/>
      <c r="F16589" s="1009"/>
      <c r="G16589" s="1009"/>
      <c r="H16589" s="1009" t="s">
        <v>1007</v>
      </c>
      <c r="I16589" s="1009"/>
      <c r="J16589" s="1009"/>
      <c r="K16589" s="1010"/>
    </row>
    <row r="16590" spans="1:11" s="1011" customFormat="1" ht="15" x14ac:dyDescent="0.25">
      <c r="A16590" s="859">
        <f t="shared" si="390"/>
        <v>16589</v>
      </c>
      <c r="B16590" s="845" t="s">
        <v>2564</v>
      </c>
      <c r="C16590" s="1007">
        <f t="shared" si="389"/>
        <v>169</v>
      </c>
      <c r="D16590" s="1012"/>
      <c r="I16590" s="1011" t="s">
        <v>2174</v>
      </c>
      <c r="K16590" s="1013"/>
    </row>
    <row r="16591" spans="1:11" s="1011" customFormat="1" ht="15" x14ac:dyDescent="0.25">
      <c r="A16591" s="859">
        <f t="shared" si="390"/>
        <v>16590</v>
      </c>
      <c r="B16591" s="845" t="s">
        <v>2564</v>
      </c>
      <c r="C16591" s="1007">
        <f t="shared" si="389"/>
        <v>169</v>
      </c>
      <c r="D16591" s="1014"/>
      <c r="I16591" s="1011" t="str">
        <f>CONCATENATE("&lt;valeur&gt;",VLOOKUP(C16591,'T16 Amort'!A:K,2,0),"&lt;/valeur&gt;")</f>
        <v>&lt;valeur&gt;&lt;/valeur&gt;</v>
      </c>
      <c r="K16591" s="1013"/>
    </row>
    <row r="16592" spans="1:11" s="1011" customFormat="1" ht="15" x14ac:dyDescent="0.25">
      <c r="A16592" s="859">
        <f t="shared" si="390"/>
        <v>16591</v>
      </c>
      <c r="B16592" s="845" t="s">
        <v>2564</v>
      </c>
      <c r="C16592" s="1007">
        <f t="shared" si="389"/>
        <v>169</v>
      </c>
      <c r="D16592" s="1014"/>
      <c r="I16592" s="1011" t="str">
        <f>CONCATENATE("&lt;numeroLigne&gt;",C16592,"&lt;/numeroLigne&gt;")</f>
        <v>&lt;numeroLigne&gt;169&lt;/numeroLigne&gt;</v>
      </c>
      <c r="K16592" s="1013"/>
    </row>
    <row r="16593" spans="1:11" s="1011" customFormat="1" ht="15" x14ac:dyDescent="0.25">
      <c r="A16593" s="859">
        <f t="shared" si="390"/>
        <v>16592</v>
      </c>
      <c r="B16593" s="845" t="s">
        <v>2564</v>
      </c>
      <c r="C16593" s="1007">
        <f t="shared" si="389"/>
        <v>169</v>
      </c>
      <c r="D16593" s="1012"/>
      <c r="H16593" s="1011" t="s">
        <v>1010</v>
      </c>
      <c r="K16593" s="1013"/>
    </row>
    <row r="16594" spans="1:11" s="1011" customFormat="1" ht="15" x14ac:dyDescent="0.25">
      <c r="A16594" s="859">
        <f t="shared" si="390"/>
        <v>16593</v>
      </c>
      <c r="B16594" s="845" t="s">
        <v>2564</v>
      </c>
      <c r="C16594" s="1007">
        <f t="shared" si="389"/>
        <v>169</v>
      </c>
      <c r="D16594" s="1015"/>
      <c r="H16594" s="1011" t="s">
        <v>1007</v>
      </c>
      <c r="K16594" s="1013"/>
    </row>
    <row r="16595" spans="1:11" s="1011" customFormat="1" ht="15" x14ac:dyDescent="0.25">
      <c r="A16595" s="859">
        <f t="shared" si="390"/>
        <v>16594</v>
      </c>
      <c r="B16595" s="845" t="s">
        <v>2564</v>
      </c>
      <c r="C16595" s="1007">
        <f t="shared" si="389"/>
        <v>169</v>
      </c>
      <c r="D16595" s="1012"/>
      <c r="I16595" s="1011" t="s">
        <v>2175</v>
      </c>
      <c r="K16595" s="1013"/>
    </row>
    <row r="16596" spans="1:11" s="1011" customFormat="1" ht="15" x14ac:dyDescent="0.25">
      <c r="A16596" s="859">
        <f t="shared" si="390"/>
        <v>16595</v>
      </c>
      <c r="B16596" s="845" t="s">
        <v>2564</v>
      </c>
      <c r="C16596" s="1007">
        <f t="shared" si="389"/>
        <v>169</v>
      </c>
      <c r="D16596" s="1012"/>
      <c r="I16596" s="1011" t="str">
        <f>CONCATENATE("&lt;valeur&gt;",VLOOKUP(C16596,'T16 Amort'!A:K,3,0),"&lt;/valeur&gt;")</f>
        <v>&lt;valeur&gt;&lt;/valeur&gt;</v>
      </c>
      <c r="K16596" s="1013"/>
    </row>
    <row r="16597" spans="1:11" s="1011" customFormat="1" ht="15" x14ac:dyDescent="0.25">
      <c r="A16597" s="859">
        <f t="shared" si="390"/>
        <v>16596</v>
      </c>
      <c r="B16597" s="845" t="s">
        <v>2564</v>
      </c>
      <c r="C16597" s="1007">
        <f t="shared" si="389"/>
        <v>169</v>
      </c>
      <c r="D16597" s="1014"/>
      <c r="I16597" s="1011" t="str">
        <f>CONCATENATE("&lt;numeroLigne&gt;",C16597,"&lt;/numeroLigne&gt;")</f>
        <v>&lt;numeroLigne&gt;169&lt;/numeroLigne&gt;</v>
      </c>
      <c r="K16597" s="1013"/>
    </row>
    <row r="16598" spans="1:11" s="1011" customFormat="1" ht="15" x14ac:dyDescent="0.25">
      <c r="A16598" s="859">
        <f t="shared" si="390"/>
        <v>16597</v>
      </c>
      <c r="B16598" s="845" t="s">
        <v>2564</v>
      </c>
      <c r="C16598" s="1007">
        <f t="shared" si="389"/>
        <v>169</v>
      </c>
      <c r="D16598" s="1014"/>
      <c r="H16598" s="1011" t="s">
        <v>1010</v>
      </c>
      <c r="K16598" s="1013"/>
    </row>
    <row r="16599" spans="1:11" s="1011" customFormat="1" ht="15" x14ac:dyDescent="0.25">
      <c r="A16599" s="859">
        <f t="shared" si="390"/>
        <v>16598</v>
      </c>
      <c r="B16599" s="845" t="s">
        <v>2564</v>
      </c>
      <c r="C16599" s="1007">
        <f t="shared" si="389"/>
        <v>169</v>
      </c>
      <c r="D16599" s="1012"/>
      <c r="H16599" s="1011" t="s">
        <v>1007</v>
      </c>
      <c r="K16599" s="1013"/>
    </row>
    <row r="16600" spans="1:11" s="1011" customFormat="1" ht="15" x14ac:dyDescent="0.25">
      <c r="A16600" s="859">
        <f t="shared" si="390"/>
        <v>16599</v>
      </c>
      <c r="B16600" s="845" t="s">
        <v>2564</v>
      </c>
      <c r="C16600" s="1007">
        <f t="shared" si="389"/>
        <v>169</v>
      </c>
      <c r="D16600" s="1015"/>
      <c r="I16600" s="1011" t="s">
        <v>2176</v>
      </c>
      <c r="K16600" s="1013"/>
    </row>
    <row r="16601" spans="1:11" s="1011" customFormat="1" ht="15" x14ac:dyDescent="0.25">
      <c r="A16601" s="859">
        <f t="shared" si="390"/>
        <v>16600</v>
      </c>
      <c r="B16601" s="845" t="s">
        <v>2564</v>
      </c>
      <c r="C16601" s="1007">
        <f t="shared" si="389"/>
        <v>169</v>
      </c>
      <c r="D16601" s="1012"/>
      <c r="I16601" s="1011" t="str">
        <f>CONCATENATE("&lt;valeur&gt;",VLOOKUP(C16601,'T16 Amort'!A:K,4,0),"&lt;/valeur&gt;")</f>
        <v>&lt;valeur&gt;&lt;/valeur&gt;</v>
      </c>
      <c r="K16601" s="1013"/>
    </row>
    <row r="16602" spans="1:11" s="1011" customFormat="1" ht="15" x14ac:dyDescent="0.25">
      <c r="A16602" s="859">
        <f t="shared" si="390"/>
        <v>16601</v>
      </c>
      <c r="B16602" s="845" t="s">
        <v>2564</v>
      </c>
      <c r="C16602" s="1007">
        <f t="shared" si="389"/>
        <v>169</v>
      </c>
      <c r="D16602" s="1012"/>
      <c r="I16602" s="1011" t="str">
        <f>CONCATENATE("&lt;numeroLigne&gt;",C16602,"&lt;/numeroLigne&gt;")</f>
        <v>&lt;numeroLigne&gt;169&lt;/numeroLigne&gt;</v>
      </c>
      <c r="K16602" s="1013"/>
    </row>
    <row r="16603" spans="1:11" s="1011" customFormat="1" ht="15" x14ac:dyDescent="0.25">
      <c r="A16603" s="859">
        <f t="shared" si="390"/>
        <v>16602</v>
      </c>
      <c r="B16603" s="845" t="s">
        <v>2564</v>
      </c>
      <c r="C16603" s="1007">
        <f t="shared" si="389"/>
        <v>169</v>
      </c>
      <c r="D16603" s="1014"/>
      <c r="H16603" s="1011" t="s">
        <v>1010</v>
      </c>
      <c r="K16603" s="1013"/>
    </row>
    <row r="16604" spans="1:11" s="1011" customFormat="1" ht="15" x14ac:dyDescent="0.25">
      <c r="A16604" s="859">
        <f t="shared" si="390"/>
        <v>16603</v>
      </c>
      <c r="B16604" s="845" t="s">
        <v>2564</v>
      </c>
      <c r="C16604" s="1007">
        <f t="shared" si="389"/>
        <v>169</v>
      </c>
      <c r="D16604" s="1014"/>
      <c r="H16604" s="1011" t="s">
        <v>1007</v>
      </c>
      <c r="K16604" s="1013"/>
    </row>
    <row r="16605" spans="1:11" s="1011" customFormat="1" ht="15" x14ac:dyDescent="0.25">
      <c r="A16605" s="859">
        <f t="shared" si="390"/>
        <v>16604</v>
      </c>
      <c r="B16605" s="845" t="s">
        <v>2564</v>
      </c>
      <c r="C16605" s="1007">
        <f t="shared" si="389"/>
        <v>169</v>
      </c>
      <c r="D16605" s="1012"/>
      <c r="I16605" s="1011" t="s">
        <v>2177</v>
      </c>
      <c r="K16605" s="1013"/>
    </row>
    <row r="16606" spans="1:11" s="1011" customFormat="1" ht="15" x14ac:dyDescent="0.25">
      <c r="A16606" s="859">
        <f t="shared" si="390"/>
        <v>16605</v>
      </c>
      <c r="B16606" s="845" t="s">
        <v>2564</v>
      </c>
      <c r="C16606" s="1007">
        <f t="shared" si="389"/>
        <v>169</v>
      </c>
      <c r="D16606" s="1015"/>
      <c r="I16606" s="1011" t="str">
        <f>CONCATENATE("&lt;valeur&gt;",VLOOKUP(C16606,'T16 Amort'!A:K,5,0),"&lt;/valeur&gt;")</f>
        <v>&lt;valeur&gt;&lt;/valeur&gt;</v>
      </c>
      <c r="K16606" s="1013"/>
    </row>
    <row r="16607" spans="1:11" s="1011" customFormat="1" ht="15" x14ac:dyDescent="0.25">
      <c r="A16607" s="859">
        <f t="shared" si="390"/>
        <v>16606</v>
      </c>
      <c r="B16607" s="845" t="s">
        <v>2564</v>
      </c>
      <c r="C16607" s="1007">
        <f t="shared" si="389"/>
        <v>169</v>
      </c>
      <c r="D16607" s="1012"/>
      <c r="I16607" s="1011" t="str">
        <f>CONCATENATE("&lt;numeroLigne&gt;",C16607,"&lt;/numeroLigne&gt;")</f>
        <v>&lt;numeroLigne&gt;169&lt;/numeroLigne&gt;</v>
      </c>
      <c r="K16607" s="1013"/>
    </row>
    <row r="16608" spans="1:11" s="1011" customFormat="1" ht="15" x14ac:dyDescent="0.25">
      <c r="A16608" s="859">
        <f t="shared" si="390"/>
        <v>16607</v>
      </c>
      <c r="B16608" s="845" t="s">
        <v>2564</v>
      </c>
      <c r="C16608" s="1007">
        <f t="shared" si="389"/>
        <v>169</v>
      </c>
      <c r="D16608" s="1012"/>
      <c r="H16608" s="1011" t="s">
        <v>1010</v>
      </c>
      <c r="K16608" s="1013"/>
    </row>
    <row r="16609" spans="1:11" s="1011" customFormat="1" ht="15" x14ac:dyDescent="0.25">
      <c r="A16609" s="859">
        <f t="shared" si="390"/>
        <v>16608</v>
      </c>
      <c r="B16609" s="845" t="s">
        <v>2564</v>
      </c>
      <c r="C16609" s="1007">
        <f t="shared" si="389"/>
        <v>169</v>
      </c>
      <c r="D16609" s="1014"/>
      <c r="H16609" s="1011" t="s">
        <v>1007</v>
      </c>
      <c r="K16609" s="1013"/>
    </row>
    <row r="16610" spans="1:11" s="1011" customFormat="1" ht="15" x14ac:dyDescent="0.25">
      <c r="A16610" s="859">
        <f t="shared" si="390"/>
        <v>16609</v>
      </c>
      <c r="B16610" s="845" t="s">
        <v>2564</v>
      </c>
      <c r="C16610" s="1007">
        <f t="shared" si="389"/>
        <v>169</v>
      </c>
      <c r="D16610" s="1014"/>
      <c r="I16610" s="1011" t="s">
        <v>2178</v>
      </c>
      <c r="K16610" s="1013"/>
    </row>
    <row r="16611" spans="1:11" s="1011" customFormat="1" ht="15" x14ac:dyDescent="0.25">
      <c r="A16611" s="859">
        <f t="shared" si="390"/>
        <v>16610</v>
      </c>
      <c r="B16611" s="845" t="s">
        <v>2564</v>
      </c>
      <c r="C16611" s="1007">
        <f t="shared" si="389"/>
        <v>169</v>
      </c>
      <c r="D16611" s="1012"/>
      <c r="I16611" s="1011" t="str">
        <f>CONCATENATE("&lt;valeur&gt;",VLOOKUP(C16611,'T16 Amort'!A:K,6,0),"&lt;/valeur&gt;")</f>
        <v>&lt;valeur&gt;&lt;/valeur&gt;</v>
      </c>
      <c r="K16611" s="1013"/>
    </row>
    <row r="16612" spans="1:11" s="1011" customFormat="1" ht="15" x14ac:dyDescent="0.25">
      <c r="A16612" s="859">
        <f t="shared" si="390"/>
        <v>16611</v>
      </c>
      <c r="B16612" s="845" t="s">
        <v>2564</v>
      </c>
      <c r="C16612" s="1007">
        <f t="shared" si="389"/>
        <v>169</v>
      </c>
      <c r="D16612" s="1015"/>
      <c r="I16612" s="1011" t="str">
        <f>CONCATENATE("&lt;numeroLigne&gt;",C16612,"&lt;/numeroLigne&gt;")</f>
        <v>&lt;numeroLigne&gt;169&lt;/numeroLigne&gt;</v>
      </c>
      <c r="K16612" s="1013"/>
    </row>
    <row r="16613" spans="1:11" s="1011" customFormat="1" ht="15" x14ac:dyDescent="0.25">
      <c r="A16613" s="859">
        <f t="shared" si="390"/>
        <v>16612</v>
      </c>
      <c r="B16613" s="845" t="s">
        <v>2564</v>
      </c>
      <c r="C16613" s="1007">
        <f t="shared" si="389"/>
        <v>169</v>
      </c>
      <c r="D16613" s="1012"/>
      <c r="H16613" s="1011" t="s">
        <v>1010</v>
      </c>
      <c r="K16613" s="1013"/>
    </row>
    <row r="16614" spans="1:11" s="1011" customFormat="1" ht="15" x14ac:dyDescent="0.25">
      <c r="A16614" s="859">
        <f t="shared" si="390"/>
        <v>16613</v>
      </c>
      <c r="B16614" s="845" t="s">
        <v>2564</v>
      </c>
      <c r="C16614" s="1007">
        <f t="shared" si="389"/>
        <v>169</v>
      </c>
      <c r="D16614" s="1012"/>
      <c r="H16614" s="1011" t="s">
        <v>1007</v>
      </c>
      <c r="K16614" s="1013"/>
    </row>
    <row r="16615" spans="1:11" s="1011" customFormat="1" ht="15" x14ac:dyDescent="0.25">
      <c r="A16615" s="859">
        <f t="shared" si="390"/>
        <v>16614</v>
      </c>
      <c r="B16615" s="845" t="s">
        <v>2564</v>
      </c>
      <c r="C16615" s="1007">
        <f t="shared" si="389"/>
        <v>169</v>
      </c>
      <c r="D16615" s="1014"/>
      <c r="I16615" s="1011" t="s">
        <v>2179</v>
      </c>
      <c r="K16615" s="1013"/>
    </row>
    <row r="16616" spans="1:11" s="1011" customFormat="1" ht="15" x14ac:dyDescent="0.25">
      <c r="A16616" s="859">
        <f t="shared" si="390"/>
        <v>16615</v>
      </c>
      <c r="B16616" s="845" t="s">
        <v>2564</v>
      </c>
      <c r="C16616" s="1007">
        <f t="shared" si="389"/>
        <v>169</v>
      </c>
      <c r="D16616" s="1014"/>
      <c r="I16616" s="1011" t="str">
        <f>CONCATENATE("&lt;valeur&gt;",VLOOKUP(C16616,'T16 Amort'!A:K,7,0),"&lt;/valeur&gt;")</f>
        <v>&lt;valeur&gt;&lt;/valeur&gt;</v>
      </c>
      <c r="K16616" s="1013"/>
    </row>
    <row r="16617" spans="1:11" s="1011" customFormat="1" ht="15" x14ac:dyDescent="0.25">
      <c r="A16617" s="859">
        <f t="shared" si="390"/>
        <v>16616</v>
      </c>
      <c r="B16617" s="845" t="s">
        <v>2564</v>
      </c>
      <c r="C16617" s="1007">
        <f t="shared" si="389"/>
        <v>169</v>
      </c>
      <c r="D16617" s="1012"/>
      <c r="I16617" s="1011" t="str">
        <f>CONCATENATE("&lt;numeroLigne&gt;",C16617,"&lt;/numeroLigne&gt;")</f>
        <v>&lt;numeroLigne&gt;169&lt;/numeroLigne&gt;</v>
      </c>
      <c r="K16617" s="1013"/>
    </row>
    <row r="16618" spans="1:11" s="1011" customFormat="1" ht="15" x14ac:dyDescent="0.25">
      <c r="A16618" s="859">
        <f t="shared" si="390"/>
        <v>16617</v>
      </c>
      <c r="B16618" s="845" t="s">
        <v>2564</v>
      </c>
      <c r="C16618" s="1007">
        <f t="shared" si="389"/>
        <v>169</v>
      </c>
      <c r="D16618" s="1015"/>
      <c r="H16618" s="1011" t="s">
        <v>1010</v>
      </c>
      <c r="K16618" s="1013"/>
    </row>
    <row r="16619" spans="1:11" s="1011" customFormat="1" ht="15" x14ac:dyDescent="0.25">
      <c r="A16619" s="859">
        <f t="shared" si="390"/>
        <v>16618</v>
      </c>
      <c r="B16619" s="845" t="s">
        <v>2564</v>
      </c>
      <c r="C16619" s="1007">
        <f t="shared" si="389"/>
        <v>169</v>
      </c>
      <c r="D16619" s="1012"/>
      <c r="H16619" s="1011" t="s">
        <v>1007</v>
      </c>
      <c r="K16619" s="1013"/>
    </row>
    <row r="16620" spans="1:11" s="1011" customFormat="1" ht="15" x14ac:dyDescent="0.25">
      <c r="A16620" s="859">
        <f t="shared" si="390"/>
        <v>16619</v>
      </c>
      <c r="B16620" s="845" t="s">
        <v>2564</v>
      </c>
      <c r="C16620" s="1007">
        <f t="shared" si="389"/>
        <v>169</v>
      </c>
      <c r="D16620" s="1012"/>
      <c r="I16620" s="1011" t="s">
        <v>2180</v>
      </c>
      <c r="K16620" s="1013"/>
    </row>
    <row r="16621" spans="1:11" s="1011" customFormat="1" ht="15" x14ac:dyDescent="0.25">
      <c r="A16621" s="859">
        <f t="shared" si="390"/>
        <v>16620</v>
      </c>
      <c r="B16621" s="845" t="s">
        <v>2564</v>
      </c>
      <c r="C16621" s="1007">
        <f t="shared" si="389"/>
        <v>169</v>
      </c>
      <c r="D16621" s="1014"/>
      <c r="I16621" s="1011" t="str">
        <f>CONCATENATE("&lt;valeur&gt;",VLOOKUP(C16621,'T16 Amort'!A:K,8,0),"&lt;/valeur&gt;")</f>
        <v>&lt;valeur&gt;&lt;/valeur&gt;</v>
      </c>
      <c r="K16621" s="1013"/>
    </row>
    <row r="16622" spans="1:11" s="1011" customFormat="1" ht="15" x14ac:dyDescent="0.25">
      <c r="A16622" s="859">
        <f t="shared" si="390"/>
        <v>16621</v>
      </c>
      <c r="B16622" s="845" t="s">
        <v>2564</v>
      </c>
      <c r="C16622" s="1007">
        <f t="shared" si="389"/>
        <v>169</v>
      </c>
      <c r="D16622" s="1014"/>
      <c r="I16622" s="1011" t="str">
        <f>CONCATENATE("&lt;numeroLigne&gt;",C16622,"&lt;/numeroLigne&gt;")</f>
        <v>&lt;numeroLigne&gt;169&lt;/numeroLigne&gt;</v>
      </c>
      <c r="K16622" s="1013"/>
    </row>
    <row r="16623" spans="1:11" s="1011" customFormat="1" ht="15" x14ac:dyDescent="0.25">
      <c r="A16623" s="859">
        <f t="shared" si="390"/>
        <v>16622</v>
      </c>
      <c r="B16623" s="845" t="s">
        <v>2564</v>
      </c>
      <c r="C16623" s="1007">
        <f t="shared" ref="C16623:C16686" si="391">C16573+1</f>
        <v>169</v>
      </c>
      <c r="D16623" s="1012"/>
      <c r="H16623" s="1011" t="s">
        <v>1010</v>
      </c>
      <c r="K16623" s="1013"/>
    </row>
    <row r="16624" spans="1:11" s="1011" customFormat="1" ht="15" x14ac:dyDescent="0.25">
      <c r="A16624" s="859">
        <f t="shared" si="390"/>
        <v>16623</v>
      </c>
      <c r="B16624" s="845" t="s">
        <v>2564</v>
      </c>
      <c r="C16624" s="1007">
        <f t="shared" si="391"/>
        <v>169</v>
      </c>
      <c r="D16624" s="1015"/>
      <c r="H16624" s="1011" t="s">
        <v>1007</v>
      </c>
      <c r="K16624" s="1013"/>
    </row>
    <row r="16625" spans="1:11" s="1011" customFormat="1" ht="15" x14ac:dyDescent="0.25">
      <c r="A16625" s="859">
        <f t="shared" si="390"/>
        <v>16624</v>
      </c>
      <c r="B16625" s="845" t="s">
        <v>2564</v>
      </c>
      <c r="C16625" s="1007">
        <f t="shared" si="391"/>
        <v>169</v>
      </c>
      <c r="D16625" s="1012"/>
      <c r="I16625" s="1011" t="s">
        <v>2181</v>
      </c>
      <c r="K16625" s="1013"/>
    </row>
    <row r="16626" spans="1:11" s="1011" customFormat="1" ht="15" x14ac:dyDescent="0.25">
      <c r="A16626" s="859">
        <f t="shared" si="390"/>
        <v>16625</v>
      </c>
      <c r="B16626" s="845" t="s">
        <v>2564</v>
      </c>
      <c r="C16626" s="1007">
        <f t="shared" si="391"/>
        <v>169</v>
      </c>
      <c r="D16626" s="1012"/>
      <c r="I16626" s="1011" t="str">
        <f>CONCATENATE("&lt;valeur&gt;",VLOOKUP(C16626,'T16 Amort'!A:K,9,0),"&lt;/valeur&gt;")</f>
        <v>&lt;valeur&gt;&lt;/valeur&gt;</v>
      </c>
      <c r="K16626" s="1013"/>
    </row>
    <row r="16627" spans="1:11" s="1011" customFormat="1" ht="15" x14ac:dyDescent="0.25">
      <c r="A16627" s="859">
        <f t="shared" si="390"/>
        <v>16626</v>
      </c>
      <c r="B16627" s="845" t="s">
        <v>2564</v>
      </c>
      <c r="C16627" s="1007">
        <f t="shared" si="391"/>
        <v>169</v>
      </c>
      <c r="D16627" s="1014"/>
      <c r="I16627" s="1011" t="str">
        <f>CONCATENATE("&lt;numeroLigne&gt;",C16627,"&lt;/numeroLigne&gt;")</f>
        <v>&lt;numeroLigne&gt;169&lt;/numeroLigne&gt;</v>
      </c>
      <c r="K16627" s="1013"/>
    </row>
    <row r="16628" spans="1:11" s="1011" customFormat="1" ht="15" x14ac:dyDescent="0.25">
      <c r="A16628" s="859">
        <f t="shared" si="390"/>
        <v>16627</v>
      </c>
      <c r="B16628" s="845" t="s">
        <v>2564</v>
      </c>
      <c r="C16628" s="1007">
        <f t="shared" si="391"/>
        <v>169</v>
      </c>
      <c r="D16628" s="1014"/>
      <c r="H16628" s="1011" t="s">
        <v>1010</v>
      </c>
      <c r="K16628" s="1013"/>
    </row>
    <row r="16629" spans="1:11" s="1011" customFormat="1" ht="15" x14ac:dyDescent="0.25">
      <c r="A16629" s="859">
        <f t="shared" si="390"/>
        <v>16628</v>
      </c>
      <c r="B16629" s="845" t="s">
        <v>2564</v>
      </c>
      <c r="C16629" s="1007">
        <f t="shared" si="391"/>
        <v>169</v>
      </c>
      <c r="D16629" s="1012"/>
      <c r="H16629" s="1011" t="s">
        <v>1007</v>
      </c>
      <c r="K16629" s="1013"/>
    </row>
    <row r="16630" spans="1:11" s="1011" customFormat="1" ht="15" x14ac:dyDescent="0.25">
      <c r="A16630" s="859">
        <f t="shared" si="390"/>
        <v>16629</v>
      </c>
      <c r="B16630" s="845" t="s">
        <v>2564</v>
      </c>
      <c r="C16630" s="1007">
        <f t="shared" si="391"/>
        <v>169</v>
      </c>
      <c r="D16630" s="1015"/>
      <c r="I16630" s="1011" t="s">
        <v>2182</v>
      </c>
      <c r="K16630" s="1013"/>
    </row>
    <row r="16631" spans="1:11" s="1011" customFormat="1" ht="15" x14ac:dyDescent="0.25">
      <c r="A16631" s="859">
        <f t="shared" si="390"/>
        <v>16630</v>
      </c>
      <c r="B16631" s="845" t="s">
        <v>2564</v>
      </c>
      <c r="C16631" s="1007">
        <f t="shared" si="391"/>
        <v>169</v>
      </c>
      <c r="D16631" s="1012"/>
      <c r="I16631" s="1011" t="str">
        <f>CONCATENATE("&lt;valeur&gt;",VLOOKUP(C16631,'T16 Amort'!A:K,10,0),"&lt;/valeur&gt;")</f>
        <v>&lt;valeur&gt;&lt;/valeur&gt;</v>
      </c>
      <c r="K16631" s="1013"/>
    </row>
    <row r="16632" spans="1:11" s="1011" customFormat="1" ht="15" x14ac:dyDescent="0.25">
      <c r="A16632" s="859">
        <f t="shared" si="390"/>
        <v>16631</v>
      </c>
      <c r="B16632" s="845" t="s">
        <v>2564</v>
      </c>
      <c r="C16632" s="1007">
        <f t="shared" si="391"/>
        <v>169</v>
      </c>
      <c r="D16632" s="1012"/>
      <c r="I16632" s="1011" t="str">
        <f>CONCATENATE("&lt;numeroLigne&gt;",C16632,"&lt;/numeroLigne&gt;")</f>
        <v>&lt;numeroLigne&gt;169&lt;/numeroLigne&gt;</v>
      </c>
      <c r="K16632" s="1013"/>
    </row>
    <row r="16633" spans="1:11" s="1011" customFormat="1" ht="15" x14ac:dyDescent="0.25">
      <c r="A16633" s="859">
        <f t="shared" si="390"/>
        <v>16632</v>
      </c>
      <c r="B16633" s="845" t="s">
        <v>2564</v>
      </c>
      <c r="C16633" s="1007">
        <f t="shared" si="391"/>
        <v>169</v>
      </c>
      <c r="D16633" s="1014"/>
      <c r="H16633" s="1011" t="s">
        <v>1010</v>
      </c>
      <c r="K16633" s="1013"/>
    </row>
    <row r="16634" spans="1:11" s="1011" customFormat="1" ht="15" x14ac:dyDescent="0.25">
      <c r="A16634" s="859">
        <f t="shared" si="390"/>
        <v>16633</v>
      </c>
      <c r="B16634" s="845" t="s">
        <v>2564</v>
      </c>
      <c r="C16634" s="1007">
        <f t="shared" si="391"/>
        <v>169</v>
      </c>
      <c r="D16634" s="1014"/>
      <c r="H16634" s="1011" t="s">
        <v>1007</v>
      </c>
      <c r="K16634" s="1013"/>
    </row>
    <row r="16635" spans="1:11" s="1011" customFormat="1" ht="15" x14ac:dyDescent="0.25">
      <c r="A16635" s="859">
        <f t="shared" si="390"/>
        <v>16634</v>
      </c>
      <c r="B16635" s="845" t="s">
        <v>2564</v>
      </c>
      <c r="C16635" s="1007">
        <f t="shared" si="391"/>
        <v>169</v>
      </c>
      <c r="D16635" s="1012"/>
      <c r="I16635" s="1011" t="s">
        <v>2183</v>
      </c>
      <c r="K16635" s="1013"/>
    </row>
    <row r="16636" spans="1:11" s="1011" customFormat="1" ht="15" x14ac:dyDescent="0.25">
      <c r="A16636" s="859">
        <f t="shared" si="390"/>
        <v>16635</v>
      </c>
      <c r="B16636" s="845" t="s">
        <v>2564</v>
      </c>
      <c r="C16636" s="1007">
        <f t="shared" si="391"/>
        <v>169</v>
      </c>
      <c r="D16636" s="1015"/>
      <c r="I16636" s="1011" t="str">
        <f>CONCATENATE("&lt;valeur&gt;",VLOOKUP(C16636,'T16 Amort'!A:K,11,0),"&lt;/valeur&gt;")</f>
        <v>&lt;valeur&gt;&lt;/valeur&gt;</v>
      </c>
      <c r="K16636" s="1013"/>
    </row>
    <row r="16637" spans="1:11" s="1011" customFormat="1" ht="15" x14ac:dyDescent="0.25">
      <c r="A16637" s="859">
        <f t="shared" si="390"/>
        <v>16636</v>
      </c>
      <c r="B16637" s="845" t="s">
        <v>2564</v>
      </c>
      <c r="C16637" s="1007">
        <f t="shared" si="391"/>
        <v>169</v>
      </c>
      <c r="D16637" s="1012"/>
      <c r="I16637" s="1011" t="str">
        <f>CONCATENATE("&lt;numeroLigne&gt;",C16637,"&lt;/numeroLigne&gt;")</f>
        <v>&lt;numeroLigne&gt;169&lt;/numeroLigne&gt;</v>
      </c>
      <c r="K16637" s="1013"/>
    </row>
    <row r="16638" spans="1:11" s="1011" customFormat="1" ht="15" x14ac:dyDescent="0.25">
      <c r="A16638" s="859">
        <f t="shared" si="390"/>
        <v>16637</v>
      </c>
      <c r="B16638" s="845" t="s">
        <v>2564</v>
      </c>
      <c r="C16638" s="1007">
        <f t="shared" si="391"/>
        <v>169</v>
      </c>
      <c r="D16638" s="1016"/>
      <c r="E16638" s="1017"/>
      <c r="F16638" s="1017"/>
      <c r="G16638" s="1017"/>
      <c r="H16638" s="1017" t="s">
        <v>1010</v>
      </c>
      <c r="I16638" s="1017"/>
      <c r="J16638" s="1017"/>
      <c r="K16638" s="1018"/>
    </row>
    <row r="16639" spans="1:11" s="1011" customFormat="1" ht="15" x14ac:dyDescent="0.25">
      <c r="A16639" s="859">
        <f t="shared" si="390"/>
        <v>16638</v>
      </c>
      <c r="B16639" s="845" t="s">
        <v>2564</v>
      </c>
      <c r="C16639" s="1007">
        <f t="shared" si="391"/>
        <v>170</v>
      </c>
      <c r="D16639" s="1008"/>
      <c r="E16639" s="1009"/>
      <c r="F16639" s="1009"/>
      <c r="G16639" s="1009"/>
      <c r="H16639" s="1009" t="s">
        <v>1007</v>
      </c>
      <c r="I16639" s="1009"/>
      <c r="J16639" s="1009"/>
      <c r="K16639" s="1010"/>
    </row>
    <row r="16640" spans="1:11" s="1011" customFormat="1" ht="15" x14ac:dyDescent="0.25">
      <c r="A16640" s="859">
        <f t="shared" si="390"/>
        <v>16639</v>
      </c>
      <c r="B16640" s="845" t="s">
        <v>2564</v>
      </c>
      <c r="C16640" s="1007">
        <f t="shared" si="391"/>
        <v>170</v>
      </c>
      <c r="D16640" s="1012"/>
      <c r="I16640" s="1011" t="s">
        <v>2174</v>
      </c>
      <c r="K16640" s="1013"/>
    </row>
    <row r="16641" spans="1:11" s="1011" customFormat="1" ht="15" x14ac:dyDescent="0.25">
      <c r="A16641" s="859">
        <f t="shared" si="390"/>
        <v>16640</v>
      </c>
      <c r="B16641" s="845" t="s">
        <v>2564</v>
      </c>
      <c r="C16641" s="1007">
        <f t="shared" si="391"/>
        <v>170</v>
      </c>
      <c r="D16641" s="1014"/>
      <c r="I16641" s="1011" t="str">
        <f>CONCATENATE("&lt;valeur&gt;",VLOOKUP(C16641,'T16 Amort'!A:K,2,0),"&lt;/valeur&gt;")</f>
        <v>&lt;valeur&gt;&lt;/valeur&gt;</v>
      </c>
      <c r="K16641" s="1013"/>
    </row>
    <row r="16642" spans="1:11" s="1011" customFormat="1" ht="15" x14ac:dyDescent="0.25">
      <c r="A16642" s="859">
        <f t="shared" si="390"/>
        <v>16641</v>
      </c>
      <c r="B16642" s="845" t="s">
        <v>2564</v>
      </c>
      <c r="C16642" s="1007">
        <f t="shared" si="391"/>
        <v>170</v>
      </c>
      <c r="D16642" s="1014"/>
      <c r="I16642" s="1011" t="str">
        <f>CONCATENATE("&lt;numeroLigne&gt;",C16642,"&lt;/numeroLigne&gt;")</f>
        <v>&lt;numeroLigne&gt;170&lt;/numeroLigne&gt;</v>
      </c>
      <c r="K16642" s="1013"/>
    </row>
    <row r="16643" spans="1:11" s="1011" customFormat="1" ht="15" x14ac:dyDescent="0.25">
      <c r="A16643" s="859">
        <f t="shared" si="390"/>
        <v>16642</v>
      </c>
      <c r="B16643" s="845" t="s">
        <v>2564</v>
      </c>
      <c r="C16643" s="1007">
        <f t="shared" si="391"/>
        <v>170</v>
      </c>
      <c r="D16643" s="1012"/>
      <c r="H16643" s="1011" t="s">
        <v>1010</v>
      </c>
      <c r="K16643" s="1013"/>
    </row>
    <row r="16644" spans="1:11" s="1011" customFormat="1" ht="15" x14ac:dyDescent="0.25">
      <c r="A16644" s="859">
        <f t="shared" ref="A16644:A16707" si="392">+A16643+1</f>
        <v>16643</v>
      </c>
      <c r="B16644" s="845" t="s">
        <v>2564</v>
      </c>
      <c r="C16644" s="1007">
        <f t="shared" si="391"/>
        <v>170</v>
      </c>
      <c r="D16644" s="1015"/>
      <c r="H16644" s="1011" t="s">
        <v>1007</v>
      </c>
      <c r="K16644" s="1013"/>
    </row>
    <row r="16645" spans="1:11" s="1011" customFormat="1" ht="15" x14ac:dyDescent="0.25">
      <c r="A16645" s="859">
        <f t="shared" si="392"/>
        <v>16644</v>
      </c>
      <c r="B16645" s="845" t="s">
        <v>2564</v>
      </c>
      <c r="C16645" s="1007">
        <f t="shared" si="391"/>
        <v>170</v>
      </c>
      <c r="D16645" s="1012"/>
      <c r="I16645" s="1011" t="s">
        <v>2175</v>
      </c>
      <c r="K16645" s="1013"/>
    </row>
    <row r="16646" spans="1:11" s="1011" customFormat="1" ht="15" x14ac:dyDescent="0.25">
      <c r="A16646" s="859">
        <f t="shared" si="392"/>
        <v>16645</v>
      </c>
      <c r="B16646" s="845" t="s">
        <v>2564</v>
      </c>
      <c r="C16646" s="1007">
        <f t="shared" si="391"/>
        <v>170</v>
      </c>
      <c r="D16646" s="1012"/>
      <c r="I16646" s="1011" t="str">
        <f>CONCATENATE("&lt;valeur&gt;",VLOOKUP(C16646,'T16 Amort'!A:K,3,0),"&lt;/valeur&gt;")</f>
        <v>&lt;valeur&gt;&lt;/valeur&gt;</v>
      </c>
      <c r="K16646" s="1013"/>
    </row>
    <row r="16647" spans="1:11" s="1011" customFormat="1" ht="15" x14ac:dyDescent="0.25">
      <c r="A16647" s="859">
        <f t="shared" si="392"/>
        <v>16646</v>
      </c>
      <c r="B16647" s="845" t="s">
        <v>2564</v>
      </c>
      <c r="C16647" s="1007">
        <f t="shared" si="391"/>
        <v>170</v>
      </c>
      <c r="D16647" s="1014"/>
      <c r="I16647" s="1011" t="str">
        <f>CONCATENATE("&lt;numeroLigne&gt;",C16647,"&lt;/numeroLigne&gt;")</f>
        <v>&lt;numeroLigne&gt;170&lt;/numeroLigne&gt;</v>
      </c>
      <c r="K16647" s="1013"/>
    </row>
    <row r="16648" spans="1:11" s="1011" customFormat="1" ht="15" x14ac:dyDescent="0.25">
      <c r="A16648" s="859">
        <f t="shared" si="392"/>
        <v>16647</v>
      </c>
      <c r="B16648" s="845" t="s">
        <v>2564</v>
      </c>
      <c r="C16648" s="1007">
        <f t="shared" si="391"/>
        <v>170</v>
      </c>
      <c r="D16648" s="1014"/>
      <c r="H16648" s="1011" t="s">
        <v>1010</v>
      </c>
      <c r="K16648" s="1013"/>
    </row>
    <row r="16649" spans="1:11" s="1011" customFormat="1" ht="15" x14ac:dyDescent="0.25">
      <c r="A16649" s="859">
        <f t="shared" si="392"/>
        <v>16648</v>
      </c>
      <c r="B16649" s="845" t="s">
        <v>2564</v>
      </c>
      <c r="C16649" s="1007">
        <f t="shared" si="391"/>
        <v>170</v>
      </c>
      <c r="D16649" s="1012"/>
      <c r="H16649" s="1011" t="s">
        <v>1007</v>
      </c>
      <c r="K16649" s="1013"/>
    </row>
    <row r="16650" spans="1:11" s="1011" customFormat="1" ht="15" x14ac:dyDescent="0.25">
      <c r="A16650" s="859">
        <f t="shared" si="392"/>
        <v>16649</v>
      </c>
      <c r="B16650" s="845" t="s">
        <v>2564</v>
      </c>
      <c r="C16650" s="1007">
        <f t="shared" si="391"/>
        <v>170</v>
      </c>
      <c r="D16650" s="1015"/>
      <c r="I16650" s="1011" t="s">
        <v>2176</v>
      </c>
      <c r="K16650" s="1013"/>
    </row>
    <row r="16651" spans="1:11" s="1011" customFormat="1" ht="15" x14ac:dyDescent="0.25">
      <c r="A16651" s="859">
        <f t="shared" si="392"/>
        <v>16650</v>
      </c>
      <c r="B16651" s="845" t="s">
        <v>2564</v>
      </c>
      <c r="C16651" s="1007">
        <f t="shared" si="391"/>
        <v>170</v>
      </c>
      <c r="D16651" s="1012"/>
      <c r="I16651" s="1011" t="str">
        <f>CONCATENATE("&lt;valeur&gt;",VLOOKUP(C16651,'T16 Amort'!A:K,4,0),"&lt;/valeur&gt;")</f>
        <v>&lt;valeur&gt;&lt;/valeur&gt;</v>
      </c>
      <c r="K16651" s="1013"/>
    </row>
    <row r="16652" spans="1:11" s="1011" customFormat="1" ht="15" x14ac:dyDescent="0.25">
      <c r="A16652" s="859">
        <f t="shared" si="392"/>
        <v>16651</v>
      </c>
      <c r="B16652" s="845" t="s">
        <v>2564</v>
      </c>
      <c r="C16652" s="1007">
        <f t="shared" si="391"/>
        <v>170</v>
      </c>
      <c r="D16652" s="1012"/>
      <c r="I16652" s="1011" t="str">
        <f>CONCATENATE("&lt;numeroLigne&gt;",C16652,"&lt;/numeroLigne&gt;")</f>
        <v>&lt;numeroLigne&gt;170&lt;/numeroLigne&gt;</v>
      </c>
      <c r="K16652" s="1013"/>
    </row>
    <row r="16653" spans="1:11" s="1011" customFormat="1" ht="15" x14ac:dyDescent="0.25">
      <c r="A16653" s="859">
        <f t="shared" si="392"/>
        <v>16652</v>
      </c>
      <c r="B16653" s="845" t="s">
        <v>2564</v>
      </c>
      <c r="C16653" s="1007">
        <f t="shared" si="391"/>
        <v>170</v>
      </c>
      <c r="D16653" s="1014"/>
      <c r="H16653" s="1011" t="s">
        <v>1010</v>
      </c>
      <c r="K16653" s="1013"/>
    </row>
    <row r="16654" spans="1:11" s="1011" customFormat="1" ht="15" x14ac:dyDescent="0.25">
      <c r="A16654" s="859">
        <f t="shared" si="392"/>
        <v>16653</v>
      </c>
      <c r="B16654" s="845" t="s">
        <v>2564</v>
      </c>
      <c r="C16654" s="1007">
        <f t="shared" si="391"/>
        <v>170</v>
      </c>
      <c r="D16654" s="1014"/>
      <c r="H16654" s="1011" t="s">
        <v>1007</v>
      </c>
      <c r="K16654" s="1013"/>
    </row>
    <row r="16655" spans="1:11" s="1011" customFormat="1" ht="15" x14ac:dyDescent="0.25">
      <c r="A16655" s="859">
        <f t="shared" si="392"/>
        <v>16654</v>
      </c>
      <c r="B16655" s="845" t="s">
        <v>2564</v>
      </c>
      <c r="C16655" s="1007">
        <f t="shared" si="391"/>
        <v>170</v>
      </c>
      <c r="D16655" s="1012"/>
      <c r="I16655" s="1011" t="s">
        <v>2177</v>
      </c>
      <c r="K16655" s="1013"/>
    </row>
    <row r="16656" spans="1:11" s="1011" customFormat="1" ht="15" x14ac:dyDescent="0.25">
      <c r="A16656" s="859">
        <f t="shared" si="392"/>
        <v>16655</v>
      </c>
      <c r="B16656" s="845" t="s">
        <v>2564</v>
      </c>
      <c r="C16656" s="1007">
        <f t="shared" si="391"/>
        <v>170</v>
      </c>
      <c r="D16656" s="1015"/>
      <c r="I16656" s="1011" t="str">
        <f>CONCATENATE("&lt;valeur&gt;",VLOOKUP(C16656,'T16 Amort'!A:K,5,0),"&lt;/valeur&gt;")</f>
        <v>&lt;valeur&gt;&lt;/valeur&gt;</v>
      </c>
      <c r="K16656" s="1013"/>
    </row>
    <row r="16657" spans="1:11" s="1011" customFormat="1" ht="15" x14ac:dyDescent="0.25">
      <c r="A16657" s="859">
        <f t="shared" si="392"/>
        <v>16656</v>
      </c>
      <c r="B16657" s="845" t="s">
        <v>2564</v>
      </c>
      <c r="C16657" s="1007">
        <f t="shared" si="391"/>
        <v>170</v>
      </c>
      <c r="D16657" s="1012"/>
      <c r="I16657" s="1011" t="str">
        <f>CONCATENATE("&lt;numeroLigne&gt;",C16657,"&lt;/numeroLigne&gt;")</f>
        <v>&lt;numeroLigne&gt;170&lt;/numeroLigne&gt;</v>
      </c>
      <c r="K16657" s="1013"/>
    </row>
    <row r="16658" spans="1:11" s="1011" customFormat="1" ht="15" x14ac:dyDescent="0.25">
      <c r="A16658" s="859">
        <f t="shared" si="392"/>
        <v>16657</v>
      </c>
      <c r="B16658" s="845" t="s">
        <v>2564</v>
      </c>
      <c r="C16658" s="1007">
        <f t="shared" si="391"/>
        <v>170</v>
      </c>
      <c r="D16658" s="1012"/>
      <c r="H16658" s="1011" t="s">
        <v>1010</v>
      </c>
      <c r="K16658" s="1013"/>
    </row>
    <row r="16659" spans="1:11" s="1011" customFormat="1" ht="15" x14ac:dyDescent="0.25">
      <c r="A16659" s="859">
        <f t="shared" si="392"/>
        <v>16658</v>
      </c>
      <c r="B16659" s="845" t="s">
        <v>2564</v>
      </c>
      <c r="C16659" s="1007">
        <f t="shared" si="391"/>
        <v>170</v>
      </c>
      <c r="D16659" s="1014"/>
      <c r="H16659" s="1011" t="s">
        <v>1007</v>
      </c>
      <c r="K16659" s="1013"/>
    </row>
    <row r="16660" spans="1:11" s="1011" customFormat="1" ht="15" x14ac:dyDescent="0.25">
      <c r="A16660" s="859">
        <f t="shared" si="392"/>
        <v>16659</v>
      </c>
      <c r="B16660" s="845" t="s">
        <v>2564</v>
      </c>
      <c r="C16660" s="1007">
        <f t="shared" si="391"/>
        <v>170</v>
      </c>
      <c r="D16660" s="1014"/>
      <c r="I16660" s="1011" t="s">
        <v>2178</v>
      </c>
      <c r="K16660" s="1013"/>
    </row>
    <row r="16661" spans="1:11" s="1011" customFormat="1" ht="15" x14ac:dyDescent="0.25">
      <c r="A16661" s="859">
        <f t="shared" si="392"/>
        <v>16660</v>
      </c>
      <c r="B16661" s="845" t="s">
        <v>2564</v>
      </c>
      <c r="C16661" s="1007">
        <f t="shared" si="391"/>
        <v>170</v>
      </c>
      <c r="D16661" s="1012"/>
      <c r="I16661" s="1011" t="str">
        <f>CONCATENATE("&lt;valeur&gt;",VLOOKUP(C16661,'T16 Amort'!A:K,6,0),"&lt;/valeur&gt;")</f>
        <v>&lt;valeur&gt;&lt;/valeur&gt;</v>
      </c>
      <c r="K16661" s="1013"/>
    </row>
    <row r="16662" spans="1:11" s="1011" customFormat="1" ht="15" x14ac:dyDescent="0.25">
      <c r="A16662" s="859">
        <f t="shared" si="392"/>
        <v>16661</v>
      </c>
      <c r="B16662" s="845" t="s">
        <v>2564</v>
      </c>
      <c r="C16662" s="1007">
        <f t="shared" si="391"/>
        <v>170</v>
      </c>
      <c r="D16662" s="1015"/>
      <c r="I16662" s="1011" t="str">
        <f>CONCATENATE("&lt;numeroLigne&gt;",C16662,"&lt;/numeroLigne&gt;")</f>
        <v>&lt;numeroLigne&gt;170&lt;/numeroLigne&gt;</v>
      </c>
      <c r="K16662" s="1013"/>
    </row>
    <row r="16663" spans="1:11" s="1011" customFormat="1" ht="15" x14ac:dyDescent="0.25">
      <c r="A16663" s="859">
        <f t="shared" si="392"/>
        <v>16662</v>
      </c>
      <c r="B16663" s="845" t="s">
        <v>2564</v>
      </c>
      <c r="C16663" s="1007">
        <f t="shared" si="391"/>
        <v>170</v>
      </c>
      <c r="D16663" s="1012"/>
      <c r="H16663" s="1011" t="s">
        <v>1010</v>
      </c>
      <c r="K16663" s="1013"/>
    </row>
    <row r="16664" spans="1:11" s="1011" customFormat="1" ht="15" x14ac:dyDescent="0.25">
      <c r="A16664" s="859">
        <f t="shared" si="392"/>
        <v>16663</v>
      </c>
      <c r="B16664" s="845" t="s">
        <v>2564</v>
      </c>
      <c r="C16664" s="1007">
        <f t="shared" si="391"/>
        <v>170</v>
      </c>
      <c r="D16664" s="1012"/>
      <c r="H16664" s="1011" t="s">
        <v>1007</v>
      </c>
      <c r="K16664" s="1013"/>
    </row>
    <row r="16665" spans="1:11" s="1011" customFormat="1" ht="15" x14ac:dyDescent="0.25">
      <c r="A16665" s="859">
        <f t="shared" si="392"/>
        <v>16664</v>
      </c>
      <c r="B16665" s="845" t="s">
        <v>2564</v>
      </c>
      <c r="C16665" s="1007">
        <f t="shared" si="391"/>
        <v>170</v>
      </c>
      <c r="D16665" s="1014"/>
      <c r="I16665" s="1011" t="s">
        <v>2179</v>
      </c>
      <c r="K16665" s="1013"/>
    </row>
    <row r="16666" spans="1:11" s="1011" customFormat="1" ht="15" x14ac:dyDescent="0.25">
      <c r="A16666" s="859">
        <f t="shared" si="392"/>
        <v>16665</v>
      </c>
      <c r="B16666" s="845" t="s">
        <v>2564</v>
      </c>
      <c r="C16666" s="1007">
        <f t="shared" si="391"/>
        <v>170</v>
      </c>
      <c r="D16666" s="1014"/>
      <c r="I16666" s="1011" t="str">
        <f>CONCATENATE("&lt;valeur&gt;",VLOOKUP(C16666,'T16 Amort'!A:K,7,0),"&lt;/valeur&gt;")</f>
        <v>&lt;valeur&gt;&lt;/valeur&gt;</v>
      </c>
      <c r="K16666" s="1013"/>
    </row>
    <row r="16667" spans="1:11" s="1011" customFormat="1" ht="15" x14ac:dyDescent="0.25">
      <c r="A16667" s="859">
        <f t="shared" si="392"/>
        <v>16666</v>
      </c>
      <c r="B16667" s="845" t="s">
        <v>2564</v>
      </c>
      <c r="C16667" s="1007">
        <f t="shared" si="391"/>
        <v>170</v>
      </c>
      <c r="D16667" s="1012"/>
      <c r="I16667" s="1011" t="str">
        <f>CONCATENATE("&lt;numeroLigne&gt;",C16667,"&lt;/numeroLigne&gt;")</f>
        <v>&lt;numeroLigne&gt;170&lt;/numeroLigne&gt;</v>
      </c>
      <c r="K16667" s="1013"/>
    </row>
    <row r="16668" spans="1:11" s="1011" customFormat="1" ht="15" x14ac:dyDescent="0.25">
      <c r="A16668" s="859">
        <f t="shared" si="392"/>
        <v>16667</v>
      </c>
      <c r="B16668" s="845" t="s">
        <v>2564</v>
      </c>
      <c r="C16668" s="1007">
        <f t="shared" si="391"/>
        <v>170</v>
      </c>
      <c r="D16668" s="1015"/>
      <c r="H16668" s="1011" t="s">
        <v>1010</v>
      </c>
      <c r="K16668" s="1013"/>
    </row>
    <row r="16669" spans="1:11" s="1011" customFormat="1" ht="15" x14ac:dyDescent="0.25">
      <c r="A16669" s="859">
        <f t="shared" si="392"/>
        <v>16668</v>
      </c>
      <c r="B16669" s="845" t="s">
        <v>2564</v>
      </c>
      <c r="C16669" s="1007">
        <f t="shared" si="391"/>
        <v>170</v>
      </c>
      <c r="D16669" s="1012"/>
      <c r="H16669" s="1011" t="s">
        <v>1007</v>
      </c>
      <c r="K16669" s="1013"/>
    </row>
    <row r="16670" spans="1:11" s="1011" customFormat="1" ht="15" x14ac:dyDescent="0.25">
      <c r="A16670" s="859">
        <f t="shared" si="392"/>
        <v>16669</v>
      </c>
      <c r="B16670" s="845" t="s">
        <v>2564</v>
      </c>
      <c r="C16670" s="1007">
        <f t="shared" si="391"/>
        <v>170</v>
      </c>
      <c r="D16670" s="1012"/>
      <c r="I16670" s="1011" t="s">
        <v>2180</v>
      </c>
      <c r="K16670" s="1013"/>
    </row>
    <row r="16671" spans="1:11" s="1011" customFormat="1" ht="15" x14ac:dyDescent="0.25">
      <c r="A16671" s="859">
        <f t="shared" si="392"/>
        <v>16670</v>
      </c>
      <c r="B16671" s="845" t="s">
        <v>2564</v>
      </c>
      <c r="C16671" s="1007">
        <f t="shared" si="391"/>
        <v>170</v>
      </c>
      <c r="D16671" s="1014"/>
      <c r="I16671" s="1011" t="str">
        <f>CONCATENATE("&lt;valeur&gt;",VLOOKUP(C16671,'T16 Amort'!A:K,8,0),"&lt;/valeur&gt;")</f>
        <v>&lt;valeur&gt;&lt;/valeur&gt;</v>
      </c>
      <c r="K16671" s="1013"/>
    </row>
    <row r="16672" spans="1:11" s="1011" customFormat="1" ht="15" x14ac:dyDescent="0.25">
      <c r="A16672" s="859">
        <f t="shared" si="392"/>
        <v>16671</v>
      </c>
      <c r="B16672" s="845" t="s">
        <v>2564</v>
      </c>
      <c r="C16672" s="1007">
        <f t="shared" si="391"/>
        <v>170</v>
      </c>
      <c r="D16672" s="1014"/>
      <c r="I16672" s="1011" t="str">
        <f>CONCATENATE("&lt;numeroLigne&gt;",C16672,"&lt;/numeroLigne&gt;")</f>
        <v>&lt;numeroLigne&gt;170&lt;/numeroLigne&gt;</v>
      </c>
      <c r="K16672" s="1013"/>
    </row>
    <row r="16673" spans="1:11" s="1011" customFormat="1" ht="15" x14ac:dyDescent="0.25">
      <c r="A16673" s="859">
        <f t="shared" si="392"/>
        <v>16672</v>
      </c>
      <c r="B16673" s="845" t="s">
        <v>2564</v>
      </c>
      <c r="C16673" s="1007">
        <f t="shared" si="391"/>
        <v>170</v>
      </c>
      <c r="D16673" s="1012"/>
      <c r="H16673" s="1011" t="s">
        <v>1010</v>
      </c>
      <c r="K16673" s="1013"/>
    </row>
    <row r="16674" spans="1:11" s="1011" customFormat="1" ht="15" x14ac:dyDescent="0.25">
      <c r="A16674" s="859">
        <f t="shared" si="392"/>
        <v>16673</v>
      </c>
      <c r="B16674" s="845" t="s">
        <v>2564</v>
      </c>
      <c r="C16674" s="1007">
        <f t="shared" si="391"/>
        <v>170</v>
      </c>
      <c r="D16674" s="1015"/>
      <c r="H16674" s="1011" t="s">
        <v>1007</v>
      </c>
      <c r="K16674" s="1013"/>
    </row>
    <row r="16675" spans="1:11" s="1011" customFormat="1" ht="15" x14ac:dyDescent="0.25">
      <c r="A16675" s="859">
        <f t="shared" si="392"/>
        <v>16674</v>
      </c>
      <c r="B16675" s="845" t="s">
        <v>2564</v>
      </c>
      <c r="C16675" s="1007">
        <f t="shared" si="391"/>
        <v>170</v>
      </c>
      <c r="D16675" s="1012"/>
      <c r="I16675" s="1011" t="s">
        <v>2181</v>
      </c>
      <c r="K16675" s="1013"/>
    </row>
    <row r="16676" spans="1:11" s="1011" customFormat="1" ht="15" x14ac:dyDescent="0.25">
      <c r="A16676" s="859">
        <f t="shared" si="392"/>
        <v>16675</v>
      </c>
      <c r="B16676" s="845" t="s">
        <v>2564</v>
      </c>
      <c r="C16676" s="1007">
        <f t="shared" si="391"/>
        <v>170</v>
      </c>
      <c r="D16676" s="1012"/>
      <c r="I16676" s="1011" t="str">
        <f>CONCATENATE("&lt;valeur&gt;",VLOOKUP(C16676,'T16 Amort'!A:K,9,0),"&lt;/valeur&gt;")</f>
        <v>&lt;valeur&gt;&lt;/valeur&gt;</v>
      </c>
      <c r="K16676" s="1013"/>
    </row>
    <row r="16677" spans="1:11" s="1011" customFormat="1" ht="15" x14ac:dyDescent="0.25">
      <c r="A16677" s="859">
        <f t="shared" si="392"/>
        <v>16676</v>
      </c>
      <c r="B16677" s="845" t="s">
        <v>2564</v>
      </c>
      <c r="C16677" s="1007">
        <f t="shared" si="391"/>
        <v>170</v>
      </c>
      <c r="D16677" s="1014"/>
      <c r="I16677" s="1011" t="str">
        <f>CONCATENATE("&lt;numeroLigne&gt;",C16677,"&lt;/numeroLigne&gt;")</f>
        <v>&lt;numeroLigne&gt;170&lt;/numeroLigne&gt;</v>
      </c>
      <c r="K16677" s="1013"/>
    </row>
    <row r="16678" spans="1:11" s="1011" customFormat="1" ht="15" x14ac:dyDescent="0.25">
      <c r="A16678" s="859">
        <f t="shared" si="392"/>
        <v>16677</v>
      </c>
      <c r="B16678" s="845" t="s">
        <v>2564</v>
      </c>
      <c r="C16678" s="1007">
        <f t="shared" si="391"/>
        <v>170</v>
      </c>
      <c r="D16678" s="1014"/>
      <c r="H16678" s="1011" t="s">
        <v>1010</v>
      </c>
      <c r="K16678" s="1013"/>
    </row>
    <row r="16679" spans="1:11" s="1011" customFormat="1" ht="15" x14ac:dyDescent="0.25">
      <c r="A16679" s="859">
        <f t="shared" si="392"/>
        <v>16678</v>
      </c>
      <c r="B16679" s="845" t="s">
        <v>2564</v>
      </c>
      <c r="C16679" s="1007">
        <f t="shared" si="391"/>
        <v>170</v>
      </c>
      <c r="D16679" s="1012"/>
      <c r="H16679" s="1011" t="s">
        <v>1007</v>
      </c>
      <c r="K16679" s="1013"/>
    </row>
    <row r="16680" spans="1:11" s="1011" customFormat="1" ht="15" x14ac:dyDescent="0.25">
      <c r="A16680" s="859">
        <f t="shared" si="392"/>
        <v>16679</v>
      </c>
      <c r="B16680" s="845" t="s">
        <v>2564</v>
      </c>
      <c r="C16680" s="1007">
        <f t="shared" si="391"/>
        <v>170</v>
      </c>
      <c r="D16680" s="1015"/>
      <c r="I16680" s="1011" t="s">
        <v>2182</v>
      </c>
      <c r="K16680" s="1013"/>
    </row>
    <row r="16681" spans="1:11" s="1011" customFormat="1" ht="15" x14ac:dyDescent="0.25">
      <c r="A16681" s="859">
        <f t="shared" si="392"/>
        <v>16680</v>
      </c>
      <c r="B16681" s="845" t="s">
        <v>2564</v>
      </c>
      <c r="C16681" s="1007">
        <f t="shared" si="391"/>
        <v>170</v>
      </c>
      <c r="D16681" s="1012"/>
      <c r="I16681" s="1011" t="str">
        <f>CONCATENATE("&lt;valeur&gt;",VLOOKUP(C16681,'T16 Amort'!A:K,10,0),"&lt;/valeur&gt;")</f>
        <v>&lt;valeur&gt;&lt;/valeur&gt;</v>
      </c>
      <c r="K16681" s="1013"/>
    </row>
    <row r="16682" spans="1:11" s="1011" customFormat="1" ht="15" x14ac:dyDescent="0.25">
      <c r="A16682" s="859">
        <f t="shared" si="392"/>
        <v>16681</v>
      </c>
      <c r="B16682" s="845" t="s">
        <v>2564</v>
      </c>
      <c r="C16682" s="1007">
        <f t="shared" si="391"/>
        <v>170</v>
      </c>
      <c r="D16682" s="1012"/>
      <c r="I16682" s="1011" t="str">
        <f>CONCATENATE("&lt;numeroLigne&gt;",C16682,"&lt;/numeroLigne&gt;")</f>
        <v>&lt;numeroLigne&gt;170&lt;/numeroLigne&gt;</v>
      </c>
      <c r="K16682" s="1013"/>
    </row>
    <row r="16683" spans="1:11" s="1011" customFormat="1" ht="15" x14ac:dyDescent="0.25">
      <c r="A16683" s="859">
        <f t="shared" si="392"/>
        <v>16682</v>
      </c>
      <c r="B16683" s="845" t="s">
        <v>2564</v>
      </c>
      <c r="C16683" s="1007">
        <f t="shared" si="391"/>
        <v>170</v>
      </c>
      <c r="D16683" s="1014"/>
      <c r="H16683" s="1011" t="s">
        <v>1010</v>
      </c>
      <c r="K16683" s="1013"/>
    </row>
    <row r="16684" spans="1:11" s="1011" customFormat="1" ht="15" x14ac:dyDescent="0.25">
      <c r="A16684" s="859">
        <f t="shared" si="392"/>
        <v>16683</v>
      </c>
      <c r="B16684" s="845" t="s">
        <v>2564</v>
      </c>
      <c r="C16684" s="1007">
        <f t="shared" si="391"/>
        <v>170</v>
      </c>
      <c r="D16684" s="1014"/>
      <c r="H16684" s="1011" t="s">
        <v>1007</v>
      </c>
      <c r="K16684" s="1013"/>
    </row>
    <row r="16685" spans="1:11" s="1011" customFormat="1" ht="15" x14ac:dyDescent="0.25">
      <c r="A16685" s="859">
        <f t="shared" si="392"/>
        <v>16684</v>
      </c>
      <c r="B16685" s="845" t="s">
        <v>2564</v>
      </c>
      <c r="C16685" s="1007">
        <f t="shared" si="391"/>
        <v>170</v>
      </c>
      <c r="D16685" s="1012"/>
      <c r="I16685" s="1011" t="s">
        <v>2183</v>
      </c>
      <c r="K16685" s="1013"/>
    </row>
    <row r="16686" spans="1:11" s="1011" customFormat="1" ht="15" x14ac:dyDescent="0.25">
      <c r="A16686" s="859">
        <f t="shared" si="392"/>
        <v>16685</v>
      </c>
      <c r="B16686" s="845" t="s">
        <v>2564</v>
      </c>
      <c r="C16686" s="1007">
        <f t="shared" si="391"/>
        <v>170</v>
      </c>
      <c r="D16686" s="1015"/>
      <c r="I16686" s="1011" t="str">
        <f>CONCATENATE("&lt;valeur&gt;",VLOOKUP(C16686,'T16 Amort'!A:K,11,0),"&lt;/valeur&gt;")</f>
        <v>&lt;valeur&gt;&lt;/valeur&gt;</v>
      </c>
      <c r="K16686" s="1013"/>
    </row>
    <row r="16687" spans="1:11" s="1011" customFormat="1" ht="15" x14ac:dyDescent="0.25">
      <c r="A16687" s="859">
        <f t="shared" si="392"/>
        <v>16686</v>
      </c>
      <c r="B16687" s="845" t="s">
        <v>2564</v>
      </c>
      <c r="C16687" s="1007">
        <f t="shared" ref="C16687:C16750" si="393">C16637+1</f>
        <v>170</v>
      </c>
      <c r="D16687" s="1012"/>
      <c r="I16687" s="1011" t="str">
        <f>CONCATENATE("&lt;numeroLigne&gt;",C16687,"&lt;/numeroLigne&gt;")</f>
        <v>&lt;numeroLigne&gt;170&lt;/numeroLigne&gt;</v>
      </c>
      <c r="K16687" s="1013"/>
    </row>
    <row r="16688" spans="1:11" s="1011" customFormat="1" ht="15" x14ac:dyDescent="0.25">
      <c r="A16688" s="859">
        <f t="shared" si="392"/>
        <v>16687</v>
      </c>
      <c r="B16688" s="845" t="s">
        <v>2564</v>
      </c>
      <c r="C16688" s="1007">
        <f t="shared" si="393"/>
        <v>170</v>
      </c>
      <c r="D16688" s="1016"/>
      <c r="E16688" s="1017"/>
      <c r="F16688" s="1017"/>
      <c r="G16688" s="1017"/>
      <c r="H16688" s="1017" t="s">
        <v>1010</v>
      </c>
      <c r="I16688" s="1017"/>
      <c r="J16688" s="1017"/>
      <c r="K16688" s="1018"/>
    </row>
    <row r="16689" spans="1:11" s="1011" customFormat="1" ht="15" x14ac:dyDescent="0.25">
      <c r="A16689" s="859">
        <f t="shared" si="392"/>
        <v>16688</v>
      </c>
      <c r="B16689" s="845" t="s">
        <v>2564</v>
      </c>
      <c r="C16689" s="1007">
        <f t="shared" si="393"/>
        <v>171</v>
      </c>
      <c r="D16689" s="1008"/>
      <c r="E16689" s="1009"/>
      <c r="F16689" s="1009"/>
      <c r="G16689" s="1009"/>
      <c r="H16689" s="1009" t="s">
        <v>1007</v>
      </c>
      <c r="I16689" s="1009"/>
      <c r="J16689" s="1009"/>
      <c r="K16689" s="1010"/>
    </row>
    <row r="16690" spans="1:11" s="1011" customFormat="1" ht="15" x14ac:dyDescent="0.25">
      <c r="A16690" s="859">
        <f t="shared" si="392"/>
        <v>16689</v>
      </c>
      <c r="B16690" s="845" t="s">
        <v>2564</v>
      </c>
      <c r="C16690" s="1007">
        <f t="shared" si="393"/>
        <v>171</v>
      </c>
      <c r="D16690" s="1012"/>
      <c r="I16690" s="1011" t="s">
        <v>2174</v>
      </c>
      <c r="K16690" s="1013"/>
    </row>
    <row r="16691" spans="1:11" s="1011" customFormat="1" ht="15" x14ac:dyDescent="0.25">
      <c r="A16691" s="859">
        <f t="shared" si="392"/>
        <v>16690</v>
      </c>
      <c r="B16691" s="845" t="s">
        <v>2564</v>
      </c>
      <c r="C16691" s="1007">
        <f t="shared" si="393"/>
        <v>171</v>
      </c>
      <c r="D16691" s="1014"/>
      <c r="I16691" s="1011" t="str">
        <f>CONCATENATE("&lt;valeur&gt;",VLOOKUP(C16691,'T16 Amort'!A:K,2,0),"&lt;/valeur&gt;")</f>
        <v>&lt;valeur&gt;&lt;/valeur&gt;</v>
      </c>
      <c r="K16691" s="1013"/>
    </row>
    <row r="16692" spans="1:11" s="1011" customFormat="1" ht="15" x14ac:dyDescent="0.25">
      <c r="A16692" s="859">
        <f t="shared" si="392"/>
        <v>16691</v>
      </c>
      <c r="B16692" s="845" t="s">
        <v>2564</v>
      </c>
      <c r="C16692" s="1007">
        <f t="shared" si="393"/>
        <v>171</v>
      </c>
      <c r="D16692" s="1014"/>
      <c r="I16692" s="1011" t="str">
        <f>CONCATENATE("&lt;numeroLigne&gt;",C16692,"&lt;/numeroLigne&gt;")</f>
        <v>&lt;numeroLigne&gt;171&lt;/numeroLigne&gt;</v>
      </c>
      <c r="K16692" s="1013"/>
    </row>
    <row r="16693" spans="1:11" s="1011" customFormat="1" ht="15" x14ac:dyDescent="0.25">
      <c r="A16693" s="859">
        <f t="shared" si="392"/>
        <v>16692</v>
      </c>
      <c r="B16693" s="845" t="s">
        <v>2564</v>
      </c>
      <c r="C16693" s="1007">
        <f t="shared" si="393"/>
        <v>171</v>
      </c>
      <c r="D16693" s="1012"/>
      <c r="H16693" s="1011" t="s">
        <v>1010</v>
      </c>
      <c r="K16693" s="1013"/>
    </row>
    <row r="16694" spans="1:11" s="1011" customFormat="1" ht="15" x14ac:dyDescent="0.25">
      <c r="A16694" s="859">
        <f t="shared" si="392"/>
        <v>16693</v>
      </c>
      <c r="B16694" s="845" t="s">
        <v>2564</v>
      </c>
      <c r="C16694" s="1007">
        <f t="shared" si="393"/>
        <v>171</v>
      </c>
      <c r="D16694" s="1015"/>
      <c r="H16694" s="1011" t="s">
        <v>1007</v>
      </c>
      <c r="K16694" s="1013"/>
    </row>
    <row r="16695" spans="1:11" s="1011" customFormat="1" ht="15" x14ac:dyDescent="0.25">
      <c r="A16695" s="859">
        <f t="shared" si="392"/>
        <v>16694</v>
      </c>
      <c r="B16695" s="845" t="s">
        <v>2564</v>
      </c>
      <c r="C16695" s="1007">
        <f t="shared" si="393"/>
        <v>171</v>
      </c>
      <c r="D16695" s="1012"/>
      <c r="I16695" s="1011" t="s">
        <v>2175</v>
      </c>
      <c r="K16695" s="1013"/>
    </row>
    <row r="16696" spans="1:11" s="1011" customFormat="1" ht="15" x14ac:dyDescent="0.25">
      <c r="A16696" s="859">
        <f t="shared" si="392"/>
        <v>16695</v>
      </c>
      <c r="B16696" s="845" t="s">
        <v>2564</v>
      </c>
      <c r="C16696" s="1007">
        <f t="shared" si="393"/>
        <v>171</v>
      </c>
      <c r="D16696" s="1012"/>
      <c r="I16696" s="1011" t="str">
        <f>CONCATENATE("&lt;valeur&gt;",VLOOKUP(C16696,'T16 Amort'!A:K,3,0),"&lt;/valeur&gt;")</f>
        <v>&lt;valeur&gt;&lt;/valeur&gt;</v>
      </c>
      <c r="K16696" s="1013"/>
    </row>
    <row r="16697" spans="1:11" s="1011" customFormat="1" ht="15" x14ac:dyDescent="0.25">
      <c r="A16697" s="859">
        <f t="shared" si="392"/>
        <v>16696</v>
      </c>
      <c r="B16697" s="845" t="s">
        <v>2564</v>
      </c>
      <c r="C16697" s="1007">
        <f t="shared" si="393"/>
        <v>171</v>
      </c>
      <c r="D16697" s="1014"/>
      <c r="I16697" s="1011" t="str">
        <f>CONCATENATE("&lt;numeroLigne&gt;",C16697,"&lt;/numeroLigne&gt;")</f>
        <v>&lt;numeroLigne&gt;171&lt;/numeroLigne&gt;</v>
      </c>
      <c r="K16697" s="1013"/>
    </row>
    <row r="16698" spans="1:11" s="1011" customFormat="1" ht="15" x14ac:dyDescent="0.25">
      <c r="A16698" s="859">
        <f t="shared" si="392"/>
        <v>16697</v>
      </c>
      <c r="B16698" s="845" t="s">
        <v>2564</v>
      </c>
      <c r="C16698" s="1007">
        <f t="shared" si="393"/>
        <v>171</v>
      </c>
      <c r="D16698" s="1014"/>
      <c r="H16698" s="1011" t="s">
        <v>1010</v>
      </c>
      <c r="K16698" s="1013"/>
    </row>
    <row r="16699" spans="1:11" s="1011" customFormat="1" ht="15" x14ac:dyDescent="0.25">
      <c r="A16699" s="859">
        <f t="shared" si="392"/>
        <v>16698</v>
      </c>
      <c r="B16699" s="845" t="s">
        <v>2564</v>
      </c>
      <c r="C16699" s="1007">
        <f t="shared" si="393"/>
        <v>171</v>
      </c>
      <c r="D16699" s="1012"/>
      <c r="H16699" s="1011" t="s">
        <v>1007</v>
      </c>
      <c r="K16699" s="1013"/>
    </row>
    <row r="16700" spans="1:11" s="1011" customFormat="1" ht="15" x14ac:dyDescent="0.25">
      <c r="A16700" s="859">
        <f t="shared" si="392"/>
        <v>16699</v>
      </c>
      <c r="B16700" s="845" t="s">
        <v>2564</v>
      </c>
      <c r="C16700" s="1007">
        <f t="shared" si="393"/>
        <v>171</v>
      </c>
      <c r="D16700" s="1015"/>
      <c r="I16700" s="1011" t="s">
        <v>2176</v>
      </c>
      <c r="K16700" s="1013"/>
    </row>
    <row r="16701" spans="1:11" s="1011" customFormat="1" ht="15" x14ac:dyDescent="0.25">
      <c r="A16701" s="859">
        <f t="shared" si="392"/>
        <v>16700</v>
      </c>
      <c r="B16701" s="845" t="s">
        <v>2564</v>
      </c>
      <c r="C16701" s="1007">
        <f t="shared" si="393"/>
        <v>171</v>
      </c>
      <c r="D16701" s="1012"/>
      <c r="I16701" s="1011" t="str">
        <f>CONCATENATE("&lt;valeur&gt;",VLOOKUP(C16701,'T16 Amort'!A:K,4,0),"&lt;/valeur&gt;")</f>
        <v>&lt;valeur&gt;&lt;/valeur&gt;</v>
      </c>
      <c r="K16701" s="1013"/>
    </row>
    <row r="16702" spans="1:11" s="1011" customFormat="1" ht="15" x14ac:dyDescent="0.25">
      <c r="A16702" s="859">
        <f t="shared" si="392"/>
        <v>16701</v>
      </c>
      <c r="B16702" s="845" t="s">
        <v>2564</v>
      </c>
      <c r="C16702" s="1007">
        <f t="shared" si="393"/>
        <v>171</v>
      </c>
      <c r="D16702" s="1012"/>
      <c r="I16702" s="1011" t="str">
        <f>CONCATENATE("&lt;numeroLigne&gt;",C16702,"&lt;/numeroLigne&gt;")</f>
        <v>&lt;numeroLigne&gt;171&lt;/numeroLigne&gt;</v>
      </c>
      <c r="K16702" s="1013"/>
    </row>
    <row r="16703" spans="1:11" s="1011" customFormat="1" ht="15" x14ac:dyDescent="0.25">
      <c r="A16703" s="859">
        <f t="shared" si="392"/>
        <v>16702</v>
      </c>
      <c r="B16703" s="845" t="s">
        <v>2564</v>
      </c>
      <c r="C16703" s="1007">
        <f t="shared" si="393"/>
        <v>171</v>
      </c>
      <c r="D16703" s="1014"/>
      <c r="H16703" s="1011" t="s">
        <v>1010</v>
      </c>
      <c r="K16703" s="1013"/>
    </row>
    <row r="16704" spans="1:11" s="1011" customFormat="1" ht="15" x14ac:dyDescent="0.25">
      <c r="A16704" s="859">
        <f t="shared" si="392"/>
        <v>16703</v>
      </c>
      <c r="B16704" s="845" t="s">
        <v>2564</v>
      </c>
      <c r="C16704" s="1007">
        <f t="shared" si="393"/>
        <v>171</v>
      </c>
      <c r="D16704" s="1014"/>
      <c r="H16704" s="1011" t="s">
        <v>1007</v>
      </c>
      <c r="K16704" s="1013"/>
    </row>
    <row r="16705" spans="1:11" s="1011" customFormat="1" ht="15" x14ac:dyDescent="0.25">
      <c r="A16705" s="859">
        <f t="shared" si="392"/>
        <v>16704</v>
      </c>
      <c r="B16705" s="845" t="s">
        <v>2564</v>
      </c>
      <c r="C16705" s="1007">
        <f t="shared" si="393"/>
        <v>171</v>
      </c>
      <c r="D16705" s="1012"/>
      <c r="I16705" s="1011" t="s">
        <v>2177</v>
      </c>
      <c r="K16705" s="1013"/>
    </row>
    <row r="16706" spans="1:11" s="1011" customFormat="1" ht="15" x14ac:dyDescent="0.25">
      <c r="A16706" s="859">
        <f t="shared" si="392"/>
        <v>16705</v>
      </c>
      <c r="B16706" s="845" t="s">
        <v>2564</v>
      </c>
      <c r="C16706" s="1007">
        <f t="shared" si="393"/>
        <v>171</v>
      </c>
      <c r="D16706" s="1015"/>
      <c r="I16706" s="1011" t="str">
        <f>CONCATENATE("&lt;valeur&gt;",VLOOKUP(C16706,'T16 Amort'!A:K,5,0),"&lt;/valeur&gt;")</f>
        <v>&lt;valeur&gt;&lt;/valeur&gt;</v>
      </c>
      <c r="K16706" s="1013"/>
    </row>
    <row r="16707" spans="1:11" s="1011" customFormat="1" ht="15" x14ac:dyDescent="0.25">
      <c r="A16707" s="859">
        <f t="shared" si="392"/>
        <v>16706</v>
      </c>
      <c r="B16707" s="845" t="s">
        <v>2564</v>
      </c>
      <c r="C16707" s="1007">
        <f t="shared" si="393"/>
        <v>171</v>
      </c>
      <c r="D16707" s="1012"/>
      <c r="I16707" s="1011" t="str">
        <f>CONCATENATE("&lt;numeroLigne&gt;",C16707,"&lt;/numeroLigne&gt;")</f>
        <v>&lt;numeroLigne&gt;171&lt;/numeroLigne&gt;</v>
      </c>
      <c r="K16707" s="1013"/>
    </row>
    <row r="16708" spans="1:11" s="1011" customFormat="1" ht="15" x14ac:dyDescent="0.25">
      <c r="A16708" s="859">
        <f t="shared" ref="A16708:A16771" si="394">+A16707+1</f>
        <v>16707</v>
      </c>
      <c r="B16708" s="845" t="s">
        <v>2564</v>
      </c>
      <c r="C16708" s="1007">
        <f t="shared" si="393"/>
        <v>171</v>
      </c>
      <c r="D16708" s="1012"/>
      <c r="H16708" s="1011" t="s">
        <v>1010</v>
      </c>
      <c r="K16708" s="1013"/>
    </row>
    <row r="16709" spans="1:11" s="1011" customFormat="1" ht="15" x14ac:dyDescent="0.25">
      <c r="A16709" s="859">
        <f t="shared" si="394"/>
        <v>16708</v>
      </c>
      <c r="B16709" s="845" t="s">
        <v>2564</v>
      </c>
      <c r="C16709" s="1007">
        <f t="shared" si="393"/>
        <v>171</v>
      </c>
      <c r="D16709" s="1014"/>
      <c r="H16709" s="1011" t="s">
        <v>1007</v>
      </c>
      <c r="K16709" s="1013"/>
    </row>
    <row r="16710" spans="1:11" s="1011" customFormat="1" ht="15" x14ac:dyDescent="0.25">
      <c r="A16710" s="859">
        <f t="shared" si="394"/>
        <v>16709</v>
      </c>
      <c r="B16710" s="845" t="s">
        <v>2564</v>
      </c>
      <c r="C16710" s="1007">
        <f t="shared" si="393"/>
        <v>171</v>
      </c>
      <c r="D16710" s="1014"/>
      <c r="I16710" s="1011" t="s">
        <v>2178</v>
      </c>
      <c r="K16710" s="1013"/>
    </row>
    <row r="16711" spans="1:11" s="1011" customFormat="1" ht="15" x14ac:dyDescent="0.25">
      <c r="A16711" s="859">
        <f t="shared" si="394"/>
        <v>16710</v>
      </c>
      <c r="B16711" s="845" t="s">
        <v>2564</v>
      </c>
      <c r="C16711" s="1007">
        <f t="shared" si="393"/>
        <v>171</v>
      </c>
      <c r="D16711" s="1012"/>
      <c r="I16711" s="1011" t="str">
        <f>CONCATENATE("&lt;valeur&gt;",VLOOKUP(C16711,'T16 Amort'!A:K,6,0),"&lt;/valeur&gt;")</f>
        <v>&lt;valeur&gt;&lt;/valeur&gt;</v>
      </c>
      <c r="K16711" s="1013"/>
    </row>
    <row r="16712" spans="1:11" s="1011" customFormat="1" ht="15" x14ac:dyDescent="0.25">
      <c r="A16712" s="859">
        <f t="shared" si="394"/>
        <v>16711</v>
      </c>
      <c r="B16712" s="845" t="s">
        <v>2564</v>
      </c>
      <c r="C16712" s="1007">
        <f t="shared" si="393"/>
        <v>171</v>
      </c>
      <c r="D16712" s="1015"/>
      <c r="I16712" s="1011" t="str">
        <f>CONCATENATE("&lt;numeroLigne&gt;",C16712,"&lt;/numeroLigne&gt;")</f>
        <v>&lt;numeroLigne&gt;171&lt;/numeroLigne&gt;</v>
      </c>
      <c r="K16712" s="1013"/>
    </row>
    <row r="16713" spans="1:11" s="1011" customFormat="1" ht="15" x14ac:dyDescent="0.25">
      <c r="A16713" s="859">
        <f t="shared" si="394"/>
        <v>16712</v>
      </c>
      <c r="B16713" s="845" t="s">
        <v>2564</v>
      </c>
      <c r="C16713" s="1007">
        <f t="shared" si="393"/>
        <v>171</v>
      </c>
      <c r="D16713" s="1012"/>
      <c r="H16713" s="1011" t="s">
        <v>1010</v>
      </c>
      <c r="K16713" s="1013"/>
    </row>
    <row r="16714" spans="1:11" s="1011" customFormat="1" ht="15" x14ac:dyDescent="0.25">
      <c r="A16714" s="859">
        <f t="shared" si="394"/>
        <v>16713</v>
      </c>
      <c r="B16714" s="845" t="s">
        <v>2564</v>
      </c>
      <c r="C16714" s="1007">
        <f t="shared" si="393"/>
        <v>171</v>
      </c>
      <c r="D16714" s="1012"/>
      <c r="H16714" s="1011" t="s">
        <v>1007</v>
      </c>
      <c r="K16714" s="1013"/>
    </row>
    <row r="16715" spans="1:11" s="1011" customFormat="1" ht="15" x14ac:dyDescent="0.25">
      <c r="A16715" s="859">
        <f t="shared" si="394"/>
        <v>16714</v>
      </c>
      <c r="B16715" s="845" t="s">
        <v>2564</v>
      </c>
      <c r="C16715" s="1007">
        <f t="shared" si="393"/>
        <v>171</v>
      </c>
      <c r="D16715" s="1014"/>
      <c r="I16715" s="1011" t="s">
        <v>2179</v>
      </c>
      <c r="K16715" s="1013"/>
    </row>
    <row r="16716" spans="1:11" s="1011" customFormat="1" ht="15" x14ac:dyDescent="0.25">
      <c r="A16716" s="859">
        <f t="shared" si="394"/>
        <v>16715</v>
      </c>
      <c r="B16716" s="845" t="s">
        <v>2564</v>
      </c>
      <c r="C16716" s="1007">
        <f t="shared" si="393"/>
        <v>171</v>
      </c>
      <c r="D16716" s="1014"/>
      <c r="I16716" s="1011" t="str">
        <f>CONCATENATE("&lt;valeur&gt;",VLOOKUP(C16716,'T16 Amort'!A:K,7,0),"&lt;/valeur&gt;")</f>
        <v>&lt;valeur&gt;&lt;/valeur&gt;</v>
      </c>
      <c r="K16716" s="1013"/>
    </row>
    <row r="16717" spans="1:11" s="1011" customFormat="1" ht="15" x14ac:dyDescent="0.25">
      <c r="A16717" s="859">
        <f t="shared" si="394"/>
        <v>16716</v>
      </c>
      <c r="B16717" s="845" t="s">
        <v>2564</v>
      </c>
      <c r="C16717" s="1007">
        <f t="shared" si="393"/>
        <v>171</v>
      </c>
      <c r="D16717" s="1012"/>
      <c r="I16717" s="1011" t="str">
        <f>CONCATENATE("&lt;numeroLigne&gt;",C16717,"&lt;/numeroLigne&gt;")</f>
        <v>&lt;numeroLigne&gt;171&lt;/numeroLigne&gt;</v>
      </c>
      <c r="K16717" s="1013"/>
    </row>
    <row r="16718" spans="1:11" s="1011" customFormat="1" ht="15" x14ac:dyDescent="0.25">
      <c r="A16718" s="859">
        <f t="shared" si="394"/>
        <v>16717</v>
      </c>
      <c r="B16718" s="845" t="s">
        <v>2564</v>
      </c>
      <c r="C16718" s="1007">
        <f t="shared" si="393"/>
        <v>171</v>
      </c>
      <c r="D16718" s="1015"/>
      <c r="H16718" s="1011" t="s">
        <v>1010</v>
      </c>
      <c r="K16718" s="1013"/>
    </row>
    <row r="16719" spans="1:11" s="1011" customFormat="1" ht="15" x14ac:dyDescent="0.25">
      <c r="A16719" s="859">
        <f t="shared" si="394"/>
        <v>16718</v>
      </c>
      <c r="B16719" s="845" t="s">
        <v>2564</v>
      </c>
      <c r="C16719" s="1007">
        <f t="shared" si="393"/>
        <v>171</v>
      </c>
      <c r="D16719" s="1012"/>
      <c r="H16719" s="1011" t="s">
        <v>1007</v>
      </c>
      <c r="K16719" s="1013"/>
    </row>
    <row r="16720" spans="1:11" s="1011" customFormat="1" ht="15" x14ac:dyDescent="0.25">
      <c r="A16720" s="859">
        <f t="shared" si="394"/>
        <v>16719</v>
      </c>
      <c r="B16720" s="845" t="s">
        <v>2564</v>
      </c>
      <c r="C16720" s="1007">
        <f t="shared" si="393"/>
        <v>171</v>
      </c>
      <c r="D16720" s="1012"/>
      <c r="I16720" s="1011" t="s">
        <v>2180</v>
      </c>
      <c r="K16720" s="1013"/>
    </row>
    <row r="16721" spans="1:11" s="1011" customFormat="1" ht="15" x14ac:dyDescent="0.25">
      <c r="A16721" s="859">
        <f t="shared" si="394"/>
        <v>16720</v>
      </c>
      <c r="B16721" s="845" t="s">
        <v>2564</v>
      </c>
      <c r="C16721" s="1007">
        <f t="shared" si="393"/>
        <v>171</v>
      </c>
      <c r="D16721" s="1014"/>
      <c r="I16721" s="1011" t="str">
        <f>CONCATENATE("&lt;valeur&gt;",VLOOKUP(C16721,'T16 Amort'!A:K,8,0),"&lt;/valeur&gt;")</f>
        <v>&lt;valeur&gt;&lt;/valeur&gt;</v>
      </c>
      <c r="K16721" s="1013"/>
    </row>
    <row r="16722" spans="1:11" s="1011" customFormat="1" ht="15" x14ac:dyDescent="0.25">
      <c r="A16722" s="859">
        <f t="shared" si="394"/>
        <v>16721</v>
      </c>
      <c r="B16722" s="845" t="s">
        <v>2564</v>
      </c>
      <c r="C16722" s="1007">
        <f t="shared" si="393"/>
        <v>171</v>
      </c>
      <c r="D16722" s="1014"/>
      <c r="I16722" s="1011" t="str">
        <f>CONCATENATE("&lt;numeroLigne&gt;",C16722,"&lt;/numeroLigne&gt;")</f>
        <v>&lt;numeroLigne&gt;171&lt;/numeroLigne&gt;</v>
      </c>
      <c r="K16722" s="1013"/>
    </row>
    <row r="16723" spans="1:11" s="1011" customFormat="1" ht="15" x14ac:dyDescent="0.25">
      <c r="A16723" s="859">
        <f t="shared" si="394"/>
        <v>16722</v>
      </c>
      <c r="B16723" s="845" t="s">
        <v>2564</v>
      </c>
      <c r="C16723" s="1007">
        <f t="shared" si="393"/>
        <v>171</v>
      </c>
      <c r="D16723" s="1012"/>
      <c r="H16723" s="1011" t="s">
        <v>1010</v>
      </c>
      <c r="K16723" s="1013"/>
    </row>
    <row r="16724" spans="1:11" s="1011" customFormat="1" ht="15" x14ac:dyDescent="0.25">
      <c r="A16724" s="859">
        <f t="shared" si="394"/>
        <v>16723</v>
      </c>
      <c r="B16724" s="845" t="s">
        <v>2564</v>
      </c>
      <c r="C16724" s="1007">
        <f t="shared" si="393"/>
        <v>171</v>
      </c>
      <c r="D16724" s="1015"/>
      <c r="H16724" s="1011" t="s">
        <v>1007</v>
      </c>
      <c r="K16724" s="1013"/>
    </row>
    <row r="16725" spans="1:11" s="1011" customFormat="1" ht="15" x14ac:dyDescent="0.25">
      <c r="A16725" s="859">
        <f t="shared" si="394"/>
        <v>16724</v>
      </c>
      <c r="B16725" s="845" t="s">
        <v>2564</v>
      </c>
      <c r="C16725" s="1007">
        <f t="shared" si="393"/>
        <v>171</v>
      </c>
      <c r="D16725" s="1012"/>
      <c r="I16725" s="1011" t="s">
        <v>2181</v>
      </c>
      <c r="K16725" s="1013"/>
    </row>
    <row r="16726" spans="1:11" s="1011" customFormat="1" ht="15" x14ac:dyDescent="0.25">
      <c r="A16726" s="859">
        <f t="shared" si="394"/>
        <v>16725</v>
      </c>
      <c r="B16726" s="845" t="s">
        <v>2564</v>
      </c>
      <c r="C16726" s="1007">
        <f t="shared" si="393"/>
        <v>171</v>
      </c>
      <c r="D16726" s="1012"/>
      <c r="I16726" s="1011" t="str">
        <f>CONCATENATE("&lt;valeur&gt;",VLOOKUP(C16726,'T16 Amort'!A:K,9,0),"&lt;/valeur&gt;")</f>
        <v>&lt;valeur&gt;&lt;/valeur&gt;</v>
      </c>
      <c r="K16726" s="1013"/>
    </row>
    <row r="16727" spans="1:11" s="1011" customFormat="1" ht="15" x14ac:dyDescent="0.25">
      <c r="A16727" s="859">
        <f t="shared" si="394"/>
        <v>16726</v>
      </c>
      <c r="B16727" s="845" t="s">
        <v>2564</v>
      </c>
      <c r="C16727" s="1007">
        <f t="shared" si="393"/>
        <v>171</v>
      </c>
      <c r="D16727" s="1014"/>
      <c r="I16727" s="1011" t="str">
        <f>CONCATENATE("&lt;numeroLigne&gt;",C16727,"&lt;/numeroLigne&gt;")</f>
        <v>&lt;numeroLigne&gt;171&lt;/numeroLigne&gt;</v>
      </c>
      <c r="K16727" s="1013"/>
    </row>
    <row r="16728" spans="1:11" s="1011" customFormat="1" ht="15" x14ac:dyDescent="0.25">
      <c r="A16728" s="859">
        <f t="shared" si="394"/>
        <v>16727</v>
      </c>
      <c r="B16728" s="845" t="s">
        <v>2564</v>
      </c>
      <c r="C16728" s="1007">
        <f t="shared" si="393"/>
        <v>171</v>
      </c>
      <c r="D16728" s="1014"/>
      <c r="H16728" s="1011" t="s">
        <v>1010</v>
      </c>
      <c r="K16728" s="1013"/>
    </row>
    <row r="16729" spans="1:11" s="1011" customFormat="1" ht="15" x14ac:dyDescent="0.25">
      <c r="A16729" s="859">
        <f t="shared" si="394"/>
        <v>16728</v>
      </c>
      <c r="B16729" s="845" t="s">
        <v>2564</v>
      </c>
      <c r="C16729" s="1007">
        <f t="shared" si="393"/>
        <v>171</v>
      </c>
      <c r="D16729" s="1012"/>
      <c r="H16729" s="1011" t="s">
        <v>1007</v>
      </c>
      <c r="K16729" s="1013"/>
    </row>
    <row r="16730" spans="1:11" s="1011" customFormat="1" ht="15" x14ac:dyDescent="0.25">
      <c r="A16730" s="859">
        <f t="shared" si="394"/>
        <v>16729</v>
      </c>
      <c r="B16730" s="845" t="s">
        <v>2564</v>
      </c>
      <c r="C16730" s="1007">
        <f t="shared" si="393"/>
        <v>171</v>
      </c>
      <c r="D16730" s="1015"/>
      <c r="I16730" s="1011" t="s">
        <v>2182</v>
      </c>
      <c r="K16730" s="1013"/>
    </row>
    <row r="16731" spans="1:11" s="1011" customFormat="1" ht="15" x14ac:dyDescent="0.25">
      <c r="A16731" s="859">
        <f t="shared" si="394"/>
        <v>16730</v>
      </c>
      <c r="B16731" s="845" t="s">
        <v>2564</v>
      </c>
      <c r="C16731" s="1007">
        <f t="shared" si="393"/>
        <v>171</v>
      </c>
      <c r="D16731" s="1012"/>
      <c r="I16731" s="1011" t="str">
        <f>CONCATENATE("&lt;valeur&gt;",VLOOKUP(C16731,'T16 Amort'!A:K,10,0),"&lt;/valeur&gt;")</f>
        <v>&lt;valeur&gt;&lt;/valeur&gt;</v>
      </c>
      <c r="K16731" s="1013"/>
    </row>
    <row r="16732" spans="1:11" s="1011" customFormat="1" ht="15" x14ac:dyDescent="0.25">
      <c r="A16732" s="859">
        <f t="shared" si="394"/>
        <v>16731</v>
      </c>
      <c r="B16732" s="845" t="s">
        <v>2564</v>
      </c>
      <c r="C16732" s="1007">
        <f t="shared" si="393"/>
        <v>171</v>
      </c>
      <c r="D16732" s="1012"/>
      <c r="I16732" s="1011" t="str">
        <f>CONCATENATE("&lt;numeroLigne&gt;",C16732,"&lt;/numeroLigne&gt;")</f>
        <v>&lt;numeroLigne&gt;171&lt;/numeroLigne&gt;</v>
      </c>
      <c r="K16732" s="1013"/>
    </row>
    <row r="16733" spans="1:11" s="1011" customFormat="1" ht="15" x14ac:dyDescent="0.25">
      <c r="A16733" s="859">
        <f t="shared" si="394"/>
        <v>16732</v>
      </c>
      <c r="B16733" s="845" t="s">
        <v>2564</v>
      </c>
      <c r="C16733" s="1007">
        <f t="shared" si="393"/>
        <v>171</v>
      </c>
      <c r="D16733" s="1014"/>
      <c r="H16733" s="1011" t="s">
        <v>1010</v>
      </c>
      <c r="K16733" s="1013"/>
    </row>
    <row r="16734" spans="1:11" s="1011" customFormat="1" ht="15" x14ac:dyDescent="0.25">
      <c r="A16734" s="859">
        <f t="shared" si="394"/>
        <v>16733</v>
      </c>
      <c r="B16734" s="845" t="s">
        <v>2564</v>
      </c>
      <c r="C16734" s="1007">
        <f t="shared" si="393"/>
        <v>171</v>
      </c>
      <c r="D16734" s="1014"/>
      <c r="H16734" s="1011" t="s">
        <v>1007</v>
      </c>
      <c r="K16734" s="1013"/>
    </row>
    <row r="16735" spans="1:11" s="1011" customFormat="1" ht="15" x14ac:dyDescent="0.25">
      <c r="A16735" s="859">
        <f t="shared" si="394"/>
        <v>16734</v>
      </c>
      <c r="B16735" s="845" t="s">
        <v>2564</v>
      </c>
      <c r="C16735" s="1007">
        <f t="shared" si="393"/>
        <v>171</v>
      </c>
      <c r="D16735" s="1012"/>
      <c r="I16735" s="1011" t="s">
        <v>2183</v>
      </c>
      <c r="K16735" s="1013"/>
    </row>
    <row r="16736" spans="1:11" s="1011" customFormat="1" ht="15" x14ac:dyDescent="0.25">
      <c r="A16736" s="859">
        <f t="shared" si="394"/>
        <v>16735</v>
      </c>
      <c r="B16736" s="845" t="s">
        <v>2564</v>
      </c>
      <c r="C16736" s="1007">
        <f t="shared" si="393"/>
        <v>171</v>
      </c>
      <c r="D16736" s="1015"/>
      <c r="I16736" s="1011" t="str">
        <f>CONCATENATE("&lt;valeur&gt;",VLOOKUP(C16736,'T16 Amort'!A:K,11,0),"&lt;/valeur&gt;")</f>
        <v>&lt;valeur&gt;&lt;/valeur&gt;</v>
      </c>
      <c r="K16736" s="1013"/>
    </row>
    <row r="16737" spans="1:11" s="1011" customFormat="1" ht="15" x14ac:dyDescent="0.25">
      <c r="A16737" s="859">
        <f t="shared" si="394"/>
        <v>16736</v>
      </c>
      <c r="B16737" s="845" t="s">
        <v>2564</v>
      </c>
      <c r="C16737" s="1007">
        <f t="shared" si="393"/>
        <v>171</v>
      </c>
      <c r="D16737" s="1012"/>
      <c r="I16737" s="1011" t="str">
        <f>CONCATENATE("&lt;numeroLigne&gt;",C16737,"&lt;/numeroLigne&gt;")</f>
        <v>&lt;numeroLigne&gt;171&lt;/numeroLigne&gt;</v>
      </c>
      <c r="K16737" s="1013"/>
    </row>
    <row r="16738" spans="1:11" s="1011" customFormat="1" ht="15" x14ac:dyDescent="0.25">
      <c r="A16738" s="859">
        <f t="shared" si="394"/>
        <v>16737</v>
      </c>
      <c r="B16738" s="845" t="s">
        <v>2564</v>
      </c>
      <c r="C16738" s="1007">
        <f t="shared" si="393"/>
        <v>171</v>
      </c>
      <c r="D16738" s="1016"/>
      <c r="E16738" s="1017"/>
      <c r="F16738" s="1017"/>
      <c r="G16738" s="1017"/>
      <c r="H16738" s="1017" t="s">
        <v>1010</v>
      </c>
      <c r="I16738" s="1017"/>
      <c r="J16738" s="1017"/>
      <c r="K16738" s="1018"/>
    </row>
    <row r="16739" spans="1:11" s="1011" customFormat="1" ht="15" x14ac:dyDescent="0.25">
      <c r="A16739" s="859">
        <f t="shared" si="394"/>
        <v>16738</v>
      </c>
      <c r="B16739" s="845" t="s">
        <v>2564</v>
      </c>
      <c r="C16739" s="1007">
        <f t="shared" si="393"/>
        <v>172</v>
      </c>
      <c r="D16739" s="1008"/>
      <c r="E16739" s="1009"/>
      <c r="F16739" s="1009"/>
      <c r="G16739" s="1009"/>
      <c r="H16739" s="1009" t="s">
        <v>1007</v>
      </c>
      <c r="I16739" s="1009"/>
      <c r="J16739" s="1009"/>
      <c r="K16739" s="1010"/>
    </row>
    <row r="16740" spans="1:11" s="1011" customFormat="1" ht="15" x14ac:dyDescent="0.25">
      <c r="A16740" s="859">
        <f t="shared" si="394"/>
        <v>16739</v>
      </c>
      <c r="B16740" s="845" t="s">
        <v>2564</v>
      </c>
      <c r="C16740" s="1007">
        <f t="shared" si="393"/>
        <v>172</v>
      </c>
      <c r="D16740" s="1012"/>
      <c r="I16740" s="1011" t="s">
        <v>2174</v>
      </c>
      <c r="K16740" s="1013"/>
    </row>
    <row r="16741" spans="1:11" s="1011" customFormat="1" ht="15" x14ac:dyDescent="0.25">
      <c r="A16741" s="859">
        <f t="shared" si="394"/>
        <v>16740</v>
      </c>
      <c r="B16741" s="845" t="s">
        <v>2564</v>
      </c>
      <c r="C16741" s="1007">
        <f t="shared" si="393"/>
        <v>172</v>
      </c>
      <c r="D16741" s="1014"/>
      <c r="I16741" s="1011" t="str">
        <f>CONCATENATE("&lt;valeur&gt;",VLOOKUP(C16741,'T16 Amort'!A:K,2,0),"&lt;/valeur&gt;")</f>
        <v>&lt;valeur&gt;&lt;/valeur&gt;</v>
      </c>
      <c r="K16741" s="1013"/>
    </row>
    <row r="16742" spans="1:11" s="1011" customFormat="1" ht="15" x14ac:dyDescent="0.25">
      <c r="A16742" s="859">
        <f t="shared" si="394"/>
        <v>16741</v>
      </c>
      <c r="B16742" s="845" t="s">
        <v>2564</v>
      </c>
      <c r="C16742" s="1007">
        <f t="shared" si="393"/>
        <v>172</v>
      </c>
      <c r="D16742" s="1014"/>
      <c r="I16742" s="1011" t="str">
        <f>CONCATENATE("&lt;numeroLigne&gt;",C16742,"&lt;/numeroLigne&gt;")</f>
        <v>&lt;numeroLigne&gt;172&lt;/numeroLigne&gt;</v>
      </c>
      <c r="K16742" s="1013"/>
    </row>
    <row r="16743" spans="1:11" s="1011" customFormat="1" ht="15" x14ac:dyDescent="0.25">
      <c r="A16743" s="859">
        <f t="shared" si="394"/>
        <v>16742</v>
      </c>
      <c r="B16743" s="845" t="s">
        <v>2564</v>
      </c>
      <c r="C16743" s="1007">
        <f t="shared" si="393"/>
        <v>172</v>
      </c>
      <c r="D16743" s="1012"/>
      <c r="H16743" s="1011" t="s">
        <v>1010</v>
      </c>
      <c r="K16743" s="1013"/>
    </row>
    <row r="16744" spans="1:11" s="1011" customFormat="1" ht="15" x14ac:dyDescent="0.25">
      <c r="A16744" s="859">
        <f t="shared" si="394"/>
        <v>16743</v>
      </c>
      <c r="B16744" s="845" t="s">
        <v>2564</v>
      </c>
      <c r="C16744" s="1007">
        <f t="shared" si="393"/>
        <v>172</v>
      </c>
      <c r="D16744" s="1015"/>
      <c r="H16744" s="1011" t="s">
        <v>1007</v>
      </c>
      <c r="K16744" s="1013"/>
    </row>
    <row r="16745" spans="1:11" s="1011" customFormat="1" ht="15" x14ac:dyDescent="0.25">
      <c r="A16745" s="859">
        <f t="shared" si="394"/>
        <v>16744</v>
      </c>
      <c r="B16745" s="845" t="s">
        <v>2564</v>
      </c>
      <c r="C16745" s="1007">
        <f t="shared" si="393"/>
        <v>172</v>
      </c>
      <c r="D16745" s="1012"/>
      <c r="I16745" s="1011" t="s">
        <v>2175</v>
      </c>
      <c r="K16745" s="1013"/>
    </row>
    <row r="16746" spans="1:11" s="1011" customFormat="1" ht="15" x14ac:dyDescent="0.25">
      <c r="A16746" s="859">
        <f t="shared" si="394"/>
        <v>16745</v>
      </c>
      <c r="B16746" s="845" t="s">
        <v>2564</v>
      </c>
      <c r="C16746" s="1007">
        <f t="shared" si="393"/>
        <v>172</v>
      </c>
      <c r="D16746" s="1012"/>
      <c r="I16746" s="1011" t="str">
        <f>CONCATENATE("&lt;valeur&gt;",VLOOKUP(C16746,'T16 Amort'!A:K,3,0),"&lt;/valeur&gt;")</f>
        <v>&lt;valeur&gt;&lt;/valeur&gt;</v>
      </c>
      <c r="K16746" s="1013"/>
    </row>
    <row r="16747" spans="1:11" s="1011" customFormat="1" ht="15" x14ac:dyDescent="0.25">
      <c r="A16747" s="859">
        <f t="shared" si="394"/>
        <v>16746</v>
      </c>
      <c r="B16747" s="845" t="s">
        <v>2564</v>
      </c>
      <c r="C16747" s="1007">
        <f t="shared" si="393"/>
        <v>172</v>
      </c>
      <c r="D16747" s="1014"/>
      <c r="I16747" s="1011" t="str">
        <f>CONCATENATE("&lt;numeroLigne&gt;",C16747,"&lt;/numeroLigne&gt;")</f>
        <v>&lt;numeroLigne&gt;172&lt;/numeroLigne&gt;</v>
      </c>
      <c r="K16747" s="1013"/>
    </row>
    <row r="16748" spans="1:11" s="1011" customFormat="1" ht="15" x14ac:dyDescent="0.25">
      <c r="A16748" s="859">
        <f t="shared" si="394"/>
        <v>16747</v>
      </c>
      <c r="B16748" s="845" t="s">
        <v>2564</v>
      </c>
      <c r="C16748" s="1007">
        <f t="shared" si="393"/>
        <v>172</v>
      </c>
      <c r="D16748" s="1014"/>
      <c r="H16748" s="1011" t="s">
        <v>1010</v>
      </c>
      <c r="K16748" s="1013"/>
    </row>
    <row r="16749" spans="1:11" s="1011" customFormat="1" ht="15" x14ac:dyDescent="0.25">
      <c r="A16749" s="859">
        <f t="shared" si="394"/>
        <v>16748</v>
      </c>
      <c r="B16749" s="845" t="s">
        <v>2564</v>
      </c>
      <c r="C16749" s="1007">
        <f t="shared" si="393"/>
        <v>172</v>
      </c>
      <c r="D16749" s="1012"/>
      <c r="H16749" s="1011" t="s">
        <v>1007</v>
      </c>
      <c r="K16749" s="1013"/>
    </row>
    <row r="16750" spans="1:11" s="1011" customFormat="1" ht="15" x14ac:dyDescent="0.25">
      <c r="A16750" s="859">
        <f t="shared" si="394"/>
        <v>16749</v>
      </c>
      <c r="B16750" s="845" t="s">
        <v>2564</v>
      </c>
      <c r="C16750" s="1007">
        <f t="shared" si="393"/>
        <v>172</v>
      </c>
      <c r="D16750" s="1015"/>
      <c r="I16750" s="1011" t="s">
        <v>2176</v>
      </c>
      <c r="K16750" s="1013"/>
    </row>
    <row r="16751" spans="1:11" s="1011" customFormat="1" ht="15" x14ac:dyDescent="0.25">
      <c r="A16751" s="859">
        <f t="shared" si="394"/>
        <v>16750</v>
      </c>
      <c r="B16751" s="845" t="s">
        <v>2564</v>
      </c>
      <c r="C16751" s="1007">
        <f t="shared" ref="C16751:C16814" si="395">C16701+1</f>
        <v>172</v>
      </c>
      <c r="D16751" s="1012"/>
      <c r="I16751" s="1011" t="str">
        <f>CONCATENATE("&lt;valeur&gt;",VLOOKUP(C16751,'T16 Amort'!A:K,4,0),"&lt;/valeur&gt;")</f>
        <v>&lt;valeur&gt;&lt;/valeur&gt;</v>
      </c>
      <c r="K16751" s="1013"/>
    </row>
    <row r="16752" spans="1:11" s="1011" customFormat="1" ht="15" x14ac:dyDescent="0.25">
      <c r="A16752" s="859">
        <f t="shared" si="394"/>
        <v>16751</v>
      </c>
      <c r="B16752" s="845" t="s">
        <v>2564</v>
      </c>
      <c r="C16752" s="1007">
        <f t="shared" si="395"/>
        <v>172</v>
      </c>
      <c r="D16752" s="1012"/>
      <c r="I16752" s="1011" t="str">
        <f>CONCATENATE("&lt;numeroLigne&gt;",C16752,"&lt;/numeroLigne&gt;")</f>
        <v>&lt;numeroLigne&gt;172&lt;/numeroLigne&gt;</v>
      </c>
      <c r="K16752" s="1013"/>
    </row>
    <row r="16753" spans="1:11" s="1011" customFormat="1" ht="15" x14ac:dyDescent="0.25">
      <c r="A16753" s="859">
        <f t="shared" si="394"/>
        <v>16752</v>
      </c>
      <c r="B16753" s="845" t="s">
        <v>2564</v>
      </c>
      <c r="C16753" s="1007">
        <f t="shared" si="395"/>
        <v>172</v>
      </c>
      <c r="D16753" s="1014"/>
      <c r="H16753" s="1011" t="s">
        <v>1010</v>
      </c>
      <c r="K16753" s="1013"/>
    </row>
    <row r="16754" spans="1:11" s="1011" customFormat="1" ht="15" x14ac:dyDescent="0.25">
      <c r="A16754" s="859">
        <f t="shared" si="394"/>
        <v>16753</v>
      </c>
      <c r="B16754" s="845" t="s">
        <v>2564</v>
      </c>
      <c r="C16754" s="1007">
        <f t="shared" si="395"/>
        <v>172</v>
      </c>
      <c r="D16754" s="1014"/>
      <c r="H16754" s="1011" t="s">
        <v>1007</v>
      </c>
      <c r="K16754" s="1013"/>
    </row>
    <row r="16755" spans="1:11" s="1011" customFormat="1" ht="15" x14ac:dyDescent="0.25">
      <c r="A16755" s="859">
        <f t="shared" si="394"/>
        <v>16754</v>
      </c>
      <c r="B16755" s="845" t="s">
        <v>2564</v>
      </c>
      <c r="C16755" s="1007">
        <f t="shared" si="395"/>
        <v>172</v>
      </c>
      <c r="D16755" s="1012"/>
      <c r="I16755" s="1011" t="s">
        <v>2177</v>
      </c>
      <c r="K16755" s="1013"/>
    </row>
    <row r="16756" spans="1:11" s="1011" customFormat="1" ht="15" x14ac:dyDescent="0.25">
      <c r="A16756" s="859">
        <f t="shared" si="394"/>
        <v>16755</v>
      </c>
      <c r="B16756" s="845" t="s">
        <v>2564</v>
      </c>
      <c r="C16756" s="1007">
        <f t="shared" si="395"/>
        <v>172</v>
      </c>
      <c r="D16756" s="1015"/>
      <c r="I16756" s="1011" t="str">
        <f>CONCATENATE("&lt;valeur&gt;",VLOOKUP(C16756,'T16 Amort'!A:K,5,0),"&lt;/valeur&gt;")</f>
        <v>&lt;valeur&gt;&lt;/valeur&gt;</v>
      </c>
      <c r="K16756" s="1013"/>
    </row>
    <row r="16757" spans="1:11" s="1011" customFormat="1" ht="15" x14ac:dyDescent="0.25">
      <c r="A16757" s="859">
        <f t="shared" si="394"/>
        <v>16756</v>
      </c>
      <c r="B16757" s="845" t="s">
        <v>2564</v>
      </c>
      <c r="C16757" s="1007">
        <f t="shared" si="395"/>
        <v>172</v>
      </c>
      <c r="D16757" s="1012"/>
      <c r="I16757" s="1011" t="str">
        <f>CONCATENATE("&lt;numeroLigne&gt;",C16757,"&lt;/numeroLigne&gt;")</f>
        <v>&lt;numeroLigne&gt;172&lt;/numeroLigne&gt;</v>
      </c>
      <c r="K16757" s="1013"/>
    </row>
    <row r="16758" spans="1:11" s="1011" customFormat="1" ht="15" x14ac:dyDescent="0.25">
      <c r="A16758" s="859">
        <f t="shared" si="394"/>
        <v>16757</v>
      </c>
      <c r="B16758" s="845" t="s">
        <v>2564</v>
      </c>
      <c r="C16758" s="1007">
        <f t="shared" si="395"/>
        <v>172</v>
      </c>
      <c r="D16758" s="1012"/>
      <c r="H16758" s="1011" t="s">
        <v>1010</v>
      </c>
      <c r="K16758" s="1013"/>
    </row>
    <row r="16759" spans="1:11" s="1011" customFormat="1" ht="15" x14ac:dyDescent="0.25">
      <c r="A16759" s="859">
        <f t="shared" si="394"/>
        <v>16758</v>
      </c>
      <c r="B16759" s="845" t="s">
        <v>2564</v>
      </c>
      <c r="C16759" s="1007">
        <f t="shared" si="395"/>
        <v>172</v>
      </c>
      <c r="D16759" s="1014"/>
      <c r="H16759" s="1011" t="s">
        <v>1007</v>
      </c>
      <c r="K16759" s="1013"/>
    </row>
    <row r="16760" spans="1:11" s="1011" customFormat="1" ht="15" x14ac:dyDescent="0.25">
      <c r="A16760" s="859">
        <f t="shared" si="394"/>
        <v>16759</v>
      </c>
      <c r="B16760" s="845" t="s">
        <v>2564</v>
      </c>
      <c r="C16760" s="1007">
        <f t="shared" si="395"/>
        <v>172</v>
      </c>
      <c r="D16760" s="1014"/>
      <c r="I16760" s="1011" t="s">
        <v>2178</v>
      </c>
      <c r="K16760" s="1013"/>
    </row>
    <row r="16761" spans="1:11" s="1011" customFormat="1" ht="15" x14ac:dyDescent="0.25">
      <c r="A16761" s="859">
        <f t="shared" si="394"/>
        <v>16760</v>
      </c>
      <c r="B16761" s="845" t="s">
        <v>2564</v>
      </c>
      <c r="C16761" s="1007">
        <f t="shared" si="395"/>
        <v>172</v>
      </c>
      <c r="D16761" s="1012"/>
      <c r="I16761" s="1011" t="str">
        <f>CONCATENATE("&lt;valeur&gt;",VLOOKUP(C16761,'T16 Amort'!A:K,6,0),"&lt;/valeur&gt;")</f>
        <v>&lt;valeur&gt;&lt;/valeur&gt;</v>
      </c>
      <c r="K16761" s="1013"/>
    </row>
    <row r="16762" spans="1:11" s="1011" customFormat="1" ht="15" x14ac:dyDescent="0.25">
      <c r="A16762" s="859">
        <f t="shared" si="394"/>
        <v>16761</v>
      </c>
      <c r="B16762" s="845" t="s">
        <v>2564</v>
      </c>
      <c r="C16762" s="1007">
        <f t="shared" si="395"/>
        <v>172</v>
      </c>
      <c r="D16762" s="1015"/>
      <c r="I16762" s="1011" t="str">
        <f>CONCATENATE("&lt;numeroLigne&gt;",C16762,"&lt;/numeroLigne&gt;")</f>
        <v>&lt;numeroLigne&gt;172&lt;/numeroLigne&gt;</v>
      </c>
      <c r="K16762" s="1013"/>
    </row>
    <row r="16763" spans="1:11" s="1011" customFormat="1" ht="15" x14ac:dyDescent="0.25">
      <c r="A16763" s="859">
        <f t="shared" si="394"/>
        <v>16762</v>
      </c>
      <c r="B16763" s="845" t="s">
        <v>2564</v>
      </c>
      <c r="C16763" s="1007">
        <f t="shared" si="395"/>
        <v>172</v>
      </c>
      <c r="D16763" s="1012"/>
      <c r="H16763" s="1011" t="s">
        <v>1010</v>
      </c>
      <c r="K16763" s="1013"/>
    </row>
    <row r="16764" spans="1:11" s="1011" customFormat="1" ht="15" x14ac:dyDescent="0.25">
      <c r="A16764" s="859">
        <f t="shared" si="394"/>
        <v>16763</v>
      </c>
      <c r="B16764" s="845" t="s">
        <v>2564</v>
      </c>
      <c r="C16764" s="1007">
        <f t="shared" si="395"/>
        <v>172</v>
      </c>
      <c r="D16764" s="1012"/>
      <c r="H16764" s="1011" t="s">
        <v>1007</v>
      </c>
      <c r="K16764" s="1013"/>
    </row>
    <row r="16765" spans="1:11" s="1011" customFormat="1" ht="15" x14ac:dyDescent="0.25">
      <c r="A16765" s="859">
        <f t="shared" si="394"/>
        <v>16764</v>
      </c>
      <c r="B16765" s="845" t="s">
        <v>2564</v>
      </c>
      <c r="C16765" s="1007">
        <f t="shared" si="395"/>
        <v>172</v>
      </c>
      <c r="D16765" s="1014"/>
      <c r="I16765" s="1011" t="s">
        <v>2179</v>
      </c>
      <c r="K16765" s="1013"/>
    </row>
    <row r="16766" spans="1:11" s="1011" customFormat="1" ht="15" x14ac:dyDescent="0.25">
      <c r="A16766" s="859">
        <f t="shared" si="394"/>
        <v>16765</v>
      </c>
      <c r="B16766" s="845" t="s">
        <v>2564</v>
      </c>
      <c r="C16766" s="1007">
        <f t="shared" si="395"/>
        <v>172</v>
      </c>
      <c r="D16766" s="1014"/>
      <c r="I16766" s="1011" t="str">
        <f>CONCATENATE("&lt;valeur&gt;",VLOOKUP(C16766,'T16 Amort'!A:K,7,0),"&lt;/valeur&gt;")</f>
        <v>&lt;valeur&gt;&lt;/valeur&gt;</v>
      </c>
      <c r="K16766" s="1013"/>
    </row>
    <row r="16767" spans="1:11" s="1011" customFormat="1" ht="15" x14ac:dyDescent="0.25">
      <c r="A16767" s="859">
        <f t="shared" si="394"/>
        <v>16766</v>
      </c>
      <c r="B16767" s="845" t="s">
        <v>2564</v>
      </c>
      <c r="C16767" s="1007">
        <f t="shared" si="395"/>
        <v>172</v>
      </c>
      <c r="D16767" s="1012"/>
      <c r="I16767" s="1011" t="str">
        <f>CONCATENATE("&lt;numeroLigne&gt;",C16767,"&lt;/numeroLigne&gt;")</f>
        <v>&lt;numeroLigne&gt;172&lt;/numeroLigne&gt;</v>
      </c>
      <c r="K16767" s="1013"/>
    </row>
    <row r="16768" spans="1:11" s="1011" customFormat="1" ht="15" x14ac:dyDescent="0.25">
      <c r="A16768" s="859">
        <f t="shared" si="394"/>
        <v>16767</v>
      </c>
      <c r="B16768" s="845" t="s">
        <v>2564</v>
      </c>
      <c r="C16768" s="1007">
        <f t="shared" si="395"/>
        <v>172</v>
      </c>
      <c r="D16768" s="1015"/>
      <c r="H16768" s="1011" t="s">
        <v>1010</v>
      </c>
      <c r="K16768" s="1013"/>
    </row>
    <row r="16769" spans="1:11" s="1011" customFormat="1" ht="15" x14ac:dyDescent="0.25">
      <c r="A16769" s="859">
        <f t="shared" si="394"/>
        <v>16768</v>
      </c>
      <c r="B16769" s="845" t="s">
        <v>2564</v>
      </c>
      <c r="C16769" s="1007">
        <f t="shared" si="395"/>
        <v>172</v>
      </c>
      <c r="D16769" s="1012"/>
      <c r="H16769" s="1011" t="s">
        <v>1007</v>
      </c>
      <c r="K16769" s="1013"/>
    </row>
    <row r="16770" spans="1:11" s="1011" customFormat="1" ht="15" x14ac:dyDescent="0.25">
      <c r="A16770" s="859">
        <f t="shared" si="394"/>
        <v>16769</v>
      </c>
      <c r="B16770" s="845" t="s">
        <v>2564</v>
      </c>
      <c r="C16770" s="1007">
        <f t="shared" si="395"/>
        <v>172</v>
      </c>
      <c r="D16770" s="1012"/>
      <c r="I16770" s="1011" t="s">
        <v>2180</v>
      </c>
      <c r="K16770" s="1013"/>
    </row>
    <row r="16771" spans="1:11" s="1011" customFormat="1" ht="15" x14ac:dyDescent="0.25">
      <c r="A16771" s="859">
        <f t="shared" si="394"/>
        <v>16770</v>
      </c>
      <c r="B16771" s="845" t="s">
        <v>2564</v>
      </c>
      <c r="C16771" s="1007">
        <f t="shared" si="395"/>
        <v>172</v>
      </c>
      <c r="D16771" s="1014"/>
      <c r="I16771" s="1011" t="str">
        <f>CONCATENATE("&lt;valeur&gt;",VLOOKUP(C16771,'T16 Amort'!A:K,8,0),"&lt;/valeur&gt;")</f>
        <v>&lt;valeur&gt;&lt;/valeur&gt;</v>
      </c>
      <c r="K16771" s="1013"/>
    </row>
    <row r="16772" spans="1:11" s="1011" customFormat="1" ht="15" x14ac:dyDescent="0.25">
      <c r="A16772" s="859">
        <f t="shared" ref="A16772:A16835" si="396">+A16771+1</f>
        <v>16771</v>
      </c>
      <c r="B16772" s="845" t="s">
        <v>2564</v>
      </c>
      <c r="C16772" s="1007">
        <f t="shared" si="395"/>
        <v>172</v>
      </c>
      <c r="D16772" s="1014"/>
      <c r="I16772" s="1011" t="str">
        <f>CONCATENATE("&lt;numeroLigne&gt;",C16772,"&lt;/numeroLigne&gt;")</f>
        <v>&lt;numeroLigne&gt;172&lt;/numeroLigne&gt;</v>
      </c>
      <c r="K16772" s="1013"/>
    </row>
    <row r="16773" spans="1:11" s="1011" customFormat="1" ht="15" x14ac:dyDescent="0.25">
      <c r="A16773" s="859">
        <f t="shared" si="396"/>
        <v>16772</v>
      </c>
      <c r="B16773" s="845" t="s">
        <v>2564</v>
      </c>
      <c r="C16773" s="1007">
        <f t="shared" si="395"/>
        <v>172</v>
      </c>
      <c r="D16773" s="1012"/>
      <c r="H16773" s="1011" t="s">
        <v>1010</v>
      </c>
      <c r="K16773" s="1013"/>
    </row>
    <row r="16774" spans="1:11" s="1011" customFormat="1" ht="15" x14ac:dyDescent="0.25">
      <c r="A16774" s="859">
        <f t="shared" si="396"/>
        <v>16773</v>
      </c>
      <c r="B16774" s="845" t="s">
        <v>2564</v>
      </c>
      <c r="C16774" s="1007">
        <f t="shared" si="395"/>
        <v>172</v>
      </c>
      <c r="D16774" s="1015"/>
      <c r="H16774" s="1011" t="s">
        <v>1007</v>
      </c>
      <c r="K16774" s="1013"/>
    </row>
    <row r="16775" spans="1:11" s="1011" customFormat="1" ht="15" x14ac:dyDescent="0.25">
      <c r="A16775" s="859">
        <f t="shared" si="396"/>
        <v>16774</v>
      </c>
      <c r="B16775" s="845" t="s">
        <v>2564</v>
      </c>
      <c r="C16775" s="1007">
        <f t="shared" si="395"/>
        <v>172</v>
      </c>
      <c r="D16775" s="1012"/>
      <c r="I16775" s="1011" t="s">
        <v>2181</v>
      </c>
      <c r="K16775" s="1013"/>
    </row>
    <row r="16776" spans="1:11" s="1011" customFormat="1" ht="15" x14ac:dyDescent="0.25">
      <c r="A16776" s="859">
        <f t="shared" si="396"/>
        <v>16775</v>
      </c>
      <c r="B16776" s="845" t="s">
        <v>2564</v>
      </c>
      <c r="C16776" s="1007">
        <f t="shared" si="395"/>
        <v>172</v>
      </c>
      <c r="D16776" s="1012"/>
      <c r="I16776" s="1011" t="str">
        <f>CONCATENATE("&lt;valeur&gt;",VLOOKUP(C16776,'T16 Amort'!A:K,9,0),"&lt;/valeur&gt;")</f>
        <v>&lt;valeur&gt;&lt;/valeur&gt;</v>
      </c>
      <c r="K16776" s="1013"/>
    </row>
    <row r="16777" spans="1:11" s="1011" customFormat="1" ht="15" x14ac:dyDescent="0.25">
      <c r="A16777" s="859">
        <f t="shared" si="396"/>
        <v>16776</v>
      </c>
      <c r="B16777" s="845" t="s">
        <v>2564</v>
      </c>
      <c r="C16777" s="1007">
        <f t="shared" si="395"/>
        <v>172</v>
      </c>
      <c r="D16777" s="1014"/>
      <c r="I16777" s="1011" t="str">
        <f>CONCATENATE("&lt;numeroLigne&gt;",C16777,"&lt;/numeroLigne&gt;")</f>
        <v>&lt;numeroLigne&gt;172&lt;/numeroLigne&gt;</v>
      </c>
      <c r="K16777" s="1013"/>
    </row>
    <row r="16778" spans="1:11" s="1011" customFormat="1" ht="15" x14ac:dyDescent="0.25">
      <c r="A16778" s="859">
        <f t="shared" si="396"/>
        <v>16777</v>
      </c>
      <c r="B16778" s="845" t="s">
        <v>2564</v>
      </c>
      <c r="C16778" s="1007">
        <f t="shared" si="395"/>
        <v>172</v>
      </c>
      <c r="D16778" s="1014"/>
      <c r="H16778" s="1011" t="s">
        <v>1010</v>
      </c>
      <c r="K16778" s="1013"/>
    </row>
    <row r="16779" spans="1:11" s="1011" customFormat="1" ht="15" x14ac:dyDescent="0.25">
      <c r="A16779" s="859">
        <f t="shared" si="396"/>
        <v>16778</v>
      </c>
      <c r="B16779" s="845" t="s">
        <v>2564</v>
      </c>
      <c r="C16779" s="1007">
        <f t="shared" si="395"/>
        <v>172</v>
      </c>
      <c r="D16779" s="1012"/>
      <c r="H16779" s="1011" t="s">
        <v>1007</v>
      </c>
      <c r="K16779" s="1013"/>
    </row>
    <row r="16780" spans="1:11" s="1011" customFormat="1" ht="15" x14ac:dyDescent="0.25">
      <c r="A16780" s="859">
        <f t="shared" si="396"/>
        <v>16779</v>
      </c>
      <c r="B16780" s="845" t="s">
        <v>2564</v>
      </c>
      <c r="C16780" s="1007">
        <f t="shared" si="395"/>
        <v>172</v>
      </c>
      <c r="D16780" s="1015"/>
      <c r="I16780" s="1011" t="s">
        <v>2182</v>
      </c>
      <c r="K16780" s="1013"/>
    </row>
    <row r="16781" spans="1:11" s="1011" customFormat="1" ht="15" x14ac:dyDescent="0.25">
      <c r="A16781" s="859">
        <f t="shared" si="396"/>
        <v>16780</v>
      </c>
      <c r="B16781" s="845" t="s">
        <v>2564</v>
      </c>
      <c r="C16781" s="1007">
        <f t="shared" si="395"/>
        <v>172</v>
      </c>
      <c r="D16781" s="1012"/>
      <c r="I16781" s="1011" t="str">
        <f>CONCATENATE("&lt;valeur&gt;",VLOOKUP(C16781,'T16 Amort'!A:K,10,0),"&lt;/valeur&gt;")</f>
        <v>&lt;valeur&gt;&lt;/valeur&gt;</v>
      </c>
      <c r="K16781" s="1013"/>
    </row>
    <row r="16782" spans="1:11" s="1011" customFormat="1" ht="15" x14ac:dyDescent="0.25">
      <c r="A16782" s="859">
        <f t="shared" si="396"/>
        <v>16781</v>
      </c>
      <c r="B16782" s="845" t="s">
        <v>2564</v>
      </c>
      <c r="C16782" s="1007">
        <f t="shared" si="395"/>
        <v>172</v>
      </c>
      <c r="D16782" s="1012"/>
      <c r="I16782" s="1011" t="str">
        <f>CONCATENATE("&lt;numeroLigne&gt;",C16782,"&lt;/numeroLigne&gt;")</f>
        <v>&lt;numeroLigne&gt;172&lt;/numeroLigne&gt;</v>
      </c>
      <c r="K16782" s="1013"/>
    </row>
    <row r="16783" spans="1:11" s="1011" customFormat="1" ht="15" x14ac:dyDescent="0.25">
      <c r="A16783" s="859">
        <f t="shared" si="396"/>
        <v>16782</v>
      </c>
      <c r="B16783" s="845" t="s">
        <v>2564</v>
      </c>
      <c r="C16783" s="1007">
        <f t="shared" si="395"/>
        <v>172</v>
      </c>
      <c r="D16783" s="1014"/>
      <c r="H16783" s="1011" t="s">
        <v>1010</v>
      </c>
      <c r="K16783" s="1013"/>
    </row>
    <row r="16784" spans="1:11" s="1011" customFormat="1" ht="15" x14ac:dyDescent="0.25">
      <c r="A16784" s="859">
        <f t="shared" si="396"/>
        <v>16783</v>
      </c>
      <c r="B16784" s="845" t="s">
        <v>2564</v>
      </c>
      <c r="C16784" s="1007">
        <f t="shared" si="395"/>
        <v>172</v>
      </c>
      <c r="D16784" s="1014"/>
      <c r="H16784" s="1011" t="s">
        <v>1007</v>
      </c>
      <c r="K16784" s="1013"/>
    </row>
    <row r="16785" spans="1:11" s="1011" customFormat="1" ht="15" x14ac:dyDescent="0.25">
      <c r="A16785" s="859">
        <f t="shared" si="396"/>
        <v>16784</v>
      </c>
      <c r="B16785" s="845" t="s">
        <v>2564</v>
      </c>
      <c r="C16785" s="1007">
        <f t="shared" si="395"/>
        <v>172</v>
      </c>
      <c r="D16785" s="1012"/>
      <c r="I16785" s="1011" t="s">
        <v>2183</v>
      </c>
      <c r="K16785" s="1013"/>
    </row>
    <row r="16786" spans="1:11" s="1011" customFormat="1" ht="15" x14ac:dyDescent="0.25">
      <c r="A16786" s="859">
        <f t="shared" si="396"/>
        <v>16785</v>
      </c>
      <c r="B16786" s="845" t="s">
        <v>2564</v>
      </c>
      <c r="C16786" s="1007">
        <f t="shared" si="395"/>
        <v>172</v>
      </c>
      <c r="D16786" s="1015"/>
      <c r="I16786" s="1011" t="str">
        <f>CONCATENATE("&lt;valeur&gt;",VLOOKUP(C16786,'T16 Amort'!A:K,11,0),"&lt;/valeur&gt;")</f>
        <v>&lt;valeur&gt;&lt;/valeur&gt;</v>
      </c>
      <c r="K16786" s="1013"/>
    </row>
    <row r="16787" spans="1:11" s="1011" customFormat="1" ht="15" x14ac:dyDescent="0.25">
      <c r="A16787" s="859">
        <f t="shared" si="396"/>
        <v>16786</v>
      </c>
      <c r="B16787" s="845" t="s">
        <v>2564</v>
      </c>
      <c r="C16787" s="1007">
        <f t="shared" si="395"/>
        <v>172</v>
      </c>
      <c r="D16787" s="1012"/>
      <c r="I16787" s="1011" t="str">
        <f>CONCATENATE("&lt;numeroLigne&gt;",C16787,"&lt;/numeroLigne&gt;")</f>
        <v>&lt;numeroLigne&gt;172&lt;/numeroLigne&gt;</v>
      </c>
      <c r="K16787" s="1013"/>
    </row>
    <row r="16788" spans="1:11" s="1011" customFormat="1" ht="15" x14ac:dyDescent="0.25">
      <c r="A16788" s="859">
        <f t="shared" si="396"/>
        <v>16787</v>
      </c>
      <c r="B16788" s="845" t="s">
        <v>2564</v>
      </c>
      <c r="C16788" s="1007">
        <f t="shared" si="395"/>
        <v>172</v>
      </c>
      <c r="D16788" s="1016"/>
      <c r="E16788" s="1017"/>
      <c r="F16788" s="1017"/>
      <c r="G16788" s="1017"/>
      <c r="H16788" s="1017" t="s">
        <v>1010</v>
      </c>
      <c r="I16788" s="1017"/>
      <c r="J16788" s="1017"/>
      <c r="K16788" s="1018"/>
    </row>
    <row r="16789" spans="1:11" s="1011" customFormat="1" ht="15" x14ac:dyDescent="0.25">
      <c r="A16789" s="859">
        <f t="shared" si="396"/>
        <v>16788</v>
      </c>
      <c r="B16789" s="845" t="s">
        <v>2564</v>
      </c>
      <c r="C16789" s="1007">
        <f t="shared" si="395"/>
        <v>173</v>
      </c>
      <c r="D16789" s="1008"/>
      <c r="E16789" s="1009"/>
      <c r="F16789" s="1009"/>
      <c r="G16789" s="1009"/>
      <c r="H16789" s="1009" t="s">
        <v>1007</v>
      </c>
      <c r="I16789" s="1009"/>
      <c r="J16789" s="1009"/>
      <c r="K16789" s="1010"/>
    </row>
    <row r="16790" spans="1:11" s="1011" customFormat="1" ht="15" x14ac:dyDescent="0.25">
      <c r="A16790" s="859">
        <f t="shared" si="396"/>
        <v>16789</v>
      </c>
      <c r="B16790" s="845" t="s">
        <v>2564</v>
      </c>
      <c r="C16790" s="1007">
        <f t="shared" si="395"/>
        <v>173</v>
      </c>
      <c r="D16790" s="1012"/>
      <c r="I16790" s="1011" t="s">
        <v>2174</v>
      </c>
      <c r="K16790" s="1013"/>
    </row>
    <row r="16791" spans="1:11" s="1011" customFormat="1" ht="15" x14ac:dyDescent="0.25">
      <c r="A16791" s="859">
        <f t="shared" si="396"/>
        <v>16790</v>
      </c>
      <c r="B16791" s="845" t="s">
        <v>2564</v>
      </c>
      <c r="C16791" s="1007">
        <f t="shared" si="395"/>
        <v>173</v>
      </c>
      <c r="D16791" s="1014"/>
      <c r="I16791" s="1011" t="str">
        <f>CONCATENATE("&lt;valeur&gt;",VLOOKUP(C16791,'T16 Amort'!A:K,2,0),"&lt;/valeur&gt;")</f>
        <v>&lt;valeur&gt;&lt;/valeur&gt;</v>
      </c>
      <c r="K16791" s="1013"/>
    </row>
    <row r="16792" spans="1:11" s="1011" customFormat="1" ht="15" x14ac:dyDescent="0.25">
      <c r="A16792" s="859">
        <f t="shared" si="396"/>
        <v>16791</v>
      </c>
      <c r="B16792" s="845" t="s">
        <v>2564</v>
      </c>
      <c r="C16792" s="1007">
        <f t="shared" si="395"/>
        <v>173</v>
      </c>
      <c r="D16792" s="1014"/>
      <c r="I16792" s="1011" t="str">
        <f>CONCATENATE("&lt;numeroLigne&gt;",C16792,"&lt;/numeroLigne&gt;")</f>
        <v>&lt;numeroLigne&gt;173&lt;/numeroLigne&gt;</v>
      </c>
      <c r="K16792" s="1013"/>
    </row>
    <row r="16793" spans="1:11" s="1011" customFormat="1" ht="15" x14ac:dyDescent="0.25">
      <c r="A16793" s="859">
        <f t="shared" si="396"/>
        <v>16792</v>
      </c>
      <c r="B16793" s="845" t="s">
        <v>2564</v>
      </c>
      <c r="C16793" s="1007">
        <f t="shared" si="395"/>
        <v>173</v>
      </c>
      <c r="D16793" s="1012"/>
      <c r="H16793" s="1011" t="s">
        <v>1010</v>
      </c>
      <c r="K16793" s="1013"/>
    </row>
    <row r="16794" spans="1:11" s="1011" customFormat="1" ht="15" x14ac:dyDescent="0.25">
      <c r="A16794" s="859">
        <f t="shared" si="396"/>
        <v>16793</v>
      </c>
      <c r="B16794" s="845" t="s">
        <v>2564</v>
      </c>
      <c r="C16794" s="1007">
        <f t="shared" si="395"/>
        <v>173</v>
      </c>
      <c r="D16794" s="1015"/>
      <c r="H16794" s="1011" t="s">
        <v>1007</v>
      </c>
      <c r="K16794" s="1013"/>
    </row>
    <row r="16795" spans="1:11" s="1011" customFormat="1" ht="15" x14ac:dyDescent="0.25">
      <c r="A16795" s="859">
        <f t="shared" si="396"/>
        <v>16794</v>
      </c>
      <c r="B16795" s="845" t="s">
        <v>2564</v>
      </c>
      <c r="C16795" s="1007">
        <f t="shared" si="395"/>
        <v>173</v>
      </c>
      <c r="D16795" s="1012"/>
      <c r="I16795" s="1011" t="s">
        <v>2175</v>
      </c>
      <c r="K16795" s="1013"/>
    </row>
    <row r="16796" spans="1:11" s="1011" customFormat="1" ht="15" x14ac:dyDescent="0.25">
      <c r="A16796" s="859">
        <f t="shared" si="396"/>
        <v>16795</v>
      </c>
      <c r="B16796" s="845" t="s">
        <v>2564</v>
      </c>
      <c r="C16796" s="1007">
        <f t="shared" si="395"/>
        <v>173</v>
      </c>
      <c r="D16796" s="1012"/>
      <c r="I16796" s="1011" t="str">
        <f>CONCATENATE("&lt;valeur&gt;",VLOOKUP(C16796,'T16 Amort'!A:K,3,0),"&lt;/valeur&gt;")</f>
        <v>&lt;valeur&gt;&lt;/valeur&gt;</v>
      </c>
      <c r="K16796" s="1013"/>
    </row>
    <row r="16797" spans="1:11" s="1011" customFormat="1" ht="15" x14ac:dyDescent="0.25">
      <c r="A16797" s="859">
        <f t="shared" si="396"/>
        <v>16796</v>
      </c>
      <c r="B16797" s="845" t="s">
        <v>2564</v>
      </c>
      <c r="C16797" s="1007">
        <f t="shared" si="395"/>
        <v>173</v>
      </c>
      <c r="D16797" s="1014"/>
      <c r="I16797" s="1011" t="str">
        <f>CONCATENATE("&lt;numeroLigne&gt;",C16797,"&lt;/numeroLigne&gt;")</f>
        <v>&lt;numeroLigne&gt;173&lt;/numeroLigne&gt;</v>
      </c>
      <c r="K16797" s="1013"/>
    </row>
    <row r="16798" spans="1:11" s="1011" customFormat="1" ht="15" x14ac:dyDescent="0.25">
      <c r="A16798" s="859">
        <f t="shared" si="396"/>
        <v>16797</v>
      </c>
      <c r="B16798" s="845" t="s">
        <v>2564</v>
      </c>
      <c r="C16798" s="1007">
        <f t="shared" si="395"/>
        <v>173</v>
      </c>
      <c r="D16798" s="1014"/>
      <c r="H16798" s="1011" t="s">
        <v>1010</v>
      </c>
      <c r="K16798" s="1013"/>
    </row>
    <row r="16799" spans="1:11" s="1011" customFormat="1" ht="15" x14ac:dyDescent="0.25">
      <c r="A16799" s="859">
        <f t="shared" si="396"/>
        <v>16798</v>
      </c>
      <c r="B16799" s="845" t="s">
        <v>2564</v>
      </c>
      <c r="C16799" s="1007">
        <f t="shared" si="395"/>
        <v>173</v>
      </c>
      <c r="D16799" s="1012"/>
      <c r="H16799" s="1011" t="s">
        <v>1007</v>
      </c>
      <c r="K16799" s="1013"/>
    </row>
    <row r="16800" spans="1:11" s="1011" customFormat="1" ht="15" x14ac:dyDescent="0.25">
      <c r="A16800" s="859">
        <f t="shared" si="396"/>
        <v>16799</v>
      </c>
      <c r="B16800" s="845" t="s">
        <v>2564</v>
      </c>
      <c r="C16800" s="1007">
        <f t="shared" si="395"/>
        <v>173</v>
      </c>
      <c r="D16800" s="1015"/>
      <c r="I16800" s="1011" t="s">
        <v>2176</v>
      </c>
      <c r="K16800" s="1013"/>
    </row>
    <row r="16801" spans="1:11" s="1011" customFormat="1" ht="15" x14ac:dyDescent="0.25">
      <c r="A16801" s="859">
        <f t="shared" si="396"/>
        <v>16800</v>
      </c>
      <c r="B16801" s="845" t="s">
        <v>2564</v>
      </c>
      <c r="C16801" s="1007">
        <f t="shared" si="395"/>
        <v>173</v>
      </c>
      <c r="D16801" s="1012"/>
      <c r="I16801" s="1011" t="str">
        <f>CONCATENATE("&lt;valeur&gt;",VLOOKUP(C16801,'T16 Amort'!A:K,4,0),"&lt;/valeur&gt;")</f>
        <v>&lt;valeur&gt;&lt;/valeur&gt;</v>
      </c>
      <c r="K16801" s="1013"/>
    </row>
    <row r="16802" spans="1:11" s="1011" customFormat="1" ht="15" x14ac:dyDescent="0.25">
      <c r="A16802" s="859">
        <f t="shared" si="396"/>
        <v>16801</v>
      </c>
      <c r="B16802" s="845" t="s">
        <v>2564</v>
      </c>
      <c r="C16802" s="1007">
        <f t="shared" si="395"/>
        <v>173</v>
      </c>
      <c r="D16802" s="1012"/>
      <c r="I16802" s="1011" t="str">
        <f>CONCATENATE("&lt;numeroLigne&gt;",C16802,"&lt;/numeroLigne&gt;")</f>
        <v>&lt;numeroLigne&gt;173&lt;/numeroLigne&gt;</v>
      </c>
      <c r="K16802" s="1013"/>
    </row>
    <row r="16803" spans="1:11" s="1011" customFormat="1" ht="15" x14ac:dyDescent="0.25">
      <c r="A16803" s="859">
        <f t="shared" si="396"/>
        <v>16802</v>
      </c>
      <c r="B16803" s="845" t="s">
        <v>2564</v>
      </c>
      <c r="C16803" s="1007">
        <f t="shared" si="395"/>
        <v>173</v>
      </c>
      <c r="D16803" s="1014"/>
      <c r="H16803" s="1011" t="s">
        <v>1010</v>
      </c>
      <c r="K16803" s="1013"/>
    </row>
    <row r="16804" spans="1:11" s="1011" customFormat="1" ht="15" x14ac:dyDescent="0.25">
      <c r="A16804" s="859">
        <f t="shared" si="396"/>
        <v>16803</v>
      </c>
      <c r="B16804" s="845" t="s">
        <v>2564</v>
      </c>
      <c r="C16804" s="1007">
        <f t="shared" si="395"/>
        <v>173</v>
      </c>
      <c r="D16804" s="1014"/>
      <c r="H16804" s="1011" t="s">
        <v>1007</v>
      </c>
      <c r="K16804" s="1013"/>
    </row>
    <row r="16805" spans="1:11" s="1011" customFormat="1" ht="15" x14ac:dyDescent="0.25">
      <c r="A16805" s="859">
        <f t="shared" si="396"/>
        <v>16804</v>
      </c>
      <c r="B16805" s="845" t="s">
        <v>2564</v>
      </c>
      <c r="C16805" s="1007">
        <f t="shared" si="395"/>
        <v>173</v>
      </c>
      <c r="D16805" s="1012"/>
      <c r="I16805" s="1011" t="s">
        <v>2177</v>
      </c>
      <c r="K16805" s="1013"/>
    </row>
    <row r="16806" spans="1:11" s="1011" customFormat="1" ht="15" x14ac:dyDescent="0.25">
      <c r="A16806" s="859">
        <f t="shared" si="396"/>
        <v>16805</v>
      </c>
      <c r="B16806" s="845" t="s">
        <v>2564</v>
      </c>
      <c r="C16806" s="1007">
        <f t="shared" si="395"/>
        <v>173</v>
      </c>
      <c r="D16806" s="1015"/>
      <c r="I16806" s="1011" t="str">
        <f>CONCATENATE("&lt;valeur&gt;",VLOOKUP(C16806,'T16 Amort'!A:K,5,0),"&lt;/valeur&gt;")</f>
        <v>&lt;valeur&gt;&lt;/valeur&gt;</v>
      </c>
      <c r="K16806" s="1013"/>
    </row>
    <row r="16807" spans="1:11" s="1011" customFormat="1" ht="15" x14ac:dyDescent="0.25">
      <c r="A16807" s="859">
        <f t="shared" si="396"/>
        <v>16806</v>
      </c>
      <c r="B16807" s="845" t="s">
        <v>2564</v>
      </c>
      <c r="C16807" s="1007">
        <f t="shared" si="395"/>
        <v>173</v>
      </c>
      <c r="D16807" s="1012"/>
      <c r="I16807" s="1011" t="str">
        <f>CONCATENATE("&lt;numeroLigne&gt;",C16807,"&lt;/numeroLigne&gt;")</f>
        <v>&lt;numeroLigne&gt;173&lt;/numeroLigne&gt;</v>
      </c>
      <c r="K16807" s="1013"/>
    </row>
    <row r="16808" spans="1:11" s="1011" customFormat="1" ht="15" x14ac:dyDescent="0.25">
      <c r="A16808" s="859">
        <f t="shared" si="396"/>
        <v>16807</v>
      </c>
      <c r="B16808" s="845" t="s">
        <v>2564</v>
      </c>
      <c r="C16808" s="1007">
        <f t="shared" si="395"/>
        <v>173</v>
      </c>
      <c r="D16808" s="1012"/>
      <c r="H16808" s="1011" t="s">
        <v>1010</v>
      </c>
      <c r="K16808" s="1013"/>
    </row>
    <row r="16809" spans="1:11" s="1011" customFormat="1" ht="15" x14ac:dyDescent="0.25">
      <c r="A16809" s="859">
        <f t="shared" si="396"/>
        <v>16808</v>
      </c>
      <c r="B16809" s="845" t="s">
        <v>2564</v>
      </c>
      <c r="C16809" s="1007">
        <f t="shared" si="395"/>
        <v>173</v>
      </c>
      <c r="D16809" s="1014"/>
      <c r="H16809" s="1011" t="s">
        <v>1007</v>
      </c>
      <c r="K16809" s="1013"/>
    </row>
    <row r="16810" spans="1:11" s="1011" customFormat="1" ht="15" x14ac:dyDescent="0.25">
      <c r="A16810" s="859">
        <f t="shared" si="396"/>
        <v>16809</v>
      </c>
      <c r="B16810" s="845" t="s">
        <v>2564</v>
      </c>
      <c r="C16810" s="1007">
        <f t="shared" si="395"/>
        <v>173</v>
      </c>
      <c r="D16810" s="1014"/>
      <c r="I16810" s="1011" t="s">
        <v>2178</v>
      </c>
      <c r="K16810" s="1013"/>
    </row>
    <row r="16811" spans="1:11" s="1011" customFormat="1" ht="15" x14ac:dyDescent="0.25">
      <c r="A16811" s="859">
        <f t="shared" si="396"/>
        <v>16810</v>
      </c>
      <c r="B16811" s="845" t="s">
        <v>2564</v>
      </c>
      <c r="C16811" s="1007">
        <f t="shared" si="395"/>
        <v>173</v>
      </c>
      <c r="D16811" s="1012"/>
      <c r="I16811" s="1011" t="str">
        <f>CONCATENATE("&lt;valeur&gt;",VLOOKUP(C16811,'T16 Amort'!A:K,6,0),"&lt;/valeur&gt;")</f>
        <v>&lt;valeur&gt;&lt;/valeur&gt;</v>
      </c>
      <c r="K16811" s="1013"/>
    </row>
    <row r="16812" spans="1:11" s="1011" customFormat="1" ht="15" x14ac:dyDescent="0.25">
      <c r="A16812" s="859">
        <f t="shared" si="396"/>
        <v>16811</v>
      </c>
      <c r="B16812" s="845" t="s">
        <v>2564</v>
      </c>
      <c r="C16812" s="1007">
        <f t="shared" si="395"/>
        <v>173</v>
      </c>
      <c r="D16812" s="1015"/>
      <c r="I16812" s="1011" t="str">
        <f>CONCATENATE("&lt;numeroLigne&gt;",C16812,"&lt;/numeroLigne&gt;")</f>
        <v>&lt;numeroLigne&gt;173&lt;/numeroLigne&gt;</v>
      </c>
      <c r="K16812" s="1013"/>
    </row>
    <row r="16813" spans="1:11" s="1011" customFormat="1" ht="15" x14ac:dyDescent="0.25">
      <c r="A16813" s="859">
        <f t="shared" si="396"/>
        <v>16812</v>
      </c>
      <c r="B16813" s="845" t="s">
        <v>2564</v>
      </c>
      <c r="C16813" s="1007">
        <f t="shared" si="395"/>
        <v>173</v>
      </c>
      <c r="D16813" s="1012"/>
      <c r="H16813" s="1011" t="s">
        <v>1010</v>
      </c>
      <c r="K16813" s="1013"/>
    </row>
    <row r="16814" spans="1:11" s="1011" customFormat="1" ht="15" x14ac:dyDescent="0.25">
      <c r="A16814" s="859">
        <f t="shared" si="396"/>
        <v>16813</v>
      </c>
      <c r="B16814" s="845" t="s">
        <v>2564</v>
      </c>
      <c r="C16814" s="1007">
        <f t="shared" si="395"/>
        <v>173</v>
      </c>
      <c r="D16814" s="1012"/>
      <c r="H16814" s="1011" t="s">
        <v>1007</v>
      </c>
      <c r="K16814" s="1013"/>
    </row>
    <row r="16815" spans="1:11" s="1011" customFormat="1" ht="15" x14ac:dyDescent="0.25">
      <c r="A16815" s="859">
        <f t="shared" si="396"/>
        <v>16814</v>
      </c>
      <c r="B16815" s="845" t="s">
        <v>2564</v>
      </c>
      <c r="C16815" s="1007">
        <f t="shared" ref="C16815:C16878" si="397">C16765+1</f>
        <v>173</v>
      </c>
      <c r="D16815" s="1014"/>
      <c r="I16815" s="1011" t="s">
        <v>2179</v>
      </c>
      <c r="K16815" s="1013"/>
    </row>
    <row r="16816" spans="1:11" s="1011" customFormat="1" ht="15" x14ac:dyDescent="0.25">
      <c r="A16816" s="859">
        <f t="shared" si="396"/>
        <v>16815</v>
      </c>
      <c r="B16816" s="845" t="s">
        <v>2564</v>
      </c>
      <c r="C16816" s="1007">
        <f t="shared" si="397"/>
        <v>173</v>
      </c>
      <c r="D16816" s="1014"/>
      <c r="I16816" s="1011" t="str">
        <f>CONCATENATE("&lt;valeur&gt;",VLOOKUP(C16816,'T16 Amort'!A:K,7,0),"&lt;/valeur&gt;")</f>
        <v>&lt;valeur&gt;&lt;/valeur&gt;</v>
      </c>
      <c r="K16816" s="1013"/>
    </row>
    <row r="16817" spans="1:11" s="1011" customFormat="1" ht="15" x14ac:dyDescent="0.25">
      <c r="A16817" s="859">
        <f t="shared" si="396"/>
        <v>16816</v>
      </c>
      <c r="B16817" s="845" t="s">
        <v>2564</v>
      </c>
      <c r="C16817" s="1007">
        <f t="shared" si="397"/>
        <v>173</v>
      </c>
      <c r="D16817" s="1012"/>
      <c r="I16817" s="1011" t="str">
        <f>CONCATENATE("&lt;numeroLigne&gt;",C16817,"&lt;/numeroLigne&gt;")</f>
        <v>&lt;numeroLigne&gt;173&lt;/numeroLigne&gt;</v>
      </c>
      <c r="K16817" s="1013"/>
    </row>
    <row r="16818" spans="1:11" s="1011" customFormat="1" ht="15" x14ac:dyDescent="0.25">
      <c r="A16818" s="859">
        <f t="shared" si="396"/>
        <v>16817</v>
      </c>
      <c r="B16818" s="845" t="s">
        <v>2564</v>
      </c>
      <c r="C16818" s="1007">
        <f t="shared" si="397"/>
        <v>173</v>
      </c>
      <c r="D16818" s="1015"/>
      <c r="H16818" s="1011" t="s">
        <v>1010</v>
      </c>
      <c r="K16818" s="1013"/>
    </row>
    <row r="16819" spans="1:11" s="1011" customFormat="1" ht="15" x14ac:dyDescent="0.25">
      <c r="A16819" s="859">
        <f t="shared" si="396"/>
        <v>16818</v>
      </c>
      <c r="B16819" s="845" t="s">
        <v>2564</v>
      </c>
      <c r="C16819" s="1007">
        <f t="shared" si="397"/>
        <v>173</v>
      </c>
      <c r="D16819" s="1012"/>
      <c r="H16819" s="1011" t="s">
        <v>1007</v>
      </c>
      <c r="K16819" s="1013"/>
    </row>
    <row r="16820" spans="1:11" s="1011" customFormat="1" ht="15" x14ac:dyDescent="0.25">
      <c r="A16820" s="859">
        <f t="shared" si="396"/>
        <v>16819</v>
      </c>
      <c r="B16820" s="845" t="s">
        <v>2564</v>
      </c>
      <c r="C16820" s="1007">
        <f t="shared" si="397"/>
        <v>173</v>
      </c>
      <c r="D16820" s="1012"/>
      <c r="I16820" s="1011" t="s">
        <v>2180</v>
      </c>
      <c r="K16820" s="1013"/>
    </row>
    <row r="16821" spans="1:11" s="1011" customFormat="1" ht="15" x14ac:dyDescent="0.25">
      <c r="A16821" s="859">
        <f t="shared" si="396"/>
        <v>16820</v>
      </c>
      <c r="B16821" s="845" t="s">
        <v>2564</v>
      </c>
      <c r="C16821" s="1007">
        <f t="shared" si="397"/>
        <v>173</v>
      </c>
      <c r="D16821" s="1014"/>
      <c r="I16821" s="1011" t="str">
        <f>CONCATENATE("&lt;valeur&gt;",VLOOKUP(C16821,'T16 Amort'!A:K,8,0),"&lt;/valeur&gt;")</f>
        <v>&lt;valeur&gt;&lt;/valeur&gt;</v>
      </c>
      <c r="K16821" s="1013"/>
    </row>
    <row r="16822" spans="1:11" s="1011" customFormat="1" ht="15" x14ac:dyDescent="0.25">
      <c r="A16822" s="859">
        <f t="shared" si="396"/>
        <v>16821</v>
      </c>
      <c r="B16822" s="845" t="s">
        <v>2564</v>
      </c>
      <c r="C16822" s="1007">
        <f t="shared" si="397"/>
        <v>173</v>
      </c>
      <c r="D16822" s="1014"/>
      <c r="I16822" s="1011" t="str">
        <f>CONCATENATE("&lt;numeroLigne&gt;",C16822,"&lt;/numeroLigne&gt;")</f>
        <v>&lt;numeroLigne&gt;173&lt;/numeroLigne&gt;</v>
      </c>
      <c r="K16822" s="1013"/>
    </row>
    <row r="16823" spans="1:11" s="1011" customFormat="1" ht="15" x14ac:dyDescent="0.25">
      <c r="A16823" s="859">
        <f t="shared" si="396"/>
        <v>16822</v>
      </c>
      <c r="B16823" s="845" t="s">
        <v>2564</v>
      </c>
      <c r="C16823" s="1007">
        <f t="shared" si="397"/>
        <v>173</v>
      </c>
      <c r="D16823" s="1012"/>
      <c r="H16823" s="1011" t="s">
        <v>1010</v>
      </c>
      <c r="K16823" s="1013"/>
    </row>
    <row r="16824" spans="1:11" s="1011" customFormat="1" ht="15" x14ac:dyDescent="0.25">
      <c r="A16824" s="859">
        <f t="shared" si="396"/>
        <v>16823</v>
      </c>
      <c r="B16824" s="845" t="s">
        <v>2564</v>
      </c>
      <c r="C16824" s="1007">
        <f t="shared" si="397"/>
        <v>173</v>
      </c>
      <c r="D16824" s="1015"/>
      <c r="H16824" s="1011" t="s">
        <v>1007</v>
      </c>
      <c r="K16824" s="1013"/>
    </row>
    <row r="16825" spans="1:11" s="1011" customFormat="1" ht="15" x14ac:dyDescent="0.25">
      <c r="A16825" s="859">
        <f t="shared" si="396"/>
        <v>16824</v>
      </c>
      <c r="B16825" s="845" t="s">
        <v>2564</v>
      </c>
      <c r="C16825" s="1007">
        <f t="shared" si="397"/>
        <v>173</v>
      </c>
      <c r="D16825" s="1012"/>
      <c r="I16825" s="1011" t="s">
        <v>2181</v>
      </c>
      <c r="K16825" s="1013"/>
    </row>
    <row r="16826" spans="1:11" s="1011" customFormat="1" ht="15" x14ac:dyDescent="0.25">
      <c r="A16826" s="859">
        <f t="shared" si="396"/>
        <v>16825</v>
      </c>
      <c r="B16826" s="845" t="s">
        <v>2564</v>
      </c>
      <c r="C16826" s="1007">
        <f t="shared" si="397"/>
        <v>173</v>
      </c>
      <c r="D16826" s="1012"/>
      <c r="I16826" s="1011" t="str">
        <f>CONCATENATE("&lt;valeur&gt;",VLOOKUP(C16826,'T16 Amort'!A:K,9,0),"&lt;/valeur&gt;")</f>
        <v>&lt;valeur&gt;&lt;/valeur&gt;</v>
      </c>
      <c r="K16826" s="1013"/>
    </row>
    <row r="16827" spans="1:11" s="1011" customFormat="1" ht="15" x14ac:dyDescent="0.25">
      <c r="A16827" s="859">
        <f t="shared" si="396"/>
        <v>16826</v>
      </c>
      <c r="B16827" s="845" t="s">
        <v>2564</v>
      </c>
      <c r="C16827" s="1007">
        <f t="shared" si="397"/>
        <v>173</v>
      </c>
      <c r="D16827" s="1014"/>
      <c r="I16827" s="1011" t="str">
        <f>CONCATENATE("&lt;numeroLigne&gt;",C16827,"&lt;/numeroLigne&gt;")</f>
        <v>&lt;numeroLigne&gt;173&lt;/numeroLigne&gt;</v>
      </c>
      <c r="K16827" s="1013"/>
    </row>
    <row r="16828" spans="1:11" s="1011" customFormat="1" ht="15" x14ac:dyDescent="0.25">
      <c r="A16828" s="859">
        <f t="shared" si="396"/>
        <v>16827</v>
      </c>
      <c r="B16828" s="845" t="s">
        <v>2564</v>
      </c>
      <c r="C16828" s="1007">
        <f t="shared" si="397"/>
        <v>173</v>
      </c>
      <c r="D16828" s="1014"/>
      <c r="H16828" s="1011" t="s">
        <v>1010</v>
      </c>
      <c r="K16828" s="1013"/>
    </row>
    <row r="16829" spans="1:11" s="1011" customFormat="1" ht="15" x14ac:dyDescent="0.25">
      <c r="A16829" s="859">
        <f t="shared" si="396"/>
        <v>16828</v>
      </c>
      <c r="B16829" s="845" t="s">
        <v>2564</v>
      </c>
      <c r="C16829" s="1007">
        <f t="shared" si="397"/>
        <v>173</v>
      </c>
      <c r="D16829" s="1012"/>
      <c r="H16829" s="1011" t="s">
        <v>1007</v>
      </c>
      <c r="K16829" s="1013"/>
    </row>
    <row r="16830" spans="1:11" s="1011" customFormat="1" ht="15" x14ac:dyDescent="0.25">
      <c r="A16830" s="859">
        <f t="shared" si="396"/>
        <v>16829</v>
      </c>
      <c r="B16830" s="845" t="s">
        <v>2564</v>
      </c>
      <c r="C16830" s="1007">
        <f t="shared" si="397"/>
        <v>173</v>
      </c>
      <c r="D16830" s="1015"/>
      <c r="I16830" s="1011" t="s">
        <v>2182</v>
      </c>
      <c r="K16830" s="1013"/>
    </row>
    <row r="16831" spans="1:11" s="1011" customFormat="1" ht="15" x14ac:dyDescent="0.25">
      <c r="A16831" s="859">
        <f t="shared" si="396"/>
        <v>16830</v>
      </c>
      <c r="B16831" s="845" t="s">
        <v>2564</v>
      </c>
      <c r="C16831" s="1007">
        <f t="shared" si="397"/>
        <v>173</v>
      </c>
      <c r="D16831" s="1012"/>
      <c r="I16831" s="1011" t="str">
        <f>CONCATENATE("&lt;valeur&gt;",VLOOKUP(C16831,'T16 Amort'!A:K,10,0),"&lt;/valeur&gt;")</f>
        <v>&lt;valeur&gt;&lt;/valeur&gt;</v>
      </c>
      <c r="K16831" s="1013"/>
    </row>
    <row r="16832" spans="1:11" s="1011" customFormat="1" ht="15" x14ac:dyDescent="0.25">
      <c r="A16832" s="859">
        <f t="shared" si="396"/>
        <v>16831</v>
      </c>
      <c r="B16832" s="845" t="s">
        <v>2564</v>
      </c>
      <c r="C16832" s="1007">
        <f t="shared" si="397"/>
        <v>173</v>
      </c>
      <c r="D16832" s="1012"/>
      <c r="I16832" s="1011" t="str">
        <f>CONCATENATE("&lt;numeroLigne&gt;",C16832,"&lt;/numeroLigne&gt;")</f>
        <v>&lt;numeroLigne&gt;173&lt;/numeroLigne&gt;</v>
      </c>
      <c r="K16832" s="1013"/>
    </row>
    <row r="16833" spans="1:11" s="1011" customFormat="1" ht="15" x14ac:dyDescent="0.25">
      <c r="A16833" s="859">
        <f t="shared" si="396"/>
        <v>16832</v>
      </c>
      <c r="B16833" s="845" t="s">
        <v>2564</v>
      </c>
      <c r="C16833" s="1007">
        <f t="shared" si="397"/>
        <v>173</v>
      </c>
      <c r="D16833" s="1014"/>
      <c r="H16833" s="1011" t="s">
        <v>1010</v>
      </c>
      <c r="K16833" s="1013"/>
    </row>
    <row r="16834" spans="1:11" s="1011" customFormat="1" ht="15" x14ac:dyDescent="0.25">
      <c r="A16834" s="859">
        <f t="shared" si="396"/>
        <v>16833</v>
      </c>
      <c r="B16834" s="845" t="s">
        <v>2564</v>
      </c>
      <c r="C16834" s="1007">
        <f t="shared" si="397"/>
        <v>173</v>
      </c>
      <c r="D16834" s="1014"/>
      <c r="H16834" s="1011" t="s">
        <v>1007</v>
      </c>
      <c r="K16834" s="1013"/>
    </row>
    <row r="16835" spans="1:11" s="1011" customFormat="1" ht="15" x14ac:dyDescent="0.25">
      <c r="A16835" s="859">
        <f t="shared" si="396"/>
        <v>16834</v>
      </c>
      <c r="B16835" s="845" t="s">
        <v>2564</v>
      </c>
      <c r="C16835" s="1007">
        <f t="shared" si="397"/>
        <v>173</v>
      </c>
      <c r="D16835" s="1012"/>
      <c r="I16835" s="1011" t="s">
        <v>2183</v>
      </c>
      <c r="K16835" s="1013"/>
    </row>
    <row r="16836" spans="1:11" s="1011" customFormat="1" ht="15" x14ac:dyDescent="0.25">
      <c r="A16836" s="859">
        <f t="shared" ref="A16836:A16899" si="398">+A16835+1</f>
        <v>16835</v>
      </c>
      <c r="B16836" s="845" t="s">
        <v>2564</v>
      </c>
      <c r="C16836" s="1007">
        <f t="shared" si="397"/>
        <v>173</v>
      </c>
      <c r="D16836" s="1015"/>
      <c r="I16836" s="1011" t="str">
        <f>CONCATENATE("&lt;valeur&gt;",VLOOKUP(C16836,'T16 Amort'!A:K,11,0),"&lt;/valeur&gt;")</f>
        <v>&lt;valeur&gt;&lt;/valeur&gt;</v>
      </c>
      <c r="K16836" s="1013"/>
    </row>
    <row r="16837" spans="1:11" s="1011" customFormat="1" ht="15" x14ac:dyDescent="0.25">
      <c r="A16837" s="859">
        <f t="shared" si="398"/>
        <v>16836</v>
      </c>
      <c r="B16837" s="845" t="s">
        <v>2564</v>
      </c>
      <c r="C16837" s="1007">
        <f t="shared" si="397"/>
        <v>173</v>
      </c>
      <c r="D16837" s="1012"/>
      <c r="I16837" s="1011" t="str">
        <f>CONCATENATE("&lt;numeroLigne&gt;",C16837,"&lt;/numeroLigne&gt;")</f>
        <v>&lt;numeroLigne&gt;173&lt;/numeroLigne&gt;</v>
      </c>
      <c r="K16837" s="1013"/>
    </row>
    <row r="16838" spans="1:11" s="1011" customFormat="1" ht="15" x14ac:dyDescent="0.25">
      <c r="A16838" s="859">
        <f t="shared" si="398"/>
        <v>16837</v>
      </c>
      <c r="B16838" s="845" t="s">
        <v>2564</v>
      </c>
      <c r="C16838" s="1007">
        <f t="shared" si="397"/>
        <v>173</v>
      </c>
      <c r="D16838" s="1016"/>
      <c r="E16838" s="1017"/>
      <c r="F16838" s="1017"/>
      <c r="G16838" s="1017"/>
      <c r="H16838" s="1017" t="s">
        <v>1010</v>
      </c>
      <c r="I16838" s="1017"/>
      <c r="J16838" s="1017"/>
      <c r="K16838" s="1018"/>
    </row>
    <row r="16839" spans="1:11" s="1011" customFormat="1" ht="15" x14ac:dyDescent="0.25">
      <c r="A16839" s="859">
        <f t="shared" si="398"/>
        <v>16838</v>
      </c>
      <c r="B16839" s="845" t="s">
        <v>2564</v>
      </c>
      <c r="C16839" s="1007">
        <f t="shared" si="397"/>
        <v>174</v>
      </c>
      <c r="D16839" s="1008"/>
      <c r="E16839" s="1009"/>
      <c r="F16839" s="1009"/>
      <c r="G16839" s="1009"/>
      <c r="H16839" s="1009" t="s">
        <v>1007</v>
      </c>
      <c r="I16839" s="1009"/>
      <c r="J16839" s="1009"/>
      <c r="K16839" s="1010"/>
    </row>
    <row r="16840" spans="1:11" s="1011" customFormat="1" ht="15" x14ac:dyDescent="0.25">
      <c r="A16840" s="859">
        <f t="shared" si="398"/>
        <v>16839</v>
      </c>
      <c r="B16840" s="845" t="s">
        <v>2564</v>
      </c>
      <c r="C16840" s="1007">
        <f t="shared" si="397"/>
        <v>174</v>
      </c>
      <c r="D16840" s="1012"/>
      <c r="I16840" s="1011" t="s">
        <v>2174</v>
      </c>
      <c r="K16840" s="1013"/>
    </row>
    <row r="16841" spans="1:11" s="1011" customFormat="1" ht="15" x14ac:dyDescent="0.25">
      <c r="A16841" s="859">
        <f t="shared" si="398"/>
        <v>16840</v>
      </c>
      <c r="B16841" s="845" t="s">
        <v>2564</v>
      </c>
      <c r="C16841" s="1007">
        <f t="shared" si="397"/>
        <v>174</v>
      </c>
      <c r="D16841" s="1014"/>
      <c r="I16841" s="1011" t="str">
        <f>CONCATENATE("&lt;valeur&gt;",VLOOKUP(C16841,'T16 Amort'!A:K,2,0),"&lt;/valeur&gt;")</f>
        <v>&lt;valeur&gt;&lt;/valeur&gt;</v>
      </c>
      <c r="K16841" s="1013"/>
    </row>
    <row r="16842" spans="1:11" s="1011" customFormat="1" ht="15" x14ac:dyDescent="0.25">
      <c r="A16842" s="859">
        <f t="shared" si="398"/>
        <v>16841</v>
      </c>
      <c r="B16842" s="845" t="s">
        <v>2564</v>
      </c>
      <c r="C16842" s="1007">
        <f t="shared" si="397"/>
        <v>174</v>
      </c>
      <c r="D16842" s="1014"/>
      <c r="I16842" s="1011" t="str">
        <f>CONCATENATE("&lt;numeroLigne&gt;",C16842,"&lt;/numeroLigne&gt;")</f>
        <v>&lt;numeroLigne&gt;174&lt;/numeroLigne&gt;</v>
      </c>
      <c r="K16842" s="1013"/>
    </row>
    <row r="16843" spans="1:11" s="1011" customFormat="1" ht="15" x14ac:dyDescent="0.25">
      <c r="A16843" s="859">
        <f t="shared" si="398"/>
        <v>16842</v>
      </c>
      <c r="B16843" s="845" t="s">
        <v>2564</v>
      </c>
      <c r="C16843" s="1007">
        <f t="shared" si="397"/>
        <v>174</v>
      </c>
      <c r="D16843" s="1012"/>
      <c r="H16843" s="1011" t="s">
        <v>1010</v>
      </c>
      <c r="K16843" s="1013"/>
    </row>
    <row r="16844" spans="1:11" s="1011" customFormat="1" ht="15" x14ac:dyDescent="0.25">
      <c r="A16844" s="859">
        <f t="shared" si="398"/>
        <v>16843</v>
      </c>
      <c r="B16844" s="845" t="s">
        <v>2564</v>
      </c>
      <c r="C16844" s="1007">
        <f t="shared" si="397"/>
        <v>174</v>
      </c>
      <c r="D16844" s="1015"/>
      <c r="H16844" s="1011" t="s">
        <v>1007</v>
      </c>
      <c r="K16844" s="1013"/>
    </row>
    <row r="16845" spans="1:11" s="1011" customFormat="1" ht="15" x14ac:dyDescent="0.25">
      <c r="A16845" s="859">
        <f t="shared" si="398"/>
        <v>16844</v>
      </c>
      <c r="B16845" s="845" t="s">
        <v>2564</v>
      </c>
      <c r="C16845" s="1007">
        <f t="shared" si="397"/>
        <v>174</v>
      </c>
      <c r="D16845" s="1012"/>
      <c r="I16845" s="1011" t="s">
        <v>2175</v>
      </c>
      <c r="K16845" s="1013"/>
    </row>
    <row r="16846" spans="1:11" s="1011" customFormat="1" ht="15" x14ac:dyDescent="0.25">
      <c r="A16846" s="859">
        <f t="shared" si="398"/>
        <v>16845</v>
      </c>
      <c r="B16846" s="845" t="s">
        <v>2564</v>
      </c>
      <c r="C16846" s="1007">
        <f t="shared" si="397"/>
        <v>174</v>
      </c>
      <c r="D16846" s="1012"/>
      <c r="I16846" s="1011" t="str">
        <f>CONCATENATE("&lt;valeur&gt;",VLOOKUP(C16846,'T16 Amort'!A:K,3,0),"&lt;/valeur&gt;")</f>
        <v>&lt;valeur&gt;&lt;/valeur&gt;</v>
      </c>
      <c r="K16846" s="1013"/>
    </row>
    <row r="16847" spans="1:11" s="1011" customFormat="1" ht="15" x14ac:dyDescent="0.25">
      <c r="A16847" s="859">
        <f t="shared" si="398"/>
        <v>16846</v>
      </c>
      <c r="B16847" s="845" t="s">
        <v>2564</v>
      </c>
      <c r="C16847" s="1007">
        <f t="shared" si="397"/>
        <v>174</v>
      </c>
      <c r="D16847" s="1014"/>
      <c r="I16847" s="1011" t="str">
        <f>CONCATENATE("&lt;numeroLigne&gt;",C16847,"&lt;/numeroLigne&gt;")</f>
        <v>&lt;numeroLigne&gt;174&lt;/numeroLigne&gt;</v>
      </c>
      <c r="K16847" s="1013"/>
    </row>
    <row r="16848" spans="1:11" s="1011" customFormat="1" ht="15" x14ac:dyDescent="0.25">
      <c r="A16848" s="859">
        <f t="shared" si="398"/>
        <v>16847</v>
      </c>
      <c r="B16848" s="845" t="s">
        <v>2564</v>
      </c>
      <c r="C16848" s="1007">
        <f t="shared" si="397"/>
        <v>174</v>
      </c>
      <c r="D16848" s="1014"/>
      <c r="H16848" s="1011" t="s">
        <v>1010</v>
      </c>
      <c r="K16848" s="1013"/>
    </row>
    <row r="16849" spans="1:11" s="1011" customFormat="1" ht="15" x14ac:dyDescent="0.25">
      <c r="A16849" s="859">
        <f t="shared" si="398"/>
        <v>16848</v>
      </c>
      <c r="B16849" s="845" t="s">
        <v>2564</v>
      </c>
      <c r="C16849" s="1007">
        <f t="shared" si="397"/>
        <v>174</v>
      </c>
      <c r="D16849" s="1012"/>
      <c r="H16849" s="1011" t="s">
        <v>1007</v>
      </c>
      <c r="K16849" s="1013"/>
    </row>
    <row r="16850" spans="1:11" s="1011" customFormat="1" ht="15" x14ac:dyDescent="0.25">
      <c r="A16850" s="859">
        <f t="shared" si="398"/>
        <v>16849</v>
      </c>
      <c r="B16850" s="845" t="s">
        <v>2564</v>
      </c>
      <c r="C16850" s="1007">
        <f t="shared" si="397"/>
        <v>174</v>
      </c>
      <c r="D16850" s="1015"/>
      <c r="I16850" s="1011" t="s">
        <v>2176</v>
      </c>
      <c r="K16850" s="1013"/>
    </row>
    <row r="16851" spans="1:11" s="1011" customFormat="1" ht="15" x14ac:dyDescent="0.25">
      <c r="A16851" s="859">
        <f t="shared" si="398"/>
        <v>16850</v>
      </c>
      <c r="B16851" s="845" t="s">
        <v>2564</v>
      </c>
      <c r="C16851" s="1007">
        <f t="shared" si="397"/>
        <v>174</v>
      </c>
      <c r="D16851" s="1012"/>
      <c r="I16851" s="1011" t="str">
        <f>CONCATENATE("&lt;valeur&gt;",VLOOKUP(C16851,'T16 Amort'!A:K,4,0),"&lt;/valeur&gt;")</f>
        <v>&lt;valeur&gt;&lt;/valeur&gt;</v>
      </c>
      <c r="K16851" s="1013"/>
    </row>
    <row r="16852" spans="1:11" s="1011" customFormat="1" ht="15" x14ac:dyDescent="0.25">
      <c r="A16852" s="859">
        <f t="shared" si="398"/>
        <v>16851</v>
      </c>
      <c r="B16852" s="845" t="s">
        <v>2564</v>
      </c>
      <c r="C16852" s="1007">
        <f t="shared" si="397"/>
        <v>174</v>
      </c>
      <c r="D16852" s="1012"/>
      <c r="I16852" s="1011" t="str">
        <f>CONCATENATE("&lt;numeroLigne&gt;",C16852,"&lt;/numeroLigne&gt;")</f>
        <v>&lt;numeroLigne&gt;174&lt;/numeroLigne&gt;</v>
      </c>
      <c r="K16852" s="1013"/>
    </row>
    <row r="16853" spans="1:11" s="1011" customFormat="1" ht="15" x14ac:dyDescent="0.25">
      <c r="A16853" s="859">
        <f t="shared" si="398"/>
        <v>16852</v>
      </c>
      <c r="B16853" s="845" t="s">
        <v>2564</v>
      </c>
      <c r="C16853" s="1007">
        <f t="shared" si="397"/>
        <v>174</v>
      </c>
      <c r="D16853" s="1014"/>
      <c r="H16853" s="1011" t="s">
        <v>1010</v>
      </c>
      <c r="K16853" s="1013"/>
    </row>
    <row r="16854" spans="1:11" s="1011" customFormat="1" ht="15" x14ac:dyDescent="0.25">
      <c r="A16854" s="859">
        <f t="shared" si="398"/>
        <v>16853</v>
      </c>
      <c r="B16854" s="845" t="s">
        <v>2564</v>
      </c>
      <c r="C16854" s="1007">
        <f t="shared" si="397"/>
        <v>174</v>
      </c>
      <c r="D16854" s="1014"/>
      <c r="H16854" s="1011" t="s">
        <v>1007</v>
      </c>
      <c r="K16854" s="1013"/>
    </row>
    <row r="16855" spans="1:11" s="1011" customFormat="1" ht="15" x14ac:dyDescent="0.25">
      <c r="A16855" s="859">
        <f t="shared" si="398"/>
        <v>16854</v>
      </c>
      <c r="B16855" s="845" t="s">
        <v>2564</v>
      </c>
      <c r="C16855" s="1007">
        <f t="shared" si="397"/>
        <v>174</v>
      </c>
      <c r="D16855" s="1012"/>
      <c r="I16855" s="1011" t="s">
        <v>2177</v>
      </c>
      <c r="K16855" s="1013"/>
    </row>
    <row r="16856" spans="1:11" s="1011" customFormat="1" ht="15" x14ac:dyDescent="0.25">
      <c r="A16856" s="859">
        <f t="shared" si="398"/>
        <v>16855</v>
      </c>
      <c r="B16856" s="845" t="s">
        <v>2564</v>
      </c>
      <c r="C16856" s="1007">
        <f t="shared" si="397"/>
        <v>174</v>
      </c>
      <c r="D16856" s="1015"/>
      <c r="I16856" s="1011" t="str">
        <f>CONCATENATE("&lt;valeur&gt;",VLOOKUP(C16856,'T16 Amort'!A:K,5,0),"&lt;/valeur&gt;")</f>
        <v>&lt;valeur&gt;&lt;/valeur&gt;</v>
      </c>
      <c r="K16856" s="1013"/>
    </row>
    <row r="16857" spans="1:11" s="1011" customFormat="1" ht="15" x14ac:dyDescent="0.25">
      <c r="A16857" s="859">
        <f t="shared" si="398"/>
        <v>16856</v>
      </c>
      <c r="B16857" s="845" t="s">
        <v>2564</v>
      </c>
      <c r="C16857" s="1007">
        <f t="shared" si="397"/>
        <v>174</v>
      </c>
      <c r="D16857" s="1012"/>
      <c r="I16857" s="1011" t="str">
        <f>CONCATENATE("&lt;numeroLigne&gt;",C16857,"&lt;/numeroLigne&gt;")</f>
        <v>&lt;numeroLigne&gt;174&lt;/numeroLigne&gt;</v>
      </c>
      <c r="K16857" s="1013"/>
    </row>
    <row r="16858" spans="1:11" s="1011" customFormat="1" ht="15" x14ac:dyDescent="0.25">
      <c r="A16858" s="859">
        <f t="shared" si="398"/>
        <v>16857</v>
      </c>
      <c r="B16858" s="845" t="s">
        <v>2564</v>
      </c>
      <c r="C16858" s="1007">
        <f t="shared" si="397"/>
        <v>174</v>
      </c>
      <c r="D16858" s="1012"/>
      <c r="H16858" s="1011" t="s">
        <v>1010</v>
      </c>
      <c r="K16858" s="1013"/>
    </row>
    <row r="16859" spans="1:11" s="1011" customFormat="1" ht="15" x14ac:dyDescent="0.25">
      <c r="A16859" s="859">
        <f t="shared" si="398"/>
        <v>16858</v>
      </c>
      <c r="B16859" s="845" t="s">
        <v>2564</v>
      </c>
      <c r="C16859" s="1007">
        <f t="shared" si="397"/>
        <v>174</v>
      </c>
      <c r="D16859" s="1014"/>
      <c r="H16859" s="1011" t="s">
        <v>1007</v>
      </c>
      <c r="K16859" s="1013"/>
    </row>
    <row r="16860" spans="1:11" s="1011" customFormat="1" ht="15" x14ac:dyDescent="0.25">
      <c r="A16860" s="859">
        <f t="shared" si="398"/>
        <v>16859</v>
      </c>
      <c r="B16860" s="845" t="s">
        <v>2564</v>
      </c>
      <c r="C16860" s="1007">
        <f t="shared" si="397"/>
        <v>174</v>
      </c>
      <c r="D16860" s="1014"/>
      <c r="I16860" s="1011" t="s">
        <v>2178</v>
      </c>
      <c r="K16860" s="1013"/>
    </row>
    <row r="16861" spans="1:11" s="1011" customFormat="1" ht="15" x14ac:dyDescent="0.25">
      <c r="A16861" s="859">
        <f t="shared" si="398"/>
        <v>16860</v>
      </c>
      <c r="B16861" s="845" t="s">
        <v>2564</v>
      </c>
      <c r="C16861" s="1007">
        <f t="shared" si="397"/>
        <v>174</v>
      </c>
      <c r="D16861" s="1012"/>
      <c r="I16861" s="1011" t="str">
        <f>CONCATENATE("&lt;valeur&gt;",VLOOKUP(C16861,'T16 Amort'!A:K,6,0),"&lt;/valeur&gt;")</f>
        <v>&lt;valeur&gt;&lt;/valeur&gt;</v>
      </c>
      <c r="K16861" s="1013"/>
    </row>
    <row r="16862" spans="1:11" s="1011" customFormat="1" ht="15" x14ac:dyDescent="0.25">
      <c r="A16862" s="859">
        <f t="shared" si="398"/>
        <v>16861</v>
      </c>
      <c r="B16862" s="845" t="s">
        <v>2564</v>
      </c>
      <c r="C16862" s="1007">
        <f t="shared" si="397"/>
        <v>174</v>
      </c>
      <c r="D16862" s="1015"/>
      <c r="I16862" s="1011" t="str">
        <f>CONCATENATE("&lt;numeroLigne&gt;",C16862,"&lt;/numeroLigne&gt;")</f>
        <v>&lt;numeroLigne&gt;174&lt;/numeroLigne&gt;</v>
      </c>
      <c r="K16862" s="1013"/>
    </row>
    <row r="16863" spans="1:11" s="1011" customFormat="1" ht="15" x14ac:dyDescent="0.25">
      <c r="A16863" s="859">
        <f t="shared" si="398"/>
        <v>16862</v>
      </c>
      <c r="B16863" s="845" t="s">
        <v>2564</v>
      </c>
      <c r="C16863" s="1007">
        <f t="shared" si="397"/>
        <v>174</v>
      </c>
      <c r="D16863" s="1012"/>
      <c r="H16863" s="1011" t="s">
        <v>1010</v>
      </c>
      <c r="K16863" s="1013"/>
    </row>
    <row r="16864" spans="1:11" s="1011" customFormat="1" ht="15" x14ac:dyDescent="0.25">
      <c r="A16864" s="859">
        <f t="shared" si="398"/>
        <v>16863</v>
      </c>
      <c r="B16864" s="845" t="s">
        <v>2564</v>
      </c>
      <c r="C16864" s="1007">
        <f t="shared" si="397"/>
        <v>174</v>
      </c>
      <c r="D16864" s="1012"/>
      <c r="H16864" s="1011" t="s">
        <v>1007</v>
      </c>
      <c r="K16864" s="1013"/>
    </row>
    <row r="16865" spans="1:11" s="1011" customFormat="1" ht="15" x14ac:dyDescent="0.25">
      <c r="A16865" s="859">
        <f t="shared" si="398"/>
        <v>16864</v>
      </c>
      <c r="B16865" s="845" t="s">
        <v>2564</v>
      </c>
      <c r="C16865" s="1007">
        <f t="shared" si="397"/>
        <v>174</v>
      </c>
      <c r="D16865" s="1014"/>
      <c r="I16865" s="1011" t="s">
        <v>2179</v>
      </c>
      <c r="K16865" s="1013"/>
    </row>
    <row r="16866" spans="1:11" s="1011" customFormat="1" ht="15" x14ac:dyDescent="0.25">
      <c r="A16866" s="859">
        <f t="shared" si="398"/>
        <v>16865</v>
      </c>
      <c r="B16866" s="845" t="s">
        <v>2564</v>
      </c>
      <c r="C16866" s="1007">
        <f t="shared" si="397"/>
        <v>174</v>
      </c>
      <c r="D16866" s="1014"/>
      <c r="I16866" s="1011" t="str">
        <f>CONCATENATE("&lt;valeur&gt;",VLOOKUP(C16866,'T16 Amort'!A:K,7,0),"&lt;/valeur&gt;")</f>
        <v>&lt;valeur&gt;&lt;/valeur&gt;</v>
      </c>
      <c r="K16866" s="1013"/>
    </row>
    <row r="16867" spans="1:11" s="1011" customFormat="1" ht="15" x14ac:dyDescent="0.25">
      <c r="A16867" s="859">
        <f t="shared" si="398"/>
        <v>16866</v>
      </c>
      <c r="B16867" s="845" t="s">
        <v>2564</v>
      </c>
      <c r="C16867" s="1007">
        <f t="shared" si="397"/>
        <v>174</v>
      </c>
      <c r="D16867" s="1012"/>
      <c r="I16867" s="1011" t="str">
        <f>CONCATENATE("&lt;numeroLigne&gt;",C16867,"&lt;/numeroLigne&gt;")</f>
        <v>&lt;numeroLigne&gt;174&lt;/numeroLigne&gt;</v>
      </c>
      <c r="K16867" s="1013"/>
    </row>
    <row r="16868" spans="1:11" s="1011" customFormat="1" ht="15" x14ac:dyDescent="0.25">
      <c r="A16868" s="859">
        <f t="shared" si="398"/>
        <v>16867</v>
      </c>
      <c r="B16868" s="845" t="s">
        <v>2564</v>
      </c>
      <c r="C16868" s="1007">
        <f t="shared" si="397"/>
        <v>174</v>
      </c>
      <c r="D16868" s="1015"/>
      <c r="H16868" s="1011" t="s">
        <v>1010</v>
      </c>
      <c r="K16868" s="1013"/>
    </row>
    <row r="16869" spans="1:11" s="1011" customFormat="1" ht="15" x14ac:dyDescent="0.25">
      <c r="A16869" s="859">
        <f t="shared" si="398"/>
        <v>16868</v>
      </c>
      <c r="B16869" s="845" t="s">
        <v>2564</v>
      </c>
      <c r="C16869" s="1007">
        <f t="shared" si="397"/>
        <v>174</v>
      </c>
      <c r="D16869" s="1012"/>
      <c r="H16869" s="1011" t="s">
        <v>1007</v>
      </c>
      <c r="K16869" s="1013"/>
    </row>
    <row r="16870" spans="1:11" s="1011" customFormat="1" ht="15" x14ac:dyDescent="0.25">
      <c r="A16870" s="859">
        <f t="shared" si="398"/>
        <v>16869</v>
      </c>
      <c r="B16870" s="845" t="s">
        <v>2564</v>
      </c>
      <c r="C16870" s="1007">
        <f t="shared" si="397"/>
        <v>174</v>
      </c>
      <c r="D16870" s="1012"/>
      <c r="I16870" s="1011" t="s">
        <v>2180</v>
      </c>
      <c r="K16870" s="1013"/>
    </row>
    <row r="16871" spans="1:11" s="1011" customFormat="1" ht="15" x14ac:dyDescent="0.25">
      <c r="A16871" s="859">
        <f t="shared" si="398"/>
        <v>16870</v>
      </c>
      <c r="B16871" s="845" t="s">
        <v>2564</v>
      </c>
      <c r="C16871" s="1007">
        <f t="shared" si="397"/>
        <v>174</v>
      </c>
      <c r="D16871" s="1014"/>
      <c r="I16871" s="1011" t="str">
        <f>CONCATENATE("&lt;valeur&gt;",VLOOKUP(C16871,'T16 Amort'!A:K,8,0),"&lt;/valeur&gt;")</f>
        <v>&lt;valeur&gt;&lt;/valeur&gt;</v>
      </c>
      <c r="K16871" s="1013"/>
    </row>
    <row r="16872" spans="1:11" s="1011" customFormat="1" ht="15" x14ac:dyDescent="0.25">
      <c r="A16872" s="859">
        <f t="shared" si="398"/>
        <v>16871</v>
      </c>
      <c r="B16872" s="845" t="s">
        <v>2564</v>
      </c>
      <c r="C16872" s="1007">
        <f t="shared" si="397"/>
        <v>174</v>
      </c>
      <c r="D16872" s="1014"/>
      <c r="I16872" s="1011" t="str">
        <f>CONCATENATE("&lt;numeroLigne&gt;",C16872,"&lt;/numeroLigne&gt;")</f>
        <v>&lt;numeroLigne&gt;174&lt;/numeroLigne&gt;</v>
      </c>
      <c r="K16872" s="1013"/>
    </row>
    <row r="16873" spans="1:11" s="1011" customFormat="1" ht="15" x14ac:dyDescent="0.25">
      <c r="A16873" s="859">
        <f t="shared" si="398"/>
        <v>16872</v>
      </c>
      <c r="B16873" s="845" t="s">
        <v>2564</v>
      </c>
      <c r="C16873" s="1007">
        <f t="shared" si="397"/>
        <v>174</v>
      </c>
      <c r="D16873" s="1012"/>
      <c r="H16873" s="1011" t="s">
        <v>1010</v>
      </c>
      <c r="K16873" s="1013"/>
    </row>
    <row r="16874" spans="1:11" s="1011" customFormat="1" ht="15" x14ac:dyDescent="0.25">
      <c r="A16874" s="859">
        <f t="shared" si="398"/>
        <v>16873</v>
      </c>
      <c r="B16874" s="845" t="s">
        <v>2564</v>
      </c>
      <c r="C16874" s="1007">
        <f t="shared" si="397"/>
        <v>174</v>
      </c>
      <c r="D16874" s="1015"/>
      <c r="H16874" s="1011" t="s">
        <v>1007</v>
      </c>
      <c r="K16874" s="1013"/>
    </row>
    <row r="16875" spans="1:11" s="1011" customFormat="1" ht="15" x14ac:dyDescent="0.25">
      <c r="A16875" s="859">
        <f t="shared" si="398"/>
        <v>16874</v>
      </c>
      <c r="B16875" s="845" t="s">
        <v>2564</v>
      </c>
      <c r="C16875" s="1007">
        <f t="shared" si="397"/>
        <v>174</v>
      </c>
      <c r="D16875" s="1012"/>
      <c r="I16875" s="1011" t="s">
        <v>2181</v>
      </c>
      <c r="K16875" s="1013"/>
    </row>
    <row r="16876" spans="1:11" s="1011" customFormat="1" ht="15" x14ac:dyDescent="0.25">
      <c r="A16876" s="859">
        <f t="shared" si="398"/>
        <v>16875</v>
      </c>
      <c r="B16876" s="845" t="s">
        <v>2564</v>
      </c>
      <c r="C16876" s="1007">
        <f t="shared" si="397"/>
        <v>174</v>
      </c>
      <c r="D16876" s="1012"/>
      <c r="I16876" s="1011" t="str">
        <f>CONCATENATE("&lt;valeur&gt;",VLOOKUP(C16876,'T16 Amort'!A:K,9,0),"&lt;/valeur&gt;")</f>
        <v>&lt;valeur&gt;&lt;/valeur&gt;</v>
      </c>
      <c r="K16876" s="1013"/>
    </row>
    <row r="16877" spans="1:11" s="1011" customFormat="1" ht="15" x14ac:dyDescent="0.25">
      <c r="A16877" s="859">
        <f t="shared" si="398"/>
        <v>16876</v>
      </c>
      <c r="B16877" s="845" t="s">
        <v>2564</v>
      </c>
      <c r="C16877" s="1007">
        <f t="shared" si="397"/>
        <v>174</v>
      </c>
      <c r="D16877" s="1014"/>
      <c r="I16877" s="1011" t="str">
        <f>CONCATENATE("&lt;numeroLigne&gt;",C16877,"&lt;/numeroLigne&gt;")</f>
        <v>&lt;numeroLigne&gt;174&lt;/numeroLigne&gt;</v>
      </c>
      <c r="K16877" s="1013"/>
    </row>
    <row r="16878" spans="1:11" s="1011" customFormat="1" ht="15" x14ac:dyDescent="0.25">
      <c r="A16878" s="859">
        <f t="shared" si="398"/>
        <v>16877</v>
      </c>
      <c r="B16878" s="845" t="s">
        <v>2564</v>
      </c>
      <c r="C16878" s="1007">
        <f t="shared" si="397"/>
        <v>174</v>
      </c>
      <c r="D16878" s="1014"/>
      <c r="H16878" s="1011" t="s">
        <v>1010</v>
      </c>
      <c r="K16878" s="1013"/>
    </row>
    <row r="16879" spans="1:11" s="1011" customFormat="1" ht="15" x14ac:dyDescent="0.25">
      <c r="A16879" s="859">
        <f t="shared" si="398"/>
        <v>16878</v>
      </c>
      <c r="B16879" s="845" t="s">
        <v>2564</v>
      </c>
      <c r="C16879" s="1007">
        <f t="shared" ref="C16879:C16942" si="399">C16829+1</f>
        <v>174</v>
      </c>
      <c r="D16879" s="1012"/>
      <c r="H16879" s="1011" t="s">
        <v>1007</v>
      </c>
      <c r="K16879" s="1013"/>
    </row>
    <row r="16880" spans="1:11" s="1011" customFormat="1" ht="15" x14ac:dyDescent="0.25">
      <c r="A16880" s="859">
        <f t="shared" si="398"/>
        <v>16879</v>
      </c>
      <c r="B16880" s="845" t="s">
        <v>2564</v>
      </c>
      <c r="C16880" s="1007">
        <f t="shared" si="399"/>
        <v>174</v>
      </c>
      <c r="D16880" s="1015"/>
      <c r="I16880" s="1011" t="s">
        <v>2182</v>
      </c>
      <c r="K16880" s="1013"/>
    </row>
    <row r="16881" spans="1:11" s="1011" customFormat="1" ht="15" x14ac:dyDescent="0.25">
      <c r="A16881" s="859">
        <f t="shared" si="398"/>
        <v>16880</v>
      </c>
      <c r="B16881" s="845" t="s">
        <v>2564</v>
      </c>
      <c r="C16881" s="1007">
        <f t="shared" si="399"/>
        <v>174</v>
      </c>
      <c r="D16881" s="1012"/>
      <c r="I16881" s="1011" t="str">
        <f>CONCATENATE("&lt;valeur&gt;",VLOOKUP(C16881,'T16 Amort'!A:K,10,0),"&lt;/valeur&gt;")</f>
        <v>&lt;valeur&gt;&lt;/valeur&gt;</v>
      </c>
      <c r="K16881" s="1013"/>
    </row>
    <row r="16882" spans="1:11" s="1011" customFormat="1" ht="15" x14ac:dyDescent="0.25">
      <c r="A16882" s="859">
        <f t="shared" si="398"/>
        <v>16881</v>
      </c>
      <c r="B16882" s="845" t="s">
        <v>2564</v>
      </c>
      <c r="C16882" s="1007">
        <f t="shared" si="399"/>
        <v>174</v>
      </c>
      <c r="D16882" s="1012"/>
      <c r="I16882" s="1011" t="str">
        <f>CONCATENATE("&lt;numeroLigne&gt;",C16882,"&lt;/numeroLigne&gt;")</f>
        <v>&lt;numeroLigne&gt;174&lt;/numeroLigne&gt;</v>
      </c>
      <c r="K16882" s="1013"/>
    </row>
    <row r="16883" spans="1:11" s="1011" customFormat="1" ht="15" x14ac:dyDescent="0.25">
      <c r="A16883" s="859">
        <f t="shared" si="398"/>
        <v>16882</v>
      </c>
      <c r="B16883" s="845" t="s">
        <v>2564</v>
      </c>
      <c r="C16883" s="1007">
        <f t="shared" si="399"/>
        <v>174</v>
      </c>
      <c r="D16883" s="1014"/>
      <c r="H16883" s="1011" t="s">
        <v>1010</v>
      </c>
      <c r="K16883" s="1013"/>
    </row>
    <row r="16884" spans="1:11" s="1011" customFormat="1" ht="15" x14ac:dyDescent="0.25">
      <c r="A16884" s="859">
        <f t="shared" si="398"/>
        <v>16883</v>
      </c>
      <c r="B16884" s="845" t="s">
        <v>2564</v>
      </c>
      <c r="C16884" s="1007">
        <f t="shared" si="399"/>
        <v>174</v>
      </c>
      <c r="D16884" s="1014"/>
      <c r="H16884" s="1011" t="s">
        <v>1007</v>
      </c>
      <c r="K16884" s="1013"/>
    </row>
    <row r="16885" spans="1:11" s="1011" customFormat="1" ht="15" x14ac:dyDescent="0.25">
      <c r="A16885" s="859">
        <f t="shared" si="398"/>
        <v>16884</v>
      </c>
      <c r="B16885" s="845" t="s">
        <v>2564</v>
      </c>
      <c r="C16885" s="1007">
        <f t="shared" si="399"/>
        <v>174</v>
      </c>
      <c r="D16885" s="1012"/>
      <c r="I16885" s="1011" t="s">
        <v>2183</v>
      </c>
      <c r="K16885" s="1013"/>
    </row>
    <row r="16886" spans="1:11" s="1011" customFormat="1" ht="15" x14ac:dyDescent="0.25">
      <c r="A16886" s="859">
        <f t="shared" si="398"/>
        <v>16885</v>
      </c>
      <c r="B16886" s="845" t="s">
        <v>2564</v>
      </c>
      <c r="C16886" s="1007">
        <f t="shared" si="399"/>
        <v>174</v>
      </c>
      <c r="D16886" s="1015"/>
      <c r="I16886" s="1011" t="str">
        <f>CONCATENATE("&lt;valeur&gt;",VLOOKUP(C16886,'T16 Amort'!A:K,11,0),"&lt;/valeur&gt;")</f>
        <v>&lt;valeur&gt;&lt;/valeur&gt;</v>
      </c>
      <c r="K16886" s="1013"/>
    </row>
    <row r="16887" spans="1:11" s="1011" customFormat="1" ht="15" x14ac:dyDescent="0.25">
      <c r="A16887" s="859">
        <f t="shared" si="398"/>
        <v>16886</v>
      </c>
      <c r="B16887" s="845" t="s">
        <v>2564</v>
      </c>
      <c r="C16887" s="1007">
        <f t="shared" si="399"/>
        <v>174</v>
      </c>
      <c r="D16887" s="1012"/>
      <c r="I16887" s="1011" t="str">
        <f>CONCATENATE("&lt;numeroLigne&gt;",C16887,"&lt;/numeroLigne&gt;")</f>
        <v>&lt;numeroLigne&gt;174&lt;/numeroLigne&gt;</v>
      </c>
      <c r="K16887" s="1013"/>
    </row>
    <row r="16888" spans="1:11" s="1011" customFormat="1" ht="15" x14ac:dyDescent="0.25">
      <c r="A16888" s="859">
        <f t="shared" si="398"/>
        <v>16887</v>
      </c>
      <c r="B16888" s="845" t="s">
        <v>2564</v>
      </c>
      <c r="C16888" s="1007">
        <f t="shared" si="399"/>
        <v>174</v>
      </c>
      <c r="D16888" s="1016"/>
      <c r="E16888" s="1017"/>
      <c r="F16888" s="1017"/>
      <c r="G16888" s="1017"/>
      <c r="H16888" s="1017" t="s">
        <v>1010</v>
      </c>
      <c r="I16888" s="1017"/>
      <c r="J16888" s="1017"/>
      <c r="K16888" s="1018"/>
    </row>
    <row r="16889" spans="1:11" s="1011" customFormat="1" ht="15" x14ac:dyDescent="0.25">
      <c r="A16889" s="859">
        <f t="shared" si="398"/>
        <v>16888</v>
      </c>
      <c r="B16889" s="845" t="s">
        <v>2564</v>
      </c>
      <c r="C16889" s="1007">
        <f t="shared" si="399"/>
        <v>175</v>
      </c>
      <c r="D16889" s="1008"/>
      <c r="E16889" s="1009"/>
      <c r="F16889" s="1009"/>
      <c r="G16889" s="1009"/>
      <c r="H16889" s="1009" t="s">
        <v>1007</v>
      </c>
      <c r="I16889" s="1009"/>
      <c r="J16889" s="1009"/>
      <c r="K16889" s="1010"/>
    </row>
    <row r="16890" spans="1:11" s="1011" customFormat="1" ht="15" x14ac:dyDescent="0.25">
      <c r="A16890" s="859">
        <f t="shared" si="398"/>
        <v>16889</v>
      </c>
      <c r="B16890" s="845" t="s">
        <v>2564</v>
      </c>
      <c r="C16890" s="1007">
        <f t="shared" si="399"/>
        <v>175</v>
      </c>
      <c r="D16890" s="1012"/>
      <c r="I16890" s="1011" t="s">
        <v>2174</v>
      </c>
      <c r="K16890" s="1013"/>
    </row>
    <row r="16891" spans="1:11" s="1011" customFormat="1" ht="15" x14ac:dyDescent="0.25">
      <c r="A16891" s="859">
        <f t="shared" si="398"/>
        <v>16890</v>
      </c>
      <c r="B16891" s="845" t="s">
        <v>2564</v>
      </c>
      <c r="C16891" s="1007">
        <f t="shared" si="399"/>
        <v>175</v>
      </c>
      <c r="D16891" s="1014"/>
      <c r="I16891" s="1011" t="str">
        <f>CONCATENATE("&lt;valeur&gt;",VLOOKUP(C16891,'T16 Amort'!A:K,2,0),"&lt;/valeur&gt;")</f>
        <v>&lt;valeur&gt;&lt;/valeur&gt;</v>
      </c>
      <c r="K16891" s="1013"/>
    </row>
    <row r="16892" spans="1:11" s="1011" customFormat="1" ht="15" x14ac:dyDescent="0.25">
      <c r="A16892" s="859">
        <f t="shared" si="398"/>
        <v>16891</v>
      </c>
      <c r="B16892" s="845" t="s">
        <v>2564</v>
      </c>
      <c r="C16892" s="1007">
        <f t="shared" si="399"/>
        <v>175</v>
      </c>
      <c r="D16892" s="1014"/>
      <c r="I16892" s="1011" t="str">
        <f>CONCATENATE("&lt;numeroLigne&gt;",C16892,"&lt;/numeroLigne&gt;")</f>
        <v>&lt;numeroLigne&gt;175&lt;/numeroLigne&gt;</v>
      </c>
      <c r="K16892" s="1013"/>
    </row>
    <row r="16893" spans="1:11" s="1011" customFormat="1" ht="15" x14ac:dyDescent="0.25">
      <c r="A16893" s="859">
        <f t="shared" si="398"/>
        <v>16892</v>
      </c>
      <c r="B16893" s="845" t="s">
        <v>2564</v>
      </c>
      <c r="C16893" s="1007">
        <f t="shared" si="399"/>
        <v>175</v>
      </c>
      <c r="D16893" s="1012"/>
      <c r="H16893" s="1011" t="s">
        <v>1010</v>
      </c>
      <c r="K16893" s="1013"/>
    </row>
    <row r="16894" spans="1:11" s="1011" customFormat="1" ht="15" x14ac:dyDescent="0.25">
      <c r="A16894" s="859">
        <f t="shared" si="398"/>
        <v>16893</v>
      </c>
      <c r="B16894" s="845" t="s">
        <v>2564</v>
      </c>
      <c r="C16894" s="1007">
        <f t="shared" si="399"/>
        <v>175</v>
      </c>
      <c r="D16894" s="1015"/>
      <c r="H16894" s="1011" t="s">
        <v>1007</v>
      </c>
      <c r="K16894" s="1013"/>
    </row>
    <row r="16895" spans="1:11" s="1011" customFormat="1" ht="15" x14ac:dyDescent="0.25">
      <c r="A16895" s="859">
        <f t="shared" si="398"/>
        <v>16894</v>
      </c>
      <c r="B16895" s="845" t="s">
        <v>2564</v>
      </c>
      <c r="C16895" s="1007">
        <f t="shared" si="399"/>
        <v>175</v>
      </c>
      <c r="D16895" s="1012"/>
      <c r="I16895" s="1011" t="s">
        <v>2175</v>
      </c>
      <c r="K16895" s="1013"/>
    </row>
    <row r="16896" spans="1:11" s="1011" customFormat="1" ht="15" x14ac:dyDescent="0.25">
      <c r="A16896" s="859">
        <f t="shared" si="398"/>
        <v>16895</v>
      </c>
      <c r="B16896" s="845" t="s">
        <v>2564</v>
      </c>
      <c r="C16896" s="1007">
        <f t="shared" si="399"/>
        <v>175</v>
      </c>
      <c r="D16896" s="1012"/>
      <c r="I16896" s="1011" t="str">
        <f>CONCATENATE("&lt;valeur&gt;",VLOOKUP(C16896,'T16 Amort'!A:K,3,0),"&lt;/valeur&gt;")</f>
        <v>&lt;valeur&gt;&lt;/valeur&gt;</v>
      </c>
      <c r="K16896" s="1013"/>
    </row>
    <row r="16897" spans="1:11" s="1011" customFormat="1" ht="15" x14ac:dyDescent="0.25">
      <c r="A16897" s="859">
        <f t="shared" si="398"/>
        <v>16896</v>
      </c>
      <c r="B16897" s="845" t="s">
        <v>2564</v>
      </c>
      <c r="C16897" s="1007">
        <f t="shared" si="399"/>
        <v>175</v>
      </c>
      <c r="D16897" s="1014"/>
      <c r="I16897" s="1011" t="str">
        <f>CONCATENATE("&lt;numeroLigne&gt;",C16897,"&lt;/numeroLigne&gt;")</f>
        <v>&lt;numeroLigne&gt;175&lt;/numeroLigne&gt;</v>
      </c>
      <c r="K16897" s="1013"/>
    </row>
    <row r="16898" spans="1:11" s="1011" customFormat="1" ht="15" x14ac:dyDescent="0.25">
      <c r="A16898" s="859">
        <f t="shared" si="398"/>
        <v>16897</v>
      </c>
      <c r="B16898" s="845" t="s">
        <v>2564</v>
      </c>
      <c r="C16898" s="1007">
        <f t="shared" si="399"/>
        <v>175</v>
      </c>
      <c r="D16898" s="1014"/>
      <c r="H16898" s="1011" t="s">
        <v>1010</v>
      </c>
      <c r="K16898" s="1013"/>
    </row>
    <row r="16899" spans="1:11" s="1011" customFormat="1" ht="15" x14ac:dyDescent="0.25">
      <c r="A16899" s="859">
        <f t="shared" si="398"/>
        <v>16898</v>
      </c>
      <c r="B16899" s="845" t="s">
        <v>2564</v>
      </c>
      <c r="C16899" s="1007">
        <f t="shared" si="399"/>
        <v>175</v>
      </c>
      <c r="D16899" s="1012"/>
      <c r="H16899" s="1011" t="s">
        <v>1007</v>
      </c>
      <c r="K16899" s="1013"/>
    </row>
    <row r="16900" spans="1:11" s="1011" customFormat="1" ht="15" x14ac:dyDescent="0.25">
      <c r="A16900" s="859">
        <f t="shared" ref="A16900:A16963" si="400">+A16899+1</f>
        <v>16899</v>
      </c>
      <c r="B16900" s="845" t="s">
        <v>2564</v>
      </c>
      <c r="C16900" s="1007">
        <f t="shared" si="399"/>
        <v>175</v>
      </c>
      <c r="D16900" s="1015"/>
      <c r="I16900" s="1011" t="s">
        <v>2176</v>
      </c>
      <c r="K16900" s="1013"/>
    </row>
    <row r="16901" spans="1:11" s="1011" customFormat="1" ht="15" x14ac:dyDescent="0.25">
      <c r="A16901" s="859">
        <f t="shared" si="400"/>
        <v>16900</v>
      </c>
      <c r="B16901" s="845" t="s">
        <v>2564</v>
      </c>
      <c r="C16901" s="1007">
        <f t="shared" si="399"/>
        <v>175</v>
      </c>
      <c r="D16901" s="1012"/>
      <c r="I16901" s="1011" t="str">
        <f>CONCATENATE("&lt;valeur&gt;",VLOOKUP(C16901,'T16 Amort'!A:K,4,0),"&lt;/valeur&gt;")</f>
        <v>&lt;valeur&gt;&lt;/valeur&gt;</v>
      </c>
      <c r="K16901" s="1013"/>
    </row>
    <row r="16902" spans="1:11" s="1011" customFormat="1" ht="15" x14ac:dyDescent="0.25">
      <c r="A16902" s="859">
        <f t="shared" si="400"/>
        <v>16901</v>
      </c>
      <c r="B16902" s="845" t="s">
        <v>2564</v>
      </c>
      <c r="C16902" s="1007">
        <f t="shared" si="399"/>
        <v>175</v>
      </c>
      <c r="D16902" s="1012"/>
      <c r="I16902" s="1011" t="str">
        <f>CONCATENATE("&lt;numeroLigne&gt;",C16902,"&lt;/numeroLigne&gt;")</f>
        <v>&lt;numeroLigne&gt;175&lt;/numeroLigne&gt;</v>
      </c>
      <c r="K16902" s="1013"/>
    </row>
    <row r="16903" spans="1:11" s="1011" customFormat="1" ht="15" x14ac:dyDescent="0.25">
      <c r="A16903" s="859">
        <f t="shared" si="400"/>
        <v>16902</v>
      </c>
      <c r="B16903" s="845" t="s">
        <v>2564</v>
      </c>
      <c r="C16903" s="1007">
        <f t="shared" si="399"/>
        <v>175</v>
      </c>
      <c r="D16903" s="1014"/>
      <c r="H16903" s="1011" t="s">
        <v>1010</v>
      </c>
      <c r="K16903" s="1013"/>
    </row>
    <row r="16904" spans="1:11" s="1011" customFormat="1" ht="15" x14ac:dyDescent="0.25">
      <c r="A16904" s="859">
        <f t="shared" si="400"/>
        <v>16903</v>
      </c>
      <c r="B16904" s="845" t="s">
        <v>2564</v>
      </c>
      <c r="C16904" s="1007">
        <f t="shared" si="399"/>
        <v>175</v>
      </c>
      <c r="D16904" s="1014"/>
      <c r="H16904" s="1011" t="s">
        <v>1007</v>
      </c>
      <c r="K16904" s="1013"/>
    </row>
    <row r="16905" spans="1:11" s="1011" customFormat="1" ht="15" x14ac:dyDescent="0.25">
      <c r="A16905" s="859">
        <f t="shared" si="400"/>
        <v>16904</v>
      </c>
      <c r="B16905" s="845" t="s">
        <v>2564</v>
      </c>
      <c r="C16905" s="1007">
        <f t="shared" si="399"/>
        <v>175</v>
      </c>
      <c r="D16905" s="1012"/>
      <c r="I16905" s="1011" t="s">
        <v>2177</v>
      </c>
      <c r="K16905" s="1013"/>
    </row>
    <row r="16906" spans="1:11" s="1011" customFormat="1" ht="15" x14ac:dyDescent="0.25">
      <c r="A16906" s="859">
        <f t="shared" si="400"/>
        <v>16905</v>
      </c>
      <c r="B16906" s="845" t="s">
        <v>2564</v>
      </c>
      <c r="C16906" s="1007">
        <f t="shared" si="399"/>
        <v>175</v>
      </c>
      <c r="D16906" s="1015"/>
      <c r="I16906" s="1011" t="str">
        <f>CONCATENATE("&lt;valeur&gt;",VLOOKUP(C16906,'T16 Amort'!A:K,5,0),"&lt;/valeur&gt;")</f>
        <v>&lt;valeur&gt;&lt;/valeur&gt;</v>
      </c>
      <c r="K16906" s="1013"/>
    </row>
    <row r="16907" spans="1:11" s="1011" customFormat="1" ht="15" x14ac:dyDescent="0.25">
      <c r="A16907" s="859">
        <f t="shared" si="400"/>
        <v>16906</v>
      </c>
      <c r="B16907" s="845" t="s">
        <v>2564</v>
      </c>
      <c r="C16907" s="1007">
        <f t="shared" si="399"/>
        <v>175</v>
      </c>
      <c r="D16907" s="1012"/>
      <c r="I16907" s="1011" t="str">
        <f>CONCATENATE("&lt;numeroLigne&gt;",C16907,"&lt;/numeroLigne&gt;")</f>
        <v>&lt;numeroLigne&gt;175&lt;/numeroLigne&gt;</v>
      </c>
      <c r="K16907" s="1013"/>
    </row>
    <row r="16908" spans="1:11" s="1011" customFormat="1" ht="15" x14ac:dyDescent="0.25">
      <c r="A16908" s="859">
        <f t="shared" si="400"/>
        <v>16907</v>
      </c>
      <c r="B16908" s="845" t="s">
        <v>2564</v>
      </c>
      <c r="C16908" s="1007">
        <f t="shared" si="399"/>
        <v>175</v>
      </c>
      <c r="D16908" s="1012"/>
      <c r="H16908" s="1011" t="s">
        <v>1010</v>
      </c>
      <c r="K16908" s="1013"/>
    </row>
    <row r="16909" spans="1:11" s="1011" customFormat="1" ht="15" x14ac:dyDescent="0.25">
      <c r="A16909" s="859">
        <f t="shared" si="400"/>
        <v>16908</v>
      </c>
      <c r="B16909" s="845" t="s">
        <v>2564</v>
      </c>
      <c r="C16909" s="1007">
        <f t="shared" si="399"/>
        <v>175</v>
      </c>
      <c r="D16909" s="1014"/>
      <c r="H16909" s="1011" t="s">
        <v>1007</v>
      </c>
      <c r="K16909" s="1013"/>
    </row>
    <row r="16910" spans="1:11" s="1011" customFormat="1" ht="15" x14ac:dyDescent="0.25">
      <c r="A16910" s="859">
        <f t="shared" si="400"/>
        <v>16909</v>
      </c>
      <c r="B16910" s="845" t="s">
        <v>2564</v>
      </c>
      <c r="C16910" s="1007">
        <f t="shared" si="399"/>
        <v>175</v>
      </c>
      <c r="D16910" s="1014"/>
      <c r="I16910" s="1011" t="s">
        <v>2178</v>
      </c>
      <c r="K16910" s="1013"/>
    </row>
    <row r="16911" spans="1:11" s="1011" customFormat="1" ht="15" x14ac:dyDescent="0.25">
      <c r="A16911" s="859">
        <f t="shared" si="400"/>
        <v>16910</v>
      </c>
      <c r="B16911" s="845" t="s">
        <v>2564</v>
      </c>
      <c r="C16911" s="1007">
        <f t="shared" si="399"/>
        <v>175</v>
      </c>
      <c r="D16911" s="1012"/>
      <c r="I16911" s="1011" t="str">
        <f>CONCATENATE("&lt;valeur&gt;",VLOOKUP(C16911,'T16 Amort'!A:K,6,0),"&lt;/valeur&gt;")</f>
        <v>&lt;valeur&gt;&lt;/valeur&gt;</v>
      </c>
      <c r="K16911" s="1013"/>
    </row>
    <row r="16912" spans="1:11" s="1011" customFormat="1" ht="15" x14ac:dyDescent="0.25">
      <c r="A16912" s="859">
        <f t="shared" si="400"/>
        <v>16911</v>
      </c>
      <c r="B16912" s="845" t="s">
        <v>2564</v>
      </c>
      <c r="C16912" s="1007">
        <f t="shared" si="399"/>
        <v>175</v>
      </c>
      <c r="D16912" s="1015"/>
      <c r="I16912" s="1011" t="str">
        <f>CONCATENATE("&lt;numeroLigne&gt;",C16912,"&lt;/numeroLigne&gt;")</f>
        <v>&lt;numeroLigne&gt;175&lt;/numeroLigne&gt;</v>
      </c>
      <c r="K16912" s="1013"/>
    </row>
    <row r="16913" spans="1:11" s="1011" customFormat="1" ht="15" x14ac:dyDescent="0.25">
      <c r="A16913" s="859">
        <f t="shared" si="400"/>
        <v>16912</v>
      </c>
      <c r="B16913" s="845" t="s">
        <v>2564</v>
      </c>
      <c r="C16913" s="1007">
        <f t="shared" si="399"/>
        <v>175</v>
      </c>
      <c r="D16913" s="1012"/>
      <c r="H16913" s="1011" t="s">
        <v>1010</v>
      </c>
      <c r="K16913" s="1013"/>
    </row>
    <row r="16914" spans="1:11" s="1011" customFormat="1" ht="15" x14ac:dyDescent="0.25">
      <c r="A16914" s="859">
        <f t="shared" si="400"/>
        <v>16913</v>
      </c>
      <c r="B16914" s="845" t="s">
        <v>2564</v>
      </c>
      <c r="C16914" s="1007">
        <f t="shared" si="399"/>
        <v>175</v>
      </c>
      <c r="D16914" s="1012"/>
      <c r="H16914" s="1011" t="s">
        <v>1007</v>
      </c>
      <c r="K16914" s="1013"/>
    </row>
    <row r="16915" spans="1:11" s="1011" customFormat="1" ht="15" x14ac:dyDescent="0.25">
      <c r="A16915" s="859">
        <f t="shared" si="400"/>
        <v>16914</v>
      </c>
      <c r="B16915" s="845" t="s">
        <v>2564</v>
      </c>
      <c r="C16915" s="1007">
        <f t="shared" si="399"/>
        <v>175</v>
      </c>
      <c r="D16915" s="1014"/>
      <c r="I16915" s="1011" t="s">
        <v>2179</v>
      </c>
      <c r="K16915" s="1013"/>
    </row>
    <row r="16916" spans="1:11" s="1011" customFormat="1" ht="15" x14ac:dyDescent="0.25">
      <c r="A16916" s="859">
        <f t="shared" si="400"/>
        <v>16915</v>
      </c>
      <c r="B16916" s="845" t="s">
        <v>2564</v>
      </c>
      <c r="C16916" s="1007">
        <f t="shared" si="399"/>
        <v>175</v>
      </c>
      <c r="D16916" s="1014"/>
      <c r="I16916" s="1011" t="str">
        <f>CONCATENATE("&lt;valeur&gt;",VLOOKUP(C16916,'T16 Amort'!A:K,7,0),"&lt;/valeur&gt;")</f>
        <v>&lt;valeur&gt;&lt;/valeur&gt;</v>
      </c>
      <c r="K16916" s="1013"/>
    </row>
    <row r="16917" spans="1:11" s="1011" customFormat="1" ht="15" x14ac:dyDescent="0.25">
      <c r="A16917" s="859">
        <f t="shared" si="400"/>
        <v>16916</v>
      </c>
      <c r="B16917" s="845" t="s">
        <v>2564</v>
      </c>
      <c r="C16917" s="1007">
        <f t="shared" si="399"/>
        <v>175</v>
      </c>
      <c r="D16917" s="1012"/>
      <c r="I16917" s="1011" t="str">
        <f>CONCATENATE("&lt;numeroLigne&gt;",C16917,"&lt;/numeroLigne&gt;")</f>
        <v>&lt;numeroLigne&gt;175&lt;/numeroLigne&gt;</v>
      </c>
      <c r="K16917" s="1013"/>
    </row>
    <row r="16918" spans="1:11" s="1011" customFormat="1" ht="15" x14ac:dyDescent="0.25">
      <c r="A16918" s="859">
        <f t="shared" si="400"/>
        <v>16917</v>
      </c>
      <c r="B16918" s="845" t="s">
        <v>2564</v>
      </c>
      <c r="C16918" s="1007">
        <f t="shared" si="399"/>
        <v>175</v>
      </c>
      <c r="D16918" s="1015"/>
      <c r="H16918" s="1011" t="s">
        <v>1010</v>
      </c>
      <c r="K16918" s="1013"/>
    </row>
    <row r="16919" spans="1:11" s="1011" customFormat="1" ht="15" x14ac:dyDescent="0.25">
      <c r="A16919" s="859">
        <f t="shared" si="400"/>
        <v>16918</v>
      </c>
      <c r="B16919" s="845" t="s">
        <v>2564</v>
      </c>
      <c r="C16919" s="1007">
        <f t="shared" si="399"/>
        <v>175</v>
      </c>
      <c r="D16919" s="1012"/>
      <c r="H16919" s="1011" t="s">
        <v>1007</v>
      </c>
      <c r="K16919" s="1013"/>
    </row>
    <row r="16920" spans="1:11" s="1011" customFormat="1" ht="15" x14ac:dyDescent="0.25">
      <c r="A16920" s="859">
        <f t="shared" si="400"/>
        <v>16919</v>
      </c>
      <c r="B16920" s="845" t="s">
        <v>2564</v>
      </c>
      <c r="C16920" s="1007">
        <f t="shared" si="399"/>
        <v>175</v>
      </c>
      <c r="D16920" s="1012"/>
      <c r="I16920" s="1011" t="s">
        <v>2180</v>
      </c>
      <c r="K16920" s="1013"/>
    </row>
    <row r="16921" spans="1:11" s="1011" customFormat="1" ht="15" x14ac:dyDescent="0.25">
      <c r="A16921" s="859">
        <f t="shared" si="400"/>
        <v>16920</v>
      </c>
      <c r="B16921" s="845" t="s">
        <v>2564</v>
      </c>
      <c r="C16921" s="1007">
        <f t="shared" si="399"/>
        <v>175</v>
      </c>
      <c r="D16921" s="1014"/>
      <c r="I16921" s="1011" t="str">
        <f>CONCATENATE("&lt;valeur&gt;",VLOOKUP(C16921,'T16 Amort'!A:K,8,0),"&lt;/valeur&gt;")</f>
        <v>&lt;valeur&gt;&lt;/valeur&gt;</v>
      </c>
      <c r="K16921" s="1013"/>
    </row>
    <row r="16922" spans="1:11" s="1011" customFormat="1" ht="15" x14ac:dyDescent="0.25">
      <c r="A16922" s="859">
        <f t="shared" si="400"/>
        <v>16921</v>
      </c>
      <c r="B16922" s="845" t="s">
        <v>2564</v>
      </c>
      <c r="C16922" s="1007">
        <f t="shared" si="399"/>
        <v>175</v>
      </c>
      <c r="D16922" s="1014"/>
      <c r="I16922" s="1011" t="str">
        <f>CONCATENATE("&lt;numeroLigne&gt;",C16922,"&lt;/numeroLigne&gt;")</f>
        <v>&lt;numeroLigne&gt;175&lt;/numeroLigne&gt;</v>
      </c>
      <c r="K16922" s="1013"/>
    </row>
    <row r="16923" spans="1:11" s="1011" customFormat="1" ht="15" x14ac:dyDescent="0.25">
      <c r="A16923" s="859">
        <f t="shared" si="400"/>
        <v>16922</v>
      </c>
      <c r="B16923" s="845" t="s">
        <v>2564</v>
      </c>
      <c r="C16923" s="1007">
        <f t="shared" si="399"/>
        <v>175</v>
      </c>
      <c r="D16923" s="1012"/>
      <c r="H16923" s="1011" t="s">
        <v>1010</v>
      </c>
      <c r="K16923" s="1013"/>
    </row>
    <row r="16924" spans="1:11" s="1011" customFormat="1" ht="15" x14ac:dyDescent="0.25">
      <c r="A16924" s="859">
        <f t="shared" si="400"/>
        <v>16923</v>
      </c>
      <c r="B16924" s="845" t="s">
        <v>2564</v>
      </c>
      <c r="C16924" s="1007">
        <f t="shared" si="399"/>
        <v>175</v>
      </c>
      <c r="D16924" s="1015"/>
      <c r="H16924" s="1011" t="s">
        <v>1007</v>
      </c>
      <c r="K16924" s="1013"/>
    </row>
    <row r="16925" spans="1:11" s="1011" customFormat="1" ht="15" x14ac:dyDescent="0.25">
      <c r="A16925" s="859">
        <f t="shared" si="400"/>
        <v>16924</v>
      </c>
      <c r="B16925" s="845" t="s">
        <v>2564</v>
      </c>
      <c r="C16925" s="1007">
        <f t="shared" si="399"/>
        <v>175</v>
      </c>
      <c r="D16925" s="1012"/>
      <c r="I16925" s="1011" t="s">
        <v>2181</v>
      </c>
      <c r="K16925" s="1013"/>
    </row>
    <row r="16926" spans="1:11" s="1011" customFormat="1" ht="15" x14ac:dyDescent="0.25">
      <c r="A16926" s="859">
        <f t="shared" si="400"/>
        <v>16925</v>
      </c>
      <c r="B16926" s="845" t="s">
        <v>2564</v>
      </c>
      <c r="C16926" s="1007">
        <f t="shared" si="399"/>
        <v>175</v>
      </c>
      <c r="D16926" s="1012"/>
      <c r="I16926" s="1011" t="str">
        <f>CONCATENATE("&lt;valeur&gt;",VLOOKUP(C16926,'T16 Amort'!A:K,9,0),"&lt;/valeur&gt;")</f>
        <v>&lt;valeur&gt;&lt;/valeur&gt;</v>
      </c>
      <c r="K16926" s="1013"/>
    </row>
    <row r="16927" spans="1:11" s="1011" customFormat="1" ht="15" x14ac:dyDescent="0.25">
      <c r="A16927" s="859">
        <f t="shared" si="400"/>
        <v>16926</v>
      </c>
      <c r="B16927" s="845" t="s">
        <v>2564</v>
      </c>
      <c r="C16927" s="1007">
        <f t="shared" si="399"/>
        <v>175</v>
      </c>
      <c r="D16927" s="1014"/>
      <c r="I16927" s="1011" t="str">
        <f>CONCATENATE("&lt;numeroLigne&gt;",C16927,"&lt;/numeroLigne&gt;")</f>
        <v>&lt;numeroLigne&gt;175&lt;/numeroLigne&gt;</v>
      </c>
      <c r="K16927" s="1013"/>
    </row>
    <row r="16928" spans="1:11" s="1011" customFormat="1" ht="15" x14ac:dyDescent="0.25">
      <c r="A16928" s="859">
        <f t="shared" si="400"/>
        <v>16927</v>
      </c>
      <c r="B16928" s="845" t="s">
        <v>2564</v>
      </c>
      <c r="C16928" s="1007">
        <f t="shared" si="399"/>
        <v>175</v>
      </c>
      <c r="D16928" s="1014"/>
      <c r="H16928" s="1011" t="s">
        <v>1010</v>
      </c>
      <c r="K16928" s="1013"/>
    </row>
    <row r="16929" spans="1:11" s="1011" customFormat="1" ht="15" x14ac:dyDescent="0.25">
      <c r="A16929" s="859">
        <f t="shared" si="400"/>
        <v>16928</v>
      </c>
      <c r="B16929" s="845" t="s">
        <v>2564</v>
      </c>
      <c r="C16929" s="1007">
        <f t="shared" si="399"/>
        <v>175</v>
      </c>
      <c r="D16929" s="1012"/>
      <c r="H16929" s="1011" t="s">
        <v>1007</v>
      </c>
      <c r="K16929" s="1013"/>
    </row>
    <row r="16930" spans="1:11" s="1011" customFormat="1" ht="15" x14ac:dyDescent="0.25">
      <c r="A16930" s="859">
        <f t="shared" si="400"/>
        <v>16929</v>
      </c>
      <c r="B16930" s="845" t="s">
        <v>2564</v>
      </c>
      <c r="C16930" s="1007">
        <f t="shared" si="399"/>
        <v>175</v>
      </c>
      <c r="D16930" s="1015"/>
      <c r="I16930" s="1011" t="s">
        <v>2182</v>
      </c>
      <c r="K16930" s="1013"/>
    </row>
    <row r="16931" spans="1:11" s="1011" customFormat="1" ht="15" x14ac:dyDescent="0.25">
      <c r="A16931" s="859">
        <f t="shared" si="400"/>
        <v>16930</v>
      </c>
      <c r="B16931" s="845" t="s">
        <v>2564</v>
      </c>
      <c r="C16931" s="1007">
        <f t="shared" si="399"/>
        <v>175</v>
      </c>
      <c r="D16931" s="1012"/>
      <c r="I16931" s="1011" t="str">
        <f>CONCATENATE("&lt;valeur&gt;",VLOOKUP(C16931,'T16 Amort'!A:K,10,0),"&lt;/valeur&gt;")</f>
        <v>&lt;valeur&gt;&lt;/valeur&gt;</v>
      </c>
      <c r="K16931" s="1013"/>
    </row>
    <row r="16932" spans="1:11" s="1011" customFormat="1" ht="15" x14ac:dyDescent="0.25">
      <c r="A16932" s="859">
        <f t="shared" si="400"/>
        <v>16931</v>
      </c>
      <c r="B16932" s="845" t="s">
        <v>2564</v>
      </c>
      <c r="C16932" s="1007">
        <f t="shared" si="399"/>
        <v>175</v>
      </c>
      <c r="D16932" s="1012"/>
      <c r="I16932" s="1011" t="str">
        <f>CONCATENATE("&lt;numeroLigne&gt;",C16932,"&lt;/numeroLigne&gt;")</f>
        <v>&lt;numeroLigne&gt;175&lt;/numeroLigne&gt;</v>
      </c>
      <c r="K16932" s="1013"/>
    </row>
    <row r="16933" spans="1:11" s="1011" customFormat="1" ht="15" x14ac:dyDescent="0.25">
      <c r="A16933" s="859">
        <f t="shared" si="400"/>
        <v>16932</v>
      </c>
      <c r="B16933" s="845" t="s">
        <v>2564</v>
      </c>
      <c r="C16933" s="1007">
        <f t="shared" si="399"/>
        <v>175</v>
      </c>
      <c r="D16933" s="1014"/>
      <c r="H16933" s="1011" t="s">
        <v>1010</v>
      </c>
      <c r="K16933" s="1013"/>
    </row>
    <row r="16934" spans="1:11" s="1011" customFormat="1" ht="15" x14ac:dyDescent="0.25">
      <c r="A16934" s="859">
        <f t="shared" si="400"/>
        <v>16933</v>
      </c>
      <c r="B16934" s="845" t="s">
        <v>2564</v>
      </c>
      <c r="C16934" s="1007">
        <f t="shared" si="399"/>
        <v>175</v>
      </c>
      <c r="D16934" s="1014"/>
      <c r="H16934" s="1011" t="s">
        <v>1007</v>
      </c>
      <c r="K16934" s="1013"/>
    </row>
    <row r="16935" spans="1:11" s="1011" customFormat="1" ht="15" x14ac:dyDescent="0.25">
      <c r="A16935" s="859">
        <f t="shared" si="400"/>
        <v>16934</v>
      </c>
      <c r="B16935" s="845" t="s">
        <v>2564</v>
      </c>
      <c r="C16935" s="1007">
        <f t="shared" si="399"/>
        <v>175</v>
      </c>
      <c r="D16935" s="1012"/>
      <c r="I16935" s="1011" t="s">
        <v>2183</v>
      </c>
      <c r="K16935" s="1013"/>
    </row>
    <row r="16936" spans="1:11" s="1011" customFormat="1" ht="15" x14ac:dyDescent="0.25">
      <c r="A16936" s="859">
        <f t="shared" si="400"/>
        <v>16935</v>
      </c>
      <c r="B16936" s="845" t="s">
        <v>2564</v>
      </c>
      <c r="C16936" s="1007">
        <f t="shared" si="399"/>
        <v>175</v>
      </c>
      <c r="D16936" s="1015"/>
      <c r="I16936" s="1011" t="str">
        <f>CONCATENATE("&lt;valeur&gt;",VLOOKUP(C16936,'T16 Amort'!A:K,11,0),"&lt;/valeur&gt;")</f>
        <v>&lt;valeur&gt;&lt;/valeur&gt;</v>
      </c>
      <c r="K16936" s="1013"/>
    </row>
    <row r="16937" spans="1:11" s="1011" customFormat="1" ht="15" x14ac:dyDescent="0.25">
      <c r="A16937" s="859">
        <f t="shared" si="400"/>
        <v>16936</v>
      </c>
      <c r="B16937" s="845" t="s">
        <v>2564</v>
      </c>
      <c r="C16937" s="1007">
        <f t="shared" si="399"/>
        <v>175</v>
      </c>
      <c r="D16937" s="1012"/>
      <c r="I16937" s="1011" t="str">
        <f>CONCATENATE("&lt;numeroLigne&gt;",C16937,"&lt;/numeroLigne&gt;")</f>
        <v>&lt;numeroLigne&gt;175&lt;/numeroLigne&gt;</v>
      </c>
      <c r="K16937" s="1013"/>
    </row>
    <row r="16938" spans="1:11" s="1011" customFormat="1" ht="15" x14ac:dyDescent="0.25">
      <c r="A16938" s="859">
        <f t="shared" si="400"/>
        <v>16937</v>
      </c>
      <c r="B16938" s="845" t="s">
        <v>2564</v>
      </c>
      <c r="C16938" s="1007">
        <f t="shared" si="399"/>
        <v>175</v>
      </c>
      <c r="D16938" s="1016"/>
      <c r="E16938" s="1017"/>
      <c r="F16938" s="1017"/>
      <c r="G16938" s="1017"/>
      <c r="H16938" s="1017" t="s">
        <v>1010</v>
      </c>
      <c r="I16938" s="1017"/>
      <c r="J16938" s="1017"/>
      <c r="K16938" s="1018"/>
    </row>
    <row r="16939" spans="1:11" s="1011" customFormat="1" ht="15" x14ac:dyDescent="0.25">
      <c r="A16939" s="859">
        <f t="shared" si="400"/>
        <v>16938</v>
      </c>
      <c r="B16939" s="845" t="s">
        <v>2564</v>
      </c>
      <c r="C16939" s="1007">
        <f t="shared" si="399"/>
        <v>176</v>
      </c>
      <c r="D16939" s="1008"/>
      <c r="E16939" s="1009"/>
      <c r="F16939" s="1009"/>
      <c r="G16939" s="1009"/>
      <c r="H16939" s="1009" t="s">
        <v>1007</v>
      </c>
      <c r="I16939" s="1009"/>
      <c r="J16939" s="1009"/>
      <c r="K16939" s="1010"/>
    </row>
    <row r="16940" spans="1:11" s="1011" customFormat="1" ht="15" x14ac:dyDescent="0.25">
      <c r="A16940" s="859">
        <f t="shared" si="400"/>
        <v>16939</v>
      </c>
      <c r="B16940" s="845" t="s">
        <v>2564</v>
      </c>
      <c r="C16940" s="1007">
        <f t="shared" si="399"/>
        <v>176</v>
      </c>
      <c r="D16940" s="1012"/>
      <c r="I16940" s="1011" t="s">
        <v>2174</v>
      </c>
      <c r="K16940" s="1013"/>
    </row>
    <row r="16941" spans="1:11" s="1011" customFormat="1" ht="15" x14ac:dyDescent="0.25">
      <c r="A16941" s="859">
        <f t="shared" si="400"/>
        <v>16940</v>
      </c>
      <c r="B16941" s="845" t="s">
        <v>2564</v>
      </c>
      <c r="C16941" s="1007">
        <f t="shared" si="399"/>
        <v>176</v>
      </c>
      <c r="D16941" s="1014"/>
      <c r="I16941" s="1011" t="str">
        <f>CONCATENATE("&lt;valeur&gt;",VLOOKUP(C16941,'T16 Amort'!A:K,2,0),"&lt;/valeur&gt;")</f>
        <v>&lt;valeur&gt;&lt;/valeur&gt;</v>
      </c>
      <c r="K16941" s="1013"/>
    </row>
    <row r="16942" spans="1:11" s="1011" customFormat="1" ht="15" x14ac:dyDescent="0.25">
      <c r="A16942" s="859">
        <f t="shared" si="400"/>
        <v>16941</v>
      </c>
      <c r="B16942" s="845" t="s">
        <v>2564</v>
      </c>
      <c r="C16942" s="1007">
        <f t="shared" si="399"/>
        <v>176</v>
      </c>
      <c r="D16942" s="1014"/>
      <c r="I16942" s="1011" t="str">
        <f>CONCATENATE("&lt;numeroLigne&gt;",C16942,"&lt;/numeroLigne&gt;")</f>
        <v>&lt;numeroLigne&gt;176&lt;/numeroLigne&gt;</v>
      </c>
      <c r="K16942" s="1013"/>
    </row>
    <row r="16943" spans="1:11" s="1011" customFormat="1" ht="15" x14ac:dyDescent="0.25">
      <c r="A16943" s="859">
        <f t="shared" si="400"/>
        <v>16942</v>
      </c>
      <c r="B16943" s="845" t="s">
        <v>2564</v>
      </c>
      <c r="C16943" s="1007">
        <f t="shared" ref="C16943:C17006" si="401">C16893+1</f>
        <v>176</v>
      </c>
      <c r="D16943" s="1012"/>
      <c r="H16943" s="1011" t="s">
        <v>1010</v>
      </c>
      <c r="K16943" s="1013"/>
    </row>
    <row r="16944" spans="1:11" s="1011" customFormat="1" ht="15" x14ac:dyDescent="0.25">
      <c r="A16944" s="859">
        <f t="shared" si="400"/>
        <v>16943</v>
      </c>
      <c r="B16944" s="845" t="s">
        <v>2564</v>
      </c>
      <c r="C16944" s="1007">
        <f t="shared" si="401"/>
        <v>176</v>
      </c>
      <c r="D16944" s="1015"/>
      <c r="H16944" s="1011" t="s">
        <v>1007</v>
      </c>
      <c r="K16944" s="1013"/>
    </row>
    <row r="16945" spans="1:11" s="1011" customFormat="1" ht="15" x14ac:dyDescent="0.25">
      <c r="A16945" s="859">
        <f t="shared" si="400"/>
        <v>16944</v>
      </c>
      <c r="B16945" s="845" t="s">
        <v>2564</v>
      </c>
      <c r="C16945" s="1007">
        <f t="shared" si="401"/>
        <v>176</v>
      </c>
      <c r="D16945" s="1012"/>
      <c r="I16945" s="1011" t="s">
        <v>2175</v>
      </c>
      <c r="K16945" s="1013"/>
    </row>
    <row r="16946" spans="1:11" s="1011" customFormat="1" ht="15" x14ac:dyDescent="0.25">
      <c r="A16946" s="859">
        <f t="shared" si="400"/>
        <v>16945</v>
      </c>
      <c r="B16946" s="845" t="s">
        <v>2564</v>
      </c>
      <c r="C16946" s="1007">
        <f t="shared" si="401"/>
        <v>176</v>
      </c>
      <c r="D16946" s="1012"/>
      <c r="I16946" s="1011" t="str">
        <f>CONCATENATE("&lt;valeur&gt;",VLOOKUP(C16946,'T16 Amort'!A:K,3,0),"&lt;/valeur&gt;")</f>
        <v>&lt;valeur&gt;&lt;/valeur&gt;</v>
      </c>
      <c r="K16946" s="1013"/>
    </row>
    <row r="16947" spans="1:11" s="1011" customFormat="1" ht="15" x14ac:dyDescent="0.25">
      <c r="A16947" s="859">
        <f t="shared" si="400"/>
        <v>16946</v>
      </c>
      <c r="B16947" s="845" t="s">
        <v>2564</v>
      </c>
      <c r="C16947" s="1007">
        <f t="shared" si="401"/>
        <v>176</v>
      </c>
      <c r="D16947" s="1014"/>
      <c r="I16947" s="1011" t="str">
        <f>CONCATENATE("&lt;numeroLigne&gt;",C16947,"&lt;/numeroLigne&gt;")</f>
        <v>&lt;numeroLigne&gt;176&lt;/numeroLigne&gt;</v>
      </c>
      <c r="K16947" s="1013"/>
    </row>
    <row r="16948" spans="1:11" s="1011" customFormat="1" ht="15" x14ac:dyDescent="0.25">
      <c r="A16948" s="859">
        <f t="shared" si="400"/>
        <v>16947</v>
      </c>
      <c r="B16948" s="845" t="s">
        <v>2564</v>
      </c>
      <c r="C16948" s="1007">
        <f t="shared" si="401"/>
        <v>176</v>
      </c>
      <c r="D16948" s="1014"/>
      <c r="H16948" s="1011" t="s">
        <v>1010</v>
      </c>
      <c r="K16948" s="1013"/>
    </row>
    <row r="16949" spans="1:11" s="1011" customFormat="1" ht="15" x14ac:dyDescent="0.25">
      <c r="A16949" s="859">
        <f t="shared" si="400"/>
        <v>16948</v>
      </c>
      <c r="B16949" s="845" t="s">
        <v>2564</v>
      </c>
      <c r="C16949" s="1007">
        <f t="shared" si="401"/>
        <v>176</v>
      </c>
      <c r="D16949" s="1012"/>
      <c r="H16949" s="1011" t="s">
        <v>1007</v>
      </c>
      <c r="K16949" s="1013"/>
    </row>
    <row r="16950" spans="1:11" s="1011" customFormat="1" ht="15" x14ac:dyDescent="0.25">
      <c r="A16950" s="859">
        <f t="shared" si="400"/>
        <v>16949</v>
      </c>
      <c r="B16950" s="845" t="s">
        <v>2564</v>
      </c>
      <c r="C16950" s="1007">
        <f t="shared" si="401"/>
        <v>176</v>
      </c>
      <c r="D16950" s="1015"/>
      <c r="I16950" s="1011" t="s">
        <v>2176</v>
      </c>
      <c r="K16950" s="1013"/>
    </row>
    <row r="16951" spans="1:11" s="1011" customFormat="1" ht="15" x14ac:dyDescent="0.25">
      <c r="A16951" s="859">
        <f t="shared" si="400"/>
        <v>16950</v>
      </c>
      <c r="B16951" s="845" t="s">
        <v>2564</v>
      </c>
      <c r="C16951" s="1007">
        <f t="shared" si="401"/>
        <v>176</v>
      </c>
      <c r="D16951" s="1012"/>
      <c r="I16951" s="1011" t="str">
        <f>CONCATENATE("&lt;valeur&gt;",VLOOKUP(C16951,'T16 Amort'!A:K,4,0),"&lt;/valeur&gt;")</f>
        <v>&lt;valeur&gt;&lt;/valeur&gt;</v>
      </c>
      <c r="K16951" s="1013"/>
    </row>
    <row r="16952" spans="1:11" s="1011" customFormat="1" ht="15" x14ac:dyDescent="0.25">
      <c r="A16952" s="859">
        <f t="shared" si="400"/>
        <v>16951</v>
      </c>
      <c r="B16952" s="845" t="s">
        <v>2564</v>
      </c>
      <c r="C16952" s="1007">
        <f t="shared" si="401"/>
        <v>176</v>
      </c>
      <c r="D16952" s="1012"/>
      <c r="I16952" s="1011" t="str">
        <f>CONCATENATE("&lt;numeroLigne&gt;",C16952,"&lt;/numeroLigne&gt;")</f>
        <v>&lt;numeroLigne&gt;176&lt;/numeroLigne&gt;</v>
      </c>
      <c r="K16952" s="1013"/>
    </row>
    <row r="16953" spans="1:11" s="1011" customFormat="1" ht="15" x14ac:dyDescent="0.25">
      <c r="A16953" s="859">
        <f t="shared" si="400"/>
        <v>16952</v>
      </c>
      <c r="B16953" s="845" t="s">
        <v>2564</v>
      </c>
      <c r="C16953" s="1007">
        <f t="shared" si="401"/>
        <v>176</v>
      </c>
      <c r="D16953" s="1014"/>
      <c r="H16953" s="1011" t="s">
        <v>1010</v>
      </c>
      <c r="K16953" s="1013"/>
    </row>
    <row r="16954" spans="1:11" s="1011" customFormat="1" ht="15" x14ac:dyDescent="0.25">
      <c r="A16954" s="859">
        <f t="shared" si="400"/>
        <v>16953</v>
      </c>
      <c r="B16954" s="845" t="s">
        <v>2564</v>
      </c>
      <c r="C16954" s="1007">
        <f t="shared" si="401"/>
        <v>176</v>
      </c>
      <c r="D16954" s="1014"/>
      <c r="H16954" s="1011" t="s">
        <v>1007</v>
      </c>
      <c r="K16954" s="1013"/>
    </row>
    <row r="16955" spans="1:11" s="1011" customFormat="1" ht="15" x14ac:dyDescent="0.25">
      <c r="A16955" s="859">
        <f t="shared" si="400"/>
        <v>16954</v>
      </c>
      <c r="B16955" s="845" t="s">
        <v>2564</v>
      </c>
      <c r="C16955" s="1007">
        <f t="shared" si="401"/>
        <v>176</v>
      </c>
      <c r="D16955" s="1012"/>
      <c r="I16955" s="1011" t="s">
        <v>2177</v>
      </c>
      <c r="K16955" s="1013"/>
    </row>
    <row r="16956" spans="1:11" s="1011" customFormat="1" ht="15" x14ac:dyDescent="0.25">
      <c r="A16956" s="859">
        <f t="shared" si="400"/>
        <v>16955</v>
      </c>
      <c r="B16956" s="845" t="s">
        <v>2564</v>
      </c>
      <c r="C16956" s="1007">
        <f t="shared" si="401"/>
        <v>176</v>
      </c>
      <c r="D16956" s="1015"/>
      <c r="I16956" s="1011" t="str">
        <f>CONCATENATE("&lt;valeur&gt;",VLOOKUP(C16956,'T16 Amort'!A:K,5,0),"&lt;/valeur&gt;")</f>
        <v>&lt;valeur&gt;&lt;/valeur&gt;</v>
      </c>
      <c r="K16956" s="1013"/>
    </row>
    <row r="16957" spans="1:11" s="1011" customFormat="1" ht="15" x14ac:dyDescent="0.25">
      <c r="A16957" s="859">
        <f t="shared" si="400"/>
        <v>16956</v>
      </c>
      <c r="B16957" s="845" t="s">
        <v>2564</v>
      </c>
      <c r="C16957" s="1007">
        <f t="shared" si="401"/>
        <v>176</v>
      </c>
      <c r="D16957" s="1012"/>
      <c r="I16957" s="1011" t="str">
        <f>CONCATENATE("&lt;numeroLigne&gt;",C16957,"&lt;/numeroLigne&gt;")</f>
        <v>&lt;numeroLigne&gt;176&lt;/numeroLigne&gt;</v>
      </c>
      <c r="K16957" s="1013"/>
    </row>
    <row r="16958" spans="1:11" s="1011" customFormat="1" ht="15" x14ac:dyDescent="0.25">
      <c r="A16958" s="859">
        <f t="shared" si="400"/>
        <v>16957</v>
      </c>
      <c r="B16958" s="845" t="s">
        <v>2564</v>
      </c>
      <c r="C16958" s="1007">
        <f t="shared" si="401"/>
        <v>176</v>
      </c>
      <c r="D16958" s="1012"/>
      <c r="H16958" s="1011" t="s">
        <v>1010</v>
      </c>
      <c r="K16958" s="1013"/>
    </row>
    <row r="16959" spans="1:11" s="1011" customFormat="1" ht="15" x14ac:dyDescent="0.25">
      <c r="A16959" s="859">
        <f t="shared" si="400"/>
        <v>16958</v>
      </c>
      <c r="B16959" s="845" t="s">
        <v>2564</v>
      </c>
      <c r="C16959" s="1007">
        <f t="shared" si="401"/>
        <v>176</v>
      </c>
      <c r="D16959" s="1014"/>
      <c r="H16959" s="1011" t="s">
        <v>1007</v>
      </c>
      <c r="K16959" s="1013"/>
    </row>
    <row r="16960" spans="1:11" s="1011" customFormat="1" ht="15" x14ac:dyDescent="0.25">
      <c r="A16960" s="859">
        <f t="shared" si="400"/>
        <v>16959</v>
      </c>
      <c r="B16960" s="845" t="s">
        <v>2564</v>
      </c>
      <c r="C16960" s="1007">
        <f t="shared" si="401"/>
        <v>176</v>
      </c>
      <c r="D16960" s="1014"/>
      <c r="I16960" s="1011" t="s">
        <v>2178</v>
      </c>
      <c r="K16960" s="1013"/>
    </row>
    <row r="16961" spans="1:11" s="1011" customFormat="1" ht="15" x14ac:dyDescent="0.25">
      <c r="A16961" s="859">
        <f t="shared" si="400"/>
        <v>16960</v>
      </c>
      <c r="B16961" s="845" t="s">
        <v>2564</v>
      </c>
      <c r="C16961" s="1007">
        <f t="shared" si="401"/>
        <v>176</v>
      </c>
      <c r="D16961" s="1012"/>
      <c r="I16961" s="1011" t="str">
        <f>CONCATENATE("&lt;valeur&gt;",VLOOKUP(C16961,'T16 Amort'!A:K,6,0),"&lt;/valeur&gt;")</f>
        <v>&lt;valeur&gt;&lt;/valeur&gt;</v>
      </c>
      <c r="K16961" s="1013"/>
    </row>
    <row r="16962" spans="1:11" s="1011" customFormat="1" ht="15" x14ac:dyDescent="0.25">
      <c r="A16962" s="859">
        <f t="shared" si="400"/>
        <v>16961</v>
      </c>
      <c r="B16962" s="845" t="s">
        <v>2564</v>
      </c>
      <c r="C16962" s="1007">
        <f t="shared" si="401"/>
        <v>176</v>
      </c>
      <c r="D16962" s="1015"/>
      <c r="I16962" s="1011" t="str">
        <f>CONCATENATE("&lt;numeroLigne&gt;",C16962,"&lt;/numeroLigne&gt;")</f>
        <v>&lt;numeroLigne&gt;176&lt;/numeroLigne&gt;</v>
      </c>
      <c r="K16962" s="1013"/>
    </row>
    <row r="16963" spans="1:11" s="1011" customFormat="1" ht="15" x14ac:dyDescent="0.25">
      <c r="A16963" s="859">
        <f t="shared" si="400"/>
        <v>16962</v>
      </c>
      <c r="B16963" s="845" t="s">
        <v>2564</v>
      </c>
      <c r="C16963" s="1007">
        <f t="shared" si="401"/>
        <v>176</v>
      </c>
      <c r="D16963" s="1012"/>
      <c r="H16963" s="1011" t="s">
        <v>1010</v>
      </c>
      <c r="K16963" s="1013"/>
    </row>
    <row r="16964" spans="1:11" s="1011" customFormat="1" ht="15" x14ac:dyDescent="0.25">
      <c r="A16964" s="859">
        <f t="shared" ref="A16964:A17027" si="402">+A16963+1</f>
        <v>16963</v>
      </c>
      <c r="B16964" s="845" t="s">
        <v>2564</v>
      </c>
      <c r="C16964" s="1007">
        <f t="shared" si="401"/>
        <v>176</v>
      </c>
      <c r="D16964" s="1012"/>
      <c r="H16964" s="1011" t="s">
        <v>1007</v>
      </c>
      <c r="K16964" s="1013"/>
    </row>
    <row r="16965" spans="1:11" s="1011" customFormat="1" ht="15" x14ac:dyDescent="0.25">
      <c r="A16965" s="859">
        <f t="shared" si="402"/>
        <v>16964</v>
      </c>
      <c r="B16965" s="845" t="s">
        <v>2564</v>
      </c>
      <c r="C16965" s="1007">
        <f t="shared" si="401"/>
        <v>176</v>
      </c>
      <c r="D16965" s="1014"/>
      <c r="I16965" s="1011" t="s">
        <v>2179</v>
      </c>
      <c r="K16965" s="1013"/>
    </row>
    <row r="16966" spans="1:11" s="1011" customFormat="1" ht="15" x14ac:dyDescent="0.25">
      <c r="A16966" s="859">
        <f t="shared" si="402"/>
        <v>16965</v>
      </c>
      <c r="B16966" s="845" t="s">
        <v>2564</v>
      </c>
      <c r="C16966" s="1007">
        <f t="shared" si="401"/>
        <v>176</v>
      </c>
      <c r="D16966" s="1014"/>
      <c r="I16966" s="1011" t="str">
        <f>CONCATENATE("&lt;valeur&gt;",VLOOKUP(C16966,'T16 Amort'!A:K,7,0),"&lt;/valeur&gt;")</f>
        <v>&lt;valeur&gt;&lt;/valeur&gt;</v>
      </c>
      <c r="K16966" s="1013"/>
    </row>
    <row r="16967" spans="1:11" s="1011" customFormat="1" ht="15" x14ac:dyDescent="0.25">
      <c r="A16967" s="859">
        <f t="shared" si="402"/>
        <v>16966</v>
      </c>
      <c r="B16967" s="845" t="s">
        <v>2564</v>
      </c>
      <c r="C16967" s="1007">
        <f t="shared" si="401"/>
        <v>176</v>
      </c>
      <c r="D16967" s="1012"/>
      <c r="I16967" s="1011" t="str">
        <f>CONCATENATE("&lt;numeroLigne&gt;",C16967,"&lt;/numeroLigne&gt;")</f>
        <v>&lt;numeroLigne&gt;176&lt;/numeroLigne&gt;</v>
      </c>
      <c r="K16967" s="1013"/>
    </row>
    <row r="16968" spans="1:11" s="1011" customFormat="1" ht="15" x14ac:dyDescent="0.25">
      <c r="A16968" s="859">
        <f t="shared" si="402"/>
        <v>16967</v>
      </c>
      <c r="B16968" s="845" t="s">
        <v>2564</v>
      </c>
      <c r="C16968" s="1007">
        <f t="shared" si="401"/>
        <v>176</v>
      </c>
      <c r="D16968" s="1015"/>
      <c r="H16968" s="1011" t="s">
        <v>1010</v>
      </c>
      <c r="K16968" s="1013"/>
    </row>
    <row r="16969" spans="1:11" s="1011" customFormat="1" ht="15" x14ac:dyDescent="0.25">
      <c r="A16969" s="859">
        <f t="shared" si="402"/>
        <v>16968</v>
      </c>
      <c r="B16969" s="845" t="s">
        <v>2564</v>
      </c>
      <c r="C16969" s="1007">
        <f t="shared" si="401"/>
        <v>176</v>
      </c>
      <c r="D16969" s="1012"/>
      <c r="H16969" s="1011" t="s">
        <v>1007</v>
      </c>
      <c r="K16969" s="1013"/>
    </row>
    <row r="16970" spans="1:11" s="1011" customFormat="1" ht="15" x14ac:dyDescent="0.25">
      <c r="A16970" s="859">
        <f t="shared" si="402"/>
        <v>16969</v>
      </c>
      <c r="B16970" s="845" t="s">
        <v>2564</v>
      </c>
      <c r="C16970" s="1007">
        <f t="shared" si="401"/>
        <v>176</v>
      </c>
      <c r="D16970" s="1012"/>
      <c r="I16970" s="1011" t="s">
        <v>2180</v>
      </c>
      <c r="K16970" s="1013"/>
    </row>
    <row r="16971" spans="1:11" s="1011" customFormat="1" ht="15" x14ac:dyDescent="0.25">
      <c r="A16971" s="859">
        <f t="shared" si="402"/>
        <v>16970</v>
      </c>
      <c r="B16971" s="845" t="s">
        <v>2564</v>
      </c>
      <c r="C16971" s="1007">
        <f t="shared" si="401"/>
        <v>176</v>
      </c>
      <c r="D16971" s="1014"/>
      <c r="I16971" s="1011" t="str">
        <f>CONCATENATE("&lt;valeur&gt;",VLOOKUP(C16971,'T16 Amort'!A:K,8,0),"&lt;/valeur&gt;")</f>
        <v>&lt;valeur&gt;&lt;/valeur&gt;</v>
      </c>
      <c r="K16971" s="1013"/>
    </row>
    <row r="16972" spans="1:11" s="1011" customFormat="1" ht="15" x14ac:dyDescent="0.25">
      <c r="A16972" s="859">
        <f t="shared" si="402"/>
        <v>16971</v>
      </c>
      <c r="B16972" s="845" t="s">
        <v>2564</v>
      </c>
      <c r="C16972" s="1007">
        <f t="shared" si="401"/>
        <v>176</v>
      </c>
      <c r="D16972" s="1014"/>
      <c r="I16972" s="1011" t="str">
        <f>CONCATENATE("&lt;numeroLigne&gt;",C16972,"&lt;/numeroLigne&gt;")</f>
        <v>&lt;numeroLigne&gt;176&lt;/numeroLigne&gt;</v>
      </c>
      <c r="K16972" s="1013"/>
    </row>
    <row r="16973" spans="1:11" s="1011" customFormat="1" ht="15" x14ac:dyDescent="0.25">
      <c r="A16973" s="859">
        <f t="shared" si="402"/>
        <v>16972</v>
      </c>
      <c r="B16973" s="845" t="s">
        <v>2564</v>
      </c>
      <c r="C16973" s="1007">
        <f t="shared" si="401"/>
        <v>176</v>
      </c>
      <c r="D16973" s="1012"/>
      <c r="H16973" s="1011" t="s">
        <v>1010</v>
      </c>
      <c r="K16973" s="1013"/>
    </row>
    <row r="16974" spans="1:11" s="1011" customFormat="1" ht="15" x14ac:dyDescent="0.25">
      <c r="A16974" s="859">
        <f t="shared" si="402"/>
        <v>16973</v>
      </c>
      <c r="B16974" s="845" t="s">
        <v>2564</v>
      </c>
      <c r="C16974" s="1007">
        <f t="shared" si="401"/>
        <v>176</v>
      </c>
      <c r="D16974" s="1015"/>
      <c r="H16974" s="1011" t="s">
        <v>1007</v>
      </c>
      <c r="K16974" s="1013"/>
    </row>
    <row r="16975" spans="1:11" s="1011" customFormat="1" ht="15" x14ac:dyDescent="0.25">
      <c r="A16975" s="859">
        <f t="shared" si="402"/>
        <v>16974</v>
      </c>
      <c r="B16975" s="845" t="s">
        <v>2564</v>
      </c>
      <c r="C16975" s="1007">
        <f t="shared" si="401"/>
        <v>176</v>
      </c>
      <c r="D16975" s="1012"/>
      <c r="I16975" s="1011" t="s">
        <v>2181</v>
      </c>
      <c r="K16975" s="1013"/>
    </row>
    <row r="16976" spans="1:11" s="1011" customFormat="1" ht="15" x14ac:dyDescent="0.25">
      <c r="A16976" s="859">
        <f t="shared" si="402"/>
        <v>16975</v>
      </c>
      <c r="B16976" s="845" t="s">
        <v>2564</v>
      </c>
      <c r="C16976" s="1007">
        <f t="shared" si="401"/>
        <v>176</v>
      </c>
      <c r="D16976" s="1012"/>
      <c r="I16976" s="1011" t="str">
        <f>CONCATENATE("&lt;valeur&gt;",VLOOKUP(C16976,'T16 Amort'!A:K,9,0),"&lt;/valeur&gt;")</f>
        <v>&lt;valeur&gt;&lt;/valeur&gt;</v>
      </c>
      <c r="K16976" s="1013"/>
    </row>
    <row r="16977" spans="1:11" s="1011" customFormat="1" ht="15" x14ac:dyDescent="0.25">
      <c r="A16977" s="859">
        <f t="shared" si="402"/>
        <v>16976</v>
      </c>
      <c r="B16977" s="845" t="s">
        <v>2564</v>
      </c>
      <c r="C16977" s="1007">
        <f t="shared" si="401"/>
        <v>176</v>
      </c>
      <c r="D16977" s="1014"/>
      <c r="I16977" s="1011" t="str">
        <f>CONCATENATE("&lt;numeroLigne&gt;",C16977,"&lt;/numeroLigne&gt;")</f>
        <v>&lt;numeroLigne&gt;176&lt;/numeroLigne&gt;</v>
      </c>
      <c r="K16977" s="1013"/>
    </row>
    <row r="16978" spans="1:11" s="1011" customFormat="1" ht="15" x14ac:dyDescent="0.25">
      <c r="A16978" s="859">
        <f t="shared" si="402"/>
        <v>16977</v>
      </c>
      <c r="B16978" s="845" t="s">
        <v>2564</v>
      </c>
      <c r="C16978" s="1007">
        <f t="shared" si="401"/>
        <v>176</v>
      </c>
      <c r="D16978" s="1014"/>
      <c r="H16978" s="1011" t="s">
        <v>1010</v>
      </c>
      <c r="K16978" s="1013"/>
    </row>
    <row r="16979" spans="1:11" s="1011" customFormat="1" ht="15" x14ac:dyDescent="0.25">
      <c r="A16979" s="859">
        <f t="shared" si="402"/>
        <v>16978</v>
      </c>
      <c r="B16979" s="845" t="s">
        <v>2564</v>
      </c>
      <c r="C16979" s="1007">
        <f t="shared" si="401"/>
        <v>176</v>
      </c>
      <c r="D16979" s="1012"/>
      <c r="H16979" s="1011" t="s">
        <v>1007</v>
      </c>
      <c r="K16979" s="1013"/>
    </row>
    <row r="16980" spans="1:11" s="1011" customFormat="1" ht="15" x14ac:dyDescent="0.25">
      <c r="A16980" s="859">
        <f t="shared" si="402"/>
        <v>16979</v>
      </c>
      <c r="B16980" s="845" t="s">
        <v>2564</v>
      </c>
      <c r="C16980" s="1007">
        <f t="shared" si="401"/>
        <v>176</v>
      </c>
      <c r="D16980" s="1015"/>
      <c r="I16980" s="1011" t="s">
        <v>2182</v>
      </c>
      <c r="K16980" s="1013"/>
    </row>
    <row r="16981" spans="1:11" s="1011" customFormat="1" ht="15" x14ac:dyDescent="0.25">
      <c r="A16981" s="859">
        <f t="shared" si="402"/>
        <v>16980</v>
      </c>
      <c r="B16981" s="845" t="s">
        <v>2564</v>
      </c>
      <c r="C16981" s="1007">
        <f t="shared" si="401"/>
        <v>176</v>
      </c>
      <c r="D16981" s="1012"/>
      <c r="I16981" s="1011" t="str">
        <f>CONCATENATE("&lt;valeur&gt;",VLOOKUP(C16981,'T16 Amort'!A:K,10,0),"&lt;/valeur&gt;")</f>
        <v>&lt;valeur&gt;&lt;/valeur&gt;</v>
      </c>
      <c r="K16981" s="1013"/>
    </row>
    <row r="16982" spans="1:11" s="1011" customFormat="1" ht="15" x14ac:dyDescent="0.25">
      <c r="A16982" s="859">
        <f t="shared" si="402"/>
        <v>16981</v>
      </c>
      <c r="B16982" s="845" t="s">
        <v>2564</v>
      </c>
      <c r="C16982" s="1007">
        <f t="shared" si="401"/>
        <v>176</v>
      </c>
      <c r="D16982" s="1012"/>
      <c r="I16982" s="1011" t="str">
        <f>CONCATENATE("&lt;numeroLigne&gt;",C16982,"&lt;/numeroLigne&gt;")</f>
        <v>&lt;numeroLigne&gt;176&lt;/numeroLigne&gt;</v>
      </c>
      <c r="K16982" s="1013"/>
    </row>
    <row r="16983" spans="1:11" s="1011" customFormat="1" ht="15" x14ac:dyDescent="0.25">
      <c r="A16983" s="859">
        <f t="shared" si="402"/>
        <v>16982</v>
      </c>
      <c r="B16983" s="845" t="s">
        <v>2564</v>
      </c>
      <c r="C16983" s="1007">
        <f t="shared" si="401"/>
        <v>176</v>
      </c>
      <c r="D16983" s="1014"/>
      <c r="H16983" s="1011" t="s">
        <v>1010</v>
      </c>
      <c r="K16983" s="1013"/>
    </row>
    <row r="16984" spans="1:11" s="1011" customFormat="1" ht="15" x14ac:dyDescent="0.25">
      <c r="A16984" s="859">
        <f t="shared" si="402"/>
        <v>16983</v>
      </c>
      <c r="B16984" s="845" t="s">
        <v>2564</v>
      </c>
      <c r="C16984" s="1007">
        <f t="shared" si="401"/>
        <v>176</v>
      </c>
      <c r="D16984" s="1014"/>
      <c r="H16984" s="1011" t="s">
        <v>1007</v>
      </c>
      <c r="K16984" s="1013"/>
    </row>
    <row r="16985" spans="1:11" s="1011" customFormat="1" ht="15" x14ac:dyDescent="0.25">
      <c r="A16985" s="859">
        <f t="shared" si="402"/>
        <v>16984</v>
      </c>
      <c r="B16985" s="845" t="s">
        <v>2564</v>
      </c>
      <c r="C16985" s="1007">
        <f t="shared" si="401"/>
        <v>176</v>
      </c>
      <c r="D16985" s="1012"/>
      <c r="I16985" s="1011" t="s">
        <v>2183</v>
      </c>
      <c r="K16985" s="1013"/>
    </row>
    <row r="16986" spans="1:11" s="1011" customFormat="1" ht="15" x14ac:dyDescent="0.25">
      <c r="A16986" s="859">
        <f t="shared" si="402"/>
        <v>16985</v>
      </c>
      <c r="B16986" s="845" t="s">
        <v>2564</v>
      </c>
      <c r="C16986" s="1007">
        <f t="shared" si="401"/>
        <v>176</v>
      </c>
      <c r="D16986" s="1015"/>
      <c r="I16986" s="1011" t="str">
        <f>CONCATENATE("&lt;valeur&gt;",VLOOKUP(C16986,'T16 Amort'!A:K,11,0),"&lt;/valeur&gt;")</f>
        <v>&lt;valeur&gt;&lt;/valeur&gt;</v>
      </c>
      <c r="K16986" s="1013"/>
    </row>
    <row r="16987" spans="1:11" s="1011" customFormat="1" ht="15" x14ac:dyDescent="0.25">
      <c r="A16987" s="859">
        <f t="shared" si="402"/>
        <v>16986</v>
      </c>
      <c r="B16987" s="845" t="s">
        <v>2564</v>
      </c>
      <c r="C16987" s="1007">
        <f t="shared" si="401"/>
        <v>176</v>
      </c>
      <c r="D16987" s="1012"/>
      <c r="I16987" s="1011" t="str">
        <f>CONCATENATE("&lt;numeroLigne&gt;",C16987,"&lt;/numeroLigne&gt;")</f>
        <v>&lt;numeroLigne&gt;176&lt;/numeroLigne&gt;</v>
      </c>
      <c r="K16987" s="1013"/>
    </row>
    <row r="16988" spans="1:11" s="1011" customFormat="1" ht="15" x14ac:dyDescent="0.25">
      <c r="A16988" s="859">
        <f t="shared" si="402"/>
        <v>16987</v>
      </c>
      <c r="B16988" s="845" t="s">
        <v>2564</v>
      </c>
      <c r="C16988" s="1007">
        <f t="shared" si="401"/>
        <v>176</v>
      </c>
      <c r="D16988" s="1016"/>
      <c r="E16988" s="1017"/>
      <c r="F16988" s="1017"/>
      <c r="G16988" s="1017"/>
      <c r="H16988" s="1017" t="s">
        <v>1010</v>
      </c>
      <c r="I16988" s="1017"/>
      <c r="J16988" s="1017"/>
      <c r="K16988" s="1018"/>
    </row>
    <row r="16989" spans="1:11" s="1011" customFormat="1" ht="15" x14ac:dyDescent="0.25">
      <c r="A16989" s="859">
        <f t="shared" si="402"/>
        <v>16988</v>
      </c>
      <c r="B16989" s="845" t="s">
        <v>2564</v>
      </c>
      <c r="C16989" s="1007">
        <f t="shared" si="401"/>
        <v>177</v>
      </c>
      <c r="D16989" s="1008"/>
      <c r="E16989" s="1009"/>
      <c r="F16989" s="1009"/>
      <c r="G16989" s="1009"/>
      <c r="H16989" s="1009" t="s">
        <v>1007</v>
      </c>
      <c r="I16989" s="1009"/>
      <c r="J16989" s="1009"/>
      <c r="K16989" s="1010"/>
    </row>
    <row r="16990" spans="1:11" s="1011" customFormat="1" ht="15" x14ac:dyDescent="0.25">
      <c r="A16990" s="859">
        <f t="shared" si="402"/>
        <v>16989</v>
      </c>
      <c r="B16990" s="845" t="s">
        <v>2564</v>
      </c>
      <c r="C16990" s="1007">
        <f t="shared" si="401"/>
        <v>177</v>
      </c>
      <c r="D16990" s="1012"/>
      <c r="I16990" s="1011" t="s">
        <v>2174</v>
      </c>
      <c r="K16990" s="1013"/>
    </row>
    <row r="16991" spans="1:11" s="1011" customFormat="1" ht="15" x14ac:dyDescent="0.25">
      <c r="A16991" s="859">
        <f t="shared" si="402"/>
        <v>16990</v>
      </c>
      <c r="B16991" s="845" t="s">
        <v>2564</v>
      </c>
      <c r="C16991" s="1007">
        <f t="shared" si="401"/>
        <v>177</v>
      </c>
      <c r="D16991" s="1014"/>
      <c r="I16991" s="1011" t="str">
        <f>CONCATENATE("&lt;valeur&gt;",VLOOKUP(C16991,'T16 Amort'!A:K,2,0),"&lt;/valeur&gt;")</f>
        <v>&lt;valeur&gt;&lt;/valeur&gt;</v>
      </c>
      <c r="K16991" s="1013"/>
    </row>
    <row r="16992" spans="1:11" s="1011" customFormat="1" ht="15" x14ac:dyDescent="0.25">
      <c r="A16992" s="859">
        <f t="shared" si="402"/>
        <v>16991</v>
      </c>
      <c r="B16992" s="845" t="s">
        <v>2564</v>
      </c>
      <c r="C16992" s="1007">
        <f t="shared" si="401"/>
        <v>177</v>
      </c>
      <c r="D16992" s="1014"/>
      <c r="I16992" s="1011" t="str">
        <f>CONCATENATE("&lt;numeroLigne&gt;",C16992,"&lt;/numeroLigne&gt;")</f>
        <v>&lt;numeroLigne&gt;177&lt;/numeroLigne&gt;</v>
      </c>
      <c r="K16992" s="1013"/>
    </row>
    <row r="16993" spans="1:11" s="1011" customFormat="1" ht="15" x14ac:dyDescent="0.25">
      <c r="A16993" s="859">
        <f t="shared" si="402"/>
        <v>16992</v>
      </c>
      <c r="B16993" s="845" t="s">
        <v>2564</v>
      </c>
      <c r="C16993" s="1007">
        <f t="shared" si="401"/>
        <v>177</v>
      </c>
      <c r="D16993" s="1012"/>
      <c r="H16993" s="1011" t="s">
        <v>1010</v>
      </c>
      <c r="K16993" s="1013"/>
    </row>
    <row r="16994" spans="1:11" s="1011" customFormat="1" ht="15" x14ac:dyDescent="0.25">
      <c r="A16994" s="859">
        <f t="shared" si="402"/>
        <v>16993</v>
      </c>
      <c r="B16994" s="845" t="s">
        <v>2564</v>
      </c>
      <c r="C16994" s="1007">
        <f t="shared" si="401"/>
        <v>177</v>
      </c>
      <c r="D16994" s="1015"/>
      <c r="H16994" s="1011" t="s">
        <v>1007</v>
      </c>
      <c r="K16994" s="1013"/>
    </row>
    <row r="16995" spans="1:11" s="1011" customFormat="1" ht="15" x14ac:dyDescent="0.25">
      <c r="A16995" s="859">
        <f t="shared" si="402"/>
        <v>16994</v>
      </c>
      <c r="B16995" s="845" t="s">
        <v>2564</v>
      </c>
      <c r="C16995" s="1007">
        <f t="shared" si="401"/>
        <v>177</v>
      </c>
      <c r="D16995" s="1012"/>
      <c r="I16995" s="1011" t="s">
        <v>2175</v>
      </c>
      <c r="K16995" s="1013"/>
    </row>
    <row r="16996" spans="1:11" s="1011" customFormat="1" ht="15" x14ac:dyDescent="0.25">
      <c r="A16996" s="859">
        <f t="shared" si="402"/>
        <v>16995</v>
      </c>
      <c r="B16996" s="845" t="s">
        <v>2564</v>
      </c>
      <c r="C16996" s="1007">
        <f t="shared" si="401"/>
        <v>177</v>
      </c>
      <c r="D16996" s="1012"/>
      <c r="I16996" s="1011" t="str">
        <f>CONCATENATE("&lt;valeur&gt;",VLOOKUP(C16996,'T16 Amort'!A:K,3,0),"&lt;/valeur&gt;")</f>
        <v>&lt;valeur&gt;&lt;/valeur&gt;</v>
      </c>
      <c r="K16996" s="1013"/>
    </row>
    <row r="16997" spans="1:11" s="1011" customFormat="1" ht="15" x14ac:dyDescent="0.25">
      <c r="A16997" s="859">
        <f t="shared" si="402"/>
        <v>16996</v>
      </c>
      <c r="B16997" s="845" t="s">
        <v>2564</v>
      </c>
      <c r="C16997" s="1007">
        <f t="shared" si="401"/>
        <v>177</v>
      </c>
      <c r="D16997" s="1014"/>
      <c r="I16997" s="1011" t="str">
        <f>CONCATENATE("&lt;numeroLigne&gt;",C16997,"&lt;/numeroLigne&gt;")</f>
        <v>&lt;numeroLigne&gt;177&lt;/numeroLigne&gt;</v>
      </c>
      <c r="K16997" s="1013"/>
    </row>
    <row r="16998" spans="1:11" s="1011" customFormat="1" ht="15" x14ac:dyDescent="0.25">
      <c r="A16998" s="859">
        <f t="shared" si="402"/>
        <v>16997</v>
      </c>
      <c r="B16998" s="845" t="s">
        <v>2564</v>
      </c>
      <c r="C16998" s="1007">
        <f t="shared" si="401"/>
        <v>177</v>
      </c>
      <c r="D16998" s="1014"/>
      <c r="H16998" s="1011" t="s">
        <v>1010</v>
      </c>
      <c r="K16998" s="1013"/>
    </row>
    <row r="16999" spans="1:11" s="1011" customFormat="1" ht="15" x14ac:dyDescent="0.25">
      <c r="A16999" s="859">
        <f t="shared" si="402"/>
        <v>16998</v>
      </c>
      <c r="B16999" s="845" t="s">
        <v>2564</v>
      </c>
      <c r="C16999" s="1007">
        <f t="shared" si="401"/>
        <v>177</v>
      </c>
      <c r="D16999" s="1012"/>
      <c r="H16999" s="1011" t="s">
        <v>1007</v>
      </c>
      <c r="K16999" s="1013"/>
    </row>
    <row r="17000" spans="1:11" s="1011" customFormat="1" ht="15" x14ac:dyDescent="0.25">
      <c r="A17000" s="859">
        <f t="shared" si="402"/>
        <v>16999</v>
      </c>
      <c r="B17000" s="845" t="s">
        <v>2564</v>
      </c>
      <c r="C17000" s="1007">
        <f t="shared" si="401"/>
        <v>177</v>
      </c>
      <c r="D17000" s="1015"/>
      <c r="I17000" s="1011" t="s">
        <v>2176</v>
      </c>
      <c r="K17000" s="1013"/>
    </row>
    <row r="17001" spans="1:11" s="1011" customFormat="1" ht="15" x14ac:dyDescent="0.25">
      <c r="A17001" s="859">
        <f t="shared" si="402"/>
        <v>17000</v>
      </c>
      <c r="B17001" s="845" t="s">
        <v>2564</v>
      </c>
      <c r="C17001" s="1007">
        <f t="shared" si="401"/>
        <v>177</v>
      </c>
      <c r="D17001" s="1012"/>
      <c r="I17001" s="1011" t="str">
        <f>CONCATENATE("&lt;valeur&gt;",VLOOKUP(C17001,'T16 Amort'!A:K,4,0),"&lt;/valeur&gt;")</f>
        <v>&lt;valeur&gt;&lt;/valeur&gt;</v>
      </c>
      <c r="K17001" s="1013"/>
    </row>
    <row r="17002" spans="1:11" s="1011" customFormat="1" ht="15" x14ac:dyDescent="0.25">
      <c r="A17002" s="859">
        <f t="shared" si="402"/>
        <v>17001</v>
      </c>
      <c r="B17002" s="845" t="s">
        <v>2564</v>
      </c>
      <c r="C17002" s="1007">
        <f t="shared" si="401"/>
        <v>177</v>
      </c>
      <c r="D17002" s="1012"/>
      <c r="I17002" s="1011" t="str">
        <f>CONCATENATE("&lt;numeroLigne&gt;",C17002,"&lt;/numeroLigne&gt;")</f>
        <v>&lt;numeroLigne&gt;177&lt;/numeroLigne&gt;</v>
      </c>
      <c r="K17002" s="1013"/>
    </row>
    <row r="17003" spans="1:11" s="1011" customFormat="1" ht="15" x14ac:dyDescent="0.25">
      <c r="A17003" s="859">
        <f t="shared" si="402"/>
        <v>17002</v>
      </c>
      <c r="B17003" s="845" t="s">
        <v>2564</v>
      </c>
      <c r="C17003" s="1007">
        <f t="shared" si="401"/>
        <v>177</v>
      </c>
      <c r="D17003" s="1014"/>
      <c r="H17003" s="1011" t="s">
        <v>1010</v>
      </c>
      <c r="K17003" s="1013"/>
    </row>
    <row r="17004" spans="1:11" s="1011" customFormat="1" ht="15" x14ac:dyDescent="0.25">
      <c r="A17004" s="859">
        <f t="shared" si="402"/>
        <v>17003</v>
      </c>
      <c r="B17004" s="845" t="s">
        <v>2564</v>
      </c>
      <c r="C17004" s="1007">
        <f t="shared" si="401"/>
        <v>177</v>
      </c>
      <c r="D17004" s="1014"/>
      <c r="H17004" s="1011" t="s">
        <v>1007</v>
      </c>
      <c r="K17004" s="1013"/>
    </row>
    <row r="17005" spans="1:11" s="1011" customFormat="1" ht="15" x14ac:dyDescent="0.25">
      <c r="A17005" s="859">
        <f t="shared" si="402"/>
        <v>17004</v>
      </c>
      <c r="B17005" s="845" t="s">
        <v>2564</v>
      </c>
      <c r="C17005" s="1007">
        <f t="shared" si="401"/>
        <v>177</v>
      </c>
      <c r="D17005" s="1012"/>
      <c r="I17005" s="1011" t="s">
        <v>2177</v>
      </c>
      <c r="K17005" s="1013"/>
    </row>
    <row r="17006" spans="1:11" s="1011" customFormat="1" ht="15" x14ac:dyDescent="0.25">
      <c r="A17006" s="859">
        <f t="shared" si="402"/>
        <v>17005</v>
      </c>
      <c r="B17006" s="845" t="s">
        <v>2564</v>
      </c>
      <c r="C17006" s="1007">
        <f t="shared" si="401"/>
        <v>177</v>
      </c>
      <c r="D17006" s="1015"/>
      <c r="I17006" s="1011" t="str">
        <f>CONCATENATE("&lt;valeur&gt;",VLOOKUP(C17006,'T16 Amort'!A:K,5,0),"&lt;/valeur&gt;")</f>
        <v>&lt;valeur&gt;&lt;/valeur&gt;</v>
      </c>
      <c r="K17006" s="1013"/>
    </row>
    <row r="17007" spans="1:11" s="1011" customFormat="1" ht="15" x14ac:dyDescent="0.25">
      <c r="A17007" s="859">
        <f t="shared" si="402"/>
        <v>17006</v>
      </c>
      <c r="B17007" s="845" t="s">
        <v>2564</v>
      </c>
      <c r="C17007" s="1007">
        <f t="shared" ref="C17007:C17070" si="403">C16957+1</f>
        <v>177</v>
      </c>
      <c r="D17007" s="1012"/>
      <c r="I17007" s="1011" t="str">
        <f>CONCATENATE("&lt;numeroLigne&gt;",C17007,"&lt;/numeroLigne&gt;")</f>
        <v>&lt;numeroLigne&gt;177&lt;/numeroLigne&gt;</v>
      </c>
      <c r="K17007" s="1013"/>
    </row>
    <row r="17008" spans="1:11" s="1011" customFormat="1" ht="15" x14ac:dyDescent="0.25">
      <c r="A17008" s="859">
        <f t="shared" si="402"/>
        <v>17007</v>
      </c>
      <c r="B17008" s="845" t="s">
        <v>2564</v>
      </c>
      <c r="C17008" s="1007">
        <f t="shared" si="403"/>
        <v>177</v>
      </c>
      <c r="D17008" s="1012"/>
      <c r="H17008" s="1011" t="s">
        <v>1010</v>
      </c>
      <c r="K17008" s="1013"/>
    </row>
    <row r="17009" spans="1:11" s="1011" customFormat="1" ht="15" x14ac:dyDescent="0.25">
      <c r="A17009" s="859">
        <f t="shared" si="402"/>
        <v>17008</v>
      </c>
      <c r="B17009" s="845" t="s">
        <v>2564</v>
      </c>
      <c r="C17009" s="1007">
        <f t="shared" si="403"/>
        <v>177</v>
      </c>
      <c r="D17009" s="1014"/>
      <c r="H17009" s="1011" t="s">
        <v>1007</v>
      </c>
      <c r="K17009" s="1013"/>
    </row>
    <row r="17010" spans="1:11" s="1011" customFormat="1" ht="15" x14ac:dyDescent="0.25">
      <c r="A17010" s="859">
        <f t="shared" si="402"/>
        <v>17009</v>
      </c>
      <c r="B17010" s="845" t="s">
        <v>2564</v>
      </c>
      <c r="C17010" s="1007">
        <f t="shared" si="403"/>
        <v>177</v>
      </c>
      <c r="D17010" s="1014"/>
      <c r="I17010" s="1011" t="s">
        <v>2178</v>
      </c>
      <c r="K17010" s="1013"/>
    </row>
    <row r="17011" spans="1:11" s="1011" customFormat="1" ht="15" x14ac:dyDescent="0.25">
      <c r="A17011" s="859">
        <f t="shared" si="402"/>
        <v>17010</v>
      </c>
      <c r="B17011" s="845" t="s">
        <v>2564</v>
      </c>
      <c r="C17011" s="1007">
        <f t="shared" si="403"/>
        <v>177</v>
      </c>
      <c r="D17011" s="1012"/>
      <c r="I17011" s="1011" t="str">
        <f>CONCATENATE("&lt;valeur&gt;",VLOOKUP(C17011,'T16 Amort'!A:K,6,0),"&lt;/valeur&gt;")</f>
        <v>&lt;valeur&gt;&lt;/valeur&gt;</v>
      </c>
      <c r="K17011" s="1013"/>
    </row>
    <row r="17012" spans="1:11" s="1011" customFormat="1" ht="15" x14ac:dyDescent="0.25">
      <c r="A17012" s="859">
        <f t="shared" si="402"/>
        <v>17011</v>
      </c>
      <c r="B17012" s="845" t="s">
        <v>2564</v>
      </c>
      <c r="C17012" s="1007">
        <f t="shared" si="403"/>
        <v>177</v>
      </c>
      <c r="D17012" s="1015"/>
      <c r="I17012" s="1011" t="str">
        <f>CONCATENATE("&lt;numeroLigne&gt;",C17012,"&lt;/numeroLigne&gt;")</f>
        <v>&lt;numeroLigne&gt;177&lt;/numeroLigne&gt;</v>
      </c>
      <c r="K17012" s="1013"/>
    </row>
    <row r="17013" spans="1:11" s="1011" customFormat="1" ht="15" x14ac:dyDescent="0.25">
      <c r="A17013" s="859">
        <f t="shared" si="402"/>
        <v>17012</v>
      </c>
      <c r="B17013" s="845" t="s">
        <v>2564</v>
      </c>
      <c r="C17013" s="1007">
        <f t="shared" si="403"/>
        <v>177</v>
      </c>
      <c r="D17013" s="1012"/>
      <c r="H17013" s="1011" t="s">
        <v>1010</v>
      </c>
      <c r="K17013" s="1013"/>
    </row>
    <row r="17014" spans="1:11" s="1011" customFormat="1" ht="15" x14ac:dyDescent="0.25">
      <c r="A17014" s="859">
        <f t="shared" si="402"/>
        <v>17013</v>
      </c>
      <c r="B17014" s="845" t="s">
        <v>2564</v>
      </c>
      <c r="C17014" s="1007">
        <f t="shared" si="403"/>
        <v>177</v>
      </c>
      <c r="D17014" s="1012"/>
      <c r="H17014" s="1011" t="s">
        <v>1007</v>
      </c>
      <c r="K17014" s="1013"/>
    </row>
    <row r="17015" spans="1:11" s="1011" customFormat="1" ht="15" x14ac:dyDescent="0.25">
      <c r="A17015" s="859">
        <f t="shared" si="402"/>
        <v>17014</v>
      </c>
      <c r="B17015" s="845" t="s">
        <v>2564</v>
      </c>
      <c r="C17015" s="1007">
        <f t="shared" si="403"/>
        <v>177</v>
      </c>
      <c r="D17015" s="1014"/>
      <c r="I17015" s="1011" t="s">
        <v>2179</v>
      </c>
      <c r="K17015" s="1013"/>
    </row>
    <row r="17016" spans="1:11" s="1011" customFormat="1" ht="15" x14ac:dyDescent="0.25">
      <c r="A17016" s="859">
        <f t="shared" si="402"/>
        <v>17015</v>
      </c>
      <c r="B17016" s="845" t="s">
        <v>2564</v>
      </c>
      <c r="C17016" s="1007">
        <f t="shared" si="403"/>
        <v>177</v>
      </c>
      <c r="D17016" s="1014"/>
      <c r="I17016" s="1011" t="str">
        <f>CONCATENATE("&lt;valeur&gt;",VLOOKUP(C17016,'T16 Amort'!A:K,7,0),"&lt;/valeur&gt;")</f>
        <v>&lt;valeur&gt;&lt;/valeur&gt;</v>
      </c>
      <c r="K17016" s="1013"/>
    </row>
    <row r="17017" spans="1:11" s="1011" customFormat="1" ht="15" x14ac:dyDescent="0.25">
      <c r="A17017" s="859">
        <f t="shared" si="402"/>
        <v>17016</v>
      </c>
      <c r="B17017" s="845" t="s">
        <v>2564</v>
      </c>
      <c r="C17017" s="1007">
        <f t="shared" si="403"/>
        <v>177</v>
      </c>
      <c r="D17017" s="1012"/>
      <c r="I17017" s="1011" t="str">
        <f>CONCATENATE("&lt;numeroLigne&gt;",C17017,"&lt;/numeroLigne&gt;")</f>
        <v>&lt;numeroLigne&gt;177&lt;/numeroLigne&gt;</v>
      </c>
      <c r="K17017" s="1013"/>
    </row>
    <row r="17018" spans="1:11" s="1011" customFormat="1" ht="15" x14ac:dyDescent="0.25">
      <c r="A17018" s="859">
        <f t="shared" si="402"/>
        <v>17017</v>
      </c>
      <c r="B17018" s="845" t="s">
        <v>2564</v>
      </c>
      <c r="C17018" s="1007">
        <f t="shared" si="403"/>
        <v>177</v>
      </c>
      <c r="D17018" s="1015"/>
      <c r="H17018" s="1011" t="s">
        <v>1010</v>
      </c>
      <c r="K17018" s="1013"/>
    </row>
    <row r="17019" spans="1:11" s="1011" customFormat="1" ht="15" x14ac:dyDescent="0.25">
      <c r="A17019" s="859">
        <f t="shared" si="402"/>
        <v>17018</v>
      </c>
      <c r="B17019" s="845" t="s">
        <v>2564</v>
      </c>
      <c r="C17019" s="1007">
        <f t="shared" si="403"/>
        <v>177</v>
      </c>
      <c r="D17019" s="1012"/>
      <c r="H17019" s="1011" t="s">
        <v>1007</v>
      </c>
      <c r="K17019" s="1013"/>
    </row>
    <row r="17020" spans="1:11" s="1011" customFormat="1" ht="15" x14ac:dyDescent="0.25">
      <c r="A17020" s="859">
        <f t="shared" si="402"/>
        <v>17019</v>
      </c>
      <c r="B17020" s="845" t="s">
        <v>2564</v>
      </c>
      <c r="C17020" s="1007">
        <f t="shared" si="403"/>
        <v>177</v>
      </c>
      <c r="D17020" s="1012"/>
      <c r="I17020" s="1011" t="s">
        <v>2180</v>
      </c>
      <c r="K17020" s="1013"/>
    </row>
    <row r="17021" spans="1:11" s="1011" customFormat="1" ht="15" x14ac:dyDescent="0.25">
      <c r="A17021" s="859">
        <f t="shared" si="402"/>
        <v>17020</v>
      </c>
      <c r="B17021" s="845" t="s">
        <v>2564</v>
      </c>
      <c r="C17021" s="1007">
        <f t="shared" si="403"/>
        <v>177</v>
      </c>
      <c r="D17021" s="1014"/>
      <c r="I17021" s="1011" t="str">
        <f>CONCATENATE("&lt;valeur&gt;",VLOOKUP(C17021,'T16 Amort'!A:K,8,0),"&lt;/valeur&gt;")</f>
        <v>&lt;valeur&gt;&lt;/valeur&gt;</v>
      </c>
      <c r="K17021" s="1013"/>
    </row>
    <row r="17022" spans="1:11" s="1011" customFormat="1" ht="15" x14ac:dyDescent="0.25">
      <c r="A17022" s="859">
        <f t="shared" si="402"/>
        <v>17021</v>
      </c>
      <c r="B17022" s="845" t="s">
        <v>2564</v>
      </c>
      <c r="C17022" s="1007">
        <f t="shared" si="403"/>
        <v>177</v>
      </c>
      <c r="D17022" s="1014"/>
      <c r="I17022" s="1011" t="str">
        <f>CONCATENATE("&lt;numeroLigne&gt;",C17022,"&lt;/numeroLigne&gt;")</f>
        <v>&lt;numeroLigne&gt;177&lt;/numeroLigne&gt;</v>
      </c>
      <c r="K17022" s="1013"/>
    </row>
    <row r="17023" spans="1:11" s="1011" customFormat="1" ht="15" x14ac:dyDescent="0.25">
      <c r="A17023" s="859">
        <f t="shared" si="402"/>
        <v>17022</v>
      </c>
      <c r="B17023" s="845" t="s">
        <v>2564</v>
      </c>
      <c r="C17023" s="1007">
        <f t="shared" si="403"/>
        <v>177</v>
      </c>
      <c r="D17023" s="1012"/>
      <c r="H17023" s="1011" t="s">
        <v>1010</v>
      </c>
      <c r="K17023" s="1013"/>
    </row>
    <row r="17024" spans="1:11" s="1011" customFormat="1" ht="15" x14ac:dyDescent="0.25">
      <c r="A17024" s="859">
        <f t="shared" si="402"/>
        <v>17023</v>
      </c>
      <c r="B17024" s="845" t="s">
        <v>2564</v>
      </c>
      <c r="C17024" s="1007">
        <f t="shared" si="403"/>
        <v>177</v>
      </c>
      <c r="D17024" s="1015"/>
      <c r="H17024" s="1011" t="s">
        <v>1007</v>
      </c>
      <c r="K17024" s="1013"/>
    </row>
    <row r="17025" spans="1:11" s="1011" customFormat="1" ht="15" x14ac:dyDescent="0.25">
      <c r="A17025" s="859">
        <f t="shared" si="402"/>
        <v>17024</v>
      </c>
      <c r="B17025" s="845" t="s">
        <v>2564</v>
      </c>
      <c r="C17025" s="1007">
        <f t="shared" si="403"/>
        <v>177</v>
      </c>
      <c r="D17025" s="1012"/>
      <c r="I17025" s="1011" t="s">
        <v>2181</v>
      </c>
      <c r="K17025" s="1013"/>
    </row>
    <row r="17026" spans="1:11" s="1011" customFormat="1" ht="15" x14ac:dyDescent="0.25">
      <c r="A17026" s="859">
        <f t="shared" si="402"/>
        <v>17025</v>
      </c>
      <c r="B17026" s="845" t="s">
        <v>2564</v>
      </c>
      <c r="C17026" s="1007">
        <f t="shared" si="403"/>
        <v>177</v>
      </c>
      <c r="D17026" s="1012"/>
      <c r="I17026" s="1011" t="str">
        <f>CONCATENATE("&lt;valeur&gt;",VLOOKUP(C17026,'T16 Amort'!A:K,9,0),"&lt;/valeur&gt;")</f>
        <v>&lt;valeur&gt;&lt;/valeur&gt;</v>
      </c>
      <c r="K17026" s="1013"/>
    </row>
    <row r="17027" spans="1:11" s="1011" customFormat="1" ht="15" x14ac:dyDescent="0.25">
      <c r="A17027" s="859">
        <f t="shared" si="402"/>
        <v>17026</v>
      </c>
      <c r="B17027" s="845" t="s">
        <v>2564</v>
      </c>
      <c r="C17027" s="1007">
        <f t="shared" si="403"/>
        <v>177</v>
      </c>
      <c r="D17027" s="1014"/>
      <c r="I17027" s="1011" t="str">
        <f>CONCATENATE("&lt;numeroLigne&gt;",C17027,"&lt;/numeroLigne&gt;")</f>
        <v>&lt;numeroLigne&gt;177&lt;/numeroLigne&gt;</v>
      </c>
      <c r="K17027" s="1013"/>
    </row>
    <row r="17028" spans="1:11" s="1011" customFormat="1" ht="15" x14ac:dyDescent="0.25">
      <c r="A17028" s="859">
        <f t="shared" ref="A17028:A17091" si="404">+A17027+1</f>
        <v>17027</v>
      </c>
      <c r="B17028" s="845" t="s">
        <v>2564</v>
      </c>
      <c r="C17028" s="1007">
        <f t="shared" si="403"/>
        <v>177</v>
      </c>
      <c r="D17028" s="1014"/>
      <c r="H17028" s="1011" t="s">
        <v>1010</v>
      </c>
      <c r="K17028" s="1013"/>
    </row>
    <row r="17029" spans="1:11" s="1011" customFormat="1" ht="15" x14ac:dyDescent="0.25">
      <c r="A17029" s="859">
        <f t="shared" si="404"/>
        <v>17028</v>
      </c>
      <c r="B17029" s="845" t="s">
        <v>2564</v>
      </c>
      <c r="C17029" s="1007">
        <f t="shared" si="403"/>
        <v>177</v>
      </c>
      <c r="D17029" s="1012"/>
      <c r="H17029" s="1011" t="s">
        <v>1007</v>
      </c>
      <c r="K17029" s="1013"/>
    </row>
    <row r="17030" spans="1:11" s="1011" customFormat="1" ht="15" x14ac:dyDescent="0.25">
      <c r="A17030" s="859">
        <f t="shared" si="404"/>
        <v>17029</v>
      </c>
      <c r="B17030" s="845" t="s">
        <v>2564</v>
      </c>
      <c r="C17030" s="1007">
        <f t="shared" si="403"/>
        <v>177</v>
      </c>
      <c r="D17030" s="1015"/>
      <c r="I17030" s="1011" t="s">
        <v>2182</v>
      </c>
      <c r="K17030" s="1013"/>
    </row>
    <row r="17031" spans="1:11" s="1011" customFormat="1" ht="15" x14ac:dyDescent="0.25">
      <c r="A17031" s="859">
        <f t="shared" si="404"/>
        <v>17030</v>
      </c>
      <c r="B17031" s="845" t="s">
        <v>2564</v>
      </c>
      <c r="C17031" s="1007">
        <f t="shared" si="403"/>
        <v>177</v>
      </c>
      <c r="D17031" s="1012"/>
      <c r="I17031" s="1011" t="str">
        <f>CONCATENATE("&lt;valeur&gt;",VLOOKUP(C17031,'T16 Amort'!A:K,10,0),"&lt;/valeur&gt;")</f>
        <v>&lt;valeur&gt;&lt;/valeur&gt;</v>
      </c>
      <c r="K17031" s="1013"/>
    </row>
    <row r="17032" spans="1:11" s="1011" customFormat="1" ht="15" x14ac:dyDescent="0.25">
      <c r="A17032" s="859">
        <f t="shared" si="404"/>
        <v>17031</v>
      </c>
      <c r="B17032" s="845" t="s">
        <v>2564</v>
      </c>
      <c r="C17032" s="1007">
        <f t="shared" si="403"/>
        <v>177</v>
      </c>
      <c r="D17032" s="1012"/>
      <c r="I17032" s="1011" t="str">
        <f>CONCATENATE("&lt;numeroLigne&gt;",C17032,"&lt;/numeroLigne&gt;")</f>
        <v>&lt;numeroLigne&gt;177&lt;/numeroLigne&gt;</v>
      </c>
      <c r="K17032" s="1013"/>
    </row>
    <row r="17033" spans="1:11" s="1011" customFormat="1" ht="15" x14ac:dyDescent="0.25">
      <c r="A17033" s="859">
        <f t="shared" si="404"/>
        <v>17032</v>
      </c>
      <c r="B17033" s="845" t="s">
        <v>2564</v>
      </c>
      <c r="C17033" s="1007">
        <f t="shared" si="403"/>
        <v>177</v>
      </c>
      <c r="D17033" s="1014"/>
      <c r="H17033" s="1011" t="s">
        <v>1010</v>
      </c>
      <c r="K17033" s="1013"/>
    </row>
    <row r="17034" spans="1:11" s="1011" customFormat="1" ht="15" x14ac:dyDescent="0.25">
      <c r="A17034" s="859">
        <f t="shared" si="404"/>
        <v>17033</v>
      </c>
      <c r="B17034" s="845" t="s">
        <v>2564</v>
      </c>
      <c r="C17034" s="1007">
        <f t="shared" si="403"/>
        <v>177</v>
      </c>
      <c r="D17034" s="1014"/>
      <c r="H17034" s="1011" t="s">
        <v>1007</v>
      </c>
      <c r="K17034" s="1013"/>
    </row>
    <row r="17035" spans="1:11" s="1011" customFormat="1" ht="15" x14ac:dyDescent="0.25">
      <c r="A17035" s="859">
        <f t="shared" si="404"/>
        <v>17034</v>
      </c>
      <c r="B17035" s="845" t="s">
        <v>2564</v>
      </c>
      <c r="C17035" s="1007">
        <f t="shared" si="403"/>
        <v>177</v>
      </c>
      <c r="D17035" s="1012"/>
      <c r="I17035" s="1011" t="s">
        <v>2183</v>
      </c>
      <c r="K17035" s="1013"/>
    </row>
    <row r="17036" spans="1:11" s="1011" customFormat="1" ht="15" x14ac:dyDescent="0.25">
      <c r="A17036" s="859">
        <f t="shared" si="404"/>
        <v>17035</v>
      </c>
      <c r="B17036" s="845" t="s">
        <v>2564</v>
      </c>
      <c r="C17036" s="1007">
        <f t="shared" si="403"/>
        <v>177</v>
      </c>
      <c r="D17036" s="1015"/>
      <c r="I17036" s="1011" t="str">
        <f>CONCATENATE("&lt;valeur&gt;",VLOOKUP(C17036,'T16 Amort'!A:K,11,0),"&lt;/valeur&gt;")</f>
        <v>&lt;valeur&gt;&lt;/valeur&gt;</v>
      </c>
      <c r="K17036" s="1013"/>
    </row>
    <row r="17037" spans="1:11" s="1011" customFormat="1" ht="15" x14ac:dyDescent="0.25">
      <c r="A17037" s="859">
        <f t="shared" si="404"/>
        <v>17036</v>
      </c>
      <c r="B17037" s="845" t="s">
        <v>2564</v>
      </c>
      <c r="C17037" s="1007">
        <f t="shared" si="403"/>
        <v>177</v>
      </c>
      <c r="D17037" s="1012"/>
      <c r="I17037" s="1011" t="str">
        <f>CONCATENATE("&lt;numeroLigne&gt;",C17037,"&lt;/numeroLigne&gt;")</f>
        <v>&lt;numeroLigne&gt;177&lt;/numeroLigne&gt;</v>
      </c>
      <c r="K17037" s="1013"/>
    </row>
    <row r="17038" spans="1:11" s="1011" customFormat="1" ht="15" x14ac:dyDescent="0.25">
      <c r="A17038" s="859">
        <f t="shared" si="404"/>
        <v>17037</v>
      </c>
      <c r="B17038" s="845" t="s">
        <v>2564</v>
      </c>
      <c r="C17038" s="1007">
        <f t="shared" si="403"/>
        <v>177</v>
      </c>
      <c r="D17038" s="1016"/>
      <c r="E17038" s="1017"/>
      <c r="F17038" s="1017"/>
      <c r="G17038" s="1017"/>
      <c r="H17038" s="1017" t="s">
        <v>1010</v>
      </c>
      <c r="I17038" s="1017"/>
      <c r="J17038" s="1017"/>
      <c r="K17038" s="1018"/>
    </row>
    <row r="17039" spans="1:11" s="1011" customFormat="1" ht="15" x14ac:dyDescent="0.25">
      <c r="A17039" s="859">
        <f t="shared" si="404"/>
        <v>17038</v>
      </c>
      <c r="B17039" s="845" t="s">
        <v>2564</v>
      </c>
      <c r="C17039" s="1007">
        <f t="shared" si="403"/>
        <v>178</v>
      </c>
      <c r="D17039" s="1008"/>
      <c r="E17039" s="1009"/>
      <c r="F17039" s="1009"/>
      <c r="G17039" s="1009"/>
      <c r="H17039" s="1009" t="s">
        <v>1007</v>
      </c>
      <c r="I17039" s="1009"/>
      <c r="J17039" s="1009"/>
      <c r="K17039" s="1010"/>
    </row>
    <row r="17040" spans="1:11" s="1011" customFormat="1" ht="15" x14ac:dyDescent="0.25">
      <c r="A17040" s="859">
        <f t="shared" si="404"/>
        <v>17039</v>
      </c>
      <c r="B17040" s="845" t="s">
        <v>2564</v>
      </c>
      <c r="C17040" s="1007">
        <f t="shared" si="403"/>
        <v>178</v>
      </c>
      <c r="D17040" s="1012"/>
      <c r="I17040" s="1011" t="s">
        <v>2174</v>
      </c>
      <c r="K17040" s="1013"/>
    </row>
    <row r="17041" spans="1:11" s="1011" customFormat="1" ht="15" x14ac:dyDescent="0.25">
      <c r="A17041" s="859">
        <f t="shared" si="404"/>
        <v>17040</v>
      </c>
      <c r="B17041" s="845" t="s">
        <v>2564</v>
      </c>
      <c r="C17041" s="1007">
        <f t="shared" si="403"/>
        <v>178</v>
      </c>
      <c r="D17041" s="1014"/>
      <c r="I17041" s="1011" t="str">
        <f>CONCATENATE("&lt;valeur&gt;",VLOOKUP(C17041,'T16 Amort'!A:K,2,0),"&lt;/valeur&gt;")</f>
        <v>&lt;valeur&gt;&lt;/valeur&gt;</v>
      </c>
      <c r="K17041" s="1013"/>
    </row>
    <row r="17042" spans="1:11" s="1011" customFormat="1" ht="15" x14ac:dyDescent="0.25">
      <c r="A17042" s="859">
        <f t="shared" si="404"/>
        <v>17041</v>
      </c>
      <c r="B17042" s="845" t="s">
        <v>2564</v>
      </c>
      <c r="C17042" s="1007">
        <f t="shared" si="403"/>
        <v>178</v>
      </c>
      <c r="D17042" s="1014"/>
      <c r="I17042" s="1011" t="str">
        <f>CONCATENATE("&lt;numeroLigne&gt;",C17042,"&lt;/numeroLigne&gt;")</f>
        <v>&lt;numeroLigne&gt;178&lt;/numeroLigne&gt;</v>
      </c>
      <c r="K17042" s="1013"/>
    </row>
    <row r="17043" spans="1:11" s="1011" customFormat="1" ht="15" x14ac:dyDescent="0.25">
      <c r="A17043" s="859">
        <f t="shared" si="404"/>
        <v>17042</v>
      </c>
      <c r="B17043" s="845" t="s">
        <v>2564</v>
      </c>
      <c r="C17043" s="1007">
        <f t="shared" si="403"/>
        <v>178</v>
      </c>
      <c r="D17043" s="1012"/>
      <c r="H17043" s="1011" t="s">
        <v>1010</v>
      </c>
      <c r="K17043" s="1013"/>
    </row>
    <row r="17044" spans="1:11" s="1011" customFormat="1" ht="15" x14ac:dyDescent="0.25">
      <c r="A17044" s="859">
        <f t="shared" si="404"/>
        <v>17043</v>
      </c>
      <c r="B17044" s="845" t="s">
        <v>2564</v>
      </c>
      <c r="C17044" s="1007">
        <f t="shared" si="403"/>
        <v>178</v>
      </c>
      <c r="D17044" s="1015"/>
      <c r="H17044" s="1011" t="s">
        <v>1007</v>
      </c>
      <c r="K17044" s="1013"/>
    </row>
    <row r="17045" spans="1:11" s="1011" customFormat="1" ht="15" x14ac:dyDescent="0.25">
      <c r="A17045" s="859">
        <f t="shared" si="404"/>
        <v>17044</v>
      </c>
      <c r="B17045" s="845" t="s">
        <v>2564</v>
      </c>
      <c r="C17045" s="1007">
        <f t="shared" si="403"/>
        <v>178</v>
      </c>
      <c r="D17045" s="1012"/>
      <c r="I17045" s="1011" t="s">
        <v>2175</v>
      </c>
      <c r="K17045" s="1013"/>
    </row>
    <row r="17046" spans="1:11" s="1011" customFormat="1" ht="15" x14ac:dyDescent="0.25">
      <c r="A17046" s="859">
        <f t="shared" si="404"/>
        <v>17045</v>
      </c>
      <c r="B17046" s="845" t="s">
        <v>2564</v>
      </c>
      <c r="C17046" s="1007">
        <f t="shared" si="403"/>
        <v>178</v>
      </c>
      <c r="D17046" s="1012"/>
      <c r="I17046" s="1011" t="str">
        <f>CONCATENATE("&lt;valeur&gt;",VLOOKUP(C17046,'T16 Amort'!A:K,3,0),"&lt;/valeur&gt;")</f>
        <v>&lt;valeur&gt;&lt;/valeur&gt;</v>
      </c>
      <c r="K17046" s="1013"/>
    </row>
    <row r="17047" spans="1:11" s="1011" customFormat="1" ht="15" x14ac:dyDescent="0.25">
      <c r="A17047" s="859">
        <f t="shared" si="404"/>
        <v>17046</v>
      </c>
      <c r="B17047" s="845" t="s">
        <v>2564</v>
      </c>
      <c r="C17047" s="1007">
        <f t="shared" si="403"/>
        <v>178</v>
      </c>
      <c r="D17047" s="1014"/>
      <c r="I17047" s="1011" t="str">
        <f>CONCATENATE("&lt;numeroLigne&gt;",C17047,"&lt;/numeroLigne&gt;")</f>
        <v>&lt;numeroLigne&gt;178&lt;/numeroLigne&gt;</v>
      </c>
      <c r="K17047" s="1013"/>
    </row>
    <row r="17048" spans="1:11" s="1011" customFormat="1" ht="15" x14ac:dyDescent="0.25">
      <c r="A17048" s="859">
        <f t="shared" si="404"/>
        <v>17047</v>
      </c>
      <c r="B17048" s="845" t="s">
        <v>2564</v>
      </c>
      <c r="C17048" s="1007">
        <f t="shared" si="403"/>
        <v>178</v>
      </c>
      <c r="D17048" s="1014"/>
      <c r="H17048" s="1011" t="s">
        <v>1010</v>
      </c>
      <c r="K17048" s="1013"/>
    </row>
    <row r="17049" spans="1:11" s="1011" customFormat="1" ht="15" x14ac:dyDescent="0.25">
      <c r="A17049" s="859">
        <f t="shared" si="404"/>
        <v>17048</v>
      </c>
      <c r="B17049" s="845" t="s">
        <v>2564</v>
      </c>
      <c r="C17049" s="1007">
        <f t="shared" si="403"/>
        <v>178</v>
      </c>
      <c r="D17049" s="1012"/>
      <c r="H17049" s="1011" t="s">
        <v>1007</v>
      </c>
      <c r="K17049" s="1013"/>
    </row>
    <row r="17050" spans="1:11" s="1011" customFormat="1" ht="15" x14ac:dyDescent="0.25">
      <c r="A17050" s="859">
        <f t="shared" si="404"/>
        <v>17049</v>
      </c>
      <c r="B17050" s="845" t="s">
        <v>2564</v>
      </c>
      <c r="C17050" s="1007">
        <f t="shared" si="403"/>
        <v>178</v>
      </c>
      <c r="D17050" s="1015"/>
      <c r="I17050" s="1011" t="s">
        <v>2176</v>
      </c>
      <c r="K17050" s="1013"/>
    </row>
    <row r="17051" spans="1:11" s="1011" customFormat="1" ht="15" x14ac:dyDescent="0.25">
      <c r="A17051" s="859">
        <f t="shared" si="404"/>
        <v>17050</v>
      </c>
      <c r="B17051" s="845" t="s">
        <v>2564</v>
      </c>
      <c r="C17051" s="1007">
        <f t="shared" si="403"/>
        <v>178</v>
      </c>
      <c r="D17051" s="1012"/>
      <c r="I17051" s="1011" t="str">
        <f>CONCATENATE("&lt;valeur&gt;",VLOOKUP(C17051,'T16 Amort'!A:K,4,0),"&lt;/valeur&gt;")</f>
        <v>&lt;valeur&gt;&lt;/valeur&gt;</v>
      </c>
      <c r="K17051" s="1013"/>
    </row>
    <row r="17052" spans="1:11" s="1011" customFormat="1" ht="15" x14ac:dyDescent="0.25">
      <c r="A17052" s="859">
        <f t="shared" si="404"/>
        <v>17051</v>
      </c>
      <c r="B17052" s="845" t="s">
        <v>2564</v>
      </c>
      <c r="C17052" s="1007">
        <f t="shared" si="403"/>
        <v>178</v>
      </c>
      <c r="D17052" s="1012"/>
      <c r="I17052" s="1011" t="str">
        <f>CONCATENATE("&lt;numeroLigne&gt;",C17052,"&lt;/numeroLigne&gt;")</f>
        <v>&lt;numeroLigne&gt;178&lt;/numeroLigne&gt;</v>
      </c>
      <c r="K17052" s="1013"/>
    </row>
    <row r="17053" spans="1:11" s="1011" customFormat="1" ht="15" x14ac:dyDescent="0.25">
      <c r="A17053" s="859">
        <f t="shared" si="404"/>
        <v>17052</v>
      </c>
      <c r="B17053" s="845" t="s">
        <v>2564</v>
      </c>
      <c r="C17053" s="1007">
        <f t="shared" si="403"/>
        <v>178</v>
      </c>
      <c r="D17053" s="1014"/>
      <c r="H17053" s="1011" t="s">
        <v>1010</v>
      </c>
      <c r="K17053" s="1013"/>
    </row>
    <row r="17054" spans="1:11" s="1011" customFormat="1" ht="15" x14ac:dyDescent="0.25">
      <c r="A17054" s="859">
        <f t="shared" si="404"/>
        <v>17053</v>
      </c>
      <c r="B17054" s="845" t="s">
        <v>2564</v>
      </c>
      <c r="C17054" s="1007">
        <f t="shared" si="403"/>
        <v>178</v>
      </c>
      <c r="D17054" s="1014"/>
      <c r="H17054" s="1011" t="s">
        <v>1007</v>
      </c>
      <c r="K17054" s="1013"/>
    </row>
    <row r="17055" spans="1:11" s="1011" customFormat="1" ht="15" x14ac:dyDescent="0.25">
      <c r="A17055" s="859">
        <f t="shared" si="404"/>
        <v>17054</v>
      </c>
      <c r="B17055" s="845" t="s">
        <v>2564</v>
      </c>
      <c r="C17055" s="1007">
        <f t="shared" si="403"/>
        <v>178</v>
      </c>
      <c r="D17055" s="1012"/>
      <c r="I17055" s="1011" t="s">
        <v>2177</v>
      </c>
      <c r="K17055" s="1013"/>
    </row>
    <row r="17056" spans="1:11" s="1011" customFormat="1" ht="15" x14ac:dyDescent="0.25">
      <c r="A17056" s="859">
        <f t="shared" si="404"/>
        <v>17055</v>
      </c>
      <c r="B17056" s="845" t="s">
        <v>2564</v>
      </c>
      <c r="C17056" s="1007">
        <f t="shared" si="403"/>
        <v>178</v>
      </c>
      <c r="D17056" s="1015"/>
      <c r="I17056" s="1011" t="str">
        <f>CONCATENATE("&lt;valeur&gt;",VLOOKUP(C17056,'T16 Amort'!A:K,5,0),"&lt;/valeur&gt;")</f>
        <v>&lt;valeur&gt;&lt;/valeur&gt;</v>
      </c>
      <c r="K17056" s="1013"/>
    </row>
    <row r="17057" spans="1:11" s="1011" customFormat="1" ht="15" x14ac:dyDescent="0.25">
      <c r="A17057" s="859">
        <f t="shared" si="404"/>
        <v>17056</v>
      </c>
      <c r="B17057" s="845" t="s">
        <v>2564</v>
      </c>
      <c r="C17057" s="1007">
        <f t="shared" si="403"/>
        <v>178</v>
      </c>
      <c r="D17057" s="1012"/>
      <c r="I17057" s="1011" t="str">
        <f>CONCATENATE("&lt;numeroLigne&gt;",C17057,"&lt;/numeroLigne&gt;")</f>
        <v>&lt;numeroLigne&gt;178&lt;/numeroLigne&gt;</v>
      </c>
      <c r="K17057" s="1013"/>
    </row>
    <row r="17058" spans="1:11" s="1011" customFormat="1" ht="15" x14ac:dyDescent="0.25">
      <c r="A17058" s="859">
        <f t="shared" si="404"/>
        <v>17057</v>
      </c>
      <c r="B17058" s="845" t="s">
        <v>2564</v>
      </c>
      <c r="C17058" s="1007">
        <f t="shared" si="403"/>
        <v>178</v>
      </c>
      <c r="D17058" s="1012"/>
      <c r="H17058" s="1011" t="s">
        <v>1010</v>
      </c>
      <c r="K17058" s="1013"/>
    </row>
    <row r="17059" spans="1:11" s="1011" customFormat="1" ht="15" x14ac:dyDescent="0.25">
      <c r="A17059" s="859">
        <f t="shared" si="404"/>
        <v>17058</v>
      </c>
      <c r="B17059" s="845" t="s">
        <v>2564</v>
      </c>
      <c r="C17059" s="1007">
        <f t="shared" si="403"/>
        <v>178</v>
      </c>
      <c r="D17059" s="1014"/>
      <c r="H17059" s="1011" t="s">
        <v>1007</v>
      </c>
      <c r="K17059" s="1013"/>
    </row>
    <row r="17060" spans="1:11" s="1011" customFormat="1" ht="15" x14ac:dyDescent="0.25">
      <c r="A17060" s="859">
        <f t="shared" si="404"/>
        <v>17059</v>
      </c>
      <c r="B17060" s="845" t="s">
        <v>2564</v>
      </c>
      <c r="C17060" s="1007">
        <f t="shared" si="403"/>
        <v>178</v>
      </c>
      <c r="D17060" s="1014"/>
      <c r="I17060" s="1011" t="s">
        <v>2178</v>
      </c>
      <c r="K17060" s="1013"/>
    </row>
    <row r="17061" spans="1:11" s="1011" customFormat="1" ht="15" x14ac:dyDescent="0.25">
      <c r="A17061" s="859">
        <f t="shared" si="404"/>
        <v>17060</v>
      </c>
      <c r="B17061" s="845" t="s">
        <v>2564</v>
      </c>
      <c r="C17061" s="1007">
        <f t="shared" si="403"/>
        <v>178</v>
      </c>
      <c r="D17061" s="1012"/>
      <c r="I17061" s="1011" t="str">
        <f>CONCATENATE("&lt;valeur&gt;",VLOOKUP(C17061,'T16 Amort'!A:K,6,0),"&lt;/valeur&gt;")</f>
        <v>&lt;valeur&gt;&lt;/valeur&gt;</v>
      </c>
      <c r="K17061" s="1013"/>
    </row>
    <row r="17062" spans="1:11" s="1011" customFormat="1" ht="15" x14ac:dyDescent="0.25">
      <c r="A17062" s="859">
        <f t="shared" si="404"/>
        <v>17061</v>
      </c>
      <c r="B17062" s="845" t="s">
        <v>2564</v>
      </c>
      <c r="C17062" s="1007">
        <f t="shared" si="403"/>
        <v>178</v>
      </c>
      <c r="D17062" s="1015"/>
      <c r="I17062" s="1011" t="str">
        <f>CONCATENATE("&lt;numeroLigne&gt;",C17062,"&lt;/numeroLigne&gt;")</f>
        <v>&lt;numeroLigne&gt;178&lt;/numeroLigne&gt;</v>
      </c>
      <c r="K17062" s="1013"/>
    </row>
    <row r="17063" spans="1:11" s="1011" customFormat="1" ht="15" x14ac:dyDescent="0.25">
      <c r="A17063" s="859">
        <f t="shared" si="404"/>
        <v>17062</v>
      </c>
      <c r="B17063" s="845" t="s">
        <v>2564</v>
      </c>
      <c r="C17063" s="1007">
        <f t="shared" si="403"/>
        <v>178</v>
      </c>
      <c r="D17063" s="1012"/>
      <c r="H17063" s="1011" t="s">
        <v>1010</v>
      </c>
      <c r="K17063" s="1013"/>
    </row>
    <row r="17064" spans="1:11" s="1011" customFormat="1" ht="15" x14ac:dyDescent="0.25">
      <c r="A17064" s="859">
        <f t="shared" si="404"/>
        <v>17063</v>
      </c>
      <c r="B17064" s="845" t="s">
        <v>2564</v>
      </c>
      <c r="C17064" s="1007">
        <f t="shared" si="403"/>
        <v>178</v>
      </c>
      <c r="D17064" s="1012"/>
      <c r="H17064" s="1011" t="s">
        <v>1007</v>
      </c>
      <c r="K17064" s="1013"/>
    </row>
    <row r="17065" spans="1:11" s="1011" customFormat="1" ht="15" x14ac:dyDescent="0.25">
      <c r="A17065" s="859">
        <f t="shared" si="404"/>
        <v>17064</v>
      </c>
      <c r="B17065" s="845" t="s">
        <v>2564</v>
      </c>
      <c r="C17065" s="1007">
        <f t="shared" si="403"/>
        <v>178</v>
      </c>
      <c r="D17065" s="1014"/>
      <c r="I17065" s="1011" t="s">
        <v>2179</v>
      </c>
      <c r="K17065" s="1013"/>
    </row>
    <row r="17066" spans="1:11" s="1011" customFormat="1" ht="15" x14ac:dyDescent="0.25">
      <c r="A17066" s="859">
        <f t="shared" si="404"/>
        <v>17065</v>
      </c>
      <c r="B17066" s="845" t="s">
        <v>2564</v>
      </c>
      <c r="C17066" s="1007">
        <f t="shared" si="403"/>
        <v>178</v>
      </c>
      <c r="D17066" s="1014"/>
      <c r="I17066" s="1011" t="str">
        <f>CONCATENATE("&lt;valeur&gt;",VLOOKUP(C17066,'T16 Amort'!A:K,7,0),"&lt;/valeur&gt;")</f>
        <v>&lt;valeur&gt;&lt;/valeur&gt;</v>
      </c>
      <c r="K17066" s="1013"/>
    </row>
    <row r="17067" spans="1:11" s="1011" customFormat="1" ht="15" x14ac:dyDescent="0.25">
      <c r="A17067" s="859">
        <f t="shared" si="404"/>
        <v>17066</v>
      </c>
      <c r="B17067" s="845" t="s">
        <v>2564</v>
      </c>
      <c r="C17067" s="1007">
        <f t="shared" si="403"/>
        <v>178</v>
      </c>
      <c r="D17067" s="1012"/>
      <c r="I17067" s="1011" t="str">
        <f>CONCATENATE("&lt;numeroLigne&gt;",C17067,"&lt;/numeroLigne&gt;")</f>
        <v>&lt;numeroLigne&gt;178&lt;/numeroLigne&gt;</v>
      </c>
      <c r="K17067" s="1013"/>
    </row>
    <row r="17068" spans="1:11" s="1011" customFormat="1" ht="15" x14ac:dyDescent="0.25">
      <c r="A17068" s="859">
        <f t="shared" si="404"/>
        <v>17067</v>
      </c>
      <c r="B17068" s="845" t="s">
        <v>2564</v>
      </c>
      <c r="C17068" s="1007">
        <f t="shared" si="403"/>
        <v>178</v>
      </c>
      <c r="D17068" s="1015"/>
      <c r="H17068" s="1011" t="s">
        <v>1010</v>
      </c>
      <c r="K17068" s="1013"/>
    </row>
    <row r="17069" spans="1:11" s="1011" customFormat="1" ht="15" x14ac:dyDescent="0.25">
      <c r="A17069" s="859">
        <f t="shared" si="404"/>
        <v>17068</v>
      </c>
      <c r="B17069" s="845" t="s">
        <v>2564</v>
      </c>
      <c r="C17069" s="1007">
        <f t="shared" si="403"/>
        <v>178</v>
      </c>
      <c r="D17069" s="1012"/>
      <c r="H17069" s="1011" t="s">
        <v>1007</v>
      </c>
      <c r="K17069" s="1013"/>
    </row>
    <row r="17070" spans="1:11" s="1011" customFormat="1" ht="15" x14ac:dyDescent="0.25">
      <c r="A17070" s="859">
        <f t="shared" si="404"/>
        <v>17069</v>
      </c>
      <c r="B17070" s="845" t="s">
        <v>2564</v>
      </c>
      <c r="C17070" s="1007">
        <f t="shared" si="403"/>
        <v>178</v>
      </c>
      <c r="D17070" s="1012"/>
      <c r="I17070" s="1011" t="s">
        <v>2180</v>
      </c>
      <c r="K17070" s="1013"/>
    </row>
    <row r="17071" spans="1:11" s="1011" customFormat="1" ht="15" x14ac:dyDescent="0.25">
      <c r="A17071" s="859">
        <f t="shared" si="404"/>
        <v>17070</v>
      </c>
      <c r="B17071" s="845" t="s">
        <v>2564</v>
      </c>
      <c r="C17071" s="1007">
        <f t="shared" ref="C17071:C17134" si="405">C17021+1</f>
        <v>178</v>
      </c>
      <c r="D17071" s="1014"/>
      <c r="I17071" s="1011" t="str">
        <f>CONCATENATE("&lt;valeur&gt;",VLOOKUP(C17071,'T16 Amort'!A:K,8,0),"&lt;/valeur&gt;")</f>
        <v>&lt;valeur&gt;&lt;/valeur&gt;</v>
      </c>
      <c r="K17071" s="1013"/>
    </row>
    <row r="17072" spans="1:11" s="1011" customFormat="1" ht="15" x14ac:dyDescent="0.25">
      <c r="A17072" s="859">
        <f t="shared" si="404"/>
        <v>17071</v>
      </c>
      <c r="B17072" s="845" t="s">
        <v>2564</v>
      </c>
      <c r="C17072" s="1007">
        <f t="shared" si="405"/>
        <v>178</v>
      </c>
      <c r="D17072" s="1014"/>
      <c r="I17072" s="1011" t="str">
        <f>CONCATENATE("&lt;numeroLigne&gt;",C17072,"&lt;/numeroLigne&gt;")</f>
        <v>&lt;numeroLigne&gt;178&lt;/numeroLigne&gt;</v>
      </c>
      <c r="K17072" s="1013"/>
    </row>
    <row r="17073" spans="1:11" s="1011" customFormat="1" ht="15" x14ac:dyDescent="0.25">
      <c r="A17073" s="859">
        <f t="shared" si="404"/>
        <v>17072</v>
      </c>
      <c r="B17073" s="845" t="s">
        <v>2564</v>
      </c>
      <c r="C17073" s="1007">
        <f t="shared" si="405"/>
        <v>178</v>
      </c>
      <c r="D17073" s="1012"/>
      <c r="H17073" s="1011" t="s">
        <v>1010</v>
      </c>
      <c r="K17073" s="1013"/>
    </row>
    <row r="17074" spans="1:11" s="1011" customFormat="1" ht="15" x14ac:dyDescent="0.25">
      <c r="A17074" s="859">
        <f t="shared" si="404"/>
        <v>17073</v>
      </c>
      <c r="B17074" s="845" t="s">
        <v>2564</v>
      </c>
      <c r="C17074" s="1007">
        <f t="shared" si="405"/>
        <v>178</v>
      </c>
      <c r="D17074" s="1015"/>
      <c r="H17074" s="1011" t="s">
        <v>1007</v>
      </c>
      <c r="K17074" s="1013"/>
    </row>
    <row r="17075" spans="1:11" s="1011" customFormat="1" ht="15" x14ac:dyDescent="0.25">
      <c r="A17075" s="859">
        <f t="shared" si="404"/>
        <v>17074</v>
      </c>
      <c r="B17075" s="845" t="s">
        <v>2564</v>
      </c>
      <c r="C17075" s="1007">
        <f t="shared" si="405"/>
        <v>178</v>
      </c>
      <c r="D17075" s="1012"/>
      <c r="I17075" s="1011" t="s">
        <v>2181</v>
      </c>
      <c r="K17075" s="1013"/>
    </row>
    <row r="17076" spans="1:11" s="1011" customFormat="1" ht="15" x14ac:dyDescent="0.25">
      <c r="A17076" s="859">
        <f t="shared" si="404"/>
        <v>17075</v>
      </c>
      <c r="B17076" s="845" t="s">
        <v>2564</v>
      </c>
      <c r="C17076" s="1007">
        <f t="shared" si="405"/>
        <v>178</v>
      </c>
      <c r="D17076" s="1012"/>
      <c r="I17076" s="1011" t="str">
        <f>CONCATENATE("&lt;valeur&gt;",VLOOKUP(C17076,'T16 Amort'!A:K,9,0),"&lt;/valeur&gt;")</f>
        <v>&lt;valeur&gt;&lt;/valeur&gt;</v>
      </c>
      <c r="K17076" s="1013"/>
    </row>
    <row r="17077" spans="1:11" s="1011" customFormat="1" ht="15" x14ac:dyDescent="0.25">
      <c r="A17077" s="859">
        <f t="shared" si="404"/>
        <v>17076</v>
      </c>
      <c r="B17077" s="845" t="s">
        <v>2564</v>
      </c>
      <c r="C17077" s="1007">
        <f t="shared" si="405"/>
        <v>178</v>
      </c>
      <c r="D17077" s="1014"/>
      <c r="I17077" s="1011" t="str">
        <f>CONCATENATE("&lt;numeroLigne&gt;",C17077,"&lt;/numeroLigne&gt;")</f>
        <v>&lt;numeroLigne&gt;178&lt;/numeroLigne&gt;</v>
      </c>
      <c r="K17077" s="1013"/>
    </row>
    <row r="17078" spans="1:11" s="1011" customFormat="1" ht="15" x14ac:dyDescent="0.25">
      <c r="A17078" s="859">
        <f t="shared" si="404"/>
        <v>17077</v>
      </c>
      <c r="B17078" s="845" t="s">
        <v>2564</v>
      </c>
      <c r="C17078" s="1007">
        <f t="shared" si="405"/>
        <v>178</v>
      </c>
      <c r="D17078" s="1014"/>
      <c r="H17078" s="1011" t="s">
        <v>1010</v>
      </c>
      <c r="K17078" s="1013"/>
    </row>
    <row r="17079" spans="1:11" s="1011" customFormat="1" ht="15" x14ac:dyDescent="0.25">
      <c r="A17079" s="859">
        <f t="shared" si="404"/>
        <v>17078</v>
      </c>
      <c r="B17079" s="845" t="s">
        <v>2564</v>
      </c>
      <c r="C17079" s="1007">
        <f t="shared" si="405"/>
        <v>178</v>
      </c>
      <c r="D17079" s="1012"/>
      <c r="H17079" s="1011" t="s">
        <v>1007</v>
      </c>
      <c r="K17079" s="1013"/>
    </row>
    <row r="17080" spans="1:11" s="1011" customFormat="1" ht="15" x14ac:dyDescent="0.25">
      <c r="A17080" s="859">
        <f t="shared" si="404"/>
        <v>17079</v>
      </c>
      <c r="B17080" s="845" t="s">
        <v>2564</v>
      </c>
      <c r="C17080" s="1007">
        <f t="shared" si="405"/>
        <v>178</v>
      </c>
      <c r="D17080" s="1015"/>
      <c r="I17080" s="1011" t="s">
        <v>2182</v>
      </c>
      <c r="K17080" s="1013"/>
    </row>
    <row r="17081" spans="1:11" s="1011" customFormat="1" ht="15" x14ac:dyDescent="0.25">
      <c r="A17081" s="859">
        <f t="shared" si="404"/>
        <v>17080</v>
      </c>
      <c r="B17081" s="845" t="s">
        <v>2564</v>
      </c>
      <c r="C17081" s="1007">
        <f t="shared" si="405"/>
        <v>178</v>
      </c>
      <c r="D17081" s="1012"/>
      <c r="I17081" s="1011" t="str">
        <f>CONCATENATE("&lt;valeur&gt;",VLOOKUP(C17081,'T16 Amort'!A:K,10,0),"&lt;/valeur&gt;")</f>
        <v>&lt;valeur&gt;&lt;/valeur&gt;</v>
      </c>
      <c r="K17081" s="1013"/>
    </row>
    <row r="17082" spans="1:11" s="1011" customFormat="1" ht="15" x14ac:dyDescent="0.25">
      <c r="A17082" s="859">
        <f t="shared" si="404"/>
        <v>17081</v>
      </c>
      <c r="B17082" s="845" t="s">
        <v>2564</v>
      </c>
      <c r="C17082" s="1007">
        <f t="shared" si="405"/>
        <v>178</v>
      </c>
      <c r="D17082" s="1012"/>
      <c r="I17082" s="1011" t="str">
        <f>CONCATENATE("&lt;numeroLigne&gt;",C17082,"&lt;/numeroLigne&gt;")</f>
        <v>&lt;numeroLigne&gt;178&lt;/numeroLigne&gt;</v>
      </c>
      <c r="K17082" s="1013"/>
    </row>
    <row r="17083" spans="1:11" s="1011" customFormat="1" ht="15" x14ac:dyDescent="0.25">
      <c r="A17083" s="859">
        <f t="shared" si="404"/>
        <v>17082</v>
      </c>
      <c r="B17083" s="845" t="s">
        <v>2564</v>
      </c>
      <c r="C17083" s="1007">
        <f t="shared" si="405"/>
        <v>178</v>
      </c>
      <c r="D17083" s="1014"/>
      <c r="H17083" s="1011" t="s">
        <v>1010</v>
      </c>
      <c r="K17083" s="1013"/>
    </row>
    <row r="17084" spans="1:11" s="1011" customFormat="1" ht="15" x14ac:dyDescent="0.25">
      <c r="A17084" s="859">
        <f t="shared" si="404"/>
        <v>17083</v>
      </c>
      <c r="B17084" s="845" t="s">
        <v>2564</v>
      </c>
      <c r="C17084" s="1007">
        <f t="shared" si="405"/>
        <v>178</v>
      </c>
      <c r="D17084" s="1014"/>
      <c r="H17084" s="1011" t="s">
        <v>1007</v>
      </c>
      <c r="K17084" s="1013"/>
    </row>
    <row r="17085" spans="1:11" s="1011" customFormat="1" ht="15" x14ac:dyDescent="0.25">
      <c r="A17085" s="859">
        <f t="shared" si="404"/>
        <v>17084</v>
      </c>
      <c r="B17085" s="845" t="s">
        <v>2564</v>
      </c>
      <c r="C17085" s="1007">
        <f t="shared" si="405"/>
        <v>178</v>
      </c>
      <c r="D17085" s="1012"/>
      <c r="I17085" s="1011" t="s">
        <v>2183</v>
      </c>
      <c r="K17085" s="1013"/>
    </row>
    <row r="17086" spans="1:11" s="1011" customFormat="1" ht="15" x14ac:dyDescent="0.25">
      <c r="A17086" s="859">
        <f t="shared" si="404"/>
        <v>17085</v>
      </c>
      <c r="B17086" s="845" t="s">
        <v>2564</v>
      </c>
      <c r="C17086" s="1007">
        <f t="shared" si="405"/>
        <v>178</v>
      </c>
      <c r="D17086" s="1015"/>
      <c r="I17086" s="1011" t="str">
        <f>CONCATENATE("&lt;valeur&gt;",VLOOKUP(C17086,'T16 Amort'!A:K,11,0),"&lt;/valeur&gt;")</f>
        <v>&lt;valeur&gt;&lt;/valeur&gt;</v>
      </c>
      <c r="K17086" s="1013"/>
    </row>
    <row r="17087" spans="1:11" s="1011" customFormat="1" ht="15" x14ac:dyDescent="0.25">
      <c r="A17087" s="859">
        <f t="shared" si="404"/>
        <v>17086</v>
      </c>
      <c r="B17087" s="845" t="s">
        <v>2564</v>
      </c>
      <c r="C17087" s="1007">
        <f t="shared" si="405"/>
        <v>178</v>
      </c>
      <c r="D17087" s="1012"/>
      <c r="I17087" s="1011" t="str">
        <f>CONCATENATE("&lt;numeroLigne&gt;",C17087,"&lt;/numeroLigne&gt;")</f>
        <v>&lt;numeroLigne&gt;178&lt;/numeroLigne&gt;</v>
      </c>
      <c r="K17087" s="1013"/>
    </row>
    <row r="17088" spans="1:11" s="1011" customFormat="1" ht="15" x14ac:dyDescent="0.25">
      <c r="A17088" s="859">
        <f t="shared" si="404"/>
        <v>17087</v>
      </c>
      <c r="B17088" s="845" t="s">
        <v>2564</v>
      </c>
      <c r="C17088" s="1007">
        <f t="shared" si="405"/>
        <v>178</v>
      </c>
      <c r="D17088" s="1016"/>
      <c r="E17088" s="1017"/>
      <c r="F17088" s="1017"/>
      <c r="G17088" s="1017"/>
      <c r="H17088" s="1017" t="s">
        <v>1010</v>
      </c>
      <c r="I17088" s="1017"/>
      <c r="J17088" s="1017"/>
      <c r="K17088" s="1018"/>
    </row>
    <row r="17089" spans="1:11" s="1011" customFormat="1" ht="15" x14ac:dyDescent="0.25">
      <c r="A17089" s="859">
        <f t="shared" si="404"/>
        <v>17088</v>
      </c>
      <c r="B17089" s="845" t="s">
        <v>2564</v>
      </c>
      <c r="C17089" s="1007">
        <f t="shared" si="405"/>
        <v>179</v>
      </c>
      <c r="D17089" s="1008"/>
      <c r="E17089" s="1009"/>
      <c r="F17089" s="1009"/>
      <c r="G17089" s="1009"/>
      <c r="H17089" s="1009" t="s">
        <v>1007</v>
      </c>
      <c r="I17089" s="1009"/>
      <c r="J17089" s="1009"/>
      <c r="K17089" s="1010"/>
    </row>
    <row r="17090" spans="1:11" s="1011" customFormat="1" ht="15" x14ac:dyDescent="0.25">
      <c r="A17090" s="859">
        <f t="shared" si="404"/>
        <v>17089</v>
      </c>
      <c r="B17090" s="845" t="s">
        <v>2564</v>
      </c>
      <c r="C17090" s="1007">
        <f t="shared" si="405"/>
        <v>179</v>
      </c>
      <c r="D17090" s="1012"/>
      <c r="I17090" s="1011" t="s">
        <v>2174</v>
      </c>
      <c r="K17090" s="1013"/>
    </row>
    <row r="17091" spans="1:11" s="1011" customFormat="1" ht="15" x14ac:dyDescent="0.25">
      <c r="A17091" s="859">
        <f t="shared" si="404"/>
        <v>17090</v>
      </c>
      <c r="B17091" s="845" t="s">
        <v>2564</v>
      </c>
      <c r="C17091" s="1007">
        <f t="shared" si="405"/>
        <v>179</v>
      </c>
      <c r="D17091" s="1014"/>
      <c r="I17091" s="1011" t="str">
        <f>CONCATENATE("&lt;valeur&gt;",VLOOKUP(C17091,'T16 Amort'!A:K,2,0),"&lt;/valeur&gt;")</f>
        <v>&lt;valeur&gt;&lt;/valeur&gt;</v>
      </c>
      <c r="K17091" s="1013"/>
    </row>
    <row r="17092" spans="1:11" s="1011" customFormat="1" ht="15" x14ac:dyDescent="0.25">
      <c r="A17092" s="859">
        <f t="shared" ref="A17092:A17155" si="406">+A17091+1</f>
        <v>17091</v>
      </c>
      <c r="B17092" s="845" t="s">
        <v>2564</v>
      </c>
      <c r="C17092" s="1007">
        <f t="shared" si="405"/>
        <v>179</v>
      </c>
      <c r="D17092" s="1014"/>
      <c r="I17092" s="1011" t="str">
        <f>CONCATENATE("&lt;numeroLigne&gt;",C17092,"&lt;/numeroLigne&gt;")</f>
        <v>&lt;numeroLigne&gt;179&lt;/numeroLigne&gt;</v>
      </c>
      <c r="K17092" s="1013"/>
    </row>
    <row r="17093" spans="1:11" s="1011" customFormat="1" ht="15" x14ac:dyDescent="0.25">
      <c r="A17093" s="859">
        <f t="shared" si="406"/>
        <v>17092</v>
      </c>
      <c r="B17093" s="845" t="s">
        <v>2564</v>
      </c>
      <c r="C17093" s="1007">
        <f t="shared" si="405"/>
        <v>179</v>
      </c>
      <c r="D17093" s="1012"/>
      <c r="H17093" s="1011" t="s">
        <v>1010</v>
      </c>
      <c r="K17093" s="1013"/>
    </row>
    <row r="17094" spans="1:11" s="1011" customFormat="1" ht="15" x14ac:dyDescent="0.25">
      <c r="A17094" s="859">
        <f t="shared" si="406"/>
        <v>17093</v>
      </c>
      <c r="B17094" s="845" t="s">
        <v>2564</v>
      </c>
      <c r="C17094" s="1007">
        <f t="shared" si="405"/>
        <v>179</v>
      </c>
      <c r="D17094" s="1015"/>
      <c r="H17094" s="1011" t="s">
        <v>1007</v>
      </c>
      <c r="K17094" s="1013"/>
    </row>
    <row r="17095" spans="1:11" s="1011" customFormat="1" ht="15" x14ac:dyDescent="0.25">
      <c r="A17095" s="859">
        <f t="shared" si="406"/>
        <v>17094</v>
      </c>
      <c r="B17095" s="845" t="s">
        <v>2564</v>
      </c>
      <c r="C17095" s="1007">
        <f t="shared" si="405"/>
        <v>179</v>
      </c>
      <c r="D17095" s="1012"/>
      <c r="I17095" s="1011" t="s">
        <v>2175</v>
      </c>
      <c r="K17095" s="1013"/>
    </row>
    <row r="17096" spans="1:11" s="1011" customFormat="1" ht="15" x14ac:dyDescent="0.25">
      <c r="A17096" s="859">
        <f t="shared" si="406"/>
        <v>17095</v>
      </c>
      <c r="B17096" s="845" t="s">
        <v>2564</v>
      </c>
      <c r="C17096" s="1007">
        <f t="shared" si="405"/>
        <v>179</v>
      </c>
      <c r="D17096" s="1012"/>
      <c r="I17096" s="1011" t="str">
        <f>CONCATENATE("&lt;valeur&gt;",VLOOKUP(C17096,'T16 Amort'!A:K,3,0),"&lt;/valeur&gt;")</f>
        <v>&lt;valeur&gt;&lt;/valeur&gt;</v>
      </c>
      <c r="K17096" s="1013"/>
    </row>
    <row r="17097" spans="1:11" s="1011" customFormat="1" ht="15" x14ac:dyDescent="0.25">
      <c r="A17097" s="859">
        <f t="shared" si="406"/>
        <v>17096</v>
      </c>
      <c r="B17097" s="845" t="s">
        <v>2564</v>
      </c>
      <c r="C17097" s="1007">
        <f t="shared" si="405"/>
        <v>179</v>
      </c>
      <c r="D17097" s="1014"/>
      <c r="I17097" s="1011" t="str">
        <f>CONCATENATE("&lt;numeroLigne&gt;",C17097,"&lt;/numeroLigne&gt;")</f>
        <v>&lt;numeroLigne&gt;179&lt;/numeroLigne&gt;</v>
      </c>
      <c r="K17097" s="1013"/>
    </row>
    <row r="17098" spans="1:11" s="1011" customFormat="1" ht="15" x14ac:dyDescent="0.25">
      <c r="A17098" s="859">
        <f t="shared" si="406"/>
        <v>17097</v>
      </c>
      <c r="B17098" s="845" t="s">
        <v>2564</v>
      </c>
      <c r="C17098" s="1007">
        <f t="shared" si="405"/>
        <v>179</v>
      </c>
      <c r="D17098" s="1014"/>
      <c r="H17098" s="1011" t="s">
        <v>1010</v>
      </c>
      <c r="K17098" s="1013"/>
    </row>
    <row r="17099" spans="1:11" s="1011" customFormat="1" ht="15" x14ac:dyDescent="0.25">
      <c r="A17099" s="859">
        <f t="shared" si="406"/>
        <v>17098</v>
      </c>
      <c r="B17099" s="845" t="s">
        <v>2564</v>
      </c>
      <c r="C17099" s="1007">
        <f t="shared" si="405"/>
        <v>179</v>
      </c>
      <c r="D17099" s="1012"/>
      <c r="H17099" s="1011" t="s">
        <v>1007</v>
      </c>
      <c r="K17099" s="1013"/>
    </row>
    <row r="17100" spans="1:11" s="1011" customFormat="1" ht="15" x14ac:dyDescent="0.25">
      <c r="A17100" s="859">
        <f t="shared" si="406"/>
        <v>17099</v>
      </c>
      <c r="B17100" s="845" t="s">
        <v>2564</v>
      </c>
      <c r="C17100" s="1007">
        <f t="shared" si="405"/>
        <v>179</v>
      </c>
      <c r="D17100" s="1015"/>
      <c r="I17100" s="1011" t="s">
        <v>2176</v>
      </c>
      <c r="K17100" s="1013"/>
    </row>
    <row r="17101" spans="1:11" s="1011" customFormat="1" ht="15" x14ac:dyDescent="0.25">
      <c r="A17101" s="859">
        <f t="shared" si="406"/>
        <v>17100</v>
      </c>
      <c r="B17101" s="845" t="s">
        <v>2564</v>
      </c>
      <c r="C17101" s="1007">
        <f t="shared" si="405"/>
        <v>179</v>
      </c>
      <c r="D17101" s="1012"/>
      <c r="I17101" s="1011" t="str">
        <f>CONCATENATE("&lt;valeur&gt;",VLOOKUP(C17101,'T16 Amort'!A:K,4,0),"&lt;/valeur&gt;")</f>
        <v>&lt;valeur&gt;&lt;/valeur&gt;</v>
      </c>
      <c r="K17101" s="1013"/>
    </row>
    <row r="17102" spans="1:11" s="1011" customFormat="1" ht="15" x14ac:dyDescent="0.25">
      <c r="A17102" s="859">
        <f t="shared" si="406"/>
        <v>17101</v>
      </c>
      <c r="B17102" s="845" t="s">
        <v>2564</v>
      </c>
      <c r="C17102" s="1007">
        <f t="shared" si="405"/>
        <v>179</v>
      </c>
      <c r="D17102" s="1012"/>
      <c r="I17102" s="1011" t="str">
        <f>CONCATENATE("&lt;numeroLigne&gt;",C17102,"&lt;/numeroLigne&gt;")</f>
        <v>&lt;numeroLigne&gt;179&lt;/numeroLigne&gt;</v>
      </c>
      <c r="K17102" s="1013"/>
    </row>
    <row r="17103" spans="1:11" s="1011" customFormat="1" ht="15" x14ac:dyDescent="0.25">
      <c r="A17103" s="859">
        <f t="shared" si="406"/>
        <v>17102</v>
      </c>
      <c r="B17103" s="845" t="s">
        <v>2564</v>
      </c>
      <c r="C17103" s="1007">
        <f t="shared" si="405"/>
        <v>179</v>
      </c>
      <c r="D17103" s="1014"/>
      <c r="H17103" s="1011" t="s">
        <v>1010</v>
      </c>
      <c r="K17103" s="1013"/>
    </row>
    <row r="17104" spans="1:11" s="1011" customFormat="1" ht="15" x14ac:dyDescent="0.25">
      <c r="A17104" s="859">
        <f t="shared" si="406"/>
        <v>17103</v>
      </c>
      <c r="B17104" s="845" t="s">
        <v>2564</v>
      </c>
      <c r="C17104" s="1007">
        <f t="shared" si="405"/>
        <v>179</v>
      </c>
      <c r="D17104" s="1014"/>
      <c r="H17104" s="1011" t="s">
        <v>1007</v>
      </c>
      <c r="K17104" s="1013"/>
    </row>
    <row r="17105" spans="1:11" s="1011" customFormat="1" ht="15" x14ac:dyDescent="0.25">
      <c r="A17105" s="859">
        <f t="shared" si="406"/>
        <v>17104</v>
      </c>
      <c r="B17105" s="845" t="s">
        <v>2564</v>
      </c>
      <c r="C17105" s="1007">
        <f t="shared" si="405"/>
        <v>179</v>
      </c>
      <c r="D17105" s="1012"/>
      <c r="I17105" s="1011" t="s">
        <v>2177</v>
      </c>
      <c r="K17105" s="1013"/>
    </row>
    <row r="17106" spans="1:11" s="1011" customFormat="1" ht="15" x14ac:dyDescent="0.25">
      <c r="A17106" s="859">
        <f t="shared" si="406"/>
        <v>17105</v>
      </c>
      <c r="B17106" s="845" t="s">
        <v>2564</v>
      </c>
      <c r="C17106" s="1007">
        <f t="shared" si="405"/>
        <v>179</v>
      </c>
      <c r="D17106" s="1015"/>
      <c r="I17106" s="1011" t="str">
        <f>CONCATENATE("&lt;valeur&gt;",VLOOKUP(C17106,'T16 Amort'!A:K,5,0),"&lt;/valeur&gt;")</f>
        <v>&lt;valeur&gt;&lt;/valeur&gt;</v>
      </c>
      <c r="K17106" s="1013"/>
    </row>
    <row r="17107" spans="1:11" s="1011" customFormat="1" ht="15" x14ac:dyDescent="0.25">
      <c r="A17107" s="859">
        <f t="shared" si="406"/>
        <v>17106</v>
      </c>
      <c r="B17107" s="845" t="s">
        <v>2564</v>
      </c>
      <c r="C17107" s="1007">
        <f t="shared" si="405"/>
        <v>179</v>
      </c>
      <c r="D17107" s="1012"/>
      <c r="I17107" s="1011" t="str">
        <f>CONCATENATE("&lt;numeroLigne&gt;",C17107,"&lt;/numeroLigne&gt;")</f>
        <v>&lt;numeroLigne&gt;179&lt;/numeroLigne&gt;</v>
      </c>
      <c r="K17107" s="1013"/>
    </row>
    <row r="17108" spans="1:11" s="1011" customFormat="1" ht="15" x14ac:dyDescent="0.25">
      <c r="A17108" s="859">
        <f t="shared" si="406"/>
        <v>17107</v>
      </c>
      <c r="B17108" s="845" t="s">
        <v>2564</v>
      </c>
      <c r="C17108" s="1007">
        <f t="shared" si="405"/>
        <v>179</v>
      </c>
      <c r="D17108" s="1012"/>
      <c r="H17108" s="1011" t="s">
        <v>1010</v>
      </c>
      <c r="K17108" s="1013"/>
    </row>
    <row r="17109" spans="1:11" s="1011" customFormat="1" ht="15" x14ac:dyDescent="0.25">
      <c r="A17109" s="859">
        <f t="shared" si="406"/>
        <v>17108</v>
      </c>
      <c r="B17109" s="845" t="s">
        <v>2564</v>
      </c>
      <c r="C17109" s="1007">
        <f t="shared" si="405"/>
        <v>179</v>
      </c>
      <c r="D17109" s="1014"/>
      <c r="H17109" s="1011" t="s">
        <v>1007</v>
      </c>
      <c r="K17109" s="1013"/>
    </row>
    <row r="17110" spans="1:11" s="1011" customFormat="1" ht="15" x14ac:dyDescent="0.25">
      <c r="A17110" s="859">
        <f t="shared" si="406"/>
        <v>17109</v>
      </c>
      <c r="B17110" s="845" t="s">
        <v>2564</v>
      </c>
      <c r="C17110" s="1007">
        <f t="shared" si="405"/>
        <v>179</v>
      </c>
      <c r="D17110" s="1014"/>
      <c r="I17110" s="1011" t="s">
        <v>2178</v>
      </c>
      <c r="K17110" s="1013"/>
    </row>
    <row r="17111" spans="1:11" s="1011" customFormat="1" ht="15" x14ac:dyDescent="0.25">
      <c r="A17111" s="859">
        <f t="shared" si="406"/>
        <v>17110</v>
      </c>
      <c r="B17111" s="845" t="s">
        <v>2564</v>
      </c>
      <c r="C17111" s="1007">
        <f t="shared" si="405"/>
        <v>179</v>
      </c>
      <c r="D17111" s="1012"/>
      <c r="I17111" s="1011" t="str">
        <f>CONCATENATE("&lt;valeur&gt;",VLOOKUP(C17111,'T16 Amort'!A:K,6,0),"&lt;/valeur&gt;")</f>
        <v>&lt;valeur&gt;&lt;/valeur&gt;</v>
      </c>
      <c r="K17111" s="1013"/>
    </row>
    <row r="17112" spans="1:11" s="1011" customFormat="1" ht="15" x14ac:dyDescent="0.25">
      <c r="A17112" s="859">
        <f t="shared" si="406"/>
        <v>17111</v>
      </c>
      <c r="B17112" s="845" t="s">
        <v>2564</v>
      </c>
      <c r="C17112" s="1007">
        <f t="shared" si="405"/>
        <v>179</v>
      </c>
      <c r="D17112" s="1015"/>
      <c r="I17112" s="1011" t="str">
        <f>CONCATENATE("&lt;numeroLigne&gt;",C17112,"&lt;/numeroLigne&gt;")</f>
        <v>&lt;numeroLigne&gt;179&lt;/numeroLigne&gt;</v>
      </c>
      <c r="K17112" s="1013"/>
    </row>
    <row r="17113" spans="1:11" s="1011" customFormat="1" ht="15" x14ac:dyDescent="0.25">
      <c r="A17113" s="859">
        <f t="shared" si="406"/>
        <v>17112</v>
      </c>
      <c r="B17113" s="845" t="s">
        <v>2564</v>
      </c>
      <c r="C17113" s="1007">
        <f t="shared" si="405"/>
        <v>179</v>
      </c>
      <c r="D17113" s="1012"/>
      <c r="H17113" s="1011" t="s">
        <v>1010</v>
      </c>
      <c r="K17113" s="1013"/>
    </row>
    <row r="17114" spans="1:11" s="1011" customFormat="1" ht="15" x14ac:dyDescent="0.25">
      <c r="A17114" s="859">
        <f t="shared" si="406"/>
        <v>17113</v>
      </c>
      <c r="B17114" s="845" t="s">
        <v>2564</v>
      </c>
      <c r="C17114" s="1007">
        <f t="shared" si="405"/>
        <v>179</v>
      </c>
      <c r="D17114" s="1012"/>
      <c r="H17114" s="1011" t="s">
        <v>1007</v>
      </c>
      <c r="K17114" s="1013"/>
    </row>
    <row r="17115" spans="1:11" s="1011" customFormat="1" ht="15" x14ac:dyDescent="0.25">
      <c r="A17115" s="859">
        <f t="shared" si="406"/>
        <v>17114</v>
      </c>
      <c r="B17115" s="845" t="s">
        <v>2564</v>
      </c>
      <c r="C17115" s="1007">
        <f t="shared" si="405"/>
        <v>179</v>
      </c>
      <c r="D17115" s="1014"/>
      <c r="I17115" s="1011" t="s">
        <v>2179</v>
      </c>
      <c r="K17115" s="1013"/>
    </row>
    <row r="17116" spans="1:11" s="1011" customFormat="1" ht="15" x14ac:dyDescent="0.25">
      <c r="A17116" s="859">
        <f t="shared" si="406"/>
        <v>17115</v>
      </c>
      <c r="B17116" s="845" t="s">
        <v>2564</v>
      </c>
      <c r="C17116" s="1007">
        <f t="shared" si="405"/>
        <v>179</v>
      </c>
      <c r="D17116" s="1014"/>
      <c r="I17116" s="1011" t="str">
        <f>CONCATENATE("&lt;valeur&gt;",VLOOKUP(C17116,'T16 Amort'!A:K,7,0),"&lt;/valeur&gt;")</f>
        <v>&lt;valeur&gt;&lt;/valeur&gt;</v>
      </c>
      <c r="K17116" s="1013"/>
    </row>
    <row r="17117" spans="1:11" s="1011" customFormat="1" ht="15" x14ac:dyDescent="0.25">
      <c r="A17117" s="859">
        <f t="shared" si="406"/>
        <v>17116</v>
      </c>
      <c r="B17117" s="845" t="s">
        <v>2564</v>
      </c>
      <c r="C17117" s="1007">
        <f t="shared" si="405"/>
        <v>179</v>
      </c>
      <c r="D17117" s="1012"/>
      <c r="I17117" s="1011" t="str">
        <f>CONCATENATE("&lt;numeroLigne&gt;",C17117,"&lt;/numeroLigne&gt;")</f>
        <v>&lt;numeroLigne&gt;179&lt;/numeroLigne&gt;</v>
      </c>
      <c r="K17117" s="1013"/>
    </row>
    <row r="17118" spans="1:11" s="1011" customFormat="1" ht="15" x14ac:dyDescent="0.25">
      <c r="A17118" s="859">
        <f t="shared" si="406"/>
        <v>17117</v>
      </c>
      <c r="B17118" s="845" t="s">
        <v>2564</v>
      </c>
      <c r="C17118" s="1007">
        <f t="shared" si="405"/>
        <v>179</v>
      </c>
      <c r="D17118" s="1015"/>
      <c r="H17118" s="1011" t="s">
        <v>1010</v>
      </c>
      <c r="K17118" s="1013"/>
    </row>
    <row r="17119" spans="1:11" s="1011" customFormat="1" ht="15" x14ac:dyDescent="0.25">
      <c r="A17119" s="859">
        <f t="shared" si="406"/>
        <v>17118</v>
      </c>
      <c r="B17119" s="845" t="s">
        <v>2564</v>
      </c>
      <c r="C17119" s="1007">
        <f t="shared" si="405"/>
        <v>179</v>
      </c>
      <c r="D17119" s="1012"/>
      <c r="H17119" s="1011" t="s">
        <v>1007</v>
      </c>
      <c r="K17119" s="1013"/>
    </row>
    <row r="17120" spans="1:11" s="1011" customFormat="1" ht="15" x14ac:dyDescent="0.25">
      <c r="A17120" s="859">
        <f t="shared" si="406"/>
        <v>17119</v>
      </c>
      <c r="B17120" s="845" t="s">
        <v>2564</v>
      </c>
      <c r="C17120" s="1007">
        <f t="shared" si="405"/>
        <v>179</v>
      </c>
      <c r="D17120" s="1012"/>
      <c r="I17120" s="1011" t="s">
        <v>2180</v>
      </c>
      <c r="K17120" s="1013"/>
    </row>
    <row r="17121" spans="1:11" s="1011" customFormat="1" ht="15" x14ac:dyDescent="0.25">
      <c r="A17121" s="859">
        <f t="shared" si="406"/>
        <v>17120</v>
      </c>
      <c r="B17121" s="845" t="s">
        <v>2564</v>
      </c>
      <c r="C17121" s="1007">
        <f t="shared" si="405"/>
        <v>179</v>
      </c>
      <c r="D17121" s="1014"/>
      <c r="I17121" s="1011" t="str">
        <f>CONCATENATE("&lt;valeur&gt;",VLOOKUP(C17121,'T16 Amort'!A:K,8,0),"&lt;/valeur&gt;")</f>
        <v>&lt;valeur&gt;&lt;/valeur&gt;</v>
      </c>
      <c r="K17121" s="1013"/>
    </row>
    <row r="17122" spans="1:11" s="1011" customFormat="1" ht="15" x14ac:dyDescent="0.25">
      <c r="A17122" s="859">
        <f t="shared" si="406"/>
        <v>17121</v>
      </c>
      <c r="B17122" s="845" t="s">
        <v>2564</v>
      </c>
      <c r="C17122" s="1007">
        <f t="shared" si="405"/>
        <v>179</v>
      </c>
      <c r="D17122" s="1014"/>
      <c r="I17122" s="1011" t="str">
        <f>CONCATENATE("&lt;numeroLigne&gt;",C17122,"&lt;/numeroLigne&gt;")</f>
        <v>&lt;numeroLigne&gt;179&lt;/numeroLigne&gt;</v>
      </c>
      <c r="K17122" s="1013"/>
    </row>
    <row r="17123" spans="1:11" s="1011" customFormat="1" ht="15" x14ac:dyDescent="0.25">
      <c r="A17123" s="859">
        <f t="shared" si="406"/>
        <v>17122</v>
      </c>
      <c r="B17123" s="845" t="s">
        <v>2564</v>
      </c>
      <c r="C17123" s="1007">
        <f t="shared" si="405"/>
        <v>179</v>
      </c>
      <c r="D17123" s="1012"/>
      <c r="H17123" s="1011" t="s">
        <v>1010</v>
      </c>
      <c r="K17123" s="1013"/>
    </row>
    <row r="17124" spans="1:11" s="1011" customFormat="1" ht="15" x14ac:dyDescent="0.25">
      <c r="A17124" s="859">
        <f t="shared" si="406"/>
        <v>17123</v>
      </c>
      <c r="B17124" s="845" t="s">
        <v>2564</v>
      </c>
      <c r="C17124" s="1007">
        <f t="shared" si="405"/>
        <v>179</v>
      </c>
      <c r="D17124" s="1015"/>
      <c r="H17124" s="1011" t="s">
        <v>1007</v>
      </c>
      <c r="K17124" s="1013"/>
    </row>
    <row r="17125" spans="1:11" s="1011" customFormat="1" ht="15" x14ac:dyDescent="0.25">
      <c r="A17125" s="859">
        <f t="shared" si="406"/>
        <v>17124</v>
      </c>
      <c r="B17125" s="845" t="s">
        <v>2564</v>
      </c>
      <c r="C17125" s="1007">
        <f t="shared" si="405"/>
        <v>179</v>
      </c>
      <c r="D17125" s="1012"/>
      <c r="I17125" s="1011" t="s">
        <v>2181</v>
      </c>
      <c r="K17125" s="1013"/>
    </row>
    <row r="17126" spans="1:11" s="1011" customFormat="1" ht="15" x14ac:dyDescent="0.25">
      <c r="A17126" s="859">
        <f t="shared" si="406"/>
        <v>17125</v>
      </c>
      <c r="B17126" s="845" t="s">
        <v>2564</v>
      </c>
      <c r="C17126" s="1007">
        <f t="shared" si="405"/>
        <v>179</v>
      </c>
      <c r="D17126" s="1012"/>
      <c r="I17126" s="1011" t="str">
        <f>CONCATENATE("&lt;valeur&gt;",VLOOKUP(C17126,'T16 Amort'!A:K,9,0),"&lt;/valeur&gt;")</f>
        <v>&lt;valeur&gt;&lt;/valeur&gt;</v>
      </c>
      <c r="K17126" s="1013"/>
    </row>
    <row r="17127" spans="1:11" s="1011" customFormat="1" ht="15" x14ac:dyDescent="0.25">
      <c r="A17127" s="859">
        <f t="shared" si="406"/>
        <v>17126</v>
      </c>
      <c r="B17127" s="845" t="s">
        <v>2564</v>
      </c>
      <c r="C17127" s="1007">
        <f t="shared" si="405"/>
        <v>179</v>
      </c>
      <c r="D17127" s="1014"/>
      <c r="I17127" s="1011" t="str">
        <f>CONCATENATE("&lt;numeroLigne&gt;",C17127,"&lt;/numeroLigne&gt;")</f>
        <v>&lt;numeroLigne&gt;179&lt;/numeroLigne&gt;</v>
      </c>
      <c r="K17127" s="1013"/>
    </row>
    <row r="17128" spans="1:11" s="1011" customFormat="1" ht="15" x14ac:dyDescent="0.25">
      <c r="A17128" s="859">
        <f t="shared" si="406"/>
        <v>17127</v>
      </c>
      <c r="B17128" s="845" t="s">
        <v>2564</v>
      </c>
      <c r="C17128" s="1007">
        <f t="shared" si="405"/>
        <v>179</v>
      </c>
      <c r="D17128" s="1014"/>
      <c r="H17128" s="1011" t="s">
        <v>1010</v>
      </c>
      <c r="K17128" s="1013"/>
    </row>
    <row r="17129" spans="1:11" s="1011" customFormat="1" ht="15" x14ac:dyDescent="0.25">
      <c r="A17129" s="859">
        <f t="shared" si="406"/>
        <v>17128</v>
      </c>
      <c r="B17129" s="845" t="s">
        <v>2564</v>
      </c>
      <c r="C17129" s="1007">
        <f t="shared" si="405"/>
        <v>179</v>
      </c>
      <c r="D17129" s="1012"/>
      <c r="H17129" s="1011" t="s">
        <v>1007</v>
      </c>
      <c r="K17129" s="1013"/>
    </row>
    <row r="17130" spans="1:11" s="1011" customFormat="1" ht="15" x14ac:dyDescent="0.25">
      <c r="A17130" s="859">
        <f t="shared" si="406"/>
        <v>17129</v>
      </c>
      <c r="B17130" s="845" t="s">
        <v>2564</v>
      </c>
      <c r="C17130" s="1007">
        <f t="shared" si="405"/>
        <v>179</v>
      </c>
      <c r="D17130" s="1015"/>
      <c r="I17130" s="1011" t="s">
        <v>2182</v>
      </c>
      <c r="K17130" s="1013"/>
    </row>
    <row r="17131" spans="1:11" s="1011" customFormat="1" ht="15" x14ac:dyDescent="0.25">
      <c r="A17131" s="859">
        <f t="shared" si="406"/>
        <v>17130</v>
      </c>
      <c r="B17131" s="845" t="s">
        <v>2564</v>
      </c>
      <c r="C17131" s="1007">
        <f t="shared" si="405"/>
        <v>179</v>
      </c>
      <c r="D17131" s="1012"/>
      <c r="I17131" s="1011" t="str">
        <f>CONCATENATE("&lt;valeur&gt;",VLOOKUP(C17131,'T16 Amort'!A:K,10,0),"&lt;/valeur&gt;")</f>
        <v>&lt;valeur&gt;&lt;/valeur&gt;</v>
      </c>
      <c r="K17131" s="1013"/>
    </row>
    <row r="17132" spans="1:11" s="1011" customFormat="1" ht="15" x14ac:dyDescent="0.25">
      <c r="A17132" s="859">
        <f t="shared" si="406"/>
        <v>17131</v>
      </c>
      <c r="B17132" s="845" t="s">
        <v>2564</v>
      </c>
      <c r="C17132" s="1007">
        <f t="shared" si="405"/>
        <v>179</v>
      </c>
      <c r="D17132" s="1012"/>
      <c r="I17132" s="1011" t="str">
        <f>CONCATENATE("&lt;numeroLigne&gt;",C17132,"&lt;/numeroLigne&gt;")</f>
        <v>&lt;numeroLigne&gt;179&lt;/numeroLigne&gt;</v>
      </c>
      <c r="K17132" s="1013"/>
    </row>
    <row r="17133" spans="1:11" s="1011" customFormat="1" ht="15" x14ac:dyDescent="0.25">
      <c r="A17133" s="859">
        <f t="shared" si="406"/>
        <v>17132</v>
      </c>
      <c r="B17133" s="845" t="s">
        <v>2564</v>
      </c>
      <c r="C17133" s="1007">
        <f t="shared" si="405"/>
        <v>179</v>
      </c>
      <c r="D17133" s="1014"/>
      <c r="H17133" s="1011" t="s">
        <v>1010</v>
      </c>
      <c r="K17133" s="1013"/>
    </row>
    <row r="17134" spans="1:11" s="1011" customFormat="1" ht="15" x14ac:dyDescent="0.25">
      <c r="A17134" s="859">
        <f t="shared" si="406"/>
        <v>17133</v>
      </c>
      <c r="B17134" s="845" t="s">
        <v>2564</v>
      </c>
      <c r="C17134" s="1007">
        <f t="shared" si="405"/>
        <v>179</v>
      </c>
      <c r="D17134" s="1014"/>
      <c r="H17134" s="1011" t="s">
        <v>1007</v>
      </c>
      <c r="K17134" s="1013"/>
    </row>
    <row r="17135" spans="1:11" s="1011" customFormat="1" ht="15" x14ac:dyDescent="0.25">
      <c r="A17135" s="859">
        <f t="shared" si="406"/>
        <v>17134</v>
      </c>
      <c r="B17135" s="845" t="s">
        <v>2564</v>
      </c>
      <c r="C17135" s="1007">
        <f t="shared" ref="C17135:C17198" si="407">C17085+1</f>
        <v>179</v>
      </c>
      <c r="D17135" s="1012"/>
      <c r="I17135" s="1011" t="s">
        <v>2183</v>
      </c>
      <c r="K17135" s="1013"/>
    </row>
    <row r="17136" spans="1:11" s="1011" customFormat="1" ht="15" x14ac:dyDescent="0.25">
      <c r="A17136" s="859">
        <f t="shared" si="406"/>
        <v>17135</v>
      </c>
      <c r="B17136" s="845" t="s">
        <v>2564</v>
      </c>
      <c r="C17136" s="1007">
        <f t="shared" si="407"/>
        <v>179</v>
      </c>
      <c r="D17136" s="1015"/>
      <c r="I17136" s="1011" t="str">
        <f>CONCATENATE("&lt;valeur&gt;",VLOOKUP(C17136,'T16 Amort'!A:K,11,0),"&lt;/valeur&gt;")</f>
        <v>&lt;valeur&gt;&lt;/valeur&gt;</v>
      </c>
      <c r="K17136" s="1013"/>
    </row>
    <row r="17137" spans="1:11" s="1011" customFormat="1" ht="15" x14ac:dyDescent="0.25">
      <c r="A17137" s="859">
        <f t="shared" si="406"/>
        <v>17136</v>
      </c>
      <c r="B17137" s="845" t="s">
        <v>2564</v>
      </c>
      <c r="C17137" s="1007">
        <f t="shared" si="407"/>
        <v>179</v>
      </c>
      <c r="D17137" s="1012"/>
      <c r="I17137" s="1011" t="str">
        <f>CONCATENATE("&lt;numeroLigne&gt;",C17137,"&lt;/numeroLigne&gt;")</f>
        <v>&lt;numeroLigne&gt;179&lt;/numeroLigne&gt;</v>
      </c>
      <c r="K17137" s="1013"/>
    </row>
    <row r="17138" spans="1:11" s="1011" customFormat="1" ht="15" x14ac:dyDescent="0.25">
      <c r="A17138" s="859">
        <f t="shared" si="406"/>
        <v>17137</v>
      </c>
      <c r="B17138" s="845" t="s">
        <v>2564</v>
      </c>
      <c r="C17138" s="1007">
        <f t="shared" si="407"/>
        <v>179</v>
      </c>
      <c r="D17138" s="1016"/>
      <c r="E17138" s="1017"/>
      <c r="F17138" s="1017"/>
      <c r="G17138" s="1017"/>
      <c r="H17138" s="1017" t="s">
        <v>1010</v>
      </c>
      <c r="I17138" s="1017"/>
      <c r="J17138" s="1017"/>
      <c r="K17138" s="1018"/>
    </row>
    <row r="17139" spans="1:11" s="1011" customFormat="1" ht="15" x14ac:dyDescent="0.25">
      <c r="A17139" s="859">
        <f t="shared" si="406"/>
        <v>17138</v>
      </c>
      <c r="B17139" s="845" t="s">
        <v>2564</v>
      </c>
      <c r="C17139" s="1007">
        <f t="shared" si="407"/>
        <v>180</v>
      </c>
      <c r="D17139" s="1008"/>
      <c r="E17139" s="1009"/>
      <c r="F17139" s="1009"/>
      <c r="G17139" s="1009"/>
      <c r="H17139" s="1009" t="s">
        <v>1007</v>
      </c>
      <c r="I17139" s="1009"/>
      <c r="J17139" s="1009"/>
      <c r="K17139" s="1010"/>
    </row>
    <row r="17140" spans="1:11" s="1011" customFormat="1" ht="15" x14ac:dyDescent="0.25">
      <c r="A17140" s="859">
        <f t="shared" si="406"/>
        <v>17139</v>
      </c>
      <c r="B17140" s="845" t="s">
        <v>2564</v>
      </c>
      <c r="C17140" s="1007">
        <f t="shared" si="407"/>
        <v>180</v>
      </c>
      <c r="D17140" s="1012"/>
      <c r="I17140" s="1011" t="s">
        <v>2174</v>
      </c>
      <c r="K17140" s="1013"/>
    </row>
    <row r="17141" spans="1:11" s="1011" customFormat="1" ht="15" x14ac:dyDescent="0.25">
      <c r="A17141" s="859">
        <f t="shared" si="406"/>
        <v>17140</v>
      </c>
      <c r="B17141" s="845" t="s">
        <v>2564</v>
      </c>
      <c r="C17141" s="1007">
        <f t="shared" si="407"/>
        <v>180</v>
      </c>
      <c r="D17141" s="1014"/>
      <c r="I17141" s="1011" t="str">
        <f>CONCATENATE("&lt;valeur&gt;",VLOOKUP(C17141,'T16 Amort'!A:K,2,0),"&lt;/valeur&gt;")</f>
        <v>&lt;valeur&gt;&lt;/valeur&gt;</v>
      </c>
      <c r="K17141" s="1013"/>
    </row>
    <row r="17142" spans="1:11" s="1011" customFormat="1" ht="15" x14ac:dyDescent="0.25">
      <c r="A17142" s="859">
        <f t="shared" si="406"/>
        <v>17141</v>
      </c>
      <c r="B17142" s="845" t="s">
        <v>2564</v>
      </c>
      <c r="C17142" s="1007">
        <f t="shared" si="407"/>
        <v>180</v>
      </c>
      <c r="D17142" s="1014"/>
      <c r="I17142" s="1011" t="str">
        <f>CONCATENATE("&lt;numeroLigne&gt;",C17142,"&lt;/numeroLigne&gt;")</f>
        <v>&lt;numeroLigne&gt;180&lt;/numeroLigne&gt;</v>
      </c>
      <c r="K17142" s="1013"/>
    </row>
    <row r="17143" spans="1:11" s="1011" customFormat="1" ht="15" x14ac:dyDescent="0.25">
      <c r="A17143" s="859">
        <f t="shared" si="406"/>
        <v>17142</v>
      </c>
      <c r="B17143" s="845" t="s">
        <v>2564</v>
      </c>
      <c r="C17143" s="1007">
        <f t="shared" si="407"/>
        <v>180</v>
      </c>
      <c r="D17143" s="1012"/>
      <c r="H17143" s="1011" t="s">
        <v>1010</v>
      </c>
      <c r="K17143" s="1013"/>
    </row>
    <row r="17144" spans="1:11" s="1011" customFormat="1" ht="15" x14ac:dyDescent="0.25">
      <c r="A17144" s="859">
        <f t="shared" si="406"/>
        <v>17143</v>
      </c>
      <c r="B17144" s="845" t="s">
        <v>2564</v>
      </c>
      <c r="C17144" s="1007">
        <f t="shared" si="407"/>
        <v>180</v>
      </c>
      <c r="D17144" s="1015"/>
      <c r="H17144" s="1011" t="s">
        <v>1007</v>
      </c>
      <c r="K17144" s="1013"/>
    </row>
    <row r="17145" spans="1:11" s="1011" customFormat="1" ht="15" x14ac:dyDescent="0.25">
      <c r="A17145" s="859">
        <f t="shared" si="406"/>
        <v>17144</v>
      </c>
      <c r="B17145" s="845" t="s">
        <v>2564</v>
      </c>
      <c r="C17145" s="1007">
        <f t="shared" si="407"/>
        <v>180</v>
      </c>
      <c r="D17145" s="1012"/>
      <c r="I17145" s="1011" t="s">
        <v>2175</v>
      </c>
      <c r="K17145" s="1013"/>
    </row>
    <row r="17146" spans="1:11" s="1011" customFormat="1" ht="15" x14ac:dyDescent="0.25">
      <c r="A17146" s="859">
        <f t="shared" si="406"/>
        <v>17145</v>
      </c>
      <c r="B17146" s="845" t="s">
        <v>2564</v>
      </c>
      <c r="C17146" s="1007">
        <f t="shared" si="407"/>
        <v>180</v>
      </c>
      <c r="D17146" s="1012"/>
      <c r="I17146" s="1011" t="str">
        <f>CONCATENATE("&lt;valeur&gt;",VLOOKUP(C17146,'T16 Amort'!A:K,3,0),"&lt;/valeur&gt;")</f>
        <v>&lt;valeur&gt;&lt;/valeur&gt;</v>
      </c>
      <c r="K17146" s="1013"/>
    </row>
    <row r="17147" spans="1:11" s="1011" customFormat="1" ht="15" x14ac:dyDescent="0.25">
      <c r="A17147" s="859">
        <f t="shared" si="406"/>
        <v>17146</v>
      </c>
      <c r="B17147" s="845" t="s">
        <v>2564</v>
      </c>
      <c r="C17147" s="1007">
        <f t="shared" si="407"/>
        <v>180</v>
      </c>
      <c r="D17147" s="1014"/>
      <c r="I17147" s="1011" t="str">
        <f>CONCATENATE("&lt;numeroLigne&gt;",C17147,"&lt;/numeroLigne&gt;")</f>
        <v>&lt;numeroLigne&gt;180&lt;/numeroLigne&gt;</v>
      </c>
      <c r="K17147" s="1013"/>
    </row>
    <row r="17148" spans="1:11" s="1011" customFormat="1" ht="15" x14ac:dyDescent="0.25">
      <c r="A17148" s="859">
        <f t="shared" si="406"/>
        <v>17147</v>
      </c>
      <c r="B17148" s="845" t="s">
        <v>2564</v>
      </c>
      <c r="C17148" s="1007">
        <f t="shared" si="407"/>
        <v>180</v>
      </c>
      <c r="D17148" s="1014"/>
      <c r="H17148" s="1011" t="s">
        <v>1010</v>
      </c>
      <c r="K17148" s="1013"/>
    </row>
    <row r="17149" spans="1:11" s="1011" customFormat="1" ht="15" x14ac:dyDescent="0.25">
      <c r="A17149" s="859">
        <f t="shared" si="406"/>
        <v>17148</v>
      </c>
      <c r="B17149" s="845" t="s">
        <v>2564</v>
      </c>
      <c r="C17149" s="1007">
        <f t="shared" si="407"/>
        <v>180</v>
      </c>
      <c r="D17149" s="1012"/>
      <c r="H17149" s="1011" t="s">
        <v>1007</v>
      </c>
      <c r="K17149" s="1013"/>
    </row>
    <row r="17150" spans="1:11" s="1011" customFormat="1" ht="15" x14ac:dyDescent="0.25">
      <c r="A17150" s="859">
        <f t="shared" si="406"/>
        <v>17149</v>
      </c>
      <c r="B17150" s="845" t="s">
        <v>2564</v>
      </c>
      <c r="C17150" s="1007">
        <f t="shared" si="407"/>
        <v>180</v>
      </c>
      <c r="D17150" s="1015"/>
      <c r="I17150" s="1011" t="s">
        <v>2176</v>
      </c>
      <c r="K17150" s="1013"/>
    </row>
    <row r="17151" spans="1:11" s="1011" customFormat="1" ht="15" x14ac:dyDescent="0.25">
      <c r="A17151" s="859">
        <f t="shared" si="406"/>
        <v>17150</v>
      </c>
      <c r="B17151" s="845" t="s">
        <v>2564</v>
      </c>
      <c r="C17151" s="1007">
        <f t="shared" si="407"/>
        <v>180</v>
      </c>
      <c r="D17151" s="1012"/>
      <c r="I17151" s="1011" t="str">
        <f>CONCATENATE("&lt;valeur&gt;",VLOOKUP(C17151,'T16 Amort'!A:K,4,0),"&lt;/valeur&gt;")</f>
        <v>&lt;valeur&gt;&lt;/valeur&gt;</v>
      </c>
      <c r="K17151" s="1013"/>
    </row>
    <row r="17152" spans="1:11" s="1011" customFormat="1" ht="15" x14ac:dyDescent="0.25">
      <c r="A17152" s="859">
        <f t="shared" si="406"/>
        <v>17151</v>
      </c>
      <c r="B17152" s="845" t="s">
        <v>2564</v>
      </c>
      <c r="C17152" s="1007">
        <f t="shared" si="407"/>
        <v>180</v>
      </c>
      <c r="D17152" s="1012"/>
      <c r="I17152" s="1011" t="str">
        <f>CONCATENATE("&lt;numeroLigne&gt;",C17152,"&lt;/numeroLigne&gt;")</f>
        <v>&lt;numeroLigne&gt;180&lt;/numeroLigne&gt;</v>
      </c>
      <c r="K17152" s="1013"/>
    </row>
    <row r="17153" spans="1:11" s="1011" customFormat="1" ht="15" x14ac:dyDescent="0.25">
      <c r="A17153" s="859">
        <f t="shared" si="406"/>
        <v>17152</v>
      </c>
      <c r="B17153" s="845" t="s">
        <v>2564</v>
      </c>
      <c r="C17153" s="1007">
        <f t="shared" si="407"/>
        <v>180</v>
      </c>
      <c r="D17153" s="1014"/>
      <c r="H17153" s="1011" t="s">
        <v>1010</v>
      </c>
      <c r="K17153" s="1013"/>
    </row>
    <row r="17154" spans="1:11" s="1011" customFormat="1" ht="15" x14ac:dyDescent="0.25">
      <c r="A17154" s="859">
        <f t="shared" si="406"/>
        <v>17153</v>
      </c>
      <c r="B17154" s="845" t="s">
        <v>2564</v>
      </c>
      <c r="C17154" s="1007">
        <f t="shared" si="407"/>
        <v>180</v>
      </c>
      <c r="D17154" s="1014"/>
      <c r="H17154" s="1011" t="s">
        <v>1007</v>
      </c>
      <c r="K17154" s="1013"/>
    </row>
    <row r="17155" spans="1:11" s="1011" customFormat="1" ht="15" x14ac:dyDescent="0.25">
      <c r="A17155" s="859">
        <f t="shared" si="406"/>
        <v>17154</v>
      </c>
      <c r="B17155" s="845" t="s">
        <v>2564</v>
      </c>
      <c r="C17155" s="1007">
        <f t="shared" si="407"/>
        <v>180</v>
      </c>
      <c r="D17155" s="1012"/>
      <c r="I17155" s="1011" t="s">
        <v>2177</v>
      </c>
      <c r="K17155" s="1013"/>
    </row>
    <row r="17156" spans="1:11" s="1011" customFormat="1" ht="15" x14ac:dyDescent="0.25">
      <c r="A17156" s="859">
        <f t="shared" ref="A17156:A17219" si="408">+A17155+1</f>
        <v>17155</v>
      </c>
      <c r="B17156" s="845" t="s">
        <v>2564</v>
      </c>
      <c r="C17156" s="1007">
        <f t="shared" si="407"/>
        <v>180</v>
      </c>
      <c r="D17156" s="1015"/>
      <c r="I17156" s="1011" t="str">
        <f>CONCATENATE("&lt;valeur&gt;",VLOOKUP(C17156,'T16 Amort'!A:K,5,0),"&lt;/valeur&gt;")</f>
        <v>&lt;valeur&gt;&lt;/valeur&gt;</v>
      </c>
      <c r="K17156" s="1013"/>
    </row>
    <row r="17157" spans="1:11" s="1011" customFormat="1" ht="15" x14ac:dyDescent="0.25">
      <c r="A17157" s="859">
        <f t="shared" si="408"/>
        <v>17156</v>
      </c>
      <c r="B17157" s="845" t="s">
        <v>2564</v>
      </c>
      <c r="C17157" s="1007">
        <f t="shared" si="407"/>
        <v>180</v>
      </c>
      <c r="D17157" s="1012"/>
      <c r="I17157" s="1011" t="str">
        <f>CONCATENATE("&lt;numeroLigne&gt;",C17157,"&lt;/numeroLigne&gt;")</f>
        <v>&lt;numeroLigne&gt;180&lt;/numeroLigne&gt;</v>
      </c>
      <c r="K17157" s="1013"/>
    </row>
    <row r="17158" spans="1:11" s="1011" customFormat="1" ht="15" x14ac:dyDescent="0.25">
      <c r="A17158" s="859">
        <f t="shared" si="408"/>
        <v>17157</v>
      </c>
      <c r="B17158" s="845" t="s">
        <v>2564</v>
      </c>
      <c r="C17158" s="1007">
        <f t="shared" si="407"/>
        <v>180</v>
      </c>
      <c r="D17158" s="1012"/>
      <c r="H17158" s="1011" t="s">
        <v>1010</v>
      </c>
      <c r="K17158" s="1013"/>
    </row>
    <row r="17159" spans="1:11" s="1011" customFormat="1" ht="15" x14ac:dyDescent="0.25">
      <c r="A17159" s="859">
        <f t="shared" si="408"/>
        <v>17158</v>
      </c>
      <c r="B17159" s="845" t="s">
        <v>2564</v>
      </c>
      <c r="C17159" s="1007">
        <f t="shared" si="407"/>
        <v>180</v>
      </c>
      <c r="D17159" s="1014"/>
      <c r="H17159" s="1011" t="s">
        <v>1007</v>
      </c>
      <c r="K17159" s="1013"/>
    </row>
    <row r="17160" spans="1:11" s="1011" customFormat="1" ht="15" x14ac:dyDescent="0.25">
      <c r="A17160" s="859">
        <f t="shared" si="408"/>
        <v>17159</v>
      </c>
      <c r="B17160" s="845" t="s">
        <v>2564</v>
      </c>
      <c r="C17160" s="1007">
        <f t="shared" si="407"/>
        <v>180</v>
      </c>
      <c r="D17160" s="1014"/>
      <c r="I17160" s="1011" t="s">
        <v>2178</v>
      </c>
      <c r="K17160" s="1013"/>
    </row>
    <row r="17161" spans="1:11" s="1011" customFormat="1" ht="15" x14ac:dyDescent="0.25">
      <c r="A17161" s="859">
        <f t="shared" si="408"/>
        <v>17160</v>
      </c>
      <c r="B17161" s="845" t="s">
        <v>2564</v>
      </c>
      <c r="C17161" s="1007">
        <f t="shared" si="407"/>
        <v>180</v>
      </c>
      <c r="D17161" s="1012"/>
      <c r="I17161" s="1011" t="str">
        <f>CONCATENATE("&lt;valeur&gt;",VLOOKUP(C17161,'T16 Amort'!A:K,6,0),"&lt;/valeur&gt;")</f>
        <v>&lt;valeur&gt;&lt;/valeur&gt;</v>
      </c>
      <c r="K17161" s="1013"/>
    </row>
    <row r="17162" spans="1:11" s="1011" customFormat="1" ht="15" x14ac:dyDescent="0.25">
      <c r="A17162" s="859">
        <f t="shared" si="408"/>
        <v>17161</v>
      </c>
      <c r="B17162" s="845" t="s">
        <v>2564</v>
      </c>
      <c r="C17162" s="1007">
        <f t="shared" si="407"/>
        <v>180</v>
      </c>
      <c r="D17162" s="1015"/>
      <c r="I17162" s="1011" t="str">
        <f>CONCATENATE("&lt;numeroLigne&gt;",C17162,"&lt;/numeroLigne&gt;")</f>
        <v>&lt;numeroLigne&gt;180&lt;/numeroLigne&gt;</v>
      </c>
      <c r="K17162" s="1013"/>
    </row>
    <row r="17163" spans="1:11" s="1011" customFormat="1" ht="15" x14ac:dyDescent="0.25">
      <c r="A17163" s="859">
        <f t="shared" si="408"/>
        <v>17162</v>
      </c>
      <c r="B17163" s="845" t="s">
        <v>2564</v>
      </c>
      <c r="C17163" s="1007">
        <f t="shared" si="407"/>
        <v>180</v>
      </c>
      <c r="D17163" s="1012"/>
      <c r="H17163" s="1011" t="s">
        <v>1010</v>
      </c>
      <c r="K17163" s="1013"/>
    </row>
    <row r="17164" spans="1:11" s="1011" customFormat="1" ht="15" x14ac:dyDescent="0.25">
      <c r="A17164" s="859">
        <f t="shared" si="408"/>
        <v>17163</v>
      </c>
      <c r="B17164" s="845" t="s">
        <v>2564</v>
      </c>
      <c r="C17164" s="1007">
        <f t="shared" si="407"/>
        <v>180</v>
      </c>
      <c r="D17164" s="1012"/>
      <c r="H17164" s="1011" t="s">
        <v>1007</v>
      </c>
      <c r="K17164" s="1013"/>
    </row>
    <row r="17165" spans="1:11" s="1011" customFormat="1" ht="15" x14ac:dyDescent="0.25">
      <c r="A17165" s="859">
        <f t="shared" si="408"/>
        <v>17164</v>
      </c>
      <c r="B17165" s="845" t="s">
        <v>2564</v>
      </c>
      <c r="C17165" s="1007">
        <f t="shared" si="407"/>
        <v>180</v>
      </c>
      <c r="D17165" s="1014"/>
      <c r="I17165" s="1011" t="s">
        <v>2179</v>
      </c>
      <c r="K17165" s="1013"/>
    </row>
    <row r="17166" spans="1:11" s="1011" customFormat="1" ht="15" x14ac:dyDescent="0.25">
      <c r="A17166" s="859">
        <f t="shared" si="408"/>
        <v>17165</v>
      </c>
      <c r="B17166" s="845" t="s">
        <v>2564</v>
      </c>
      <c r="C17166" s="1007">
        <f t="shared" si="407"/>
        <v>180</v>
      </c>
      <c r="D17166" s="1014"/>
      <c r="I17166" s="1011" t="str">
        <f>CONCATENATE("&lt;valeur&gt;",VLOOKUP(C17166,'T16 Amort'!A:K,7,0),"&lt;/valeur&gt;")</f>
        <v>&lt;valeur&gt;&lt;/valeur&gt;</v>
      </c>
      <c r="K17166" s="1013"/>
    </row>
    <row r="17167" spans="1:11" s="1011" customFormat="1" ht="15" x14ac:dyDescent="0.25">
      <c r="A17167" s="859">
        <f t="shared" si="408"/>
        <v>17166</v>
      </c>
      <c r="B17167" s="845" t="s">
        <v>2564</v>
      </c>
      <c r="C17167" s="1007">
        <f t="shared" si="407"/>
        <v>180</v>
      </c>
      <c r="D17167" s="1012"/>
      <c r="I17167" s="1011" t="str">
        <f>CONCATENATE("&lt;numeroLigne&gt;",C17167,"&lt;/numeroLigne&gt;")</f>
        <v>&lt;numeroLigne&gt;180&lt;/numeroLigne&gt;</v>
      </c>
      <c r="K17167" s="1013"/>
    </row>
    <row r="17168" spans="1:11" s="1011" customFormat="1" ht="15" x14ac:dyDescent="0.25">
      <c r="A17168" s="859">
        <f t="shared" si="408"/>
        <v>17167</v>
      </c>
      <c r="B17168" s="845" t="s">
        <v>2564</v>
      </c>
      <c r="C17168" s="1007">
        <f t="shared" si="407"/>
        <v>180</v>
      </c>
      <c r="D17168" s="1015"/>
      <c r="H17168" s="1011" t="s">
        <v>1010</v>
      </c>
      <c r="K17168" s="1013"/>
    </row>
    <row r="17169" spans="1:11" s="1011" customFormat="1" ht="15" x14ac:dyDescent="0.25">
      <c r="A17169" s="859">
        <f t="shared" si="408"/>
        <v>17168</v>
      </c>
      <c r="B17169" s="845" t="s">
        <v>2564</v>
      </c>
      <c r="C17169" s="1007">
        <f t="shared" si="407"/>
        <v>180</v>
      </c>
      <c r="D17169" s="1012"/>
      <c r="H17169" s="1011" t="s">
        <v>1007</v>
      </c>
      <c r="K17169" s="1013"/>
    </row>
    <row r="17170" spans="1:11" s="1011" customFormat="1" ht="15" x14ac:dyDescent="0.25">
      <c r="A17170" s="859">
        <f t="shared" si="408"/>
        <v>17169</v>
      </c>
      <c r="B17170" s="845" t="s">
        <v>2564</v>
      </c>
      <c r="C17170" s="1007">
        <f t="shared" si="407"/>
        <v>180</v>
      </c>
      <c r="D17170" s="1012"/>
      <c r="I17170" s="1011" t="s">
        <v>2180</v>
      </c>
      <c r="K17170" s="1013"/>
    </row>
    <row r="17171" spans="1:11" s="1011" customFormat="1" ht="15" x14ac:dyDescent="0.25">
      <c r="A17171" s="859">
        <f t="shared" si="408"/>
        <v>17170</v>
      </c>
      <c r="B17171" s="845" t="s">
        <v>2564</v>
      </c>
      <c r="C17171" s="1007">
        <f t="shared" si="407"/>
        <v>180</v>
      </c>
      <c r="D17171" s="1014"/>
      <c r="I17171" s="1011" t="str">
        <f>CONCATENATE("&lt;valeur&gt;",VLOOKUP(C17171,'T16 Amort'!A:K,8,0),"&lt;/valeur&gt;")</f>
        <v>&lt;valeur&gt;&lt;/valeur&gt;</v>
      </c>
      <c r="K17171" s="1013"/>
    </row>
    <row r="17172" spans="1:11" s="1011" customFormat="1" ht="15" x14ac:dyDescent="0.25">
      <c r="A17172" s="859">
        <f t="shared" si="408"/>
        <v>17171</v>
      </c>
      <c r="B17172" s="845" t="s">
        <v>2564</v>
      </c>
      <c r="C17172" s="1007">
        <f t="shared" si="407"/>
        <v>180</v>
      </c>
      <c r="D17172" s="1014"/>
      <c r="I17172" s="1011" t="str">
        <f>CONCATENATE("&lt;numeroLigne&gt;",C17172,"&lt;/numeroLigne&gt;")</f>
        <v>&lt;numeroLigne&gt;180&lt;/numeroLigne&gt;</v>
      </c>
      <c r="K17172" s="1013"/>
    </row>
    <row r="17173" spans="1:11" s="1011" customFormat="1" ht="15" x14ac:dyDescent="0.25">
      <c r="A17173" s="859">
        <f t="shared" si="408"/>
        <v>17172</v>
      </c>
      <c r="B17173" s="845" t="s">
        <v>2564</v>
      </c>
      <c r="C17173" s="1007">
        <f t="shared" si="407"/>
        <v>180</v>
      </c>
      <c r="D17173" s="1012"/>
      <c r="H17173" s="1011" t="s">
        <v>1010</v>
      </c>
      <c r="K17173" s="1013"/>
    </row>
    <row r="17174" spans="1:11" s="1011" customFormat="1" ht="15" x14ac:dyDescent="0.25">
      <c r="A17174" s="859">
        <f t="shared" si="408"/>
        <v>17173</v>
      </c>
      <c r="B17174" s="845" t="s">
        <v>2564</v>
      </c>
      <c r="C17174" s="1007">
        <f t="shared" si="407"/>
        <v>180</v>
      </c>
      <c r="D17174" s="1015"/>
      <c r="H17174" s="1011" t="s">
        <v>1007</v>
      </c>
      <c r="K17174" s="1013"/>
    </row>
    <row r="17175" spans="1:11" s="1011" customFormat="1" ht="15" x14ac:dyDescent="0.25">
      <c r="A17175" s="859">
        <f t="shared" si="408"/>
        <v>17174</v>
      </c>
      <c r="B17175" s="845" t="s">
        <v>2564</v>
      </c>
      <c r="C17175" s="1007">
        <f t="shared" si="407"/>
        <v>180</v>
      </c>
      <c r="D17175" s="1012"/>
      <c r="I17175" s="1011" t="s">
        <v>2181</v>
      </c>
      <c r="K17175" s="1013"/>
    </row>
    <row r="17176" spans="1:11" s="1011" customFormat="1" ht="15" x14ac:dyDescent="0.25">
      <c r="A17176" s="859">
        <f t="shared" si="408"/>
        <v>17175</v>
      </c>
      <c r="B17176" s="845" t="s">
        <v>2564</v>
      </c>
      <c r="C17176" s="1007">
        <f t="shared" si="407"/>
        <v>180</v>
      </c>
      <c r="D17176" s="1012"/>
      <c r="I17176" s="1011" t="str">
        <f>CONCATENATE("&lt;valeur&gt;",VLOOKUP(C17176,'T16 Amort'!A:K,9,0),"&lt;/valeur&gt;")</f>
        <v>&lt;valeur&gt;&lt;/valeur&gt;</v>
      </c>
      <c r="K17176" s="1013"/>
    </row>
    <row r="17177" spans="1:11" s="1011" customFormat="1" ht="15" x14ac:dyDescent="0.25">
      <c r="A17177" s="859">
        <f t="shared" si="408"/>
        <v>17176</v>
      </c>
      <c r="B17177" s="845" t="s">
        <v>2564</v>
      </c>
      <c r="C17177" s="1007">
        <f t="shared" si="407"/>
        <v>180</v>
      </c>
      <c r="D17177" s="1014"/>
      <c r="I17177" s="1011" t="str">
        <f>CONCATENATE("&lt;numeroLigne&gt;",C17177,"&lt;/numeroLigne&gt;")</f>
        <v>&lt;numeroLigne&gt;180&lt;/numeroLigne&gt;</v>
      </c>
      <c r="K17177" s="1013"/>
    </row>
    <row r="17178" spans="1:11" s="1011" customFormat="1" ht="15" x14ac:dyDescent="0.25">
      <c r="A17178" s="859">
        <f t="shared" si="408"/>
        <v>17177</v>
      </c>
      <c r="B17178" s="845" t="s">
        <v>2564</v>
      </c>
      <c r="C17178" s="1007">
        <f t="shared" si="407"/>
        <v>180</v>
      </c>
      <c r="D17178" s="1014"/>
      <c r="H17178" s="1011" t="s">
        <v>1010</v>
      </c>
      <c r="K17178" s="1013"/>
    </row>
    <row r="17179" spans="1:11" s="1011" customFormat="1" ht="15" x14ac:dyDescent="0.25">
      <c r="A17179" s="859">
        <f t="shared" si="408"/>
        <v>17178</v>
      </c>
      <c r="B17179" s="845" t="s">
        <v>2564</v>
      </c>
      <c r="C17179" s="1007">
        <f t="shared" si="407"/>
        <v>180</v>
      </c>
      <c r="D17179" s="1012"/>
      <c r="H17179" s="1011" t="s">
        <v>1007</v>
      </c>
      <c r="K17179" s="1013"/>
    </row>
    <row r="17180" spans="1:11" s="1011" customFormat="1" ht="15" x14ac:dyDescent="0.25">
      <c r="A17180" s="859">
        <f t="shared" si="408"/>
        <v>17179</v>
      </c>
      <c r="B17180" s="845" t="s">
        <v>2564</v>
      </c>
      <c r="C17180" s="1007">
        <f t="shared" si="407"/>
        <v>180</v>
      </c>
      <c r="D17180" s="1015"/>
      <c r="I17180" s="1011" t="s">
        <v>2182</v>
      </c>
      <c r="K17180" s="1013"/>
    </row>
    <row r="17181" spans="1:11" s="1011" customFormat="1" ht="15" x14ac:dyDescent="0.25">
      <c r="A17181" s="859">
        <f t="shared" si="408"/>
        <v>17180</v>
      </c>
      <c r="B17181" s="845" t="s">
        <v>2564</v>
      </c>
      <c r="C17181" s="1007">
        <f t="shared" si="407"/>
        <v>180</v>
      </c>
      <c r="D17181" s="1012"/>
      <c r="I17181" s="1011" t="str">
        <f>CONCATENATE("&lt;valeur&gt;",VLOOKUP(C17181,'T16 Amort'!A:K,10,0),"&lt;/valeur&gt;")</f>
        <v>&lt;valeur&gt;&lt;/valeur&gt;</v>
      </c>
      <c r="K17181" s="1013"/>
    </row>
    <row r="17182" spans="1:11" s="1011" customFormat="1" ht="15" x14ac:dyDescent="0.25">
      <c r="A17182" s="859">
        <f t="shared" si="408"/>
        <v>17181</v>
      </c>
      <c r="B17182" s="845" t="s">
        <v>2564</v>
      </c>
      <c r="C17182" s="1007">
        <f t="shared" si="407"/>
        <v>180</v>
      </c>
      <c r="D17182" s="1012"/>
      <c r="I17182" s="1011" t="str">
        <f>CONCATENATE("&lt;numeroLigne&gt;",C17182,"&lt;/numeroLigne&gt;")</f>
        <v>&lt;numeroLigne&gt;180&lt;/numeroLigne&gt;</v>
      </c>
      <c r="K17182" s="1013"/>
    </row>
    <row r="17183" spans="1:11" s="1011" customFormat="1" ht="15" x14ac:dyDescent="0.25">
      <c r="A17183" s="859">
        <f t="shared" si="408"/>
        <v>17182</v>
      </c>
      <c r="B17183" s="845" t="s">
        <v>2564</v>
      </c>
      <c r="C17183" s="1007">
        <f t="shared" si="407"/>
        <v>180</v>
      </c>
      <c r="D17183" s="1014"/>
      <c r="H17183" s="1011" t="s">
        <v>1010</v>
      </c>
      <c r="K17183" s="1013"/>
    </row>
    <row r="17184" spans="1:11" s="1011" customFormat="1" ht="15" x14ac:dyDescent="0.25">
      <c r="A17184" s="859">
        <f t="shared" si="408"/>
        <v>17183</v>
      </c>
      <c r="B17184" s="845" t="s">
        <v>2564</v>
      </c>
      <c r="C17184" s="1007">
        <f t="shared" si="407"/>
        <v>180</v>
      </c>
      <c r="D17184" s="1014"/>
      <c r="H17184" s="1011" t="s">
        <v>1007</v>
      </c>
      <c r="K17184" s="1013"/>
    </row>
    <row r="17185" spans="1:11" s="1011" customFormat="1" ht="15" x14ac:dyDescent="0.25">
      <c r="A17185" s="859">
        <f t="shared" si="408"/>
        <v>17184</v>
      </c>
      <c r="B17185" s="845" t="s">
        <v>2564</v>
      </c>
      <c r="C17185" s="1007">
        <f t="shared" si="407"/>
        <v>180</v>
      </c>
      <c r="D17185" s="1012"/>
      <c r="I17185" s="1011" t="s">
        <v>2183</v>
      </c>
      <c r="K17185" s="1013"/>
    </row>
    <row r="17186" spans="1:11" s="1011" customFormat="1" ht="15" x14ac:dyDescent="0.25">
      <c r="A17186" s="859">
        <f t="shared" si="408"/>
        <v>17185</v>
      </c>
      <c r="B17186" s="845" t="s">
        <v>2564</v>
      </c>
      <c r="C17186" s="1007">
        <f t="shared" si="407"/>
        <v>180</v>
      </c>
      <c r="D17186" s="1015"/>
      <c r="I17186" s="1011" t="str">
        <f>CONCATENATE("&lt;valeur&gt;",VLOOKUP(C17186,'T16 Amort'!A:K,11,0),"&lt;/valeur&gt;")</f>
        <v>&lt;valeur&gt;&lt;/valeur&gt;</v>
      </c>
      <c r="K17186" s="1013"/>
    </row>
    <row r="17187" spans="1:11" s="1011" customFormat="1" ht="15" x14ac:dyDescent="0.25">
      <c r="A17187" s="859">
        <f t="shared" si="408"/>
        <v>17186</v>
      </c>
      <c r="B17187" s="845" t="s">
        <v>2564</v>
      </c>
      <c r="C17187" s="1007">
        <f t="shared" si="407"/>
        <v>180</v>
      </c>
      <c r="D17187" s="1012"/>
      <c r="I17187" s="1011" t="str">
        <f>CONCATENATE("&lt;numeroLigne&gt;",C17187,"&lt;/numeroLigne&gt;")</f>
        <v>&lt;numeroLigne&gt;180&lt;/numeroLigne&gt;</v>
      </c>
      <c r="K17187" s="1013"/>
    </row>
    <row r="17188" spans="1:11" s="1011" customFormat="1" ht="15" x14ac:dyDescent="0.25">
      <c r="A17188" s="859">
        <f t="shared" si="408"/>
        <v>17187</v>
      </c>
      <c r="B17188" s="845" t="s">
        <v>2564</v>
      </c>
      <c r="C17188" s="1007">
        <f t="shared" si="407"/>
        <v>180</v>
      </c>
      <c r="D17188" s="1016"/>
      <c r="E17188" s="1017"/>
      <c r="F17188" s="1017"/>
      <c r="G17188" s="1017"/>
      <c r="H17188" s="1017" t="s">
        <v>1010</v>
      </c>
      <c r="I17188" s="1017"/>
      <c r="J17188" s="1017"/>
      <c r="K17188" s="1018"/>
    </row>
    <row r="17189" spans="1:11" s="1011" customFormat="1" ht="15" x14ac:dyDescent="0.25">
      <c r="A17189" s="859">
        <f t="shared" si="408"/>
        <v>17188</v>
      </c>
      <c r="B17189" s="845" t="s">
        <v>2564</v>
      </c>
      <c r="C17189" s="1007">
        <f t="shared" si="407"/>
        <v>181</v>
      </c>
      <c r="D17189" s="1008"/>
      <c r="E17189" s="1009"/>
      <c r="F17189" s="1009"/>
      <c r="G17189" s="1009"/>
      <c r="H17189" s="1009" t="s">
        <v>1007</v>
      </c>
      <c r="I17189" s="1009"/>
      <c r="J17189" s="1009"/>
      <c r="K17189" s="1010"/>
    </row>
    <row r="17190" spans="1:11" s="1011" customFormat="1" ht="15" x14ac:dyDescent="0.25">
      <c r="A17190" s="859">
        <f t="shared" si="408"/>
        <v>17189</v>
      </c>
      <c r="B17190" s="845" t="s">
        <v>2564</v>
      </c>
      <c r="C17190" s="1007">
        <f t="shared" si="407"/>
        <v>181</v>
      </c>
      <c r="D17190" s="1012"/>
      <c r="I17190" s="1011" t="s">
        <v>2174</v>
      </c>
      <c r="K17190" s="1013"/>
    </row>
    <row r="17191" spans="1:11" s="1011" customFormat="1" ht="15" x14ac:dyDescent="0.25">
      <c r="A17191" s="859">
        <f t="shared" si="408"/>
        <v>17190</v>
      </c>
      <c r="B17191" s="845" t="s">
        <v>2564</v>
      </c>
      <c r="C17191" s="1007">
        <f t="shared" si="407"/>
        <v>181</v>
      </c>
      <c r="D17191" s="1014"/>
      <c r="I17191" s="1011" t="str">
        <f>CONCATENATE("&lt;valeur&gt;",VLOOKUP(C17191,'T16 Amort'!A:K,2,0),"&lt;/valeur&gt;")</f>
        <v>&lt;valeur&gt;&lt;/valeur&gt;</v>
      </c>
      <c r="K17191" s="1013"/>
    </row>
    <row r="17192" spans="1:11" s="1011" customFormat="1" ht="15" x14ac:dyDescent="0.25">
      <c r="A17192" s="859">
        <f t="shared" si="408"/>
        <v>17191</v>
      </c>
      <c r="B17192" s="845" t="s">
        <v>2564</v>
      </c>
      <c r="C17192" s="1007">
        <f t="shared" si="407"/>
        <v>181</v>
      </c>
      <c r="D17192" s="1014"/>
      <c r="I17192" s="1011" t="str">
        <f>CONCATENATE("&lt;numeroLigne&gt;",C17192,"&lt;/numeroLigne&gt;")</f>
        <v>&lt;numeroLigne&gt;181&lt;/numeroLigne&gt;</v>
      </c>
      <c r="K17192" s="1013"/>
    </row>
    <row r="17193" spans="1:11" s="1011" customFormat="1" ht="15" x14ac:dyDescent="0.25">
      <c r="A17193" s="859">
        <f t="shared" si="408"/>
        <v>17192</v>
      </c>
      <c r="B17193" s="845" t="s">
        <v>2564</v>
      </c>
      <c r="C17193" s="1007">
        <f t="shared" si="407"/>
        <v>181</v>
      </c>
      <c r="D17193" s="1012"/>
      <c r="H17193" s="1011" t="s">
        <v>1010</v>
      </c>
      <c r="K17193" s="1013"/>
    </row>
    <row r="17194" spans="1:11" s="1011" customFormat="1" ht="15" x14ac:dyDescent="0.25">
      <c r="A17194" s="859">
        <f t="shared" si="408"/>
        <v>17193</v>
      </c>
      <c r="B17194" s="845" t="s">
        <v>2564</v>
      </c>
      <c r="C17194" s="1007">
        <f t="shared" si="407"/>
        <v>181</v>
      </c>
      <c r="D17194" s="1015"/>
      <c r="H17194" s="1011" t="s">
        <v>1007</v>
      </c>
      <c r="K17194" s="1013"/>
    </row>
    <row r="17195" spans="1:11" s="1011" customFormat="1" ht="15" x14ac:dyDescent="0.25">
      <c r="A17195" s="859">
        <f t="shared" si="408"/>
        <v>17194</v>
      </c>
      <c r="B17195" s="845" t="s">
        <v>2564</v>
      </c>
      <c r="C17195" s="1007">
        <f t="shared" si="407"/>
        <v>181</v>
      </c>
      <c r="D17195" s="1012"/>
      <c r="I17195" s="1011" t="s">
        <v>2175</v>
      </c>
      <c r="K17195" s="1013"/>
    </row>
    <row r="17196" spans="1:11" s="1011" customFormat="1" ht="15" x14ac:dyDescent="0.25">
      <c r="A17196" s="859">
        <f t="shared" si="408"/>
        <v>17195</v>
      </c>
      <c r="B17196" s="845" t="s">
        <v>2564</v>
      </c>
      <c r="C17196" s="1007">
        <f t="shared" si="407"/>
        <v>181</v>
      </c>
      <c r="D17196" s="1012"/>
      <c r="I17196" s="1011" t="str">
        <f>CONCATENATE("&lt;valeur&gt;",VLOOKUP(C17196,'T16 Amort'!A:K,3,0),"&lt;/valeur&gt;")</f>
        <v>&lt;valeur&gt;&lt;/valeur&gt;</v>
      </c>
      <c r="K17196" s="1013"/>
    </row>
    <row r="17197" spans="1:11" s="1011" customFormat="1" ht="15" x14ac:dyDescent="0.25">
      <c r="A17197" s="859">
        <f t="shared" si="408"/>
        <v>17196</v>
      </c>
      <c r="B17197" s="845" t="s">
        <v>2564</v>
      </c>
      <c r="C17197" s="1007">
        <f t="shared" si="407"/>
        <v>181</v>
      </c>
      <c r="D17197" s="1014"/>
      <c r="I17197" s="1011" t="str">
        <f>CONCATENATE("&lt;numeroLigne&gt;",C17197,"&lt;/numeroLigne&gt;")</f>
        <v>&lt;numeroLigne&gt;181&lt;/numeroLigne&gt;</v>
      </c>
      <c r="K17197" s="1013"/>
    </row>
    <row r="17198" spans="1:11" s="1011" customFormat="1" ht="15" x14ac:dyDescent="0.25">
      <c r="A17198" s="859">
        <f t="shared" si="408"/>
        <v>17197</v>
      </c>
      <c r="B17198" s="845" t="s">
        <v>2564</v>
      </c>
      <c r="C17198" s="1007">
        <f t="shared" si="407"/>
        <v>181</v>
      </c>
      <c r="D17198" s="1014"/>
      <c r="H17198" s="1011" t="s">
        <v>1010</v>
      </c>
      <c r="K17198" s="1013"/>
    </row>
    <row r="17199" spans="1:11" s="1011" customFormat="1" ht="15" x14ac:dyDescent="0.25">
      <c r="A17199" s="859">
        <f t="shared" si="408"/>
        <v>17198</v>
      </c>
      <c r="B17199" s="845" t="s">
        <v>2564</v>
      </c>
      <c r="C17199" s="1007">
        <f t="shared" ref="C17199:C17262" si="409">C17149+1</f>
        <v>181</v>
      </c>
      <c r="D17199" s="1012"/>
      <c r="H17199" s="1011" t="s">
        <v>1007</v>
      </c>
      <c r="K17199" s="1013"/>
    </row>
    <row r="17200" spans="1:11" s="1011" customFormat="1" ht="15" x14ac:dyDescent="0.25">
      <c r="A17200" s="859">
        <f t="shared" si="408"/>
        <v>17199</v>
      </c>
      <c r="B17200" s="845" t="s">
        <v>2564</v>
      </c>
      <c r="C17200" s="1007">
        <f t="shared" si="409"/>
        <v>181</v>
      </c>
      <c r="D17200" s="1015"/>
      <c r="I17200" s="1011" t="s">
        <v>2176</v>
      </c>
      <c r="K17200" s="1013"/>
    </row>
    <row r="17201" spans="1:11" s="1011" customFormat="1" ht="15" x14ac:dyDescent="0.25">
      <c r="A17201" s="859">
        <f t="shared" si="408"/>
        <v>17200</v>
      </c>
      <c r="B17201" s="845" t="s">
        <v>2564</v>
      </c>
      <c r="C17201" s="1007">
        <f t="shared" si="409"/>
        <v>181</v>
      </c>
      <c r="D17201" s="1012"/>
      <c r="I17201" s="1011" t="str">
        <f>CONCATENATE("&lt;valeur&gt;",VLOOKUP(C17201,'T16 Amort'!A:K,4,0),"&lt;/valeur&gt;")</f>
        <v>&lt;valeur&gt;&lt;/valeur&gt;</v>
      </c>
      <c r="K17201" s="1013"/>
    </row>
    <row r="17202" spans="1:11" s="1011" customFormat="1" ht="15" x14ac:dyDescent="0.25">
      <c r="A17202" s="859">
        <f t="shared" si="408"/>
        <v>17201</v>
      </c>
      <c r="B17202" s="845" t="s">
        <v>2564</v>
      </c>
      <c r="C17202" s="1007">
        <f t="shared" si="409"/>
        <v>181</v>
      </c>
      <c r="D17202" s="1012"/>
      <c r="I17202" s="1011" t="str">
        <f>CONCATENATE("&lt;numeroLigne&gt;",C17202,"&lt;/numeroLigne&gt;")</f>
        <v>&lt;numeroLigne&gt;181&lt;/numeroLigne&gt;</v>
      </c>
      <c r="K17202" s="1013"/>
    </row>
    <row r="17203" spans="1:11" s="1011" customFormat="1" ht="15" x14ac:dyDescent="0.25">
      <c r="A17203" s="859">
        <f t="shared" si="408"/>
        <v>17202</v>
      </c>
      <c r="B17203" s="845" t="s">
        <v>2564</v>
      </c>
      <c r="C17203" s="1007">
        <f t="shared" si="409"/>
        <v>181</v>
      </c>
      <c r="D17203" s="1014"/>
      <c r="H17203" s="1011" t="s">
        <v>1010</v>
      </c>
      <c r="K17203" s="1013"/>
    </row>
    <row r="17204" spans="1:11" s="1011" customFormat="1" ht="15" x14ac:dyDescent="0.25">
      <c r="A17204" s="859">
        <f t="shared" si="408"/>
        <v>17203</v>
      </c>
      <c r="B17204" s="845" t="s">
        <v>2564</v>
      </c>
      <c r="C17204" s="1007">
        <f t="shared" si="409"/>
        <v>181</v>
      </c>
      <c r="D17204" s="1014"/>
      <c r="H17204" s="1011" t="s">
        <v>1007</v>
      </c>
      <c r="K17204" s="1013"/>
    </row>
    <row r="17205" spans="1:11" s="1011" customFormat="1" ht="15" x14ac:dyDescent="0.25">
      <c r="A17205" s="859">
        <f t="shared" si="408"/>
        <v>17204</v>
      </c>
      <c r="B17205" s="845" t="s">
        <v>2564</v>
      </c>
      <c r="C17205" s="1007">
        <f t="shared" si="409"/>
        <v>181</v>
      </c>
      <c r="D17205" s="1012"/>
      <c r="I17205" s="1011" t="s">
        <v>2177</v>
      </c>
      <c r="K17205" s="1013"/>
    </row>
    <row r="17206" spans="1:11" s="1011" customFormat="1" ht="15" x14ac:dyDescent="0.25">
      <c r="A17206" s="859">
        <f t="shared" si="408"/>
        <v>17205</v>
      </c>
      <c r="B17206" s="845" t="s">
        <v>2564</v>
      </c>
      <c r="C17206" s="1007">
        <f t="shared" si="409"/>
        <v>181</v>
      </c>
      <c r="D17206" s="1015"/>
      <c r="I17206" s="1011" t="str">
        <f>CONCATENATE("&lt;valeur&gt;",VLOOKUP(C17206,'T16 Amort'!A:K,5,0),"&lt;/valeur&gt;")</f>
        <v>&lt;valeur&gt;&lt;/valeur&gt;</v>
      </c>
      <c r="K17206" s="1013"/>
    </row>
    <row r="17207" spans="1:11" s="1011" customFormat="1" ht="15" x14ac:dyDescent="0.25">
      <c r="A17207" s="859">
        <f t="shared" si="408"/>
        <v>17206</v>
      </c>
      <c r="B17207" s="845" t="s">
        <v>2564</v>
      </c>
      <c r="C17207" s="1007">
        <f t="shared" si="409"/>
        <v>181</v>
      </c>
      <c r="D17207" s="1012"/>
      <c r="I17207" s="1011" t="str">
        <f>CONCATENATE("&lt;numeroLigne&gt;",C17207,"&lt;/numeroLigne&gt;")</f>
        <v>&lt;numeroLigne&gt;181&lt;/numeroLigne&gt;</v>
      </c>
      <c r="K17207" s="1013"/>
    </row>
    <row r="17208" spans="1:11" s="1011" customFormat="1" ht="15" x14ac:dyDescent="0.25">
      <c r="A17208" s="859">
        <f t="shared" si="408"/>
        <v>17207</v>
      </c>
      <c r="B17208" s="845" t="s">
        <v>2564</v>
      </c>
      <c r="C17208" s="1007">
        <f t="shared" si="409"/>
        <v>181</v>
      </c>
      <c r="D17208" s="1012"/>
      <c r="H17208" s="1011" t="s">
        <v>1010</v>
      </c>
      <c r="K17208" s="1013"/>
    </row>
    <row r="17209" spans="1:11" s="1011" customFormat="1" ht="15" x14ac:dyDescent="0.25">
      <c r="A17209" s="859">
        <f t="shared" si="408"/>
        <v>17208</v>
      </c>
      <c r="B17209" s="845" t="s">
        <v>2564</v>
      </c>
      <c r="C17209" s="1007">
        <f t="shared" si="409"/>
        <v>181</v>
      </c>
      <c r="D17209" s="1014"/>
      <c r="H17209" s="1011" t="s">
        <v>1007</v>
      </c>
      <c r="K17209" s="1013"/>
    </row>
    <row r="17210" spans="1:11" s="1011" customFormat="1" ht="15" x14ac:dyDescent="0.25">
      <c r="A17210" s="859">
        <f t="shared" si="408"/>
        <v>17209</v>
      </c>
      <c r="B17210" s="845" t="s">
        <v>2564</v>
      </c>
      <c r="C17210" s="1007">
        <f t="shared" si="409"/>
        <v>181</v>
      </c>
      <c r="D17210" s="1014"/>
      <c r="I17210" s="1011" t="s">
        <v>2178</v>
      </c>
      <c r="K17210" s="1013"/>
    </row>
    <row r="17211" spans="1:11" s="1011" customFormat="1" ht="15" x14ac:dyDescent="0.25">
      <c r="A17211" s="859">
        <f t="shared" si="408"/>
        <v>17210</v>
      </c>
      <c r="B17211" s="845" t="s">
        <v>2564</v>
      </c>
      <c r="C17211" s="1007">
        <f t="shared" si="409"/>
        <v>181</v>
      </c>
      <c r="D17211" s="1012"/>
      <c r="I17211" s="1011" t="str">
        <f>CONCATENATE("&lt;valeur&gt;",VLOOKUP(C17211,'T16 Amort'!A:K,6,0),"&lt;/valeur&gt;")</f>
        <v>&lt;valeur&gt;&lt;/valeur&gt;</v>
      </c>
      <c r="K17211" s="1013"/>
    </row>
    <row r="17212" spans="1:11" s="1011" customFormat="1" ht="15" x14ac:dyDescent="0.25">
      <c r="A17212" s="859">
        <f t="shared" si="408"/>
        <v>17211</v>
      </c>
      <c r="B17212" s="845" t="s">
        <v>2564</v>
      </c>
      <c r="C17212" s="1007">
        <f t="shared" si="409"/>
        <v>181</v>
      </c>
      <c r="D17212" s="1015"/>
      <c r="I17212" s="1011" t="str">
        <f>CONCATENATE("&lt;numeroLigne&gt;",C17212,"&lt;/numeroLigne&gt;")</f>
        <v>&lt;numeroLigne&gt;181&lt;/numeroLigne&gt;</v>
      </c>
      <c r="K17212" s="1013"/>
    </row>
    <row r="17213" spans="1:11" s="1011" customFormat="1" ht="15" x14ac:dyDescent="0.25">
      <c r="A17213" s="859">
        <f t="shared" si="408"/>
        <v>17212</v>
      </c>
      <c r="B17213" s="845" t="s">
        <v>2564</v>
      </c>
      <c r="C17213" s="1007">
        <f t="shared" si="409"/>
        <v>181</v>
      </c>
      <c r="D17213" s="1012"/>
      <c r="H17213" s="1011" t="s">
        <v>1010</v>
      </c>
      <c r="K17213" s="1013"/>
    </row>
    <row r="17214" spans="1:11" s="1011" customFormat="1" ht="15" x14ac:dyDescent="0.25">
      <c r="A17214" s="859">
        <f t="shared" si="408"/>
        <v>17213</v>
      </c>
      <c r="B17214" s="845" t="s">
        <v>2564</v>
      </c>
      <c r="C17214" s="1007">
        <f t="shared" si="409"/>
        <v>181</v>
      </c>
      <c r="D17214" s="1012"/>
      <c r="H17214" s="1011" t="s">
        <v>1007</v>
      </c>
      <c r="K17214" s="1013"/>
    </row>
    <row r="17215" spans="1:11" s="1011" customFormat="1" ht="15" x14ac:dyDescent="0.25">
      <c r="A17215" s="859">
        <f t="shared" si="408"/>
        <v>17214</v>
      </c>
      <c r="B17215" s="845" t="s">
        <v>2564</v>
      </c>
      <c r="C17215" s="1007">
        <f t="shared" si="409"/>
        <v>181</v>
      </c>
      <c r="D17215" s="1014"/>
      <c r="I17215" s="1011" t="s">
        <v>2179</v>
      </c>
      <c r="K17215" s="1013"/>
    </row>
    <row r="17216" spans="1:11" s="1011" customFormat="1" ht="15" x14ac:dyDescent="0.25">
      <c r="A17216" s="859">
        <f t="shared" si="408"/>
        <v>17215</v>
      </c>
      <c r="B17216" s="845" t="s">
        <v>2564</v>
      </c>
      <c r="C17216" s="1007">
        <f t="shared" si="409"/>
        <v>181</v>
      </c>
      <c r="D17216" s="1014"/>
      <c r="I17216" s="1011" t="str">
        <f>CONCATENATE("&lt;valeur&gt;",VLOOKUP(C17216,'T16 Amort'!A:K,7,0),"&lt;/valeur&gt;")</f>
        <v>&lt;valeur&gt;&lt;/valeur&gt;</v>
      </c>
      <c r="K17216" s="1013"/>
    </row>
    <row r="17217" spans="1:11" s="1011" customFormat="1" ht="15" x14ac:dyDescent="0.25">
      <c r="A17217" s="859">
        <f t="shared" si="408"/>
        <v>17216</v>
      </c>
      <c r="B17217" s="845" t="s">
        <v>2564</v>
      </c>
      <c r="C17217" s="1007">
        <f t="shared" si="409"/>
        <v>181</v>
      </c>
      <c r="D17217" s="1012"/>
      <c r="I17217" s="1011" t="str">
        <f>CONCATENATE("&lt;numeroLigne&gt;",C17217,"&lt;/numeroLigne&gt;")</f>
        <v>&lt;numeroLigne&gt;181&lt;/numeroLigne&gt;</v>
      </c>
      <c r="K17217" s="1013"/>
    </row>
    <row r="17218" spans="1:11" s="1011" customFormat="1" ht="15" x14ac:dyDescent="0.25">
      <c r="A17218" s="859">
        <f t="shared" si="408"/>
        <v>17217</v>
      </c>
      <c r="B17218" s="845" t="s">
        <v>2564</v>
      </c>
      <c r="C17218" s="1007">
        <f t="shared" si="409"/>
        <v>181</v>
      </c>
      <c r="D17218" s="1015"/>
      <c r="H17218" s="1011" t="s">
        <v>1010</v>
      </c>
      <c r="K17218" s="1013"/>
    </row>
    <row r="17219" spans="1:11" s="1011" customFormat="1" ht="15" x14ac:dyDescent="0.25">
      <c r="A17219" s="859">
        <f t="shared" si="408"/>
        <v>17218</v>
      </c>
      <c r="B17219" s="845" t="s">
        <v>2564</v>
      </c>
      <c r="C17219" s="1007">
        <f t="shared" si="409"/>
        <v>181</v>
      </c>
      <c r="D17219" s="1012"/>
      <c r="H17219" s="1011" t="s">
        <v>1007</v>
      </c>
      <c r="K17219" s="1013"/>
    </row>
    <row r="17220" spans="1:11" s="1011" customFormat="1" ht="15" x14ac:dyDescent="0.25">
      <c r="A17220" s="859">
        <f t="shared" ref="A17220:A17283" si="410">+A17219+1</f>
        <v>17219</v>
      </c>
      <c r="B17220" s="845" t="s">
        <v>2564</v>
      </c>
      <c r="C17220" s="1007">
        <f t="shared" si="409"/>
        <v>181</v>
      </c>
      <c r="D17220" s="1012"/>
      <c r="I17220" s="1011" t="s">
        <v>2180</v>
      </c>
      <c r="K17220" s="1013"/>
    </row>
    <row r="17221" spans="1:11" s="1011" customFormat="1" ht="15" x14ac:dyDescent="0.25">
      <c r="A17221" s="859">
        <f t="shared" si="410"/>
        <v>17220</v>
      </c>
      <c r="B17221" s="845" t="s">
        <v>2564</v>
      </c>
      <c r="C17221" s="1007">
        <f t="shared" si="409"/>
        <v>181</v>
      </c>
      <c r="D17221" s="1014"/>
      <c r="I17221" s="1011" t="str">
        <f>CONCATENATE("&lt;valeur&gt;",VLOOKUP(C17221,'T16 Amort'!A:K,8,0),"&lt;/valeur&gt;")</f>
        <v>&lt;valeur&gt;&lt;/valeur&gt;</v>
      </c>
      <c r="K17221" s="1013"/>
    </row>
    <row r="17222" spans="1:11" s="1011" customFormat="1" ht="15" x14ac:dyDescent="0.25">
      <c r="A17222" s="859">
        <f t="shared" si="410"/>
        <v>17221</v>
      </c>
      <c r="B17222" s="845" t="s">
        <v>2564</v>
      </c>
      <c r="C17222" s="1007">
        <f t="shared" si="409"/>
        <v>181</v>
      </c>
      <c r="D17222" s="1014"/>
      <c r="I17222" s="1011" t="str">
        <f>CONCATENATE("&lt;numeroLigne&gt;",C17222,"&lt;/numeroLigne&gt;")</f>
        <v>&lt;numeroLigne&gt;181&lt;/numeroLigne&gt;</v>
      </c>
      <c r="K17222" s="1013"/>
    </row>
    <row r="17223" spans="1:11" s="1011" customFormat="1" ht="15" x14ac:dyDescent="0.25">
      <c r="A17223" s="859">
        <f t="shared" si="410"/>
        <v>17222</v>
      </c>
      <c r="B17223" s="845" t="s">
        <v>2564</v>
      </c>
      <c r="C17223" s="1007">
        <f t="shared" si="409"/>
        <v>181</v>
      </c>
      <c r="D17223" s="1012"/>
      <c r="H17223" s="1011" t="s">
        <v>1010</v>
      </c>
      <c r="K17223" s="1013"/>
    </row>
    <row r="17224" spans="1:11" s="1011" customFormat="1" ht="15" x14ac:dyDescent="0.25">
      <c r="A17224" s="859">
        <f t="shared" si="410"/>
        <v>17223</v>
      </c>
      <c r="B17224" s="845" t="s">
        <v>2564</v>
      </c>
      <c r="C17224" s="1007">
        <f t="shared" si="409"/>
        <v>181</v>
      </c>
      <c r="D17224" s="1015"/>
      <c r="H17224" s="1011" t="s">
        <v>1007</v>
      </c>
      <c r="K17224" s="1013"/>
    </row>
    <row r="17225" spans="1:11" s="1011" customFormat="1" ht="15" x14ac:dyDescent="0.25">
      <c r="A17225" s="859">
        <f t="shared" si="410"/>
        <v>17224</v>
      </c>
      <c r="B17225" s="845" t="s">
        <v>2564</v>
      </c>
      <c r="C17225" s="1007">
        <f t="shared" si="409"/>
        <v>181</v>
      </c>
      <c r="D17225" s="1012"/>
      <c r="I17225" s="1011" t="s">
        <v>2181</v>
      </c>
      <c r="K17225" s="1013"/>
    </row>
    <row r="17226" spans="1:11" s="1011" customFormat="1" ht="15" x14ac:dyDescent="0.25">
      <c r="A17226" s="859">
        <f t="shared" si="410"/>
        <v>17225</v>
      </c>
      <c r="B17226" s="845" t="s">
        <v>2564</v>
      </c>
      <c r="C17226" s="1007">
        <f t="shared" si="409"/>
        <v>181</v>
      </c>
      <c r="D17226" s="1012"/>
      <c r="I17226" s="1011" t="str">
        <f>CONCATENATE("&lt;valeur&gt;",VLOOKUP(C17226,'T16 Amort'!A:K,9,0),"&lt;/valeur&gt;")</f>
        <v>&lt;valeur&gt;&lt;/valeur&gt;</v>
      </c>
      <c r="K17226" s="1013"/>
    </row>
    <row r="17227" spans="1:11" s="1011" customFormat="1" ht="15" x14ac:dyDescent="0.25">
      <c r="A17227" s="859">
        <f t="shared" si="410"/>
        <v>17226</v>
      </c>
      <c r="B17227" s="845" t="s">
        <v>2564</v>
      </c>
      <c r="C17227" s="1007">
        <f t="shared" si="409"/>
        <v>181</v>
      </c>
      <c r="D17227" s="1014"/>
      <c r="I17227" s="1011" t="str">
        <f>CONCATENATE("&lt;numeroLigne&gt;",C17227,"&lt;/numeroLigne&gt;")</f>
        <v>&lt;numeroLigne&gt;181&lt;/numeroLigne&gt;</v>
      </c>
      <c r="K17227" s="1013"/>
    </row>
    <row r="17228" spans="1:11" s="1011" customFormat="1" ht="15" x14ac:dyDescent="0.25">
      <c r="A17228" s="859">
        <f t="shared" si="410"/>
        <v>17227</v>
      </c>
      <c r="B17228" s="845" t="s">
        <v>2564</v>
      </c>
      <c r="C17228" s="1007">
        <f t="shared" si="409"/>
        <v>181</v>
      </c>
      <c r="D17228" s="1014"/>
      <c r="H17228" s="1011" t="s">
        <v>1010</v>
      </c>
      <c r="K17228" s="1013"/>
    </row>
    <row r="17229" spans="1:11" s="1011" customFormat="1" ht="15" x14ac:dyDescent="0.25">
      <c r="A17229" s="859">
        <f t="shared" si="410"/>
        <v>17228</v>
      </c>
      <c r="B17229" s="845" t="s">
        <v>2564</v>
      </c>
      <c r="C17229" s="1007">
        <f t="shared" si="409"/>
        <v>181</v>
      </c>
      <c r="D17229" s="1012"/>
      <c r="H17229" s="1011" t="s">
        <v>1007</v>
      </c>
      <c r="K17229" s="1013"/>
    </row>
    <row r="17230" spans="1:11" s="1011" customFormat="1" ht="15" x14ac:dyDescent="0.25">
      <c r="A17230" s="859">
        <f t="shared" si="410"/>
        <v>17229</v>
      </c>
      <c r="B17230" s="845" t="s">
        <v>2564</v>
      </c>
      <c r="C17230" s="1007">
        <f t="shared" si="409"/>
        <v>181</v>
      </c>
      <c r="D17230" s="1015"/>
      <c r="I17230" s="1011" t="s">
        <v>2182</v>
      </c>
      <c r="K17230" s="1013"/>
    </row>
    <row r="17231" spans="1:11" s="1011" customFormat="1" ht="15" x14ac:dyDescent="0.25">
      <c r="A17231" s="859">
        <f t="shared" si="410"/>
        <v>17230</v>
      </c>
      <c r="B17231" s="845" t="s">
        <v>2564</v>
      </c>
      <c r="C17231" s="1007">
        <f t="shared" si="409"/>
        <v>181</v>
      </c>
      <c r="D17231" s="1012"/>
      <c r="I17231" s="1011" t="str">
        <f>CONCATENATE("&lt;valeur&gt;",VLOOKUP(C17231,'T16 Amort'!A:K,10,0),"&lt;/valeur&gt;")</f>
        <v>&lt;valeur&gt;&lt;/valeur&gt;</v>
      </c>
      <c r="K17231" s="1013"/>
    </row>
    <row r="17232" spans="1:11" s="1011" customFormat="1" ht="15" x14ac:dyDescent="0.25">
      <c r="A17232" s="859">
        <f t="shared" si="410"/>
        <v>17231</v>
      </c>
      <c r="B17232" s="845" t="s">
        <v>2564</v>
      </c>
      <c r="C17232" s="1007">
        <f t="shared" si="409"/>
        <v>181</v>
      </c>
      <c r="D17232" s="1012"/>
      <c r="I17232" s="1011" t="str">
        <f>CONCATENATE("&lt;numeroLigne&gt;",C17232,"&lt;/numeroLigne&gt;")</f>
        <v>&lt;numeroLigne&gt;181&lt;/numeroLigne&gt;</v>
      </c>
      <c r="K17232" s="1013"/>
    </row>
    <row r="17233" spans="1:11" s="1011" customFormat="1" ht="15" x14ac:dyDescent="0.25">
      <c r="A17233" s="859">
        <f t="shared" si="410"/>
        <v>17232</v>
      </c>
      <c r="B17233" s="845" t="s">
        <v>2564</v>
      </c>
      <c r="C17233" s="1007">
        <f t="shared" si="409"/>
        <v>181</v>
      </c>
      <c r="D17233" s="1014"/>
      <c r="H17233" s="1011" t="s">
        <v>1010</v>
      </c>
      <c r="K17233" s="1013"/>
    </row>
    <row r="17234" spans="1:11" s="1011" customFormat="1" ht="15" x14ac:dyDescent="0.25">
      <c r="A17234" s="859">
        <f t="shared" si="410"/>
        <v>17233</v>
      </c>
      <c r="B17234" s="845" t="s">
        <v>2564</v>
      </c>
      <c r="C17234" s="1007">
        <f t="shared" si="409"/>
        <v>181</v>
      </c>
      <c r="D17234" s="1014"/>
      <c r="H17234" s="1011" t="s">
        <v>1007</v>
      </c>
      <c r="K17234" s="1013"/>
    </row>
    <row r="17235" spans="1:11" s="1011" customFormat="1" ht="15" x14ac:dyDescent="0.25">
      <c r="A17235" s="859">
        <f t="shared" si="410"/>
        <v>17234</v>
      </c>
      <c r="B17235" s="845" t="s">
        <v>2564</v>
      </c>
      <c r="C17235" s="1007">
        <f t="shared" si="409"/>
        <v>181</v>
      </c>
      <c r="D17235" s="1012"/>
      <c r="I17235" s="1011" t="s">
        <v>2183</v>
      </c>
      <c r="K17235" s="1013"/>
    </row>
    <row r="17236" spans="1:11" s="1011" customFormat="1" ht="15" x14ac:dyDescent="0.25">
      <c r="A17236" s="859">
        <f t="shared" si="410"/>
        <v>17235</v>
      </c>
      <c r="B17236" s="845" t="s">
        <v>2564</v>
      </c>
      <c r="C17236" s="1007">
        <f t="shared" si="409"/>
        <v>181</v>
      </c>
      <c r="D17236" s="1015"/>
      <c r="I17236" s="1011" t="str">
        <f>CONCATENATE("&lt;valeur&gt;",VLOOKUP(C17236,'T16 Amort'!A:K,11,0),"&lt;/valeur&gt;")</f>
        <v>&lt;valeur&gt;&lt;/valeur&gt;</v>
      </c>
      <c r="K17236" s="1013"/>
    </row>
    <row r="17237" spans="1:11" s="1011" customFormat="1" ht="15" x14ac:dyDescent="0.25">
      <c r="A17237" s="859">
        <f t="shared" si="410"/>
        <v>17236</v>
      </c>
      <c r="B17237" s="845" t="s">
        <v>2564</v>
      </c>
      <c r="C17237" s="1007">
        <f t="shared" si="409"/>
        <v>181</v>
      </c>
      <c r="D17237" s="1012"/>
      <c r="I17237" s="1011" t="str">
        <f>CONCATENATE("&lt;numeroLigne&gt;",C17237,"&lt;/numeroLigne&gt;")</f>
        <v>&lt;numeroLigne&gt;181&lt;/numeroLigne&gt;</v>
      </c>
      <c r="K17237" s="1013"/>
    </row>
    <row r="17238" spans="1:11" s="1011" customFormat="1" ht="15" x14ac:dyDescent="0.25">
      <c r="A17238" s="859">
        <f t="shared" si="410"/>
        <v>17237</v>
      </c>
      <c r="B17238" s="845" t="s">
        <v>2564</v>
      </c>
      <c r="C17238" s="1007">
        <f t="shared" si="409"/>
        <v>181</v>
      </c>
      <c r="D17238" s="1016"/>
      <c r="E17238" s="1017"/>
      <c r="F17238" s="1017"/>
      <c r="G17238" s="1017"/>
      <c r="H17238" s="1017" t="s">
        <v>1010</v>
      </c>
      <c r="I17238" s="1017"/>
      <c r="J17238" s="1017"/>
      <c r="K17238" s="1018"/>
    </row>
    <row r="17239" spans="1:11" s="1011" customFormat="1" ht="15" x14ac:dyDescent="0.25">
      <c r="A17239" s="859">
        <f t="shared" si="410"/>
        <v>17238</v>
      </c>
      <c r="B17239" s="845" t="s">
        <v>2564</v>
      </c>
      <c r="C17239" s="1007">
        <f t="shared" si="409"/>
        <v>182</v>
      </c>
      <c r="D17239" s="1008"/>
      <c r="E17239" s="1009"/>
      <c r="F17239" s="1009"/>
      <c r="G17239" s="1009"/>
      <c r="H17239" s="1009" t="s">
        <v>1007</v>
      </c>
      <c r="I17239" s="1009"/>
      <c r="J17239" s="1009"/>
      <c r="K17239" s="1010"/>
    </row>
    <row r="17240" spans="1:11" s="1011" customFormat="1" ht="15" x14ac:dyDescent="0.25">
      <c r="A17240" s="859">
        <f t="shared" si="410"/>
        <v>17239</v>
      </c>
      <c r="B17240" s="845" t="s">
        <v>2564</v>
      </c>
      <c r="C17240" s="1007">
        <f t="shared" si="409"/>
        <v>182</v>
      </c>
      <c r="D17240" s="1012"/>
      <c r="I17240" s="1011" t="s">
        <v>2174</v>
      </c>
      <c r="K17240" s="1013"/>
    </row>
    <row r="17241" spans="1:11" s="1011" customFormat="1" ht="15" x14ac:dyDescent="0.25">
      <c r="A17241" s="859">
        <f t="shared" si="410"/>
        <v>17240</v>
      </c>
      <c r="B17241" s="845" t="s">
        <v>2564</v>
      </c>
      <c r="C17241" s="1007">
        <f t="shared" si="409"/>
        <v>182</v>
      </c>
      <c r="D17241" s="1014"/>
      <c r="I17241" s="1011" t="str">
        <f>CONCATENATE("&lt;valeur&gt;",VLOOKUP(C17241,'T16 Amort'!A:K,2,0),"&lt;/valeur&gt;")</f>
        <v>&lt;valeur&gt;&lt;/valeur&gt;</v>
      </c>
      <c r="K17241" s="1013"/>
    </row>
    <row r="17242" spans="1:11" s="1011" customFormat="1" ht="15" x14ac:dyDescent="0.25">
      <c r="A17242" s="859">
        <f t="shared" si="410"/>
        <v>17241</v>
      </c>
      <c r="B17242" s="845" t="s">
        <v>2564</v>
      </c>
      <c r="C17242" s="1007">
        <f t="shared" si="409"/>
        <v>182</v>
      </c>
      <c r="D17242" s="1014"/>
      <c r="I17242" s="1011" t="str">
        <f>CONCATENATE("&lt;numeroLigne&gt;",C17242,"&lt;/numeroLigne&gt;")</f>
        <v>&lt;numeroLigne&gt;182&lt;/numeroLigne&gt;</v>
      </c>
      <c r="K17242" s="1013"/>
    </row>
    <row r="17243" spans="1:11" s="1011" customFormat="1" ht="15" x14ac:dyDescent="0.25">
      <c r="A17243" s="859">
        <f t="shared" si="410"/>
        <v>17242</v>
      </c>
      <c r="B17243" s="845" t="s">
        <v>2564</v>
      </c>
      <c r="C17243" s="1007">
        <f t="shared" si="409"/>
        <v>182</v>
      </c>
      <c r="D17243" s="1012"/>
      <c r="H17243" s="1011" t="s">
        <v>1010</v>
      </c>
      <c r="K17243" s="1013"/>
    </row>
    <row r="17244" spans="1:11" s="1011" customFormat="1" ht="15" x14ac:dyDescent="0.25">
      <c r="A17244" s="859">
        <f t="shared" si="410"/>
        <v>17243</v>
      </c>
      <c r="B17244" s="845" t="s">
        <v>2564</v>
      </c>
      <c r="C17244" s="1007">
        <f t="shared" si="409"/>
        <v>182</v>
      </c>
      <c r="D17244" s="1015"/>
      <c r="H17244" s="1011" t="s">
        <v>1007</v>
      </c>
      <c r="K17244" s="1013"/>
    </row>
    <row r="17245" spans="1:11" s="1011" customFormat="1" ht="15" x14ac:dyDescent="0.25">
      <c r="A17245" s="859">
        <f t="shared" si="410"/>
        <v>17244</v>
      </c>
      <c r="B17245" s="845" t="s">
        <v>2564</v>
      </c>
      <c r="C17245" s="1007">
        <f t="shared" si="409"/>
        <v>182</v>
      </c>
      <c r="D17245" s="1012"/>
      <c r="I17245" s="1011" t="s">
        <v>2175</v>
      </c>
      <c r="K17245" s="1013"/>
    </row>
    <row r="17246" spans="1:11" s="1011" customFormat="1" ht="15" x14ac:dyDescent="0.25">
      <c r="A17246" s="859">
        <f t="shared" si="410"/>
        <v>17245</v>
      </c>
      <c r="B17246" s="845" t="s">
        <v>2564</v>
      </c>
      <c r="C17246" s="1007">
        <f t="shared" si="409"/>
        <v>182</v>
      </c>
      <c r="D17246" s="1012"/>
      <c r="I17246" s="1011" t="str">
        <f>CONCATENATE("&lt;valeur&gt;",VLOOKUP(C17246,'T16 Amort'!A:K,3,0),"&lt;/valeur&gt;")</f>
        <v>&lt;valeur&gt;&lt;/valeur&gt;</v>
      </c>
      <c r="K17246" s="1013"/>
    </row>
    <row r="17247" spans="1:11" s="1011" customFormat="1" ht="15" x14ac:dyDescent="0.25">
      <c r="A17247" s="859">
        <f t="shared" si="410"/>
        <v>17246</v>
      </c>
      <c r="B17247" s="845" t="s">
        <v>2564</v>
      </c>
      <c r="C17247" s="1007">
        <f t="shared" si="409"/>
        <v>182</v>
      </c>
      <c r="D17247" s="1014"/>
      <c r="I17247" s="1011" t="str">
        <f>CONCATENATE("&lt;numeroLigne&gt;",C17247,"&lt;/numeroLigne&gt;")</f>
        <v>&lt;numeroLigne&gt;182&lt;/numeroLigne&gt;</v>
      </c>
      <c r="K17247" s="1013"/>
    </row>
    <row r="17248" spans="1:11" s="1011" customFormat="1" ht="15" x14ac:dyDescent="0.25">
      <c r="A17248" s="859">
        <f t="shared" si="410"/>
        <v>17247</v>
      </c>
      <c r="B17248" s="845" t="s">
        <v>2564</v>
      </c>
      <c r="C17248" s="1007">
        <f t="shared" si="409"/>
        <v>182</v>
      </c>
      <c r="D17248" s="1014"/>
      <c r="H17248" s="1011" t="s">
        <v>1010</v>
      </c>
      <c r="K17248" s="1013"/>
    </row>
    <row r="17249" spans="1:11" s="1011" customFormat="1" ht="15" x14ac:dyDescent="0.25">
      <c r="A17249" s="859">
        <f t="shared" si="410"/>
        <v>17248</v>
      </c>
      <c r="B17249" s="845" t="s">
        <v>2564</v>
      </c>
      <c r="C17249" s="1007">
        <f t="shared" si="409"/>
        <v>182</v>
      </c>
      <c r="D17249" s="1012"/>
      <c r="H17249" s="1011" t="s">
        <v>1007</v>
      </c>
      <c r="K17249" s="1013"/>
    </row>
    <row r="17250" spans="1:11" s="1011" customFormat="1" ht="15" x14ac:dyDescent="0.25">
      <c r="A17250" s="859">
        <f t="shared" si="410"/>
        <v>17249</v>
      </c>
      <c r="B17250" s="845" t="s">
        <v>2564</v>
      </c>
      <c r="C17250" s="1007">
        <f t="shared" si="409"/>
        <v>182</v>
      </c>
      <c r="D17250" s="1015"/>
      <c r="I17250" s="1011" t="s">
        <v>2176</v>
      </c>
      <c r="K17250" s="1013"/>
    </row>
    <row r="17251" spans="1:11" s="1011" customFormat="1" ht="15" x14ac:dyDescent="0.25">
      <c r="A17251" s="859">
        <f t="shared" si="410"/>
        <v>17250</v>
      </c>
      <c r="B17251" s="845" t="s">
        <v>2564</v>
      </c>
      <c r="C17251" s="1007">
        <f t="shared" si="409"/>
        <v>182</v>
      </c>
      <c r="D17251" s="1012"/>
      <c r="I17251" s="1011" t="str">
        <f>CONCATENATE("&lt;valeur&gt;",VLOOKUP(C17251,'T16 Amort'!A:K,4,0),"&lt;/valeur&gt;")</f>
        <v>&lt;valeur&gt;&lt;/valeur&gt;</v>
      </c>
      <c r="K17251" s="1013"/>
    </row>
    <row r="17252" spans="1:11" s="1011" customFormat="1" ht="15" x14ac:dyDescent="0.25">
      <c r="A17252" s="859">
        <f t="shared" si="410"/>
        <v>17251</v>
      </c>
      <c r="B17252" s="845" t="s">
        <v>2564</v>
      </c>
      <c r="C17252" s="1007">
        <f t="shared" si="409"/>
        <v>182</v>
      </c>
      <c r="D17252" s="1012"/>
      <c r="I17252" s="1011" t="str">
        <f>CONCATENATE("&lt;numeroLigne&gt;",C17252,"&lt;/numeroLigne&gt;")</f>
        <v>&lt;numeroLigne&gt;182&lt;/numeroLigne&gt;</v>
      </c>
      <c r="K17252" s="1013"/>
    </row>
    <row r="17253" spans="1:11" s="1011" customFormat="1" ht="15" x14ac:dyDescent="0.25">
      <c r="A17253" s="859">
        <f t="shared" si="410"/>
        <v>17252</v>
      </c>
      <c r="B17253" s="845" t="s">
        <v>2564</v>
      </c>
      <c r="C17253" s="1007">
        <f t="shared" si="409"/>
        <v>182</v>
      </c>
      <c r="D17253" s="1014"/>
      <c r="H17253" s="1011" t="s">
        <v>1010</v>
      </c>
      <c r="K17253" s="1013"/>
    </row>
    <row r="17254" spans="1:11" s="1011" customFormat="1" ht="15" x14ac:dyDescent="0.25">
      <c r="A17254" s="859">
        <f t="shared" si="410"/>
        <v>17253</v>
      </c>
      <c r="B17254" s="845" t="s">
        <v>2564</v>
      </c>
      <c r="C17254" s="1007">
        <f t="shared" si="409"/>
        <v>182</v>
      </c>
      <c r="D17254" s="1014"/>
      <c r="H17254" s="1011" t="s">
        <v>1007</v>
      </c>
      <c r="K17254" s="1013"/>
    </row>
    <row r="17255" spans="1:11" s="1011" customFormat="1" ht="15" x14ac:dyDescent="0.25">
      <c r="A17255" s="859">
        <f t="shared" si="410"/>
        <v>17254</v>
      </c>
      <c r="B17255" s="845" t="s">
        <v>2564</v>
      </c>
      <c r="C17255" s="1007">
        <f t="shared" si="409"/>
        <v>182</v>
      </c>
      <c r="D17255" s="1012"/>
      <c r="I17255" s="1011" t="s">
        <v>2177</v>
      </c>
      <c r="K17255" s="1013"/>
    </row>
    <row r="17256" spans="1:11" s="1011" customFormat="1" ht="15" x14ac:dyDescent="0.25">
      <c r="A17256" s="859">
        <f t="shared" si="410"/>
        <v>17255</v>
      </c>
      <c r="B17256" s="845" t="s">
        <v>2564</v>
      </c>
      <c r="C17256" s="1007">
        <f t="shared" si="409"/>
        <v>182</v>
      </c>
      <c r="D17256" s="1015"/>
      <c r="I17256" s="1011" t="str">
        <f>CONCATENATE("&lt;valeur&gt;",VLOOKUP(C17256,'T16 Amort'!A:K,5,0),"&lt;/valeur&gt;")</f>
        <v>&lt;valeur&gt;&lt;/valeur&gt;</v>
      </c>
      <c r="K17256" s="1013"/>
    </row>
    <row r="17257" spans="1:11" s="1011" customFormat="1" ht="15" x14ac:dyDescent="0.25">
      <c r="A17257" s="859">
        <f t="shared" si="410"/>
        <v>17256</v>
      </c>
      <c r="B17257" s="845" t="s">
        <v>2564</v>
      </c>
      <c r="C17257" s="1007">
        <f t="shared" si="409"/>
        <v>182</v>
      </c>
      <c r="D17257" s="1012"/>
      <c r="I17257" s="1011" t="str">
        <f>CONCATENATE("&lt;numeroLigne&gt;",C17257,"&lt;/numeroLigne&gt;")</f>
        <v>&lt;numeroLigne&gt;182&lt;/numeroLigne&gt;</v>
      </c>
      <c r="K17257" s="1013"/>
    </row>
    <row r="17258" spans="1:11" s="1011" customFormat="1" ht="15" x14ac:dyDescent="0.25">
      <c r="A17258" s="859">
        <f t="shared" si="410"/>
        <v>17257</v>
      </c>
      <c r="B17258" s="845" t="s">
        <v>2564</v>
      </c>
      <c r="C17258" s="1007">
        <f t="shared" si="409"/>
        <v>182</v>
      </c>
      <c r="D17258" s="1012"/>
      <c r="H17258" s="1011" t="s">
        <v>1010</v>
      </c>
      <c r="K17258" s="1013"/>
    </row>
    <row r="17259" spans="1:11" s="1011" customFormat="1" ht="15" x14ac:dyDescent="0.25">
      <c r="A17259" s="859">
        <f t="shared" si="410"/>
        <v>17258</v>
      </c>
      <c r="B17259" s="845" t="s">
        <v>2564</v>
      </c>
      <c r="C17259" s="1007">
        <f t="shared" si="409"/>
        <v>182</v>
      </c>
      <c r="D17259" s="1014"/>
      <c r="H17259" s="1011" t="s">
        <v>1007</v>
      </c>
      <c r="K17259" s="1013"/>
    </row>
    <row r="17260" spans="1:11" s="1011" customFormat="1" ht="15" x14ac:dyDescent="0.25">
      <c r="A17260" s="859">
        <f t="shared" si="410"/>
        <v>17259</v>
      </c>
      <c r="B17260" s="845" t="s">
        <v>2564</v>
      </c>
      <c r="C17260" s="1007">
        <f t="shared" si="409"/>
        <v>182</v>
      </c>
      <c r="D17260" s="1014"/>
      <c r="I17260" s="1011" t="s">
        <v>2178</v>
      </c>
      <c r="K17260" s="1013"/>
    </row>
    <row r="17261" spans="1:11" s="1011" customFormat="1" ht="15" x14ac:dyDescent="0.25">
      <c r="A17261" s="859">
        <f t="shared" si="410"/>
        <v>17260</v>
      </c>
      <c r="B17261" s="845" t="s">
        <v>2564</v>
      </c>
      <c r="C17261" s="1007">
        <f t="shared" si="409"/>
        <v>182</v>
      </c>
      <c r="D17261" s="1012"/>
      <c r="I17261" s="1011" t="str">
        <f>CONCATENATE("&lt;valeur&gt;",VLOOKUP(C17261,'T16 Amort'!A:K,6,0),"&lt;/valeur&gt;")</f>
        <v>&lt;valeur&gt;&lt;/valeur&gt;</v>
      </c>
      <c r="K17261" s="1013"/>
    </row>
    <row r="17262" spans="1:11" s="1011" customFormat="1" ht="15" x14ac:dyDescent="0.25">
      <c r="A17262" s="859">
        <f t="shared" si="410"/>
        <v>17261</v>
      </c>
      <c r="B17262" s="845" t="s">
        <v>2564</v>
      </c>
      <c r="C17262" s="1007">
        <f t="shared" si="409"/>
        <v>182</v>
      </c>
      <c r="D17262" s="1015"/>
      <c r="I17262" s="1011" t="str">
        <f>CONCATENATE("&lt;numeroLigne&gt;",C17262,"&lt;/numeroLigne&gt;")</f>
        <v>&lt;numeroLigne&gt;182&lt;/numeroLigne&gt;</v>
      </c>
      <c r="K17262" s="1013"/>
    </row>
    <row r="17263" spans="1:11" s="1011" customFormat="1" ht="15" x14ac:dyDescent="0.25">
      <c r="A17263" s="859">
        <f t="shared" si="410"/>
        <v>17262</v>
      </c>
      <c r="B17263" s="845" t="s">
        <v>2564</v>
      </c>
      <c r="C17263" s="1007">
        <f t="shared" ref="C17263:C17288" si="411">C17213+1</f>
        <v>182</v>
      </c>
      <c r="D17263" s="1012"/>
      <c r="H17263" s="1011" t="s">
        <v>1010</v>
      </c>
      <c r="K17263" s="1013"/>
    </row>
    <row r="17264" spans="1:11" s="1011" customFormat="1" ht="15" x14ac:dyDescent="0.25">
      <c r="A17264" s="859">
        <f t="shared" si="410"/>
        <v>17263</v>
      </c>
      <c r="B17264" s="845" t="s">
        <v>2564</v>
      </c>
      <c r="C17264" s="1007">
        <f t="shared" si="411"/>
        <v>182</v>
      </c>
      <c r="D17264" s="1012"/>
      <c r="H17264" s="1011" t="s">
        <v>1007</v>
      </c>
      <c r="K17264" s="1013"/>
    </row>
    <row r="17265" spans="1:11" s="1011" customFormat="1" ht="15" x14ac:dyDescent="0.25">
      <c r="A17265" s="859">
        <f t="shared" si="410"/>
        <v>17264</v>
      </c>
      <c r="B17265" s="845" t="s">
        <v>2564</v>
      </c>
      <c r="C17265" s="1007">
        <f t="shared" si="411"/>
        <v>182</v>
      </c>
      <c r="D17265" s="1014"/>
      <c r="I17265" s="1011" t="s">
        <v>2179</v>
      </c>
      <c r="K17265" s="1013"/>
    </row>
    <row r="17266" spans="1:11" s="1011" customFormat="1" ht="15" x14ac:dyDescent="0.25">
      <c r="A17266" s="859">
        <f t="shared" si="410"/>
        <v>17265</v>
      </c>
      <c r="B17266" s="845" t="s">
        <v>2564</v>
      </c>
      <c r="C17266" s="1007">
        <f t="shared" si="411"/>
        <v>182</v>
      </c>
      <c r="D17266" s="1014"/>
      <c r="I17266" s="1011" t="str">
        <f>CONCATENATE("&lt;valeur&gt;",VLOOKUP(C17266,'T16 Amort'!A:K,7,0),"&lt;/valeur&gt;")</f>
        <v>&lt;valeur&gt;&lt;/valeur&gt;</v>
      </c>
      <c r="K17266" s="1013"/>
    </row>
    <row r="17267" spans="1:11" s="1011" customFormat="1" ht="15" x14ac:dyDescent="0.25">
      <c r="A17267" s="859">
        <f t="shared" si="410"/>
        <v>17266</v>
      </c>
      <c r="B17267" s="845" t="s">
        <v>2564</v>
      </c>
      <c r="C17267" s="1007">
        <f t="shared" si="411"/>
        <v>182</v>
      </c>
      <c r="D17267" s="1012"/>
      <c r="I17267" s="1011" t="str">
        <f>CONCATENATE("&lt;numeroLigne&gt;",C17267,"&lt;/numeroLigne&gt;")</f>
        <v>&lt;numeroLigne&gt;182&lt;/numeroLigne&gt;</v>
      </c>
      <c r="K17267" s="1013"/>
    </row>
    <row r="17268" spans="1:11" s="1011" customFormat="1" ht="15" x14ac:dyDescent="0.25">
      <c r="A17268" s="859">
        <f t="shared" si="410"/>
        <v>17267</v>
      </c>
      <c r="B17268" s="845" t="s">
        <v>2564</v>
      </c>
      <c r="C17268" s="1007">
        <f t="shared" si="411"/>
        <v>182</v>
      </c>
      <c r="D17268" s="1015"/>
      <c r="H17268" s="1011" t="s">
        <v>1010</v>
      </c>
      <c r="K17268" s="1013"/>
    </row>
    <row r="17269" spans="1:11" s="1011" customFormat="1" ht="15" x14ac:dyDescent="0.25">
      <c r="A17269" s="859">
        <f t="shared" si="410"/>
        <v>17268</v>
      </c>
      <c r="B17269" s="845" t="s">
        <v>2564</v>
      </c>
      <c r="C17269" s="1007">
        <f t="shared" si="411"/>
        <v>182</v>
      </c>
      <c r="D17269" s="1012"/>
      <c r="H17269" s="1011" t="s">
        <v>1007</v>
      </c>
      <c r="K17269" s="1013"/>
    </row>
    <row r="17270" spans="1:11" s="1011" customFormat="1" ht="15" x14ac:dyDescent="0.25">
      <c r="A17270" s="859">
        <f t="shared" si="410"/>
        <v>17269</v>
      </c>
      <c r="B17270" s="845" t="s">
        <v>2564</v>
      </c>
      <c r="C17270" s="1007">
        <f t="shared" si="411"/>
        <v>182</v>
      </c>
      <c r="D17270" s="1012"/>
      <c r="I17270" s="1011" t="s">
        <v>2180</v>
      </c>
      <c r="K17270" s="1013"/>
    </row>
    <row r="17271" spans="1:11" s="1011" customFormat="1" ht="15" x14ac:dyDescent="0.25">
      <c r="A17271" s="859">
        <f t="shared" si="410"/>
        <v>17270</v>
      </c>
      <c r="B17271" s="845" t="s">
        <v>2564</v>
      </c>
      <c r="C17271" s="1007">
        <f t="shared" si="411"/>
        <v>182</v>
      </c>
      <c r="D17271" s="1014"/>
      <c r="I17271" s="1011" t="str">
        <f>CONCATENATE("&lt;valeur&gt;",VLOOKUP(C17271,'T16 Amort'!A:K,8,0),"&lt;/valeur&gt;")</f>
        <v>&lt;valeur&gt;&lt;/valeur&gt;</v>
      </c>
      <c r="K17271" s="1013"/>
    </row>
    <row r="17272" spans="1:11" s="1011" customFormat="1" ht="15" x14ac:dyDescent="0.25">
      <c r="A17272" s="859">
        <f t="shared" si="410"/>
        <v>17271</v>
      </c>
      <c r="B17272" s="845" t="s">
        <v>2564</v>
      </c>
      <c r="C17272" s="1007">
        <f t="shared" si="411"/>
        <v>182</v>
      </c>
      <c r="D17272" s="1014"/>
      <c r="I17272" s="1011" t="str">
        <f>CONCATENATE("&lt;numeroLigne&gt;",C17272,"&lt;/numeroLigne&gt;")</f>
        <v>&lt;numeroLigne&gt;182&lt;/numeroLigne&gt;</v>
      </c>
      <c r="K17272" s="1013"/>
    </row>
    <row r="17273" spans="1:11" s="1011" customFormat="1" ht="15" x14ac:dyDescent="0.25">
      <c r="A17273" s="859">
        <f t="shared" si="410"/>
        <v>17272</v>
      </c>
      <c r="B17273" s="845" t="s">
        <v>2564</v>
      </c>
      <c r="C17273" s="1007">
        <f t="shared" si="411"/>
        <v>182</v>
      </c>
      <c r="D17273" s="1012"/>
      <c r="H17273" s="1011" t="s">
        <v>1010</v>
      </c>
      <c r="K17273" s="1013"/>
    </row>
    <row r="17274" spans="1:11" s="1011" customFormat="1" ht="15" x14ac:dyDescent="0.25">
      <c r="A17274" s="859">
        <f t="shared" si="410"/>
        <v>17273</v>
      </c>
      <c r="B17274" s="845" t="s">
        <v>2564</v>
      </c>
      <c r="C17274" s="1007">
        <f t="shared" si="411"/>
        <v>182</v>
      </c>
      <c r="D17274" s="1015"/>
      <c r="H17274" s="1011" t="s">
        <v>1007</v>
      </c>
      <c r="K17274" s="1013"/>
    </row>
    <row r="17275" spans="1:11" s="1011" customFormat="1" ht="15" x14ac:dyDescent="0.25">
      <c r="A17275" s="859">
        <f t="shared" si="410"/>
        <v>17274</v>
      </c>
      <c r="B17275" s="845" t="s">
        <v>2564</v>
      </c>
      <c r="C17275" s="1007">
        <f t="shared" si="411"/>
        <v>182</v>
      </c>
      <c r="D17275" s="1012"/>
      <c r="I17275" s="1011" t="s">
        <v>2181</v>
      </c>
      <c r="K17275" s="1013"/>
    </row>
    <row r="17276" spans="1:11" s="1011" customFormat="1" ht="15" x14ac:dyDescent="0.25">
      <c r="A17276" s="859">
        <f t="shared" si="410"/>
        <v>17275</v>
      </c>
      <c r="B17276" s="845" t="s">
        <v>2564</v>
      </c>
      <c r="C17276" s="1007">
        <f t="shared" si="411"/>
        <v>182</v>
      </c>
      <c r="D17276" s="1012"/>
      <c r="I17276" s="1011" t="str">
        <f>CONCATENATE("&lt;valeur&gt;",VLOOKUP(C17276,'T16 Amort'!A:K,9,0),"&lt;/valeur&gt;")</f>
        <v>&lt;valeur&gt;&lt;/valeur&gt;</v>
      </c>
      <c r="K17276" s="1013"/>
    </row>
    <row r="17277" spans="1:11" s="1011" customFormat="1" ht="15" x14ac:dyDescent="0.25">
      <c r="A17277" s="859">
        <f t="shared" si="410"/>
        <v>17276</v>
      </c>
      <c r="B17277" s="845" t="s">
        <v>2564</v>
      </c>
      <c r="C17277" s="1007">
        <f t="shared" si="411"/>
        <v>182</v>
      </c>
      <c r="D17277" s="1014"/>
      <c r="I17277" s="1011" t="str">
        <f>CONCATENATE("&lt;numeroLigne&gt;",C17277,"&lt;/numeroLigne&gt;")</f>
        <v>&lt;numeroLigne&gt;182&lt;/numeroLigne&gt;</v>
      </c>
      <c r="K17277" s="1013"/>
    </row>
    <row r="17278" spans="1:11" s="1011" customFormat="1" ht="15" x14ac:dyDescent="0.25">
      <c r="A17278" s="859">
        <f t="shared" si="410"/>
        <v>17277</v>
      </c>
      <c r="B17278" s="845" t="s">
        <v>2564</v>
      </c>
      <c r="C17278" s="1007">
        <f t="shared" si="411"/>
        <v>182</v>
      </c>
      <c r="D17278" s="1014"/>
      <c r="H17278" s="1011" t="s">
        <v>1010</v>
      </c>
      <c r="K17278" s="1013"/>
    </row>
    <row r="17279" spans="1:11" s="1011" customFormat="1" ht="15" x14ac:dyDescent="0.25">
      <c r="A17279" s="859">
        <f t="shared" si="410"/>
        <v>17278</v>
      </c>
      <c r="B17279" s="845" t="s">
        <v>2564</v>
      </c>
      <c r="C17279" s="1007">
        <f t="shared" si="411"/>
        <v>182</v>
      </c>
      <c r="D17279" s="1012"/>
      <c r="H17279" s="1011" t="s">
        <v>1007</v>
      </c>
      <c r="K17279" s="1013"/>
    </row>
    <row r="17280" spans="1:11" s="1011" customFormat="1" ht="15" x14ac:dyDescent="0.25">
      <c r="A17280" s="859">
        <f t="shared" si="410"/>
        <v>17279</v>
      </c>
      <c r="B17280" s="845" t="s">
        <v>2564</v>
      </c>
      <c r="C17280" s="1007">
        <f t="shared" si="411"/>
        <v>182</v>
      </c>
      <c r="D17280" s="1015"/>
      <c r="I17280" s="1011" t="s">
        <v>2182</v>
      </c>
      <c r="K17280" s="1013"/>
    </row>
    <row r="17281" spans="1:11" s="1011" customFormat="1" ht="15" x14ac:dyDescent="0.25">
      <c r="A17281" s="859">
        <f t="shared" si="410"/>
        <v>17280</v>
      </c>
      <c r="B17281" s="845" t="s">
        <v>2564</v>
      </c>
      <c r="C17281" s="1007">
        <f t="shared" si="411"/>
        <v>182</v>
      </c>
      <c r="D17281" s="1012"/>
      <c r="I17281" s="1011" t="str">
        <f>CONCATENATE("&lt;valeur&gt;",VLOOKUP(C17281,'T16 Amort'!A:K,10,0),"&lt;/valeur&gt;")</f>
        <v>&lt;valeur&gt;&lt;/valeur&gt;</v>
      </c>
      <c r="K17281" s="1013"/>
    </row>
    <row r="17282" spans="1:11" s="1011" customFormat="1" ht="15" x14ac:dyDescent="0.25">
      <c r="A17282" s="859">
        <f t="shared" si="410"/>
        <v>17281</v>
      </c>
      <c r="B17282" s="845" t="s">
        <v>2564</v>
      </c>
      <c r="C17282" s="1007">
        <f t="shared" si="411"/>
        <v>182</v>
      </c>
      <c r="D17282" s="1012"/>
      <c r="I17282" s="1011" t="str">
        <f>CONCATENATE("&lt;numeroLigne&gt;",C17282,"&lt;/numeroLigne&gt;")</f>
        <v>&lt;numeroLigne&gt;182&lt;/numeroLigne&gt;</v>
      </c>
      <c r="K17282" s="1013"/>
    </row>
    <row r="17283" spans="1:11" s="1011" customFormat="1" ht="15" x14ac:dyDescent="0.25">
      <c r="A17283" s="859">
        <f t="shared" si="410"/>
        <v>17282</v>
      </c>
      <c r="B17283" s="845" t="s">
        <v>2564</v>
      </c>
      <c r="C17283" s="1007">
        <f t="shared" si="411"/>
        <v>182</v>
      </c>
      <c r="D17283" s="1014"/>
      <c r="H17283" s="1011" t="s">
        <v>1010</v>
      </c>
      <c r="K17283" s="1013"/>
    </row>
    <row r="17284" spans="1:11" s="1011" customFormat="1" ht="15" x14ac:dyDescent="0.25">
      <c r="A17284" s="859">
        <f t="shared" ref="A17284:A17347" si="412">+A17283+1</f>
        <v>17283</v>
      </c>
      <c r="B17284" s="845" t="s">
        <v>2564</v>
      </c>
      <c r="C17284" s="1007">
        <f t="shared" si="411"/>
        <v>182</v>
      </c>
      <c r="D17284" s="1014"/>
      <c r="H17284" s="1011" t="s">
        <v>1007</v>
      </c>
      <c r="K17284" s="1013"/>
    </row>
    <row r="17285" spans="1:11" s="1011" customFormat="1" ht="15" x14ac:dyDescent="0.25">
      <c r="A17285" s="859">
        <f t="shared" si="412"/>
        <v>17284</v>
      </c>
      <c r="B17285" s="845" t="s">
        <v>2564</v>
      </c>
      <c r="C17285" s="1007">
        <f t="shared" si="411"/>
        <v>182</v>
      </c>
      <c r="D17285" s="1012"/>
      <c r="I17285" s="1011" t="s">
        <v>2183</v>
      </c>
      <c r="K17285" s="1013"/>
    </row>
    <row r="17286" spans="1:11" s="1011" customFormat="1" ht="15" x14ac:dyDescent="0.25">
      <c r="A17286" s="859">
        <f t="shared" si="412"/>
        <v>17285</v>
      </c>
      <c r="B17286" s="845" t="s">
        <v>2564</v>
      </c>
      <c r="C17286" s="1007">
        <f t="shared" si="411"/>
        <v>182</v>
      </c>
      <c r="D17286" s="1015"/>
      <c r="I17286" s="1011" t="str">
        <f>CONCATENATE("&lt;valeur&gt;",VLOOKUP(C17286,'T16 Amort'!A:K,11,0),"&lt;/valeur&gt;")</f>
        <v>&lt;valeur&gt;&lt;/valeur&gt;</v>
      </c>
      <c r="K17286" s="1013"/>
    </row>
    <row r="17287" spans="1:11" s="1011" customFormat="1" ht="15" x14ac:dyDescent="0.25">
      <c r="A17287" s="859">
        <f t="shared" si="412"/>
        <v>17286</v>
      </c>
      <c r="B17287" s="845" t="s">
        <v>2564</v>
      </c>
      <c r="C17287" s="1007">
        <f t="shared" si="411"/>
        <v>182</v>
      </c>
      <c r="D17287" s="1012"/>
      <c r="I17287" s="1011" t="str">
        <f>CONCATENATE("&lt;numeroLigne&gt;",C17287,"&lt;/numeroLigne&gt;")</f>
        <v>&lt;numeroLigne&gt;182&lt;/numeroLigne&gt;</v>
      </c>
      <c r="K17287" s="1013"/>
    </row>
    <row r="17288" spans="1:11" s="1011" customFormat="1" ht="15" x14ac:dyDescent="0.25">
      <c r="A17288" s="859">
        <f t="shared" si="412"/>
        <v>17287</v>
      </c>
      <c r="B17288" s="845" t="s">
        <v>2564</v>
      </c>
      <c r="C17288" s="1007">
        <f t="shared" si="411"/>
        <v>182</v>
      </c>
      <c r="D17288" s="1016"/>
      <c r="E17288" s="1017"/>
      <c r="F17288" s="1017"/>
      <c r="G17288" s="1017"/>
      <c r="H17288" s="1017" t="s">
        <v>1010</v>
      </c>
      <c r="I17288" s="1017"/>
      <c r="J17288" s="1017"/>
      <c r="K17288" s="1018"/>
    </row>
    <row r="17289" spans="1:11" x14ac:dyDescent="0.2">
      <c r="A17289" s="859">
        <f t="shared" si="412"/>
        <v>17288</v>
      </c>
      <c r="B17289" s="845" t="s">
        <v>2564</v>
      </c>
      <c r="D17289" s="861"/>
      <c r="H17289" s="845" t="s">
        <v>1007</v>
      </c>
    </row>
    <row r="17290" spans="1:11" x14ac:dyDescent="0.2">
      <c r="A17290" s="859">
        <f t="shared" si="412"/>
        <v>17289</v>
      </c>
      <c r="B17290" s="845" t="s">
        <v>2564</v>
      </c>
      <c r="D17290" s="861"/>
      <c r="I17290" s="845" t="s">
        <v>1008</v>
      </c>
    </row>
    <row r="17291" spans="1:11" x14ac:dyDescent="0.2">
      <c r="A17291" s="859">
        <f t="shared" si="412"/>
        <v>17290</v>
      </c>
      <c r="B17291" s="845" t="s">
        <v>2564</v>
      </c>
      <c r="D17291" s="862"/>
      <c r="J17291" s="845" t="s">
        <v>2184</v>
      </c>
    </row>
    <row r="17292" spans="1:11" x14ac:dyDescent="0.2">
      <c r="A17292" s="859">
        <f t="shared" si="412"/>
        <v>17291</v>
      </c>
      <c r="B17292" s="845" t="s">
        <v>2564</v>
      </c>
      <c r="D17292" s="863"/>
      <c r="I17292" s="845" t="s">
        <v>1009</v>
      </c>
    </row>
    <row r="17293" spans="1:11" x14ac:dyDescent="0.2">
      <c r="A17293" s="859">
        <f t="shared" si="412"/>
        <v>17292</v>
      </c>
      <c r="B17293" s="845" t="s">
        <v>2564</v>
      </c>
      <c r="D17293" s="862"/>
      <c r="I17293" s="845" t="str">
        <f>CONCATENATE("&lt;valeur&gt;",Cellule_1088,"&lt;/valeur&gt;")</f>
        <v>&lt;valeur&gt;0&lt;/valeur&gt;</v>
      </c>
    </row>
    <row r="17294" spans="1:11" x14ac:dyDescent="0.2">
      <c r="A17294" s="859">
        <f t="shared" si="412"/>
        <v>17293</v>
      </c>
      <c r="B17294" s="845" t="s">
        <v>2564</v>
      </c>
      <c r="D17294" s="862"/>
      <c r="H17294" s="845" t="s">
        <v>1010</v>
      </c>
    </row>
    <row r="17295" spans="1:11" x14ac:dyDescent="0.2">
      <c r="A17295" s="859">
        <f t="shared" si="412"/>
        <v>17294</v>
      </c>
      <c r="B17295" s="845" t="s">
        <v>2564</v>
      </c>
      <c r="D17295" s="861"/>
      <c r="H17295" s="845" t="s">
        <v>1007</v>
      </c>
    </row>
    <row r="17296" spans="1:11" x14ac:dyDescent="0.2">
      <c r="A17296" s="859">
        <f t="shared" si="412"/>
        <v>17295</v>
      </c>
      <c r="B17296" s="845" t="s">
        <v>2564</v>
      </c>
      <c r="D17296" s="861"/>
      <c r="I17296" s="845" t="s">
        <v>1008</v>
      </c>
    </row>
    <row r="17297" spans="1:10" x14ac:dyDescent="0.2">
      <c r="A17297" s="859">
        <f t="shared" si="412"/>
        <v>17296</v>
      </c>
      <c r="B17297" s="845" t="s">
        <v>2564</v>
      </c>
      <c r="D17297" s="862"/>
      <c r="J17297" s="845" t="s">
        <v>2185</v>
      </c>
    </row>
    <row r="17298" spans="1:10" x14ac:dyDescent="0.2">
      <c r="A17298" s="859">
        <f t="shared" si="412"/>
        <v>17297</v>
      </c>
      <c r="B17298" s="845" t="s">
        <v>2564</v>
      </c>
      <c r="D17298" s="863"/>
      <c r="I17298" s="845" t="s">
        <v>1009</v>
      </c>
    </row>
    <row r="17299" spans="1:10" x14ac:dyDescent="0.2">
      <c r="A17299" s="859">
        <f t="shared" si="412"/>
        <v>17298</v>
      </c>
      <c r="B17299" s="845" t="s">
        <v>2564</v>
      </c>
      <c r="D17299" s="862"/>
      <c r="I17299" s="845" t="str">
        <f>CONCATENATE("&lt;valeur&gt;",Cellule_1089,"&lt;/valeur&gt;")</f>
        <v>&lt;valeur&gt;0&lt;/valeur&gt;</v>
      </c>
    </row>
    <row r="17300" spans="1:10" x14ac:dyDescent="0.2">
      <c r="A17300" s="859">
        <f t="shared" si="412"/>
        <v>17299</v>
      </c>
      <c r="B17300" s="845" t="s">
        <v>2564</v>
      </c>
      <c r="D17300" s="862"/>
      <c r="H17300" s="845" t="s">
        <v>1010</v>
      </c>
    </row>
    <row r="17301" spans="1:10" x14ac:dyDescent="0.2">
      <c r="A17301" s="859">
        <f t="shared" si="412"/>
        <v>17300</v>
      </c>
      <c r="B17301" s="845" t="s">
        <v>2564</v>
      </c>
      <c r="D17301" s="861"/>
      <c r="H17301" s="845" t="s">
        <v>1007</v>
      </c>
    </row>
    <row r="17302" spans="1:10" x14ac:dyDescent="0.2">
      <c r="A17302" s="859">
        <f t="shared" si="412"/>
        <v>17301</v>
      </c>
      <c r="B17302" s="845" t="s">
        <v>2564</v>
      </c>
      <c r="D17302" s="861"/>
      <c r="I17302" s="845" t="s">
        <v>1008</v>
      </c>
    </row>
    <row r="17303" spans="1:10" x14ac:dyDescent="0.2">
      <c r="A17303" s="859">
        <f t="shared" si="412"/>
        <v>17302</v>
      </c>
      <c r="B17303" s="845" t="s">
        <v>2564</v>
      </c>
      <c r="D17303" s="862"/>
      <c r="J17303" s="845" t="s">
        <v>2186</v>
      </c>
    </row>
    <row r="17304" spans="1:10" x14ac:dyDescent="0.2">
      <c r="A17304" s="859">
        <f t="shared" si="412"/>
        <v>17303</v>
      </c>
      <c r="B17304" s="845" t="s">
        <v>2564</v>
      </c>
      <c r="D17304" s="863"/>
      <c r="I17304" s="845" t="s">
        <v>1009</v>
      </c>
    </row>
    <row r="17305" spans="1:10" x14ac:dyDescent="0.2">
      <c r="A17305" s="859">
        <f t="shared" si="412"/>
        <v>17304</v>
      </c>
      <c r="B17305" s="845" t="s">
        <v>2564</v>
      </c>
      <c r="D17305" s="862"/>
      <c r="I17305" s="845" t="str">
        <f>CONCATENATE("&lt;valeur&gt;",Cellule_1090,"&lt;/valeur&gt;")</f>
        <v>&lt;valeur&gt;0&lt;/valeur&gt;</v>
      </c>
    </row>
    <row r="17306" spans="1:10" x14ac:dyDescent="0.2">
      <c r="A17306" s="859">
        <f t="shared" si="412"/>
        <v>17305</v>
      </c>
      <c r="B17306" s="845" t="s">
        <v>2564</v>
      </c>
      <c r="D17306" s="862"/>
      <c r="H17306" s="845" t="s">
        <v>1010</v>
      </c>
    </row>
    <row r="17307" spans="1:10" x14ac:dyDescent="0.2">
      <c r="A17307" s="859">
        <f t="shared" si="412"/>
        <v>17306</v>
      </c>
      <c r="B17307" s="845" t="s">
        <v>2564</v>
      </c>
      <c r="D17307" s="861"/>
      <c r="H17307" s="845" t="s">
        <v>1007</v>
      </c>
    </row>
    <row r="17308" spans="1:10" x14ac:dyDescent="0.2">
      <c r="A17308" s="859">
        <f t="shared" si="412"/>
        <v>17307</v>
      </c>
      <c r="B17308" s="845" t="s">
        <v>2564</v>
      </c>
      <c r="D17308" s="861"/>
      <c r="I17308" s="845" t="s">
        <v>1008</v>
      </c>
    </row>
    <row r="17309" spans="1:10" x14ac:dyDescent="0.2">
      <c r="A17309" s="859">
        <f t="shared" si="412"/>
        <v>17308</v>
      </c>
      <c r="B17309" s="845" t="s">
        <v>2564</v>
      </c>
      <c r="D17309" s="862"/>
      <c r="J17309" s="845" t="s">
        <v>2187</v>
      </c>
    </row>
    <row r="17310" spans="1:10" x14ac:dyDescent="0.2">
      <c r="A17310" s="859">
        <f t="shared" si="412"/>
        <v>17309</v>
      </c>
      <c r="B17310" s="845" t="s">
        <v>2564</v>
      </c>
      <c r="D17310" s="863"/>
      <c r="I17310" s="845" t="s">
        <v>1009</v>
      </c>
    </row>
    <row r="17311" spans="1:10" x14ac:dyDescent="0.2">
      <c r="A17311" s="859">
        <f t="shared" si="412"/>
        <v>17310</v>
      </c>
      <c r="B17311" s="845" t="s">
        <v>2564</v>
      </c>
      <c r="D17311" s="862"/>
      <c r="I17311" s="845" t="str">
        <f>CONCATENATE("&lt;valeur&gt;",Cellule_1091,"&lt;/valeur&gt;")</f>
        <v>&lt;valeur&gt;&lt;/valeur&gt;</v>
      </c>
    </row>
    <row r="17312" spans="1:10" x14ac:dyDescent="0.2">
      <c r="A17312" s="859">
        <f t="shared" si="412"/>
        <v>17311</v>
      </c>
      <c r="B17312" s="845" t="s">
        <v>2564</v>
      </c>
      <c r="D17312" s="862"/>
      <c r="H17312" s="845" t="s">
        <v>1010</v>
      </c>
    </row>
    <row r="17313" spans="1:10" x14ac:dyDescent="0.2">
      <c r="A17313" s="859">
        <f t="shared" si="412"/>
        <v>17312</v>
      </c>
      <c r="B17313" s="845" t="s">
        <v>2564</v>
      </c>
      <c r="D17313" s="861"/>
      <c r="H17313" s="845" t="s">
        <v>1007</v>
      </c>
    </row>
    <row r="17314" spans="1:10" x14ac:dyDescent="0.2">
      <c r="A17314" s="859">
        <f t="shared" si="412"/>
        <v>17313</v>
      </c>
      <c r="B17314" s="845" t="s">
        <v>2564</v>
      </c>
      <c r="D17314" s="861"/>
      <c r="I17314" s="845" t="s">
        <v>1008</v>
      </c>
    </row>
    <row r="17315" spans="1:10" x14ac:dyDescent="0.2">
      <c r="A17315" s="859">
        <f t="shared" si="412"/>
        <v>17314</v>
      </c>
      <c r="B17315" s="845" t="s">
        <v>2564</v>
      </c>
      <c r="D17315" s="862"/>
      <c r="J17315" s="845" t="s">
        <v>2188</v>
      </c>
    </row>
    <row r="17316" spans="1:10" x14ac:dyDescent="0.2">
      <c r="A17316" s="859">
        <f t="shared" si="412"/>
        <v>17315</v>
      </c>
      <c r="B17316" s="845" t="s">
        <v>2564</v>
      </c>
      <c r="D17316" s="863"/>
      <c r="I17316" s="845" t="s">
        <v>1009</v>
      </c>
    </row>
    <row r="17317" spans="1:10" x14ac:dyDescent="0.2">
      <c r="A17317" s="859">
        <f t="shared" si="412"/>
        <v>17316</v>
      </c>
      <c r="B17317" s="845" t="s">
        <v>2564</v>
      </c>
      <c r="D17317" s="862"/>
      <c r="I17317" s="845" t="str">
        <f>CONCATENATE("&lt;valeur&gt;",Cellule_1093,"&lt;/valeur&gt;")</f>
        <v>&lt;valeur&gt;0&lt;/valeur&gt;</v>
      </c>
    </row>
    <row r="17318" spans="1:10" x14ac:dyDescent="0.2">
      <c r="A17318" s="859">
        <f t="shared" si="412"/>
        <v>17317</v>
      </c>
      <c r="B17318" s="845" t="s">
        <v>2564</v>
      </c>
      <c r="D17318" s="862"/>
      <c r="H17318" s="845" t="s">
        <v>1010</v>
      </c>
    </row>
    <row r="17319" spans="1:10" x14ac:dyDescent="0.2">
      <c r="A17319" s="859">
        <f t="shared" si="412"/>
        <v>17318</v>
      </c>
      <c r="B17319" s="845" t="s">
        <v>2564</v>
      </c>
      <c r="D17319" s="861"/>
      <c r="H17319" s="845" t="s">
        <v>1007</v>
      </c>
    </row>
    <row r="17320" spans="1:10" x14ac:dyDescent="0.2">
      <c r="A17320" s="859">
        <f t="shared" si="412"/>
        <v>17319</v>
      </c>
      <c r="B17320" s="845" t="s">
        <v>2564</v>
      </c>
      <c r="D17320" s="861"/>
      <c r="I17320" s="845" t="s">
        <v>1008</v>
      </c>
    </row>
    <row r="17321" spans="1:10" x14ac:dyDescent="0.2">
      <c r="A17321" s="859">
        <f t="shared" si="412"/>
        <v>17320</v>
      </c>
      <c r="B17321" s="845" t="s">
        <v>2564</v>
      </c>
      <c r="D17321" s="862"/>
      <c r="J17321" s="845" t="s">
        <v>2189</v>
      </c>
    </row>
    <row r="17322" spans="1:10" x14ac:dyDescent="0.2">
      <c r="A17322" s="859">
        <f t="shared" si="412"/>
        <v>17321</v>
      </c>
      <c r="B17322" s="845" t="s">
        <v>2564</v>
      </c>
      <c r="D17322" s="863"/>
      <c r="I17322" s="845" t="s">
        <v>1009</v>
      </c>
    </row>
    <row r="17323" spans="1:10" x14ac:dyDescent="0.2">
      <c r="A17323" s="859">
        <f t="shared" si="412"/>
        <v>17322</v>
      </c>
      <c r="B17323" s="845" t="s">
        <v>2564</v>
      </c>
      <c r="D17323" s="862"/>
      <c r="I17323" s="845" t="str">
        <f>CONCATENATE("&lt;valeur&gt;",Cellule_1094,"&lt;/valeur&gt;")</f>
        <v>&lt;valeur&gt;0&lt;/valeur&gt;</v>
      </c>
    </row>
    <row r="17324" spans="1:10" x14ac:dyDescent="0.2">
      <c r="A17324" s="859">
        <f t="shared" si="412"/>
        <v>17323</v>
      </c>
      <c r="B17324" s="845" t="s">
        <v>2564</v>
      </c>
      <c r="D17324" s="862"/>
      <c r="H17324" s="845" t="s">
        <v>1010</v>
      </c>
    </row>
    <row r="17325" spans="1:10" x14ac:dyDescent="0.2">
      <c r="A17325" s="859">
        <f t="shared" si="412"/>
        <v>17324</v>
      </c>
      <c r="B17325" s="845" t="s">
        <v>2564</v>
      </c>
      <c r="D17325" s="861"/>
      <c r="G17325" s="845" t="s">
        <v>1011</v>
      </c>
    </row>
    <row r="17326" spans="1:10" x14ac:dyDescent="0.2">
      <c r="A17326" s="859">
        <f t="shared" si="412"/>
        <v>17325</v>
      </c>
      <c r="B17326" s="845" t="s">
        <v>2564</v>
      </c>
      <c r="D17326" s="860"/>
      <c r="G17326" s="845" t="s">
        <v>1012</v>
      </c>
    </row>
    <row r="17327" spans="1:10" x14ac:dyDescent="0.2">
      <c r="A17327" s="859">
        <f t="shared" si="412"/>
        <v>17326</v>
      </c>
      <c r="B17327" s="845" t="s">
        <v>2564</v>
      </c>
      <c r="D17327" s="857"/>
      <c r="H17327" s="845" t="s">
        <v>1015</v>
      </c>
    </row>
    <row r="17328" spans="1:10" x14ac:dyDescent="0.2">
      <c r="A17328" s="859">
        <f t="shared" si="412"/>
        <v>17327</v>
      </c>
      <c r="B17328" s="845" t="s">
        <v>2564</v>
      </c>
      <c r="D17328" s="857"/>
      <c r="I17328" s="845" t="s">
        <v>1016</v>
      </c>
    </row>
    <row r="17329" spans="1:10" x14ac:dyDescent="0.2">
      <c r="A17329" s="859">
        <f t="shared" si="412"/>
        <v>17328</v>
      </c>
      <c r="B17329" s="845" t="s">
        <v>2564</v>
      </c>
      <c r="D17329" s="860"/>
      <c r="J17329" s="845" t="s">
        <v>2190</v>
      </c>
    </row>
    <row r="17330" spans="1:10" x14ac:dyDescent="0.2">
      <c r="A17330" s="859">
        <f t="shared" si="412"/>
        <v>17329</v>
      </c>
      <c r="B17330" s="845" t="s">
        <v>2564</v>
      </c>
      <c r="D17330" s="861"/>
      <c r="I17330" s="845" t="s">
        <v>1017</v>
      </c>
    </row>
    <row r="17331" spans="1:10" x14ac:dyDescent="0.2">
      <c r="A17331" s="859">
        <f t="shared" si="412"/>
        <v>17330</v>
      </c>
      <c r="B17331" s="845" t="s">
        <v>2564</v>
      </c>
      <c r="D17331" s="860"/>
      <c r="I17331" s="845" t="str">
        <f>CONCATENATE("&lt;valeur&gt;",Cellule_22,"&lt;/valeur&gt;")</f>
        <v>&lt;valeur&gt;0&lt;/valeur&gt;</v>
      </c>
    </row>
    <row r="17332" spans="1:10" x14ac:dyDescent="0.2">
      <c r="A17332" s="859">
        <f t="shared" si="412"/>
        <v>17331</v>
      </c>
      <c r="B17332" s="845" t="s">
        <v>2564</v>
      </c>
      <c r="D17332" s="860"/>
      <c r="H17332" s="845" t="s">
        <v>1018</v>
      </c>
    </row>
    <row r="17333" spans="1:10" x14ac:dyDescent="0.2">
      <c r="A17333" s="859">
        <f t="shared" si="412"/>
        <v>17332</v>
      </c>
      <c r="B17333" s="845" t="s">
        <v>2564</v>
      </c>
      <c r="D17333" s="861"/>
      <c r="H17333" s="845" t="s">
        <v>1015</v>
      </c>
    </row>
    <row r="17334" spans="1:10" x14ac:dyDescent="0.2">
      <c r="A17334" s="859">
        <f t="shared" si="412"/>
        <v>17333</v>
      </c>
      <c r="B17334" s="845" t="s">
        <v>2564</v>
      </c>
      <c r="D17334" s="862"/>
      <c r="I17334" s="845" t="s">
        <v>1016</v>
      </c>
    </row>
    <row r="17335" spans="1:10" x14ac:dyDescent="0.2">
      <c r="A17335" s="859">
        <f t="shared" si="412"/>
        <v>17334</v>
      </c>
      <c r="B17335" s="845" t="s">
        <v>2564</v>
      </c>
      <c r="D17335" s="863"/>
      <c r="J17335" s="845" t="s">
        <v>2191</v>
      </c>
    </row>
    <row r="17336" spans="1:10" x14ac:dyDescent="0.2">
      <c r="A17336" s="859">
        <f t="shared" si="412"/>
        <v>17335</v>
      </c>
      <c r="B17336" s="845" t="s">
        <v>2564</v>
      </c>
      <c r="D17336" s="862"/>
      <c r="I17336" s="845" t="s">
        <v>1017</v>
      </c>
    </row>
    <row r="17337" spans="1:10" x14ac:dyDescent="0.2">
      <c r="A17337" s="859">
        <f t="shared" si="412"/>
        <v>17336</v>
      </c>
      <c r="B17337" s="845" t="s">
        <v>2564</v>
      </c>
      <c r="D17337" s="862"/>
      <c r="I17337" s="845" t="str">
        <f>CONCATENATE("&lt;valeur&gt;",Cellule_50,"&lt;/valeur&gt;")</f>
        <v>&lt;valeur&gt;31/12/2015&lt;/valeur&gt;</v>
      </c>
    </row>
    <row r="17338" spans="1:10" x14ac:dyDescent="0.2">
      <c r="A17338" s="859">
        <f t="shared" si="412"/>
        <v>17337</v>
      </c>
      <c r="B17338" s="845" t="s">
        <v>2564</v>
      </c>
      <c r="D17338" s="862"/>
      <c r="H17338" s="845" t="s">
        <v>1018</v>
      </c>
    </row>
    <row r="17339" spans="1:10" x14ac:dyDescent="0.2">
      <c r="A17339" s="859">
        <f t="shared" si="412"/>
        <v>17338</v>
      </c>
      <c r="B17339" s="845" t="s">
        <v>2564</v>
      </c>
      <c r="D17339" s="861"/>
      <c r="H17339" s="845" t="s">
        <v>1015</v>
      </c>
    </row>
    <row r="17340" spans="1:10" x14ac:dyDescent="0.2">
      <c r="A17340" s="859">
        <f t="shared" si="412"/>
        <v>17339</v>
      </c>
      <c r="B17340" s="845" t="s">
        <v>2564</v>
      </c>
      <c r="D17340" s="861"/>
      <c r="I17340" s="845" t="s">
        <v>1016</v>
      </c>
    </row>
    <row r="17341" spans="1:10" x14ac:dyDescent="0.2">
      <c r="A17341" s="859">
        <f t="shared" si="412"/>
        <v>17340</v>
      </c>
      <c r="B17341" s="845" t="s">
        <v>2564</v>
      </c>
      <c r="D17341" s="862"/>
      <c r="J17341" s="845" t="s">
        <v>2192</v>
      </c>
    </row>
    <row r="17342" spans="1:10" x14ac:dyDescent="0.2">
      <c r="A17342" s="859">
        <f t="shared" si="412"/>
        <v>17341</v>
      </c>
      <c r="B17342" s="845" t="s">
        <v>2564</v>
      </c>
      <c r="D17342" s="863"/>
      <c r="I17342" s="845" t="s">
        <v>1017</v>
      </c>
    </row>
    <row r="17343" spans="1:10" x14ac:dyDescent="0.2">
      <c r="A17343" s="859">
        <f t="shared" si="412"/>
        <v>17342</v>
      </c>
      <c r="B17343" s="845" t="s">
        <v>2564</v>
      </c>
      <c r="D17343" s="862"/>
      <c r="I17343" s="845" t="str">
        <f>CONCATENATE("&lt;valeur&gt;",Cellule_51,"&lt;/valeur&gt;")</f>
        <v>&lt;valeur&gt;01/01/2015&lt;/valeur&gt;</v>
      </c>
    </row>
    <row r="17344" spans="1:10" x14ac:dyDescent="0.2">
      <c r="A17344" s="859">
        <f t="shared" si="412"/>
        <v>17343</v>
      </c>
      <c r="B17344" s="845" t="s">
        <v>2564</v>
      </c>
      <c r="D17344" s="924"/>
      <c r="H17344" s="845" t="s">
        <v>1018</v>
      </c>
    </row>
    <row r="17345" spans="1:10" x14ac:dyDescent="0.2">
      <c r="A17345" s="859">
        <f t="shared" si="412"/>
        <v>17344</v>
      </c>
      <c r="B17345" s="845" t="s">
        <v>2564</v>
      </c>
      <c r="D17345" s="862"/>
      <c r="H17345" s="845" t="s">
        <v>1015</v>
      </c>
    </row>
    <row r="17346" spans="1:10" x14ac:dyDescent="0.2">
      <c r="A17346" s="859">
        <f t="shared" si="412"/>
        <v>17345</v>
      </c>
      <c r="B17346" s="845" t="s">
        <v>2564</v>
      </c>
      <c r="D17346" s="861"/>
      <c r="I17346" s="845" t="s">
        <v>1016</v>
      </c>
    </row>
    <row r="17347" spans="1:10" x14ac:dyDescent="0.2">
      <c r="A17347" s="859">
        <f t="shared" si="412"/>
        <v>17346</v>
      </c>
      <c r="B17347" s="845" t="s">
        <v>2564</v>
      </c>
      <c r="D17347" s="861"/>
      <c r="J17347" s="845" t="s">
        <v>2193</v>
      </c>
    </row>
    <row r="17348" spans="1:10" x14ac:dyDescent="0.2">
      <c r="A17348" s="859">
        <f t="shared" ref="A17348:A17411" si="413">+A17347+1</f>
        <v>17347</v>
      </c>
      <c r="B17348" s="845" t="s">
        <v>2564</v>
      </c>
      <c r="D17348" s="862"/>
      <c r="I17348" s="845" t="s">
        <v>1017</v>
      </c>
    </row>
    <row r="17349" spans="1:10" x14ac:dyDescent="0.2">
      <c r="A17349" s="859">
        <f t="shared" si="413"/>
        <v>17348</v>
      </c>
      <c r="B17349" s="845" t="s">
        <v>2564</v>
      </c>
      <c r="D17349" s="863"/>
      <c r="I17349" s="845" t="str">
        <f>CONCATENATE("&lt;valeur&gt;",Cellule_52,"&lt;/valeur&gt;")</f>
        <v>&lt;valeur&gt;31/12/2015&lt;/valeur&gt;</v>
      </c>
    </row>
    <row r="17350" spans="1:10" x14ac:dyDescent="0.2">
      <c r="A17350" s="859">
        <f t="shared" si="413"/>
        <v>17349</v>
      </c>
      <c r="B17350" s="845" t="s">
        <v>2564</v>
      </c>
      <c r="D17350" s="862"/>
      <c r="H17350" s="845" t="s">
        <v>1018</v>
      </c>
    </row>
    <row r="17351" spans="1:10" x14ac:dyDescent="0.2">
      <c r="A17351" s="859">
        <f t="shared" si="413"/>
        <v>17350</v>
      </c>
      <c r="B17351" s="845" t="s">
        <v>2564</v>
      </c>
      <c r="D17351" s="862"/>
      <c r="G17351" s="845" t="s">
        <v>1013</v>
      </c>
    </row>
    <row r="17352" spans="1:10" x14ac:dyDescent="0.2">
      <c r="A17352" s="859">
        <f t="shared" si="413"/>
        <v>17351</v>
      </c>
      <c r="B17352" s="845" t="s">
        <v>2564</v>
      </c>
      <c r="D17352" s="862"/>
      <c r="F17352" s="845" t="s">
        <v>1014</v>
      </c>
    </row>
    <row r="17353" spans="1:10" x14ac:dyDescent="0.2">
      <c r="A17353" s="859">
        <f t="shared" si="413"/>
        <v>17352</v>
      </c>
      <c r="B17353" s="845" t="s">
        <v>2565</v>
      </c>
      <c r="D17353" s="861"/>
      <c r="F17353" s="845" t="s">
        <v>1005</v>
      </c>
    </row>
    <row r="17354" spans="1:10" x14ac:dyDescent="0.2">
      <c r="A17354" s="859">
        <f t="shared" si="413"/>
        <v>17353</v>
      </c>
      <c r="B17354" s="845" t="s">
        <v>2565</v>
      </c>
      <c r="D17354" s="861"/>
      <c r="G17354" s="845" t="s">
        <v>2194</v>
      </c>
    </row>
    <row r="17355" spans="1:10" x14ac:dyDescent="0.2">
      <c r="A17355" s="859">
        <f t="shared" si="413"/>
        <v>17354</v>
      </c>
      <c r="B17355" s="845" t="s">
        <v>2565</v>
      </c>
      <c r="D17355" s="862"/>
      <c r="G17355" s="845" t="s">
        <v>1006</v>
      </c>
    </row>
    <row r="17356" spans="1:10" x14ac:dyDescent="0.2">
      <c r="A17356" s="859">
        <f t="shared" si="413"/>
        <v>17355</v>
      </c>
      <c r="B17356" s="845" t="s">
        <v>2565</v>
      </c>
      <c r="D17356" s="863"/>
      <c r="H17356" s="845" t="s">
        <v>1007</v>
      </c>
    </row>
    <row r="17357" spans="1:10" x14ac:dyDescent="0.2">
      <c r="A17357" s="859">
        <f t="shared" si="413"/>
        <v>17356</v>
      </c>
      <c r="B17357" s="845" t="s">
        <v>2565</v>
      </c>
      <c r="D17357" s="862"/>
      <c r="I17357" s="845" t="s">
        <v>1008</v>
      </c>
    </row>
    <row r="17358" spans="1:10" x14ac:dyDescent="0.2">
      <c r="A17358" s="859">
        <f t="shared" si="413"/>
        <v>17357</v>
      </c>
      <c r="B17358" s="845" t="s">
        <v>2565</v>
      </c>
      <c r="D17358" s="862"/>
      <c r="J17358" s="845" t="s">
        <v>2195</v>
      </c>
    </row>
    <row r="17359" spans="1:10" x14ac:dyDescent="0.2">
      <c r="A17359" s="859">
        <f t="shared" si="413"/>
        <v>17358</v>
      </c>
      <c r="B17359" s="845" t="s">
        <v>2565</v>
      </c>
      <c r="D17359" s="862"/>
      <c r="I17359" s="845" t="s">
        <v>1009</v>
      </c>
    </row>
    <row r="17360" spans="1:10" x14ac:dyDescent="0.2">
      <c r="A17360" s="859">
        <f t="shared" si="413"/>
        <v>17359</v>
      </c>
      <c r="B17360" s="845" t="s">
        <v>2565</v>
      </c>
      <c r="D17360" s="861"/>
      <c r="I17360" s="845" t="str">
        <f>CONCATENATE("&lt;valeur&gt;",Cellule_1110,"&lt;/valeur&gt;")</f>
        <v>&lt;valeur&gt;&lt;/valeur&gt;</v>
      </c>
    </row>
    <row r="17361" spans="1:10" x14ac:dyDescent="0.2">
      <c r="A17361" s="859">
        <f t="shared" si="413"/>
        <v>17360</v>
      </c>
      <c r="B17361" s="845" t="s">
        <v>2565</v>
      </c>
      <c r="D17361" s="861"/>
      <c r="H17361" s="845" t="s">
        <v>1010</v>
      </c>
    </row>
    <row r="17362" spans="1:10" x14ac:dyDescent="0.2">
      <c r="A17362" s="859">
        <f t="shared" si="413"/>
        <v>17361</v>
      </c>
      <c r="B17362" s="845" t="s">
        <v>2565</v>
      </c>
      <c r="D17362" s="862"/>
      <c r="H17362" s="845" t="s">
        <v>1007</v>
      </c>
    </row>
    <row r="17363" spans="1:10" x14ac:dyDescent="0.2">
      <c r="A17363" s="859">
        <f t="shared" si="413"/>
        <v>17362</v>
      </c>
      <c r="B17363" s="845" t="s">
        <v>2565</v>
      </c>
      <c r="D17363" s="863"/>
      <c r="I17363" s="845" t="s">
        <v>1008</v>
      </c>
    </row>
    <row r="17364" spans="1:10" x14ac:dyDescent="0.2">
      <c r="A17364" s="859">
        <f t="shared" si="413"/>
        <v>17363</v>
      </c>
      <c r="B17364" s="845" t="s">
        <v>2565</v>
      </c>
      <c r="D17364" s="862"/>
      <c r="J17364" s="845" t="s">
        <v>2196</v>
      </c>
    </row>
    <row r="17365" spans="1:10" x14ac:dyDescent="0.2">
      <c r="A17365" s="859">
        <f t="shared" si="413"/>
        <v>17364</v>
      </c>
      <c r="B17365" s="845" t="s">
        <v>2565</v>
      </c>
      <c r="D17365" s="862"/>
      <c r="I17365" s="845" t="s">
        <v>1009</v>
      </c>
    </row>
    <row r="17366" spans="1:10" x14ac:dyDescent="0.2">
      <c r="A17366" s="859">
        <f t="shared" si="413"/>
        <v>17365</v>
      </c>
      <c r="B17366" s="845" t="s">
        <v>2565</v>
      </c>
      <c r="D17366" s="862"/>
      <c r="I17366" s="845" t="str">
        <f>CONCATENATE("&lt;valeur&gt;",Cellule_1119,"&lt;/valeur&gt;")</f>
        <v>&lt;valeur&gt;&lt;/valeur&gt;</v>
      </c>
    </row>
    <row r="17367" spans="1:10" x14ac:dyDescent="0.2">
      <c r="A17367" s="859">
        <f t="shared" si="413"/>
        <v>17366</v>
      </c>
      <c r="B17367" s="845" t="s">
        <v>2565</v>
      </c>
      <c r="D17367" s="861"/>
      <c r="H17367" s="845" t="s">
        <v>1010</v>
      </c>
    </row>
    <row r="17368" spans="1:10" x14ac:dyDescent="0.2">
      <c r="A17368" s="859">
        <f t="shared" si="413"/>
        <v>17367</v>
      </c>
      <c r="B17368" s="845" t="s">
        <v>2565</v>
      </c>
      <c r="D17368" s="861"/>
      <c r="H17368" s="845" t="s">
        <v>1007</v>
      </c>
    </row>
    <row r="17369" spans="1:10" x14ac:dyDescent="0.2">
      <c r="A17369" s="859">
        <f t="shared" si="413"/>
        <v>17368</v>
      </c>
      <c r="B17369" s="845" t="s">
        <v>2565</v>
      </c>
      <c r="D17369" s="862"/>
      <c r="I17369" s="845" t="s">
        <v>1008</v>
      </c>
    </row>
    <row r="17370" spans="1:10" x14ac:dyDescent="0.2">
      <c r="A17370" s="859">
        <f t="shared" si="413"/>
        <v>17369</v>
      </c>
      <c r="B17370" s="845" t="s">
        <v>2565</v>
      </c>
      <c r="D17370" s="863"/>
      <c r="J17370" s="845" t="s">
        <v>2197</v>
      </c>
    </row>
    <row r="17371" spans="1:10" x14ac:dyDescent="0.2">
      <c r="A17371" s="859">
        <f t="shared" si="413"/>
        <v>17370</v>
      </c>
      <c r="B17371" s="845" t="s">
        <v>2565</v>
      </c>
      <c r="D17371" s="862"/>
      <c r="I17371" s="845" t="s">
        <v>1009</v>
      </c>
    </row>
    <row r="17372" spans="1:10" x14ac:dyDescent="0.2">
      <c r="A17372" s="859">
        <f t="shared" si="413"/>
        <v>17371</v>
      </c>
      <c r="B17372" s="845" t="s">
        <v>2565</v>
      </c>
      <c r="D17372" s="862"/>
      <c r="I17372" s="845" t="str">
        <f>CONCATENATE("&lt;valeur&gt;",Cellule_1128,"&lt;/valeur&gt;")</f>
        <v>&lt;valeur&gt;&lt;/valeur&gt;</v>
      </c>
    </row>
    <row r="17373" spans="1:10" x14ac:dyDescent="0.2">
      <c r="A17373" s="859">
        <f t="shared" si="413"/>
        <v>17372</v>
      </c>
      <c r="B17373" s="845" t="s">
        <v>2565</v>
      </c>
      <c r="D17373" s="862"/>
      <c r="H17373" s="845" t="s">
        <v>1010</v>
      </c>
    </row>
    <row r="17374" spans="1:10" x14ac:dyDescent="0.2">
      <c r="A17374" s="859">
        <f t="shared" si="413"/>
        <v>17373</v>
      </c>
      <c r="B17374" s="845" t="s">
        <v>2565</v>
      </c>
      <c r="D17374" s="861"/>
      <c r="H17374" s="845" t="s">
        <v>1007</v>
      </c>
    </row>
    <row r="17375" spans="1:10" x14ac:dyDescent="0.2">
      <c r="A17375" s="859">
        <f t="shared" si="413"/>
        <v>17374</v>
      </c>
      <c r="B17375" s="845" t="s">
        <v>2565</v>
      </c>
      <c r="D17375" s="861"/>
      <c r="I17375" s="845" t="s">
        <v>1008</v>
      </c>
    </row>
    <row r="17376" spans="1:10" x14ac:dyDescent="0.2">
      <c r="A17376" s="859">
        <f t="shared" si="413"/>
        <v>17375</v>
      </c>
      <c r="B17376" s="845" t="s">
        <v>2565</v>
      </c>
      <c r="D17376" s="862"/>
      <c r="J17376" s="845" t="s">
        <v>2198</v>
      </c>
    </row>
    <row r="17377" spans="1:10" x14ac:dyDescent="0.2">
      <c r="A17377" s="859">
        <f t="shared" si="413"/>
        <v>17376</v>
      </c>
      <c r="B17377" s="845" t="s">
        <v>2565</v>
      </c>
      <c r="D17377" s="863"/>
      <c r="I17377" s="845" t="s">
        <v>1009</v>
      </c>
    </row>
    <row r="17378" spans="1:10" x14ac:dyDescent="0.2">
      <c r="A17378" s="859">
        <f t="shared" si="413"/>
        <v>17377</v>
      </c>
      <c r="B17378" s="845" t="s">
        <v>2565</v>
      </c>
      <c r="D17378" s="862"/>
      <c r="I17378" s="845" t="str">
        <f>CONCATENATE("&lt;valeur&gt;",Cellule_1137,"&lt;/valeur&gt;")</f>
        <v>&lt;valeur&gt;&lt;/valeur&gt;</v>
      </c>
    </row>
    <row r="17379" spans="1:10" x14ac:dyDescent="0.2">
      <c r="A17379" s="859">
        <f t="shared" si="413"/>
        <v>17378</v>
      </c>
      <c r="B17379" s="845" t="s">
        <v>2565</v>
      </c>
      <c r="D17379" s="862"/>
      <c r="H17379" s="845" t="s">
        <v>1010</v>
      </c>
    </row>
    <row r="17380" spans="1:10" x14ac:dyDescent="0.2">
      <c r="A17380" s="859">
        <f t="shared" si="413"/>
        <v>17379</v>
      </c>
      <c r="B17380" s="845" t="s">
        <v>2565</v>
      </c>
      <c r="D17380" s="862"/>
      <c r="H17380" s="845" t="s">
        <v>1007</v>
      </c>
    </row>
    <row r="17381" spans="1:10" x14ac:dyDescent="0.2">
      <c r="A17381" s="859">
        <f t="shared" si="413"/>
        <v>17380</v>
      </c>
      <c r="B17381" s="845" t="s">
        <v>2565</v>
      </c>
      <c r="D17381" s="861"/>
      <c r="I17381" s="845" t="s">
        <v>1008</v>
      </c>
    </row>
    <row r="17382" spans="1:10" x14ac:dyDescent="0.2">
      <c r="A17382" s="859">
        <f t="shared" si="413"/>
        <v>17381</v>
      </c>
      <c r="B17382" s="845" t="s">
        <v>2565</v>
      </c>
      <c r="D17382" s="861"/>
      <c r="J17382" s="845" t="s">
        <v>2199</v>
      </c>
    </row>
    <row r="17383" spans="1:10" x14ac:dyDescent="0.2">
      <c r="A17383" s="859">
        <f t="shared" si="413"/>
        <v>17382</v>
      </c>
      <c r="B17383" s="845" t="s">
        <v>2565</v>
      </c>
      <c r="D17383" s="862"/>
      <c r="I17383" s="845" t="s">
        <v>1009</v>
      </c>
    </row>
    <row r="17384" spans="1:10" x14ac:dyDescent="0.2">
      <c r="A17384" s="859">
        <f t="shared" si="413"/>
        <v>17383</v>
      </c>
      <c r="B17384" s="845" t="s">
        <v>2565</v>
      </c>
      <c r="D17384" s="863"/>
      <c r="I17384" s="845" t="str">
        <f>CONCATENATE("&lt;valeur&gt;",Cellule_1146,"&lt;/valeur&gt;")</f>
        <v>&lt;valeur&gt;&lt;/valeur&gt;</v>
      </c>
    </row>
    <row r="17385" spans="1:10" x14ac:dyDescent="0.2">
      <c r="A17385" s="859">
        <f t="shared" si="413"/>
        <v>17384</v>
      </c>
      <c r="B17385" s="845" t="s">
        <v>2565</v>
      </c>
      <c r="D17385" s="862"/>
      <c r="H17385" s="845" t="s">
        <v>1010</v>
      </c>
    </row>
    <row r="17386" spans="1:10" x14ac:dyDescent="0.2">
      <c r="A17386" s="859">
        <f t="shared" si="413"/>
        <v>17385</v>
      </c>
      <c r="B17386" s="845" t="s">
        <v>2565</v>
      </c>
      <c r="D17386" s="862"/>
      <c r="H17386" s="845" t="s">
        <v>1007</v>
      </c>
    </row>
    <row r="17387" spans="1:10" x14ac:dyDescent="0.2">
      <c r="A17387" s="859">
        <f t="shared" si="413"/>
        <v>17386</v>
      </c>
      <c r="B17387" s="845" t="s">
        <v>2565</v>
      </c>
      <c r="D17387" s="862"/>
      <c r="I17387" s="845" t="s">
        <v>1008</v>
      </c>
    </row>
    <row r="17388" spans="1:10" x14ac:dyDescent="0.2">
      <c r="A17388" s="859">
        <f t="shared" si="413"/>
        <v>17387</v>
      </c>
      <c r="B17388" s="845" t="s">
        <v>2565</v>
      </c>
      <c r="D17388" s="861"/>
      <c r="J17388" s="845" t="s">
        <v>2200</v>
      </c>
    </row>
    <row r="17389" spans="1:10" x14ac:dyDescent="0.2">
      <c r="A17389" s="859">
        <f t="shared" si="413"/>
        <v>17388</v>
      </c>
      <c r="B17389" s="845" t="s">
        <v>2565</v>
      </c>
      <c r="D17389" s="861"/>
      <c r="I17389" s="845" t="s">
        <v>1009</v>
      </c>
    </row>
    <row r="17390" spans="1:10" x14ac:dyDescent="0.2">
      <c r="A17390" s="859">
        <f t="shared" si="413"/>
        <v>17389</v>
      </c>
      <c r="B17390" s="845" t="s">
        <v>2565</v>
      </c>
      <c r="D17390" s="862"/>
      <c r="I17390" s="845" t="str">
        <f>CONCATENATE("&lt;valeur&gt;",Cellule_1155,"&lt;/valeur&gt;")</f>
        <v>&lt;valeur&gt;&lt;/valeur&gt;</v>
      </c>
    </row>
    <row r="17391" spans="1:10" x14ac:dyDescent="0.2">
      <c r="A17391" s="859">
        <f t="shared" si="413"/>
        <v>17390</v>
      </c>
      <c r="B17391" s="845" t="s">
        <v>2565</v>
      </c>
      <c r="D17391" s="863"/>
      <c r="H17391" s="845" t="s">
        <v>1010</v>
      </c>
    </row>
    <row r="17392" spans="1:10" x14ac:dyDescent="0.2">
      <c r="A17392" s="859">
        <f t="shared" si="413"/>
        <v>17391</v>
      </c>
      <c r="B17392" s="845" t="s">
        <v>2565</v>
      </c>
      <c r="D17392" s="862"/>
      <c r="H17392" s="845" t="s">
        <v>1007</v>
      </c>
    </row>
    <row r="17393" spans="1:10" x14ac:dyDescent="0.2">
      <c r="A17393" s="859">
        <f t="shared" si="413"/>
        <v>17392</v>
      </c>
      <c r="B17393" s="845" t="s">
        <v>2565</v>
      </c>
      <c r="D17393" s="862"/>
      <c r="I17393" s="845" t="s">
        <v>1008</v>
      </c>
    </row>
    <row r="17394" spans="1:10" x14ac:dyDescent="0.2">
      <c r="A17394" s="859">
        <f t="shared" si="413"/>
        <v>17393</v>
      </c>
      <c r="B17394" s="845" t="s">
        <v>2565</v>
      </c>
      <c r="D17394" s="862"/>
      <c r="J17394" s="845" t="s">
        <v>2201</v>
      </c>
    </row>
    <row r="17395" spans="1:10" x14ac:dyDescent="0.2">
      <c r="A17395" s="859">
        <f t="shared" si="413"/>
        <v>17394</v>
      </c>
      <c r="B17395" s="845" t="s">
        <v>2565</v>
      </c>
      <c r="D17395" s="861"/>
      <c r="I17395" s="845" t="s">
        <v>1009</v>
      </c>
    </row>
    <row r="17396" spans="1:10" x14ac:dyDescent="0.2">
      <c r="A17396" s="859">
        <f t="shared" si="413"/>
        <v>17395</v>
      </c>
      <c r="B17396" s="845" t="s">
        <v>2565</v>
      </c>
      <c r="D17396" s="861"/>
      <c r="I17396" s="845" t="str">
        <f>CONCATENATE("&lt;valeur&gt;",Cellule_1164,"&lt;/valeur&gt;")</f>
        <v>&lt;valeur&gt;&lt;/valeur&gt;</v>
      </c>
    </row>
    <row r="17397" spans="1:10" x14ac:dyDescent="0.2">
      <c r="A17397" s="859">
        <f t="shared" si="413"/>
        <v>17396</v>
      </c>
      <c r="B17397" s="845" t="s">
        <v>2565</v>
      </c>
      <c r="D17397" s="862"/>
      <c r="H17397" s="845" t="s">
        <v>1010</v>
      </c>
    </row>
    <row r="17398" spans="1:10" x14ac:dyDescent="0.2">
      <c r="A17398" s="859">
        <f t="shared" si="413"/>
        <v>17397</v>
      </c>
      <c r="B17398" s="845" t="s">
        <v>2565</v>
      </c>
      <c r="D17398" s="863"/>
      <c r="H17398" s="845" t="s">
        <v>1007</v>
      </c>
    </row>
    <row r="17399" spans="1:10" x14ac:dyDescent="0.2">
      <c r="A17399" s="859">
        <f t="shared" si="413"/>
        <v>17398</v>
      </c>
      <c r="B17399" s="845" t="s">
        <v>2565</v>
      </c>
      <c r="D17399" s="862"/>
      <c r="I17399" s="845" t="s">
        <v>1008</v>
      </c>
    </row>
    <row r="17400" spans="1:10" x14ac:dyDescent="0.2">
      <c r="A17400" s="859">
        <f t="shared" si="413"/>
        <v>17399</v>
      </c>
      <c r="B17400" s="845" t="s">
        <v>2565</v>
      </c>
      <c r="D17400" s="862"/>
      <c r="J17400" s="845" t="s">
        <v>2202</v>
      </c>
    </row>
    <row r="17401" spans="1:10" x14ac:dyDescent="0.2">
      <c r="A17401" s="859">
        <f t="shared" si="413"/>
        <v>17400</v>
      </c>
      <c r="B17401" s="845" t="s">
        <v>2565</v>
      </c>
      <c r="D17401" s="862"/>
      <c r="I17401" s="845" t="s">
        <v>1009</v>
      </c>
    </row>
    <row r="17402" spans="1:10" x14ac:dyDescent="0.2">
      <c r="A17402" s="859">
        <f t="shared" si="413"/>
        <v>17401</v>
      </c>
      <c r="B17402" s="845" t="s">
        <v>2565</v>
      </c>
      <c r="D17402" s="861"/>
      <c r="I17402" s="845" t="str">
        <f>CONCATENATE("&lt;valeur&gt;",Cellule_1173,"&lt;/valeur&gt;")</f>
        <v>&lt;valeur&gt;&lt;/valeur&gt;</v>
      </c>
    </row>
    <row r="17403" spans="1:10" x14ac:dyDescent="0.2">
      <c r="A17403" s="859">
        <f t="shared" si="413"/>
        <v>17402</v>
      </c>
      <c r="B17403" s="845" t="s">
        <v>2565</v>
      </c>
      <c r="D17403" s="861"/>
      <c r="H17403" s="845" t="s">
        <v>1010</v>
      </c>
    </row>
    <row r="17404" spans="1:10" x14ac:dyDescent="0.2">
      <c r="A17404" s="859">
        <f t="shared" si="413"/>
        <v>17403</v>
      </c>
      <c r="B17404" s="845" t="s">
        <v>2565</v>
      </c>
      <c r="D17404" s="862"/>
      <c r="H17404" s="845" t="s">
        <v>1007</v>
      </c>
    </row>
    <row r="17405" spans="1:10" x14ac:dyDescent="0.2">
      <c r="A17405" s="859">
        <f t="shared" si="413"/>
        <v>17404</v>
      </c>
      <c r="B17405" s="845" t="s">
        <v>2565</v>
      </c>
      <c r="D17405" s="863"/>
      <c r="I17405" s="845" t="s">
        <v>1008</v>
      </c>
    </row>
    <row r="17406" spans="1:10" x14ac:dyDescent="0.2">
      <c r="A17406" s="859">
        <f t="shared" si="413"/>
        <v>17405</v>
      </c>
      <c r="B17406" s="845" t="s">
        <v>2565</v>
      </c>
      <c r="D17406" s="862"/>
      <c r="J17406" s="845" t="s">
        <v>2203</v>
      </c>
    </row>
    <row r="17407" spans="1:10" x14ac:dyDescent="0.2">
      <c r="A17407" s="859">
        <f t="shared" si="413"/>
        <v>17406</v>
      </c>
      <c r="B17407" s="845" t="s">
        <v>2565</v>
      </c>
      <c r="D17407" s="862"/>
      <c r="I17407" s="845" t="s">
        <v>1009</v>
      </c>
    </row>
    <row r="17408" spans="1:10" x14ac:dyDescent="0.2">
      <c r="A17408" s="859">
        <f t="shared" si="413"/>
        <v>17407</v>
      </c>
      <c r="B17408" s="845" t="s">
        <v>2565</v>
      </c>
      <c r="D17408" s="861"/>
      <c r="I17408" s="845" t="str">
        <f>CONCATENATE("&lt;valeur&gt;",Cellule_1182,"&lt;/valeur&gt;")</f>
        <v>&lt;valeur&gt;&lt;/valeur&gt;</v>
      </c>
    </row>
    <row r="17409" spans="1:10" x14ac:dyDescent="0.2">
      <c r="A17409" s="859">
        <f t="shared" si="413"/>
        <v>17408</v>
      </c>
      <c r="B17409" s="845" t="s">
        <v>2565</v>
      </c>
      <c r="D17409" s="861"/>
      <c r="H17409" s="845" t="s">
        <v>1010</v>
      </c>
    </row>
    <row r="17410" spans="1:10" x14ac:dyDescent="0.2">
      <c r="A17410" s="859">
        <f t="shared" si="413"/>
        <v>17409</v>
      </c>
      <c r="B17410" s="845" t="s">
        <v>2565</v>
      </c>
      <c r="D17410" s="862"/>
      <c r="H17410" s="845" t="s">
        <v>1007</v>
      </c>
    </row>
    <row r="17411" spans="1:10" x14ac:dyDescent="0.2">
      <c r="A17411" s="859">
        <f t="shared" si="413"/>
        <v>17410</v>
      </c>
      <c r="B17411" s="845" t="s">
        <v>2565</v>
      </c>
      <c r="D17411" s="863"/>
      <c r="I17411" s="845" t="s">
        <v>1008</v>
      </c>
    </row>
    <row r="17412" spans="1:10" x14ac:dyDescent="0.2">
      <c r="A17412" s="859">
        <f t="shared" ref="A17412:A17475" si="414">+A17411+1</f>
        <v>17411</v>
      </c>
      <c r="B17412" s="845" t="s">
        <v>2565</v>
      </c>
      <c r="D17412" s="862"/>
      <c r="J17412" s="845" t="s">
        <v>2204</v>
      </c>
    </row>
    <row r="17413" spans="1:10" x14ac:dyDescent="0.2">
      <c r="A17413" s="859">
        <f t="shared" si="414"/>
        <v>17412</v>
      </c>
      <c r="B17413" s="845" t="s">
        <v>2565</v>
      </c>
      <c r="D17413" s="862"/>
      <c r="I17413" s="845" t="s">
        <v>1009</v>
      </c>
    </row>
    <row r="17414" spans="1:10" x14ac:dyDescent="0.2">
      <c r="A17414" s="859">
        <f t="shared" si="414"/>
        <v>17413</v>
      </c>
      <c r="B17414" s="845" t="s">
        <v>2565</v>
      </c>
      <c r="D17414" s="861"/>
      <c r="I17414" s="845" t="str">
        <f>CONCATENATE("&lt;valeur&gt;",Cellule_1191,"&lt;/valeur&gt;")</f>
        <v>&lt;valeur&gt;&lt;/valeur&gt;</v>
      </c>
    </row>
    <row r="17415" spans="1:10" x14ac:dyDescent="0.2">
      <c r="A17415" s="859">
        <f t="shared" si="414"/>
        <v>17414</v>
      </c>
      <c r="B17415" s="845" t="s">
        <v>2565</v>
      </c>
      <c r="D17415" s="861"/>
      <c r="H17415" s="845" t="s">
        <v>1010</v>
      </c>
    </row>
    <row r="17416" spans="1:10" x14ac:dyDescent="0.2">
      <c r="A17416" s="859">
        <f t="shared" si="414"/>
        <v>17415</v>
      </c>
      <c r="B17416" s="845" t="s">
        <v>2565</v>
      </c>
      <c r="D17416" s="862"/>
      <c r="H17416" s="845" t="s">
        <v>1007</v>
      </c>
    </row>
    <row r="17417" spans="1:10" x14ac:dyDescent="0.2">
      <c r="A17417" s="859">
        <f t="shared" si="414"/>
        <v>17416</v>
      </c>
      <c r="B17417" s="845" t="s">
        <v>2565</v>
      </c>
      <c r="D17417" s="863"/>
      <c r="I17417" s="845" t="s">
        <v>1008</v>
      </c>
    </row>
    <row r="17418" spans="1:10" x14ac:dyDescent="0.2">
      <c r="A17418" s="859">
        <f t="shared" si="414"/>
        <v>17417</v>
      </c>
      <c r="B17418" s="845" t="s">
        <v>2565</v>
      </c>
      <c r="D17418" s="862"/>
      <c r="J17418" s="845" t="s">
        <v>2205</v>
      </c>
    </row>
    <row r="17419" spans="1:10" x14ac:dyDescent="0.2">
      <c r="A17419" s="859">
        <f t="shared" si="414"/>
        <v>17418</v>
      </c>
      <c r="B17419" s="845" t="s">
        <v>2565</v>
      </c>
      <c r="D17419" s="862"/>
      <c r="I17419" s="845" t="s">
        <v>1009</v>
      </c>
    </row>
    <row r="17420" spans="1:10" x14ac:dyDescent="0.2">
      <c r="A17420" s="859">
        <f t="shared" si="414"/>
        <v>17419</v>
      </c>
      <c r="B17420" s="845" t="s">
        <v>2565</v>
      </c>
      <c r="D17420" s="861"/>
      <c r="I17420" s="845" t="str">
        <f>CONCATENATE("&lt;valeur&gt;",Cellule_1200,"&lt;/valeur&gt;")</f>
        <v>&lt;valeur&gt;0&lt;/valeur&gt;</v>
      </c>
    </row>
    <row r="17421" spans="1:10" x14ac:dyDescent="0.2">
      <c r="A17421" s="859">
        <f t="shared" si="414"/>
        <v>17420</v>
      </c>
      <c r="B17421" s="845" t="s">
        <v>2565</v>
      </c>
      <c r="D17421" s="861"/>
      <c r="H17421" s="845" t="s">
        <v>1010</v>
      </c>
    </row>
    <row r="17422" spans="1:10" x14ac:dyDescent="0.2">
      <c r="A17422" s="859">
        <f t="shared" si="414"/>
        <v>17421</v>
      </c>
      <c r="B17422" s="845" t="s">
        <v>2565</v>
      </c>
      <c r="D17422" s="862"/>
      <c r="H17422" s="845" t="s">
        <v>1007</v>
      </c>
    </row>
    <row r="17423" spans="1:10" x14ac:dyDescent="0.2">
      <c r="A17423" s="859">
        <f t="shared" si="414"/>
        <v>17422</v>
      </c>
      <c r="B17423" s="845" t="s">
        <v>2565</v>
      </c>
      <c r="D17423" s="863"/>
      <c r="I17423" s="845" t="s">
        <v>1008</v>
      </c>
    </row>
    <row r="17424" spans="1:10" x14ac:dyDescent="0.2">
      <c r="A17424" s="859">
        <f t="shared" si="414"/>
        <v>17423</v>
      </c>
      <c r="B17424" s="845" t="s">
        <v>2565</v>
      </c>
      <c r="D17424" s="862"/>
      <c r="J17424" s="845" t="s">
        <v>2206</v>
      </c>
    </row>
    <row r="17425" spans="1:10" x14ac:dyDescent="0.2">
      <c r="A17425" s="859">
        <f t="shared" si="414"/>
        <v>17424</v>
      </c>
      <c r="B17425" s="845" t="s">
        <v>2565</v>
      </c>
      <c r="D17425" s="862"/>
      <c r="I17425" s="845" t="s">
        <v>1009</v>
      </c>
    </row>
    <row r="17426" spans="1:10" x14ac:dyDescent="0.2">
      <c r="A17426" s="859">
        <f t="shared" si="414"/>
        <v>17425</v>
      </c>
      <c r="B17426" s="845" t="s">
        <v>2565</v>
      </c>
      <c r="D17426" s="861"/>
      <c r="I17426" s="845" t="str">
        <f>CONCATENATE("&lt;valeur&gt;",Cellule_1111,"&lt;/valeur&gt;")</f>
        <v>&lt;valeur&gt;&lt;/valeur&gt;</v>
      </c>
    </row>
    <row r="17427" spans="1:10" x14ac:dyDescent="0.2">
      <c r="A17427" s="859">
        <f t="shared" si="414"/>
        <v>17426</v>
      </c>
      <c r="B17427" s="845" t="s">
        <v>2565</v>
      </c>
      <c r="D17427" s="861"/>
      <c r="H17427" s="845" t="s">
        <v>1010</v>
      </c>
    </row>
    <row r="17428" spans="1:10" x14ac:dyDescent="0.2">
      <c r="A17428" s="859">
        <f t="shared" si="414"/>
        <v>17427</v>
      </c>
      <c r="B17428" s="845" t="s">
        <v>2565</v>
      </c>
      <c r="D17428" s="862"/>
      <c r="H17428" s="845" t="s">
        <v>1007</v>
      </c>
    </row>
    <row r="17429" spans="1:10" x14ac:dyDescent="0.2">
      <c r="A17429" s="859">
        <f t="shared" si="414"/>
        <v>17428</v>
      </c>
      <c r="B17429" s="845" t="s">
        <v>2565</v>
      </c>
      <c r="D17429" s="863"/>
      <c r="I17429" s="845" t="s">
        <v>1008</v>
      </c>
    </row>
    <row r="17430" spans="1:10" x14ac:dyDescent="0.2">
      <c r="A17430" s="859">
        <f t="shared" si="414"/>
        <v>17429</v>
      </c>
      <c r="B17430" s="845" t="s">
        <v>2565</v>
      </c>
      <c r="D17430" s="862"/>
      <c r="J17430" s="845" t="s">
        <v>2207</v>
      </c>
    </row>
    <row r="17431" spans="1:10" x14ac:dyDescent="0.2">
      <c r="A17431" s="859">
        <f t="shared" si="414"/>
        <v>17430</v>
      </c>
      <c r="B17431" s="845" t="s">
        <v>2565</v>
      </c>
      <c r="D17431" s="862"/>
      <c r="I17431" s="845" t="s">
        <v>1009</v>
      </c>
    </row>
    <row r="17432" spans="1:10" x14ac:dyDescent="0.2">
      <c r="A17432" s="859">
        <f t="shared" si="414"/>
        <v>17431</v>
      </c>
      <c r="B17432" s="845" t="s">
        <v>2565</v>
      </c>
      <c r="D17432" s="861"/>
      <c r="I17432" s="845" t="str">
        <f>CONCATENATE("&lt;valeur&gt;",Cellule_1120,"&lt;/valeur&gt;")</f>
        <v>&lt;valeur&gt;&lt;/valeur&gt;</v>
      </c>
    </row>
    <row r="17433" spans="1:10" x14ac:dyDescent="0.2">
      <c r="A17433" s="859">
        <f t="shared" si="414"/>
        <v>17432</v>
      </c>
      <c r="B17433" s="845" t="s">
        <v>2565</v>
      </c>
      <c r="D17433" s="861"/>
      <c r="H17433" s="845" t="s">
        <v>1010</v>
      </c>
    </row>
    <row r="17434" spans="1:10" x14ac:dyDescent="0.2">
      <c r="A17434" s="859">
        <f t="shared" si="414"/>
        <v>17433</v>
      </c>
      <c r="B17434" s="845" t="s">
        <v>2565</v>
      </c>
      <c r="D17434" s="862"/>
      <c r="H17434" s="845" t="s">
        <v>1007</v>
      </c>
    </row>
    <row r="17435" spans="1:10" x14ac:dyDescent="0.2">
      <c r="A17435" s="859">
        <f t="shared" si="414"/>
        <v>17434</v>
      </c>
      <c r="B17435" s="845" t="s">
        <v>2565</v>
      </c>
      <c r="D17435" s="863"/>
      <c r="I17435" s="845" t="s">
        <v>1008</v>
      </c>
    </row>
    <row r="17436" spans="1:10" x14ac:dyDescent="0.2">
      <c r="A17436" s="859">
        <f t="shared" si="414"/>
        <v>17435</v>
      </c>
      <c r="B17436" s="845" t="s">
        <v>2565</v>
      </c>
      <c r="D17436" s="862"/>
      <c r="J17436" s="845" t="s">
        <v>2208</v>
      </c>
    </row>
    <row r="17437" spans="1:10" x14ac:dyDescent="0.2">
      <c r="A17437" s="859">
        <f t="shared" si="414"/>
        <v>17436</v>
      </c>
      <c r="B17437" s="845" t="s">
        <v>2565</v>
      </c>
      <c r="D17437" s="862"/>
      <c r="I17437" s="845" t="s">
        <v>1009</v>
      </c>
    </row>
    <row r="17438" spans="1:10" x14ac:dyDescent="0.2">
      <c r="A17438" s="859">
        <f t="shared" si="414"/>
        <v>17437</v>
      </c>
      <c r="B17438" s="845" t="s">
        <v>2565</v>
      </c>
      <c r="D17438" s="861"/>
      <c r="I17438" s="845" t="str">
        <f>CONCATENATE("&lt;valeur&gt;",Cellule_1129,"&lt;/valeur&gt;")</f>
        <v>&lt;valeur&gt;&lt;/valeur&gt;</v>
      </c>
    </row>
    <row r="17439" spans="1:10" x14ac:dyDescent="0.2">
      <c r="A17439" s="859">
        <f t="shared" si="414"/>
        <v>17438</v>
      </c>
      <c r="B17439" s="845" t="s">
        <v>2565</v>
      </c>
      <c r="D17439" s="860"/>
      <c r="H17439" s="845" t="s">
        <v>1010</v>
      </c>
    </row>
    <row r="17440" spans="1:10" x14ac:dyDescent="0.2">
      <c r="A17440" s="859">
        <f t="shared" si="414"/>
        <v>17439</v>
      </c>
      <c r="B17440" s="845" t="s">
        <v>2565</v>
      </c>
      <c r="D17440" s="860"/>
      <c r="H17440" s="845" t="s">
        <v>1007</v>
      </c>
    </row>
    <row r="17441" spans="1:10" x14ac:dyDescent="0.2">
      <c r="A17441" s="859">
        <f t="shared" si="414"/>
        <v>17440</v>
      </c>
      <c r="B17441" s="845" t="s">
        <v>2565</v>
      </c>
      <c r="D17441" s="861"/>
      <c r="I17441" s="845" t="s">
        <v>1008</v>
      </c>
    </row>
    <row r="17442" spans="1:10" x14ac:dyDescent="0.2">
      <c r="A17442" s="859">
        <f t="shared" si="414"/>
        <v>17441</v>
      </c>
      <c r="B17442" s="845" t="s">
        <v>2565</v>
      </c>
      <c r="D17442" s="862"/>
      <c r="J17442" s="845" t="s">
        <v>2209</v>
      </c>
    </row>
    <row r="17443" spans="1:10" x14ac:dyDescent="0.2">
      <c r="A17443" s="859">
        <f t="shared" si="414"/>
        <v>17442</v>
      </c>
      <c r="B17443" s="845" t="s">
        <v>2565</v>
      </c>
      <c r="D17443" s="863"/>
      <c r="I17443" s="845" t="s">
        <v>1009</v>
      </c>
    </row>
    <row r="17444" spans="1:10" x14ac:dyDescent="0.2">
      <c r="A17444" s="859">
        <f t="shared" si="414"/>
        <v>17443</v>
      </c>
      <c r="B17444" s="845" t="s">
        <v>2565</v>
      </c>
      <c r="D17444" s="862"/>
      <c r="I17444" s="845" t="str">
        <f>CONCATENATE("&lt;valeur&gt;",Cellule_1138,"&lt;/valeur&gt;")</f>
        <v>&lt;valeur&gt;&lt;/valeur&gt;</v>
      </c>
    </row>
    <row r="17445" spans="1:10" x14ac:dyDescent="0.2">
      <c r="A17445" s="859">
        <f t="shared" si="414"/>
        <v>17444</v>
      </c>
      <c r="B17445" s="845" t="s">
        <v>2565</v>
      </c>
      <c r="D17445" s="862"/>
      <c r="H17445" s="845" t="s">
        <v>1010</v>
      </c>
    </row>
    <row r="17446" spans="1:10" x14ac:dyDescent="0.2">
      <c r="A17446" s="859">
        <f t="shared" si="414"/>
        <v>17445</v>
      </c>
      <c r="B17446" s="845" t="s">
        <v>2565</v>
      </c>
      <c r="D17446" s="861"/>
      <c r="H17446" s="845" t="s">
        <v>1007</v>
      </c>
    </row>
    <row r="17447" spans="1:10" x14ac:dyDescent="0.2">
      <c r="A17447" s="859">
        <f t="shared" si="414"/>
        <v>17446</v>
      </c>
      <c r="B17447" s="845" t="s">
        <v>2565</v>
      </c>
      <c r="D17447" s="861"/>
      <c r="I17447" s="845" t="s">
        <v>1008</v>
      </c>
    </row>
    <row r="17448" spans="1:10" x14ac:dyDescent="0.2">
      <c r="A17448" s="859">
        <f t="shared" si="414"/>
        <v>17447</v>
      </c>
      <c r="B17448" s="845" t="s">
        <v>2565</v>
      </c>
      <c r="D17448" s="862"/>
      <c r="J17448" s="845" t="s">
        <v>2210</v>
      </c>
    </row>
    <row r="17449" spans="1:10" x14ac:dyDescent="0.2">
      <c r="A17449" s="859">
        <f t="shared" si="414"/>
        <v>17448</v>
      </c>
      <c r="B17449" s="845" t="s">
        <v>2565</v>
      </c>
      <c r="D17449" s="863"/>
      <c r="I17449" s="845" t="s">
        <v>1009</v>
      </c>
    </row>
    <row r="17450" spans="1:10" x14ac:dyDescent="0.2">
      <c r="A17450" s="859">
        <f t="shared" si="414"/>
        <v>17449</v>
      </c>
      <c r="B17450" s="845" t="s">
        <v>2565</v>
      </c>
      <c r="D17450" s="862"/>
      <c r="I17450" s="845" t="str">
        <f>CONCATENATE("&lt;valeur&gt;",Cellule_1147,"&lt;/valeur&gt;")</f>
        <v>&lt;valeur&gt;&lt;/valeur&gt;</v>
      </c>
    </row>
    <row r="17451" spans="1:10" x14ac:dyDescent="0.2">
      <c r="A17451" s="859">
        <f t="shared" si="414"/>
        <v>17450</v>
      </c>
      <c r="B17451" s="845" t="s">
        <v>2565</v>
      </c>
      <c r="D17451" s="862"/>
      <c r="H17451" s="845" t="s">
        <v>1010</v>
      </c>
    </row>
    <row r="17452" spans="1:10" x14ac:dyDescent="0.2">
      <c r="A17452" s="859">
        <f t="shared" si="414"/>
        <v>17451</v>
      </c>
      <c r="B17452" s="845" t="s">
        <v>2565</v>
      </c>
      <c r="D17452" s="861"/>
      <c r="H17452" s="845" t="s">
        <v>1007</v>
      </c>
    </row>
    <row r="17453" spans="1:10" x14ac:dyDescent="0.2">
      <c r="A17453" s="859">
        <f t="shared" si="414"/>
        <v>17452</v>
      </c>
      <c r="B17453" s="845" t="s">
        <v>2565</v>
      </c>
      <c r="D17453" s="861"/>
      <c r="I17453" s="845" t="s">
        <v>1008</v>
      </c>
    </row>
    <row r="17454" spans="1:10" x14ac:dyDescent="0.2">
      <c r="A17454" s="859">
        <f t="shared" si="414"/>
        <v>17453</v>
      </c>
      <c r="B17454" s="845" t="s">
        <v>2565</v>
      </c>
      <c r="D17454" s="862"/>
      <c r="J17454" s="845" t="s">
        <v>2211</v>
      </c>
    </row>
    <row r="17455" spans="1:10" x14ac:dyDescent="0.2">
      <c r="A17455" s="859">
        <f t="shared" si="414"/>
        <v>17454</v>
      </c>
      <c r="B17455" s="845" t="s">
        <v>2565</v>
      </c>
      <c r="D17455" s="863"/>
      <c r="I17455" s="845" t="s">
        <v>1009</v>
      </c>
    </row>
    <row r="17456" spans="1:10" x14ac:dyDescent="0.2">
      <c r="A17456" s="859">
        <f t="shared" si="414"/>
        <v>17455</v>
      </c>
      <c r="B17456" s="845" t="s">
        <v>2565</v>
      </c>
      <c r="D17456" s="862"/>
      <c r="I17456" s="845" t="str">
        <f>CONCATENATE("&lt;valeur&gt;",Cellule_1156,"&lt;/valeur&gt;")</f>
        <v>&lt;valeur&gt;&lt;/valeur&gt;</v>
      </c>
    </row>
    <row r="17457" spans="1:10" x14ac:dyDescent="0.2">
      <c r="A17457" s="859">
        <f t="shared" si="414"/>
        <v>17456</v>
      </c>
      <c r="B17457" s="845" t="s">
        <v>2565</v>
      </c>
      <c r="D17457" s="862"/>
      <c r="H17457" s="845" t="s">
        <v>1010</v>
      </c>
    </row>
    <row r="17458" spans="1:10" x14ac:dyDescent="0.2">
      <c r="A17458" s="859">
        <f t="shared" si="414"/>
        <v>17457</v>
      </c>
      <c r="B17458" s="845" t="s">
        <v>2565</v>
      </c>
      <c r="D17458" s="861"/>
      <c r="H17458" s="845" t="s">
        <v>1007</v>
      </c>
    </row>
    <row r="17459" spans="1:10" x14ac:dyDescent="0.2">
      <c r="A17459" s="859">
        <f t="shared" si="414"/>
        <v>17458</v>
      </c>
      <c r="B17459" s="845" t="s">
        <v>2565</v>
      </c>
      <c r="D17459" s="861"/>
      <c r="I17459" s="845" t="s">
        <v>1008</v>
      </c>
    </row>
    <row r="17460" spans="1:10" x14ac:dyDescent="0.2">
      <c r="A17460" s="859">
        <f t="shared" si="414"/>
        <v>17459</v>
      </c>
      <c r="B17460" s="845" t="s">
        <v>2565</v>
      </c>
      <c r="D17460" s="862"/>
      <c r="J17460" s="845" t="s">
        <v>2212</v>
      </c>
    </row>
    <row r="17461" spans="1:10" x14ac:dyDescent="0.2">
      <c r="A17461" s="859">
        <f t="shared" si="414"/>
        <v>17460</v>
      </c>
      <c r="B17461" s="845" t="s">
        <v>2565</v>
      </c>
      <c r="D17461" s="863"/>
      <c r="I17461" s="845" t="s">
        <v>1009</v>
      </c>
    </row>
    <row r="17462" spans="1:10" x14ac:dyDescent="0.2">
      <c r="A17462" s="859">
        <f t="shared" si="414"/>
        <v>17461</v>
      </c>
      <c r="B17462" s="845" t="s">
        <v>2565</v>
      </c>
      <c r="D17462" s="862"/>
      <c r="I17462" s="845" t="str">
        <f>CONCATENATE("&lt;valeur&gt;",Cellule_1165,"&lt;/valeur&gt;")</f>
        <v>&lt;valeur&gt;&lt;/valeur&gt;</v>
      </c>
    </row>
    <row r="17463" spans="1:10" x14ac:dyDescent="0.2">
      <c r="A17463" s="859">
        <f t="shared" si="414"/>
        <v>17462</v>
      </c>
      <c r="B17463" s="845" t="s">
        <v>2565</v>
      </c>
      <c r="D17463" s="862"/>
      <c r="H17463" s="845" t="s">
        <v>1010</v>
      </c>
    </row>
    <row r="17464" spans="1:10" x14ac:dyDescent="0.2">
      <c r="A17464" s="859">
        <f t="shared" si="414"/>
        <v>17463</v>
      </c>
      <c r="B17464" s="845" t="s">
        <v>2565</v>
      </c>
      <c r="D17464" s="861"/>
      <c r="H17464" s="845" t="s">
        <v>1007</v>
      </c>
    </row>
    <row r="17465" spans="1:10" x14ac:dyDescent="0.2">
      <c r="A17465" s="859">
        <f t="shared" si="414"/>
        <v>17464</v>
      </c>
      <c r="B17465" s="845" t="s">
        <v>2565</v>
      </c>
      <c r="D17465" s="860"/>
      <c r="I17465" s="845" t="s">
        <v>1008</v>
      </c>
    </row>
    <row r="17466" spans="1:10" x14ac:dyDescent="0.2">
      <c r="A17466" s="859">
        <f t="shared" si="414"/>
        <v>17465</v>
      </c>
      <c r="B17466" s="845" t="s">
        <v>2565</v>
      </c>
      <c r="D17466" s="857"/>
      <c r="J17466" s="845" t="s">
        <v>2213</v>
      </c>
    </row>
    <row r="17467" spans="1:10" x14ac:dyDescent="0.2">
      <c r="A17467" s="859">
        <f t="shared" si="414"/>
        <v>17466</v>
      </c>
      <c r="B17467" s="845" t="s">
        <v>2565</v>
      </c>
      <c r="D17467" s="857"/>
      <c r="I17467" s="845" t="s">
        <v>1009</v>
      </c>
    </row>
    <row r="17468" spans="1:10" x14ac:dyDescent="0.2">
      <c r="A17468" s="859">
        <f t="shared" si="414"/>
        <v>17467</v>
      </c>
      <c r="B17468" s="845" t="s">
        <v>2565</v>
      </c>
      <c r="D17468" s="860"/>
      <c r="I17468" s="845" t="str">
        <f>CONCATENATE("&lt;valeur&gt;",Cellule_1174,"&lt;/valeur&gt;")</f>
        <v>&lt;valeur&gt;&lt;/valeur&gt;</v>
      </c>
    </row>
    <row r="17469" spans="1:10" x14ac:dyDescent="0.2">
      <c r="A17469" s="859">
        <f t="shared" si="414"/>
        <v>17468</v>
      </c>
      <c r="B17469" s="845" t="s">
        <v>2565</v>
      </c>
      <c r="D17469" s="861"/>
      <c r="H17469" s="845" t="s">
        <v>1010</v>
      </c>
    </row>
    <row r="17470" spans="1:10" x14ac:dyDescent="0.2">
      <c r="A17470" s="859">
        <f t="shared" si="414"/>
        <v>17469</v>
      </c>
      <c r="B17470" s="845" t="s">
        <v>2565</v>
      </c>
      <c r="D17470" s="860"/>
      <c r="H17470" s="845" t="s">
        <v>1007</v>
      </c>
    </row>
    <row r="17471" spans="1:10" x14ac:dyDescent="0.2">
      <c r="A17471" s="859">
        <f t="shared" si="414"/>
        <v>17470</v>
      </c>
      <c r="B17471" s="845" t="s">
        <v>2565</v>
      </c>
      <c r="D17471" s="860"/>
      <c r="I17471" s="845" t="s">
        <v>1008</v>
      </c>
    </row>
    <row r="17472" spans="1:10" x14ac:dyDescent="0.2">
      <c r="A17472" s="859">
        <f t="shared" si="414"/>
        <v>17471</v>
      </c>
      <c r="B17472" s="845" t="s">
        <v>2565</v>
      </c>
      <c r="D17472" s="861"/>
      <c r="J17472" s="845" t="s">
        <v>2214</v>
      </c>
    </row>
    <row r="17473" spans="1:10" x14ac:dyDescent="0.2">
      <c r="A17473" s="859">
        <f t="shared" si="414"/>
        <v>17472</v>
      </c>
      <c r="B17473" s="845" t="s">
        <v>2565</v>
      </c>
      <c r="D17473" s="862"/>
      <c r="I17473" s="845" t="s">
        <v>1009</v>
      </c>
    </row>
    <row r="17474" spans="1:10" x14ac:dyDescent="0.2">
      <c r="A17474" s="859">
        <f t="shared" si="414"/>
        <v>17473</v>
      </c>
      <c r="B17474" s="845" t="s">
        <v>2565</v>
      </c>
      <c r="D17474" s="863"/>
      <c r="I17474" s="845" t="str">
        <f>CONCATENATE("&lt;valeur&gt;",Cellule_1183,"&lt;/valeur&gt;")</f>
        <v>&lt;valeur&gt;&lt;/valeur&gt;</v>
      </c>
    </row>
    <row r="17475" spans="1:10" x14ac:dyDescent="0.2">
      <c r="A17475" s="859">
        <f t="shared" si="414"/>
        <v>17474</v>
      </c>
      <c r="B17475" s="845" t="s">
        <v>2565</v>
      </c>
      <c r="D17475" s="862"/>
      <c r="H17475" s="845" t="s">
        <v>1010</v>
      </c>
    </row>
    <row r="17476" spans="1:10" x14ac:dyDescent="0.2">
      <c r="A17476" s="859">
        <f t="shared" ref="A17476:A17539" si="415">+A17475+1</f>
        <v>17475</v>
      </c>
      <c r="B17476" s="845" t="s">
        <v>2565</v>
      </c>
      <c r="D17476" s="862"/>
      <c r="H17476" s="845" t="s">
        <v>1007</v>
      </c>
    </row>
    <row r="17477" spans="1:10" x14ac:dyDescent="0.2">
      <c r="A17477" s="859">
        <f t="shared" si="415"/>
        <v>17476</v>
      </c>
      <c r="B17477" s="845" t="s">
        <v>2565</v>
      </c>
      <c r="D17477" s="861"/>
      <c r="I17477" s="845" t="s">
        <v>1008</v>
      </c>
    </row>
    <row r="17478" spans="1:10" x14ac:dyDescent="0.2">
      <c r="A17478" s="859">
        <f t="shared" si="415"/>
        <v>17477</v>
      </c>
      <c r="B17478" s="845" t="s">
        <v>2565</v>
      </c>
      <c r="D17478" s="861"/>
      <c r="J17478" s="845" t="s">
        <v>2215</v>
      </c>
    </row>
    <row r="17479" spans="1:10" x14ac:dyDescent="0.2">
      <c r="A17479" s="859">
        <f t="shared" si="415"/>
        <v>17478</v>
      </c>
      <c r="B17479" s="845" t="s">
        <v>2565</v>
      </c>
      <c r="D17479" s="862"/>
      <c r="I17479" s="845" t="s">
        <v>1009</v>
      </c>
    </row>
    <row r="17480" spans="1:10" x14ac:dyDescent="0.2">
      <c r="A17480" s="859">
        <f t="shared" si="415"/>
        <v>17479</v>
      </c>
      <c r="B17480" s="845" t="s">
        <v>2565</v>
      </c>
      <c r="D17480" s="863"/>
      <c r="I17480" s="845" t="str">
        <f>CONCATENATE("&lt;valeur&gt;",Cellule_1192,"&lt;/valeur&gt;")</f>
        <v>&lt;valeur&gt;&lt;/valeur&gt;</v>
      </c>
    </row>
    <row r="17481" spans="1:10" x14ac:dyDescent="0.2">
      <c r="A17481" s="859">
        <f t="shared" si="415"/>
        <v>17480</v>
      </c>
      <c r="B17481" s="845" t="s">
        <v>2565</v>
      </c>
      <c r="D17481" s="862"/>
      <c r="H17481" s="845" t="s">
        <v>1010</v>
      </c>
    </row>
    <row r="17482" spans="1:10" x14ac:dyDescent="0.2">
      <c r="A17482" s="859">
        <f t="shared" si="415"/>
        <v>17481</v>
      </c>
      <c r="B17482" s="845" t="s">
        <v>2565</v>
      </c>
      <c r="D17482" s="862"/>
      <c r="H17482" s="845" t="s">
        <v>1007</v>
      </c>
    </row>
    <row r="17483" spans="1:10" x14ac:dyDescent="0.2">
      <c r="A17483" s="859">
        <f t="shared" si="415"/>
        <v>17482</v>
      </c>
      <c r="B17483" s="845" t="s">
        <v>2565</v>
      </c>
      <c r="D17483" s="861"/>
      <c r="I17483" s="845" t="s">
        <v>1008</v>
      </c>
    </row>
    <row r="17484" spans="1:10" x14ac:dyDescent="0.2">
      <c r="A17484" s="859">
        <f t="shared" si="415"/>
        <v>17483</v>
      </c>
      <c r="B17484" s="845" t="s">
        <v>2565</v>
      </c>
      <c r="D17484" s="861"/>
      <c r="J17484" s="845" t="s">
        <v>2216</v>
      </c>
    </row>
    <row r="17485" spans="1:10" x14ac:dyDescent="0.2">
      <c r="A17485" s="859">
        <f t="shared" si="415"/>
        <v>17484</v>
      </c>
      <c r="B17485" s="845" t="s">
        <v>2565</v>
      </c>
      <c r="D17485" s="862"/>
      <c r="I17485" s="845" t="s">
        <v>1009</v>
      </c>
    </row>
    <row r="17486" spans="1:10" x14ac:dyDescent="0.2">
      <c r="A17486" s="859">
        <f t="shared" si="415"/>
        <v>17485</v>
      </c>
      <c r="B17486" s="845" t="s">
        <v>2565</v>
      </c>
      <c r="D17486" s="863"/>
      <c r="I17486" s="845" t="str">
        <f>CONCATENATE("&lt;valeur&gt;",Cellule_1201,"&lt;/valeur&gt;")</f>
        <v>&lt;valeur&gt;0&lt;/valeur&gt;</v>
      </c>
    </row>
    <row r="17487" spans="1:10" x14ac:dyDescent="0.2">
      <c r="A17487" s="859">
        <f t="shared" si="415"/>
        <v>17486</v>
      </c>
      <c r="B17487" s="845" t="s">
        <v>2565</v>
      </c>
      <c r="D17487" s="862"/>
      <c r="H17487" s="845" t="s">
        <v>1010</v>
      </c>
    </row>
    <row r="17488" spans="1:10" x14ac:dyDescent="0.2">
      <c r="A17488" s="859">
        <f t="shared" si="415"/>
        <v>17487</v>
      </c>
      <c r="B17488" s="845" t="s">
        <v>2565</v>
      </c>
      <c r="D17488" s="862"/>
      <c r="H17488" s="845" t="s">
        <v>1007</v>
      </c>
    </row>
    <row r="17489" spans="1:10" x14ac:dyDescent="0.2">
      <c r="A17489" s="859">
        <f t="shared" si="415"/>
        <v>17488</v>
      </c>
      <c r="B17489" s="845" t="s">
        <v>2565</v>
      </c>
      <c r="D17489" s="861"/>
      <c r="I17489" s="845" t="s">
        <v>1008</v>
      </c>
    </row>
    <row r="17490" spans="1:10" x14ac:dyDescent="0.2">
      <c r="A17490" s="859">
        <f t="shared" si="415"/>
        <v>17489</v>
      </c>
      <c r="B17490" s="845" t="s">
        <v>2565</v>
      </c>
      <c r="D17490" s="861"/>
      <c r="J17490" s="845" t="s">
        <v>2217</v>
      </c>
    </row>
    <row r="17491" spans="1:10" x14ac:dyDescent="0.2">
      <c r="A17491" s="859">
        <f t="shared" si="415"/>
        <v>17490</v>
      </c>
      <c r="B17491" s="845" t="s">
        <v>2565</v>
      </c>
      <c r="D17491" s="862"/>
      <c r="I17491" s="845" t="s">
        <v>1009</v>
      </c>
    </row>
    <row r="17492" spans="1:10" x14ac:dyDescent="0.2">
      <c r="A17492" s="859">
        <f t="shared" si="415"/>
        <v>17491</v>
      </c>
      <c r="B17492" s="845" t="s">
        <v>2565</v>
      </c>
      <c r="D17492" s="863"/>
      <c r="I17492" s="845" t="str">
        <f>CONCATENATE("&lt;valeur&gt;",Cellule_1112,"&lt;/valeur&gt;")</f>
        <v>&lt;valeur&gt;&lt;/valeur&gt;</v>
      </c>
    </row>
    <row r="17493" spans="1:10" x14ac:dyDescent="0.2">
      <c r="A17493" s="859">
        <f t="shared" si="415"/>
        <v>17492</v>
      </c>
      <c r="B17493" s="845" t="s">
        <v>2565</v>
      </c>
      <c r="D17493" s="862"/>
      <c r="H17493" s="845" t="s">
        <v>1010</v>
      </c>
    </row>
    <row r="17494" spans="1:10" x14ac:dyDescent="0.2">
      <c r="A17494" s="859">
        <f t="shared" si="415"/>
        <v>17493</v>
      </c>
      <c r="B17494" s="845" t="s">
        <v>2565</v>
      </c>
      <c r="D17494" s="862"/>
      <c r="H17494" s="845" t="s">
        <v>1007</v>
      </c>
    </row>
    <row r="17495" spans="1:10" x14ac:dyDescent="0.2">
      <c r="A17495" s="859">
        <f t="shared" si="415"/>
        <v>17494</v>
      </c>
      <c r="B17495" s="845" t="s">
        <v>2565</v>
      </c>
      <c r="D17495" s="861"/>
      <c r="I17495" s="845" t="s">
        <v>1008</v>
      </c>
    </row>
    <row r="17496" spans="1:10" x14ac:dyDescent="0.2">
      <c r="A17496" s="859">
        <f t="shared" si="415"/>
        <v>17495</v>
      </c>
      <c r="B17496" s="845" t="s">
        <v>2565</v>
      </c>
      <c r="D17496" s="861"/>
      <c r="J17496" s="845" t="s">
        <v>2218</v>
      </c>
    </row>
    <row r="17497" spans="1:10" x14ac:dyDescent="0.2">
      <c r="A17497" s="859">
        <f t="shared" si="415"/>
        <v>17496</v>
      </c>
      <c r="B17497" s="845" t="s">
        <v>2565</v>
      </c>
      <c r="D17497" s="862"/>
      <c r="I17497" s="845" t="s">
        <v>1009</v>
      </c>
    </row>
    <row r="17498" spans="1:10" x14ac:dyDescent="0.2">
      <c r="A17498" s="859">
        <f t="shared" si="415"/>
        <v>17497</v>
      </c>
      <c r="B17498" s="845" t="s">
        <v>2565</v>
      </c>
      <c r="D17498" s="863"/>
      <c r="I17498" s="845" t="str">
        <f>CONCATENATE("&lt;valeur&gt;",Cellule_1121,"&lt;/valeur&gt;")</f>
        <v>&lt;valeur&gt;&lt;/valeur&gt;</v>
      </c>
    </row>
    <row r="17499" spans="1:10" x14ac:dyDescent="0.2">
      <c r="A17499" s="859">
        <f t="shared" si="415"/>
        <v>17498</v>
      </c>
      <c r="B17499" s="845" t="s">
        <v>2565</v>
      </c>
      <c r="D17499" s="862"/>
      <c r="H17499" s="845" t="s">
        <v>1010</v>
      </c>
    </row>
    <row r="17500" spans="1:10" x14ac:dyDescent="0.2">
      <c r="A17500" s="859">
        <f t="shared" si="415"/>
        <v>17499</v>
      </c>
      <c r="B17500" s="845" t="s">
        <v>2565</v>
      </c>
      <c r="D17500" s="862"/>
      <c r="H17500" s="845" t="s">
        <v>1007</v>
      </c>
    </row>
    <row r="17501" spans="1:10" x14ac:dyDescent="0.2">
      <c r="A17501" s="859">
        <f t="shared" si="415"/>
        <v>17500</v>
      </c>
      <c r="B17501" s="845" t="s">
        <v>2565</v>
      </c>
      <c r="D17501" s="861"/>
      <c r="I17501" s="845" t="s">
        <v>1008</v>
      </c>
    </row>
    <row r="17502" spans="1:10" x14ac:dyDescent="0.2">
      <c r="A17502" s="859">
        <f t="shared" si="415"/>
        <v>17501</v>
      </c>
      <c r="B17502" s="845" t="s">
        <v>2565</v>
      </c>
      <c r="D17502" s="861"/>
      <c r="J17502" s="845" t="s">
        <v>2219</v>
      </c>
    </row>
    <row r="17503" spans="1:10" x14ac:dyDescent="0.2">
      <c r="A17503" s="859">
        <f t="shared" si="415"/>
        <v>17502</v>
      </c>
      <c r="B17503" s="845" t="s">
        <v>2565</v>
      </c>
      <c r="D17503" s="862"/>
      <c r="I17503" s="845" t="s">
        <v>1009</v>
      </c>
    </row>
    <row r="17504" spans="1:10" x14ac:dyDescent="0.2">
      <c r="A17504" s="859">
        <f t="shared" si="415"/>
        <v>17503</v>
      </c>
      <c r="B17504" s="845" t="s">
        <v>2565</v>
      </c>
      <c r="D17504" s="863"/>
      <c r="I17504" s="845" t="str">
        <f>CONCATENATE("&lt;valeur&gt;",Cellule_1130,"&lt;/valeur&gt;")</f>
        <v>&lt;valeur&gt;&lt;/valeur&gt;</v>
      </c>
    </row>
    <row r="17505" spans="1:10" x14ac:dyDescent="0.2">
      <c r="A17505" s="859">
        <f t="shared" si="415"/>
        <v>17504</v>
      </c>
      <c r="B17505" s="845" t="s">
        <v>2565</v>
      </c>
      <c r="D17505" s="862"/>
      <c r="H17505" s="845" t="s">
        <v>1010</v>
      </c>
    </row>
    <row r="17506" spans="1:10" x14ac:dyDescent="0.2">
      <c r="A17506" s="859">
        <f t="shared" si="415"/>
        <v>17505</v>
      </c>
      <c r="B17506" s="845" t="s">
        <v>2565</v>
      </c>
      <c r="D17506" s="862"/>
      <c r="H17506" s="845" t="s">
        <v>1007</v>
      </c>
    </row>
    <row r="17507" spans="1:10" x14ac:dyDescent="0.2">
      <c r="A17507" s="859">
        <f t="shared" si="415"/>
        <v>17506</v>
      </c>
      <c r="B17507" s="845" t="s">
        <v>2565</v>
      </c>
      <c r="D17507" s="861"/>
      <c r="I17507" s="845" t="s">
        <v>1008</v>
      </c>
    </row>
    <row r="17508" spans="1:10" x14ac:dyDescent="0.2">
      <c r="A17508" s="859">
        <f t="shared" si="415"/>
        <v>17507</v>
      </c>
      <c r="B17508" s="845" t="s">
        <v>2565</v>
      </c>
      <c r="D17508" s="861"/>
      <c r="J17508" s="845" t="s">
        <v>2220</v>
      </c>
    </row>
    <row r="17509" spans="1:10" x14ac:dyDescent="0.2">
      <c r="A17509" s="859">
        <f t="shared" si="415"/>
        <v>17508</v>
      </c>
      <c r="B17509" s="845" t="s">
        <v>2565</v>
      </c>
      <c r="D17509" s="862"/>
      <c r="I17509" s="845" t="s">
        <v>1009</v>
      </c>
    </row>
    <row r="17510" spans="1:10" x14ac:dyDescent="0.2">
      <c r="A17510" s="859">
        <f t="shared" si="415"/>
        <v>17509</v>
      </c>
      <c r="B17510" s="845" t="s">
        <v>2565</v>
      </c>
      <c r="D17510" s="863"/>
      <c r="I17510" s="845" t="str">
        <f>CONCATENATE("&lt;valeur&gt;",Cellule_1139,"&lt;/valeur&gt;")</f>
        <v>&lt;valeur&gt;&lt;/valeur&gt;</v>
      </c>
    </row>
    <row r="17511" spans="1:10" x14ac:dyDescent="0.2">
      <c r="A17511" s="859">
        <f t="shared" si="415"/>
        <v>17510</v>
      </c>
      <c r="B17511" s="845" t="s">
        <v>2565</v>
      </c>
      <c r="D17511" s="862"/>
      <c r="H17511" s="845" t="s">
        <v>1010</v>
      </c>
    </row>
    <row r="17512" spans="1:10" x14ac:dyDescent="0.2">
      <c r="A17512" s="859">
        <f t="shared" si="415"/>
        <v>17511</v>
      </c>
      <c r="B17512" s="845" t="s">
        <v>2565</v>
      </c>
      <c r="D17512" s="862"/>
      <c r="H17512" s="845" t="s">
        <v>1007</v>
      </c>
    </row>
    <row r="17513" spans="1:10" x14ac:dyDescent="0.2">
      <c r="A17513" s="859">
        <f t="shared" si="415"/>
        <v>17512</v>
      </c>
      <c r="B17513" s="845" t="s">
        <v>2565</v>
      </c>
      <c r="D17513" s="861"/>
      <c r="I17513" s="845" t="s">
        <v>1008</v>
      </c>
    </row>
    <row r="17514" spans="1:10" x14ac:dyDescent="0.2">
      <c r="A17514" s="859">
        <f t="shared" si="415"/>
        <v>17513</v>
      </c>
      <c r="B17514" s="845" t="s">
        <v>2565</v>
      </c>
      <c r="D17514" s="861"/>
      <c r="J17514" s="845" t="s">
        <v>2221</v>
      </c>
    </row>
    <row r="17515" spans="1:10" x14ac:dyDescent="0.2">
      <c r="A17515" s="859">
        <f t="shared" si="415"/>
        <v>17514</v>
      </c>
      <c r="B17515" s="845" t="s">
        <v>2565</v>
      </c>
      <c r="D17515" s="862"/>
      <c r="I17515" s="845" t="s">
        <v>1009</v>
      </c>
    </row>
    <row r="17516" spans="1:10" x14ac:dyDescent="0.2">
      <c r="A17516" s="859">
        <f t="shared" si="415"/>
        <v>17515</v>
      </c>
      <c r="B17516" s="845" t="s">
        <v>2565</v>
      </c>
      <c r="D17516" s="863"/>
      <c r="I17516" s="845" t="str">
        <f>CONCATENATE("&lt;valeur&gt;",Cellule_1148,"&lt;/valeur&gt;")</f>
        <v>&lt;valeur&gt;&lt;/valeur&gt;</v>
      </c>
    </row>
    <row r="17517" spans="1:10" x14ac:dyDescent="0.2">
      <c r="A17517" s="859">
        <f t="shared" si="415"/>
        <v>17516</v>
      </c>
      <c r="B17517" s="845" t="s">
        <v>2565</v>
      </c>
      <c r="D17517" s="862"/>
      <c r="H17517" s="845" t="s">
        <v>1010</v>
      </c>
    </row>
    <row r="17518" spans="1:10" x14ac:dyDescent="0.2">
      <c r="A17518" s="859">
        <f t="shared" si="415"/>
        <v>17517</v>
      </c>
      <c r="B17518" s="845" t="s">
        <v>2565</v>
      </c>
      <c r="D17518" s="862"/>
      <c r="H17518" s="845" t="s">
        <v>1007</v>
      </c>
    </row>
    <row r="17519" spans="1:10" x14ac:dyDescent="0.2">
      <c r="A17519" s="859">
        <f t="shared" si="415"/>
        <v>17518</v>
      </c>
      <c r="B17519" s="845" t="s">
        <v>2565</v>
      </c>
      <c r="D17519" s="861"/>
      <c r="I17519" s="845" t="s">
        <v>1008</v>
      </c>
    </row>
    <row r="17520" spans="1:10" x14ac:dyDescent="0.2">
      <c r="A17520" s="859">
        <f t="shared" si="415"/>
        <v>17519</v>
      </c>
      <c r="B17520" s="845" t="s">
        <v>2565</v>
      </c>
      <c r="D17520" s="861"/>
      <c r="J17520" s="845" t="s">
        <v>2222</v>
      </c>
    </row>
    <row r="17521" spans="1:10" x14ac:dyDescent="0.2">
      <c r="A17521" s="859">
        <f t="shared" si="415"/>
        <v>17520</v>
      </c>
      <c r="B17521" s="845" t="s">
        <v>2565</v>
      </c>
      <c r="D17521" s="862"/>
      <c r="I17521" s="845" t="s">
        <v>1009</v>
      </c>
    </row>
    <row r="17522" spans="1:10" x14ac:dyDescent="0.2">
      <c r="A17522" s="859">
        <f t="shared" si="415"/>
        <v>17521</v>
      </c>
      <c r="B17522" s="845" t="s">
        <v>2565</v>
      </c>
      <c r="D17522" s="863"/>
      <c r="I17522" s="845" t="str">
        <f>CONCATENATE("&lt;valeur&gt;",Cellule_1157,"&lt;/valeur&gt;")</f>
        <v>&lt;valeur&gt;&lt;/valeur&gt;</v>
      </c>
    </row>
    <row r="17523" spans="1:10" x14ac:dyDescent="0.2">
      <c r="A17523" s="859">
        <f t="shared" si="415"/>
        <v>17522</v>
      </c>
      <c r="B17523" s="845" t="s">
        <v>2565</v>
      </c>
      <c r="D17523" s="862"/>
      <c r="H17523" s="845" t="s">
        <v>1010</v>
      </c>
    </row>
    <row r="17524" spans="1:10" x14ac:dyDescent="0.2">
      <c r="A17524" s="859">
        <f t="shared" si="415"/>
        <v>17523</v>
      </c>
      <c r="B17524" s="845" t="s">
        <v>2565</v>
      </c>
      <c r="D17524" s="862"/>
      <c r="H17524" s="845" t="s">
        <v>1007</v>
      </c>
    </row>
    <row r="17525" spans="1:10" x14ac:dyDescent="0.2">
      <c r="A17525" s="859">
        <f t="shared" si="415"/>
        <v>17524</v>
      </c>
      <c r="B17525" s="845" t="s">
        <v>2565</v>
      </c>
      <c r="D17525" s="861"/>
      <c r="I17525" s="845" t="s">
        <v>1008</v>
      </c>
    </row>
    <row r="17526" spans="1:10" x14ac:dyDescent="0.2">
      <c r="A17526" s="859">
        <f t="shared" si="415"/>
        <v>17525</v>
      </c>
      <c r="B17526" s="845" t="s">
        <v>2565</v>
      </c>
      <c r="D17526" s="861"/>
      <c r="J17526" s="845" t="s">
        <v>2223</v>
      </c>
    </row>
    <row r="17527" spans="1:10" x14ac:dyDescent="0.2">
      <c r="A17527" s="859">
        <f t="shared" si="415"/>
        <v>17526</v>
      </c>
      <c r="B17527" s="845" t="s">
        <v>2565</v>
      </c>
      <c r="D17527" s="862"/>
      <c r="I17527" s="845" t="s">
        <v>1009</v>
      </c>
    </row>
    <row r="17528" spans="1:10" x14ac:dyDescent="0.2">
      <c r="A17528" s="859">
        <f t="shared" si="415"/>
        <v>17527</v>
      </c>
      <c r="B17528" s="845" t="s">
        <v>2565</v>
      </c>
      <c r="D17528" s="863"/>
      <c r="I17528" s="845" t="str">
        <f>CONCATENATE("&lt;valeur&gt;",Cellule_1166,"&lt;/valeur&gt;")</f>
        <v>&lt;valeur&gt;&lt;/valeur&gt;</v>
      </c>
    </row>
    <row r="17529" spans="1:10" x14ac:dyDescent="0.2">
      <c r="A17529" s="859">
        <f t="shared" si="415"/>
        <v>17528</v>
      </c>
      <c r="B17529" s="845" t="s">
        <v>2565</v>
      </c>
      <c r="D17529" s="862"/>
      <c r="H17529" s="845" t="s">
        <v>1010</v>
      </c>
    </row>
    <row r="17530" spans="1:10" x14ac:dyDescent="0.2">
      <c r="A17530" s="859">
        <f t="shared" si="415"/>
        <v>17529</v>
      </c>
      <c r="B17530" s="845" t="s">
        <v>2565</v>
      </c>
      <c r="D17530" s="862"/>
      <c r="H17530" s="845" t="s">
        <v>1007</v>
      </c>
    </row>
    <row r="17531" spans="1:10" x14ac:dyDescent="0.2">
      <c r="A17531" s="859">
        <f t="shared" si="415"/>
        <v>17530</v>
      </c>
      <c r="B17531" s="845" t="s">
        <v>2565</v>
      </c>
      <c r="D17531" s="861"/>
      <c r="I17531" s="845" t="s">
        <v>1008</v>
      </c>
    </row>
    <row r="17532" spans="1:10" x14ac:dyDescent="0.2">
      <c r="A17532" s="859">
        <f t="shared" si="415"/>
        <v>17531</v>
      </c>
      <c r="B17532" s="845" t="s">
        <v>2565</v>
      </c>
      <c r="D17532" s="861"/>
      <c r="J17532" s="845" t="s">
        <v>2224</v>
      </c>
    </row>
    <row r="17533" spans="1:10" x14ac:dyDescent="0.2">
      <c r="A17533" s="859">
        <f t="shared" si="415"/>
        <v>17532</v>
      </c>
      <c r="B17533" s="845" t="s">
        <v>2565</v>
      </c>
      <c r="D17533" s="862"/>
      <c r="I17533" s="845" t="s">
        <v>1009</v>
      </c>
    </row>
    <row r="17534" spans="1:10" x14ac:dyDescent="0.2">
      <c r="A17534" s="859">
        <f t="shared" si="415"/>
        <v>17533</v>
      </c>
      <c r="B17534" s="845" t="s">
        <v>2565</v>
      </c>
      <c r="D17534" s="863"/>
      <c r="I17534" s="845" t="str">
        <f>CONCATENATE("&lt;valeur&gt;",Cellule_1184,"&lt;/valeur&gt;")</f>
        <v>&lt;valeur&gt;&lt;/valeur&gt;</v>
      </c>
    </row>
    <row r="17535" spans="1:10" x14ac:dyDescent="0.2">
      <c r="A17535" s="859">
        <f t="shared" si="415"/>
        <v>17534</v>
      </c>
      <c r="B17535" s="845" t="s">
        <v>2565</v>
      </c>
      <c r="D17535" s="862"/>
      <c r="H17535" s="845" t="s">
        <v>1010</v>
      </c>
    </row>
    <row r="17536" spans="1:10" x14ac:dyDescent="0.2">
      <c r="A17536" s="859">
        <f t="shared" si="415"/>
        <v>17535</v>
      </c>
      <c r="B17536" s="845" t="s">
        <v>2565</v>
      </c>
      <c r="D17536" s="862"/>
      <c r="H17536" s="845" t="s">
        <v>1007</v>
      </c>
    </row>
    <row r="17537" spans="1:10" x14ac:dyDescent="0.2">
      <c r="A17537" s="859">
        <f t="shared" si="415"/>
        <v>17536</v>
      </c>
      <c r="B17537" s="845" t="s">
        <v>2565</v>
      </c>
      <c r="D17537" s="861"/>
      <c r="I17537" s="845" t="s">
        <v>1008</v>
      </c>
    </row>
    <row r="17538" spans="1:10" x14ac:dyDescent="0.2">
      <c r="A17538" s="859">
        <f t="shared" si="415"/>
        <v>17537</v>
      </c>
      <c r="B17538" s="845" t="s">
        <v>2565</v>
      </c>
      <c r="D17538" s="861"/>
      <c r="J17538" s="845" t="s">
        <v>2225</v>
      </c>
    </row>
    <row r="17539" spans="1:10" x14ac:dyDescent="0.2">
      <c r="A17539" s="859">
        <f t="shared" si="415"/>
        <v>17538</v>
      </c>
      <c r="B17539" s="845" t="s">
        <v>2565</v>
      </c>
      <c r="D17539" s="862"/>
      <c r="I17539" s="845" t="s">
        <v>1009</v>
      </c>
    </row>
    <row r="17540" spans="1:10" x14ac:dyDescent="0.2">
      <c r="A17540" s="859">
        <f t="shared" ref="A17540:A17603" si="416">+A17539+1</f>
        <v>17539</v>
      </c>
      <c r="B17540" s="845" t="s">
        <v>2565</v>
      </c>
      <c r="D17540" s="863"/>
      <c r="I17540" s="845" t="str">
        <f>CONCATENATE("&lt;valeur&gt;",Cellule_1193,"&lt;/valeur&gt;")</f>
        <v>&lt;valeur&gt;&lt;/valeur&gt;</v>
      </c>
    </row>
    <row r="17541" spans="1:10" x14ac:dyDescent="0.2">
      <c r="A17541" s="859">
        <f t="shared" si="416"/>
        <v>17540</v>
      </c>
      <c r="B17541" s="845" t="s">
        <v>2565</v>
      </c>
      <c r="D17541" s="862"/>
      <c r="H17541" s="845" t="s">
        <v>1010</v>
      </c>
    </row>
    <row r="17542" spans="1:10" x14ac:dyDescent="0.2">
      <c r="A17542" s="859">
        <f t="shared" si="416"/>
        <v>17541</v>
      </c>
      <c r="B17542" s="845" t="s">
        <v>2565</v>
      </c>
      <c r="D17542" s="862"/>
      <c r="H17542" s="845" t="s">
        <v>1007</v>
      </c>
    </row>
    <row r="17543" spans="1:10" x14ac:dyDescent="0.2">
      <c r="A17543" s="859">
        <f t="shared" si="416"/>
        <v>17542</v>
      </c>
      <c r="B17543" s="845" t="s">
        <v>2565</v>
      </c>
      <c r="D17543" s="861"/>
      <c r="I17543" s="845" t="s">
        <v>1008</v>
      </c>
    </row>
    <row r="17544" spans="1:10" x14ac:dyDescent="0.2">
      <c r="A17544" s="859">
        <f t="shared" si="416"/>
        <v>17543</v>
      </c>
      <c r="B17544" s="845" t="s">
        <v>2565</v>
      </c>
      <c r="D17544" s="861"/>
      <c r="J17544" s="845" t="s">
        <v>2226</v>
      </c>
    </row>
    <row r="17545" spans="1:10" x14ac:dyDescent="0.2">
      <c r="A17545" s="859">
        <f t="shared" si="416"/>
        <v>17544</v>
      </c>
      <c r="B17545" s="845" t="s">
        <v>2565</v>
      </c>
      <c r="D17545" s="862"/>
      <c r="I17545" s="845" t="s">
        <v>1009</v>
      </c>
    </row>
    <row r="17546" spans="1:10" x14ac:dyDescent="0.2">
      <c r="A17546" s="859">
        <f t="shared" si="416"/>
        <v>17545</v>
      </c>
      <c r="B17546" s="845" t="s">
        <v>2565</v>
      </c>
      <c r="D17546" s="863"/>
      <c r="I17546" s="845" t="str">
        <f>CONCATENATE("&lt;valeur&gt;",Cellule_1202,"&lt;/valeur&gt;")</f>
        <v>&lt;valeur&gt;0&lt;/valeur&gt;</v>
      </c>
    </row>
    <row r="17547" spans="1:10" x14ac:dyDescent="0.2">
      <c r="A17547" s="859">
        <f t="shared" si="416"/>
        <v>17546</v>
      </c>
      <c r="B17547" s="845" t="s">
        <v>2565</v>
      </c>
      <c r="D17547" s="862"/>
      <c r="H17547" s="845" t="s">
        <v>1010</v>
      </c>
    </row>
    <row r="17548" spans="1:10" x14ac:dyDescent="0.2">
      <c r="A17548" s="859">
        <f t="shared" si="416"/>
        <v>17547</v>
      </c>
      <c r="B17548" s="845" t="s">
        <v>2565</v>
      </c>
      <c r="D17548" s="862"/>
      <c r="H17548" s="845" t="s">
        <v>1007</v>
      </c>
    </row>
    <row r="17549" spans="1:10" x14ac:dyDescent="0.2">
      <c r="A17549" s="859">
        <f t="shared" si="416"/>
        <v>17548</v>
      </c>
      <c r="B17549" s="845" t="s">
        <v>2565</v>
      </c>
      <c r="D17549" s="861"/>
      <c r="I17549" s="845" t="s">
        <v>1008</v>
      </c>
    </row>
    <row r="17550" spans="1:10" x14ac:dyDescent="0.2">
      <c r="A17550" s="859">
        <f t="shared" si="416"/>
        <v>17549</v>
      </c>
      <c r="B17550" s="845" t="s">
        <v>2565</v>
      </c>
      <c r="D17550" s="861"/>
      <c r="J17550" s="845" t="s">
        <v>2227</v>
      </c>
    </row>
    <row r="17551" spans="1:10" x14ac:dyDescent="0.2">
      <c r="A17551" s="859">
        <f t="shared" si="416"/>
        <v>17550</v>
      </c>
      <c r="B17551" s="845" t="s">
        <v>2565</v>
      </c>
      <c r="D17551" s="862"/>
      <c r="I17551" s="845" t="s">
        <v>1009</v>
      </c>
    </row>
    <row r="17552" spans="1:10" x14ac:dyDescent="0.2">
      <c r="A17552" s="859">
        <f t="shared" si="416"/>
        <v>17551</v>
      </c>
      <c r="B17552" s="845" t="s">
        <v>2565</v>
      </c>
      <c r="D17552" s="863"/>
      <c r="I17552" s="845" t="str">
        <f>CONCATENATE("&lt;valeur&gt;",Cellule_1175,"&lt;/valeur&gt;")</f>
        <v>&lt;valeur&gt;&lt;/valeur&gt;</v>
      </c>
    </row>
    <row r="17553" spans="1:10" x14ac:dyDescent="0.2">
      <c r="A17553" s="859">
        <f t="shared" si="416"/>
        <v>17552</v>
      </c>
      <c r="B17553" s="845" t="s">
        <v>2565</v>
      </c>
      <c r="D17553" s="862"/>
      <c r="H17553" s="845" t="s">
        <v>1010</v>
      </c>
    </row>
    <row r="17554" spans="1:10" x14ac:dyDescent="0.2">
      <c r="A17554" s="859">
        <f t="shared" si="416"/>
        <v>17553</v>
      </c>
      <c r="B17554" s="845" t="s">
        <v>2565</v>
      </c>
      <c r="D17554" s="862"/>
      <c r="H17554" s="845" t="s">
        <v>1007</v>
      </c>
    </row>
    <row r="17555" spans="1:10" x14ac:dyDescent="0.2">
      <c r="A17555" s="859">
        <f t="shared" si="416"/>
        <v>17554</v>
      </c>
      <c r="B17555" s="845" t="s">
        <v>2565</v>
      </c>
      <c r="D17555" s="861"/>
      <c r="I17555" s="845" t="s">
        <v>1008</v>
      </c>
    </row>
    <row r="17556" spans="1:10" x14ac:dyDescent="0.2">
      <c r="A17556" s="859">
        <f t="shared" si="416"/>
        <v>17555</v>
      </c>
      <c r="B17556" s="845" t="s">
        <v>2565</v>
      </c>
      <c r="D17556" s="861"/>
      <c r="J17556" s="845" t="s">
        <v>2228</v>
      </c>
    </row>
    <row r="17557" spans="1:10" x14ac:dyDescent="0.2">
      <c r="A17557" s="859">
        <f t="shared" si="416"/>
        <v>17556</v>
      </c>
      <c r="B17557" s="845" t="s">
        <v>2565</v>
      </c>
      <c r="D17557" s="862"/>
      <c r="I17557" s="845" t="s">
        <v>1009</v>
      </c>
    </row>
    <row r="17558" spans="1:10" x14ac:dyDescent="0.2">
      <c r="A17558" s="859">
        <f t="shared" si="416"/>
        <v>17557</v>
      </c>
      <c r="B17558" s="845" t="s">
        <v>2565</v>
      </c>
      <c r="D17558" s="863"/>
      <c r="I17558" s="845" t="str">
        <f>CONCATENATE("&lt;valeur&gt;",Cellule_1113,"&lt;/valeur&gt;")</f>
        <v>&lt;valeur&gt;&lt;/valeur&gt;</v>
      </c>
    </row>
    <row r="17559" spans="1:10" x14ac:dyDescent="0.2">
      <c r="A17559" s="859">
        <f t="shared" si="416"/>
        <v>17558</v>
      </c>
      <c r="B17559" s="845" t="s">
        <v>2565</v>
      </c>
      <c r="D17559" s="862"/>
      <c r="H17559" s="845" t="s">
        <v>1010</v>
      </c>
    </row>
    <row r="17560" spans="1:10" x14ac:dyDescent="0.2">
      <c r="A17560" s="859">
        <f t="shared" si="416"/>
        <v>17559</v>
      </c>
      <c r="B17560" s="845" t="s">
        <v>2565</v>
      </c>
      <c r="D17560" s="862"/>
      <c r="H17560" s="845" t="s">
        <v>1007</v>
      </c>
    </row>
    <row r="17561" spans="1:10" x14ac:dyDescent="0.2">
      <c r="A17561" s="859">
        <f t="shared" si="416"/>
        <v>17560</v>
      </c>
      <c r="B17561" s="845" t="s">
        <v>2565</v>
      </c>
      <c r="D17561" s="861"/>
      <c r="I17561" s="845" t="s">
        <v>1008</v>
      </c>
    </row>
    <row r="17562" spans="1:10" x14ac:dyDescent="0.2">
      <c r="A17562" s="859">
        <f t="shared" si="416"/>
        <v>17561</v>
      </c>
      <c r="B17562" s="845" t="s">
        <v>2565</v>
      </c>
      <c r="D17562" s="861"/>
      <c r="J17562" s="845" t="s">
        <v>2229</v>
      </c>
    </row>
    <row r="17563" spans="1:10" x14ac:dyDescent="0.2">
      <c r="A17563" s="859">
        <f t="shared" si="416"/>
        <v>17562</v>
      </c>
      <c r="B17563" s="845" t="s">
        <v>2565</v>
      </c>
      <c r="D17563" s="862"/>
      <c r="I17563" s="845" t="s">
        <v>1009</v>
      </c>
    </row>
    <row r="17564" spans="1:10" x14ac:dyDescent="0.2">
      <c r="A17564" s="859">
        <f t="shared" si="416"/>
        <v>17563</v>
      </c>
      <c r="B17564" s="845" t="s">
        <v>2565</v>
      </c>
      <c r="D17564" s="863"/>
      <c r="I17564" s="845" t="str">
        <f>CONCATENATE("&lt;valeur&gt;",Cellule_1122,"&lt;/valeur&gt;")</f>
        <v>&lt;valeur&gt;&lt;/valeur&gt;</v>
      </c>
    </row>
    <row r="17565" spans="1:10" x14ac:dyDescent="0.2">
      <c r="A17565" s="859">
        <f t="shared" si="416"/>
        <v>17564</v>
      </c>
      <c r="B17565" s="845" t="s">
        <v>2565</v>
      </c>
      <c r="D17565" s="862"/>
      <c r="H17565" s="845" t="s">
        <v>1010</v>
      </c>
    </row>
    <row r="17566" spans="1:10" x14ac:dyDescent="0.2">
      <c r="A17566" s="859">
        <f t="shared" si="416"/>
        <v>17565</v>
      </c>
      <c r="B17566" s="845" t="s">
        <v>2565</v>
      </c>
      <c r="D17566" s="862"/>
      <c r="H17566" s="845" t="s">
        <v>1007</v>
      </c>
    </row>
    <row r="17567" spans="1:10" x14ac:dyDescent="0.2">
      <c r="A17567" s="859">
        <f t="shared" si="416"/>
        <v>17566</v>
      </c>
      <c r="B17567" s="845" t="s">
        <v>2565</v>
      </c>
      <c r="D17567" s="861"/>
      <c r="I17567" s="845" t="s">
        <v>1008</v>
      </c>
    </row>
    <row r="17568" spans="1:10" x14ac:dyDescent="0.2">
      <c r="A17568" s="859">
        <f t="shared" si="416"/>
        <v>17567</v>
      </c>
      <c r="B17568" s="845" t="s">
        <v>2565</v>
      </c>
      <c r="D17568" s="861"/>
      <c r="J17568" s="845" t="s">
        <v>2230</v>
      </c>
    </row>
    <row r="17569" spans="1:10" x14ac:dyDescent="0.2">
      <c r="A17569" s="859">
        <f t="shared" si="416"/>
        <v>17568</v>
      </c>
      <c r="B17569" s="845" t="s">
        <v>2565</v>
      </c>
      <c r="D17569" s="862"/>
      <c r="I17569" s="845" t="s">
        <v>1009</v>
      </c>
    </row>
    <row r="17570" spans="1:10" x14ac:dyDescent="0.2">
      <c r="A17570" s="859">
        <f t="shared" si="416"/>
        <v>17569</v>
      </c>
      <c r="B17570" s="845" t="s">
        <v>2565</v>
      </c>
      <c r="D17570" s="863"/>
      <c r="I17570" s="845" t="str">
        <f>CONCATENATE("&lt;valeur&gt;",Cellule_1131,"&lt;/valeur&gt;")</f>
        <v>&lt;valeur&gt;&lt;/valeur&gt;</v>
      </c>
    </row>
    <row r="17571" spans="1:10" x14ac:dyDescent="0.2">
      <c r="A17571" s="859">
        <f t="shared" si="416"/>
        <v>17570</v>
      </c>
      <c r="B17571" s="845" t="s">
        <v>2565</v>
      </c>
      <c r="D17571" s="862"/>
      <c r="H17571" s="845" t="s">
        <v>1010</v>
      </c>
    </row>
    <row r="17572" spans="1:10" x14ac:dyDescent="0.2">
      <c r="A17572" s="859">
        <f t="shared" si="416"/>
        <v>17571</v>
      </c>
      <c r="B17572" s="845" t="s">
        <v>2565</v>
      </c>
      <c r="D17572" s="862"/>
      <c r="H17572" s="845" t="s">
        <v>1007</v>
      </c>
    </row>
    <row r="17573" spans="1:10" x14ac:dyDescent="0.2">
      <c r="A17573" s="859">
        <f t="shared" si="416"/>
        <v>17572</v>
      </c>
      <c r="B17573" s="845" t="s">
        <v>2565</v>
      </c>
      <c r="D17573" s="861"/>
      <c r="I17573" s="845" t="s">
        <v>1008</v>
      </c>
    </row>
    <row r="17574" spans="1:10" x14ac:dyDescent="0.2">
      <c r="A17574" s="859">
        <f t="shared" si="416"/>
        <v>17573</v>
      </c>
      <c r="B17574" s="845" t="s">
        <v>2565</v>
      </c>
      <c r="D17574" s="861"/>
      <c r="J17574" s="845" t="s">
        <v>2231</v>
      </c>
    </row>
    <row r="17575" spans="1:10" x14ac:dyDescent="0.2">
      <c r="A17575" s="859">
        <f t="shared" si="416"/>
        <v>17574</v>
      </c>
      <c r="B17575" s="845" t="s">
        <v>2565</v>
      </c>
      <c r="D17575" s="862"/>
      <c r="I17575" s="845" t="s">
        <v>1009</v>
      </c>
    </row>
    <row r="17576" spans="1:10" x14ac:dyDescent="0.2">
      <c r="A17576" s="859">
        <f t="shared" si="416"/>
        <v>17575</v>
      </c>
      <c r="B17576" s="845" t="s">
        <v>2565</v>
      </c>
      <c r="D17576" s="863"/>
      <c r="I17576" s="845" t="str">
        <f>CONCATENATE("&lt;valeur&gt;",Cellule_1140,"&lt;/valeur&gt;")</f>
        <v>&lt;valeur&gt;&lt;/valeur&gt;</v>
      </c>
    </row>
    <row r="17577" spans="1:10" x14ac:dyDescent="0.2">
      <c r="A17577" s="859">
        <f t="shared" si="416"/>
        <v>17576</v>
      </c>
      <c r="B17577" s="845" t="s">
        <v>2565</v>
      </c>
      <c r="D17577" s="862"/>
      <c r="H17577" s="845" t="s">
        <v>1010</v>
      </c>
    </row>
    <row r="17578" spans="1:10" x14ac:dyDescent="0.2">
      <c r="A17578" s="859">
        <f t="shared" si="416"/>
        <v>17577</v>
      </c>
      <c r="B17578" s="845" t="s">
        <v>2565</v>
      </c>
      <c r="D17578" s="862"/>
      <c r="H17578" s="845" t="s">
        <v>1007</v>
      </c>
    </row>
    <row r="17579" spans="1:10" x14ac:dyDescent="0.2">
      <c r="A17579" s="859">
        <f t="shared" si="416"/>
        <v>17578</v>
      </c>
      <c r="B17579" s="845" t="s">
        <v>2565</v>
      </c>
      <c r="D17579" s="861"/>
      <c r="I17579" s="845" t="s">
        <v>1008</v>
      </c>
    </row>
    <row r="17580" spans="1:10" x14ac:dyDescent="0.2">
      <c r="A17580" s="859">
        <f t="shared" si="416"/>
        <v>17579</v>
      </c>
      <c r="B17580" s="845" t="s">
        <v>2565</v>
      </c>
      <c r="D17580" s="861"/>
      <c r="J17580" s="845" t="s">
        <v>2232</v>
      </c>
    </row>
    <row r="17581" spans="1:10" x14ac:dyDescent="0.2">
      <c r="A17581" s="859">
        <f t="shared" si="416"/>
        <v>17580</v>
      </c>
      <c r="B17581" s="845" t="s">
        <v>2565</v>
      </c>
      <c r="D17581" s="862"/>
      <c r="I17581" s="845" t="s">
        <v>1009</v>
      </c>
    </row>
    <row r="17582" spans="1:10" x14ac:dyDescent="0.2">
      <c r="A17582" s="859">
        <f t="shared" si="416"/>
        <v>17581</v>
      </c>
      <c r="B17582" s="845" t="s">
        <v>2565</v>
      </c>
      <c r="D17582" s="863"/>
      <c r="I17582" s="845" t="str">
        <f>CONCATENATE("&lt;valeur&gt;",Cellule_1149,"&lt;/valeur&gt;")</f>
        <v>&lt;valeur&gt;&lt;/valeur&gt;</v>
      </c>
    </row>
    <row r="17583" spans="1:10" x14ac:dyDescent="0.2">
      <c r="A17583" s="859">
        <f t="shared" si="416"/>
        <v>17582</v>
      </c>
      <c r="B17583" s="845" t="s">
        <v>2565</v>
      </c>
      <c r="D17583" s="862"/>
      <c r="H17583" s="845" t="s">
        <v>1010</v>
      </c>
    </row>
    <row r="17584" spans="1:10" x14ac:dyDescent="0.2">
      <c r="A17584" s="859">
        <f t="shared" si="416"/>
        <v>17583</v>
      </c>
      <c r="B17584" s="845" t="s">
        <v>2565</v>
      </c>
      <c r="D17584" s="862"/>
      <c r="H17584" s="845" t="s">
        <v>1007</v>
      </c>
    </row>
    <row r="17585" spans="1:10" x14ac:dyDescent="0.2">
      <c r="A17585" s="859">
        <f t="shared" si="416"/>
        <v>17584</v>
      </c>
      <c r="B17585" s="845" t="s">
        <v>2565</v>
      </c>
      <c r="D17585" s="861"/>
      <c r="I17585" s="845" t="s">
        <v>1008</v>
      </c>
    </row>
    <row r="17586" spans="1:10" x14ac:dyDescent="0.2">
      <c r="A17586" s="859">
        <f t="shared" si="416"/>
        <v>17585</v>
      </c>
      <c r="B17586" s="845" t="s">
        <v>2565</v>
      </c>
      <c r="D17586" s="861"/>
      <c r="J17586" s="845" t="s">
        <v>2233</v>
      </c>
    </row>
    <row r="17587" spans="1:10" x14ac:dyDescent="0.2">
      <c r="A17587" s="859">
        <f t="shared" si="416"/>
        <v>17586</v>
      </c>
      <c r="B17587" s="845" t="s">
        <v>2565</v>
      </c>
      <c r="D17587" s="862"/>
      <c r="I17587" s="845" t="s">
        <v>1009</v>
      </c>
    </row>
    <row r="17588" spans="1:10" x14ac:dyDescent="0.2">
      <c r="A17588" s="859">
        <f t="shared" si="416"/>
        <v>17587</v>
      </c>
      <c r="B17588" s="845" t="s">
        <v>2565</v>
      </c>
      <c r="D17588" s="863"/>
      <c r="I17588" s="845" t="str">
        <f>CONCATENATE("&lt;valeur&gt;",Cellule_1158,"&lt;/valeur&gt;")</f>
        <v>&lt;valeur&gt;&lt;/valeur&gt;</v>
      </c>
    </row>
    <row r="17589" spans="1:10" x14ac:dyDescent="0.2">
      <c r="A17589" s="859">
        <f t="shared" si="416"/>
        <v>17588</v>
      </c>
      <c r="B17589" s="845" t="s">
        <v>2565</v>
      </c>
      <c r="D17589" s="862"/>
      <c r="H17589" s="845" t="s">
        <v>1010</v>
      </c>
    </row>
    <row r="17590" spans="1:10" x14ac:dyDescent="0.2">
      <c r="A17590" s="859">
        <f t="shared" si="416"/>
        <v>17589</v>
      </c>
      <c r="B17590" s="845" t="s">
        <v>2565</v>
      </c>
      <c r="D17590" s="862"/>
      <c r="H17590" s="845" t="s">
        <v>1007</v>
      </c>
    </row>
    <row r="17591" spans="1:10" x14ac:dyDescent="0.2">
      <c r="A17591" s="859">
        <f t="shared" si="416"/>
        <v>17590</v>
      </c>
      <c r="B17591" s="845" t="s">
        <v>2565</v>
      </c>
      <c r="D17591" s="861"/>
      <c r="I17591" s="845" t="s">
        <v>1008</v>
      </c>
    </row>
    <row r="17592" spans="1:10" x14ac:dyDescent="0.2">
      <c r="A17592" s="859">
        <f t="shared" si="416"/>
        <v>17591</v>
      </c>
      <c r="B17592" s="845" t="s">
        <v>2565</v>
      </c>
      <c r="D17592" s="861"/>
      <c r="J17592" s="845" t="s">
        <v>2234</v>
      </c>
    </row>
    <row r="17593" spans="1:10" x14ac:dyDescent="0.2">
      <c r="A17593" s="859">
        <f t="shared" si="416"/>
        <v>17592</v>
      </c>
      <c r="B17593" s="845" t="s">
        <v>2565</v>
      </c>
      <c r="D17593" s="862"/>
      <c r="I17593" s="845" t="s">
        <v>1009</v>
      </c>
    </row>
    <row r="17594" spans="1:10" x14ac:dyDescent="0.2">
      <c r="A17594" s="859">
        <f t="shared" si="416"/>
        <v>17593</v>
      </c>
      <c r="B17594" s="845" t="s">
        <v>2565</v>
      </c>
      <c r="D17594" s="863"/>
      <c r="I17594" s="845" t="str">
        <f>CONCATENATE("&lt;valeur&gt;",Cellule_1167,"&lt;/valeur&gt;")</f>
        <v>&lt;valeur&gt;&lt;/valeur&gt;</v>
      </c>
    </row>
    <row r="17595" spans="1:10" x14ac:dyDescent="0.2">
      <c r="A17595" s="859">
        <f t="shared" si="416"/>
        <v>17594</v>
      </c>
      <c r="B17595" s="845" t="s">
        <v>2565</v>
      </c>
      <c r="D17595" s="862"/>
      <c r="H17595" s="845" t="s">
        <v>1010</v>
      </c>
    </row>
    <row r="17596" spans="1:10" x14ac:dyDescent="0.2">
      <c r="A17596" s="859">
        <f t="shared" si="416"/>
        <v>17595</v>
      </c>
      <c r="B17596" s="845" t="s">
        <v>2565</v>
      </c>
      <c r="D17596" s="862"/>
      <c r="H17596" s="845" t="s">
        <v>1007</v>
      </c>
    </row>
    <row r="17597" spans="1:10" x14ac:dyDescent="0.2">
      <c r="A17597" s="859">
        <f t="shared" si="416"/>
        <v>17596</v>
      </c>
      <c r="B17597" s="845" t="s">
        <v>2565</v>
      </c>
      <c r="D17597" s="861"/>
      <c r="I17597" s="845" t="s">
        <v>1008</v>
      </c>
    </row>
    <row r="17598" spans="1:10" x14ac:dyDescent="0.2">
      <c r="A17598" s="859">
        <f t="shared" si="416"/>
        <v>17597</v>
      </c>
      <c r="B17598" s="845" t="s">
        <v>2565</v>
      </c>
      <c r="D17598" s="861"/>
      <c r="J17598" s="845" t="s">
        <v>2235</v>
      </c>
    </row>
    <row r="17599" spans="1:10" x14ac:dyDescent="0.2">
      <c r="A17599" s="859">
        <f t="shared" si="416"/>
        <v>17598</v>
      </c>
      <c r="B17599" s="845" t="s">
        <v>2565</v>
      </c>
      <c r="D17599" s="862"/>
      <c r="I17599" s="845" t="s">
        <v>1009</v>
      </c>
    </row>
    <row r="17600" spans="1:10" x14ac:dyDescent="0.2">
      <c r="A17600" s="859">
        <f t="shared" si="416"/>
        <v>17599</v>
      </c>
      <c r="B17600" s="845" t="s">
        <v>2565</v>
      </c>
      <c r="D17600" s="863"/>
      <c r="I17600" s="845" t="str">
        <f>CONCATENATE("&lt;valeur&gt;",Cellule_1185,"&lt;/valeur&gt;")</f>
        <v>&lt;valeur&gt;&lt;/valeur&gt;</v>
      </c>
    </row>
    <row r="17601" spans="1:10" x14ac:dyDescent="0.2">
      <c r="A17601" s="859">
        <f t="shared" si="416"/>
        <v>17600</v>
      </c>
      <c r="B17601" s="845" t="s">
        <v>2565</v>
      </c>
      <c r="D17601" s="862"/>
      <c r="H17601" s="845" t="s">
        <v>1010</v>
      </c>
    </row>
    <row r="17602" spans="1:10" x14ac:dyDescent="0.2">
      <c r="A17602" s="859">
        <f t="shared" si="416"/>
        <v>17601</v>
      </c>
      <c r="B17602" s="845" t="s">
        <v>2565</v>
      </c>
      <c r="D17602" s="862"/>
      <c r="H17602" s="845" t="s">
        <v>1007</v>
      </c>
    </row>
    <row r="17603" spans="1:10" x14ac:dyDescent="0.2">
      <c r="A17603" s="859">
        <f t="shared" si="416"/>
        <v>17602</v>
      </c>
      <c r="B17603" s="845" t="s">
        <v>2565</v>
      </c>
      <c r="D17603" s="861"/>
      <c r="I17603" s="845" t="s">
        <v>1008</v>
      </c>
    </row>
    <row r="17604" spans="1:10" x14ac:dyDescent="0.2">
      <c r="A17604" s="859">
        <f t="shared" ref="A17604:A17667" si="417">+A17603+1</f>
        <v>17603</v>
      </c>
      <c r="B17604" s="845" t="s">
        <v>2565</v>
      </c>
      <c r="D17604" s="861"/>
      <c r="J17604" s="845" t="s">
        <v>2236</v>
      </c>
    </row>
    <row r="17605" spans="1:10" x14ac:dyDescent="0.2">
      <c r="A17605" s="859">
        <f t="shared" si="417"/>
        <v>17604</v>
      </c>
      <c r="B17605" s="845" t="s">
        <v>2565</v>
      </c>
      <c r="D17605" s="862"/>
      <c r="I17605" s="845" t="s">
        <v>1009</v>
      </c>
    </row>
    <row r="17606" spans="1:10" x14ac:dyDescent="0.2">
      <c r="A17606" s="859">
        <f t="shared" si="417"/>
        <v>17605</v>
      </c>
      <c r="B17606" s="845" t="s">
        <v>2565</v>
      </c>
      <c r="D17606" s="863"/>
      <c r="I17606" s="845" t="str">
        <f>CONCATENATE("&lt;valeur&gt;",Cellule_1194,"&lt;/valeur&gt;")</f>
        <v>&lt;valeur&gt;&lt;/valeur&gt;</v>
      </c>
    </row>
    <row r="17607" spans="1:10" x14ac:dyDescent="0.2">
      <c r="A17607" s="859">
        <f t="shared" si="417"/>
        <v>17606</v>
      </c>
      <c r="B17607" s="845" t="s">
        <v>2565</v>
      </c>
      <c r="D17607" s="862"/>
      <c r="H17607" s="845" t="s">
        <v>1010</v>
      </c>
    </row>
    <row r="17608" spans="1:10" x14ac:dyDescent="0.2">
      <c r="A17608" s="859">
        <f t="shared" si="417"/>
        <v>17607</v>
      </c>
      <c r="B17608" s="845" t="s">
        <v>2565</v>
      </c>
      <c r="D17608" s="862"/>
      <c r="H17608" s="845" t="s">
        <v>1007</v>
      </c>
    </row>
    <row r="17609" spans="1:10" x14ac:dyDescent="0.2">
      <c r="A17609" s="859">
        <f t="shared" si="417"/>
        <v>17608</v>
      </c>
      <c r="B17609" s="845" t="s">
        <v>2565</v>
      </c>
      <c r="D17609" s="861"/>
      <c r="I17609" s="845" t="s">
        <v>1008</v>
      </c>
    </row>
    <row r="17610" spans="1:10" x14ac:dyDescent="0.2">
      <c r="A17610" s="859">
        <f t="shared" si="417"/>
        <v>17609</v>
      </c>
      <c r="B17610" s="845" t="s">
        <v>2565</v>
      </c>
      <c r="D17610" s="861"/>
      <c r="J17610" s="845" t="s">
        <v>2237</v>
      </c>
    </row>
    <row r="17611" spans="1:10" x14ac:dyDescent="0.2">
      <c r="A17611" s="859">
        <f t="shared" si="417"/>
        <v>17610</v>
      </c>
      <c r="B17611" s="845" t="s">
        <v>2565</v>
      </c>
      <c r="D17611" s="862"/>
      <c r="I17611" s="845" t="s">
        <v>1009</v>
      </c>
    </row>
    <row r="17612" spans="1:10" x14ac:dyDescent="0.2">
      <c r="A17612" s="859">
        <f t="shared" si="417"/>
        <v>17611</v>
      </c>
      <c r="B17612" s="845" t="s">
        <v>2565</v>
      </c>
      <c r="D17612" s="863"/>
      <c r="I17612" s="845" t="str">
        <f>CONCATENATE("&lt;valeur&gt;",Cellule_1203,"&lt;/valeur&gt;")</f>
        <v>&lt;valeur&gt;0&lt;/valeur&gt;</v>
      </c>
    </row>
    <row r="17613" spans="1:10" x14ac:dyDescent="0.2">
      <c r="A17613" s="859">
        <f t="shared" si="417"/>
        <v>17612</v>
      </c>
      <c r="B17613" s="845" t="s">
        <v>2565</v>
      </c>
      <c r="D17613" s="862"/>
      <c r="H17613" s="845" t="s">
        <v>1010</v>
      </c>
    </row>
    <row r="17614" spans="1:10" x14ac:dyDescent="0.2">
      <c r="A17614" s="859">
        <f t="shared" si="417"/>
        <v>17613</v>
      </c>
      <c r="B17614" s="845" t="s">
        <v>2565</v>
      </c>
      <c r="D17614" s="862"/>
      <c r="H17614" s="845" t="s">
        <v>1007</v>
      </c>
    </row>
    <row r="17615" spans="1:10" x14ac:dyDescent="0.2">
      <c r="A17615" s="859">
        <f t="shared" si="417"/>
        <v>17614</v>
      </c>
      <c r="B17615" s="845" t="s">
        <v>2565</v>
      </c>
      <c r="D17615" s="861"/>
      <c r="I17615" s="845" t="s">
        <v>1008</v>
      </c>
    </row>
    <row r="17616" spans="1:10" x14ac:dyDescent="0.2">
      <c r="A17616" s="859">
        <f t="shared" si="417"/>
        <v>17615</v>
      </c>
      <c r="B17616" s="845" t="s">
        <v>2565</v>
      </c>
      <c r="D17616" s="861"/>
      <c r="J17616" s="845" t="s">
        <v>2238</v>
      </c>
    </row>
    <row r="17617" spans="1:10" x14ac:dyDescent="0.2">
      <c r="A17617" s="859">
        <f t="shared" si="417"/>
        <v>17616</v>
      </c>
      <c r="B17617" s="845" t="s">
        <v>2565</v>
      </c>
      <c r="D17617" s="862"/>
      <c r="I17617" s="845" t="s">
        <v>1009</v>
      </c>
    </row>
    <row r="17618" spans="1:10" x14ac:dyDescent="0.2">
      <c r="A17618" s="859">
        <f t="shared" si="417"/>
        <v>17617</v>
      </c>
      <c r="B17618" s="845" t="s">
        <v>2565</v>
      </c>
      <c r="D17618" s="863"/>
      <c r="I17618" s="845" t="str">
        <f>CONCATENATE("&lt;valeur&gt;",Cellule_1176,"&lt;/valeur&gt;")</f>
        <v>&lt;valeur&gt;&lt;/valeur&gt;</v>
      </c>
    </row>
    <row r="17619" spans="1:10" x14ac:dyDescent="0.2">
      <c r="A17619" s="859">
        <f t="shared" si="417"/>
        <v>17618</v>
      </c>
      <c r="B17619" s="845" t="s">
        <v>2565</v>
      </c>
      <c r="D17619" s="862"/>
      <c r="H17619" s="845" t="s">
        <v>1010</v>
      </c>
    </row>
    <row r="17620" spans="1:10" x14ac:dyDescent="0.2">
      <c r="A17620" s="859">
        <f t="shared" si="417"/>
        <v>17619</v>
      </c>
      <c r="B17620" s="845" t="s">
        <v>2565</v>
      </c>
      <c r="D17620" s="862"/>
      <c r="H17620" s="845" t="s">
        <v>1007</v>
      </c>
    </row>
    <row r="17621" spans="1:10" x14ac:dyDescent="0.2">
      <c r="A17621" s="859">
        <f t="shared" si="417"/>
        <v>17620</v>
      </c>
      <c r="B17621" s="845" t="s">
        <v>2565</v>
      </c>
      <c r="D17621" s="861"/>
      <c r="I17621" s="845" t="s">
        <v>1008</v>
      </c>
    </row>
    <row r="17622" spans="1:10" x14ac:dyDescent="0.2">
      <c r="A17622" s="859">
        <f t="shared" si="417"/>
        <v>17621</v>
      </c>
      <c r="B17622" s="845" t="s">
        <v>2565</v>
      </c>
      <c r="D17622" s="861"/>
      <c r="J17622" s="845" t="s">
        <v>2239</v>
      </c>
    </row>
    <row r="17623" spans="1:10" x14ac:dyDescent="0.2">
      <c r="A17623" s="859">
        <f t="shared" si="417"/>
        <v>17622</v>
      </c>
      <c r="B17623" s="845" t="s">
        <v>2565</v>
      </c>
      <c r="D17623" s="862"/>
      <c r="I17623" s="845" t="s">
        <v>1009</v>
      </c>
    </row>
    <row r="17624" spans="1:10" x14ac:dyDescent="0.2">
      <c r="A17624" s="859">
        <f t="shared" si="417"/>
        <v>17623</v>
      </c>
      <c r="B17624" s="845" t="s">
        <v>2565</v>
      </c>
      <c r="D17624" s="863"/>
      <c r="I17624" s="845" t="str">
        <f>CONCATENATE("&lt;valeur&gt;",Cellule_1114,"&lt;/valeur&gt;")</f>
        <v>&lt;valeur&gt;&lt;/valeur&gt;</v>
      </c>
    </row>
    <row r="17625" spans="1:10" x14ac:dyDescent="0.2">
      <c r="A17625" s="859">
        <f t="shared" si="417"/>
        <v>17624</v>
      </c>
      <c r="B17625" s="845" t="s">
        <v>2565</v>
      </c>
      <c r="D17625" s="862"/>
      <c r="H17625" s="845" t="s">
        <v>1010</v>
      </c>
    </row>
    <row r="17626" spans="1:10" x14ac:dyDescent="0.2">
      <c r="A17626" s="859">
        <f t="shared" si="417"/>
        <v>17625</v>
      </c>
      <c r="B17626" s="845" t="s">
        <v>2565</v>
      </c>
      <c r="D17626" s="862"/>
      <c r="H17626" s="845" t="s">
        <v>1007</v>
      </c>
    </row>
    <row r="17627" spans="1:10" x14ac:dyDescent="0.2">
      <c r="A17627" s="859">
        <f t="shared" si="417"/>
        <v>17626</v>
      </c>
      <c r="B17627" s="845" t="s">
        <v>2565</v>
      </c>
      <c r="D17627" s="861"/>
      <c r="I17627" s="845" t="s">
        <v>1008</v>
      </c>
    </row>
    <row r="17628" spans="1:10" x14ac:dyDescent="0.2">
      <c r="A17628" s="859">
        <f t="shared" si="417"/>
        <v>17627</v>
      </c>
      <c r="B17628" s="845" t="s">
        <v>2565</v>
      </c>
      <c r="D17628" s="861"/>
      <c r="J17628" s="845" t="s">
        <v>2240</v>
      </c>
    </row>
    <row r="17629" spans="1:10" x14ac:dyDescent="0.2">
      <c r="A17629" s="859">
        <f t="shared" si="417"/>
        <v>17628</v>
      </c>
      <c r="B17629" s="845" t="s">
        <v>2565</v>
      </c>
      <c r="D17629" s="862"/>
      <c r="I17629" s="845" t="s">
        <v>1009</v>
      </c>
    </row>
    <row r="17630" spans="1:10" x14ac:dyDescent="0.2">
      <c r="A17630" s="859">
        <f t="shared" si="417"/>
        <v>17629</v>
      </c>
      <c r="B17630" s="845" t="s">
        <v>2565</v>
      </c>
      <c r="D17630" s="863"/>
      <c r="I17630" s="845" t="str">
        <f>CONCATENATE("&lt;valeur&gt;",Cellule_1123,"&lt;/valeur&gt;")</f>
        <v>&lt;valeur&gt;&lt;/valeur&gt;</v>
      </c>
    </row>
    <row r="17631" spans="1:10" x14ac:dyDescent="0.2">
      <c r="A17631" s="859">
        <f t="shared" si="417"/>
        <v>17630</v>
      </c>
      <c r="B17631" s="845" t="s">
        <v>2565</v>
      </c>
      <c r="D17631" s="862"/>
      <c r="H17631" s="845" t="s">
        <v>1010</v>
      </c>
    </row>
    <row r="17632" spans="1:10" x14ac:dyDescent="0.2">
      <c r="A17632" s="859">
        <f t="shared" si="417"/>
        <v>17631</v>
      </c>
      <c r="B17632" s="845" t="s">
        <v>2565</v>
      </c>
      <c r="D17632" s="862"/>
      <c r="H17632" s="845" t="s">
        <v>1007</v>
      </c>
    </row>
    <row r="17633" spans="1:10" x14ac:dyDescent="0.2">
      <c r="A17633" s="859">
        <f t="shared" si="417"/>
        <v>17632</v>
      </c>
      <c r="B17633" s="845" t="s">
        <v>2565</v>
      </c>
      <c r="D17633" s="861"/>
      <c r="I17633" s="845" t="s">
        <v>1008</v>
      </c>
    </row>
    <row r="17634" spans="1:10" x14ac:dyDescent="0.2">
      <c r="A17634" s="859">
        <f t="shared" si="417"/>
        <v>17633</v>
      </c>
      <c r="B17634" s="845" t="s">
        <v>2565</v>
      </c>
      <c r="D17634" s="861"/>
      <c r="J17634" s="845" t="s">
        <v>2241</v>
      </c>
    </row>
    <row r="17635" spans="1:10" x14ac:dyDescent="0.2">
      <c r="A17635" s="859">
        <f t="shared" si="417"/>
        <v>17634</v>
      </c>
      <c r="B17635" s="845" t="s">
        <v>2565</v>
      </c>
      <c r="D17635" s="862"/>
      <c r="I17635" s="845" t="s">
        <v>1009</v>
      </c>
    </row>
    <row r="17636" spans="1:10" x14ac:dyDescent="0.2">
      <c r="A17636" s="859">
        <f t="shared" si="417"/>
        <v>17635</v>
      </c>
      <c r="B17636" s="845" t="s">
        <v>2565</v>
      </c>
      <c r="D17636" s="863"/>
      <c r="I17636" s="845" t="str">
        <f>CONCATENATE("&lt;valeur&gt;",Cellule_1132,"&lt;/valeur&gt;")</f>
        <v>&lt;valeur&gt;&lt;/valeur&gt;</v>
      </c>
    </row>
    <row r="17637" spans="1:10" x14ac:dyDescent="0.2">
      <c r="A17637" s="859">
        <f t="shared" si="417"/>
        <v>17636</v>
      </c>
      <c r="B17637" s="845" t="s">
        <v>2565</v>
      </c>
      <c r="D17637" s="862"/>
      <c r="H17637" s="845" t="s">
        <v>1010</v>
      </c>
    </row>
    <row r="17638" spans="1:10" x14ac:dyDescent="0.2">
      <c r="A17638" s="859">
        <f t="shared" si="417"/>
        <v>17637</v>
      </c>
      <c r="B17638" s="845" t="s">
        <v>2565</v>
      </c>
      <c r="D17638" s="862"/>
      <c r="H17638" s="845" t="s">
        <v>1007</v>
      </c>
    </row>
    <row r="17639" spans="1:10" x14ac:dyDescent="0.2">
      <c r="A17639" s="859">
        <f t="shared" si="417"/>
        <v>17638</v>
      </c>
      <c r="B17639" s="845" t="s">
        <v>2565</v>
      </c>
      <c r="D17639" s="861"/>
      <c r="I17639" s="845" t="s">
        <v>1008</v>
      </c>
    </row>
    <row r="17640" spans="1:10" x14ac:dyDescent="0.2">
      <c r="A17640" s="859">
        <f t="shared" si="417"/>
        <v>17639</v>
      </c>
      <c r="B17640" s="845" t="s">
        <v>2565</v>
      </c>
      <c r="D17640" s="861"/>
      <c r="J17640" s="845" t="s">
        <v>2242</v>
      </c>
    </row>
    <row r="17641" spans="1:10" x14ac:dyDescent="0.2">
      <c r="A17641" s="859">
        <f t="shared" si="417"/>
        <v>17640</v>
      </c>
      <c r="B17641" s="845" t="s">
        <v>2565</v>
      </c>
      <c r="D17641" s="862"/>
      <c r="I17641" s="845" t="s">
        <v>1009</v>
      </c>
    </row>
    <row r="17642" spans="1:10" x14ac:dyDescent="0.2">
      <c r="A17642" s="859">
        <f t="shared" si="417"/>
        <v>17641</v>
      </c>
      <c r="B17642" s="845" t="s">
        <v>2565</v>
      </c>
      <c r="D17642" s="863"/>
      <c r="I17642" s="845" t="str">
        <f>CONCATENATE("&lt;valeur&gt;",Cellule_1141,"&lt;/valeur&gt;")</f>
        <v>&lt;valeur&gt;&lt;/valeur&gt;</v>
      </c>
    </row>
    <row r="17643" spans="1:10" x14ac:dyDescent="0.2">
      <c r="A17643" s="859">
        <f t="shared" si="417"/>
        <v>17642</v>
      </c>
      <c r="B17643" s="845" t="s">
        <v>2565</v>
      </c>
      <c r="D17643" s="862"/>
      <c r="H17643" s="845" t="s">
        <v>1010</v>
      </c>
    </row>
    <row r="17644" spans="1:10" x14ac:dyDescent="0.2">
      <c r="A17644" s="859">
        <f t="shared" si="417"/>
        <v>17643</v>
      </c>
      <c r="B17644" s="845" t="s">
        <v>2565</v>
      </c>
      <c r="D17644" s="862"/>
      <c r="H17644" s="845" t="s">
        <v>1007</v>
      </c>
    </row>
    <row r="17645" spans="1:10" x14ac:dyDescent="0.2">
      <c r="A17645" s="859">
        <f t="shared" si="417"/>
        <v>17644</v>
      </c>
      <c r="B17645" s="845" t="s">
        <v>2565</v>
      </c>
      <c r="D17645" s="861"/>
      <c r="I17645" s="845" t="s">
        <v>1008</v>
      </c>
    </row>
    <row r="17646" spans="1:10" x14ac:dyDescent="0.2">
      <c r="A17646" s="859">
        <f t="shared" si="417"/>
        <v>17645</v>
      </c>
      <c r="B17646" s="845" t="s">
        <v>2565</v>
      </c>
      <c r="D17646" s="861"/>
      <c r="J17646" s="845" t="s">
        <v>2243</v>
      </c>
    </row>
    <row r="17647" spans="1:10" x14ac:dyDescent="0.2">
      <c r="A17647" s="859">
        <f t="shared" si="417"/>
        <v>17646</v>
      </c>
      <c r="B17647" s="845" t="s">
        <v>2565</v>
      </c>
      <c r="D17647" s="862"/>
      <c r="I17647" s="845" t="s">
        <v>1009</v>
      </c>
    </row>
    <row r="17648" spans="1:10" x14ac:dyDescent="0.2">
      <c r="A17648" s="859">
        <f t="shared" si="417"/>
        <v>17647</v>
      </c>
      <c r="B17648" s="845" t="s">
        <v>2565</v>
      </c>
      <c r="D17648" s="863"/>
      <c r="I17648" s="845" t="str">
        <f>CONCATENATE("&lt;valeur&gt;",Cellule_1150,"&lt;/valeur&gt;")</f>
        <v>&lt;valeur&gt;&lt;/valeur&gt;</v>
      </c>
    </row>
    <row r="17649" spans="1:10" x14ac:dyDescent="0.2">
      <c r="A17649" s="859">
        <f t="shared" si="417"/>
        <v>17648</v>
      </c>
      <c r="B17649" s="845" t="s">
        <v>2565</v>
      </c>
      <c r="D17649" s="862"/>
      <c r="H17649" s="845" t="s">
        <v>1010</v>
      </c>
    </row>
    <row r="17650" spans="1:10" x14ac:dyDescent="0.2">
      <c r="A17650" s="859">
        <f t="shared" si="417"/>
        <v>17649</v>
      </c>
      <c r="B17650" s="845" t="s">
        <v>2565</v>
      </c>
      <c r="D17650" s="862"/>
      <c r="H17650" s="845" t="s">
        <v>1007</v>
      </c>
    </row>
    <row r="17651" spans="1:10" x14ac:dyDescent="0.2">
      <c r="A17651" s="859">
        <f t="shared" si="417"/>
        <v>17650</v>
      </c>
      <c r="B17651" s="845" t="s">
        <v>2565</v>
      </c>
      <c r="D17651" s="861"/>
      <c r="I17651" s="845" t="s">
        <v>1008</v>
      </c>
    </row>
    <row r="17652" spans="1:10" x14ac:dyDescent="0.2">
      <c r="A17652" s="859">
        <f t="shared" si="417"/>
        <v>17651</v>
      </c>
      <c r="B17652" s="845" t="s">
        <v>2565</v>
      </c>
      <c r="D17652" s="861"/>
      <c r="J17652" s="845" t="s">
        <v>2244</v>
      </c>
    </row>
    <row r="17653" spans="1:10" x14ac:dyDescent="0.2">
      <c r="A17653" s="859">
        <f t="shared" si="417"/>
        <v>17652</v>
      </c>
      <c r="B17653" s="845" t="s">
        <v>2565</v>
      </c>
      <c r="D17653" s="862"/>
      <c r="I17653" s="845" t="s">
        <v>1009</v>
      </c>
    </row>
    <row r="17654" spans="1:10" x14ac:dyDescent="0.2">
      <c r="A17654" s="859">
        <f t="shared" si="417"/>
        <v>17653</v>
      </c>
      <c r="B17654" s="845" t="s">
        <v>2565</v>
      </c>
      <c r="D17654" s="863"/>
      <c r="I17654" s="845" t="str">
        <f>CONCATENATE("&lt;valeur&gt;",Cellule_1159,"&lt;/valeur&gt;")</f>
        <v>&lt;valeur&gt;&lt;/valeur&gt;</v>
      </c>
    </row>
    <row r="17655" spans="1:10" x14ac:dyDescent="0.2">
      <c r="A17655" s="859">
        <f t="shared" si="417"/>
        <v>17654</v>
      </c>
      <c r="B17655" s="845" t="s">
        <v>2565</v>
      </c>
      <c r="D17655" s="862"/>
      <c r="H17655" s="845" t="s">
        <v>1010</v>
      </c>
    </row>
    <row r="17656" spans="1:10" x14ac:dyDescent="0.2">
      <c r="A17656" s="859">
        <f t="shared" si="417"/>
        <v>17655</v>
      </c>
      <c r="B17656" s="845" t="s">
        <v>2565</v>
      </c>
      <c r="D17656" s="862"/>
      <c r="H17656" s="845" t="s">
        <v>1007</v>
      </c>
    </row>
    <row r="17657" spans="1:10" x14ac:dyDescent="0.2">
      <c r="A17657" s="859">
        <f t="shared" si="417"/>
        <v>17656</v>
      </c>
      <c r="B17657" s="845" t="s">
        <v>2565</v>
      </c>
      <c r="D17657" s="861"/>
      <c r="I17657" s="845" t="s">
        <v>1008</v>
      </c>
    </row>
    <row r="17658" spans="1:10" x14ac:dyDescent="0.2">
      <c r="A17658" s="859">
        <f t="shared" si="417"/>
        <v>17657</v>
      </c>
      <c r="B17658" s="845" t="s">
        <v>2565</v>
      </c>
      <c r="D17658" s="861"/>
      <c r="J17658" s="845" t="s">
        <v>2245</v>
      </c>
    </row>
    <row r="17659" spans="1:10" x14ac:dyDescent="0.2">
      <c r="A17659" s="859">
        <f t="shared" si="417"/>
        <v>17658</v>
      </c>
      <c r="B17659" s="845" t="s">
        <v>2565</v>
      </c>
      <c r="D17659" s="862"/>
      <c r="I17659" s="845" t="s">
        <v>1009</v>
      </c>
    </row>
    <row r="17660" spans="1:10" x14ac:dyDescent="0.2">
      <c r="A17660" s="859">
        <f t="shared" si="417"/>
        <v>17659</v>
      </c>
      <c r="B17660" s="845" t="s">
        <v>2565</v>
      </c>
      <c r="D17660" s="863"/>
      <c r="I17660" s="845" t="str">
        <f>CONCATENATE("&lt;valeur&gt;",Cellule_1168,"&lt;/valeur&gt;")</f>
        <v>&lt;valeur&gt;&lt;/valeur&gt;</v>
      </c>
    </row>
    <row r="17661" spans="1:10" x14ac:dyDescent="0.2">
      <c r="A17661" s="859">
        <f t="shared" si="417"/>
        <v>17660</v>
      </c>
      <c r="B17661" s="845" t="s">
        <v>2565</v>
      </c>
      <c r="D17661" s="862"/>
      <c r="H17661" s="845" t="s">
        <v>1010</v>
      </c>
    </row>
    <row r="17662" spans="1:10" x14ac:dyDescent="0.2">
      <c r="A17662" s="859">
        <f t="shared" si="417"/>
        <v>17661</v>
      </c>
      <c r="B17662" s="845" t="s">
        <v>2565</v>
      </c>
      <c r="D17662" s="862"/>
      <c r="H17662" s="845" t="s">
        <v>1007</v>
      </c>
    </row>
    <row r="17663" spans="1:10" x14ac:dyDescent="0.2">
      <c r="A17663" s="859">
        <f t="shared" si="417"/>
        <v>17662</v>
      </c>
      <c r="B17663" s="845" t="s">
        <v>2565</v>
      </c>
      <c r="D17663" s="861"/>
      <c r="I17663" s="845" t="s">
        <v>1008</v>
      </c>
    </row>
    <row r="17664" spans="1:10" x14ac:dyDescent="0.2">
      <c r="A17664" s="859">
        <f t="shared" si="417"/>
        <v>17663</v>
      </c>
      <c r="B17664" s="845" t="s">
        <v>2565</v>
      </c>
      <c r="D17664" s="861"/>
      <c r="J17664" s="845" t="s">
        <v>2246</v>
      </c>
    </row>
    <row r="17665" spans="1:10" x14ac:dyDescent="0.2">
      <c r="A17665" s="859">
        <f t="shared" si="417"/>
        <v>17664</v>
      </c>
      <c r="B17665" s="845" t="s">
        <v>2565</v>
      </c>
      <c r="D17665" s="862"/>
      <c r="I17665" s="845" t="s">
        <v>1009</v>
      </c>
    </row>
    <row r="17666" spans="1:10" x14ac:dyDescent="0.2">
      <c r="A17666" s="859">
        <f t="shared" si="417"/>
        <v>17665</v>
      </c>
      <c r="B17666" s="845" t="s">
        <v>2565</v>
      </c>
      <c r="D17666" s="863"/>
      <c r="I17666" s="845" t="str">
        <f>CONCATENATE("&lt;valeur&gt;",Cellule_1177,"&lt;/valeur&gt;")</f>
        <v>&lt;valeur&gt;&lt;/valeur&gt;</v>
      </c>
    </row>
    <row r="17667" spans="1:10" x14ac:dyDescent="0.2">
      <c r="A17667" s="859">
        <f t="shared" si="417"/>
        <v>17666</v>
      </c>
      <c r="B17667" s="845" t="s">
        <v>2565</v>
      </c>
      <c r="D17667" s="862"/>
      <c r="H17667" s="845" t="s">
        <v>1010</v>
      </c>
    </row>
    <row r="17668" spans="1:10" x14ac:dyDescent="0.2">
      <c r="A17668" s="859">
        <f t="shared" ref="A17668:A17731" si="418">+A17667+1</f>
        <v>17667</v>
      </c>
      <c r="B17668" s="845" t="s">
        <v>2565</v>
      </c>
      <c r="D17668" s="862"/>
      <c r="H17668" s="845" t="s">
        <v>1007</v>
      </c>
    </row>
    <row r="17669" spans="1:10" x14ac:dyDescent="0.2">
      <c r="A17669" s="859">
        <f t="shared" si="418"/>
        <v>17668</v>
      </c>
      <c r="B17669" s="845" t="s">
        <v>2565</v>
      </c>
      <c r="D17669" s="861"/>
      <c r="I17669" s="845" t="s">
        <v>1008</v>
      </c>
    </row>
    <row r="17670" spans="1:10" x14ac:dyDescent="0.2">
      <c r="A17670" s="859">
        <f t="shared" si="418"/>
        <v>17669</v>
      </c>
      <c r="B17670" s="845" t="s">
        <v>2565</v>
      </c>
      <c r="D17670" s="861"/>
      <c r="J17670" s="845" t="s">
        <v>2247</v>
      </c>
    </row>
    <row r="17671" spans="1:10" x14ac:dyDescent="0.2">
      <c r="A17671" s="859">
        <f t="shared" si="418"/>
        <v>17670</v>
      </c>
      <c r="B17671" s="845" t="s">
        <v>2565</v>
      </c>
      <c r="D17671" s="862"/>
      <c r="I17671" s="845" t="s">
        <v>1009</v>
      </c>
    </row>
    <row r="17672" spans="1:10" x14ac:dyDescent="0.2">
      <c r="A17672" s="859">
        <f t="shared" si="418"/>
        <v>17671</v>
      </c>
      <c r="B17672" s="845" t="s">
        <v>2565</v>
      </c>
      <c r="D17672" s="863"/>
      <c r="I17672" s="845" t="str">
        <f>CONCATENATE("&lt;valeur&gt;",Cellule_1186,"&lt;/valeur&gt;")</f>
        <v>&lt;valeur&gt;&lt;/valeur&gt;</v>
      </c>
    </row>
    <row r="17673" spans="1:10" x14ac:dyDescent="0.2">
      <c r="A17673" s="859">
        <f t="shared" si="418"/>
        <v>17672</v>
      </c>
      <c r="B17673" s="845" t="s">
        <v>2565</v>
      </c>
      <c r="D17673" s="862"/>
      <c r="H17673" s="845" t="s">
        <v>1010</v>
      </c>
    </row>
    <row r="17674" spans="1:10" x14ac:dyDescent="0.2">
      <c r="A17674" s="859">
        <f t="shared" si="418"/>
        <v>17673</v>
      </c>
      <c r="B17674" s="845" t="s">
        <v>2565</v>
      </c>
      <c r="D17674" s="862"/>
      <c r="H17674" s="845" t="s">
        <v>1007</v>
      </c>
    </row>
    <row r="17675" spans="1:10" x14ac:dyDescent="0.2">
      <c r="A17675" s="859">
        <f t="shared" si="418"/>
        <v>17674</v>
      </c>
      <c r="B17675" s="845" t="s">
        <v>2565</v>
      </c>
      <c r="D17675" s="861"/>
      <c r="I17675" s="845" t="s">
        <v>1008</v>
      </c>
    </row>
    <row r="17676" spans="1:10" x14ac:dyDescent="0.2">
      <c r="A17676" s="859">
        <f t="shared" si="418"/>
        <v>17675</v>
      </c>
      <c r="B17676" s="845" t="s">
        <v>2565</v>
      </c>
      <c r="D17676" s="861"/>
      <c r="J17676" s="845" t="s">
        <v>2248</v>
      </c>
    </row>
    <row r="17677" spans="1:10" x14ac:dyDescent="0.2">
      <c r="A17677" s="859">
        <f t="shared" si="418"/>
        <v>17676</v>
      </c>
      <c r="B17677" s="845" t="s">
        <v>2565</v>
      </c>
      <c r="D17677" s="862"/>
      <c r="I17677" s="845" t="s">
        <v>1009</v>
      </c>
    </row>
    <row r="17678" spans="1:10" x14ac:dyDescent="0.2">
      <c r="A17678" s="859">
        <f t="shared" si="418"/>
        <v>17677</v>
      </c>
      <c r="B17678" s="845" t="s">
        <v>2565</v>
      </c>
      <c r="D17678" s="863"/>
      <c r="I17678" s="845" t="str">
        <f>CONCATENATE("&lt;valeur&gt;",Cellule_1195,"&lt;/valeur&gt;")</f>
        <v>&lt;valeur&gt;&lt;/valeur&gt;</v>
      </c>
    </row>
    <row r="17679" spans="1:10" x14ac:dyDescent="0.2">
      <c r="A17679" s="859">
        <f t="shared" si="418"/>
        <v>17678</v>
      </c>
      <c r="B17679" s="845" t="s">
        <v>2565</v>
      </c>
      <c r="D17679" s="862"/>
      <c r="H17679" s="845" t="s">
        <v>1010</v>
      </c>
    </row>
    <row r="17680" spans="1:10" x14ac:dyDescent="0.2">
      <c r="A17680" s="859">
        <f t="shared" si="418"/>
        <v>17679</v>
      </c>
      <c r="B17680" s="845" t="s">
        <v>2565</v>
      </c>
      <c r="D17680" s="862"/>
      <c r="H17680" s="845" t="s">
        <v>1007</v>
      </c>
    </row>
    <row r="17681" spans="1:10" x14ac:dyDescent="0.2">
      <c r="A17681" s="859">
        <f t="shared" si="418"/>
        <v>17680</v>
      </c>
      <c r="B17681" s="845" t="s">
        <v>2565</v>
      </c>
      <c r="D17681" s="861"/>
      <c r="I17681" s="845" t="s">
        <v>1008</v>
      </c>
    </row>
    <row r="17682" spans="1:10" x14ac:dyDescent="0.2">
      <c r="A17682" s="859">
        <f t="shared" si="418"/>
        <v>17681</v>
      </c>
      <c r="B17682" s="845" t="s">
        <v>2565</v>
      </c>
      <c r="D17682" s="861"/>
      <c r="J17682" s="845" t="s">
        <v>2249</v>
      </c>
    </row>
    <row r="17683" spans="1:10" x14ac:dyDescent="0.2">
      <c r="A17683" s="859">
        <f t="shared" si="418"/>
        <v>17682</v>
      </c>
      <c r="B17683" s="845" t="s">
        <v>2565</v>
      </c>
      <c r="D17683" s="862"/>
      <c r="I17683" s="845" t="s">
        <v>1009</v>
      </c>
    </row>
    <row r="17684" spans="1:10" x14ac:dyDescent="0.2">
      <c r="A17684" s="859">
        <f t="shared" si="418"/>
        <v>17683</v>
      </c>
      <c r="B17684" s="845" t="s">
        <v>2565</v>
      </c>
      <c r="D17684" s="863"/>
      <c r="I17684" s="845" t="str">
        <f>CONCATENATE("&lt;valeur&gt;",Cellule_1204,"&lt;/valeur&gt;")</f>
        <v>&lt;valeur&gt;0&lt;/valeur&gt;</v>
      </c>
    </row>
    <row r="17685" spans="1:10" x14ac:dyDescent="0.2">
      <c r="A17685" s="859">
        <f t="shared" si="418"/>
        <v>17684</v>
      </c>
      <c r="B17685" s="845" t="s">
        <v>2565</v>
      </c>
      <c r="D17685" s="862"/>
      <c r="H17685" s="845" t="s">
        <v>1010</v>
      </c>
    </row>
    <row r="17686" spans="1:10" x14ac:dyDescent="0.2">
      <c r="A17686" s="859">
        <f t="shared" si="418"/>
        <v>17685</v>
      </c>
      <c r="B17686" s="845" t="s">
        <v>2565</v>
      </c>
      <c r="D17686" s="862"/>
      <c r="H17686" s="845" t="s">
        <v>1007</v>
      </c>
    </row>
    <row r="17687" spans="1:10" x14ac:dyDescent="0.2">
      <c r="A17687" s="859">
        <f t="shared" si="418"/>
        <v>17686</v>
      </c>
      <c r="B17687" s="845" t="s">
        <v>2565</v>
      </c>
      <c r="D17687" s="861"/>
      <c r="I17687" s="845" t="s">
        <v>1008</v>
      </c>
    </row>
    <row r="17688" spans="1:10" x14ac:dyDescent="0.2">
      <c r="A17688" s="859">
        <f t="shared" si="418"/>
        <v>17687</v>
      </c>
      <c r="B17688" s="845" t="s">
        <v>2565</v>
      </c>
      <c r="D17688" s="861"/>
      <c r="J17688" s="845" t="s">
        <v>2250</v>
      </c>
    </row>
    <row r="17689" spans="1:10" x14ac:dyDescent="0.2">
      <c r="A17689" s="859">
        <f t="shared" si="418"/>
        <v>17688</v>
      </c>
      <c r="B17689" s="845" t="s">
        <v>2565</v>
      </c>
      <c r="D17689" s="862"/>
      <c r="I17689" s="845" t="s">
        <v>1009</v>
      </c>
    </row>
    <row r="17690" spans="1:10" x14ac:dyDescent="0.2">
      <c r="A17690" s="859">
        <f t="shared" si="418"/>
        <v>17689</v>
      </c>
      <c r="B17690" s="845" t="s">
        <v>2565</v>
      </c>
      <c r="D17690" s="863"/>
      <c r="I17690" s="845" t="str">
        <f>CONCATENATE("&lt;valeur&gt;",Cellule_1115,"&lt;/valeur&gt;")</f>
        <v>&lt;valeur&gt;&lt;/valeur&gt;</v>
      </c>
    </row>
    <row r="17691" spans="1:10" x14ac:dyDescent="0.2">
      <c r="A17691" s="859">
        <f t="shared" si="418"/>
        <v>17690</v>
      </c>
      <c r="B17691" s="845" t="s">
        <v>2565</v>
      </c>
      <c r="D17691" s="862"/>
      <c r="H17691" s="845" t="s">
        <v>1010</v>
      </c>
    </row>
    <row r="17692" spans="1:10" x14ac:dyDescent="0.2">
      <c r="A17692" s="859">
        <f t="shared" si="418"/>
        <v>17691</v>
      </c>
      <c r="B17692" s="845" t="s">
        <v>2565</v>
      </c>
      <c r="D17692" s="862"/>
      <c r="H17692" s="845" t="s">
        <v>1007</v>
      </c>
    </row>
    <row r="17693" spans="1:10" x14ac:dyDescent="0.2">
      <c r="A17693" s="859">
        <f t="shared" si="418"/>
        <v>17692</v>
      </c>
      <c r="B17693" s="845" t="s">
        <v>2565</v>
      </c>
      <c r="D17693" s="861"/>
      <c r="I17693" s="845" t="s">
        <v>1008</v>
      </c>
    </row>
    <row r="17694" spans="1:10" x14ac:dyDescent="0.2">
      <c r="A17694" s="859">
        <f t="shared" si="418"/>
        <v>17693</v>
      </c>
      <c r="B17694" s="845" t="s">
        <v>2565</v>
      </c>
      <c r="D17694" s="861"/>
      <c r="J17694" s="845" t="s">
        <v>2251</v>
      </c>
    </row>
    <row r="17695" spans="1:10" x14ac:dyDescent="0.2">
      <c r="A17695" s="859">
        <f t="shared" si="418"/>
        <v>17694</v>
      </c>
      <c r="B17695" s="845" t="s">
        <v>2565</v>
      </c>
      <c r="D17695" s="862"/>
      <c r="I17695" s="845" t="s">
        <v>1009</v>
      </c>
    </row>
    <row r="17696" spans="1:10" x14ac:dyDescent="0.2">
      <c r="A17696" s="859">
        <f t="shared" si="418"/>
        <v>17695</v>
      </c>
      <c r="B17696" s="845" t="s">
        <v>2565</v>
      </c>
      <c r="D17696" s="863"/>
      <c r="I17696" s="845" t="str">
        <f>CONCATENATE("&lt;valeur&gt;",Cellule_1124,"&lt;/valeur&gt;")</f>
        <v>&lt;valeur&gt;&lt;/valeur&gt;</v>
      </c>
    </row>
    <row r="17697" spans="1:10" x14ac:dyDescent="0.2">
      <c r="A17697" s="859">
        <f t="shared" si="418"/>
        <v>17696</v>
      </c>
      <c r="B17697" s="845" t="s">
        <v>2565</v>
      </c>
      <c r="D17697" s="862"/>
      <c r="H17697" s="845" t="s">
        <v>1010</v>
      </c>
    </row>
    <row r="17698" spans="1:10" x14ac:dyDescent="0.2">
      <c r="A17698" s="859">
        <f t="shared" si="418"/>
        <v>17697</v>
      </c>
      <c r="B17698" s="845" t="s">
        <v>2565</v>
      </c>
      <c r="D17698" s="862"/>
      <c r="H17698" s="845" t="s">
        <v>1007</v>
      </c>
    </row>
    <row r="17699" spans="1:10" x14ac:dyDescent="0.2">
      <c r="A17699" s="859">
        <f t="shared" si="418"/>
        <v>17698</v>
      </c>
      <c r="B17699" s="845" t="s">
        <v>2565</v>
      </c>
      <c r="D17699" s="861"/>
      <c r="I17699" s="845" t="s">
        <v>1008</v>
      </c>
    </row>
    <row r="17700" spans="1:10" x14ac:dyDescent="0.2">
      <c r="A17700" s="859">
        <f t="shared" si="418"/>
        <v>17699</v>
      </c>
      <c r="B17700" s="845" t="s">
        <v>2565</v>
      </c>
      <c r="D17700" s="861"/>
      <c r="J17700" s="845" t="s">
        <v>2252</v>
      </c>
    </row>
    <row r="17701" spans="1:10" x14ac:dyDescent="0.2">
      <c r="A17701" s="859">
        <f t="shared" si="418"/>
        <v>17700</v>
      </c>
      <c r="B17701" s="845" t="s">
        <v>2565</v>
      </c>
      <c r="D17701" s="862"/>
      <c r="I17701" s="845" t="s">
        <v>1009</v>
      </c>
    </row>
    <row r="17702" spans="1:10" x14ac:dyDescent="0.2">
      <c r="A17702" s="859">
        <f t="shared" si="418"/>
        <v>17701</v>
      </c>
      <c r="B17702" s="845" t="s">
        <v>2565</v>
      </c>
      <c r="D17702" s="863"/>
      <c r="I17702" s="845" t="str">
        <f>CONCATENATE("&lt;valeur&gt;",Cellule_1133,"&lt;/valeur&gt;")</f>
        <v>&lt;valeur&gt;&lt;/valeur&gt;</v>
      </c>
    </row>
    <row r="17703" spans="1:10" x14ac:dyDescent="0.2">
      <c r="A17703" s="859">
        <f t="shared" si="418"/>
        <v>17702</v>
      </c>
      <c r="B17703" s="845" t="s">
        <v>2565</v>
      </c>
      <c r="D17703" s="862"/>
      <c r="H17703" s="845" t="s">
        <v>1010</v>
      </c>
    </row>
    <row r="17704" spans="1:10" x14ac:dyDescent="0.2">
      <c r="A17704" s="859">
        <f t="shared" si="418"/>
        <v>17703</v>
      </c>
      <c r="B17704" s="845" t="s">
        <v>2565</v>
      </c>
      <c r="D17704" s="862"/>
      <c r="H17704" s="845" t="s">
        <v>1007</v>
      </c>
    </row>
    <row r="17705" spans="1:10" x14ac:dyDescent="0.2">
      <c r="A17705" s="859">
        <f t="shared" si="418"/>
        <v>17704</v>
      </c>
      <c r="B17705" s="845" t="s">
        <v>2565</v>
      </c>
      <c r="D17705" s="861"/>
      <c r="I17705" s="845" t="s">
        <v>1008</v>
      </c>
    </row>
    <row r="17706" spans="1:10" x14ac:dyDescent="0.2">
      <c r="A17706" s="859">
        <f t="shared" si="418"/>
        <v>17705</v>
      </c>
      <c r="B17706" s="845" t="s">
        <v>2565</v>
      </c>
      <c r="D17706" s="861"/>
      <c r="J17706" s="845" t="s">
        <v>2253</v>
      </c>
    </row>
    <row r="17707" spans="1:10" x14ac:dyDescent="0.2">
      <c r="A17707" s="859">
        <f t="shared" si="418"/>
        <v>17706</v>
      </c>
      <c r="B17707" s="845" t="s">
        <v>2565</v>
      </c>
      <c r="D17707" s="862"/>
      <c r="I17707" s="845" t="s">
        <v>1009</v>
      </c>
    </row>
    <row r="17708" spans="1:10" x14ac:dyDescent="0.2">
      <c r="A17708" s="859">
        <f t="shared" si="418"/>
        <v>17707</v>
      </c>
      <c r="B17708" s="845" t="s">
        <v>2565</v>
      </c>
      <c r="D17708" s="863"/>
      <c r="I17708" s="845" t="str">
        <f>CONCATENATE("&lt;valeur&gt;",Cellule_1142,"&lt;/valeur&gt;")</f>
        <v>&lt;valeur&gt;&lt;/valeur&gt;</v>
      </c>
    </row>
    <row r="17709" spans="1:10" x14ac:dyDescent="0.2">
      <c r="A17709" s="859">
        <f t="shared" si="418"/>
        <v>17708</v>
      </c>
      <c r="B17709" s="845" t="s">
        <v>2565</v>
      </c>
      <c r="D17709" s="862"/>
      <c r="H17709" s="845" t="s">
        <v>1010</v>
      </c>
    </row>
    <row r="17710" spans="1:10" x14ac:dyDescent="0.2">
      <c r="A17710" s="859">
        <f t="shared" si="418"/>
        <v>17709</v>
      </c>
      <c r="B17710" s="845" t="s">
        <v>2565</v>
      </c>
      <c r="D17710" s="862"/>
      <c r="H17710" s="845" t="s">
        <v>1007</v>
      </c>
    </row>
    <row r="17711" spans="1:10" x14ac:dyDescent="0.2">
      <c r="A17711" s="859">
        <f t="shared" si="418"/>
        <v>17710</v>
      </c>
      <c r="B17711" s="845" t="s">
        <v>2565</v>
      </c>
      <c r="D17711" s="861"/>
      <c r="I17711" s="845" t="s">
        <v>1008</v>
      </c>
    </row>
    <row r="17712" spans="1:10" x14ac:dyDescent="0.2">
      <c r="A17712" s="859">
        <f t="shared" si="418"/>
        <v>17711</v>
      </c>
      <c r="B17712" s="845" t="s">
        <v>2565</v>
      </c>
      <c r="D17712" s="861"/>
      <c r="J17712" s="845" t="s">
        <v>2254</v>
      </c>
    </row>
    <row r="17713" spans="1:10" x14ac:dyDescent="0.2">
      <c r="A17713" s="859">
        <f t="shared" si="418"/>
        <v>17712</v>
      </c>
      <c r="B17713" s="845" t="s">
        <v>2565</v>
      </c>
      <c r="D17713" s="862"/>
      <c r="I17713" s="845" t="s">
        <v>1009</v>
      </c>
    </row>
    <row r="17714" spans="1:10" x14ac:dyDescent="0.2">
      <c r="A17714" s="859">
        <f t="shared" si="418"/>
        <v>17713</v>
      </c>
      <c r="B17714" s="845" t="s">
        <v>2565</v>
      </c>
      <c r="D17714" s="863"/>
      <c r="I17714" s="845" t="str">
        <f>CONCATENATE("&lt;valeur&gt;",Cellule_1151,"&lt;/valeur&gt;")</f>
        <v>&lt;valeur&gt;&lt;/valeur&gt;</v>
      </c>
    </row>
    <row r="17715" spans="1:10" x14ac:dyDescent="0.2">
      <c r="A17715" s="859">
        <f t="shared" si="418"/>
        <v>17714</v>
      </c>
      <c r="B17715" s="845" t="s">
        <v>2565</v>
      </c>
      <c r="D17715" s="862"/>
      <c r="H17715" s="845" t="s">
        <v>1010</v>
      </c>
    </row>
    <row r="17716" spans="1:10" x14ac:dyDescent="0.2">
      <c r="A17716" s="859">
        <f t="shared" si="418"/>
        <v>17715</v>
      </c>
      <c r="B17716" s="845" t="s">
        <v>2565</v>
      </c>
      <c r="D17716" s="862"/>
      <c r="H17716" s="845" t="s">
        <v>1007</v>
      </c>
    </row>
    <row r="17717" spans="1:10" x14ac:dyDescent="0.2">
      <c r="A17717" s="859">
        <f t="shared" si="418"/>
        <v>17716</v>
      </c>
      <c r="B17717" s="845" t="s">
        <v>2565</v>
      </c>
      <c r="D17717" s="861"/>
      <c r="I17717" s="845" t="s">
        <v>1008</v>
      </c>
    </row>
    <row r="17718" spans="1:10" x14ac:dyDescent="0.2">
      <c r="A17718" s="859">
        <f t="shared" si="418"/>
        <v>17717</v>
      </c>
      <c r="B17718" s="845" t="s">
        <v>2565</v>
      </c>
      <c r="D17718" s="861"/>
      <c r="J17718" s="845" t="s">
        <v>2255</v>
      </c>
    </row>
    <row r="17719" spans="1:10" x14ac:dyDescent="0.2">
      <c r="A17719" s="859">
        <f t="shared" si="418"/>
        <v>17718</v>
      </c>
      <c r="B17719" s="845" t="s">
        <v>2565</v>
      </c>
      <c r="D17719" s="862"/>
      <c r="I17719" s="845" t="s">
        <v>1009</v>
      </c>
    </row>
    <row r="17720" spans="1:10" x14ac:dyDescent="0.2">
      <c r="A17720" s="859">
        <f t="shared" si="418"/>
        <v>17719</v>
      </c>
      <c r="B17720" s="845" t="s">
        <v>2565</v>
      </c>
      <c r="D17720" s="863"/>
      <c r="I17720" s="845" t="str">
        <f>CONCATENATE("&lt;valeur&gt;",Cellule_1160,"&lt;/valeur&gt;")</f>
        <v>&lt;valeur&gt;&lt;/valeur&gt;</v>
      </c>
    </row>
    <row r="17721" spans="1:10" x14ac:dyDescent="0.2">
      <c r="A17721" s="859">
        <f t="shared" si="418"/>
        <v>17720</v>
      </c>
      <c r="B17721" s="845" t="s">
        <v>2565</v>
      </c>
      <c r="D17721" s="862"/>
      <c r="H17721" s="845" t="s">
        <v>1010</v>
      </c>
    </row>
    <row r="17722" spans="1:10" x14ac:dyDescent="0.2">
      <c r="A17722" s="859">
        <f t="shared" si="418"/>
        <v>17721</v>
      </c>
      <c r="B17722" s="845" t="s">
        <v>2565</v>
      </c>
      <c r="D17722" s="862"/>
      <c r="H17722" s="845" t="s">
        <v>1007</v>
      </c>
    </row>
    <row r="17723" spans="1:10" x14ac:dyDescent="0.2">
      <c r="A17723" s="859">
        <f t="shared" si="418"/>
        <v>17722</v>
      </c>
      <c r="B17723" s="845" t="s">
        <v>2565</v>
      </c>
      <c r="D17723" s="861"/>
      <c r="I17723" s="845" t="s">
        <v>1008</v>
      </c>
    </row>
    <row r="17724" spans="1:10" x14ac:dyDescent="0.2">
      <c r="A17724" s="859">
        <f t="shared" si="418"/>
        <v>17723</v>
      </c>
      <c r="B17724" s="845" t="s">
        <v>2565</v>
      </c>
      <c r="D17724" s="861"/>
      <c r="J17724" s="845" t="s">
        <v>2256</v>
      </c>
    </row>
    <row r="17725" spans="1:10" x14ac:dyDescent="0.2">
      <c r="A17725" s="859">
        <f t="shared" si="418"/>
        <v>17724</v>
      </c>
      <c r="B17725" s="845" t="s">
        <v>2565</v>
      </c>
      <c r="D17725" s="862"/>
      <c r="I17725" s="845" t="s">
        <v>1009</v>
      </c>
    </row>
    <row r="17726" spans="1:10" x14ac:dyDescent="0.2">
      <c r="A17726" s="859">
        <f t="shared" si="418"/>
        <v>17725</v>
      </c>
      <c r="B17726" s="845" t="s">
        <v>2565</v>
      </c>
      <c r="D17726" s="863"/>
      <c r="I17726" s="845" t="str">
        <f>CONCATENATE("&lt;valeur&gt;",Cellule_1169,"&lt;/valeur&gt;")</f>
        <v>&lt;valeur&gt;&lt;/valeur&gt;</v>
      </c>
    </row>
    <row r="17727" spans="1:10" x14ac:dyDescent="0.2">
      <c r="A17727" s="859">
        <f t="shared" si="418"/>
        <v>17726</v>
      </c>
      <c r="B17727" s="845" t="s">
        <v>2565</v>
      </c>
      <c r="D17727" s="862"/>
      <c r="H17727" s="845" t="s">
        <v>1010</v>
      </c>
    </row>
    <row r="17728" spans="1:10" x14ac:dyDescent="0.2">
      <c r="A17728" s="859">
        <f t="shared" si="418"/>
        <v>17727</v>
      </c>
      <c r="B17728" s="845" t="s">
        <v>2565</v>
      </c>
      <c r="D17728" s="862"/>
      <c r="H17728" s="845" t="s">
        <v>1007</v>
      </c>
    </row>
    <row r="17729" spans="1:10" x14ac:dyDescent="0.2">
      <c r="A17729" s="859">
        <f t="shared" si="418"/>
        <v>17728</v>
      </c>
      <c r="B17729" s="845" t="s">
        <v>2565</v>
      </c>
      <c r="D17729" s="861"/>
      <c r="I17729" s="845" t="s">
        <v>1008</v>
      </c>
    </row>
    <row r="17730" spans="1:10" x14ac:dyDescent="0.2">
      <c r="A17730" s="859">
        <f t="shared" si="418"/>
        <v>17729</v>
      </c>
      <c r="B17730" s="845" t="s">
        <v>2565</v>
      </c>
      <c r="D17730" s="861"/>
      <c r="J17730" s="845" t="s">
        <v>2257</v>
      </c>
    </row>
    <row r="17731" spans="1:10" x14ac:dyDescent="0.2">
      <c r="A17731" s="859">
        <f t="shared" si="418"/>
        <v>17730</v>
      </c>
      <c r="B17731" s="845" t="s">
        <v>2565</v>
      </c>
      <c r="D17731" s="862"/>
      <c r="I17731" s="845" t="s">
        <v>1009</v>
      </c>
    </row>
    <row r="17732" spans="1:10" x14ac:dyDescent="0.2">
      <c r="A17732" s="859">
        <f t="shared" ref="A17732:A17795" si="419">+A17731+1</f>
        <v>17731</v>
      </c>
      <c r="B17732" s="845" t="s">
        <v>2565</v>
      </c>
      <c r="D17732" s="863"/>
      <c r="I17732" s="845" t="str">
        <f>CONCATENATE("&lt;valeur&gt;",Cellule_1178,"&lt;/valeur&gt;")</f>
        <v>&lt;valeur&gt;&lt;/valeur&gt;</v>
      </c>
    </row>
    <row r="17733" spans="1:10" x14ac:dyDescent="0.2">
      <c r="A17733" s="859">
        <f t="shared" si="419"/>
        <v>17732</v>
      </c>
      <c r="B17733" s="845" t="s">
        <v>2565</v>
      </c>
      <c r="D17733" s="862"/>
      <c r="H17733" s="845" t="s">
        <v>1010</v>
      </c>
    </row>
    <row r="17734" spans="1:10" x14ac:dyDescent="0.2">
      <c r="A17734" s="859">
        <f t="shared" si="419"/>
        <v>17733</v>
      </c>
      <c r="B17734" s="845" t="s">
        <v>2565</v>
      </c>
      <c r="D17734" s="862"/>
      <c r="H17734" s="845" t="s">
        <v>1007</v>
      </c>
    </row>
    <row r="17735" spans="1:10" x14ac:dyDescent="0.2">
      <c r="A17735" s="859">
        <f t="shared" si="419"/>
        <v>17734</v>
      </c>
      <c r="B17735" s="845" t="s">
        <v>2565</v>
      </c>
      <c r="D17735" s="861"/>
      <c r="I17735" s="845" t="s">
        <v>1008</v>
      </c>
    </row>
    <row r="17736" spans="1:10" x14ac:dyDescent="0.2">
      <c r="A17736" s="859">
        <f t="shared" si="419"/>
        <v>17735</v>
      </c>
      <c r="B17736" s="845" t="s">
        <v>2565</v>
      </c>
      <c r="D17736" s="861"/>
      <c r="J17736" s="845" t="s">
        <v>2258</v>
      </c>
    </row>
    <row r="17737" spans="1:10" x14ac:dyDescent="0.2">
      <c r="A17737" s="859">
        <f t="shared" si="419"/>
        <v>17736</v>
      </c>
      <c r="B17737" s="845" t="s">
        <v>2565</v>
      </c>
      <c r="D17737" s="862"/>
      <c r="I17737" s="845" t="s">
        <v>1009</v>
      </c>
    </row>
    <row r="17738" spans="1:10" x14ac:dyDescent="0.2">
      <c r="A17738" s="859">
        <f t="shared" si="419"/>
        <v>17737</v>
      </c>
      <c r="B17738" s="845" t="s">
        <v>2565</v>
      </c>
      <c r="D17738" s="863"/>
      <c r="I17738" s="845" t="str">
        <f>CONCATENATE("&lt;valeur&gt;",Cellule_1187,"&lt;/valeur&gt;")</f>
        <v>&lt;valeur&gt;&lt;/valeur&gt;</v>
      </c>
    </row>
    <row r="17739" spans="1:10" x14ac:dyDescent="0.2">
      <c r="A17739" s="859">
        <f t="shared" si="419"/>
        <v>17738</v>
      </c>
      <c r="B17739" s="845" t="s">
        <v>2565</v>
      </c>
      <c r="D17739" s="862"/>
      <c r="H17739" s="845" t="s">
        <v>1010</v>
      </c>
    </row>
    <row r="17740" spans="1:10" x14ac:dyDescent="0.2">
      <c r="A17740" s="859">
        <f t="shared" si="419"/>
        <v>17739</v>
      </c>
      <c r="B17740" s="845" t="s">
        <v>2565</v>
      </c>
      <c r="D17740" s="862"/>
      <c r="H17740" s="845" t="s">
        <v>1007</v>
      </c>
    </row>
    <row r="17741" spans="1:10" x14ac:dyDescent="0.2">
      <c r="A17741" s="859">
        <f t="shared" si="419"/>
        <v>17740</v>
      </c>
      <c r="B17741" s="845" t="s">
        <v>2565</v>
      </c>
      <c r="D17741" s="861"/>
      <c r="I17741" s="845" t="s">
        <v>1008</v>
      </c>
    </row>
    <row r="17742" spans="1:10" x14ac:dyDescent="0.2">
      <c r="A17742" s="859">
        <f t="shared" si="419"/>
        <v>17741</v>
      </c>
      <c r="B17742" s="845" t="s">
        <v>2565</v>
      </c>
      <c r="D17742" s="861"/>
      <c r="J17742" s="845" t="s">
        <v>2259</v>
      </c>
    </row>
    <row r="17743" spans="1:10" x14ac:dyDescent="0.2">
      <c r="A17743" s="859">
        <f t="shared" si="419"/>
        <v>17742</v>
      </c>
      <c r="B17743" s="845" t="s">
        <v>2565</v>
      </c>
      <c r="D17743" s="862"/>
      <c r="I17743" s="845" t="s">
        <v>1009</v>
      </c>
    </row>
    <row r="17744" spans="1:10" x14ac:dyDescent="0.2">
      <c r="A17744" s="859">
        <f t="shared" si="419"/>
        <v>17743</v>
      </c>
      <c r="B17744" s="845" t="s">
        <v>2565</v>
      </c>
      <c r="D17744" s="863"/>
      <c r="I17744" s="845" t="str">
        <f>CONCATENATE("&lt;valeur&gt;",Cellule_1196,"&lt;/valeur&gt;")</f>
        <v>&lt;valeur&gt;&lt;/valeur&gt;</v>
      </c>
    </row>
    <row r="17745" spans="1:10" x14ac:dyDescent="0.2">
      <c r="A17745" s="859">
        <f t="shared" si="419"/>
        <v>17744</v>
      </c>
      <c r="B17745" s="845" t="s">
        <v>2565</v>
      </c>
      <c r="D17745" s="862"/>
      <c r="H17745" s="845" t="s">
        <v>1010</v>
      </c>
    </row>
    <row r="17746" spans="1:10" x14ac:dyDescent="0.2">
      <c r="A17746" s="859">
        <f t="shared" si="419"/>
        <v>17745</v>
      </c>
      <c r="B17746" s="845" t="s">
        <v>2565</v>
      </c>
      <c r="D17746" s="862"/>
      <c r="H17746" s="845" t="s">
        <v>1007</v>
      </c>
    </row>
    <row r="17747" spans="1:10" x14ac:dyDescent="0.2">
      <c r="A17747" s="859">
        <f t="shared" si="419"/>
        <v>17746</v>
      </c>
      <c r="B17747" s="845" t="s">
        <v>2565</v>
      </c>
      <c r="D17747" s="861"/>
      <c r="I17747" s="845" t="s">
        <v>1008</v>
      </c>
    </row>
    <row r="17748" spans="1:10" x14ac:dyDescent="0.2">
      <c r="A17748" s="859">
        <f t="shared" si="419"/>
        <v>17747</v>
      </c>
      <c r="B17748" s="845" t="s">
        <v>2565</v>
      </c>
      <c r="D17748" s="861"/>
      <c r="J17748" s="845" t="s">
        <v>2260</v>
      </c>
    </row>
    <row r="17749" spans="1:10" x14ac:dyDescent="0.2">
      <c r="A17749" s="859">
        <f t="shared" si="419"/>
        <v>17748</v>
      </c>
      <c r="B17749" s="845" t="s">
        <v>2565</v>
      </c>
      <c r="D17749" s="862"/>
      <c r="I17749" s="845" t="s">
        <v>1009</v>
      </c>
    </row>
    <row r="17750" spans="1:10" x14ac:dyDescent="0.2">
      <c r="A17750" s="859">
        <f t="shared" si="419"/>
        <v>17749</v>
      </c>
      <c r="B17750" s="845" t="s">
        <v>2565</v>
      </c>
      <c r="D17750" s="863"/>
      <c r="I17750" s="845" t="str">
        <f>CONCATENATE("&lt;valeur&gt;",Cellule_1205,"&lt;/valeur&gt;")</f>
        <v>&lt;valeur&gt;0&lt;/valeur&gt;</v>
      </c>
    </row>
    <row r="17751" spans="1:10" x14ac:dyDescent="0.2">
      <c r="A17751" s="859">
        <f t="shared" si="419"/>
        <v>17750</v>
      </c>
      <c r="B17751" s="845" t="s">
        <v>2565</v>
      </c>
      <c r="D17751" s="862"/>
      <c r="H17751" s="845" t="s">
        <v>1010</v>
      </c>
    </row>
    <row r="17752" spans="1:10" x14ac:dyDescent="0.2">
      <c r="A17752" s="859">
        <f t="shared" si="419"/>
        <v>17751</v>
      </c>
      <c r="B17752" s="845" t="s">
        <v>2565</v>
      </c>
      <c r="D17752" s="862"/>
      <c r="H17752" s="845" t="s">
        <v>1007</v>
      </c>
    </row>
    <row r="17753" spans="1:10" x14ac:dyDescent="0.2">
      <c r="A17753" s="859">
        <f t="shared" si="419"/>
        <v>17752</v>
      </c>
      <c r="B17753" s="845" t="s">
        <v>2565</v>
      </c>
      <c r="D17753" s="861"/>
      <c r="I17753" s="845" t="s">
        <v>1008</v>
      </c>
    </row>
    <row r="17754" spans="1:10" x14ac:dyDescent="0.2">
      <c r="A17754" s="859">
        <f t="shared" si="419"/>
        <v>17753</v>
      </c>
      <c r="B17754" s="845" t="s">
        <v>2565</v>
      </c>
      <c r="D17754" s="861"/>
      <c r="J17754" s="845" t="s">
        <v>2261</v>
      </c>
    </row>
    <row r="17755" spans="1:10" x14ac:dyDescent="0.2">
      <c r="A17755" s="859">
        <f t="shared" si="419"/>
        <v>17754</v>
      </c>
      <c r="B17755" s="845" t="s">
        <v>2565</v>
      </c>
      <c r="D17755" s="862"/>
      <c r="I17755" s="845" t="s">
        <v>1009</v>
      </c>
    </row>
    <row r="17756" spans="1:10" x14ac:dyDescent="0.2">
      <c r="A17756" s="859">
        <f t="shared" si="419"/>
        <v>17755</v>
      </c>
      <c r="B17756" s="845" t="s">
        <v>2565</v>
      </c>
      <c r="D17756" s="863"/>
      <c r="I17756" s="845" t="str">
        <f>CONCATENATE("&lt;valeur&gt;",Cellule_1116,"&lt;/valeur&gt;")</f>
        <v>&lt;valeur&gt;&lt;/valeur&gt;</v>
      </c>
    </row>
    <row r="17757" spans="1:10" x14ac:dyDescent="0.2">
      <c r="A17757" s="859">
        <f t="shared" si="419"/>
        <v>17756</v>
      </c>
      <c r="B17757" s="845" t="s">
        <v>2565</v>
      </c>
      <c r="D17757" s="862"/>
      <c r="H17757" s="845" t="s">
        <v>1010</v>
      </c>
    </row>
    <row r="17758" spans="1:10" x14ac:dyDescent="0.2">
      <c r="A17758" s="859">
        <f t="shared" si="419"/>
        <v>17757</v>
      </c>
      <c r="B17758" s="845" t="s">
        <v>2565</v>
      </c>
      <c r="D17758" s="862"/>
      <c r="H17758" s="845" t="s">
        <v>1007</v>
      </c>
    </row>
    <row r="17759" spans="1:10" x14ac:dyDescent="0.2">
      <c r="A17759" s="859">
        <f t="shared" si="419"/>
        <v>17758</v>
      </c>
      <c r="B17759" s="845" t="s">
        <v>2565</v>
      </c>
      <c r="D17759" s="861"/>
      <c r="I17759" s="845" t="s">
        <v>1008</v>
      </c>
    </row>
    <row r="17760" spans="1:10" x14ac:dyDescent="0.2">
      <c r="A17760" s="859">
        <f t="shared" si="419"/>
        <v>17759</v>
      </c>
      <c r="B17760" s="845" t="s">
        <v>2565</v>
      </c>
      <c r="D17760" s="861"/>
      <c r="J17760" s="845" t="s">
        <v>2262</v>
      </c>
    </row>
    <row r="17761" spans="1:10" x14ac:dyDescent="0.2">
      <c r="A17761" s="859">
        <f t="shared" si="419"/>
        <v>17760</v>
      </c>
      <c r="B17761" s="845" t="s">
        <v>2565</v>
      </c>
      <c r="D17761" s="862"/>
      <c r="I17761" s="845" t="s">
        <v>1009</v>
      </c>
    </row>
    <row r="17762" spans="1:10" x14ac:dyDescent="0.2">
      <c r="A17762" s="859">
        <f t="shared" si="419"/>
        <v>17761</v>
      </c>
      <c r="B17762" s="845" t="s">
        <v>2565</v>
      </c>
      <c r="D17762" s="863"/>
      <c r="I17762" s="845" t="str">
        <f>CONCATENATE("&lt;valeur&gt;",Cellule_1125,"&lt;/valeur&gt;")</f>
        <v>&lt;valeur&gt;&lt;/valeur&gt;</v>
      </c>
    </row>
    <row r="17763" spans="1:10" x14ac:dyDescent="0.2">
      <c r="A17763" s="859">
        <f t="shared" si="419"/>
        <v>17762</v>
      </c>
      <c r="B17763" s="845" t="s">
        <v>2565</v>
      </c>
      <c r="D17763" s="862"/>
      <c r="H17763" s="845" t="s">
        <v>1010</v>
      </c>
    </row>
    <row r="17764" spans="1:10" x14ac:dyDescent="0.2">
      <c r="A17764" s="859">
        <f t="shared" si="419"/>
        <v>17763</v>
      </c>
      <c r="B17764" s="845" t="s">
        <v>2565</v>
      </c>
      <c r="D17764" s="862"/>
      <c r="H17764" s="845" t="s">
        <v>1007</v>
      </c>
    </row>
    <row r="17765" spans="1:10" x14ac:dyDescent="0.2">
      <c r="A17765" s="859">
        <f t="shared" si="419"/>
        <v>17764</v>
      </c>
      <c r="B17765" s="845" t="s">
        <v>2565</v>
      </c>
      <c r="D17765" s="861"/>
      <c r="I17765" s="845" t="s">
        <v>1008</v>
      </c>
    </row>
    <row r="17766" spans="1:10" x14ac:dyDescent="0.2">
      <c r="A17766" s="859">
        <f t="shared" si="419"/>
        <v>17765</v>
      </c>
      <c r="B17766" s="845" t="s">
        <v>2565</v>
      </c>
      <c r="D17766" s="861"/>
      <c r="J17766" s="845" t="s">
        <v>2263</v>
      </c>
    </row>
    <row r="17767" spans="1:10" x14ac:dyDescent="0.2">
      <c r="A17767" s="859">
        <f t="shared" si="419"/>
        <v>17766</v>
      </c>
      <c r="B17767" s="845" t="s">
        <v>2565</v>
      </c>
      <c r="D17767" s="862"/>
      <c r="I17767" s="845" t="s">
        <v>1009</v>
      </c>
    </row>
    <row r="17768" spans="1:10" x14ac:dyDescent="0.2">
      <c r="A17768" s="859">
        <f t="shared" si="419"/>
        <v>17767</v>
      </c>
      <c r="B17768" s="845" t="s">
        <v>2565</v>
      </c>
      <c r="D17768" s="863"/>
      <c r="I17768" s="845" t="str">
        <f>CONCATENATE("&lt;valeur&gt;",Cellule_1134,"&lt;/valeur&gt;")</f>
        <v>&lt;valeur&gt;&lt;/valeur&gt;</v>
      </c>
    </row>
    <row r="17769" spans="1:10" x14ac:dyDescent="0.2">
      <c r="A17769" s="859">
        <f t="shared" si="419"/>
        <v>17768</v>
      </c>
      <c r="B17769" s="845" t="s">
        <v>2565</v>
      </c>
      <c r="D17769" s="862"/>
      <c r="H17769" s="845" t="s">
        <v>1010</v>
      </c>
    </row>
    <row r="17770" spans="1:10" x14ac:dyDescent="0.2">
      <c r="A17770" s="859">
        <f t="shared" si="419"/>
        <v>17769</v>
      </c>
      <c r="B17770" s="845" t="s">
        <v>2565</v>
      </c>
      <c r="D17770" s="862"/>
      <c r="H17770" s="845" t="s">
        <v>1007</v>
      </c>
    </row>
    <row r="17771" spans="1:10" x14ac:dyDescent="0.2">
      <c r="A17771" s="859">
        <f t="shared" si="419"/>
        <v>17770</v>
      </c>
      <c r="B17771" s="845" t="s">
        <v>2565</v>
      </c>
      <c r="D17771" s="861"/>
      <c r="I17771" s="845" t="s">
        <v>1008</v>
      </c>
    </row>
    <row r="17772" spans="1:10" x14ac:dyDescent="0.2">
      <c r="A17772" s="859">
        <f t="shared" si="419"/>
        <v>17771</v>
      </c>
      <c r="B17772" s="845" t="s">
        <v>2565</v>
      </c>
      <c r="D17772" s="861"/>
      <c r="J17772" s="845" t="s">
        <v>2264</v>
      </c>
    </row>
    <row r="17773" spans="1:10" x14ac:dyDescent="0.2">
      <c r="A17773" s="859">
        <f t="shared" si="419"/>
        <v>17772</v>
      </c>
      <c r="B17773" s="845" t="s">
        <v>2565</v>
      </c>
      <c r="D17773" s="862"/>
      <c r="I17773" s="845" t="s">
        <v>1009</v>
      </c>
    </row>
    <row r="17774" spans="1:10" x14ac:dyDescent="0.2">
      <c r="A17774" s="859">
        <f t="shared" si="419"/>
        <v>17773</v>
      </c>
      <c r="B17774" s="845" t="s">
        <v>2565</v>
      </c>
      <c r="D17774" s="863"/>
      <c r="I17774" s="845" t="str">
        <f>CONCATENATE("&lt;valeur&gt;",Cellule_1143,"&lt;/valeur&gt;")</f>
        <v>&lt;valeur&gt;&lt;/valeur&gt;</v>
      </c>
    </row>
    <row r="17775" spans="1:10" x14ac:dyDescent="0.2">
      <c r="A17775" s="859">
        <f t="shared" si="419"/>
        <v>17774</v>
      </c>
      <c r="B17775" s="845" t="s">
        <v>2565</v>
      </c>
      <c r="D17775" s="862"/>
      <c r="H17775" s="845" t="s">
        <v>1010</v>
      </c>
    </row>
    <row r="17776" spans="1:10" x14ac:dyDescent="0.2">
      <c r="A17776" s="859">
        <f t="shared" si="419"/>
        <v>17775</v>
      </c>
      <c r="B17776" s="845" t="s">
        <v>2565</v>
      </c>
      <c r="D17776" s="862"/>
      <c r="H17776" s="845" t="s">
        <v>1007</v>
      </c>
    </row>
    <row r="17777" spans="1:10" x14ac:dyDescent="0.2">
      <c r="A17777" s="859">
        <f t="shared" si="419"/>
        <v>17776</v>
      </c>
      <c r="B17777" s="845" t="s">
        <v>2565</v>
      </c>
      <c r="D17777" s="861"/>
      <c r="I17777" s="845" t="s">
        <v>1008</v>
      </c>
    </row>
    <row r="17778" spans="1:10" x14ac:dyDescent="0.2">
      <c r="A17778" s="859">
        <f t="shared" si="419"/>
        <v>17777</v>
      </c>
      <c r="B17778" s="845" t="s">
        <v>2565</v>
      </c>
      <c r="D17778" s="861"/>
      <c r="J17778" s="845" t="s">
        <v>2265</v>
      </c>
    </row>
    <row r="17779" spans="1:10" x14ac:dyDescent="0.2">
      <c r="A17779" s="859">
        <f t="shared" si="419"/>
        <v>17778</v>
      </c>
      <c r="B17779" s="845" t="s">
        <v>2565</v>
      </c>
      <c r="D17779" s="862"/>
      <c r="I17779" s="845" t="s">
        <v>1009</v>
      </c>
    </row>
    <row r="17780" spans="1:10" x14ac:dyDescent="0.2">
      <c r="A17780" s="859">
        <f t="shared" si="419"/>
        <v>17779</v>
      </c>
      <c r="B17780" s="845" t="s">
        <v>2565</v>
      </c>
      <c r="D17780" s="863"/>
      <c r="I17780" s="845" t="str">
        <f>CONCATENATE("&lt;valeur&gt;",Cellule_1152,"&lt;/valeur&gt;")</f>
        <v>&lt;valeur&gt;&lt;/valeur&gt;</v>
      </c>
    </row>
    <row r="17781" spans="1:10" x14ac:dyDescent="0.2">
      <c r="A17781" s="859">
        <f t="shared" si="419"/>
        <v>17780</v>
      </c>
      <c r="B17781" s="845" t="s">
        <v>2565</v>
      </c>
      <c r="D17781" s="862"/>
      <c r="H17781" s="845" t="s">
        <v>1010</v>
      </c>
    </row>
    <row r="17782" spans="1:10" x14ac:dyDescent="0.2">
      <c r="A17782" s="859">
        <f t="shared" si="419"/>
        <v>17781</v>
      </c>
      <c r="B17782" s="845" t="s">
        <v>2565</v>
      </c>
      <c r="D17782" s="862"/>
      <c r="H17782" s="845" t="s">
        <v>1007</v>
      </c>
    </row>
    <row r="17783" spans="1:10" x14ac:dyDescent="0.2">
      <c r="A17783" s="859">
        <f t="shared" si="419"/>
        <v>17782</v>
      </c>
      <c r="B17783" s="845" t="s">
        <v>2565</v>
      </c>
      <c r="D17783" s="861"/>
      <c r="I17783" s="845" t="s">
        <v>1008</v>
      </c>
    </row>
    <row r="17784" spans="1:10" x14ac:dyDescent="0.2">
      <c r="A17784" s="859">
        <f t="shared" si="419"/>
        <v>17783</v>
      </c>
      <c r="B17784" s="845" t="s">
        <v>2565</v>
      </c>
      <c r="D17784" s="861"/>
      <c r="J17784" s="845" t="s">
        <v>2266</v>
      </c>
    </row>
    <row r="17785" spans="1:10" x14ac:dyDescent="0.2">
      <c r="A17785" s="859">
        <f t="shared" si="419"/>
        <v>17784</v>
      </c>
      <c r="B17785" s="845" t="s">
        <v>2565</v>
      </c>
      <c r="D17785" s="862"/>
      <c r="I17785" s="845" t="s">
        <v>1009</v>
      </c>
    </row>
    <row r="17786" spans="1:10" x14ac:dyDescent="0.2">
      <c r="A17786" s="859">
        <f t="shared" si="419"/>
        <v>17785</v>
      </c>
      <c r="B17786" s="845" t="s">
        <v>2565</v>
      </c>
      <c r="D17786" s="863"/>
      <c r="I17786" s="845" t="str">
        <f>CONCATENATE("&lt;valeur&gt;",Cellule_1161,"&lt;/valeur&gt;")</f>
        <v>&lt;valeur&gt;&lt;/valeur&gt;</v>
      </c>
    </row>
    <row r="17787" spans="1:10" x14ac:dyDescent="0.2">
      <c r="A17787" s="859">
        <f t="shared" si="419"/>
        <v>17786</v>
      </c>
      <c r="B17787" s="845" t="s">
        <v>2565</v>
      </c>
      <c r="D17787" s="862"/>
      <c r="H17787" s="845" t="s">
        <v>1010</v>
      </c>
    </row>
    <row r="17788" spans="1:10" x14ac:dyDescent="0.2">
      <c r="A17788" s="859">
        <f t="shared" si="419"/>
        <v>17787</v>
      </c>
      <c r="B17788" s="845" t="s">
        <v>2565</v>
      </c>
      <c r="D17788" s="862"/>
      <c r="H17788" s="845" t="s">
        <v>1007</v>
      </c>
    </row>
    <row r="17789" spans="1:10" x14ac:dyDescent="0.2">
      <c r="A17789" s="859">
        <f t="shared" si="419"/>
        <v>17788</v>
      </c>
      <c r="B17789" s="845" t="s">
        <v>2565</v>
      </c>
      <c r="D17789" s="861"/>
      <c r="I17789" s="845" t="s">
        <v>1008</v>
      </c>
    </row>
    <row r="17790" spans="1:10" x14ac:dyDescent="0.2">
      <c r="A17790" s="859">
        <f t="shared" si="419"/>
        <v>17789</v>
      </c>
      <c r="B17790" s="845" t="s">
        <v>2565</v>
      </c>
      <c r="D17790" s="861"/>
      <c r="J17790" s="845" t="s">
        <v>2267</v>
      </c>
    </row>
    <row r="17791" spans="1:10" x14ac:dyDescent="0.2">
      <c r="A17791" s="859">
        <f t="shared" si="419"/>
        <v>17790</v>
      </c>
      <c r="B17791" s="845" t="s">
        <v>2565</v>
      </c>
      <c r="D17791" s="862"/>
      <c r="I17791" s="845" t="s">
        <v>1009</v>
      </c>
    </row>
    <row r="17792" spans="1:10" x14ac:dyDescent="0.2">
      <c r="A17792" s="859">
        <f t="shared" si="419"/>
        <v>17791</v>
      </c>
      <c r="B17792" s="845" t="s">
        <v>2565</v>
      </c>
      <c r="D17792" s="863"/>
      <c r="I17792" s="845" t="str">
        <f>CONCATENATE("&lt;valeur&gt;",Cellule_1170,"&lt;/valeur&gt;")</f>
        <v>&lt;valeur&gt;&lt;/valeur&gt;</v>
      </c>
    </row>
    <row r="17793" spans="1:10" x14ac:dyDescent="0.2">
      <c r="A17793" s="859">
        <f t="shared" si="419"/>
        <v>17792</v>
      </c>
      <c r="B17793" s="845" t="s">
        <v>2565</v>
      </c>
      <c r="D17793" s="862"/>
      <c r="H17793" s="845" t="s">
        <v>1010</v>
      </c>
    </row>
    <row r="17794" spans="1:10" x14ac:dyDescent="0.2">
      <c r="A17794" s="859">
        <f t="shared" si="419"/>
        <v>17793</v>
      </c>
      <c r="B17794" s="845" t="s">
        <v>2565</v>
      </c>
      <c r="D17794" s="862"/>
      <c r="H17794" s="845" t="s">
        <v>1007</v>
      </c>
    </row>
    <row r="17795" spans="1:10" x14ac:dyDescent="0.2">
      <c r="A17795" s="859">
        <f t="shared" si="419"/>
        <v>17794</v>
      </c>
      <c r="B17795" s="845" t="s">
        <v>2565</v>
      </c>
      <c r="D17795" s="861"/>
      <c r="I17795" s="845" t="s">
        <v>1008</v>
      </c>
    </row>
    <row r="17796" spans="1:10" x14ac:dyDescent="0.2">
      <c r="A17796" s="859">
        <f t="shared" ref="A17796:A17859" si="420">+A17795+1</f>
        <v>17795</v>
      </c>
      <c r="B17796" s="845" t="s">
        <v>2565</v>
      </c>
      <c r="D17796" s="861"/>
      <c r="J17796" s="845" t="s">
        <v>2268</v>
      </c>
    </row>
    <row r="17797" spans="1:10" x14ac:dyDescent="0.2">
      <c r="A17797" s="859">
        <f t="shared" si="420"/>
        <v>17796</v>
      </c>
      <c r="B17797" s="845" t="s">
        <v>2565</v>
      </c>
      <c r="D17797" s="862"/>
      <c r="I17797" s="845" t="s">
        <v>1009</v>
      </c>
    </row>
    <row r="17798" spans="1:10" x14ac:dyDescent="0.2">
      <c r="A17798" s="859">
        <f t="shared" si="420"/>
        <v>17797</v>
      </c>
      <c r="B17798" s="845" t="s">
        <v>2565</v>
      </c>
      <c r="D17798" s="863"/>
      <c r="I17798" s="845" t="str">
        <f>CONCATENATE("&lt;valeur&gt;",Cellule_1179,"&lt;/valeur&gt;")</f>
        <v>&lt;valeur&gt;&lt;/valeur&gt;</v>
      </c>
    </row>
    <row r="17799" spans="1:10" x14ac:dyDescent="0.2">
      <c r="A17799" s="859">
        <f t="shared" si="420"/>
        <v>17798</v>
      </c>
      <c r="B17799" s="845" t="s">
        <v>2565</v>
      </c>
      <c r="D17799" s="862"/>
      <c r="H17799" s="845" t="s">
        <v>1010</v>
      </c>
    </row>
    <row r="17800" spans="1:10" x14ac:dyDescent="0.2">
      <c r="A17800" s="859">
        <f t="shared" si="420"/>
        <v>17799</v>
      </c>
      <c r="B17800" s="845" t="s">
        <v>2565</v>
      </c>
      <c r="D17800" s="862"/>
      <c r="H17800" s="845" t="s">
        <v>1007</v>
      </c>
    </row>
    <row r="17801" spans="1:10" x14ac:dyDescent="0.2">
      <c r="A17801" s="859">
        <f t="shared" si="420"/>
        <v>17800</v>
      </c>
      <c r="B17801" s="845" t="s">
        <v>2565</v>
      </c>
      <c r="D17801" s="861"/>
      <c r="I17801" s="845" t="s">
        <v>1008</v>
      </c>
    </row>
    <row r="17802" spans="1:10" x14ac:dyDescent="0.2">
      <c r="A17802" s="859">
        <f t="shared" si="420"/>
        <v>17801</v>
      </c>
      <c r="B17802" s="845" t="s">
        <v>2565</v>
      </c>
      <c r="D17802" s="861"/>
      <c r="J17802" s="845" t="s">
        <v>2269</v>
      </c>
    </row>
    <row r="17803" spans="1:10" x14ac:dyDescent="0.2">
      <c r="A17803" s="859">
        <f t="shared" si="420"/>
        <v>17802</v>
      </c>
      <c r="B17803" s="845" t="s">
        <v>2565</v>
      </c>
      <c r="D17803" s="862"/>
      <c r="I17803" s="845" t="s">
        <v>1009</v>
      </c>
    </row>
    <row r="17804" spans="1:10" x14ac:dyDescent="0.2">
      <c r="A17804" s="859">
        <f t="shared" si="420"/>
        <v>17803</v>
      </c>
      <c r="B17804" s="845" t="s">
        <v>2565</v>
      </c>
      <c r="D17804" s="863"/>
      <c r="I17804" s="845" t="str">
        <f>CONCATENATE("&lt;valeur&gt;",Cellule_1188,"&lt;/valeur&gt;")</f>
        <v>&lt;valeur&gt;&lt;/valeur&gt;</v>
      </c>
    </row>
    <row r="17805" spans="1:10" x14ac:dyDescent="0.2">
      <c r="A17805" s="859">
        <f t="shared" si="420"/>
        <v>17804</v>
      </c>
      <c r="B17805" s="845" t="s">
        <v>2565</v>
      </c>
      <c r="D17805" s="862"/>
      <c r="H17805" s="845" t="s">
        <v>1010</v>
      </c>
    </row>
    <row r="17806" spans="1:10" x14ac:dyDescent="0.2">
      <c r="A17806" s="859">
        <f t="shared" si="420"/>
        <v>17805</v>
      </c>
      <c r="B17806" s="845" t="s">
        <v>2565</v>
      </c>
      <c r="D17806" s="862"/>
      <c r="H17806" s="845" t="s">
        <v>1007</v>
      </c>
    </row>
    <row r="17807" spans="1:10" x14ac:dyDescent="0.2">
      <c r="A17807" s="859">
        <f t="shared" si="420"/>
        <v>17806</v>
      </c>
      <c r="B17807" s="845" t="s">
        <v>2565</v>
      </c>
      <c r="D17807" s="861"/>
      <c r="I17807" s="845" t="s">
        <v>1008</v>
      </c>
    </row>
    <row r="17808" spans="1:10" x14ac:dyDescent="0.2">
      <c r="A17808" s="859">
        <f t="shared" si="420"/>
        <v>17807</v>
      </c>
      <c r="B17808" s="845" t="s">
        <v>2565</v>
      </c>
      <c r="D17808" s="861"/>
      <c r="J17808" s="845" t="s">
        <v>2270</v>
      </c>
    </row>
    <row r="17809" spans="1:10" x14ac:dyDescent="0.2">
      <c r="A17809" s="859">
        <f t="shared" si="420"/>
        <v>17808</v>
      </c>
      <c r="B17809" s="845" t="s">
        <v>2565</v>
      </c>
      <c r="D17809" s="862"/>
      <c r="I17809" s="845" t="s">
        <v>1009</v>
      </c>
    </row>
    <row r="17810" spans="1:10" x14ac:dyDescent="0.2">
      <c r="A17810" s="859">
        <f t="shared" si="420"/>
        <v>17809</v>
      </c>
      <c r="B17810" s="845" t="s">
        <v>2565</v>
      </c>
      <c r="D17810" s="863"/>
      <c r="I17810" s="845" t="str">
        <f>CONCATENATE("&lt;valeur&gt;",Cellule_1197,"&lt;/valeur&gt;")</f>
        <v>&lt;valeur&gt;&lt;/valeur&gt;</v>
      </c>
    </row>
    <row r="17811" spans="1:10" x14ac:dyDescent="0.2">
      <c r="A17811" s="859">
        <f t="shared" si="420"/>
        <v>17810</v>
      </c>
      <c r="B17811" s="845" t="s">
        <v>2565</v>
      </c>
      <c r="D17811" s="862"/>
      <c r="H17811" s="845" t="s">
        <v>1010</v>
      </c>
    </row>
    <row r="17812" spans="1:10" x14ac:dyDescent="0.2">
      <c r="A17812" s="859">
        <f t="shared" si="420"/>
        <v>17811</v>
      </c>
      <c r="B17812" s="845" t="s">
        <v>2565</v>
      </c>
      <c r="D17812" s="862"/>
      <c r="H17812" s="845" t="s">
        <v>1007</v>
      </c>
    </row>
    <row r="17813" spans="1:10" x14ac:dyDescent="0.2">
      <c r="A17813" s="859">
        <f t="shared" si="420"/>
        <v>17812</v>
      </c>
      <c r="B17813" s="845" t="s">
        <v>2565</v>
      </c>
      <c r="D17813" s="861"/>
      <c r="I17813" s="845" t="s">
        <v>1008</v>
      </c>
    </row>
    <row r="17814" spans="1:10" x14ac:dyDescent="0.2">
      <c r="A17814" s="859">
        <f t="shared" si="420"/>
        <v>17813</v>
      </c>
      <c r="B17814" s="845" t="s">
        <v>2565</v>
      </c>
      <c r="D17814" s="861"/>
      <c r="J17814" s="845" t="s">
        <v>2271</v>
      </c>
    </row>
    <row r="17815" spans="1:10" x14ac:dyDescent="0.2">
      <c r="A17815" s="859">
        <f t="shared" si="420"/>
        <v>17814</v>
      </c>
      <c r="B17815" s="845" t="s">
        <v>2565</v>
      </c>
      <c r="D17815" s="862"/>
      <c r="I17815" s="845" t="s">
        <v>1009</v>
      </c>
    </row>
    <row r="17816" spans="1:10" x14ac:dyDescent="0.2">
      <c r="A17816" s="859">
        <f t="shared" si="420"/>
        <v>17815</v>
      </c>
      <c r="B17816" s="845" t="s">
        <v>2565</v>
      </c>
      <c r="D17816" s="863"/>
      <c r="I17816" s="845" t="str">
        <f>CONCATENATE("&lt;valeur&gt;",Cellule_1206,"&lt;/valeur&gt;")</f>
        <v>&lt;valeur&gt;0&lt;/valeur&gt;</v>
      </c>
    </row>
    <row r="17817" spans="1:10" x14ac:dyDescent="0.2">
      <c r="A17817" s="859">
        <f t="shared" si="420"/>
        <v>17816</v>
      </c>
      <c r="B17817" s="845" t="s">
        <v>2565</v>
      </c>
      <c r="D17817" s="862"/>
      <c r="H17817" s="845" t="s">
        <v>1010</v>
      </c>
    </row>
    <row r="17818" spans="1:10" x14ac:dyDescent="0.2">
      <c r="A17818" s="859">
        <f t="shared" si="420"/>
        <v>17817</v>
      </c>
      <c r="B17818" s="845" t="s">
        <v>2565</v>
      </c>
      <c r="D17818" s="862"/>
      <c r="H17818" s="845" t="s">
        <v>1007</v>
      </c>
    </row>
    <row r="17819" spans="1:10" x14ac:dyDescent="0.2">
      <c r="A17819" s="859">
        <f t="shared" si="420"/>
        <v>17818</v>
      </c>
      <c r="B17819" s="845" t="s">
        <v>2565</v>
      </c>
      <c r="D17819" s="861"/>
      <c r="I17819" s="845" t="s">
        <v>1008</v>
      </c>
    </row>
    <row r="17820" spans="1:10" x14ac:dyDescent="0.2">
      <c r="A17820" s="859">
        <f t="shared" si="420"/>
        <v>17819</v>
      </c>
      <c r="B17820" s="845" t="s">
        <v>2565</v>
      </c>
      <c r="D17820" s="861"/>
      <c r="J17820" s="845" t="s">
        <v>2272</v>
      </c>
    </row>
    <row r="17821" spans="1:10" x14ac:dyDescent="0.2">
      <c r="A17821" s="859">
        <f t="shared" si="420"/>
        <v>17820</v>
      </c>
      <c r="B17821" s="845" t="s">
        <v>2565</v>
      </c>
      <c r="D17821" s="862"/>
      <c r="I17821" s="845" t="s">
        <v>1009</v>
      </c>
    </row>
    <row r="17822" spans="1:10" x14ac:dyDescent="0.2">
      <c r="A17822" s="859">
        <f t="shared" si="420"/>
        <v>17821</v>
      </c>
      <c r="B17822" s="845" t="s">
        <v>2565</v>
      </c>
      <c r="D17822" s="863"/>
      <c r="I17822" s="845" t="str">
        <f>CONCATENATE("&lt;valeur&gt;",Cellule_1117,"&lt;/valeur&gt;")</f>
        <v>&lt;valeur&gt;&lt;/valeur&gt;</v>
      </c>
    </row>
    <row r="17823" spans="1:10" x14ac:dyDescent="0.2">
      <c r="A17823" s="859">
        <f t="shared" si="420"/>
        <v>17822</v>
      </c>
      <c r="B17823" s="845" t="s">
        <v>2565</v>
      </c>
      <c r="D17823" s="862"/>
      <c r="H17823" s="845" t="s">
        <v>1010</v>
      </c>
    </row>
    <row r="17824" spans="1:10" x14ac:dyDescent="0.2">
      <c r="A17824" s="859">
        <f t="shared" si="420"/>
        <v>17823</v>
      </c>
      <c r="B17824" s="845" t="s">
        <v>2565</v>
      </c>
      <c r="D17824" s="862"/>
      <c r="H17824" s="845" t="s">
        <v>1007</v>
      </c>
    </row>
    <row r="17825" spans="1:10" x14ac:dyDescent="0.2">
      <c r="A17825" s="859">
        <f t="shared" si="420"/>
        <v>17824</v>
      </c>
      <c r="B17825" s="845" t="s">
        <v>2565</v>
      </c>
      <c r="D17825" s="861"/>
      <c r="I17825" s="845" t="s">
        <v>1008</v>
      </c>
    </row>
    <row r="17826" spans="1:10" x14ac:dyDescent="0.2">
      <c r="A17826" s="859">
        <f t="shared" si="420"/>
        <v>17825</v>
      </c>
      <c r="B17826" s="845" t="s">
        <v>2565</v>
      </c>
      <c r="D17826" s="861"/>
      <c r="J17826" s="845" t="s">
        <v>2273</v>
      </c>
    </row>
    <row r="17827" spans="1:10" x14ac:dyDescent="0.2">
      <c r="A17827" s="859">
        <f t="shared" si="420"/>
        <v>17826</v>
      </c>
      <c r="B17827" s="845" t="s">
        <v>2565</v>
      </c>
      <c r="D17827" s="862"/>
      <c r="I17827" s="845" t="s">
        <v>1009</v>
      </c>
    </row>
    <row r="17828" spans="1:10" x14ac:dyDescent="0.2">
      <c r="A17828" s="859">
        <f t="shared" si="420"/>
        <v>17827</v>
      </c>
      <c r="B17828" s="845" t="s">
        <v>2565</v>
      </c>
      <c r="D17828" s="863"/>
      <c r="I17828" s="845" t="str">
        <f>CONCATENATE("&lt;valeur&gt;",Cellule_1126,"&lt;/valeur&gt;")</f>
        <v>&lt;valeur&gt;&lt;/valeur&gt;</v>
      </c>
    </row>
    <row r="17829" spans="1:10" x14ac:dyDescent="0.2">
      <c r="A17829" s="859">
        <f t="shared" si="420"/>
        <v>17828</v>
      </c>
      <c r="B17829" s="845" t="s">
        <v>2565</v>
      </c>
      <c r="D17829" s="862"/>
      <c r="H17829" s="845" t="s">
        <v>1010</v>
      </c>
    </row>
    <row r="17830" spans="1:10" x14ac:dyDescent="0.2">
      <c r="A17830" s="859">
        <f t="shared" si="420"/>
        <v>17829</v>
      </c>
      <c r="B17830" s="845" t="s">
        <v>2565</v>
      </c>
      <c r="D17830" s="862"/>
      <c r="H17830" s="845" t="s">
        <v>1007</v>
      </c>
    </row>
    <row r="17831" spans="1:10" x14ac:dyDescent="0.2">
      <c r="A17831" s="859">
        <f t="shared" si="420"/>
        <v>17830</v>
      </c>
      <c r="B17831" s="845" t="s">
        <v>2565</v>
      </c>
      <c r="D17831" s="861"/>
      <c r="I17831" s="845" t="s">
        <v>1008</v>
      </c>
    </row>
    <row r="17832" spans="1:10" x14ac:dyDescent="0.2">
      <c r="A17832" s="859">
        <f t="shared" si="420"/>
        <v>17831</v>
      </c>
      <c r="B17832" s="845" t="s">
        <v>2565</v>
      </c>
      <c r="D17832" s="861"/>
      <c r="J17832" s="845" t="s">
        <v>2274</v>
      </c>
    </row>
    <row r="17833" spans="1:10" x14ac:dyDescent="0.2">
      <c r="A17833" s="859">
        <f t="shared" si="420"/>
        <v>17832</v>
      </c>
      <c r="B17833" s="845" t="s">
        <v>2565</v>
      </c>
      <c r="D17833" s="862"/>
      <c r="I17833" s="845" t="s">
        <v>1009</v>
      </c>
    </row>
    <row r="17834" spans="1:10" x14ac:dyDescent="0.2">
      <c r="A17834" s="859">
        <f t="shared" si="420"/>
        <v>17833</v>
      </c>
      <c r="B17834" s="845" t="s">
        <v>2565</v>
      </c>
      <c r="D17834" s="863"/>
      <c r="I17834" s="845" t="str">
        <f>CONCATENATE("&lt;valeur&gt;",Cellule_1135,"&lt;/valeur&gt;")</f>
        <v>&lt;valeur&gt;&lt;/valeur&gt;</v>
      </c>
    </row>
    <row r="17835" spans="1:10" x14ac:dyDescent="0.2">
      <c r="A17835" s="859">
        <f t="shared" si="420"/>
        <v>17834</v>
      </c>
      <c r="B17835" s="845" t="s">
        <v>2565</v>
      </c>
      <c r="D17835" s="862"/>
      <c r="H17835" s="845" t="s">
        <v>1010</v>
      </c>
    </row>
    <row r="17836" spans="1:10" x14ac:dyDescent="0.2">
      <c r="A17836" s="859">
        <f t="shared" si="420"/>
        <v>17835</v>
      </c>
      <c r="B17836" s="845" t="s">
        <v>2565</v>
      </c>
      <c r="D17836" s="862"/>
      <c r="H17836" s="845" t="s">
        <v>1007</v>
      </c>
    </row>
    <row r="17837" spans="1:10" x14ac:dyDescent="0.2">
      <c r="A17837" s="859">
        <f t="shared" si="420"/>
        <v>17836</v>
      </c>
      <c r="B17837" s="845" t="s">
        <v>2565</v>
      </c>
      <c r="D17837" s="861"/>
      <c r="I17837" s="845" t="s">
        <v>1008</v>
      </c>
    </row>
    <row r="17838" spans="1:10" x14ac:dyDescent="0.2">
      <c r="A17838" s="859">
        <f t="shared" si="420"/>
        <v>17837</v>
      </c>
      <c r="B17838" s="845" t="s">
        <v>2565</v>
      </c>
      <c r="D17838" s="861"/>
      <c r="J17838" s="845" t="s">
        <v>2275</v>
      </c>
    </row>
    <row r="17839" spans="1:10" x14ac:dyDescent="0.2">
      <c r="A17839" s="859">
        <f t="shared" si="420"/>
        <v>17838</v>
      </c>
      <c r="B17839" s="845" t="s">
        <v>2565</v>
      </c>
      <c r="D17839" s="862"/>
      <c r="I17839" s="845" t="s">
        <v>1009</v>
      </c>
    </row>
    <row r="17840" spans="1:10" x14ac:dyDescent="0.2">
      <c r="A17840" s="859">
        <f t="shared" si="420"/>
        <v>17839</v>
      </c>
      <c r="B17840" s="845" t="s">
        <v>2565</v>
      </c>
      <c r="D17840" s="863"/>
      <c r="I17840" s="845" t="str">
        <f>CONCATENATE("&lt;valeur&gt;",Cellule_1144,"&lt;/valeur&gt;")</f>
        <v>&lt;valeur&gt;&lt;/valeur&gt;</v>
      </c>
    </row>
    <row r="17841" spans="1:10" x14ac:dyDescent="0.2">
      <c r="A17841" s="859">
        <f t="shared" si="420"/>
        <v>17840</v>
      </c>
      <c r="B17841" s="845" t="s">
        <v>2565</v>
      </c>
      <c r="D17841" s="862"/>
      <c r="H17841" s="845" t="s">
        <v>1010</v>
      </c>
    </row>
    <row r="17842" spans="1:10" x14ac:dyDescent="0.2">
      <c r="A17842" s="859">
        <f t="shared" si="420"/>
        <v>17841</v>
      </c>
      <c r="B17842" s="845" t="s">
        <v>2565</v>
      </c>
      <c r="D17842" s="862"/>
      <c r="H17842" s="845" t="s">
        <v>1007</v>
      </c>
    </row>
    <row r="17843" spans="1:10" x14ac:dyDescent="0.2">
      <c r="A17843" s="859">
        <f t="shared" si="420"/>
        <v>17842</v>
      </c>
      <c r="B17843" s="845" t="s">
        <v>2565</v>
      </c>
      <c r="D17843" s="861"/>
      <c r="I17843" s="845" t="s">
        <v>1008</v>
      </c>
    </row>
    <row r="17844" spans="1:10" x14ac:dyDescent="0.2">
      <c r="A17844" s="859">
        <f t="shared" si="420"/>
        <v>17843</v>
      </c>
      <c r="B17844" s="845" t="s">
        <v>2565</v>
      </c>
      <c r="D17844" s="861"/>
      <c r="J17844" s="845" t="s">
        <v>2276</v>
      </c>
    </row>
    <row r="17845" spans="1:10" x14ac:dyDescent="0.2">
      <c r="A17845" s="859">
        <f t="shared" si="420"/>
        <v>17844</v>
      </c>
      <c r="B17845" s="845" t="s">
        <v>2565</v>
      </c>
      <c r="D17845" s="862"/>
      <c r="I17845" s="845" t="s">
        <v>1009</v>
      </c>
    </row>
    <row r="17846" spans="1:10" x14ac:dyDescent="0.2">
      <c r="A17846" s="859">
        <f t="shared" si="420"/>
        <v>17845</v>
      </c>
      <c r="B17846" s="845" t="s">
        <v>2565</v>
      </c>
      <c r="D17846" s="863"/>
      <c r="I17846" s="845" t="str">
        <f>CONCATENATE("&lt;valeur&gt;",Cellule_1153,"&lt;/valeur&gt;")</f>
        <v>&lt;valeur&gt;&lt;/valeur&gt;</v>
      </c>
    </row>
    <row r="17847" spans="1:10" x14ac:dyDescent="0.2">
      <c r="A17847" s="859">
        <f t="shared" si="420"/>
        <v>17846</v>
      </c>
      <c r="B17847" s="845" t="s">
        <v>2565</v>
      </c>
      <c r="D17847" s="862"/>
      <c r="H17847" s="845" t="s">
        <v>1010</v>
      </c>
    </row>
    <row r="17848" spans="1:10" x14ac:dyDescent="0.2">
      <c r="A17848" s="859">
        <f t="shared" si="420"/>
        <v>17847</v>
      </c>
      <c r="B17848" s="845" t="s">
        <v>2565</v>
      </c>
      <c r="D17848" s="862"/>
      <c r="H17848" s="845" t="s">
        <v>1007</v>
      </c>
    </row>
    <row r="17849" spans="1:10" x14ac:dyDescent="0.2">
      <c r="A17849" s="859">
        <f t="shared" si="420"/>
        <v>17848</v>
      </c>
      <c r="B17849" s="845" t="s">
        <v>2565</v>
      </c>
      <c r="D17849" s="861"/>
      <c r="I17849" s="845" t="s">
        <v>1008</v>
      </c>
    </row>
    <row r="17850" spans="1:10" x14ac:dyDescent="0.2">
      <c r="A17850" s="859">
        <f t="shared" si="420"/>
        <v>17849</v>
      </c>
      <c r="B17850" s="845" t="s">
        <v>2565</v>
      </c>
      <c r="D17850" s="861"/>
      <c r="J17850" s="845" t="s">
        <v>2277</v>
      </c>
    </row>
    <row r="17851" spans="1:10" x14ac:dyDescent="0.2">
      <c r="A17851" s="859">
        <f t="shared" si="420"/>
        <v>17850</v>
      </c>
      <c r="B17851" s="845" t="s">
        <v>2565</v>
      </c>
      <c r="D17851" s="862"/>
      <c r="I17851" s="845" t="s">
        <v>1009</v>
      </c>
    </row>
    <row r="17852" spans="1:10" x14ac:dyDescent="0.2">
      <c r="A17852" s="859">
        <f t="shared" si="420"/>
        <v>17851</v>
      </c>
      <c r="B17852" s="845" t="s">
        <v>2565</v>
      </c>
      <c r="D17852" s="863"/>
      <c r="I17852" s="845" t="str">
        <f>CONCATENATE("&lt;valeur&gt;",Cellule_1162,"&lt;/valeur&gt;")</f>
        <v>&lt;valeur&gt;&lt;/valeur&gt;</v>
      </c>
    </row>
    <row r="17853" spans="1:10" x14ac:dyDescent="0.2">
      <c r="A17853" s="859">
        <f t="shared" si="420"/>
        <v>17852</v>
      </c>
      <c r="B17853" s="845" t="s">
        <v>2565</v>
      </c>
      <c r="D17853" s="862"/>
      <c r="H17853" s="845" t="s">
        <v>1010</v>
      </c>
    </row>
    <row r="17854" spans="1:10" x14ac:dyDescent="0.2">
      <c r="A17854" s="859">
        <f t="shared" si="420"/>
        <v>17853</v>
      </c>
      <c r="B17854" s="845" t="s">
        <v>2565</v>
      </c>
      <c r="D17854" s="862"/>
      <c r="H17854" s="845" t="s">
        <v>1007</v>
      </c>
    </row>
    <row r="17855" spans="1:10" x14ac:dyDescent="0.2">
      <c r="A17855" s="859">
        <f t="shared" si="420"/>
        <v>17854</v>
      </c>
      <c r="B17855" s="845" t="s">
        <v>2565</v>
      </c>
      <c r="D17855" s="861"/>
      <c r="I17855" s="845" t="s">
        <v>1008</v>
      </c>
    </row>
    <row r="17856" spans="1:10" x14ac:dyDescent="0.2">
      <c r="A17856" s="859">
        <f t="shared" si="420"/>
        <v>17855</v>
      </c>
      <c r="B17856" s="845" t="s">
        <v>2565</v>
      </c>
      <c r="D17856" s="861"/>
      <c r="J17856" s="845" t="s">
        <v>2278</v>
      </c>
    </row>
    <row r="17857" spans="1:10" x14ac:dyDescent="0.2">
      <c r="A17857" s="859">
        <f t="shared" si="420"/>
        <v>17856</v>
      </c>
      <c r="B17857" s="845" t="s">
        <v>2565</v>
      </c>
      <c r="D17857" s="862"/>
      <c r="I17857" s="845" t="s">
        <v>1009</v>
      </c>
    </row>
    <row r="17858" spans="1:10" x14ac:dyDescent="0.2">
      <c r="A17858" s="859">
        <f t="shared" si="420"/>
        <v>17857</v>
      </c>
      <c r="B17858" s="845" t="s">
        <v>2565</v>
      </c>
      <c r="D17858" s="863"/>
      <c r="I17858" s="845" t="str">
        <f>CONCATENATE("&lt;valeur&gt;",Cellule_1171,"&lt;/valeur&gt;")</f>
        <v>&lt;valeur&gt;&lt;/valeur&gt;</v>
      </c>
    </row>
    <row r="17859" spans="1:10" x14ac:dyDescent="0.2">
      <c r="A17859" s="859">
        <f t="shared" si="420"/>
        <v>17858</v>
      </c>
      <c r="B17859" s="845" t="s">
        <v>2565</v>
      </c>
      <c r="D17859" s="862"/>
      <c r="H17859" s="845" t="s">
        <v>1010</v>
      </c>
    </row>
    <row r="17860" spans="1:10" x14ac:dyDescent="0.2">
      <c r="A17860" s="859">
        <f t="shared" ref="A17860:A17923" si="421">+A17859+1</f>
        <v>17859</v>
      </c>
      <c r="B17860" s="845" t="s">
        <v>2565</v>
      </c>
      <c r="D17860" s="862"/>
      <c r="H17860" s="845" t="s">
        <v>1007</v>
      </c>
    </row>
    <row r="17861" spans="1:10" x14ac:dyDescent="0.2">
      <c r="A17861" s="859">
        <f t="shared" si="421"/>
        <v>17860</v>
      </c>
      <c r="B17861" s="845" t="s">
        <v>2565</v>
      </c>
      <c r="D17861" s="861"/>
      <c r="I17861" s="845" t="s">
        <v>1008</v>
      </c>
    </row>
    <row r="17862" spans="1:10" x14ac:dyDescent="0.2">
      <c r="A17862" s="859">
        <f t="shared" si="421"/>
        <v>17861</v>
      </c>
      <c r="B17862" s="845" t="s">
        <v>2565</v>
      </c>
      <c r="D17862" s="861"/>
      <c r="J17862" s="845" t="s">
        <v>2279</v>
      </c>
    </row>
    <row r="17863" spans="1:10" x14ac:dyDescent="0.2">
      <c r="A17863" s="859">
        <f t="shared" si="421"/>
        <v>17862</v>
      </c>
      <c r="B17863" s="845" t="s">
        <v>2565</v>
      </c>
      <c r="D17863" s="862"/>
      <c r="I17863" s="845" t="s">
        <v>1009</v>
      </c>
    </row>
    <row r="17864" spans="1:10" x14ac:dyDescent="0.2">
      <c r="A17864" s="859">
        <f t="shared" si="421"/>
        <v>17863</v>
      </c>
      <c r="B17864" s="845" t="s">
        <v>2565</v>
      </c>
      <c r="D17864" s="863"/>
      <c r="I17864" s="845" t="str">
        <f>CONCATENATE("&lt;valeur&gt;",Cellule_1180,"&lt;/valeur&gt;")</f>
        <v>&lt;valeur&gt;&lt;/valeur&gt;</v>
      </c>
    </row>
    <row r="17865" spans="1:10" x14ac:dyDescent="0.2">
      <c r="A17865" s="859">
        <f t="shared" si="421"/>
        <v>17864</v>
      </c>
      <c r="B17865" s="845" t="s">
        <v>2565</v>
      </c>
      <c r="D17865" s="862"/>
      <c r="H17865" s="845" t="s">
        <v>1010</v>
      </c>
    </row>
    <row r="17866" spans="1:10" x14ac:dyDescent="0.2">
      <c r="A17866" s="859">
        <f t="shared" si="421"/>
        <v>17865</v>
      </c>
      <c r="B17866" s="845" t="s">
        <v>2565</v>
      </c>
      <c r="D17866" s="862"/>
      <c r="H17866" s="845" t="s">
        <v>1007</v>
      </c>
    </row>
    <row r="17867" spans="1:10" x14ac:dyDescent="0.2">
      <c r="A17867" s="859">
        <f t="shared" si="421"/>
        <v>17866</v>
      </c>
      <c r="B17867" s="845" t="s">
        <v>2565</v>
      </c>
      <c r="D17867" s="861"/>
      <c r="I17867" s="845" t="s">
        <v>1008</v>
      </c>
    </row>
    <row r="17868" spans="1:10" x14ac:dyDescent="0.2">
      <c r="A17868" s="859">
        <f t="shared" si="421"/>
        <v>17867</v>
      </c>
      <c r="B17868" s="845" t="s">
        <v>2565</v>
      </c>
      <c r="D17868" s="861"/>
      <c r="J17868" s="845" t="s">
        <v>2280</v>
      </c>
    </row>
    <row r="17869" spans="1:10" x14ac:dyDescent="0.2">
      <c r="A17869" s="859">
        <f t="shared" si="421"/>
        <v>17868</v>
      </c>
      <c r="B17869" s="845" t="s">
        <v>2565</v>
      </c>
      <c r="D17869" s="862"/>
      <c r="I17869" s="845" t="s">
        <v>1009</v>
      </c>
    </row>
    <row r="17870" spans="1:10" x14ac:dyDescent="0.2">
      <c r="A17870" s="859">
        <f t="shared" si="421"/>
        <v>17869</v>
      </c>
      <c r="B17870" s="845" t="s">
        <v>2565</v>
      </c>
      <c r="D17870" s="863"/>
      <c r="I17870" s="845" t="str">
        <f>CONCATENATE("&lt;valeur&gt;",Cellule_1189,"&lt;/valeur&gt;")</f>
        <v>&lt;valeur&gt;&lt;/valeur&gt;</v>
      </c>
    </row>
    <row r="17871" spans="1:10" x14ac:dyDescent="0.2">
      <c r="A17871" s="859">
        <f t="shared" si="421"/>
        <v>17870</v>
      </c>
      <c r="B17871" s="845" t="s">
        <v>2565</v>
      </c>
      <c r="D17871" s="862"/>
      <c r="H17871" s="845" t="s">
        <v>1010</v>
      </c>
    </row>
    <row r="17872" spans="1:10" x14ac:dyDescent="0.2">
      <c r="A17872" s="859">
        <f t="shared" si="421"/>
        <v>17871</v>
      </c>
      <c r="B17872" s="845" t="s">
        <v>2565</v>
      </c>
      <c r="D17872" s="862"/>
      <c r="H17872" s="845" t="s">
        <v>1007</v>
      </c>
    </row>
    <row r="17873" spans="1:10" x14ac:dyDescent="0.2">
      <c r="A17873" s="859">
        <f t="shared" si="421"/>
        <v>17872</v>
      </c>
      <c r="B17873" s="845" t="s">
        <v>2565</v>
      </c>
      <c r="D17873" s="861"/>
      <c r="I17873" s="845" t="s">
        <v>1008</v>
      </c>
    </row>
    <row r="17874" spans="1:10" x14ac:dyDescent="0.2">
      <c r="A17874" s="859">
        <f t="shared" si="421"/>
        <v>17873</v>
      </c>
      <c r="B17874" s="845" t="s">
        <v>2565</v>
      </c>
      <c r="D17874" s="861"/>
      <c r="J17874" s="845" t="s">
        <v>2281</v>
      </c>
    </row>
    <row r="17875" spans="1:10" x14ac:dyDescent="0.2">
      <c r="A17875" s="859">
        <f t="shared" si="421"/>
        <v>17874</v>
      </c>
      <c r="B17875" s="845" t="s">
        <v>2565</v>
      </c>
      <c r="D17875" s="862"/>
      <c r="I17875" s="845" t="s">
        <v>1009</v>
      </c>
    </row>
    <row r="17876" spans="1:10" x14ac:dyDescent="0.2">
      <c r="A17876" s="859">
        <f t="shared" si="421"/>
        <v>17875</v>
      </c>
      <c r="B17876" s="845" t="s">
        <v>2565</v>
      </c>
      <c r="D17876" s="863"/>
      <c r="I17876" s="845" t="str">
        <f>CONCATENATE("&lt;valeur&gt;",Cellule_1198,"&lt;/valeur&gt;")</f>
        <v>&lt;valeur&gt;&lt;/valeur&gt;</v>
      </c>
    </row>
    <row r="17877" spans="1:10" x14ac:dyDescent="0.2">
      <c r="A17877" s="859">
        <f t="shared" si="421"/>
        <v>17876</v>
      </c>
      <c r="B17877" s="845" t="s">
        <v>2565</v>
      </c>
      <c r="D17877" s="862"/>
      <c r="H17877" s="845" t="s">
        <v>1010</v>
      </c>
    </row>
    <row r="17878" spans="1:10" x14ac:dyDescent="0.2">
      <c r="A17878" s="859">
        <f t="shared" si="421"/>
        <v>17877</v>
      </c>
      <c r="B17878" s="845" t="s">
        <v>2565</v>
      </c>
      <c r="D17878" s="862"/>
      <c r="H17878" s="845" t="s">
        <v>1007</v>
      </c>
    </row>
    <row r="17879" spans="1:10" x14ac:dyDescent="0.2">
      <c r="A17879" s="859">
        <f t="shared" si="421"/>
        <v>17878</v>
      </c>
      <c r="B17879" s="845" t="s">
        <v>2565</v>
      </c>
      <c r="D17879" s="861"/>
      <c r="I17879" s="845" t="s">
        <v>1008</v>
      </c>
    </row>
    <row r="17880" spans="1:10" x14ac:dyDescent="0.2">
      <c r="A17880" s="859">
        <f t="shared" si="421"/>
        <v>17879</v>
      </c>
      <c r="B17880" s="845" t="s">
        <v>2565</v>
      </c>
      <c r="D17880" s="861"/>
      <c r="J17880" s="845" t="s">
        <v>2282</v>
      </c>
    </row>
    <row r="17881" spans="1:10" x14ac:dyDescent="0.2">
      <c r="A17881" s="859">
        <f t="shared" si="421"/>
        <v>17880</v>
      </c>
      <c r="B17881" s="845" t="s">
        <v>2565</v>
      </c>
      <c r="D17881" s="862"/>
      <c r="I17881" s="845" t="s">
        <v>1009</v>
      </c>
    </row>
    <row r="17882" spans="1:10" x14ac:dyDescent="0.2">
      <c r="A17882" s="859">
        <f t="shared" si="421"/>
        <v>17881</v>
      </c>
      <c r="B17882" s="845" t="s">
        <v>2565</v>
      </c>
      <c r="D17882" s="863"/>
      <c r="I17882" s="845" t="str">
        <f>CONCATENATE("&lt;valeur&gt;",Cellule_1207,"&lt;/valeur&gt;")</f>
        <v>&lt;valeur&gt;&lt;/valeur&gt;</v>
      </c>
    </row>
    <row r="17883" spans="1:10" x14ac:dyDescent="0.2">
      <c r="A17883" s="859">
        <f t="shared" si="421"/>
        <v>17882</v>
      </c>
      <c r="B17883" s="845" t="s">
        <v>2565</v>
      </c>
      <c r="D17883" s="862"/>
      <c r="H17883" s="845" t="s">
        <v>1010</v>
      </c>
    </row>
    <row r="17884" spans="1:10" x14ac:dyDescent="0.2">
      <c r="A17884" s="859">
        <f t="shared" si="421"/>
        <v>17883</v>
      </c>
      <c r="B17884" s="845" t="s">
        <v>2565</v>
      </c>
      <c r="D17884" s="862"/>
      <c r="G17884" s="845" t="s">
        <v>1011</v>
      </c>
    </row>
    <row r="17885" spans="1:10" x14ac:dyDescent="0.2">
      <c r="A17885" s="859">
        <f t="shared" si="421"/>
        <v>17884</v>
      </c>
      <c r="B17885" s="845" t="s">
        <v>2565</v>
      </c>
      <c r="D17885" s="861"/>
      <c r="G17885" s="845" t="s">
        <v>1012</v>
      </c>
    </row>
    <row r="17886" spans="1:10" x14ac:dyDescent="0.2">
      <c r="A17886" s="859">
        <f t="shared" si="421"/>
        <v>17885</v>
      </c>
      <c r="B17886" s="845" t="s">
        <v>2565</v>
      </c>
      <c r="D17886" s="862"/>
      <c r="H17886" s="845" t="s">
        <v>1015</v>
      </c>
    </row>
    <row r="17887" spans="1:10" x14ac:dyDescent="0.2">
      <c r="A17887" s="859">
        <f t="shared" si="421"/>
        <v>17886</v>
      </c>
      <c r="B17887" s="845" t="s">
        <v>2565</v>
      </c>
      <c r="D17887" s="863"/>
      <c r="I17887" s="845" t="s">
        <v>1016</v>
      </c>
    </row>
    <row r="17888" spans="1:10" x14ac:dyDescent="0.2">
      <c r="A17888" s="859">
        <f t="shared" si="421"/>
        <v>17887</v>
      </c>
      <c r="B17888" s="845" t="s">
        <v>2565</v>
      </c>
      <c r="D17888" s="862"/>
      <c r="J17888" s="845" t="s">
        <v>2283</v>
      </c>
    </row>
    <row r="17889" spans="1:11" x14ac:dyDescent="0.2">
      <c r="A17889" s="859">
        <f t="shared" si="421"/>
        <v>17888</v>
      </c>
      <c r="B17889" s="845" t="s">
        <v>2565</v>
      </c>
      <c r="D17889" s="862"/>
      <c r="I17889" s="845" t="s">
        <v>1017</v>
      </c>
    </row>
    <row r="17890" spans="1:11" x14ac:dyDescent="0.2">
      <c r="A17890" s="859">
        <f t="shared" si="421"/>
        <v>17889</v>
      </c>
      <c r="B17890" s="845" t="s">
        <v>2565</v>
      </c>
      <c r="D17890" s="861"/>
      <c r="I17890" s="845" t="str">
        <f>CONCATENATE("&lt;valeur&gt;",Cellule_54,"&lt;/valeur&gt;")</f>
        <v>&lt;valeur&gt;31/12/2015&lt;/valeur&gt;</v>
      </c>
    </row>
    <row r="17891" spans="1:11" x14ac:dyDescent="0.2">
      <c r="A17891" s="859">
        <f t="shared" si="421"/>
        <v>17890</v>
      </c>
      <c r="B17891" s="845" t="s">
        <v>2565</v>
      </c>
      <c r="D17891" s="861"/>
      <c r="H17891" s="845" t="s">
        <v>1018</v>
      </c>
    </row>
    <row r="17892" spans="1:11" x14ac:dyDescent="0.2">
      <c r="A17892" s="859">
        <f t="shared" si="421"/>
        <v>17891</v>
      </c>
      <c r="B17892" s="845" t="s">
        <v>2565</v>
      </c>
      <c r="D17892" s="862"/>
      <c r="G17892" s="845" t="s">
        <v>1013</v>
      </c>
    </row>
    <row r="17893" spans="1:11" x14ac:dyDescent="0.2">
      <c r="A17893" s="859">
        <f t="shared" si="421"/>
        <v>17892</v>
      </c>
      <c r="B17893" s="845" t="s">
        <v>2565</v>
      </c>
      <c r="D17893" s="863"/>
      <c r="F17893" s="845" t="s">
        <v>1014</v>
      </c>
    </row>
    <row r="17894" spans="1:11" x14ac:dyDescent="0.2">
      <c r="A17894" s="859">
        <f t="shared" si="421"/>
        <v>17893</v>
      </c>
      <c r="B17894" s="845" t="s">
        <v>2566</v>
      </c>
      <c r="D17894" s="862"/>
      <c r="F17894" s="845" t="s">
        <v>1005</v>
      </c>
    </row>
    <row r="17895" spans="1:11" x14ac:dyDescent="0.2">
      <c r="A17895" s="859">
        <f t="shared" si="421"/>
        <v>17894</v>
      </c>
      <c r="B17895" s="845" t="s">
        <v>2566</v>
      </c>
      <c r="D17895" s="862"/>
      <c r="G17895" s="845" t="s">
        <v>2284</v>
      </c>
    </row>
    <row r="17896" spans="1:11" x14ac:dyDescent="0.2">
      <c r="A17896" s="859">
        <f t="shared" si="421"/>
        <v>17895</v>
      </c>
      <c r="B17896" s="845" t="s">
        <v>2566</v>
      </c>
      <c r="D17896" s="861"/>
      <c r="G17896" s="845" t="s">
        <v>1006</v>
      </c>
    </row>
    <row r="17897" spans="1:11" x14ac:dyDescent="0.2">
      <c r="A17897" s="859">
        <f t="shared" si="421"/>
        <v>17896</v>
      </c>
      <c r="B17897" s="990" t="s">
        <v>2566</v>
      </c>
      <c r="C17897" s="990"/>
      <c r="D17897" s="998"/>
      <c r="E17897" s="990"/>
      <c r="F17897" s="990"/>
      <c r="G17897" s="990"/>
      <c r="H17897" s="990" t="s">
        <v>1007</v>
      </c>
      <c r="I17897" s="990"/>
      <c r="J17897" s="990"/>
      <c r="K17897" s="986"/>
    </row>
    <row r="17898" spans="1:11" x14ac:dyDescent="0.2">
      <c r="A17898" s="859">
        <f t="shared" si="421"/>
        <v>17897</v>
      </c>
      <c r="B17898" s="845" t="s">
        <v>2566</v>
      </c>
      <c r="D17898" s="862"/>
      <c r="I17898" s="845" t="s">
        <v>2285</v>
      </c>
      <c r="K17898" s="989"/>
    </row>
    <row r="17899" spans="1:11" x14ac:dyDescent="0.2">
      <c r="A17899" s="859">
        <f t="shared" si="421"/>
        <v>17898</v>
      </c>
      <c r="B17899" s="845" t="s">
        <v>2566</v>
      </c>
      <c r="D17899" s="863"/>
      <c r="I17899" s="845" t="str">
        <f>CONCATENATE("&lt;valeur&gt;",Cellule_1208_1,"&lt;/valeur&gt;")</f>
        <v>&lt;valeur&gt;&lt;/valeur&gt;</v>
      </c>
      <c r="K17899" s="989"/>
    </row>
    <row r="17900" spans="1:11" x14ac:dyDescent="0.2">
      <c r="A17900" s="859">
        <f t="shared" si="421"/>
        <v>17899</v>
      </c>
      <c r="B17900" s="845" t="s">
        <v>2566</v>
      </c>
      <c r="D17900" s="862"/>
      <c r="I17900" s="845" t="s">
        <v>1249</v>
      </c>
      <c r="K17900" s="989"/>
    </row>
    <row r="17901" spans="1:11" x14ac:dyDescent="0.2">
      <c r="A17901" s="859">
        <f t="shared" si="421"/>
        <v>17900</v>
      </c>
      <c r="B17901" s="845" t="s">
        <v>2566</v>
      </c>
      <c r="D17901" s="862"/>
      <c r="H17901" s="845" t="s">
        <v>1010</v>
      </c>
      <c r="K17901" s="989"/>
    </row>
    <row r="17902" spans="1:11" x14ac:dyDescent="0.2">
      <c r="A17902" s="859">
        <f t="shared" si="421"/>
        <v>17901</v>
      </c>
      <c r="B17902" s="845" t="s">
        <v>2566</v>
      </c>
      <c r="D17902" s="861"/>
      <c r="H17902" s="845" t="s">
        <v>1007</v>
      </c>
      <c r="K17902" s="989"/>
    </row>
    <row r="17903" spans="1:11" x14ac:dyDescent="0.2">
      <c r="A17903" s="859">
        <f t="shared" si="421"/>
        <v>17902</v>
      </c>
      <c r="B17903" s="845" t="s">
        <v>2566</v>
      </c>
      <c r="D17903" s="861"/>
      <c r="I17903" s="845" t="s">
        <v>2286</v>
      </c>
      <c r="K17903" s="989"/>
    </row>
    <row r="17904" spans="1:11" x14ac:dyDescent="0.2">
      <c r="A17904" s="859">
        <f t="shared" si="421"/>
        <v>17903</v>
      </c>
      <c r="B17904" s="845" t="s">
        <v>2566</v>
      </c>
      <c r="D17904" s="862"/>
      <c r="I17904" s="845" t="str">
        <f>CONCATENATE("&lt;valeur&gt;",Cellule_1209_1,"&lt;/valeur&gt;")</f>
        <v>&lt;valeur&gt;&lt;/valeur&gt;</v>
      </c>
      <c r="K17904" s="989"/>
    </row>
    <row r="17905" spans="1:11" x14ac:dyDescent="0.2">
      <c r="A17905" s="859">
        <f t="shared" si="421"/>
        <v>17904</v>
      </c>
      <c r="B17905" s="845" t="s">
        <v>2566</v>
      </c>
      <c r="D17905" s="863"/>
      <c r="I17905" s="845" t="s">
        <v>1249</v>
      </c>
      <c r="K17905" s="989"/>
    </row>
    <row r="17906" spans="1:11" x14ac:dyDescent="0.2">
      <c r="A17906" s="859">
        <f t="shared" si="421"/>
        <v>17905</v>
      </c>
      <c r="B17906" s="845" t="s">
        <v>2566</v>
      </c>
      <c r="D17906" s="862"/>
      <c r="H17906" s="845" t="s">
        <v>1010</v>
      </c>
      <c r="K17906" s="989"/>
    </row>
    <row r="17907" spans="1:11" x14ac:dyDescent="0.2">
      <c r="A17907" s="859">
        <f t="shared" si="421"/>
        <v>17906</v>
      </c>
      <c r="B17907" s="845" t="s">
        <v>2566</v>
      </c>
      <c r="D17907" s="862"/>
      <c r="H17907" s="845" t="s">
        <v>1007</v>
      </c>
      <c r="K17907" s="989"/>
    </row>
    <row r="17908" spans="1:11" x14ac:dyDescent="0.2">
      <c r="A17908" s="859">
        <f t="shared" si="421"/>
        <v>17907</v>
      </c>
      <c r="B17908" s="845" t="s">
        <v>2566</v>
      </c>
      <c r="D17908" s="861"/>
      <c r="I17908" s="845" t="s">
        <v>2287</v>
      </c>
      <c r="K17908" s="989"/>
    </row>
    <row r="17909" spans="1:11" x14ac:dyDescent="0.2">
      <c r="A17909" s="859">
        <f t="shared" si="421"/>
        <v>17908</v>
      </c>
      <c r="B17909" s="845" t="s">
        <v>2566</v>
      </c>
      <c r="D17909" s="861"/>
      <c r="I17909" s="845" t="str">
        <f>CONCATENATE("&lt;valeur&gt;",Cellule_1210_1,"&lt;/valeur&gt;")</f>
        <v>&lt;valeur&gt;&lt;/valeur&gt;</v>
      </c>
      <c r="K17909" s="989"/>
    </row>
    <row r="17910" spans="1:11" x14ac:dyDescent="0.2">
      <c r="A17910" s="859">
        <f t="shared" si="421"/>
        <v>17909</v>
      </c>
      <c r="B17910" s="845" t="s">
        <v>2566</v>
      </c>
      <c r="D17910" s="862"/>
      <c r="I17910" s="845" t="s">
        <v>1249</v>
      </c>
      <c r="K17910" s="989"/>
    </row>
    <row r="17911" spans="1:11" x14ac:dyDescent="0.2">
      <c r="A17911" s="859">
        <f t="shared" si="421"/>
        <v>17910</v>
      </c>
      <c r="B17911" s="845" t="s">
        <v>2566</v>
      </c>
      <c r="D17911" s="863"/>
      <c r="H17911" s="845" t="s">
        <v>1010</v>
      </c>
      <c r="K17911" s="989"/>
    </row>
    <row r="17912" spans="1:11" x14ac:dyDescent="0.2">
      <c r="A17912" s="859">
        <f t="shared" si="421"/>
        <v>17911</v>
      </c>
      <c r="B17912" s="845" t="s">
        <v>2566</v>
      </c>
      <c r="D17912" s="862"/>
      <c r="H17912" s="845" t="s">
        <v>1007</v>
      </c>
      <c r="K17912" s="989"/>
    </row>
    <row r="17913" spans="1:11" x14ac:dyDescent="0.2">
      <c r="A17913" s="859">
        <f t="shared" si="421"/>
        <v>17912</v>
      </c>
      <c r="B17913" s="845" t="s">
        <v>2566</v>
      </c>
      <c r="D17913" s="862"/>
      <c r="I17913" s="845" t="s">
        <v>2288</v>
      </c>
      <c r="K17913" s="989"/>
    </row>
    <row r="17914" spans="1:11" x14ac:dyDescent="0.2">
      <c r="A17914" s="859">
        <f t="shared" si="421"/>
        <v>17913</v>
      </c>
      <c r="B17914" s="845" t="s">
        <v>2566</v>
      </c>
      <c r="D17914" s="861"/>
      <c r="I17914" s="845" t="str">
        <f>CONCATENATE("&lt;valeur&gt;",Cellule_1211_1,"&lt;/valeur&gt;")</f>
        <v>&lt;valeur&gt;&lt;/valeur&gt;</v>
      </c>
      <c r="K17914" s="989"/>
    </row>
    <row r="17915" spans="1:11" x14ac:dyDescent="0.2">
      <c r="A17915" s="859">
        <f t="shared" si="421"/>
        <v>17914</v>
      </c>
      <c r="B17915" s="845" t="s">
        <v>2566</v>
      </c>
      <c r="D17915" s="861"/>
      <c r="I17915" s="845" t="s">
        <v>1249</v>
      </c>
      <c r="K17915" s="989"/>
    </row>
    <row r="17916" spans="1:11" x14ac:dyDescent="0.2">
      <c r="A17916" s="859">
        <f t="shared" si="421"/>
        <v>17915</v>
      </c>
      <c r="B17916" s="845" t="s">
        <v>2566</v>
      </c>
      <c r="D17916" s="862"/>
      <c r="H17916" s="845" t="s">
        <v>1010</v>
      </c>
      <c r="K17916" s="989"/>
    </row>
    <row r="17917" spans="1:11" x14ac:dyDescent="0.2">
      <c r="A17917" s="859">
        <f t="shared" si="421"/>
        <v>17916</v>
      </c>
      <c r="B17917" s="845" t="s">
        <v>2566</v>
      </c>
      <c r="D17917" s="863"/>
      <c r="H17917" s="845" t="s">
        <v>1007</v>
      </c>
      <c r="K17917" s="989"/>
    </row>
    <row r="17918" spans="1:11" x14ac:dyDescent="0.2">
      <c r="A17918" s="859">
        <f t="shared" si="421"/>
        <v>17917</v>
      </c>
      <c r="B17918" s="845" t="s">
        <v>2566</v>
      </c>
      <c r="D17918" s="862"/>
      <c r="I17918" s="845" t="s">
        <v>2289</v>
      </c>
      <c r="K17918" s="989"/>
    </row>
    <row r="17919" spans="1:11" x14ac:dyDescent="0.2">
      <c r="A17919" s="859">
        <f t="shared" si="421"/>
        <v>17918</v>
      </c>
      <c r="B17919" s="845" t="s">
        <v>2566</v>
      </c>
      <c r="D17919" s="862"/>
      <c r="I17919" s="845" t="str">
        <f>CONCATENATE("&lt;valeur&gt;",Cellule_1212_1,"&lt;/valeur&gt;")</f>
        <v>&lt;valeur&gt;&lt;/valeur&gt;</v>
      </c>
      <c r="K17919" s="989"/>
    </row>
    <row r="17920" spans="1:11" x14ac:dyDescent="0.2">
      <c r="A17920" s="859">
        <f t="shared" si="421"/>
        <v>17919</v>
      </c>
      <c r="B17920" s="845" t="s">
        <v>2566</v>
      </c>
      <c r="D17920" s="861"/>
      <c r="I17920" s="845" t="s">
        <v>1249</v>
      </c>
      <c r="K17920" s="989"/>
    </row>
    <row r="17921" spans="1:11" x14ac:dyDescent="0.2">
      <c r="A17921" s="859">
        <f t="shared" si="421"/>
        <v>17920</v>
      </c>
      <c r="B17921" s="845" t="s">
        <v>2566</v>
      </c>
      <c r="D17921" s="861"/>
      <c r="H17921" s="845" t="s">
        <v>1010</v>
      </c>
      <c r="K17921" s="989"/>
    </row>
    <row r="17922" spans="1:11" x14ac:dyDescent="0.2">
      <c r="A17922" s="859">
        <f t="shared" si="421"/>
        <v>17921</v>
      </c>
      <c r="B17922" s="845" t="s">
        <v>2566</v>
      </c>
      <c r="D17922" s="862"/>
      <c r="H17922" s="845" t="s">
        <v>1007</v>
      </c>
      <c r="K17922" s="989"/>
    </row>
    <row r="17923" spans="1:11" x14ac:dyDescent="0.2">
      <c r="A17923" s="859">
        <f t="shared" si="421"/>
        <v>17922</v>
      </c>
      <c r="B17923" s="845" t="s">
        <v>2566</v>
      </c>
      <c r="D17923" s="863"/>
      <c r="I17923" s="845" t="s">
        <v>2290</v>
      </c>
      <c r="K17923" s="989"/>
    </row>
    <row r="17924" spans="1:11" x14ac:dyDescent="0.2">
      <c r="A17924" s="859">
        <f t="shared" ref="A17924:A17987" si="422">+A17923+1</f>
        <v>17923</v>
      </c>
      <c r="B17924" s="845" t="s">
        <v>2566</v>
      </c>
      <c r="D17924" s="862"/>
      <c r="I17924" s="845" t="str">
        <f>CONCATENATE("&lt;valeur&gt;",Cellule_1213_1,"&lt;/valeur&gt;")</f>
        <v>&lt;valeur&gt;&lt;/valeur&gt;</v>
      </c>
      <c r="K17924" s="989"/>
    </row>
    <row r="17925" spans="1:11" x14ac:dyDescent="0.2">
      <c r="A17925" s="859">
        <f t="shared" si="422"/>
        <v>17924</v>
      </c>
      <c r="B17925" s="845" t="s">
        <v>2566</v>
      </c>
      <c r="D17925" s="862"/>
      <c r="I17925" s="845" t="s">
        <v>1249</v>
      </c>
      <c r="K17925" s="989"/>
    </row>
    <row r="17926" spans="1:11" x14ac:dyDescent="0.2">
      <c r="A17926" s="859">
        <f t="shared" si="422"/>
        <v>17925</v>
      </c>
      <c r="B17926" s="845" t="s">
        <v>2566</v>
      </c>
      <c r="D17926" s="861"/>
      <c r="H17926" s="845" t="s">
        <v>1010</v>
      </c>
      <c r="K17926" s="989"/>
    </row>
    <row r="17927" spans="1:11" x14ac:dyDescent="0.2">
      <c r="A17927" s="859">
        <f t="shared" si="422"/>
        <v>17926</v>
      </c>
      <c r="B17927" s="845" t="s">
        <v>2566</v>
      </c>
      <c r="D17927" s="861"/>
      <c r="H17927" s="845" t="s">
        <v>1007</v>
      </c>
      <c r="K17927" s="989"/>
    </row>
    <row r="17928" spans="1:11" x14ac:dyDescent="0.2">
      <c r="A17928" s="859">
        <f t="shared" si="422"/>
        <v>17927</v>
      </c>
      <c r="B17928" s="845" t="s">
        <v>2566</v>
      </c>
      <c r="D17928" s="862"/>
      <c r="I17928" s="845" t="s">
        <v>2291</v>
      </c>
      <c r="K17928" s="989"/>
    </row>
    <row r="17929" spans="1:11" x14ac:dyDescent="0.2">
      <c r="A17929" s="859">
        <f t="shared" si="422"/>
        <v>17928</v>
      </c>
      <c r="B17929" s="845" t="s">
        <v>2566</v>
      </c>
      <c r="D17929" s="863"/>
      <c r="I17929" s="845" t="str">
        <f>CONCATENATE("&lt;valeur&gt;",Cellule_1214_1,"&lt;/valeur&gt;")</f>
        <v>&lt;valeur&gt;&lt;/valeur&gt;</v>
      </c>
      <c r="K17929" s="989"/>
    </row>
    <row r="17930" spans="1:11" x14ac:dyDescent="0.2">
      <c r="A17930" s="859">
        <f t="shared" si="422"/>
        <v>17929</v>
      </c>
      <c r="B17930" s="845" t="s">
        <v>2566</v>
      </c>
      <c r="D17930" s="862"/>
      <c r="I17930" s="845" t="s">
        <v>1249</v>
      </c>
      <c r="K17930" s="989"/>
    </row>
    <row r="17931" spans="1:11" x14ac:dyDescent="0.2">
      <c r="A17931" s="859">
        <f t="shared" si="422"/>
        <v>17930</v>
      </c>
      <c r="B17931" s="845" t="s">
        <v>2566</v>
      </c>
      <c r="D17931" s="862"/>
      <c r="H17931" s="845" t="s">
        <v>1010</v>
      </c>
      <c r="K17931" s="989"/>
    </row>
    <row r="17932" spans="1:11" x14ac:dyDescent="0.2">
      <c r="A17932" s="859">
        <f t="shared" si="422"/>
        <v>17931</v>
      </c>
      <c r="B17932" s="845" t="s">
        <v>2566</v>
      </c>
      <c r="D17932" s="861"/>
      <c r="H17932" s="845" t="s">
        <v>1007</v>
      </c>
      <c r="K17932" s="989"/>
    </row>
    <row r="17933" spans="1:11" x14ac:dyDescent="0.2">
      <c r="A17933" s="859">
        <f t="shared" si="422"/>
        <v>17932</v>
      </c>
      <c r="B17933" s="845" t="s">
        <v>2566</v>
      </c>
      <c r="D17933" s="861"/>
      <c r="I17933" s="845" t="s">
        <v>2292</v>
      </c>
      <c r="K17933" s="989"/>
    </row>
    <row r="17934" spans="1:11" x14ac:dyDescent="0.2">
      <c r="A17934" s="859">
        <f t="shared" si="422"/>
        <v>17933</v>
      </c>
      <c r="B17934" s="845" t="s">
        <v>2566</v>
      </c>
      <c r="D17934" s="862"/>
      <c r="I17934" s="845" t="str">
        <f>CONCATENATE("&lt;valeur&gt;",Cellule_1215_1,"&lt;/valeur&gt;")</f>
        <v>&lt;valeur&gt;&lt;/valeur&gt;</v>
      </c>
      <c r="K17934" s="989"/>
    </row>
    <row r="17935" spans="1:11" x14ac:dyDescent="0.2">
      <c r="A17935" s="859">
        <f t="shared" si="422"/>
        <v>17934</v>
      </c>
      <c r="B17935" s="845" t="s">
        <v>2566</v>
      </c>
      <c r="D17935" s="863"/>
      <c r="I17935" s="845" t="s">
        <v>1249</v>
      </c>
      <c r="K17935" s="989"/>
    </row>
    <row r="17936" spans="1:11" x14ac:dyDescent="0.2">
      <c r="A17936" s="859">
        <f t="shared" si="422"/>
        <v>17935</v>
      </c>
      <c r="B17936" s="845" t="s">
        <v>2566</v>
      </c>
      <c r="D17936" s="862"/>
      <c r="H17936" s="845" t="s">
        <v>1010</v>
      </c>
      <c r="K17936" s="989"/>
    </row>
    <row r="17937" spans="1:11" x14ac:dyDescent="0.2">
      <c r="A17937" s="859">
        <f t="shared" si="422"/>
        <v>17936</v>
      </c>
      <c r="B17937" s="845" t="s">
        <v>2566</v>
      </c>
      <c r="D17937" s="862"/>
      <c r="H17937" s="845" t="s">
        <v>1007</v>
      </c>
      <c r="K17937" s="989"/>
    </row>
    <row r="17938" spans="1:11" x14ac:dyDescent="0.2">
      <c r="A17938" s="859">
        <f t="shared" si="422"/>
        <v>17937</v>
      </c>
      <c r="B17938" s="845" t="s">
        <v>2566</v>
      </c>
      <c r="D17938" s="861"/>
      <c r="I17938" s="845" t="s">
        <v>2293</v>
      </c>
      <c r="K17938" s="989"/>
    </row>
    <row r="17939" spans="1:11" x14ac:dyDescent="0.2">
      <c r="A17939" s="859">
        <f t="shared" si="422"/>
        <v>17938</v>
      </c>
      <c r="B17939" s="845" t="s">
        <v>2566</v>
      </c>
      <c r="D17939" s="861"/>
      <c r="I17939" s="845" t="str">
        <f>CONCATENATE("&lt;valeur&gt;",Cellule_1216_1,"&lt;/valeur&gt;")</f>
        <v>&lt;valeur&gt;&lt;/valeur&gt;</v>
      </c>
      <c r="K17939" s="989"/>
    </row>
    <row r="17940" spans="1:11" x14ac:dyDescent="0.2">
      <c r="A17940" s="859">
        <f t="shared" si="422"/>
        <v>17939</v>
      </c>
      <c r="B17940" s="845" t="s">
        <v>2566</v>
      </c>
      <c r="D17940" s="862"/>
      <c r="I17940" s="845" t="s">
        <v>1249</v>
      </c>
      <c r="K17940" s="989"/>
    </row>
    <row r="17941" spans="1:11" x14ac:dyDescent="0.2">
      <c r="A17941" s="859">
        <f t="shared" si="422"/>
        <v>17940</v>
      </c>
      <c r="B17941" s="845" t="s">
        <v>2566</v>
      </c>
      <c r="D17941" s="863"/>
      <c r="H17941" s="845" t="s">
        <v>1010</v>
      </c>
      <c r="K17941" s="989"/>
    </row>
    <row r="17942" spans="1:11" x14ac:dyDescent="0.2">
      <c r="A17942" s="859">
        <f t="shared" si="422"/>
        <v>17941</v>
      </c>
      <c r="B17942" s="845" t="s">
        <v>2566</v>
      </c>
      <c r="D17942" s="862"/>
      <c r="H17942" s="845" t="s">
        <v>1007</v>
      </c>
      <c r="K17942" s="989"/>
    </row>
    <row r="17943" spans="1:11" x14ac:dyDescent="0.2">
      <c r="A17943" s="859">
        <f t="shared" si="422"/>
        <v>17942</v>
      </c>
      <c r="B17943" s="845" t="s">
        <v>2566</v>
      </c>
      <c r="D17943" s="862"/>
      <c r="I17943" s="845" t="s">
        <v>2294</v>
      </c>
      <c r="K17943" s="989"/>
    </row>
    <row r="17944" spans="1:11" x14ac:dyDescent="0.2">
      <c r="A17944" s="859">
        <f t="shared" si="422"/>
        <v>17943</v>
      </c>
      <c r="B17944" s="845" t="s">
        <v>2566</v>
      </c>
      <c r="D17944" s="861"/>
      <c r="I17944" s="845" t="str">
        <f>CONCATENATE("&lt;valeur&gt;",Cellule_1217_1,"&lt;/valeur&gt;")</f>
        <v>&lt;valeur&gt;&lt;/valeur&gt;</v>
      </c>
      <c r="K17944" s="989"/>
    </row>
    <row r="17945" spans="1:11" x14ac:dyDescent="0.2">
      <c r="A17945" s="859">
        <f t="shared" si="422"/>
        <v>17944</v>
      </c>
      <c r="B17945" s="845" t="s">
        <v>2566</v>
      </c>
      <c r="D17945" s="861"/>
      <c r="I17945" s="845" t="s">
        <v>1249</v>
      </c>
      <c r="K17945" s="989"/>
    </row>
    <row r="17946" spans="1:11" x14ac:dyDescent="0.2">
      <c r="A17946" s="859">
        <f t="shared" si="422"/>
        <v>17945</v>
      </c>
      <c r="B17946" s="845" t="s">
        <v>2566</v>
      </c>
      <c r="D17946" s="862"/>
      <c r="H17946" s="845" t="s">
        <v>1010</v>
      </c>
      <c r="K17946" s="989"/>
    </row>
    <row r="17947" spans="1:11" x14ac:dyDescent="0.2">
      <c r="A17947" s="859">
        <f t="shared" si="422"/>
        <v>17946</v>
      </c>
      <c r="B17947" s="845" t="s">
        <v>2566</v>
      </c>
      <c r="D17947" s="863"/>
      <c r="H17947" s="845" t="s">
        <v>1007</v>
      </c>
      <c r="K17947" s="989"/>
    </row>
    <row r="17948" spans="1:11" x14ac:dyDescent="0.2">
      <c r="A17948" s="859">
        <f t="shared" si="422"/>
        <v>17947</v>
      </c>
      <c r="B17948" s="845" t="s">
        <v>2566</v>
      </c>
      <c r="D17948" s="862"/>
      <c r="I17948" s="845" t="s">
        <v>2295</v>
      </c>
      <c r="K17948" s="989"/>
    </row>
    <row r="17949" spans="1:11" x14ac:dyDescent="0.2">
      <c r="A17949" s="859">
        <f t="shared" si="422"/>
        <v>17948</v>
      </c>
      <c r="B17949" s="845" t="s">
        <v>2566</v>
      </c>
      <c r="D17949" s="862"/>
      <c r="I17949" s="845" t="str">
        <f>CONCATENATE("&lt;valeur&gt;",Cellule_1218_1,"&lt;/valeur&gt;")</f>
        <v>&lt;valeur&gt;&lt;/valeur&gt;</v>
      </c>
      <c r="K17949" s="989"/>
    </row>
    <row r="17950" spans="1:11" x14ac:dyDescent="0.2">
      <c r="A17950" s="859">
        <f t="shared" si="422"/>
        <v>17949</v>
      </c>
      <c r="B17950" s="845" t="s">
        <v>2566</v>
      </c>
      <c r="D17950" s="861"/>
      <c r="I17950" s="845" t="s">
        <v>1249</v>
      </c>
      <c r="K17950" s="989"/>
    </row>
    <row r="17951" spans="1:11" x14ac:dyDescent="0.2">
      <c r="A17951" s="859">
        <f t="shared" si="422"/>
        <v>17950</v>
      </c>
      <c r="B17951" s="845" t="s">
        <v>2566</v>
      </c>
      <c r="D17951" s="861"/>
      <c r="H17951" s="845" t="s">
        <v>1010</v>
      </c>
      <c r="K17951" s="989"/>
    </row>
    <row r="17952" spans="1:11" x14ac:dyDescent="0.2">
      <c r="A17952" s="859">
        <f t="shared" si="422"/>
        <v>17951</v>
      </c>
      <c r="B17952" s="845" t="s">
        <v>2566</v>
      </c>
      <c r="D17952" s="862"/>
      <c r="H17952" s="845" t="s">
        <v>1007</v>
      </c>
      <c r="K17952" s="989"/>
    </row>
    <row r="17953" spans="1:11" x14ac:dyDescent="0.2">
      <c r="A17953" s="859">
        <f t="shared" si="422"/>
        <v>17952</v>
      </c>
      <c r="B17953" s="845" t="s">
        <v>2566</v>
      </c>
      <c r="D17953" s="863"/>
      <c r="I17953" s="845" t="s">
        <v>2296</v>
      </c>
      <c r="K17953" s="989"/>
    </row>
    <row r="17954" spans="1:11" x14ac:dyDescent="0.2">
      <c r="A17954" s="859">
        <f t="shared" si="422"/>
        <v>17953</v>
      </c>
      <c r="B17954" s="845" t="s">
        <v>2566</v>
      </c>
      <c r="D17954" s="862"/>
      <c r="I17954" s="845" t="str">
        <f>CONCATENATE("&lt;valeur&gt;",Cellule_1219_1,"&lt;/valeur&gt;")</f>
        <v>&lt;valeur&gt;&lt;/valeur&gt;</v>
      </c>
      <c r="K17954" s="989"/>
    </row>
    <row r="17955" spans="1:11" x14ac:dyDescent="0.2">
      <c r="A17955" s="859">
        <f t="shared" si="422"/>
        <v>17954</v>
      </c>
      <c r="B17955" s="845" t="s">
        <v>2566</v>
      </c>
      <c r="D17955" s="862"/>
      <c r="I17955" s="845" t="s">
        <v>1249</v>
      </c>
      <c r="K17955" s="989"/>
    </row>
    <row r="17956" spans="1:11" x14ac:dyDescent="0.2">
      <c r="A17956" s="859">
        <f t="shared" si="422"/>
        <v>17955</v>
      </c>
      <c r="B17956" s="845" t="s">
        <v>2566</v>
      </c>
      <c r="D17956" s="861"/>
      <c r="H17956" s="845" t="s">
        <v>1010</v>
      </c>
      <c r="K17956" s="989"/>
    </row>
    <row r="17957" spans="1:11" x14ac:dyDescent="0.2">
      <c r="A17957" s="859">
        <f t="shared" si="422"/>
        <v>17956</v>
      </c>
      <c r="B17957" s="845" t="s">
        <v>2566</v>
      </c>
      <c r="D17957" s="861"/>
      <c r="H17957" s="845" t="s">
        <v>1007</v>
      </c>
      <c r="K17957" s="989"/>
    </row>
    <row r="17958" spans="1:11" x14ac:dyDescent="0.2">
      <c r="A17958" s="859">
        <f t="shared" si="422"/>
        <v>17957</v>
      </c>
      <c r="B17958" s="845" t="s">
        <v>2566</v>
      </c>
      <c r="D17958" s="862"/>
      <c r="I17958" s="845" t="s">
        <v>2297</v>
      </c>
      <c r="K17958" s="989"/>
    </row>
    <row r="17959" spans="1:11" x14ac:dyDescent="0.2">
      <c r="A17959" s="859">
        <f t="shared" si="422"/>
        <v>17958</v>
      </c>
      <c r="B17959" s="845" t="s">
        <v>2566</v>
      </c>
      <c r="D17959" s="863"/>
      <c r="I17959" s="845" t="str">
        <f>CONCATENATE("&lt;valeur&gt;",Cellule_1220_1,"&lt;/valeur&gt;")</f>
        <v>&lt;valeur&gt;&lt;/valeur&gt;</v>
      </c>
      <c r="K17959" s="989"/>
    </row>
    <row r="17960" spans="1:11" x14ac:dyDescent="0.2">
      <c r="A17960" s="859">
        <f t="shared" si="422"/>
        <v>17959</v>
      </c>
      <c r="B17960" s="845" t="s">
        <v>2566</v>
      </c>
      <c r="D17960" s="862"/>
      <c r="I17960" s="845" t="s">
        <v>1249</v>
      </c>
      <c r="K17960" s="989"/>
    </row>
    <row r="17961" spans="1:11" x14ac:dyDescent="0.2">
      <c r="A17961" s="859">
        <f t="shared" si="422"/>
        <v>17960</v>
      </c>
      <c r="B17961" s="991" t="s">
        <v>2566</v>
      </c>
      <c r="C17961" s="991"/>
      <c r="D17961" s="1002"/>
      <c r="E17961" s="991"/>
      <c r="F17961" s="991"/>
      <c r="G17961" s="991"/>
      <c r="H17961" s="991" t="s">
        <v>1010</v>
      </c>
      <c r="I17961" s="991"/>
      <c r="J17961" s="991"/>
      <c r="K17961" s="1000"/>
    </row>
    <row r="17962" spans="1:11" x14ac:dyDescent="0.2">
      <c r="A17962" s="859">
        <f t="shared" si="422"/>
        <v>17961</v>
      </c>
      <c r="B17962" s="990" t="s">
        <v>2566</v>
      </c>
      <c r="C17962" s="990"/>
      <c r="D17962" s="998"/>
      <c r="E17962" s="990"/>
      <c r="F17962" s="990"/>
      <c r="G17962" s="990"/>
      <c r="H17962" s="990" t="s">
        <v>1007</v>
      </c>
      <c r="I17962" s="990"/>
      <c r="J17962" s="990"/>
      <c r="K17962" s="986"/>
    </row>
    <row r="17963" spans="1:11" x14ac:dyDescent="0.2">
      <c r="A17963" s="859">
        <f t="shared" si="422"/>
        <v>17962</v>
      </c>
      <c r="B17963" s="845" t="s">
        <v>2566</v>
      </c>
      <c r="D17963" s="862"/>
      <c r="I17963" s="845" t="s">
        <v>2285</v>
      </c>
      <c r="K17963" s="989"/>
    </row>
    <row r="17964" spans="1:11" x14ac:dyDescent="0.2">
      <c r="A17964" s="859">
        <f t="shared" si="422"/>
        <v>17963</v>
      </c>
      <c r="B17964" s="845" t="s">
        <v>2566</v>
      </c>
      <c r="D17964" s="863"/>
      <c r="I17964" s="845" t="str">
        <f>CONCATENATE("&lt;valeur&gt;",Cellule_1208_2,"&lt;/valeur&gt;")</f>
        <v>&lt;valeur&gt;&lt;/valeur&gt;</v>
      </c>
      <c r="K17964" s="989"/>
    </row>
    <row r="17965" spans="1:11" x14ac:dyDescent="0.2">
      <c r="A17965" s="859">
        <f t="shared" si="422"/>
        <v>17964</v>
      </c>
      <c r="B17965" s="845" t="s">
        <v>2566</v>
      </c>
      <c r="D17965" s="862"/>
      <c r="I17965" s="845" t="s">
        <v>2577</v>
      </c>
      <c r="K17965" s="989"/>
    </row>
    <row r="17966" spans="1:11" x14ac:dyDescent="0.2">
      <c r="A17966" s="859">
        <f t="shared" si="422"/>
        <v>17965</v>
      </c>
      <c r="B17966" s="845" t="s">
        <v>2566</v>
      </c>
      <c r="D17966" s="862"/>
      <c r="H17966" s="845" t="s">
        <v>1010</v>
      </c>
      <c r="K17966" s="989"/>
    </row>
    <row r="17967" spans="1:11" x14ac:dyDescent="0.2">
      <c r="A17967" s="859">
        <f t="shared" si="422"/>
        <v>17966</v>
      </c>
      <c r="B17967" s="845" t="s">
        <v>2566</v>
      </c>
      <c r="D17967" s="861"/>
      <c r="H17967" s="845" t="s">
        <v>1007</v>
      </c>
      <c r="K17967" s="989"/>
    </row>
    <row r="17968" spans="1:11" x14ac:dyDescent="0.2">
      <c r="A17968" s="859">
        <f t="shared" si="422"/>
        <v>17967</v>
      </c>
      <c r="B17968" s="845" t="s">
        <v>2566</v>
      </c>
      <c r="D17968" s="861"/>
      <c r="I17968" s="845" t="s">
        <v>2286</v>
      </c>
      <c r="K17968" s="989"/>
    </row>
    <row r="17969" spans="1:11" x14ac:dyDescent="0.2">
      <c r="A17969" s="859">
        <f t="shared" si="422"/>
        <v>17968</v>
      </c>
      <c r="B17969" s="845" t="s">
        <v>2566</v>
      </c>
      <c r="D17969" s="862"/>
      <c r="I17969" s="845" t="str">
        <f>CONCATENATE("&lt;valeur&gt;",Cellule_1209_2,"&lt;/valeur&gt;")</f>
        <v>&lt;valeur&gt;&lt;/valeur&gt;</v>
      </c>
      <c r="K17969" s="989"/>
    </row>
    <row r="17970" spans="1:11" x14ac:dyDescent="0.2">
      <c r="A17970" s="859">
        <f t="shared" si="422"/>
        <v>17969</v>
      </c>
      <c r="B17970" s="845" t="s">
        <v>2566</v>
      </c>
      <c r="D17970" s="863"/>
      <c r="I17970" s="845" t="s">
        <v>2577</v>
      </c>
      <c r="K17970" s="989"/>
    </row>
    <row r="17971" spans="1:11" x14ac:dyDescent="0.2">
      <c r="A17971" s="859">
        <f t="shared" si="422"/>
        <v>17970</v>
      </c>
      <c r="B17971" s="845" t="s">
        <v>2566</v>
      </c>
      <c r="D17971" s="862"/>
      <c r="H17971" s="845" t="s">
        <v>1010</v>
      </c>
      <c r="K17971" s="989"/>
    </row>
    <row r="17972" spans="1:11" x14ac:dyDescent="0.2">
      <c r="A17972" s="859">
        <f t="shared" si="422"/>
        <v>17971</v>
      </c>
      <c r="B17972" s="845" t="s">
        <v>2566</v>
      </c>
      <c r="D17972" s="862"/>
      <c r="H17972" s="845" t="s">
        <v>1007</v>
      </c>
      <c r="K17972" s="989"/>
    </row>
    <row r="17973" spans="1:11" x14ac:dyDescent="0.2">
      <c r="A17973" s="859">
        <f t="shared" si="422"/>
        <v>17972</v>
      </c>
      <c r="B17973" s="845" t="s">
        <v>2566</v>
      </c>
      <c r="D17973" s="861"/>
      <c r="I17973" s="845" t="s">
        <v>2287</v>
      </c>
      <c r="K17973" s="989"/>
    </row>
    <row r="17974" spans="1:11" x14ac:dyDescent="0.2">
      <c r="A17974" s="859">
        <f t="shared" si="422"/>
        <v>17973</v>
      </c>
      <c r="B17974" s="845" t="s">
        <v>2566</v>
      </c>
      <c r="D17974" s="861"/>
      <c r="I17974" s="845" t="str">
        <f>CONCATENATE("&lt;valeur&gt;",Cellule_1210_2,"&lt;/valeur&gt;")</f>
        <v>&lt;valeur&gt;&lt;/valeur&gt;</v>
      </c>
      <c r="K17974" s="989"/>
    </row>
    <row r="17975" spans="1:11" x14ac:dyDescent="0.2">
      <c r="A17975" s="859">
        <f t="shared" si="422"/>
        <v>17974</v>
      </c>
      <c r="B17975" s="845" t="s">
        <v>2566</v>
      </c>
      <c r="D17975" s="862"/>
      <c r="I17975" s="845" t="s">
        <v>2577</v>
      </c>
      <c r="K17975" s="989"/>
    </row>
    <row r="17976" spans="1:11" x14ac:dyDescent="0.2">
      <c r="A17976" s="859">
        <f t="shared" si="422"/>
        <v>17975</v>
      </c>
      <c r="B17976" s="845" t="s">
        <v>2566</v>
      </c>
      <c r="D17976" s="863"/>
      <c r="H17976" s="845" t="s">
        <v>1010</v>
      </c>
      <c r="K17976" s="989"/>
    </row>
    <row r="17977" spans="1:11" x14ac:dyDescent="0.2">
      <c r="A17977" s="859">
        <f t="shared" si="422"/>
        <v>17976</v>
      </c>
      <c r="B17977" s="845" t="s">
        <v>2566</v>
      </c>
      <c r="D17977" s="862"/>
      <c r="H17977" s="845" t="s">
        <v>1007</v>
      </c>
      <c r="K17977" s="989"/>
    </row>
    <row r="17978" spans="1:11" x14ac:dyDescent="0.2">
      <c r="A17978" s="859">
        <f t="shared" si="422"/>
        <v>17977</v>
      </c>
      <c r="B17978" s="845" t="s">
        <v>2566</v>
      </c>
      <c r="D17978" s="862"/>
      <c r="I17978" s="845" t="s">
        <v>2288</v>
      </c>
      <c r="K17978" s="989"/>
    </row>
    <row r="17979" spans="1:11" x14ac:dyDescent="0.2">
      <c r="A17979" s="859">
        <f t="shared" si="422"/>
        <v>17978</v>
      </c>
      <c r="B17979" s="845" t="s">
        <v>2566</v>
      </c>
      <c r="D17979" s="861"/>
      <c r="I17979" s="845" t="str">
        <f>CONCATENATE("&lt;valeur&gt;",Cellule_1211_2,"&lt;/valeur&gt;")</f>
        <v>&lt;valeur&gt;&lt;/valeur&gt;</v>
      </c>
      <c r="K17979" s="989"/>
    </row>
    <row r="17980" spans="1:11" x14ac:dyDescent="0.2">
      <c r="A17980" s="859">
        <f t="shared" si="422"/>
        <v>17979</v>
      </c>
      <c r="B17980" s="845" t="s">
        <v>2566</v>
      </c>
      <c r="D17980" s="861"/>
      <c r="I17980" s="845" t="s">
        <v>2577</v>
      </c>
      <c r="K17980" s="989"/>
    </row>
    <row r="17981" spans="1:11" x14ac:dyDescent="0.2">
      <c r="A17981" s="859">
        <f t="shared" si="422"/>
        <v>17980</v>
      </c>
      <c r="B17981" s="845" t="s">
        <v>2566</v>
      </c>
      <c r="D17981" s="862"/>
      <c r="H17981" s="845" t="s">
        <v>1010</v>
      </c>
      <c r="K17981" s="989"/>
    </row>
    <row r="17982" spans="1:11" x14ac:dyDescent="0.2">
      <c r="A17982" s="859">
        <f t="shared" si="422"/>
        <v>17981</v>
      </c>
      <c r="B17982" s="845" t="s">
        <v>2566</v>
      </c>
      <c r="D17982" s="863"/>
      <c r="H17982" s="845" t="s">
        <v>1007</v>
      </c>
      <c r="K17982" s="989"/>
    </row>
    <row r="17983" spans="1:11" x14ac:dyDescent="0.2">
      <c r="A17983" s="859">
        <f t="shared" si="422"/>
        <v>17982</v>
      </c>
      <c r="B17983" s="845" t="s">
        <v>2566</v>
      </c>
      <c r="D17983" s="862"/>
      <c r="I17983" s="845" t="s">
        <v>2289</v>
      </c>
      <c r="K17983" s="989"/>
    </row>
    <row r="17984" spans="1:11" x14ac:dyDescent="0.2">
      <c r="A17984" s="859">
        <f t="shared" si="422"/>
        <v>17983</v>
      </c>
      <c r="B17984" s="845" t="s">
        <v>2566</v>
      </c>
      <c r="D17984" s="862"/>
      <c r="I17984" s="845" t="str">
        <f>CONCATENATE("&lt;valeur&gt;",Cellule_1212_2,"&lt;/valeur&gt;")</f>
        <v>&lt;valeur&gt;&lt;/valeur&gt;</v>
      </c>
      <c r="K17984" s="989"/>
    </row>
    <row r="17985" spans="1:11" x14ac:dyDescent="0.2">
      <c r="A17985" s="859">
        <f t="shared" si="422"/>
        <v>17984</v>
      </c>
      <c r="B17985" s="845" t="s">
        <v>2566</v>
      </c>
      <c r="D17985" s="861"/>
      <c r="I17985" s="845" t="s">
        <v>2577</v>
      </c>
      <c r="K17985" s="989"/>
    </row>
    <row r="17986" spans="1:11" x14ac:dyDescent="0.2">
      <c r="A17986" s="859">
        <f t="shared" si="422"/>
        <v>17985</v>
      </c>
      <c r="B17986" s="845" t="s">
        <v>2566</v>
      </c>
      <c r="D17986" s="861"/>
      <c r="H17986" s="845" t="s">
        <v>1010</v>
      </c>
      <c r="K17986" s="989"/>
    </row>
    <row r="17987" spans="1:11" x14ac:dyDescent="0.2">
      <c r="A17987" s="859">
        <f t="shared" si="422"/>
        <v>17986</v>
      </c>
      <c r="B17987" s="845" t="s">
        <v>2566</v>
      </c>
      <c r="D17987" s="862"/>
      <c r="H17987" s="845" t="s">
        <v>1007</v>
      </c>
      <c r="K17987" s="989"/>
    </row>
    <row r="17988" spans="1:11" x14ac:dyDescent="0.2">
      <c r="A17988" s="859">
        <f t="shared" ref="A17988:A18051" si="423">+A17987+1</f>
        <v>17987</v>
      </c>
      <c r="B17988" s="845" t="s">
        <v>2566</v>
      </c>
      <c r="D17988" s="863"/>
      <c r="I17988" s="845" t="s">
        <v>2290</v>
      </c>
      <c r="K17988" s="989"/>
    </row>
    <row r="17989" spans="1:11" x14ac:dyDescent="0.2">
      <c r="A17989" s="859">
        <f t="shared" si="423"/>
        <v>17988</v>
      </c>
      <c r="B17989" s="845" t="s">
        <v>2566</v>
      </c>
      <c r="D17989" s="862"/>
      <c r="I17989" s="845" t="str">
        <f>CONCATENATE("&lt;valeur&gt;",Cellule_1213_2,"&lt;/valeur&gt;")</f>
        <v>&lt;valeur&gt;&lt;/valeur&gt;</v>
      </c>
      <c r="K17989" s="989"/>
    </row>
    <row r="17990" spans="1:11" x14ac:dyDescent="0.2">
      <c r="A17990" s="859">
        <f t="shared" si="423"/>
        <v>17989</v>
      </c>
      <c r="B17990" s="845" t="s">
        <v>2566</v>
      </c>
      <c r="D17990" s="862"/>
      <c r="I17990" s="845" t="s">
        <v>2577</v>
      </c>
      <c r="K17990" s="989"/>
    </row>
    <row r="17991" spans="1:11" x14ac:dyDescent="0.2">
      <c r="A17991" s="859">
        <f t="shared" si="423"/>
        <v>17990</v>
      </c>
      <c r="B17991" s="845" t="s">
        <v>2566</v>
      </c>
      <c r="D17991" s="861"/>
      <c r="H17991" s="845" t="s">
        <v>1010</v>
      </c>
      <c r="K17991" s="989"/>
    </row>
    <row r="17992" spans="1:11" x14ac:dyDescent="0.2">
      <c r="A17992" s="859">
        <f t="shared" si="423"/>
        <v>17991</v>
      </c>
      <c r="B17992" s="845" t="s">
        <v>2566</v>
      </c>
      <c r="D17992" s="861"/>
      <c r="H17992" s="845" t="s">
        <v>1007</v>
      </c>
      <c r="K17992" s="989"/>
    </row>
    <row r="17993" spans="1:11" x14ac:dyDescent="0.2">
      <c r="A17993" s="859">
        <f t="shared" si="423"/>
        <v>17992</v>
      </c>
      <c r="B17993" s="845" t="s">
        <v>2566</v>
      </c>
      <c r="D17993" s="862"/>
      <c r="I17993" s="845" t="s">
        <v>2291</v>
      </c>
      <c r="K17993" s="989"/>
    </row>
    <row r="17994" spans="1:11" x14ac:dyDescent="0.2">
      <c r="A17994" s="859">
        <f t="shared" si="423"/>
        <v>17993</v>
      </c>
      <c r="B17994" s="845" t="s">
        <v>2566</v>
      </c>
      <c r="D17994" s="863"/>
      <c r="I17994" s="845" t="str">
        <f>CONCATENATE("&lt;valeur&gt;",Cellule_1214_2,"&lt;/valeur&gt;")</f>
        <v>&lt;valeur&gt;&lt;/valeur&gt;</v>
      </c>
      <c r="K17994" s="989"/>
    </row>
    <row r="17995" spans="1:11" x14ac:dyDescent="0.2">
      <c r="A17995" s="859">
        <f t="shared" si="423"/>
        <v>17994</v>
      </c>
      <c r="B17995" s="845" t="s">
        <v>2566</v>
      </c>
      <c r="D17995" s="862"/>
      <c r="I17995" s="845" t="s">
        <v>2577</v>
      </c>
      <c r="K17995" s="989"/>
    </row>
    <row r="17996" spans="1:11" x14ac:dyDescent="0.2">
      <c r="A17996" s="859">
        <f t="shared" si="423"/>
        <v>17995</v>
      </c>
      <c r="B17996" s="845" t="s">
        <v>2566</v>
      </c>
      <c r="D17996" s="862"/>
      <c r="H17996" s="845" t="s">
        <v>1010</v>
      </c>
      <c r="K17996" s="989"/>
    </row>
    <row r="17997" spans="1:11" x14ac:dyDescent="0.2">
      <c r="A17997" s="859">
        <f t="shared" si="423"/>
        <v>17996</v>
      </c>
      <c r="B17997" s="845" t="s">
        <v>2566</v>
      </c>
      <c r="D17997" s="861"/>
      <c r="H17997" s="845" t="s">
        <v>1007</v>
      </c>
      <c r="K17997" s="989"/>
    </row>
    <row r="17998" spans="1:11" x14ac:dyDescent="0.2">
      <c r="A17998" s="859">
        <f t="shared" si="423"/>
        <v>17997</v>
      </c>
      <c r="B17998" s="845" t="s">
        <v>2566</v>
      </c>
      <c r="D17998" s="861"/>
      <c r="I17998" s="845" t="s">
        <v>2292</v>
      </c>
      <c r="K17998" s="989"/>
    </row>
    <row r="17999" spans="1:11" x14ac:dyDescent="0.2">
      <c r="A17999" s="859">
        <f t="shared" si="423"/>
        <v>17998</v>
      </c>
      <c r="B17999" s="845" t="s">
        <v>2566</v>
      </c>
      <c r="D17999" s="862"/>
      <c r="I17999" s="845" t="str">
        <f>CONCATENATE("&lt;valeur&gt;",Cellule_1215_2,"&lt;/valeur&gt;")</f>
        <v>&lt;valeur&gt;&lt;/valeur&gt;</v>
      </c>
      <c r="K17999" s="989"/>
    </row>
    <row r="18000" spans="1:11" x14ac:dyDescent="0.2">
      <c r="A18000" s="859">
        <f t="shared" si="423"/>
        <v>17999</v>
      </c>
      <c r="B18000" s="845" t="s">
        <v>2566</v>
      </c>
      <c r="D18000" s="863"/>
      <c r="I18000" s="845" t="s">
        <v>2577</v>
      </c>
      <c r="K18000" s="989"/>
    </row>
    <row r="18001" spans="1:11" x14ac:dyDescent="0.2">
      <c r="A18001" s="859">
        <f t="shared" si="423"/>
        <v>18000</v>
      </c>
      <c r="B18001" s="845" t="s">
        <v>2566</v>
      </c>
      <c r="D18001" s="862"/>
      <c r="H18001" s="845" t="s">
        <v>1010</v>
      </c>
      <c r="K18001" s="989"/>
    </row>
    <row r="18002" spans="1:11" x14ac:dyDescent="0.2">
      <c r="A18002" s="859">
        <f t="shared" si="423"/>
        <v>18001</v>
      </c>
      <c r="B18002" s="845" t="s">
        <v>2566</v>
      </c>
      <c r="D18002" s="862"/>
      <c r="H18002" s="845" t="s">
        <v>1007</v>
      </c>
      <c r="K18002" s="989"/>
    </row>
    <row r="18003" spans="1:11" x14ac:dyDescent="0.2">
      <c r="A18003" s="859">
        <f t="shared" si="423"/>
        <v>18002</v>
      </c>
      <c r="B18003" s="845" t="s">
        <v>2566</v>
      </c>
      <c r="D18003" s="861"/>
      <c r="I18003" s="845" t="s">
        <v>2293</v>
      </c>
      <c r="K18003" s="989"/>
    </row>
    <row r="18004" spans="1:11" x14ac:dyDescent="0.2">
      <c r="A18004" s="859">
        <f t="shared" si="423"/>
        <v>18003</v>
      </c>
      <c r="B18004" s="845" t="s">
        <v>2566</v>
      </c>
      <c r="D18004" s="861"/>
      <c r="I18004" s="845" t="str">
        <f>CONCATENATE("&lt;valeur&gt;",Cellule_1216_2,"&lt;/valeur&gt;")</f>
        <v>&lt;valeur&gt;&lt;/valeur&gt;</v>
      </c>
      <c r="K18004" s="989"/>
    </row>
    <row r="18005" spans="1:11" x14ac:dyDescent="0.2">
      <c r="A18005" s="859">
        <f t="shared" si="423"/>
        <v>18004</v>
      </c>
      <c r="B18005" s="845" t="s">
        <v>2566</v>
      </c>
      <c r="D18005" s="862"/>
      <c r="I18005" s="845" t="s">
        <v>2577</v>
      </c>
      <c r="K18005" s="989"/>
    </row>
    <row r="18006" spans="1:11" x14ac:dyDescent="0.2">
      <c r="A18006" s="859">
        <f t="shared" si="423"/>
        <v>18005</v>
      </c>
      <c r="B18006" s="845" t="s">
        <v>2566</v>
      </c>
      <c r="D18006" s="863"/>
      <c r="H18006" s="845" t="s">
        <v>1010</v>
      </c>
      <c r="K18006" s="989"/>
    </row>
    <row r="18007" spans="1:11" x14ac:dyDescent="0.2">
      <c r="A18007" s="859">
        <f t="shared" si="423"/>
        <v>18006</v>
      </c>
      <c r="B18007" s="845" t="s">
        <v>2566</v>
      </c>
      <c r="D18007" s="862"/>
      <c r="H18007" s="845" t="s">
        <v>1007</v>
      </c>
      <c r="K18007" s="989"/>
    </row>
    <row r="18008" spans="1:11" x14ac:dyDescent="0.2">
      <c r="A18008" s="859">
        <f t="shared" si="423"/>
        <v>18007</v>
      </c>
      <c r="B18008" s="845" t="s">
        <v>2566</v>
      </c>
      <c r="D18008" s="862"/>
      <c r="I18008" s="845" t="s">
        <v>2294</v>
      </c>
      <c r="K18008" s="989"/>
    </row>
    <row r="18009" spans="1:11" x14ac:dyDescent="0.2">
      <c r="A18009" s="859">
        <f t="shared" si="423"/>
        <v>18008</v>
      </c>
      <c r="B18009" s="845" t="s">
        <v>2566</v>
      </c>
      <c r="D18009" s="861"/>
      <c r="I18009" s="845" t="str">
        <f>CONCATENATE("&lt;valeur&gt;",Cellule_1217_2,"&lt;/valeur&gt;")</f>
        <v>&lt;valeur&gt;&lt;/valeur&gt;</v>
      </c>
      <c r="K18009" s="989"/>
    </row>
    <row r="18010" spans="1:11" x14ac:dyDescent="0.2">
      <c r="A18010" s="859">
        <f t="shared" si="423"/>
        <v>18009</v>
      </c>
      <c r="B18010" s="845" t="s">
        <v>2566</v>
      </c>
      <c r="D18010" s="861"/>
      <c r="I18010" s="845" t="s">
        <v>2577</v>
      </c>
      <c r="K18010" s="989"/>
    </row>
    <row r="18011" spans="1:11" x14ac:dyDescent="0.2">
      <c r="A18011" s="859">
        <f t="shared" si="423"/>
        <v>18010</v>
      </c>
      <c r="B18011" s="845" t="s">
        <v>2566</v>
      </c>
      <c r="D18011" s="862"/>
      <c r="H18011" s="845" t="s">
        <v>1010</v>
      </c>
      <c r="K18011" s="989"/>
    </row>
    <row r="18012" spans="1:11" x14ac:dyDescent="0.2">
      <c r="A18012" s="859">
        <f t="shared" si="423"/>
        <v>18011</v>
      </c>
      <c r="B18012" s="845" t="s">
        <v>2566</v>
      </c>
      <c r="D18012" s="863"/>
      <c r="H18012" s="845" t="s">
        <v>1007</v>
      </c>
      <c r="K18012" s="989"/>
    </row>
    <row r="18013" spans="1:11" x14ac:dyDescent="0.2">
      <c r="A18013" s="859">
        <f t="shared" si="423"/>
        <v>18012</v>
      </c>
      <c r="B18013" s="845" t="s">
        <v>2566</v>
      </c>
      <c r="D18013" s="862"/>
      <c r="I18013" s="845" t="s">
        <v>2295</v>
      </c>
      <c r="K18013" s="989"/>
    </row>
    <row r="18014" spans="1:11" x14ac:dyDescent="0.2">
      <c r="A18014" s="859">
        <f t="shared" si="423"/>
        <v>18013</v>
      </c>
      <c r="B18014" s="845" t="s">
        <v>2566</v>
      </c>
      <c r="D18014" s="862"/>
      <c r="I18014" s="845" t="str">
        <f>CONCATENATE("&lt;valeur&gt;",Cellule_1218_2,"&lt;/valeur&gt;")</f>
        <v>&lt;valeur&gt;&lt;/valeur&gt;</v>
      </c>
      <c r="K18014" s="989"/>
    </row>
    <row r="18015" spans="1:11" x14ac:dyDescent="0.2">
      <c r="A18015" s="859">
        <f t="shared" si="423"/>
        <v>18014</v>
      </c>
      <c r="B18015" s="845" t="s">
        <v>2566</v>
      </c>
      <c r="D18015" s="861"/>
      <c r="I18015" s="845" t="s">
        <v>2577</v>
      </c>
      <c r="K18015" s="989"/>
    </row>
    <row r="18016" spans="1:11" x14ac:dyDescent="0.2">
      <c r="A18016" s="859">
        <f t="shared" si="423"/>
        <v>18015</v>
      </c>
      <c r="B18016" s="845" t="s">
        <v>2566</v>
      </c>
      <c r="D18016" s="861"/>
      <c r="H18016" s="845" t="s">
        <v>1010</v>
      </c>
      <c r="K18016" s="989"/>
    </row>
    <row r="18017" spans="1:11" x14ac:dyDescent="0.2">
      <c r="A18017" s="859">
        <f t="shared" si="423"/>
        <v>18016</v>
      </c>
      <c r="B18017" s="845" t="s">
        <v>2566</v>
      </c>
      <c r="D18017" s="862"/>
      <c r="H18017" s="845" t="s">
        <v>1007</v>
      </c>
      <c r="K18017" s="989"/>
    </row>
    <row r="18018" spans="1:11" x14ac:dyDescent="0.2">
      <c r="A18018" s="859">
        <f t="shared" si="423"/>
        <v>18017</v>
      </c>
      <c r="B18018" s="845" t="s">
        <v>2566</v>
      </c>
      <c r="D18018" s="863"/>
      <c r="I18018" s="845" t="s">
        <v>2296</v>
      </c>
      <c r="K18018" s="989"/>
    </row>
    <row r="18019" spans="1:11" x14ac:dyDescent="0.2">
      <c r="A18019" s="859">
        <f t="shared" si="423"/>
        <v>18018</v>
      </c>
      <c r="B18019" s="845" t="s">
        <v>2566</v>
      </c>
      <c r="D18019" s="862"/>
      <c r="I18019" s="845" t="str">
        <f>CONCATENATE("&lt;valeur&gt;",Cellule_1219_2,"&lt;/valeur&gt;")</f>
        <v>&lt;valeur&gt;&lt;/valeur&gt;</v>
      </c>
      <c r="K18019" s="989"/>
    </row>
    <row r="18020" spans="1:11" x14ac:dyDescent="0.2">
      <c r="A18020" s="859">
        <f t="shared" si="423"/>
        <v>18019</v>
      </c>
      <c r="B18020" s="845" t="s">
        <v>2566</v>
      </c>
      <c r="D18020" s="862"/>
      <c r="I18020" s="845" t="s">
        <v>2577</v>
      </c>
      <c r="K18020" s="989"/>
    </row>
    <row r="18021" spans="1:11" x14ac:dyDescent="0.2">
      <c r="A18021" s="859">
        <f t="shared" si="423"/>
        <v>18020</v>
      </c>
      <c r="B18021" s="845" t="s">
        <v>2566</v>
      </c>
      <c r="D18021" s="861"/>
      <c r="H18021" s="845" t="s">
        <v>1010</v>
      </c>
      <c r="K18021" s="989"/>
    </row>
    <row r="18022" spans="1:11" x14ac:dyDescent="0.2">
      <c r="A18022" s="859">
        <f t="shared" si="423"/>
        <v>18021</v>
      </c>
      <c r="B18022" s="845" t="s">
        <v>2566</v>
      </c>
      <c r="D18022" s="861"/>
      <c r="H18022" s="845" t="s">
        <v>1007</v>
      </c>
      <c r="K18022" s="989"/>
    </row>
    <row r="18023" spans="1:11" x14ac:dyDescent="0.2">
      <c r="A18023" s="859">
        <f t="shared" si="423"/>
        <v>18022</v>
      </c>
      <c r="B18023" s="845" t="s">
        <v>2566</v>
      </c>
      <c r="D18023" s="862"/>
      <c r="I18023" s="845" t="s">
        <v>2297</v>
      </c>
      <c r="K18023" s="989"/>
    </row>
    <row r="18024" spans="1:11" x14ac:dyDescent="0.2">
      <c r="A18024" s="859">
        <f t="shared" si="423"/>
        <v>18023</v>
      </c>
      <c r="B18024" s="845" t="s">
        <v>2566</v>
      </c>
      <c r="D18024" s="863"/>
      <c r="I18024" s="845" t="str">
        <f>CONCATENATE("&lt;valeur&gt;",Cellule_1220_2,"&lt;/valeur&gt;")</f>
        <v>&lt;valeur&gt;&lt;/valeur&gt;</v>
      </c>
      <c r="K18024" s="989"/>
    </row>
    <row r="18025" spans="1:11" x14ac:dyDescent="0.2">
      <c r="A18025" s="859">
        <f t="shared" si="423"/>
        <v>18024</v>
      </c>
      <c r="B18025" s="845" t="s">
        <v>2566</v>
      </c>
      <c r="D18025" s="862"/>
      <c r="I18025" s="845" t="s">
        <v>2577</v>
      </c>
      <c r="K18025" s="989"/>
    </row>
    <row r="18026" spans="1:11" x14ac:dyDescent="0.2">
      <c r="A18026" s="859">
        <f t="shared" si="423"/>
        <v>18025</v>
      </c>
      <c r="B18026" s="991" t="s">
        <v>2566</v>
      </c>
      <c r="C18026" s="991"/>
      <c r="D18026" s="1002"/>
      <c r="E18026" s="991"/>
      <c r="F18026" s="991"/>
      <c r="G18026" s="991"/>
      <c r="H18026" s="991" t="s">
        <v>1010</v>
      </c>
      <c r="I18026" s="991"/>
      <c r="J18026" s="991"/>
      <c r="K18026" s="1000"/>
    </row>
    <row r="18027" spans="1:11" x14ac:dyDescent="0.2">
      <c r="A18027" s="859">
        <f t="shared" si="423"/>
        <v>18026</v>
      </c>
      <c r="B18027" s="990" t="s">
        <v>2566</v>
      </c>
      <c r="C18027" s="990"/>
      <c r="D18027" s="998"/>
      <c r="E18027" s="990"/>
      <c r="F18027" s="990"/>
      <c r="G18027" s="990"/>
      <c r="H18027" s="990" t="s">
        <v>1007</v>
      </c>
      <c r="I18027" s="990"/>
      <c r="J18027" s="990"/>
      <c r="K18027" s="986"/>
    </row>
    <row r="18028" spans="1:11" x14ac:dyDescent="0.2">
      <c r="A18028" s="859">
        <f t="shared" si="423"/>
        <v>18027</v>
      </c>
      <c r="B18028" s="845" t="s">
        <v>2566</v>
      </c>
      <c r="D18028" s="862"/>
      <c r="I18028" s="845" t="s">
        <v>2285</v>
      </c>
      <c r="K18028" s="989"/>
    </row>
    <row r="18029" spans="1:11" x14ac:dyDescent="0.2">
      <c r="A18029" s="859">
        <f t="shared" si="423"/>
        <v>18028</v>
      </c>
      <c r="B18029" s="845" t="s">
        <v>2566</v>
      </c>
      <c r="D18029" s="863"/>
      <c r="I18029" s="845" t="str">
        <f>CONCATENATE("&lt;valeur&gt;",Cellule_1208_3,"&lt;/valeur&gt;")</f>
        <v>&lt;valeur&gt;&lt;/valeur&gt;</v>
      </c>
      <c r="K18029" s="989"/>
    </row>
    <row r="18030" spans="1:11" x14ac:dyDescent="0.2">
      <c r="A18030" s="859">
        <f t="shared" si="423"/>
        <v>18029</v>
      </c>
      <c r="B18030" s="845" t="s">
        <v>2566</v>
      </c>
      <c r="D18030" s="862"/>
      <c r="I18030" s="845" t="s">
        <v>2578</v>
      </c>
      <c r="K18030" s="989"/>
    </row>
    <row r="18031" spans="1:11" x14ac:dyDescent="0.2">
      <c r="A18031" s="859">
        <f t="shared" si="423"/>
        <v>18030</v>
      </c>
      <c r="B18031" s="845" t="s">
        <v>2566</v>
      </c>
      <c r="D18031" s="862"/>
      <c r="H18031" s="845" t="s">
        <v>1010</v>
      </c>
      <c r="K18031" s="989"/>
    </row>
    <row r="18032" spans="1:11" x14ac:dyDescent="0.2">
      <c r="A18032" s="859">
        <f t="shared" si="423"/>
        <v>18031</v>
      </c>
      <c r="B18032" s="845" t="s">
        <v>2566</v>
      </c>
      <c r="D18032" s="861"/>
      <c r="H18032" s="845" t="s">
        <v>1007</v>
      </c>
      <c r="K18032" s="989"/>
    </row>
    <row r="18033" spans="1:11" x14ac:dyDescent="0.2">
      <c r="A18033" s="859">
        <f t="shared" si="423"/>
        <v>18032</v>
      </c>
      <c r="B18033" s="845" t="s">
        <v>2566</v>
      </c>
      <c r="D18033" s="861"/>
      <c r="I18033" s="845" t="s">
        <v>2286</v>
      </c>
      <c r="K18033" s="989"/>
    </row>
    <row r="18034" spans="1:11" x14ac:dyDescent="0.2">
      <c r="A18034" s="859">
        <f t="shared" si="423"/>
        <v>18033</v>
      </c>
      <c r="B18034" s="845" t="s">
        <v>2566</v>
      </c>
      <c r="D18034" s="862"/>
      <c r="I18034" s="845" t="str">
        <f>CONCATENATE("&lt;valeur&gt;",Cellule_1209_3,"&lt;/valeur&gt;")</f>
        <v>&lt;valeur&gt;&lt;/valeur&gt;</v>
      </c>
      <c r="K18034" s="989"/>
    </row>
    <row r="18035" spans="1:11" x14ac:dyDescent="0.2">
      <c r="A18035" s="859">
        <f t="shared" si="423"/>
        <v>18034</v>
      </c>
      <c r="B18035" s="845" t="s">
        <v>2566</v>
      </c>
      <c r="D18035" s="863"/>
      <c r="I18035" s="845" t="s">
        <v>2578</v>
      </c>
      <c r="K18035" s="989"/>
    </row>
    <row r="18036" spans="1:11" x14ac:dyDescent="0.2">
      <c r="A18036" s="859">
        <f t="shared" si="423"/>
        <v>18035</v>
      </c>
      <c r="B18036" s="845" t="s">
        <v>2566</v>
      </c>
      <c r="D18036" s="862"/>
      <c r="H18036" s="845" t="s">
        <v>1010</v>
      </c>
      <c r="K18036" s="989"/>
    </row>
    <row r="18037" spans="1:11" x14ac:dyDescent="0.2">
      <c r="A18037" s="859">
        <f t="shared" si="423"/>
        <v>18036</v>
      </c>
      <c r="B18037" s="845" t="s">
        <v>2566</v>
      </c>
      <c r="D18037" s="862"/>
      <c r="H18037" s="845" t="s">
        <v>1007</v>
      </c>
      <c r="K18037" s="989"/>
    </row>
    <row r="18038" spans="1:11" x14ac:dyDescent="0.2">
      <c r="A18038" s="859">
        <f t="shared" si="423"/>
        <v>18037</v>
      </c>
      <c r="B18038" s="845" t="s">
        <v>2566</v>
      </c>
      <c r="D18038" s="861"/>
      <c r="I18038" s="845" t="s">
        <v>2287</v>
      </c>
      <c r="K18038" s="989"/>
    </row>
    <row r="18039" spans="1:11" x14ac:dyDescent="0.2">
      <c r="A18039" s="859">
        <f t="shared" si="423"/>
        <v>18038</v>
      </c>
      <c r="B18039" s="845" t="s">
        <v>2566</v>
      </c>
      <c r="D18039" s="861"/>
      <c r="I18039" s="845" t="str">
        <f>CONCATENATE("&lt;valeur&gt;",Cellule_1210_3,"&lt;/valeur&gt;")</f>
        <v>&lt;valeur&gt;&lt;/valeur&gt;</v>
      </c>
      <c r="K18039" s="989"/>
    </row>
    <row r="18040" spans="1:11" x14ac:dyDescent="0.2">
      <c r="A18040" s="859">
        <f t="shared" si="423"/>
        <v>18039</v>
      </c>
      <c r="B18040" s="845" t="s">
        <v>2566</v>
      </c>
      <c r="D18040" s="862"/>
      <c r="I18040" s="845" t="s">
        <v>2578</v>
      </c>
      <c r="K18040" s="989"/>
    </row>
    <row r="18041" spans="1:11" x14ac:dyDescent="0.2">
      <c r="A18041" s="859">
        <f t="shared" si="423"/>
        <v>18040</v>
      </c>
      <c r="B18041" s="845" t="s">
        <v>2566</v>
      </c>
      <c r="D18041" s="863"/>
      <c r="H18041" s="845" t="s">
        <v>1010</v>
      </c>
      <c r="K18041" s="989"/>
    </row>
    <row r="18042" spans="1:11" x14ac:dyDescent="0.2">
      <c r="A18042" s="859">
        <f t="shared" si="423"/>
        <v>18041</v>
      </c>
      <c r="B18042" s="845" t="s">
        <v>2566</v>
      </c>
      <c r="D18042" s="862"/>
      <c r="H18042" s="845" t="s">
        <v>1007</v>
      </c>
      <c r="K18042" s="989"/>
    </row>
    <row r="18043" spans="1:11" x14ac:dyDescent="0.2">
      <c r="A18043" s="859">
        <f t="shared" si="423"/>
        <v>18042</v>
      </c>
      <c r="B18043" s="845" t="s">
        <v>2566</v>
      </c>
      <c r="D18043" s="862"/>
      <c r="I18043" s="845" t="s">
        <v>2288</v>
      </c>
      <c r="K18043" s="989"/>
    </row>
    <row r="18044" spans="1:11" x14ac:dyDescent="0.2">
      <c r="A18044" s="859">
        <f t="shared" si="423"/>
        <v>18043</v>
      </c>
      <c r="B18044" s="845" t="s">
        <v>2566</v>
      </c>
      <c r="D18044" s="861"/>
      <c r="I18044" s="845" t="str">
        <f>CONCATENATE("&lt;valeur&gt;",Cellule_1211_3,"&lt;/valeur&gt;")</f>
        <v>&lt;valeur&gt;&lt;/valeur&gt;</v>
      </c>
      <c r="K18044" s="989"/>
    </row>
    <row r="18045" spans="1:11" x14ac:dyDescent="0.2">
      <c r="A18045" s="859">
        <f t="shared" si="423"/>
        <v>18044</v>
      </c>
      <c r="B18045" s="845" t="s">
        <v>2566</v>
      </c>
      <c r="D18045" s="861"/>
      <c r="I18045" s="845" t="s">
        <v>2578</v>
      </c>
      <c r="K18045" s="989"/>
    </row>
    <row r="18046" spans="1:11" x14ac:dyDescent="0.2">
      <c r="A18046" s="859">
        <f t="shared" si="423"/>
        <v>18045</v>
      </c>
      <c r="B18046" s="845" t="s">
        <v>2566</v>
      </c>
      <c r="D18046" s="862"/>
      <c r="H18046" s="845" t="s">
        <v>1010</v>
      </c>
      <c r="K18046" s="989"/>
    </row>
    <row r="18047" spans="1:11" x14ac:dyDescent="0.2">
      <c r="A18047" s="859">
        <f t="shared" si="423"/>
        <v>18046</v>
      </c>
      <c r="B18047" s="845" t="s">
        <v>2566</v>
      </c>
      <c r="D18047" s="863"/>
      <c r="H18047" s="845" t="s">
        <v>1007</v>
      </c>
      <c r="K18047" s="989"/>
    </row>
    <row r="18048" spans="1:11" x14ac:dyDescent="0.2">
      <c r="A18048" s="859">
        <f t="shared" si="423"/>
        <v>18047</v>
      </c>
      <c r="B18048" s="845" t="s">
        <v>2566</v>
      </c>
      <c r="D18048" s="862"/>
      <c r="I18048" s="845" t="s">
        <v>2289</v>
      </c>
      <c r="K18048" s="989"/>
    </row>
    <row r="18049" spans="1:11" x14ac:dyDescent="0.2">
      <c r="A18049" s="859">
        <f t="shared" si="423"/>
        <v>18048</v>
      </c>
      <c r="B18049" s="845" t="s">
        <v>2566</v>
      </c>
      <c r="D18049" s="862"/>
      <c r="I18049" s="845" t="str">
        <f>CONCATENATE("&lt;valeur&gt;",Cellule_1212_3,"&lt;/valeur&gt;")</f>
        <v>&lt;valeur&gt;&lt;/valeur&gt;</v>
      </c>
      <c r="K18049" s="989"/>
    </row>
    <row r="18050" spans="1:11" x14ac:dyDescent="0.2">
      <c r="A18050" s="859">
        <f t="shared" si="423"/>
        <v>18049</v>
      </c>
      <c r="B18050" s="845" t="s">
        <v>2566</v>
      </c>
      <c r="D18050" s="861"/>
      <c r="I18050" s="845" t="s">
        <v>2578</v>
      </c>
      <c r="K18050" s="989"/>
    </row>
    <row r="18051" spans="1:11" x14ac:dyDescent="0.2">
      <c r="A18051" s="859">
        <f t="shared" si="423"/>
        <v>18050</v>
      </c>
      <c r="B18051" s="845" t="s">
        <v>2566</v>
      </c>
      <c r="D18051" s="861"/>
      <c r="H18051" s="845" t="s">
        <v>1010</v>
      </c>
      <c r="K18051" s="989"/>
    </row>
    <row r="18052" spans="1:11" x14ac:dyDescent="0.2">
      <c r="A18052" s="859">
        <f t="shared" ref="A18052:A18115" si="424">+A18051+1</f>
        <v>18051</v>
      </c>
      <c r="B18052" s="845" t="s">
        <v>2566</v>
      </c>
      <c r="D18052" s="862"/>
      <c r="H18052" s="845" t="s">
        <v>1007</v>
      </c>
      <c r="K18052" s="989"/>
    </row>
    <row r="18053" spans="1:11" x14ac:dyDescent="0.2">
      <c r="A18053" s="859">
        <f t="shared" si="424"/>
        <v>18052</v>
      </c>
      <c r="B18053" s="845" t="s">
        <v>2566</v>
      </c>
      <c r="D18053" s="863"/>
      <c r="I18053" s="845" t="s">
        <v>2290</v>
      </c>
      <c r="K18053" s="989"/>
    </row>
    <row r="18054" spans="1:11" x14ac:dyDescent="0.2">
      <c r="A18054" s="859">
        <f t="shared" si="424"/>
        <v>18053</v>
      </c>
      <c r="B18054" s="845" t="s">
        <v>2566</v>
      </c>
      <c r="D18054" s="862"/>
      <c r="I18054" s="845" t="str">
        <f>CONCATENATE("&lt;valeur&gt;",Cellule_1213_3,"&lt;/valeur&gt;")</f>
        <v>&lt;valeur&gt;&lt;/valeur&gt;</v>
      </c>
      <c r="K18054" s="989"/>
    </row>
    <row r="18055" spans="1:11" x14ac:dyDescent="0.2">
      <c r="A18055" s="859">
        <f t="shared" si="424"/>
        <v>18054</v>
      </c>
      <c r="B18055" s="845" t="s">
        <v>2566</v>
      </c>
      <c r="D18055" s="862"/>
      <c r="I18055" s="845" t="s">
        <v>2578</v>
      </c>
      <c r="K18055" s="989"/>
    </row>
    <row r="18056" spans="1:11" x14ac:dyDescent="0.2">
      <c r="A18056" s="859">
        <f t="shared" si="424"/>
        <v>18055</v>
      </c>
      <c r="B18056" s="845" t="s">
        <v>2566</v>
      </c>
      <c r="D18056" s="861"/>
      <c r="H18056" s="845" t="s">
        <v>1010</v>
      </c>
      <c r="K18056" s="989"/>
    </row>
    <row r="18057" spans="1:11" x14ac:dyDescent="0.2">
      <c r="A18057" s="859">
        <f t="shared" si="424"/>
        <v>18056</v>
      </c>
      <c r="B18057" s="845" t="s">
        <v>2566</v>
      </c>
      <c r="D18057" s="861"/>
      <c r="H18057" s="845" t="s">
        <v>1007</v>
      </c>
      <c r="K18057" s="989"/>
    </row>
    <row r="18058" spans="1:11" x14ac:dyDescent="0.2">
      <c r="A18058" s="859">
        <f t="shared" si="424"/>
        <v>18057</v>
      </c>
      <c r="B18058" s="845" t="s">
        <v>2566</v>
      </c>
      <c r="D18058" s="862"/>
      <c r="I18058" s="845" t="s">
        <v>2291</v>
      </c>
      <c r="K18058" s="989"/>
    </row>
    <row r="18059" spans="1:11" x14ac:dyDescent="0.2">
      <c r="A18059" s="859">
        <f t="shared" si="424"/>
        <v>18058</v>
      </c>
      <c r="B18059" s="845" t="s">
        <v>2566</v>
      </c>
      <c r="D18059" s="863"/>
      <c r="I18059" s="845" t="str">
        <f>CONCATENATE("&lt;valeur&gt;",Cellule_1214_3,"&lt;/valeur&gt;")</f>
        <v>&lt;valeur&gt;&lt;/valeur&gt;</v>
      </c>
      <c r="K18059" s="989"/>
    </row>
    <row r="18060" spans="1:11" x14ac:dyDescent="0.2">
      <c r="A18060" s="859">
        <f t="shared" si="424"/>
        <v>18059</v>
      </c>
      <c r="B18060" s="845" t="s">
        <v>2566</v>
      </c>
      <c r="D18060" s="862"/>
      <c r="I18060" s="845" t="s">
        <v>2578</v>
      </c>
      <c r="K18060" s="989"/>
    </row>
    <row r="18061" spans="1:11" x14ac:dyDescent="0.2">
      <c r="A18061" s="859">
        <f t="shared" si="424"/>
        <v>18060</v>
      </c>
      <c r="B18061" s="845" t="s">
        <v>2566</v>
      </c>
      <c r="D18061" s="862"/>
      <c r="H18061" s="845" t="s">
        <v>1010</v>
      </c>
      <c r="K18061" s="989"/>
    </row>
    <row r="18062" spans="1:11" x14ac:dyDescent="0.2">
      <c r="A18062" s="859">
        <f t="shared" si="424"/>
        <v>18061</v>
      </c>
      <c r="B18062" s="845" t="s">
        <v>2566</v>
      </c>
      <c r="D18062" s="861"/>
      <c r="H18062" s="845" t="s">
        <v>1007</v>
      </c>
      <c r="K18062" s="989"/>
    </row>
    <row r="18063" spans="1:11" x14ac:dyDescent="0.2">
      <c r="A18063" s="859">
        <f t="shared" si="424"/>
        <v>18062</v>
      </c>
      <c r="B18063" s="845" t="s">
        <v>2566</v>
      </c>
      <c r="D18063" s="861"/>
      <c r="I18063" s="845" t="s">
        <v>2292</v>
      </c>
      <c r="K18063" s="989"/>
    </row>
    <row r="18064" spans="1:11" x14ac:dyDescent="0.2">
      <c r="A18064" s="859">
        <f t="shared" si="424"/>
        <v>18063</v>
      </c>
      <c r="B18064" s="845" t="s">
        <v>2566</v>
      </c>
      <c r="D18064" s="862"/>
      <c r="I18064" s="845" t="str">
        <f>CONCATENATE("&lt;valeur&gt;",Cellule_1215_3,"&lt;/valeur&gt;")</f>
        <v>&lt;valeur&gt;&lt;/valeur&gt;</v>
      </c>
      <c r="K18064" s="989"/>
    </row>
    <row r="18065" spans="1:11" x14ac:dyDescent="0.2">
      <c r="A18065" s="859">
        <f t="shared" si="424"/>
        <v>18064</v>
      </c>
      <c r="B18065" s="845" t="s">
        <v>2566</v>
      </c>
      <c r="D18065" s="863"/>
      <c r="I18065" s="845" t="s">
        <v>2578</v>
      </c>
      <c r="K18065" s="989"/>
    </row>
    <row r="18066" spans="1:11" x14ac:dyDescent="0.2">
      <c r="A18066" s="859">
        <f t="shared" si="424"/>
        <v>18065</v>
      </c>
      <c r="B18066" s="845" t="s">
        <v>2566</v>
      </c>
      <c r="D18066" s="862"/>
      <c r="H18066" s="845" t="s">
        <v>1010</v>
      </c>
      <c r="K18066" s="989"/>
    </row>
    <row r="18067" spans="1:11" x14ac:dyDescent="0.2">
      <c r="A18067" s="859">
        <f t="shared" si="424"/>
        <v>18066</v>
      </c>
      <c r="B18067" s="845" t="s">
        <v>2566</v>
      </c>
      <c r="D18067" s="862"/>
      <c r="H18067" s="845" t="s">
        <v>1007</v>
      </c>
      <c r="K18067" s="989"/>
    </row>
    <row r="18068" spans="1:11" x14ac:dyDescent="0.2">
      <c r="A18068" s="859">
        <f t="shared" si="424"/>
        <v>18067</v>
      </c>
      <c r="B18068" s="845" t="s">
        <v>2566</v>
      </c>
      <c r="D18068" s="861"/>
      <c r="I18068" s="845" t="s">
        <v>2293</v>
      </c>
      <c r="K18068" s="989"/>
    </row>
    <row r="18069" spans="1:11" x14ac:dyDescent="0.2">
      <c r="A18069" s="859">
        <f t="shared" si="424"/>
        <v>18068</v>
      </c>
      <c r="B18069" s="845" t="s">
        <v>2566</v>
      </c>
      <c r="D18069" s="861"/>
      <c r="I18069" s="845" t="str">
        <f>CONCATENATE("&lt;valeur&gt;",Cellule_1216_3,"&lt;/valeur&gt;")</f>
        <v>&lt;valeur&gt;&lt;/valeur&gt;</v>
      </c>
      <c r="K18069" s="989"/>
    </row>
    <row r="18070" spans="1:11" x14ac:dyDescent="0.2">
      <c r="A18070" s="859">
        <f t="shared" si="424"/>
        <v>18069</v>
      </c>
      <c r="B18070" s="845" t="s">
        <v>2566</v>
      </c>
      <c r="D18070" s="862"/>
      <c r="I18070" s="845" t="s">
        <v>2578</v>
      </c>
      <c r="K18070" s="989"/>
    </row>
    <row r="18071" spans="1:11" x14ac:dyDescent="0.2">
      <c r="A18071" s="859">
        <f t="shared" si="424"/>
        <v>18070</v>
      </c>
      <c r="B18071" s="845" t="s">
        <v>2566</v>
      </c>
      <c r="D18071" s="863"/>
      <c r="H18071" s="845" t="s">
        <v>1010</v>
      </c>
      <c r="K18071" s="989"/>
    </row>
    <row r="18072" spans="1:11" x14ac:dyDescent="0.2">
      <c r="A18072" s="859">
        <f t="shared" si="424"/>
        <v>18071</v>
      </c>
      <c r="B18072" s="845" t="s">
        <v>2566</v>
      </c>
      <c r="D18072" s="862"/>
      <c r="H18072" s="845" t="s">
        <v>1007</v>
      </c>
      <c r="K18072" s="989"/>
    </row>
    <row r="18073" spans="1:11" x14ac:dyDescent="0.2">
      <c r="A18073" s="859">
        <f t="shared" si="424"/>
        <v>18072</v>
      </c>
      <c r="B18073" s="845" t="s">
        <v>2566</v>
      </c>
      <c r="D18073" s="862"/>
      <c r="I18073" s="845" t="s">
        <v>2294</v>
      </c>
      <c r="K18073" s="989"/>
    </row>
    <row r="18074" spans="1:11" x14ac:dyDescent="0.2">
      <c r="A18074" s="859">
        <f t="shared" si="424"/>
        <v>18073</v>
      </c>
      <c r="B18074" s="845" t="s">
        <v>2566</v>
      </c>
      <c r="D18074" s="861"/>
      <c r="I18074" s="845" t="str">
        <f>CONCATENATE("&lt;valeur&gt;",Cellule_1217_3,"&lt;/valeur&gt;")</f>
        <v>&lt;valeur&gt;&lt;/valeur&gt;</v>
      </c>
      <c r="K18074" s="989"/>
    </row>
    <row r="18075" spans="1:11" x14ac:dyDescent="0.2">
      <c r="A18075" s="859">
        <f t="shared" si="424"/>
        <v>18074</v>
      </c>
      <c r="B18075" s="845" t="s">
        <v>2566</v>
      </c>
      <c r="D18075" s="861"/>
      <c r="I18075" s="845" t="s">
        <v>2578</v>
      </c>
      <c r="K18075" s="989"/>
    </row>
    <row r="18076" spans="1:11" x14ac:dyDescent="0.2">
      <c r="A18076" s="859">
        <f t="shared" si="424"/>
        <v>18075</v>
      </c>
      <c r="B18076" s="845" t="s">
        <v>2566</v>
      </c>
      <c r="D18076" s="862"/>
      <c r="H18076" s="845" t="s">
        <v>1010</v>
      </c>
      <c r="K18076" s="989"/>
    </row>
    <row r="18077" spans="1:11" x14ac:dyDescent="0.2">
      <c r="A18077" s="859">
        <f t="shared" si="424"/>
        <v>18076</v>
      </c>
      <c r="B18077" s="845" t="s">
        <v>2566</v>
      </c>
      <c r="D18077" s="863"/>
      <c r="H18077" s="845" t="s">
        <v>1007</v>
      </c>
      <c r="K18077" s="989"/>
    </row>
    <row r="18078" spans="1:11" x14ac:dyDescent="0.2">
      <c r="A18078" s="859">
        <f t="shared" si="424"/>
        <v>18077</v>
      </c>
      <c r="B18078" s="845" t="s">
        <v>2566</v>
      </c>
      <c r="D18078" s="862"/>
      <c r="I18078" s="845" t="s">
        <v>2295</v>
      </c>
      <c r="K18078" s="989"/>
    </row>
    <row r="18079" spans="1:11" x14ac:dyDescent="0.2">
      <c r="A18079" s="859">
        <f t="shared" si="424"/>
        <v>18078</v>
      </c>
      <c r="B18079" s="845" t="s">
        <v>2566</v>
      </c>
      <c r="D18079" s="862"/>
      <c r="I18079" s="845" t="str">
        <f>CONCATENATE("&lt;valeur&gt;",Cellule_1218_3,"&lt;/valeur&gt;")</f>
        <v>&lt;valeur&gt;&lt;/valeur&gt;</v>
      </c>
      <c r="K18079" s="989"/>
    </row>
    <row r="18080" spans="1:11" x14ac:dyDescent="0.2">
      <c r="A18080" s="859">
        <f t="shared" si="424"/>
        <v>18079</v>
      </c>
      <c r="B18080" s="845" t="s">
        <v>2566</v>
      </c>
      <c r="D18080" s="861"/>
      <c r="I18080" s="845" t="s">
        <v>2578</v>
      </c>
      <c r="K18080" s="989"/>
    </row>
    <row r="18081" spans="1:11" x14ac:dyDescent="0.2">
      <c r="A18081" s="859">
        <f t="shared" si="424"/>
        <v>18080</v>
      </c>
      <c r="B18081" s="845" t="s">
        <v>2566</v>
      </c>
      <c r="D18081" s="861"/>
      <c r="H18081" s="845" t="s">
        <v>1010</v>
      </c>
      <c r="K18081" s="989"/>
    </row>
    <row r="18082" spans="1:11" x14ac:dyDescent="0.2">
      <c r="A18082" s="859">
        <f t="shared" si="424"/>
        <v>18081</v>
      </c>
      <c r="B18082" s="845" t="s">
        <v>2566</v>
      </c>
      <c r="D18082" s="862"/>
      <c r="H18082" s="845" t="s">
        <v>1007</v>
      </c>
      <c r="K18082" s="989"/>
    </row>
    <row r="18083" spans="1:11" x14ac:dyDescent="0.2">
      <c r="A18083" s="859">
        <f t="shared" si="424"/>
        <v>18082</v>
      </c>
      <c r="B18083" s="845" t="s">
        <v>2566</v>
      </c>
      <c r="D18083" s="863"/>
      <c r="I18083" s="845" t="s">
        <v>2296</v>
      </c>
      <c r="K18083" s="989"/>
    </row>
    <row r="18084" spans="1:11" x14ac:dyDescent="0.2">
      <c r="A18084" s="859">
        <f t="shared" si="424"/>
        <v>18083</v>
      </c>
      <c r="B18084" s="845" t="s">
        <v>2566</v>
      </c>
      <c r="D18084" s="862"/>
      <c r="I18084" s="845" t="str">
        <f>CONCATENATE("&lt;valeur&gt;",Cellule_1219_3,"&lt;/valeur&gt;")</f>
        <v>&lt;valeur&gt;&lt;/valeur&gt;</v>
      </c>
      <c r="K18084" s="989"/>
    </row>
    <row r="18085" spans="1:11" x14ac:dyDescent="0.2">
      <c r="A18085" s="859">
        <f t="shared" si="424"/>
        <v>18084</v>
      </c>
      <c r="B18085" s="845" t="s">
        <v>2566</v>
      </c>
      <c r="D18085" s="862"/>
      <c r="I18085" s="845" t="s">
        <v>2578</v>
      </c>
      <c r="K18085" s="989"/>
    </row>
    <row r="18086" spans="1:11" x14ac:dyDescent="0.2">
      <c r="A18086" s="859">
        <f t="shared" si="424"/>
        <v>18085</v>
      </c>
      <c r="B18086" s="845" t="s">
        <v>2566</v>
      </c>
      <c r="D18086" s="861"/>
      <c r="H18086" s="845" t="s">
        <v>1010</v>
      </c>
      <c r="K18086" s="989"/>
    </row>
    <row r="18087" spans="1:11" x14ac:dyDescent="0.2">
      <c r="A18087" s="859">
        <f t="shared" si="424"/>
        <v>18086</v>
      </c>
      <c r="B18087" s="845" t="s">
        <v>2566</v>
      </c>
      <c r="D18087" s="861"/>
      <c r="H18087" s="845" t="s">
        <v>1007</v>
      </c>
      <c r="K18087" s="989"/>
    </row>
    <row r="18088" spans="1:11" x14ac:dyDescent="0.2">
      <c r="A18088" s="859">
        <f t="shared" si="424"/>
        <v>18087</v>
      </c>
      <c r="B18088" s="845" t="s">
        <v>2566</v>
      </c>
      <c r="D18088" s="862"/>
      <c r="I18088" s="845" t="s">
        <v>2297</v>
      </c>
      <c r="K18088" s="989"/>
    </row>
    <row r="18089" spans="1:11" x14ac:dyDescent="0.2">
      <c r="A18089" s="859">
        <f t="shared" si="424"/>
        <v>18088</v>
      </c>
      <c r="B18089" s="845" t="s">
        <v>2566</v>
      </c>
      <c r="D18089" s="863"/>
      <c r="I18089" s="845" t="str">
        <f>CONCATENATE("&lt;valeur&gt;",Cellule_1220_3,"&lt;/valeur&gt;")</f>
        <v>&lt;valeur&gt;&lt;/valeur&gt;</v>
      </c>
      <c r="K18089" s="989"/>
    </row>
    <row r="18090" spans="1:11" x14ac:dyDescent="0.2">
      <c r="A18090" s="859">
        <f t="shared" si="424"/>
        <v>18089</v>
      </c>
      <c r="B18090" s="845" t="s">
        <v>2566</v>
      </c>
      <c r="D18090" s="862"/>
      <c r="I18090" s="845" t="s">
        <v>2578</v>
      </c>
      <c r="K18090" s="989"/>
    </row>
    <row r="18091" spans="1:11" x14ac:dyDescent="0.2">
      <c r="A18091" s="859">
        <f t="shared" si="424"/>
        <v>18090</v>
      </c>
      <c r="B18091" s="991" t="s">
        <v>2566</v>
      </c>
      <c r="C18091" s="991"/>
      <c r="D18091" s="1002"/>
      <c r="E18091" s="991"/>
      <c r="F18091" s="991"/>
      <c r="G18091" s="991"/>
      <c r="H18091" s="991" t="s">
        <v>1010</v>
      </c>
      <c r="I18091" s="991"/>
      <c r="J18091" s="991"/>
      <c r="K18091" s="1000"/>
    </row>
    <row r="18092" spans="1:11" x14ac:dyDescent="0.2">
      <c r="A18092" s="859">
        <f t="shared" si="424"/>
        <v>18091</v>
      </c>
      <c r="B18092" s="990" t="s">
        <v>2566</v>
      </c>
      <c r="C18092" s="990"/>
      <c r="D18092" s="998"/>
      <c r="E18092" s="990"/>
      <c r="F18092" s="990"/>
      <c r="G18092" s="990"/>
      <c r="H18092" s="990" t="s">
        <v>1007</v>
      </c>
      <c r="I18092" s="990"/>
      <c r="J18092" s="990"/>
      <c r="K18092" s="986"/>
    </row>
    <row r="18093" spans="1:11" x14ac:dyDescent="0.2">
      <c r="A18093" s="859">
        <f t="shared" si="424"/>
        <v>18092</v>
      </c>
      <c r="B18093" s="845" t="s">
        <v>2566</v>
      </c>
      <c r="D18093" s="862"/>
      <c r="I18093" s="845" t="s">
        <v>2285</v>
      </c>
      <c r="K18093" s="989"/>
    </row>
    <row r="18094" spans="1:11" x14ac:dyDescent="0.2">
      <c r="A18094" s="859">
        <f t="shared" si="424"/>
        <v>18093</v>
      </c>
      <c r="B18094" s="845" t="s">
        <v>2566</v>
      </c>
      <c r="D18094" s="863"/>
      <c r="I18094" s="845" t="str">
        <f>CONCATENATE("&lt;valeur&gt;",Cellule_1208_4,"&lt;/valeur&gt;")</f>
        <v>&lt;valeur&gt;&lt;/valeur&gt;</v>
      </c>
      <c r="K18094" s="989"/>
    </row>
    <row r="18095" spans="1:11" x14ac:dyDescent="0.2">
      <c r="A18095" s="859">
        <f t="shared" si="424"/>
        <v>18094</v>
      </c>
      <c r="B18095" s="845" t="s">
        <v>2566</v>
      </c>
      <c r="D18095" s="862"/>
      <c r="I18095" s="845" t="s">
        <v>2579</v>
      </c>
      <c r="K18095" s="989"/>
    </row>
    <row r="18096" spans="1:11" x14ac:dyDescent="0.2">
      <c r="A18096" s="859">
        <f t="shared" si="424"/>
        <v>18095</v>
      </c>
      <c r="B18096" s="845" t="s">
        <v>2566</v>
      </c>
      <c r="D18096" s="862"/>
      <c r="H18096" s="845" t="s">
        <v>1010</v>
      </c>
      <c r="K18096" s="989"/>
    </row>
    <row r="18097" spans="1:11" x14ac:dyDescent="0.2">
      <c r="A18097" s="859">
        <f t="shared" si="424"/>
        <v>18096</v>
      </c>
      <c r="B18097" s="845" t="s">
        <v>2566</v>
      </c>
      <c r="D18097" s="861"/>
      <c r="H18097" s="845" t="s">
        <v>1007</v>
      </c>
      <c r="K18097" s="989"/>
    </row>
    <row r="18098" spans="1:11" x14ac:dyDescent="0.2">
      <c r="A18098" s="859">
        <f t="shared" si="424"/>
        <v>18097</v>
      </c>
      <c r="B18098" s="845" t="s">
        <v>2566</v>
      </c>
      <c r="D18098" s="861"/>
      <c r="I18098" s="845" t="s">
        <v>2286</v>
      </c>
      <c r="K18098" s="989"/>
    </row>
    <row r="18099" spans="1:11" x14ac:dyDescent="0.2">
      <c r="A18099" s="859">
        <f t="shared" si="424"/>
        <v>18098</v>
      </c>
      <c r="B18099" s="845" t="s">
        <v>2566</v>
      </c>
      <c r="D18099" s="862"/>
      <c r="I18099" s="845" t="str">
        <f>CONCATENATE("&lt;valeur&gt;",Cellule_1209_4,"&lt;/valeur&gt;")</f>
        <v>&lt;valeur&gt;&lt;/valeur&gt;</v>
      </c>
      <c r="K18099" s="989"/>
    </row>
    <row r="18100" spans="1:11" x14ac:dyDescent="0.2">
      <c r="A18100" s="859">
        <f t="shared" si="424"/>
        <v>18099</v>
      </c>
      <c r="B18100" s="845" t="s">
        <v>2566</v>
      </c>
      <c r="D18100" s="863"/>
      <c r="I18100" s="845" t="s">
        <v>2579</v>
      </c>
      <c r="K18100" s="989"/>
    </row>
    <row r="18101" spans="1:11" x14ac:dyDescent="0.2">
      <c r="A18101" s="859">
        <f t="shared" si="424"/>
        <v>18100</v>
      </c>
      <c r="B18101" s="845" t="s">
        <v>2566</v>
      </c>
      <c r="D18101" s="862"/>
      <c r="H18101" s="845" t="s">
        <v>1010</v>
      </c>
      <c r="K18101" s="989"/>
    </row>
    <row r="18102" spans="1:11" x14ac:dyDescent="0.2">
      <c r="A18102" s="859">
        <f t="shared" si="424"/>
        <v>18101</v>
      </c>
      <c r="B18102" s="845" t="s">
        <v>2566</v>
      </c>
      <c r="D18102" s="862"/>
      <c r="H18102" s="845" t="s">
        <v>1007</v>
      </c>
      <c r="K18102" s="989"/>
    </row>
    <row r="18103" spans="1:11" x14ac:dyDescent="0.2">
      <c r="A18103" s="859">
        <f t="shared" si="424"/>
        <v>18102</v>
      </c>
      <c r="B18103" s="845" t="s">
        <v>2566</v>
      </c>
      <c r="D18103" s="861"/>
      <c r="I18103" s="845" t="s">
        <v>2287</v>
      </c>
      <c r="K18103" s="989"/>
    </row>
    <row r="18104" spans="1:11" x14ac:dyDescent="0.2">
      <c r="A18104" s="859">
        <f t="shared" si="424"/>
        <v>18103</v>
      </c>
      <c r="B18104" s="845" t="s">
        <v>2566</v>
      </c>
      <c r="D18104" s="861"/>
      <c r="I18104" s="845" t="str">
        <f>CONCATENATE("&lt;valeur&gt;",Cellule_1210_4,"&lt;/valeur&gt;")</f>
        <v>&lt;valeur&gt;&lt;/valeur&gt;</v>
      </c>
      <c r="K18104" s="989"/>
    </row>
    <row r="18105" spans="1:11" x14ac:dyDescent="0.2">
      <c r="A18105" s="859">
        <f t="shared" si="424"/>
        <v>18104</v>
      </c>
      <c r="B18105" s="845" t="s">
        <v>2566</v>
      </c>
      <c r="D18105" s="862"/>
      <c r="I18105" s="845" t="s">
        <v>2579</v>
      </c>
      <c r="K18105" s="989"/>
    </row>
    <row r="18106" spans="1:11" x14ac:dyDescent="0.2">
      <c r="A18106" s="859">
        <f t="shared" si="424"/>
        <v>18105</v>
      </c>
      <c r="B18106" s="845" t="s">
        <v>2566</v>
      </c>
      <c r="D18106" s="863"/>
      <c r="H18106" s="845" t="s">
        <v>1010</v>
      </c>
      <c r="K18106" s="989"/>
    </row>
    <row r="18107" spans="1:11" x14ac:dyDescent="0.2">
      <c r="A18107" s="859">
        <f t="shared" si="424"/>
        <v>18106</v>
      </c>
      <c r="B18107" s="845" t="s">
        <v>2566</v>
      </c>
      <c r="D18107" s="862"/>
      <c r="H18107" s="845" t="s">
        <v>1007</v>
      </c>
      <c r="K18107" s="989"/>
    </row>
    <row r="18108" spans="1:11" x14ac:dyDescent="0.2">
      <c r="A18108" s="859">
        <f t="shared" si="424"/>
        <v>18107</v>
      </c>
      <c r="B18108" s="845" t="s">
        <v>2566</v>
      </c>
      <c r="D18108" s="862"/>
      <c r="I18108" s="845" t="s">
        <v>2288</v>
      </c>
      <c r="K18108" s="989"/>
    </row>
    <row r="18109" spans="1:11" x14ac:dyDescent="0.2">
      <c r="A18109" s="859">
        <f t="shared" si="424"/>
        <v>18108</v>
      </c>
      <c r="B18109" s="845" t="s">
        <v>2566</v>
      </c>
      <c r="D18109" s="861"/>
      <c r="I18109" s="845" t="str">
        <f>CONCATENATE("&lt;valeur&gt;",Cellule_1211_4,"&lt;/valeur&gt;")</f>
        <v>&lt;valeur&gt;&lt;/valeur&gt;</v>
      </c>
      <c r="K18109" s="989"/>
    </row>
    <row r="18110" spans="1:11" x14ac:dyDescent="0.2">
      <c r="A18110" s="859">
        <f t="shared" si="424"/>
        <v>18109</v>
      </c>
      <c r="B18110" s="845" t="s">
        <v>2566</v>
      </c>
      <c r="D18110" s="861"/>
      <c r="I18110" s="845" t="s">
        <v>2579</v>
      </c>
      <c r="K18110" s="989"/>
    </row>
    <row r="18111" spans="1:11" x14ac:dyDescent="0.2">
      <c r="A18111" s="859">
        <f t="shared" si="424"/>
        <v>18110</v>
      </c>
      <c r="B18111" s="845" t="s">
        <v>2566</v>
      </c>
      <c r="D18111" s="862"/>
      <c r="H18111" s="845" t="s">
        <v>1010</v>
      </c>
      <c r="K18111" s="989"/>
    </row>
    <row r="18112" spans="1:11" x14ac:dyDescent="0.2">
      <c r="A18112" s="859">
        <f t="shared" si="424"/>
        <v>18111</v>
      </c>
      <c r="B18112" s="845" t="s">
        <v>2566</v>
      </c>
      <c r="D18112" s="863"/>
      <c r="H18112" s="845" t="s">
        <v>1007</v>
      </c>
      <c r="K18112" s="989"/>
    </row>
    <row r="18113" spans="1:11" x14ac:dyDescent="0.2">
      <c r="A18113" s="859">
        <f t="shared" si="424"/>
        <v>18112</v>
      </c>
      <c r="B18113" s="845" t="s">
        <v>2566</v>
      </c>
      <c r="D18113" s="862"/>
      <c r="I18113" s="845" t="s">
        <v>2289</v>
      </c>
      <c r="K18113" s="989"/>
    </row>
    <row r="18114" spans="1:11" x14ac:dyDescent="0.2">
      <c r="A18114" s="859">
        <f t="shared" si="424"/>
        <v>18113</v>
      </c>
      <c r="B18114" s="845" t="s">
        <v>2566</v>
      </c>
      <c r="D18114" s="862"/>
      <c r="I18114" s="845" t="str">
        <f>CONCATENATE("&lt;valeur&gt;",Cellule_1212_4,"&lt;/valeur&gt;")</f>
        <v>&lt;valeur&gt;&lt;/valeur&gt;</v>
      </c>
      <c r="K18114" s="989"/>
    </row>
    <row r="18115" spans="1:11" x14ac:dyDescent="0.2">
      <c r="A18115" s="859">
        <f t="shared" si="424"/>
        <v>18114</v>
      </c>
      <c r="B18115" s="845" t="s">
        <v>2566</v>
      </c>
      <c r="D18115" s="861"/>
      <c r="I18115" s="845" t="s">
        <v>2579</v>
      </c>
      <c r="K18115" s="989"/>
    </row>
    <row r="18116" spans="1:11" x14ac:dyDescent="0.2">
      <c r="A18116" s="859">
        <f t="shared" ref="A18116:A18179" si="425">+A18115+1</f>
        <v>18115</v>
      </c>
      <c r="B18116" s="845" t="s">
        <v>2566</v>
      </c>
      <c r="D18116" s="861"/>
      <c r="H18116" s="845" t="s">
        <v>1010</v>
      </c>
      <c r="K18116" s="989"/>
    </row>
    <row r="18117" spans="1:11" x14ac:dyDescent="0.2">
      <c r="A18117" s="859">
        <f t="shared" si="425"/>
        <v>18116</v>
      </c>
      <c r="B18117" s="845" t="s">
        <v>2566</v>
      </c>
      <c r="D18117" s="862"/>
      <c r="H18117" s="845" t="s">
        <v>1007</v>
      </c>
      <c r="K18117" s="989"/>
    </row>
    <row r="18118" spans="1:11" x14ac:dyDescent="0.2">
      <c r="A18118" s="859">
        <f t="shared" si="425"/>
        <v>18117</v>
      </c>
      <c r="B18118" s="845" t="s">
        <v>2566</v>
      </c>
      <c r="D18118" s="863"/>
      <c r="I18118" s="845" t="s">
        <v>2290</v>
      </c>
      <c r="K18118" s="989"/>
    </row>
    <row r="18119" spans="1:11" x14ac:dyDescent="0.2">
      <c r="A18119" s="859">
        <f t="shared" si="425"/>
        <v>18118</v>
      </c>
      <c r="B18119" s="845" t="s">
        <v>2566</v>
      </c>
      <c r="D18119" s="862"/>
      <c r="I18119" s="845" t="str">
        <f>CONCATENATE("&lt;valeur&gt;",Cellule_1213_4,"&lt;/valeur&gt;")</f>
        <v>&lt;valeur&gt;&lt;/valeur&gt;</v>
      </c>
      <c r="K18119" s="989"/>
    </row>
    <row r="18120" spans="1:11" x14ac:dyDescent="0.2">
      <c r="A18120" s="859">
        <f t="shared" si="425"/>
        <v>18119</v>
      </c>
      <c r="B18120" s="845" t="s">
        <v>2566</v>
      </c>
      <c r="D18120" s="862"/>
      <c r="I18120" s="845" t="s">
        <v>2579</v>
      </c>
      <c r="K18120" s="989"/>
    </row>
    <row r="18121" spans="1:11" x14ac:dyDescent="0.2">
      <c r="A18121" s="859">
        <f t="shared" si="425"/>
        <v>18120</v>
      </c>
      <c r="B18121" s="845" t="s">
        <v>2566</v>
      </c>
      <c r="D18121" s="861"/>
      <c r="H18121" s="845" t="s">
        <v>1010</v>
      </c>
      <c r="K18121" s="989"/>
    </row>
    <row r="18122" spans="1:11" x14ac:dyDescent="0.2">
      <c r="A18122" s="859">
        <f t="shared" si="425"/>
        <v>18121</v>
      </c>
      <c r="B18122" s="845" t="s">
        <v>2566</v>
      </c>
      <c r="D18122" s="861"/>
      <c r="H18122" s="845" t="s">
        <v>1007</v>
      </c>
      <c r="K18122" s="989"/>
    </row>
    <row r="18123" spans="1:11" x14ac:dyDescent="0.2">
      <c r="A18123" s="859">
        <f t="shared" si="425"/>
        <v>18122</v>
      </c>
      <c r="B18123" s="845" t="s">
        <v>2566</v>
      </c>
      <c r="D18123" s="862"/>
      <c r="I18123" s="845" t="s">
        <v>2291</v>
      </c>
      <c r="K18123" s="989"/>
    </row>
    <row r="18124" spans="1:11" x14ac:dyDescent="0.2">
      <c r="A18124" s="859">
        <f t="shared" si="425"/>
        <v>18123</v>
      </c>
      <c r="B18124" s="845" t="s">
        <v>2566</v>
      </c>
      <c r="D18124" s="863"/>
      <c r="I18124" s="845" t="str">
        <f>CONCATENATE("&lt;valeur&gt;",Cellule_1214_4,"&lt;/valeur&gt;")</f>
        <v>&lt;valeur&gt;&lt;/valeur&gt;</v>
      </c>
      <c r="K18124" s="989"/>
    </row>
    <row r="18125" spans="1:11" x14ac:dyDescent="0.2">
      <c r="A18125" s="859">
        <f t="shared" si="425"/>
        <v>18124</v>
      </c>
      <c r="B18125" s="845" t="s">
        <v>2566</v>
      </c>
      <c r="D18125" s="862"/>
      <c r="I18125" s="845" t="s">
        <v>2579</v>
      </c>
      <c r="K18125" s="989"/>
    </row>
    <row r="18126" spans="1:11" x14ac:dyDescent="0.2">
      <c r="A18126" s="859">
        <f t="shared" si="425"/>
        <v>18125</v>
      </c>
      <c r="B18126" s="845" t="s">
        <v>2566</v>
      </c>
      <c r="D18126" s="862"/>
      <c r="H18126" s="845" t="s">
        <v>1010</v>
      </c>
      <c r="K18126" s="989"/>
    </row>
    <row r="18127" spans="1:11" x14ac:dyDescent="0.2">
      <c r="A18127" s="859">
        <f t="shared" si="425"/>
        <v>18126</v>
      </c>
      <c r="B18127" s="845" t="s">
        <v>2566</v>
      </c>
      <c r="D18127" s="861"/>
      <c r="H18127" s="845" t="s">
        <v>1007</v>
      </c>
      <c r="K18127" s="989"/>
    </row>
    <row r="18128" spans="1:11" x14ac:dyDescent="0.2">
      <c r="A18128" s="859">
        <f t="shared" si="425"/>
        <v>18127</v>
      </c>
      <c r="B18128" s="845" t="s">
        <v>2566</v>
      </c>
      <c r="D18128" s="861"/>
      <c r="I18128" s="845" t="s">
        <v>2292</v>
      </c>
      <c r="K18128" s="989"/>
    </row>
    <row r="18129" spans="1:11" x14ac:dyDescent="0.2">
      <c r="A18129" s="859">
        <f t="shared" si="425"/>
        <v>18128</v>
      </c>
      <c r="B18129" s="845" t="s">
        <v>2566</v>
      </c>
      <c r="D18129" s="862"/>
      <c r="I18129" s="845" t="str">
        <f>CONCATENATE("&lt;valeur&gt;",Cellule_1215_4,"&lt;/valeur&gt;")</f>
        <v>&lt;valeur&gt;&lt;/valeur&gt;</v>
      </c>
      <c r="K18129" s="989"/>
    </row>
    <row r="18130" spans="1:11" x14ac:dyDescent="0.2">
      <c r="A18130" s="859">
        <f t="shared" si="425"/>
        <v>18129</v>
      </c>
      <c r="B18130" s="845" t="s">
        <v>2566</v>
      </c>
      <c r="D18130" s="863"/>
      <c r="I18130" s="845" t="s">
        <v>2579</v>
      </c>
      <c r="K18130" s="989"/>
    </row>
    <row r="18131" spans="1:11" x14ac:dyDescent="0.2">
      <c r="A18131" s="859">
        <f t="shared" si="425"/>
        <v>18130</v>
      </c>
      <c r="B18131" s="845" t="s">
        <v>2566</v>
      </c>
      <c r="D18131" s="862"/>
      <c r="H18131" s="845" t="s">
        <v>1010</v>
      </c>
      <c r="K18131" s="989"/>
    </row>
    <row r="18132" spans="1:11" x14ac:dyDescent="0.2">
      <c r="A18132" s="859">
        <f t="shared" si="425"/>
        <v>18131</v>
      </c>
      <c r="B18132" s="845" t="s">
        <v>2566</v>
      </c>
      <c r="D18132" s="862"/>
      <c r="H18132" s="845" t="s">
        <v>1007</v>
      </c>
      <c r="K18132" s="989"/>
    </row>
    <row r="18133" spans="1:11" x14ac:dyDescent="0.2">
      <c r="A18133" s="859">
        <f t="shared" si="425"/>
        <v>18132</v>
      </c>
      <c r="B18133" s="845" t="s">
        <v>2566</v>
      </c>
      <c r="D18133" s="861"/>
      <c r="I18133" s="845" t="s">
        <v>2293</v>
      </c>
      <c r="K18133" s="989"/>
    </row>
    <row r="18134" spans="1:11" x14ac:dyDescent="0.2">
      <c r="A18134" s="859">
        <f t="shared" si="425"/>
        <v>18133</v>
      </c>
      <c r="B18134" s="845" t="s">
        <v>2566</v>
      </c>
      <c r="D18134" s="861"/>
      <c r="I18134" s="845" t="str">
        <f>CONCATENATE("&lt;valeur&gt;",Cellule_1216_4,"&lt;/valeur&gt;")</f>
        <v>&lt;valeur&gt;&lt;/valeur&gt;</v>
      </c>
      <c r="K18134" s="989"/>
    </row>
    <row r="18135" spans="1:11" x14ac:dyDescent="0.2">
      <c r="A18135" s="859">
        <f t="shared" si="425"/>
        <v>18134</v>
      </c>
      <c r="B18135" s="845" t="s">
        <v>2566</v>
      </c>
      <c r="D18135" s="862"/>
      <c r="I18135" s="845" t="s">
        <v>2579</v>
      </c>
      <c r="K18135" s="989"/>
    </row>
    <row r="18136" spans="1:11" x14ac:dyDescent="0.2">
      <c r="A18136" s="859">
        <f t="shared" si="425"/>
        <v>18135</v>
      </c>
      <c r="B18136" s="845" t="s">
        <v>2566</v>
      </c>
      <c r="D18136" s="863"/>
      <c r="H18136" s="845" t="s">
        <v>1010</v>
      </c>
      <c r="K18136" s="989"/>
    </row>
    <row r="18137" spans="1:11" x14ac:dyDescent="0.2">
      <c r="A18137" s="859">
        <f t="shared" si="425"/>
        <v>18136</v>
      </c>
      <c r="B18137" s="845" t="s">
        <v>2566</v>
      </c>
      <c r="D18137" s="862"/>
      <c r="H18137" s="845" t="s">
        <v>1007</v>
      </c>
      <c r="K18137" s="989"/>
    </row>
    <row r="18138" spans="1:11" x14ac:dyDescent="0.2">
      <c r="A18138" s="859">
        <f t="shared" si="425"/>
        <v>18137</v>
      </c>
      <c r="B18138" s="845" t="s">
        <v>2566</v>
      </c>
      <c r="D18138" s="862"/>
      <c r="I18138" s="845" t="s">
        <v>2294</v>
      </c>
      <c r="K18138" s="989"/>
    </row>
    <row r="18139" spans="1:11" x14ac:dyDescent="0.2">
      <c r="A18139" s="859">
        <f t="shared" si="425"/>
        <v>18138</v>
      </c>
      <c r="B18139" s="845" t="s">
        <v>2566</v>
      </c>
      <c r="D18139" s="861"/>
      <c r="I18139" s="845" t="str">
        <f>CONCATENATE("&lt;valeur&gt;",Cellule_1217_4,"&lt;/valeur&gt;")</f>
        <v>&lt;valeur&gt;&lt;/valeur&gt;</v>
      </c>
      <c r="K18139" s="989"/>
    </row>
    <row r="18140" spans="1:11" x14ac:dyDescent="0.2">
      <c r="A18140" s="859">
        <f t="shared" si="425"/>
        <v>18139</v>
      </c>
      <c r="B18140" s="845" t="s">
        <v>2566</v>
      </c>
      <c r="D18140" s="861"/>
      <c r="I18140" s="845" t="s">
        <v>2579</v>
      </c>
      <c r="K18140" s="989"/>
    </row>
    <row r="18141" spans="1:11" x14ac:dyDescent="0.2">
      <c r="A18141" s="859">
        <f t="shared" si="425"/>
        <v>18140</v>
      </c>
      <c r="B18141" s="845" t="s">
        <v>2566</v>
      </c>
      <c r="D18141" s="862"/>
      <c r="H18141" s="845" t="s">
        <v>1010</v>
      </c>
      <c r="K18141" s="989"/>
    </row>
    <row r="18142" spans="1:11" x14ac:dyDescent="0.2">
      <c r="A18142" s="859">
        <f t="shared" si="425"/>
        <v>18141</v>
      </c>
      <c r="B18142" s="845" t="s">
        <v>2566</v>
      </c>
      <c r="D18142" s="863"/>
      <c r="H18142" s="845" t="s">
        <v>1007</v>
      </c>
      <c r="K18142" s="989"/>
    </row>
    <row r="18143" spans="1:11" x14ac:dyDescent="0.2">
      <c r="A18143" s="859">
        <f t="shared" si="425"/>
        <v>18142</v>
      </c>
      <c r="B18143" s="845" t="s">
        <v>2566</v>
      </c>
      <c r="D18143" s="862"/>
      <c r="I18143" s="845" t="s">
        <v>2295</v>
      </c>
      <c r="K18143" s="989"/>
    </row>
    <row r="18144" spans="1:11" x14ac:dyDescent="0.2">
      <c r="A18144" s="859">
        <f t="shared" si="425"/>
        <v>18143</v>
      </c>
      <c r="B18144" s="845" t="s">
        <v>2566</v>
      </c>
      <c r="D18144" s="862"/>
      <c r="I18144" s="845" t="str">
        <f>CONCATENATE("&lt;valeur&gt;",Cellule_1218_4,"&lt;/valeur&gt;")</f>
        <v>&lt;valeur&gt;&lt;/valeur&gt;</v>
      </c>
      <c r="K18144" s="989"/>
    </row>
    <row r="18145" spans="1:11" x14ac:dyDescent="0.2">
      <c r="A18145" s="859">
        <f t="shared" si="425"/>
        <v>18144</v>
      </c>
      <c r="B18145" s="845" t="s">
        <v>2566</v>
      </c>
      <c r="D18145" s="861"/>
      <c r="I18145" s="845" t="s">
        <v>2579</v>
      </c>
      <c r="K18145" s="989"/>
    </row>
    <row r="18146" spans="1:11" x14ac:dyDescent="0.2">
      <c r="A18146" s="859">
        <f t="shared" si="425"/>
        <v>18145</v>
      </c>
      <c r="B18146" s="845" t="s">
        <v>2566</v>
      </c>
      <c r="D18146" s="861"/>
      <c r="H18146" s="845" t="s">
        <v>1010</v>
      </c>
      <c r="K18146" s="989"/>
    </row>
    <row r="18147" spans="1:11" x14ac:dyDescent="0.2">
      <c r="A18147" s="859">
        <f t="shared" si="425"/>
        <v>18146</v>
      </c>
      <c r="B18147" s="845" t="s">
        <v>2566</v>
      </c>
      <c r="D18147" s="862"/>
      <c r="H18147" s="845" t="s">
        <v>1007</v>
      </c>
      <c r="K18147" s="989"/>
    </row>
    <row r="18148" spans="1:11" x14ac:dyDescent="0.2">
      <c r="A18148" s="859">
        <f t="shared" si="425"/>
        <v>18147</v>
      </c>
      <c r="B18148" s="845" t="s">
        <v>2566</v>
      </c>
      <c r="D18148" s="863"/>
      <c r="I18148" s="845" t="s">
        <v>2296</v>
      </c>
      <c r="K18148" s="989"/>
    </row>
    <row r="18149" spans="1:11" x14ac:dyDescent="0.2">
      <c r="A18149" s="859">
        <f t="shared" si="425"/>
        <v>18148</v>
      </c>
      <c r="B18149" s="845" t="s">
        <v>2566</v>
      </c>
      <c r="D18149" s="862"/>
      <c r="I18149" s="845" t="str">
        <f>CONCATENATE("&lt;valeur&gt;",Cellule_1219_4,"&lt;/valeur&gt;")</f>
        <v>&lt;valeur&gt;&lt;/valeur&gt;</v>
      </c>
      <c r="K18149" s="989"/>
    </row>
    <row r="18150" spans="1:11" x14ac:dyDescent="0.2">
      <c r="A18150" s="859">
        <f t="shared" si="425"/>
        <v>18149</v>
      </c>
      <c r="B18150" s="845" t="s">
        <v>2566</v>
      </c>
      <c r="D18150" s="862"/>
      <c r="I18150" s="845" t="s">
        <v>2579</v>
      </c>
      <c r="K18150" s="989"/>
    </row>
    <row r="18151" spans="1:11" x14ac:dyDescent="0.2">
      <c r="A18151" s="859">
        <f t="shared" si="425"/>
        <v>18150</v>
      </c>
      <c r="B18151" s="845" t="s">
        <v>2566</v>
      </c>
      <c r="D18151" s="861"/>
      <c r="H18151" s="845" t="s">
        <v>1010</v>
      </c>
      <c r="K18151" s="989"/>
    </row>
    <row r="18152" spans="1:11" x14ac:dyDescent="0.2">
      <c r="A18152" s="859">
        <f t="shared" si="425"/>
        <v>18151</v>
      </c>
      <c r="B18152" s="845" t="s">
        <v>2566</v>
      </c>
      <c r="D18152" s="861"/>
      <c r="H18152" s="845" t="s">
        <v>1007</v>
      </c>
      <c r="K18152" s="989"/>
    </row>
    <row r="18153" spans="1:11" x14ac:dyDescent="0.2">
      <c r="A18153" s="859">
        <f t="shared" si="425"/>
        <v>18152</v>
      </c>
      <c r="B18153" s="845" t="s">
        <v>2566</v>
      </c>
      <c r="D18153" s="862"/>
      <c r="I18153" s="845" t="s">
        <v>2297</v>
      </c>
      <c r="K18153" s="989"/>
    </row>
    <row r="18154" spans="1:11" x14ac:dyDescent="0.2">
      <c r="A18154" s="859">
        <f t="shared" si="425"/>
        <v>18153</v>
      </c>
      <c r="B18154" s="845" t="s">
        <v>2566</v>
      </c>
      <c r="D18154" s="863"/>
      <c r="I18154" s="845" t="str">
        <f>CONCATENATE("&lt;valeur&gt;",Cellule_1220_4,"&lt;/valeur&gt;")</f>
        <v>&lt;valeur&gt;&lt;/valeur&gt;</v>
      </c>
      <c r="K18154" s="989"/>
    </row>
    <row r="18155" spans="1:11" x14ac:dyDescent="0.2">
      <c r="A18155" s="859">
        <f t="shared" si="425"/>
        <v>18154</v>
      </c>
      <c r="B18155" s="845" t="s">
        <v>2566</v>
      </c>
      <c r="D18155" s="862"/>
      <c r="I18155" s="845" t="s">
        <v>2579</v>
      </c>
      <c r="K18155" s="989"/>
    </row>
    <row r="18156" spans="1:11" x14ac:dyDescent="0.2">
      <c r="A18156" s="859">
        <f t="shared" si="425"/>
        <v>18155</v>
      </c>
      <c r="B18156" s="991" t="s">
        <v>2566</v>
      </c>
      <c r="C18156" s="991"/>
      <c r="D18156" s="1002"/>
      <c r="E18156" s="991"/>
      <c r="F18156" s="991"/>
      <c r="G18156" s="991"/>
      <c r="H18156" s="991" t="s">
        <v>1010</v>
      </c>
      <c r="I18156" s="991"/>
      <c r="J18156" s="991"/>
      <c r="K18156" s="1000"/>
    </row>
    <row r="18157" spans="1:11" x14ac:dyDescent="0.2">
      <c r="A18157" s="859">
        <f t="shared" si="425"/>
        <v>18156</v>
      </c>
      <c r="B18157" s="990" t="s">
        <v>2566</v>
      </c>
      <c r="C18157" s="990"/>
      <c r="D18157" s="998"/>
      <c r="E18157" s="990"/>
      <c r="F18157" s="990"/>
      <c r="G18157" s="990"/>
      <c r="H18157" s="990" t="s">
        <v>1007</v>
      </c>
      <c r="I18157" s="990"/>
      <c r="J18157" s="990"/>
      <c r="K18157" s="986"/>
    </row>
    <row r="18158" spans="1:11" x14ac:dyDescent="0.2">
      <c r="A18158" s="859">
        <f t="shared" si="425"/>
        <v>18157</v>
      </c>
      <c r="B18158" s="845" t="s">
        <v>2566</v>
      </c>
      <c r="D18158" s="861"/>
      <c r="I18158" s="845" t="s">
        <v>2298</v>
      </c>
      <c r="K18158" s="989"/>
    </row>
    <row r="18159" spans="1:11" x14ac:dyDescent="0.2">
      <c r="A18159" s="859">
        <f t="shared" si="425"/>
        <v>18158</v>
      </c>
      <c r="B18159" s="845" t="s">
        <v>2566</v>
      </c>
      <c r="D18159" s="862"/>
      <c r="I18159" s="845" t="str">
        <f>CONCATENATE("&lt;valeur&gt;",Cellule_1221_1,"&lt;/valeur&gt;")</f>
        <v>&lt;valeur&gt;&lt;/valeur&gt;</v>
      </c>
      <c r="K18159" s="989"/>
    </row>
    <row r="18160" spans="1:11" x14ac:dyDescent="0.2">
      <c r="A18160" s="859">
        <f t="shared" si="425"/>
        <v>18159</v>
      </c>
      <c r="B18160" s="845" t="s">
        <v>2566</v>
      </c>
      <c r="D18160" s="863"/>
      <c r="I18160" s="845" t="s">
        <v>1249</v>
      </c>
      <c r="K18160" s="989"/>
    </row>
    <row r="18161" spans="1:11" x14ac:dyDescent="0.2">
      <c r="A18161" s="859">
        <f t="shared" si="425"/>
        <v>18160</v>
      </c>
      <c r="B18161" s="845" t="s">
        <v>2566</v>
      </c>
      <c r="D18161" s="862"/>
      <c r="H18161" s="845" t="s">
        <v>1010</v>
      </c>
      <c r="K18161" s="989"/>
    </row>
    <row r="18162" spans="1:11" x14ac:dyDescent="0.2">
      <c r="A18162" s="859">
        <f t="shared" si="425"/>
        <v>18161</v>
      </c>
      <c r="B18162" s="845" t="s">
        <v>2566</v>
      </c>
      <c r="D18162" s="862"/>
      <c r="H18162" s="845" t="s">
        <v>1007</v>
      </c>
      <c r="K18162" s="989"/>
    </row>
    <row r="18163" spans="1:11" x14ac:dyDescent="0.2">
      <c r="A18163" s="859">
        <f t="shared" si="425"/>
        <v>18162</v>
      </c>
      <c r="B18163" s="845" t="s">
        <v>2566</v>
      </c>
      <c r="D18163" s="861"/>
      <c r="I18163" s="845" t="s">
        <v>2299</v>
      </c>
      <c r="K18163" s="989"/>
    </row>
    <row r="18164" spans="1:11" x14ac:dyDescent="0.2">
      <c r="A18164" s="859">
        <f t="shared" si="425"/>
        <v>18163</v>
      </c>
      <c r="B18164" s="845" t="s">
        <v>2566</v>
      </c>
      <c r="D18164" s="861"/>
      <c r="I18164" s="845" t="str">
        <f>CONCATENATE("&lt;valeur&gt;",Cellule_1222_1,"&lt;/valeur&gt;")</f>
        <v>&lt;valeur&gt;&lt;/valeur&gt;</v>
      </c>
      <c r="K18164" s="989"/>
    </row>
    <row r="18165" spans="1:11" x14ac:dyDescent="0.2">
      <c r="A18165" s="859">
        <f t="shared" si="425"/>
        <v>18164</v>
      </c>
      <c r="B18165" s="845" t="s">
        <v>2566</v>
      </c>
      <c r="D18165" s="862"/>
      <c r="I18165" s="845" t="s">
        <v>1249</v>
      </c>
      <c r="K18165" s="989"/>
    </row>
    <row r="18166" spans="1:11" x14ac:dyDescent="0.2">
      <c r="A18166" s="859">
        <f t="shared" si="425"/>
        <v>18165</v>
      </c>
      <c r="B18166" s="845" t="s">
        <v>2566</v>
      </c>
      <c r="D18166" s="863"/>
      <c r="H18166" s="845" t="s">
        <v>1010</v>
      </c>
      <c r="K18166" s="989"/>
    </row>
    <row r="18167" spans="1:11" x14ac:dyDescent="0.2">
      <c r="A18167" s="859">
        <f t="shared" si="425"/>
        <v>18166</v>
      </c>
      <c r="B18167" s="845" t="s">
        <v>2566</v>
      </c>
      <c r="D18167" s="862"/>
      <c r="H18167" s="845" t="s">
        <v>1007</v>
      </c>
      <c r="K18167" s="989"/>
    </row>
    <row r="18168" spans="1:11" x14ac:dyDescent="0.2">
      <c r="A18168" s="859">
        <f t="shared" si="425"/>
        <v>18167</v>
      </c>
      <c r="B18168" s="845" t="s">
        <v>2566</v>
      </c>
      <c r="D18168" s="862"/>
      <c r="I18168" s="845" t="s">
        <v>2300</v>
      </c>
      <c r="K18168" s="989"/>
    </row>
    <row r="18169" spans="1:11" x14ac:dyDescent="0.2">
      <c r="A18169" s="859">
        <f t="shared" si="425"/>
        <v>18168</v>
      </c>
      <c r="B18169" s="845" t="s">
        <v>2566</v>
      </c>
      <c r="D18169" s="861"/>
      <c r="I18169" s="845" t="str">
        <f>CONCATENATE("&lt;valeur&gt;",Cellule_1223_1,"&lt;/valeur&gt;")</f>
        <v>&lt;valeur&gt;&lt;/valeur&gt;</v>
      </c>
      <c r="K18169" s="989"/>
    </row>
    <row r="18170" spans="1:11" x14ac:dyDescent="0.2">
      <c r="A18170" s="859">
        <f t="shared" si="425"/>
        <v>18169</v>
      </c>
      <c r="B18170" s="845" t="s">
        <v>2566</v>
      </c>
      <c r="D18170" s="861"/>
      <c r="I18170" s="845" t="s">
        <v>1249</v>
      </c>
      <c r="K18170" s="989"/>
    </row>
    <row r="18171" spans="1:11" x14ac:dyDescent="0.2">
      <c r="A18171" s="859">
        <f t="shared" si="425"/>
        <v>18170</v>
      </c>
      <c r="B18171" s="845" t="s">
        <v>2566</v>
      </c>
      <c r="D18171" s="862"/>
      <c r="H18171" s="845" t="s">
        <v>1010</v>
      </c>
      <c r="K18171" s="989"/>
    </row>
    <row r="18172" spans="1:11" x14ac:dyDescent="0.2">
      <c r="A18172" s="859">
        <f t="shared" si="425"/>
        <v>18171</v>
      </c>
      <c r="B18172" s="845" t="s">
        <v>2566</v>
      </c>
      <c r="D18172" s="863"/>
      <c r="H18172" s="845" t="s">
        <v>1007</v>
      </c>
      <c r="K18172" s="989"/>
    </row>
    <row r="18173" spans="1:11" x14ac:dyDescent="0.2">
      <c r="A18173" s="859">
        <f t="shared" si="425"/>
        <v>18172</v>
      </c>
      <c r="B18173" s="845" t="s">
        <v>2566</v>
      </c>
      <c r="D18173" s="862"/>
      <c r="I18173" s="845" t="s">
        <v>2301</v>
      </c>
      <c r="K18173" s="989"/>
    </row>
    <row r="18174" spans="1:11" x14ac:dyDescent="0.2">
      <c r="A18174" s="859">
        <f t="shared" si="425"/>
        <v>18173</v>
      </c>
      <c r="B18174" s="845" t="s">
        <v>2566</v>
      </c>
      <c r="D18174" s="862"/>
      <c r="I18174" s="845" t="str">
        <f>CONCATENATE("&lt;valeur&gt;",Cellule_1224_1,"&lt;/valeur&gt;")</f>
        <v>&lt;valeur&gt;&lt;/valeur&gt;</v>
      </c>
      <c r="K18174" s="989"/>
    </row>
    <row r="18175" spans="1:11" x14ac:dyDescent="0.2">
      <c r="A18175" s="859">
        <f t="shared" si="425"/>
        <v>18174</v>
      </c>
      <c r="B18175" s="845" t="s">
        <v>2566</v>
      </c>
      <c r="D18175" s="861"/>
      <c r="I18175" s="845" t="s">
        <v>1249</v>
      </c>
      <c r="K18175" s="989"/>
    </row>
    <row r="18176" spans="1:11" x14ac:dyDescent="0.2">
      <c r="A18176" s="859">
        <f t="shared" si="425"/>
        <v>18175</v>
      </c>
      <c r="B18176" s="845" t="s">
        <v>2566</v>
      </c>
      <c r="D18176" s="861"/>
      <c r="H18176" s="845" t="s">
        <v>1010</v>
      </c>
      <c r="K18176" s="989"/>
    </row>
    <row r="18177" spans="1:11" x14ac:dyDescent="0.2">
      <c r="A18177" s="859">
        <f t="shared" si="425"/>
        <v>18176</v>
      </c>
      <c r="B18177" s="845" t="s">
        <v>2566</v>
      </c>
      <c r="D18177" s="862"/>
      <c r="H18177" s="845" t="s">
        <v>1007</v>
      </c>
      <c r="K18177" s="989"/>
    </row>
    <row r="18178" spans="1:11" x14ac:dyDescent="0.2">
      <c r="A18178" s="859">
        <f t="shared" si="425"/>
        <v>18177</v>
      </c>
      <c r="B18178" s="845" t="s">
        <v>2566</v>
      </c>
      <c r="D18178" s="863"/>
      <c r="I18178" s="845" t="s">
        <v>2302</v>
      </c>
      <c r="K18178" s="989"/>
    </row>
    <row r="18179" spans="1:11" x14ac:dyDescent="0.2">
      <c r="A18179" s="859">
        <f t="shared" si="425"/>
        <v>18178</v>
      </c>
      <c r="B18179" s="845" t="s">
        <v>2566</v>
      </c>
      <c r="D18179" s="862"/>
      <c r="I18179" s="845" t="str">
        <f>CONCATENATE("&lt;valeur&gt;",Cellule_1225_1,"&lt;/valeur&gt;")</f>
        <v>&lt;valeur&gt;&lt;/valeur&gt;</v>
      </c>
      <c r="K18179" s="989"/>
    </row>
    <row r="18180" spans="1:11" x14ac:dyDescent="0.2">
      <c r="A18180" s="859">
        <f t="shared" ref="A18180:A18243" si="426">+A18179+1</f>
        <v>18179</v>
      </c>
      <c r="B18180" s="845" t="s">
        <v>2566</v>
      </c>
      <c r="D18180" s="862"/>
      <c r="I18180" s="845" t="s">
        <v>1249</v>
      </c>
      <c r="K18180" s="989"/>
    </row>
    <row r="18181" spans="1:11" x14ac:dyDescent="0.2">
      <c r="A18181" s="859">
        <f t="shared" si="426"/>
        <v>18180</v>
      </c>
      <c r="B18181" s="845" t="s">
        <v>2566</v>
      </c>
      <c r="D18181" s="861"/>
      <c r="H18181" s="845" t="s">
        <v>1010</v>
      </c>
      <c r="K18181" s="989"/>
    </row>
    <row r="18182" spans="1:11" x14ac:dyDescent="0.2">
      <c r="A18182" s="859">
        <f t="shared" si="426"/>
        <v>18181</v>
      </c>
      <c r="B18182" s="845" t="s">
        <v>2566</v>
      </c>
      <c r="D18182" s="861"/>
      <c r="H18182" s="845" t="s">
        <v>1007</v>
      </c>
      <c r="K18182" s="989"/>
    </row>
    <row r="18183" spans="1:11" x14ac:dyDescent="0.2">
      <c r="A18183" s="859">
        <f t="shared" si="426"/>
        <v>18182</v>
      </c>
      <c r="B18183" s="845" t="s">
        <v>2566</v>
      </c>
      <c r="D18183" s="862"/>
      <c r="I18183" s="845" t="s">
        <v>2303</v>
      </c>
      <c r="K18183" s="989"/>
    </row>
    <row r="18184" spans="1:11" x14ac:dyDescent="0.2">
      <c r="A18184" s="859">
        <f t="shared" si="426"/>
        <v>18183</v>
      </c>
      <c r="B18184" s="845" t="s">
        <v>2566</v>
      </c>
      <c r="D18184" s="863"/>
      <c r="I18184" s="845" t="str">
        <f>CONCATENATE("&lt;valeur&gt;",Cellule_1226_1,"&lt;/valeur&gt;")</f>
        <v>&lt;valeur&gt;&lt;/valeur&gt;</v>
      </c>
      <c r="K18184" s="989"/>
    </row>
    <row r="18185" spans="1:11" x14ac:dyDescent="0.2">
      <c r="A18185" s="859">
        <f t="shared" si="426"/>
        <v>18184</v>
      </c>
      <c r="B18185" s="845" t="s">
        <v>2566</v>
      </c>
      <c r="D18185" s="862"/>
      <c r="I18185" s="845" t="s">
        <v>1249</v>
      </c>
      <c r="K18185" s="989"/>
    </row>
    <row r="18186" spans="1:11" x14ac:dyDescent="0.2">
      <c r="A18186" s="859">
        <f t="shared" si="426"/>
        <v>18185</v>
      </c>
      <c r="B18186" s="845" t="s">
        <v>2566</v>
      </c>
      <c r="D18186" s="862"/>
      <c r="H18186" s="845" t="s">
        <v>1010</v>
      </c>
      <c r="K18186" s="989"/>
    </row>
    <row r="18187" spans="1:11" x14ac:dyDescent="0.2">
      <c r="A18187" s="859">
        <f t="shared" si="426"/>
        <v>18186</v>
      </c>
      <c r="B18187" s="845" t="s">
        <v>2566</v>
      </c>
      <c r="D18187" s="861"/>
      <c r="H18187" s="845" t="s">
        <v>1007</v>
      </c>
      <c r="K18187" s="989"/>
    </row>
    <row r="18188" spans="1:11" x14ac:dyDescent="0.2">
      <c r="A18188" s="859">
        <f t="shared" si="426"/>
        <v>18187</v>
      </c>
      <c r="B18188" s="845" t="s">
        <v>2566</v>
      </c>
      <c r="D18188" s="861"/>
      <c r="I18188" s="845" t="s">
        <v>2304</v>
      </c>
      <c r="K18188" s="989"/>
    </row>
    <row r="18189" spans="1:11" x14ac:dyDescent="0.2">
      <c r="A18189" s="859">
        <f t="shared" si="426"/>
        <v>18188</v>
      </c>
      <c r="B18189" s="845" t="s">
        <v>2566</v>
      </c>
      <c r="D18189" s="862"/>
      <c r="I18189" s="845" t="str">
        <f>CONCATENATE("&lt;valeur&gt;",Cellule_1227_1,"&lt;/valeur&gt;")</f>
        <v>&lt;valeur&gt;&lt;/valeur&gt;</v>
      </c>
      <c r="K18189" s="989"/>
    </row>
    <row r="18190" spans="1:11" x14ac:dyDescent="0.2">
      <c r="A18190" s="859">
        <f t="shared" si="426"/>
        <v>18189</v>
      </c>
      <c r="B18190" s="845" t="s">
        <v>2566</v>
      </c>
      <c r="D18190" s="863"/>
      <c r="I18190" s="845" t="s">
        <v>1249</v>
      </c>
      <c r="K18190" s="989"/>
    </row>
    <row r="18191" spans="1:11" x14ac:dyDescent="0.2">
      <c r="A18191" s="859">
        <f t="shared" si="426"/>
        <v>18190</v>
      </c>
      <c r="B18191" s="845" t="s">
        <v>2566</v>
      </c>
      <c r="D18191" s="862"/>
      <c r="H18191" s="845" t="s">
        <v>1010</v>
      </c>
      <c r="K18191" s="989"/>
    </row>
    <row r="18192" spans="1:11" x14ac:dyDescent="0.2">
      <c r="A18192" s="859">
        <f t="shared" si="426"/>
        <v>18191</v>
      </c>
      <c r="B18192" s="845" t="s">
        <v>2566</v>
      </c>
      <c r="D18192" s="862"/>
      <c r="H18192" s="845" t="s">
        <v>1007</v>
      </c>
      <c r="K18192" s="989"/>
    </row>
    <row r="18193" spans="1:11" x14ac:dyDescent="0.2">
      <c r="A18193" s="859">
        <f t="shared" si="426"/>
        <v>18192</v>
      </c>
      <c r="B18193" s="845" t="s">
        <v>2566</v>
      </c>
      <c r="D18193" s="861"/>
      <c r="I18193" s="845" t="s">
        <v>2305</v>
      </c>
      <c r="K18193" s="989"/>
    </row>
    <row r="18194" spans="1:11" x14ac:dyDescent="0.2">
      <c r="A18194" s="859">
        <f t="shared" si="426"/>
        <v>18193</v>
      </c>
      <c r="B18194" s="845" t="s">
        <v>2566</v>
      </c>
      <c r="D18194" s="860"/>
      <c r="I18194" s="845" t="str">
        <f>CONCATENATE("&lt;valeur&gt;",Cellule_1228_1,"&lt;/valeur&gt;")</f>
        <v>&lt;valeur&gt;&lt;/valeur&gt;</v>
      </c>
      <c r="K18194" s="989"/>
    </row>
    <row r="18195" spans="1:11" x14ac:dyDescent="0.2">
      <c r="A18195" s="859">
        <f t="shared" si="426"/>
        <v>18194</v>
      </c>
      <c r="B18195" s="845" t="s">
        <v>2566</v>
      </c>
      <c r="D18195" s="860"/>
      <c r="I18195" s="845" t="s">
        <v>1249</v>
      </c>
      <c r="K18195" s="989"/>
    </row>
    <row r="18196" spans="1:11" x14ac:dyDescent="0.2">
      <c r="A18196" s="859">
        <f t="shared" si="426"/>
        <v>18195</v>
      </c>
      <c r="B18196" s="845" t="s">
        <v>2566</v>
      </c>
      <c r="D18196" s="861"/>
      <c r="H18196" s="845" t="s">
        <v>1010</v>
      </c>
      <c r="K18196" s="989"/>
    </row>
    <row r="18197" spans="1:11" x14ac:dyDescent="0.2">
      <c r="A18197" s="859">
        <f t="shared" si="426"/>
        <v>18196</v>
      </c>
      <c r="B18197" s="845" t="s">
        <v>2566</v>
      </c>
      <c r="D18197" s="862"/>
      <c r="H18197" s="845" t="s">
        <v>1007</v>
      </c>
      <c r="K18197" s="989"/>
    </row>
    <row r="18198" spans="1:11" x14ac:dyDescent="0.2">
      <c r="A18198" s="859">
        <f t="shared" si="426"/>
        <v>18197</v>
      </c>
      <c r="B18198" s="845" t="s">
        <v>2566</v>
      </c>
      <c r="D18198" s="863"/>
      <c r="I18198" s="845" t="s">
        <v>2306</v>
      </c>
      <c r="K18198" s="989"/>
    </row>
    <row r="18199" spans="1:11" x14ac:dyDescent="0.2">
      <c r="A18199" s="859">
        <f t="shared" si="426"/>
        <v>18198</v>
      </c>
      <c r="B18199" s="845" t="s">
        <v>2566</v>
      </c>
      <c r="D18199" s="862"/>
      <c r="I18199" s="845" t="str">
        <f>CONCATENATE("&lt;valeur&gt;",Cellule_1229_1,"&lt;/valeur&gt;")</f>
        <v>&lt;valeur&gt;&lt;/valeur&gt;</v>
      </c>
      <c r="K18199" s="989"/>
    </row>
    <row r="18200" spans="1:11" x14ac:dyDescent="0.2">
      <c r="A18200" s="859">
        <f t="shared" si="426"/>
        <v>18199</v>
      </c>
      <c r="B18200" s="845" t="s">
        <v>2566</v>
      </c>
      <c r="D18200" s="862"/>
      <c r="I18200" s="845" t="s">
        <v>1249</v>
      </c>
      <c r="K18200" s="989"/>
    </row>
    <row r="18201" spans="1:11" x14ac:dyDescent="0.2">
      <c r="A18201" s="859">
        <f t="shared" si="426"/>
        <v>18200</v>
      </c>
      <c r="B18201" s="845" t="s">
        <v>2566</v>
      </c>
      <c r="D18201" s="861"/>
      <c r="H18201" s="845" t="s">
        <v>1010</v>
      </c>
      <c r="K18201" s="989"/>
    </row>
    <row r="18202" spans="1:11" x14ac:dyDescent="0.2">
      <c r="A18202" s="859">
        <f t="shared" si="426"/>
        <v>18201</v>
      </c>
      <c r="B18202" s="845" t="s">
        <v>2566</v>
      </c>
      <c r="D18202" s="860"/>
      <c r="H18202" s="845" t="s">
        <v>1007</v>
      </c>
      <c r="K18202" s="989"/>
    </row>
    <row r="18203" spans="1:11" x14ac:dyDescent="0.2">
      <c r="A18203" s="859">
        <f t="shared" si="426"/>
        <v>18202</v>
      </c>
      <c r="B18203" s="845" t="s">
        <v>2566</v>
      </c>
      <c r="D18203" s="857"/>
      <c r="I18203" s="845" t="s">
        <v>2307</v>
      </c>
      <c r="K18203" s="989"/>
    </row>
    <row r="18204" spans="1:11" x14ac:dyDescent="0.2">
      <c r="A18204" s="859">
        <f t="shared" si="426"/>
        <v>18203</v>
      </c>
      <c r="B18204" s="845" t="s">
        <v>2566</v>
      </c>
      <c r="D18204" s="857"/>
      <c r="I18204" s="845" t="str">
        <f>CONCATENATE("&lt;valeur&gt;",Cellule_1250_1,"&lt;/valeur&gt;")</f>
        <v>&lt;valeur&gt;&lt;/valeur&gt;</v>
      </c>
      <c r="K18204" s="989"/>
    </row>
    <row r="18205" spans="1:11" x14ac:dyDescent="0.2">
      <c r="A18205" s="859">
        <f t="shared" si="426"/>
        <v>18204</v>
      </c>
      <c r="B18205" s="845" t="s">
        <v>2566</v>
      </c>
      <c r="D18205" s="860"/>
      <c r="I18205" s="845" t="s">
        <v>1249</v>
      </c>
      <c r="K18205" s="989"/>
    </row>
    <row r="18206" spans="1:11" x14ac:dyDescent="0.2">
      <c r="A18206" s="859">
        <f t="shared" si="426"/>
        <v>18205</v>
      </c>
      <c r="B18206" s="845" t="s">
        <v>2566</v>
      </c>
      <c r="D18206" s="861"/>
      <c r="H18206" s="845" t="s">
        <v>1010</v>
      </c>
      <c r="K18206" s="989"/>
    </row>
    <row r="18207" spans="1:11" x14ac:dyDescent="0.2">
      <c r="A18207" s="859">
        <f t="shared" si="426"/>
        <v>18206</v>
      </c>
      <c r="B18207" s="845" t="s">
        <v>2566</v>
      </c>
      <c r="D18207" s="860"/>
      <c r="H18207" s="845" t="s">
        <v>1007</v>
      </c>
      <c r="K18207" s="989"/>
    </row>
    <row r="18208" spans="1:11" x14ac:dyDescent="0.2">
      <c r="A18208" s="859">
        <f t="shared" si="426"/>
        <v>18207</v>
      </c>
      <c r="B18208" s="845" t="s">
        <v>2566</v>
      </c>
      <c r="D18208" s="860"/>
      <c r="I18208" s="845" t="s">
        <v>2308</v>
      </c>
      <c r="K18208" s="989"/>
    </row>
    <row r="18209" spans="1:11" x14ac:dyDescent="0.2">
      <c r="A18209" s="859">
        <f t="shared" si="426"/>
        <v>18208</v>
      </c>
      <c r="B18209" s="845" t="s">
        <v>2566</v>
      </c>
      <c r="D18209" s="861"/>
      <c r="I18209" s="845" t="str">
        <f>CONCATENATE("&lt;valeur&gt;",Cellule_1251_1,"&lt;/valeur&gt;")</f>
        <v>&lt;valeur&gt;&lt;/valeur&gt;</v>
      </c>
      <c r="K18209" s="989"/>
    </row>
    <row r="18210" spans="1:11" x14ac:dyDescent="0.2">
      <c r="A18210" s="859">
        <f t="shared" si="426"/>
        <v>18209</v>
      </c>
      <c r="B18210" s="845" t="s">
        <v>2566</v>
      </c>
      <c r="D18210" s="862"/>
      <c r="I18210" s="845" t="s">
        <v>1249</v>
      </c>
      <c r="K18210" s="989"/>
    </row>
    <row r="18211" spans="1:11" x14ac:dyDescent="0.2">
      <c r="A18211" s="859">
        <f t="shared" si="426"/>
        <v>18210</v>
      </c>
      <c r="B18211" s="845" t="s">
        <v>2566</v>
      </c>
      <c r="D18211" s="863"/>
      <c r="H18211" s="845" t="s">
        <v>1010</v>
      </c>
      <c r="K18211" s="989"/>
    </row>
    <row r="18212" spans="1:11" x14ac:dyDescent="0.2">
      <c r="A18212" s="859">
        <f t="shared" si="426"/>
        <v>18211</v>
      </c>
      <c r="B18212" s="845" t="s">
        <v>2566</v>
      </c>
      <c r="D18212" s="862"/>
      <c r="H18212" s="845" t="s">
        <v>1007</v>
      </c>
      <c r="K18212" s="989"/>
    </row>
    <row r="18213" spans="1:11" x14ac:dyDescent="0.2">
      <c r="A18213" s="859">
        <f t="shared" si="426"/>
        <v>18212</v>
      </c>
      <c r="B18213" s="845" t="s">
        <v>2566</v>
      </c>
      <c r="D18213" s="862"/>
      <c r="I18213" s="845" t="s">
        <v>2309</v>
      </c>
      <c r="K18213" s="989"/>
    </row>
    <row r="18214" spans="1:11" x14ac:dyDescent="0.2">
      <c r="A18214" s="859">
        <f t="shared" si="426"/>
        <v>18213</v>
      </c>
      <c r="B18214" s="845" t="s">
        <v>2566</v>
      </c>
      <c r="D18214" s="862"/>
      <c r="I18214" s="845" t="str">
        <f>CONCATENATE("&lt;valeur&gt;",Cellule_1252_1,"&lt;/valeur&gt;")</f>
        <v>&lt;valeur&gt;&lt;/valeur&gt;</v>
      </c>
      <c r="K18214" s="989"/>
    </row>
    <row r="18215" spans="1:11" x14ac:dyDescent="0.2">
      <c r="A18215" s="859">
        <f t="shared" si="426"/>
        <v>18214</v>
      </c>
      <c r="B18215" s="845" t="s">
        <v>2566</v>
      </c>
      <c r="D18215" s="861"/>
      <c r="I18215" s="845" t="s">
        <v>1249</v>
      </c>
      <c r="K18215" s="989"/>
    </row>
    <row r="18216" spans="1:11" x14ac:dyDescent="0.2">
      <c r="A18216" s="859">
        <f t="shared" si="426"/>
        <v>18215</v>
      </c>
      <c r="B18216" s="845" t="s">
        <v>2566</v>
      </c>
      <c r="D18216" s="861"/>
      <c r="H18216" s="845" t="s">
        <v>1010</v>
      </c>
      <c r="K18216" s="989"/>
    </row>
    <row r="18217" spans="1:11" x14ac:dyDescent="0.2">
      <c r="A18217" s="859">
        <f t="shared" si="426"/>
        <v>18216</v>
      </c>
      <c r="B18217" s="845" t="s">
        <v>2566</v>
      </c>
      <c r="D18217" s="862"/>
      <c r="H18217" s="845" t="s">
        <v>1007</v>
      </c>
      <c r="K18217" s="989"/>
    </row>
    <row r="18218" spans="1:11" x14ac:dyDescent="0.2">
      <c r="A18218" s="859">
        <f t="shared" si="426"/>
        <v>18217</v>
      </c>
      <c r="B18218" s="845" t="s">
        <v>2566</v>
      </c>
      <c r="D18218" s="863"/>
      <c r="I18218" s="845" t="s">
        <v>2310</v>
      </c>
      <c r="K18218" s="989"/>
    </row>
    <row r="18219" spans="1:11" x14ac:dyDescent="0.2">
      <c r="A18219" s="859">
        <f t="shared" si="426"/>
        <v>18218</v>
      </c>
      <c r="B18219" s="845" t="s">
        <v>2566</v>
      </c>
      <c r="D18219" s="862"/>
      <c r="I18219" s="845" t="str">
        <f>CONCATENATE("&lt;valeur&gt;",Cellule_1253_1,"&lt;/valeur&gt;")</f>
        <v>&lt;valeur&gt;&lt;/valeur&gt;</v>
      </c>
      <c r="K18219" s="989"/>
    </row>
    <row r="18220" spans="1:11" x14ac:dyDescent="0.2">
      <c r="A18220" s="859">
        <f t="shared" si="426"/>
        <v>18219</v>
      </c>
      <c r="B18220" s="845" t="s">
        <v>2566</v>
      </c>
      <c r="D18220" s="862"/>
      <c r="I18220" s="845" t="s">
        <v>1249</v>
      </c>
      <c r="K18220" s="989"/>
    </row>
    <row r="18221" spans="1:11" x14ac:dyDescent="0.2">
      <c r="A18221" s="859">
        <f t="shared" si="426"/>
        <v>18220</v>
      </c>
      <c r="B18221" s="991" t="s">
        <v>2566</v>
      </c>
      <c r="C18221" s="991"/>
      <c r="D18221" s="1002"/>
      <c r="E18221" s="991"/>
      <c r="F18221" s="991"/>
      <c r="G18221" s="991"/>
      <c r="H18221" s="991" t="s">
        <v>1010</v>
      </c>
      <c r="I18221" s="991"/>
      <c r="J18221" s="991"/>
      <c r="K18221" s="1000"/>
    </row>
    <row r="18222" spans="1:11" x14ac:dyDescent="0.2">
      <c r="A18222" s="859">
        <f t="shared" si="426"/>
        <v>18221</v>
      </c>
      <c r="B18222" s="990" t="s">
        <v>2566</v>
      </c>
      <c r="C18222" s="990"/>
      <c r="D18222" s="998"/>
      <c r="E18222" s="990"/>
      <c r="F18222" s="990"/>
      <c r="G18222" s="990"/>
      <c r="H18222" s="990" t="s">
        <v>1007</v>
      </c>
      <c r="I18222" s="990"/>
      <c r="J18222" s="990"/>
      <c r="K18222" s="986"/>
    </row>
    <row r="18223" spans="1:11" x14ac:dyDescent="0.2">
      <c r="A18223" s="859">
        <f t="shared" si="426"/>
        <v>18222</v>
      </c>
      <c r="B18223" s="845" t="s">
        <v>2566</v>
      </c>
      <c r="D18223" s="861"/>
      <c r="I18223" s="845" t="s">
        <v>2298</v>
      </c>
      <c r="K18223" s="989"/>
    </row>
    <row r="18224" spans="1:11" x14ac:dyDescent="0.2">
      <c r="A18224" s="859">
        <f t="shared" si="426"/>
        <v>18223</v>
      </c>
      <c r="B18224" s="845" t="s">
        <v>2566</v>
      </c>
      <c r="D18224" s="862"/>
      <c r="I18224" s="845" t="str">
        <f>CONCATENATE("&lt;valeur&gt;",Cellule_1221_2,"&lt;/valeur&gt;")</f>
        <v>&lt;valeur&gt;&lt;/valeur&gt;</v>
      </c>
      <c r="K18224" s="989"/>
    </row>
    <row r="18225" spans="1:11" x14ac:dyDescent="0.2">
      <c r="A18225" s="859">
        <f t="shared" si="426"/>
        <v>18224</v>
      </c>
      <c r="B18225" s="845" t="s">
        <v>2566</v>
      </c>
      <c r="D18225" s="863"/>
      <c r="I18225" s="845" t="s">
        <v>2577</v>
      </c>
      <c r="K18225" s="989"/>
    </row>
    <row r="18226" spans="1:11" x14ac:dyDescent="0.2">
      <c r="A18226" s="859">
        <f t="shared" si="426"/>
        <v>18225</v>
      </c>
      <c r="B18226" s="845" t="s">
        <v>2566</v>
      </c>
      <c r="D18226" s="862"/>
      <c r="H18226" s="845" t="s">
        <v>1010</v>
      </c>
      <c r="K18226" s="989"/>
    </row>
    <row r="18227" spans="1:11" x14ac:dyDescent="0.2">
      <c r="A18227" s="859">
        <f t="shared" si="426"/>
        <v>18226</v>
      </c>
      <c r="B18227" s="845" t="s">
        <v>2566</v>
      </c>
      <c r="D18227" s="862"/>
      <c r="H18227" s="845" t="s">
        <v>1007</v>
      </c>
      <c r="K18227" s="989"/>
    </row>
    <row r="18228" spans="1:11" x14ac:dyDescent="0.2">
      <c r="A18228" s="859">
        <f t="shared" si="426"/>
        <v>18227</v>
      </c>
      <c r="B18228" s="845" t="s">
        <v>2566</v>
      </c>
      <c r="D18228" s="861"/>
      <c r="I18228" s="845" t="s">
        <v>2299</v>
      </c>
      <c r="K18228" s="989"/>
    </row>
    <row r="18229" spans="1:11" x14ac:dyDescent="0.2">
      <c r="A18229" s="859">
        <f t="shared" si="426"/>
        <v>18228</v>
      </c>
      <c r="B18229" s="845" t="s">
        <v>2566</v>
      </c>
      <c r="D18229" s="861"/>
      <c r="I18229" s="845" t="str">
        <f>CONCATENATE("&lt;valeur&gt;",Cellule_1222_2,"&lt;/valeur&gt;")</f>
        <v>&lt;valeur&gt;&lt;/valeur&gt;</v>
      </c>
      <c r="K18229" s="989"/>
    </row>
    <row r="18230" spans="1:11" x14ac:dyDescent="0.2">
      <c r="A18230" s="859">
        <f t="shared" si="426"/>
        <v>18229</v>
      </c>
      <c r="B18230" s="845" t="s">
        <v>2566</v>
      </c>
      <c r="D18230" s="862"/>
      <c r="I18230" s="845" t="s">
        <v>2577</v>
      </c>
      <c r="K18230" s="989"/>
    </row>
    <row r="18231" spans="1:11" x14ac:dyDescent="0.2">
      <c r="A18231" s="859">
        <f t="shared" si="426"/>
        <v>18230</v>
      </c>
      <c r="B18231" s="845" t="s">
        <v>2566</v>
      </c>
      <c r="D18231" s="863"/>
      <c r="H18231" s="845" t="s">
        <v>1010</v>
      </c>
      <c r="K18231" s="989"/>
    </row>
    <row r="18232" spans="1:11" x14ac:dyDescent="0.2">
      <c r="A18232" s="859">
        <f t="shared" si="426"/>
        <v>18231</v>
      </c>
      <c r="B18232" s="845" t="s">
        <v>2566</v>
      </c>
      <c r="D18232" s="862"/>
      <c r="H18232" s="845" t="s">
        <v>1007</v>
      </c>
      <c r="K18232" s="989"/>
    </row>
    <row r="18233" spans="1:11" x14ac:dyDescent="0.2">
      <c r="A18233" s="859">
        <f t="shared" si="426"/>
        <v>18232</v>
      </c>
      <c r="B18233" s="845" t="s">
        <v>2566</v>
      </c>
      <c r="D18233" s="862"/>
      <c r="I18233" s="845" t="s">
        <v>2300</v>
      </c>
      <c r="K18233" s="989"/>
    </row>
    <row r="18234" spans="1:11" x14ac:dyDescent="0.2">
      <c r="A18234" s="859">
        <f t="shared" si="426"/>
        <v>18233</v>
      </c>
      <c r="B18234" s="845" t="s">
        <v>2566</v>
      </c>
      <c r="D18234" s="861"/>
      <c r="I18234" s="845" t="str">
        <f>CONCATENATE("&lt;valeur&gt;",Cellule_1223_2,"&lt;/valeur&gt;")</f>
        <v>&lt;valeur&gt;&lt;/valeur&gt;</v>
      </c>
      <c r="K18234" s="989"/>
    </row>
    <row r="18235" spans="1:11" x14ac:dyDescent="0.2">
      <c r="A18235" s="859">
        <f t="shared" si="426"/>
        <v>18234</v>
      </c>
      <c r="B18235" s="845" t="s">
        <v>2566</v>
      </c>
      <c r="D18235" s="861"/>
      <c r="I18235" s="845" t="s">
        <v>2577</v>
      </c>
      <c r="K18235" s="989"/>
    </row>
    <row r="18236" spans="1:11" x14ac:dyDescent="0.2">
      <c r="A18236" s="859">
        <f t="shared" si="426"/>
        <v>18235</v>
      </c>
      <c r="B18236" s="845" t="s">
        <v>2566</v>
      </c>
      <c r="D18236" s="862"/>
      <c r="H18236" s="845" t="s">
        <v>1010</v>
      </c>
      <c r="K18236" s="989"/>
    </row>
    <row r="18237" spans="1:11" x14ac:dyDescent="0.2">
      <c r="A18237" s="859">
        <f t="shared" si="426"/>
        <v>18236</v>
      </c>
      <c r="B18237" s="845" t="s">
        <v>2566</v>
      </c>
      <c r="D18237" s="863"/>
      <c r="H18237" s="845" t="s">
        <v>1007</v>
      </c>
      <c r="K18237" s="989"/>
    </row>
    <row r="18238" spans="1:11" x14ac:dyDescent="0.2">
      <c r="A18238" s="859">
        <f t="shared" si="426"/>
        <v>18237</v>
      </c>
      <c r="B18238" s="845" t="s">
        <v>2566</v>
      </c>
      <c r="D18238" s="862"/>
      <c r="I18238" s="845" t="s">
        <v>2301</v>
      </c>
      <c r="K18238" s="989"/>
    </row>
    <row r="18239" spans="1:11" x14ac:dyDescent="0.2">
      <c r="A18239" s="859">
        <f t="shared" si="426"/>
        <v>18238</v>
      </c>
      <c r="B18239" s="845" t="s">
        <v>2566</v>
      </c>
      <c r="D18239" s="862"/>
      <c r="I18239" s="845" t="str">
        <f>CONCATENATE("&lt;valeur&gt;",Cellule_1224_2,"&lt;/valeur&gt;")</f>
        <v>&lt;valeur&gt;&lt;/valeur&gt;</v>
      </c>
      <c r="K18239" s="989"/>
    </row>
    <row r="18240" spans="1:11" x14ac:dyDescent="0.2">
      <c r="A18240" s="859">
        <f t="shared" si="426"/>
        <v>18239</v>
      </c>
      <c r="B18240" s="845" t="s">
        <v>2566</v>
      </c>
      <c r="D18240" s="861"/>
      <c r="I18240" s="845" t="s">
        <v>2577</v>
      </c>
      <c r="K18240" s="989"/>
    </row>
    <row r="18241" spans="1:11" x14ac:dyDescent="0.2">
      <c r="A18241" s="859">
        <f t="shared" si="426"/>
        <v>18240</v>
      </c>
      <c r="B18241" s="845" t="s">
        <v>2566</v>
      </c>
      <c r="D18241" s="861"/>
      <c r="H18241" s="845" t="s">
        <v>1010</v>
      </c>
      <c r="K18241" s="989"/>
    </row>
    <row r="18242" spans="1:11" x14ac:dyDescent="0.2">
      <c r="A18242" s="859">
        <f t="shared" si="426"/>
        <v>18241</v>
      </c>
      <c r="B18242" s="845" t="s">
        <v>2566</v>
      </c>
      <c r="D18242" s="862"/>
      <c r="H18242" s="845" t="s">
        <v>1007</v>
      </c>
      <c r="K18242" s="989"/>
    </row>
    <row r="18243" spans="1:11" x14ac:dyDescent="0.2">
      <c r="A18243" s="859">
        <f t="shared" si="426"/>
        <v>18242</v>
      </c>
      <c r="B18243" s="845" t="s">
        <v>2566</v>
      </c>
      <c r="D18243" s="863"/>
      <c r="I18243" s="845" t="s">
        <v>2302</v>
      </c>
      <c r="K18243" s="989"/>
    </row>
    <row r="18244" spans="1:11" x14ac:dyDescent="0.2">
      <c r="A18244" s="859">
        <f t="shared" ref="A18244:A18307" si="427">+A18243+1</f>
        <v>18243</v>
      </c>
      <c r="B18244" s="845" t="s">
        <v>2566</v>
      </c>
      <c r="D18244" s="862"/>
      <c r="I18244" s="845" t="str">
        <f>CONCATENATE("&lt;valeur&gt;",Cellule_1225_2,"&lt;/valeur&gt;")</f>
        <v>&lt;valeur&gt;&lt;/valeur&gt;</v>
      </c>
      <c r="K18244" s="989"/>
    </row>
    <row r="18245" spans="1:11" x14ac:dyDescent="0.2">
      <c r="A18245" s="859">
        <f t="shared" si="427"/>
        <v>18244</v>
      </c>
      <c r="B18245" s="845" t="s">
        <v>2566</v>
      </c>
      <c r="D18245" s="862"/>
      <c r="I18245" s="845" t="s">
        <v>2577</v>
      </c>
      <c r="K18245" s="989"/>
    </row>
    <row r="18246" spans="1:11" x14ac:dyDescent="0.2">
      <c r="A18246" s="859">
        <f t="shared" si="427"/>
        <v>18245</v>
      </c>
      <c r="B18246" s="845" t="s">
        <v>2566</v>
      </c>
      <c r="D18246" s="861"/>
      <c r="H18246" s="845" t="s">
        <v>1010</v>
      </c>
      <c r="K18246" s="989"/>
    </row>
    <row r="18247" spans="1:11" x14ac:dyDescent="0.2">
      <c r="A18247" s="859">
        <f t="shared" si="427"/>
        <v>18246</v>
      </c>
      <c r="B18247" s="845" t="s">
        <v>2566</v>
      </c>
      <c r="D18247" s="861"/>
      <c r="H18247" s="845" t="s">
        <v>1007</v>
      </c>
      <c r="K18247" s="989"/>
    </row>
    <row r="18248" spans="1:11" x14ac:dyDescent="0.2">
      <c r="A18248" s="859">
        <f t="shared" si="427"/>
        <v>18247</v>
      </c>
      <c r="B18248" s="845" t="s">
        <v>2566</v>
      </c>
      <c r="D18248" s="862"/>
      <c r="I18248" s="845" t="s">
        <v>2303</v>
      </c>
      <c r="K18248" s="989"/>
    </row>
    <row r="18249" spans="1:11" x14ac:dyDescent="0.2">
      <c r="A18249" s="859">
        <f t="shared" si="427"/>
        <v>18248</v>
      </c>
      <c r="B18249" s="845" t="s">
        <v>2566</v>
      </c>
      <c r="D18249" s="863"/>
      <c r="I18249" s="845" t="str">
        <f>CONCATENATE("&lt;valeur&gt;",Cellule_1226_2,"&lt;/valeur&gt;")</f>
        <v>&lt;valeur&gt;&lt;/valeur&gt;</v>
      </c>
      <c r="K18249" s="989"/>
    </row>
    <row r="18250" spans="1:11" x14ac:dyDescent="0.2">
      <c r="A18250" s="859">
        <f t="shared" si="427"/>
        <v>18249</v>
      </c>
      <c r="B18250" s="845" t="s">
        <v>2566</v>
      </c>
      <c r="D18250" s="862"/>
      <c r="I18250" s="845" t="s">
        <v>2577</v>
      </c>
      <c r="K18250" s="989"/>
    </row>
    <row r="18251" spans="1:11" x14ac:dyDescent="0.2">
      <c r="A18251" s="859">
        <f t="shared" si="427"/>
        <v>18250</v>
      </c>
      <c r="B18251" s="845" t="s">
        <v>2566</v>
      </c>
      <c r="D18251" s="862"/>
      <c r="H18251" s="845" t="s">
        <v>1010</v>
      </c>
      <c r="K18251" s="989"/>
    </row>
    <row r="18252" spans="1:11" x14ac:dyDescent="0.2">
      <c r="A18252" s="859">
        <f t="shared" si="427"/>
        <v>18251</v>
      </c>
      <c r="B18252" s="845" t="s">
        <v>2566</v>
      </c>
      <c r="D18252" s="861"/>
      <c r="H18252" s="845" t="s">
        <v>1007</v>
      </c>
      <c r="K18252" s="989"/>
    </row>
    <row r="18253" spans="1:11" x14ac:dyDescent="0.2">
      <c r="A18253" s="859">
        <f t="shared" si="427"/>
        <v>18252</v>
      </c>
      <c r="B18253" s="845" t="s">
        <v>2566</v>
      </c>
      <c r="D18253" s="861"/>
      <c r="I18253" s="845" t="s">
        <v>2304</v>
      </c>
      <c r="K18253" s="989"/>
    </row>
    <row r="18254" spans="1:11" x14ac:dyDescent="0.2">
      <c r="A18254" s="859">
        <f t="shared" si="427"/>
        <v>18253</v>
      </c>
      <c r="B18254" s="845" t="s">
        <v>2566</v>
      </c>
      <c r="D18254" s="862"/>
      <c r="I18254" s="845" t="str">
        <f>CONCATENATE("&lt;valeur&gt;",Cellule_1227_2,"&lt;/valeur&gt;")</f>
        <v>&lt;valeur&gt;&lt;/valeur&gt;</v>
      </c>
      <c r="K18254" s="989"/>
    </row>
    <row r="18255" spans="1:11" x14ac:dyDescent="0.2">
      <c r="A18255" s="859">
        <f t="shared" si="427"/>
        <v>18254</v>
      </c>
      <c r="B18255" s="845" t="s">
        <v>2566</v>
      </c>
      <c r="D18255" s="863"/>
      <c r="I18255" s="845" t="s">
        <v>2577</v>
      </c>
      <c r="K18255" s="989"/>
    </row>
    <row r="18256" spans="1:11" x14ac:dyDescent="0.2">
      <c r="A18256" s="859">
        <f t="shared" si="427"/>
        <v>18255</v>
      </c>
      <c r="B18256" s="845" t="s">
        <v>2566</v>
      </c>
      <c r="D18256" s="862"/>
      <c r="H18256" s="845" t="s">
        <v>1010</v>
      </c>
      <c r="K18256" s="989"/>
    </row>
    <row r="18257" spans="1:11" x14ac:dyDescent="0.2">
      <c r="A18257" s="859">
        <f t="shared" si="427"/>
        <v>18256</v>
      </c>
      <c r="B18257" s="845" t="s">
        <v>2566</v>
      </c>
      <c r="D18257" s="862"/>
      <c r="H18257" s="845" t="s">
        <v>1007</v>
      </c>
      <c r="K18257" s="989"/>
    </row>
    <row r="18258" spans="1:11" x14ac:dyDescent="0.2">
      <c r="A18258" s="859">
        <f t="shared" si="427"/>
        <v>18257</v>
      </c>
      <c r="B18258" s="845" t="s">
        <v>2566</v>
      </c>
      <c r="D18258" s="861"/>
      <c r="I18258" s="845" t="s">
        <v>2305</v>
      </c>
      <c r="K18258" s="989"/>
    </row>
    <row r="18259" spans="1:11" x14ac:dyDescent="0.2">
      <c r="A18259" s="859">
        <f t="shared" si="427"/>
        <v>18258</v>
      </c>
      <c r="B18259" s="845" t="s">
        <v>2566</v>
      </c>
      <c r="D18259" s="860"/>
      <c r="I18259" s="845" t="str">
        <f>CONCATENATE("&lt;valeur&gt;",Cellule_1228_2,"&lt;/valeur&gt;")</f>
        <v>&lt;valeur&gt;&lt;/valeur&gt;</v>
      </c>
      <c r="K18259" s="989"/>
    </row>
    <row r="18260" spans="1:11" x14ac:dyDescent="0.2">
      <c r="A18260" s="859">
        <f t="shared" si="427"/>
        <v>18259</v>
      </c>
      <c r="B18260" s="845" t="s">
        <v>2566</v>
      </c>
      <c r="D18260" s="860"/>
      <c r="I18260" s="845" t="s">
        <v>2577</v>
      </c>
      <c r="K18260" s="989"/>
    </row>
    <row r="18261" spans="1:11" x14ac:dyDescent="0.2">
      <c r="A18261" s="859">
        <f t="shared" si="427"/>
        <v>18260</v>
      </c>
      <c r="B18261" s="845" t="s">
        <v>2566</v>
      </c>
      <c r="D18261" s="861"/>
      <c r="H18261" s="845" t="s">
        <v>1010</v>
      </c>
      <c r="K18261" s="989"/>
    </row>
    <row r="18262" spans="1:11" x14ac:dyDescent="0.2">
      <c r="A18262" s="859">
        <f t="shared" si="427"/>
        <v>18261</v>
      </c>
      <c r="B18262" s="845" t="s">
        <v>2566</v>
      </c>
      <c r="D18262" s="862"/>
      <c r="H18262" s="845" t="s">
        <v>1007</v>
      </c>
      <c r="K18262" s="989"/>
    </row>
    <row r="18263" spans="1:11" x14ac:dyDescent="0.2">
      <c r="A18263" s="859">
        <f t="shared" si="427"/>
        <v>18262</v>
      </c>
      <c r="B18263" s="845" t="s">
        <v>2566</v>
      </c>
      <c r="D18263" s="863"/>
      <c r="I18263" s="845" t="s">
        <v>2306</v>
      </c>
      <c r="K18263" s="989"/>
    </row>
    <row r="18264" spans="1:11" x14ac:dyDescent="0.2">
      <c r="A18264" s="859">
        <f t="shared" si="427"/>
        <v>18263</v>
      </c>
      <c r="B18264" s="845" t="s">
        <v>2566</v>
      </c>
      <c r="D18264" s="862"/>
      <c r="I18264" s="845" t="str">
        <f>CONCATENATE("&lt;valeur&gt;",Cellule_1229_2,"&lt;/valeur&gt;")</f>
        <v>&lt;valeur&gt;&lt;/valeur&gt;</v>
      </c>
      <c r="K18264" s="989"/>
    </row>
    <row r="18265" spans="1:11" x14ac:dyDescent="0.2">
      <c r="A18265" s="859">
        <f t="shared" si="427"/>
        <v>18264</v>
      </c>
      <c r="B18265" s="845" t="s">
        <v>2566</v>
      </c>
      <c r="D18265" s="862"/>
      <c r="I18265" s="845" t="s">
        <v>2577</v>
      </c>
      <c r="K18265" s="989"/>
    </row>
    <row r="18266" spans="1:11" x14ac:dyDescent="0.2">
      <c r="A18266" s="859">
        <f t="shared" si="427"/>
        <v>18265</v>
      </c>
      <c r="B18266" s="845" t="s">
        <v>2566</v>
      </c>
      <c r="D18266" s="861"/>
      <c r="H18266" s="845" t="s">
        <v>1010</v>
      </c>
      <c r="K18266" s="989"/>
    </row>
    <row r="18267" spans="1:11" x14ac:dyDescent="0.2">
      <c r="A18267" s="859">
        <f t="shared" si="427"/>
        <v>18266</v>
      </c>
      <c r="B18267" s="845" t="s">
        <v>2566</v>
      </c>
      <c r="D18267" s="860"/>
      <c r="H18267" s="845" t="s">
        <v>1007</v>
      </c>
      <c r="K18267" s="989"/>
    </row>
    <row r="18268" spans="1:11" x14ac:dyDescent="0.2">
      <c r="A18268" s="859">
        <f t="shared" si="427"/>
        <v>18267</v>
      </c>
      <c r="B18268" s="845" t="s">
        <v>2566</v>
      </c>
      <c r="D18268" s="857"/>
      <c r="I18268" s="845" t="s">
        <v>2307</v>
      </c>
      <c r="K18268" s="989"/>
    </row>
    <row r="18269" spans="1:11" x14ac:dyDescent="0.2">
      <c r="A18269" s="859">
        <f t="shared" si="427"/>
        <v>18268</v>
      </c>
      <c r="B18269" s="845" t="s">
        <v>2566</v>
      </c>
      <c r="D18269" s="857"/>
      <c r="I18269" s="845" t="str">
        <f>CONCATENATE("&lt;valeur&gt;",Cellule_1250_2,"&lt;/valeur&gt;")</f>
        <v>&lt;valeur&gt;&lt;/valeur&gt;</v>
      </c>
      <c r="K18269" s="989"/>
    </row>
    <row r="18270" spans="1:11" x14ac:dyDescent="0.2">
      <c r="A18270" s="859">
        <f t="shared" si="427"/>
        <v>18269</v>
      </c>
      <c r="B18270" s="845" t="s">
        <v>2566</v>
      </c>
      <c r="D18270" s="860"/>
      <c r="I18270" s="845" t="s">
        <v>2577</v>
      </c>
      <c r="K18270" s="989"/>
    </row>
    <row r="18271" spans="1:11" x14ac:dyDescent="0.2">
      <c r="A18271" s="859">
        <f t="shared" si="427"/>
        <v>18270</v>
      </c>
      <c r="B18271" s="845" t="s">
        <v>2566</v>
      </c>
      <c r="D18271" s="861"/>
      <c r="H18271" s="845" t="s">
        <v>1010</v>
      </c>
      <c r="K18271" s="989"/>
    </row>
    <row r="18272" spans="1:11" x14ac:dyDescent="0.2">
      <c r="A18272" s="859">
        <f t="shared" si="427"/>
        <v>18271</v>
      </c>
      <c r="B18272" s="845" t="s">
        <v>2566</v>
      </c>
      <c r="D18272" s="860"/>
      <c r="H18272" s="845" t="s">
        <v>1007</v>
      </c>
      <c r="K18272" s="989"/>
    </row>
    <row r="18273" spans="1:11" x14ac:dyDescent="0.2">
      <c r="A18273" s="859">
        <f t="shared" si="427"/>
        <v>18272</v>
      </c>
      <c r="B18273" s="845" t="s">
        <v>2566</v>
      </c>
      <c r="D18273" s="860"/>
      <c r="I18273" s="845" t="s">
        <v>2308</v>
      </c>
      <c r="K18273" s="989"/>
    </row>
    <row r="18274" spans="1:11" x14ac:dyDescent="0.2">
      <c r="A18274" s="859">
        <f t="shared" si="427"/>
        <v>18273</v>
      </c>
      <c r="B18274" s="845" t="s">
        <v>2566</v>
      </c>
      <c r="D18274" s="861"/>
      <c r="I18274" s="845" t="str">
        <f>CONCATENATE("&lt;valeur&gt;",Cellule_1251_2,"&lt;/valeur&gt;")</f>
        <v>&lt;valeur&gt;&lt;/valeur&gt;</v>
      </c>
      <c r="K18274" s="989"/>
    </row>
    <row r="18275" spans="1:11" x14ac:dyDescent="0.2">
      <c r="A18275" s="859">
        <f t="shared" si="427"/>
        <v>18274</v>
      </c>
      <c r="B18275" s="845" t="s">
        <v>2566</v>
      </c>
      <c r="D18275" s="862"/>
      <c r="I18275" s="845" t="s">
        <v>2577</v>
      </c>
      <c r="K18275" s="989"/>
    </row>
    <row r="18276" spans="1:11" x14ac:dyDescent="0.2">
      <c r="A18276" s="859">
        <f t="shared" si="427"/>
        <v>18275</v>
      </c>
      <c r="B18276" s="845" t="s">
        <v>2566</v>
      </c>
      <c r="D18276" s="863"/>
      <c r="H18276" s="845" t="s">
        <v>1010</v>
      </c>
      <c r="K18276" s="989"/>
    </row>
    <row r="18277" spans="1:11" x14ac:dyDescent="0.2">
      <c r="A18277" s="859">
        <f t="shared" si="427"/>
        <v>18276</v>
      </c>
      <c r="B18277" s="845" t="s">
        <v>2566</v>
      </c>
      <c r="D18277" s="862"/>
      <c r="H18277" s="845" t="s">
        <v>1007</v>
      </c>
      <c r="K18277" s="989"/>
    </row>
    <row r="18278" spans="1:11" x14ac:dyDescent="0.2">
      <c r="A18278" s="859">
        <f t="shared" si="427"/>
        <v>18277</v>
      </c>
      <c r="B18278" s="845" t="s">
        <v>2566</v>
      </c>
      <c r="D18278" s="862"/>
      <c r="I18278" s="845" t="s">
        <v>2309</v>
      </c>
      <c r="K18278" s="989"/>
    </row>
    <row r="18279" spans="1:11" x14ac:dyDescent="0.2">
      <c r="A18279" s="859">
        <f t="shared" si="427"/>
        <v>18278</v>
      </c>
      <c r="B18279" s="845" t="s">
        <v>2566</v>
      </c>
      <c r="D18279" s="862"/>
      <c r="I18279" s="845" t="str">
        <f>CONCATENATE("&lt;valeur&gt;",Cellule_1252_2,"&lt;/valeur&gt;")</f>
        <v>&lt;valeur&gt;&lt;/valeur&gt;</v>
      </c>
      <c r="K18279" s="989"/>
    </row>
    <row r="18280" spans="1:11" x14ac:dyDescent="0.2">
      <c r="A18280" s="859">
        <f t="shared" si="427"/>
        <v>18279</v>
      </c>
      <c r="B18280" s="845" t="s">
        <v>2566</v>
      </c>
      <c r="D18280" s="861"/>
      <c r="I18280" s="845" t="s">
        <v>2577</v>
      </c>
      <c r="K18280" s="989"/>
    </row>
    <row r="18281" spans="1:11" x14ac:dyDescent="0.2">
      <c r="A18281" s="859">
        <f t="shared" si="427"/>
        <v>18280</v>
      </c>
      <c r="B18281" s="845" t="s">
        <v>2566</v>
      </c>
      <c r="D18281" s="861"/>
      <c r="H18281" s="845" t="s">
        <v>1010</v>
      </c>
      <c r="K18281" s="989"/>
    </row>
    <row r="18282" spans="1:11" x14ac:dyDescent="0.2">
      <c r="A18282" s="859">
        <f t="shared" si="427"/>
        <v>18281</v>
      </c>
      <c r="B18282" s="845" t="s">
        <v>2566</v>
      </c>
      <c r="D18282" s="862"/>
      <c r="H18282" s="845" t="s">
        <v>1007</v>
      </c>
      <c r="K18282" s="989"/>
    </row>
    <row r="18283" spans="1:11" x14ac:dyDescent="0.2">
      <c r="A18283" s="859">
        <f t="shared" si="427"/>
        <v>18282</v>
      </c>
      <c r="B18283" s="845" t="s">
        <v>2566</v>
      </c>
      <c r="D18283" s="863"/>
      <c r="I18283" s="845" t="s">
        <v>2310</v>
      </c>
      <c r="K18283" s="989"/>
    </row>
    <row r="18284" spans="1:11" x14ac:dyDescent="0.2">
      <c r="A18284" s="859">
        <f t="shared" si="427"/>
        <v>18283</v>
      </c>
      <c r="B18284" s="845" t="s">
        <v>2566</v>
      </c>
      <c r="D18284" s="862"/>
      <c r="I18284" s="845" t="str">
        <f>CONCATENATE("&lt;valeur&gt;",Cellule_1253_2,"&lt;/valeur&gt;")</f>
        <v>&lt;valeur&gt;&lt;/valeur&gt;</v>
      </c>
      <c r="K18284" s="989"/>
    </row>
    <row r="18285" spans="1:11" x14ac:dyDescent="0.2">
      <c r="A18285" s="859">
        <f t="shared" si="427"/>
        <v>18284</v>
      </c>
      <c r="B18285" s="845" t="s">
        <v>2566</v>
      </c>
      <c r="D18285" s="862"/>
      <c r="I18285" s="845" t="s">
        <v>2577</v>
      </c>
      <c r="K18285" s="989"/>
    </row>
    <row r="18286" spans="1:11" x14ac:dyDescent="0.2">
      <c r="A18286" s="859">
        <f t="shared" si="427"/>
        <v>18285</v>
      </c>
      <c r="B18286" s="991" t="s">
        <v>2566</v>
      </c>
      <c r="C18286" s="991"/>
      <c r="D18286" s="1002"/>
      <c r="E18286" s="991"/>
      <c r="F18286" s="991"/>
      <c r="G18286" s="991"/>
      <c r="H18286" s="991" t="s">
        <v>1010</v>
      </c>
      <c r="I18286" s="991"/>
      <c r="J18286" s="991"/>
      <c r="K18286" s="1000"/>
    </row>
    <row r="18287" spans="1:11" x14ac:dyDescent="0.2">
      <c r="A18287" s="859">
        <f t="shared" si="427"/>
        <v>18286</v>
      </c>
      <c r="B18287" s="990" t="s">
        <v>2566</v>
      </c>
      <c r="C18287" s="990"/>
      <c r="D18287" s="998"/>
      <c r="E18287" s="990"/>
      <c r="F18287" s="990"/>
      <c r="G18287" s="990"/>
      <c r="H18287" s="990" t="s">
        <v>1007</v>
      </c>
      <c r="I18287" s="990"/>
      <c r="J18287" s="990"/>
      <c r="K18287" s="986"/>
    </row>
    <row r="18288" spans="1:11" x14ac:dyDescent="0.2">
      <c r="A18288" s="859">
        <f t="shared" si="427"/>
        <v>18287</v>
      </c>
      <c r="B18288" s="845" t="s">
        <v>2566</v>
      </c>
      <c r="D18288" s="861"/>
      <c r="I18288" s="845" t="s">
        <v>2298</v>
      </c>
      <c r="K18288" s="989"/>
    </row>
    <row r="18289" spans="1:11" x14ac:dyDescent="0.2">
      <c r="A18289" s="859">
        <f t="shared" si="427"/>
        <v>18288</v>
      </c>
      <c r="B18289" s="845" t="s">
        <v>2566</v>
      </c>
      <c r="D18289" s="862"/>
      <c r="I18289" s="845" t="str">
        <f>CONCATENATE("&lt;valeur&gt;",Cellule_1221_3,"&lt;/valeur&gt;")</f>
        <v>&lt;valeur&gt;&lt;/valeur&gt;</v>
      </c>
      <c r="K18289" s="989"/>
    </row>
    <row r="18290" spans="1:11" x14ac:dyDescent="0.2">
      <c r="A18290" s="859">
        <f t="shared" si="427"/>
        <v>18289</v>
      </c>
      <c r="B18290" s="845" t="s">
        <v>2566</v>
      </c>
      <c r="D18290" s="863"/>
      <c r="I18290" s="845" t="s">
        <v>2578</v>
      </c>
      <c r="K18290" s="989"/>
    </row>
    <row r="18291" spans="1:11" x14ac:dyDescent="0.2">
      <c r="A18291" s="859">
        <f t="shared" si="427"/>
        <v>18290</v>
      </c>
      <c r="B18291" s="845" t="s">
        <v>2566</v>
      </c>
      <c r="D18291" s="862"/>
      <c r="H18291" s="845" t="s">
        <v>1010</v>
      </c>
      <c r="K18291" s="989"/>
    </row>
    <row r="18292" spans="1:11" x14ac:dyDescent="0.2">
      <c r="A18292" s="859">
        <f t="shared" si="427"/>
        <v>18291</v>
      </c>
      <c r="B18292" s="845" t="s">
        <v>2566</v>
      </c>
      <c r="D18292" s="862"/>
      <c r="H18292" s="845" t="s">
        <v>1007</v>
      </c>
      <c r="K18292" s="989"/>
    </row>
    <row r="18293" spans="1:11" x14ac:dyDescent="0.2">
      <c r="A18293" s="859">
        <f t="shared" si="427"/>
        <v>18292</v>
      </c>
      <c r="B18293" s="845" t="s">
        <v>2566</v>
      </c>
      <c r="D18293" s="861"/>
      <c r="I18293" s="845" t="s">
        <v>2299</v>
      </c>
      <c r="K18293" s="989"/>
    </row>
    <row r="18294" spans="1:11" x14ac:dyDescent="0.2">
      <c r="A18294" s="859">
        <f t="shared" si="427"/>
        <v>18293</v>
      </c>
      <c r="B18294" s="845" t="s">
        <v>2566</v>
      </c>
      <c r="D18294" s="861"/>
      <c r="I18294" s="845" t="str">
        <f>CONCATENATE("&lt;valeur&gt;",Cellule_1222_3,"&lt;/valeur&gt;")</f>
        <v>&lt;valeur&gt;&lt;/valeur&gt;</v>
      </c>
      <c r="K18294" s="989"/>
    </row>
    <row r="18295" spans="1:11" x14ac:dyDescent="0.2">
      <c r="A18295" s="859">
        <f t="shared" si="427"/>
        <v>18294</v>
      </c>
      <c r="B18295" s="845" t="s">
        <v>2566</v>
      </c>
      <c r="D18295" s="862"/>
      <c r="I18295" s="845" t="s">
        <v>2578</v>
      </c>
      <c r="K18295" s="989"/>
    </row>
    <row r="18296" spans="1:11" x14ac:dyDescent="0.2">
      <c r="A18296" s="859">
        <f t="shared" si="427"/>
        <v>18295</v>
      </c>
      <c r="B18296" s="845" t="s">
        <v>2566</v>
      </c>
      <c r="D18296" s="863"/>
      <c r="H18296" s="845" t="s">
        <v>1010</v>
      </c>
      <c r="K18296" s="989"/>
    </row>
    <row r="18297" spans="1:11" x14ac:dyDescent="0.2">
      <c r="A18297" s="859">
        <f t="shared" si="427"/>
        <v>18296</v>
      </c>
      <c r="B18297" s="845" t="s">
        <v>2566</v>
      </c>
      <c r="D18297" s="862"/>
      <c r="H18297" s="845" t="s">
        <v>1007</v>
      </c>
      <c r="K18297" s="989"/>
    </row>
    <row r="18298" spans="1:11" x14ac:dyDescent="0.2">
      <c r="A18298" s="859">
        <f t="shared" si="427"/>
        <v>18297</v>
      </c>
      <c r="B18298" s="845" t="s">
        <v>2566</v>
      </c>
      <c r="D18298" s="862"/>
      <c r="I18298" s="845" t="s">
        <v>2300</v>
      </c>
      <c r="K18298" s="989"/>
    </row>
    <row r="18299" spans="1:11" x14ac:dyDescent="0.2">
      <c r="A18299" s="859">
        <f t="shared" si="427"/>
        <v>18298</v>
      </c>
      <c r="B18299" s="845" t="s">
        <v>2566</v>
      </c>
      <c r="D18299" s="861"/>
      <c r="I18299" s="845" t="str">
        <f>CONCATENATE("&lt;valeur&gt;",Cellule_1223_3,"&lt;/valeur&gt;")</f>
        <v>&lt;valeur&gt;&lt;/valeur&gt;</v>
      </c>
      <c r="K18299" s="989"/>
    </row>
    <row r="18300" spans="1:11" x14ac:dyDescent="0.2">
      <c r="A18300" s="859">
        <f t="shared" si="427"/>
        <v>18299</v>
      </c>
      <c r="B18300" s="845" t="s">
        <v>2566</v>
      </c>
      <c r="D18300" s="861"/>
      <c r="I18300" s="845" t="s">
        <v>2578</v>
      </c>
      <c r="K18300" s="989"/>
    </row>
    <row r="18301" spans="1:11" x14ac:dyDescent="0.2">
      <c r="A18301" s="859">
        <f t="shared" si="427"/>
        <v>18300</v>
      </c>
      <c r="B18301" s="845" t="s">
        <v>2566</v>
      </c>
      <c r="D18301" s="862"/>
      <c r="H18301" s="845" t="s">
        <v>1010</v>
      </c>
      <c r="K18301" s="989"/>
    </row>
    <row r="18302" spans="1:11" x14ac:dyDescent="0.2">
      <c r="A18302" s="859">
        <f t="shared" si="427"/>
        <v>18301</v>
      </c>
      <c r="B18302" s="845" t="s">
        <v>2566</v>
      </c>
      <c r="D18302" s="863"/>
      <c r="H18302" s="845" t="s">
        <v>1007</v>
      </c>
      <c r="K18302" s="989"/>
    </row>
    <row r="18303" spans="1:11" x14ac:dyDescent="0.2">
      <c r="A18303" s="859">
        <f t="shared" si="427"/>
        <v>18302</v>
      </c>
      <c r="B18303" s="845" t="s">
        <v>2566</v>
      </c>
      <c r="D18303" s="862"/>
      <c r="I18303" s="845" t="s">
        <v>2301</v>
      </c>
      <c r="K18303" s="989"/>
    </row>
    <row r="18304" spans="1:11" x14ac:dyDescent="0.2">
      <c r="A18304" s="859">
        <f t="shared" si="427"/>
        <v>18303</v>
      </c>
      <c r="B18304" s="845" t="s">
        <v>2566</v>
      </c>
      <c r="D18304" s="862"/>
      <c r="I18304" s="845" t="str">
        <f>CONCATENATE("&lt;valeur&gt;",Cellule_1224_3,"&lt;/valeur&gt;")</f>
        <v>&lt;valeur&gt;&lt;/valeur&gt;</v>
      </c>
      <c r="K18304" s="989"/>
    </row>
    <row r="18305" spans="1:11" x14ac:dyDescent="0.2">
      <c r="A18305" s="859">
        <f t="shared" si="427"/>
        <v>18304</v>
      </c>
      <c r="B18305" s="845" t="s">
        <v>2566</v>
      </c>
      <c r="D18305" s="861"/>
      <c r="I18305" s="845" t="s">
        <v>2578</v>
      </c>
      <c r="K18305" s="989"/>
    </row>
    <row r="18306" spans="1:11" x14ac:dyDescent="0.2">
      <c r="A18306" s="859">
        <f t="shared" si="427"/>
        <v>18305</v>
      </c>
      <c r="B18306" s="845" t="s">
        <v>2566</v>
      </c>
      <c r="D18306" s="861"/>
      <c r="H18306" s="845" t="s">
        <v>1010</v>
      </c>
      <c r="K18306" s="989"/>
    </row>
    <row r="18307" spans="1:11" x14ac:dyDescent="0.2">
      <c r="A18307" s="859">
        <f t="shared" si="427"/>
        <v>18306</v>
      </c>
      <c r="B18307" s="845" t="s">
        <v>2566</v>
      </c>
      <c r="D18307" s="862"/>
      <c r="H18307" s="845" t="s">
        <v>1007</v>
      </c>
      <c r="K18307" s="989"/>
    </row>
    <row r="18308" spans="1:11" x14ac:dyDescent="0.2">
      <c r="A18308" s="859">
        <f t="shared" ref="A18308:A18371" si="428">+A18307+1</f>
        <v>18307</v>
      </c>
      <c r="B18308" s="845" t="s">
        <v>2566</v>
      </c>
      <c r="D18308" s="863"/>
      <c r="I18308" s="845" t="s">
        <v>2302</v>
      </c>
      <c r="K18308" s="989"/>
    </row>
    <row r="18309" spans="1:11" x14ac:dyDescent="0.2">
      <c r="A18309" s="859">
        <f t="shared" si="428"/>
        <v>18308</v>
      </c>
      <c r="B18309" s="845" t="s">
        <v>2566</v>
      </c>
      <c r="D18309" s="862"/>
      <c r="I18309" s="845" t="str">
        <f>CONCATENATE("&lt;valeur&gt;",Cellule_1225_3,"&lt;/valeur&gt;")</f>
        <v>&lt;valeur&gt;&lt;/valeur&gt;</v>
      </c>
      <c r="K18309" s="989"/>
    </row>
    <row r="18310" spans="1:11" x14ac:dyDescent="0.2">
      <c r="A18310" s="859">
        <f t="shared" si="428"/>
        <v>18309</v>
      </c>
      <c r="B18310" s="845" t="s">
        <v>2566</v>
      </c>
      <c r="D18310" s="862"/>
      <c r="I18310" s="845" t="s">
        <v>2578</v>
      </c>
      <c r="K18310" s="989"/>
    </row>
    <row r="18311" spans="1:11" x14ac:dyDescent="0.2">
      <c r="A18311" s="859">
        <f t="shared" si="428"/>
        <v>18310</v>
      </c>
      <c r="B18311" s="845" t="s">
        <v>2566</v>
      </c>
      <c r="D18311" s="861"/>
      <c r="H18311" s="845" t="s">
        <v>1010</v>
      </c>
      <c r="K18311" s="989"/>
    </row>
    <row r="18312" spans="1:11" x14ac:dyDescent="0.2">
      <c r="A18312" s="859">
        <f t="shared" si="428"/>
        <v>18311</v>
      </c>
      <c r="B18312" s="845" t="s">
        <v>2566</v>
      </c>
      <c r="D18312" s="861"/>
      <c r="H18312" s="845" t="s">
        <v>1007</v>
      </c>
      <c r="K18312" s="989"/>
    </row>
    <row r="18313" spans="1:11" x14ac:dyDescent="0.2">
      <c r="A18313" s="859">
        <f t="shared" si="428"/>
        <v>18312</v>
      </c>
      <c r="B18313" s="845" t="s">
        <v>2566</v>
      </c>
      <c r="D18313" s="862"/>
      <c r="I18313" s="845" t="s">
        <v>2303</v>
      </c>
      <c r="K18313" s="989"/>
    </row>
    <row r="18314" spans="1:11" x14ac:dyDescent="0.2">
      <c r="A18314" s="859">
        <f t="shared" si="428"/>
        <v>18313</v>
      </c>
      <c r="B18314" s="845" t="s">
        <v>2566</v>
      </c>
      <c r="D18314" s="863"/>
      <c r="I18314" s="845" t="str">
        <f>CONCATENATE("&lt;valeur&gt;",Cellule_1226_3,"&lt;/valeur&gt;")</f>
        <v>&lt;valeur&gt;&lt;/valeur&gt;</v>
      </c>
      <c r="K18314" s="989"/>
    </row>
    <row r="18315" spans="1:11" x14ac:dyDescent="0.2">
      <c r="A18315" s="859">
        <f t="shared" si="428"/>
        <v>18314</v>
      </c>
      <c r="B18315" s="845" t="s">
        <v>2566</v>
      </c>
      <c r="D18315" s="862"/>
      <c r="I18315" s="845" t="s">
        <v>2578</v>
      </c>
      <c r="K18315" s="989"/>
    </row>
    <row r="18316" spans="1:11" x14ac:dyDescent="0.2">
      <c r="A18316" s="859">
        <f t="shared" si="428"/>
        <v>18315</v>
      </c>
      <c r="B18316" s="845" t="s">
        <v>2566</v>
      </c>
      <c r="D18316" s="862"/>
      <c r="H18316" s="845" t="s">
        <v>1010</v>
      </c>
      <c r="K18316" s="989"/>
    </row>
    <row r="18317" spans="1:11" x14ac:dyDescent="0.2">
      <c r="A18317" s="859">
        <f t="shared" si="428"/>
        <v>18316</v>
      </c>
      <c r="B18317" s="845" t="s">
        <v>2566</v>
      </c>
      <c r="D18317" s="861"/>
      <c r="H18317" s="845" t="s">
        <v>1007</v>
      </c>
      <c r="K18317" s="989"/>
    </row>
    <row r="18318" spans="1:11" x14ac:dyDescent="0.2">
      <c r="A18318" s="859">
        <f t="shared" si="428"/>
        <v>18317</v>
      </c>
      <c r="B18318" s="845" t="s">
        <v>2566</v>
      </c>
      <c r="D18318" s="861"/>
      <c r="I18318" s="845" t="s">
        <v>2304</v>
      </c>
      <c r="K18318" s="989"/>
    </row>
    <row r="18319" spans="1:11" x14ac:dyDescent="0.2">
      <c r="A18319" s="859">
        <f t="shared" si="428"/>
        <v>18318</v>
      </c>
      <c r="B18319" s="845" t="s">
        <v>2566</v>
      </c>
      <c r="D18319" s="862"/>
      <c r="I18319" s="845" t="str">
        <f>CONCATENATE("&lt;valeur&gt;",Cellule_1227_3,"&lt;/valeur&gt;")</f>
        <v>&lt;valeur&gt;&lt;/valeur&gt;</v>
      </c>
      <c r="K18319" s="989"/>
    </row>
    <row r="18320" spans="1:11" x14ac:dyDescent="0.2">
      <c r="A18320" s="859">
        <f t="shared" si="428"/>
        <v>18319</v>
      </c>
      <c r="B18320" s="845" t="s">
        <v>2566</v>
      </c>
      <c r="D18320" s="863"/>
      <c r="I18320" s="845" t="s">
        <v>2578</v>
      </c>
      <c r="K18320" s="989"/>
    </row>
    <row r="18321" spans="1:11" x14ac:dyDescent="0.2">
      <c r="A18321" s="859">
        <f t="shared" si="428"/>
        <v>18320</v>
      </c>
      <c r="B18321" s="845" t="s">
        <v>2566</v>
      </c>
      <c r="D18321" s="862"/>
      <c r="H18321" s="845" t="s">
        <v>1010</v>
      </c>
      <c r="K18321" s="989"/>
    </row>
    <row r="18322" spans="1:11" x14ac:dyDescent="0.2">
      <c r="A18322" s="859">
        <f t="shared" si="428"/>
        <v>18321</v>
      </c>
      <c r="B18322" s="845" t="s">
        <v>2566</v>
      </c>
      <c r="D18322" s="862"/>
      <c r="H18322" s="845" t="s">
        <v>1007</v>
      </c>
      <c r="K18322" s="989"/>
    </row>
    <row r="18323" spans="1:11" x14ac:dyDescent="0.2">
      <c r="A18323" s="859">
        <f t="shared" si="428"/>
        <v>18322</v>
      </c>
      <c r="B18323" s="845" t="s">
        <v>2566</v>
      </c>
      <c r="D18323" s="861"/>
      <c r="I18323" s="845" t="s">
        <v>2305</v>
      </c>
      <c r="K18323" s="989"/>
    </row>
    <row r="18324" spans="1:11" x14ac:dyDescent="0.2">
      <c r="A18324" s="859">
        <f t="shared" si="428"/>
        <v>18323</v>
      </c>
      <c r="B18324" s="845" t="s">
        <v>2566</v>
      </c>
      <c r="D18324" s="860"/>
      <c r="I18324" s="845" t="str">
        <f>CONCATENATE("&lt;valeur&gt;",Cellule_1228_3,"&lt;/valeur&gt;")</f>
        <v>&lt;valeur&gt;&lt;/valeur&gt;</v>
      </c>
      <c r="K18324" s="989"/>
    </row>
    <row r="18325" spans="1:11" x14ac:dyDescent="0.2">
      <c r="A18325" s="859">
        <f t="shared" si="428"/>
        <v>18324</v>
      </c>
      <c r="B18325" s="845" t="s">
        <v>2566</v>
      </c>
      <c r="D18325" s="860"/>
      <c r="I18325" s="845" t="s">
        <v>2578</v>
      </c>
      <c r="K18325" s="989"/>
    </row>
    <row r="18326" spans="1:11" x14ac:dyDescent="0.2">
      <c r="A18326" s="859">
        <f t="shared" si="428"/>
        <v>18325</v>
      </c>
      <c r="B18326" s="845" t="s">
        <v>2566</v>
      </c>
      <c r="D18326" s="861"/>
      <c r="H18326" s="845" t="s">
        <v>1010</v>
      </c>
      <c r="K18326" s="989"/>
    </row>
    <row r="18327" spans="1:11" x14ac:dyDescent="0.2">
      <c r="A18327" s="859">
        <f t="shared" si="428"/>
        <v>18326</v>
      </c>
      <c r="B18327" s="845" t="s">
        <v>2566</v>
      </c>
      <c r="D18327" s="862"/>
      <c r="H18327" s="845" t="s">
        <v>1007</v>
      </c>
      <c r="K18327" s="989"/>
    </row>
    <row r="18328" spans="1:11" x14ac:dyDescent="0.2">
      <c r="A18328" s="859">
        <f t="shared" si="428"/>
        <v>18327</v>
      </c>
      <c r="B18328" s="845" t="s">
        <v>2566</v>
      </c>
      <c r="D18328" s="863"/>
      <c r="I18328" s="845" t="s">
        <v>2306</v>
      </c>
      <c r="K18328" s="989"/>
    </row>
    <row r="18329" spans="1:11" x14ac:dyDescent="0.2">
      <c r="A18329" s="859">
        <f t="shared" si="428"/>
        <v>18328</v>
      </c>
      <c r="B18329" s="845" t="s">
        <v>2566</v>
      </c>
      <c r="D18329" s="862"/>
      <c r="I18329" s="845" t="str">
        <f>CONCATENATE("&lt;valeur&gt;",Cellule_1229_3,"&lt;/valeur&gt;")</f>
        <v>&lt;valeur&gt;&lt;/valeur&gt;</v>
      </c>
      <c r="K18329" s="989"/>
    </row>
    <row r="18330" spans="1:11" x14ac:dyDescent="0.2">
      <c r="A18330" s="859">
        <f t="shared" si="428"/>
        <v>18329</v>
      </c>
      <c r="B18330" s="845" t="s">
        <v>2566</v>
      </c>
      <c r="D18330" s="862"/>
      <c r="I18330" s="845" t="s">
        <v>2578</v>
      </c>
      <c r="K18330" s="989"/>
    </row>
    <row r="18331" spans="1:11" x14ac:dyDescent="0.2">
      <c r="A18331" s="859">
        <f t="shared" si="428"/>
        <v>18330</v>
      </c>
      <c r="B18331" s="845" t="s">
        <v>2566</v>
      </c>
      <c r="D18331" s="861"/>
      <c r="H18331" s="845" t="s">
        <v>1010</v>
      </c>
      <c r="K18331" s="989"/>
    </row>
    <row r="18332" spans="1:11" x14ac:dyDescent="0.2">
      <c r="A18332" s="859">
        <f t="shared" si="428"/>
        <v>18331</v>
      </c>
      <c r="B18332" s="845" t="s">
        <v>2566</v>
      </c>
      <c r="D18332" s="860"/>
      <c r="H18332" s="845" t="s">
        <v>1007</v>
      </c>
      <c r="K18332" s="989"/>
    </row>
    <row r="18333" spans="1:11" x14ac:dyDescent="0.2">
      <c r="A18333" s="859">
        <f t="shared" si="428"/>
        <v>18332</v>
      </c>
      <c r="B18333" s="845" t="s">
        <v>2566</v>
      </c>
      <c r="D18333" s="857"/>
      <c r="I18333" s="845" t="s">
        <v>2307</v>
      </c>
      <c r="K18333" s="989"/>
    </row>
    <row r="18334" spans="1:11" x14ac:dyDescent="0.2">
      <c r="A18334" s="859">
        <f t="shared" si="428"/>
        <v>18333</v>
      </c>
      <c r="B18334" s="845" t="s">
        <v>2566</v>
      </c>
      <c r="D18334" s="857"/>
      <c r="I18334" s="845" t="str">
        <f>CONCATENATE("&lt;valeur&gt;",Cellule_1250_3,"&lt;/valeur&gt;")</f>
        <v>&lt;valeur&gt;&lt;/valeur&gt;</v>
      </c>
      <c r="K18334" s="989"/>
    </row>
    <row r="18335" spans="1:11" x14ac:dyDescent="0.2">
      <c r="A18335" s="859">
        <f t="shared" si="428"/>
        <v>18334</v>
      </c>
      <c r="B18335" s="845" t="s">
        <v>2566</v>
      </c>
      <c r="D18335" s="860"/>
      <c r="I18335" s="845" t="s">
        <v>2578</v>
      </c>
      <c r="K18335" s="989"/>
    </row>
    <row r="18336" spans="1:11" x14ac:dyDescent="0.2">
      <c r="A18336" s="859">
        <f t="shared" si="428"/>
        <v>18335</v>
      </c>
      <c r="B18336" s="845" t="s">
        <v>2566</v>
      </c>
      <c r="D18336" s="861"/>
      <c r="H18336" s="845" t="s">
        <v>1010</v>
      </c>
      <c r="K18336" s="989"/>
    </row>
    <row r="18337" spans="1:11" x14ac:dyDescent="0.2">
      <c r="A18337" s="859">
        <f t="shared" si="428"/>
        <v>18336</v>
      </c>
      <c r="B18337" s="845" t="s">
        <v>2566</v>
      </c>
      <c r="D18337" s="860"/>
      <c r="H18337" s="845" t="s">
        <v>1007</v>
      </c>
      <c r="K18337" s="989"/>
    </row>
    <row r="18338" spans="1:11" x14ac:dyDescent="0.2">
      <c r="A18338" s="859">
        <f t="shared" si="428"/>
        <v>18337</v>
      </c>
      <c r="B18338" s="845" t="s">
        <v>2566</v>
      </c>
      <c r="D18338" s="860"/>
      <c r="I18338" s="845" t="s">
        <v>2308</v>
      </c>
      <c r="K18338" s="989"/>
    </row>
    <row r="18339" spans="1:11" x14ac:dyDescent="0.2">
      <c r="A18339" s="859">
        <f t="shared" si="428"/>
        <v>18338</v>
      </c>
      <c r="B18339" s="845" t="s">
        <v>2566</v>
      </c>
      <c r="D18339" s="861"/>
      <c r="I18339" s="845" t="str">
        <f>CONCATENATE("&lt;valeur&gt;",Cellule_1251_3,"&lt;/valeur&gt;")</f>
        <v>&lt;valeur&gt;&lt;/valeur&gt;</v>
      </c>
      <c r="K18339" s="989"/>
    </row>
    <row r="18340" spans="1:11" x14ac:dyDescent="0.2">
      <c r="A18340" s="859">
        <f t="shared" si="428"/>
        <v>18339</v>
      </c>
      <c r="B18340" s="845" t="s">
        <v>2566</v>
      </c>
      <c r="D18340" s="862"/>
      <c r="I18340" s="845" t="s">
        <v>2578</v>
      </c>
      <c r="K18340" s="989"/>
    </row>
    <row r="18341" spans="1:11" x14ac:dyDescent="0.2">
      <c r="A18341" s="859">
        <f t="shared" si="428"/>
        <v>18340</v>
      </c>
      <c r="B18341" s="845" t="s">
        <v>2566</v>
      </c>
      <c r="D18341" s="863"/>
      <c r="H18341" s="845" t="s">
        <v>1010</v>
      </c>
      <c r="K18341" s="989"/>
    </row>
    <row r="18342" spans="1:11" x14ac:dyDescent="0.2">
      <c r="A18342" s="859">
        <f t="shared" si="428"/>
        <v>18341</v>
      </c>
      <c r="B18342" s="845" t="s">
        <v>2566</v>
      </c>
      <c r="D18342" s="862"/>
      <c r="H18342" s="845" t="s">
        <v>1007</v>
      </c>
      <c r="K18342" s="989"/>
    </row>
    <row r="18343" spans="1:11" x14ac:dyDescent="0.2">
      <c r="A18343" s="859">
        <f t="shared" si="428"/>
        <v>18342</v>
      </c>
      <c r="B18343" s="845" t="s">
        <v>2566</v>
      </c>
      <c r="D18343" s="862"/>
      <c r="I18343" s="845" t="s">
        <v>2309</v>
      </c>
      <c r="K18343" s="989"/>
    </row>
    <row r="18344" spans="1:11" x14ac:dyDescent="0.2">
      <c r="A18344" s="859">
        <f t="shared" si="428"/>
        <v>18343</v>
      </c>
      <c r="B18344" s="845" t="s">
        <v>2566</v>
      </c>
      <c r="D18344" s="862"/>
      <c r="I18344" s="845" t="str">
        <f>CONCATENATE("&lt;valeur&gt;",Cellule_1252_3,"&lt;/valeur&gt;")</f>
        <v>&lt;valeur&gt;&lt;/valeur&gt;</v>
      </c>
      <c r="K18344" s="989"/>
    </row>
    <row r="18345" spans="1:11" x14ac:dyDescent="0.2">
      <c r="A18345" s="859">
        <f t="shared" si="428"/>
        <v>18344</v>
      </c>
      <c r="B18345" s="845" t="s">
        <v>2566</v>
      </c>
      <c r="D18345" s="861"/>
      <c r="I18345" s="845" t="s">
        <v>2578</v>
      </c>
      <c r="K18345" s="989"/>
    </row>
    <row r="18346" spans="1:11" x14ac:dyDescent="0.2">
      <c r="A18346" s="859">
        <f t="shared" si="428"/>
        <v>18345</v>
      </c>
      <c r="B18346" s="845" t="s">
        <v>2566</v>
      </c>
      <c r="D18346" s="861"/>
      <c r="H18346" s="845" t="s">
        <v>1010</v>
      </c>
      <c r="K18346" s="989"/>
    </row>
    <row r="18347" spans="1:11" x14ac:dyDescent="0.2">
      <c r="A18347" s="859">
        <f t="shared" si="428"/>
        <v>18346</v>
      </c>
      <c r="B18347" s="845" t="s">
        <v>2566</v>
      </c>
      <c r="D18347" s="862"/>
      <c r="H18347" s="845" t="s">
        <v>1007</v>
      </c>
      <c r="K18347" s="989"/>
    </row>
    <row r="18348" spans="1:11" x14ac:dyDescent="0.2">
      <c r="A18348" s="859">
        <f t="shared" si="428"/>
        <v>18347</v>
      </c>
      <c r="B18348" s="845" t="s">
        <v>2566</v>
      </c>
      <c r="D18348" s="863"/>
      <c r="I18348" s="845" t="s">
        <v>2310</v>
      </c>
      <c r="K18348" s="989"/>
    </row>
    <row r="18349" spans="1:11" x14ac:dyDescent="0.2">
      <c r="A18349" s="859">
        <f t="shared" si="428"/>
        <v>18348</v>
      </c>
      <c r="B18349" s="845" t="s">
        <v>2566</v>
      </c>
      <c r="D18349" s="862"/>
      <c r="I18349" s="845" t="str">
        <f>CONCATENATE("&lt;valeur&gt;",Cellule_1253_3,"&lt;/valeur&gt;")</f>
        <v>&lt;valeur&gt;&lt;/valeur&gt;</v>
      </c>
      <c r="K18349" s="989"/>
    </row>
    <row r="18350" spans="1:11" x14ac:dyDescent="0.2">
      <c r="A18350" s="859">
        <f t="shared" si="428"/>
        <v>18349</v>
      </c>
      <c r="B18350" s="845" t="s">
        <v>2566</v>
      </c>
      <c r="D18350" s="862"/>
      <c r="I18350" s="845" t="s">
        <v>2578</v>
      </c>
      <c r="K18350" s="989"/>
    </row>
    <row r="18351" spans="1:11" x14ac:dyDescent="0.2">
      <c r="A18351" s="859">
        <f t="shared" si="428"/>
        <v>18350</v>
      </c>
      <c r="B18351" s="991" t="s">
        <v>2566</v>
      </c>
      <c r="C18351" s="991"/>
      <c r="D18351" s="1002"/>
      <c r="E18351" s="991"/>
      <c r="F18351" s="991"/>
      <c r="G18351" s="991"/>
      <c r="H18351" s="991" t="s">
        <v>1010</v>
      </c>
      <c r="I18351" s="991"/>
      <c r="J18351" s="991"/>
      <c r="K18351" s="1000"/>
    </row>
    <row r="18352" spans="1:11" x14ac:dyDescent="0.2">
      <c r="A18352" s="859">
        <f t="shared" si="428"/>
        <v>18351</v>
      </c>
      <c r="B18352" s="990" t="s">
        <v>2566</v>
      </c>
      <c r="C18352" s="990"/>
      <c r="D18352" s="998"/>
      <c r="E18352" s="990"/>
      <c r="F18352" s="990"/>
      <c r="G18352" s="990"/>
      <c r="H18352" s="990" t="s">
        <v>1007</v>
      </c>
      <c r="I18352" s="990"/>
      <c r="J18352" s="990"/>
      <c r="K18352" s="986"/>
    </row>
    <row r="18353" spans="1:11" x14ac:dyDescent="0.2">
      <c r="A18353" s="859">
        <f t="shared" si="428"/>
        <v>18352</v>
      </c>
      <c r="B18353" s="845" t="s">
        <v>2566</v>
      </c>
      <c r="D18353" s="861"/>
      <c r="I18353" s="845" t="s">
        <v>2298</v>
      </c>
      <c r="K18353" s="989"/>
    </row>
    <row r="18354" spans="1:11" x14ac:dyDescent="0.2">
      <c r="A18354" s="859">
        <f t="shared" si="428"/>
        <v>18353</v>
      </c>
      <c r="B18354" s="845" t="s">
        <v>2566</v>
      </c>
      <c r="D18354" s="862"/>
      <c r="I18354" s="845" t="str">
        <f>CONCATENATE("&lt;valeur&gt;",Cellule_1221_4,"&lt;/valeur&gt;")</f>
        <v>&lt;valeur&gt;&lt;/valeur&gt;</v>
      </c>
      <c r="K18354" s="989"/>
    </row>
    <row r="18355" spans="1:11" x14ac:dyDescent="0.2">
      <c r="A18355" s="859">
        <f t="shared" si="428"/>
        <v>18354</v>
      </c>
      <c r="B18355" s="845" t="s">
        <v>2566</v>
      </c>
      <c r="D18355" s="863"/>
      <c r="I18355" s="845" t="s">
        <v>2579</v>
      </c>
      <c r="K18355" s="989"/>
    </row>
    <row r="18356" spans="1:11" x14ac:dyDescent="0.2">
      <c r="A18356" s="859">
        <f t="shared" si="428"/>
        <v>18355</v>
      </c>
      <c r="B18356" s="845" t="s">
        <v>2566</v>
      </c>
      <c r="D18356" s="862"/>
      <c r="H18356" s="845" t="s">
        <v>1010</v>
      </c>
      <c r="K18356" s="989"/>
    </row>
    <row r="18357" spans="1:11" x14ac:dyDescent="0.2">
      <c r="A18357" s="859">
        <f t="shared" si="428"/>
        <v>18356</v>
      </c>
      <c r="B18357" s="845" t="s">
        <v>2566</v>
      </c>
      <c r="D18357" s="862"/>
      <c r="H18357" s="845" t="s">
        <v>1007</v>
      </c>
      <c r="K18357" s="989"/>
    </row>
    <row r="18358" spans="1:11" x14ac:dyDescent="0.2">
      <c r="A18358" s="859">
        <f t="shared" si="428"/>
        <v>18357</v>
      </c>
      <c r="B18358" s="845" t="s">
        <v>2566</v>
      </c>
      <c r="D18358" s="861"/>
      <c r="I18358" s="845" t="s">
        <v>2299</v>
      </c>
      <c r="K18358" s="989"/>
    </row>
    <row r="18359" spans="1:11" x14ac:dyDescent="0.2">
      <c r="A18359" s="859">
        <f t="shared" si="428"/>
        <v>18358</v>
      </c>
      <c r="B18359" s="845" t="s">
        <v>2566</v>
      </c>
      <c r="D18359" s="861"/>
      <c r="I18359" s="845" t="str">
        <f>CONCATENATE("&lt;valeur&gt;",Cellule_1222_4,"&lt;/valeur&gt;")</f>
        <v>&lt;valeur&gt;&lt;/valeur&gt;</v>
      </c>
      <c r="K18359" s="989"/>
    </row>
    <row r="18360" spans="1:11" x14ac:dyDescent="0.2">
      <c r="A18360" s="859">
        <f t="shared" si="428"/>
        <v>18359</v>
      </c>
      <c r="B18360" s="845" t="s">
        <v>2566</v>
      </c>
      <c r="D18360" s="862"/>
      <c r="I18360" s="845" t="s">
        <v>2579</v>
      </c>
      <c r="K18360" s="989"/>
    </row>
    <row r="18361" spans="1:11" x14ac:dyDescent="0.2">
      <c r="A18361" s="859">
        <f t="shared" si="428"/>
        <v>18360</v>
      </c>
      <c r="B18361" s="845" t="s">
        <v>2566</v>
      </c>
      <c r="D18361" s="863"/>
      <c r="H18361" s="845" t="s">
        <v>1010</v>
      </c>
      <c r="K18361" s="989"/>
    </row>
    <row r="18362" spans="1:11" x14ac:dyDescent="0.2">
      <c r="A18362" s="859">
        <f t="shared" si="428"/>
        <v>18361</v>
      </c>
      <c r="B18362" s="845" t="s">
        <v>2566</v>
      </c>
      <c r="D18362" s="862"/>
      <c r="H18362" s="845" t="s">
        <v>1007</v>
      </c>
      <c r="K18362" s="989"/>
    </row>
    <row r="18363" spans="1:11" x14ac:dyDescent="0.2">
      <c r="A18363" s="859">
        <f t="shared" si="428"/>
        <v>18362</v>
      </c>
      <c r="B18363" s="845" t="s">
        <v>2566</v>
      </c>
      <c r="D18363" s="862"/>
      <c r="I18363" s="845" t="s">
        <v>2300</v>
      </c>
      <c r="K18363" s="989"/>
    </row>
    <row r="18364" spans="1:11" x14ac:dyDescent="0.2">
      <c r="A18364" s="859">
        <f t="shared" si="428"/>
        <v>18363</v>
      </c>
      <c r="B18364" s="845" t="s">
        <v>2566</v>
      </c>
      <c r="D18364" s="861"/>
      <c r="I18364" s="845" t="str">
        <f>CONCATENATE("&lt;valeur&gt;",Cellule_1223_4,"&lt;/valeur&gt;")</f>
        <v>&lt;valeur&gt;&lt;/valeur&gt;</v>
      </c>
      <c r="K18364" s="989"/>
    </row>
    <row r="18365" spans="1:11" x14ac:dyDescent="0.2">
      <c r="A18365" s="859">
        <f t="shared" si="428"/>
        <v>18364</v>
      </c>
      <c r="B18365" s="845" t="s">
        <v>2566</v>
      </c>
      <c r="D18365" s="861"/>
      <c r="I18365" s="845" t="s">
        <v>2579</v>
      </c>
      <c r="K18365" s="989"/>
    </row>
    <row r="18366" spans="1:11" x14ac:dyDescent="0.2">
      <c r="A18366" s="859">
        <f t="shared" si="428"/>
        <v>18365</v>
      </c>
      <c r="B18366" s="845" t="s">
        <v>2566</v>
      </c>
      <c r="D18366" s="862"/>
      <c r="H18366" s="845" t="s">
        <v>1010</v>
      </c>
      <c r="K18366" s="989"/>
    </row>
    <row r="18367" spans="1:11" x14ac:dyDescent="0.2">
      <c r="A18367" s="859">
        <f t="shared" si="428"/>
        <v>18366</v>
      </c>
      <c r="B18367" s="845" t="s">
        <v>2566</v>
      </c>
      <c r="D18367" s="863"/>
      <c r="H18367" s="845" t="s">
        <v>1007</v>
      </c>
      <c r="K18367" s="989"/>
    </row>
    <row r="18368" spans="1:11" x14ac:dyDescent="0.2">
      <c r="A18368" s="859">
        <f t="shared" si="428"/>
        <v>18367</v>
      </c>
      <c r="B18368" s="845" t="s">
        <v>2566</v>
      </c>
      <c r="D18368" s="862"/>
      <c r="I18368" s="845" t="s">
        <v>2301</v>
      </c>
      <c r="K18368" s="989"/>
    </row>
    <row r="18369" spans="1:11" x14ac:dyDescent="0.2">
      <c r="A18369" s="859">
        <f t="shared" si="428"/>
        <v>18368</v>
      </c>
      <c r="B18369" s="845" t="s">
        <v>2566</v>
      </c>
      <c r="D18369" s="862"/>
      <c r="I18369" s="845" t="str">
        <f>CONCATENATE("&lt;valeur&gt;",Cellule_1224_4,"&lt;/valeur&gt;")</f>
        <v>&lt;valeur&gt;&lt;/valeur&gt;</v>
      </c>
      <c r="K18369" s="989"/>
    </row>
    <row r="18370" spans="1:11" x14ac:dyDescent="0.2">
      <c r="A18370" s="859">
        <f t="shared" si="428"/>
        <v>18369</v>
      </c>
      <c r="B18370" s="845" t="s">
        <v>2566</v>
      </c>
      <c r="D18370" s="861"/>
      <c r="I18370" s="845" t="s">
        <v>2579</v>
      </c>
      <c r="K18370" s="989"/>
    </row>
    <row r="18371" spans="1:11" x14ac:dyDescent="0.2">
      <c r="A18371" s="859">
        <f t="shared" si="428"/>
        <v>18370</v>
      </c>
      <c r="B18371" s="845" t="s">
        <v>2566</v>
      </c>
      <c r="D18371" s="861"/>
      <c r="H18371" s="845" t="s">
        <v>1010</v>
      </c>
      <c r="K18371" s="989"/>
    </row>
    <row r="18372" spans="1:11" x14ac:dyDescent="0.2">
      <c r="A18372" s="859">
        <f t="shared" ref="A18372:A18435" si="429">+A18371+1</f>
        <v>18371</v>
      </c>
      <c r="B18372" s="845" t="s">
        <v>2566</v>
      </c>
      <c r="D18372" s="862"/>
      <c r="H18372" s="845" t="s">
        <v>1007</v>
      </c>
      <c r="K18372" s="989"/>
    </row>
    <row r="18373" spans="1:11" x14ac:dyDescent="0.2">
      <c r="A18373" s="859">
        <f t="shared" si="429"/>
        <v>18372</v>
      </c>
      <c r="B18373" s="845" t="s">
        <v>2566</v>
      </c>
      <c r="D18373" s="863"/>
      <c r="I18373" s="845" t="s">
        <v>2302</v>
      </c>
      <c r="K18373" s="989"/>
    </row>
    <row r="18374" spans="1:11" x14ac:dyDescent="0.2">
      <c r="A18374" s="859">
        <f t="shared" si="429"/>
        <v>18373</v>
      </c>
      <c r="B18374" s="845" t="s">
        <v>2566</v>
      </c>
      <c r="D18374" s="862"/>
      <c r="I18374" s="845" t="str">
        <f>CONCATENATE("&lt;valeur&gt;",Cellule_1225_4,"&lt;/valeur&gt;")</f>
        <v>&lt;valeur&gt;&lt;/valeur&gt;</v>
      </c>
      <c r="K18374" s="989"/>
    </row>
    <row r="18375" spans="1:11" x14ac:dyDescent="0.2">
      <c r="A18375" s="859">
        <f t="shared" si="429"/>
        <v>18374</v>
      </c>
      <c r="B18375" s="845" t="s">
        <v>2566</v>
      </c>
      <c r="D18375" s="862"/>
      <c r="I18375" s="845" t="s">
        <v>2579</v>
      </c>
      <c r="K18375" s="989"/>
    </row>
    <row r="18376" spans="1:11" x14ac:dyDescent="0.2">
      <c r="A18376" s="859">
        <f t="shared" si="429"/>
        <v>18375</v>
      </c>
      <c r="B18376" s="845" t="s">
        <v>2566</v>
      </c>
      <c r="D18376" s="861"/>
      <c r="H18376" s="845" t="s">
        <v>1010</v>
      </c>
      <c r="K18376" s="989"/>
    </row>
    <row r="18377" spans="1:11" x14ac:dyDescent="0.2">
      <c r="A18377" s="859">
        <f t="shared" si="429"/>
        <v>18376</v>
      </c>
      <c r="B18377" s="845" t="s">
        <v>2566</v>
      </c>
      <c r="D18377" s="861"/>
      <c r="H18377" s="845" t="s">
        <v>1007</v>
      </c>
      <c r="K18377" s="989"/>
    </row>
    <row r="18378" spans="1:11" x14ac:dyDescent="0.2">
      <c r="A18378" s="859">
        <f t="shared" si="429"/>
        <v>18377</v>
      </c>
      <c r="B18378" s="845" t="s">
        <v>2566</v>
      </c>
      <c r="D18378" s="862"/>
      <c r="I18378" s="845" t="s">
        <v>2303</v>
      </c>
      <c r="K18378" s="989"/>
    </row>
    <row r="18379" spans="1:11" x14ac:dyDescent="0.2">
      <c r="A18379" s="859">
        <f t="shared" si="429"/>
        <v>18378</v>
      </c>
      <c r="B18379" s="845" t="s">
        <v>2566</v>
      </c>
      <c r="D18379" s="863"/>
      <c r="I18379" s="845" t="str">
        <f>CONCATENATE("&lt;valeur&gt;",Cellule_1226_4,"&lt;/valeur&gt;")</f>
        <v>&lt;valeur&gt;&lt;/valeur&gt;</v>
      </c>
      <c r="K18379" s="989"/>
    </row>
    <row r="18380" spans="1:11" x14ac:dyDescent="0.2">
      <c r="A18380" s="859">
        <f t="shared" si="429"/>
        <v>18379</v>
      </c>
      <c r="B18380" s="845" t="s">
        <v>2566</v>
      </c>
      <c r="D18380" s="862"/>
      <c r="I18380" s="845" t="s">
        <v>2579</v>
      </c>
      <c r="K18380" s="989"/>
    </row>
    <row r="18381" spans="1:11" x14ac:dyDescent="0.2">
      <c r="A18381" s="859">
        <f t="shared" si="429"/>
        <v>18380</v>
      </c>
      <c r="B18381" s="845" t="s">
        <v>2566</v>
      </c>
      <c r="D18381" s="862"/>
      <c r="H18381" s="845" t="s">
        <v>1010</v>
      </c>
      <c r="K18381" s="989"/>
    </row>
    <row r="18382" spans="1:11" x14ac:dyDescent="0.2">
      <c r="A18382" s="859">
        <f t="shared" si="429"/>
        <v>18381</v>
      </c>
      <c r="B18382" s="845" t="s">
        <v>2566</v>
      </c>
      <c r="D18382" s="861"/>
      <c r="H18382" s="845" t="s">
        <v>1007</v>
      </c>
      <c r="K18382" s="989"/>
    </row>
    <row r="18383" spans="1:11" x14ac:dyDescent="0.2">
      <c r="A18383" s="859">
        <f t="shared" si="429"/>
        <v>18382</v>
      </c>
      <c r="B18383" s="845" t="s">
        <v>2566</v>
      </c>
      <c r="D18383" s="861"/>
      <c r="I18383" s="845" t="s">
        <v>2304</v>
      </c>
      <c r="K18383" s="989"/>
    </row>
    <row r="18384" spans="1:11" x14ac:dyDescent="0.2">
      <c r="A18384" s="859">
        <f t="shared" si="429"/>
        <v>18383</v>
      </c>
      <c r="B18384" s="845" t="s">
        <v>2566</v>
      </c>
      <c r="D18384" s="862"/>
      <c r="I18384" s="845" t="str">
        <f>CONCATENATE("&lt;valeur&gt;",Cellule_1227_4,"&lt;/valeur&gt;")</f>
        <v>&lt;valeur&gt;&lt;/valeur&gt;</v>
      </c>
      <c r="K18384" s="989"/>
    </row>
    <row r="18385" spans="1:11" x14ac:dyDescent="0.2">
      <c r="A18385" s="859">
        <f t="shared" si="429"/>
        <v>18384</v>
      </c>
      <c r="B18385" s="845" t="s">
        <v>2566</v>
      </c>
      <c r="D18385" s="863"/>
      <c r="I18385" s="845" t="s">
        <v>2579</v>
      </c>
      <c r="K18385" s="989"/>
    </row>
    <row r="18386" spans="1:11" x14ac:dyDescent="0.2">
      <c r="A18386" s="859">
        <f t="shared" si="429"/>
        <v>18385</v>
      </c>
      <c r="B18386" s="845" t="s">
        <v>2566</v>
      </c>
      <c r="D18386" s="862"/>
      <c r="H18386" s="845" t="s">
        <v>1010</v>
      </c>
      <c r="K18386" s="989"/>
    </row>
    <row r="18387" spans="1:11" x14ac:dyDescent="0.2">
      <c r="A18387" s="859">
        <f t="shared" si="429"/>
        <v>18386</v>
      </c>
      <c r="B18387" s="845" t="s">
        <v>2566</v>
      </c>
      <c r="D18387" s="862"/>
      <c r="H18387" s="845" t="s">
        <v>1007</v>
      </c>
      <c r="K18387" s="989"/>
    </row>
    <row r="18388" spans="1:11" x14ac:dyDescent="0.2">
      <c r="A18388" s="859">
        <f t="shared" si="429"/>
        <v>18387</v>
      </c>
      <c r="B18388" s="845" t="s">
        <v>2566</v>
      </c>
      <c r="D18388" s="861"/>
      <c r="I18388" s="845" t="s">
        <v>2305</v>
      </c>
      <c r="K18388" s="989"/>
    </row>
    <row r="18389" spans="1:11" x14ac:dyDescent="0.2">
      <c r="A18389" s="859">
        <f t="shared" si="429"/>
        <v>18388</v>
      </c>
      <c r="B18389" s="845" t="s">
        <v>2566</v>
      </c>
      <c r="D18389" s="860"/>
      <c r="I18389" s="845" t="str">
        <f>CONCATENATE("&lt;valeur&gt;",Cellule_1228_4,"&lt;/valeur&gt;")</f>
        <v>&lt;valeur&gt;&lt;/valeur&gt;</v>
      </c>
      <c r="K18389" s="989"/>
    </row>
    <row r="18390" spans="1:11" x14ac:dyDescent="0.2">
      <c r="A18390" s="859">
        <f t="shared" si="429"/>
        <v>18389</v>
      </c>
      <c r="B18390" s="845" t="s">
        <v>2566</v>
      </c>
      <c r="D18390" s="860"/>
      <c r="I18390" s="845" t="s">
        <v>2579</v>
      </c>
      <c r="K18390" s="989"/>
    </row>
    <row r="18391" spans="1:11" x14ac:dyDescent="0.2">
      <c r="A18391" s="859">
        <f t="shared" si="429"/>
        <v>18390</v>
      </c>
      <c r="B18391" s="845" t="s">
        <v>2566</v>
      </c>
      <c r="D18391" s="861"/>
      <c r="H18391" s="845" t="s">
        <v>1010</v>
      </c>
      <c r="K18391" s="989"/>
    </row>
    <row r="18392" spans="1:11" x14ac:dyDescent="0.2">
      <c r="A18392" s="859">
        <f t="shared" si="429"/>
        <v>18391</v>
      </c>
      <c r="B18392" s="845" t="s">
        <v>2566</v>
      </c>
      <c r="D18392" s="862"/>
      <c r="H18392" s="845" t="s">
        <v>1007</v>
      </c>
      <c r="K18392" s="989"/>
    </row>
    <row r="18393" spans="1:11" x14ac:dyDescent="0.2">
      <c r="A18393" s="859">
        <f t="shared" si="429"/>
        <v>18392</v>
      </c>
      <c r="B18393" s="845" t="s">
        <v>2566</v>
      </c>
      <c r="D18393" s="863"/>
      <c r="I18393" s="845" t="s">
        <v>2306</v>
      </c>
      <c r="K18393" s="989"/>
    </row>
    <row r="18394" spans="1:11" x14ac:dyDescent="0.2">
      <c r="A18394" s="859">
        <f t="shared" si="429"/>
        <v>18393</v>
      </c>
      <c r="B18394" s="845" t="s">
        <v>2566</v>
      </c>
      <c r="D18394" s="862"/>
      <c r="I18394" s="845" t="str">
        <f>CONCATENATE("&lt;valeur&gt;",Cellule_1229_4,"&lt;/valeur&gt;")</f>
        <v>&lt;valeur&gt;&lt;/valeur&gt;</v>
      </c>
      <c r="K18394" s="989"/>
    </row>
    <row r="18395" spans="1:11" x14ac:dyDescent="0.2">
      <c r="A18395" s="859">
        <f t="shared" si="429"/>
        <v>18394</v>
      </c>
      <c r="B18395" s="845" t="s">
        <v>2566</v>
      </c>
      <c r="D18395" s="862"/>
      <c r="I18395" s="845" t="s">
        <v>2579</v>
      </c>
      <c r="K18395" s="989"/>
    </row>
    <row r="18396" spans="1:11" x14ac:dyDescent="0.2">
      <c r="A18396" s="859">
        <f t="shared" si="429"/>
        <v>18395</v>
      </c>
      <c r="B18396" s="845" t="s">
        <v>2566</v>
      </c>
      <c r="D18396" s="861"/>
      <c r="H18396" s="845" t="s">
        <v>1010</v>
      </c>
      <c r="K18396" s="989"/>
    </row>
    <row r="18397" spans="1:11" x14ac:dyDescent="0.2">
      <c r="A18397" s="859">
        <f t="shared" si="429"/>
        <v>18396</v>
      </c>
      <c r="B18397" s="845" t="s">
        <v>2566</v>
      </c>
      <c r="D18397" s="860"/>
      <c r="H18397" s="845" t="s">
        <v>1007</v>
      </c>
      <c r="K18397" s="989"/>
    </row>
    <row r="18398" spans="1:11" x14ac:dyDescent="0.2">
      <c r="A18398" s="859">
        <f t="shared" si="429"/>
        <v>18397</v>
      </c>
      <c r="B18398" s="845" t="s">
        <v>2566</v>
      </c>
      <c r="D18398" s="857"/>
      <c r="I18398" s="845" t="s">
        <v>2307</v>
      </c>
      <c r="K18398" s="989"/>
    </row>
    <row r="18399" spans="1:11" x14ac:dyDescent="0.2">
      <c r="A18399" s="859">
        <f t="shared" si="429"/>
        <v>18398</v>
      </c>
      <c r="B18399" s="845" t="s">
        <v>2566</v>
      </c>
      <c r="D18399" s="857"/>
      <c r="I18399" s="845" t="str">
        <f>CONCATENATE("&lt;valeur&gt;",Cellule_1250_4,"&lt;/valeur&gt;")</f>
        <v>&lt;valeur&gt;&lt;/valeur&gt;</v>
      </c>
      <c r="K18399" s="989"/>
    </row>
    <row r="18400" spans="1:11" x14ac:dyDescent="0.2">
      <c r="A18400" s="859">
        <f t="shared" si="429"/>
        <v>18399</v>
      </c>
      <c r="B18400" s="845" t="s">
        <v>2566</v>
      </c>
      <c r="D18400" s="860"/>
      <c r="I18400" s="845" t="s">
        <v>2579</v>
      </c>
      <c r="K18400" s="989"/>
    </row>
    <row r="18401" spans="1:11" x14ac:dyDescent="0.2">
      <c r="A18401" s="859">
        <f t="shared" si="429"/>
        <v>18400</v>
      </c>
      <c r="B18401" s="845" t="s">
        <v>2566</v>
      </c>
      <c r="D18401" s="861"/>
      <c r="H18401" s="845" t="s">
        <v>1010</v>
      </c>
      <c r="K18401" s="989"/>
    </row>
    <row r="18402" spans="1:11" x14ac:dyDescent="0.2">
      <c r="A18402" s="859">
        <f t="shared" si="429"/>
        <v>18401</v>
      </c>
      <c r="B18402" s="845" t="s">
        <v>2566</v>
      </c>
      <c r="D18402" s="860"/>
      <c r="H18402" s="845" t="s">
        <v>1007</v>
      </c>
      <c r="K18402" s="989"/>
    </row>
    <row r="18403" spans="1:11" x14ac:dyDescent="0.2">
      <c r="A18403" s="859">
        <f t="shared" si="429"/>
        <v>18402</v>
      </c>
      <c r="B18403" s="845" t="s">
        <v>2566</v>
      </c>
      <c r="D18403" s="860"/>
      <c r="I18403" s="845" t="s">
        <v>2308</v>
      </c>
      <c r="K18403" s="989"/>
    </row>
    <row r="18404" spans="1:11" x14ac:dyDescent="0.2">
      <c r="A18404" s="859">
        <f t="shared" si="429"/>
        <v>18403</v>
      </c>
      <c r="B18404" s="845" t="s">
        <v>2566</v>
      </c>
      <c r="D18404" s="861"/>
      <c r="I18404" s="845" t="str">
        <f>CONCATENATE("&lt;valeur&gt;",Cellule_1251_4,"&lt;/valeur&gt;")</f>
        <v>&lt;valeur&gt;&lt;/valeur&gt;</v>
      </c>
      <c r="K18404" s="989"/>
    </row>
    <row r="18405" spans="1:11" x14ac:dyDescent="0.2">
      <c r="A18405" s="859">
        <f t="shared" si="429"/>
        <v>18404</v>
      </c>
      <c r="B18405" s="845" t="s">
        <v>2566</v>
      </c>
      <c r="D18405" s="862"/>
      <c r="I18405" s="845" t="s">
        <v>2579</v>
      </c>
      <c r="K18405" s="989"/>
    </row>
    <row r="18406" spans="1:11" x14ac:dyDescent="0.2">
      <c r="A18406" s="859">
        <f t="shared" si="429"/>
        <v>18405</v>
      </c>
      <c r="B18406" s="845" t="s">
        <v>2566</v>
      </c>
      <c r="D18406" s="863"/>
      <c r="H18406" s="845" t="s">
        <v>1010</v>
      </c>
      <c r="K18406" s="989"/>
    </row>
    <row r="18407" spans="1:11" x14ac:dyDescent="0.2">
      <c r="A18407" s="859">
        <f t="shared" si="429"/>
        <v>18406</v>
      </c>
      <c r="B18407" s="845" t="s">
        <v>2566</v>
      </c>
      <c r="D18407" s="862"/>
      <c r="H18407" s="845" t="s">
        <v>1007</v>
      </c>
      <c r="K18407" s="989"/>
    </row>
    <row r="18408" spans="1:11" x14ac:dyDescent="0.2">
      <c r="A18408" s="859">
        <f t="shared" si="429"/>
        <v>18407</v>
      </c>
      <c r="B18408" s="845" t="s">
        <v>2566</v>
      </c>
      <c r="D18408" s="862"/>
      <c r="I18408" s="845" t="s">
        <v>2309</v>
      </c>
      <c r="K18408" s="989"/>
    </row>
    <row r="18409" spans="1:11" x14ac:dyDescent="0.2">
      <c r="A18409" s="859">
        <f t="shared" si="429"/>
        <v>18408</v>
      </c>
      <c r="B18409" s="845" t="s">
        <v>2566</v>
      </c>
      <c r="D18409" s="862"/>
      <c r="I18409" s="845" t="str">
        <f>CONCATENATE("&lt;valeur&gt;",Cellule_1252_4,"&lt;/valeur&gt;")</f>
        <v>&lt;valeur&gt;&lt;/valeur&gt;</v>
      </c>
      <c r="K18409" s="989"/>
    </row>
    <row r="18410" spans="1:11" x14ac:dyDescent="0.2">
      <c r="A18410" s="859">
        <f t="shared" si="429"/>
        <v>18409</v>
      </c>
      <c r="B18410" s="845" t="s">
        <v>2566</v>
      </c>
      <c r="D18410" s="861"/>
      <c r="I18410" s="845" t="s">
        <v>2579</v>
      </c>
      <c r="K18410" s="989"/>
    </row>
    <row r="18411" spans="1:11" x14ac:dyDescent="0.2">
      <c r="A18411" s="859">
        <f t="shared" si="429"/>
        <v>18410</v>
      </c>
      <c r="B18411" s="845" t="s">
        <v>2566</v>
      </c>
      <c r="D18411" s="861"/>
      <c r="H18411" s="845" t="s">
        <v>1010</v>
      </c>
      <c r="K18411" s="989"/>
    </row>
    <row r="18412" spans="1:11" x14ac:dyDescent="0.2">
      <c r="A18412" s="859">
        <f t="shared" si="429"/>
        <v>18411</v>
      </c>
      <c r="B18412" s="845" t="s">
        <v>2566</v>
      </c>
      <c r="D18412" s="862"/>
      <c r="H18412" s="845" t="s">
        <v>1007</v>
      </c>
      <c r="K18412" s="989"/>
    </row>
    <row r="18413" spans="1:11" x14ac:dyDescent="0.2">
      <c r="A18413" s="859">
        <f t="shared" si="429"/>
        <v>18412</v>
      </c>
      <c r="B18413" s="845" t="s">
        <v>2566</v>
      </c>
      <c r="D18413" s="863"/>
      <c r="I18413" s="845" t="s">
        <v>2310</v>
      </c>
      <c r="K18413" s="989"/>
    </row>
    <row r="18414" spans="1:11" x14ac:dyDescent="0.2">
      <c r="A18414" s="859">
        <f t="shared" si="429"/>
        <v>18413</v>
      </c>
      <c r="B18414" s="845" t="s">
        <v>2566</v>
      </c>
      <c r="D18414" s="862"/>
      <c r="I18414" s="845" t="str">
        <f>CONCATENATE("&lt;valeur&gt;",Cellule_1253_4,"&lt;/valeur&gt;")</f>
        <v>&lt;valeur&gt;&lt;/valeur&gt;</v>
      </c>
      <c r="K18414" s="989"/>
    </row>
    <row r="18415" spans="1:11" x14ac:dyDescent="0.2">
      <c r="A18415" s="859">
        <f t="shared" si="429"/>
        <v>18414</v>
      </c>
      <c r="B18415" s="845" t="s">
        <v>2566</v>
      </c>
      <c r="D18415" s="862"/>
      <c r="I18415" s="845" t="s">
        <v>2579</v>
      </c>
      <c r="K18415" s="989"/>
    </row>
    <row r="18416" spans="1:11" x14ac:dyDescent="0.2">
      <c r="A18416" s="859">
        <f t="shared" si="429"/>
        <v>18415</v>
      </c>
      <c r="B18416" s="991" t="s">
        <v>2566</v>
      </c>
      <c r="C18416" s="991"/>
      <c r="D18416" s="1002"/>
      <c r="E18416" s="991"/>
      <c r="F18416" s="991"/>
      <c r="G18416" s="991"/>
      <c r="H18416" s="991" t="s">
        <v>1010</v>
      </c>
      <c r="I18416" s="991"/>
      <c r="J18416" s="991"/>
      <c r="K18416" s="1000"/>
    </row>
    <row r="18417" spans="1:10" x14ac:dyDescent="0.2">
      <c r="A18417" s="859">
        <f t="shared" si="429"/>
        <v>18416</v>
      </c>
      <c r="B18417" s="845" t="s">
        <v>2566</v>
      </c>
      <c r="D18417" s="861"/>
      <c r="H18417" s="845" t="s">
        <v>1007</v>
      </c>
    </row>
    <row r="18418" spans="1:10" x14ac:dyDescent="0.2">
      <c r="A18418" s="859">
        <f t="shared" si="429"/>
        <v>18417</v>
      </c>
      <c r="B18418" s="845" t="s">
        <v>2566</v>
      </c>
      <c r="D18418" s="861"/>
      <c r="I18418" s="845" t="s">
        <v>1008</v>
      </c>
    </row>
    <row r="18419" spans="1:10" x14ac:dyDescent="0.2">
      <c r="A18419" s="859">
        <f t="shared" si="429"/>
        <v>18418</v>
      </c>
      <c r="B18419" s="845" t="s">
        <v>2566</v>
      </c>
      <c r="D18419" s="862"/>
      <c r="J18419" s="845" t="s">
        <v>2311</v>
      </c>
    </row>
    <row r="18420" spans="1:10" x14ac:dyDescent="0.2">
      <c r="A18420" s="859">
        <f t="shared" si="429"/>
        <v>18419</v>
      </c>
      <c r="B18420" s="845" t="s">
        <v>2566</v>
      </c>
      <c r="D18420" s="863"/>
      <c r="I18420" s="845" t="s">
        <v>1009</v>
      </c>
    </row>
    <row r="18421" spans="1:10" x14ac:dyDescent="0.2">
      <c r="A18421" s="859">
        <f t="shared" si="429"/>
        <v>18420</v>
      </c>
      <c r="B18421" s="845" t="s">
        <v>2566</v>
      </c>
      <c r="D18421" s="862"/>
      <c r="I18421" s="845" t="str">
        <f>CONCATENATE("&lt;valeur&gt;",Cellule_1257,"&lt;/valeur&gt;")</f>
        <v>&lt;valeur&gt;0&lt;/valeur&gt;</v>
      </c>
    </row>
    <row r="18422" spans="1:10" x14ac:dyDescent="0.2">
      <c r="A18422" s="859">
        <f t="shared" si="429"/>
        <v>18421</v>
      </c>
      <c r="B18422" s="845" t="s">
        <v>2566</v>
      </c>
      <c r="D18422" s="862"/>
      <c r="H18422" s="845" t="s">
        <v>1010</v>
      </c>
    </row>
    <row r="18423" spans="1:10" x14ac:dyDescent="0.2">
      <c r="A18423" s="859">
        <f t="shared" si="429"/>
        <v>18422</v>
      </c>
      <c r="B18423" s="845" t="s">
        <v>2566</v>
      </c>
      <c r="D18423" s="862"/>
      <c r="H18423" s="845" t="s">
        <v>1007</v>
      </c>
    </row>
    <row r="18424" spans="1:10" x14ac:dyDescent="0.2">
      <c r="A18424" s="859">
        <f t="shared" si="429"/>
        <v>18423</v>
      </c>
      <c r="B18424" s="845" t="s">
        <v>2566</v>
      </c>
      <c r="D18424" s="861"/>
      <c r="I18424" s="845" t="s">
        <v>1008</v>
      </c>
    </row>
    <row r="18425" spans="1:10" x14ac:dyDescent="0.2">
      <c r="A18425" s="859">
        <f t="shared" si="429"/>
        <v>18424</v>
      </c>
      <c r="B18425" s="845" t="s">
        <v>2566</v>
      </c>
      <c r="D18425" s="861"/>
      <c r="J18425" s="845" t="s">
        <v>2312</v>
      </c>
    </row>
    <row r="18426" spans="1:10" x14ac:dyDescent="0.2">
      <c r="A18426" s="859">
        <f t="shared" si="429"/>
        <v>18425</v>
      </c>
      <c r="B18426" s="845" t="s">
        <v>2566</v>
      </c>
      <c r="D18426" s="862"/>
      <c r="I18426" s="845" t="s">
        <v>1009</v>
      </c>
    </row>
    <row r="18427" spans="1:10" x14ac:dyDescent="0.2">
      <c r="A18427" s="859">
        <f t="shared" si="429"/>
        <v>18426</v>
      </c>
      <c r="B18427" s="845" t="s">
        <v>2566</v>
      </c>
      <c r="D18427" s="863"/>
      <c r="I18427" s="845" t="str">
        <f>CONCATENATE("&lt;valeur&gt;",Cellule_1261,"&lt;/valeur&gt;")</f>
        <v>&lt;valeur&gt;0&lt;/valeur&gt;</v>
      </c>
    </row>
    <row r="18428" spans="1:10" x14ac:dyDescent="0.2">
      <c r="A18428" s="859">
        <f t="shared" si="429"/>
        <v>18427</v>
      </c>
      <c r="B18428" s="845" t="s">
        <v>2566</v>
      </c>
      <c r="D18428" s="862"/>
      <c r="H18428" s="845" t="s">
        <v>1010</v>
      </c>
    </row>
    <row r="18429" spans="1:10" x14ac:dyDescent="0.2">
      <c r="A18429" s="859">
        <f t="shared" si="429"/>
        <v>18428</v>
      </c>
      <c r="B18429" s="845" t="s">
        <v>2566</v>
      </c>
      <c r="D18429" s="862"/>
      <c r="H18429" s="845" t="s">
        <v>1007</v>
      </c>
    </row>
    <row r="18430" spans="1:10" x14ac:dyDescent="0.2">
      <c r="A18430" s="859">
        <f t="shared" si="429"/>
        <v>18429</v>
      </c>
      <c r="B18430" s="845" t="s">
        <v>2566</v>
      </c>
      <c r="D18430" s="862"/>
      <c r="I18430" s="845" t="s">
        <v>1008</v>
      </c>
    </row>
    <row r="18431" spans="1:10" x14ac:dyDescent="0.2">
      <c r="A18431" s="859">
        <f t="shared" si="429"/>
        <v>18430</v>
      </c>
      <c r="B18431" s="845" t="s">
        <v>2566</v>
      </c>
      <c r="D18431" s="861"/>
      <c r="J18431" s="845" t="s">
        <v>2313</v>
      </c>
    </row>
    <row r="18432" spans="1:10" x14ac:dyDescent="0.2">
      <c r="A18432" s="859">
        <f t="shared" si="429"/>
        <v>18431</v>
      </c>
      <c r="B18432" s="845" t="s">
        <v>2566</v>
      </c>
      <c r="D18432" s="861"/>
      <c r="I18432" s="845" t="s">
        <v>1009</v>
      </c>
    </row>
    <row r="18433" spans="1:10" x14ac:dyDescent="0.2">
      <c r="A18433" s="859">
        <f t="shared" si="429"/>
        <v>18432</v>
      </c>
      <c r="B18433" s="845" t="s">
        <v>2566</v>
      </c>
      <c r="D18433" s="862"/>
      <c r="I18433" s="845" t="str">
        <f>CONCATENATE("&lt;valeur&gt;",Cellule_1262,"&lt;/valeur&gt;")</f>
        <v>&lt;valeur&gt;0&lt;/valeur&gt;</v>
      </c>
    </row>
    <row r="18434" spans="1:10" x14ac:dyDescent="0.2">
      <c r="A18434" s="859">
        <f t="shared" si="429"/>
        <v>18433</v>
      </c>
      <c r="B18434" s="845" t="s">
        <v>2566</v>
      </c>
      <c r="D18434" s="863"/>
      <c r="H18434" s="845" t="s">
        <v>1010</v>
      </c>
    </row>
    <row r="18435" spans="1:10" x14ac:dyDescent="0.2">
      <c r="A18435" s="859">
        <f t="shared" si="429"/>
        <v>18434</v>
      </c>
      <c r="B18435" s="845" t="s">
        <v>2566</v>
      </c>
      <c r="D18435" s="862"/>
      <c r="H18435" s="845" t="s">
        <v>1007</v>
      </c>
    </row>
    <row r="18436" spans="1:10" x14ac:dyDescent="0.2">
      <c r="A18436" s="859">
        <f t="shared" ref="A18436:A18499" si="430">+A18435+1</f>
        <v>18435</v>
      </c>
      <c r="B18436" s="845" t="s">
        <v>2566</v>
      </c>
      <c r="D18436" s="924"/>
      <c r="I18436" s="845" t="s">
        <v>1008</v>
      </c>
    </row>
    <row r="18437" spans="1:10" x14ac:dyDescent="0.2">
      <c r="A18437" s="859">
        <f t="shared" si="430"/>
        <v>18436</v>
      </c>
      <c r="B18437" s="845" t="s">
        <v>2566</v>
      </c>
      <c r="D18437" s="862"/>
      <c r="J18437" s="845" t="s">
        <v>2314</v>
      </c>
    </row>
    <row r="18438" spans="1:10" x14ac:dyDescent="0.2">
      <c r="A18438" s="859">
        <f t="shared" si="430"/>
        <v>18437</v>
      </c>
      <c r="B18438" s="845" t="s">
        <v>2566</v>
      </c>
      <c r="D18438" s="861"/>
      <c r="I18438" s="845" t="s">
        <v>1009</v>
      </c>
    </row>
    <row r="18439" spans="1:10" x14ac:dyDescent="0.2">
      <c r="A18439" s="859">
        <f t="shared" si="430"/>
        <v>18438</v>
      </c>
      <c r="B18439" s="845" t="s">
        <v>2566</v>
      </c>
      <c r="D18439" s="861"/>
      <c r="I18439" s="845" t="str">
        <f>CONCATENATE("&lt;valeur&gt;",Cellule_1263,"&lt;/valeur&gt;")</f>
        <v>&lt;valeur&gt;0&lt;/valeur&gt;</v>
      </c>
    </row>
    <row r="18440" spans="1:10" x14ac:dyDescent="0.2">
      <c r="A18440" s="859">
        <f t="shared" si="430"/>
        <v>18439</v>
      </c>
      <c r="B18440" s="845" t="s">
        <v>2566</v>
      </c>
      <c r="D18440" s="862"/>
      <c r="H18440" s="845" t="s">
        <v>1010</v>
      </c>
    </row>
    <row r="18441" spans="1:10" x14ac:dyDescent="0.2">
      <c r="A18441" s="859">
        <f t="shared" si="430"/>
        <v>18440</v>
      </c>
      <c r="B18441" s="845" t="s">
        <v>2566</v>
      </c>
      <c r="D18441" s="863"/>
      <c r="H18441" s="845" t="s">
        <v>1007</v>
      </c>
    </row>
    <row r="18442" spans="1:10" x14ac:dyDescent="0.2">
      <c r="A18442" s="859">
        <f t="shared" si="430"/>
        <v>18441</v>
      </c>
      <c r="B18442" s="845" t="s">
        <v>2566</v>
      </c>
      <c r="D18442" s="862"/>
      <c r="I18442" s="845" t="s">
        <v>1008</v>
      </c>
    </row>
    <row r="18443" spans="1:10" x14ac:dyDescent="0.2">
      <c r="A18443" s="859">
        <f t="shared" si="430"/>
        <v>18442</v>
      </c>
      <c r="B18443" s="845" t="s">
        <v>2566</v>
      </c>
      <c r="D18443" s="862"/>
      <c r="J18443" s="845" t="s">
        <v>2315</v>
      </c>
    </row>
    <row r="18444" spans="1:10" x14ac:dyDescent="0.2">
      <c r="A18444" s="859">
        <f t="shared" si="430"/>
        <v>18443</v>
      </c>
      <c r="B18444" s="845" t="s">
        <v>2566</v>
      </c>
      <c r="D18444" s="862"/>
      <c r="I18444" s="845" t="s">
        <v>1009</v>
      </c>
    </row>
    <row r="18445" spans="1:10" x14ac:dyDescent="0.2">
      <c r="A18445" s="859">
        <f t="shared" si="430"/>
        <v>18444</v>
      </c>
      <c r="B18445" s="845" t="s">
        <v>2566</v>
      </c>
      <c r="D18445" s="861"/>
      <c r="I18445" s="845" t="str">
        <f>CONCATENATE("&lt;valeur&gt;",Cellule_1264,"&lt;/valeur&gt;")</f>
        <v>&lt;valeur&gt;0&lt;/valeur&gt;</v>
      </c>
    </row>
    <row r="18446" spans="1:10" x14ac:dyDescent="0.2">
      <c r="A18446" s="859">
        <f t="shared" si="430"/>
        <v>18445</v>
      </c>
      <c r="B18446" s="845" t="s">
        <v>2566</v>
      </c>
      <c r="D18446" s="861"/>
      <c r="H18446" s="845" t="s">
        <v>1010</v>
      </c>
    </row>
    <row r="18447" spans="1:10" x14ac:dyDescent="0.2">
      <c r="A18447" s="859">
        <f t="shared" si="430"/>
        <v>18446</v>
      </c>
      <c r="B18447" s="845" t="s">
        <v>2566</v>
      </c>
      <c r="D18447" s="862"/>
      <c r="H18447" s="845" t="s">
        <v>1007</v>
      </c>
    </row>
    <row r="18448" spans="1:10" x14ac:dyDescent="0.2">
      <c r="A18448" s="859">
        <f t="shared" si="430"/>
        <v>18447</v>
      </c>
      <c r="B18448" s="845" t="s">
        <v>2566</v>
      </c>
      <c r="D18448" s="863"/>
      <c r="I18448" s="845" t="s">
        <v>1008</v>
      </c>
    </row>
    <row r="18449" spans="1:10" x14ac:dyDescent="0.2">
      <c r="A18449" s="859">
        <f t="shared" si="430"/>
        <v>18448</v>
      </c>
      <c r="B18449" s="845" t="s">
        <v>2566</v>
      </c>
      <c r="D18449" s="862"/>
      <c r="J18449" s="845" t="s">
        <v>2316</v>
      </c>
    </row>
    <row r="18450" spans="1:10" x14ac:dyDescent="0.2">
      <c r="A18450" s="859">
        <f t="shared" si="430"/>
        <v>18449</v>
      </c>
      <c r="B18450" s="845" t="s">
        <v>2566</v>
      </c>
      <c r="D18450" s="862"/>
      <c r="I18450" s="845" t="s">
        <v>1009</v>
      </c>
    </row>
    <row r="18451" spans="1:10" x14ac:dyDescent="0.2">
      <c r="A18451" s="859">
        <f t="shared" si="430"/>
        <v>18450</v>
      </c>
      <c r="B18451" s="845" t="s">
        <v>2566</v>
      </c>
      <c r="D18451" s="862"/>
      <c r="I18451" s="845" t="str">
        <f>CONCATENATE("&lt;valeur&gt;",Cellule_1265,"&lt;/valeur&gt;")</f>
        <v>&lt;valeur&gt;0&lt;/valeur&gt;</v>
      </c>
    </row>
    <row r="18452" spans="1:10" x14ac:dyDescent="0.2">
      <c r="A18452" s="859">
        <f t="shared" si="430"/>
        <v>18451</v>
      </c>
      <c r="B18452" s="845" t="s">
        <v>2566</v>
      </c>
      <c r="D18452" s="861"/>
      <c r="H18452" s="845" t="s">
        <v>1010</v>
      </c>
    </row>
    <row r="18453" spans="1:10" x14ac:dyDescent="0.2">
      <c r="A18453" s="859">
        <f t="shared" si="430"/>
        <v>18452</v>
      </c>
      <c r="B18453" s="845" t="s">
        <v>2566</v>
      </c>
      <c r="D18453" s="861"/>
      <c r="G18453" s="845" t="s">
        <v>1011</v>
      </c>
    </row>
    <row r="18454" spans="1:10" x14ac:dyDescent="0.2">
      <c r="A18454" s="859">
        <f t="shared" si="430"/>
        <v>18453</v>
      </c>
      <c r="B18454" s="845" t="s">
        <v>2566</v>
      </c>
      <c r="D18454" s="863"/>
      <c r="G18454" s="845" t="s">
        <v>1012</v>
      </c>
    </row>
    <row r="18455" spans="1:10" x14ac:dyDescent="0.2">
      <c r="A18455" s="859">
        <f t="shared" si="430"/>
        <v>18454</v>
      </c>
      <c r="B18455" s="845" t="s">
        <v>2566</v>
      </c>
      <c r="D18455" s="862"/>
      <c r="H18455" s="845" t="s">
        <v>1015</v>
      </c>
    </row>
    <row r="18456" spans="1:10" x14ac:dyDescent="0.2">
      <c r="A18456" s="859">
        <f t="shared" si="430"/>
        <v>18455</v>
      </c>
      <c r="B18456" s="845" t="s">
        <v>2566</v>
      </c>
      <c r="D18456" s="862"/>
      <c r="I18456" s="845" t="s">
        <v>1016</v>
      </c>
    </row>
    <row r="18457" spans="1:10" x14ac:dyDescent="0.2">
      <c r="A18457" s="859">
        <f t="shared" si="430"/>
        <v>18456</v>
      </c>
      <c r="B18457" s="845" t="s">
        <v>2566</v>
      </c>
      <c r="D18457" s="862"/>
      <c r="J18457" s="845" t="s">
        <v>2317</v>
      </c>
    </row>
    <row r="18458" spans="1:10" x14ac:dyDescent="0.2">
      <c r="A18458" s="859">
        <f t="shared" si="430"/>
        <v>18457</v>
      </c>
      <c r="B18458" s="845" t="s">
        <v>2566</v>
      </c>
      <c r="D18458" s="861"/>
      <c r="I18458" s="845" t="s">
        <v>1017</v>
      </c>
    </row>
    <row r="18459" spans="1:10" x14ac:dyDescent="0.2">
      <c r="A18459" s="859">
        <f t="shared" si="430"/>
        <v>18458</v>
      </c>
      <c r="B18459" s="845" t="s">
        <v>2566</v>
      </c>
      <c r="D18459" s="861"/>
      <c r="I18459" s="845" t="str">
        <f>CONCATENATE("&lt;valeur&gt;",Cellule_55,"&lt;/valeur&gt;")</f>
        <v>&lt;valeur&gt;31/12/2015&lt;/valeur&gt;</v>
      </c>
    </row>
    <row r="18460" spans="1:10" x14ac:dyDescent="0.2">
      <c r="A18460" s="859">
        <f t="shared" si="430"/>
        <v>18459</v>
      </c>
      <c r="B18460" s="845" t="s">
        <v>2566</v>
      </c>
      <c r="D18460" s="862"/>
      <c r="H18460" s="845" t="s">
        <v>1018</v>
      </c>
    </row>
    <row r="18461" spans="1:10" x14ac:dyDescent="0.2">
      <c r="A18461" s="859">
        <f t="shared" si="430"/>
        <v>18460</v>
      </c>
      <c r="B18461" s="845" t="s">
        <v>2566</v>
      </c>
      <c r="D18461" s="863"/>
      <c r="G18461" s="845" t="s">
        <v>1013</v>
      </c>
    </row>
    <row r="18462" spans="1:10" x14ac:dyDescent="0.2">
      <c r="A18462" s="859">
        <f t="shared" si="430"/>
        <v>18461</v>
      </c>
      <c r="B18462" s="845" t="s">
        <v>2566</v>
      </c>
      <c r="D18462" s="862"/>
      <c r="F18462" s="845" t="s">
        <v>1014</v>
      </c>
    </row>
    <row r="18463" spans="1:10" x14ac:dyDescent="0.2">
      <c r="A18463" s="859">
        <f t="shared" si="430"/>
        <v>18462</v>
      </c>
      <c r="B18463" s="845" t="s">
        <v>2567</v>
      </c>
      <c r="D18463" s="862"/>
      <c r="F18463" s="845" t="s">
        <v>1005</v>
      </c>
    </row>
    <row r="18464" spans="1:10" x14ac:dyDescent="0.2">
      <c r="A18464" s="859">
        <f t="shared" si="430"/>
        <v>18463</v>
      </c>
      <c r="B18464" s="845" t="s">
        <v>2567</v>
      </c>
      <c r="D18464" s="862"/>
      <c r="G18464" s="845" t="s">
        <v>2318</v>
      </c>
    </row>
    <row r="18465" spans="1:13" x14ac:dyDescent="0.2">
      <c r="A18465" s="859">
        <f t="shared" si="430"/>
        <v>18464</v>
      </c>
      <c r="B18465" s="845" t="s">
        <v>2567</v>
      </c>
      <c r="D18465" s="861"/>
      <c r="G18465" s="845" t="s">
        <v>1006</v>
      </c>
    </row>
    <row r="18466" spans="1:13" x14ac:dyDescent="0.2">
      <c r="A18466" s="859">
        <f t="shared" si="430"/>
        <v>18465</v>
      </c>
      <c r="B18466" s="990" t="s">
        <v>2567</v>
      </c>
      <c r="C18466" s="990"/>
      <c r="D18466" s="998"/>
      <c r="E18466" s="990"/>
      <c r="F18466" s="990"/>
      <c r="G18466" s="990"/>
      <c r="H18466" s="990" t="s">
        <v>1007</v>
      </c>
      <c r="I18466" s="990"/>
      <c r="J18466" s="990"/>
      <c r="K18466" s="990"/>
      <c r="L18466" s="990"/>
      <c r="M18466" s="986"/>
    </row>
    <row r="18467" spans="1:13" x14ac:dyDescent="0.2">
      <c r="A18467" s="859">
        <f t="shared" si="430"/>
        <v>18466</v>
      </c>
      <c r="B18467" s="845" t="s">
        <v>2567</v>
      </c>
      <c r="D18467" s="862"/>
      <c r="I18467" s="845" t="s">
        <v>2319</v>
      </c>
      <c r="M18467" s="989"/>
    </row>
    <row r="18468" spans="1:13" x14ac:dyDescent="0.2">
      <c r="A18468" s="859">
        <f t="shared" si="430"/>
        <v>18467</v>
      </c>
      <c r="B18468" s="845" t="s">
        <v>2567</v>
      </c>
      <c r="D18468" s="863"/>
      <c r="I18468" s="845" t="str">
        <f>CONCATENATE("&lt;valeur&gt;",Cellule_1267_1,"&lt;/valeur&gt;")</f>
        <v>&lt;valeur&gt;Construction&lt;/valeur&gt;</v>
      </c>
      <c r="M18468" s="989"/>
    </row>
    <row r="18469" spans="1:13" x14ac:dyDescent="0.2">
      <c r="A18469" s="859">
        <f t="shared" si="430"/>
        <v>18468</v>
      </c>
      <c r="B18469" s="845" t="s">
        <v>2567</v>
      </c>
      <c r="D18469" s="862"/>
      <c r="I18469" s="845" t="s">
        <v>1249</v>
      </c>
      <c r="M18469" s="989"/>
    </row>
    <row r="18470" spans="1:13" x14ac:dyDescent="0.2">
      <c r="A18470" s="859">
        <f t="shared" si="430"/>
        <v>18469</v>
      </c>
      <c r="B18470" s="845" t="s">
        <v>2567</v>
      </c>
      <c r="D18470" s="862"/>
      <c r="H18470" s="845" t="s">
        <v>1010</v>
      </c>
      <c r="M18470" s="989"/>
    </row>
    <row r="18471" spans="1:13" x14ac:dyDescent="0.2">
      <c r="A18471" s="859">
        <f t="shared" si="430"/>
        <v>18470</v>
      </c>
      <c r="B18471" s="845" t="s">
        <v>2567</v>
      </c>
      <c r="D18471" s="862"/>
      <c r="H18471" s="845" t="s">
        <v>1007</v>
      </c>
      <c r="M18471" s="989"/>
    </row>
    <row r="18472" spans="1:13" x14ac:dyDescent="0.2">
      <c r="A18472" s="859">
        <f t="shared" si="430"/>
        <v>18471</v>
      </c>
      <c r="B18472" s="845" t="s">
        <v>2567</v>
      </c>
      <c r="D18472" s="861"/>
      <c r="I18472" s="845" t="s">
        <v>2320</v>
      </c>
      <c r="M18472" s="989"/>
    </row>
    <row r="18473" spans="1:13" x14ac:dyDescent="0.2">
      <c r="A18473" s="859">
        <f t="shared" si="430"/>
        <v>18472</v>
      </c>
      <c r="B18473" s="845" t="s">
        <v>2567</v>
      </c>
      <c r="D18473" s="861"/>
      <c r="I18473" s="845" t="str">
        <f>CONCATENATE("&lt;valeur&gt;",Cellule_1268_1,"&lt;/valeur&gt;")</f>
        <v>&lt;valeur&gt;casablanca&lt;/valeur&gt;</v>
      </c>
      <c r="M18473" s="989"/>
    </row>
    <row r="18474" spans="1:13" x14ac:dyDescent="0.2">
      <c r="A18474" s="859">
        <f t="shared" si="430"/>
        <v>18473</v>
      </c>
      <c r="B18474" s="845" t="s">
        <v>2567</v>
      </c>
      <c r="D18474" s="862"/>
      <c r="I18474" s="845" t="s">
        <v>1249</v>
      </c>
      <c r="M18474" s="989"/>
    </row>
    <row r="18475" spans="1:13" x14ac:dyDescent="0.2">
      <c r="A18475" s="859">
        <f t="shared" si="430"/>
        <v>18474</v>
      </c>
      <c r="B18475" s="845" t="s">
        <v>2567</v>
      </c>
      <c r="D18475" s="863"/>
      <c r="H18475" s="845" t="s">
        <v>1010</v>
      </c>
      <c r="M18475" s="989"/>
    </row>
    <row r="18476" spans="1:13" x14ac:dyDescent="0.2">
      <c r="A18476" s="859">
        <f t="shared" si="430"/>
        <v>18475</v>
      </c>
      <c r="B18476" s="845" t="s">
        <v>2567</v>
      </c>
      <c r="D18476" s="862"/>
      <c r="H18476" s="845" t="s">
        <v>1007</v>
      </c>
      <c r="M18476" s="989"/>
    </row>
    <row r="18477" spans="1:13" x14ac:dyDescent="0.2">
      <c r="A18477" s="859">
        <f t="shared" si="430"/>
        <v>18476</v>
      </c>
      <c r="B18477" s="845" t="s">
        <v>2567</v>
      </c>
      <c r="D18477" s="862"/>
      <c r="I18477" s="845" t="s">
        <v>2321</v>
      </c>
      <c r="M18477" s="989"/>
    </row>
    <row r="18478" spans="1:13" x14ac:dyDescent="0.2">
      <c r="A18478" s="859">
        <f t="shared" si="430"/>
        <v>18477</v>
      </c>
      <c r="B18478" s="845" t="s">
        <v>2567</v>
      </c>
      <c r="D18478" s="862"/>
      <c r="I18478" s="845" t="str">
        <f>CONCATENATE("&lt;valeur&gt;",Cellule_1269_1,"&lt;/valeur&gt;")</f>
        <v>&lt;valeur&gt;casablanca&lt;/valeur&gt;</v>
      </c>
      <c r="M18478" s="989"/>
    </row>
    <row r="18479" spans="1:13" x14ac:dyDescent="0.2">
      <c r="A18479" s="859">
        <f t="shared" si="430"/>
        <v>18478</v>
      </c>
      <c r="B18479" s="845" t="s">
        <v>2567</v>
      </c>
      <c r="D18479" s="861"/>
      <c r="I18479" s="845" t="s">
        <v>1249</v>
      </c>
      <c r="M18479" s="989"/>
    </row>
    <row r="18480" spans="1:13" x14ac:dyDescent="0.2">
      <c r="A18480" s="859">
        <f t="shared" si="430"/>
        <v>18479</v>
      </c>
      <c r="B18480" s="845" t="s">
        <v>2567</v>
      </c>
      <c r="D18480" s="861"/>
      <c r="H18480" s="845" t="s">
        <v>1010</v>
      </c>
      <c r="M18480" s="989"/>
    </row>
    <row r="18481" spans="1:13" x14ac:dyDescent="0.2">
      <c r="A18481" s="859">
        <f t="shared" si="430"/>
        <v>18480</v>
      </c>
      <c r="B18481" s="845" t="s">
        <v>2567</v>
      </c>
      <c r="D18481" s="862"/>
      <c r="H18481" s="845" t="s">
        <v>1007</v>
      </c>
      <c r="M18481" s="989"/>
    </row>
    <row r="18482" spans="1:13" x14ac:dyDescent="0.2">
      <c r="A18482" s="859">
        <f t="shared" si="430"/>
        <v>18481</v>
      </c>
      <c r="B18482" s="845" t="s">
        <v>2567</v>
      </c>
      <c r="D18482" s="863"/>
      <c r="I18482" s="845" t="s">
        <v>2322</v>
      </c>
      <c r="M18482" s="989"/>
    </row>
    <row r="18483" spans="1:13" x14ac:dyDescent="0.2">
      <c r="A18483" s="859">
        <f t="shared" si="430"/>
        <v>18482</v>
      </c>
      <c r="B18483" s="845" t="s">
        <v>2567</v>
      </c>
      <c r="D18483" s="862"/>
      <c r="I18483" s="845" t="str">
        <f>CONCATENATE("&lt;valeur&gt;",Cellule_1270_1,"&lt;/valeur&gt;")</f>
        <v>&lt;valeur&gt;&lt;/valeur&gt;</v>
      </c>
      <c r="M18483" s="989"/>
    </row>
    <row r="18484" spans="1:13" x14ac:dyDescent="0.2">
      <c r="A18484" s="859">
        <f t="shared" si="430"/>
        <v>18483</v>
      </c>
      <c r="B18484" s="845" t="s">
        <v>2567</v>
      </c>
      <c r="D18484" s="862"/>
      <c r="I18484" s="845" t="s">
        <v>1249</v>
      </c>
      <c r="M18484" s="989"/>
    </row>
    <row r="18485" spans="1:13" x14ac:dyDescent="0.2">
      <c r="A18485" s="859">
        <f t="shared" si="430"/>
        <v>18484</v>
      </c>
      <c r="B18485" s="845" t="s">
        <v>2567</v>
      </c>
      <c r="D18485" s="862"/>
      <c r="H18485" s="845" t="s">
        <v>1010</v>
      </c>
      <c r="M18485" s="989"/>
    </row>
    <row r="18486" spans="1:13" x14ac:dyDescent="0.2">
      <c r="A18486" s="859">
        <f t="shared" si="430"/>
        <v>18485</v>
      </c>
      <c r="B18486" s="845" t="s">
        <v>2567</v>
      </c>
      <c r="D18486" s="861"/>
      <c r="H18486" s="845" t="s">
        <v>1007</v>
      </c>
      <c r="M18486" s="989"/>
    </row>
    <row r="18487" spans="1:13" x14ac:dyDescent="0.2">
      <c r="A18487" s="859">
        <f t="shared" si="430"/>
        <v>18486</v>
      </c>
      <c r="B18487" s="845" t="s">
        <v>2567</v>
      </c>
      <c r="D18487" s="861"/>
      <c r="I18487" s="845" t="s">
        <v>2323</v>
      </c>
      <c r="M18487" s="989"/>
    </row>
    <row r="18488" spans="1:13" x14ac:dyDescent="0.2">
      <c r="A18488" s="859">
        <f t="shared" si="430"/>
        <v>18487</v>
      </c>
      <c r="B18488" s="845" t="s">
        <v>2567</v>
      </c>
      <c r="D18488" s="862"/>
      <c r="I18488" s="845" t="str">
        <f>CONCATENATE("&lt;valeur&gt;",Cellule_1271_1,"&lt;/valeur&gt;")</f>
        <v>&lt;valeur&gt;132000&lt;/valeur&gt;</v>
      </c>
      <c r="M18488" s="989"/>
    </row>
    <row r="18489" spans="1:13" x14ac:dyDescent="0.2">
      <c r="A18489" s="859">
        <f t="shared" si="430"/>
        <v>18488</v>
      </c>
      <c r="B18489" s="845" t="s">
        <v>2567</v>
      </c>
      <c r="D18489" s="863"/>
      <c r="I18489" s="845" t="s">
        <v>1249</v>
      </c>
      <c r="M18489" s="989"/>
    </row>
    <row r="18490" spans="1:13" x14ac:dyDescent="0.2">
      <c r="A18490" s="859">
        <f t="shared" si="430"/>
        <v>18489</v>
      </c>
      <c r="B18490" s="845" t="s">
        <v>2567</v>
      </c>
      <c r="D18490" s="862"/>
      <c r="H18490" s="845" t="s">
        <v>1010</v>
      </c>
      <c r="M18490" s="989"/>
    </row>
    <row r="18491" spans="1:13" x14ac:dyDescent="0.2">
      <c r="A18491" s="859">
        <f t="shared" si="430"/>
        <v>18490</v>
      </c>
      <c r="B18491" s="845" t="s">
        <v>2567</v>
      </c>
      <c r="D18491" s="862"/>
      <c r="H18491" s="845" t="s">
        <v>1007</v>
      </c>
      <c r="M18491" s="989"/>
    </row>
    <row r="18492" spans="1:13" x14ac:dyDescent="0.2">
      <c r="A18492" s="859">
        <f t="shared" si="430"/>
        <v>18491</v>
      </c>
      <c r="B18492" s="845" t="s">
        <v>2567</v>
      </c>
      <c r="D18492" s="862"/>
      <c r="I18492" s="845" t="s">
        <v>2324</v>
      </c>
      <c r="M18492" s="989"/>
    </row>
    <row r="18493" spans="1:13" x14ac:dyDescent="0.2">
      <c r="A18493" s="859">
        <f t="shared" si="430"/>
        <v>18492</v>
      </c>
      <c r="B18493" s="845" t="s">
        <v>2567</v>
      </c>
      <c r="D18493" s="861"/>
      <c r="I18493" s="845" t="str">
        <f>CONCATENATE("&lt;valeur&gt;",Cellule_1272_1,"&lt;/valeur&gt;")</f>
        <v>&lt;valeur&gt;132000&lt;/valeur&gt;</v>
      </c>
      <c r="M18493" s="989"/>
    </row>
    <row r="18494" spans="1:13" x14ac:dyDescent="0.2">
      <c r="A18494" s="859">
        <f t="shared" si="430"/>
        <v>18493</v>
      </c>
      <c r="B18494" s="845" t="s">
        <v>2567</v>
      </c>
      <c r="D18494" s="861"/>
      <c r="I18494" s="845" t="s">
        <v>1249</v>
      </c>
      <c r="M18494" s="989"/>
    </row>
    <row r="18495" spans="1:13" x14ac:dyDescent="0.2">
      <c r="A18495" s="859">
        <f t="shared" si="430"/>
        <v>18494</v>
      </c>
      <c r="B18495" s="845" t="s">
        <v>2567</v>
      </c>
      <c r="D18495" s="862"/>
      <c r="H18495" s="845" t="s">
        <v>1010</v>
      </c>
      <c r="M18495" s="989"/>
    </row>
    <row r="18496" spans="1:13" x14ac:dyDescent="0.2">
      <c r="A18496" s="859">
        <f t="shared" si="430"/>
        <v>18495</v>
      </c>
      <c r="B18496" s="845" t="s">
        <v>2567</v>
      </c>
      <c r="D18496" s="863"/>
      <c r="H18496" s="845" t="s">
        <v>1007</v>
      </c>
      <c r="M18496" s="989"/>
    </row>
    <row r="18497" spans="1:13" x14ac:dyDescent="0.2">
      <c r="A18497" s="859">
        <f t="shared" si="430"/>
        <v>18496</v>
      </c>
      <c r="B18497" s="845" t="s">
        <v>2567</v>
      </c>
      <c r="D18497" s="862"/>
      <c r="I18497" s="845" t="s">
        <v>2325</v>
      </c>
      <c r="M18497" s="989"/>
    </row>
    <row r="18498" spans="1:13" x14ac:dyDescent="0.2">
      <c r="A18498" s="859">
        <f t="shared" si="430"/>
        <v>18497</v>
      </c>
      <c r="B18498" s="845" t="s">
        <v>2567</v>
      </c>
      <c r="D18498" s="862"/>
      <c r="I18498" s="845" t="str">
        <f>CONCATENATE("&lt;valeur&gt;",Cellule_1273_1,"&lt;/valeur&gt;")</f>
        <v>&lt;valeur&gt;&lt;/valeur&gt;</v>
      </c>
      <c r="M18498" s="989"/>
    </row>
    <row r="18499" spans="1:13" x14ac:dyDescent="0.2">
      <c r="A18499" s="859">
        <f t="shared" si="430"/>
        <v>18498</v>
      </c>
      <c r="B18499" s="845" t="s">
        <v>2567</v>
      </c>
      <c r="D18499" s="862"/>
      <c r="I18499" s="845" t="s">
        <v>1249</v>
      </c>
      <c r="M18499" s="989"/>
    </row>
    <row r="18500" spans="1:13" x14ac:dyDescent="0.2">
      <c r="A18500" s="859">
        <f t="shared" ref="A18500:A18563" si="431">+A18499+1</f>
        <v>18499</v>
      </c>
      <c r="B18500" s="845" t="s">
        <v>2567</v>
      </c>
      <c r="D18500" s="861"/>
      <c r="H18500" s="845" t="s">
        <v>1010</v>
      </c>
      <c r="M18500" s="989"/>
    </row>
    <row r="18501" spans="1:13" x14ac:dyDescent="0.2">
      <c r="A18501" s="859">
        <f t="shared" si="431"/>
        <v>18500</v>
      </c>
      <c r="B18501" s="845" t="s">
        <v>2567</v>
      </c>
      <c r="D18501" s="861"/>
      <c r="H18501" s="845" t="s">
        <v>1007</v>
      </c>
      <c r="M18501" s="989"/>
    </row>
    <row r="18502" spans="1:13" x14ac:dyDescent="0.2">
      <c r="A18502" s="859">
        <f t="shared" si="431"/>
        <v>18501</v>
      </c>
      <c r="B18502" s="845" t="s">
        <v>2567</v>
      </c>
      <c r="D18502" s="862"/>
      <c r="I18502" s="845" t="s">
        <v>2326</v>
      </c>
      <c r="M18502" s="989"/>
    </row>
    <row r="18503" spans="1:13" x14ac:dyDescent="0.2">
      <c r="A18503" s="859">
        <f t="shared" si="431"/>
        <v>18502</v>
      </c>
      <c r="B18503" s="845" t="s">
        <v>2567</v>
      </c>
      <c r="D18503" s="863"/>
      <c r="I18503" s="845" t="str">
        <f>CONCATENATE("&lt;valeur&gt;",Cellule_1274_1,"&lt;/valeur&gt;")</f>
        <v>&lt;valeur&gt;&lt;/valeur&gt;</v>
      </c>
      <c r="M18503" s="989"/>
    </row>
    <row r="18504" spans="1:13" x14ac:dyDescent="0.2">
      <c r="A18504" s="859">
        <f t="shared" si="431"/>
        <v>18503</v>
      </c>
      <c r="B18504" s="845" t="s">
        <v>2567</v>
      </c>
      <c r="D18504" s="862"/>
      <c r="I18504" s="845" t="s">
        <v>1249</v>
      </c>
      <c r="M18504" s="989"/>
    </row>
    <row r="18505" spans="1:13" x14ac:dyDescent="0.2">
      <c r="A18505" s="859">
        <f t="shared" si="431"/>
        <v>18504</v>
      </c>
      <c r="B18505" s="991" t="s">
        <v>2567</v>
      </c>
      <c r="C18505" s="991"/>
      <c r="D18505" s="1002"/>
      <c r="E18505" s="991"/>
      <c r="F18505" s="991"/>
      <c r="G18505" s="991"/>
      <c r="H18505" s="991" t="s">
        <v>1010</v>
      </c>
      <c r="I18505" s="991"/>
      <c r="J18505" s="991"/>
      <c r="K18505" s="991"/>
      <c r="L18505" s="991"/>
      <c r="M18505" s="1000"/>
    </row>
    <row r="18506" spans="1:13" x14ac:dyDescent="0.2">
      <c r="A18506" s="859">
        <f t="shared" si="431"/>
        <v>18505</v>
      </c>
      <c r="B18506" s="990" t="s">
        <v>2567</v>
      </c>
      <c r="C18506" s="990"/>
      <c r="D18506" s="998"/>
      <c r="E18506" s="990"/>
      <c r="F18506" s="990"/>
      <c r="G18506" s="990"/>
      <c r="H18506" s="990" t="s">
        <v>1007</v>
      </c>
      <c r="I18506" s="990"/>
      <c r="J18506" s="990"/>
      <c r="K18506" s="990"/>
      <c r="L18506" s="990"/>
      <c r="M18506" s="986"/>
    </row>
    <row r="18507" spans="1:13" x14ac:dyDescent="0.2">
      <c r="A18507" s="859">
        <f t="shared" si="431"/>
        <v>18506</v>
      </c>
      <c r="B18507" s="845" t="s">
        <v>2567</v>
      </c>
      <c r="D18507" s="862"/>
      <c r="I18507" s="845" t="s">
        <v>2319</v>
      </c>
      <c r="M18507" s="989"/>
    </row>
    <row r="18508" spans="1:13" x14ac:dyDescent="0.2">
      <c r="A18508" s="859">
        <f t="shared" si="431"/>
        <v>18507</v>
      </c>
      <c r="B18508" s="845" t="s">
        <v>2567</v>
      </c>
      <c r="D18508" s="863"/>
      <c r="I18508" s="845" t="str">
        <f>CONCATENATE("&lt;valeur&gt;",Cellule_1267_2,"&lt;/valeur&gt;")</f>
        <v>&lt;valeur&gt;&lt;/valeur&gt;</v>
      </c>
      <c r="M18508" s="989"/>
    </row>
    <row r="18509" spans="1:13" x14ac:dyDescent="0.2">
      <c r="A18509" s="859">
        <f t="shared" si="431"/>
        <v>18508</v>
      </c>
      <c r="B18509" s="845" t="s">
        <v>2567</v>
      </c>
      <c r="D18509" s="862"/>
      <c r="I18509" s="845" t="s">
        <v>2577</v>
      </c>
      <c r="M18509" s="989"/>
    </row>
    <row r="18510" spans="1:13" x14ac:dyDescent="0.2">
      <c r="A18510" s="859">
        <f t="shared" si="431"/>
        <v>18509</v>
      </c>
      <c r="B18510" s="845" t="s">
        <v>2567</v>
      </c>
      <c r="D18510" s="862"/>
      <c r="H18510" s="845" t="s">
        <v>1010</v>
      </c>
      <c r="M18510" s="989"/>
    </row>
    <row r="18511" spans="1:13" x14ac:dyDescent="0.2">
      <c r="A18511" s="859">
        <f t="shared" si="431"/>
        <v>18510</v>
      </c>
      <c r="B18511" s="845" t="s">
        <v>2567</v>
      </c>
      <c r="D18511" s="862"/>
      <c r="H18511" s="845" t="s">
        <v>1007</v>
      </c>
      <c r="M18511" s="989"/>
    </row>
    <row r="18512" spans="1:13" x14ac:dyDescent="0.2">
      <c r="A18512" s="859">
        <f t="shared" si="431"/>
        <v>18511</v>
      </c>
      <c r="B18512" s="845" t="s">
        <v>2567</v>
      </c>
      <c r="D18512" s="861"/>
      <c r="I18512" s="845" t="s">
        <v>2320</v>
      </c>
      <c r="M18512" s="989"/>
    </row>
    <row r="18513" spans="1:13" x14ac:dyDescent="0.2">
      <c r="A18513" s="859">
        <f t="shared" si="431"/>
        <v>18512</v>
      </c>
      <c r="B18513" s="845" t="s">
        <v>2567</v>
      </c>
      <c r="D18513" s="861"/>
      <c r="I18513" s="845" t="str">
        <f>CONCATENATE("&lt;valeur&gt;",Cellule_1268_2,"&lt;/valeur&gt;")</f>
        <v>&lt;valeur&gt;&lt;/valeur&gt;</v>
      </c>
      <c r="M18513" s="989"/>
    </row>
    <row r="18514" spans="1:13" x14ac:dyDescent="0.2">
      <c r="A18514" s="859">
        <f t="shared" si="431"/>
        <v>18513</v>
      </c>
      <c r="B18514" s="845" t="s">
        <v>2567</v>
      </c>
      <c r="D18514" s="862"/>
      <c r="I18514" s="845" t="s">
        <v>2577</v>
      </c>
      <c r="M18514" s="989"/>
    </row>
    <row r="18515" spans="1:13" x14ac:dyDescent="0.2">
      <c r="A18515" s="859">
        <f t="shared" si="431"/>
        <v>18514</v>
      </c>
      <c r="B18515" s="845" t="s">
        <v>2567</v>
      </c>
      <c r="D18515" s="863"/>
      <c r="H18515" s="845" t="s">
        <v>1010</v>
      </c>
      <c r="M18515" s="989"/>
    </row>
    <row r="18516" spans="1:13" x14ac:dyDescent="0.2">
      <c r="A18516" s="859">
        <f t="shared" si="431"/>
        <v>18515</v>
      </c>
      <c r="B18516" s="845" t="s">
        <v>2567</v>
      </c>
      <c r="D18516" s="862"/>
      <c r="H18516" s="845" t="s">
        <v>1007</v>
      </c>
      <c r="M18516" s="989"/>
    </row>
    <row r="18517" spans="1:13" x14ac:dyDescent="0.2">
      <c r="A18517" s="859">
        <f t="shared" si="431"/>
        <v>18516</v>
      </c>
      <c r="B18517" s="845" t="s">
        <v>2567</v>
      </c>
      <c r="D18517" s="862"/>
      <c r="I18517" s="845" t="s">
        <v>2321</v>
      </c>
      <c r="M18517" s="989"/>
    </row>
    <row r="18518" spans="1:13" x14ac:dyDescent="0.2">
      <c r="A18518" s="859">
        <f t="shared" si="431"/>
        <v>18517</v>
      </c>
      <c r="B18518" s="845" t="s">
        <v>2567</v>
      </c>
      <c r="D18518" s="862"/>
      <c r="I18518" s="845" t="str">
        <f>CONCATENATE("&lt;valeur&gt;",Cellule_1269_2,"&lt;/valeur&gt;")</f>
        <v>&lt;valeur&gt;&lt;/valeur&gt;</v>
      </c>
      <c r="M18518" s="989"/>
    </row>
    <row r="18519" spans="1:13" x14ac:dyDescent="0.2">
      <c r="A18519" s="859">
        <f t="shared" si="431"/>
        <v>18518</v>
      </c>
      <c r="B18519" s="845" t="s">
        <v>2567</v>
      </c>
      <c r="D18519" s="861"/>
      <c r="I18519" s="845" t="s">
        <v>2577</v>
      </c>
      <c r="M18519" s="989"/>
    </row>
    <row r="18520" spans="1:13" x14ac:dyDescent="0.2">
      <c r="A18520" s="859">
        <f t="shared" si="431"/>
        <v>18519</v>
      </c>
      <c r="B18520" s="845" t="s">
        <v>2567</v>
      </c>
      <c r="D18520" s="861"/>
      <c r="H18520" s="845" t="s">
        <v>1010</v>
      </c>
      <c r="M18520" s="989"/>
    </row>
    <row r="18521" spans="1:13" x14ac:dyDescent="0.2">
      <c r="A18521" s="859">
        <f t="shared" si="431"/>
        <v>18520</v>
      </c>
      <c r="B18521" s="845" t="s">
        <v>2567</v>
      </c>
      <c r="D18521" s="862"/>
      <c r="H18521" s="845" t="s">
        <v>1007</v>
      </c>
      <c r="M18521" s="989"/>
    </row>
    <row r="18522" spans="1:13" x14ac:dyDescent="0.2">
      <c r="A18522" s="859">
        <f t="shared" si="431"/>
        <v>18521</v>
      </c>
      <c r="B18522" s="845" t="s">
        <v>2567</v>
      </c>
      <c r="D18522" s="863"/>
      <c r="I18522" s="845" t="s">
        <v>2322</v>
      </c>
      <c r="M18522" s="989"/>
    </row>
    <row r="18523" spans="1:13" x14ac:dyDescent="0.2">
      <c r="A18523" s="859">
        <f t="shared" si="431"/>
        <v>18522</v>
      </c>
      <c r="B18523" s="845" t="s">
        <v>2567</v>
      </c>
      <c r="D18523" s="862"/>
      <c r="I18523" s="845" t="str">
        <f>CONCATENATE("&lt;valeur&gt;",Cellule_1270_2,"&lt;/valeur&gt;")</f>
        <v>&lt;valeur&gt;&lt;/valeur&gt;</v>
      </c>
      <c r="M18523" s="989"/>
    </row>
    <row r="18524" spans="1:13" x14ac:dyDescent="0.2">
      <c r="A18524" s="859">
        <f t="shared" si="431"/>
        <v>18523</v>
      </c>
      <c r="B18524" s="845" t="s">
        <v>2567</v>
      </c>
      <c r="D18524" s="862"/>
      <c r="I18524" s="845" t="s">
        <v>2577</v>
      </c>
      <c r="M18524" s="989"/>
    </row>
    <row r="18525" spans="1:13" x14ac:dyDescent="0.2">
      <c r="A18525" s="859">
        <f t="shared" si="431"/>
        <v>18524</v>
      </c>
      <c r="B18525" s="845" t="s">
        <v>2567</v>
      </c>
      <c r="D18525" s="862"/>
      <c r="H18525" s="845" t="s">
        <v>1010</v>
      </c>
      <c r="M18525" s="989"/>
    </row>
    <row r="18526" spans="1:13" x14ac:dyDescent="0.2">
      <c r="A18526" s="859">
        <f t="shared" si="431"/>
        <v>18525</v>
      </c>
      <c r="B18526" s="845" t="s">
        <v>2567</v>
      </c>
      <c r="D18526" s="861"/>
      <c r="H18526" s="845" t="s">
        <v>1007</v>
      </c>
      <c r="M18526" s="989"/>
    </row>
    <row r="18527" spans="1:13" x14ac:dyDescent="0.2">
      <c r="A18527" s="859">
        <f t="shared" si="431"/>
        <v>18526</v>
      </c>
      <c r="B18527" s="845" t="s">
        <v>2567</v>
      </c>
      <c r="D18527" s="861"/>
      <c r="I18527" s="845" t="s">
        <v>2323</v>
      </c>
      <c r="M18527" s="989"/>
    </row>
    <row r="18528" spans="1:13" x14ac:dyDescent="0.2">
      <c r="A18528" s="859">
        <f t="shared" si="431"/>
        <v>18527</v>
      </c>
      <c r="B18528" s="845" t="s">
        <v>2567</v>
      </c>
      <c r="D18528" s="862"/>
      <c r="I18528" s="845" t="str">
        <f>CONCATENATE("&lt;valeur&gt;",Cellule_1271_2,"&lt;/valeur&gt;")</f>
        <v>&lt;valeur&gt;&lt;/valeur&gt;</v>
      </c>
      <c r="M18528" s="989"/>
    </row>
    <row r="18529" spans="1:13" x14ac:dyDescent="0.2">
      <c r="A18529" s="859">
        <f t="shared" si="431"/>
        <v>18528</v>
      </c>
      <c r="B18529" s="845" t="s">
        <v>2567</v>
      </c>
      <c r="D18529" s="863"/>
      <c r="I18529" s="845" t="s">
        <v>2577</v>
      </c>
      <c r="M18529" s="989"/>
    </row>
    <row r="18530" spans="1:13" x14ac:dyDescent="0.2">
      <c r="A18530" s="859">
        <f t="shared" si="431"/>
        <v>18529</v>
      </c>
      <c r="B18530" s="845" t="s">
        <v>2567</v>
      </c>
      <c r="D18530" s="862"/>
      <c r="H18530" s="845" t="s">
        <v>1010</v>
      </c>
      <c r="M18530" s="989"/>
    </row>
    <row r="18531" spans="1:13" x14ac:dyDescent="0.2">
      <c r="A18531" s="859">
        <f t="shared" si="431"/>
        <v>18530</v>
      </c>
      <c r="B18531" s="845" t="s">
        <v>2567</v>
      </c>
      <c r="D18531" s="862"/>
      <c r="H18531" s="845" t="s">
        <v>1007</v>
      </c>
      <c r="M18531" s="989"/>
    </row>
    <row r="18532" spans="1:13" x14ac:dyDescent="0.2">
      <c r="A18532" s="859">
        <f t="shared" si="431"/>
        <v>18531</v>
      </c>
      <c r="B18532" s="845" t="s">
        <v>2567</v>
      </c>
      <c r="D18532" s="862"/>
      <c r="I18532" s="845" t="s">
        <v>2324</v>
      </c>
      <c r="M18532" s="989"/>
    </row>
    <row r="18533" spans="1:13" x14ac:dyDescent="0.2">
      <c r="A18533" s="859">
        <f t="shared" si="431"/>
        <v>18532</v>
      </c>
      <c r="B18533" s="845" t="s">
        <v>2567</v>
      </c>
      <c r="D18533" s="861"/>
      <c r="I18533" s="845" t="str">
        <f>CONCATENATE("&lt;valeur&gt;",Cellule_1272_2,"&lt;/valeur&gt;")</f>
        <v>&lt;valeur&gt;&lt;/valeur&gt;</v>
      </c>
      <c r="M18533" s="989"/>
    </row>
    <row r="18534" spans="1:13" x14ac:dyDescent="0.2">
      <c r="A18534" s="859">
        <f t="shared" si="431"/>
        <v>18533</v>
      </c>
      <c r="B18534" s="845" t="s">
        <v>2567</v>
      </c>
      <c r="D18534" s="861"/>
      <c r="I18534" s="845" t="s">
        <v>2577</v>
      </c>
      <c r="M18534" s="989"/>
    </row>
    <row r="18535" spans="1:13" x14ac:dyDescent="0.2">
      <c r="A18535" s="859">
        <f t="shared" si="431"/>
        <v>18534</v>
      </c>
      <c r="B18535" s="845" t="s">
        <v>2567</v>
      </c>
      <c r="D18535" s="862"/>
      <c r="H18535" s="845" t="s">
        <v>1010</v>
      </c>
      <c r="M18535" s="989"/>
    </row>
    <row r="18536" spans="1:13" x14ac:dyDescent="0.2">
      <c r="A18536" s="859">
        <f t="shared" si="431"/>
        <v>18535</v>
      </c>
      <c r="B18536" s="845" t="s">
        <v>2567</v>
      </c>
      <c r="D18536" s="863"/>
      <c r="H18536" s="845" t="s">
        <v>1007</v>
      </c>
      <c r="M18536" s="989"/>
    </row>
    <row r="18537" spans="1:13" x14ac:dyDescent="0.2">
      <c r="A18537" s="859">
        <f t="shared" si="431"/>
        <v>18536</v>
      </c>
      <c r="B18537" s="845" t="s">
        <v>2567</v>
      </c>
      <c r="D18537" s="862"/>
      <c r="I18537" s="845" t="s">
        <v>2325</v>
      </c>
      <c r="M18537" s="989"/>
    </row>
    <row r="18538" spans="1:13" x14ac:dyDescent="0.2">
      <c r="A18538" s="859">
        <f t="shared" si="431"/>
        <v>18537</v>
      </c>
      <c r="B18538" s="845" t="s">
        <v>2567</v>
      </c>
      <c r="D18538" s="862"/>
      <c r="I18538" s="845" t="str">
        <f>CONCATENATE("&lt;valeur&gt;",Cellule_1273_2,"&lt;/valeur&gt;")</f>
        <v>&lt;valeur&gt;&lt;/valeur&gt;</v>
      </c>
      <c r="M18538" s="989"/>
    </row>
    <row r="18539" spans="1:13" x14ac:dyDescent="0.2">
      <c r="A18539" s="859">
        <f t="shared" si="431"/>
        <v>18538</v>
      </c>
      <c r="B18539" s="845" t="s">
        <v>2567</v>
      </c>
      <c r="D18539" s="862"/>
      <c r="I18539" s="845" t="s">
        <v>2577</v>
      </c>
      <c r="M18539" s="989"/>
    </row>
    <row r="18540" spans="1:13" x14ac:dyDescent="0.2">
      <c r="A18540" s="859">
        <f t="shared" si="431"/>
        <v>18539</v>
      </c>
      <c r="B18540" s="845" t="s">
        <v>2567</v>
      </c>
      <c r="D18540" s="861"/>
      <c r="H18540" s="845" t="s">
        <v>1010</v>
      </c>
      <c r="M18540" s="989"/>
    </row>
    <row r="18541" spans="1:13" x14ac:dyDescent="0.2">
      <c r="A18541" s="859">
        <f t="shared" si="431"/>
        <v>18540</v>
      </c>
      <c r="B18541" s="845" t="s">
        <v>2567</v>
      </c>
      <c r="D18541" s="861"/>
      <c r="H18541" s="845" t="s">
        <v>1007</v>
      </c>
      <c r="M18541" s="989"/>
    </row>
    <row r="18542" spans="1:13" x14ac:dyDescent="0.2">
      <c r="A18542" s="859">
        <f t="shared" si="431"/>
        <v>18541</v>
      </c>
      <c r="B18542" s="845" t="s">
        <v>2567</v>
      </c>
      <c r="D18542" s="862"/>
      <c r="I18542" s="845" t="s">
        <v>2326</v>
      </c>
      <c r="M18542" s="989"/>
    </row>
    <row r="18543" spans="1:13" x14ac:dyDescent="0.2">
      <c r="A18543" s="859">
        <f t="shared" si="431"/>
        <v>18542</v>
      </c>
      <c r="B18543" s="845" t="s">
        <v>2567</v>
      </c>
      <c r="D18543" s="863"/>
      <c r="I18543" s="845" t="str">
        <f>CONCATENATE("&lt;valeur&gt;",Cellule_1274_2,"&lt;/valeur&gt;")</f>
        <v>&lt;valeur&gt;&lt;/valeur&gt;</v>
      </c>
      <c r="M18543" s="989"/>
    </row>
    <row r="18544" spans="1:13" x14ac:dyDescent="0.2">
      <c r="A18544" s="859">
        <f t="shared" si="431"/>
        <v>18543</v>
      </c>
      <c r="B18544" s="845" t="s">
        <v>2567</v>
      </c>
      <c r="D18544" s="862"/>
      <c r="I18544" s="845" t="s">
        <v>2577</v>
      </c>
      <c r="M18544" s="989"/>
    </row>
    <row r="18545" spans="1:13" x14ac:dyDescent="0.2">
      <c r="A18545" s="859">
        <f t="shared" si="431"/>
        <v>18544</v>
      </c>
      <c r="B18545" s="991" t="s">
        <v>2567</v>
      </c>
      <c r="C18545" s="991"/>
      <c r="D18545" s="1002"/>
      <c r="E18545" s="991"/>
      <c r="F18545" s="991"/>
      <c r="G18545" s="991"/>
      <c r="H18545" s="991" t="s">
        <v>1010</v>
      </c>
      <c r="I18545" s="991"/>
      <c r="J18545" s="991"/>
      <c r="K18545" s="991"/>
      <c r="L18545" s="991"/>
      <c r="M18545" s="1000"/>
    </row>
    <row r="18546" spans="1:13" x14ac:dyDescent="0.2">
      <c r="A18546" s="859">
        <f t="shared" si="431"/>
        <v>18545</v>
      </c>
      <c r="B18546" s="990" t="s">
        <v>2567</v>
      </c>
      <c r="C18546" s="990"/>
      <c r="D18546" s="998"/>
      <c r="E18546" s="990"/>
      <c r="F18546" s="990"/>
      <c r="G18546" s="990"/>
      <c r="H18546" s="990" t="s">
        <v>1007</v>
      </c>
      <c r="I18546" s="990"/>
      <c r="J18546" s="990"/>
      <c r="K18546" s="990"/>
      <c r="L18546" s="990"/>
      <c r="M18546" s="986"/>
    </row>
    <row r="18547" spans="1:13" x14ac:dyDescent="0.2">
      <c r="A18547" s="859">
        <f t="shared" si="431"/>
        <v>18546</v>
      </c>
      <c r="B18547" s="845" t="s">
        <v>2567</v>
      </c>
      <c r="D18547" s="862"/>
      <c r="I18547" s="845" t="s">
        <v>2319</v>
      </c>
      <c r="M18547" s="989"/>
    </row>
    <row r="18548" spans="1:13" x14ac:dyDescent="0.2">
      <c r="A18548" s="859">
        <f t="shared" si="431"/>
        <v>18547</v>
      </c>
      <c r="B18548" s="845" t="s">
        <v>2567</v>
      </c>
      <c r="D18548" s="863"/>
      <c r="I18548" s="845" t="str">
        <f>CONCATENATE("&lt;valeur&gt;",Cellule_1267_3,"&lt;/valeur&gt;")</f>
        <v>&lt;valeur&gt;&lt;/valeur&gt;</v>
      </c>
      <c r="M18548" s="989"/>
    </row>
    <row r="18549" spans="1:13" x14ac:dyDescent="0.2">
      <c r="A18549" s="859">
        <f t="shared" si="431"/>
        <v>18548</v>
      </c>
      <c r="B18549" s="845" t="s">
        <v>2567</v>
      </c>
      <c r="D18549" s="862"/>
      <c r="I18549" s="845" t="s">
        <v>2578</v>
      </c>
      <c r="M18549" s="989"/>
    </row>
    <row r="18550" spans="1:13" x14ac:dyDescent="0.2">
      <c r="A18550" s="859">
        <f t="shared" si="431"/>
        <v>18549</v>
      </c>
      <c r="B18550" s="845" t="s">
        <v>2567</v>
      </c>
      <c r="D18550" s="862"/>
      <c r="H18550" s="845" t="s">
        <v>1010</v>
      </c>
      <c r="M18550" s="989"/>
    </row>
    <row r="18551" spans="1:13" x14ac:dyDescent="0.2">
      <c r="A18551" s="859">
        <f t="shared" si="431"/>
        <v>18550</v>
      </c>
      <c r="B18551" s="845" t="s">
        <v>2567</v>
      </c>
      <c r="D18551" s="862"/>
      <c r="H18551" s="845" t="s">
        <v>1007</v>
      </c>
      <c r="M18551" s="989"/>
    </row>
    <row r="18552" spans="1:13" x14ac:dyDescent="0.2">
      <c r="A18552" s="859">
        <f t="shared" si="431"/>
        <v>18551</v>
      </c>
      <c r="B18552" s="845" t="s">
        <v>2567</v>
      </c>
      <c r="D18552" s="861"/>
      <c r="I18552" s="845" t="s">
        <v>2320</v>
      </c>
      <c r="M18552" s="989"/>
    </row>
    <row r="18553" spans="1:13" x14ac:dyDescent="0.2">
      <c r="A18553" s="859">
        <f t="shared" si="431"/>
        <v>18552</v>
      </c>
      <c r="B18553" s="845" t="s">
        <v>2567</v>
      </c>
      <c r="D18553" s="861"/>
      <c r="I18553" s="845" t="str">
        <f>CONCATENATE("&lt;valeur&gt;",Cellule_1268_3,"&lt;/valeur&gt;")</f>
        <v>&lt;valeur&gt;&lt;/valeur&gt;</v>
      </c>
      <c r="M18553" s="989"/>
    </row>
    <row r="18554" spans="1:13" x14ac:dyDescent="0.2">
      <c r="A18554" s="859">
        <f t="shared" si="431"/>
        <v>18553</v>
      </c>
      <c r="B18554" s="845" t="s">
        <v>2567</v>
      </c>
      <c r="D18554" s="862"/>
      <c r="I18554" s="845" t="s">
        <v>2578</v>
      </c>
      <c r="M18554" s="989"/>
    </row>
    <row r="18555" spans="1:13" x14ac:dyDescent="0.2">
      <c r="A18555" s="859">
        <f t="shared" si="431"/>
        <v>18554</v>
      </c>
      <c r="B18555" s="845" t="s">
        <v>2567</v>
      </c>
      <c r="D18555" s="863"/>
      <c r="H18555" s="845" t="s">
        <v>1010</v>
      </c>
      <c r="M18555" s="989"/>
    </row>
    <row r="18556" spans="1:13" x14ac:dyDescent="0.2">
      <c r="A18556" s="859">
        <f t="shared" si="431"/>
        <v>18555</v>
      </c>
      <c r="B18556" s="845" t="s">
        <v>2567</v>
      </c>
      <c r="D18556" s="862"/>
      <c r="H18556" s="845" t="s">
        <v>1007</v>
      </c>
      <c r="M18556" s="989"/>
    </row>
    <row r="18557" spans="1:13" x14ac:dyDescent="0.2">
      <c r="A18557" s="859">
        <f t="shared" si="431"/>
        <v>18556</v>
      </c>
      <c r="B18557" s="845" t="s">
        <v>2567</v>
      </c>
      <c r="D18557" s="862"/>
      <c r="I18557" s="845" t="s">
        <v>2321</v>
      </c>
      <c r="M18557" s="989"/>
    </row>
    <row r="18558" spans="1:13" x14ac:dyDescent="0.2">
      <c r="A18558" s="859">
        <f t="shared" si="431"/>
        <v>18557</v>
      </c>
      <c r="B18558" s="845" t="s">
        <v>2567</v>
      </c>
      <c r="D18558" s="862"/>
      <c r="I18558" s="845" t="str">
        <f>CONCATENATE("&lt;valeur&gt;",Cellule_1269_3,"&lt;/valeur&gt;")</f>
        <v>&lt;valeur&gt;&lt;/valeur&gt;</v>
      </c>
      <c r="M18558" s="989"/>
    </row>
    <row r="18559" spans="1:13" x14ac:dyDescent="0.2">
      <c r="A18559" s="859">
        <f t="shared" si="431"/>
        <v>18558</v>
      </c>
      <c r="B18559" s="845" t="s">
        <v>2567</v>
      </c>
      <c r="D18559" s="861"/>
      <c r="I18559" s="845" t="s">
        <v>2578</v>
      </c>
      <c r="M18559" s="989"/>
    </row>
    <row r="18560" spans="1:13" x14ac:dyDescent="0.2">
      <c r="A18560" s="859">
        <f t="shared" si="431"/>
        <v>18559</v>
      </c>
      <c r="B18560" s="845" t="s">
        <v>2567</v>
      </c>
      <c r="D18560" s="861"/>
      <c r="H18560" s="845" t="s">
        <v>1010</v>
      </c>
      <c r="M18560" s="989"/>
    </row>
    <row r="18561" spans="1:13" x14ac:dyDescent="0.2">
      <c r="A18561" s="859">
        <f t="shared" si="431"/>
        <v>18560</v>
      </c>
      <c r="B18561" s="845" t="s">
        <v>2567</v>
      </c>
      <c r="D18561" s="862"/>
      <c r="H18561" s="845" t="s">
        <v>1007</v>
      </c>
      <c r="M18561" s="989"/>
    </row>
    <row r="18562" spans="1:13" x14ac:dyDescent="0.2">
      <c r="A18562" s="859">
        <f t="shared" si="431"/>
        <v>18561</v>
      </c>
      <c r="B18562" s="845" t="s">
        <v>2567</v>
      </c>
      <c r="D18562" s="863"/>
      <c r="I18562" s="845" t="s">
        <v>2322</v>
      </c>
      <c r="M18562" s="989"/>
    </row>
    <row r="18563" spans="1:13" x14ac:dyDescent="0.2">
      <c r="A18563" s="859">
        <f t="shared" si="431"/>
        <v>18562</v>
      </c>
      <c r="B18563" s="845" t="s">
        <v>2567</v>
      </c>
      <c r="D18563" s="862"/>
      <c r="I18563" s="845" t="str">
        <f>CONCATENATE("&lt;valeur&gt;",Cellule_1270_3,"&lt;/valeur&gt;")</f>
        <v>&lt;valeur&gt;&lt;/valeur&gt;</v>
      </c>
      <c r="M18563" s="989"/>
    </row>
    <row r="18564" spans="1:13" x14ac:dyDescent="0.2">
      <c r="A18564" s="859">
        <f t="shared" ref="A18564:A18627" si="432">+A18563+1</f>
        <v>18563</v>
      </c>
      <c r="B18564" s="845" t="s">
        <v>2567</v>
      </c>
      <c r="D18564" s="862"/>
      <c r="I18564" s="845" t="s">
        <v>2578</v>
      </c>
      <c r="M18564" s="989"/>
    </row>
    <row r="18565" spans="1:13" x14ac:dyDescent="0.2">
      <c r="A18565" s="859">
        <f t="shared" si="432"/>
        <v>18564</v>
      </c>
      <c r="B18565" s="845" t="s">
        <v>2567</v>
      </c>
      <c r="D18565" s="862"/>
      <c r="H18565" s="845" t="s">
        <v>1010</v>
      </c>
      <c r="M18565" s="989"/>
    </row>
    <row r="18566" spans="1:13" x14ac:dyDescent="0.2">
      <c r="A18566" s="859">
        <f t="shared" si="432"/>
        <v>18565</v>
      </c>
      <c r="B18566" s="845" t="s">
        <v>2567</v>
      </c>
      <c r="D18566" s="861"/>
      <c r="H18566" s="845" t="s">
        <v>1007</v>
      </c>
      <c r="M18566" s="989"/>
    </row>
    <row r="18567" spans="1:13" x14ac:dyDescent="0.2">
      <c r="A18567" s="859">
        <f t="shared" si="432"/>
        <v>18566</v>
      </c>
      <c r="B18567" s="845" t="s">
        <v>2567</v>
      </c>
      <c r="D18567" s="861"/>
      <c r="I18567" s="845" t="s">
        <v>2323</v>
      </c>
      <c r="M18567" s="989"/>
    </row>
    <row r="18568" spans="1:13" x14ac:dyDescent="0.2">
      <c r="A18568" s="859">
        <f t="shared" si="432"/>
        <v>18567</v>
      </c>
      <c r="B18568" s="845" t="s">
        <v>2567</v>
      </c>
      <c r="D18568" s="862"/>
      <c r="I18568" s="845" t="str">
        <f>CONCATENATE("&lt;valeur&gt;",Cellule_1271_3,"&lt;/valeur&gt;")</f>
        <v>&lt;valeur&gt;&lt;/valeur&gt;</v>
      </c>
      <c r="M18568" s="989"/>
    </row>
    <row r="18569" spans="1:13" x14ac:dyDescent="0.2">
      <c r="A18569" s="859">
        <f t="shared" si="432"/>
        <v>18568</v>
      </c>
      <c r="B18569" s="845" t="s">
        <v>2567</v>
      </c>
      <c r="D18569" s="863"/>
      <c r="I18569" s="845" t="s">
        <v>2578</v>
      </c>
      <c r="M18569" s="989"/>
    </row>
    <row r="18570" spans="1:13" x14ac:dyDescent="0.2">
      <c r="A18570" s="859">
        <f t="shared" si="432"/>
        <v>18569</v>
      </c>
      <c r="B18570" s="845" t="s">
        <v>2567</v>
      </c>
      <c r="D18570" s="862"/>
      <c r="H18570" s="845" t="s">
        <v>1010</v>
      </c>
      <c r="M18570" s="989"/>
    </row>
    <row r="18571" spans="1:13" x14ac:dyDescent="0.2">
      <c r="A18571" s="859">
        <f t="shared" si="432"/>
        <v>18570</v>
      </c>
      <c r="B18571" s="845" t="s">
        <v>2567</v>
      </c>
      <c r="D18571" s="862"/>
      <c r="H18571" s="845" t="s">
        <v>1007</v>
      </c>
      <c r="M18571" s="989"/>
    </row>
    <row r="18572" spans="1:13" x14ac:dyDescent="0.2">
      <c r="A18572" s="859">
        <f t="shared" si="432"/>
        <v>18571</v>
      </c>
      <c r="B18572" s="845" t="s">
        <v>2567</v>
      </c>
      <c r="D18572" s="862"/>
      <c r="I18572" s="845" t="s">
        <v>2324</v>
      </c>
      <c r="M18572" s="989"/>
    </row>
    <row r="18573" spans="1:13" x14ac:dyDescent="0.2">
      <c r="A18573" s="859">
        <f t="shared" si="432"/>
        <v>18572</v>
      </c>
      <c r="B18573" s="845" t="s">
        <v>2567</v>
      </c>
      <c r="D18573" s="861"/>
      <c r="I18573" s="845" t="str">
        <f>CONCATENATE("&lt;valeur&gt;",Cellule_1272_3,"&lt;/valeur&gt;")</f>
        <v>&lt;valeur&gt;&lt;/valeur&gt;</v>
      </c>
      <c r="M18573" s="989"/>
    </row>
    <row r="18574" spans="1:13" x14ac:dyDescent="0.2">
      <c r="A18574" s="859">
        <f t="shared" si="432"/>
        <v>18573</v>
      </c>
      <c r="B18574" s="845" t="s">
        <v>2567</v>
      </c>
      <c r="D18574" s="861"/>
      <c r="I18574" s="845" t="s">
        <v>2578</v>
      </c>
      <c r="M18574" s="989"/>
    </row>
    <row r="18575" spans="1:13" x14ac:dyDescent="0.2">
      <c r="A18575" s="859">
        <f t="shared" si="432"/>
        <v>18574</v>
      </c>
      <c r="B18575" s="845" t="s">
        <v>2567</v>
      </c>
      <c r="D18575" s="862"/>
      <c r="H18575" s="845" t="s">
        <v>1010</v>
      </c>
      <c r="M18575" s="989"/>
    </row>
    <row r="18576" spans="1:13" x14ac:dyDescent="0.2">
      <c r="A18576" s="859">
        <f t="shared" si="432"/>
        <v>18575</v>
      </c>
      <c r="B18576" s="845" t="s">
        <v>2567</v>
      </c>
      <c r="D18576" s="863"/>
      <c r="H18576" s="845" t="s">
        <v>1007</v>
      </c>
      <c r="M18576" s="989"/>
    </row>
    <row r="18577" spans="1:13" x14ac:dyDescent="0.2">
      <c r="A18577" s="859">
        <f t="shared" si="432"/>
        <v>18576</v>
      </c>
      <c r="B18577" s="845" t="s">
        <v>2567</v>
      </c>
      <c r="D18577" s="862"/>
      <c r="I18577" s="845" t="s">
        <v>2325</v>
      </c>
      <c r="M18577" s="989"/>
    </row>
    <row r="18578" spans="1:13" x14ac:dyDescent="0.2">
      <c r="A18578" s="859">
        <f t="shared" si="432"/>
        <v>18577</v>
      </c>
      <c r="B18578" s="845" t="s">
        <v>2567</v>
      </c>
      <c r="D18578" s="862"/>
      <c r="I18578" s="845" t="str">
        <f>CONCATENATE("&lt;valeur&gt;",Cellule_1273_3,"&lt;/valeur&gt;")</f>
        <v>&lt;valeur&gt;&lt;/valeur&gt;</v>
      </c>
      <c r="M18578" s="989"/>
    </row>
    <row r="18579" spans="1:13" x14ac:dyDescent="0.2">
      <c r="A18579" s="859">
        <f t="shared" si="432"/>
        <v>18578</v>
      </c>
      <c r="B18579" s="845" t="s">
        <v>2567</v>
      </c>
      <c r="D18579" s="862"/>
      <c r="I18579" s="845" t="s">
        <v>2578</v>
      </c>
      <c r="M18579" s="989"/>
    </row>
    <row r="18580" spans="1:13" x14ac:dyDescent="0.2">
      <c r="A18580" s="859">
        <f t="shared" si="432"/>
        <v>18579</v>
      </c>
      <c r="B18580" s="845" t="s">
        <v>2567</v>
      </c>
      <c r="D18580" s="861"/>
      <c r="H18580" s="845" t="s">
        <v>1010</v>
      </c>
      <c r="M18580" s="989"/>
    </row>
    <row r="18581" spans="1:13" x14ac:dyDescent="0.2">
      <c r="A18581" s="859">
        <f t="shared" si="432"/>
        <v>18580</v>
      </c>
      <c r="B18581" s="845" t="s">
        <v>2567</v>
      </c>
      <c r="D18581" s="861"/>
      <c r="H18581" s="845" t="s">
        <v>1007</v>
      </c>
      <c r="M18581" s="989"/>
    </row>
    <row r="18582" spans="1:13" x14ac:dyDescent="0.2">
      <c r="A18582" s="859">
        <f t="shared" si="432"/>
        <v>18581</v>
      </c>
      <c r="B18582" s="845" t="s">
        <v>2567</v>
      </c>
      <c r="D18582" s="862"/>
      <c r="I18582" s="845" t="s">
        <v>2326</v>
      </c>
      <c r="M18582" s="989"/>
    </row>
    <row r="18583" spans="1:13" x14ac:dyDescent="0.2">
      <c r="A18583" s="859">
        <f t="shared" si="432"/>
        <v>18582</v>
      </c>
      <c r="B18583" s="845" t="s">
        <v>2567</v>
      </c>
      <c r="D18583" s="863"/>
      <c r="I18583" s="845" t="str">
        <f>CONCATENATE("&lt;valeur&gt;",Cellule_1274_3,"&lt;/valeur&gt;")</f>
        <v>&lt;valeur&gt;&lt;/valeur&gt;</v>
      </c>
      <c r="M18583" s="989"/>
    </row>
    <row r="18584" spans="1:13" x14ac:dyDescent="0.2">
      <c r="A18584" s="859">
        <f t="shared" si="432"/>
        <v>18583</v>
      </c>
      <c r="B18584" s="845" t="s">
        <v>2567</v>
      </c>
      <c r="D18584" s="862"/>
      <c r="I18584" s="845" t="s">
        <v>2578</v>
      </c>
      <c r="M18584" s="989"/>
    </row>
    <row r="18585" spans="1:13" x14ac:dyDescent="0.2">
      <c r="A18585" s="859">
        <f t="shared" si="432"/>
        <v>18584</v>
      </c>
      <c r="B18585" s="991" t="s">
        <v>2567</v>
      </c>
      <c r="C18585" s="991"/>
      <c r="D18585" s="1002"/>
      <c r="E18585" s="991"/>
      <c r="F18585" s="991"/>
      <c r="G18585" s="991"/>
      <c r="H18585" s="991" t="s">
        <v>1010</v>
      </c>
      <c r="I18585" s="991"/>
      <c r="J18585" s="991"/>
      <c r="K18585" s="991"/>
      <c r="L18585" s="991"/>
      <c r="M18585" s="1000"/>
    </row>
    <row r="18586" spans="1:13" x14ac:dyDescent="0.2">
      <c r="A18586" s="859">
        <f t="shared" si="432"/>
        <v>18585</v>
      </c>
      <c r="B18586" s="990" t="s">
        <v>2567</v>
      </c>
      <c r="C18586" s="990"/>
      <c r="D18586" s="998"/>
      <c r="E18586" s="990"/>
      <c r="F18586" s="990"/>
      <c r="G18586" s="990"/>
      <c r="H18586" s="990" t="s">
        <v>1007</v>
      </c>
      <c r="I18586" s="990"/>
      <c r="J18586" s="990"/>
      <c r="K18586" s="990"/>
      <c r="L18586" s="990"/>
      <c r="M18586" s="986"/>
    </row>
    <row r="18587" spans="1:13" x14ac:dyDescent="0.2">
      <c r="A18587" s="859">
        <f t="shared" si="432"/>
        <v>18586</v>
      </c>
      <c r="B18587" s="845" t="s">
        <v>2567</v>
      </c>
      <c r="D18587" s="862"/>
      <c r="I18587" s="845" t="s">
        <v>2319</v>
      </c>
      <c r="M18587" s="989"/>
    </row>
    <row r="18588" spans="1:13" x14ac:dyDescent="0.2">
      <c r="A18588" s="859">
        <f t="shared" si="432"/>
        <v>18587</v>
      </c>
      <c r="B18588" s="845" t="s">
        <v>2567</v>
      </c>
      <c r="D18588" s="863"/>
      <c r="I18588" s="845" t="str">
        <f>CONCATENATE("&lt;valeur&gt;",Cellule_1267_4,"&lt;/valeur&gt;")</f>
        <v>&lt;valeur&gt;&lt;/valeur&gt;</v>
      </c>
      <c r="M18588" s="989"/>
    </row>
    <row r="18589" spans="1:13" x14ac:dyDescent="0.2">
      <c r="A18589" s="859">
        <f t="shared" si="432"/>
        <v>18588</v>
      </c>
      <c r="B18589" s="845" t="s">
        <v>2567</v>
      </c>
      <c r="D18589" s="862"/>
      <c r="I18589" s="845" t="s">
        <v>2579</v>
      </c>
      <c r="M18589" s="989"/>
    </row>
    <row r="18590" spans="1:13" x14ac:dyDescent="0.2">
      <c r="A18590" s="859">
        <f t="shared" si="432"/>
        <v>18589</v>
      </c>
      <c r="B18590" s="845" t="s">
        <v>2567</v>
      </c>
      <c r="D18590" s="862"/>
      <c r="H18590" s="845" t="s">
        <v>1010</v>
      </c>
      <c r="M18590" s="989"/>
    </row>
    <row r="18591" spans="1:13" x14ac:dyDescent="0.2">
      <c r="A18591" s="859">
        <f t="shared" si="432"/>
        <v>18590</v>
      </c>
      <c r="B18591" s="845" t="s">
        <v>2567</v>
      </c>
      <c r="D18591" s="862"/>
      <c r="H18591" s="845" t="s">
        <v>1007</v>
      </c>
      <c r="M18591" s="989"/>
    </row>
    <row r="18592" spans="1:13" x14ac:dyDescent="0.2">
      <c r="A18592" s="859">
        <f t="shared" si="432"/>
        <v>18591</v>
      </c>
      <c r="B18592" s="845" t="s">
        <v>2567</v>
      </c>
      <c r="D18592" s="861"/>
      <c r="I18592" s="845" t="s">
        <v>2320</v>
      </c>
      <c r="M18592" s="989"/>
    </row>
    <row r="18593" spans="1:13" x14ac:dyDescent="0.2">
      <c r="A18593" s="859">
        <f t="shared" si="432"/>
        <v>18592</v>
      </c>
      <c r="B18593" s="845" t="s">
        <v>2567</v>
      </c>
      <c r="D18593" s="861"/>
      <c r="I18593" s="845" t="str">
        <f>CONCATENATE("&lt;valeur&gt;",Cellule_1268_4,"&lt;/valeur&gt;")</f>
        <v>&lt;valeur&gt;&lt;/valeur&gt;</v>
      </c>
      <c r="M18593" s="989"/>
    </row>
    <row r="18594" spans="1:13" x14ac:dyDescent="0.2">
      <c r="A18594" s="859">
        <f t="shared" si="432"/>
        <v>18593</v>
      </c>
      <c r="B18594" s="845" t="s">
        <v>2567</v>
      </c>
      <c r="D18594" s="862"/>
      <c r="I18594" s="845" t="s">
        <v>2579</v>
      </c>
      <c r="M18594" s="989"/>
    </row>
    <row r="18595" spans="1:13" x14ac:dyDescent="0.2">
      <c r="A18595" s="859">
        <f t="shared" si="432"/>
        <v>18594</v>
      </c>
      <c r="B18595" s="845" t="s">
        <v>2567</v>
      </c>
      <c r="D18595" s="863"/>
      <c r="H18595" s="845" t="s">
        <v>1010</v>
      </c>
      <c r="M18595" s="989"/>
    </row>
    <row r="18596" spans="1:13" x14ac:dyDescent="0.2">
      <c r="A18596" s="859">
        <f t="shared" si="432"/>
        <v>18595</v>
      </c>
      <c r="B18596" s="845" t="s">
        <v>2567</v>
      </c>
      <c r="D18596" s="862"/>
      <c r="H18596" s="845" t="s">
        <v>1007</v>
      </c>
      <c r="M18596" s="989"/>
    </row>
    <row r="18597" spans="1:13" x14ac:dyDescent="0.2">
      <c r="A18597" s="859">
        <f t="shared" si="432"/>
        <v>18596</v>
      </c>
      <c r="B18597" s="845" t="s">
        <v>2567</v>
      </c>
      <c r="D18597" s="862"/>
      <c r="I18597" s="845" t="s">
        <v>2321</v>
      </c>
      <c r="M18597" s="989"/>
    </row>
    <row r="18598" spans="1:13" x14ac:dyDescent="0.2">
      <c r="A18598" s="859">
        <f t="shared" si="432"/>
        <v>18597</v>
      </c>
      <c r="B18598" s="845" t="s">
        <v>2567</v>
      </c>
      <c r="D18598" s="862"/>
      <c r="I18598" s="845" t="str">
        <f>CONCATENATE("&lt;valeur&gt;",Cellule_1269_4,"&lt;/valeur&gt;")</f>
        <v>&lt;valeur&gt;&lt;/valeur&gt;</v>
      </c>
      <c r="M18598" s="989"/>
    </row>
    <row r="18599" spans="1:13" x14ac:dyDescent="0.2">
      <c r="A18599" s="859">
        <f t="shared" si="432"/>
        <v>18598</v>
      </c>
      <c r="B18599" s="845" t="s">
        <v>2567</v>
      </c>
      <c r="D18599" s="861"/>
      <c r="I18599" s="845" t="s">
        <v>2579</v>
      </c>
      <c r="M18599" s="989"/>
    </row>
    <row r="18600" spans="1:13" x14ac:dyDescent="0.2">
      <c r="A18600" s="859">
        <f t="shared" si="432"/>
        <v>18599</v>
      </c>
      <c r="B18600" s="845" t="s">
        <v>2567</v>
      </c>
      <c r="D18600" s="861"/>
      <c r="H18600" s="845" t="s">
        <v>1010</v>
      </c>
      <c r="M18600" s="989"/>
    </row>
    <row r="18601" spans="1:13" x14ac:dyDescent="0.2">
      <c r="A18601" s="859">
        <f t="shared" si="432"/>
        <v>18600</v>
      </c>
      <c r="B18601" s="845" t="s">
        <v>2567</v>
      </c>
      <c r="D18601" s="862"/>
      <c r="H18601" s="845" t="s">
        <v>1007</v>
      </c>
      <c r="M18601" s="989"/>
    </row>
    <row r="18602" spans="1:13" x14ac:dyDescent="0.2">
      <c r="A18602" s="859">
        <f t="shared" si="432"/>
        <v>18601</v>
      </c>
      <c r="B18602" s="845" t="s">
        <v>2567</v>
      </c>
      <c r="D18602" s="863"/>
      <c r="I18602" s="845" t="s">
        <v>2322</v>
      </c>
      <c r="M18602" s="989"/>
    </row>
    <row r="18603" spans="1:13" x14ac:dyDescent="0.2">
      <c r="A18603" s="859">
        <f t="shared" si="432"/>
        <v>18602</v>
      </c>
      <c r="B18603" s="845" t="s">
        <v>2567</v>
      </c>
      <c r="D18603" s="862"/>
      <c r="I18603" s="845" t="str">
        <f>CONCATENATE("&lt;valeur&gt;",Cellule_1270_4,"&lt;/valeur&gt;")</f>
        <v>&lt;valeur&gt;&lt;/valeur&gt;</v>
      </c>
      <c r="M18603" s="989"/>
    </row>
    <row r="18604" spans="1:13" x14ac:dyDescent="0.2">
      <c r="A18604" s="859">
        <f t="shared" si="432"/>
        <v>18603</v>
      </c>
      <c r="B18604" s="845" t="s">
        <v>2567</v>
      </c>
      <c r="D18604" s="862"/>
      <c r="I18604" s="845" t="s">
        <v>2579</v>
      </c>
      <c r="M18604" s="989"/>
    </row>
    <row r="18605" spans="1:13" x14ac:dyDescent="0.2">
      <c r="A18605" s="859">
        <f t="shared" si="432"/>
        <v>18604</v>
      </c>
      <c r="B18605" s="845" t="s">
        <v>2567</v>
      </c>
      <c r="D18605" s="862"/>
      <c r="H18605" s="845" t="s">
        <v>1010</v>
      </c>
      <c r="M18605" s="989"/>
    </row>
    <row r="18606" spans="1:13" x14ac:dyDescent="0.2">
      <c r="A18606" s="859">
        <f t="shared" si="432"/>
        <v>18605</v>
      </c>
      <c r="B18606" s="845" t="s">
        <v>2567</v>
      </c>
      <c r="D18606" s="861"/>
      <c r="H18606" s="845" t="s">
        <v>1007</v>
      </c>
      <c r="M18606" s="989"/>
    </row>
    <row r="18607" spans="1:13" x14ac:dyDescent="0.2">
      <c r="A18607" s="859">
        <f t="shared" si="432"/>
        <v>18606</v>
      </c>
      <c r="B18607" s="845" t="s">
        <v>2567</v>
      </c>
      <c r="D18607" s="861"/>
      <c r="I18607" s="845" t="s">
        <v>2323</v>
      </c>
      <c r="M18607" s="989"/>
    </row>
    <row r="18608" spans="1:13" x14ac:dyDescent="0.2">
      <c r="A18608" s="859">
        <f t="shared" si="432"/>
        <v>18607</v>
      </c>
      <c r="B18608" s="845" t="s">
        <v>2567</v>
      </c>
      <c r="D18608" s="862"/>
      <c r="I18608" s="845" t="str">
        <f>CONCATENATE("&lt;valeur&gt;",Cellule_1271_4,"&lt;/valeur&gt;")</f>
        <v>&lt;valeur&gt;&lt;/valeur&gt;</v>
      </c>
      <c r="M18608" s="989"/>
    </row>
    <row r="18609" spans="1:13" x14ac:dyDescent="0.2">
      <c r="A18609" s="859">
        <f t="shared" si="432"/>
        <v>18608</v>
      </c>
      <c r="B18609" s="845" t="s">
        <v>2567</v>
      </c>
      <c r="D18609" s="863"/>
      <c r="I18609" s="845" t="s">
        <v>2579</v>
      </c>
      <c r="M18609" s="989"/>
    </row>
    <row r="18610" spans="1:13" x14ac:dyDescent="0.2">
      <c r="A18610" s="859">
        <f t="shared" si="432"/>
        <v>18609</v>
      </c>
      <c r="B18610" s="845" t="s">
        <v>2567</v>
      </c>
      <c r="D18610" s="862"/>
      <c r="H18610" s="845" t="s">
        <v>1010</v>
      </c>
      <c r="M18610" s="989"/>
    </row>
    <row r="18611" spans="1:13" x14ac:dyDescent="0.2">
      <c r="A18611" s="859">
        <f t="shared" si="432"/>
        <v>18610</v>
      </c>
      <c r="B18611" s="845" t="s">
        <v>2567</v>
      </c>
      <c r="D18611" s="862"/>
      <c r="H18611" s="845" t="s">
        <v>1007</v>
      </c>
      <c r="M18611" s="989"/>
    </row>
    <row r="18612" spans="1:13" x14ac:dyDescent="0.2">
      <c r="A18612" s="859">
        <f t="shared" si="432"/>
        <v>18611</v>
      </c>
      <c r="B18612" s="845" t="s">
        <v>2567</v>
      </c>
      <c r="D18612" s="862"/>
      <c r="I18612" s="845" t="s">
        <v>2324</v>
      </c>
      <c r="M18612" s="989"/>
    </row>
    <row r="18613" spans="1:13" x14ac:dyDescent="0.2">
      <c r="A18613" s="859">
        <f t="shared" si="432"/>
        <v>18612</v>
      </c>
      <c r="B18613" s="845" t="s">
        <v>2567</v>
      </c>
      <c r="D18613" s="861"/>
      <c r="I18613" s="845" t="str">
        <f>CONCATENATE("&lt;valeur&gt;",Cellule_1272_4,"&lt;/valeur&gt;")</f>
        <v>&lt;valeur&gt;&lt;/valeur&gt;</v>
      </c>
      <c r="M18613" s="989"/>
    </row>
    <row r="18614" spans="1:13" x14ac:dyDescent="0.2">
      <c r="A18614" s="859">
        <f t="shared" si="432"/>
        <v>18613</v>
      </c>
      <c r="B18614" s="845" t="s">
        <v>2567</v>
      </c>
      <c r="D18614" s="861"/>
      <c r="I18614" s="845" t="s">
        <v>2579</v>
      </c>
      <c r="M18614" s="989"/>
    </row>
    <row r="18615" spans="1:13" x14ac:dyDescent="0.2">
      <c r="A18615" s="859">
        <f t="shared" si="432"/>
        <v>18614</v>
      </c>
      <c r="B18615" s="845" t="s">
        <v>2567</v>
      </c>
      <c r="D18615" s="862"/>
      <c r="H18615" s="845" t="s">
        <v>1010</v>
      </c>
      <c r="M18615" s="989"/>
    </row>
    <row r="18616" spans="1:13" x14ac:dyDescent="0.2">
      <c r="A18616" s="859">
        <f t="shared" si="432"/>
        <v>18615</v>
      </c>
      <c r="B18616" s="845" t="s">
        <v>2567</v>
      </c>
      <c r="D18616" s="863"/>
      <c r="H18616" s="845" t="s">
        <v>1007</v>
      </c>
      <c r="M18616" s="989"/>
    </row>
    <row r="18617" spans="1:13" x14ac:dyDescent="0.2">
      <c r="A18617" s="859">
        <f t="shared" si="432"/>
        <v>18616</v>
      </c>
      <c r="B18617" s="845" t="s">
        <v>2567</v>
      </c>
      <c r="D18617" s="862"/>
      <c r="I18617" s="845" t="s">
        <v>2325</v>
      </c>
      <c r="M18617" s="989"/>
    </row>
    <row r="18618" spans="1:13" x14ac:dyDescent="0.2">
      <c r="A18618" s="859">
        <f t="shared" si="432"/>
        <v>18617</v>
      </c>
      <c r="B18618" s="845" t="s">
        <v>2567</v>
      </c>
      <c r="D18618" s="862"/>
      <c r="I18618" s="845" t="str">
        <f>CONCATENATE("&lt;valeur&gt;",Cellule_1273_4,"&lt;/valeur&gt;")</f>
        <v>&lt;valeur&gt;&lt;/valeur&gt;</v>
      </c>
      <c r="M18618" s="989"/>
    </row>
    <row r="18619" spans="1:13" x14ac:dyDescent="0.2">
      <c r="A18619" s="859">
        <f t="shared" si="432"/>
        <v>18618</v>
      </c>
      <c r="B18619" s="845" t="s">
        <v>2567</v>
      </c>
      <c r="D18619" s="862"/>
      <c r="I18619" s="845" t="s">
        <v>2579</v>
      </c>
      <c r="M18619" s="989"/>
    </row>
    <row r="18620" spans="1:13" x14ac:dyDescent="0.2">
      <c r="A18620" s="859">
        <f t="shared" si="432"/>
        <v>18619</v>
      </c>
      <c r="B18620" s="845" t="s">
        <v>2567</v>
      </c>
      <c r="D18620" s="861"/>
      <c r="H18620" s="845" t="s">
        <v>1010</v>
      </c>
      <c r="M18620" s="989"/>
    </row>
    <row r="18621" spans="1:13" x14ac:dyDescent="0.2">
      <c r="A18621" s="859">
        <f t="shared" si="432"/>
        <v>18620</v>
      </c>
      <c r="B18621" s="845" t="s">
        <v>2567</v>
      </c>
      <c r="D18621" s="861"/>
      <c r="H18621" s="845" t="s">
        <v>1007</v>
      </c>
      <c r="M18621" s="989"/>
    </row>
    <row r="18622" spans="1:13" x14ac:dyDescent="0.2">
      <c r="A18622" s="859">
        <f t="shared" si="432"/>
        <v>18621</v>
      </c>
      <c r="B18622" s="845" t="s">
        <v>2567</v>
      </c>
      <c r="D18622" s="862"/>
      <c r="I18622" s="845" t="s">
        <v>2326</v>
      </c>
      <c r="M18622" s="989"/>
    </row>
    <row r="18623" spans="1:13" x14ac:dyDescent="0.2">
      <c r="A18623" s="859">
        <f t="shared" si="432"/>
        <v>18622</v>
      </c>
      <c r="B18623" s="845" t="s">
        <v>2567</v>
      </c>
      <c r="D18623" s="863"/>
      <c r="I18623" s="845" t="str">
        <f>CONCATENATE("&lt;valeur&gt;",Cellule_1274_4,"&lt;/valeur&gt;")</f>
        <v>&lt;valeur&gt;&lt;/valeur&gt;</v>
      </c>
      <c r="M18623" s="989"/>
    </row>
    <row r="18624" spans="1:13" x14ac:dyDescent="0.2">
      <c r="A18624" s="859">
        <f t="shared" si="432"/>
        <v>18623</v>
      </c>
      <c r="B18624" s="845" t="s">
        <v>2567</v>
      </c>
      <c r="D18624" s="862"/>
      <c r="I18624" s="845" t="s">
        <v>2579</v>
      </c>
      <c r="M18624" s="989"/>
    </row>
    <row r="18625" spans="1:13" x14ac:dyDescent="0.2">
      <c r="A18625" s="859">
        <f t="shared" si="432"/>
        <v>18624</v>
      </c>
      <c r="B18625" s="991" t="s">
        <v>2567</v>
      </c>
      <c r="C18625" s="991"/>
      <c r="D18625" s="1002"/>
      <c r="E18625" s="991"/>
      <c r="F18625" s="991"/>
      <c r="G18625" s="991"/>
      <c r="H18625" s="991" t="s">
        <v>1010</v>
      </c>
      <c r="I18625" s="991"/>
      <c r="J18625" s="991"/>
      <c r="K18625" s="991"/>
      <c r="L18625" s="991"/>
      <c r="M18625" s="1000"/>
    </row>
    <row r="18626" spans="1:13" x14ac:dyDescent="0.2">
      <c r="A18626" s="859">
        <f t="shared" si="432"/>
        <v>18625</v>
      </c>
      <c r="B18626" s="990" t="s">
        <v>2567</v>
      </c>
      <c r="C18626" s="990"/>
      <c r="D18626" s="998"/>
      <c r="E18626" s="990"/>
      <c r="F18626" s="990"/>
      <c r="G18626" s="990"/>
      <c r="H18626" s="990" t="s">
        <v>1007</v>
      </c>
      <c r="I18626" s="990"/>
      <c r="J18626" s="990"/>
      <c r="K18626" s="990"/>
      <c r="L18626" s="990"/>
      <c r="M18626" s="986"/>
    </row>
    <row r="18627" spans="1:13" x14ac:dyDescent="0.2">
      <c r="A18627" s="859">
        <f t="shared" si="432"/>
        <v>18626</v>
      </c>
      <c r="B18627" s="845" t="s">
        <v>2567</v>
      </c>
      <c r="D18627" s="862"/>
      <c r="I18627" s="845" t="s">
        <v>2319</v>
      </c>
      <c r="M18627" s="989"/>
    </row>
    <row r="18628" spans="1:13" x14ac:dyDescent="0.2">
      <c r="A18628" s="859">
        <f t="shared" ref="A18628:A18691" si="433">+A18627+1</f>
        <v>18627</v>
      </c>
      <c r="B18628" s="845" t="s">
        <v>2567</v>
      </c>
      <c r="D18628" s="863"/>
      <c r="I18628" s="845" t="str">
        <f>CONCATENATE("&lt;valeur&gt;",Cellule_1267_5,"&lt;/valeur&gt;")</f>
        <v>&lt;valeur&gt;&lt;/valeur&gt;</v>
      </c>
      <c r="M18628" s="989"/>
    </row>
    <row r="18629" spans="1:13" x14ac:dyDescent="0.2">
      <c r="A18629" s="859">
        <f t="shared" si="433"/>
        <v>18628</v>
      </c>
      <c r="B18629" s="845" t="s">
        <v>2567</v>
      </c>
      <c r="D18629" s="862"/>
      <c r="I18629" s="845" t="s">
        <v>2580</v>
      </c>
      <c r="M18629" s="989"/>
    </row>
    <row r="18630" spans="1:13" x14ac:dyDescent="0.2">
      <c r="A18630" s="859">
        <f t="shared" si="433"/>
        <v>18629</v>
      </c>
      <c r="B18630" s="845" t="s">
        <v>2567</v>
      </c>
      <c r="D18630" s="862"/>
      <c r="H18630" s="845" t="s">
        <v>1010</v>
      </c>
      <c r="M18630" s="989"/>
    </row>
    <row r="18631" spans="1:13" x14ac:dyDescent="0.2">
      <c r="A18631" s="859">
        <f t="shared" si="433"/>
        <v>18630</v>
      </c>
      <c r="B18631" s="845" t="s">
        <v>2567</v>
      </c>
      <c r="D18631" s="862"/>
      <c r="H18631" s="845" t="s">
        <v>1007</v>
      </c>
      <c r="M18631" s="989"/>
    </row>
    <row r="18632" spans="1:13" x14ac:dyDescent="0.2">
      <c r="A18632" s="859">
        <f t="shared" si="433"/>
        <v>18631</v>
      </c>
      <c r="B18632" s="845" t="s">
        <v>2567</v>
      </c>
      <c r="D18632" s="861"/>
      <c r="I18632" s="845" t="s">
        <v>2320</v>
      </c>
      <c r="M18632" s="989"/>
    </row>
    <row r="18633" spans="1:13" x14ac:dyDescent="0.2">
      <c r="A18633" s="859">
        <f t="shared" si="433"/>
        <v>18632</v>
      </c>
      <c r="B18633" s="845" t="s">
        <v>2567</v>
      </c>
      <c r="D18633" s="861"/>
      <c r="I18633" s="845" t="str">
        <f>CONCATENATE("&lt;valeur&gt;",Cellule_1268_5,"&lt;/valeur&gt;")</f>
        <v>&lt;valeur&gt;&lt;/valeur&gt;</v>
      </c>
      <c r="M18633" s="989"/>
    </row>
    <row r="18634" spans="1:13" x14ac:dyDescent="0.2">
      <c r="A18634" s="859">
        <f t="shared" si="433"/>
        <v>18633</v>
      </c>
      <c r="B18634" s="845" t="s">
        <v>2567</v>
      </c>
      <c r="D18634" s="862"/>
      <c r="I18634" s="845" t="s">
        <v>2580</v>
      </c>
      <c r="M18634" s="989"/>
    </row>
    <row r="18635" spans="1:13" x14ac:dyDescent="0.2">
      <c r="A18635" s="859">
        <f t="shared" si="433"/>
        <v>18634</v>
      </c>
      <c r="B18635" s="845" t="s">
        <v>2567</v>
      </c>
      <c r="D18635" s="863"/>
      <c r="H18635" s="845" t="s">
        <v>1010</v>
      </c>
      <c r="M18635" s="989"/>
    </row>
    <row r="18636" spans="1:13" x14ac:dyDescent="0.2">
      <c r="A18636" s="859">
        <f t="shared" si="433"/>
        <v>18635</v>
      </c>
      <c r="B18636" s="845" t="s">
        <v>2567</v>
      </c>
      <c r="D18636" s="862"/>
      <c r="H18636" s="845" t="s">
        <v>1007</v>
      </c>
      <c r="M18636" s="989"/>
    </row>
    <row r="18637" spans="1:13" x14ac:dyDescent="0.2">
      <c r="A18637" s="859">
        <f t="shared" si="433"/>
        <v>18636</v>
      </c>
      <c r="B18637" s="845" t="s">
        <v>2567</v>
      </c>
      <c r="D18637" s="862"/>
      <c r="I18637" s="845" t="s">
        <v>2321</v>
      </c>
      <c r="M18637" s="989"/>
    </row>
    <row r="18638" spans="1:13" x14ac:dyDescent="0.2">
      <c r="A18638" s="859">
        <f t="shared" si="433"/>
        <v>18637</v>
      </c>
      <c r="B18638" s="845" t="s">
        <v>2567</v>
      </c>
      <c r="D18638" s="862"/>
      <c r="I18638" s="845" t="str">
        <f>CONCATENATE("&lt;valeur&gt;",Cellule_1269_5,"&lt;/valeur&gt;")</f>
        <v>&lt;valeur&gt;&lt;/valeur&gt;</v>
      </c>
      <c r="M18638" s="989"/>
    </row>
    <row r="18639" spans="1:13" x14ac:dyDescent="0.2">
      <c r="A18639" s="859">
        <f t="shared" si="433"/>
        <v>18638</v>
      </c>
      <c r="B18639" s="845" t="s">
        <v>2567</v>
      </c>
      <c r="D18639" s="861"/>
      <c r="I18639" s="845" t="s">
        <v>2580</v>
      </c>
      <c r="M18639" s="989"/>
    </row>
    <row r="18640" spans="1:13" x14ac:dyDescent="0.2">
      <c r="A18640" s="859">
        <f t="shared" si="433"/>
        <v>18639</v>
      </c>
      <c r="B18640" s="845" t="s">
        <v>2567</v>
      </c>
      <c r="D18640" s="861"/>
      <c r="H18640" s="845" t="s">
        <v>1010</v>
      </c>
      <c r="M18640" s="989"/>
    </row>
    <row r="18641" spans="1:13" x14ac:dyDescent="0.2">
      <c r="A18641" s="859">
        <f t="shared" si="433"/>
        <v>18640</v>
      </c>
      <c r="B18641" s="845" t="s">
        <v>2567</v>
      </c>
      <c r="D18641" s="862"/>
      <c r="H18641" s="845" t="s">
        <v>1007</v>
      </c>
      <c r="M18641" s="989"/>
    </row>
    <row r="18642" spans="1:13" x14ac:dyDescent="0.2">
      <c r="A18642" s="859">
        <f t="shared" si="433"/>
        <v>18641</v>
      </c>
      <c r="B18642" s="845" t="s">
        <v>2567</v>
      </c>
      <c r="D18642" s="863"/>
      <c r="I18642" s="845" t="s">
        <v>2322</v>
      </c>
      <c r="M18642" s="989"/>
    </row>
    <row r="18643" spans="1:13" x14ac:dyDescent="0.2">
      <c r="A18643" s="859">
        <f t="shared" si="433"/>
        <v>18642</v>
      </c>
      <c r="B18643" s="845" t="s">
        <v>2567</v>
      </c>
      <c r="D18643" s="862"/>
      <c r="I18643" s="845" t="str">
        <f>CONCATENATE("&lt;valeur&gt;",Cellule_1270_5,"&lt;/valeur&gt;")</f>
        <v>&lt;valeur&gt;&lt;/valeur&gt;</v>
      </c>
      <c r="M18643" s="989"/>
    </row>
    <row r="18644" spans="1:13" x14ac:dyDescent="0.2">
      <c r="A18644" s="859">
        <f t="shared" si="433"/>
        <v>18643</v>
      </c>
      <c r="B18644" s="845" t="s">
        <v>2567</v>
      </c>
      <c r="D18644" s="862"/>
      <c r="I18644" s="845" t="s">
        <v>2580</v>
      </c>
      <c r="M18644" s="989"/>
    </row>
    <row r="18645" spans="1:13" x14ac:dyDescent="0.2">
      <c r="A18645" s="859">
        <f t="shared" si="433"/>
        <v>18644</v>
      </c>
      <c r="B18645" s="845" t="s">
        <v>2567</v>
      </c>
      <c r="D18645" s="862"/>
      <c r="H18645" s="845" t="s">
        <v>1010</v>
      </c>
      <c r="M18645" s="989"/>
    </row>
    <row r="18646" spans="1:13" x14ac:dyDescent="0.2">
      <c r="A18646" s="859">
        <f t="shared" si="433"/>
        <v>18645</v>
      </c>
      <c r="B18646" s="845" t="s">
        <v>2567</v>
      </c>
      <c r="D18646" s="861"/>
      <c r="H18646" s="845" t="s">
        <v>1007</v>
      </c>
      <c r="M18646" s="989"/>
    </row>
    <row r="18647" spans="1:13" x14ac:dyDescent="0.2">
      <c r="A18647" s="859">
        <f t="shared" si="433"/>
        <v>18646</v>
      </c>
      <c r="B18647" s="845" t="s">
        <v>2567</v>
      </c>
      <c r="D18647" s="861"/>
      <c r="I18647" s="845" t="s">
        <v>2323</v>
      </c>
      <c r="M18647" s="989"/>
    </row>
    <row r="18648" spans="1:13" x14ac:dyDescent="0.2">
      <c r="A18648" s="859">
        <f t="shared" si="433"/>
        <v>18647</v>
      </c>
      <c r="B18648" s="845" t="s">
        <v>2567</v>
      </c>
      <c r="D18648" s="862"/>
      <c r="I18648" s="845" t="str">
        <f>CONCATENATE("&lt;valeur&gt;",Cellule_1271_5,"&lt;/valeur&gt;")</f>
        <v>&lt;valeur&gt;&lt;/valeur&gt;</v>
      </c>
      <c r="M18648" s="989"/>
    </row>
    <row r="18649" spans="1:13" x14ac:dyDescent="0.2">
      <c r="A18649" s="859">
        <f t="shared" si="433"/>
        <v>18648</v>
      </c>
      <c r="B18649" s="845" t="s">
        <v>2567</v>
      </c>
      <c r="D18649" s="863"/>
      <c r="I18649" s="845" t="s">
        <v>2580</v>
      </c>
      <c r="M18649" s="989"/>
    </row>
    <row r="18650" spans="1:13" x14ac:dyDescent="0.2">
      <c r="A18650" s="859">
        <f t="shared" si="433"/>
        <v>18649</v>
      </c>
      <c r="B18650" s="845" t="s">
        <v>2567</v>
      </c>
      <c r="D18650" s="862"/>
      <c r="H18650" s="845" t="s">
        <v>1010</v>
      </c>
      <c r="M18650" s="989"/>
    </row>
    <row r="18651" spans="1:13" x14ac:dyDescent="0.2">
      <c r="A18651" s="859">
        <f t="shared" si="433"/>
        <v>18650</v>
      </c>
      <c r="B18651" s="845" t="s">
        <v>2567</v>
      </c>
      <c r="D18651" s="862"/>
      <c r="H18651" s="845" t="s">
        <v>1007</v>
      </c>
      <c r="M18651" s="989"/>
    </row>
    <row r="18652" spans="1:13" x14ac:dyDescent="0.2">
      <c r="A18652" s="859">
        <f t="shared" si="433"/>
        <v>18651</v>
      </c>
      <c r="B18652" s="845" t="s">
        <v>2567</v>
      </c>
      <c r="D18652" s="862"/>
      <c r="I18652" s="845" t="s">
        <v>2324</v>
      </c>
      <c r="M18652" s="989"/>
    </row>
    <row r="18653" spans="1:13" x14ac:dyDescent="0.2">
      <c r="A18653" s="859">
        <f t="shared" si="433"/>
        <v>18652</v>
      </c>
      <c r="B18653" s="845" t="s">
        <v>2567</v>
      </c>
      <c r="D18653" s="861"/>
      <c r="I18653" s="845" t="str">
        <f>CONCATENATE("&lt;valeur&gt;",Cellule_1272_5,"&lt;/valeur&gt;")</f>
        <v>&lt;valeur&gt;&lt;/valeur&gt;</v>
      </c>
      <c r="M18653" s="989"/>
    </row>
    <row r="18654" spans="1:13" x14ac:dyDescent="0.2">
      <c r="A18654" s="859">
        <f t="shared" si="433"/>
        <v>18653</v>
      </c>
      <c r="B18654" s="845" t="s">
        <v>2567</v>
      </c>
      <c r="D18654" s="861"/>
      <c r="I18654" s="845" t="s">
        <v>2580</v>
      </c>
      <c r="M18654" s="989"/>
    </row>
    <row r="18655" spans="1:13" x14ac:dyDescent="0.2">
      <c r="A18655" s="859">
        <f t="shared" si="433"/>
        <v>18654</v>
      </c>
      <c r="B18655" s="845" t="s">
        <v>2567</v>
      </c>
      <c r="D18655" s="862"/>
      <c r="H18655" s="845" t="s">
        <v>1010</v>
      </c>
      <c r="M18655" s="989"/>
    </row>
    <row r="18656" spans="1:13" x14ac:dyDescent="0.2">
      <c r="A18656" s="859">
        <f t="shared" si="433"/>
        <v>18655</v>
      </c>
      <c r="B18656" s="845" t="s">
        <v>2567</v>
      </c>
      <c r="D18656" s="863"/>
      <c r="H18656" s="845" t="s">
        <v>1007</v>
      </c>
      <c r="M18656" s="989"/>
    </row>
    <row r="18657" spans="1:13" x14ac:dyDescent="0.2">
      <c r="A18657" s="859">
        <f t="shared" si="433"/>
        <v>18656</v>
      </c>
      <c r="B18657" s="845" t="s">
        <v>2567</v>
      </c>
      <c r="D18657" s="862"/>
      <c r="I18657" s="845" t="s">
        <v>2325</v>
      </c>
      <c r="M18657" s="989"/>
    </row>
    <row r="18658" spans="1:13" x14ac:dyDescent="0.2">
      <c r="A18658" s="859">
        <f t="shared" si="433"/>
        <v>18657</v>
      </c>
      <c r="B18658" s="845" t="s">
        <v>2567</v>
      </c>
      <c r="D18658" s="862"/>
      <c r="I18658" s="845" t="str">
        <f>CONCATENATE("&lt;valeur&gt;",Cellule_1273_5,"&lt;/valeur&gt;")</f>
        <v>&lt;valeur&gt;&lt;/valeur&gt;</v>
      </c>
      <c r="M18658" s="989"/>
    </row>
    <row r="18659" spans="1:13" x14ac:dyDescent="0.2">
      <c r="A18659" s="859">
        <f t="shared" si="433"/>
        <v>18658</v>
      </c>
      <c r="B18659" s="845" t="s">
        <v>2567</v>
      </c>
      <c r="D18659" s="862"/>
      <c r="I18659" s="845" t="s">
        <v>2580</v>
      </c>
      <c r="M18659" s="989"/>
    </row>
    <row r="18660" spans="1:13" x14ac:dyDescent="0.2">
      <c r="A18660" s="859">
        <f t="shared" si="433"/>
        <v>18659</v>
      </c>
      <c r="B18660" s="845" t="s">
        <v>2567</v>
      </c>
      <c r="D18660" s="861"/>
      <c r="H18660" s="845" t="s">
        <v>1010</v>
      </c>
      <c r="M18660" s="989"/>
    </row>
    <row r="18661" spans="1:13" x14ac:dyDescent="0.2">
      <c r="A18661" s="859">
        <f t="shared" si="433"/>
        <v>18660</v>
      </c>
      <c r="B18661" s="845" t="s">
        <v>2567</v>
      </c>
      <c r="D18661" s="861"/>
      <c r="H18661" s="845" t="s">
        <v>1007</v>
      </c>
      <c r="M18661" s="989"/>
    </row>
    <row r="18662" spans="1:13" x14ac:dyDescent="0.2">
      <c r="A18662" s="859">
        <f t="shared" si="433"/>
        <v>18661</v>
      </c>
      <c r="B18662" s="845" t="s">
        <v>2567</v>
      </c>
      <c r="D18662" s="862"/>
      <c r="I18662" s="845" t="s">
        <v>2326</v>
      </c>
      <c r="M18662" s="989"/>
    </row>
    <row r="18663" spans="1:13" x14ac:dyDescent="0.2">
      <c r="A18663" s="859">
        <f t="shared" si="433"/>
        <v>18662</v>
      </c>
      <c r="B18663" s="845" t="s">
        <v>2567</v>
      </c>
      <c r="D18663" s="863"/>
      <c r="I18663" s="845" t="str">
        <f>CONCATENATE("&lt;valeur&gt;",Cellule_1274_5,"&lt;/valeur&gt;")</f>
        <v>&lt;valeur&gt;&lt;/valeur&gt;</v>
      </c>
      <c r="M18663" s="989"/>
    </row>
    <row r="18664" spans="1:13" x14ac:dyDescent="0.2">
      <c r="A18664" s="859">
        <f t="shared" si="433"/>
        <v>18663</v>
      </c>
      <c r="B18664" s="845" t="s">
        <v>2567</v>
      </c>
      <c r="D18664" s="862"/>
      <c r="I18664" s="845" t="s">
        <v>2580</v>
      </c>
      <c r="M18664" s="989"/>
    </row>
    <row r="18665" spans="1:13" x14ac:dyDescent="0.2">
      <c r="A18665" s="859">
        <f t="shared" si="433"/>
        <v>18664</v>
      </c>
      <c r="B18665" s="991" t="s">
        <v>2567</v>
      </c>
      <c r="C18665" s="991"/>
      <c r="D18665" s="1002"/>
      <c r="E18665" s="991"/>
      <c r="F18665" s="991"/>
      <c r="G18665" s="991"/>
      <c r="H18665" s="991" t="s">
        <v>1010</v>
      </c>
      <c r="I18665" s="991"/>
      <c r="J18665" s="991"/>
      <c r="K18665" s="991"/>
      <c r="L18665" s="991"/>
      <c r="M18665" s="1000"/>
    </row>
    <row r="18666" spans="1:13" x14ac:dyDescent="0.2">
      <c r="A18666" s="859">
        <f t="shared" si="433"/>
        <v>18665</v>
      </c>
      <c r="B18666" s="990" t="s">
        <v>2567</v>
      </c>
      <c r="C18666" s="990"/>
      <c r="D18666" s="998"/>
      <c r="E18666" s="990"/>
      <c r="F18666" s="990"/>
      <c r="G18666" s="990"/>
      <c r="H18666" s="990" t="s">
        <v>1007</v>
      </c>
      <c r="I18666" s="990"/>
      <c r="J18666" s="990"/>
      <c r="K18666" s="990"/>
      <c r="L18666" s="990"/>
      <c r="M18666" s="986"/>
    </row>
    <row r="18667" spans="1:13" x14ac:dyDescent="0.2">
      <c r="A18667" s="859">
        <f t="shared" si="433"/>
        <v>18666</v>
      </c>
      <c r="B18667" s="845" t="s">
        <v>2567</v>
      </c>
      <c r="D18667" s="862"/>
      <c r="I18667" s="845" t="s">
        <v>2319</v>
      </c>
      <c r="M18667" s="989"/>
    </row>
    <row r="18668" spans="1:13" x14ac:dyDescent="0.2">
      <c r="A18668" s="859">
        <f t="shared" si="433"/>
        <v>18667</v>
      </c>
      <c r="B18668" s="845" t="s">
        <v>2567</v>
      </c>
      <c r="D18668" s="863"/>
      <c r="I18668" s="845" t="str">
        <f>CONCATENATE("&lt;valeur&gt;",Cellule_1267_6,"&lt;/valeur&gt;")</f>
        <v>&lt;valeur&gt;&lt;/valeur&gt;</v>
      </c>
      <c r="M18668" s="989"/>
    </row>
    <row r="18669" spans="1:13" x14ac:dyDescent="0.2">
      <c r="A18669" s="859">
        <f t="shared" si="433"/>
        <v>18668</v>
      </c>
      <c r="B18669" s="845" t="s">
        <v>2567</v>
      </c>
      <c r="D18669" s="862"/>
      <c r="I18669" s="845" t="s">
        <v>2581</v>
      </c>
      <c r="M18669" s="989"/>
    </row>
    <row r="18670" spans="1:13" x14ac:dyDescent="0.2">
      <c r="A18670" s="859">
        <f t="shared" si="433"/>
        <v>18669</v>
      </c>
      <c r="B18670" s="845" t="s">
        <v>2567</v>
      </c>
      <c r="D18670" s="862"/>
      <c r="H18670" s="845" t="s">
        <v>1010</v>
      </c>
      <c r="M18670" s="989"/>
    </row>
    <row r="18671" spans="1:13" x14ac:dyDescent="0.2">
      <c r="A18671" s="859">
        <f t="shared" si="433"/>
        <v>18670</v>
      </c>
      <c r="B18671" s="845" t="s">
        <v>2567</v>
      </c>
      <c r="D18671" s="862"/>
      <c r="H18671" s="845" t="s">
        <v>1007</v>
      </c>
      <c r="M18671" s="989"/>
    </row>
    <row r="18672" spans="1:13" x14ac:dyDescent="0.2">
      <c r="A18672" s="859">
        <f t="shared" si="433"/>
        <v>18671</v>
      </c>
      <c r="B18672" s="845" t="s">
        <v>2567</v>
      </c>
      <c r="D18672" s="861"/>
      <c r="I18672" s="845" t="s">
        <v>2320</v>
      </c>
      <c r="M18672" s="989"/>
    </row>
    <row r="18673" spans="1:13" x14ac:dyDescent="0.2">
      <c r="A18673" s="859">
        <f t="shared" si="433"/>
        <v>18672</v>
      </c>
      <c r="B18673" s="845" t="s">
        <v>2567</v>
      </c>
      <c r="D18673" s="861"/>
      <c r="I18673" s="845" t="str">
        <f>CONCATENATE("&lt;valeur&gt;",Cellule_1268_6,"&lt;/valeur&gt;")</f>
        <v>&lt;valeur&gt;&lt;/valeur&gt;</v>
      </c>
      <c r="M18673" s="989"/>
    </row>
    <row r="18674" spans="1:13" x14ac:dyDescent="0.2">
      <c r="A18674" s="859">
        <f t="shared" si="433"/>
        <v>18673</v>
      </c>
      <c r="B18674" s="845" t="s">
        <v>2567</v>
      </c>
      <c r="D18674" s="862"/>
      <c r="I18674" s="845" t="s">
        <v>2581</v>
      </c>
      <c r="M18674" s="989"/>
    </row>
    <row r="18675" spans="1:13" x14ac:dyDescent="0.2">
      <c r="A18675" s="859">
        <f t="shared" si="433"/>
        <v>18674</v>
      </c>
      <c r="B18675" s="845" t="s">
        <v>2567</v>
      </c>
      <c r="D18675" s="863"/>
      <c r="H18675" s="845" t="s">
        <v>1010</v>
      </c>
      <c r="M18675" s="989"/>
    </row>
    <row r="18676" spans="1:13" x14ac:dyDescent="0.2">
      <c r="A18676" s="859">
        <f t="shared" si="433"/>
        <v>18675</v>
      </c>
      <c r="B18676" s="845" t="s">
        <v>2567</v>
      </c>
      <c r="D18676" s="862"/>
      <c r="H18676" s="845" t="s">
        <v>1007</v>
      </c>
      <c r="M18676" s="989"/>
    </row>
    <row r="18677" spans="1:13" x14ac:dyDescent="0.2">
      <c r="A18677" s="859">
        <f t="shared" si="433"/>
        <v>18676</v>
      </c>
      <c r="B18677" s="845" t="s">
        <v>2567</v>
      </c>
      <c r="D18677" s="862"/>
      <c r="I18677" s="845" t="s">
        <v>2321</v>
      </c>
      <c r="M18677" s="989"/>
    </row>
    <row r="18678" spans="1:13" x14ac:dyDescent="0.2">
      <c r="A18678" s="859">
        <f t="shared" si="433"/>
        <v>18677</v>
      </c>
      <c r="B18678" s="845" t="s">
        <v>2567</v>
      </c>
      <c r="D18678" s="862"/>
      <c r="I18678" s="845" t="str">
        <f>CONCATENATE("&lt;valeur&gt;",Cellule_1269_6,"&lt;/valeur&gt;")</f>
        <v>&lt;valeur&gt;&lt;/valeur&gt;</v>
      </c>
      <c r="M18678" s="989"/>
    </row>
    <row r="18679" spans="1:13" x14ac:dyDescent="0.2">
      <c r="A18679" s="859">
        <f t="shared" si="433"/>
        <v>18678</v>
      </c>
      <c r="B18679" s="845" t="s">
        <v>2567</v>
      </c>
      <c r="D18679" s="861"/>
      <c r="I18679" s="845" t="s">
        <v>2581</v>
      </c>
      <c r="M18679" s="989"/>
    </row>
    <row r="18680" spans="1:13" x14ac:dyDescent="0.2">
      <c r="A18680" s="859">
        <f t="shared" si="433"/>
        <v>18679</v>
      </c>
      <c r="B18680" s="845" t="s">
        <v>2567</v>
      </c>
      <c r="D18680" s="861"/>
      <c r="H18680" s="845" t="s">
        <v>1010</v>
      </c>
      <c r="M18680" s="989"/>
    </row>
    <row r="18681" spans="1:13" x14ac:dyDescent="0.2">
      <c r="A18681" s="859">
        <f t="shared" si="433"/>
        <v>18680</v>
      </c>
      <c r="B18681" s="845" t="s">
        <v>2567</v>
      </c>
      <c r="D18681" s="862"/>
      <c r="H18681" s="845" t="s">
        <v>1007</v>
      </c>
      <c r="M18681" s="989"/>
    </row>
    <row r="18682" spans="1:13" x14ac:dyDescent="0.2">
      <c r="A18682" s="859">
        <f t="shared" si="433"/>
        <v>18681</v>
      </c>
      <c r="B18682" s="845" t="s">
        <v>2567</v>
      </c>
      <c r="D18682" s="863"/>
      <c r="I18682" s="845" t="s">
        <v>2322</v>
      </c>
      <c r="M18682" s="989"/>
    </row>
    <row r="18683" spans="1:13" x14ac:dyDescent="0.2">
      <c r="A18683" s="859">
        <f t="shared" si="433"/>
        <v>18682</v>
      </c>
      <c r="B18683" s="845" t="s">
        <v>2567</v>
      </c>
      <c r="D18683" s="862"/>
      <c r="I18683" s="845" t="str">
        <f>CONCATENATE("&lt;valeur&gt;",Cellule_1270_6,"&lt;/valeur&gt;")</f>
        <v>&lt;valeur&gt;&lt;/valeur&gt;</v>
      </c>
      <c r="M18683" s="989"/>
    </row>
    <row r="18684" spans="1:13" x14ac:dyDescent="0.2">
      <c r="A18684" s="859">
        <f t="shared" si="433"/>
        <v>18683</v>
      </c>
      <c r="B18684" s="845" t="s">
        <v>2567</v>
      </c>
      <c r="D18684" s="862"/>
      <c r="I18684" s="845" t="s">
        <v>2581</v>
      </c>
      <c r="M18684" s="989"/>
    </row>
    <row r="18685" spans="1:13" x14ac:dyDescent="0.2">
      <c r="A18685" s="859">
        <f t="shared" si="433"/>
        <v>18684</v>
      </c>
      <c r="B18685" s="845" t="s">
        <v>2567</v>
      </c>
      <c r="D18685" s="862"/>
      <c r="H18685" s="845" t="s">
        <v>1010</v>
      </c>
      <c r="M18685" s="989"/>
    </row>
    <row r="18686" spans="1:13" x14ac:dyDescent="0.2">
      <c r="A18686" s="859">
        <f t="shared" si="433"/>
        <v>18685</v>
      </c>
      <c r="B18686" s="845" t="s">
        <v>2567</v>
      </c>
      <c r="D18686" s="861"/>
      <c r="H18686" s="845" t="s">
        <v>1007</v>
      </c>
      <c r="M18686" s="989"/>
    </row>
    <row r="18687" spans="1:13" x14ac:dyDescent="0.2">
      <c r="A18687" s="859">
        <f t="shared" si="433"/>
        <v>18686</v>
      </c>
      <c r="B18687" s="845" t="s">
        <v>2567</v>
      </c>
      <c r="D18687" s="861"/>
      <c r="I18687" s="845" t="s">
        <v>2323</v>
      </c>
      <c r="M18687" s="989"/>
    </row>
    <row r="18688" spans="1:13" x14ac:dyDescent="0.2">
      <c r="A18688" s="859">
        <f t="shared" si="433"/>
        <v>18687</v>
      </c>
      <c r="B18688" s="845" t="s">
        <v>2567</v>
      </c>
      <c r="D18688" s="862"/>
      <c r="I18688" s="845" t="str">
        <f>CONCATENATE("&lt;valeur&gt;",Cellule_1271_6,"&lt;/valeur&gt;")</f>
        <v>&lt;valeur&gt;&lt;/valeur&gt;</v>
      </c>
      <c r="M18688" s="989"/>
    </row>
    <row r="18689" spans="1:13" x14ac:dyDescent="0.2">
      <c r="A18689" s="859">
        <f t="shared" si="433"/>
        <v>18688</v>
      </c>
      <c r="B18689" s="845" t="s">
        <v>2567</v>
      </c>
      <c r="D18689" s="863"/>
      <c r="I18689" s="845" t="s">
        <v>2581</v>
      </c>
      <c r="M18689" s="989"/>
    </row>
    <row r="18690" spans="1:13" x14ac:dyDescent="0.2">
      <c r="A18690" s="859">
        <f t="shared" si="433"/>
        <v>18689</v>
      </c>
      <c r="B18690" s="845" t="s">
        <v>2567</v>
      </c>
      <c r="D18690" s="862"/>
      <c r="H18690" s="845" t="s">
        <v>1010</v>
      </c>
      <c r="M18690" s="989"/>
    </row>
    <row r="18691" spans="1:13" x14ac:dyDescent="0.2">
      <c r="A18691" s="859">
        <f t="shared" si="433"/>
        <v>18690</v>
      </c>
      <c r="B18691" s="845" t="s">
        <v>2567</v>
      </c>
      <c r="D18691" s="862"/>
      <c r="H18691" s="845" t="s">
        <v>1007</v>
      </c>
      <c r="M18691" s="989"/>
    </row>
    <row r="18692" spans="1:13" x14ac:dyDescent="0.2">
      <c r="A18692" s="859">
        <f t="shared" ref="A18692:A18755" si="434">+A18691+1</f>
        <v>18691</v>
      </c>
      <c r="B18692" s="845" t="s">
        <v>2567</v>
      </c>
      <c r="D18692" s="862"/>
      <c r="I18692" s="845" t="s">
        <v>2324</v>
      </c>
      <c r="M18692" s="989"/>
    </row>
    <row r="18693" spans="1:13" x14ac:dyDescent="0.2">
      <c r="A18693" s="859">
        <f t="shared" si="434"/>
        <v>18692</v>
      </c>
      <c r="B18693" s="845" t="s">
        <v>2567</v>
      </c>
      <c r="D18693" s="861"/>
      <c r="I18693" s="845" t="str">
        <f>CONCATENATE("&lt;valeur&gt;",Cellule_1272_6,"&lt;/valeur&gt;")</f>
        <v>&lt;valeur&gt;&lt;/valeur&gt;</v>
      </c>
      <c r="M18693" s="989"/>
    </row>
    <row r="18694" spans="1:13" x14ac:dyDescent="0.2">
      <c r="A18694" s="859">
        <f t="shared" si="434"/>
        <v>18693</v>
      </c>
      <c r="B18694" s="845" t="s">
        <v>2567</v>
      </c>
      <c r="D18694" s="861"/>
      <c r="I18694" s="845" t="s">
        <v>2581</v>
      </c>
      <c r="M18694" s="989"/>
    </row>
    <row r="18695" spans="1:13" x14ac:dyDescent="0.2">
      <c r="A18695" s="859">
        <f t="shared" si="434"/>
        <v>18694</v>
      </c>
      <c r="B18695" s="845" t="s">
        <v>2567</v>
      </c>
      <c r="D18695" s="862"/>
      <c r="H18695" s="845" t="s">
        <v>1010</v>
      </c>
      <c r="M18695" s="989"/>
    </row>
    <row r="18696" spans="1:13" x14ac:dyDescent="0.2">
      <c r="A18696" s="859">
        <f t="shared" si="434"/>
        <v>18695</v>
      </c>
      <c r="B18696" s="845" t="s">
        <v>2567</v>
      </c>
      <c r="D18696" s="863"/>
      <c r="H18696" s="845" t="s">
        <v>1007</v>
      </c>
      <c r="M18696" s="989"/>
    </row>
    <row r="18697" spans="1:13" x14ac:dyDescent="0.2">
      <c r="A18697" s="859">
        <f t="shared" si="434"/>
        <v>18696</v>
      </c>
      <c r="B18697" s="845" t="s">
        <v>2567</v>
      </c>
      <c r="D18697" s="862"/>
      <c r="I18697" s="845" t="s">
        <v>2325</v>
      </c>
      <c r="M18697" s="989"/>
    </row>
    <row r="18698" spans="1:13" x14ac:dyDescent="0.2">
      <c r="A18698" s="859">
        <f t="shared" si="434"/>
        <v>18697</v>
      </c>
      <c r="B18698" s="845" t="s">
        <v>2567</v>
      </c>
      <c r="D18698" s="862"/>
      <c r="I18698" s="845" t="str">
        <f>CONCATENATE("&lt;valeur&gt;",Cellule_1273_6,"&lt;/valeur&gt;")</f>
        <v>&lt;valeur&gt;&lt;/valeur&gt;</v>
      </c>
      <c r="M18698" s="989"/>
    </row>
    <row r="18699" spans="1:13" x14ac:dyDescent="0.2">
      <c r="A18699" s="859">
        <f t="shared" si="434"/>
        <v>18698</v>
      </c>
      <c r="B18699" s="845" t="s">
        <v>2567</v>
      </c>
      <c r="D18699" s="862"/>
      <c r="I18699" s="845" t="s">
        <v>2581</v>
      </c>
      <c r="M18699" s="989"/>
    </row>
    <row r="18700" spans="1:13" x14ac:dyDescent="0.2">
      <c r="A18700" s="859">
        <f t="shared" si="434"/>
        <v>18699</v>
      </c>
      <c r="B18700" s="845" t="s">
        <v>2567</v>
      </c>
      <c r="D18700" s="861"/>
      <c r="H18700" s="845" t="s">
        <v>1010</v>
      </c>
      <c r="M18700" s="989"/>
    </row>
    <row r="18701" spans="1:13" x14ac:dyDescent="0.2">
      <c r="A18701" s="859">
        <f t="shared" si="434"/>
        <v>18700</v>
      </c>
      <c r="B18701" s="845" t="s">
        <v>2567</v>
      </c>
      <c r="D18701" s="861"/>
      <c r="H18701" s="845" t="s">
        <v>1007</v>
      </c>
      <c r="M18701" s="989"/>
    </row>
    <row r="18702" spans="1:13" x14ac:dyDescent="0.2">
      <c r="A18702" s="859">
        <f t="shared" si="434"/>
        <v>18701</v>
      </c>
      <c r="B18702" s="845" t="s">
        <v>2567</v>
      </c>
      <c r="D18702" s="862"/>
      <c r="I18702" s="845" t="s">
        <v>2326</v>
      </c>
      <c r="M18702" s="989"/>
    </row>
    <row r="18703" spans="1:13" x14ac:dyDescent="0.2">
      <c r="A18703" s="859">
        <f t="shared" si="434"/>
        <v>18702</v>
      </c>
      <c r="B18703" s="845" t="s">
        <v>2567</v>
      </c>
      <c r="D18703" s="863"/>
      <c r="I18703" s="845" t="str">
        <f>CONCATENATE("&lt;valeur&gt;",Cellule_1274_6,"&lt;/valeur&gt;")</f>
        <v>&lt;valeur&gt;&lt;/valeur&gt;</v>
      </c>
      <c r="M18703" s="989"/>
    </row>
    <row r="18704" spans="1:13" x14ac:dyDescent="0.2">
      <c r="A18704" s="859">
        <f t="shared" si="434"/>
        <v>18703</v>
      </c>
      <c r="B18704" s="845" t="s">
        <v>2567</v>
      </c>
      <c r="D18704" s="862"/>
      <c r="I18704" s="845" t="s">
        <v>2581</v>
      </c>
      <c r="M18704" s="989"/>
    </row>
    <row r="18705" spans="1:13" x14ac:dyDescent="0.2">
      <c r="A18705" s="859">
        <f t="shared" si="434"/>
        <v>18704</v>
      </c>
      <c r="B18705" s="991" t="s">
        <v>2567</v>
      </c>
      <c r="C18705" s="991"/>
      <c r="D18705" s="1002"/>
      <c r="E18705" s="991"/>
      <c r="F18705" s="991"/>
      <c r="G18705" s="991"/>
      <c r="H18705" s="991" t="s">
        <v>1010</v>
      </c>
      <c r="I18705" s="991"/>
      <c r="J18705" s="991"/>
      <c r="K18705" s="991"/>
      <c r="L18705" s="991"/>
      <c r="M18705" s="1000"/>
    </row>
    <row r="18706" spans="1:13" x14ac:dyDescent="0.2">
      <c r="A18706" s="859">
        <f t="shared" si="434"/>
        <v>18705</v>
      </c>
      <c r="B18706" s="845" t="s">
        <v>2567</v>
      </c>
      <c r="D18706" s="862"/>
      <c r="H18706" s="845" t="s">
        <v>1007</v>
      </c>
    </row>
    <row r="18707" spans="1:13" x14ac:dyDescent="0.2">
      <c r="A18707" s="859">
        <f t="shared" si="434"/>
        <v>18706</v>
      </c>
      <c r="B18707" s="845" t="s">
        <v>2567</v>
      </c>
      <c r="D18707" s="861"/>
      <c r="I18707" s="845" t="s">
        <v>1008</v>
      </c>
    </row>
    <row r="18708" spans="1:13" x14ac:dyDescent="0.2">
      <c r="A18708" s="859">
        <f t="shared" si="434"/>
        <v>18707</v>
      </c>
      <c r="B18708" s="845" t="s">
        <v>2567</v>
      </c>
      <c r="D18708" s="861"/>
      <c r="J18708" s="845" t="s">
        <v>2327</v>
      </c>
    </row>
    <row r="18709" spans="1:13" x14ac:dyDescent="0.2">
      <c r="A18709" s="859">
        <f t="shared" si="434"/>
        <v>18708</v>
      </c>
      <c r="B18709" s="845" t="s">
        <v>2567</v>
      </c>
      <c r="D18709" s="862"/>
      <c r="I18709" s="845" t="s">
        <v>1009</v>
      </c>
    </row>
    <row r="18710" spans="1:13" x14ac:dyDescent="0.2">
      <c r="A18710" s="859">
        <f t="shared" si="434"/>
        <v>18709</v>
      </c>
      <c r="B18710" s="845" t="s">
        <v>2567</v>
      </c>
      <c r="D18710" s="863"/>
      <c r="I18710" s="845" t="str">
        <f>CONCATENATE("&lt;valeur&gt;",Cellule_1279,"&lt;/valeur&gt;")</f>
        <v>&lt;valeur&gt;132000&lt;/valeur&gt;</v>
      </c>
    </row>
    <row r="18711" spans="1:13" x14ac:dyDescent="0.2">
      <c r="A18711" s="859">
        <f t="shared" si="434"/>
        <v>18710</v>
      </c>
      <c r="B18711" s="845" t="s">
        <v>2567</v>
      </c>
      <c r="D18711" s="862"/>
      <c r="H18711" s="845" t="s">
        <v>1010</v>
      </c>
    </row>
    <row r="18712" spans="1:13" x14ac:dyDescent="0.2">
      <c r="A18712" s="859">
        <f t="shared" si="434"/>
        <v>18711</v>
      </c>
      <c r="B18712" s="845" t="s">
        <v>2567</v>
      </c>
      <c r="D18712" s="862"/>
      <c r="H18712" s="845" t="s">
        <v>1007</v>
      </c>
    </row>
    <row r="18713" spans="1:13" x14ac:dyDescent="0.2">
      <c r="A18713" s="859">
        <f t="shared" si="434"/>
        <v>18712</v>
      </c>
      <c r="B18713" s="845" t="s">
        <v>2567</v>
      </c>
      <c r="D18713" s="862"/>
      <c r="I18713" s="845" t="s">
        <v>1008</v>
      </c>
    </row>
    <row r="18714" spans="1:13" x14ac:dyDescent="0.2">
      <c r="A18714" s="859">
        <f t="shared" si="434"/>
        <v>18713</v>
      </c>
      <c r="B18714" s="845" t="s">
        <v>2567</v>
      </c>
      <c r="D18714" s="861"/>
      <c r="J18714" s="845" t="s">
        <v>2328</v>
      </c>
    </row>
    <row r="18715" spans="1:13" x14ac:dyDescent="0.2">
      <c r="A18715" s="859">
        <f t="shared" si="434"/>
        <v>18714</v>
      </c>
      <c r="B18715" s="845" t="s">
        <v>2567</v>
      </c>
      <c r="D18715" s="861"/>
      <c r="I18715" s="845" t="s">
        <v>1009</v>
      </c>
    </row>
    <row r="18716" spans="1:13" x14ac:dyDescent="0.2">
      <c r="A18716" s="859">
        <f t="shared" si="434"/>
        <v>18715</v>
      </c>
      <c r="B18716" s="845" t="s">
        <v>2567</v>
      </c>
      <c r="D18716" s="862"/>
      <c r="I18716" s="845" t="str">
        <f>CONCATENATE("&lt;valeur&gt;",Cellule_1280,"&lt;/valeur&gt;")</f>
        <v>&lt;valeur&gt;132000&lt;/valeur&gt;</v>
      </c>
    </row>
    <row r="18717" spans="1:13" x14ac:dyDescent="0.2">
      <c r="A18717" s="859">
        <f t="shared" si="434"/>
        <v>18716</v>
      </c>
      <c r="B18717" s="845" t="s">
        <v>2567</v>
      </c>
      <c r="D18717" s="863"/>
      <c r="H18717" s="845" t="s">
        <v>1010</v>
      </c>
    </row>
    <row r="18718" spans="1:13" x14ac:dyDescent="0.2">
      <c r="A18718" s="859">
        <f t="shared" si="434"/>
        <v>18717</v>
      </c>
      <c r="B18718" s="845" t="s">
        <v>2567</v>
      </c>
      <c r="D18718" s="862"/>
      <c r="G18718" s="845" t="s">
        <v>1011</v>
      </c>
    </row>
    <row r="18719" spans="1:13" x14ac:dyDescent="0.2">
      <c r="A18719" s="859">
        <f t="shared" si="434"/>
        <v>18718</v>
      </c>
      <c r="B18719" s="845" t="s">
        <v>2567</v>
      </c>
      <c r="D18719" s="862"/>
      <c r="G18719" s="845" t="s">
        <v>1012</v>
      </c>
    </row>
    <row r="18720" spans="1:13" x14ac:dyDescent="0.2">
      <c r="A18720" s="859">
        <f t="shared" si="434"/>
        <v>18719</v>
      </c>
      <c r="B18720" s="845" t="s">
        <v>2567</v>
      </c>
      <c r="D18720" s="861"/>
      <c r="G18720" s="845" t="s">
        <v>1013</v>
      </c>
    </row>
    <row r="18721" spans="1:10" x14ac:dyDescent="0.2">
      <c r="A18721" s="859">
        <f t="shared" si="434"/>
        <v>18720</v>
      </c>
      <c r="B18721" s="845" t="s">
        <v>2567</v>
      </c>
      <c r="D18721" s="861"/>
      <c r="F18721" s="845" t="s">
        <v>1014</v>
      </c>
    </row>
    <row r="18722" spans="1:10" x14ac:dyDescent="0.2">
      <c r="A18722" s="859">
        <f t="shared" si="434"/>
        <v>18721</v>
      </c>
      <c r="B18722" s="845" t="s">
        <v>2568</v>
      </c>
      <c r="D18722" s="862"/>
      <c r="F18722" s="845" t="s">
        <v>1005</v>
      </c>
    </row>
    <row r="18723" spans="1:10" x14ac:dyDescent="0.2">
      <c r="A18723" s="859">
        <f t="shared" si="434"/>
        <v>18722</v>
      </c>
      <c r="B18723" s="845" t="s">
        <v>2568</v>
      </c>
      <c r="D18723" s="863"/>
      <c r="G18723" s="845" t="s">
        <v>2329</v>
      </c>
    </row>
    <row r="18724" spans="1:10" x14ac:dyDescent="0.2">
      <c r="A18724" s="859">
        <f t="shared" si="434"/>
        <v>18723</v>
      </c>
      <c r="B18724" s="845" t="s">
        <v>2568</v>
      </c>
      <c r="D18724" s="862"/>
      <c r="G18724" s="845" t="s">
        <v>1006</v>
      </c>
    </row>
    <row r="18725" spans="1:10" x14ac:dyDescent="0.2">
      <c r="A18725" s="859">
        <f t="shared" si="434"/>
        <v>18724</v>
      </c>
      <c r="B18725" s="845" t="s">
        <v>2568</v>
      </c>
      <c r="D18725" s="924"/>
      <c r="H18725" s="845" t="s">
        <v>1007</v>
      </c>
    </row>
    <row r="18726" spans="1:10" x14ac:dyDescent="0.2">
      <c r="A18726" s="859">
        <f t="shared" si="434"/>
        <v>18725</v>
      </c>
      <c r="B18726" s="845" t="s">
        <v>2568</v>
      </c>
      <c r="D18726" s="862"/>
      <c r="I18726" s="845" t="s">
        <v>1008</v>
      </c>
    </row>
    <row r="18727" spans="1:10" x14ac:dyDescent="0.2">
      <c r="A18727" s="859">
        <f t="shared" si="434"/>
        <v>18726</v>
      </c>
      <c r="B18727" s="845" t="s">
        <v>2568</v>
      </c>
      <c r="D18727" s="861"/>
      <c r="J18727" s="845" t="s">
        <v>2330</v>
      </c>
    </row>
    <row r="18728" spans="1:10" x14ac:dyDescent="0.2">
      <c r="A18728" s="859">
        <f t="shared" si="434"/>
        <v>18727</v>
      </c>
      <c r="B18728" s="845" t="s">
        <v>2568</v>
      </c>
      <c r="D18728" s="861"/>
      <c r="I18728" s="845" t="s">
        <v>1009</v>
      </c>
    </row>
    <row r="18729" spans="1:10" x14ac:dyDescent="0.2">
      <c r="A18729" s="859">
        <f t="shared" si="434"/>
        <v>18728</v>
      </c>
      <c r="B18729" s="845" t="s">
        <v>2568</v>
      </c>
      <c r="D18729" s="862"/>
      <c r="I18729" s="845" t="str">
        <f>CONCATENATE("&lt;valeur&gt;",Cellule_1401,"&lt;/valeur&gt;")</f>
        <v>&lt;valeur&gt;&lt;/valeur&gt;</v>
      </c>
    </row>
    <row r="18730" spans="1:10" x14ac:dyDescent="0.2">
      <c r="A18730" s="859">
        <f t="shared" si="434"/>
        <v>18729</v>
      </c>
      <c r="B18730" s="845" t="s">
        <v>2568</v>
      </c>
      <c r="D18730" s="863"/>
      <c r="H18730" s="845" t="s">
        <v>1010</v>
      </c>
    </row>
    <row r="18731" spans="1:10" x14ac:dyDescent="0.2">
      <c r="A18731" s="859">
        <f t="shared" si="434"/>
        <v>18730</v>
      </c>
      <c r="B18731" s="845" t="s">
        <v>2568</v>
      </c>
      <c r="D18731" s="862"/>
      <c r="H18731" s="845" t="s">
        <v>1007</v>
      </c>
    </row>
    <row r="18732" spans="1:10" x14ac:dyDescent="0.2">
      <c r="A18732" s="859">
        <f t="shared" si="434"/>
        <v>18731</v>
      </c>
      <c r="B18732" s="845" t="s">
        <v>2568</v>
      </c>
      <c r="D18732" s="862"/>
      <c r="I18732" s="845" t="s">
        <v>1008</v>
      </c>
    </row>
    <row r="18733" spans="1:10" x14ac:dyDescent="0.2">
      <c r="A18733" s="859">
        <f t="shared" si="434"/>
        <v>18732</v>
      </c>
      <c r="B18733" s="845" t="s">
        <v>2568</v>
      </c>
      <c r="D18733" s="862"/>
      <c r="J18733" s="845" t="s">
        <v>2331</v>
      </c>
    </row>
    <row r="18734" spans="1:10" x14ac:dyDescent="0.2">
      <c r="A18734" s="859">
        <f t="shared" si="434"/>
        <v>18733</v>
      </c>
      <c r="B18734" s="845" t="s">
        <v>2568</v>
      </c>
      <c r="D18734" s="861"/>
      <c r="I18734" s="845" t="s">
        <v>1009</v>
      </c>
    </row>
    <row r="18735" spans="1:10" x14ac:dyDescent="0.2">
      <c r="A18735" s="859">
        <f t="shared" si="434"/>
        <v>18734</v>
      </c>
      <c r="B18735" s="845" t="s">
        <v>2568</v>
      </c>
      <c r="D18735" s="861"/>
      <c r="I18735" s="845" t="str">
        <f>CONCATENATE("&lt;valeur&gt;",Cellule_1409,"&lt;/valeur&gt;")</f>
        <v>&lt;valeur&gt;&lt;/valeur&gt;</v>
      </c>
    </row>
    <row r="18736" spans="1:10" x14ac:dyDescent="0.2">
      <c r="A18736" s="859">
        <f t="shared" si="434"/>
        <v>18735</v>
      </c>
      <c r="B18736" s="845" t="s">
        <v>2568</v>
      </c>
      <c r="D18736" s="862"/>
      <c r="H18736" s="845" t="s">
        <v>1010</v>
      </c>
    </row>
    <row r="18737" spans="1:10" x14ac:dyDescent="0.2">
      <c r="A18737" s="859">
        <f t="shared" si="434"/>
        <v>18736</v>
      </c>
      <c r="B18737" s="845" t="s">
        <v>2568</v>
      </c>
      <c r="D18737" s="863"/>
      <c r="H18737" s="845" t="s">
        <v>1007</v>
      </c>
    </row>
    <row r="18738" spans="1:10" x14ac:dyDescent="0.2">
      <c r="A18738" s="859">
        <f t="shared" si="434"/>
        <v>18737</v>
      </c>
      <c r="B18738" s="845" t="s">
        <v>2568</v>
      </c>
      <c r="D18738" s="862"/>
      <c r="I18738" s="845" t="s">
        <v>1008</v>
      </c>
    </row>
    <row r="18739" spans="1:10" x14ac:dyDescent="0.2">
      <c r="A18739" s="859">
        <f t="shared" si="434"/>
        <v>18738</v>
      </c>
      <c r="B18739" s="845" t="s">
        <v>2568</v>
      </c>
      <c r="D18739" s="862"/>
      <c r="J18739" s="845" t="s">
        <v>2332</v>
      </c>
    </row>
    <row r="18740" spans="1:10" x14ac:dyDescent="0.2">
      <c r="A18740" s="859">
        <f t="shared" si="434"/>
        <v>18739</v>
      </c>
      <c r="B18740" s="845" t="s">
        <v>2568</v>
      </c>
      <c r="D18740" s="862"/>
      <c r="I18740" s="845" t="s">
        <v>1009</v>
      </c>
    </row>
    <row r="18741" spans="1:10" x14ac:dyDescent="0.2">
      <c r="A18741" s="859">
        <f t="shared" si="434"/>
        <v>18740</v>
      </c>
      <c r="B18741" s="845" t="s">
        <v>2568</v>
      </c>
      <c r="D18741" s="861"/>
      <c r="I18741" s="845" t="str">
        <f>CONCATENATE("&lt;valeur&gt;",Cellule_1417,"&lt;/valeur&gt;")</f>
        <v>&lt;valeur&gt;&lt;/valeur&gt;</v>
      </c>
    </row>
    <row r="18742" spans="1:10" x14ac:dyDescent="0.2">
      <c r="A18742" s="859">
        <f t="shared" si="434"/>
        <v>18741</v>
      </c>
      <c r="B18742" s="845" t="s">
        <v>2568</v>
      </c>
      <c r="D18742" s="861"/>
      <c r="H18742" s="845" t="s">
        <v>1010</v>
      </c>
    </row>
    <row r="18743" spans="1:10" x14ac:dyDescent="0.2">
      <c r="A18743" s="859">
        <f t="shared" si="434"/>
        <v>18742</v>
      </c>
      <c r="B18743" s="845" t="s">
        <v>2568</v>
      </c>
      <c r="D18743" s="862"/>
      <c r="H18743" s="845" t="s">
        <v>1007</v>
      </c>
    </row>
    <row r="18744" spans="1:10" x14ac:dyDescent="0.2">
      <c r="A18744" s="859">
        <f t="shared" si="434"/>
        <v>18743</v>
      </c>
      <c r="B18744" s="845" t="s">
        <v>2568</v>
      </c>
      <c r="D18744" s="863"/>
      <c r="I18744" s="845" t="s">
        <v>1008</v>
      </c>
    </row>
    <row r="18745" spans="1:10" x14ac:dyDescent="0.2">
      <c r="A18745" s="859">
        <f t="shared" si="434"/>
        <v>18744</v>
      </c>
      <c r="B18745" s="845" t="s">
        <v>2568</v>
      </c>
      <c r="D18745" s="862"/>
      <c r="J18745" s="845" t="s">
        <v>2333</v>
      </c>
    </row>
    <row r="18746" spans="1:10" x14ac:dyDescent="0.2">
      <c r="A18746" s="859">
        <f t="shared" si="434"/>
        <v>18745</v>
      </c>
      <c r="B18746" s="845" t="s">
        <v>2568</v>
      </c>
      <c r="D18746" s="862"/>
      <c r="I18746" s="845" t="s">
        <v>1009</v>
      </c>
    </row>
    <row r="18747" spans="1:10" x14ac:dyDescent="0.2">
      <c r="A18747" s="859">
        <f t="shared" si="434"/>
        <v>18746</v>
      </c>
      <c r="B18747" s="845" t="s">
        <v>2568</v>
      </c>
      <c r="D18747" s="862"/>
      <c r="I18747" s="845" t="str">
        <f>CONCATENATE("&lt;valeur&gt;",Cellule_1425,"&lt;/valeur&gt;")</f>
        <v>&lt;valeur&gt;0&lt;/valeur&gt;</v>
      </c>
    </row>
    <row r="18748" spans="1:10" x14ac:dyDescent="0.2">
      <c r="A18748" s="859">
        <f t="shared" si="434"/>
        <v>18747</v>
      </c>
      <c r="B18748" s="845" t="s">
        <v>2568</v>
      </c>
      <c r="D18748" s="861"/>
      <c r="H18748" s="845" t="s">
        <v>1010</v>
      </c>
    </row>
    <row r="18749" spans="1:10" x14ac:dyDescent="0.2">
      <c r="A18749" s="859">
        <f t="shared" si="434"/>
        <v>18748</v>
      </c>
      <c r="B18749" s="845" t="s">
        <v>2568</v>
      </c>
      <c r="D18749" s="861"/>
      <c r="H18749" s="845" t="s">
        <v>1007</v>
      </c>
    </row>
    <row r="18750" spans="1:10" x14ac:dyDescent="0.2">
      <c r="A18750" s="859">
        <f t="shared" si="434"/>
        <v>18749</v>
      </c>
      <c r="B18750" s="845" t="s">
        <v>2568</v>
      </c>
      <c r="D18750" s="862"/>
      <c r="I18750" s="845" t="s">
        <v>1008</v>
      </c>
    </row>
    <row r="18751" spans="1:10" x14ac:dyDescent="0.2">
      <c r="A18751" s="859">
        <f t="shared" si="434"/>
        <v>18750</v>
      </c>
      <c r="B18751" s="845" t="s">
        <v>2568</v>
      </c>
      <c r="D18751" s="863"/>
      <c r="J18751" s="845" t="s">
        <v>2334</v>
      </c>
    </row>
    <row r="18752" spans="1:10" x14ac:dyDescent="0.2">
      <c r="A18752" s="859">
        <f t="shared" si="434"/>
        <v>18751</v>
      </c>
      <c r="B18752" s="845" t="s">
        <v>2568</v>
      </c>
      <c r="D18752" s="862"/>
      <c r="I18752" s="845" t="s">
        <v>1009</v>
      </c>
    </row>
    <row r="18753" spans="1:10" x14ac:dyDescent="0.2">
      <c r="A18753" s="859">
        <f t="shared" si="434"/>
        <v>18752</v>
      </c>
      <c r="B18753" s="845" t="s">
        <v>2568</v>
      </c>
      <c r="D18753" s="862"/>
      <c r="I18753" s="845" t="str">
        <f>CONCATENATE("&lt;valeur&gt;",Cellule_1433,"&lt;/valeur&gt;")</f>
        <v>&lt;valeur&gt;0&lt;/valeur&gt;</v>
      </c>
    </row>
    <row r="18754" spans="1:10" x14ac:dyDescent="0.2">
      <c r="A18754" s="859">
        <f t="shared" si="434"/>
        <v>18753</v>
      </c>
      <c r="B18754" s="845" t="s">
        <v>2568</v>
      </c>
      <c r="D18754" s="862"/>
      <c r="H18754" s="845" t="s">
        <v>1010</v>
      </c>
    </row>
    <row r="18755" spans="1:10" x14ac:dyDescent="0.2">
      <c r="A18755" s="859">
        <f t="shared" si="434"/>
        <v>18754</v>
      </c>
      <c r="B18755" s="845" t="s">
        <v>2568</v>
      </c>
      <c r="D18755" s="861"/>
      <c r="H18755" s="845" t="s">
        <v>1007</v>
      </c>
    </row>
    <row r="18756" spans="1:10" x14ac:dyDescent="0.2">
      <c r="A18756" s="859">
        <f t="shared" ref="A18756:A18819" si="435">+A18755+1</f>
        <v>18755</v>
      </c>
      <c r="B18756" s="845" t="s">
        <v>2568</v>
      </c>
      <c r="D18756" s="861"/>
      <c r="I18756" s="845" t="s">
        <v>1008</v>
      </c>
    </row>
    <row r="18757" spans="1:10" x14ac:dyDescent="0.2">
      <c r="A18757" s="859">
        <f t="shared" si="435"/>
        <v>18756</v>
      </c>
      <c r="B18757" s="845" t="s">
        <v>2568</v>
      </c>
      <c r="D18757" s="862"/>
      <c r="J18757" s="845" t="s">
        <v>2335</v>
      </c>
    </row>
    <row r="18758" spans="1:10" x14ac:dyDescent="0.2">
      <c r="A18758" s="859">
        <f t="shared" si="435"/>
        <v>18757</v>
      </c>
      <c r="B18758" s="845" t="s">
        <v>2568</v>
      </c>
      <c r="D18758" s="863"/>
      <c r="I18758" s="845" t="s">
        <v>1009</v>
      </c>
    </row>
    <row r="18759" spans="1:10" x14ac:dyDescent="0.2">
      <c r="A18759" s="859">
        <f t="shared" si="435"/>
        <v>18758</v>
      </c>
      <c r="B18759" s="845" t="s">
        <v>2568</v>
      </c>
      <c r="D18759" s="862"/>
      <c r="I18759" s="845" t="str">
        <f>CONCATENATE("&lt;valeur&gt;",Cellule_1449,"&lt;/valeur&gt;")</f>
        <v>&lt;valeur&gt;&lt;/valeur&gt;</v>
      </c>
    </row>
    <row r="18760" spans="1:10" x14ac:dyDescent="0.2">
      <c r="A18760" s="859">
        <f t="shared" si="435"/>
        <v>18759</v>
      </c>
      <c r="B18760" s="845" t="s">
        <v>2568</v>
      </c>
      <c r="D18760" s="862"/>
      <c r="H18760" s="845" t="s">
        <v>1010</v>
      </c>
    </row>
    <row r="18761" spans="1:10" x14ac:dyDescent="0.2">
      <c r="A18761" s="859">
        <f t="shared" si="435"/>
        <v>18760</v>
      </c>
      <c r="B18761" s="845" t="s">
        <v>2568</v>
      </c>
      <c r="D18761" s="862"/>
      <c r="H18761" s="845" t="s">
        <v>1007</v>
      </c>
    </row>
    <row r="18762" spans="1:10" x14ac:dyDescent="0.2">
      <c r="A18762" s="859">
        <f t="shared" si="435"/>
        <v>18761</v>
      </c>
      <c r="B18762" s="845" t="s">
        <v>2568</v>
      </c>
      <c r="D18762" s="861"/>
      <c r="I18762" s="845" t="s">
        <v>1008</v>
      </c>
    </row>
    <row r="18763" spans="1:10" x14ac:dyDescent="0.2">
      <c r="A18763" s="859">
        <f t="shared" si="435"/>
        <v>18762</v>
      </c>
      <c r="B18763" s="845" t="s">
        <v>2568</v>
      </c>
      <c r="D18763" s="861"/>
      <c r="J18763" s="845" t="s">
        <v>2336</v>
      </c>
    </row>
    <row r="18764" spans="1:10" x14ac:dyDescent="0.2">
      <c r="A18764" s="859">
        <f t="shared" si="435"/>
        <v>18763</v>
      </c>
      <c r="B18764" s="845" t="s">
        <v>2568</v>
      </c>
      <c r="D18764" s="862"/>
      <c r="I18764" s="845" t="s">
        <v>1009</v>
      </c>
    </row>
    <row r="18765" spans="1:10" x14ac:dyDescent="0.2">
      <c r="A18765" s="859">
        <f t="shared" si="435"/>
        <v>18764</v>
      </c>
      <c r="B18765" s="845" t="s">
        <v>2568</v>
      </c>
      <c r="D18765" s="863"/>
      <c r="I18765" s="845" t="str">
        <f>CONCATENATE("&lt;valeur&gt;",Cellule_1457,"&lt;/valeur&gt;")</f>
        <v>&lt;valeur&gt;0&lt;/valeur&gt;</v>
      </c>
    </row>
    <row r="18766" spans="1:10" x14ac:dyDescent="0.2">
      <c r="A18766" s="859">
        <f t="shared" si="435"/>
        <v>18765</v>
      </c>
      <c r="B18766" s="845" t="s">
        <v>2568</v>
      </c>
      <c r="D18766" s="862"/>
      <c r="H18766" s="845" t="s">
        <v>1010</v>
      </c>
    </row>
    <row r="18767" spans="1:10" x14ac:dyDescent="0.2">
      <c r="A18767" s="859">
        <f t="shared" si="435"/>
        <v>18766</v>
      </c>
      <c r="B18767" s="845" t="s">
        <v>2568</v>
      </c>
      <c r="D18767" s="862"/>
      <c r="H18767" s="845" t="s">
        <v>1007</v>
      </c>
    </row>
    <row r="18768" spans="1:10" x14ac:dyDescent="0.2">
      <c r="A18768" s="859">
        <f t="shared" si="435"/>
        <v>18767</v>
      </c>
      <c r="B18768" s="845" t="s">
        <v>2568</v>
      </c>
      <c r="D18768" s="862"/>
      <c r="I18768" s="845" t="s">
        <v>1008</v>
      </c>
    </row>
    <row r="18769" spans="1:10" x14ac:dyDescent="0.2">
      <c r="A18769" s="859">
        <f t="shared" si="435"/>
        <v>18768</v>
      </c>
      <c r="B18769" s="845" t="s">
        <v>2568</v>
      </c>
      <c r="D18769" s="861"/>
      <c r="J18769" s="845" t="s">
        <v>2337</v>
      </c>
    </row>
    <row r="18770" spans="1:10" x14ac:dyDescent="0.2">
      <c r="A18770" s="859">
        <f t="shared" si="435"/>
        <v>18769</v>
      </c>
      <c r="B18770" s="845" t="s">
        <v>2568</v>
      </c>
      <c r="D18770" s="861"/>
      <c r="I18770" s="845" t="s">
        <v>1009</v>
      </c>
    </row>
    <row r="18771" spans="1:10" x14ac:dyDescent="0.2">
      <c r="A18771" s="859">
        <f t="shared" si="435"/>
        <v>18770</v>
      </c>
      <c r="B18771" s="845" t="s">
        <v>2568</v>
      </c>
      <c r="D18771" s="862"/>
      <c r="I18771" s="845" t="str">
        <f>CONCATENATE("&lt;valeur&gt;",Cellule_1465,"&lt;/valeur&gt;")</f>
        <v>&lt;valeur&gt;0&lt;/valeur&gt;</v>
      </c>
    </row>
    <row r="18772" spans="1:10" x14ac:dyDescent="0.2">
      <c r="A18772" s="859">
        <f t="shared" si="435"/>
        <v>18771</v>
      </c>
      <c r="B18772" s="845" t="s">
        <v>2568</v>
      </c>
      <c r="D18772" s="863"/>
      <c r="H18772" s="845" t="s">
        <v>1010</v>
      </c>
    </row>
    <row r="18773" spans="1:10" x14ac:dyDescent="0.2">
      <c r="A18773" s="859">
        <f t="shared" si="435"/>
        <v>18772</v>
      </c>
      <c r="B18773" s="845" t="s">
        <v>2568</v>
      </c>
      <c r="D18773" s="862"/>
      <c r="H18773" s="845" t="s">
        <v>1007</v>
      </c>
    </row>
    <row r="18774" spans="1:10" x14ac:dyDescent="0.2">
      <c r="A18774" s="859">
        <f t="shared" si="435"/>
        <v>18773</v>
      </c>
      <c r="B18774" s="845" t="s">
        <v>2568</v>
      </c>
      <c r="D18774" s="862"/>
      <c r="I18774" s="845" t="s">
        <v>1008</v>
      </c>
    </row>
    <row r="18775" spans="1:10" x14ac:dyDescent="0.2">
      <c r="A18775" s="859">
        <f t="shared" si="435"/>
        <v>18774</v>
      </c>
      <c r="B18775" s="845" t="s">
        <v>2568</v>
      </c>
      <c r="D18775" s="862"/>
      <c r="J18775" s="845" t="s">
        <v>2338</v>
      </c>
    </row>
    <row r="18776" spans="1:10" x14ac:dyDescent="0.2">
      <c r="A18776" s="859">
        <f t="shared" si="435"/>
        <v>18775</v>
      </c>
      <c r="B18776" s="845" t="s">
        <v>2568</v>
      </c>
      <c r="D18776" s="861"/>
      <c r="I18776" s="845" t="s">
        <v>1009</v>
      </c>
    </row>
    <row r="18777" spans="1:10" x14ac:dyDescent="0.2">
      <c r="A18777" s="859">
        <f t="shared" si="435"/>
        <v>18776</v>
      </c>
      <c r="B18777" s="845" t="s">
        <v>2568</v>
      </c>
      <c r="D18777" s="861"/>
      <c r="I18777" s="845" t="str">
        <f>CONCATENATE("&lt;valeur&gt;",Cellule_1473,"&lt;/valeur&gt;")</f>
        <v>&lt;valeur&gt;&lt;/valeur&gt;</v>
      </c>
    </row>
    <row r="18778" spans="1:10" x14ac:dyDescent="0.2">
      <c r="A18778" s="859">
        <f t="shared" si="435"/>
        <v>18777</v>
      </c>
      <c r="B18778" s="845" t="s">
        <v>2568</v>
      </c>
      <c r="D18778" s="862"/>
      <c r="H18778" s="845" t="s">
        <v>1010</v>
      </c>
    </row>
    <row r="18779" spans="1:10" x14ac:dyDescent="0.2">
      <c r="A18779" s="859">
        <f t="shared" si="435"/>
        <v>18778</v>
      </c>
      <c r="B18779" s="845" t="s">
        <v>2568</v>
      </c>
      <c r="D18779" s="863"/>
      <c r="H18779" s="845" t="s">
        <v>1007</v>
      </c>
    </row>
    <row r="18780" spans="1:10" x14ac:dyDescent="0.2">
      <c r="A18780" s="859">
        <f t="shared" si="435"/>
        <v>18779</v>
      </c>
      <c r="B18780" s="845" t="s">
        <v>2568</v>
      </c>
      <c r="D18780" s="862"/>
      <c r="I18780" s="845" t="s">
        <v>1008</v>
      </c>
    </row>
    <row r="18781" spans="1:10" x14ac:dyDescent="0.2">
      <c r="A18781" s="859">
        <f t="shared" si="435"/>
        <v>18780</v>
      </c>
      <c r="B18781" s="845" t="s">
        <v>2568</v>
      </c>
      <c r="D18781" s="862"/>
      <c r="J18781" s="845" t="s">
        <v>2339</v>
      </c>
    </row>
    <row r="18782" spans="1:10" x14ac:dyDescent="0.2">
      <c r="A18782" s="859">
        <f t="shared" si="435"/>
        <v>18781</v>
      </c>
      <c r="B18782" s="845" t="s">
        <v>2568</v>
      </c>
      <c r="D18782" s="862"/>
      <c r="I18782" s="845" t="s">
        <v>1009</v>
      </c>
    </row>
    <row r="18783" spans="1:10" x14ac:dyDescent="0.2">
      <c r="A18783" s="859">
        <f t="shared" si="435"/>
        <v>18782</v>
      </c>
      <c r="B18783" s="845" t="s">
        <v>2568</v>
      </c>
      <c r="D18783" s="861"/>
      <c r="I18783" s="845" t="str">
        <f>CONCATENATE("&lt;valeur&gt;",Cellule_1481,"&lt;/valeur&gt;")</f>
        <v>&lt;valeur&gt;&lt;/valeur&gt;</v>
      </c>
    </row>
    <row r="18784" spans="1:10" x14ac:dyDescent="0.2">
      <c r="A18784" s="859">
        <f t="shared" si="435"/>
        <v>18783</v>
      </c>
      <c r="B18784" s="845" t="s">
        <v>2568</v>
      </c>
      <c r="D18784" s="861"/>
      <c r="H18784" s="845" t="s">
        <v>1010</v>
      </c>
    </row>
    <row r="18785" spans="1:10" x14ac:dyDescent="0.2">
      <c r="A18785" s="859">
        <f t="shared" si="435"/>
        <v>18784</v>
      </c>
      <c r="B18785" s="845" t="s">
        <v>2568</v>
      </c>
      <c r="D18785" s="862"/>
      <c r="H18785" s="845" t="s">
        <v>1007</v>
      </c>
    </row>
    <row r="18786" spans="1:10" x14ac:dyDescent="0.2">
      <c r="A18786" s="859">
        <f t="shared" si="435"/>
        <v>18785</v>
      </c>
      <c r="B18786" s="845" t="s">
        <v>2568</v>
      </c>
      <c r="D18786" s="863"/>
      <c r="I18786" s="845" t="s">
        <v>1008</v>
      </c>
    </row>
    <row r="18787" spans="1:10" x14ac:dyDescent="0.2">
      <c r="A18787" s="859">
        <f t="shared" si="435"/>
        <v>18786</v>
      </c>
      <c r="B18787" s="845" t="s">
        <v>2568</v>
      </c>
      <c r="D18787" s="862"/>
      <c r="J18787" s="845" t="s">
        <v>2340</v>
      </c>
    </row>
    <row r="18788" spans="1:10" x14ac:dyDescent="0.2">
      <c r="A18788" s="859">
        <f t="shared" si="435"/>
        <v>18787</v>
      </c>
      <c r="B18788" s="845" t="s">
        <v>2568</v>
      </c>
      <c r="D18788" s="862"/>
      <c r="I18788" s="845" t="s">
        <v>1009</v>
      </c>
    </row>
    <row r="18789" spans="1:10" x14ac:dyDescent="0.2">
      <c r="A18789" s="859">
        <f t="shared" si="435"/>
        <v>18788</v>
      </c>
      <c r="B18789" s="845" t="s">
        <v>2568</v>
      </c>
      <c r="D18789" s="861"/>
      <c r="I18789" s="845" t="str">
        <f>CONCATENATE("&lt;valeur&gt;",Cellule_1555,"&lt;/valeur&gt;")</f>
        <v>&lt;valeur&gt;0&lt;/valeur&gt;</v>
      </c>
    </row>
    <row r="18790" spans="1:10" x14ac:dyDescent="0.2">
      <c r="A18790" s="859">
        <f t="shared" si="435"/>
        <v>18789</v>
      </c>
      <c r="B18790" s="845" t="s">
        <v>2568</v>
      </c>
      <c r="D18790" s="861"/>
      <c r="H18790" s="845" t="s">
        <v>1010</v>
      </c>
    </row>
    <row r="18791" spans="1:10" x14ac:dyDescent="0.2">
      <c r="A18791" s="859">
        <f t="shared" si="435"/>
        <v>18790</v>
      </c>
      <c r="B18791" s="845" t="s">
        <v>2568</v>
      </c>
      <c r="D18791" s="862"/>
      <c r="H18791" s="845" t="s">
        <v>1007</v>
      </c>
    </row>
    <row r="18792" spans="1:10" x14ac:dyDescent="0.2">
      <c r="A18792" s="859">
        <f t="shared" si="435"/>
        <v>18791</v>
      </c>
      <c r="B18792" s="845" t="s">
        <v>2568</v>
      </c>
      <c r="D18792" s="863"/>
      <c r="I18792" s="845" t="s">
        <v>1008</v>
      </c>
    </row>
    <row r="18793" spans="1:10" x14ac:dyDescent="0.2">
      <c r="A18793" s="859">
        <f t="shared" si="435"/>
        <v>18792</v>
      </c>
      <c r="B18793" s="845" t="s">
        <v>2568</v>
      </c>
      <c r="D18793" s="862"/>
      <c r="J18793" s="845" t="s">
        <v>2341</v>
      </c>
    </row>
    <row r="18794" spans="1:10" x14ac:dyDescent="0.2">
      <c r="A18794" s="859">
        <f t="shared" si="435"/>
        <v>18793</v>
      </c>
      <c r="B18794" s="845" t="s">
        <v>2568</v>
      </c>
      <c r="D18794" s="862"/>
      <c r="I18794" s="845" t="s">
        <v>1009</v>
      </c>
    </row>
    <row r="18795" spans="1:10" x14ac:dyDescent="0.2">
      <c r="A18795" s="859">
        <f t="shared" si="435"/>
        <v>18794</v>
      </c>
      <c r="B18795" s="845" t="s">
        <v>2568</v>
      </c>
      <c r="D18795" s="861"/>
      <c r="I18795" s="845" t="str">
        <f>CONCATENATE("&lt;valeur&gt;",Cellule_1596,"&lt;/valeur&gt;")</f>
        <v>&lt;valeur&gt;&lt;/valeur&gt;</v>
      </c>
    </row>
    <row r="18796" spans="1:10" x14ac:dyDescent="0.2">
      <c r="A18796" s="859">
        <f t="shared" si="435"/>
        <v>18795</v>
      </c>
      <c r="B18796" s="845" t="s">
        <v>2568</v>
      </c>
      <c r="D18796" s="861"/>
      <c r="H18796" s="845" t="s">
        <v>1010</v>
      </c>
    </row>
    <row r="18797" spans="1:10" x14ac:dyDescent="0.2">
      <c r="A18797" s="859">
        <f t="shared" si="435"/>
        <v>18796</v>
      </c>
      <c r="B18797" s="845" t="s">
        <v>2568</v>
      </c>
      <c r="D18797" s="862"/>
      <c r="H18797" s="845" t="s">
        <v>1007</v>
      </c>
    </row>
    <row r="18798" spans="1:10" x14ac:dyDescent="0.2">
      <c r="A18798" s="859">
        <f t="shared" si="435"/>
        <v>18797</v>
      </c>
      <c r="B18798" s="845" t="s">
        <v>2568</v>
      </c>
      <c r="D18798" s="863"/>
      <c r="I18798" s="845" t="s">
        <v>1008</v>
      </c>
    </row>
    <row r="18799" spans="1:10" x14ac:dyDescent="0.2">
      <c r="A18799" s="859">
        <f t="shared" si="435"/>
        <v>18798</v>
      </c>
      <c r="B18799" s="845" t="s">
        <v>2568</v>
      </c>
      <c r="D18799" s="862"/>
      <c r="J18799" s="845" t="s">
        <v>2342</v>
      </c>
    </row>
    <row r="18800" spans="1:10" x14ac:dyDescent="0.2">
      <c r="A18800" s="859">
        <f t="shared" si="435"/>
        <v>18799</v>
      </c>
      <c r="B18800" s="845" t="s">
        <v>2568</v>
      </c>
      <c r="D18800" s="862"/>
      <c r="I18800" s="845" t="s">
        <v>1009</v>
      </c>
    </row>
    <row r="18801" spans="1:10" x14ac:dyDescent="0.2">
      <c r="A18801" s="859">
        <f t="shared" si="435"/>
        <v>18800</v>
      </c>
      <c r="B18801" s="845" t="s">
        <v>2568</v>
      </c>
      <c r="D18801" s="861"/>
      <c r="I18801" s="845" t="str">
        <f>CONCATENATE("&lt;valeur&gt;",Cellule_1604,"&lt;/valeur&gt;")</f>
        <v>&lt;valeur&gt;0&lt;/valeur&gt;</v>
      </c>
    </row>
    <row r="18802" spans="1:10" x14ac:dyDescent="0.2">
      <c r="A18802" s="859">
        <f t="shared" si="435"/>
        <v>18801</v>
      </c>
      <c r="B18802" s="845" t="s">
        <v>2568</v>
      </c>
      <c r="D18802" s="861"/>
      <c r="H18802" s="845" t="s">
        <v>1010</v>
      </c>
    </row>
    <row r="18803" spans="1:10" x14ac:dyDescent="0.2">
      <c r="A18803" s="859">
        <f t="shared" si="435"/>
        <v>18802</v>
      </c>
      <c r="B18803" s="845" t="s">
        <v>2568</v>
      </c>
      <c r="D18803" s="862"/>
      <c r="H18803" s="845" t="s">
        <v>1007</v>
      </c>
    </row>
    <row r="18804" spans="1:10" x14ac:dyDescent="0.2">
      <c r="A18804" s="859">
        <f t="shared" si="435"/>
        <v>18803</v>
      </c>
      <c r="B18804" s="845" t="s">
        <v>2568</v>
      </c>
      <c r="D18804" s="863"/>
      <c r="I18804" s="845" t="s">
        <v>1008</v>
      </c>
    </row>
    <row r="18805" spans="1:10" x14ac:dyDescent="0.2">
      <c r="A18805" s="859">
        <f t="shared" si="435"/>
        <v>18804</v>
      </c>
      <c r="B18805" s="845" t="s">
        <v>2568</v>
      </c>
      <c r="D18805" s="862"/>
      <c r="J18805" s="845" t="s">
        <v>2343</v>
      </c>
    </row>
    <row r="18806" spans="1:10" x14ac:dyDescent="0.2">
      <c r="A18806" s="859">
        <f t="shared" si="435"/>
        <v>18805</v>
      </c>
      <c r="B18806" s="845" t="s">
        <v>2568</v>
      </c>
      <c r="D18806" s="862"/>
      <c r="I18806" s="845" t="s">
        <v>1009</v>
      </c>
    </row>
    <row r="18807" spans="1:10" x14ac:dyDescent="0.2">
      <c r="A18807" s="859">
        <f t="shared" si="435"/>
        <v>18806</v>
      </c>
      <c r="B18807" s="845" t="s">
        <v>2568</v>
      </c>
      <c r="D18807" s="861"/>
      <c r="I18807" s="845" t="str">
        <f>CONCATENATE("&lt;valeur&gt;",Cellule_1635,"&lt;/valeur&gt;")</f>
        <v>&lt;valeur&gt;&lt;/valeur&gt;</v>
      </c>
    </row>
    <row r="18808" spans="1:10" x14ac:dyDescent="0.2">
      <c r="A18808" s="859">
        <f t="shared" si="435"/>
        <v>18807</v>
      </c>
      <c r="B18808" s="845" t="s">
        <v>2568</v>
      </c>
      <c r="D18808" s="861"/>
      <c r="H18808" s="845" t="s">
        <v>1010</v>
      </c>
    </row>
    <row r="18809" spans="1:10" x14ac:dyDescent="0.2">
      <c r="A18809" s="859">
        <f t="shared" si="435"/>
        <v>18808</v>
      </c>
      <c r="B18809" s="845" t="s">
        <v>2568</v>
      </c>
      <c r="D18809" s="862"/>
      <c r="H18809" s="845" t="s">
        <v>1007</v>
      </c>
    </row>
    <row r="18810" spans="1:10" x14ac:dyDescent="0.2">
      <c r="A18810" s="859">
        <f t="shared" si="435"/>
        <v>18809</v>
      </c>
      <c r="B18810" s="845" t="s">
        <v>2568</v>
      </c>
      <c r="D18810" s="863"/>
      <c r="I18810" s="845" t="s">
        <v>1008</v>
      </c>
    </row>
    <row r="18811" spans="1:10" x14ac:dyDescent="0.2">
      <c r="A18811" s="859">
        <f t="shared" si="435"/>
        <v>18810</v>
      </c>
      <c r="B18811" s="845" t="s">
        <v>2568</v>
      </c>
      <c r="D18811" s="862"/>
      <c r="J18811" s="845" t="s">
        <v>2344</v>
      </c>
    </row>
    <row r="18812" spans="1:10" x14ac:dyDescent="0.2">
      <c r="A18812" s="859">
        <f t="shared" si="435"/>
        <v>18811</v>
      </c>
      <c r="B18812" s="845" t="s">
        <v>2568</v>
      </c>
      <c r="D18812" s="862"/>
      <c r="I18812" s="845" t="s">
        <v>1009</v>
      </c>
    </row>
    <row r="18813" spans="1:10" x14ac:dyDescent="0.2">
      <c r="A18813" s="859">
        <f t="shared" si="435"/>
        <v>18812</v>
      </c>
      <c r="B18813" s="845" t="s">
        <v>2568</v>
      </c>
      <c r="D18813" s="861"/>
      <c r="I18813" s="845" t="str">
        <f>CONCATENATE("&lt;valeur&gt;",Cellule_1643,"&lt;/valeur&gt;")</f>
        <v>&lt;valeur&gt;0&lt;/valeur&gt;</v>
      </c>
    </row>
    <row r="18814" spans="1:10" x14ac:dyDescent="0.2">
      <c r="A18814" s="859">
        <f t="shared" si="435"/>
        <v>18813</v>
      </c>
      <c r="B18814" s="845" t="s">
        <v>2568</v>
      </c>
      <c r="D18814" s="861"/>
      <c r="H18814" s="845" t="s">
        <v>1010</v>
      </c>
    </row>
    <row r="18815" spans="1:10" x14ac:dyDescent="0.2">
      <c r="A18815" s="859">
        <f t="shared" si="435"/>
        <v>18814</v>
      </c>
      <c r="B18815" s="845" t="s">
        <v>2568</v>
      </c>
      <c r="D18815" s="862"/>
      <c r="H18815" s="845" t="s">
        <v>1007</v>
      </c>
    </row>
    <row r="18816" spans="1:10" x14ac:dyDescent="0.2">
      <c r="A18816" s="859">
        <f t="shared" si="435"/>
        <v>18815</v>
      </c>
      <c r="B18816" s="845" t="s">
        <v>2568</v>
      </c>
      <c r="D18816" s="863"/>
      <c r="I18816" s="845" t="s">
        <v>1008</v>
      </c>
    </row>
    <row r="18817" spans="1:10" x14ac:dyDescent="0.2">
      <c r="A18817" s="859">
        <f t="shared" si="435"/>
        <v>18816</v>
      </c>
      <c r="B18817" s="845" t="s">
        <v>2568</v>
      </c>
      <c r="D18817" s="862"/>
      <c r="J18817" s="845" t="s">
        <v>2345</v>
      </c>
    </row>
    <row r="18818" spans="1:10" x14ac:dyDescent="0.2">
      <c r="A18818" s="859">
        <f t="shared" si="435"/>
        <v>18817</v>
      </c>
      <c r="B18818" s="845" t="s">
        <v>2568</v>
      </c>
      <c r="D18818" s="862"/>
      <c r="I18818" s="845" t="s">
        <v>1009</v>
      </c>
    </row>
    <row r="18819" spans="1:10" x14ac:dyDescent="0.2">
      <c r="A18819" s="859">
        <f t="shared" si="435"/>
        <v>18818</v>
      </c>
      <c r="B18819" s="845" t="s">
        <v>2568</v>
      </c>
      <c r="D18819" s="861"/>
      <c r="I18819" s="845" t="str">
        <f>CONCATENATE("&lt;valeur&gt;",Cellule_1656,"&lt;/valeur&gt;")</f>
        <v>&lt;valeur&gt;0&lt;/valeur&gt;</v>
      </c>
    </row>
    <row r="18820" spans="1:10" x14ac:dyDescent="0.2">
      <c r="A18820" s="859">
        <f t="shared" ref="A18820:A18883" si="436">+A18819+1</f>
        <v>18819</v>
      </c>
      <c r="B18820" s="845" t="s">
        <v>2568</v>
      </c>
      <c r="D18820" s="860"/>
      <c r="H18820" s="845" t="s">
        <v>1010</v>
      </c>
    </row>
    <row r="18821" spans="1:10" x14ac:dyDescent="0.2">
      <c r="A18821" s="859">
        <f t="shared" si="436"/>
        <v>18820</v>
      </c>
      <c r="B18821" s="845" t="s">
        <v>2568</v>
      </c>
      <c r="D18821" s="860"/>
      <c r="H18821" s="845" t="s">
        <v>1007</v>
      </c>
    </row>
    <row r="18822" spans="1:10" x14ac:dyDescent="0.2">
      <c r="A18822" s="859">
        <f t="shared" si="436"/>
        <v>18821</v>
      </c>
      <c r="B18822" s="845" t="s">
        <v>2568</v>
      </c>
      <c r="D18822" s="861"/>
      <c r="I18822" s="845" t="s">
        <v>1008</v>
      </c>
    </row>
    <row r="18823" spans="1:10" x14ac:dyDescent="0.2">
      <c r="A18823" s="859">
        <f t="shared" si="436"/>
        <v>18822</v>
      </c>
      <c r="B18823" s="845" t="s">
        <v>2568</v>
      </c>
      <c r="D18823" s="862"/>
      <c r="J18823" s="845" t="s">
        <v>2346</v>
      </c>
    </row>
    <row r="18824" spans="1:10" x14ac:dyDescent="0.2">
      <c r="A18824" s="859">
        <f t="shared" si="436"/>
        <v>18823</v>
      </c>
      <c r="B18824" s="845" t="s">
        <v>2568</v>
      </c>
      <c r="D18824" s="863"/>
      <c r="I18824" s="845" t="s">
        <v>1009</v>
      </c>
    </row>
    <row r="18825" spans="1:10" x14ac:dyDescent="0.2">
      <c r="A18825" s="859">
        <f t="shared" si="436"/>
        <v>18824</v>
      </c>
      <c r="B18825" s="845" t="s">
        <v>2568</v>
      </c>
      <c r="D18825" s="862"/>
      <c r="I18825" s="845" t="str">
        <f>CONCATENATE("&lt;valeur&gt;",Cellule_1664,"&lt;/valeur&gt;")</f>
        <v>&lt;valeur&gt;0&lt;/valeur&gt;</v>
      </c>
    </row>
    <row r="18826" spans="1:10" x14ac:dyDescent="0.2">
      <c r="A18826" s="859">
        <f t="shared" si="436"/>
        <v>18825</v>
      </c>
      <c r="B18826" s="845" t="s">
        <v>2568</v>
      </c>
      <c r="D18826" s="862"/>
      <c r="H18826" s="845" t="s">
        <v>1010</v>
      </c>
    </row>
    <row r="18827" spans="1:10" x14ac:dyDescent="0.2">
      <c r="A18827" s="859">
        <f t="shared" si="436"/>
        <v>18826</v>
      </c>
      <c r="B18827" s="845" t="s">
        <v>2568</v>
      </c>
      <c r="D18827" s="861"/>
      <c r="H18827" s="845" t="s">
        <v>1007</v>
      </c>
    </row>
    <row r="18828" spans="1:10" x14ac:dyDescent="0.2">
      <c r="A18828" s="859">
        <f t="shared" si="436"/>
        <v>18827</v>
      </c>
      <c r="B18828" s="845" t="s">
        <v>2568</v>
      </c>
      <c r="D18828" s="860"/>
      <c r="I18828" s="845" t="s">
        <v>1008</v>
      </c>
    </row>
    <row r="18829" spans="1:10" x14ac:dyDescent="0.2">
      <c r="A18829" s="859">
        <f t="shared" si="436"/>
        <v>18828</v>
      </c>
      <c r="B18829" s="845" t="s">
        <v>2568</v>
      </c>
      <c r="D18829" s="857"/>
      <c r="J18829" s="845" t="s">
        <v>2347</v>
      </c>
    </row>
    <row r="18830" spans="1:10" x14ac:dyDescent="0.2">
      <c r="A18830" s="859">
        <f t="shared" si="436"/>
        <v>18829</v>
      </c>
      <c r="B18830" s="845" t="s">
        <v>2568</v>
      </c>
      <c r="D18830" s="857"/>
      <c r="I18830" s="845" t="s">
        <v>1009</v>
      </c>
    </row>
    <row r="18831" spans="1:10" x14ac:dyDescent="0.2">
      <c r="A18831" s="859">
        <f t="shared" si="436"/>
        <v>18830</v>
      </c>
      <c r="B18831" s="845" t="s">
        <v>2568</v>
      </c>
      <c r="D18831" s="860"/>
      <c r="I18831" s="845" t="str">
        <f>CONCATENATE("&lt;valeur&gt;",Cellule_1612,"&lt;/valeur&gt;")</f>
        <v>&lt;valeur&gt;0&lt;/valeur&gt;</v>
      </c>
    </row>
    <row r="18832" spans="1:10" x14ac:dyDescent="0.2">
      <c r="A18832" s="859">
        <f t="shared" si="436"/>
        <v>18831</v>
      </c>
      <c r="B18832" s="845" t="s">
        <v>2568</v>
      </c>
      <c r="D18832" s="861"/>
      <c r="H18832" s="845" t="s">
        <v>1010</v>
      </c>
    </row>
    <row r="18833" spans="1:10" x14ac:dyDescent="0.2">
      <c r="A18833" s="859">
        <f t="shared" si="436"/>
        <v>18832</v>
      </c>
      <c r="B18833" s="845" t="s">
        <v>2568</v>
      </c>
      <c r="D18833" s="860"/>
      <c r="H18833" s="845" t="s">
        <v>1007</v>
      </c>
    </row>
    <row r="18834" spans="1:10" x14ac:dyDescent="0.2">
      <c r="A18834" s="859">
        <f t="shared" si="436"/>
        <v>18833</v>
      </c>
      <c r="B18834" s="845" t="s">
        <v>2568</v>
      </c>
      <c r="D18834" s="860"/>
      <c r="I18834" s="845" t="s">
        <v>1008</v>
      </c>
    </row>
    <row r="18835" spans="1:10" x14ac:dyDescent="0.2">
      <c r="A18835" s="859">
        <f t="shared" si="436"/>
        <v>18834</v>
      </c>
      <c r="B18835" s="845" t="s">
        <v>2568</v>
      </c>
      <c r="D18835" s="861"/>
      <c r="J18835" s="845" t="s">
        <v>2348</v>
      </c>
    </row>
    <row r="18836" spans="1:10" x14ac:dyDescent="0.2">
      <c r="A18836" s="859">
        <f t="shared" si="436"/>
        <v>18835</v>
      </c>
      <c r="B18836" s="845" t="s">
        <v>2568</v>
      </c>
      <c r="D18836" s="862"/>
      <c r="I18836" s="845" t="s">
        <v>1009</v>
      </c>
    </row>
    <row r="18837" spans="1:10" x14ac:dyDescent="0.2">
      <c r="A18837" s="859">
        <f t="shared" si="436"/>
        <v>18836</v>
      </c>
      <c r="B18837" s="845" t="s">
        <v>2568</v>
      </c>
      <c r="D18837" s="863"/>
      <c r="I18837" s="845" t="str">
        <f>CONCATENATE("&lt;valeur&gt;",Cellule_1685,"&lt;/valeur&gt;")</f>
        <v>&lt;valeur&gt;0&lt;/valeur&gt;</v>
      </c>
    </row>
    <row r="18838" spans="1:10" x14ac:dyDescent="0.2">
      <c r="A18838" s="859">
        <f t="shared" si="436"/>
        <v>18837</v>
      </c>
      <c r="B18838" s="845" t="s">
        <v>2568</v>
      </c>
      <c r="D18838" s="862"/>
      <c r="H18838" s="845" t="s">
        <v>1010</v>
      </c>
    </row>
    <row r="18839" spans="1:10" x14ac:dyDescent="0.2">
      <c r="A18839" s="859">
        <f t="shared" si="436"/>
        <v>18838</v>
      </c>
      <c r="B18839" s="845" t="s">
        <v>2568</v>
      </c>
      <c r="D18839" s="862"/>
      <c r="H18839" s="845" t="s">
        <v>1007</v>
      </c>
    </row>
    <row r="18840" spans="1:10" x14ac:dyDescent="0.2">
      <c r="A18840" s="859">
        <f t="shared" si="436"/>
        <v>18839</v>
      </c>
      <c r="B18840" s="845" t="s">
        <v>2568</v>
      </c>
      <c r="D18840" s="862"/>
      <c r="I18840" s="845" t="s">
        <v>1008</v>
      </c>
    </row>
    <row r="18841" spans="1:10" x14ac:dyDescent="0.2">
      <c r="A18841" s="859">
        <f t="shared" si="436"/>
        <v>18840</v>
      </c>
      <c r="B18841" s="845" t="s">
        <v>2568</v>
      </c>
      <c r="D18841" s="861"/>
      <c r="J18841" s="845" t="s">
        <v>2349</v>
      </c>
    </row>
    <row r="18842" spans="1:10" x14ac:dyDescent="0.2">
      <c r="A18842" s="859">
        <f t="shared" si="436"/>
        <v>18841</v>
      </c>
      <c r="B18842" s="845" t="s">
        <v>2568</v>
      </c>
      <c r="D18842" s="861"/>
      <c r="I18842" s="845" t="s">
        <v>1009</v>
      </c>
    </row>
    <row r="18843" spans="1:10" x14ac:dyDescent="0.2">
      <c r="A18843" s="859">
        <f t="shared" si="436"/>
        <v>18842</v>
      </c>
      <c r="B18843" s="845" t="s">
        <v>2568</v>
      </c>
      <c r="D18843" s="862"/>
      <c r="I18843" s="845" t="str">
        <f>CONCATENATE("&lt;valeur&gt;",Cellule_1672,"&lt;/valeur&gt;")</f>
        <v>&lt;valeur&gt;0&lt;/valeur&gt;</v>
      </c>
    </row>
    <row r="18844" spans="1:10" x14ac:dyDescent="0.2">
      <c r="A18844" s="859">
        <f t="shared" si="436"/>
        <v>18843</v>
      </c>
      <c r="B18844" s="845" t="s">
        <v>2568</v>
      </c>
      <c r="D18844" s="863"/>
      <c r="H18844" s="845" t="s">
        <v>1010</v>
      </c>
    </row>
    <row r="18845" spans="1:10" x14ac:dyDescent="0.2">
      <c r="A18845" s="859">
        <f t="shared" si="436"/>
        <v>18844</v>
      </c>
      <c r="B18845" s="845" t="s">
        <v>2568</v>
      </c>
      <c r="D18845" s="862"/>
      <c r="H18845" s="845" t="s">
        <v>1007</v>
      </c>
    </row>
    <row r="18846" spans="1:10" x14ac:dyDescent="0.2">
      <c r="A18846" s="859">
        <f t="shared" si="436"/>
        <v>18845</v>
      </c>
      <c r="B18846" s="845" t="s">
        <v>2568</v>
      </c>
      <c r="D18846" s="862"/>
      <c r="I18846" s="845" t="s">
        <v>1008</v>
      </c>
    </row>
    <row r="18847" spans="1:10" x14ac:dyDescent="0.2">
      <c r="A18847" s="859">
        <f t="shared" si="436"/>
        <v>18846</v>
      </c>
      <c r="B18847" s="845" t="s">
        <v>2568</v>
      </c>
      <c r="D18847" s="862"/>
      <c r="J18847" s="845" t="s">
        <v>2350</v>
      </c>
    </row>
    <row r="18848" spans="1:10" x14ac:dyDescent="0.2">
      <c r="A18848" s="859">
        <f t="shared" si="436"/>
        <v>18847</v>
      </c>
      <c r="B18848" s="845" t="s">
        <v>2568</v>
      </c>
      <c r="D18848" s="861"/>
      <c r="I18848" s="845" t="s">
        <v>1009</v>
      </c>
    </row>
    <row r="18849" spans="1:10" x14ac:dyDescent="0.2">
      <c r="A18849" s="859">
        <f t="shared" si="436"/>
        <v>18848</v>
      </c>
      <c r="B18849" s="845" t="s">
        <v>2568</v>
      </c>
      <c r="D18849" s="861"/>
      <c r="I18849" s="845" t="str">
        <f>CONCATENATE("&lt;valeur&gt;",Cellule_1736,"&lt;/valeur&gt;")</f>
        <v>&lt;valeur&gt;&lt;/valeur&gt;</v>
      </c>
    </row>
    <row r="18850" spans="1:10" x14ac:dyDescent="0.2">
      <c r="A18850" s="859">
        <f t="shared" si="436"/>
        <v>18849</v>
      </c>
      <c r="B18850" s="845" t="s">
        <v>2568</v>
      </c>
      <c r="D18850" s="862"/>
      <c r="H18850" s="845" t="s">
        <v>1010</v>
      </c>
    </row>
    <row r="18851" spans="1:10" x14ac:dyDescent="0.2">
      <c r="A18851" s="859">
        <f t="shared" si="436"/>
        <v>18850</v>
      </c>
      <c r="B18851" s="845" t="s">
        <v>2568</v>
      </c>
      <c r="D18851" s="863"/>
      <c r="H18851" s="845" t="s">
        <v>1007</v>
      </c>
    </row>
    <row r="18852" spans="1:10" x14ac:dyDescent="0.2">
      <c r="A18852" s="859">
        <f t="shared" si="436"/>
        <v>18851</v>
      </c>
      <c r="B18852" s="845" t="s">
        <v>2568</v>
      </c>
      <c r="D18852" s="862"/>
      <c r="I18852" s="845" t="s">
        <v>1008</v>
      </c>
    </row>
    <row r="18853" spans="1:10" x14ac:dyDescent="0.2">
      <c r="A18853" s="859">
        <f t="shared" si="436"/>
        <v>18852</v>
      </c>
      <c r="B18853" s="845" t="s">
        <v>2568</v>
      </c>
      <c r="D18853" s="862"/>
      <c r="J18853" s="845" t="s">
        <v>2351</v>
      </c>
    </row>
    <row r="18854" spans="1:10" x14ac:dyDescent="0.2">
      <c r="A18854" s="859">
        <f t="shared" si="436"/>
        <v>18853</v>
      </c>
      <c r="B18854" s="845" t="s">
        <v>2568</v>
      </c>
      <c r="D18854" s="862"/>
      <c r="I18854" s="845" t="s">
        <v>1009</v>
      </c>
    </row>
    <row r="18855" spans="1:10" x14ac:dyDescent="0.2">
      <c r="A18855" s="859">
        <f t="shared" si="436"/>
        <v>18854</v>
      </c>
      <c r="B18855" s="845" t="s">
        <v>2568</v>
      </c>
      <c r="D18855" s="861"/>
      <c r="I18855" s="845" t="str">
        <f>CONCATENATE("&lt;valeur&gt;",Cellule_1757,"&lt;/valeur&gt;")</f>
        <v>&lt;valeur&gt;0&lt;/valeur&gt;</v>
      </c>
    </row>
    <row r="18856" spans="1:10" x14ac:dyDescent="0.2">
      <c r="A18856" s="859">
        <f t="shared" si="436"/>
        <v>18855</v>
      </c>
      <c r="B18856" s="845" t="s">
        <v>2568</v>
      </c>
      <c r="D18856" s="861"/>
      <c r="H18856" s="845" t="s">
        <v>1010</v>
      </c>
    </row>
    <row r="18857" spans="1:10" x14ac:dyDescent="0.2">
      <c r="A18857" s="859">
        <f t="shared" si="436"/>
        <v>18856</v>
      </c>
      <c r="B18857" s="845" t="s">
        <v>2568</v>
      </c>
      <c r="D18857" s="862"/>
      <c r="H18857" s="845" t="s">
        <v>1007</v>
      </c>
    </row>
    <row r="18858" spans="1:10" x14ac:dyDescent="0.2">
      <c r="A18858" s="859">
        <f t="shared" si="436"/>
        <v>18857</v>
      </c>
      <c r="B18858" s="845" t="s">
        <v>2568</v>
      </c>
      <c r="D18858" s="863"/>
      <c r="I18858" s="845" t="s">
        <v>1008</v>
      </c>
    </row>
    <row r="18859" spans="1:10" x14ac:dyDescent="0.2">
      <c r="A18859" s="859">
        <f t="shared" si="436"/>
        <v>18858</v>
      </c>
      <c r="B18859" s="845" t="s">
        <v>2568</v>
      </c>
      <c r="D18859" s="862"/>
      <c r="J18859" s="845" t="s">
        <v>2352</v>
      </c>
    </row>
    <row r="18860" spans="1:10" x14ac:dyDescent="0.2">
      <c r="A18860" s="859">
        <f t="shared" si="436"/>
        <v>18859</v>
      </c>
      <c r="B18860" s="845" t="s">
        <v>2568</v>
      </c>
      <c r="D18860" s="924"/>
      <c r="I18860" s="845" t="s">
        <v>1009</v>
      </c>
    </row>
    <row r="18861" spans="1:10" x14ac:dyDescent="0.2">
      <c r="A18861" s="859">
        <f t="shared" si="436"/>
        <v>18860</v>
      </c>
      <c r="B18861" s="845" t="s">
        <v>2568</v>
      </c>
      <c r="D18861" s="862"/>
      <c r="I18861" s="845" t="str">
        <f>CONCATENATE("&lt;valeur&gt;",Cellule_1769,"&lt;/valeur&gt;")</f>
        <v>&lt;valeur&gt;&lt;/valeur&gt;</v>
      </c>
    </row>
    <row r="18862" spans="1:10" x14ac:dyDescent="0.2">
      <c r="A18862" s="859">
        <f t="shared" si="436"/>
        <v>18861</v>
      </c>
      <c r="B18862" s="845" t="s">
        <v>2568</v>
      </c>
      <c r="D18862" s="861"/>
      <c r="H18862" s="845" t="s">
        <v>1010</v>
      </c>
    </row>
    <row r="18863" spans="1:10" x14ac:dyDescent="0.2">
      <c r="A18863" s="859">
        <f t="shared" si="436"/>
        <v>18862</v>
      </c>
      <c r="B18863" s="845" t="s">
        <v>2568</v>
      </c>
      <c r="D18863" s="861"/>
      <c r="H18863" s="845" t="s">
        <v>1007</v>
      </c>
    </row>
    <row r="18864" spans="1:10" x14ac:dyDescent="0.2">
      <c r="A18864" s="859">
        <f t="shared" si="436"/>
        <v>18863</v>
      </c>
      <c r="B18864" s="845" t="s">
        <v>2568</v>
      </c>
      <c r="D18864" s="862"/>
      <c r="I18864" s="845" t="s">
        <v>1008</v>
      </c>
    </row>
    <row r="18865" spans="1:10" x14ac:dyDescent="0.2">
      <c r="A18865" s="859">
        <f t="shared" si="436"/>
        <v>18864</v>
      </c>
      <c r="B18865" s="845" t="s">
        <v>2568</v>
      </c>
      <c r="D18865" s="863"/>
      <c r="J18865" s="845" t="s">
        <v>2353</v>
      </c>
    </row>
    <row r="18866" spans="1:10" x14ac:dyDescent="0.2">
      <c r="A18866" s="859">
        <f t="shared" si="436"/>
        <v>18865</v>
      </c>
      <c r="B18866" s="845" t="s">
        <v>2568</v>
      </c>
      <c r="D18866" s="862"/>
      <c r="I18866" s="845" t="s">
        <v>1009</v>
      </c>
    </row>
    <row r="18867" spans="1:10" x14ac:dyDescent="0.2">
      <c r="A18867" s="859">
        <f t="shared" si="436"/>
        <v>18866</v>
      </c>
      <c r="B18867" s="845" t="s">
        <v>2568</v>
      </c>
      <c r="D18867" s="862"/>
      <c r="I18867" s="845" t="str">
        <f>CONCATENATE("&lt;valeur&gt;",Cellule_1800,"&lt;/valeur&gt;")</f>
        <v>&lt;valeur&gt;0&lt;/valeur&gt;</v>
      </c>
    </row>
    <row r="18868" spans="1:10" x14ac:dyDescent="0.2">
      <c r="A18868" s="859">
        <f t="shared" si="436"/>
        <v>18867</v>
      </c>
      <c r="B18868" s="845" t="s">
        <v>2568</v>
      </c>
      <c r="D18868" s="862"/>
      <c r="H18868" s="845" t="s">
        <v>1010</v>
      </c>
    </row>
    <row r="18869" spans="1:10" x14ac:dyDescent="0.2">
      <c r="A18869" s="859">
        <f t="shared" si="436"/>
        <v>18868</v>
      </c>
      <c r="B18869" s="845" t="s">
        <v>2568</v>
      </c>
      <c r="D18869" s="861"/>
      <c r="H18869" s="845" t="s">
        <v>1007</v>
      </c>
    </row>
    <row r="18870" spans="1:10" x14ac:dyDescent="0.2">
      <c r="A18870" s="859">
        <f t="shared" si="436"/>
        <v>18869</v>
      </c>
      <c r="B18870" s="845" t="s">
        <v>2568</v>
      </c>
      <c r="D18870" s="861"/>
      <c r="I18870" s="845" t="s">
        <v>1008</v>
      </c>
    </row>
    <row r="18871" spans="1:10" x14ac:dyDescent="0.2">
      <c r="A18871" s="859">
        <f t="shared" si="436"/>
        <v>18870</v>
      </c>
      <c r="B18871" s="845" t="s">
        <v>2568</v>
      </c>
      <c r="D18871" s="862"/>
      <c r="J18871" s="845" t="s">
        <v>2354</v>
      </c>
    </row>
    <row r="18872" spans="1:10" x14ac:dyDescent="0.2">
      <c r="A18872" s="859">
        <f t="shared" si="436"/>
        <v>18871</v>
      </c>
      <c r="B18872" s="845" t="s">
        <v>2568</v>
      </c>
      <c r="D18872" s="863"/>
      <c r="I18872" s="845" t="s">
        <v>1009</v>
      </c>
    </row>
    <row r="18873" spans="1:10" x14ac:dyDescent="0.2">
      <c r="A18873" s="859">
        <f t="shared" si="436"/>
        <v>18872</v>
      </c>
      <c r="B18873" s="845" t="s">
        <v>2568</v>
      </c>
      <c r="D18873" s="862"/>
      <c r="I18873" s="845" t="str">
        <f>CONCATENATE("&lt;valeur&gt;",Cellule_1819,"&lt;/valeur&gt;")</f>
        <v>&lt;valeur&gt;&lt;/valeur&gt;</v>
      </c>
    </row>
    <row r="18874" spans="1:10" x14ac:dyDescent="0.2">
      <c r="A18874" s="859">
        <f t="shared" si="436"/>
        <v>18873</v>
      </c>
      <c r="B18874" s="845" t="s">
        <v>2568</v>
      </c>
      <c r="D18874" s="862"/>
      <c r="H18874" s="845" t="s">
        <v>1010</v>
      </c>
    </row>
    <row r="18875" spans="1:10" x14ac:dyDescent="0.2">
      <c r="A18875" s="859">
        <f t="shared" si="436"/>
        <v>18874</v>
      </c>
      <c r="B18875" s="845" t="s">
        <v>2568</v>
      </c>
      <c r="D18875" s="862"/>
      <c r="H18875" s="845" t="s">
        <v>1007</v>
      </c>
    </row>
    <row r="18876" spans="1:10" x14ac:dyDescent="0.2">
      <c r="A18876" s="859">
        <f t="shared" si="436"/>
        <v>18875</v>
      </c>
      <c r="B18876" s="845" t="s">
        <v>2568</v>
      </c>
      <c r="D18876" s="861"/>
      <c r="I18876" s="845" t="s">
        <v>1008</v>
      </c>
    </row>
    <row r="18877" spans="1:10" x14ac:dyDescent="0.2">
      <c r="A18877" s="859">
        <f t="shared" si="436"/>
        <v>18876</v>
      </c>
      <c r="B18877" s="845" t="s">
        <v>2568</v>
      </c>
      <c r="D18877" s="861"/>
      <c r="J18877" s="845" t="s">
        <v>2355</v>
      </c>
    </row>
    <row r="18878" spans="1:10" x14ac:dyDescent="0.2">
      <c r="A18878" s="859">
        <f t="shared" si="436"/>
        <v>18877</v>
      </c>
      <c r="B18878" s="845" t="s">
        <v>2568</v>
      </c>
      <c r="D18878" s="862"/>
      <c r="I18878" s="845" t="s">
        <v>1009</v>
      </c>
    </row>
    <row r="18879" spans="1:10" x14ac:dyDescent="0.2">
      <c r="A18879" s="859">
        <f t="shared" si="436"/>
        <v>18878</v>
      </c>
      <c r="B18879" s="845" t="s">
        <v>2568</v>
      </c>
      <c r="D18879" s="863"/>
      <c r="I18879" s="845" t="str">
        <f>CONCATENATE("&lt;valeur&gt;",Cellule_1836,"&lt;/valeur&gt;")</f>
        <v>&lt;valeur&gt;0&lt;/valeur&gt;</v>
      </c>
    </row>
    <row r="18880" spans="1:10" x14ac:dyDescent="0.2">
      <c r="A18880" s="859">
        <f t="shared" si="436"/>
        <v>18879</v>
      </c>
      <c r="B18880" s="845" t="s">
        <v>2568</v>
      </c>
      <c r="D18880" s="862"/>
      <c r="H18880" s="845" t="s">
        <v>1010</v>
      </c>
    </row>
    <row r="18881" spans="1:10" x14ac:dyDescent="0.2">
      <c r="A18881" s="859">
        <f t="shared" si="436"/>
        <v>18880</v>
      </c>
      <c r="B18881" s="845" t="s">
        <v>2568</v>
      </c>
      <c r="D18881" s="862"/>
      <c r="H18881" s="845" t="s">
        <v>1007</v>
      </c>
    </row>
    <row r="18882" spans="1:10" x14ac:dyDescent="0.2">
      <c r="A18882" s="859">
        <f t="shared" si="436"/>
        <v>18881</v>
      </c>
      <c r="B18882" s="845" t="s">
        <v>2568</v>
      </c>
      <c r="D18882" s="862"/>
      <c r="I18882" s="845" t="s">
        <v>1008</v>
      </c>
    </row>
    <row r="18883" spans="1:10" x14ac:dyDescent="0.2">
      <c r="A18883" s="859">
        <f t="shared" si="436"/>
        <v>18882</v>
      </c>
      <c r="B18883" s="845" t="s">
        <v>2568</v>
      </c>
      <c r="D18883" s="861"/>
      <c r="J18883" s="845" t="s">
        <v>2356</v>
      </c>
    </row>
    <row r="18884" spans="1:10" x14ac:dyDescent="0.2">
      <c r="A18884" s="859">
        <f t="shared" ref="A18884:A18947" si="437">+A18883+1</f>
        <v>18883</v>
      </c>
      <c r="B18884" s="845" t="s">
        <v>2568</v>
      </c>
      <c r="D18884" s="861"/>
      <c r="I18884" s="845" t="s">
        <v>1009</v>
      </c>
    </row>
    <row r="18885" spans="1:10" x14ac:dyDescent="0.2">
      <c r="A18885" s="859">
        <f t="shared" si="437"/>
        <v>18884</v>
      </c>
      <c r="B18885" s="845" t="s">
        <v>2568</v>
      </c>
      <c r="D18885" s="862"/>
      <c r="I18885" s="845" t="str">
        <f>CONCATENATE("&lt;valeur&gt;",Cellule_1861,"&lt;/valeur&gt;")</f>
        <v>&lt;valeur&gt;0&lt;/valeur&gt;</v>
      </c>
    </row>
    <row r="18886" spans="1:10" x14ac:dyDescent="0.2">
      <c r="A18886" s="859">
        <f t="shared" si="437"/>
        <v>18885</v>
      </c>
      <c r="B18886" s="845" t="s">
        <v>2568</v>
      </c>
      <c r="D18886" s="863"/>
      <c r="H18886" s="845" t="s">
        <v>1010</v>
      </c>
    </row>
    <row r="18887" spans="1:10" x14ac:dyDescent="0.2">
      <c r="A18887" s="859">
        <f t="shared" si="437"/>
        <v>18886</v>
      </c>
      <c r="B18887" s="845" t="s">
        <v>2568</v>
      </c>
      <c r="D18887" s="862"/>
      <c r="H18887" s="845" t="s">
        <v>1007</v>
      </c>
    </row>
    <row r="18888" spans="1:10" x14ac:dyDescent="0.2">
      <c r="A18888" s="859">
        <f t="shared" si="437"/>
        <v>18887</v>
      </c>
      <c r="B18888" s="845" t="s">
        <v>2568</v>
      </c>
      <c r="D18888" s="862"/>
      <c r="I18888" s="845" t="s">
        <v>1008</v>
      </c>
    </row>
    <row r="18889" spans="1:10" x14ac:dyDescent="0.2">
      <c r="A18889" s="859">
        <f t="shared" si="437"/>
        <v>18888</v>
      </c>
      <c r="B18889" s="845" t="s">
        <v>2568</v>
      </c>
      <c r="D18889" s="862"/>
      <c r="J18889" s="845" t="s">
        <v>2357</v>
      </c>
    </row>
    <row r="18890" spans="1:10" x14ac:dyDescent="0.2">
      <c r="A18890" s="859">
        <f t="shared" si="437"/>
        <v>18889</v>
      </c>
      <c r="B18890" s="845" t="s">
        <v>2568</v>
      </c>
      <c r="D18890" s="861"/>
      <c r="I18890" s="845" t="s">
        <v>1009</v>
      </c>
    </row>
    <row r="18891" spans="1:10" x14ac:dyDescent="0.2">
      <c r="A18891" s="859">
        <f t="shared" si="437"/>
        <v>18890</v>
      </c>
      <c r="B18891" s="845" t="s">
        <v>2568</v>
      </c>
      <c r="D18891" s="861"/>
      <c r="I18891" s="845" t="str">
        <f>CONCATENATE("&lt;valeur&gt;",Cellule_1869,"&lt;/valeur&gt;")</f>
        <v>&lt;valeur&gt;0&lt;/valeur&gt;</v>
      </c>
    </row>
    <row r="18892" spans="1:10" x14ac:dyDescent="0.2">
      <c r="A18892" s="859">
        <f t="shared" si="437"/>
        <v>18891</v>
      </c>
      <c r="B18892" s="845" t="s">
        <v>2568</v>
      </c>
      <c r="D18892" s="862"/>
      <c r="H18892" s="845" t="s">
        <v>1010</v>
      </c>
    </row>
    <row r="18893" spans="1:10" x14ac:dyDescent="0.2">
      <c r="A18893" s="859">
        <f t="shared" si="437"/>
        <v>18892</v>
      </c>
      <c r="B18893" s="845" t="s">
        <v>2568</v>
      </c>
      <c r="D18893" s="863"/>
      <c r="H18893" s="845" t="s">
        <v>1007</v>
      </c>
    </row>
    <row r="18894" spans="1:10" x14ac:dyDescent="0.2">
      <c r="A18894" s="859">
        <f t="shared" si="437"/>
        <v>18893</v>
      </c>
      <c r="B18894" s="845" t="s">
        <v>2568</v>
      </c>
      <c r="D18894" s="862"/>
      <c r="I18894" s="845" t="s">
        <v>1008</v>
      </c>
    </row>
    <row r="18895" spans="1:10" x14ac:dyDescent="0.2">
      <c r="A18895" s="859">
        <f t="shared" si="437"/>
        <v>18894</v>
      </c>
      <c r="B18895" s="845" t="s">
        <v>2568</v>
      </c>
      <c r="D18895" s="862"/>
      <c r="J18895" s="845" t="s">
        <v>2358</v>
      </c>
    </row>
    <row r="18896" spans="1:10" x14ac:dyDescent="0.2">
      <c r="A18896" s="859">
        <f t="shared" si="437"/>
        <v>18895</v>
      </c>
      <c r="B18896" s="845" t="s">
        <v>2568</v>
      </c>
      <c r="D18896" s="861"/>
      <c r="I18896" s="845" t="s">
        <v>1009</v>
      </c>
    </row>
    <row r="18897" spans="1:10" x14ac:dyDescent="0.2">
      <c r="A18897" s="859">
        <f t="shared" si="437"/>
        <v>18896</v>
      </c>
      <c r="B18897" s="845" t="s">
        <v>2568</v>
      </c>
      <c r="D18897" s="861"/>
      <c r="I18897" s="845" t="str">
        <f>CONCATENATE("&lt;valeur&gt;",Cellule_1886,"&lt;/valeur&gt;")</f>
        <v>&lt;valeur&gt;0&lt;/valeur&gt;</v>
      </c>
    </row>
    <row r="18898" spans="1:10" x14ac:dyDescent="0.2">
      <c r="A18898" s="859">
        <f t="shared" si="437"/>
        <v>18897</v>
      </c>
      <c r="B18898" s="845" t="s">
        <v>2568</v>
      </c>
      <c r="D18898" s="862"/>
      <c r="H18898" s="845" t="s">
        <v>1010</v>
      </c>
    </row>
    <row r="18899" spans="1:10" x14ac:dyDescent="0.2">
      <c r="A18899" s="859">
        <f t="shared" si="437"/>
        <v>18898</v>
      </c>
      <c r="B18899" s="845" t="s">
        <v>2568</v>
      </c>
      <c r="D18899" s="863"/>
      <c r="H18899" s="845" t="s">
        <v>1007</v>
      </c>
    </row>
    <row r="18900" spans="1:10" x14ac:dyDescent="0.2">
      <c r="A18900" s="859">
        <f t="shared" si="437"/>
        <v>18899</v>
      </c>
      <c r="B18900" s="845" t="s">
        <v>2568</v>
      </c>
      <c r="D18900" s="862"/>
      <c r="I18900" s="845" t="s">
        <v>1008</v>
      </c>
    </row>
    <row r="18901" spans="1:10" x14ac:dyDescent="0.2">
      <c r="A18901" s="859">
        <f t="shared" si="437"/>
        <v>18900</v>
      </c>
      <c r="B18901" s="845" t="s">
        <v>2568</v>
      </c>
      <c r="D18901" s="862"/>
      <c r="J18901" s="845" t="s">
        <v>2359</v>
      </c>
    </row>
    <row r="18902" spans="1:10" x14ac:dyDescent="0.2">
      <c r="A18902" s="859">
        <f t="shared" si="437"/>
        <v>18901</v>
      </c>
      <c r="B18902" s="845" t="s">
        <v>2568</v>
      </c>
      <c r="D18902" s="861"/>
      <c r="I18902" s="845" t="s">
        <v>1009</v>
      </c>
    </row>
    <row r="18903" spans="1:10" x14ac:dyDescent="0.2">
      <c r="A18903" s="859">
        <f t="shared" si="437"/>
        <v>18902</v>
      </c>
      <c r="B18903" s="845" t="s">
        <v>2568</v>
      </c>
      <c r="D18903" s="860"/>
      <c r="I18903" s="845" t="str">
        <f>CONCATENATE("&lt;valeur&gt;",Cellule_1853,"&lt;/valeur&gt;")</f>
        <v>&lt;valeur&gt;0&lt;/valeur&gt;</v>
      </c>
    </row>
    <row r="18904" spans="1:10" x14ac:dyDescent="0.2">
      <c r="A18904" s="859">
        <f t="shared" si="437"/>
        <v>18903</v>
      </c>
      <c r="B18904" s="845" t="s">
        <v>2568</v>
      </c>
      <c r="D18904" s="860"/>
      <c r="H18904" s="845" t="s">
        <v>1010</v>
      </c>
    </row>
    <row r="18905" spans="1:10" x14ac:dyDescent="0.2">
      <c r="A18905" s="859">
        <f t="shared" si="437"/>
        <v>18904</v>
      </c>
      <c r="B18905" s="845" t="s">
        <v>2568</v>
      </c>
      <c r="D18905" s="857"/>
      <c r="H18905" s="845" t="s">
        <v>1007</v>
      </c>
    </row>
    <row r="18906" spans="1:10" x14ac:dyDescent="0.2">
      <c r="A18906" s="859">
        <f t="shared" si="437"/>
        <v>18905</v>
      </c>
      <c r="B18906" s="845" t="s">
        <v>2568</v>
      </c>
      <c r="D18906" s="857"/>
      <c r="I18906" s="845" t="s">
        <v>1008</v>
      </c>
    </row>
    <row r="18907" spans="1:10" x14ac:dyDescent="0.2">
      <c r="A18907" s="859">
        <f t="shared" si="437"/>
        <v>18906</v>
      </c>
      <c r="B18907" s="845" t="s">
        <v>2568</v>
      </c>
      <c r="D18907" s="860"/>
      <c r="J18907" s="845" t="s">
        <v>2360</v>
      </c>
    </row>
    <row r="18908" spans="1:10" x14ac:dyDescent="0.2">
      <c r="A18908" s="859">
        <f t="shared" si="437"/>
        <v>18907</v>
      </c>
      <c r="B18908" s="845" t="s">
        <v>2568</v>
      </c>
      <c r="D18908" s="861"/>
      <c r="I18908" s="845" t="s">
        <v>1009</v>
      </c>
    </row>
    <row r="18909" spans="1:10" x14ac:dyDescent="0.2">
      <c r="A18909" s="859">
        <f t="shared" si="437"/>
        <v>18908</v>
      </c>
      <c r="B18909" s="845" t="s">
        <v>2568</v>
      </c>
      <c r="D18909" s="860"/>
      <c r="I18909" s="845" t="str">
        <f>CONCATENATE("&lt;valeur&gt;",Cellule_1402,"&lt;/valeur&gt;")</f>
        <v>&lt;valeur&gt;&lt;/valeur&gt;</v>
      </c>
    </row>
    <row r="18910" spans="1:10" x14ac:dyDescent="0.2">
      <c r="A18910" s="859">
        <f t="shared" si="437"/>
        <v>18909</v>
      </c>
      <c r="B18910" s="845" t="s">
        <v>2568</v>
      </c>
      <c r="D18910" s="860"/>
      <c r="H18910" s="845" t="s">
        <v>1010</v>
      </c>
    </row>
    <row r="18911" spans="1:10" x14ac:dyDescent="0.2">
      <c r="A18911" s="859">
        <f t="shared" si="437"/>
        <v>18910</v>
      </c>
      <c r="B18911" s="845" t="s">
        <v>2568</v>
      </c>
      <c r="D18911" s="861"/>
      <c r="H18911" s="845" t="s">
        <v>1007</v>
      </c>
    </row>
    <row r="18912" spans="1:10" x14ac:dyDescent="0.2">
      <c r="A18912" s="859">
        <f t="shared" si="437"/>
        <v>18911</v>
      </c>
      <c r="B18912" s="845" t="s">
        <v>2568</v>
      </c>
      <c r="D18912" s="862"/>
      <c r="I18912" s="845" t="s">
        <v>1008</v>
      </c>
    </row>
    <row r="18913" spans="1:10" x14ac:dyDescent="0.2">
      <c r="A18913" s="859">
        <f t="shared" si="437"/>
        <v>18912</v>
      </c>
      <c r="B18913" s="845" t="s">
        <v>2568</v>
      </c>
      <c r="D18913" s="863"/>
      <c r="J18913" s="845" t="s">
        <v>2361</v>
      </c>
    </row>
    <row r="18914" spans="1:10" x14ac:dyDescent="0.2">
      <c r="A18914" s="859">
        <f t="shared" si="437"/>
        <v>18913</v>
      </c>
      <c r="B18914" s="845" t="s">
        <v>2568</v>
      </c>
      <c r="D18914" s="862"/>
      <c r="I18914" s="845" t="s">
        <v>1009</v>
      </c>
    </row>
    <row r="18915" spans="1:10" x14ac:dyDescent="0.2">
      <c r="A18915" s="859">
        <f t="shared" si="437"/>
        <v>18914</v>
      </c>
      <c r="B18915" s="845" t="s">
        <v>2568</v>
      </c>
      <c r="D18915" s="862"/>
      <c r="I18915" s="845" t="str">
        <f>CONCATENATE("&lt;valeur&gt;",Cellule_1410,"&lt;/valeur&gt;")</f>
        <v>&lt;valeur&gt;&lt;/valeur&gt;</v>
      </c>
    </row>
    <row r="18916" spans="1:10" x14ac:dyDescent="0.2">
      <c r="A18916" s="859">
        <f t="shared" si="437"/>
        <v>18915</v>
      </c>
      <c r="B18916" s="845" t="s">
        <v>2568</v>
      </c>
      <c r="D18916" s="861"/>
      <c r="H18916" s="845" t="s">
        <v>1010</v>
      </c>
    </row>
    <row r="18917" spans="1:10" x14ac:dyDescent="0.2">
      <c r="A18917" s="859">
        <f t="shared" si="437"/>
        <v>18916</v>
      </c>
      <c r="B18917" s="845" t="s">
        <v>2568</v>
      </c>
      <c r="D18917" s="861"/>
      <c r="H18917" s="845" t="s">
        <v>1007</v>
      </c>
    </row>
    <row r="18918" spans="1:10" x14ac:dyDescent="0.2">
      <c r="A18918" s="859">
        <f t="shared" si="437"/>
        <v>18917</v>
      </c>
      <c r="B18918" s="845" t="s">
        <v>2568</v>
      </c>
      <c r="D18918" s="862"/>
      <c r="I18918" s="845" t="s">
        <v>1008</v>
      </c>
    </row>
    <row r="18919" spans="1:10" x14ac:dyDescent="0.2">
      <c r="A18919" s="859">
        <f t="shared" si="437"/>
        <v>18918</v>
      </c>
      <c r="B18919" s="845" t="s">
        <v>2568</v>
      </c>
      <c r="D18919" s="863"/>
      <c r="J18919" s="845" t="s">
        <v>2362</v>
      </c>
    </row>
    <row r="18920" spans="1:10" x14ac:dyDescent="0.2">
      <c r="A18920" s="859">
        <f t="shared" si="437"/>
        <v>18919</v>
      </c>
      <c r="B18920" s="845" t="s">
        <v>2568</v>
      </c>
      <c r="D18920" s="862"/>
      <c r="I18920" s="845" t="s">
        <v>1009</v>
      </c>
    </row>
    <row r="18921" spans="1:10" x14ac:dyDescent="0.2">
      <c r="A18921" s="859">
        <f t="shared" si="437"/>
        <v>18920</v>
      </c>
      <c r="B18921" s="845" t="s">
        <v>2568</v>
      </c>
      <c r="D18921" s="862"/>
      <c r="I18921" s="845" t="str">
        <f>CONCATENATE("&lt;valeur&gt;",Cellule_1418,"&lt;/valeur&gt;")</f>
        <v>&lt;valeur&gt;&lt;/valeur&gt;</v>
      </c>
    </row>
    <row r="18922" spans="1:10" x14ac:dyDescent="0.2">
      <c r="A18922" s="859">
        <f t="shared" si="437"/>
        <v>18921</v>
      </c>
      <c r="B18922" s="845" t="s">
        <v>2568</v>
      </c>
      <c r="D18922" s="861"/>
      <c r="H18922" s="845" t="s">
        <v>1010</v>
      </c>
    </row>
    <row r="18923" spans="1:10" x14ac:dyDescent="0.2">
      <c r="A18923" s="859">
        <f t="shared" si="437"/>
        <v>18922</v>
      </c>
      <c r="B18923" s="845" t="s">
        <v>2568</v>
      </c>
      <c r="D18923" s="861"/>
      <c r="H18923" s="845" t="s">
        <v>1007</v>
      </c>
    </row>
    <row r="18924" spans="1:10" x14ac:dyDescent="0.2">
      <c r="A18924" s="859">
        <f t="shared" si="437"/>
        <v>18923</v>
      </c>
      <c r="B18924" s="845" t="s">
        <v>2568</v>
      </c>
      <c r="D18924" s="862"/>
      <c r="I18924" s="845" t="s">
        <v>1008</v>
      </c>
    </row>
    <row r="18925" spans="1:10" x14ac:dyDescent="0.2">
      <c r="A18925" s="859">
        <f t="shared" si="437"/>
        <v>18924</v>
      </c>
      <c r="B18925" s="845" t="s">
        <v>2568</v>
      </c>
      <c r="D18925" s="863"/>
      <c r="J18925" s="845" t="s">
        <v>2363</v>
      </c>
    </row>
    <row r="18926" spans="1:10" x14ac:dyDescent="0.2">
      <c r="A18926" s="859">
        <f t="shared" si="437"/>
        <v>18925</v>
      </c>
      <c r="B18926" s="845" t="s">
        <v>2568</v>
      </c>
      <c r="D18926" s="862"/>
      <c r="I18926" s="845" t="s">
        <v>1009</v>
      </c>
    </row>
    <row r="18927" spans="1:10" x14ac:dyDescent="0.2">
      <c r="A18927" s="859">
        <f t="shared" si="437"/>
        <v>18926</v>
      </c>
      <c r="B18927" s="845" t="s">
        <v>2568</v>
      </c>
      <c r="D18927" s="862"/>
      <c r="I18927" s="845" t="str">
        <f>CONCATENATE("&lt;valeur&gt;",Cellule_1426,"&lt;/valeur&gt;")</f>
        <v>&lt;valeur&gt;0&lt;/valeur&gt;</v>
      </c>
    </row>
    <row r="18928" spans="1:10" x14ac:dyDescent="0.2">
      <c r="A18928" s="859">
        <f t="shared" si="437"/>
        <v>18927</v>
      </c>
      <c r="B18928" s="845" t="s">
        <v>2568</v>
      </c>
      <c r="D18928" s="861"/>
      <c r="H18928" s="845" t="s">
        <v>1010</v>
      </c>
    </row>
    <row r="18929" spans="1:10" x14ac:dyDescent="0.2">
      <c r="A18929" s="859">
        <f t="shared" si="437"/>
        <v>18928</v>
      </c>
      <c r="B18929" s="845" t="s">
        <v>2568</v>
      </c>
      <c r="D18929" s="861"/>
      <c r="H18929" s="845" t="s">
        <v>1007</v>
      </c>
    </row>
    <row r="18930" spans="1:10" x14ac:dyDescent="0.2">
      <c r="A18930" s="859">
        <f t="shared" si="437"/>
        <v>18929</v>
      </c>
      <c r="B18930" s="845" t="s">
        <v>2568</v>
      </c>
      <c r="D18930" s="862"/>
      <c r="I18930" s="845" t="s">
        <v>1008</v>
      </c>
    </row>
    <row r="18931" spans="1:10" x14ac:dyDescent="0.2">
      <c r="A18931" s="859">
        <f t="shared" si="437"/>
        <v>18930</v>
      </c>
      <c r="B18931" s="845" t="s">
        <v>2568</v>
      </c>
      <c r="D18931" s="863"/>
      <c r="J18931" s="845" t="s">
        <v>2364</v>
      </c>
    </row>
    <row r="18932" spans="1:10" x14ac:dyDescent="0.2">
      <c r="A18932" s="859">
        <f t="shared" si="437"/>
        <v>18931</v>
      </c>
      <c r="B18932" s="845" t="s">
        <v>2568</v>
      </c>
      <c r="D18932" s="862"/>
      <c r="I18932" s="845" t="s">
        <v>1009</v>
      </c>
    </row>
    <row r="18933" spans="1:10" x14ac:dyDescent="0.2">
      <c r="A18933" s="859">
        <f t="shared" si="437"/>
        <v>18932</v>
      </c>
      <c r="B18933" s="845" t="s">
        <v>2568</v>
      </c>
      <c r="D18933" s="862"/>
      <c r="I18933" s="845" t="str">
        <f>CONCATENATE("&lt;valeur&gt;",Cellule_1434,"&lt;/valeur&gt;")</f>
        <v>&lt;valeur&gt;0&lt;/valeur&gt;</v>
      </c>
    </row>
    <row r="18934" spans="1:10" x14ac:dyDescent="0.2">
      <c r="A18934" s="859">
        <f t="shared" si="437"/>
        <v>18933</v>
      </c>
      <c r="B18934" s="845" t="s">
        <v>2568</v>
      </c>
      <c r="D18934" s="861"/>
      <c r="H18934" s="845" t="s">
        <v>1010</v>
      </c>
    </row>
    <row r="18935" spans="1:10" x14ac:dyDescent="0.2">
      <c r="A18935" s="859">
        <f t="shared" si="437"/>
        <v>18934</v>
      </c>
      <c r="B18935" s="845" t="s">
        <v>2568</v>
      </c>
      <c r="D18935" s="861"/>
      <c r="H18935" s="845" t="s">
        <v>1007</v>
      </c>
    </row>
    <row r="18936" spans="1:10" x14ac:dyDescent="0.2">
      <c r="A18936" s="859">
        <f t="shared" si="437"/>
        <v>18935</v>
      </c>
      <c r="B18936" s="845" t="s">
        <v>2568</v>
      </c>
      <c r="D18936" s="862"/>
      <c r="I18936" s="845" t="s">
        <v>1008</v>
      </c>
    </row>
    <row r="18937" spans="1:10" x14ac:dyDescent="0.2">
      <c r="A18937" s="859">
        <f t="shared" si="437"/>
        <v>18936</v>
      </c>
      <c r="B18937" s="845" t="s">
        <v>2568</v>
      </c>
      <c r="D18937" s="863"/>
      <c r="J18937" s="845" t="s">
        <v>2365</v>
      </c>
    </row>
    <row r="18938" spans="1:10" x14ac:dyDescent="0.2">
      <c r="A18938" s="859">
        <f t="shared" si="437"/>
        <v>18937</v>
      </c>
      <c r="B18938" s="845" t="s">
        <v>2568</v>
      </c>
      <c r="D18938" s="862"/>
      <c r="I18938" s="845" t="s">
        <v>1009</v>
      </c>
    </row>
    <row r="18939" spans="1:10" x14ac:dyDescent="0.2">
      <c r="A18939" s="859">
        <f t="shared" si="437"/>
        <v>18938</v>
      </c>
      <c r="B18939" s="845" t="s">
        <v>2568</v>
      </c>
      <c r="D18939" s="862"/>
      <c r="I18939" s="845" t="str">
        <f>CONCATENATE("&lt;valeur&gt;",Cellule_1450,"&lt;/valeur&gt;")</f>
        <v>&lt;valeur&gt;&lt;/valeur&gt;</v>
      </c>
    </row>
    <row r="18940" spans="1:10" x14ac:dyDescent="0.2">
      <c r="A18940" s="859">
        <f t="shared" si="437"/>
        <v>18939</v>
      </c>
      <c r="B18940" s="845" t="s">
        <v>2568</v>
      </c>
      <c r="D18940" s="861"/>
      <c r="H18940" s="845" t="s">
        <v>1010</v>
      </c>
    </row>
    <row r="18941" spans="1:10" x14ac:dyDescent="0.2">
      <c r="A18941" s="859">
        <f t="shared" si="437"/>
        <v>18940</v>
      </c>
      <c r="B18941" s="845" t="s">
        <v>2568</v>
      </c>
      <c r="D18941" s="861"/>
      <c r="H18941" s="845" t="s">
        <v>1007</v>
      </c>
    </row>
    <row r="18942" spans="1:10" x14ac:dyDescent="0.2">
      <c r="A18942" s="859">
        <f t="shared" si="437"/>
        <v>18941</v>
      </c>
      <c r="B18942" s="845" t="s">
        <v>2568</v>
      </c>
      <c r="D18942" s="862"/>
      <c r="I18942" s="845" t="s">
        <v>1008</v>
      </c>
    </row>
    <row r="18943" spans="1:10" x14ac:dyDescent="0.2">
      <c r="A18943" s="859">
        <f t="shared" si="437"/>
        <v>18942</v>
      </c>
      <c r="B18943" s="845" t="s">
        <v>2568</v>
      </c>
      <c r="D18943" s="863"/>
      <c r="J18943" s="845" t="s">
        <v>2366</v>
      </c>
    </row>
    <row r="18944" spans="1:10" x14ac:dyDescent="0.2">
      <c r="A18944" s="859">
        <f t="shared" si="437"/>
        <v>18943</v>
      </c>
      <c r="B18944" s="845" t="s">
        <v>2568</v>
      </c>
      <c r="D18944" s="862"/>
      <c r="I18944" s="845" t="s">
        <v>1009</v>
      </c>
    </row>
    <row r="18945" spans="1:10" x14ac:dyDescent="0.2">
      <c r="A18945" s="859">
        <f t="shared" si="437"/>
        <v>18944</v>
      </c>
      <c r="B18945" s="845" t="s">
        <v>2568</v>
      </c>
      <c r="D18945" s="862"/>
      <c r="I18945" s="845" t="str">
        <f>CONCATENATE("&lt;valeur&gt;",Cellule_1458,"&lt;/valeur&gt;")</f>
        <v>&lt;valeur&gt;0&lt;/valeur&gt;</v>
      </c>
    </row>
    <row r="18946" spans="1:10" x14ac:dyDescent="0.2">
      <c r="A18946" s="859">
        <f t="shared" si="437"/>
        <v>18945</v>
      </c>
      <c r="B18946" s="845" t="s">
        <v>2568</v>
      </c>
      <c r="D18946" s="861"/>
      <c r="H18946" s="845" t="s">
        <v>1010</v>
      </c>
    </row>
    <row r="18947" spans="1:10" x14ac:dyDescent="0.2">
      <c r="A18947" s="859">
        <f t="shared" si="437"/>
        <v>18946</v>
      </c>
      <c r="B18947" s="845" t="s">
        <v>2568</v>
      </c>
      <c r="D18947" s="861"/>
      <c r="H18947" s="845" t="s">
        <v>1007</v>
      </c>
    </row>
    <row r="18948" spans="1:10" x14ac:dyDescent="0.2">
      <c r="A18948" s="859">
        <f t="shared" ref="A18948:A19011" si="438">+A18947+1</f>
        <v>18947</v>
      </c>
      <c r="B18948" s="845" t="s">
        <v>2568</v>
      </c>
      <c r="D18948" s="862"/>
      <c r="I18948" s="845" t="s">
        <v>1008</v>
      </c>
    </row>
    <row r="18949" spans="1:10" x14ac:dyDescent="0.2">
      <c r="A18949" s="859">
        <f t="shared" si="438"/>
        <v>18948</v>
      </c>
      <c r="B18949" s="845" t="s">
        <v>2568</v>
      </c>
      <c r="D18949" s="863"/>
      <c r="J18949" s="845" t="s">
        <v>2367</v>
      </c>
    </row>
    <row r="18950" spans="1:10" x14ac:dyDescent="0.2">
      <c r="A18950" s="859">
        <f t="shared" si="438"/>
        <v>18949</v>
      </c>
      <c r="B18950" s="845" t="s">
        <v>2568</v>
      </c>
      <c r="D18950" s="862"/>
      <c r="I18950" s="845" t="s">
        <v>1009</v>
      </c>
    </row>
    <row r="18951" spans="1:10" x14ac:dyDescent="0.2">
      <c r="A18951" s="859">
        <f t="shared" si="438"/>
        <v>18950</v>
      </c>
      <c r="B18951" s="845" t="s">
        <v>2568</v>
      </c>
      <c r="D18951" s="862"/>
      <c r="I18951" s="845" t="str">
        <f>CONCATENATE("&lt;valeur&gt;",Cellule_1466,"&lt;/valeur&gt;")</f>
        <v>&lt;valeur&gt;0&lt;/valeur&gt;</v>
      </c>
    </row>
    <row r="18952" spans="1:10" x14ac:dyDescent="0.2">
      <c r="A18952" s="859">
        <f t="shared" si="438"/>
        <v>18951</v>
      </c>
      <c r="B18952" s="845" t="s">
        <v>2568</v>
      </c>
      <c r="D18952" s="861"/>
      <c r="H18952" s="845" t="s">
        <v>1010</v>
      </c>
    </row>
    <row r="18953" spans="1:10" x14ac:dyDescent="0.2">
      <c r="A18953" s="859">
        <f t="shared" si="438"/>
        <v>18952</v>
      </c>
      <c r="B18953" s="845" t="s">
        <v>2568</v>
      </c>
      <c r="D18953" s="861"/>
      <c r="H18953" s="845" t="s">
        <v>1007</v>
      </c>
    </row>
    <row r="18954" spans="1:10" x14ac:dyDescent="0.2">
      <c r="A18954" s="859">
        <f t="shared" si="438"/>
        <v>18953</v>
      </c>
      <c r="B18954" s="845" t="s">
        <v>2568</v>
      </c>
      <c r="D18954" s="862"/>
      <c r="I18954" s="845" t="s">
        <v>1008</v>
      </c>
    </row>
    <row r="18955" spans="1:10" x14ac:dyDescent="0.2">
      <c r="A18955" s="859">
        <f t="shared" si="438"/>
        <v>18954</v>
      </c>
      <c r="B18955" s="845" t="s">
        <v>2568</v>
      </c>
      <c r="D18955" s="863"/>
      <c r="J18955" s="845" t="s">
        <v>2368</v>
      </c>
    </row>
    <row r="18956" spans="1:10" x14ac:dyDescent="0.2">
      <c r="A18956" s="859">
        <f t="shared" si="438"/>
        <v>18955</v>
      </c>
      <c r="B18956" s="845" t="s">
        <v>2568</v>
      </c>
      <c r="D18956" s="862"/>
      <c r="I18956" s="845" t="s">
        <v>1009</v>
      </c>
    </row>
    <row r="18957" spans="1:10" x14ac:dyDescent="0.2">
      <c r="A18957" s="859">
        <f t="shared" si="438"/>
        <v>18956</v>
      </c>
      <c r="B18957" s="845" t="s">
        <v>2568</v>
      </c>
      <c r="D18957" s="862"/>
      <c r="I18957" s="845" t="str">
        <f>CONCATENATE("&lt;valeur&gt;",Cellule_1474,"&lt;/valeur&gt;")</f>
        <v>&lt;valeur&gt;&lt;/valeur&gt;</v>
      </c>
    </row>
    <row r="18958" spans="1:10" x14ac:dyDescent="0.2">
      <c r="A18958" s="859">
        <f t="shared" si="438"/>
        <v>18957</v>
      </c>
      <c r="B18958" s="845" t="s">
        <v>2568</v>
      </c>
      <c r="D18958" s="861"/>
      <c r="H18958" s="845" t="s">
        <v>1010</v>
      </c>
    </row>
    <row r="18959" spans="1:10" x14ac:dyDescent="0.2">
      <c r="A18959" s="859">
        <f t="shared" si="438"/>
        <v>18958</v>
      </c>
      <c r="B18959" s="845" t="s">
        <v>2568</v>
      </c>
      <c r="D18959" s="861"/>
      <c r="H18959" s="845" t="s">
        <v>1007</v>
      </c>
    </row>
    <row r="18960" spans="1:10" x14ac:dyDescent="0.2">
      <c r="A18960" s="859">
        <f t="shared" si="438"/>
        <v>18959</v>
      </c>
      <c r="B18960" s="845" t="s">
        <v>2568</v>
      </c>
      <c r="D18960" s="862"/>
      <c r="I18960" s="845" t="s">
        <v>1008</v>
      </c>
    </row>
    <row r="18961" spans="1:10" x14ac:dyDescent="0.2">
      <c r="A18961" s="859">
        <f t="shared" si="438"/>
        <v>18960</v>
      </c>
      <c r="B18961" s="845" t="s">
        <v>2568</v>
      </c>
      <c r="D18961" s="863"/>
      <c r="J18961" s="845" t="s">
        <v>2369</v>
      </c>
    </row>
    <row r="18962" spans="1:10" x14ac:dyDescent="0.2">
      <c r="A18962" s="859">
        <f t="shared" si="438"/>
        <v>18961</v>
      </c>
      <c r="B18962" s="845" t="s">
        <v>2568</v>
      </c>
      <c r="D18962" s="862"/>
      <c r="I18962" s="845" t="s">
        <v>1009</v>
      </c>
    </row>
    <row r="18963" spans="1:10" x14ac:dyDescent="0.2">
      <c r="A18963" s="859">
        <f t="shared" si="438"/>
        <v>18962</v>
      </c>
      <c r="B18963" s="845" t="s">
        <v>2568</v>
      </c>
      <c r="D18963" s="862"/>
      <c r="I18963" s="845" t="str">
        <f>CONCATENATE("&lt;valeur&gt;",Cellule_1482,"&lt;/valeur&gt;")</f>
        <v>&lt;valeur&gt;&lt;/valeur&gt;</v>
      </c>
    </row>
    <row r="18964" spans="1:10" x14ac:dyDescent="0.2">
      <c r="A18964" s="859">
        <f t="shared" si="438"/>
        <v>18963</v>
      </c>
      <c r="B18964" s="845" t="s">
        <v>2568</v>
      </c>
      <c r="D18964" s="861"/>
      <c r="H18964" s="845" t="s">
        <v>1010</v>
      </c>
    </row>
    <row r="18965" spans="1:10" x14ac:dyDescent="0.2">
      <c r="A18965" s="859">
        <f t="shared" si="438"/>
        <v>18964</v>
      </c>
      <c r="B18965" s="845" t="s">
        <v>2568</v>
      </c>
      <c r="D18965" s="861"/>
      <c r="H18965" s="845" t="s">
        <v>1007</v>
      </c>
    </row>
    <row r="18966" spans="1:10" x14ac:dyDescent="0.2">
      <c r="A18966" s="859">
        <f t="shared" si="438"/>
        <v>18965</v>
      </c>
      <c r="B18966" s="845" t="s">
        <v>2568</v>
      </c>
      <c r="D18966" s="862"/>
      <c r="I18966" s="845" t="s">
        <v>1008</v>
      </c>
    </row>
    <row r="18967" spans="1:10" x14ac:dyDescent="0.2">
      <c r="A18967" s="859">
        <f t="shared" si="438"/>
        <v>18966</v>
      </c>
      <c r="B18967" s="845" t="s">
        <v>2568</v>
      </c>
      <c r="D18967" s="863"/>
      <c r="J18967" s="845" t="s">
        <v>2370</v>
      </c>
    </row>
    <row r="18968" spans="1:10" x14ac:dyDescent="0.2">
      <c r="A18968" s="859">
        <f t="shared" si="438"/>
        <v>18967</v>
      </c>
      <c r="B18968" s="845" t="s">
        <v>2568</v>
      </c>
      <c r="D18968" s="862"/>
      <c r="I18968" s="845" t="s">
        <v>1009</v>
      </c>
    </row>
    <row r="18969" spans="1:10" x14ac:dyDescent="0.2">
      <c r="A18969" s="859">
        <f t="shared" si="438"/>
        <v>18968</v>
      </c>
      <c r="B18969" s="845" t="s">
        <v>2568</v>
      </c>
      <c r="D18969" s="862"/>
      <c r="I18969" s="845" t="str">
        <f>CONCATENATE("&lt;valeur&gt;",Cellule_1556,"&lt;/valeur&gt;")</f>
        <v>&lt;valeur&gt;0&lt;/valeur&gt;</v>
      </c>
    </row>
    <row r="18970" spans="1:10" x14ac:dyDescent="0.2">
      <c r="A18970" s="859">
        <f t="shared" si="438"/>
        <v>18969</v>
      </c>
      <c r="B18970" s="845" t="s">
        <v>2568</v>
      </c>
      <c r="D18970" s="861"/>
      <c r="H18970" s="845" t="s">
        <v>1010</v>
      </c>
    </row>
    <row r="18971" spans="1:10" x14ac:dyDescent="0.2">
      <c r="A18971" s="859">
        <f t="shared" si="438"/>
        <v>18970</v>
      </c>
      <c r="B18971" s="845" t="s">
        <v>2568</v>
      </c>
      <c r="D18971" s="861"/>
      <c r="H18971" s="845" t="s">
        <v>1007</v>
      </c>
    </row>
    <row r="18972" spans="1:10" x14ac:dyDescent="0.2">
      <c r="A18972" s="859">
        <f t="shared" si="438"/>
        <v>18971</v>
      </c>
      <c r="B18972" s="845" t="s">
        <v>2568</v>
      </c>
      <c r="D18972" s="862"/>
      <c r="I18972" s="845" t="s">
        <v>1008</v>
      </c>
    </row>
    <row r="18973" spans="1:10" x14ac:dyDescent="0.2">
      <c r="A18973" s="859">
        <f t="shared" si="438"/>
        <v>18972</v>
      </c>
      <c r="B18973" s="845" t="s">
        <v>2568</v>
      </c>
      <c r="D18973" s="863"/>
      <c r="J18973" s="845" t="s">
        <v>2371</v>
      </c>
    </row>
    <row r="18974" spans="1:10" x14ac:dyDescent="0.2">
      <c r="A18974" s="859">
        <f t="shared" si="438"/>
        <v>18973</v>
      </c>
      <c r="B18974" s="845" t="s">
        <v>2568</v>
      </c>
      <c r="D18974" s="862"/>
      <c r="I18974" s="845" t="s">
        <v>1009</v>
      </c>
    </row>
    <row r="18975" spans="1:10" x14ac:dyDescent="0.2">
      <c r="A18975" s="859">
        <f t="shared" si="438"/>
        <v>18974</v>
      </c>
      <c r="B18975" s="845" t="s">
        <v>2568</v>
      </c>
      <c r="D18975" s="862"/>
      <c r="I18975" s="845" t="str">
        <f>CONCATENATE("&lt;valeur&gt;",Cellule_1597,"&lt;/valeur&gt;")</f>
        <v>&lt;valeur&gt;&lt;/valeur&gt;</v>
      </c>
    </row>
    <row r="18976" spans="1:10" x14ac:dyDescent="0.2">
      <c r="A18976" s="859">
        <f t="shared" si="438"/>
        <v>18975</v>
      </c>
      <c r="B18976" s="845" t="s">
        <v>2568</v>
      </c>
      <c r="D18976" s="861"/>
      <c r="H18976" s="845" t="s">
        <v>1010</v>
      </c>
    </row>
    <row r="18977" spans="1:10" x14ac:dyDescent="0.2">
      <c r="A18977" s="859">
        <f t="shared" si="438"/>
        <v>18976</v>
      </c>
      <c r="B18977" s="845" t="s">
        <v>2568</v>
      </c>
      <c r="D18977" s="861"/>
      <c r="H18977" s="845" t="s">
        <v>1007</v>
      </c>
    </row>
    <row r="18978" spans="1:10" x14ac:dyDescent="0.2">
      <c r="A18978" s="859">
        <f t="shared" si="438"/>
        <v>18977</v>
      </c>
      <c r="B18978" s="845" t="s">
        <v>2568</v>
      </c>
      <c r="D18978" s="862"/>
      <c r="I18978" s="845" t="s">
        <v>1008</v>
      </c>
    </row>
    <row r="18979" spans="1:10" x14ac:dyDescent="0.2">
      <c r="A18979" s="859">
        <f t="shared" si="438"/>
        <v>18978</v>
      </c>
      <c r="B18979" s="845" t="s">
        <v>2568</v>
      </c>
      <c r="D18979" s="863"/>
      <c r="J18979" s="845" t="s">
        <v>2372</v>
      </c>
    </row>
    <row r="18980" spans="1:10" x14ac:dyDescent="0.2">
      <c r="A18980" s="859">
        <f t="shared" si="438"/>
        <v>18979</v>
      </c>
      <c r="B18980" s="845" t="s">
        <v>2568</v>
      </c>
      <c r="D18980" s="862"/>
      <c r="I18980" s="845" t="s">
        <v>1009</v>
      </c>
    </row>
    <row r="18981" spans="1:10" x14ac:dyDescent="0.2">
      <c r="A18981" s="859">
        <f t="shared" si="438"/>
        <v>18980</v>
      </c>
      <c r="B18981" s="845" t="s">
        <v>2568</v>
      </c>
      <c r="D18981" s="862"/>
      <c r="I18981" s="845" t="str">
        <f>CONCATENATE("&lt;valeur&gt;",Cellule_1605,"&lt;/valeur&gt;")</f>
        <v>&lt;valeur&gt;0&lt;/valeur&gt;</v>
      </c>
    </row>
    <row r="18982" spans="1:10" x14ac:dyDescent="0.2">
      <c r="A18982" s="859">
        <f t="shared" si="438"/>
        <v>18981</v>
      </c>
      <c r="B18982" s="845" t="s">
        <v>2568</v>
      </c>
      <c r="D18982" s="861"/>
      <c r="H18982" s="845" t="s">
        <v>1010</v>
      </c>
    </row>
    <row r="18983" spans="1:10" x14ac:dyDescent="0.2">
      <c r="A18983" s="859">
        <f t="shared" si="438"/>
        <v>18982</v>
      </c>
      <c r="B18983" s="845" t="s">
        <v>2568</v>
      </c>
      <c r="D18983" s="861"/>
      <c r="H18983" s="845" t="s">
        <v>1007</v>
      </c>
    </row>
    <row r="18984" spans="1:10" x14ac:dyDescent="0.2">
      <c r="A18984" s="859">
        <f t="shared" si="438"/>
        <v>18983</v>
      </c>
      <c r="B18984" s="845" t="s">
        <v>2568</v>
      </c>
      <c r="D18984" s="862"/>
      <c r="I18984" s="845" t="s">
        <v>1008</v>
      </c>
    </row>
    <row r="18985" spans="1:10" x14ac:dyDescent="0.2">
      <c r="A18985" s="859">
        <f t="shared" si="438"/>
        <v>18984</v>
      </c>
      <c r="B18985" s="845" t="s">
        <v>2568</v>
      </c>
      <c r="D18985" s="863"/>
      <c r="J18985" s="845" t="s">
        <v>2373</v>
      </c>
    </row>
    <row r="18986" spans="1:10" x14ac:dyDescent="0.2">
      <c r="A18986" s="859">
        <f t="shared" si="438"/>
        <v>18985</v>
      </c>
      <c r="B18986" s="845" t="s">
        <v>2568</v>
      </c>
      <c r="D18986" s="862"/>
      <c r="I18986" s="845" t="s">
        <v>1009</v>
      </c>
    </row>
    <row r="18987" spans="1:10" x14ac:dyDescent="0.2">
      <c r="A18987" s="859">
        <f t="shared" si="438"/>
        <v>18986</v>
      </c>
      <c r="B18987" s="845" t="s">
        <v>2568</v>
      </c>
      <c r="D18987" s="862"/>
      <c r="I18987" s="845" t="str">
        <f>CONCATENATE("&lt;valeur&gt;",Cellule_1636,"&lt;/valeur&gt;")</f>
        <v>&lt;valeur&gt;&lt;/valeur&gt;</v>
      </c>
    </row>
    <row r="18988" spans="1:10" x14ac:dyDescent="0.2">
      <c r="A18988" s="859">
        <f t="shared" si="438"/>
        <v>18987</v>
      </c>
      <c r="B18988" s="845" t="s">
        <v>2568</v>
      </c>
      <c r="D18988" s="861"/>
      <c r="H18988" s="845" t="s">
        <v>1010</v>
      </c>
    </row>
    <row r="18989" spans="1:10" x14ac:dyDescent="0.2">
      <c r="A18989" s="859">
        <f t="shared" si="438"/>
        <v>18988</v>
      </c>
      <c r="B18989" s="845" t="s">
        <v>2568</v>
      </c>
      <c r="D18989" s="861"/>
      <c r="H18989" s="845" t="s">
        <v>1007</v>
      </c>
    </row>
    <row r="18990" spans="1:10" x14ac:dyDescent="0.2">
      <c r="A18990" s="859">
        <f t="shared" si="438"/>
        <v>18989</v>
      </c>
      <c r="B18990" s="845" t="s">
        <v>2568</v>
      </c>
      <c r="D18990" s="862"/>
      <c r="I18990" s="845" t="s">
        <v>1008</v>
      </c>
    </row>
    <row r="18991" spans="1:10" x14ac:dyDescent="0.2">
      <c r="A18991" s="859">
        <f t="shared" si="438"/>
        <v>18990</v>
      </c>
      <c r="B18991" s="845" t="s">
        <v>2568</v>
      </c>
      <c r="D18991" s="863"/>
      <c r="J18991" s="845" t="s">
        <v>2374</v>
      </c>
    </row>
    <row r="18992" spans="1:10" x14ac:dyDescent="0.2">
      <c r="A18992" s="859">
        <f t="shared" si="438"/>
        <v>18991</v>
      </c>
      <c r="B18992" s="845" t="s">
        <v>2568</v>
      </c>
      <c r="D18992" s="862"/>
      <c r="I18992" s="845" t="s">
        <v>1009</v>
      </c>
    </row>
    <row r="18993" spans="1:10" x14ac:dyDescent="0.2">
      <c r="A18993" s="859">
        <f t="shared" si="438"/>
        <v>18992</v>
      </c>
      <c r="B18993" s="845" t="s">
        <v>2568</v>
      </c>
      <c r="D18993" s="862"/>
      <c r="I18993" s="845" t="str">
        <f>CONCATENATE("&lt;valeur&gt;",Cellule_1644,"&lt;/valeur&gt;")</f>
        <v>&lt;valeur&gt;0&lt;/valeur&gt;</v>
      </c>
    </row>
    <row r="18994" spans="1:10" x14ac:dyDescent="0.2">
      <c r="A18994" s="859">
        <f t="shared" si="438"/>
        <v>18993</v>
      </c>
      <c r="B18994" s="845" t="s">
        <v>2568</v>
      </c>
      <c r="D18994" s="861"/>
      <c r="H18994" s="845" t="s">
        <v>1010</v>
      </c>
    </row>
    <row r="18995" spans="1:10" x14ac:dyDescent="0.2">
      <c r="A18995" s="859">
        <f t="shared" si="438"/>
        <v>18994</v>
      </c>
      <c r="B18995" s="845" t="s">
        <v>2568</v>
      </c>
      <c r="D18995" s="861"/>
      <c r="H18995" s="845" t="s">
        <v>1007</v>
      </c>
    </row>
    <row r="18996" spans="1:10" x14ac:dyDescent="0.2">
      <c r="A18996" s="859">
        <f t="shared" si="438"/>
        <v>18995</v>
      </c>
      <c r="B18996" s="845" t="s">
        <v>2568</v>
      </c>
      <c r="D18996" s="862"/>
      <c r="I18996" s="845" t="s">
        <v>1008</v>
      </c>
    </row>
    <row r="18997" spans="1:10" x14ac:dyDescent="0.2">
      <c r="A18997" s="859">
        <f t="shared" si="438"/>
        <v>18996</v>
      </c>
      <c r="B18997" s="845" t="s">
        <v>2568</v>
      </c>
      <c r="D18997" s="863"/>
      <c r="J18997" s="845" t="s">
        <v>2375</v>
      </c>
    </row>
    <row r="18998" spans="1:10" x14ac:dyDescent="0.2">
      <c r="A18998" s="859">
        <f t="shared" si="438"/>
        <v>18997</v>
      </c>
      <c r="B18998" s="845" t="s">
        <v>2568</v>
      </c>
      <c r="D18998" s="862"/>
      <c r="I18998" s="845" t="s">
        <v>1009</v>
      </c>
    </row>
    <row r="18999" spans="1:10" x14ac:dyDescent="0.2">
      <c r="A18999" s="859">
        <f t="shared" si="438"/>
        <v>18998</v>
      </c>
      <c r="B18999" s="845" t="s">
        <v>2568</v>
      </c>
      <c r="D18999" s="862"/>
      <c r="I18999" s="845" t="str">
        <f>CONCATENATE("&lt;valeur&gt;",Cellule_1657,"&lt;/valeur&gt;")</f>
        <v>&lt;valeur&gt;0&lt;/valeur&gt;</v>
      </c>
    </row>
    <row r="19000" spans="1:10" x14ac:dyDescent="0.2">
      <c r="A19000" s="859">
        <f t="shared" si="438"/>
        <v>18999</v>
      </c>
      <c r="B19000" s="845" t="s">
        <v>2568</v>
      </c>
      <c r="D19000" s="861"/>
      <c r="H19000" s="845" t="s">
        <v>1010</v>
      </c>
    </row>
    <row r="19001" spans="1:10" x14ac:dyDescent="0.2">
      <c r="A19001" s="859">
        <f t="shared" si="438"/>
        <v>19000</v>
      </c>
      <c r="B19001" s="845" t="s">
        <v>2568</v>
      </c>
      <c r="D19001" s="861"/>
      <c r="H19001" s="845" t="s">
        <v>1007</v>
      </c>
    </row>
    <row r="19002" spans="1:10" x14ac:dyDescent="0.2">
      <c r="A19002" s="859">
        <f t="shared" si="438"/>
        <v>19001</v>
      </c>
      <c r="B19002" s="845" t="s">
        <v>2568</v>
      </c>
      <c r="D19002" s="862"/>
      <c r="I19002" s="845" t="s">
        <v>1008</v>
      </c>
    </row>
    <row r="19003" spans="1:10" x14ac:dyDescent="0.2">
      <c r="A19003" s="859">
        <f t="shared" si="438"/>
        <v>19002</v>
      </c>
      <c r="B19003" s="845" t="s">
        <v>2568</v>
      </c>
      <c r="D19003" s="863"/>
      <c r="J19003" s="845" t="s">
        <v>2376</v>
      </c>
    </row>
    <row r="19004" spans="1:10" x14ac:dyDescent="0.2">
      <c r="A19004" s="859">
        <f t="shared" si="438"/>
        <v>19003</v>
      </c>
      <c r="B19004" s="845" t="s">
        <v>2568</v>
      </c>
      <c r="D19004" s="862"/>
      <c r="I19004" s="845" t="s">
        <v>1009</v>
      </c>
    </row>
    <row r="19005" spans="1:10" x14ac:dyDescent="0.2">
      <c r="A19005" s="859">
        <f t="shared" si="438"/>
        <v>19004</v>
      </c>
      <c r="B19005" s="845" t="s">
        <v>2568</v>
      </c>
      <c r="D19005" s="862"/>
      <c r="I19005" s="845" t="str">
        <f>CONCATENATE("&lt;valeur&gt;",Cellule_1665,"&lt;/valeur&gt;")</f>
        <v>&lt;valeur&gt;0&lt;/valeur&gt;</v>
      </c>
    </row>
    <row r="19006" spans="1:10" x14ac:dyDescent="0.2">
      <c r="A19006" s="859">
        <f t="shared" si="438"/>
        <v>19005</v>
      </c>
      <c r="B19006" s="845" t="s">
        <v>2568</v>
      </c>
      <c r="D19006" s="861"/>
      <c r="H19006" s="845" t="s">
        <v>1010</v>
      </c>
    </row>
    <row r="19007" spans="1:10" x14ac:dyDescent="0.2">
      <c r="A19007" s="859">
        <f t="shared" si="438"/>
        <v>19006</v>
      </c>
      <c r="B19007" s="845" t="s">
        <v>2568</v>
      </c>
      <c r="D19007" s="861"/>
      <c r="H19007" s="845" t="s">
        <v>1007</v>
      </c>
    </row>
    <row r="19008" spans="1:10" x14ac:dyDescent="0.2">
      <c r="A19008" s="859">
        <f t="shared" si="438"/>
        <v>19007</v>
      </c>
      <c r="B19008" s="845" t="s">
        <v>2568</v>
      </c>
      <c r="D19008" s="862"/>
      <c r="I19008" s="845" t="s">
        <v>1008</v>
      </c>
    </row>
    <row r="19009" spans="1:10" x14ac:dyDescent="0.2">
      <c r="A19009" s="859">
        <f t="shared" si="438"/>
        <v>19008</v>
      </c>
      <c r="B19009" s="845" t="s">
        <v>2568</v>
      </c>
      <c r="D19009" s="863"/>
      <c r="J19009" s="845" t="s">
        <v>2377</v>
      </c>
    </row>
    <row r="19010" spans="1:10" x14ac:dyDescent="0.2">
      <c r="A19010" s="859">
        <f t="shared" si="438"/>
        <v>19009</v>
      </c>
      <c r="B19010" s="845" t="s">
        <v>2568</v>
      </c>
      <c r="D19010" s="862"/>
      <c r="I19010" s="845" t="s">
        <v>1009</v>
      </c>
    </row>
    <row r="19011" spans="1:10" x14ac:dyDescent="0.2">
      <c r="A19011" s="859">
        <f t="shared" si="438"/>
        <v>19010</v>
      </c>
      <c r="B19011" s="845" t="s">
        <v>2568</v>
      </c>
      <c r="D19011" s="862"/>
      <c r="I19011" s="845" t="str">
        <f>CONCATENATE("&lt;valeur&gt;",Cellule_1613,"&lt;/valeur&gt;")</f>
        <v>&lt;valeur&gt;0&lt;/valeur&gt;</v>
      </c>
    </row>
    <row r="19012" spans="1:10" x14ac:dyDescent="0.2">
      <c r="A19012" s="859">
        <f t="shared" ref="A19012:A19075" si="439">+A19011+1</f>
        <v>19011</v>
      </c>
      <c r="B19012" s="845" t="s">
        <v>2568</v>
      </c>
      <c r="D19012" s="861"/>
      <c r="H19012" s="845" t="s">
        <v>1010</v>
      </c>
    </row>
    <row r="19013" spans="1:10" x14ac:dyDescent="0.2">
      <c r="A19013" s="859">
        <f t="shared" si="439"/>
        <v>19012</v>
      </c>
      <c r="B19013" s="845" t="s">
        <v>2568</v>
      </c>
      <c r="D19013" s="861"/>
      <c r="H19013" s="845" t="s">
        <v>1007</v>
      </c>
    </row>
    <row r="19014" spans="1:10" x14ac:dyDescent="0.2">
      <c r="A19014" s="859">
        <f t="shared" si="439"/>
        <v>19013</v>
      </c>
      <c r="B19014" s="845" t="s">
        <v>2568</v>
      </c>
      <c r="D19014" s="862"/>
      <c r="I19014" s="845" t="s">
        <v>1008</v>
      </c>
    </row>
    <row r="19015" spans="1:10" x14ac:dyDescent="0.2">
      <c r="A19015" s="859">
        <f t="shared" si="439"/>
        <v>19014</v>
      </c>
      <c r="B19015" s="845" t="s">
        <v>2568</v>
      </c>
      <c r="D19015" s="863"/>
      <c r="J19015" s="845" t="s">
        <v>2378</v>
      </c>
    </row>
    <row r="19016" spans="1:10" x14ac:dyDescent="0.2">
      <c r="A19016" s="859">
        <f t="shared" si="439"/>
        <v>19015</v>
      </c>
      <c r="B19016" s="845" t="s">
        <v>2568</v>
      </c>
      <c r="D19016" s="862"/>
      <c r="I19016" s="845" t="s">
        <v>1009</v>
      </c>
    </row>
    <row r="19017" spans="1:10" x14ac:dyDescent="0.2">
      <c r="A19017" s="859">
        <f t="shared" si="439"/>
        <v>19016</v>
      </c>
      <c r="B19017" s="845" t="s">
        <v>2568</v>
      </c>
      <c r="D19017" s="862"/>
      <c r="I19017" s="845" t="str">
        <f>CONCATENATE("&lt;valeur&gt;",Cellule_1686,"&lt;/valeur&gt;")</f>
        <v>&lt;valeur&gt;0&lt;/valeur&gt;</v>
      </c>
    </row>
    <row r="19018" spans="1:10" x14ac:dyDescent="0.2">
      <c r="A19018" s="859">
        <f t="shared" si="439"/>
        <v>19017</v>
      </c>
      <c r="B19018" s="845" t="s">
        <v>2568</v>
      </c>
      <c r="D19018" s="861"/>
      <c r="H19018" s="845" t="s">
        <v>1010</v>
      </c>
    </row>
    <row r="19019" spans="1:10" x14ac:dyDescent="0.2">
      <c r="A19019" s="859">
        <f t="shared" si="439"/>
        <v>19018</v>
      </c>
      <c r="B19019" s="845" t="s">
        <v>2568</v>
      </c>
      <c r="D19019" s="861"/>
      <c r="H19019" s="845" t="s">
        <v>1007</v>
      </c>
    </row>
    <row r="19020" spans="1:10" x14ac:dyDescent="0.2">
      <c r="A19020" s="859">
        <f t="shared" si="439"/>
        <v>19019</v>
      </c>
      <c r="B19020" s="845" t="s">
        <v>2568</v>
      </c>
      <c r="D19020" s="862"/>
      <c r="I19020" s="845" t="s">
        <v>1008</v>
      </c>
    </row>
    <row r="19021" spans="1:10" x14ac:dyDescent="0.2">
      <c r="A19021" s="859">
        <f t="shared" si="439"/>
        <v>19020</v>
      </c>
      <c r="B19021" s="845" t="s">
        <v>2568</v>
      </c>
      <c r="D19021" s="863"/>
      <c r="J19021" s="845" t="s">
        <v>2379</v>
      </c>
    </row>
    <row r="19022" spans="1:10" x14ac:dyDescent="0.2">
      <c r="A19022" s="859">
        <f t="shared" si="439"/>
        <v>19021</v>
      </c>
      <c r="B19022" s="845" t="s">
        <v>2568</v>
      </c>
      <c r="D19022" s="862"/>
      <c r="I19022" s="845" t="s">
        <v>1009</v>
      </c>
    </row>
    <row r="19023" spans="1:10" x14ac:dyDescent="0.2">
      <c r="A19023" s="859">
        <f t="shared" si="439"/>
        <v>19022</v>
      </c>
      <c r="B19023" s="845" t="s">
        <v>2568</v>
      </c>
      <c r="D19023" s="862"/>
      <c r="I19023" s="845" t="str">
        <f>CONCATENATE("&lt;valeur&gt;",Cellule_1673,"&lt;/valeur&gt;")</f>
        <v>&lt;valeur&gt;0&lt;/valeur&gt;</v>
      </c>
    </row>
    <row r="19024" spans="1:10" x14ac:dyDescent="0.2">
      <c r="A19024" s="859">
        <f t="shared" si="439"/>
        <v>19023</v>
      </c>
      <c r="B19024" s="845" t="s">
        <v>2568</v>
      </c>
      <c r="D19024" s="861"/>
      <c r="H19024" s="845" t="s">
        <v>1010</v>
      </c>
    </row>
    <row r="19025" spans="1:10" x14ac:dyDescent="0.2">
      <c r="A19025" s="859">
        <f t="shared" si="439"/>
        <v>19024</v>
      </c>
      <c r="B19025" s="845" t="s">
        <v>2568</v>
      </c>
      <c r="D19025" s="861"/>
      <c r="H19025" s="845" t="s">
        <v>1007</v>
      </c>
    </row>
    <row r="19026" spans="1:10" x14ac:dyDescent="0.2">
      <c r="A19026" s="859">
        <f t="shared" si="439"/>
        <v>19025</v>
      </c>
      <c r="B19026" s="845" t="s">
        <v>2568</v>
      </c>
      <c r="D19026" s="862"/>
      <c r="I19026" s="845" t="s">
        <v>1008</v>
      </c>
    </row>
    <row r="19027" spans="1:10" x14ac:dyDescent="0.2">
      <c r="A19027" s="859">
        <f t="shared" si="439"/>
        <v>19026</v>
      </c>
      <c r="B19027" s="845" t="s">
        <v>2568</v>
      </c>
      <c r="D19027" s="863"/>
      <c r="J19027" s="845" t="s">
        <v>2380</v>
      </c>
    </row>
    <row r="19028" spans="1:10" x14ac:dyDescent="0.2">
      <c r="A19028" s="859">
        <f t="shared" si="439"/>
        <v>19027</v>
      </c>
      <c r="B19028" s="845" t="s">
        <v>2568</v>
      </c>
      <c r="D19028" s="862"/>
      <c r="I19028" s="845" t="s">
        <v>1009</v>
      </c>
    </row>
    <row r="19029" spans="1:10" x14ac:dyDescent="0.2">
      <c r="A19029" s="859">
        <f t="shared" si="439"/>
        <v>19028</v>
      </c>
      <c r="B19029" s="845" t="s">
        <v>2568</v>
      </c>
      <c r="D19029" s="862"/>
      <c r="I19029" s="845" t="str">
        <f>CONCATENATE("&lt;valeur&gt;",Cellule_1737,"&lt;/valeur&gt;")</f>
        <v>&lt;valeur&gt;&lt;/valeur&gt;</v>
      </c>
    </row>
    <row r="19030" spans="1:10" x14ac:dyDescent="0.2">
      <c r="A19030" s="859">
        <f t="shared" si="439"/>
        <v>19029</v>
      </c>
      <c r="B19030" s="845" t="s">
        <v>2568</v>
      </c>
      <c r="D19030" s="861"/>
      <c r="H19030" s="845" t="s">
        <v>1010</v>
      </c>
    </row>
    <row r="19031" spans="1:10" x14ac:dyDescent="0.2">
      <c r="A19031" s="859">
        <f t="shared" si="439"/>
        <v>19030</v>
      </c>
      <c r="B19031" s="845" t="s">
        <v>2568</v>
      </c>
      <c r="D19031" s="861"/>
      <c r="H19031" s="845" t="s">
        <v>1007</v>
      </c>
    </row>
    <row r="19032" spans="1:10" x14ac:dyDescent="0.2">
      <c r="A19032" s="859">
        <f t="shared" si="439"/>
        <v>19031</v>
      </c>
      <c r="B19032" s="845" t="s">
        <v>2568</v>
      </c>
      <c r="D19032" s="862"/>
      <c r="I19032" s="845" t="s">
        <v>1008</v>
      </c>
    </row>
    <row r="19033" spans="1:10" x14ac:dyDescent="0.2">
      <c r="A19033" s="859">
        <f t="shared" si="439"/>
        <v>19032</v>
      </c>
      <c r="B19033" s="845" t="s">
        <v>2568</v>
      </c>
      <c r="D19033" s="863"/>
      <c r="J19033" s="845" t="s">
        <v>2381</v>
      </c>
    </row>
    <row r="19034" spans="1:10" x14ac:dyDescent="0.2">
      <c r="A19034" s="859">
        <f t="shared" si="439"/>
        <v>19033</v>
      </c>
      <c r="B19034" s="845" t="s">
        <v>2568</v>
      </c>
      <c r="D19034" s="862"/>
      <c r="I19034" s="845" t="s">
        <v>1009</v>
      </c>
    </row>
    <row r="19035" spans="1:10" x14ac:dyDescent="0.2">
      <c r="A19035" s="859">
        <f t="shared" si="439"/>
        <v>19034</v>
      </c>
      <c r="B19035" s="845" t="s">
        <v>2568</v>
      </c>
      <c r="D19035" s="862"/>
      <c r="I19035" s="845" t="str">
        <f>CONCATENATE("&lt;valeur&gt;",Cellule_1758,"&lt;/valeur&gt;")</f>
        <v>&lt;valeur&gt;0&lt;/valeur&gt;</v>
      </c>
    </row>
    <row r="19036" spans="1:10" x14ac:dyDescent="0.2">
      <c r="A19036" s="859">
        <f t="shared" si="439"/>
        <v>19035</v>
      </c>
      <c r="B19036" s="845" t="s">
        <v>2568</v>
      </c>
      <c r="D19036" s="861"/>
      <c r="H19036" s="845" t="s">
        <v>1010</v>
      </c>
    </row>
    <row r="19037" spans="1:10" x14ac:dyDescent="0.2">
      <c r="A19037" s="859">
        <f t="shared" si="439"/>
        <v>19036</v>
      </c>
      <c r="B19037" s="845" t="s">
        <v>2568</v>
      </c>
      <c r="D19037" s="861"/>
      <c r="H19037" s="845" t="s">
        <v>1007</v>
      </c>
    </row>
    <row r="19038" spans="1:10" x14ac:dyDescent="0.2">
      <c r="A19038" s="859">
        <f t="shared" si="439"/>
        <v>19037</v>
      </c>
      <c r="B19038" s="845" t="s">
        <v>2568</v>
      </c>
      <c r="D19038" s="862"/>
      <c r="I19038" s="845" t="s">
        <v>1008</v>
      </c>
    </row>
    <row r="19039" spans="1:10" x14ac:dyDescent="0.2">
      <c r="A19039" s="859">
        <f t="shared" si="439"/>
        <v>19038</v>
      </c>
      <c r="B19039" s="845" t="s">
        <v>2568</v>
      </c>
      <c r="D19039" s="863"/>
      <c r="J19039" s="845" t="s">
        <v>2382</v>
      </c>
    </row>
    <row r="19040" spans="1:10" x14ac:dyDescent="0.2">
      <c r="A19040" s="859">
        <f t="shared" si="439"/>
        <v>19039</v>
      </c>
      <c r="B19040" s="845" t="s">
        <v>2568</v>
      </c>
      <c r="D19040" s="862"/>
      <c r="I19040" s="845" t="s">
        <v>1009</v>
      </c>
    </row>
    <row r="19041" spans="1:10" x14ac:dyDescent="0.2">
      <c r="A19041" s="859">
        <f t="shared" si="439"/>
        <v>19040</v>
      </c>
      <c r="B19041" s="845" t="s">
        <v>2568</v>
      </c>
      <c r="D19041" s="862"/>
      <c r="I19041" s="845" t="str">
        <f>CONCATENATE("&lt;valeur&gt;",Cellule_1770,"&lt;/valeur&gt;")</f>
        <v>&lt;valeur&gt;&lt;/valeur&gt;</v>
      </c>
    </row>
    <row r="19042" spans="1:10" x14ac:dyDescent="0.2">
      <c r="A19042" s="859">
        <f t="shared" si="439"/>
        <v>19041</v>
      </c>
      <c r="B19042" s="845" t="s">
        <v>2568</v>
      </c>
      <c r="D19042" s="861"/>
      <c r="H19042" s="845" t="s">
        <v>1010</v>
      </c>
    </row>
    <row r="19043" spans="1:10" x14ac:dyDescent="0.2">
      <c r="A19043" s="859">
        <f t="shared" si="439"/>
        <v>19042</v>
      </c>
      <c r="B19043" s="845" t="s">
        <v>2568</v>
      </c>
      <c r="D19043" s="861"/>
      <c r="H19043" s="845" t="s">
        <v>1007</v>
      </c>
    </row>
    <row r="19044" spans="1:10" x14ac:dyDescent="0.2">
      <c r="A19044" s="859">
        <f t="shared" si="439"/>
        <v>19043</v>
      </c>
      <c r="B19044" s="845" t="s">
        <v>2568</v>
      </c>
      <c r="D19044" s="862"/>
      <c r="I19044" s="845" t="s">
        <v>1008</v>
      </c>
    </row>
    <row r="19045" spans="1:10" x14ac:dyDescent="0.2">
      <c r="A19045" s="859">
        <f t="shared" si="439"/>
        <v>19044</v>
      </c>
      <c r="B19045" s="845" t="s">
        <v>2568</v>
      </c>
      <c r="D19045" s="863"/>
      <c r="J19045" s="845" t="s">
        <v>2383</v>
      </c>
    </row>
    <row r="19046" spans="1:10" x14ac:dyDescent="0.2">
      <c r="A19046" s="859">
        <f t="shared" si="439"/>
        <v>19045</v>
      </c>
      <c r="B19046" s="845" t="s">
        <v>2568</v>
      </c>
      <c r="D19046" s="862"/>
      <c r="I19046" s="845" t="s">
        <v>1009</v>
      </c>
    </row>
    <row r="19047" spans="1:10" x14ac:dyDescent="0.2">
      <c r="A19047" s="859">
        <f t="shared" si="439"/>
        <v>19046</v>
      </c>
      <c r="B19047" s="845" t="s">
        <v>2568</v>
      </c>
      <c r="D19047" s="862"/>
      <c r="I19047" s="845" t="str">
        <f>CONCATENATE("&lt;valeur&gt;",Cellule_1801,"&lt;/valeur&gt;")</f>
        <v>&lt;valeur&gt;0&lt;/valeur&gt;</v>
      </c>
    </row>
    <row r="19048" spans="1:10" x14ac:dyDescent="0.2">
      <c r="A19048" s="859">
        <f t="shared" si="439"/>
        <v>19047</v>
      </c>
      <c r="B19048" s="845" t="s">
        <v>2568</v>
      </c>
      <c r="D19048" s="861"/>
      <c r="H19048" s="845" t="s">
        <v>1010</v>
      </c>
    </row>
    <row r="19049" spans="1:10" x14ac:dyDescent="0.2">
      <c r="A19049" s="859">
        <f t="shared" si="439"/>
        <v>19048</v>
      </c>
      <c r="B19049" s="845" t="s">
        <v>2568</v>
      </c>
      <c r="D19049" s="861"/>
      <c r="H19049" s="845" t="s">
        <v>1007</v>
      </c>
    </row>
    <row r="19050" spans="1:10" x14ac:dyDescent="0.2">
      <c r="A19050" s="859">
        <f t="shared" si="439"/>
        <v>19049</v>
      </c>
      <c r="B19050" s="845" t="s">
        <v>2568</v>
      </c>
      <c r="D19050" s="862"/>
      <c r="I19050" s="845" t="s">
        <v>1008</v>
      </c>
    </row>
    <row r="19051" spans="1:10" x14ac:dyDescent="0.2">
      <c r="A19051" s="859">
        <f t="shared" si="439"/>
        <v>19050</v>
      </c>
      <c r="B19051" s="845" t="s">
        <v>2568</v>
      </c>
      <c r="D19051" s="863"/>
      <c r="J19051" s="845" t="s">
        <v>2384</v>
      </c>
    </row>
    <row r="19052" spans="1:10" x14ac:dyDescent="0.2">
      <c r="A19052" s="859">
        <f t="shared" si="439"/>
        <v>19051</v>
      </c>
      <c r="B19052" s="845" t="s">
        <v>2568</v>
      </c>
      <c r="D19052" s="862"/>
      <c r="I19052" s="845" t="s">
        <v>1009</v>
      </c>
    </row>
    <row r="19053" spans="1:10" x14ac:dyDescent="0.2">
      <c r="A19053" s="859">
        <f t="shared" si="439"/>
        <v>19052</v>
      </c>
      <c r="B19053" s="845" t="s">
        <v>2568</v>
      </c>
      <c r="D19053" s="862"/>
      <c r="I19053" s="845" t="str">
        <f>CONCATENATE("&lt;valeur&gt;",Cellule_1820,"&lt;/valeur&gt;")</f>
        <v>&lt;valeur&gt;&lt;/valeur&gt;</v>
      </c>
    </row>
    <row r="19054" spans="1:10" x14ac:dyDescent="0.2">
      <c r="A19054" s="859">
        <f t="shared" si="439"/>
        <v>19053</v>
      </c>
      <c r="B19054" s="845" t="s">
        <v>2568</v>
      </c>
      <c r="D19054" s="861"/>
      <c r="H19054" s="845" t="s">
        <v>1010</v>
      </c>
    </row>
    <row r="19055" spans="1:10" x14ac:dyDescent="0.2">
      <c r="A19055" s="859">
        <f t="shared" si="439"/>
        <v>19054</v>
      </c>
      <c r="B19055" s="845" t="s">
        <v>2568</v>
      </c>
      <c r="D19055" s="861"/>
      <c r="H19055" s="845" t="s">
        <v>1007</v>
      </c>
    </row>
    <row r="19056" spans="1:10" x14ac:dyDescent="0.2">
      <c r="A19056" s="859">
        <f t="shared" si="439"/>
        <v>19055</v>
      </c>
      <c r="B19056" s="845" t="s">
        <v>2568</v>
      </c>
      <c r="D19056" s="862"/>
      <c r="I19056" s="845" t="s">
        <v>1008</v>
      </c>
    </row>
    <row r="19057" spans="1:10" x14ac:dyDescent="0.2">
      <c r="A19057" s="859">
        <f t="shared" si="439"/>
        <v>19056</v>
      </c>
      <c r="B19057" s="845" t="s">
        <v>2568</v>
      </c>
      <c r="D19057" s="863"/>
      <c r="J19057" s="845" t="s">
        <v>2385</v>
      </c>
    </row>
    <row r="19058" spans="1:10" x14ac:dyDescent="0.2">
      <c r="A19058" s="859">
        <f t="shared" si="439"/>
        <v>19057</v>
      </c>
      <c r="B19058" s="845" t="s">
        <v>2568</v>
      </c>
      <c r="D19058" s="862"/>
      <c r="I19058" s="845" t="s">
        <v>1009</v>
      </c>
    </row>
    <row r="19059" spans="1:10" x14ac:dyDescent="0.2">
      <c r="A19059" s="859">
        <f t="shared" si="439"/>
        <v>19058</v>
      </c>
      <c r="B19059" s="845" t="s">
        <v>2568</v>
      </c>
      <c r="D19059" s="862"/>
      <c r="I19059" s="845" t="str">
        <f>CONCATENATE("&lt;valeur&gt;",Cellule_1837,"&lt;/valeur&gt;")</f>
        <v>&lt;valeur&gt;0&lt;/valeur&gt;</v>
      </c>
    </row>
    <row r="19060" spans="1:10" x14ac:dyDescent="0.2">
      <c r="A19060" s="859">
        <f t="shared" si="439"/>
        <v>19059</v>
      </c>
      <c r="B19060" s="845" t="s">
        <v>2568</v>
      </c>
      <c r="D19060" s="861"/>
      <c r="H19060" s="845" t="s">
        <v>1010</v>
      </c>
    </row>
    <row r="19061" spans="1:10" x14ac:dyDescent="0.2">
      <c r="A19061" s="859">
        <f t="shared" si="439"/>
        <v>19060</v>
      </c>
      <c r="B19061" s="845" t="s">
        <v>2568</v>
      </c>
      <c r="D19061" s="861"/>
      <c r="H19061" s="845" t="s">
        <v>1007</v>
      </c>
    </row>
    <row r="19062" spans="1:10" x14ac:dyDescent="0.2">
      <c r="A19062" s="859">
        <f t="shared" si="439"/>
        <v>19061</v>
      </c>
      <c r="B19062" s="845" t="s">
        <v>2568</v>
      </c>
      <c r="D19062" s="862"/>
      <c r="I19062" s="845" t="s">
        <v>1008</v>
      </c>
    </row>
    <row r="19063" spans="1:10" x14ac:dyDescent="0.2">
      <c r="A19063" s="859">
        <f t="shared" si="439"/>
        <v>19062</v>
      </c>
      <c r="B19063" s="845" t="s">
        <v>2568</v>
      </c>
      <c r="D19063" s="863"/>
      <c r="J19063" s="845" t="s">
        <v>2386</v>
      </c>
    </row>
    <row r="19064" spans="1:10" x14ac:dyDescent="0.2">
      <c r="A19064" s="859">
        <f t="shared" si="439"/>
        <v>19063</v>
      </c>
      <c r="B19064" s="845" t="s">
        <v>2568</v>
      </c>
      <c r="D19064" s="862"/>
      <c r="I19064" s="845" t="s">
        <v>1009</v>
      </c>
    </row>
    <row r="19065" spans="1:10" x14ac:dyDescent="0.2">
      <c r="A19065" s="859">
        <f t="shared" si="439"/>
        <v>19064</v>
      </c>
      <c r="B19065" s="845" t="s">
        <v>2568</v>
      </c>
      <c r="D19065" s="862"/>
      <c r="I19065" s="845" t="str">
        <f>CONCATENATE("&lt;valeur&gt;",Cellule_1854,"&lt;/valeur&gt;")</f>
        <v>&lt;valeur&gt;0&lt;/valeur&gt;</v>
      </c>
    </row>
    <row r="19066" spans="1:10" x14ac:dyDescent="0.2">
      <c r="A19066" s="859">
        <f t="shared" si="439"/>
        <v>19065</v>
      </c>
      <c r="B19066" s="845" t="s">
        <v>2568</v>
      </c>
      <c r="D19066" s="861"/>
      <c r="H19066" s="845" t="s">
        <v>1010</v>
      </c>
    </row>
    <row r="19067" spans="1:10" x14ac:dyDescent="0.2">
      <c r="A19067" s="859">
        <f t="shared" si="439"/>
        <v>19066</v>
      </c>
      <c r="B19067" s="845" t="s">
        <v>2568</v>
      </c>
      <c r="D19067" s="861"/>
      <c r="H19067" s="845" t="s">
        <v>1007</v>
      </c>
    </row>
    <row r="19068" spans="1:10" x14ac:dyDescent="0.2">
      <c r="A19068" s="859">
        <f t="shared" si="439"/>
        <v>19067</v>
      </c>
      <c r="B19068" s="845" t="s">
        <v>2568</v>
      </c>
      <c r="D19068" s="862"/>
      <c r="I19068" s="845" t="s">
        <v>1008</v>
      </c>
    </row>
    <row r="19069" spans="1:10" x14ac:dyDescent="0.2">
      <c r="A19069" s="859">
        <f t="shared" si="439"/>
        <v>19068</v>
      </c>
      <c r="B19069" s="845" t="s">
        <v>2568</v>
      </c>
      <c r="D19069" s="863"/>
      <c r="J19069" s="845" t="s">
        <v>2387</v>
      </c>
    </row>
    <row r="19070" spans="1:10" x14ac:dyDescent="0.2">
      <c r="A19070" s="859">
        <f t="shared" si="439"/>
        <v>19069</v>
      </c>
      <c r="B19070" s="845" t="s">
        <v>2568</v>
      </c>
      <c r="D19070" s="862"/>
      <c r="I19070" s="845" t="s">
        <v>1009</v>
      </c>
    </row>
    <row r="19071" spans="1:10" x14ac:dyDescent="0.2">
      <c r="A19071" s="859">
        <f t="shared" si="439"/>
        <v>19070</v>
      </c>
      <c r="B19071" s="845" t="s">
        <v>2568</v>
      </c>
      <c r="D19071" s="862"/>
      <c r="I19071" s="845" t="str">
        <f>CONCATENATE("&lt;valeur&gt;",Cellule_1862,"&lt;/valeur&gt;")</f>
        <v>&lt;valeur&gt;0&lt;/valeur&gt;</v>
      </c>
    </row>
    <row r="19072" spans="1:10" x14ac:dyDescent="0.2">
      <c r="A19072" s="859">
        <f t="shared" si="439"/>
        <v>19071</v>
      </c>
      <c r="B19072" s="845" t="s">
        <v>2568</v>
      </c>
      <c r="D19072" s="861"/>
      <c r="H19072" s="845" t="s">
        <v>1010</v>
      </c>
    </row>
    <row r="19073" spans="1:10" x14ac:dyDescent="0.2">
      <c r="A19073" s="859">
        <f t="shared" si="439"/>
        <v>19072</v>
      </c>
      <c r="B19073" s="845" t="s">
        <v>2568</v>
      </c>
      <c r="D19073" s="861"/>
      <c r="H19073" s="845" t="s">
        <v>1007</v>
      </c>
    </row>
    <row r="19074" spans="1:10" x14ac:dyDescent="0.2">
      <c r="A19074" s="859">
        <f t="shared" si="439"/>
        <v>19073</v>
      </c>
      <c r="B19074" s="845" t="s">
        <v>2568</v>
      </c>
      <c r="D19074" s="862"/>
      <c r="I19074" s="845" t="s">
        <v>1008</v>
      </c>
    </row>
    <row r="19075" spans="1:10" x14ac:dyDescent="0.2">
      <c r="A19075" s="859">
        <f t="shared" si="439"/>
        <v>19074</v>
      </c>
      <c r="B19075" s="845" t="s">
        <v>2568</v>
      </c>
      <c r="D19075" s="863"/>
      <c r="J19075" s="845" t="s">
        <v>2388</v>
      </c>
    </row>
    <row r="19076" spans="1:10" x14ac:dyDescent="0.2">
      <c r="A19076" s="859">
        <f t="shared" ref="A19076:A19139" si="440">+A19075+1</f>
        <v>19075</v>
      </c>
      <c r="B19076" s="845" t="s">
        <v>2568</v>
      </c>
      <c r="D19076" s="862"/>
      <c r="I19076" s="845" t="s">
        <v>1009</v>
      </c>
    </row>
    <row r="19077" spans="1:10" x14ac:dyDescent="0.2">
      <c r="A19077" s="859">
        <f t="shared" si="440"/>
        <v>19076</v>
      </c>
      <c r="B19077" s="845" t="s">
        <v>2568</v>
      </c>
      <c r="D19077" s="862"/>
      <c r="I19077" s="845" t="str">
        <f>CONCATENATE("&lt;valeur&gt;",Cellule_1870,"&lt;/valeur&gt;")</f>
        <v>&lt;valeur&gt;0&lt;/valeur&gt;</v>
      </c>
    </row>
    <row r="19078" spans="1:10" x14ac:dyDescent="0.2">
      <c r="A19078" s="859">
        <f t="shared" si="440"/>
        <v>19077</v>
      </c>
      <c r="B19078" s="845" t="s">
        <v>2568</v>
      </c>
      <c r="D19078" s="861"/>
      <c r="H19078" s="845" t="s">
        <v>1010</v>
      </c>
    </row>
    <row r="19079" spans="1:10" x14ac:dyDescent="0.2">
      <c r="A19079" s="859">
        <f t="shared" si="440"/>
        <v>19078</v>
      </c>
      <c r="B19079" s="845" t="s">
        <v>2568</v>
      </c>
      <c r="D19079" s="861"/>
      <c r="H19079" s="845" t="s">
        <v>1007</v>
      </c>
    </row>
    <row r="19080" spans="1:10" x14ac:dyDescent="0.2">
      <c r="A19080" s="859">
        <f t="shared" si="440"/>
        <v>19079</v>
      </c>
      <c r="B19080" s="845" t="s">
        <v>2568</v>
      </c>
      <c r="D19080" s="862"/>
      <c r="I19080" s="845" t="s">
        <v>1008</v>
      </c>
    </row>
    <row r="19081" spans="1:10" x14ac:dyDescent="0.2">
      <c r="A19081" s="859">
        <f t="shared" si="440"/>
        <v>19080</v>
      </c>
      <c r="B19081" s="845" t="s">
        <v>2568</v>
      </c>
      <c r="D19081" s="863"/>
      <c r="J19081" s="845" t="s">
        <v>2389</v>
      </c>
    </row>
    <row r="19082" spans="1:10" x14ac:dyDescent="0.2">
      <c r="A19082" s="859">
        <f t="shared" si="440"/>
        <v>19081</v>
      </c>
      <c r="B19082" s="845" t="s">
        <v>2568</v>
      </c>
      <c r="D19082" s="862"/>
      <c r="I19082" s="845" t="s">
        <v>1009</v>
      </c>
    </row>
    <row r="19083" spans="1:10" x14ac:dyDescent="0.2">
      <c r="A19083" s="859">
        <f t="shared" si="440"/>
        <v>19082</v>
      </c>
      <c r="B19083" s="845" t="s">
        <v>2568</v>
      </c>
      <c r="D19083" s="862"/>
      <c r="I19083" s="845" t="str">
        <f>CONCATENATE("&lt;valeur&gt;",Cellule_1887,"&lt;/valeur&gt;")</f>
        <v>&lt;valeur&gt;0&lt;/valeur&gt;</v>
      </c>
    </row>
    <row r="19084" spans="1:10" x14ac:dyDescent="0.2">
      <c r="A19084" s="859">
        <f t="shared" si="440"/>
        <v>19083</v>
      </c>
      <c r="B19084" s="845" t="s">
        <v>2568</v>
      </c>
      <c r="D19084" s="861"/>
      <c r="H19084" s="845" t="s">
        <v>1010</v>
      </c>
    </row>
    <row r="19085" spans="1:10" x14ac:dyDescent="0.2">
      <c r="A19085" s="859">
        <f t="shared" si="440"/>
        <v>19084</v>
      </c>
      <c r="B19085" s="845" t="s">
        <v>2568</v>
      </c>
      <c r="D19085" s="861"/>
      <c r="H19085" s="845" t="s">
        <v>1007</v>
      </c>
    </row>
    <row r="19086" spans="1:10" x14ac:dyDescent="0.2">
      <c r="A19086" s="859">
        <f t="shared" si="440"/>
        <v>19085</v>
      </c>
      <c r="B19086" s="845" t="s">
        <v>2568</v>
      </c>
      <c r="D19086" s="862"/>
      <c r="I19086" s="845" t="s">
        <v>1008</v>
      </c>
    </row>
    <row r="19087" spans="1:10" x14ac:dyDescent="0.2">
      <c r="A19087" s="859">
        <f t="shared" si="440"/>
        <v>19086</v>
      </c>
      <c r="B19087" s="845" t="s">
        <v>2568</v>
      </c>
      <c r="D19087" s="863"/>
      <c r="J19087" s="845" t="s">
        <v>2390</v>
      </c>
    </row>
    <row r="19088" spans="1:10" x14ac:dyDescent="0.2">
      <c r="A19088" s="859">
        <f t="shared" si="440"/>
        <v>19087</v>
      </c>
      <c r="B19088" s="845" t="s">
        <v>2568</v>
      </c>
      <c r="D19088" s="862"/>
      <c r="I19088" s="845" t="s">
        <v>1009</v>
      </c>
    </row>
    <row r="19089" spans="1:10" x14ac:dyDescent="0.2">
      <c r="A19089" s="859">
        <f t="shared" si="440"/>
        <v>19088</v>
      </c>
      <c r="B19089" s="845" t="s">
        <v>2568</v>
      </c>
      <c r="D19089" s="862"/>
      <c r="I19089" s="845" t="str">
        <f>CONCATENATE("&lt;valeur&gt;",Cellule_1403,"&lt;/valeur&gt;")</f>
        <v>&lt;valeur&gt;0&lt;/valeur&gt;</v>
      </c>
    </row>
    <row r="19090" spans="1:10" x14ac:dyDescent="0.2">
      <c r="A19090" s="859">
        <f t="shared" si="440"/>
        <v>19089</v>
      </c>
      <c r="B19090" s="845" t="s">
        <v>2568</v>
      </c>
      <c r="D19090" s="861"/>
      <c r="H19090" s="845" t="s">
        <v>1010</v>
      </c>
    </row>
    <row r="19091" spans="1:10" x14ac:dyDescent="0.2">
      <c r="A19091" s="859">
        <f t="shared" si="440"/>
        <v>19090</v>
      </c>
      <c r="B19091" s="845" t="s">
        <v>2568</v>
      </c>
      <c r="D19091" s="861"/>
      <c r="H19091" s="845" t="s">
        <v>1007</v>
      </c>
    </row>
    <row r="19092" spans="1:10" x14ac:dyDescent="0.2">
      <c r="A19092" s="859">
        <f t="shared" si="440"/>
        <v>19091</v>
      </c>
      <c r="B19092" s="845" t="s">
        <v>2568</v>
      </c>
      <c r="D19092" s="862"/>
      <c r="I19092" s="845" t="s">
        <v>1008</v>
      </c>
    </row>
    <row r="19093" spans="1:10" x14ac:dyDescent="0.2">
      <c r="A19093" s="859">
        <f t="shared" si="440"/>
        <v>19092</v>
      </c>
      <c r="B19093" s="845" t="s">
        <v>2568</v>
      </c>
      <c r="D19093" s="863"/>
      <c r="J19093" s="845" t="s">
        <v>2391</v>
      </c>
    </row>
    <row r="19094" spans="1:10" x14ac:dyDescent="0.2">
      <c r="A19094" s="859">
        <f t="shared" si="440"/>
        <v>19093</v>
      </c>
      <c r="B19094" s="845" t="s">
        <v>2568</v>
      </c>
      <c r="D19094" s="862"/>
      <c r="I19094" s="845" t="s">
        <v>1009</v>
      </c>
    </row>
    <row r="19095" spans="1:10" x14ac:dyDescent="0.2">
      <c r="A19095" s="859">
        <f t="shared" si="440"/>
        <v>19094</v>
      </c>
      <c r="B19095" s="845" t="s">
        <v>2568</v>
      </c>
      <c r="D19095" s="862"/>
      <c r="I19095" s="845" t="str">
        <f>CONCATENATE("&lt;valeur&gt;",Cellule_1411,"&lt;/valeur&gt;")</f>
        <v>&lt;valeur&gt;0&lt;/valeur&gt;</v>
      </c>
    </row>
    <row r="19096" spans="1:10" x14ac:dyDescent="0.2">
      <c r="A19096" s="859">
        <f t="shared" si="440"/>
        <v>19095</v>
      </c>
      <c r="B19096" s="845" t="s">
        <v>2568</v>
      </c>
      <c r="D19096" s="861"/>
      <c r="H19096" s="845" t="s">
        <v>1010</v>
      </c>
    </row>
    <row r="19097" spans="1:10" x14ac:dyDescent="0.2">
      <c r="A19097" s="859">
        <f t="shared" si="440"/>
        <v>19096</v>
      </c>
      <c r="B19097" s="845" t="s">
        <v>2568</v>
      </c>
      <c r="D19097" s="861"/>
      <c r="H19097" s="845" t="s">
        <v>1007</v>
      </c>
    </row>
    <row r="19098" spans="1:10" x14ac:dyDescent="0.2">
      <c r="A19098" s="859">
        <f t="shared" si="440"/>
        <v>19097</v>
      </c>
      <c r="B19098" s="845" t="s">
        <v>2568</v>
      </c>
      <c r="D19098" s="862"/>
      <c r="I19098" s="845" t="s">
        <v>1008</v>
      </c>
    </row>
    <row r="19099" spans="1:10" x14ac:dyDescent="0.2">
      <c r="A19099" s="859">
        <f t="shared" si="440"/>
        <v>19098</v>
      </c>
      <c r="B19099" s="845" t="s">
        <v>2568</v>
      </c>
      <c r="D19099" s="863"/>
      <c r="J19099" s="845" t="s">
        <v>2392</v>
      </c>
    </row>
    <row r="19100" spans="1:10" x14ac:dyDescent="0.2">
      <c r="A19100" s="859">
        <f t="shared" si="440"/>
        <v>19099</v>
      </c>
      <c r="B19100" s="845" t="s">
        <v>2568</v>
      </c>
      <c r="D19100" s="862"/>
      <c r="I19100" s="845" t="s">
        <v>1009</v>
      </c>
    </row>
    <row r="19101" spans="1:10" x14ac:dyDescent="0.2">
      <c r="A19101" s="859">
        <f t="shared" si="440"/>
        <v>19100</v>
      </c>
      <c r="B19101" s="845" t="s">
        <v>2568</v>
      </c>
      <c r="D19101" s="862"/>
      <c r="I19101" s="845" t="str">
        <f>CONCATENATE("&lt;valeur&gt;",Cellule_1419,"&lt;/valeur&gt;")</f>
        <v>&lt;valeur&gt;0&lt;/valeur&gt;</v>
      </c>
    </row>
    <row r="19102" spans="1:10" x14ac:dyDescent="0.2">
      <c r="A19102" s="859">
        <f t="shared" si="440"/>
        <v>19101</v>
      </c>
      <c r="B19102" s="845" t="s">
        <v>2568</v>
      </c>
      <c r="D19102" s="861"/>
      <c r="H19102" s="845" t="s">
        <v>1010</v>
      </c>
    </row>
    <row r="19103" spans="1:10" x14ac:dyDescent="0.2">
      <c r="A19103" s="859">
        <f t="shared" si="440"/>
        <v>19102</v>
      </c>
      <c r="B19103" s="845" t="s">
        <v>2568</v>
      </c>
      <c r="D19103" s="861"/>
      <c r="H19103" s="845" t="s">
        <v>1007</v>
      </c>
    </row>
    <row r="19104" spans="1:10" x14ac:dyDescent="0.2">
      <c r="A19104" s="859">
        <f t="shared" si="440"/>
        <v>19103</v>
      </c>
      <c r="B19104" s="845" t="s">
        <v>2568</v>
      </c>
      <c r="D19104" s="862"/>
      <c r="I19104" s="845" t="s">
        <v>1008</v>
      </c>
    </row>
    <row r="19105" spans="1:10" x14ac:dyDescent="0.2">
      <c r="A19105" s="859">
        <f t="shared" si="440"/>
        <v>19104</v>
      </c>
      <c r="B19105" s="845" t="s">
        <v>2568</v>
      </c>
      <c r="D19105" s="863"/>
      <c r="J19105" s="845" t="s">
        <v>2393</v>
      </c>
    </row>
    <row r="19106" spans="1:10" x14ac:dyDescent="0.2">
      <c r="A19106" s="859">
        <f t="shared" si="440"/>
        <v>19105</v>
      </c>
      <c r="B19106" s="845" t="s">
        <v>2568</v>
      </c>
      <c r="D19106" s="862"/>
      <c r="I19106" s="845" t="s">
        <v>1009</v>
      </c>
    </row>
    <row r="19107" spans="1:10" x14ac:dyDescent="0.2">
      <c r="A19107" s="859">
        <f t="shared" si="440"/>
        <v>19106</v>
      </c>
      <c r="B19107" s="845" t="s">
        <v>2568</v>
      </c>
      <c r="D19107" s="862"/>
      <c r="I19107" s="845" t="str">
        <f>CONCATENATE("&lt;valeur&gt;",Cellule_1427,"&lt;/valeur&gt;")</f>
        <v>&lt;valeur&gt;0&lt;/valeur&gt;</v>
      </c>
    </row>
    <row r="19108" spans="1:10" x14ac:dyDescent="0.2">
      <c r="A19108" s="859">
        <f t="shared" si="440"/>
        <v>19107</v>
      </c>
      <c r="B19108" s="845" t="s">
        <v>2568</v>
      </c>
      <c r="D19108" s="861"/>
      <c r="H19108" s="845" t="s">
        <v>1010</v>
      </c>
    </row>
    <row r="19109" spans="1:10" x14ac:dyDescent="0.2">
      <c r="A19109" s="859">
        <f t="shared" si="440"/>
        <v>19108</v>
      </c>
      <c r="B19109" s="845" t="s">
        <v>2568</v>
      </c>
      <c r="D19109" s="861"/>
      <c r="H19109" s="845" t="s">
        <v>1007</v>
      </c>
    </row>
    <row r="19110" spans="1:10" x14ac:dyDescent="0.2">
      <c r="A19110" s="859">
        <f t="shared" si="440"/>
        <v>19109</v>
      </c>
      <c r="B19110" s="845" t="s">
        <v>2568</v>
      </c>
      <c r="D19110" s="862"/>
      <c r="I19110" s="845" t="s">
        <v>1008</v>
      </c>
    </row>
    <row r="19111" spans="1:10" x14ac:dyDescent="0.2">
      <c r="A19111" s="859">
        <f t="shared" si="440"/>
        <v>19110</v>
      </c>
      <c r="B19111" s="845" t="s">
        <v>2568</v>
      </c>
      <c r="D19111" s="863"/>
      <c r="J19111" s="845" t="s">
        <v>2394</v>
      </c>
    </row>
    <row r="19112" spans="1:10" x14ac:dyDescent="0.2">
      <c r="A19112" s="859">
        <f t="shared" si="440"/>
        <v>19111</v>
      </c>
      <c r="B19112" s="845" t="s">
        <v>2568</v>
      </c>
      <c r="D19112" s="862"/>
      <c r="I19112" s="845" t="s">
        <v>1009</v>
      </c>
    </row>
    <row r="19113" spans="1:10" x14ac:dyDescent="0.2">
      <c r="A19113" s="859">
        <f t="shared" si="440"/>
        <v>19112</v>
      </c>
      <c r="B19113" s="845" t="s">
        <v>2568</v>
      </c>
      <c r="D19113" s="862"/>
      <c r="I19113" s="845" t="str">
        <f>CONCATENATE("&lt;valeur&gt;",Cellule_1435,"&lt;/valeur&gt;")</f>
        <v>&lt;valeur&gt;0&lt;/valeur&gt;</v>
      </c>
    </row>
    <row r="19114" spans="1:10" x14ac:dyDescent="0.2">
      <c r="A19114" s="859">
        <f t="shared" si="440"/>
        <v>19113</v>
      </c>
      <c r="B19114" s="845" t="s">
        <v>2568</v>
      </c>
      <c r="D19114" s="861"/>
      <c r="H19114" s="845" t="s">
        <v>1010</v>
      </c>
    </row>
    <row r="19115" spans="1:10" x14ac:dyDescent="0.2">
      <c r="A19115" s="859">
        <f t="shared" si="440"/>
        <v>19114</v>
      </c>
      <c r="B19115" s="845" t="s">
        <v>2568</v>
      </c>
      <c r="D19115" s="861"/>
      <c r="H19115" s="845" t="s">
        <v>1007</v>
      </c>
    </row>
    <row r="19116" spans="1:10" x14ac:dyDescent="0.2">
      <c r="A19116" s="859">
        <f t="shared" si="440"/>
        <v>19115</v>
      </c>
      <c r="B19116" s="845" t="s">
        <v>2568</v>
      </c>
      <c r="D19116" s="862"/>
      <c r="I19116" s="845" t="s">
        <v>1008</v>
      </c>
    </row>
    <row r="19117" spans="1:10" x14ac:dyDescent="0.2">
      <c r="A19117" s="859">
        <f t="shared" si="440"/>
        <v>19116</v>
      </c>
      <c r="B19117" s="845" t="s">
        <v>2568</v>
      </c>
      <c r="D19117" s="863"/>
      <c r="J19117" s="845" t="s">
        <v>2395</v>
      </c>
    </row>
    <row r="19118" spans="1:10" x14ac:dyDescent="0.2">
      <c r="A19118" s="859">
        <f t="shared" si="440"/>
        <v>19117</v>
      </c>
      <c r="B19118" s="845" t="s">
        <v>2568</v>
      </c>
      <c r="D19118" s="862"/>
      <c r="I19118" s="845" t="s">
        <v>1009</v>
      </c>
    </row>
    <row r="19119" spans="1:10" x14ac:dyDescent="0.2">
      <c r="A19119" s="859">
        <f t="shared" si="440"/>
        <v>19118</v>
      </c>
      <c r="B19119" s="845" t="s">
        <v>2568</v>
      </c>
      <c r="D19119" s="862"/>
      <c r="I19119" s="845" t="str">
        <f>CONCATENATE("&lt;valeur&gt;",Cellule_1451,"&lt;/valeur&gt;")</f>
        <v>&lt;valeur&gt;&lt;/valeur&gt;</v>
      </c>
    </row>
    <row r="19120" spans="1:10" x14ac:dyDescent="0.2">
      <c r="A19120" s="859">
        <f t="shared" si="440"/>
        <v>19119</v>
      </c>
      <c r="B19120" s="845" t="s">
        <v>2568</v>
      </c>
      <c r="D19120" s="861"/>
      <c r="H19120" s="845" t="s">
        <v>1010</v>
      </c>
    </row>
    <row r="19121" spans="1:10" x14ac:dyDescent="0.2">
      <c r="A19121" s="859">
        <f t="shared" si="440"/>
        <v>19120</v>
      </c>
      <c r="B19121" s="845" t="s">
        <v>2568</v>
      </c>
      <c r="D19121" s="861"/>
      <c r="H19121" s="845" t="s">
        <v>1007</v>
      </c>
    </row>
    <row r="19122" spans="1:10" x14ac:dyDescent="0.2">
      <c r="A19122" s="859">
        <f t="shared" si="440"/>
        <v>19121</v>
      </c>
      <c r="B19122" s="845" t="s">
        <v>2568</v>
      </c>
      <c r="D19122" s="862"/>
      <c r="I19122" s="845" t="s">
        <v>1008</v>
      </c>
    </row>
    <row r="19123" spans="1:10" x14ac:dyDescent="0.2">
      <c r="A19123" s="859">
        <f t="shared" si="440"/>
        <v>19122</v>
      </c>
      <c r="B19123" s="845" t="s">
        <v>2568</v>
      </c>
      <c r="D19123" s="863"/>
      <c r="J19123" s="845" t="s">
        <v>2396</v>
      </c>
    </row>
    <row r="19124" spans="1:10" x14ac:dyDescent="0.2">
      <c r="A19124" s="859">
        <f t="shared" si="440"/>
        <v>19123</v>
      </c>
      <c r="B19124" s="845" t="s">
        <v>2568</v>
      </c>
      <c r="D19124" s="862"/>
      <c r="I19124" s="845" t="s">
        <v>1009</v>
      </c>
    </row>
    <row r="19125" spans="1:10" x14ac:dyDescent="0.2">
      <c r="A19125" s="859">
        <f t="shared" si="440"/>
        <v>19124</v>
      </c>
      <c r="B19125" s="845" t="s">
        <v>2568</v>
      </c>
      <c r="D19125" s="862"/>
      <c r="I19125" s="845" t="str">
        <f>CONCATENATE("&lt;valeur&gt;",Cellule_1459,"&lt;/valeur&gt;")</f>
        <v>&lt;valeur&gt;0&lt;/valeur&gt;</v>
      </c>
    </row>
    <row r="19126" spans="1:10" x14ac:dyDescent="0.2">
      <c r="A19126" s="859">
        <f t="shared" si="440"/>
        <v>19125</v>
      </c>
      <c r="B19126" s="845" t="s">
        <v>2568</v>
      </c>
      <c r="D19126" s="861"/>
      <c r="H19126" s="845" t="s">
        <v>1010</v>
      </c>
    </row>
    <row r="19127" spans="1:10" x14ac:dyDescent="0.2">
      <c r="A19127" s="859">
        <f t="shared" si="440"/>
        <v>19126</v>
      </c>
      <c r="B19127" s="845" t="s">
        <v>2568</v>
      </c>
      <c r="D19127" s="861"/>
      <c r="H19127" s="845" t="s">
        <v>1007</v>
      </c>
    </row>
    <row r="19128" spans="1:10" x14ac:dyDescent="0.2">
      <c r="A19128" s="859">
        <f t="shared" si="440"/>
        <v>19127</v>
      </c>
      <c r="B19128" s="845" t="s">
        <v>2568</v>
      </c>
      <c r="D19128" s="862"/>
      <c r="I19128" s="845" t="s">
        <v>1008</v>
      </c>
    </row>
    <row r="19129" spans="1:10" x14ac:dyDescent="0.2">
      <c r="A19129" s="859">
        <f t="shared" si="440"/>
        <v>19128</v>
      </c>
      <c r="B19129" s="845" t="s">
        <v>2568</v>
      </c>
      <c r="D19129" s="863"/>
      <c r="J19129" s="845" t="s">
        <v>2397</v>
      </c>
    </row>
    <row r="19130" spans="1:10" x14ac:dyDescent="0.2">
      <c r="A19130" s="859">
        <f t="shared" si="440"/>
        <v>19129</v>
      </c>
      <c r="B19130" s="845" t="s">
        <v>2568</v>
      </c>
      <c r="D19130" s="862"/>
      <c r="I19130" s="845" t="s">
        <v>1009</v>
      </c>
    </row>
    <row r="19131" spans="1:10" x14ac:dyDescent="0.2">
      <c r="A19131" s="859">
        <f t="shared" si="440"/>
        <v>19130</v>
      </c>
      <c r="B19131" s="845" t="s">
        <v>2568</v>
      </c>
      <c r="D19131" s="862"/>
      <c r="I19131" s="845" t="str">
        <f>CONCATENATE("&lt;valeur&gt;",Cellule_1467,"&lt;/valeur&gt;")</f>
        <v>&lt;valeur&gt;0&lt;/valeur&gt;</v>
      </c>
    </row>
    <row r="19132" spans="1:10" x14ac:dyDescent="0.2">
      <c r="A19132" s="859">
        <f t="shared" si="440"/>
        <v>19131</v>
      </c>
      <c r="B19132" s="845" t="s">
        <v>2568</v>
      </c>
      <c r="D19132" s="861"/>
      <c r="H19132" s="845" t="s">
        <v>1010</v>
      </c>
    </row>
    <row r="19133" spans="1:10" x14ac:dyDescent="0.2">
      <c r="A19133" s="859">
        <f t="shared" si="440"/>
        <v>19132</v>
      </c>
      <c r="B19133" s="845" t="s">
        <v>2568</v>
      </c>
      <c r="D19133" s="861"/>
      <c r="H19133" s="845" t="s">
        <v>1007</v>
      </c>
    </row>
    <row r="19134" spans="1:10" x14ac:dyDescent="0.2">
      <c r="A19134" s="859">
        <f t="shared" si="440"/>
        <v>19133</v>
      </c>
      <c r="B19134" s="845" t="s">
        <v>2568</v>
      </c>
      <c r="D19134" s="862"/>
      <c r="I19134" s="845" t="s">
        <v>1008</v>
      </c>
    </row>
    <row r="19135" spans="1:10" x14ac:dyDescent="0.2">
      <c r="A19135" s="859">
        <f t="shared" si="440"/>
        <v>19134</v>
      </c>
      <c r="B19135" s="845" t="s">
        <v>2568</v>
      </c>
      <c r="D19135" s="863"/>
      <c r="J19135" s="845" t="s">
        <v>2398</v>
      </c>
    </row>
    <row r="19136" spans="1:10" x14ac:dyDescent="0.2">
      <c r="A19136" s="859">
        <f t="shared" si="440"/>
        <v>19135</v>
      </c>
      <c r="B19136" s="845" t="s">
        <v>2568</v>
      </c>
      <c r="D19136" s="862"/>
      <c r="I19136" s="845" t="s">
        <v>1009</v>
      </c>
    </row>
    <row r="19137" spans="1:10" x14ac:dyDescent="0.2">
      <c r="A19137" s="859">
        <f t="shared" si="440"/>
        <v>19136</v>
      </c>
      <c r="B19137" s="845" t="s">
        <v>2568</v>
      </c>
      <c r="D19137" s="862"/>
      <c r="I19137" s="845" t="str">
        <f>CONCATENATE("&lt;valeur&gt;",Cellule_1475,"&lt;/valeur&gt;")</f>
        <v>&lt;valeur&gt;0&lt;/valeur&gt;</v>
      </c>
    </row>
    <row r="19138" spans="1:10" x14ac:dyDescent="0.2">
      <c r="A19138" s="859">
        <f t="shared" si="440"/>
        <v>19137</v>
      </c>
      <c r="B19138" s="845" t="s">
        <v>2568</v>
      </c>
      <c r="D19138" s="861"/>
      <c r="H19138" s="845" t="s">
        <v>1010</v>
      </c>
    </row>
    <row r="19139" spans="1:10" x14ac:dyDescent="0.2">
      <c r="A19139" s="859">
        <f t="shared" si="440"/>
        <v>19138</v>
      </c>
      <c r="B19139" s="845" t="s">
        <v>2568</v>
      </c>
      <c r="D19139" s="861"/>
      <c r="H19139" s="845" t="s">
        <v>1007</v>
      </c>
    </row>
    <row r="19140" spans="1:10" x14ac:dyDescent="0.2">
      <c r="A19140" s="859">
        <f t="shared" ref="A19140:A19203" si="441">+A19139+1</f>
        <v>19139</v>
      </c>
      <c r="B19140" s="845" t="s">
        <v>2568</v>
      </c>
      <c r="D19140" s="862"/>
      <c r="I19140" s="845" t="s">
        <v>1008</v>
      </c>
    </row>
    <row r="19141" spans="1:10" x14ac:dyDescent="0.2">
      <c r="A19141" s="859">
        <f t="shared" si="441"/>
        <v>19140</v>
      </c>
      <c r="B19141" s="845" t="s">
        <v>2568</v>
      </c>
      <c r="D19141" s="863"/>
      <c r="J19141" s="845" t="s">
        <v>2399</v>
      </c>
    </row>
    <row r="19142" spans="1:10" x14ac:dyDescent="0.2">
      <c r="A19142" s="859">
        <f t="shared" si="441"/>
        <v>19141</v>
      </c>
      <c r="B19142" s="845" t="s">
        <v>2568</v>
      </c>
      <c r="D19142" s="862"/>
      <c r="I19142" s="845" t="s">
        <v>1009</v>
      </c>
    </row>
    <row r="19143" spans="1:10" x14ac:dyDescent="0.2">
      <c r="A19143" s="859">
        <f t="shared" si="441"/>
        <v>19142</v>
      </c>
      <c r="B19143" s="845" t="s">
        <v>2568</v>
      </c>
      <c r="D19143" s="862"/>
      <c r="I19143" s="845" t="str">
        <f>CONCATENATE("&lt;valeur&gt;",Cellule_1483,"&lt;/valeur&gt;")</f>
        <v>&lt;valeur&gt;0&lt;/valeur&gt;</v>
      </c>
    </row>
    <row r="19144" spans="1:10" x14ac:dyDescent="0.2">
      <c r="A19144" s="859">
        <f t="shared" si="441"/>
        <v>19143</v>
      </c>
      <c r="B19144" s="845" t="s">
        <v>2568</v>
      </c>
      <c r="D19144" s="861"/>
      <c r="H19144" s="845" t="s">
        <v>1010</v>
      </c>
    </row>
    <row r="19145" spans="1:10" x14ac:dyDescent="0.2">
      <c r="A19145" s="859">
        <f t="shared" si="441"/>
        <v>19144</v>
      </c>
      <c r="B19145" s="845" t="s">
        <v>2568</v>
      </c>
      <c r="D19145" s="861"/>
      <c r="H19145" s="845" t="s">
        <v>1007</v>
      </c>
    </row>
    <row r="19146" spans="1:10" x14ac:dyDescent="0.2">
      <c r="A19146" s="859">
        <f t="shared" si="441"/>
        <v>19145</v>
      </c>
      <c r="B19146" s="845" t="s">
        <v>2568</v>
      </c>
      <c r="D19146" s="862"/>
      <c r="I19146" s="845" t="s">
        <v>1008</v>
      </c>
    </row>
    <row r="19147" spans="1:10" x14ac:dyDescent="0.2">
      <c r="A19147" s="859">
        <f t="shared" si="441"/>
        <v>19146</v>
      </c>
      <c r="B19147" s="845" t="s">
        <v>2568</v>
      </c>
      <c r="D19147" s="863"/>
      <c r="J19147" s="845" t="s">
        <v>2400</v>
      </c>
    </row>
    <row r="19148" spans="1:10" x14ac:dyDescent="0.2">
      <c r="A19148" s="859">
        <f t="shared" si="441"/>
        <v>19147</v>
      </c>
      <c r="B19148" s="845" t="s">
        <v>2568</v>
      </c>
      <c r="D19148" s="862"/>
      <c r="I19148" s="845" t="s">
        <v>1009</v>
      </c>
    </row>
    <row r="19149" spans="1:10" x14ac:dyDescent="0.2">
      <c r="A19149" s="859">
        <f t="shared" si="441"/>
        <v>19148</v>
      </c>
      <c r="B19149" s="845" t="s">
        <v>2568</v>
      </c>
      <c r="D19149" s="862"/>
      <c r="I19149" s="845" t="str">
        <f>CONCATENATE("&lt;valeur&gt;",Cellule_1557,"&lt;/valeur&gt;")</f>
        <v>&lt;valeur&gt;0&lt;/valeur&gt;</v>
      </c>
    </row>
    <row r="19150" spans="1:10" x14ac:dyDescent="0.2">
      <c r="A19150" s="859">
        <f t="shared" si="441"/>
        <v>19149</v>
      </c>
      <c r="B19150" s="845" t="s">
        <v>2568</v>
      </c>
      <c r="D19150" s="861"/>
      <c r="H19150" s="845" t="s">
        <v>1010</v>
      </c>
    </row>
    <row r="19151" spans="1:10" x14ac:dyDescent="0.2">
      <c r="A19151" s="859">
        <f t="shared" si="441"/>
        <v>19150</v>
      </c>
      <c r="B19151" s="845" t="s">
        <v>2568</v>
      </c>
      <c r="D19151" s="861"/>
      <c r="H19151" s="845" t="s">
        <v>1007</v>
      </c>
    </row>
    <row r="19152" spans="1:10" x14ac:dyDescent="0.2">
      <c r="A19152" s="859">
        <f t="shared" si="441"/>
        <v>19151</v>
      </c>
      <c r="B19152" s="845" t="s">
        <v>2568</v>
      </c>
      <c r="D19152" s="862"/>
      <c r="I19152" s="845" t="s">
        <v>1008</v>
      </c>
    </row>
    <row r="19153" spans="1:10" x14ac:dyDescent="0.2">
      <c r="A19153" s="859">
        <f t="shared" si="441"/>
        <v>19152</v>
      </c>
      <c r="B19153" s="845" t="s">
        <v>2568</v>
      </c>
      <c r="D19153" s="863"/>
      <c r="J19153" s="845" t="s">
        <v>2401</v>
      </c>
    </row>
    <row r="19154" spans="1:10" x14ac:dyDescent="0.2">
      <c r="A19154" s="859">
        <f t="shared" si="441"/>
        <v>19153</v>
      </c>
      <c r="B19154" s="845" t="s">
        <v>2568</v>
      </c>
      <c r="D19154" s="862"/>
      <c r="I19154" s="845" t="s">
        <v>1009</v>
      </c>
    </row>
    <row r="19155" spans="1:10" x14ac:dyDescent="0.2">
      <c r="A19155" s="859">
        <f t="shared" si="441"/>
        <v>19154</v>
      </c>
      <c r="B19155" s="845" t="s">
        <v>2568</v>
      </c>
      <c r="D19155" s="862"/>
      <c r="I19155" s="845" t="str">
        <f>CONCATENATE("&lt;valeur&gt;",Cellule_1598,"&lt;/valeur&gt;")</f>
        <v>&lt;valeur&gt;0&lt;/valeur&gt;</v>
      </c>
    </row>
    <row r="19156" spans="1:10" x14ac:dyDescent="0.2">
      <c r="A19156" s="859">
        <f t="shared" si="441"/>
        <v>19155</v>
      </c>
      <c r="B19156" s="845" t="s">
        <v>2568</v>
      </c>
      <c r="D19156" s="861"/>
      <c r="H19156" s="845" t="s">
        <v>1010</v>
      </c>
    </row>
    <row r="19157" spans="1:10" x14ac:dyDescent="0.2">
      <c r="A19157" s="859">
        <f t="shared" si="441"/>
        <v>19156</v>
      </c>
      <c r="B19157" s="845" t="s">
        <v>2568</v>
      </c>
      <c r="D19157" s="861"/>
      <c r="H19157" s="845" t="s">
        <v>1007</v>
      </c>
    </row>
    <row r="19158" spans="1:10" x14ac:dyDescent="0.2">
      <c r="A19158" s="859">
        <f t="shared" si="441"/>
        <v>19157</v>
      </c>
      <c r="B19158" s="845" t="s">
        <v>2568</v>
      </c>
      <c r="D19158" s="862"/>
      <c r="I19158" s="845" t="s">
        <v>1008</v>
      </c>
    </row>
    <row r="19159" spans="1:10" x14ac:dyDescent="0.2">
      <c r="A19159" s="859">
        <f t="shared" si="441"/>
        <v>19158</v>
      </c>
      <c r="B19159" s="845" t="s">
        <v>2568</v>
      </c>
      <c r="D19159" s="863"/>
      <c r="J19159" s="845" t="s">
        <v>2402</v>
      </c>
    </row>
    <row r="19160" spans="1:10" x14ac:dyDescent="0.2">
      <c r="A19160" s="859">
        <f t="shared" si="441"/>
        <v>19159</v>
      </c>
      <c r="B19160" s="845" t="s">
        <v>2568</v>
      </c>
      <c r="D19160" s="862"/>
      <c r="I19160" s="845" t="s">
        <v>1009</v>
      </c>
    </row>
    <row r="19161" spans="1:10" x14ac:dyDescent="0.2">
      <c r="A19161" s="859">
        <f t="shared" si="441"/>
        <v>19160</v>
      </c>
      <c r="B19161" s="845" t="s">
        <v>2568</v>
      </c>
      <c r="D19161" s="862"/>
      <c r="I19161" s="845" t="str">
        <f>CONCATENATE("&lt;valeur&gt;",Cellule_1606,"&lt;/valeur&gt;")</f>
        <v>&lt;valeur&gt;0&lt;/valeur&gt;</v>
      </c>
    </row>
    <row r="19162" spans="1:10" x14ac:dyDescent="0.2">
      <c r="A19162" s="859">
        <f t="shared" si="441"/>
        <v>19161</v>
      </c>
      <c r="B19162" s="845" t="s">
        <v>2568</v>
      </c>
      <c r="D19162" s="861"/>
      <c r="H19162" s="845" t="s">
        <v>1010</v>
      </c>
    </row>
    <row r="19163" spans="1:10" x14ac:dyDescent="0.2">
      <c r="A19163" s="859">
        <f t="shared" si="441"/>
        <v>19162</v>
      </c>
      <c r="B19163" s="845" t="s">
        <v>2568</v>
      </c>
      <c r="D19163" s="861"/>
      <c r="H19163" s="845" t="s">
        <v>1007</v>
      </c>
    </row>
    <row r="19164" spans="1:10" x14ac:dyDescent="0.2">
      <c r="A19164" s="859">
        <f t="shared" si="441"/>
        <v>19163</v>
      </c>
      <c r="B19164" s="845" t="s">
        <v>2568</v>
      </c>
      <c r="D19164" s="862"/>
      <c r="I19164" s="845" t="s">
        <v>1008</v>
      </c>
    </row>
    <row r="19165" spans="1:10" x14ac:dyDescent="0.2">
      <c r="A19165" s="859">
        <f t="shared" si="441"/>
        <v>19164</v>
      </c>
      <c r="B19165" s="845" t="s">
        <v>2568</v>
      </c>
      <c r="D19165" s="863"/>
      <c r="J19165" s="845" t="s">
        <v>2403</v>
      </c>
    </row>
    <row r="19166" spans="1:10" x14ac:dyDescent="0.2">
      <c r="A19166" s="859">
        <f t="shared" si="441"/>
        <v>19165</v>
      </c>
      <c r="B19166" s="845" t="s">
        <v>2568</v>
      </c>
      <c r="D19166" s="862"/>
      <c r="I19166" s="845" t="s">
        <v>1009</v>
      </c>
    </row>
    <row r="19167" spans="1:10" x14ac:dyDescent="0.2">
      <c r="A19167" s="859">
        <f t="shared" si="441"/>
        <v>19166</v>
      </c>
      <c r="B19167" s="845" t="s">
        <v>2568</v>
      </c>
      <c r="D19167" s="862"/>
      <c r="I19167" s="845" t="str">
        <f>CONCATENATE("&lt;valeur&gt;",Cellule_1614,"&lt;/valeur&gt;")</f>
        <v>&lt;valeur&gt;0&lt;/valeur&gt;</v>
      </c>
    </row>
    <row r="19168" spans="1:10" x14ac:dyDescent="0.2">
      <c r="A19168" s="859">
        <f t="shared" si="441"/>
        <v>19167</v>
      </c>
      <c r="B19168" s="845" t="s">
        <v>2568</v>
      </c>
      <c r="D19168" s="861"/>
      <c r="H19168" s="845" t="s">
        <v>1010</v>
      </c>
    </row>
    <row r="19169" spans="1:10" x14ac:dyDescent="0.2">
      <c r="A19169" s="859">
        <f t="shared" si="441"/>
        <v>19168</v>
      </c>
      <c r="B19169" s="845" t="s">
        <v>2568</v>
      </c>
      <c r="D19169" s="861"/>
      <c r="H19169" s="845" t="s">
        <v>1007</v>
      </c>
    </row>
    <row r="19170" spans="1:10" x14ac:dyDescent="0.2">
      <c r="A19170" s="859">
        <f t="shared" si="441"/>
        <v>19169</v>
      </c>
      <c r="B19170" s="845" t="s">
        <v>2568</v>
      </c>
      <c r="D19170" s="862"/>
      <c r="I19170" s="845" t="s">
        <v>1008</v>
      </c>
    </row>
    <row r="19171" spans="1:10" x14ac:dyDescent="0.2">
      <c r="A19171" s="859">
        <f t="shared" si="441"/>
        <v>19170</v>
      </c>
      <c r="B19171" s="845" t="s">
        <v>2568</v>
      </c>
      <c r="D19171" s="863"/>
      <c r="J19171" s="845" t="s">
        <v>2404</v>
      </c>
    </row>
    <row r="19172" spans="1:10" x14ac:dyDescent="0.2">
      <c r="A19172" s="859">
        <f t="shared" si="441"/>
        <v>19171</v>
      </c>
      <c r="B19172" s="845" t="s">
        <v>2568</v>
      </c>
      <c r="D19172" s="862"/>
      <c r="I19172" s="845" t="s">
        <v>1009</v>
      </c>
    </row>
    <row r="19173" spans="1:10" x14ac:dyDescent="0.2">
      <c r="A19173" s="859">
        <f t="shared" si="441"/>
        <v>19172</v>
      </c>
      <c r="B19173" s="845" t="s">
        <v>2568</v>
      </c>
      <c r="D19173" s="862"/>
      <c r="I19173" s="845" t="str">
        <f>CONCATENATE("&lt;valeur&gt;",Cellule_1637,"&lt;/valeur&gt;")</f>
        <v>&lt;valeur&gt;&lt;/valeur&gt;</v>
      </c>
    </row>
    <row r="19174" spans="1:10" x14ac:dyDescent="0.2">
      <c r="A19174" s="859">
        <f t="shared" si="441"/>
        <v>19173</v>
      </c>
      <c r="B19174" s="845" t="s">
        <v>2568</v>
      </c>
      <c r="D19174" s="861"/>
      <c r="H19174" s="845" t="s">
        <v>1010</v>
      </c>
    </row>
    <row r="19175" spans="1:10" x14ac:dyDescent="0.2">
      <c r="A19175" s="859">
        <f t="shared" si="441"/>
        <v>19174</v>
      </c>
      <c r="B19175" s="845" t="s">
        <v>2568</v>
      </c>
      <c r="D19175" s="861"/>
      <c r="H19175" s="845" t="s">
        <v>1007</v>
      </c>
    </row>
    <row r="19176" spans="1:10" x14ac:dyDescent="0.2">
      <c r="A19176" s="859">
        <f t="shared" si="441"/>
        <v>19175</v>
      </c>
      <c r="B19176" s="845" t="s">
        <v>2568</v>
      </c>
      <c r="D19176" s="862"/>
      <c r="I19176" s="845" t="s">
        <v>1008</v>
      </c>
    </row>
    <row r="19177" spans="1:10" x14ac:dyDescent="0.2">
      <c r="A19177" s="859">
        <f t="shared" si="441"/>
        <v>19176</v>
      </c>
      <c r="B19177" s="845" t="s">
        <v>2568</v>
      </c>
      <c r="D19177" s="863"/>
      <c r="J19177" s="845" t="s">
        <v>2405</v>
      </c>
    </row>
    <row r="19178" spans="1:10" x14ac:dyDescent="0.2">
      <c r="A19178" s="859">
        <f t="shared" si="441"/>
        <v>19177</v>
      </c>
      <c r="B19178" s="845" t="s">
        <v>2568</v>
      </c>
      <c r="D19178" s="862"/>
      <c r="I19178" s="845" t="s">
        <v>1009</v>
      </c>
    </row>
    <row r="19179" spans="1:10" x14ac:dyDescent="0.2">
      <c r="A19179" s="859">
        <f t="shared" si="441"/>
        <v>19178</v>
      </c>
      <c r="B19179" s="845" t="s">
        <v>2568</v>
      </c>
      <c r="D19179" s="862"/>
      <c r="I19179" s="845" t="str">
        <f>CONCATENATE("&lt;valeur&gt;",Cellule_1645,"&lt;/valeur&gt;")</f>
        <v>&lt;valeur&gt;0&lt;/valeur&gt;</v>
      </c>
    </row>
    <row r="19180" spans="1:10" x14ac:dyDescent="0.2">
      <c r="A19180" s="859">
        <f t="shared" si="441"/>
        <v>19179</v>
      </c>
      <c r="B19180" s="845" t="s">
        <v>2568</v>
      </c>
      <c r="D19180" s="861"/>
      <c r="H19180" s="845" t="s">
        <v>1010</v>
      </c>
    </row>
    <row r="19181" spans="1:10" x14ac:dyDescent="0.2">
      <c r="A19181" s="859">
        <f t="shared" si="441"/>
        <v>19180</v>
      </c>
      <c r="B19181" s="845" t="s">
        <v>2568</v>
      </c>
      <c r="D19181" s="861"/>
      <c r="H19181" s="845" t="s">
        <v>1007</v>
      </c>
    </row>
    <row r="19182" spans="1:10" x14ac:dyDescent="0.2">
      <c r="A19182" s="859">
        <f t="shared" si="441"/>
        <v>19181</v>
      </c>
      <c r="B19182" s="845" t="s">
        <v>2568</v>
      </c>
      <c r="D19182" s="862"/>
      <c r="I19182" s="845" t="s">
        <v>1008</v>
      </c>
    </row>
    <row r="19183" spans="1:10" x14ac:dyDescent="0.2">
      <c r="A19183" s="859">
        <f t="shared" si="441"/>
        <v>19182</v>
      </c>
      <c r="B19183" s="845" t="s">
        <v>2568</v>
      </c>
      <c r="D19183" s="863"/>
      <c r="J19183" s="845" t="s">
        <v>2406</v>
      </c>
    </row>
    <row r="19184" spans="1:10" x14ac:dyDescent="0.2">
      <c r="A19184" s="859">
        <f t="shared" si="441"/>
        <v>19183</v>
      </c>
      <c r="B19184" s="845" t="s">
        <v>2568</v>
      </c>
      <c r="D19184" s="862"/>
      <c r="I19184" s="845" t="s">
        <v>1009</v>
      </c>
    </row>
    <row r="19185" spans="1:10" x14ac:dyDescent="0.2">
      <c r="A19185" s="859">
        <f t="shared" si="441"/>
        <v>19184</v>
      </c>
      <c r="B19185" s="845" t="s">
        <v>2568</v>
      </c>
      <c r="D19185" s="862"/>
      <c r="I19185" s="845" t="str">
        <f>CONCATENATE("&lt;valeur&gt;",Cellule_1658,"&lt;/valeur&gt;")</f>
        <v>&lt;valeur&gt;0&lt;/valeur&gt;</v>
      </c>
    </row>
    <row r="19186" spans="1:10" x14ac:dyDescent="0.2">
      <c r="A19186" s="859">
        <f t="shared" si="441"/>
        <v>19185</v>
      </c>
      <c r="B19186" s="845" t="s">
        <v>2568</v>
      </c>
      <c r="D19186" s="861"/>
      <c r="H19186" s="845" t="s">
        <v>1010</v>
      </c>
    </row>
    <row r="19187" spans="1:10" x14ac:dyDescent="0.2">
      <c r="A19187" s="859">
        <f t="shared" si="441"/>
        <v>19186</v>
      </c>
      <c r="B19187" s="845" t="s">
        <v>2568</v>
      </c>
      <c r="D19187" s="861"/>
      <c r="H19187" s="845" t="s">
        <v>1007</v>
      </c>
    </row>
    <row r="19188" spans="1:10" x14ac:dyDescent="0.2">
      <c r="A19188" s="859">
        <f t="shared" si="441"/>
        <v>19187</v>
      </c>
      <c r="B19188" s="845" t="s">
        <v>2568</v>
      </c>
      <c r="D19188" s="862"/>
      <c r="I19188" s="845" t="s">
        <v>1008</v>
      </c>
    </row>
    <row r="19189" spans="1:10" x14ac:dyDescent="0.2">
      <c r="A19189" s="859">
        <f t="shared" si="441"/>
        <v>19188</v>
      </c>
      <c r="B19189" s="845" t="s">
        <v>2568</v>
      </c>
      <c r="D19189" s="863"/>
      <c r="J19189" s="845" t="s">
        <v>2407</v>
      </c>
    </row>
    <row r="19190" spans="1:10" x14ac:dyDescent="0.2">
      <c r="A19190" s="859">
        <f t="shared" si="441"/>
        <v>19189</v>
      </c>
      <c r="B19190" s="845" t="s">
        <v>2568</v>
      </c>
      <c r="D19190" s="862"/>
      <c r="I19190" s="845" t="s">
        <v>1009</v>
      </c>
    </row>
    <row r="19191" spans="1:10" x14ac:dyDescent="0.2">
      <c r="A19191" s="859">
        <f t="shared" si="441"/>
        <v>19190</v>
      </c>
      <c r="B19191" s="845" t="s">
        <v>2568</v>
      </c>
      <c r="D19191" s="862"/>
      <c r="I19191" s="845" t="str">
        <f>CONCATENATE("&lt;valeur&gt;",Cellule_1666,"&lt;/valeur&gt;")</f>
        <v>&lt;valeur&gt;0&lt;/valeur&gt;</v>
      </c>
    </row>
    <row r="19192" spans="1:10" x14ac:dyDescent="0.2">
      <c r="A19192" s="859">
        <f t="shared" si="441"/>
        <v>19191</v>
      </c>
      <c r="B19192" s="845" t="s">
        <v>2568</v>
      </c>
      <c r="D19192" s="861"/>
      <c r="H19192" s="845" t="s">
        <v>1010</v>
      </c>
    </row>
    <row r="19193" spans="1:10" x14ac:dyDescent="0.2">
      <c r="A19193" s="859">
        <f t="shared" si="441"/>
        <v>19192</v>
      </c>
      <c r="B19193" s="845" t="s">
        <v>2568</v>
      </c>
      <c r="D19193" s="861"/>
      <c r="H19193" s="845" t="s">
        <v>1007</v>
      </c>
    </row>
    <row r="19194" spans="1:10" x14ac:dyDescent="0.2">
      <c r="A19194" s="859">
        <f t="shared" si="441"/>
        <v>19193</v>
      </c>
      <c r="B19194" s="845" t="s">
        <v>2568</v>
      </c>
      <c r="D19194" s="862"/>
      <c r="I19194" s="845" t="s">
        <v>1008</v>
      </c>
    </row>
    <row r="19195" spans="1:10" x14ac:dyDescent="0.2">
      <c r="A19195" s="859">
        <f t="shared" si="441"/>
        <v>19194</v>
      </c>
      <c r="B19195" s="845" t="s">
        <v>2568</v>
      </c>
      <c r="D19195" s="863"/>
      <c r="J19195" s="845" t="s">
        <v>2408</v>
      </c>
    </row>
    <row r="19196" spans="1:10" x14ac:dyDescent="0.2">
      <c r="A19196" s="859">
        <f t="shared" si="441"/>
        <v>19195</v>
      </c>
      <c r="B19196" s="845" t="s">
        <v>2568</v>
      </c>
      <c r="D19196" s="862"/>
      <c r="I19196" s="845" t="s">
        <v>1009</v>
      </c>
    </row>
    <row r="19197" spans="1:10" x14ac:dyDescent="0.2">
      <c r="A19197" s="859">
        <f t="shared" si="441"/>
        <v>19196</v>
      </c>
      <c r="B19197" s="845" t="s">
        <v>2568</v>
      </c>
      <c r="D19197" s="862"/>
      <c r="I19197" s="845" t="str">
        <f>CONCATENATE("&lt;valeur&gt;",Cellule_1674,"&lt;/valeur&gt;")</f>
        <v>&lt;valeur&gt;0&lt;/valeur&gt;</v>
      </c>
    </row>
    <row r="19198" spans="1:10" x14ac:dyDescent="0.2">
      <c r="A19198" s="859">
        <f t="shared" si="441"/>
        <v>19197</v>
      </c>
      <c r="B19198" s="845" t="s">
        <v>2568</v>
      </c>
      <c r="D19198" s="861"/>
      <c r="H19198" s="845" t="s">
        <v>1010</v>
      </c>
    </row>
    <row r="19199" spans="1:10" x14ac:dyDescent="0.2">
      <c r="A19199" s="859">
        <f t="shared" si="441"/>
        <v>19198</v>
      </c>
      <c r="B19199" s="845" t="s">
        <v>2568</v>
      </c>
      <c r="D19199" s="861"/>
      <c r="H19199" s="845" t="s">
        <v>1007</v>
      </c>
    </row>
    <row r="19200" spans="1:10" x14ac:dyDescent="0.2">
      <c r="A19200" s="859">
        <f t="shared" si="441"/>
        <v>19199</v>
      </c>
      <c r="B19200" s="845" t="s">
        <v>2568</v>
      </c>
      <c r="D19200" s="862"/>
      <c r="I19200" s="845" t="s">
        <v>1008</v>
      </c>
    </row>
    <row r="19201" spans="1:10" x14ac:dyDescent="0.2">
      <c r="A19201" s="859">
        <f t="shared" si="441"/>
        <v>19200</v>
      </c>
      <c r="B19201" s="845" t="s">
        <v>2568</v>
      </c>
      <c r="D19201" s="863"/>
      <c r="J19201" s="845" t="s">
        <v>2409</v>
      </c>
    </row>
    <row r="19202" spans="1:10" x14ac:dyDescent="0.2">
      <c r="A19202" s="859">
        <f t="shared" si="441"/>
        <v>19201</v>
      </c>
      <c r="B19202" s="845" t="s">
        <v>2568</v>
      </c>
      <c r="D19202" s="862"/>
      <c r="I19202" s="845" t="s">
        <v>1009</v>
      </c>
    </row>
    <row r="19203" spans="1:10" x14ac:dyDescent="0.2">
      <c r="A19203" s="859">
        <f t="shared" si="441"/>
        <v>19202</v>
      </c>
      <c r="B19203" s="845" t="s">
        <v>2568</v>
      </c>
      <c r="D19203" s="862"/>
      <c r="I19203" s="845" t="str">
        <f>CONCATENATE("&lt;valeur&gt;",Cellule_1687,"&lt;/valeur&gt;")</f>
        <v>&lt;valeur&gt;0&lt;/valeur&gt;</v>
      </c>
    </row>
    <row r="19204" spans="1:10" x14ac:dyDescent="0.2">
      <c r="A19204" s="859">
        <f t="shared" ref="A19204:A19267" si="442">+A19203+1</f>
        <v>19203</v>
      </c>
      <c r="B19204" s="845" t="s">
        <v>2568</v>
      </c>
      <c r="D19204" s="861"/>
      <c r="H19204" s="845" t="s">
        <v>1010</v>
      </c>
    </row>
    <row r="19205" spans="1:10" x14ac:dyDescent="0.2">
      <c r="A19205" s="859">
        <f t="shared" si="442"/>
        <v>19204</v>
      </c>
      <c r="B19205" s="845" t="s">
        <v>2568</v>
      </c>
      <c r="D19205" s="861"/>
      <c r="H19205" s="845" t="s">
        <v>1007</v>
      </c>
    </row>
    <row r="19206" spans="1:10" x14ac:dyDescent="0.2">
      <c r="A19206" s="859">
        <f t="shared" si="442"/>
        <v>19205</v>
      </c>
      <c r="B19206" s="845" t="s">
        <v>2568</v>
      </c>
      <c r="D19206" s="862"/>
      <c r="I19206" s="845" t="s">
        <v>1008</v>
      </c>
    </row>
    <row r="19207" spans="1:10" x14ac:dyDescent="0.2">
      <c r="A19207" s="859">
        <f t="shared" si="442"/>
        <v>19206</v>
      </c>
      <c r="B19207" s="845" t="s">
        <v>2568</v>
      </c>
      <c r="D19207" s="863"/>
      <c r="J19207" s="845" t="s">
        <v>2410</v>
      </c>
    </row>
    <row r="19208" spans="1:10" x14ac:dyDescent="0.2">
      <c r="A19208" s="859">
        <f t="shared" si="442"/>
        <v>19207</v>
      </c>
      <c r="B19208" s="845" t="s">
        <v>2568</v>
      </c>
      <c r="D19208" s="862"/>
      <c r="I19208" s="845" t="s">
        <v>1009</v>
      </c>
    </row>
    <row r="19209" spans="1:10" x14ac:dyDescent="0.2">
      <c r="A19209" s="859">
        <f t="shared" si="442"/>
        <v>19208</v>
      </c>
      <c r="B19209" s="845" t="s">
        <v>2568</v>
      </c>
      <c r="D19209" s="862"/>
      <c r="I19209" s="845" t="str">
        <f>CONCATENATE("&lt;valeur&gt;",Cellule_1738,"&lt;/valeur&gt;")</f>
        <v>&lt;valeur&gt;&lt;/valeur&gt;</v>
      </c>
    </row>
    <row r="19210" spans="1:10" x14ac:dyDescent="0.2">
      <c r="A19210" s="859">
        <f t="shared" si="442"/>
        <v>19209</v>
      </c>
      <c r="B19210" s="845" t="s">
        <v>2568</v>
      </c>
      <c r="D19210" s="861"/>
      <c r="H19210" s="845" t="s">
        <v>1010</v>
      </c>
    </row>
    <row r="19211" spans="1:10" x14ac:dyDescent="0.2">
      <c r="A19211" s="859">
        <f t="shared" si="442"/>
        <v>19210</v>
      </c>
      <c r="B19211" s="845" t="s">
        <v>2568</v>
      </c>
      <c r="D19211" s="861"/>
      <c r="H19211" s="845" t="s">
        <v>1007</v>
      </c>
    </row>
    <row r="19212" spans="1:10" x14ac:dyDescent="0.2">
      <c r="A19212" s="859">
        <f t="shared" si="442"/>
        <v>19211</v>
      </c>
      <c r="B19212" s="845" t="s">
        <v>2568</v>
      </c>
      <c r="D19212" s="862"/>
      <c r="I19212" s="845" t="s">
        <v>1008</v>
      </c>
    </row>
    <row r="19213" spans="1:10" x14ac:dyDescent="0.2">
      <c r="A19213" s="859">
        <f t="shared" si="442"/>
        <v>19212</v>
      </c>
      <c r="B19213" s="845" t="s">
        <v>2568</v>
      </c>
      <c r="D19213" s="863"/>
      <c r="J19213" s="845" t="s">
        <v>2411</v>
      </c>
    </row>
    <row r="19214" spans="1:10" x14ac:dyDescent="0.2">
      <c r="A19214" s="859">
        <f t="shared" si="442"/>
        <v>19213</v>
      </c>
      <c r="B19214" s="845" t="s">
        <v>2568</v>
      </c>
      <c r="D19214" s="862"/>
      <c r="I19214" s="845" t="s">
        <v>1009</v>
      </c>
    </row>
    <row r="19215" spans="1:10" x14ac:dyDescent="0.2">
      <c r="A19215" s="859">
        <f t="shared" si="442"/>
        <v>19214</v>
      </c>
      <c r="B19215" s="845" t="s">
        <v>2568</v>
      </c>
      <c r="D19215" s="862"/>
      <c r="I19215" s="845" t="str">
        <f>CONCATENATE("&lt;valeur&gt;",Cellule_1759,"&lt;/valeur&gt;")</f>
        <v>&lt;valeur&gt;0&lt;/valeur&gt;</v>
      </c>
    </row>
    <row r="19216" spans="1:10" x14ac:dyDescent="0.2">
      <c r="A19216" s="859">
        <f t="shared" si="442"/>
        <v>19215</v>
      </c>
      <c r="B19216" s="845" t="s">
        <v>2568</v>
      </c>
      <c r="D19216" s="861"/>
      <c r="H19216" s="845" t="s">
        <v>1010</v>
      </c>
    </row>
    <row r="19217" spans="1:10" x14ac:dyDescent="0.2">
      <c r="A19217" s="859">
        <f t="shared" si="442"/>
        <v>19216</v>
      </c>
      <c r="B19217" s="845" t="s">
        <v>2568</v>
      </c>
      <c r="D19217" s="861"/>
      <c r="H19217" s="845" t="s">
        <v>1007</v>
      </c>
    </row>
    <row r="19218" spans="1:10" x14ac:dyDescent="0.2">
      <c r="A19218" s="859">
        <f t="shared" si="442"/>
        <v>19217</v>
      </c>
      <c r="B19218" s="845" t="s">
        <v>2568</v>
      </c>
      <c r="D19218" s="862"/>
      <c r="I19218" s="845" t="s">
        <v>1008</v>
      </c>
    </row>
    <row r="19219" spans="1:10" x14ac:dyDescent="0.2">
      <c r="A19219" s="859">
        <f t="shared" si="442"/>
        <v>19218</v>
      </c>
      <c r="B19219" s="845" t="s">
        <v>2568</v>
      </c>
      <c r="D19219" s="863"/>
      <c r="J19219" s="845" t="s">
        <v>2412</v>
      </c>
    </row>
    <row r="19220" spans="1:10" x14ac:dyDescent="0.2">
      <c r="A19220" s="859">
        <f t="shared" si="442"/>
        <v>19219</v>
      </c>
      <c r="B19220" s="845" t="s">
        <v>2568</v>
      </c>
      <c r="D19220" s="862"/>
      <c r="I19220" s="845" t="s">
        <v>1009</v>
      </c>
    </row>
    <row r="19221" spans="1:10" x14ac:dyDescent="0.2">
      <c r="A19221" s="859">
        <f t="shared" si="442"/>
        <v>19220</v>
      </c>
      <c r="B19221" s="845" t="s">
        <v>2568</v>
      </c>
      <c r="D19221" s="862"/>
      <c r="I19221" s="845" t="str">
        <f>CONCATENATE("&lt;valeur&gt;",Cellule_1771,"&lt;/valeur&gt;")</f>
        <v>&lt;valeur&gt;0&lt;/valeur&gt;</v>
      </c>
    </row>
    <row r="19222" spans="1:10" x14ac:dyDescent="0.2">
      <c r="A19222" s="859">
        <f t="shared" si="442"/>
        <v>19221</v>
      </c>
      <c r="B19222" s="845" t="s">
        <v>2568</v>
      </c>
      <c r="D19222" s="861"/>
      <c r="H19222" s="845" t="s">
        <v>1010</v>
      </c>
    </row>
    <row r="19223" spans="1:10" x14ac:dyDescent="0.2">
      <c r="A19223" s="859">
        <f t="shared" si="442"/>
        <v>19222</v>
      </c>
      <c r="B19223" s="845" t="s">
        <v>2568</v>
      </c>
      <c r="D19223" s="861"/>
      <c r="H19223" s="845" t="s">
        <v>1007</v>
      </c>
    </row>
    <row r="19224" spans="1:10" x14ac:dyDescent="0.2">
      <c r="A19224" s="859">
        <f t="shared" si="442"/>
        <v>19223</v>
      </c>
      <c r="B19224" s="845" t="s">
        <v>2568</v>
      </c>
      <c r="D19224" s="862"/>
      <c r="I19224" s="845" t="s">
        <v>1008</v>
      </c>
    </row>
    <row r="19225" spans="1:10" x14ac:dyDescent="0.2">
      <c r="A19225" s="859">
        <f t="shared" si="442"/>
        <v>19224</v>
      </c>
      <c r="B19225" s="845" t="s">
        <v>2568</v>
      </c>
      <c r="D19225" s="863"/>
      <c r="J19225" s="845" t="s">
        <v>2413</v>
      </c>
    </row>
    <row r="19226" spans="1:10" x14ac:dyDescent="0.2">
      <c r="A19226" s="859">
        <f t="shared" si="442"/>
        <v>19225</v>
      </c>
      <c r="B19226" s="845" t="s">
        <v>2568</v>
      </c>
      <c r="D19226" s="862"/>
      <c r="I19226" s="845" t="s">
        <v>1009</v>
      </c>
    </row>
    <row r="19227" spans="1:10" x14ac:dyDescent="0.2">
      <c r="A19227" s="859">
        <f t="shared" si="442"/>
        <v>19226</v>
      </c>
      <c r="B19227" s="845" t="s">
        <v>2568</v>
      </c>
      <c r="D19227" s="862"/>
      <c r="I19227" s="845" t="str">
        <f>CONCATENATE("&lt;valeur&gt;",Cellule_1802,"&lt;/valeur&gt;")</f>
        <v>&lt;valeur&gt;0&lt;/valeur&gt;</v>
      </c>
    </row>
    <row r="19228" spans="1:10" x14ac:dyDescent="0.2">
      <c r="A19228" s="859">
        <f t="shared" si="442"/>
        <v>19227</v>
      </c>
      <c r="B19228" s="845" t="s">
        <v>2568</v>
      </c>
      <c r="D19228" s="861"/>
      <c r="H19228" s="845" t="s">
        <v>1010</v>
      </c>
    </row>
    <row r="19229" spans="1:10" x14ac:dyDescent="0.2">
      <c r="A19229" s="859">
        <f t="shared" si="442"/>
        <v>19228</v>
      </c>
      <c r="B19229" s="845" t="s">
        <v>2568</v>
      </c>
      <c r="D19229" s="861"/>
      <c r="H19229" s="845" t="s">
        <v>1007</v>
      </c>
    </row>
    <row r="19230" spans="1:10" x14ac:dyDescent="0.2">
      <c r="A19230" s="859">
        <f t="shared" si="442"/>
        <v>19229</v>
      </c>
      <c r="B19230" s="845" t="s">
        <v>2568</v>
      </c>
      <c r="D19230" s="862"/>
      <c r="I19230" s="845" t="s">
        <v>1008</v>
      </c>
    </row>
    <row r="19231" spans="1:10" x14ac:dyDescent="0.2">
      <c r="A19231" s="859">
        <f t="shared" si="442"/>
        <v>19230</v>
      </c>
      <c r="B19231" s="845" t="s">
        <v>2568</v>
      </c>
      <c r="D19231" s="863"/>
      <c r="J19231" s="845" t="s">
        <v>2414</v>
      </c>
    </row>
    <row r="19232" spans="1:10" x14ac:dyDescent="0.2">
      <c r="A19232" s="859">
        <f t="shared" si="442"/>
        <v>19231</v>
      </c>
      <c r="B19232" s="845" t="s">
        <v>2568</v>
      </c>
      <c r="D19232" s="862"/>
      <c r="I19232" s="845" t="s">
        <v>1009</v>
      </c>
    </row>
    <row r="19233" spans="1:10" x14ac:dyDescent="0.2">
      <c r="A19233" s="859">
        <f t="shared" si="442"/>
        <v>19232</v>
      </c>
      <c r="B19233" s="845" t="s">
        <v>2568</v>
      </c>
      <c r="D19233" s="862"/>
      <c r="I19233" s="845" t="str">
        <f>CONCATENATE("&lt;valeur&gt;",Cellule_1821,"&lt;/valeur&gt;")</f>
        <v>&lt;valeur&gt;&lt;/valeur&gt;</v>
      </c>
    </row>
    <row r="19234" spans="1:10" x14ac:dyDescent="0.2">
      <c r="A19234" s="859">
        <f t="shared" si="442"/>
        <v>19233</v>
      </c>
      <c r="B19234" s="845" t="s">
        <v>2568</v>
      </c>
      <c r="D19234" s="861"/>
      <c r="H19234" s="845" t="s">
        <v>1010</v>
      </c>
    </row>
    <row r="19235" spans="1:10" x14ac:dyDescent="0.2">
      <c r="A19235" s="859">
        <f t="shared" si="442"/>
        <v>19234</v>
      </c>
      <c r="B19235" s="845" t="s">
        <v>2568</v>
      </c>
      <c r="D19235" s="861"/>
      <c r="H19235" s="845" t="s">
        <v>1007</v>
      </c>
    </row>
    <row r="19236" spans="1:10" x14ac:dyDescent="0.2">
      <c r="A19236" s="859">
        <f t="shared" si="442"/>
        <v>19235</v>
      </c>
      <c r="B19236" s="845" t="s">
        <v>2568</v>
      </c>
      <c r="D19236" s="862"/>
      <c r="I19236" s="845" t="s">
        <v>1008</v>
      </c>
    </row>
    <row r="19237" spans="1:10" x14ac:dyDescent="0.2">
      <c r="A19237" s="859">
        <f t="shared" si="442"/>
        <v>19236</v>
      </c>
      <c r="B19237" s="845" t="s">
        <v>2568</v>
      </c>
      <c r="D19237" s="863"/>
      <c r="J19237" s="845" t="s">
        <v>2415</v>
      </c>
    </row>
    <row r="19238" spans="1:10" x14ac:dyDescent="0.2">
      <c r="A19238" s="859">
        <f t="shared" si="442"/>
        <v>19237</v>
      </c>
      <c r="B19238" s="845" t="s">
        <v>2568</v>
      </c>
      <c r="D19238" s="862"/>
      <c r="I19238" s="845" t="s">
        <v>1009</v>
      </c>
    </row>
    <row r="19239" spans="1:10" x14ac:dyDescent="0.2">
      <c r="A19239" s="859">
        <f t="shared" si="442"/>
        <v>19238</v>
      </c>
      <c r="B19239" s="845" t="s">
        <v>2568</v>
      </c>
      <c r="D19239" s="862"/>
      <c r="I19239" s="845" t="str">
        <f>CONCATENATE("&lt;valeur&gt;",Cellule_1838,"&lt;/valeur&gt;")</f>
        <v>&lt;valeur&gt;0&lt;/valeur&gt;</v>
      </c>
    </row>
    <row r="19240" spans="1:10" x14ac:dyDescent="0.2">
      <c r="A19240" s="859">
        <f t="shared" si="442"/>
        <v>19239</v>
      </c>
      <c r="B19240" s="845" t="s">
        <v>2568</v>
      </c>
      <c r="D19240" s="861"/>
      <c r="H19240" s="845" t="s">
        <v>1010</v>
      </c>
    </row>
    <row r="19241" spans="1:10" x14ac:dyDescent="0.2">
      <c r="A19241" s="859">
        <f t="shared" si="442"/>
        <v>19240</v>
      </c>
      <c r="B19241" s="845" t="s">
        <v>2568</v>
      </c>
      <c r="D19241" s="861"/>
      <c r="H19241" s="845" t="s">
        <v>1007</v>
      </c>
    </row>
    <row r="19242" spans="1:10" x14ac:dyDescent="0.2">
      <c r="A19242" s="859">
        <f t="shared" si="442"/>
        <v>19241</v>
      </c>
      <c r="B19242" s="845" t="s">
        <v>2568</v>
      </c>
      <c r="D19242" s="862"/>
      <c r="I19242" s="845" t="s">
        <v>1008</v>
      </c>
    </row>
    <row r="19243" spans="1:10" x14ac:dyDescent="0.2">
      <c r="A19243" s="859">
        <f t="shared" si="442"/>
        <v>19242</v>
      </c>
      <c r="B19243" s="845" t="s">
        <v>2568</v>
      </c>
      <c r="D19243" s="863"/>
      <c r="J19243" s="845" t="s">
        <v>2416</v>
      </c>
    </row>
    <row r="19244" spans="1:10" x14ac:dyDescent="0.2">
      <c r="A19244" s="859">
        <f t="shared" si="442"/>
        <v>19243</v>
      </c>
      <c r="B19244" s="845" t="s">
        <v>2568</v>
      </c>
      <c r="D19244" s="862"/>
      <c r="I19244" s="845" t="s">
        <v>1009</v>
      </c>
    </row>
    <row r="19245" spans="1:10" x14ac:dyDescent="0.2">
      <c r="A19245" s="859">
        <f t="shared" si="442"/>
        <v>19244</v>
      </c>
      <c r="B19245" s="845" t="s">
        <v>2568</v>
      </c>
      <c r="D19245" s="862"/>
      <c r="I19245" s="845" t="str">
        <f>CONCATENATE("&lt;valeur&gt;",Cellule_1855,"&lt;/valeur&gt;")</f>
        <v>&lt;valeur&gt;0&lt;/valeur&gt;</v>
      </c>
    </row>
    <row r="19246" spans="1:10" x14ac:dyDescent="0.2">
      <c r="A19246" s="859">
        <f t="shared" si="442"/>
        <v>19245</v>
      </c>
      <c r="B19246" s="845" t="s">
        <v>2568</v>
      </c>
      <c r="D19246" s="861"/>
      <c r="H19246" s="845" t="s">
        <v>1010</v>
      </c>
    </row>
    <row r="19247" spans="1:10" x14ac:dyDescent="0.2">
      <c r="A19247" s="859">
        <f t="shared" si="442"/>
        <v>19246</v>
      </c>
      <c r="B19247" s="845" t="s">
        <v>2568</v>
      </c>
      <c r="D19247" s="861"/>
      <c r="H19247" s="845" t="s">
        <v>1007</v>
      </c>
    </row>
    <row r="19248" spans="1:10" x14ac:dyDescent="0.2">
      <c r="A19248" s="859">
        <f t="shared" si="442"/>
        <v>19247</v>
      </c>
      <c r="B19248" s="845" t="s">
        <v>2568</v>
      </c>
      <c r="D19248" s="862"/>
      <c r="I19248" s="845" t="s">
        <v>1008</v>
      </c>
    </row>
    <row r="19249" spans="1:10" x14ac:dyDescent="0.2">
      <c r="A19249" s="859">
        <f t="shared" si="442"/>
        <v>19248</v>
      </c>
      <c r="B19249" s="845" t="s">
        <v>2568</v>
      </c>
      <c r="D19249" s="863"/>
      <c r="J19249" s="845" t="s">
        <v>2417</v>
      </c>
    </row>
    <row r="19250" spans="1:10" x14ac:dyDescent="0.2">
      <c r="A19250" s="859">
        <f t="shared" si="442"/>
        <v>19249</v>
      </c>
      <c r="B19250" s="845" t="s">
        <v>2568</v>
      </c>
      <c r="D19250" s="862"/>
      <c r="I19250" s="845" t="s">
        <v>1009</v>
      </c>
    </row>
    <row r="19251" spans="1:10" x14ac:dyDescent="0.2">
      <c r="A19251" s="859">
        <f t="shared" si="442"/>
        <v>19250</v>
      </c>
      <c r="B19251" s="845" t="s">
        <v>2568</v>
      </c>
      <c r="D19251" s="862"/>
      <c r="I19251" s="845" t="str">
        <f>CONCATENATE("&lt;valeur&gt;",Cellule_1863,"&lt;/valeur&gt;")</f>
        <v>&lt;valeur&gt;0&lt;/valeur&gt;</v>
      </c>
    </row>
    <row r="19252" spans="1:10" x14ac:dyDescent="0.2">
      <c r="A19252" s="859">
        <f t="shared" si="442"/>
        <v>19251</v>
      </c>
      <c r="B19252" s="845" t="s">
        <v>2568</v>
      </c>
      <c r="D19252" s="861"/>
      <c r="H19252" s="845" t="s">
        <v>1010</v>
      </c>
    </row>
    <row r="19253" spans="1:10" x14ac:dyDescent="0.2">
      <c r="A19253" s="859">
        <f t="shared" si="442"/>
        <v>19252</v>
      </c>
      <c r="B19253" s="845" t="s">
        <v>2568</v>
      </c>
      <c r="D19253" s="861"/>
      <c r="H19253" s="845" t="s">
        <v>1007</v>
      </c>
    </row>
    <row r="19254" spans="1:10" x14ac:dyDescent="0.2">
      <c r="A19254" s="859">
        <f t="shared" si="442"/>
        <v>19253</v>
      </c>
      <c r="B19254" s="845" t="s">
        <v>2568</v>
      </c>
      <c r="D19254" s="862"/>
      <c r="I19254" s="845" t="s">
        <v>1008</v>
      </c>
    </row>
    <row r="19255" spans="1:10" x14ac:dyDescent="0.2">
      <c r="A19255" s="859">
        <f t="shared" si="442"/>
        <v>19254</v>
      </c>
      <c r="B19255" s="845" t="s">
        <v>2568</v>
      </c>
      <c r="D19255" s="863"/>
      <c r="J19255" s="845" t="s">
        <v>2418</v>
      </c>
    </row>
    <row r="19256" spans="1:10" x14ac:dyDescent="0.2">
      <c r="A19256" s="859">
        <f t="shared" si="442"/>
        <v>19255</v>
      </c>
      <c r="B19256" s="845" t="s">
        <v>2568</v>
      </c>
      <c r="D19256" s="862"/>
      <c r="I19256" s="845" t="s">
        <v>1009</v>
      </c>
    </row>
    <row r="19257" spans="1:10" x14ac:dyDescent="0.2">
      <c r="A19257" s="859">
        <f t="shared" si="442"/>
        <v>19256</v>
      </c>
      <c r="B19257" s="845" t="s">
        <v>2568</v>
      </c>
      <c r="D19257" s="862"/>
      <c r="I19257" s="845" t="str">
        <f>CONCATENATE("&lt;valeur&gt;",Cellule_1871,"&lt;/valeur&gt;")</f>
        <v>&lt;valeur&gt;0&lt;/valeur&gt;</v>
      </c>
    </row>
    <row r="19258" spans="1:10" x14ac:dyDescent="0.2">
      <c r="A19258" s="859">
        <f t="shared" si="442"/>
        <v>19257</v>
      </c>
      <c r="B19258" s="845" t="s">
        <v>2568</v>
      </c>
      <c r="D19258" s="861"/>
      <c r="H19258" s="845" t="s">
        <v>1010</v>
      </c>
    </row>
    <row r="19259" spans="1:10" x14ac:dyDescent="0.2">
      <c r="A19259" s="859">
        <f t="shared" si="442"/>
        <v>19258</v>
      </c>
      <c r="B19259" s="845" t="s">
        <v>2568</v>
      </c>
      <c r="D19259" s="861"/>
      <c r="H19259" s="845" t="s">
        <v>1007</v>
      </c>
    </row>
    <row r="19260" spans="1:10" x14ac:dyDescent="0.2">
      <c r="A19260" s="859">
        <f t="shared" si="442"/>
        <v>19259</v>
      </c>
      <c r="B19260" s="845" t="s">
        <v>2568</v>
      </c>
      <c r="D19260" s="862"/>
      <c r="I19260" s="845" t="s">
        <v>1008</v>
      </c>
    </row>
    <row r="19261" spans="1:10" x14ac:dyDescent="0.2">
      <c r="A19261" s="859">
        <f t="shared" si="442"/>
        <v>19260</v>
      </c>
      <c r="B19261" s="845" t="s">
        <v>2568</v>
      </c>
      <c r="D19261" s="863"/>
      <c r="J19261" s="845" t="s">
        <v>2419</v>
      </c>
    </row>
    <row r="19262" spans="1:10" x14ac:dyDescent="0.2">
      <c r="A19262" s="859">
        <f t="shared" si="442"/>
        <v>19261</v>
      </c>
      <c r="B19262" s="845" t="s">
        <v>2568</v>
      </c>
      <c r="D19262" s="862"/>
      <c r="I19262" s="845" t="s">
        <v>1009</v>
      </c>
    </row>
    <row r="19263" spans="1:10" x14ac:dyDescent="0.2">
      <c r="A19263" s="859">
        <f t="shared" si="442"/>
        <v>19262</v>
      </c>
      <c r="B19263" s="845" t="s">
        <v>2568</v>
      </c>
      <c r="D19263" s="862"/>
      <c r="I19263" s="845" t="str">
        <f>CONCATENATE("&lt;valeur&gt;",Cellule_1888,"&lt;/valeur&gt;")</f>
        <v>&lt;valeur&gt;0&lt;/valeur&gt;</v>
      </c>
    </row>
    <row r="19264" spans="1:10" x14ac:dyDescent="0.2">
      <c r="A19264" s="859">
        <f t="shared" si="442"/>
        <v>19263</v>
      </c>
      <c r="B19264" s="845" t="s">
        <v>2568</v>
      </c>
      <c r="D19264" s="861"/>
      <c r="H19264" s="845" t="s">
        <v>1010</v>
      </c>
    </row>
    <row r="19265" spans="1:10" x14ac:dyDescent="0.2">
      <c r="A19265" s="859">
        <f t="shared" si="442"/>
        <v>19264</v>
      </c>
      <c r="B19265" s="845" t="s">
        <v>2568</v>
      </c>
      <c r="D19265" s="861"/>
      <c r="H19265" s="845" t="s">
        <v>1007</v>
      </c>
    </row>
    <row r="19266" spans="1:10" x14ac:dyDescent="0.2">
      <c r="A19266" s="859">
        <f t="shared" si="442"/>
        <v>19265</v>
      </c>
      <c r="B19266" s="845" t="s">
        <v>2568</v>
      </c>
      <c r="D19266" s="862"/>
      <c r="I19266" s="845" t="s">
        <v>1008</v>
      </c>
    </row>
    <row r="19267" spans="1:10" x14ac:dyDescent="0.2">
      <c r="A19267" s="859">
        <f t="shared" si="442"/>
        <v>19266</v>
      </c>
      <c r="B19267" s="845" t="s">
        <v>2568</v>
      </c>
      <c r="D19267" s="863"/>
      <c r="J19267" s="845" t="s">
        <v>2420</v>
      </c>
    </row>
    <row r="19268" spans="1:10" x14ac:dyDescent="0.2">
      <c r="A19268" s="859">
        <f t="shared" ref="A19268:A19331" si="443">+A19267+1</f>
        <v>19267</v>
      </c>
      <c r="B19268" s="845" t="s">
        <v>2568</v>
      </c>
      <c r="D19268" s="862"/>
      <c r="I19268" s="845" t="s">
        <v>1009</v>
      </c>
    </row>
    <row r="19269" spans="1:10" x14ac:dyDescent="0.2">
      <c r="A19269" s="859">
        <f t="shared" si="443"/>
        <v>19268</v>
      </c>
      <c r="B19269" s="845" t="s">
        <v>2568</v>
      </c>
      <c r="D19269" s="862"/>
      <c r="I19269" s="845" t="str">
        <f>CONCATENATE("&lt;valeur&gt;",Cellule_1404,"&lt;/valeur&gt;")</f>
        <v>&lt;valeur&gt;&lt;/valeur&gt;</v>
      </c>
    </row>
    <row r="19270" spans="1:10" x14ac:dyDescent="0.2">
      <c r="A19270" s="859">
        <f t="shared" si="443"/>
        <v>19269</v>
      </c>
      <c r="B19270" s="845" t="s">
        <v>2568</v>
      </c>
      <c r="D19270" s="861"/>
      <c r="H19270" s="845" t="s">
        <v>1010</v>
      </c>
    </row>
    <row r="19271" spans="1:10" x14ac:dyDescent="0.2">
      <c r="A19271" s="859">
        <f t="shared" si="443"/>
        <v>19270</v>
      </c>
      <c r="B19271" s="845" t="s">
        <v>2568</v>
      </c>
      <c r="D19271" s="861"/>
      <c r="H19271" s="845" t="s">
        <v>1007</v>
      </c>
    </row>
    <row r="19272" spans="1:10" x14ac:dyDescent="0.2">
      <c r="A19272" s="859">
        <f t="shared" si="443"/>
        <v>19271</v>
      </c>
      <c r="B19272" s="845" t="s">
        <v>2568</v>
      </c>
      <c r="D19272" s="862"/>
      <c r="I19272" s="845" t="s">
        <v>1008</v>
      </c>
    </row>
    <row r="19273" spans="1:10" x14ac:dyDescent="0.2">
      <c r="A19273" s="859">
        <f t="shared" si="443"/>
        <v>19272</v>
      </c>
      <c r="B19273" s="845" t="s">
        <v>2568</v>
      </c>
      <c r="D19273" s="863"/>
      <c r="J19273" s="845" t="s">
        <v>2421</v>
      </c>
    </row>
    <row r="19274" spans="1:10" x14ac:dyDescent="0.2">
      <c r="A19274" s="859">
        <f t="shared" si="443"/>
        <v>19273</v>
      </c>
      <c r="B19274" s="845" t="s">
        <v>2568</v>
      </c>
      <c r="D19274" s="862"/>
      <c r="I19274" s="845" t="s">
        <v>1009</v>
      </c>
    </row>
    <row r="19275" spans="1:10" x14ac:dyDescent="0.2">
      <c r="A19275" s="859">
        <f t="shared" si="443"/>
        <v>19274</v>
      </c>
      <c r="B19275" s="845" t="s">
        <v>2568</v>
      </c>
      <c r="D19275" s="862"/>
      <c r="I19275" s="845" t="str">
        <f>CONCATENATE("&lt;valeur&gt;",Cellule_1412,"&lt;/valeur&gt;")</f>
        <v>&lt;valeur&gt;&lt;/valeur&gt;</v>
      </c>
    </row>
    <row r="19276" spans="1:10" x14ac:dyDescent="0.2">
      <c r="A19276" s="859">
        <f t="shared" si="443"/>
        <v>19275</v>
      </c>
      <c r="B19276" s="845" t="s">
        <v>2568</v>
      </c>
      <c r="D19276" s="861"/>
      <c r="H19276" s="845" t="s">
        <v>1010</v>
      </c>
    </row>
    <row r="19277" spans="1:10" x14ac:dyDescent="0.2">
      <c r="A19277" s="859">
        <f t="shared" si="443"/>
        <v>19276</v>
      </c>
      <c r="B19277" s="845" t="s">
        <v>2568</v>
      </c>
      <c r="D19277" s="861"/>
      <c r="H19277" s="845" t="s">
        <v>1007</v>
      </c>
    </row>
    <row r="19278" spans="1:10" x14ac:dyDescent="0.2">
      <c r="A19278" s="859">
        <f t="shared" si="443"/>
        <v>19277</v>
      </c>
      <c r="B19278" s="845" t="s">
        <v>2568</v>
      </c>
      <c r="D19278" s="862"/>
      <c r="I19278" s="845" t="s">
        <v>1008</v>
      </c>
    </row>
    <row r="19279" spans="1:10" x14ac:dyDescent="0.2">
      <c r="A19279" s="859">
        <f t="shared" si="443"/>
        <v>19278</v>
      </c>
      <c r="B19279" s="845" t="s">
        <v>2568</v>
      </c>
      <c r="D19279" s="863"/>
      <c r="J19279" s="845" t="s">
        <v>2422</v>
      </c>
    </row>
    <row r="19280" spans="1:10" x14ac:dyDescent="0.2">
      <c r="A19280" s="859">
        <f t="shared" si="443"/>
        <v>19279</v>
      </c>
      <c r="B19280" s="845" t="s">
        <v>2568</v>
      </c>
      <c r="D19280" s="862"/>
      <c r="I19280" s="845" t="s">
        <v>1009</v>
      </c>
    </row>
    <row r="19281" spans="1:10" x14ac:dyDescent="0.2">
      <c r="A19281" s="859">
        <f t="shared" si="443"/>
        <v>19280</v>
      </c>
      <c r="B19281" s="845" t="s">
        <v>2568</v>
      </c>
      <c r="D19281" s="862"/>
      <c r="I19281" s="845" t="str">
        <f>CONCATENATE("&lt;valeur&gt;",Cellule_1420,"&lt;/valeur&gt;")</f>
        <v>&lt;valeur&gt;&lt;/valeur&gt;</v>
      </c>
    </row>
    <row r="19282" spans="1:10" x14ac:dyDescent="0.2">
      <c r="A19282" s="859">
        <f t="shared" si="443"/>
        <v>19281</v>
      </c>
      <c r="B19282" s="845" t="s">
        <v>2568</v>
      </c>
      <c r="D19282" s="861"/>
      <c r="H19282" s="845" t="s">
        <v>1010</v>
      </c>
    </row>
    <row r="19283" spans="1:10" x14ac:dyDescent="0.2">
      <c r="A19283" s="859">
        <f t="shared" si="443"/>
        <v>19282</v>
      </c>
      <c r="B19283" s="845" t="s">
        <v>2568</v>
      </c>
      <c r="D19283" s="861"/>
      <c r="H19283" s="845" t="s">
        <v>1007</v>
      </c>
    </row>
    <row r="19284" spans="1:10" x14ac:dyDescent="0.2">
      <c r="A19284" s="859">
        <f t="shared" si="443"/>
        <v>19283</v>
      </c>
      <c r="B19284" s="845" t="s">
        <v>2568</v>
      </c>
      <c r="D19284" s="862"/>
      <c r="I19284" s="845" t="s">
        <v>1008</v>
      </c>
    </row>
    <row r="19285" spans="1:10" x14ac:dyDescent="0.2">
      <c r="A19285" s="859">
        <f t="shared" si="443"/>
        <v>19284</v>
      </c>
      <c r="B19285" s="845" t="s">
        <v>2568</v>
      </c>
      <c r="D19285" s="863"/>
      <c r="J19285" s="845" t="s">
        <v>2423</v>
      </c>
    </row>
    <row r="19286" spans="1:10" x14ac:dyDescent="0.2">
      <c r="A19286" s="859">
        <f t="shared" si="443"/>
        <v>19285</v>
      </c>
      <c r="B19286" s="845" t="s">
        <v>2568</v>
      </c>
      <c r="D19286" s="862"/>
      <c r="I19286" s="845" t="s">
        <v>1009</v>
      </c>
    </row>
    <row r="19287" spans="1:10" x14ac:dyDescent="0.2">
      <c r="A19287" s="859">
        <f t="shared" si="443"/>
        <v>19286</v>
      </c>
      <c r="B19287" s="845" t="s">
        <v>2568</v>
      </c>
      <c r="D19287" s="862"/>
      <c r="I19287" s="845" t="str">
        <f>CONCATENATE("&lt;valeur&gt;",Cellule_1428,"&lt;/valeur&gt;")</f>
        <v>&lt;valeur&gt;0&lt;/valeur&gt;</v>
      </c>
    </row>
    <row r="19288" spans="1:10" x14ac:dyDescent="0.2">
      <c r="A19288" s="859">
        <f t="shared" si="443"/>
        <v>19287</v>
      </c>
      <c r="B19288" s="845" t="s">
        <v>2568</v>
      </c>
      <c r="D19288" s="861"/>
      <c r="H19288" s="845" t="s">
        <v>1010</v>
      </c>
    </row>
    <row r="19289" spans="1:10" x14ac:dyDescent="0.2">
      <c r="A19289" s="859">
        <f t="shared" si="443"/>
        <v>19288</v>
      </c>
      <c r="B19289" s="845" t="s">
        <v>2568</v>
      </c>
      <c r="D19289" s="861"/>
      <c r="H19289" s="845" t="s">
        <v>1007</v>
      </c>
    </row>
    <row r="19290" spans="1:10" x14ac:dyDescent="0.2">
      <c r="A19290" s="859">
        <f t="shared" si="443"/>
        <v>19289</v>
      </c>
      <c r="B19290" s="845" t="s">
        <v>2568</v>
      </c>
      <c r="D19290" s="862"/>
      <c r="I19290" s="845" t="s">
        <v>1008</v>
      </c>
    </row>
    <row r="19291" spans="1:10" x14ac:dyDescent="0.2">
      <c r="A19291" s="859">
        <f t="shared" si="443"/>
        <v>19290</v>
      </c>
      <c r="B19291" s="845" t="s">
        <v>2568</v>
      </c>
      <c r="D19291" s="863"/>
      <c r="J19291" s="845" t="s">
        <v>2424</v>
      </c>
    </row>
    <row r="19292" spans="1:10" x14ac:dyDescent="0.2">
      <c r="A19292" s="859">
        <f t="shared" si="443"/>
        <v>19291</v>
      </c>
      <c r="B19292" s="845" t="s">
        <v>2568</v>
      </c>
      <c r="D19292" s="862"/>
      <c r="I19292" s="845" t="s">
        <v>1009</v>
      </c>
    </row>
    <row r="19293" spans="1:10" x14ac:dyDescent="0.2">
      <c r="A19293" s="859">
        <f t="shared" si="443"/>
        <v>19292</v>
      </c>
      <c r="B19293" s="845" t="s">
        <v>2568</v>
      </c>
      <c r="D19293" s="862"/>
      <c r="I19293" s="845" t="str">
        <f>CONCATENATE("&lt;valeur&gt;",Cellule_1436,"&lt;/valeur&gt;")</f>
        <v>&lt;valeur&gt;0&lt;/valeur&gt;</v>
      </c>
    </row>
    <row r="19294" spans="1:10" x14ac:dyDescent="0.2">
      <c r="A19294" s="859">
        <f t="shared" si="443"/>
        <v>19293</v>
      </c>
      <c r="B19294" s="845" t="s">
        <v>2568</v>
      </c>
      <c r="D19294" s="861"/>
      <c r="H19294" s="845" t="s">
        <v>1010</v>
      </c>
    </row>
    <row r="19295" spans="1:10" x14ac:dyDescent="0.2">
      <c r="A19295" s="859">
        <f t="shared" si="443"/>
        <v>19294</v>
      </c>
      <c r="B19295" s="845" t="s">
        <v>2568</v>
      </c>
      <c r="D19295" s="861"/>
      <c r="H19295" s="845" t="s">
        <v>1007</v>
      </c>
    </row>
    <row r="19296" spans="1:10" x14ac:dyDescent="0.2">
      <c r="A19296" s="859">
        <f t="shared" si="443"/>
        <v>19295</v>
      </c>
      <c r="B19296" s="845" t="s">
        <v>2568</v>
      </c>
      <c r="D19296" s="862"/>
      <c r="I19296" s="845" t="s">
        <v>1008</v>
      </c>
    </row>
    <row r="19297" spans="1:10" x14ac:dyDescent="0.2">
      <c r="A19297" s="859">
        <f t="shared" si="443"/>
        <v>19296</v>
      </c>
      <c r="B19297" s="845" t="s">
        <v>2568</v>
      </c>
      <c r="D19297" s="863"/>
      <c r="J19297" s="845" t="s">
        <v>2425</v>
      </c>
    </row>
    <row r="19298" spans="1:10" x14ac:dyDescent="0.2">
      <c r="A19298" s="859">
        <f t="shared" si="443"/>
        <v>19297</v>
      </c>
      <c r="B19298" s="845" t="s">
        <v>2568</v>
      </c>
      <c r="D19298" s="862"/>
      <c r="I19298" s="845" t="s">
        <v>1009</v>
      </c>
    </row>
    <row r="19299" spans="1:10" x14ac:dyDescent="0.2">
      <c r="A19299" s="859">
        <f t="shared" si="443"/>
        <v>19298</v>
      </c>
      <c r="B19299" s="845" t="s">
        <v>2568</v>
      </c>
      <c r="D19299" s="862"/>
      <c r="I19299" s="845" t="str">
        <f>CONCATENATE("&lt;valeur&gt;",Cellule_1452,"&lt;/valeur&gt;")</f>
        <v>&lt;valeur&gt;&lt;/valeur&gt;</v>
      </c>
    </row>
    <row r="19300" spans="1:10" x14ac:dyDescent="0.2">
      <c r="A19300" s="859">
        <f t="shared" si="443"/>
        <v>19299</v>
      </c>
      <c r="B19300" s="845" t="s">
        <v>2568</v>
      </c>
      <c r="D19300" s="861"/>
      <c r="H19300" s="845" t="s">
        <v>1010</v>
      </c>
    </row>
    <row r="19301" spans="1:10" x14ac:dyDescent="0.2">
      <c r="A19301" s="859">
        <f t="shared" si="443"/>
        <v>19300</v>
      </c>
      <c r="B19301" s="845" t="s">
        <v>2568</v>
      </c>
      <c r="D19301" s="861"/>
      <c r="H19301" s="845" t="s">
        <v>1007</v>
      </c>
    </row>
    <row r="19302" spans="1:10" x14ac:dyDescent="0.2">
      <c r="A19302" s="859">
        <f t="shared" si="443"/>
        <v>19301</v>
      </c>
      <c r="B19302" s="845" t="s">
        <v>2568</v>
      </c>
      <c r="D19302" s="862"/>
      <c r="I19302" s="845" t="s">
        <v>1008</v>
      </c>
    </row>
    <row r="19303" spans="1:10" x14ac:dyDescent="0.2">
      <c r="A19303" s="859">
        <f t="shared" si="443"/>
        <v>19302</v>
      </c>
      <c r="B19303" s="845" t="s">
        <v>2568</v>
      </c>
      <c r="D19303" s="863"/>
      <c r="J19303" s="845" t="s">
        <v>2426</v>
      </c>
    </row>
    <row r="19304" spans="1:10" x14ac:dyDescent="0.2">
      <c r="A19304" s="859">
        <f t="shared" si="443"/>
        <v>19303</v>
      </c>
      <c r="B19304" s="845" t="s">
        <v>2568</v>
      </c>
      <c r="D19304" s="862"/>
      <c r="I19304" s="845" t="s">
        <v>1009</v>
      </c>
    </row>
    <row r="19305" spans="1:10" x14ac:dyDescent="0.2">
      <c r="A19305" s="859">
        <f t="shared" si="443"/>
        <v>19304</v>
      </c>
      <c r="B19305" s="845" t="s">
        <v>2568</v>
      </c>
      <c r="D19305" s="862"/>
      <c r="I19305" s="845" t="str">
        <f>CONCATENATE("&lt;valeur&gt;",Cellule_1460,"&lt;/valeur&gt;")</f>
        <v>&lt;valeur&gt;0&lt;/valeur&gt;</v>
      </c>
    </row>
    <row r="19306" spans="1:10" x14ac:dyDescent="0.2">
      <c r="A19306" s="859">
        <f t="shared" si="443"/>
        <v>19305</v>
      </c>
      <c r="B19306" s="845" t="s">
        <v>2568</v>
      </c>
      <c r="D19306" s="861"/>
      <c r="H19306" s="845" t="s">
        <v>1010</v>
      </c>
    </row>
    <row r="19307" spans="1:10" x14ac:dyDescent="0.2">
      <c r="A19307" s="859">
        <f t="shared" si="443"/>
        <v>19306</v>
      </c>
      <c r="B19307" s="845" t="s">
        <v>2568</v>
      </c>
      <c r="D19307" s="861"/>
      <c r="H19307" s="845" t="s">
        <v>1007</v>
      </c>
    </row>
    <row r="19308" spans="1:10" x14ac:dyDescent="0.2">
      <c r="A19308" s="859">
        <f t="shared" si="443"/>
        <v>19307</v>
      </c>
      <c r="B19308" s="845" t="s">
        <v>2568</v>
      </c>
      <c r="D19308" s="862"/>
      <c r="I19308" s="845" t="s">
        <v>1008</v>
      </c>
    </row>
    <row r="19309" spans="1:10" x14ac:dyDescent="0.2">
      <c r="A19309" s="859">
        <f t="shared" si="443"/>
        <v>19308</v>
      </c>
      <c r="B19309" s="845" t="s">
        <v>2568</v>
      </c>
      <c r="D19309" s="863"/>
      <c r="J19309" s="845" t="s">
        <v>2427</v>
      </c>
    </row>
    <row r="19310" spans="1:10" x14ac:dyDescent="0.2">
      <c r="A19310" s="859">
        <f t="shared" si="443"/>
        <v>19309</v>
      </c>
      <c r="B19310" s="845" t="s">
        <v>2568</v>
      </c>
      <c r="D19310" s="862"/>
      <c r="I19310" s="845" t="s">
        <v>1009</v>
      </c>
    </row>
    <row r="19311" spans="1:10" x14ac:dyDescent="0.2">
      <c r="A19311" s="859">
        <f t="shared" si="443"/>
        <v>19310</v>
      </c>
      <c r="B19311" s="845" t="s">
        <v>2568</v>
      </c>
      <c r="D19311" s="862"/>
      <c r="I19311" s="845" t="str">
        <f>CONCATENATE("&lt;valeur&gt;",Cellule_1468,"&lt;/valeur&gt;")</f>
        <v>&lt;valeur&gt;0&lt;/valeur&gt;</v>
      </c>
    </row>
    <row r="19312" spans="1:10" x14ac:dyDescent="0.2">
      <c r="A19312" s="859">
        <f t="shared" si="443"/>
        <v>19311</v>
      </c>
      <c r="B19312" s="845" t="s">
        <v>2568</v>
      </c>
      <c r="D19312" s="861"/>
      <c r="H19312" s="845" t="s">
        <v>1010</v>
      </c>
    </row>
    <row r="19313" spans="1:10" x14ac:dyDescent="0.2">
      <c r="A19313" s="859">
        <f t="shared" si="443"/>
        <v>19312</v>
      </c>
      <c r="B19313" s="845" t="s">
        <v>2568</v>
      </c>
      <c r="D19313" s="861"/>
      <c r="H19313" s="845" t="s">
        <v>1007</v>
      </c>
    </row>
    <row r="19314" spans="1:10" x14ac:dyDescent="0.2">
      <c r="A19314" s="859">
        <f t="shared" si="443"/>
        <v>19313</v>
      </c>
      <c r="B19314" s="845" t="s">
        <v>2568</v>
      </c>
      <c r="D19314" s="862"/>
      <c r="I19314" s="845" t="s">
        <v>1008</v>
      </c>
    </row>
    <row r="19315" spans="1:10" x14ac:dyDescent="0.2">
      <c r="A19315" s="859">
        <f t="shared" si="443"/>
        <v>19314</v>
      </c>
      <c r="B19315" s="845" t="s">
        <v>2568</v>
      </c>
      <c r="D19315" s="863"/>
      <c r="J19315" s="845" t="s">
        <v>2428</v>
      </c>
    </row>
    <row r="19316" spans="1:10" x14ac:dyDescent="0.2">
      <c r="A19316" s="859">
        <f t="shared" si="443"/>
        <v>19315</v>
      </c>
      <c r="B19316" s="845" t="s">
        <v>2568</v>
      </c>
      <c r="D19316" s="862"/>
      <c r="I19316" s="845" t="s">
        <v>1009</v>
      </c>
    </row>
    <row r="19317" spans="1:10" x14ac:dyDescent="0.2">
      <c r="A19317" s="859">
        <f t="shared" si="443"/>
        <v>19316</v>
      </c>
      <c r="B19317" s="845" t="s">
        <v>2568</v>
      </c>
      <c r="D19317" s="862"/>
      <c r="I19317" s="845" t="str">
        <f>CONCATENATE("&lt;valeur&gt;",Cellule_1476,"&lt;/valeur&gt;")</f>
        <v>&lt;valeur&gt;&lt;/valeur&gt;</v>
      </c>
    </row>
    <row r="19318" spans="1:10" x14ac:dyDescent="0.2">
      <c r="A19318" s="859">
        <f t="shared" si="443"/>
        <v>19317</v>
      </c>
      <c r="B19318" s="845" t="s">
        <v>2568</v>
      </c>
      <c r="D19318" s="861"/>
      <c r="H19318" s="845" t="s">
        <v>1010</v>
      </c>
    </row>
    <row r="19319" spans="1:10" x14ac:dyDescent="0.2">
      <c r="A19319" s="859">
        <f t="shared" si="443"/>
        <v>19318</v>
      </c>
      <c r="B19319" s="845" t="s">
        <v>2568</v>
      </c>
      <c r="D19319" s="861"/>
      <c r="H19319" s="845" t="s">
        <v>1007</v>
      </c>
    </row>
    <row r="19320" spans="1:10" x14ac:dyDescent="0.2">
      <c r="A19320" s="859">
        <f t="shared" si="443"/>
        <v>19319</v>
      </c>
      <c r="B19320" s="845" t="s">
        <v>2568</v>
      </c>
      <c r="D19320" s="862"/>
      <c r="I19320" s="845" t="s">
        <v>1008</v>
      </c>
    </row>
    <row r="19321" spans="1:10" x14ac:dyDescent="0.2">
      <c r="A19321" s="859">
        <f t="shared" si="443"/>
        <v>19320</v>
      </c>
      <c r="B19321" s="845" t="s">
        <v>2568</v>
      </c>
      <c r="D19321" s="863"/>
      <c r="J19321" s="845" t="s">
        <v>2429</v>
      </c>
    </row>
    <row r="19322" spans="1:10" x14ac:dyDescent="0.2">
      <c r="A19322" s="859">
        <f t="shared" si="443"/>
        <v>19321</v>
      </c>
      <c r="B19322" s="845" t="s">
        <v>2568</v>
      </c>
      <c r="D19322" s="862"/>
      <c r="I19322" s="845" t="s">
        <v>1009</v>
      </c>
    </row>
    <row r="19323" spans="1:10" x14ac:dyDescent="0.2">
      <c r="A19323" s="859">
        <f t="shared" si="443"/>
        <v>19322</v>
      </c>
      <c r="B19323" s="845" t="s">
        <v>2568</v>
      </c>
      <c r="D19323" s="862"/>
      <c r="I19323" s="845" t="str">
        <f>CONCATENATE("&lt;valeur&gt;",Cellule_1484,"&lt;/valeur&gt;")</f>
        <v>&lt;valeur&gt;&lt;/valeur&gt;</v>
      </c>
    </row>
    <row r="19324" spans="1:10" x14ac:dyDescent="0.2">
      <c r="A19324" s="859">
        <f t="shared" si="443"/>
        <v>19323</v>
      </c>
      <c r="B19324" s="845" t="s">
        <v>2568</v>
      </c>
      <c r="D19324" s="861"/>
      <c r="H19324" s="845" t="s">
        <v>1010</v>
      </c>
    </row>
    <row r="19325" spans="1:10" x14ac:dyDescent="0.2">
      <c r="A19325" s="859">
        <f t="shared" si="443"/>
        <v>19324</v>
      </c>
      <c r="B19325" s="845" t="s">
        <v>2568</v>
      </c>
      <c r="D19325" s="861"/>
      <c r="H19325" s="845" t="s">
        <v>1007</v>
      </c>
    </row>
    <row r="19326" spans="1:10" x14ac:dyDescent="0.2">
      <c r="A19326" s="859">
        <f t="shared" si="443"/>
        <v>19325</v>
      </c>
      <c r="B19326" s="845" t="s">
        <v>2568</v>
      </c>
      <c r="D19326" s="862"/>
      <c r="I19326" s="845" t="s">
        <v>1008</v>
      </c>
    </row>
    <row r="19327" spans="1:10" x14ac:dyDescent="0.2">
      <c r="A19327" s="859">
        <f t="shared" si="443"/>
        <v>19326</v>
      </c>
      <c r="B19327" s="845" t="s">
        <v>2568</v>
      </c>
      <c r="D19327" s="863"/>
      <c r="J19327" s="845" t="s">
        <v>2430</v>
      </c>
    </row>
    <row r="19328" spans="1:10" x14ac:dyDescent="0.2">
      <c r="A19328" s="859">
        <f t="shared" si="443"/>
        <v>19327</v>
      </c>
      <c r="B19328" s="845" t="s">
        <v>2568</v>
      </c>
      <c r="D19328" s="862"/>
      <c r="I19328" s="845" t="s">
        <v>1009</v>
      </c>
    </row>
    <row r="19329" spans="1:10" x14ac:dyDescent="0.2">
      <c r="A19329" s="859">
        <f t="shared" si="443"/>
        <v>19328</v>
      </c>
      <c r="B19329" s="845" t="s">
        <v>2568</v>
      </c>
      <c r="D19329" s="862"/>
      <c r="I19329" s="845" t="str">
        <f>CONCATENATE("&lt;valeur&gt;",Cellule_1558,"&lt;/valeur&gt;")</f>
        <v>&lt;valeur&gt;0&lt;/valeur&gt;</v>
      </c>
    </row>
    <row r="19330" spans="1:10" x14ac:dyDescent="0.2">
      <c r="A19330" s="859">
        <f t="shared" si="443"/>
        <v>19329</v>
      </c>
      <c r="B19330" s="845" t="s">
        <v>2568</v>
      </c>
      <c r="D19330" s="861"/>
      <c r="H19330" s="845" t="s">
        <v>1010</v>
      </c>
    </row>
    <row r="19331" spans="1:10" x14ac:dyDescent="0.2">
      <c r="A19331" s="859">
        <f t="shared" si="443"/>
        <v>19330</v>
      </c>
      <c r="B19331" s="845" t="s">
        <v>2568</v>
      </c>
      <c r="D19331" s="861"/>
      <c r="H19331" s="845" t="s">
        <v>1007</v>
      </c>
    </row>
    <row r="19332" spans="1:10" x14ac:dyDescent="0.2">
      <c r="A19332" s="859">
        <f t="shared" ref="A19332:A19395" si="444">+A19331+1</f>
        <v>19331</v>
      </c>
      <c r="B19332" s="845" t="s">
        <v>2568</v>
      </c>
      <c r="D19332" s="862"/>
      <c r="I19332" s="845" t="s">
        <v>1008</v>
      </c>
    </row>
    <row r="19333" spans="1:10" x14ac:dyDescent="0.2">
      <c r="A19333" s="859">
        <f t="shared" si="444"/>
        <v>19332</v>
      </c>
      <c r="B19333" s="845" t="s">
        <v>2568</v>
      </c>
      <c r="D19333" s="863"/>
      <c r="J19333" s="845" t="s">
        <v>2431</v>
      </c>
    </row>
    <row r="19334" spans="1:10" x14ac:dyDescent="0.2">
      <c r="A19334" s="859">
        <f t="shared" si="444"/>
        <v>19333</v>
      </c>
      <c r="B19334" s="845" t="s">
        <v>2568</v>
      </c>
      <c r="D19334" s="862"/>
      <c r="I19334" s="845" t="s">
        <v>1009</v>
      </c>
    </row>
    <row r="19335" spans="1:10" x14ac:dyDescent="0.2">
      <c r="A19335" s="859">
        <f t="shared" si="444"/>
        <v>19334</v>
      </c>
      <c r="B19335" s="845" t="s">
        <v>2568</v>
      </c>
      <c r="D19335" s="862"/>
      <c r="I19335" s="845" t="str">
        <f>CONCATENATE("&lt;valeur&gt;",Cellule_1599,"&lt;/valeur&gt;")</f>
        <v>&lt;valeur&gt;&lt;/valeur&gt;</v>
      </c>
    </row>
    <row r="19336" spans="1:10" x14ac:dyDescent="0.2">
      <c r="A19336" s="859">
        <f t="shared" si="444"/>
        <v>19335</v>
      </c>
      <c r="B19336" s="845" t="s">
        <v>2568</v>
      </c>
      <c r="D19336" s="861"/>
      <c r="H19336" s="845" t="s">
        <v>1010</v>
      </c>
    </row>
    <row r="19337" spans="1:10" x14ac:dyDescent="0.2">
      <c r="A19337" s="859">
        <f t="shared" si="444"/>
        <v>19336</v>
      </c>
      <c r="B19337" s="845" t="s">
        <v>2568</v>
      </c>
      <c r="D19337" s="861"/>
      <c r="H19337" s="845" t="s">
        <v>1007</v>
      </c>
    </row>
    <row r="19338" spans="1:10" x14ac:dyDescent="0.2">
      <c r="A19338" s="859">
        <f t="shared" si="444"/>
        <v>19337</v>
      </c>
      <c r="B19338" s="845" t="s">
        <v>2568</v>
      </c>
      <c r="D19338" s="862"/>
      <c r="I19338" s="845" t="s">
        <v>1008</v>
      </c>
    </row>
    <row r="19339" spans="1:10" x14ac:dyDescent="0.2">
      <c r="A19339" s="859">
        <f t="shared" si="444"/>
        <v>19338</v>
      </c>
      <c r="B19339" s="845" t="s">
        <v>2568</v>
      </c>
      <c r="D19339" s="863"/>
      <c r="J19339" s="845" t="s">
        <v>2432</v>
      </c>
    </row>
    <row r="19340" spans="1:10" x14ac:dyDescent="0.2">
      <c r="A19340" s="859">
        <f t="shared" si="444"/>
        <v>19339</v>
      </c>
      <c r="B19340" s="845" t="s">
        <v>2568</v>
      </c>
      <c r="D19340" s="862"/>
      <c r="I19340" s="845" t="s">
        <v>1009</v>
      </c>
    </row>
    <row r="19341" spans="1:10" x14ac:dyDescent="0.2">
      <c r="A19341" s="859">
        <f t="shared" si="444"/>
        <v>19340</v>
      </c>
      <c r="B19341" s="845" t="s">
        <v>2568</v>
      </c>
      <c r="D19341" s="862"/>
      <c r="I19341" s="845" t="str">
        <f>CONCATENATE("&lt;valeur&gt;",Cellule_1607,"&lt;/valeur&gt;")</f>
        <v>&lt;valeur&gt;0&lt;/valeur&gt;</v>
      </c>
    </row>
    <row r="19342" spans="1:10" x14ac:dyDescent="0.2">
      <c r="A19342" s="859">
        <f t="shared" si="444"/>
        <v>19341</v>
      </c>
      <c r="B19342" s="845" t="s">
        <v>2568</v>
      </c>
      <c r="D19342" s="861"/>
      <c r="H19342" s="845" t="s">
        <v>1010</v>
      </c>
    </row>
    <row r="19343" spans="1:10" x14ac:dyDescent="0.2">
      <c r="A19343" s="859">
        <f t="shared" si="444"/>
        <v>19342</v>
      </c>
      <c r="B19343" s="845" t="s">
        <v>2568</v>
      </c>
      <c r="D19343" s="861"/>
      <c r="H19343" s="845" t="s">
        <v>1007</v>
      </c>
    </row>
    <row r="19344" spans="1:10" x14ac:dyDescent="0.2">
      <c r="A19344" s="859">
        <f t="shared" si="444"/>
        <v>19343</v>
      </c>
      <c r="B19344" s="845" t="s">
        <v>2568</v>
      </c>
      <c r="D19344" s="862"/>
      <c r="I19344" s="845" t="s">
        <v>1008</v>
      </c>
    </row>
    <row r="19345" spans="1:10" x14ac:dyDescent="0.2">
      <c r="A19345" s="859">
        <f t="shared" si="444"/>
        <v>19344</v>
      </c>
      <c r="B19345" s="845" t="s">
        <v>2568</v>
      </c>
      <c r="D19345" s="863"/>
      <c r="J19345" s="845" t="s">
        <v>2433</v>
      </c>
    </row>
    <row r="19346" spans="1:10" x14ac:dyDescent="0.2">
      <c r="A19346" s="859">
        <f t="shared" si="444"/>
        <v>19345</v>
      </c>
      <c r="B19346" s="845" t="s">
        <v>2568</v>
      </c>
      <c r="D19346" s="862"/>
      <c r="I19346" s="845" t="s">
        <v>1009</v>
      </c>
    </row>
    <row r="19347" spans="1:10" x14ac:dyDescent="0.2">
      <c r="A19347" s="859">
        <f t="shared" si="444"/>
        <v>19346</v>
      </c>
      <c r="B19347" s="845" t="s">
        <v>2568</v>
      </c>
      <c r="D19347" s="862"/>
      <c r="I19347" s="845" t="str">
        <f>CONCATENATE("&lt;valeur&gt;",Cellule_1615,"&lt;/valeur&gt;")</f>
        <v>&lt;valeur&gt;0&lt;/valeur&gt;</v>
      </c>
    </row>
    <row r="19348" spans="1:10" x14ac:dyDescent="0.2">
      <c r="A19348" s="859">
        <f t="shared" si="444"/>
        <v>19347</v>
      </c>
      <c r="B19348" s="845" t="s">
        <v>2568</v>
      </c>
      <c r="D19348" s="861"/>
      <c r="H19348" s="845" t="s">
        <v>1010</v>
      </c>
    </row>
    <row r="19349" spans="1:10" x14ac:dyDescent="0.2">
      <c r="A19349" s="859">
        <f t="shared" si="444"/>
        <v>19348</v>
      </c>
      <c r="B19349" s="845" t="s">
        <v>2568</v>
      </c>
      <c r="D19349" s="861"/>
      <c r="H19349" s="845" t="s">
        <v>1007</v>
      </c>
    </row>
    <row r="19350" spans="1:10" x14ac:dyDescent="0.2">
      <c r="A19350" s="859">
        <f t="shared" si="444"/>
        <v>19349</v>
      </c>
      <c r="B19350" s="845" t="s">
        <v>2568</v>
      </c>
      <c r="D19350" s="862"/>
      <c r="I19350" s="845" t="s">
        <v>1008</v>
      </c>
    </row>
    <row r="19351" spans="1:10" x14ac:dyDescent="0.2">
      <c r="A19351" s="859">
        <f t="shared" si="444"/>
        <v>19350</v>
      </c>
      <c r="B19351" s="845" t="s">
        <v>2568</v>
      </c>
      <c r="D19351" s="863"/>
      <c r="J19351" s="845" t="s">
        <v>2434</v>
      </c>
    </row>
    <row r="19352" spans="1:10" x14ac:dyDescent="0.2">
      <c r="A19352" s="859">
        <f t="shared" si="444"/>
        <v>19351</v>
      </c>
      <c r="B19352" s="845" t="s">
        <v>2568</v>
      </c>
      <c r="D19352" s="862"/>
      <c r="I19352" s="845" t="s">
        <v>1009</v>
      </c>
    </row>
    <row r="19353" spans="1:10" x14ac:dyDescent="0.2">
      <c r="A19353" s="859">
        <f t="shared" si="444"/>
        <v>19352</v>
      </c>
      <c r="B19353" s="845" t="s">
        <v>2568</v>
      </c>
      <c r="D19353" s="862"/>
      <c r="I19353" s="845" t="str">
        <f>CONCATENATE("&lt;valeur&gt;",Cellule_1638,"&lt;/valeur&gt;")</f>
        <v>&lt;valeur&gt;&lt;/valeur&gt;</v>
      </c>
    </row>
    <row r="19354" spans="1:10" x14ac:dyDescent="0.2">
      <c r="A19354" s="859">
        <f t="shared" si="444"/>
        <v>19353</v>
      </c>
      <c r="B19354" s="845" t="s">
        <v>2568</v>
      </c>
      <c r="D19354" s="861"/>
      <c r="H19354" s="845" t="s">
        <v>1010</v>
      </c>
    </row>
    <row r="19355" spans="1:10" x14ac:dyDescent="0.2">
      <c r="A19355" s="859">
        <f t="shared" si="444"/>
        <v>19354</v>
      </c>
      <c r="B19355" s="845" t="s">
        <v>2568</v>
      </c>
      <c r="D19355" s="861"/>
      <c r="H19355" s="845" t="s">
        <v>1007</v>
      </c>
    </row>
    <row r="19356" spans="1:10" x14ac:dyDescent="0.2">
      <c r="A19356" s="859">
        <f t="shared" si="444"/>
        <v>19355</v>
      </c>
      <c r="B19356" s="845" t="s">
        <v>2568</v>
      </c>
      <c r="D19356" s="862"/>
      <c r="I19356" s="845" t="s">
        <v>1008</v>
      </c>
    </row>
    <row r="19357" spans="1:10" x14ac:dyDescent="0.2">
      <c r="A19357" s="859">
        <f t="shared" si="444"/>
        <v>19356</v>
      </c>
      <c r="B19357" s="845" t="s">
        <v>2568</v>
      </c>
      <c r="D19357" s="863"/>
      <c r="J19357" s="845" t="s">
        <v>2435</v>
      </c>
    </row>
    <row r="19358" spans="1:10" x14ac:dyDescent="0.2">
      <c r="A19358" s="859">
        <f t="shared" si="444"/>
        <v>19357</v>
      </c>
      <c r="B19358" s="845" t="s">
        <v>2568</v>
      </c>
      <c r="D19358" s="862"/>
      <c r="I19358" s="845" t="s">
        <v>1009</v>
      </c>
    </row>
    <row r="19359" spans="1:10" x14ac:dyDescent="0.2">
      <c r="A19359" s="859">
        <f t="shared" si="444"/>
        <v>19358</v>
      </c>
      <c r="B19359" s="845" t="s">
        <v>2568</v>
      </c>
      <c r="D19359" s="862"/>
      <c r="I19359" s="845" t="str">
        <f>CONCATENATE("&lt;valeur&gt;",Cellule_1646,"&lt;/valeur&gt;")</f>
        <v>&lt;valeur&gt;0&lt;/valeur&gt;</v>
      </c>
    </row>
    <row r="19360" spans="1:10" x14ac:dyDescent="0.2">
      <c r="A19360" s="859">
        <f t="shared" si="444"/>
        <v>19359</v>
      </c>
      <c r="B19360" s="845" t="s">
        <v>2568</v>
      </c>
      <c r="D19360" s="861"/>
      <c r="H19360" s="845" t="s">
        <v>1010</v>
      </c>
    </row>
    <row r="19361" spans="1:10" x14ac:dyDescent="0.2">
      <c r="A19361" s="859">
        <f t="shared" si="444"/>
        <v>19360</v>
      </c>
      <c r="B19361" s="845" t="s">
        <v>2568</v>
      </c>
      <c r="D19361" s="861"/>
      <c r="H19361" s="845" t="s">
        <v>1007</v>
      </c>
    </row>
    <row r="19362" spans="1:10" x14ac:dyDescent="0.2">
      <c r="A19362" s="859">
        <f t="shared" si="444"/>
        <v>19361</v>
      </c>
      <c r="B19362" s="845" t="s">
        <v>2568</v>
      </c>
      <c r="D19362" s="862"/>
      <c r="I19362" s="845" t="s">
        <v>1008</v>
      </c>
    </row>
    <row r="19363" spans="1:10" x14ac:dyDescent="0.2">
      <c r="A19363" s="859">
        <f t="shared" si="444"/>
        <v>19362</v>
      </c>
      <c r="B19363" s="845" t="s">
        <v>2568</v>
      </c>
      <c r="D19363" s="863"/>
      <c r="J19363" s="845" t="s">
        <v>2436</v>
      </c>
    </row>
    <row r="19364" spans="1:10" x14ac:dyDescent="0.2">
      <c r="A19364" s="859">
        <f t="shared" si="444"/>
        <v>19363</v>
      </c>
      <c r="B19364" s="845" t="s">
        <v>2568</v>
      </c>
      <c r="D19364" s="862"/>
      <c r="I19364" s="845" t="s">
        <v>1009</v>
      </c>
    </row>
    <row r="19365" spans="1:10" x14ac:dyDescent="0.2">
      <c r="A19365" s="859">
        <f t="shared" si="444"/>
        <v>19364</v>
      </c>
      <c r="B19365" s="845" t="s">
        <v>2568</v>
      </c>
      <c r="D19365" s="862"/>
      <c r="I19365" s="845" t="str">
        <f>CONCATENATE("&lt;valeur&gt;",Cellule_1659,"&lt;/valeur&gt;")</f>
        <v>&lt;valeur&gt;0&lt;/valeur&gt;</v>
      </c>
    </row>
    <row r="19366" spans="1:10" x14ac:dyDescent="0.2">
      <c r="A19366" s="859">
        <f t="shared" si="444"/>
        <v>19365</v>
      </c>
      <c r="B19366" s="845" t="s">
        <v>2568</v>
      </c>
      <c r="D19366" s="861"/>
      <c r="H19366" s="845" t="s">
        <v>1010</v>
      </c>
    </row>
    <row r="19367" spans="1:10" x14ac:dyDescent="0.2">
      <c r="A19367" s="859">
        <f t="shared" si="444"/>
        <v>19366</v>
      </c>
      <c r="B19367" s="845" t="s">
        <v>2568</v>
      </c>
      <c r="D19367" s="861"/>
      <c r="H19367" s="845" t="s">
        <v>1007</v>
      </c>
    </row>
    <row r="19368" spans="1:10" x14ac:dyDescent="0.2">
      <c r="A19368" s="859">
        <f t="shared" si="444"/>
        <v>19367</v>
      </c>
      <c r="B19368" s="845" t="s">
        <v>2568</v>
      </c>
      <c r="D19368" s="862"/>
      <c r="I19368" s="845" t="s">
        <v>1008</v>
      </c>
    </row>
    <row r="19369" spans="1:10" x14ac:dyDescent="0.2">
      <c r="A19369" s="859">
        <f t="shared" si="444"/>
        <v>19368</v>
      </c>
      <c r="B19369" s="845" t="s">
        <v>2568</v>
      </c>
      <c r="D19369" s="863"/>
      <c r="J19369" s="845" t="s">
        <v>2437</v>
      </c>
    </row>
    <row r="19370" spans="1:10" x14ac:dyDescent="0.2">
      <c r="A19370" s="859">
        <f t="shared" si="444"/>
        <v>19369</v>
      </c>
      <c r="B19370" s="845" t="s">
        <v>2568</v>
      </c>
      <c r="D19370" s="862"/>
      <c r="I19370" s="845" t="s">
        <v>1009</v>
      </c>
    </row>
    <row r="19371" spans="1:10" x14ac:dyDescent="0.2">
      <c r="A19371" s="859">
        <f t="shared" si="444"/>
        <v>19370</v>
      </c>
      <c r="B19371" s="845" t="s">
        <v>2568</v>
      </c>
      <c r="D19371" s="862"/>
      <c r="I19371" s="845" t="str">
        <f>CONCATENATE("&lt;valeur&gt;",Cellule_1667,"&lt;/valeur&gt;")</f>
        <v>&lt;valeur&gt;0&lt;/valeur&gt;</v>
      </c>
    </row>
    <row r="19372" spans="1:10" x14ac:dyDescent="0.2">
      <c r="A19372" s="859">
        <f t="shared" si="444"/>
        <v>19371</v>
      </c>
      <c r="B19372" s="845" t="s">
        <v>2568</v>
      </c>
      <c r="D19372" s="861"/>
      <c r="H19372" s="845" t="s">
        <v>1010</v>
      </c>
    </row>
    <row r="19373" spans="1:10" x14ac:dyDescent="0.2">
      <c r="A19373" s="859">
        <f t="shared" si="444"/>
        <v>19372</v>
      </c>
      <c r="B19373" s="845" t="s">
        <v>2568</v>
      </c>
      <c r="D19373" s="861"/>
      <c r="H19373" s="845" t="s">
        <v>1007</v>
      </c>
    </row>
    <row r="19374" spans="1:10" x14ac:dyDescent="0.2">
      <c r="A19374" s="859">
        <f t="shared" si="444"/>
        <v>19373</v>
      </c>
      <c r="B19374" s="845" t="s">
        <v>2568</v>
      </c>
      <c r="D19374" s="862"/>
      <c r="I19374" s="845" t="s">
        <v>1008</v>
      </c>
    </row>
    <row r="19375" spans="1:10" x14ac:dyDescent="0.2">
      <c r="A19375" s="859">
        <f t="shared" si="444"/>
        <v>19374</v>
      </c>
      <c r="B19375" s="845" t="s">
        <v>2568</v>
      </c>
      <c r="D19375" s="863"/>
      <c r="J19375" s="845" t="s">
        <v>2438</v>
      </c>
    </row>
    <row r="19376" spans="1:10" x14ac:dyDescent="0.2">
      <c r="A19376" s="859">
        <f t="shared" si="444"/>
        <v>19375</v>
      </c>
      <c r="B19376" s="845" t="s">
        <v>2568</v>
      </c>
      <c r="D19376" s="862"/>
      <c r="I19376" s="845" t="s">
        <v>1009</v>
      </c>
    </row>
    <row r="19377" spans="1:10" x14ac:dyDescent="0.2">
      <c r="A19377" s="859">
        <f t="shared" si="444"/>
        <v>19376</v>
      </c>
      <c r="B19377" s="845" t="s">
        <v>2568</v>
      </c>
      <c r="D19377" s="862"/>
      <c r="I19377" s="845" t="str">
        <f>CONCATENATE("&lt;valeur&gt;",Cellule_1675,"&lt;/valeur&gt;")</f>
        <v>&lt;valeur&gt;0&lt;/valeur&gt;</v>
      </c>
    </row>
    <row r="19378" spans="1:10" x14ac:dyDescent="0.2">
      <c r="A19378" s="859">
        <f t="shared" si="444"/>
        <v>19377</v>
      </c>
      <c r="B19378" s="845" t="s">
        <v>2568</v>
      </c>
      <c r="D19378" s="861"/>
      <c r="H19378" s="845" t="s">
        <v>1010</v>
      </c>
    </row>
    <row r="19379" spans="1:10" x14ac:dyDescent="0.2">
      <c r="A19379" s="859">
        <f t="shared" si="444"/>
        <v>19378</v>
      </c>
      <c r="B19379" s="845" t="s">
        <v>2568</v>
      </c>
      <c r="D19379" s="861"/>
      <c r="H19379" s="845" t="s">
        <v>1007</v>
      </c>
    </row>
    <row r="19380" spans="1:10" x14ac:dyDescent="0.2">
      <c r="A19380" s="859">
        <f t="shared" si="444"/>
        <v>19379</v>
      </c>
      <c r="B19380" s="845" t="s">
        <v>2568</v>
      </c>
      <c r="D19380" s="862"/>
      <c r="I19380" s="845" t="s">
        <v>1008</v>
      </c>
    </row>
    <row r="19381" spans="1:10" x14ac:dyDescent="0.2">
      <c r="A19381" s="859">
        <f t="shared" si="444"/>
        <v>19380</v>
      </c>
      <c r="B19381" s="845" t="s">
        <v>2568</v>
      </c>
      <c r="D19381" s="863"/>
      <c r="J19381" s="845" t="s">
        <v>2439</v>
      </c>
    </row>
    <row r="19382" spans="1:10" x14ac:dyDescent="0.2">
      <c r="A19382" s="859">
        <f t="shared" si="444"/>
        <v>19381</v>
      </c>
      <c r="B19382" s="845" t="s">
        <v>2568</v>
      </c>
      <c r="D19382" s="862"/>
      <c r="I19382" s="845" t="s">
        <v>1009</v>
      </c>
    </row>
    <row r="19383" spans="1:10" x14ac:dyDescent="0.2">
      <c r="A19383" s="859">
        <f t="shared" si="444"/>
        <v>19382</v>
      </c>
      <c r="B19383" s="845" t="s">
        <v>2568</v>
      </c>
      <c r="D19383" s="862"/>
      <c r="I19383" s="845" t="str">
        <f>CONCATENATE("&lt;valeur&gt;",Cellule_1688,"&lt;/valeur&gt;")</f>
        <v>&lt;valeur&gt;0&lt;/valeur&gt;</v>
      </c>
    </row>
    <row r="19384" spans="1:10" x14ac:dyDescent="0.2">
      <c r="A19384" s="859">
        <f t="shared" si="444"/>
        <v>19383</v>
      </c>
      <c r="B19384" s="845" t="s">
        <v>2568</v>
      </c>
      <c r="D19384" s="861"/>
      <c r="H19384" s="845" t="s">
        <v>1010</v>
      </c>
    </row>
    <row r="19385" spans="1:10" x14ac:dyDescent="0.2">
      <c r="A19385" s="859">
        <f t="shared" si="444"/>
        <v>19384</v>
      </c>
      <c r="B19385" s="845" t="s">
        <v>2568</v>
      </c>
      <c r="D19385" s="861"/>
      <c r="H19385" s="845" t="s">
        <v>1007</v>
      </c>
    </row>
    <row r="19386" spans="1:10" x14ac:dyDescent="0.2">
      <c r="A19386" s="859">
        <f t="shared" si="444"/>
        <v>19385</v>
      </c>
      <c r="B19386" s="845" t="s">
        <v>2568</v>
      </c>
      <c r="D19386" s="862"/>
      <c r="I19386" s="845" t="s">
        <v>1008</v>
      </c>
    </row>
    <row r="19387" spans="1:10" x14ac:dyDescent="0.2">
      <c r="A19387" s="859">
        <f t="shared" si="444"/>
        <v>19386</v>
      </c>
      <c r="B19387" s="845" t="s">
        <v>2568</v>
      </c>
      <c r="D19387" s="863"/>
      <c r="J19387" s="845" t="s">
        <v>2440</v>
      </c>
    </row>
    <row r="19388" spans="1:10" x14ac:dyDescent="0.2">
      <c r="A19388" s="859">
        <f t="shared" si="444"/>
        <v>19387</v>
      </c>
      <c r="B19388" s="845" t="s">
        <v>2568</v>
      </c>
      <c r="D19388" s="862"/>
      <c r="I19388" s="845" t="s">
        <v>1009</v>
      </c>
    </row>
    <row r="19389" spans="1:10" x14ac:dyDescent="0.2">
      <c r="A19389" s="859">
        <f t="shared" si="444"/>
        <v>19388</v>
      </c>
      <c r="B19389" s="845" t="s">
        <v>2568</v>
      </c>
      <c r="D19389" s="862"/>
      <c r="I19389" s="845" t="str">
        <f>CONCATENATE("&lt;valeur&gt;",Cellule_1739,"&lt;/valeur&gt;")</f>
        <v>&lt;valeur&gt;&lt;/valeur&gt;</v>
      </c>
    </row>
    <row r="19390" spans="1:10" x14ac:dyDescent="0.2">
      <c r="A19390" s="859">
        <f t="shared" si="444"/>
        <v>19389</v>
      </c>
      <c r="B19390" s="845" t="s">
        <v>2568</v>
      </c>
      <c r="D19390" s="861"/>
      <c r="H19390" s="845" t="s">
        <v>1010</v>
      </c>
    </row>
    <row r="19391" spans="1:10" x14ac:dyDescent="0.2">
      <c r="A19391" s="859">
        <f t="shared" si="444"/>
        <v>19390</v>
      </c>
      <c r="B19391" s="845" t="s">
        <v>2568</v>
      </c>
      <c r="D19391" s="861"/>
      <c r="H19391" s="845" t="s">
        <v>1007</v>
      </c>
    </row>
    <row r="19392" spans="1:10" x14ac:dyDescent="0.2">
      <c r="A19392" s="859">
        <f t="shared" si="444"/>
        <v>19391</v>
      </c>
      <c r="B19392" s="845" t="s">
        <v>2568</v>
      </c>
      <c r="D19392" s="862"/>
      <c r="I19392" s="845" t="s">
        <v>1008</v>
      </c>
    </row>
    <row r="19393" spans="1:10" x14ac:dyDescent="0.2">
      <c r="A19393" s="859">
        <f t="shared" si="444"/>
        <v>19392</v>
      </c>
      <c r="B19393" s="845" t="s">
        <v>2568</v>
      </c>
      <c r="D19393" s="863"/>
      <c r="J19393" s="845" t="s">
        <v>2441</v>
      </c>
    </row>
    <row r="19394" spans="1:10" x14ac:dyDescent="0.2">
      <c r="A19394" s="859">
        <f t="shared" si="444"/>
        <v>19393</v>
      </c>
      <c r="B19394" s="845" t="s">
        <v>2568</v>
      </c>
      <c r="D19394" s="862"/>
      <c r="I19394" s="845" t="s">
        <v>1009</v>
      </c>
    </row>
    <row r="19395" spans="1:10" x14ac:dyDescent="0.2">
      <c r="A19395" s="859">
        <f t="shared" si="444"/>
        <v>19394</v>
      </c>
      <c r="B19395" s="845" t="s">
        <v>2568</v>
      </c>
      <c r="D19395" s="862"/>
      <c r="I19395" s="845" t="str">
        <f>CONCATENATE("&lt;valeur&gt;",Cellule_1760,"&lt;/valeur&gt;")</f>
        <v>&lt;valeur&gt;0&lt;/valeur&gt;</v>
      </c>
    </row>
    <row r="19396" spans="1:10" x14ac:dyDescent="0.2">
      <c r="A19396" s="859">
        <f t="shared" ref="A19396:A19459" si="445">+A19395+1</f>
        <v>19395</v>
      </c>
      <c r="B19396" s="845" t="s">
        <v>2568</v>
      </c>
      <c r="D19396" s="861"/>
      <c r="H19396" s="845" t="s">
        <v>1010</v>
      </c>
    </row>
    <row r="19397" spans="1:10" x14ac:dyDescent="0.2">
      <c r="A19397" s="859">
        <f t="shared" si="445"/>
        <v>19396</v>
      </c>
      <c r="B19397" s="845" t="s">
        <v>2568</v>
      </c>
      <c r="D19397" s="861"/>
      <c r="H19397" s="845" t="s">
        <v>1007</v>
      </c>
    </row>
    <row r="19398" spans="1:10" x14ac:dyDescent="0.2">
      <c r="A19398" s="859">
        <f t="shared" si="445"/>
        <v>19397</v>
      </c>
      <c r="B19398" s="845" t="s">
        <v>2568</v>
      </c>
      <c r="D19398" s="862"/>
      <c r="I19398" s="845" t="s">
        <v>1008</v>
      </c>
    </row>
    <row r="19399" spans="1:10" x14ac:dyDescent="0.2">
      <c r="A19399" s="859">
        <f t="shared" si="445"/>
        <v>19398</v>
      </c>
      <c r="B19399" s="845" t="s">
        <v>2568</v>
      </c>
      <c r="D19399" s="863"/>
      <c r="J19399" s="845" t="s">
        <v>2442</v>
      </c>
    </row>
    <row r="19400" spans="1:10" x14ac:dyDescent="0.2">
      <c r="A19400" s="859">
        <f t="shared" si="445"/>
        <v>19399</v>
      </c>
      <c r="B19400" s="845" t="s">
        <v>2568</v>
      </c>
      <c r="D19400" s="862"/>
      <c r="I19400" s="845" t="s">
        <v>1009</v>
      </c>
    </row>
    <row r="19401" spans="1:10" x14ac:dyDescent="0.2">
      <c r="A19401" s="859">
        <f t="shared" si="445"/>
        <v>19400</v>
      </c>
      <c r="B19401" s="845" t="s">
        <v>2568</v>
      </c>
      <c r="D19401" s="862"/>
      <c r="I19401" s="845" t="str">
        <f>CONCATENATE("&lt;valeur&gt;",Cellule_1772,"&lt;/valeur&gt;")</f>
        <v>&lt;valeur&gt;&lt;/valeur&gt;</v>
      </c>
    </row>
    <row r="19402" spans="1:10" x14ac:dyDescent="0.2">
      <c r="A19402" s="859">
        <f t="shared" si="445"/>
        <v>19401</v>
      </c>
      <c r="B19402" s="845" t="s">
        <v>2568</v>
      </c>
      <c r="D19402" s="861"/>
      <c r="H19402" s="845" t="s">
        <v>1010</v>
      </c>
    </row>
    <row r="19403" spans="1:10" x14ac:dyDescent="0.2">
      <c r="A19403" s="859">
        <f t="shared" si="445"/>
        <v>19402</v>
      </c>
      <c r="B19403" s="845" t="s">
        <v>2568</v>
      </c>
      <c r="D19403" s="861"/>
      <c r="H19403" s="845" t="s">
        <v>1007</v>
      </c>
    </row>
    <row r="19404" spans="1:10" x14ac:dyDescent="0.2">
      <c r="A19404" s="859">
        <f t="shared" si="445"/>
        <v>19403</v>
      </c>
      <c r="B19404" s="845" t="s">
        <v>2568</v>
      </c>
      <c r="D19404" s="862"/>
      <c r="I19404" s="845" t="s">
        <v>1008</v>
      </c>
    </row>
    <row r="19405" spans="1:10" x14ac:dyDescent="0.2">
      <c r="A19405" s="859">
        <f t="shared" si="445"/>
        <v>19404</v>
      </c>
      <c r="B19405" s="845" t="s">
        <v>2568</v>
      </c>
      <c r="D19405" s="863"/>
      <c r="J19405" s="845" t="s">
        <v>2443</v>
      </c>
    </row>
    <row r="19406" spans="1:10" x14ac:dyDescent="0.2">
      <c r="A19406" s="859">
        <f t="shared" si="445"/>
        <v>19405</v>
      </c>
      <c r="B19406" s="845" t="s">
        <v>2568</v>
      </c>
      <c r="D19406" s="862"/>
      <c r="I19406" s="845" t="s">
        <v>1009</v>
      </c>
    </row>
    <row r="19407" spans="1:10" x14ac:dyDescent="0.2">
      <c r="A19407" s="859">
        <f t="shared" si="445"/>
        <v>19406</v>
      </c>
      <c r="B19407" s="845" t="s">
        <v>2568</v>
      </c>
      <c r="D19407" s="862"/>
      <c r="I19407" s="845" t="str">
        <f>CONCATENATE("&lt;valeur&gt;",Cellule_1803,"&lt;/valeur&gt;")</f>
        <v>&lt;valeur&gt;0&lt;/valeur&gt;</v>
      </c>
    </row>
    <row r="19408" spans="1:10" x14ac:dyDescent="0.2">
      <c r="A19408" s="859">
        <f t="shared" si="445"/>
        <v>19407</v>
      </c>
      <c r="B19408" s="845" t="s">
        <v>2568</v>
      </c>
      <c r="D19408" s="861"/>
      <c r="H19408" s="845" t="s">
        <v>1010</v>
      </c>
    </row>
    <row r="19409" spans="1:10" x14ac:dyDescent="0.2">
      <c r="A19409" s="859">
        <f t="shared" si="445"/>
        <v>19408</v>
      </c>
      <c r="B19409" s="845" t="s">
        <v>2568</v>
      </c>
      <c r="D19409" s="861"/>
      <c r="H19409" s="845" t="s">
        <v>1007</v>
      </c>
    </row>
    <row r="19410" spans="1:10" x14ac:dyDescent="0.2">
      <c r="A19410" s="859">
        <f t="shared" si="445"/>
        <v>19409</v>
      </c>
      <c r="B19410" s="845" t="s">
        <v>2568</v>
      </c>
      <c r="D19410" s="862"/>
      <c r="I19410" s="845" t="s">
        <v>1008</v>
      </c>
    </row>
    <row r="19411" spans="1:10" x14ac:dyDescent="0.2">
      <c r="A19411" s="859">
        <f t="shared" si="445"/>
        <v>19410</v>
      </c>
      <c r="B19411" s="845" t="s">
        <v>2568</v>
      </c>
      <c r="D19411" s="863"/>
      <c r="J19411" s="845" t="s">
        <v>2444</v>
      </c>
    </row>
    <row r="19412" spans="1:10" x14ac:dyDescent="0.2">
      <c r="A19412" s="859">
        <f t="shared" si="445"/>
        <v>19411</v>
      </c>
      <c r="B19412" s="845" t="s">
        <v>2568</v>
      </c>
      <c r="D19412" s="862"/>
      <c r="I19412" s="845" t="s">
        <v>1009</v>
      </c>
    </row>
    <row r="19413" spans="1:10" x14ac:dyDescent="0.2">
      <c r="A19413" s="859">
        <f t="shared" si="445"/>
        <v>19412</v>
      </c>
      <c r="B19413" s="845" t="s">
        <v>2568</v>
      </c>
      <c r="D19413" s="862"/>
      <c r="I19413" s="845" t="str">
        <f>CONCATENATE("&lt;valeur&gt;",Cellule_1822,"&lt;/valeur&gt;")</f>
        <v>&lt;valeur&gt;&lt;/valeur&gt;</v>
      </c>
    </row>
    <row r="19414" spans="1:10" x14ac:dyDescent="0.2">
      <c r="A19414" s="859">
        <f t="shared" si="445"/>
        <v>19413</v>
      </c>
      <c r="B19414" s="845" t="s">
        <v>2568</v>
      </c>
      <c r="D19414" s="861"/>
      <c r="H19414" s="845" t="s">
        <v>1010</v>
      </c>
    </row>
    <row r="19415" spans="1:10" x14ac:dyDescent="0.2">
      <c r="A19415" s="859">
        <f t="shared" si="445"/>
        <v>19414</v>
      </c>
      <c r="B19415" s="845" t="s">
        <v>2568</v>
      </c>
      <c r="D19415" s="861"/>
      <c r="H19415" s="845" t="s">
        <v>1007</v>
      </c>
    </row>
    <row r="19416" spans="1:10" x14ac:dyDescent="0.2">
      <c r="A19416" s="859">
        <f t="shared" si="445"/>
        <v>19415</v>
      </c>
      <c r="B19416" s="845" t="s">
        <v>2568</v>
      </c>
      <c r="D19416" s="862"/>
      <c r="I19416" s="845" t="s">
        <v>1008</v>
      </c>
    </row>
    <row r="19417" spans="1:10" x14ac:dyDescent="0.2">
      <c r="A19417" s="859">
        <f t="shared" si="445"/>
        <v>19416</v>
      </c>
      <c r="B19417" s="845" t="s">
        <v>2568</v>
      </c>
      <c r="D19417" s="863"/>
      <c r="J19417" s="845" t="s">
        <v>2445</v>
      </c>
    </row>
    <row r="19418" spans="1:10" x14ac:dyDescent="0.2">
      <c r="A19418" s="859">
        <f t="shared" si="445"/>
        <v>19417</v>
      </c>
      <c r="B19418" s="845" t="s">
        <v>2568</v>
      </c>
      <c r="D19418" s="862"/>
      <c r="I19418" s="845" t="s">
        <v>1009</v>
      </c>
    </row>
    <row r="19419" spans="1:10" x14ac:dyDescent="0.2">
      <c r="A19419" s="859">
        <f t="shared" si="445"/>
        <v>19418</v>
      </c>
      <c r="B19419" s="845" t="s">
        <v>2568</v>
      </c>
      <c r="D19419" s="862"/>
      <c r="I19419" s="845" t="str">
        <f>CONCATENATE("&lt;valeur&gt;",Cellule_1839,"&lt;/valeur&gt;")</f>
        <v>&lt;valeur&gt;0&lt;/valeur&gt;</v>
      </c>
    </row>
    <row r="19420" spans="1:10" x14ac:dyDescent="0.2">
      <c r="A19420" s="859">
        <f t="shared" si="445"/>
        <v>19419</v>
      </c>
      <c r="B19420" s="845" t="s">
        <v>2568</v>
      </c>
      <c r="D19420" s="861"/>
      <c r="H19420" s="845" t="s">
        <v>1010</v>
      </c>
    </row>
    <row r="19421" spans="1:10" x14ac:dyDescent="0.2">
      <c r="A19421" s="859">
        <f t="shared" si="445"/>
        <v>19420</v>
      </c>
      <c r="B19421" s="845" t="s">
        <v>2568</v>
      </c>
      <c r="D19421" s="861"/>
      <c r="H19421" s="845" t="s">
        <v>1007</v>
      </c>
    </row>
    <row r="19422" spans="1:10" x14ac:dyDescent="0.2">
      <c r="A19422" s="859">
        <f t="shared" si="445"/>
        <v>19421</v>
      </c>
      <c r="B19422" s="845" t="s">
        <v>2568</v>
      </c>
      <c r="D19422" s="862"/>
      <c r="I19422" s="845" t="s">
        <v>1008</v>
      </c>
    </row>
    <row r="19423" spans="1:10" x14ac:dyDescent="0.2">
      <c r="A19423" s="859">
        <f t="shared" si="445"/>
        <v>19422</v>
      </c>
      <c r="B19423" s="845" t="s">
        <v>2568</v>
      </c>
      <c r="D19423" s="863"/>
      <c r="J19423" s="845" t="s">
        <v>2446</v>
      </c>
    </row>
    <row r="19424" spans="1:10" x14ac:dyDescent="0.2">
      <c r="A19424" s="859">
        <f t="shared" si="445"/>
        <v>19423</v>
      </c>
      <c r="B19424" s="845" t="s">
        <v>2568</v>
      </c>
      <c r="D19424" s="862"/>
      <c r="I19424" s="845" t="s">
        <v>1009</v>
      </c>
    </row>
    <row r="19425" spans="1:10" x14ac:dyDescent="0.2">
      <c r="A19425" s="859">
        <f t="shared" si="445"/>
        <v>19424</v>
      </c>
      <c r="B19425" s="845" t="s">
        <v>2568</v>
      </c>
      <c r="D19425" s="862"/>
      <c r="I19425" s="845" t="str">
        <f>CONCATENATE("&lt;valeur&gt;",Cellule_1856,"&lt;/valeur&gt;")</f>
        <v>&lt;valeur&gt;0&lt;/valeur&gt;</v>
      </c>
    </row>
    <row r="19426" spans="1:10" x14ac:dyDescent="0.2">
      <c r="A19426" s="859">
        <f t="shared" si="445"/>
        <v>19425</v>
      </c>
      <c r="B19426" s="845" t="s">
        <v>2568</v>
      </c>
      <c r="D19426" s="861"/>
      <c r="H19426" s="845" t="s">
        <v>1010</v>
      </c>
    </row>
    <row r="19427" spans="1:10" x14ac:dyDescent="0.2">
      <c r="A19427" s="859">
        <f t="shared" si="445"/>
        <v>19426</v>
      </c>
      <c r="B19427" s="845" t="s">
        <v>2568</v>
      </c>
      <c r="D19427" s="861"/>
      <c r="H19427" s="845" t="s">
        <v>1007</v>
      </c>
    </row>
    <row r="19428" spans="1:10" x14ac:dyDescent="0.2">
      <c r="A19428" s="859">
        <f t="shared" si="445"/>
        <v>19427</v>
      </c>
      <c r="B19428" s="845" t="s">
        <v>2568</v>
      </c>
      <c r="D19428" s="862"/>
      <c r="I19428" s="845" t="s">
        <v>1008</v>
      </c>
    </row>
    <row r="19429" spans="1:10" x14ac:dyDescent="0.2">
      <c r="A19429" s="859">
        <f t="shared" si="445"/>
        <v>19428</v>
      </c>
      <c r="B19429" s="845" t="s">
        <v>2568</v>
      </c>
      <c r="D19429" s="863"/>
      <c r="J19429" s="845" t="s">
        <v>2447</v>
      </c>
    </row>
    <row r="19430" spans="1:10" x14ac:dyDescent="0.2">
      <c r="A19430" s="859">
        <f t="shared" si="445"/>
        <v>19429</v>
      </c>
      <c r="B19430" s="845" t="s">
        <v>2568</v>
      </c>
      <c r="D19430" s="862"/>
      <c r="I19430" s="845" t="s">
        <v>1009</v>
      </c>
    </row>
    <row r="19431" spans="1:10" x14ac:dyDescent="0.2">
      <c r="A19431" s="859">
        <f t="shared" si="445"/>
        <v>19430</v>
      </c>
      <c r="B19431" s="845" t="s">
        <v>2568</v>
      </c>
      <c r="D19431" s="862"/>
      <c r="I19431" s="845" t="str">
        <f>CONCATENATE("&lt;valeur&gt;",Cellule_1864,"&lt;/valeur&gt;")</f>
        <v>&lt;valeur&gt;0&lt;/valeur&gt;</v>
      </c>
    </row>
    <row r="19432" spans="1:10" x14ac:dyDescent="0.2">
      <c r="A19432" s="859">
        <f t="shared" si="445"/>
        <v>19431</v>
      </c>
      <c r="B19432" s="845" t="s">
        <v>2568</v>
      </c>
      <c r="D19432" s="861"/>
      <c r="H19432" s="845" t="s">
        <v>1010</v>
      </c>
    </row>
    <row r="19433" spans="1:10" x14ac:dyDescent="0.2">
      <c r="A19433" s="859">
        <f t="shared" si="445"/>
        <v>19432</v>
      </c>
      <c r="B19433" s="845" t="s">
        <v>2568</v>
      </c>
      <c r="D19433" s="861"/>
      <c r="H19433" s="845" t="s">
        <v>1007</v>
      </c>
    </row>
    <row r="19434" spans="1:10" x14ac:dyDescent="0.2">
      <c r="A19434" s="859">
        <f t="shared" si="445"/>
        <v>19433</v>
      </c>
      <c r="B19434" s="845" t="s">
        <v>2568</v>
      </c>
      <c r="D19434" s="862"/>
      <c r="I19434" s="845" t="s">
        <v>1008</v>
      </c>
    </row>
    <row r="19435" spans="1:10" x14ac:dyDescent="0.2">
      <c r="A19435" s="859">
        <f t="shared" si="445"/>
        <v>19434</v>
      </c>
      <c r="B19435" s="845" t="s">
        <v>2568</v>
      </c>
      <c r="D19435" s="863"/>
      <c r="J19435" s="845" t="s">
        <v>2448</v>
      </c>
    </row>
    <row r="19436" spans="1:10" x14ac:dyDescent="0.2">
      <c r="A19436" s="859">
        <f t="shared" si="445"/>
        <v>19435</v>
      </c>
      <c r="B19436" s="845" t="s">
        <v>2568</v>
      </c>
      <c r="D19436" s="862"/>
      <c r="I19436" s="845" t="s">
        <v>1009</v>
      </c>
    </row>
    <row r="19437" spans="1:10" x14ac:dyDescent="0.2">
      <c r="A19437" s="859">
        <f t="shared" si="445"/>
        <v>19436</v>
      </c>
      <c r="B19437" s="845" t="s">
        <v>2568</v>
      </c>
      <c r="D19437" s="862"/>
      <c r="I19437" s="845" t="str">
        <f>CONCATENATE("&lt;valeur&gt;",Cellule_1872,"&lt;/valeur&gt;")</f>
        <v>&lt;valeur&gt;0&lt;/valeur&gt;</v>
      </c>
    </row>
    <row r="19438" spans="1:10" x14ac:dyDescent="0.2">
      <c r="A19438" s="859">
        <f t="shared" si="445"/>
        <v>19437</v>
      </c>
      <c r="B19438" s="845" t="s">
        <v>2568</v>
      </c>
      <c r="D19438" s="861"/>
      <c r="H19438" s="845" t="s">
        <v>1010</v>
      </c>
    </row>
    <row r="19439" spans="1:10" x14ac:dyDescent="0.2">
      <c r="A19439" s="859">
        <f t="shared" si="445"/>
        <v>19438</v>
      </c>
      <c r="B19439" s="845" t="s">
        <v>2568</v>
      </c>
      <c r="D19439" s="861"/>
      <c r="H19439" s="845" t="s">
        <v>1007</v>
      </c>
    </row>
    <row r="19440" spans="1:10" x14ac:dyDescent="0.2">
      <c r="A19440" s="859">
        <f t="shared" si="445"/>
        <v>19439</v>
      </c>
      <c r="B19440" s="845" t="s">
        <v>2568</v>
      </c>
      <c r="D19440" s="862"/>
      <c r="I19440" s="845" t="s">
        <v>1008</v>
      </c>
    </row>
    <row r="19441" spans="1:10" x14ac:dyDescent="0.2">
      <c r="A19441" s="859">
        <f t="shared" si="445"/>
        <v>19440</v>
      </c>
      <c r="B19441" s="845" t="s">
        <v>2568</v>
      </c>
      <c r="D19441" s="863"/>
      <c r="J19441" s="845" t="s">
        <v>2449</v>
      </c>
    </row>
    <row r="19442" spans="1:10" x14ac:dyDescent="0.2">
      <c r="A19442" s="859">
        <f t="shared" si="445"/>
        <v>19441</v>
      </c>
      <c r="B19442" s="845" t="s">
        <v>2568</v>
      </c>
      <c r="D19442" s="862"/>
      <c r="I19442" s="845" t="s">
        <v>1009</v>
      </c>
    </row>
    <row r="19443" spans="1:10" x14ac:dyDescent="0.2">
      <c r="A19443" s="859">
        <f t="shared" si="445"/>
        <v>19442</v>
      </c>
      <c r="B19443" s="845" t="s">
        <v>2568</v>
      </c>
      <c r="D19443" s="862"/>
      <c r="I19443" s="845" t="str">
        <f>CONCATENATE("&lt;valeur&gt;",Cellule_1889,"&lt;/valeur&gt;")</f>
        <v>&lt;valeur&gt;0&lt;/valeur&gt;</v>
      </c>
    </row>
    <row r="19444" spans="1:10" x14ac:dyDescent="0.2">
      <c r="A19444" s="859">
        <f t="shared" si="445"/>
        <v>19443</v>
      </c>
      <c r="B19444" s="845" t="s">
        <v>2568</v>
      </c>
      <c r="D19444" s="861"/>
      <c r="H19444" s="845" t="s">
        <v>1010</v>
      </c>
    </row>
    <row r="19445" spans="1:10" x14ac:dyDescent="0.2">
      <c r="A19445" s="859">
        <f t="shared" si="445"/>
        <v>19444</v>
      </c>
      <c r="B19445" s="845" t="s">
        <v>2568</v>
      </c>
      <c r="D19445" s="861"/>
      <c r="H19445" s="845" t="s">
        <v>1007</v>
      </c>
    </row>
    <row r="19446" spans="1:10" x14ac:dyDescent="0.2">
      <c r="A19446" s="859">
        <f t="shared" si="445"/>
        <v>19445</v>
      </c>
      <c r="B19446" s="845" t="s">
        <v>2568</v>
      </c>
      <c r="D19446" s="862"/>
      <c r="I19446" s="845" t="s">
        <v>1008</v>
      </c>
    </row>
    <row r="19447" spans="1:10" x14ac:dyDescent="0.2">
      <c r="A19447" s="859">
        <f t="shared" si="445"/>
        <v>19446</v>
      </c>
      <c r="B19447" s="845" t="s">
        <v>2568</v>
      </c>
      <c r="D19447" s="863"/>
      <c r="J19447" s="845" t="s">
        <v>2450</v>
      </c>
    </row>
    <row r="19448" spans="1:10" x14ac:dyDescent="0.2">
      <c r="A19448" s="859">
        <f t="shared" si="445"/>
        <v>19447</v>
      </c>
      <c r="B19448" s="845" t="s">
        <v>2568</v>
      </c>
      <c r="D19448" s="862"/>
      <c r="I19448" s="845" t="s">
        <v>1009</v>
      </c>
    </row>
    <row r="19449" spans="1:10" x14ac:dyDescent="0.2">
      <c r="A19449" s="859">
        <f t="shared" si="445"/>
        <v>19448</v>
      </c>
      <c r="B19449" s="845" t="s">
        <v>2568</v>
      </c>
      <c r="D19449" s="862"/>
      <c r="I19449" s="845" t="str">
        <f>CONCATENATE("&lt;valeur&gt;",Cellule_1405,"&lt;/valeur&gt;")</f>
        <v>&lt;valeur&gt;&lt;/valeur&gt;</v>
      </c>
    </row>
    <row r="19450" spans="1:10" x14ac:dyDescent="0.2">
      <c r="A19450" s="859">
        <f t="shared" si="445"/>
        <v>19449</v>
      </c>
      <c r="B19450" s="845" t="s">
        <v>2568</v>
      </c>
      <c r="D19450" s="861"/>
      <c r="H19450" s="845" t="s">
        <v>1010</v>
      </c>
    </row>
    <row r="19451" spans="1:10" x14ac:dyDescent="0.2">
      <c r="A19451" s="859">
        <f t="shared" si="445"/>
        <v>19450</v>
      </c>
      <c r="B19451" s="845" t="s">
        <v>2568</v>
      </c>
      <c r="D19451" s="861"/>
      <c r="H19451" s="845" t="s">
        <v>1007</v>
      </c>
    </row>
    <row r="19452" spans="1:10" x14ac:dyDescent="0.2">
      <c r="A19452" s="859">
        <f t="shared" si="445"/>
        <v>19451</v>
      </c>
      <c r="B19452" s="845" t="s">
        <v>2568</v>
      </c>
      <c r="D19452" s="862"/>
      <c r="I19452" s="845" t="s">
        <v>1008</v>
      </c>
    </row>
    <row r="19453" spans="1:10" x14ac:dyDescent="0.2">
      <c r="A19453" s="859">
        <f t="shared" si="445"/>
        <v>19452</v>
      </c>
      <c r="B19453" s="845" t="s">
        <v>2568</v>
      </c>
      <c r="D19453" s="863"/>
      <c r="J19453" s="845" t="s">
        <v>2451</v>
      </c>
    </row>
    <row r="19454" spans="1:10" x14ac:dyDescent="0.2">
      <c r="A19454" s="859">
        <f t="shared" si="445"/>
        <v>19453</v>
      </c>
      <c r="B19454" s="845" t="s">
        <v>2568</v>
      </c>
      <c r="D19454" s="862"/>
      <c r="I19454" s="845" t="s">
        <v>1009</v>
      </c>
    </row>
    <row r="19455" spans="1:10" x14ac:dyDescent="0.2">
      <c r="A19455" s="859">
        <f t="shared" si="445"/>
        <v>19454</v>
      </c>
      <c r="B19455" s="845" t="s">
        <v>2568</v>
      </c>
      <c r="D19455" s="862"/>
      <c r="I19455" s="845" t="str">
        <f>CONCATENATE("&lt;valeur&gt;",Cellule_1413,"&lt;/valeur&gt;")</f>
        <v>&lt;valeur&gt;&lt;/valeur&gt;</v>
      </c>
    </row>
    <row r="19456" spans="1:10" x14ac:dyDescent="0.2">
      <c r="A19456" s="859">
        <f t="shared" si="445"/>
        <v>19455</v>
      </c>
      <c r="B19456" s="845" t="s">
        <v>2568</v>
      </c>
      <c r="D19456" s="861"/>
      <c r="H19456" s="845" t="s">
        <v>1010</v>
      </c>
    </row>
    <row r="19457" spans="1:10" x14ac:dyDescent="0.2">
      <c r="A19457" s="859">
        <f t="shared" si="445"/>
        <v>19456</v>
      </c>
      <c r="B19457" s="845" t="s">
        <v>2568</v>
      </c>
      <c r="D19457" s="861"/>
      <c r="H19457" s="845" t="s">
        <v>1007</v>
      </c>
    </row>
    <row r="19458" spans="1:10" x14ac:dyDescent="0.2">
      <c r="A19458" s="859">
        <f t="shared" si="445"/>
        <v>19457</v>
      </c>
      <c r="B19458" s="845" t="s">
        <v>2568</v>
      </c>
      <c r="D19458" s="862"/>
      <c r="I19458" s="845" t="s">
        <v>1008</v>
      </c>
    </row>
    <row r="19459" spans="1:10" x14ac:dyDescent="0.2">
      <c r="A19459" s="859">
        <f t="shared" si="445"/>
        <v>19458</v>
      </c>
      <c r="B19459" s="845" t="s">
        <v>2568</v>
      </c>
      <c r="D19459" s="863"/>
      <c r="J19459" s="845" t="s">
        <v>2452</v>
      </c>
    </row>
    <row r="19460" spans="1:10" x14ac:dyDescent="0.2">
      <c r="A19460" s="859">
        <f t="shared" ref="A19460:A19523" si="446">+A19459+1</f>
        <v>19459</v>
      </c>
      <c r="B19460" s="845" t="s">
        <v>2568</v>
      </c>
      <c r="D19460" s="862"/>
      <c r="I19460" s="845" t="s">
        <v>1009</v>
      </c>
    </row>
    <row r="19461" spans="1:10" x14ac:dyDescent="0.2">
      <c r="A19461" s="859">
        <f t="shared" si="446"/>
        <v>19460</v>
      </c>
      <c r="B19461" s="845" t="s">
        <v>2568</v>
      </c>
      <c r="D19461" s="862"/>
      <c r="I19461" s="845" t="str">
        <f>CONCATENATE("&lt;valeur&gt;",Cellule_1421,"&lt;/valeur&gt;")</f>
        <v>&lt;valeur&gt;&lt;/valeur&gt;</v>
      </c>
    </row>
    <row r="19462" spans="1:10" x14ac:dyDescent="0.2">
      <c r="A19462" s="859">
        <f t="shared" si="446"/>
        <v>19461</v>
      </c>
      <c r="B19462" s="845" t="s">
        <v>2568</v>
      </c>
      <c r="D19462" s="861"/>
      <c r="H19462" s="845" t="s">
        <v>1010</v>
      </c>
    </row>
    <row r="19463" spans="1:10" x14ac:dyDescent="0.2">
      <c r="A19463" s="859">
        <f t="shared" si="446"/>
        <v>19462</v>
      </c>
      <c r="B19463" s="845" t="s">
        <v>2568</v>
      </c>
      <c r="D19463" s="861"/>
      <c r="H19463" s="845" t="s">
        <v>1007</v>
      </c>
    </row>
    <row r="19464" spans="1:10" x14ac:dyDescent="0.2">
      <c r="A19464" s="859">
        <f t="shared" si="446"/>
        <v>19463</v>
      </c>
      <c r="B19464" s="845" t="s">
        <v>2568</v>
      </c>
      <c r="D19464" s="862"/>
      <c r="I19464" s="845" t="s">
        <v>1008</v>
      </c>
    </row>
    <row r="19465" spans="1:10" x14ac:dyDescent="0.2">
      <c r="A19465" s="859">
        <f t="shared" si="446"/>
        <v>19464</v>
      </c>
      <c r="B19465" s="845" t="s">
        <v>2568</v>
      </c>
      <c r="D19465" s="863"/>
      <c r="J19465" s="845" t="s">
        <v>2453</v>
      </c>
    </row>
    <row r="19466" spans="1:10" x14ac:dyDescent="0.2">
      <c r="A19466" s="859">
        <f t="shared" si="446"/>
        <v>19465</v>
      </c>
      <c r="B19466" s="845" t="s">
        <v>2568</v>
      </c>
      <c r="D19466" s="862"/>
      <c r="I19466" s="845" t="s">
        <v>1009</v>
      </c>
    </row>
    <row r="19467" spans="1:10" x14ac:dyDescent="0.2">
      <c r="A19467" s="859">
        <f t="shared" si="446"/>
        <v>19466</v>
      </c>
      <c r="B19467" s="845" t="s">
        <v>2568</v>
      </c>
      <c r="D19467" s="862"/>
      <c r="I19467" s="845" t="str">
        <f>CONCATENATE("&lt;valeur&gt;",Cellule_1429,"&lt;/valeur&gt;")</f>
        <v>&lt;valeur&gt;0&lt;/valeur&gt;</v>
      </c>
    </row>
    <row r="19468" spans="1:10" x14ac:dyDescent="0.2">
      <c r="A19468" s="859">
        <f t="shared" si="446"/>
        <v>19467</v>
      </c>
      <c r="B19468" s="845" t="s">
        <v>2568</v>
      </c>
      <c r="D19468" s="861"/>
      <c r="H19468" s="845" t="s">
        <v>1010</v>
      </c>
    </row>
    <row r="19469" spans="1:10" x14ac:dyDescent="0.2">
      <c r="A19469" s="859">
        <f t="shared" si="446"/>
        <v>19468</v>
      </c>
      <c r="B19469" s="845" t="s">
        <v>2568</v>
      </c>
      <c r="D19469" s="861"/>
      <c r="H19469" s="845" t="s">
        <v>1007</v>
      </c>
    </row>
    <row r="19470" spans="1:10" x14ac:dyDescent="0.2">
      <c r="A19470" s="859">
        <f t="shared" si="446"/>
        <v>19469</v>
      </c>
      <c r="B19470" s="845" t="s">
        <v>2568</v>
      </c>
      <c r="D19470" s="862"/>
      <c r="I19470" s="845" t="s">
        <v>1008</v>
      </c>
    </row>
    <row r="19471" spans="1:10" x14ac:dyDescent="0.2">
      <c r="A19471" s="859">
        <f t="shared" si="446"/>
        <v>19470</v>
      </c>
      <c r="B19471" s="845" t="s">
        <v>2568</v>
      </c>
      <c r="D19471" s="863"/>
      <c r="J19471" s="845" t="s">
        <v>2454</v>
      </c>
    </row>
    <row r="19472" spans="1:10" x14ac:dyDescent="0.2">
      <c r="A19472" s="859">
        <f t="shared" si="446"/>
        <v>19471</v>
      </c>
      <c r="B19472" s="845" t="s">
        <v>2568</v>
      </c>
      <c r="D19472" s="862"/>
      <c r="I19472" s="845" t="s">
        <v>1009</v>
      </c>
    </row>
    <row r="19473" spans="1:10" x14ac:dyDescent="0.2">
      <c r="A19473" s="859">
        <f t="shared" si="446"/>
        <v>19472</v>
      </c>
      <c r="B19473" s="845" t="s">
        <v>2568</v>
      </c>
      <c r="D19473" s="862"/>
      <c r="I19473" s="845" t="str">
        <f>CONCATENATE("&lt;valeur&gt;",Cellule_1437,"&lt;/valeur&gt;")</f>
        <v>&lt;valeur&gt;0&lt;/valeur&gt;</v>
      </c>
    </row>
    <row r="19474" spans="1:10" x14ac:dyDescent="0.2">
      <c r="A19474" s="859">
        <f t="shared" si="446"/>
        <v>19473</v>
      </c>
      <c r="B19474" s="845" t="s">
        <v>2568</v>
      </c>
      <c r="D19474" s="861"/>
      <c r="H19474" s="845" t="s">
        <v>1010</v>
      </c>
    </row>
    <row r="19475" spans="1:10" x14ac:dyDescent="0.2">
      <c r="A19475" s="859">
        <f t="shared" si="446"/>
        <v>19474</v>
      </c>
      <c r="B19475" s="845" t="s">
        <v>2568</v>
      </c>
      <c r="D19475" s="861"/>
      <c r="H19475" s="845" t="s">
        <v>1007</v>
      </c>
    </row>
    <row r="19476" spans="1:10" x14ac:dyDescent="0.2">
      <c r="A19476" s="859">
        <f t="shared" si="446"/>
        <v>19475</v>
      </c>
      <c r="B19476" s="845" t="s">
        <v>2568</v>
      </c>
      <c r="D19476" s="862"/>
      <c r="I19476" s="845" t="s">
        <v>1008</v>
      </c>
    </row>
    <row r="19477" spans="1:10" x14ac:dyDescent="0.2">
      <c r="A19477" s="859">
        <f t="shared" si="446"/>
        <v>19476</v>
      </c>
      <c r="B19477" s="845" t="s">
        <v>2568</v>
      </c>
      <c r="D19477" s="863"/>
      <c r="J19477" s="845" t="s">
        <v>2455</v>
      </c>
    </row>
    <row r="19478" spans="1:10" x14ac:dyDescent="0.2">
      <c r="A19478" s="859">
        <f t="shared" si="446"/>
        <v>19477</v>
      </c>
      <c r="B19478" s="845" t="s">
        <v>2568</v>
      </c>
      <c r="D19478" s="862"/>
      <c r="I19478" s="845" t="s">
        <v>1009</v>
      </c>
    </row>
    <row r="19479" spans="1:10" x14ac:dyDescent="0.2">
      <c r="A19479" s="859">
        <f t="shared" si="446"/>
        <v>19478</v>
      </c>
      <c r="B19479" s="845" t="s">
        <v>2568</v>
      </c>
      <c r="D19479" s="862"/>
      <c r="I19479" s="845" t="str">
        <f>CONCATENATE("&lt;valeur&gt;",Cellule_1453,"&lt;/valeur&gt;")</f>
        <v>&lt;valeur&gt;&lt;/valeur&gt;</v>
      </c>
    </row>
    <row r="19480" spans="1:10" x14ac:dyDescent="0.2">
      <c r="A19480" s="859">
        <f t="shared" si="446"/>
        <v>19479</v>
      </c>
      <c r="B19480" s="845" t="s">
        <v>2568</v>
      </c>
      <c r="D19480" s="861"/>
      <c r="H19480" s="845" t="s">
        <v>1010</v>
      </c>
    </row>
    <row r="19481" spans="1:10" x14ac:dyDescent="0.2">
      <c r="A19481" s="859">
        <f t="shared" si="446"/>
        <v>19480</v>
      </c>
      <c r="B19481" s="845" t="s">
        <v>2568</v>
      </c>
      <c r="D19481" s="861"/>
      <c r="H19481" s="845" t="s">
        <v>1007</v>
      </c>
    </row>
    <row r="19482" spans="1:10" x14ac:dyDescent="0.2">
      <c r="A19482" s="859">
        <f t="shared" si="446"/>
        <v>19481</v>
      </c>
      <c r="B19482" s="845" t="s">
        <v>2568</v>
      </c>
      <c r="D19482" s="862"/>
      <c r="I19482" s="845" t="s">
        <v>1008</v>
      </c>
    </row>
    <row r="19483" spans="1:10" x14ac:dyDescent="0.2">
      <c r="A19483" s="859">
        <f t="shared" si="446"/>
        <v>19482</v>
      </c>
      <c r="B19483" s="845" t="s">
        <v>2568</v>
      </c>
      <c r="D19483" s="863"/>
      <c r="J19483" s="845" t="s">
        <v>2456</v>
      </c>
    </row>
    <row r="19484" spans="1:10" x14ac:dyDescent="0.2">
      <c r="A19484" s="859">
        <f t="shared" si="446"/>
        <v>19483</v>
      </c>
      <c r="B19484" s="845" t="s">
        <v>2568</v>
      </c>
      <c r="D19484" s="862"/>
      <c r="I19484" s="845" t="s">
        <v>1009</v>
      </c>
    </row>
    <row r="19485" spans="1:10" x14ac:dyDescent="0.2">
      <c r="A19485" s="859">
        <f t="shared" si="446"/>
        <v>19484</v>
      </c>
      <c r="B19485" s="845" t="s">
        <v>2568</v>
      </c>
      <c r="D19485" s="862"/>
      <c r="I19485" s="845" t="str">
        <f>CONCATENATE("&lt;valeur&gt;",Cellule_1461,"&lt;/valeur&gt;")</f>
        <v>&lt;valeur&gt;0&lt;/valeur&gt;</v>
      </c>
    </row>
    <row r="19486" spans="1:10" x14ac:dyDescent="0.2">
      <c r="A19486" s="859">
        <f t="shared" si="446"/>
        <v>19485</v>
      </c>
      <c r="B19486" s="845" t="s">
        <v>2568</v>
      </c>
      <c r="D19486" s="861"/>
      <c r="H19486" s="845" t="s">
        <v>1010</v>
      </c>
    </row>
    <row r="19487" spans="1:10" x14ac:dyDescent="0.2">
      <c r="A19487" s="859">
        <f t="shared" si="446"/>
        <v>19486</v>
      </c>
      <c r="B19487" s="845" t="s">
        <v>2568</v>
      </c>
      <c r="D19487" s="861"/>
      <c r="H19487" s="845" t="s">
        <v>1007</v>
      </c>
    </row>
    <row r="19488" spans="1:10" x14ac:dyDescent="0.2">
      <c r="A19488" s="859">
        <f t="shared" si="446"/>
        <v>19487</v>
      </c>
      <c r="B19488" s="845" t="s">
        <v>2568</v>
      </c>
      <c r="D19488" s="862"/>
      <c r="I19488" s="845" t="s">
        <v>1008</v>
      </c>
    </row>
    <row r="19489" spans="1:10" x14ac:dyDescent="0.2">
      <c r="A19489" s="859">
        <f t="shared" si="446"/>
        <v>19488</v>
      </c>
      <c r="B19489" s="845" t="s">
        <v>2568</v>
      </c>
      <c r="D19489" s="863"/>
      <c r="J19489" s="845" t="s">
        <v>2457</v>
      </c>
    </row>
    <row r="19490" spans="1:10" x14ac:dyDescent="0.2">
      <c r="A19490" s="859">
        <f t="shared" si="446"/>
        <v>19489</v>
      </c>
      <c r="B19490" s="845" t="s">
        <v>2568</v>
      </c>
      <c r="D19490" s="862"/>
      <c r="I19490" s="845" t="s">
        <v>1009</v>
      </c>
    </row>
    <row r="19491" spans="1:10" x14ac:dyDescent="0.2">
      <c r="A19491" s="859">
        <f t="shared" si="446"/>
        <v>19490</v>
      </c>
      <c r="B19491" s="845" t="s">
        <v>2568</v>
      </c>
      <c r="D19491" s="862"/>
      <c r="I19491" s="845" t="str">
        <f>CONCATENATE("&lt;valeur&gt;",Cellule_1469,"&lt;/valeur&gt;")</f>
        <v>&lt;valeur&gt;0&lt;/valeur&gt;</v>
      </c>
    </row>
    <row r="19492" spans="1:10" x14ac:dyDescent="0.2">
      <c r="A19492" s="859">
        <f t="shared" si="446"/>
        <v>19491</v>
      </c>
      <c r="B19492" s="845" t="s">
        <v>2568</v>
      </c>
      <c r="D19492" s="861"/>
      <c r="H19492" s="845" t="s">
        <v>1010</v>
      </c>
    </row>
    <row r="19493" spans="1:10" x14ac:dyDescent="0.2">
      <c r="A19493" s="859">
        <f t="shared" si="446"/>
        <v>19492</v>
      </c>
      <c r="B19493" s="845" t="s">
        <v>2568</v>
      </c>
      <c r="D19493" s="861"/>
      <c r="H19493" s="845" t="s">
        <v>1007</v>
      </c>
    </row>
    <row r="19494" spans="1:10" x14ac:dyDescent="0.2">
      <c r="A19494" s="859">
        <f t="shared" si="446"/>
        <v>19493</v>
      </c>
      <c r="B19494" s="845" t="s">
        <v>2568</v>
      </c>
      <c r="D19494" s="862"/>
      <c r="I19494" s="845" t="s">
        <v>1008</v>
      </c>
    </row>
    <row r="19495" spans="1:10" x14ac:dyDescent="0.2">
      <c r="A19495" s="859">
        <f t="shared" si="446"/>
        <v>19494</v>
      </c>
      <c r="B19495" s="845" t="s">
        <v>2568</v>
      </c>
      <c r="D19495" s="863"/>
      <c r="J19495" s="845" t="s">
        <v>2458</v>
      </c>
    </row>
    <row r="19496" spans="1:10" x14ac:dyDescent="0.2">
      <c r="A19496" s="859">
        <f t="shared" si="446"/>
        <v>19495</v>
      </c>
      <c r="B19496" s="845" t="s">
        <v>2568</v>
      </c>
      <c r="D19496" s="862"/>
      <c r="I19496" s="845" t="s">
        <v>1009</v>
      </c>
    </row>
    <row r="19497" spans="1:10" x14ac:dyDescent="0.2">
      <c r="A19497" s="859">
        <f t="shared" si="446"/>
        <v>19496</v>
      </c>
      <c r="B19497" s="845" t="s">
        <v>2568</v>
      </c>
      <c r="D19497" s="862"/>
      <c r="I19497" s="845" t="str">
        <f>CONCATENATE("&lt;valeur&gt;",Cellule_1477,"&lt;/valeur&gt;")</f>
        <v>&lt;valeur&gt;&lt;/valeur&gt;</v>
      </c>
    </row>
    <row r="19498" spans="1:10" x14ac:dyDescent="0.2">
      <c r="A19498" s="859">
        <f t="shared" si="446"/>
        <v>19497</v>
      </c>
      <c r="B19498" s="845" t="s">
        <v>2568</v>
      </c>
      <c r="D19498" s="861"/>
      <c r="H19498" s="845" t="s">
        <v>1010</v>
      </c>
    </row>
    <row r="19499" spans="1:10" x14ac:dyDescent="0.2">
      <c r="A19499" s="859">
        <f t="shared" si="446"/>
        <v>19498</v>
      </c>
      <c r="B19499" s="845" t="s">
        <v>2568</v>
      </c>
      <c r="D19499" s="861"/>
      <c r="H19499" s="845" t="s">
        <v>1007</v>
      </c>
    </row>
    <row r="19500" spans="1:10" x14ac:dyDescent="0.2">
      <c r="A19500" s="859">
        <f t="shared" si="446"/>
        <v>19499</v>
      </c>
      <c r="B19500" s="845" t="s">
        <v>2568</v>
      </c>
      <c r="D19500" s="862"/>
      <c r="I19500" s="845" t="s">
        <v>1008</v>
      </c>
    </row>
    <row r="19501" spans="1:10" x14ac:dyDescent="0.2">
      <c r="A19501" s="859">
        <f t="shared" si="446"/>
        <v>19500</v>
      </c>
      <c r="B19501" s="845" t="s">
        <v>2568</v>
      </c>
      <c r="D19501" s="863"/>
      <c r="J19501" s="845" t="s">
        <v>2459</v>
      </c>
    </row>
    <row r="19502" spans="1:10" x14ac:dyDescent="0.2">
      <c r="A19502" s="859">
        <f t="shared" si="446"/>
        <v>19501</v>
      </c>
      <c r="B19502" s="845" t="s">
        <v>2568</v>
      </c>
      <c r="D19502" s="862"/>
      <c r="I19502" s="845" t="s">
        <v>1009</v>
      </c>
    </row>
    <row r="19503" spans="1:10" x14ac:dyDescent="0.2">
      <c r="A19503" s="859">
        <f t="shared" si="446"/>
        <v>19502</v>
      </c>
      <c r="B19503" s="845" t="s">
        <v>2568</v>
      </c>
      <c r="D19503" s="862"/>
      <c r="I19503" s="845" t="str">
        <f>CONCATENATE("&lt;valeur&gt;",Cellule_1485,"&lt;/valeur&gt;")</f>
        <v>&lt;valeur&gt;&lt;/valeur&gt;</v>
      </c>
    </row>
    <row r="19504" spans="1:10" x14ac:dyDescent="0.2">
      <c r="A19504" s="859">
        <f t="shared" si="446"/>
        <v>19503</v>
      </c>
      <c r="B19504" s="845" t="s">
        <v>2568</v>
      </c>
      <c r="D19504" s="861"/>
      <c r="H19504" s="845" t="s">
        <v>1010</v>
      </c>
    </row>
    <row r="19505" spans="1:10" x14ac:dyDescent="0.2">
      <c r="A19505" s="859">
        <f t="shared" si="446"/>
        <v>19504</v>
      </c>
      <c r="B19505" s="845" t="s">
        <v>2568</v>
      </c>
      <c r="D19505" s="861"/>
      <c r="H19505" s="845" t="s">
        <v>1007</v>
      </c>
    </row>
    <row r="19506" spans="1:10" x14ac:dyDescent="0.2">
      <c r="A19506" s="859">
        <f t="shared" si="446"/>
        <v>19505</v>
      </c>
      <c r="B19506" s="845" t="s">
        <v>2568</v>
      </c>
      <c r="D19506" s="862"/>
      <c r="I19506" s="845" t="s">
        <v>1008</v>
      </c>
    </row>
    <row r="19507" spans="1:10" x14ac:dyDescent="0.2">
      <c r="A19507" s="859">
        <f t="shared" si="446"/>
        <v>19506</v>
      </c>
      <c r="B19507" s="845" t="s">
        <v>2568</v>
      </c>
      <c r="D19507" s="863"/>
      <c r="J19507" s="845" t="s">
        <v>2460</v>
      </c>
    </row>
    <row r="19508" spans="1:10" x14ac:dyDescent="0.2">
      <c r="A19508" s="859">
        <f t="shared" si="446"/>
        <v>19507</v>
      </c>
      <c r="B19508" s="845" t="s">
        <v>2568</v>
      </c>
      <c r="D19508" s="862"/>
      <c r="I19508" s="845" t="s">
        <v>1009</v>
      </c>
    </row>
    <row r="19509" spans="1:10" x14ac:dyDescent="0.2">
      <c r="A19509" s="859">
        <f t="shared" si="446"/>
        <v>19508</v>
      </c>
      <c r="B19509" s="845" t="s">
        <v>2568</v>
      </c>
      <c r="D19509" s="862"/>
      <c r="I19509" s="845" t="str">
        <f>CONCATENATE("&lt;valeur&gt;",Cellule_1559,"&lt;/valeur&gt;")</f>
        <v>&lt;valeur&gt;0&lt;/valeur&gt;</v>
      </c>
    </row>
    <row r="19510" spans="1:10" x14ac:dyDescent="0.2">
      <c r="A19510" s="859">
        <f t="shared" si="446"/>
        <v>19509</v>
      </c>
      <c r="B19510" s="845" t="s">
        <v>2568</v>
      </c>
      <c r="D19510" s="861"/>
      <c r="H19510" s="845" t="s">
        <v>1010</v>
      </c>
    </row>
    <row r="19511" spans="1:10" x14ac:dyDescent="0.2">
      <c r="A19511" s="859">
        <f t="shared" si="446"/>
        <v>19510</v>
      </c>
      <c r="B19511" s="845" t="s">
        <v>2568</v>
      </c>
      <c r="D19511" s="861"/>
      <c r="H19511" s="845" t="s">
        <v>1007</v>
      </c>
    </row>
    <row r="19512" spans="1:10" x14ac:dyDescent="0.2">
      <c r="A19512" s="859">
        <f t="shared" si="446"/>
        <v>19511</v>
      </c>
      <c r="B19512" s="845" t="s">
        <v>2568</v>
      </c>
      <c r="D19512" s="862"/>
      <c r="I19512" s="845" t="s">
        <v>1008</v>
      </c>
    </row>
    <row r="19513" spans="1:10" x14ac:dyDescent="0.2">
      <c r="A19513" s="859">
        <f t="shared" si="446"/>
        <v>19512</v>
      </c>
      <c r="B19513" s="845" t="s">
        <v>2568</v>
      </c>
      <c r="D19513" s="863"/>
      <c r="J19513" s="845" t="s">
        <v>2461</v>
      </c>
    </row>
    <row r="19514" spans="1:10" x14ac:dyDescent="0.2">
      <c r="A19514" s="859">
        <f t="shared" si="446"/>
        <v>19513</v>
      </c>
      <c r="B19514" s="845" t="s">
        <v>2568</v>
      </c>
      <c r="D19514" s="862"/>
      <c r="I19514" s="845" t="s">
        <v>1009</v>
      </c>
    </row>
    <row r="19515" spans="1:10" x14ac:dyDescent="0.2">
      <c r="A19515" s="859">
        <f t="shared" si="446"/>
        <v>19514</v>
      </c>
      <c r="B19515" s="845" t="s">
        <v>2568</v>
      </c>
      <c r="D19515" s="862"/>
      <c r="I19515" s="845" t="str">
        <f>CONCATENATE("&lt;valeur&gt;",Cellule_1600,"&lt;/valeur&gt;")</f>
        <v>&lt;valeur&gt;&lt;/valeur&gt;</v>
      </c>
    </row>
    <row r="19516" spans="1:10" x14ac:dyDescent="0.2">
      <c r="A19516" s="859">
        <f t="shared" si="446"/>
        <v>19515</v>
      </c>
      <c r="B19516" s="845" t="s">
        <v>2568</v>
      </c>
      <c r="D19516" s="861"/>
      <c r="H19516" s="845" t="s">
        <v>1010</v>
      </c>
    </row>
    <row r="19517" spans="1:10" x14ac:dyDescent="0.2">
      <c r="A19517" s="859">
        <f t="shared" si="446"/>
        <v>19516</v>
      </c>
      <c r="B19517" s="845" t="s">
        <v>2568</v>
      </c>
      <c r="D19517" s="861"/>
      <c r="H19517" s="845" t="s">
        <v>1007</v>
      </c>
    </row>
    <row r="19518" spans="1:10" x14ac:dyDescent="0.2">
      <c r="A19518" s="859">
        <f t="shared" si="446"/>
        <v>19517</v>
      </c>
      <c r="B19518" s="845" t="s">
        <v>2568</v>
      </c>
      <c r="D19518" s="862"/>
      <c r="I19518" s="845" t="s">
        <v>1008</v>
      </c>
    </row>
    <row r="19519" spans="1:10" x14ac:dyDescent="0.2">
      <c r="A19519" s="859">
        <f t="shared" si="446"/>
        <v>19518</v>
      </c>
      <c r="B19519" s="845" t="s">
        <v>2568</v>
      </c>
      <c r="D19519" s="863"/>
      <c r="J19519" s="845" t="s">
        <v>2462</v>
      </c>
    </row>
    <row r="19520" spans="1:10" x14ac:dyDescent="0.2">
      <c r="A19520" s="859">
        <f t="shared" si="446"/>
        <v>19519</v>
      </c>
      <c r="B19520" s="845" t="s">
        <v>2568</v>
      </c>
      <c r="D19520" s="862"/>
      <c r="I19520" s="845" t="s">
        <v>1009</v>
      </c>
    </row>
    <row r="19521" spans="1:10" x14ac:dyDescent="0.2">
      <c r="A19521" s="859">
        <f t="shared" si="446"/>
        <v>19520</v>
      </c>
      <c r="B19521" s="845" t="s">
        <v>2568</v>
      </c>
      <c r="D19521" s="862"/>
      <c r="I19521" s="845" t="str">
        <f>CONCATENATE("&lt;valeur&gt;",Cellule_1608,"&lt;/valeur&gt;")</f>
        <v>&lt;valeur&gt;0&lt;/valeur&gt;</v>
      </c>
    </row>
    <row r="19522" spans="1:10" x14ac:dyDescent="0.2">
      <c r="A19522" s="859">
        <f t="shared" si="446"/>
        <v>19521</v>
      </c>
      <c r="B19522" s="845" t="s">
        <v>2568</v>
      </c>
      <c r="D19522" s="861"/>
      <c r="H19522" s="845" t="s">
        <v>1010</v>
      </c>
    </row>
    <row r="19523" spans="1:10" x14ac:dyDescent="0.2">
      <c r="A19523" s="859">
        <f t="shared" si="446"/>
        <v>19522</v>
      </c>
      <c r="B19523" s="845" t="s">
        <v>2568</v>
      </c>
      <c r="D19523" s="861"/>
      <c r="H19523" s="845" t="s">
        <v>1007</v>
      </c>
    </row>
    <row r="19524" spans="1:10" x14ac:dyDescent="0.2">
      <c r="A19524" s="859">
        <f t="shared" ref="A19524:A19587" si="447">+A19523+1</f>
        <v>19523</v>
      </c>
      <c r="B19524" s="845" t="s">
        <v>2568</v>
      </c>
      <c r="D19524" s="862"/>
      <c r="I19524" s="845" t="s">
        <v>1008</v>
      </c>
    </row>
    <row r="19525" spans="1:10" x14ac:dyDescent="0.2">
      <c r="A19525" s="859">
        <f t="shared" si="447"/>
        <v>19524</v>
      </c>
      <c r="B19525" s="845" t="s">
        <v>2568</v>
      </c>
      <c r="D19525" s="863"/>
      <c r="J19525" s="845" t="s">
        <v>2463</v>
      </c>
    </row>
    <row r="19526" spans="1:10" x14ac:dyDescent="0.2">
      <c r="A19526" s="859">
        <f t="shared" si="447"/>
        <v>19525</v>
      </c>
      <c r="B19526" s="845" t="s">
        <v>2568</v>
      </c>
      <c r="D19526" s="862"/>
      <c r="I19526" s="845" t="s">
        <v>1009</v>
      </c>
    </row>
    <row r="19527" spans="1:10" x14ac:dyDescent="0.2">
      <c r="A19527" s="859">
        <f t="shared" si="447"/>
        <v>19526</v>
      </c>
      <c r="B19527" s="845" t="s">
        <v>2568</v>
      </c>
      <c r="D19527" s="862"/>
      <c r="I19527" s="845" t="str">
        <f>CONCATENATE("&lt;valeur&gt;",Cellule_1616,"&lt;/valeur&gt;")</f>
        <v>&lt;valeur&gt;0&lt;/valeur&gt;</v>
      </c>
    </row>
    <row r="19528" spans="1:10" x14ac:dyDescent="0.2">
      <c r="A19528" s="859">
        <f t="shared" si="447"/>
        <v>19527</v>
      </c>
      <c r="B19528" s="845" t="s">
        <v>2568</v>
      </c>
      <c r="D19528" s="861"/>
      <c r="H19528" s="845" t="s">
        <v>1010</v>
      </c>
    </row>
    <row r="19529" spans="1:10" x14ac:dyDescent="0.2">
      <c r="A19529" s="859">
        <f t="shared" si="447"/>
        <v>19528</v>
      </c>
      <c r="B19529" s="845" t="s">
        <v>2568</v>
      </c>
      <c r="D19529" s="861"/>
      <c r="H19529" s="845" t="s">
        <v>1007</v>
      </c>
    </row>
    <row r="19530" spans="1:10" x14ac:dyDescent="0.2">
      <c r="A19530" s="859">
        <f t="shared" si="447"/>
        <v>19529</v>
      </c>
      <c r="B19530" s="845" t="s">
        <v>2568</v>
      </c>
      <c r="D19530" s="862"/>
      <c r="I19530" s="845" t="s">
        <v>1008</v>
      </c>
    </row>
    <row r="19531" spans="1:10" x14ac:dyDescent="0.2">
      <c r="A19531" s="859">
        <f t="shared" si="447"/>
        <v>19530</v>
      </c>
      <c r="B19531" s="845" t="s">
        <v>2568</v>
      </c>
      <c r="D19531" s="863"/>
      <c r="J19531" s="845" t="s">
        <v>2464</v>
      </c>
    </row>
    <row r="19532" spans="1:10" x14ac:dyDescent="0.2">
      <c r="A19532" s="859">
        <f t="shared" si="447"/>
        <v>19531</v>
      </c>
      <c r="B19532" s="845" t="s">
        <v>2568</v>
      </c>
      <c r="D19532" s="862"/>
      <c r="I19532" s="845" t="s">
        <v>1009</v>
      </c>
    </row>
    <row r="19533" spans="1:10" x14ac:dyDescent="0.2">
      <c r="A19533" s="859">
        <f t="shared" si="447"/>
        <v>19532</v>
      </c>
      <c r="B19533" s="845" t="s">
        <v>2568</v>
      </c>
      <c r="D19533" s="862"/>
      <c r="I19533" s="845" t="str">
        <f>CONCATENATE("&lt;valeur&gt;",Cellule_1639,"&lt;/valeur&gt;")</f>
        <v>&lt;valeur&gt;&lt;/valeur&gt;</v>
      </c>
    </row>
    <row r="19534" spans="1:10" x14ac:dyDescent="0.2">
      <c r="A19534" s="859">
        <f t="shared" si="447"/>
        <v>19533</v>
      </c>
      <c r="B19534" s="845" t="s">
        <v>2568</v>
      </c>
      <c r="D19534" s="861"/>
      <c r="H19534" s="845" t="s">
        <v>1010</v>
      </c>
    </row>
    <row r="19535" spans="1:10" x14ac:dyDescent="0.2">
      <c r="A19535" s="859">
        <f t="shared" si="447"/>
        <v>19534</v>
      </c>
      <c r="B19535" s="845" t="s">
        <v>2568</v>
      </c>
      <c r="D19535" s="861"/>
      <c r="H19535" s="845" t="s">
        <v>1007</v>
      </c>
    </row>
    <row r="19536" spans="1:10" x14ac:dyDescent="0.2">
      <c r="A19536" s="859">
        <f t="shared" si="447"/>
        <v>19535</v>
      </c>
      <c r="B19536" s="845" t="s">
        <v>2568</v>
      </c>
      <c r="D19536" s="862"/>
      <c r="I19536" s="845" t="s">
        <v>1008</v>
      </c>
    </row>
    <row r="19537" spans="1:10" x14ac:dyDescent="0.2">
      <c r="A19537" s="859">
        <f t="shared" si="447"/>
        <v>19536</v>
      </c>
      <c r="B19537" s="845" t="s">
        <v>2568</v>
      </c>
      <c r="D19537" s="863"/>
      <c r="J19537" s="845" t="s">
        <v>2465</v>
      </c>
    </row>
    <row r="19538" spans="1:10" x14ac:dyDescent="0.2">
      <c r="A19538" s="859">
        <f t="shared" si="447"/>
        <v>19537</v>
      </c>
      <c r="B19538" s="845" t="s">
        <v>2568</v>
      </c>
      <c r="D19538" s="862"/>
      <c r="I19538" s="845" t="s">
        <v>1009</v>
      </c>
    </row>
    <row r="19539" spans="1:10" x14ac:dyDescent="0.2">
      <c r="A19539" s="859">
        <f t="shared" si="447"/>
        <v>19538</v>
      </c>
      <c r="B19539" s="845" t="s">
        <v>2568</v>
      </c>
      <c r="D19539" s="862"/>
      <c r="I19539" s="845" t="str">
        <f>CONCATENATE("&lt;valeur&gt;",Cellule_1647,"&lt;/valeur&gt;")</f>
        <v>&lt;valeur&gt;0&lt;/valeur&gt;</v>
      </c>
    </row>
    <row r="19540" spans="1:10" x14ac:dyDescent="0.2">
      <c r="A19540" s="859">
        <f t="shared" si="447"/>
        <v>19539</v>
      </c>
      <c r="B19540" s="845" t="s">
        <v>2568</v>
      </c>
      <c r="D19540" s="861"/>
      <c r="H19540" s="845" t="s">
        <v>1010</v>
      </c>
    </row>
    <row r="19541" spans="1:10" x14ac:dyDescent="0.2">
      <c r="A19541" s="859">
        <f t="shared" si="447"/>
        <v>19540</v>
      </c>
      <c r="B19541" s="845" t="s">
        <v>2568</v>
      </c>
      <c r="D19541" s="861"/>
      <c r="H19541" s="845" t="s">
        <v>1007</v>
      </c>
    </row>
    <row r="19542" spans="1:10" x14ac:dyDescent="0.2">
      <c r="A19542" s="859">
        <f t="shared" si="447"/>
        <v>19541</v>
      </c>
      <c r="B19542" s="845" t="s">
        <v>2568</v>
      </c>
      <c r="D19542" s="862"/>
      <c r="I19542" s="845" t="s">
        <v>1008</v>
      </c>
    </row>
    <row r="19543" spans="1:10" x14ac:dyDescent="0.2">
      <c r="A19543" s="859">
        <f t="shared" si="447"/>
        <v>19542</v>
      </c>
      <c r="B19543" s="845" t="s">
        <v>2568</v>
      </c>
      <c r="D19543" s="863"/>
      <c r="J19543" s="845" t="s">
        <v>2466</v>
      </c>
    </row>
    <row r="19544" spans="1:10" x14ac:dyDescent="0.2">
      <c r="A19544" s="859">
        <f t="shared" si="447"/>
        <v>19543</v>
      </c>
      <c r="B19544" s="845" t="s">
        <v>2568</v>
      </c>
      <c r="D19544" s="862"/>
      <c r="I19544" s="845" t="s">
        <v>1009</v>
      </c>
    </row>
    <row r="19545" spans="1:10" x14ac:dyDescent="0.2">
      <c r="A19545" s="859">
        <f t="shared" si="447"/>
        <v>19544</v>
      </c>
      <c r="B19545" s="845" t="s">
        <v>2568</v>
      </c>
      <c r="D19545" s="862"/>
      <c r="I19545" s="845" t="str">
        <f>CONCATENATE("&lt;valeur&gt;",Cellule_1660,"&lt;/valeur&gt;")</f>
        <v>&lt;valeur&gt;0&lt;/valeur&gt;</v>
      </c>
    </row>
    <row r="19546" spans="1:10" x14ac:dyDescent="0.2">
      <c r="A19546" s="859">
        <f t="shared" si="447"/>
        <v>19545</v>
      </c>
      <c r="B19546" s="845" t="s">
        <v>2568</v>
      </c>
      <c r="D19546" s="861"/>
      <c r="H19546" s="845" t="s">
        <v>1010</v>
      </c>
    </row>
    <row r="19547" spans="1:10" x14ac:dyDescent="0.2">
      <c r="A19547" s="859">
        <f t="shared" si="447"/>
        <v>19546</v>
      </c>
      <c r="B19547" s="845" t="s">
        <v>2568</v>
      </c>
      <c r="D19547" s="861"/>
      <c r="H19547" s="845" t="s">
        <v>1007</v>
      </c>
    </row>
    <row r="19548" spans="1:10" x14ac:dyDescent="0.2">
      <c r="A19548" s="859">
        <f t="shared" si="447"/>
        <v>19547</v>
      </c>
      <c r="B19548" s="845" t="s">
        <v>2568</v>
      </c>
      <c r="D19548" s="862"/>
      <c r="I19548" s="845" t="s">
        <v>1008</v>
      </c>
    </row>
    <row r="19549" spans="1:10" x14ac:dyDescent="0.2">
      <c r="A19549" s="859">
        <f t="shared" si="447"/>
        <v>19548</v>
      </c>
      <c r="B19549" s="845" t="s">
        <v>2568</v>
      </c>
      <c r="D19549" s="863"/>
      <c r="J19549" s="845" t="s">
        <v>2467</v>
      </c>
    </row>
    <row r="19550" spans="1:10" x14ac:dyDescent="0.2">
      <c r="A19550" s="859">
        <f t="shared" si="447"/>
        <v>19549</v>
      </c>
      <c r="B19550" s="845" t="s">
        <v>2568</v>
      </c>
      <c r="D19550" s="862"/>
      <c r="I19550" s="845" t="s">
        <v>1009</v>
      </c>
    </row>
    <row r="19551" spans="1:10" x14ac:dyDescent="0.2">
      <c r="A19551" s="859">
        <f t="shared" si="447"/>
        <v>19550</v>
      </c>
      <c r="B19551" s="845" t="s">
        <v>2568</v>
      </c>
      <c r="D19551" s="862"/>
      <c r="I19551" s="845" t="str">
        <f>CONCATENATE("&lt;valeur&gt;",Cellule_1668,"&lt;/valeur&gt;")</f>
        <v>&lt;valeur&gt;0&lt;/valeur&gt;</v>
      </c>
    </row>
    <row r="19552" spans="1:10" x14ac:dyDescent="0.2">
      <c r="A19552" s="859">
        <f t="shared" si="447"/>
        <v>19551</v>
      </c>
      <c r="B19552" s="845" t="s">
        <v>2568</v>
      </c>
      <c r="D19552" s="861"/>
      <c r="H19552" s="845" t="s">
        <v>1010</v>
      </c>
    </row>
    <row r="19553" spans="1:10" x14ac:dyDescent="0.2">
      <c r="A19553" s="859">
        <f t="shared" si="447"/>
        <v>19552</v>
      </c>
      <c r="B19553" s="845" t="s">
        <v>2568</v>
      </c>
      <c r="D19553" s="861"/>
      <c r="H19553" s="845" t="s">
        <v>1007</v>
      </c>
    </row>
    <row r="19554" spans="1:10" x14ac:dyDescent="0.2">
      <c r="A19554" s="859">
        <f t="shared" si="447"/>
        <v>19553</v>
      </c>
      <c r="B19554" s="845" t="s">
        <v>2568</v>
      </c>
      <c r="D19554" s="862"/>
      <c r="I19554" s="845" t="s">
        <v>1008</v>
      </c>
    </row>
    <row r="19555" spans="1:10" x14ac:dyDescent="0.2">
      <c r="A19555" s="859">
        <f t="shared" si="447"/>
        <v>19554</v>
      </c>
      <c r="B19555" s="845" t="s">
        <v>2568</v>
      </c>
      <c r="D19555" s="863"/>
      <c r="J19555" s="845" t="s">
        <v>2468</v>
      </c>
    </row>
    <row r="19556" spans="1:10" x14ac:dyDescent="0.2">
      <c r="A19556" s="859">
        <f t="shared" si="447"/>
        <v>19555</v>
      </c>
      <c r="B19556" s="845" t="s">
        <v>2568</v>
      </c>
      <c r="D19556" s="862"/>
      <c r="I19556" s="845" t="s">
        <v>1009</v>
      </c>
    </row>
    <row r="19557" spans="1:10" x14ac:dyDescent="0.2">
      <c r="A19557" s="859">
        <f t="shared" si="447"/>
        <v>19556</v>
      </c>
      <c r="B19557" s="845" t="s">
        <v>2568</v>
      </c>
      <c r="D19557" s="862"/>
      <c r="I19557" s="845" t="str">
        <f>CONCATENATE("&lt;valeur&gt;",Cellule_1676,"&lt;/valeur&gt;")</f>
        <v>&lt;valeur&gt;0&lt;/valeur&gt;</v>
      </c>
    </row>
    <row r="19558" spans="1:10" x14ac:dyDescent="0.2">
      <c r="A19558" s="859">
        <f t="shared" si="447"/>
        <v>19557</v>
      </c>
      <c r="B19558" s="845" t="s">
        <v>2568</v>
      </c>
      <c r="D19558" s="861"/>
      <c r="H19558" s="845" t="s">
        <v>1010</v>
      </c>
    </row>
    <row r="19559" spans="1:10" x14ac:dyDescent="0.2">
      <c r="A19559" s="859">
        <f t="shared" si="447"/>
        <v>19558</v>
      </c>
      <c r="B19559" s="845" t="s">
        <v>2568</v>
      </c>
      <c r="D19559" s="861"/>
      <c r="H19559" s="845" t="s">
        <v>1007</v>
      </c>
    </row>
    <row r="19560" spans="1:10" x14ac:dyDescent="0.2">
      <c r="A19560" s="859">
        <f t="shared" si="447"/>
        <v>19559</v>
      </c>
      <c r="B19560" s="845" t="s">
        <v>2568</v>
      </c>
      <c r="D19560" s="862"/>
      <c r="I19560" s="845" t="s">
        <v>1008</v>
      </c>
    </row>
    <row r="19561" spans="1:10" x14ac:dyDescent="0.2">
      <c r="A19561" s="859">
        <f t="shared" si="447"/>
        <v>19560</v>
      </c>
      <c r="B19561" s="845" t="s">
        <v>2568</v>
      </c>
      <c r="D19561" s="863"/>
      <c r="J19561" s="845" t="s">
        <v>2469</v>
      </c>
    </row>
    <row r="19562" spans="1:10" x14ac:dyDescent="0.2">
      <c r="A19562" s="859">
        <f t="shared" si="447"/>
        <v>19561</v>
      </c>
      <c r="B19562" s="845" t="s">
        <v>2568</v>
      </c>
      <c r="D19562" s="862"/>
      <c r="I19562" s="845" t="s">
        <v>1009</v>
      </c>
    </row>
    <row r="19563" spans="1:10" x14ac:dyDescent="0.2">
      <c r="A19563" s="859">
        <f t="shared" si="447"/>
        <v>19562</v>
      </c>
      <c r="B19563" s="845" t="s">
        <v>2568</v>
      </c>
      <c r="D19563" s="862"/>
      <c r="I19563" s="845" t="str">
        <f>CONCATENATE("&lt;valeur&gt;",Cellule_1689,"&lt;/valeur&gt;")</f>
        <v>&lt;valeur&gt;0&lt;/valeur&gt;</v>
      </c>
    </row>
    <row r="19564" spans="1:10" x14ac:dyDescent="0.2">
      <c r="A19564" s="859">
        <f t="shared" si="447"/>
        <v>19563</v>
      </c>
      <c r="B19564" s="845" t="s">
        <v>2568</v>
      </c>
      <c r="D19564" s="861"/>
      <c r="H19564" s="845" t="s">
        <v>1010</v>
      </c>
    </row>
    <row r="19565" spans="1:10" x14ac:dyDescent="0.2">
      <c r="A19565" s="859">
        <f t="shared" si="447"/>
        <v>19564</v>
      </c>
      <c r="B19565" s="845" t="s">
        <v>2568</v>
      </c>
      <c r="D19565" s="861"/>
      <c r="H19565" s="845" t="s">
        <v>1007</v>
      </c>
    </row>
    <row r="19566" spans="1:10" x14ac:dyDescent="0.2">
      <c r="A19566" s="859">
        <f t="shared" si="447"/>
        <v>19565</v>
      </c>
      <c r="B19566" s="845" t="s">
        <v>2568</v>
      </c>
      <c r="D19566" s="862"/>
      <c r="I19566" s="845" t="s">
        <v>1008</v>
      </c>
    </row>
    <row r="19567" spans="1:10" x14ac:dyDescent="0.2">
      <c r="A19567" s="859">
        <f t="shared" si="447"/>
        <v>19566</v>
      </c>
      <c r="B19567" s="845" t="s">
        <v>2568</v>
      </c>
      <c r="D19567" s="863"/>
      <c r="J19567" s="845" t="s">
        <v>2470</v>
      </c>
    </row>
    <row r="19568" spans="1:10" x14ac:dyDescent="0.2">
      <c r="A19568" s="859">
        <f t="shared" si="447"/>
        <v>19567</v>
      </c>
      <c r="B19568" s="845" t="s">
        <v>2568</v>
      </c>
      <c r="D19568" s="862"/>
      <c r="I19568" s="845" t="s">
        <v>1009</v>
      </c>
    </row>
    <row r="19569" spans="1:10" x14ac:dyDescent="0.2">
      <c r="A19569" s="859">
        <f t="shared" si="447"/>
        <v>19568</v>
      </c>
      <c r="B19569" s="845" t="s">
        <v>2568</v>
      </c>
      <c r="D19569" s="862"/>
      <c r="I19569" s="845" t="str">
        <f>CONCATENATE("&lt;valeur&gt;",Cellule_1740,"&lt;/valeur&gt;")</f>
        <v>&lt;valeur&gt;&lt;/valeur&gt;</v>
      </c>
    </row>
    <row r="19570" spans="1:10" x14ac:dyDescent="0.2">
      <c r="A19570" s="859">
        <f t="shared" si="447"/>
        <v>19569</v>
      </c>
      <c r="B19570" s="845" t="s">
        <v>2568</v>
      </c>
      <c r="D19570" s="861"/>
      <c r="H19570" s="845" t="s">
        <v>1010</v>
      </c>
    </row>
    <row r="19571" spans="1:10" x14ac:dyDescent="0.2">
      <c r="A19571" s="859">
        <f t="shared" si="447"/>
        <v>19570</v>
      </c>
      <c r="B19571" s="845" t="s">
        <v>2568</v>
      </c>
      <c r="D19571" s="861"/>
      <c r="H19571" s="845" t="s">
        <v>1007</v>
      </c>
    </row>
    <row r="19572" spans="1:10" x14ac:dyDescent="0.2">
      <c r="A19572" s="859">
        <f t="shared" si="447"/>
        <v>19571</v>
      </c>
      <c r="B19572" s="845" t="s">
        <v>2568</v>
      </c>
      <c r="D19572" s="862"/>
      <c r="I19572" s="845" t="s">
        <v>1008</v>
      </c>
    </row>
    <row r="19573" spans="1:10" x14ac:dyDescent="0.2">
      <c r="A19573" s="859">
        <f t="shared" si="447"/>
        <v>19572</v>
      </c>
      <c r="B19573" s="845" t="s">
        <v>2568</v>
      </c>
      <c r="D19573" s="863"/>
      <c r="J19573" s="845" t="s">
        <v>2471</v>
      </c>
    </row>
    <row r="19574" spans="1:10" x14ac:dyDescent="0.2">
      <c r="A19574" s="859">
        <f t="shared" si="447"/>
        <v>19573</v>
      </c>
      <c r="B19574" s="845" t="s">
        <v>2568</v>
      </c>
      <c r="D19574" s="862"/>
      <c r="I19574" s="845" t="s">
        <v>1009</v>
      </c>
    </row>
    <row r="19575" spans="1:10" x14ac:dyDescent="0.2">
      <c r="A19575" s="859">
        <f t="shared" si="447"/>
        <v>19574</v>
      </c>
      <c r="B19575" s="845" t="s">
        <v>2568</v>
      </c>
      <c r="D19575" s="862"/>
      <c r="I19575" s="845" t="str">
        <f>CONCATENATE("&lt;valeur&gt;",Cellule_1761,"&lt;/valeur&gt;")</f>
        <v>&lt;valeur&gt;0&lt;/valeur&gt;</v>
      </c>
    </row>
    <row r="19576" spans="1:10" x14ac:dyDescent="0.2">
      <c r="A19576" s="859">
        <f t="shared" si="447"/>
        <v>19575</v>
      </c>
      <c r="B19576" s="845" t="s">
        <v>2568</v>
      </c>
      <c r="D19576" s="861"/>
      <c r="H19576" s="845" t="s">
        <v>1010</v>
      </c>
    </row>
    <row r="19577" spans="1:10" x14ac:dyDescent="0.2">
      <c r="A19577" s="859">
        <f t="shared" si="447"/>
        <v>19576</v>
      </c>
      <c r="B19577" s="845" t="s">
        <v>2568</v>
      </c>
      <c r="D19577" s="861"/>
      <c r="H19577" s="845" t="s">
        <v>1007</v>
      </c>
    </row>
    <row r="19578" spans="1:10" x14ac:dyDescent="0.2">
      <c r="A19578" s="859">
        <f t="shared" si="447"/>
        <v>19577</v>
      </c>
      <c r="B19578" s="845" t="s">
        <v>2568</v>
      </c>
      <c r="D19578" s="862"/>
      <c r="I19578" s="845" t="s">
        <v>1008</v>
      </c>
    </row>
    <row r="19579" spans="1:10" x14ac:dyDescent="0.2">
      <c r="A19579" s="859">
        <f t="shared" si="447"/>
        <v>19578</v>
      </c>
      <c r="B19579" s="845" t="s">
        <v>2568</v>
      </c>
      <c r="D19579" s="863"/>
      <c r="J19579" s="845" t="s">
        <v>2472</v>
      </c>
    </row>
    <row r="19580" spans="1:10" x14ac:dyDescent="0.2">
      <c r="A19580" s="859">
        <f t="shared" si="447"/>
        <v>19579</v>
      </c>
      <c r="B19580" s="845" t="s">
        <v>2568</v>
      </c>
      <c r="D19580" s="862"/>
      <c r="I19580" s="845" t="s">
        <v>1009</v>
      </c>
    </row>
    <row r="19581" spans="1:10" x14ac:dyDescent="0.2">
      <c r="A19581" s="859">
        <f t="shared" si="447"/>
        <v>19580</v>
      </c>
      <c r="B19581" s="845" t="s">
        <v>2568</v>
      </c>
      <c r="D19581" s="862"/>
      <c r="I19581" s="845" t="str">
        <f>CONCATENATE("&lt;valeur&gt;",Cellule_1773,"&lt;/valeur&gt;")</f>
        <v>&lt;valeur&gt;&lt;/valeur&gt;</v>
      </c>
    </row>
    <row r="19582" spans="1:10" x14ac:dyDescent="0.2">
      <c r="A19582" s="859">
        <f t="shared" si="447"/>
        <v>19581</v>
      </c>
      <c r="B19582" s="845" t="s">
        <v>2568</v>
      </c>
      <c r="D19582" s="861"/>
      <c r="H19582" s="845" t="s">
        <v>1010</v>
      </c>
    </row>
    <row r="19583" spans="1:10" x14ac:dyDescent="0.2">
      <c r="A19583" s="859">
        <f t="shared" si="447"/>
        <v>19582</v>
      </c>
      <c r="B19583" s="845" t="s">
        <v>2568</v>
      </c>
      <c r="D19583" s="861"/>
      <c r="H19583" s="845" t="s">
        <v>1007</v>
      </c>
    </row>
    <row r="19584" spans="1:10" x14ac:dyDescent="0.2">
      <c r="A19584" s="859">
        <f t="shared" si="447"/>
        <v>19583</v>
      </c>
      <c r="B19584" s="845" t="s">
        <v>2568</v>
      </c>
      <c r="D19584" s="862"/>
      <c r="I19584" s="845" t="s">
        <v>1008</v>
      </c>
    </row>
    <row r="19585" spans="1:10" x14ac:dyDescent="0.2">
      <c r="A19585" s="859">
        <f t="shared" si="447"/>
        <v>19584</v>
      </c>
      <c r="B19585" s="845" t="s">
        <v>2568</v>
      </c>
      <c r="D19585" s="863"/>
      <c r="J19585" s="845" t="s">
        <v>2473</v>
      </c>
    </row>
    <row r="19586" spans="1:10" x14ac:dyDescent="0.2">
      <c r="A19586" s="859">
        <f t="shared" si="447"/>
        <v>19585</v>
      </c>
      <c r="B19586" s="845" t="s">
        <v>2568</v>
      </c>
      <c r="D19586" s="862"/>
      <c r="I19586" s="845" t="s">
        <v>1009</v>
      </c>
    </row>
    <row r="19587" spans="1:10" x14ac:dyDescent="0.2">
      <c r="A19587" s="859">
        <f t="shared" si="447"/>
        <v>19586</v>
      </c>
      <c r="B19587" s="845" t="s">
        <v>2568</v>
      </c>
      <c r="D19587" s="862"/>
      <c r="I19587" s="845" t="str">
        <f>CONCATENATE("&lt;valeur&gt;",Cellule_1804,"&lt;/valeur&gt;")</f>
        <v>&lt;valeur&gt;0&lt;/valeur&gt;</v>
      </c>
    </row>
    <row r="19588" spans="1:10" x14ac:dyDescent="0.2">
      <c r="A19588" s="859">
        <f t="shared" ref="A19588:A19651" si="448">+A19587+1</f>
        <v>19587</v>
      </c>
      <c r="B19588" s="845" t="s">
        <v>2568</v>
      </c>
      <c r="D19588" s="861"/>
      <c r="H19588" s="845" t="s">
        <v>1010</v>
      </c>
    </row>
    <row r="19589" spans="1:10" x14ac:dyDescent="0.2">
      <c r="A19589" s="859">
        <f t="shared" si="448"/>
        <v>19588</v>
      </c>
      <c r="B19589" s="845" t="s">
        <v>2568</v>
      </c>
      <c r="D19589" s="861"/>
      <c r="H19589" s="845" t="s">
        <v>1007</v>
      </c>
    </row>
    <row r="19590" spans="1:10" x14ac:dyDescent="0.2">
      <c r="A19590" s="859">
        <f t="shared" si="448"/>
        <v>19589</v>
      </c>
      <c r="B19590" s="845" t="s">
        <v>2568</v>
      </c>
      <c r="D19590" s="862"/>
      <c r="I19590" s="845" t="s">
        <v>1008</v>
      </c>
    </row>
    <row r="19591" spans="1:10" x14ac:dyDescent="0.2">
      <c r="A19591" s="859">
        <f t="shared" si="448"/>
        <v>19590</v>
      </c>
      <c r="B19591" s="845" t="s">
        <v>2568</v>
      </c>
      <c r="D19591" s="863"/>
      <c r="J19591" s="845" t="s">
        <v>2474</v>
      </c>
    </row>
    <row r="19592" spans="1:10" x14ac:dyDescent="0.2">
      <c r="A19592" s="859">
        <f t="shared" si="448"/>
        <v>19591</v>
      </c>
      <c r="B19592" s="845" t="s">
        <v>2568</v>
      </c>
      <c r="D19592" s="862"/>
      <c r="I19592" s="845" t="s">
        <v>1009</v>
      </c>
    </row>
    <row r="19593" spans="1:10" x14ac:dyDescent="0.2">
      <c r="A19593" s="859">
        <f t="shared" si="448"/>
        <v>19592</v>
      </c>
      <c r="B19593" s="845" t="s">
        <v>2568</v>
      </c>
      <c r="D19593" s="862"/>
      <c r="I19593" s="845" t="str">
        <f>CONCATENATE("&lt;valeur&gt;",Cellule_1823,"&lt;/valeur&gt;")</f>
        <v>&lt;valeur&gt;&lt;/valeur&gt;</v>
      </c>
    </row>
    <row r="19594" spans="1:10" x14ac:dyDescent="0.2">
      <c r="A19594" s="859">
        <f t="shared" si="448"/>
        <v>19593</v>
      </c>
      <c r="B19594" s="845" t="s">
        <v>2568</v>
      </c>
      <c r="D19594" s="861"/>
      <c r="H19594" s="845" t="s">
        <v>1010</v>
      </c>
    </row>
    <row r="19595" spans="1:10" x14ac:dyDescent="0.2">
      <c r="A19595" s="859">
        <f t="shared" si="448"/>
        <v>19594</v>
      </c>
      <c r="B19595" s="845" t="s">
        <v>2568</v>
      </c>
      <c r="D19595" s="861"/>
      <c r="H19595" s="845" t="s">
        <v>1007</v>
      </c>
    </row>
    <row r="19596" spans="1:10" x14ac:dyDescent="0.2">
      <c r="A19596" s="859">
        <f t="shared" si="448"/>
        <v>19595</v>
      </c>
      <c r="B19596" s="845" t="s">
        <v>2568</v>
      </c>
      <c r="D19596" s="862"/>
      <c r="I19596" s="845" t="s">
        <v>1008</v>
      </c>
    </row>
    <row r="19597" spans="1:10" x14ac:dyDescent="0.2">
      <c r="A19597" s="859">
        <f t="shared" si="448"/>
        <v>19596</v>
      </c>
      <c r="B19597" s="845" t="s">
        <v>2568</v>
      </c>
      <c r="D19597" s="863"/>
      <c r="J19597" s="845" t="s">
        <v>2475</v>
      </c>
    </row>
    <row r="19598" spans="1:10" x14ac:dyDescent="0.2">
      <c r="A19598" s="859">
        <f t="shared" si="448"/>
        <v>19597</v>
      </c>
      <c r="B19598" s="845" t="s">
        <v>2568</v>
      </c>
      <c r="D19598" s="862"/>
      <c r="I19598" s="845" t="s">
        <v>1009</v>
      </c>
    </row>
    <row r="19599" spans="1:10" x14ac:dyDescent="0.2">
      <c r="A19599" s="859">
        <f t="shared" si="448"/>
        <v>19598</v>
      </c>
      <c r="B19599" s="845" t="s">
        <v>2568</v>
      </c>
      <c r="D19599" s="862"/>
      <c r="I19599" s="845" t="str">
        <f>CONCATENATE("&lt;valeur&gt;",Cellule_1840,"&lt;/valeur&gt;")</f>
        <v>&lt;valeur&gt;0&lt;/valeur&gt;</v>
      </c>
    </row>
    <row r="19600" spans="1:10" x14ac:dyDescent="0.2">
      <c r="A19600" s="859">
        <f t="shared" si="448"/>
        <v>19599</v>
      </c>
      <c r="B19600" s="845" t="s">
        <v>2568</v>
      </c>
      <c r="D19600" s="861"/>
      <c r="H19600" s="845" t="s">
        <v>1010</v>
      </c>
    </row>
    <row r="19601" spans="1:10" x14ac:dyDescent="0.2">
      <c r="A19601" s="859">
        <f t="shared" si="448"/>
        <v>19600</v>
      </c>
      <c r="B19601" s="845" t="s">
        <v>2568</v>
      </c>
      <c r="D19601" s="861"/>
      <c r="H19601" s="845" t="s">
        <v>1007</v>
      </c>
    </row>
    <row r="19602" spans="1:10" x14ac:dyDescent="0.2">
      <c r="A19602" s="859">
        <f t="shared" si="448"/>
        <v>19601</v>
      </c>
      <c r="B19602" s="845" t="s">
        <v>2568</v>
      </c>
      <c r="D19602" s="862"/>
      <c r="I19602" s="845" t="s">
        <v>1008</v>
      </c>
    </row>
    <row r="19603" spans="1:10" x14ac:dyDescent="0.2">
      <c r="A19603" s="859">
        <f t="shared" si="448"/>
        <v>19602</v>
      </c>
      <c r="B19603" s="845" t="s">
        <v>2568</v>
      </c>
      <c r="D19603" s="863"/>
      <c r="J19603" s="845" t="s">
        <v>2476</v>
      </c>
    </row>
    <row r="19604" spans="1:10" x14ac:dyDescent="0.2">
      <c r="A19604" s="859">
        <f t="shared" si="448"/>
        <v>19603</v>
      </c>
      <c r="B19604" s="845" t="s">
        <v>2568</v>
      </c>
      <c r="D19604" s="862"/>
      <c r="I19604" s="845" t="s">
        <v>1009</v>
      </c>
    </row>
    <row r="19605" spans="1:10" x14ac:dyDescent="0.2">
      <c r="A19605" s="859">
        <f t="shared" si="448"/>
        <v>19604</v>
      </c>
      <c r="B19605" s="845" t="s">
        <v>2568</v>
      </c>
      <c r="D19605" s="862"/>
      <c r="I19605" s="845" t="str">
        <f>CONCATENATE("&lt;valeur&gt;",Cellule_1857,"&lt;/valeur&gt;")</f>
        <v>&lt;valeur&gt;0&lt;/valeur&gt;</v>
      </c>
    </row>
    <row r="19606" spans="1:10" x14ac:dyDescent="0.2">
      <c r="A19606" s="859">
        <f t="shared" si="448"/>
        <v>19605</v>
      </c>
      <c r="B19606" s="845" t="s">
        <v>2568</v>
      </c>
      <c r="D19606" s="861"/>
      <c r="H19606" s="845" t="s">
        <v>1010</v>
      </c>
    </row>
    <row r="19607" spans="1:10" x14ac:dyDescent="0.2">
      <c r="A19607" s="859">
        <f t="shared" si="448"/>
        <v>19606</v>
      </c>
      <c r="B19607" s="845" t="s">
        <v>2568</v>
      </c>
      <c r="D19607" s="861"/>
      <c r="H19607" s="845" t="s">
        <v>1007</v>
      </c>
    </row>
    <row r="19608" spans="1:10" x14ac:dyDescent="0.2">
      <c r="A19608" s="859">
        <f t="shared" si="448"/>
        <v>19607</v>
      </c>
      <c r="B19608" s="845" t="s">
        <v>2568</v>
      </c>
      <c r="D19608" s="862"/>
      <c r="I19608" s="845" t="s">
        <v>1008</v>
      </c>
    </row>
    <row r="19609" spans="1:10" x14ac:dyDescent="0.2">
      <c r="A19609" s="859">
        <f t="shared" si="448"/>
        <v>19608</v>
      </c>
      <c r="B19609" s="845" t="s">
        <v>2568</v>
      </c>
      <c r="D19609" s="863"/>
      <c r="J19609" s="845" t="s">
        <v>2477</v>
      </c>
    </row>
    <row r="19610" spans="1:10" x14ac:dyDescent="0.2">
      <c r="A19610" s="859">
        <f t="shared" si="448"/>
        <v>19609</v>
      </c>
      <c r="B19610" s="845" t="s">
        <v>2568</v>
      </c>
      <c r="D19610" s="862"/>
      <c r="I19610" s="845" t="s">
        <v>1009</v>
      </c>
    </row>
    <row r="19611" spans="1:10" x14ac:dyDescent="0.2">
      <c r="A19611" s="859">
        <f t="shared" si="448"/>
        <v>19610</v>
      </c>
      <c r="B19611" s="845" t="s">
        <v>2568</v>
      </c>
      <c r="D19611" s="862"/>
      <c r="I19611" s="845" t="str">
        <f>CONCATENATE("&lt;valeur&gt;",Cellule_1865,"&lt;/valeur&gt;")</f>
        <v>&lt;valeur&gt;0&lt;/valeur&gt;</v>
      </c>
    </row>
    <row r="19612" spans="1:10" x14ac:dyDescent="0.2">
      <c r="A19612" s="859">
        <f t="shared" si="448"/>
        <v>19611</v>
      </c>
      <c r="B19612" s="845" t="s">
        <v>2568</v>
      </c>
      <c r="D19612" s="861"/>
      <c r="H19612" s="845" t="s">
        <v>1010</v>
      </c>
    </row>
    <row r="19613" spans="1:10" x14ac:dyDescent="0.2">
      <c r="A19613" s="859">
        <f t="shared" si="448"/>
        <v>19612</v>
      </c>
      <c r="B19613" s="845" t="s">
        <v>2568</v>
      </c>
      <c r="D19613" s="861"/>
      <c r="H19613" s="845" t="s">
        <v>1007</v>
      </c>
    </row>
    <row r="19614" spans="1:10" x14ac:dyDescent="0.2">
      <c r="A19614" s="859">
        <f t="shared" si="448"/>
        <v>19613</v>
      </c>
      <c r="B19614" s="845" t="s">
        <v>2568</v>
      </c>
      <c r="D19614" s="862"/>
      <c r="I19614" s="845" t="s">
        <v>1008</v>
      </c>
    </row>
    <row r="19615" spans="1:10" x14ac:dyDescent="0.2">
      <c r="A19615" s="859">
        <f t="shared" si="448"/>
        <v>19614</v>
      </c>
      <c r="B19615" s="845" t="s">
        <v>2568</v>
      </c>
      <c r="D19615" s="863"/>
      <c r="J19615" s="845" t="s">
        <v>2478</v>
      </c>
    </row>
    <row r="19616" spans="1:10" x14ac:dyDescent="0.2">
      <c r="A19616" s="859">
        <f t="shared" si="448"/>
        <v>19615</v>
      </c>
      <c r="B19616" s="845" t="s">
        <v>2568</v>
      </c>
      <c r="D19616" s="862"/>
      <c r="I19616" s="845" t="s">
        <v>1009</v>
      </c>
    </row>
    <row r="19617" spans="1:10" x14ac:dyDescent="0.2">
      <c r="A19617" s="859">
        <f t="shared" si="448"/>
        <v>19616</v>
      </c>
      <c r="B19617" s="845" t="s">
        <v>2568</v>
      </c>
      <c r="D19617" s="862"/>
      <c r="I19617" s="845" t="str">
        <f>CONCATENATE("&lt;valeur&gt;",Cellule_1873,"&lt;/valeur&gt;")</f>
        <v>&lt;valeur&gt;0&lt;/valeur&gt;</v>
      </c>
    </row>
    <row r="19618" spans="1:10" x14ac:dyDescent="0.2">
      <c r="A19618" s="859">
        <f t="shared" si="448"/>
        <v>19617</v>
      </c>
      <c r="B19618" s="845" t="s">
        <v>2568</v>
      </c>
      <c r="D19618" s="861"/>
      <c r="H19618" s="845" t="s">
        <v>1010</v>
      </c>
    </row>
    <row r="19619" spans="1:10" x14ac:dyDescent="0.2">
      <c r="A19619" s="859">
        <f t="shared" si="448"/>
        <v>19618</v>
      </c>
      <c r="B19619" s="845" t="s">
        <v>2568</v>
      </c>
      <c r="D19619" s="861"/>
      <c r="H19619" s="845" t="s">
        <v>1007</v>
      </c>
    </row>
    <row r="19620" spans="1:10" x14ac:dyDescent="0.2">
      <c r="A19620" s="859">
        <f t="shared" si="448"/>
        <v>19619</v>
      </c>
      <c r="B19620" s="845" t="s">
        <v>2568</v>
      </c>
      <c r="D19620" s="862"/>
      <c r="I19620" s="845" t="s">
        <v>1008</v>
      </c>
    </row>
    <row r="19621" spans="1:10" x14ac:dyDescent="0.2">
      <c r="A19621" s="859">
        <f t="shared" si="448"/>
        <v>19620</v>
      </c>
      <c r="B19621" s="845" t="s">
        <v>2568</v>
      </c>
      <c r="D19621" s="863"/>
      <c r="J19621" s="845" t="s">
        <v>2479</v>
      </c>
    </row>
    <row r="19622" spans="1:10" x14ac:dyDescent="0.2">
      <c r="A19622" s="859">
        <f t="shared" si="448"/>
        <v>19621</v>
      </c>
      <c r="B19622" s="845" t="s">
        <v>2568</v>
      </c>
      <c r="D19622" s="862"/>
      <c r="I19622" s="845" t="s">
        <v>1009</v>
      </c>
    </row>
    <row r="19623" spans="1:10" x14ac:dyDescent="0.2">
      <c r="A19623" s="859">
        <f t="shared" si="448"/>
        <v>19622</v>
      </c>
      <c r="B19623" s="845" t="s">
        <v>2568</v>
      </c>
      <c r="D19623" s="862"/>
      <c r="I19623" s="845" t="str">
        <f>CONCATENATE("&lt;valeur&gt;",Cellule_1890,"&lt;/valeur&gt;")</f>
        <v>&lt;valeur&gt;0&lt;/valeur&gt;</v>
      </c>
    </row>
    <row r="19624" spans="1:10" x14ac:dyDescent="0.2">
      <c r="A19624" s="859">
        <f t="shared" si="448"/>
        <v>19623</v>
      </c>
      <c r="B19624" s="845" t="s">
        <v>2568</v>
      </c>
      <c r="D19624" s="861"/>
      <c r="H19624" s="845" t="s">
        <v>1010</v>
      </c>
    </row>
    <row r="19625" spans="1:10" x14ac:dyDescent="0.2">
      <c r="A19625" s="859">
        <f t="shared" si="448"/>
        <v>19624</v>
      </c>
      <c r="B19625" s="845" t="s">
        <v>2568</v>
      </c>
      <c r="D19625" s="861"/>
      <c r="H19625" s="845" t="s">
        <v>1007</v>
      </c>
    </row>
    <row r="19626" spans="1:10" x14ac:dyDescent="0.2">
      <c r="A19626" s="859">
        <f t="shared" si="448"/>
        <v>19625</v>
      </c>
      <c r="B19626" s="845" t="s">
        <v>2568</v>
      </c>
      <c r="D19626" s="862"/>
      <c r="I19626" s="845" t="s">
        <v>1008</v>
      </c>
    </row>
    <row r="19627" spans="1:10" x14ac:dyDescent="0.2">
      <c r="A19627" s="859">
        <f t="shared" si="448"/>
        <v>19626</v>
      </c>
      <c r="B19627" s="845" t="s">
        <v>2568</v>
      </c>
      <c r="D19627" s="863"/>
      <c r="J19627" s="845" t="s">
        <v>2480</v>
      </c>
    </row>
    <row r="19628" spans="1:10" x14ac:dyDescent="0.2">
      <c r="A19628" s="859">
        <f t="shared" si="448"/>
        <v>19627</v>
      </c>
      <c r="B19628" s="845" t="s">
        <v>2568</v>
      </c>
      <c r="D19628" s="862"/>
      <c r="I19628" s="845" t="s">
        <v>1009</v>
      </c>
    </row>
    <row r="19629" spans="1:10" x14ac:dyDescent="0.2">
      <c r="A19629" s="859">
        <f t="shared" si="448"/>
        <v>19628</v>
      </c>
      <c r="B19629" s="845" t="s">
        <v>2568</v>
      </c>
      <c r="D19629" s="862"/>
      <c r="I19629" s="845" t="str">
        <f>CONCATENATE("&lt;valeur&gt;",Cellule_1406,"&lt;/valeur&gt;")</f>
        <v>&lt;valeur&gt;0&lt;/valeur&gt;</v>
      </c>
    </row>
    <row r="19630" spans="1:10" x14ac:dyDescent="0.2">
      <c r="A19630" s="859">
        <f t="shared" si="448"/>
        <v>19629</v>
      </c>
      <c r="B19630" s="845" t="s">
        <v>2568</v>
      </c>
      <c r="D19630" s="861"/>
      <c r="H19630" s="845" t="s">
        <v>1010</v>
      </c>
    </row>
    <row r="19631" spans="1:10" x14ac:dyDescent="0.2">
      <c r="A19631" s="859">
        <f t="shared" si="448"/>
        <v>19630</v>
      </c>
      <c r="B19631" s="845" t="s">
        <v>2568</v>
      </c>
      <c r="D19631" s="861"/>
      <c r="H19631" s="845" t="s">
        <v>1007</v>
      </c>
    </row>
    <row r="19632" spans="1:10" x14ac:dyDescent="0.2">
      <c r="A19632" s="859">
        <f t="shared" si="448"/>
        <v>19631</v>
      </c>
      <c r="B19632" s="845" t="s">
        <v>2568</v>
      </c>
      <c r="D19632" s="862"/>
      <c r="I19632" s="845" t="s">
        <v>1008</v>
      </c>
    </row>
    <row r="19633" spans="1:10" x14ac:dyDescent="0.2">
      <c r="A19633" s="859">
        <f t="shared" si="448"/>
        <v>19632</v>
      </c>
      <c r="B19633" s="845" t="s">
        <v>2568</v>
      </c>
      <c r="D19633" s="863"/>
      <c r="J19633" s="845" t="s">
        <v>2481</v>
      </c>
    </row>
    <row r="19634" spans="1:10" x14ac:dyDescent="0.2">
      <c r="A19634" s="859">
        <f t="shared" si="448"/>
        <v>19633</v>
      </c>
      <c r="B19634" s="845" t="s">
        <v>2568</v>
      </c>
      <c r="D19634" s="862"/>
      <c r="I19634" s="845" t="s">
        <v>1009</v>
      </c>
    </row>
    <row r="19635" spans="1:10" x14ac:dyDescent="0.2">
      <c r="A19635" s="859">
        <f t="shared" si="448"/>
        <v>19634</v>
      </c>
      <c r="B19635" s="845" t="s">
        <v>2568</v>
      </c>
      <c r="D19635" s="862"/>
      <c r="I19635" s="845" t="str">
        <f>CONCATENATE("&lt;valeur&gt;",Cellule_1414,"&lt;/valeur&gt;")</f>
        <v>&lt;valeur&gt;0&lt;/valeur&gt;</v>
      </c>
    </row>
    <row r="19636" spans="1:10" x14ac:dyDescent="0.2">
      <c r="A19636" s="859">
        <f t="shared" si="448"/>
        <v>19635</v>
      </c>
      <c r="B19636" s="845" t="s">
        <v>2568</v>
      </c>
      <c r="D19636" s="861"/>
      <c r="H19636" s="845" t="s">
        <v>1010</v>
      </c>
    </row>
    <row r="19637" spans="1:10" x14ac:dyDescent="0.2">
      <c r="A19637" s="859">
        <f t="shared" si="448"/>
        <v>19636</v>
      </c>
      <c r="B19637" s="845" t="s">
        <v>2568</v>
      </c>
      <c r="D19637" s="861"/>
      <c r="H19637" s="845" t="s">
        <v>1007</v>
      </c>
    </row>
    <row r="19638" spans="1:10" x14ac:dyDescent="0.2">
      <c r="A19638" s="859">
        <f t="shared" si="448"/>
        <v>19637</v>
      </c>
      <c r="B19638" s="845" t="s">
        <v>2568</v>
      </c>
      <c r="D19638" s="862"/>
      <c r="I19638" s="845" t="s">
        <v>1008</v>
      </c>
    </row>
    <row r="19639" spans="1:10" x14ac:dyDescent="0.2">
      <c r="A19639" s="859">
        <f t="shared" si="448"/>
        <v>19638</v>
      </c>
      <c r="B19639" s="845" t="s">
        <v>2568</v>
      </c>
      <c r="D19639" s="863"/>
      <c r="J19639" s="845" t="s">
        <v>2482</v>
      </c>
    </row>
    <row r="19640" spans="1:10" x14ac:dyDescent="0.2">
      <c r="A19640" s="859">
        <f t="shared" si="448"/>
        <v>19639</v>
      </c>
      <c r="B19640" s="845" t="s">
        <v>2568</v>
      </c>
      <c r="D19640" s="862"/>
      <c r="I19640" s="845" t="s">
        <v>1009</v>
      </c>
    </row>
    <row r="19641" spans="1:10" x14ac:dyDescent="0.2">
      <c r="A19641" s="859">
        <f t="shared" si="448"/>
        <v>19640</v>
      </c>
      <c r="B19641" s="845" t="s">
        <v>2568</v>
      </c>
      <c r="D19641" s="862"/>
      <c r="I19641" s="845" t="str">
        <f>CONCATENATE("&lt;valeur&gt;",Cellule_1430,"&lt;/valeur&gt;")</f>
        <v>&lt;valeur&gt;0&lt;/valeur&gt;</v>
      </c>
    </row>
    <row r="19642" spans="1:10" x14ac:dyDescent="0.2">
      <c r="A19642" s="859">
        <f t="shared" si="448"/>
        <v>19641</v>
      </c>
      <c r="B19642" s="845" t="s">
        <v>2568</v>
      </c>
      <c r="D19642" s="861"/>
      <c r="H19642" s="845" t="s">
        <v>1010</v>
      </c>
    </row>
    <row r="19643" spans="1:10" x14ac:dyDescent="0.2">
      <c r="A19643" s="859">
        <f t="shared" si="448"/>
        <v>19642</v>
      </c>
      <c r="B19643" s="845" t="s">
        <v>2568</v>
      </c>
      <c r="D19643" s="861"/>
      <c r="H19643" s="845" t="s">
        <v>1007</v>
      </c>
    </row>
    <row r="19644" spans="1:10" x14ac:dyDescent="0.2">
      <c r="A19644" s="859">
        <f t="shared" si="448"/>
        <v>19643</v>
      </c>
      <c r="B19644" s="845" t="s">
        <v>2568</v>
      </c>
      <c r="D19644" s="862"/>
      <c r="I19644" s="845" t="s">
        <v>1008</v>
      </c>
    </row>
    <row r="19645" spans="1:10" x14ac:dyDescent="0.2">
      <c r="A19645" s="859">
        <f t="shared" si="448"/>
        <v>19644</v>
      </c>
      <c r="B19645" s="845" t="s">
        <v>2568</v>
      </c>
      <c r="D19645" s="863"/>
      <c r="J19645" s="845" t="s">
        <v>2483</v>
      </c>
    </row>
    <row r="19646" spans="1:10" x14ac:dyDescent="0.2">
      <c r="A19646" s="859">
        <f t="shared" si="448"/>
        <v>19645</v>
      </c>
      <c r="B19646" s="845" t="s">
        <v>2568</v>
      </c>
      <c r="D19646" s="862"/>
      <c r="I19646" s="845" t="s">
        <v>1009</v>
      </c>
    </row>
    <row r="19647" spans="1:10" x14ac:dyDescent="0.2">
      <c r="A19647" s="859">
        <f t="shared" si="448"/>
        <v>19646</v>
      </c>
      <c r="B19647" s="845" t="s">
        <v>2568</v>
      </c>
      <c r="D19647" s="862"/>
      <c r="I19647" s="845" t="str">
        <f>CONCATENATE("&lt;valeur&gt;",Cellule_1438,"&lt;/valeur&gt;")</f>
        <v>&lt;valeur&gt;0&lt;/valeur&gt;</v>
      </c>
    </row>
    <row r="19648" spans="1:10" x14ac:dyDescent="0.2">
      <c r="A19648" s="859">
        <f t="shared" si="448"/>
        <v>19647</v>
      </c>
      <c r="B19648" s="845" t="s">
        <v>2568</v>
      </c>
      <c r="D19648" s="861"/>
      <c r="H19648" s="845" t="s">
        <v>1010</v>
      </c>
    </row>
    <row r="19649" spans="1:10" x14ac:dyDescent="0.2">
      <c r="A19649" s="859">
        <f t="shared" si="448"/>
        <v>19648</v>
      </c>
      <c r="B19649" s="845" t="s">
        <v>2568</v>
      </c>
      <c r="D19649" s="861"/>
      <c r="H19649" s="845" t="s">
        <v>1007</v>
      </c>
    </row>
    <row r="19650" spans="1:10" x14ac:dyDescent="0.2">
      <c r="A19650" s="859">
        <f t="shared" si="448"/>
        <v>19649</v>
      </c>
      <c r="B19650" s="845" t="s">
        <v>2568</v>
      </c>
      <c r="D19650" s="862"/>
      <c r="I19650" s="845" t="s">
        <v>1008</v>
      </c>
    </row>
    <row r="19651" spans="1:10" x14ac:dyDescent="0.2">
      <c r="A19651" s="859">
        <f t="shared" si="448"/>
        <v>19650</v>
      </c>
      <c r="B19651" s="845" t="s">
        <v>2568</v>
      </c>
      <c r="D19651" s="863"/>
      <c r="J19651" s="845" t="s">
        <v>2484</v>
      </c>
    </row>
    <row r="19652" spans="1:10" x14ac:dyDescent="0.2">
      <c r="A19652" s="859">
        <f t="shared" ref="A19652:A19715" si="449">+A19651+1</f>
        <v>19651</v>
      </c>
      <c r="B19652" s="845" t="s">
        <v>2568</v>
      </c>
      <c r="D19652" s="862"/>
      <c r="I19652" s="845" t="s">
        <v>1009</v>
      </c>
    </row>
    <row r="19653" spans="1:10" x14ac:dyDescent="0.2">
      <c r="A19653" s="859">
        <f t="shared" si="449"/>
        <v>19652</v>
      </c>
      <c r="B19653" s="845" t="s">
        <v>2568</v>
      </c>
      <c r="D19653" s="862"/>
      <c r="I19653" s="845" t="str">
        <f>CONCATENATE("&lt;valeur&gt;",Cellule_1454,"&lt;/valeur&gt;")</f>
        <v>&lt;valeur&gt;&lt;/valeur&gt;</v>
      </c>
    </row>
    <row r="19654" spans="1:10" x14ac:dyDescent="0.2">
      <c r="A19654" s="859">
        <f t="shared" si="449"/>
        <v>19653</v>
      </c>
      <c r="B19654" s="845" t="s">
        <v>2568</v>
      </c>
      <c r="D19654" s="861"/>
      <c r="H19654" s="845" t="s">
        <v>1010</v>
      </c>
    </row>
    <row r="19655" spans="1:10" x14ac:dyDescent="0.2">
      <c r="A19655" s="859">
        <f t="shared" si="449"/>
        <v>19654</v>
      </c>
      <c r="B19655" s="845" t="s">
        <v>2568</v>
      </c>
      <c r="D19655" s="861"/>
      <c r="H19655" s="845" t="s">
        <v>1007</v>
      </c>
    </row>
    <row r="19656" spans="1:10" x14ac:dyDescent="0.2">
      <c r="A19656" s="859">
        <f t="shared" si="449"/>
        <v>19655</v>
      </c>
      <c r="B19656" s="845" t="s">
        <v>2568</v>
      </c>
      <c r="D19656" s="862"/>
      <c r="I19656" s="845" t="s">
        <v>1008</v>
      </c>
    </row>
    <row r="19657" spans="1:10" x14ac:dyDescent="0.2">
      <c r="A19657" s="859">
        <f t="shared" si="449"/>
        <v>19656</v>
      </c>
      <c r="B19657" s="845" t="s">
        <v>2568</v>
      </c>
      <c r="D19657" s="863"/>
      <c r="J19657" s="845" t="s">
        <v>2485</v>
      </c>
    </row>
    <row r="19658" spans="1:10" x14ac:dyDescent="0.2">
      <c r="A19658" s="859">
        <f t="shared" si="449"/>
        <v>19657</v>
      </c>
      <c r="B19658" s="845" t="s">
        <v>2568</v>
      </c>
      <c r="D19658" s="862"/>
      <c r="I19658" s="845" t="s">
        <v>1009</v>
      </c>
    </row>
    <row r="19659" spans="1:10" x14ac:dyDescent="0.2">
      <c r="A19659" s="859">
        <f t="shared" si="449"/>
        <v>19658</v>
      </c>
      <c r="B19659" s="845" t="s">
        <v>2568</v>
      </c>
      <c r="D19659" s="862"/>
      <c r="I19659" s="845" t="str">
        <f>CONCATENATE("&lt;valeur&gt;",Cellule_1462,"&lt;/valeur&gt;")</f>
        <v>&lt;valeur&gt;0&lt;/valeur&gt;</v>
      </c>
    </row>
    <row r="19660" spans="1:10" x14ac:dyDescent="0.2">
      <c r="A19660" s="859">
        <f t="shared" si="449"/>
        <v>19659</v>
      </c>
      <c r="B19660" s="845" t="s">
        <v>2568</v>
      </c>
      <c r="D19660" s="861"/>
      <c r="H19660" s="845" t="s">
        <v>1010</v>
      </c>
    </row>
    <row r="19661" spans="1:10" x14ac:dyDescent="0.2">
      <c r="A19661" s="859">
        <f t="shared" si="449"/>
        <v>19660</v>
      </c>
      <c r="B19661" s="845" t="s">
        <v>2568</v>
      </c>
      <c r="D19661" s="861"/>
      <c r="H19661" s="845" t="s">
        <v>1007</v>
      </c>
    </row>
    <row r="19662" spans="1:10" x14ac:dyDescent="0.2">
      <c r="A19662" s="859">
        <f t="shared" si="449"/>
        <v>19661</v>
      </c>
      <c r="B19662" s="845" t="s">
        <v>2568</v>
      </c>
      <c r="D19662" s="862"/>
      <c r="I19662" s="845" t="s">
        <v>1008</v>
      </c>
    </row>
    <row r="19663" spans="1:10" x14ac:dyDescent="0.2">
      <c r="A19663" s="859">
        <f t="shared" si="449"/>
        <v>19662</v>
      </c>
      <c r="B19663" s="845" t="s">
        <v>2568</v>
      </c>
      <c r="D19663" s="863"/>
      <c r="J19663" s="845" t="s">
        <v>2486</v>
      </c>
    </row>
    <row r="19664" spans="1:10" x14ac:dyDescent="0.2">
      <c r="A19664" s="859">
        <f t="shared" si="449"/>
        <v>19663</v>
      </c>
      <c r="B19664" s="845" t="s">
        <v>2568</v>
      </c>
      <c r="D19664" s="862"/>
      <c r="I19664" s="845" t="s">
        <v>1009</v>
      </c>
    </row>
    <row r="19665" spans="1:10" x14ac:dyDescent="0.2">
      <c r="A19665" s="859">
        <f t="shared" si="449"/>
        <v>19664</v>
      </c>
      <c r="B19665" s="845" t="s">
        <v>2568</v>
      </c>
      <c r="D19665" s="862"/>
      <c r="I19665" s="845" t="str">
        <f>CONCATENATE("&lt;valeur&gt;",Cellule_1470,"&lt;/valeur&gt;")</f>
        <v>&lt;valeur&gt;0&lt;/valeur&gt;</v>
      </c>
    </row>
    <row r="19666" spans="1:10" x14ac:dyDescent="0.2">
      <c r="A19666" s="859">
        <f t="shared" si="449"/>
        <v>19665</v>
      </c>
      <c r="B19666" s="845" t="s">
        <v>2568</v>
      </c>
      <c r="D19666" s="861"/>
      <c r="H19666" s="845" t="s">
        <v>1010</v>
      </c>
    </row>
    <row r="19667" spans="1:10" x14ac:dyDescent="0.2">
      <c r="A19667" s="859">
        <f t="shared" si="449"/>
        <v>19666</v>
      </c>
      <c r="B19667" s="845" t="s">
        <v>2568</v>
      </c>
      <c r="D19667" s="861"/>
      <c r="H19667" s="845" t="s">
        <v>1007</v>
      </c>
    </row>
    <row r="19668" spans="1:10" x14ac:dyDescent="0.2">
      <c r="A19668" s="859">
        <f t="shared" si="449"/>
        <v>19667</v>
      </c>
      <c r="B19668" s="845" t="s">
        <v>2568</v>
      </c>
      <c r="D19668" s="862"/>
      <c r="I19668" s="845" t="s">
        <v>1008</v>
      </c>
    </row>
    <row r="19669" spans="1:10" x14ac:dyDescent="0.2">
      <c r="A19669" s="859">
        <f t="shared" si="449"/>
        <v>19668</v>
      </c>
      <c r="B19669" s="845" t="s">
        <v>2568</v>
      </c>
      <c r="D19669" s="863"/>
      <c r="J19669" s="845" t="s">
        <v>2487</v>
      </c>
    </row>
    <row r="19670" spans="1:10" x14ac:dyDescent="0.2">
      <c r="A19670" s="859">
        <f t="shared" si="449"/>
        <v>19669</v>
      </c>
      <c r="B19670" s="845" t="s">
        <v>2568</v>
      </c>
      <c r="D19670" s="862"/>
      <c r="I19670" s="845" t="s">
        <v>1009</v>
      </c>
    </row>
    <row r="19671" spans="1:10" x14ac:dyDescent="0.2">
      <c r="A19671" s="859">
        <f t="shared" si="449"/>
        <v>19670</v>
      </c>
      <c r="B19671" s="845" t="s">
        <v>2568</v>
      </c>
      <c r="D19671" s="862"/>
      <c r="I19671" s="845" t="str">
        <f>CONCATENATE("&lt;valeur&gt;",Cellule_1478,"&lt;/valeur&gt;")</f>
        <v>&lt;valeur&gt;0&lt;/valeur&gt;</v>
      </c>
    </row>
    <row r="19672" spans="1:10" x14ac:dyDescent="0.2">
      <c r="A19672" s="859">
        <f t="shared" si="449"/>
        <v>19671</v>
      </c>
      <c r="B19672" s="845" t="s">
        <v>2568</v>
      </c>
      <c r="D19672" s="861"/>
      <c r="H19672" s="845" t="s">
        <v>1010</v>
      </c>
    </row>
    <row r="19673" spans="1:10" x14ac:dyDescent="0.2">
      <c r="A19673" s="859">
        <f t="shared" si="449"/>
        <v>19672</v>
      </c>
      <c r="B19673" s="845" t="s">
        <v>2568</v>
      </c>
      <c r="D19673" s="861"/>
      <c r="H19673" s="845" t="s">
        <v>1007</v>
      </c>
    </row>
    <row r="19674" spans="1:10" x14ac:dyDescent="0.2">
      <c r="A19674" s="859">
        <f t="shared" si="449"/>
        <v>19673</v>
      </c>
      <c r="B19674" s="845" t="s">
        <v>2568</v>
      </c>
      <c r="D19674" s="862"/>
      <c r="I19674" s="845" t="s">
        <v>1008</v>
      </c>
    </row>
    <row r="19675" spans="1:10" x14ac:dyDescent="0.2">
      <c r="A19675" s="859">
        <f t="shared" si="449"/>
        <v>19674</v>
      </c>
      <c r="B19675" s="845" t="s">
        <v>2568</v>
      </c>
      <c r="D19675" s="863"/>
      <c r="J19675" s="845" t="s">
        <v>2488</v>
      </c>
    </row>
    <row r="19676" spans="1:10" x14ac:dyDescent="0.2">
      <c r="A19676" s="859">
        <f t="shared" si="449"/>
        <v>19675</v>
      </c>
      <c r="B19676" s="845" t="s">
        <v>2568</v>
      </c>
      <c r="D19676" s="862"/>
      <c r="I19676" s="845" t="s">
        <v>1009</v>
      </c>
    </row>
    <row r="19677" spans="1:10" x14ac:dyDescent="0.2">
      <c r="A19677" s="859">
        <f t="shared" si="449"/>
        <v>19676</v>
      </c>
      <c r="B19677" s="845" t="s">
        <v>2568</v>
      </c>
      <c r="D19677" s="862"/>
      <c r="I19677" s="845" t="str">
        <f>CONCATENATE("&lt;valeur&gt;",Cellule_1486,"&lt;/valeur&gt;")</f>
        <v>&lt;valeur&gt;0&lt;/valeur&gt;</v>
      </c>
    </row>
    <row r="19678" spans="1:10" x14ac:dyDescent="0.2">
      <c r="A19678" s="859">
        <f t="shared" si="449"/>
        <v>19677</v>
      </c>
      <c r="B19678" s="845" t="s">
        <v>2568</v>
      </c>
      <c r="D19678" s="861"/>
      <c r="H19678" s="845" t="s">
        <v>1010</v>
      </c>
    </row>
    <row r="19679" spans="1:10" x14ac:dyDescent="0.2">
      <c r="A19679" s="859">
        <f t="shared" si="449"/>
        <v>19678</v>
      </c>
      <c r="B19679" s="845" t="s">
        <v>2568</v>
      </c>
      <c r="D19679" s="861"/>
      <c r="H19679" s="845" t="s">
        <v>1007</v>
      </c>
    </row>
    <row r="19680" spans="1:10" x14ac:dyDescent="0.2">
      <c r="A19680" s="859">
        <f t="shared" si="449"/>
        <v>19679</v>
      </c>
      <c r="B19680" s="845" t="s">
        <v>2568</v>
      </c>
      <c r="D19680" s="862"/>
      <c r="I19680" s="845" t="s">
        <v>1008</v>
      </c>
    </row>
    <row r="19681" spans="1:10" x14ac:dyDescent="0.2">
      <c r="A19681" s="859">
        <f t="shared" si="449"/>
        <v>19680</v>
      </c>
      <c r="B19681" s="845" t="s">
        <v>2568</v>
      </c>
      <c r="D19681" s="863"/>
      <c r="J19681" s="845" t="s">
        <v>2489</v>
      </c>
    </row>
    <row r="19682" spans="1:10" x14ac:dyDescent="0.2">
      <c r="A19682" s="859">
        <f t="shared" si="449"/>
        <v>19681</v>
      </c>
      <c r="B19682" s="845" t="s">
        <v>2568</v>
      </c>
      <c r="D19682" s="862"/>
      <c r="I19682" s="845" t="s">
        <v>1009</v>
      </c>
    </row>
    <row r="19683" spans="1:10" x14ac:dyDescent="0.2">
      <c r="A19683" s="859">
        <f t="shared" si="449"/>
        <v>19682</v>
      </c>
      <c r="B19683" s="845" t="s">
        <v>2568</v>
      </c>
      <c r="D19683" s="862"/>
      <c r="I19683" s="845" t="str">
        <f>CONCATENATE("&lt;valeur&gt;",Cellule_1422,"&lt;/valeur&gt;")</f>
        <v>&lt;valeur&gt;0&lt;/valeur&gt;</v>
      </c>
    </row>
    <row r="19684" spans="1:10" x14ac:dyDescent="0.2">
      <c r="A19684" s="859">
        <f t="shared" si="449"/>
        <v>19683</v>
      </c>
      <c r="B19684" s="845" t="s">
        <v>2568</v>
      </c>
      <c r="D19684" s="861"/>
      <c r="H19684" s="845" t="s">
        <v>1010</v>
      </c>
    </row>
    <row r="19685" spans="1:10" x14ac:dyDescent="0.2">
      <c r="A19685" s="859">
        <f t="shared" si="449"/>
        <v>19684</v>
      </c>
      <c r="B19685" s="845" t="s">
        <v>2568</v>
      </c>
      <c r="D19685" s="861"/>
      <c r="H19685" s="845" t="s">
        <v>1007</v>
      </c>
    </row>
    <row r="19686" spans="1:10" x14ac:dyDescent="0.2">
      <c r="A19686" s="859">
        <f t="shared" si="449"/>
        <v>19685</v>
      </c>
      <c r="B19686" s="845" t="s">
        <v>2568</v>
      </c>
      <c r="D19686" s="862"/>
      <c r="I19686" s="845" t="s">
        <v>1008</v>
      </c>
    </row>
    <row r="19687" spans="1:10" x14ac:dyDescent="0.2">
      <c r="A19687" s="859">
        <f t="shared" si="449"/>
        <v>19686</v>
      </c>
      <c r="B19687" s="845" t="s">
        <v>2568</v>
      </c>
      <c r="D19687" s="863"/>
      <c r="J19687" s="845" t="s">
        <v>2490</v>
      </c>
    </row>
    <row r="19688" spans="1:10" x14ac:dyDescent="0.2">
      <c r="A19688" s="859">
        <f t="shared" si="449"/>
        <v>19687</v>
      </c>
      <c r="B19688" s="845" t="s">
        <v>2568</v>
      </c>
      <c r="D19688" s="862"/>
      <c r="I19688" s="845" t="s">
        <v>1009</v>
      </c>
    </row>
    <row r="19689" spans="1:10" x14ac:dyDescent="0.2">
      <c r="A19689" s="859">
        <f t="shared" si="449"/>
        <v>19688</v>
      </c>
      <c r="B19689" s="845" t="s">
        <v>2568</v>
      </c>
      <c r="D19689" s="862"/>
      <c r="I19689" s="845" t="str">
        <f>CONCATENATE("&lt;valeur&gt;",Cellule_1560,"&lt;/valeur&gt;")</f>
        <v>&lt;valeur&gt;0&lt;/valeur&gt;</v>
      </c>
    </row>
    <row r="19690" spans="1:10" x14ac:dyDescent="0.2">
      <c r="A19690" s="859">
        <f t="shared" si="449"/>
        <v>19689</v>
      </c>
      <c r="B19690" s="845" t="s">
        <v>2568</v>
      </c>
      <c r="D19690" s="861"/>
      <c r="H19690" s="845" t="s">
        <v>1010</v>
      </c>
    </row>
    <row r="19691" spans="1:10" x14ac:dyDescent="0.2">
      <c r="A19691" s="859">
        <f t="shared" si="449"/>
        <v>19690</v>
      </c>
      <c r="B19691" s="845" t="s">
        <v>2568</v>
      </c>
      <c r="D19691" s="861"/>
      <c r="H19691" s="845" t="s">
        <v>1007</v>
      </c>
    </row>
    <row r="19692" spans="1:10" x14ac:dyDescent="0.2">
      <c r="A19692" s="859">
        <f t="shared" si="449"/>
        <v>19691</v>
      </c>
      <c r="B19692" s="845" t="s">
        <v>2568</v>
      </c>
      <c r="D19692" s="862"/>
      <c r="I19692" s="845" t="s">
        <v>1008</v>
      </c>
    </row>
    <row r="19693" spans="1:10" x14ac:dyDescent="0.2">
      <c r="A19693" s="859">
        <f t="shared" si="449"/>
        <v>19692</v>
      </c>
      <c r="B19693" s="845" t="s">
        <v>2568</v>
      </c>
      <c r="D19693" s="863"/>
      <c r="J19693" s="845" t="s">
        <v>2491</v>
      </c>
    </row>
    <row r="19694" spans="1:10" x14ac:dyDescent="0.2">
      <c r="A19694" s="859">
        <f t="shared" si="449"/>
        <v>19693</v>
      </c>
      <c r="B19694" s="845" t="s">
        <v>2568</v>
      </c>
      <c r="D19694" s="862"/>
      <c r="I19694" s="845" t="s">
        <v>1009</v>
      </c>
    </row>
    <row r="19695" spans="1:10" x14ac:dyDescent="0.2">
      <c r="A19695" s="859">
        <f t="shared" si="449"/>
        <v>19694</v>
      </c>
      <c r="B19695" s="845" t="s">
        <v>2568</v>
      </c>
      <c r="D19695" s="862"/>
      <c r="I19695" s="845" t="str">
        <f>CONCATENATE("&lt;valeur&gt;",Cellule_1601,"&lt;/valeur&gt;")</f>
        <v>&lt;valeur&gt;0&lt;/valeur&gt;</v>
      </c>
    </row>
    <row r="19696" spans="1:10" x14ac:dyDescent="0.2">
      <c r="A19696" s="859">
        <f t="shared" si="449"/>
        <v>19695</v>
      </c>
      <c r="B19696" s="845" t="s">
        <v>2568</v>
      </c>
      <c r="D19696" s="861"/>
      <c r="H19696" s="845" t="s">
        <v>1010</v>
      </c>
    </row>
    <row r="19697" spans="1:10" x14ac:dyDescent="0.2">
      <c r="A19697" s="859">
        <f t="shared" si="449"/>
        <v>19696</v>
      </c>
      <c r="B19697" s="845" t="s">
        <v>2568</v>
      </c>
      <c r="D19697" s="861"/>
      <c r="H19697" s="845" t="s">
        <v>1007</v>
      </c>
    </row>
    <row r="19698" spans="1:10" x14ac:dyDescent="0.2">
      <c r="A19698" s="859">
        <f t="shared" si="449"/>
        <v>19697</v>
      </c>
      <c r="B19698" s="845" t="s">
        <v>2568</v>
      </c>
      <c r="D19698" s="862"/>
      <c r="I19698" s="845" t="s">
        <v>1008</v>
      </c>
    </row>
    <row r="19699" spans="1:10" x14ac:dyDescent="0.2">
      <c r="A19699" s="859">
        <f t="shared" si="449"/>
        <v>19698</v>
      </c>
      <c r="B19699" s="845" t="s">
        <v>2568</v>
      </c>
      <c r="D19699" s="863"/>
      <c r="J19699" s="845" t="s">
        <v>2492</v>
      </c>
    </row>
    <row r="19700" spans="1:10" x14ac:dyDescent="0.2">
      <c r="A19700" s="859">
        <f t="shared" si="449"/>
        <v>19699</v>
      </c>
      <c r="B19700" s="845" t="s">
        <v>2568</v>
      </c>
      <c r="D19700" s="862"/>
      <c r="I19700" s="845" t="s">
        <v>1009</v>
      </c>
    </row>
    <row r="19701" spans="1:10" x14ac:dyDescent="0.2">
      <c r="A19701" s="859">
        <f t="shared" si="449"/>
        <v>19700</v>
      </c>
      <c r="B19701" s="845" t="s">
        <v>2568</v>
      </c>
      <c r="D19701" s="862"/>
      <c r="I19701" s="845" t="str">
        <f>CONCATENATE("&lt;valeur&gt;",Cellule_1609,"&lt;/valeur&gt;")</f>
        <v>&lt;valeur&gt;0&lt;/valeur&gt;</v>
      </c>
    </row>
    <row r="19702" spans="1:10" x14ac:dyDescent="0.2">
      <c r="A19702" s="859">
        <f t="shared" si="449"/>
        <v>19701</v>
      </c>
      <c r="B19702" s="845" t="s">
        <v>2568</v>
      </c>
      <c r="D19702" s="861"/>
      <c r="H19702" s="845" t="s">
        <v>1010</v>
      </c>
    </row>
    <row r="19703" spans="1:10" x14ac:dyDescent="0.2">
      <c r="A19703" s="859">
        <f t="shared" si="449"/>
        <v>19702</v>
      </c>
      <c r="B19703" s="845" t="s">
        <v>2568</v>
      </c>
      <c r="D19703" s="861"/>
      <c r="H19703" s="845" t="s">
        <v>1007</v>
      </c>
    </row>
    <row r="19704" spans="1:10" x14ac:dyDescent="0.2">
      <c r="A19704" s="859">
        <f t="shared" si="449"/>
        <v>19703</v>
      </c>
      <c r="B19704" s="845" t="s">
        <v>2568</v>
      </c>
      <c r="D19704" s="862"/>
      <c r="I19704" s="845" t="s">
        <v>1008</v>
      </c>
    </row>
    <row r="19705" spans="1:10" x14ac:dyDescent="0.2">
      <c r="A19705" s="859">
        <f t="shared" si="449"/>
        <v>19704</v>
      </c>
      <c r="B19705" s="845" t="s">
        <v>2568</v>
      </c>
      <c r="D19705" s="863"/>
      <c r="J19705" s="845" t="s">
        <v>2493</v>
      </c>
    </row>
    <row r="19706" spans="1:10" x14ac:dyDescent="0.2">
      <c r="A19706" s="859">
        <f t="shared" si="449"/>
        <v>19705</v>
      </c>
      <c r="B19706" s="845" t="s">
        <v>2568</v>
      </c>
      <c r="D19706" s="862"/>
      <c r="I19706" s="845" t="s">
        <v>1009</v>
      </c>
    </row>
    <row r="19707" spans="1:10" x14ac:dyDescent="0.2">
      <c r="A19707" s="859">
        <f t="shared" si="449"/>
        <v>19706</v>
      </c>
      <c r="B19707" s="845" t="s">
        <v>2568</v>
      </c>
      <c r="D19707" s="862"/>
      <c r="I19707" s="845" t="str">
        <f>CONCATENATE("&lt;valeur&gt;",Cellule_1617,"&lt;/valeur&gt;")</f>
        <v>&lt;valeur&gt;0&lt;/valeur&gt;</v>
      </c>
    </row>
    <row r="19708" spans="1:10" x14ac:dyDescent="0.2">
      <c r="A19708" s="859">
        <f t="shared" si="449"/>
        <v>19707</v>
      </c>
      <c r="B19708" s="845" t="s">
        <v>2568</v>
      </c>
      <c r="D19708" s="861"/>
      <c r="H19708" s="845" t="s">
        <v>1010</v>
      </c>
    </row>
    <row r="19709" spans="1:10" x14ac:dyDescent="0.2">
      <c r="A19709" s="859">
        <f t="shared" si="449"/>
        <v>19708</v>
      </c>
      <c r="B19709" s="845" t="s">
        <v>2568</v>
      </c>
      <c r="D19709" s="861"/>
      <c r="H19709" s="845" t="s">
        <v>1007</v>
      </c>
    </row>
    <row r="19710" spans="1:10" x14ac:dyDescent="0.2">
      <c r="A19710" s="859">
        <f t="shared" si="449"/>
        <v>19709</v>
      </c>
      <c r="B19710" s="845" t="s">
        <v>2568</v>
      </c>
      <c r="D19710" s="862"/>
      <c r="I19710" s="845" t="s">
        <v>1008</v>
      </c>
    </row>
    <row r="19711" spans="1:10" x14ac:dyDescent="0.2">
      <c r="A19711" s="859">
        <f t="shared" si="449"/>
        <v>19710</v>
      </c>
      <c r="B19711" s="845" t="s">
        <v>2568</v>
      </c>
      <c r="D19711" s="863"/>
      <c r="J19711" s="845" t="s">
        <v>2494</v>
      </c>
    </row>
    <row r="19712" spans="1:10" x14ac:dyDescent="0.2">
      <c r="A19712" s="859">
        <f t="shared" si="449"/>
        <v>19711</v>
      </c>
      <c r="B19712" s="845" t="s">
        <v>2568</v>
      </c>
      <c r="D19712" s="862"/>
      <c r="I19712" s="845" t="s">
        <v>1009</v>
      </c>
    </row>
    <row r="19713" spans="1:10" x14ac:dyDescent="0.2">
      <c r="A19713" s="859">
        <f t="shared" si="449"/>
        <v>19712</v>
      </c>
      <c r="B19713" s="845" t="s">
        <v>2568</v>
      </c>
      <c r="D19713" s="862"/>
      <c r="I19713" s="845" t="str">
        <f>CONCATENATE("&lt;valeur&gt;",Cellule_1640,"&lt;/valeur&gt;")</f>
        <v>&lt;valeur&gt;&lt;/valeur&gt;</v>
      </c>
    </row>
    <row r="19714" spans="1:10" x14ac:dyDescent="0.2">
      <c r="A19714" s="859">
        <f t="shared" si="449"/>
        <v>19713</v>
      </c>
      <c r="B19714" s="845" t="s">
        <v>2568</v>
      </c>
      <c r="D19714" s="861"/>
      <c r="H19714" s="845" t="s">
        <v>1010</v>
      </c>
    </row>
    <row r="19715" spans="1:10" x14ac:dyDescent="0.2">
      <c r="A19715" s="859">
        <f t="shared" si="449"/>
        <v>19714</v>
      </c>
      <c r="B19715" s="845" t="s">
        <v>2568</v>
      </c>
      <c r="D19715" s="861"/>
      <c r="H19715" s="845" t="s">
        <v>1007</v>
      </c>
    </row>
    <row r="19716" spans="1:10" x14ac:dyDescent="0.2">
      <c r="A19716" s="859">
        <f t="shared" ref="A19716:A19779" si="450">+A19715+1</f>
        <v>19715</v>
      </c>
      <c r="B19716" s="845" t="s">
        <v>2568</v>
      </c>
      <c r="D19716" s="862"/>
      <c r="I19716" s="845" t="s">
        <v>1008</v>
      </c>
    </row>
    <row r="19717" spans="1:10" x14ac:dyDescent="0.2">
      <c r="A19717" s="859">
        <f t="shared" si="450"/>
        <v>19716</v>
      </c>
      <c r="B19717" s="845" t="s">
        <v>2568</v>
      </c>
      <c r="D19717" s="863"/>
      <c r="J19717" s="845" t="s">
        <v>2495</v>
      </c>
    </row>
    <row r="19718" spans="1:10" x14ac:dyDescent="0.2">
      <c r="A19718" s="859">
        <f t="shared" si="450"/>
        <v>19717</v>
      </c>
      <c r="B19718" s="845" t="s">
        <v>2568</v>
      </c>
      <c r="D19718" s="862"/>
      <c r="I19718" s="845" t="s">
        <v>1009</v>
      </c>
    </row>
    <row r="19719" spans="1:10" x14ac:dyDescent="0.2">
      <c r="A19719" s="859">
        <f t="shared" si="450"/>
        <v>19718</v>
      </c>
      <c r="B19719" s="845" t="s">
        <v>2568</v>
      </c>
      <c r="D19719" s="862"/>
      <c r="I19719" s="845" t="str">
        <f>CONCATENATE("&lt;valeur&gt;",Cellule_1648,"&lt;/valeur&gt;")</f>
        <v>&lt;valeur&gt;0&lt;/valeur&gt;</v>
      </c>
    </row>
    <row r="19720" spans="1:10" x14ac:dyDescent="0.2">
      <c r="A19720" s="859">
        <f t="shared" si="450"/>
        <v>19719</v>
      </c>
      <c r="B19720" s="845" t="s">
        <v>2568</v>
      </c>
      <c r="D19720" s="861"/>
      <c r="H19720" s="845" t="s">
        <v>1010</v>
      </c>
    </row>
    <row r="19721" spans="1:10" x14ac:dyDescent="0.2">
      <c r="A19721" s="859">
        <f t="shared" si="450"/>
        <v>19720</v>
      </c>
      <c r="B19721" s="845" t="s">
        <v>2568</v>
      </c>
      <c r="D19721" s="861"/>
      <c r="H19721" s="845" t="s">
        <v>1007</v>
      </c>
    </row>
    <row r="19722" spans="1:10" x14ac:dyDescent="0.2">
      <c r="A19722" s="859">
        <f t="shared" si="450"/>
        <v>19721</v>
      </c>
      <c r="B19722" s="845" t="s">
        <v>2568</v>
      </c>
      <c r="D19722" s="862"/>
      <c r="I19722" s="845" t="s">
        <v>1008</v>
      </c>
    </row>
    <row r="19723" spans="1:10" x14ac:dyDescent="0.2">
      <c r="A19723" s="859">
        <f t="shared" si="450"/>
        <v>19722</v>
      </c>
      <c r="B19723" s="845" t="s">
        <v>2568</v>
      </c>
      <c r="D19723" s="863"/>
      <c r="J19723" s="845" t="s">
        <v>2496</v>
      </c>
    </row>
    <row r="19724" spans="1:10" x14ac:dyDescent="0.2">
      <c r="A19724" s="859">
        <f t="shared" si="450"/>
        <v>19723</v>
      </c>
      <c r="B19724" s="845" t="s">
        <v>2568</v>
      </c>
      <c r="D19724" s="862"/>
      <c r="I19724" s="845" t="s">
        <v>1009</v>
      </c>
    </row>
    <row r="19725" spans="1:10" x14ac:dyDescent="0.2">
      <c r="A19725" s="859">
        <f t="shared" si="450"/>
        <v>19724</v>
      </c>
      <c r="B19725" s="845" t="s">
        <v>2568</v>
      </c>
      <c r="D19725" s="862"/>
      <c r="I19725" s="845" t="str">
        <f>CONCATENATE("&lt;valeur&gt;",Cellule_1661,"&lt;/valeur&gt;")</f>
        <v>&lt;valeur&gt;0&lt;/valeur&gt;</v>
      </c>
    </row>
    <row r="19726" spans="1:10" x14ac:dyDescent="0.2">
      <c r="A19726" s="859">
        <f t="shared" si="450"/>
        <v>19725</v>
      </c>
      <c r="B19726" s="845" t="s">
        <v>2568</v>
      </c>
      <c r="D19726" s="861"/>
      <c r="H19726" s="845" t="s">
        <v>1010</v>
      </c>
    </row>
    <row r="19727" spans="1:10" x14ac:dyDescent="0.2">
      <c r="A19727" s="859">
        <f t="shared" si="450"/>
        <v>19726</v>
      </c>
      <c r="B19727" s="845" t="s">
        <v>2568</v>
      </c>
      <c r="D19727" s="861"/>
      <c r="H19727" s="845" t="s">
        <v>1007</v>
      </c>
    </row>
    <row r="19728" spans="1:10" x14ac:dyDescent="0.2">
      <c r="A19728" s="859">
        <f t="shared" si="450"/>
        <v>19727</v>
      </c>
      <c r="B19728" s="845" t="s">
        <v>2568</v>
      </c>
      <c r="D19728" s="862"/>
      <c r="I19728" s="845" t="s">
        <v>1008</v>
      </c>
    </row>
    <row r="19729" spans="1:10" x14ac:dyDescent="0.2">
      <c r="A19729" s="859">
        <f t="shared" si="450"/>
        <v>19728</v>
      </c>
      <c r="B19729" s="845" t="s">
        <v>2568</v>
      </c>
      <c r="D19729" s="863"/>
      <c r="J19729" s="845" t="s">
        <v>2497</v>
      </c>
    </row>
    <row r="19730" spans="1:10" x14ac:dyDescent="0.2">
      <c r="A19730" s="859">
        <f t="shared" si="450"/>
        <v>19729</v>
      </c>
      <c r="B19730" s="845" t="s">
        <v>2568</v>
      </c>
      <c r="D19730" s="862"/>
      <c r="I19730" s="845" t="s">
        <v>1009</v>
      </c>
    </row>
    <row r="19731" spans="1:10" x14ac:dyDescent="0.2">
      <c r="A19731" s="859">
        <f t="shared" si="450"/>
        <v>19730</v>
      </c>
      <c r="B19731" s="845" t="s">
        <v>2568</v>
      </c>
      <c r="D19731" s="862"/>
      <c r="I19731" s="845" t="str">
        <f>CONCATENATE("&lt;valeur&gt;",Cellule_1669,"&lt;/valeur&gt;")</f>
        <v>&lt;valeur&gt;0&lt;/valeur&gt;</v>
      </c>
    </row>
    <row r="19732" spans="1:10" x14ac:dyDescent="0.2">
      <c r="A19732" s="859">
        <f t="shared" si="450"/>
        <v>19731</v>
      </c>
      <c r="B19732" s="845" t="s">
        <v>2568</v>
      </c>
      <c r="D19732" s="861"/>
      <c r="H19732" s="845" t="s">
        <v>1010</v>
      </c>
    </row>
    <row r="19733" spans="1:10" x14ac:dyDescent="0.2">
      <c r="A19733" s="859">
        <f t="shared" si="450"/>
        <v>19732</v>
      </c>
      <c r="B19733" s="845" t="s">
        <v>2568</v>
      </c>
      <c r="D19733" s="861"/>
      <c r="H19733" s="845" t="s">
        <v>1007</v>
      </c>
    </row>
    <row r="19734" spans="1:10" x14ac:dyDescent="0.2">
      <c r="A19734" s="859">
        <f t="shared" si="450"/>
        <v>19733</v>
      </c>
      <c r="B19734" s="845" t="s">
        <v>2568</v>
      </c>
      <c r="D19734" s="862"/>
      <c r="I19734" s="845" t="s">
        <v>1008</v>
      </c>
    </row>
    <row r="19735" spans="1:10" x14ac:dyDescent="0.2">
      <c r="A19735" s="859">
        <f t="shared" si="450"/>
        <v>19734</v>
      </c>
      <c r="B19735" s="845" t="s">
        <v>2568</v>
      </c>
      <c r="D19735" s="863"/>
      <c r="J19735" s="845" t="s">
        <v>2498</v>
      </c>
    </row>
    <row r="19736" spans="1:10" x14ac:dyDescent="0.2">
      <c r="A19736" s="859">
        <f t="shared" si="450"/>
        <v>19735</v>
      </c>
      <c r="B19736" s="845" t="s">
        <v>2568</v>
      </c>
      <c r="D19736" s="862"/>
      <c r="I19736" s="845" t="s">
        <v>1009</v>
      </c>
    </row>
    <row r="19737" spans="1:10" x14ac:dyDescent="0.2">
      <c r="A19737" s="859">
        <f t="shared" si="450"/>
        <v>19736</v>
      </c>
      <c r="B19737" s="845" t="s">
        <v>2568</v>
      </c>
      <c r="D19737" s="862"/>
      <c r="I19737" s="845" t="str">
        <f>CONCATENATE("&lt;valeur&gt;",Cellule_1677,"&lt;/valeur&gt;")</f>
        <v>&lt;valeur&gt;0&lt;/valeur&gt;</v>
      </c>
    </row>
    <row r="19738" spans="1:10" x14ac:dyDescent="0.2">
      <c r="A19738" s="859">
        <f t="shared" si="450"/>
        <v>19737</v>
      </c>
      <c r="B19738" s="845" t="s">
        <v>2568</v>
      </c>
      <c r="D19738" s="861"/>
      <c r="H19738" s="845" t="s">
        <v>1010</v>
      </c>
    </row>
    <row r="19739" spans="1:10" x14ac:dyDescent="0.2">
      <c r="A19739" s="859">
        <f t="shared" si="450"/>
        <v>19738</v>
      </c>
      <c r="B19739" s="845" t="s">
        <v>2568</v>
      </c>
      <c r="D19739" s="861"/>
      <c r="H19739" s="845" t="s">
        <v>1007</v>
      </c>
    </row>
    <row r="19740" spans="1:10" x14ac:dyDescent="0.2">
      <c r="A19740" s="859">
        <f t="shared" si="450"/>
        <v>19739</v>
      </c>
      <c r="B19740" s="845" t="s">
        <v>2568</v>
      </c>
      <c r="D19740" s="862"/>
      <c r="I19740" s="845" t="s">
        <v>1008</v>
      </c>
    </row>
    <row r="19741" spans="1:10" x14ac:dyDescent="0.2">
      <c r="A19741" s="859">
        <f t="shared" si="450"/>
        <v>19740</v>
      </c>
      <c r="B19741" s="845" t="s">
        <v>2568</v>
      </c>
      <c r="D19741" s="863"/>
      <c r="J19741" s="845" t="s">
        <v>2499</v>
      </c>
    </row>
    <row r="19742" spans="1:10" x14ac:dyDescent="0.2">
      <c r="A19742" s="859">
        <f t="shared" si="450"/>
        <v>19741</v>
      </c>
      <c r="B19742" s="845" t="s">
        <v>2568</v>
      </c>
      <c r="D19742" s="862"/>
      <c r="I19742" s="845" t="s">
        <v>1009</v>
      </c>
    </row>
    <row r="19743" spans="1:10" x14ac:dyDescent="0.2">
      <c r="A19743" s="859">
        <f t="shared" si="450"/>
        <v>19742</v>
      </c>
      <c r="B19743" s="845" t="s">
        <v>2568</v>
      </c>
      <c r="D19743" s="862"/>
      <c r="I19743" s="845" t="str">
        <f>CONCATENATE("&lt;valeur&gt;",Cellule_1690,"&lt;/valeur&gt;")</f>
        <v>&lt;valeur&gt;0&lt;/valeur&gt;</v>
      </c>
    </row>
    <row r="19744" spans="1:10" x14ac:dyDescent="0.2">
      <c r="A19744" s="859">
        <f t="shared" si="450"/>
        <v>19743</v>
      </c>
      <c r="B19744" s="845" t="s">
        <v>2568</v>
      </c>
      <c r="D19744" s="861"/>
      <c r="H19744" s="845" t="s">
        <v>1010</v>
      </c>
    </row>
    <row r="19745" spans="1:10" x14ac:dyDescent="0.2">
      <c r="A19745" s="859">
        <f t="shared" si="450"/>
        <v>19744</v>
      </c>
      <c r="B19745" s="845" t="s">
        <v>2568</v>
      </c>
      <c r="D19745" s="861"/>
      <c r="H19745" s="845" t="s">
        <v>1007</v>
      </c>
    </row>
    <row r="19746" spans="1:10" x14ac:dyDescent="0.2">
      <c r="A19746" s="859">
        <f t="shared" si="450"/>
        <v>19745</v>
      </c>
      <c r="B19746" s="845" t="s">
        <v>2568</v>
      </c>
      <c r="D19746" s="862"/>
      <c r="I19746" s="845" t="s">
        <v>1008</v>
      </c>
    </row>
    <row r="19747" spans="1:10" x14ac:dyDescent="0.2">
      <c r="A19747" s="859">
        <f t="shared" si="450"/>
        <v>19746</v>
      </c>
      <c r="B19747" s="845" t="s">
        <v>2568</v>
      </c>
      <c r="D19747" s="863"/>
      <c r="J19747" s="845" t="s">
        <v>2500</v>
      </c>
    </row>
    <row r="19748" spans="1:10" x14ac:dyDescent="0.2">
      <c r="A19748" s="859">
        <f t="shared" si="450"/>
        <v>19747</v>
      </c>
      <c r="B19748" s="845" t="s">
        <v>2568</v>
      </c>
      <c r="D19748" s="862"/>
      <c r="I19748" s="845" t="s">
        <v>1009</v>
      </c>
    </row>
    <row r="19749" spans="1:10" x14ac:dyDescent="0.2">
      <c r="A19749" s="859">
        <f t="shared" si="450"/>
        <v>19748</v>
      </c>
      <c r="B19749" s="845" t="s">
        <v>2568</v>
      </c>
      <c r="D19749" s="862"/>
      <c r="I19749" s="845" t="str">
        <f>CONCATENATE("&lt;valeur&gt;",Cellule_1741,"&lt;/valeur&gt;")</f>
        <v>&lt;valeur&gt;&lt;/valeur&gt;</v>
      </c>
    </row>
    <row r="19750" spans="1:10" x14ac:dyDescent="0.2">
      <c r="A19750" s="859">
        <f t="shared" si="450"/>
        <v>19749</v>
      </c>
      <c r="B19750" s="845" t="s">
        <v>2568</v>
      </c>
      <c r="D19750" s="861"/>
      <c r="H19750" s="845" t="s">
        <v>1010</v>
      </c>
    </row>
    <row r="19751" spans="1:10" x14ac:dyDescent="0.2">
      <c r="A19751" s="859">
        <f t="shared" si="450"/>
        <v>19750</v>
      </c>
      <c r="B19751" s="845" t="s">
        <v>2568</v>
      </c>
      <c r="D19751" s="861"/>
      <c r="H19751" s="845" t="s">
        <v>1007</v>
      </c>
    </row>
    <row r="19752" spans="1:10" x14ac:dyDescent="0.2">
      <c r="A19752" s="859">
        <f t="shared" si="450"/>
        <v>19751</v>
      </c>
      <c r="B19752" s="845" t="s">
        <v>2568</v>
      </c>
      <c r="D19752" s="862"/>
      <c r="I19752" s="845" t="s">
        <v>1008</v>
      </c>
    </row>
    <row r="19753" spans="1:10" x14ac:dyDescent="0.2">
      <c r="A19753" s="859">
        <f t="shared" si="450"/>
        <v>19752</v>
      </c>
      <c r="B19753" s="845" t="s">
        <v>2568</v>
      </c>
      <c r="D19753" s="863"/>
      <c r="J19753" s="845" t="s">
        <v>2501</v>
      </c>
    </row>
    <row r="19754" spans="1:10" x14ac:dyDescent="0.2">
      <c r="A19754" s="859">
        <f t="shared" si="450"/>
        <v>19753</v>
      </c>
      <c r="B19754" s="845" t="s">
        <v>2568</v>
      </c>
      <c r="D19754" s="862"/>
      <c r="I19754" s="845" t="s">
        <v>1009</v>
      </c>
    </row>
    <row r="19755" spans="1:10" x14ac:dyDescent="0.2">
      <c r="A19755" s="859">
        <f t="shared" si="450"/>
        <v>19754</v>
      </c>
      <c r="B19755" s="845" t="s">
        <v>2568</v>
      </c>
      <c r="D19755" s="862"/>
      <c r="I19755" s="845" t="str">
        <f>CONCATENATE("&lt;valeur&gt;",Cellule_1762,"&lt;/valeur&gt;")</f>
        <v>&lt;valeur&gt;0&lt;/valeur&gt;</v>
      </c>
    </row>
    <row r="19756" spans="1:10" x14ac:dyDescent="0.2">
      <c r="A19756" s="859">
        <f t="shared" si="450"/>
        <v>19755</v>
      </c>
      <c r="B19756" s="845" t="s">
        <v>2568</v>
      </c>
      <c r="D19756" s="861"/>
      <c r="H19756" s="845" t="s">
        <v>1010</v>
      </c>
    </row>
    <row r="19757" spans="1:10" x14ac:dyDescent="0.2">
      <c r="A19757" s="859">
        <f t="shared" si="450"/>
        <v>19756</v>
      </c>
      <c r="B19757" s="845" t="s">
        <v>2568</v>
      </c>
      <c r="D19757" s="861"/>
      <c r="H19757" s="845" t="s">
        <v>1007</v>
      </c>
    </row>
    <row r="19758" spans="1:10" x14ac:dyDescent="0.2">
      <c r="A19758" s="859">
        <f t="shared" si="450"/>
        <v>19757</v>
      </c>
      <c r="B19758" s="845" t="s">
        <v>2568</v>
      </c>
      <c r="D19758" s="862"/>
      <c r="I19758" s="845" t="s">
        <v>1008</v>
      </c>
    </row>
    <row r="19759" spans="1:10" x14ac:dyDescent="0.2">
      <c r="A19759" s="859">
        <f t="shared" si="450"/>
        <v>19758</v>
      </c>
      <c r="B19759" s="845" t="s">
        <v>2568</v>
      </c>
      <c r="D19759" s="863"/>
      <c r="J19759" s="845" t="s">
        <v>2502</v>
      </c>
    </row>
    <row r="19760" spans="1:10" x14ac:dyDescent="0.2">
      <c r="A19760" s="859">
        <f t="shared" si="450"/>
        <v>19759</v>
      </c>
      <c r="B19760" s="845" t="s">
        <v>2568</v>
      </c>
      <c r="D19760" s="862"/>
      <c r="I19760" s="845" t="s">
        <v>1009</v>
      </c>
    </row>
    <row r="19761" spans="1:10" x14ac:dyDescent="0.2">
      <c r="A19761" s="859">
        <f t="shared" si="450"/>
        <v>19760</v>
      </c>
      <c r="B19761" s="845" t="s">
        <v>2568</v>
      </c>
      <c r="D19761" s="862"/>
      <c r="I19761" s="845" t="str">
        <f>CONCATENATE("&lt;valeur&gt;",Cellule_1774,"&lt;/valeur&gt;")</f>
        <v>&lt;valeur&gt;0&lt;/valeur&gt;</v>
      </c>
    </row>
    <row r="19762" spans="1:10" x14ac:dyDescent="0.2">
      <c r="A19762" s="859">
        <f t="shared" si="450"/>
        <v>19761</v>
      </c>
      <c r="B19762" s="845" t="s">
        <v>2568</v>
      </c>
      <c r="D19762" s="861"/>
      <c r="H19762" s="845" t="s">
        <v>1010</v>
      </c>
    </row>
    <row r="19763" spans="1:10" x14ac:dyDescent="0.2">
      <c r="A19763" s="859">
        <f t="shared" si="450"/>
        <v>19762</v>
      </c>
      <c r="B19763" s="845" t="s">
        <v>2568</v>
      </c>
      <c r="D19763" s="861"/>
      <c r="H19763" s="845" t="s">
        <v>1007</v>
      </c>
    </row>
    <row r="19764" spans="1:10" x14ac:dyDescent="0.2">
      <c r="A19764" s="859">
        <f t="shared" si="450"/>
        <v>19763</v>
      </c>
      <c r="B19764" s="845" t="s">
        <v>2568</v>
      </c>
      <c r="D19764" s="862"/>
      <c r="I19764" s="845" t="s">
        <v>1008</v>
      </c>
    </row>
    <row r="19765" spans="1:10" x14ac:dyDescent="0.2">
      <c r="A19765" s="859">
        <f t="shared" si="450"/>
        <v>19764</v>
      </c>
      <c r="B19765" s="845" t="s">
        <v>2568</v>
      </c>
      <c r="D19765" s="863"/>
      <c r="J19765" s="845" t="s">
        <v>2503</v>
      </c>
    </row>
    <row r="19766" spans="1:10" x14ac:dyDescent="0.2">
      <c r="A19766" s="859">
        <f t="shared" si="450"/>
        <v>19765</v>
      </c>
      <c r="B19766" s="845" t="s">
        <v>2568</v>
      </c>
      <c r="D19766" s="862"/>
      <c r="I19766" s="845" t="s">
        <v>1009</v>
      </c>
    </row>
    <row r="19767" spans="1:10" x14ac:dyDescent="0.2">
      <c r="A19767" s="859">
        <f t="shared" si="450"/>
        <v>19766</v>
      </c>
      <c r="B19767" s="845" t="s">
        <v>2568</v>
      </c>
      <c r="D19767" s="862"/>
      <c r="I19767" s="845" t="str">
        <f>CONCATENATE("&lt;valeur&gt;",Cellule_1805,"&lt;/valeur&gt;")</f>
        <v>&lt;valeur&gt;0&lt;/valeur&gt;</v>
      </c>
    </row>
    <row r="19768" spans="1:10" x14ac:dyDescent="0.2">
      <c r="A19768" s="859">
        <f t="shared" si="450"/>
        <v>19767</v>
      </c>
      <c r="B19768" s="845" t="s">
        <v>2568</v>
      </c>
      <c r="D19768" s="861"/>
      <c r="H19768" s="845" t="s">
        <v>1010</v>
      </c>
    </row>
    <row r="19769" spans="1:10" x14ac:dyDescent="0.2">
      <c r="A19769" s="859">
        <f t="shared" si="450"/>
        <v>19768</v>
      </c>
      <c r="B19769" s="845" t="s">
        <v>2568</v>
      </c>
      <c r="D19769" s="861"/>
      <c r="H19769" s="845" t="s">
        <v>1007</v>
      </c>
    </row>
    <row r="19770" spans="1:10" x14ac:dyDescent="0.2">
      <c r="A19770" s="859">
        <f t="shared" si="450"/>
        <v>19769</v>
      </c>
      <c r="B19770" s="845" t="s">
        <v>2568</v>
      </c>
      <c r="D19770" s="862"/>
      <c r="I19770" s="845" t="s">
        <v>1008</v>
      </c>
    </row>
    <row r="19771" spans="1:10" x14ac:dyDescent="0.2">
      <c r="A19771" s="859">
        <f t="shared" si="450"/>
        <v>19770</v>
      </c>
      <c r="B19771" s="845" t="s">
        <v>2568</v>
      </c>
      <c r="D19771" s="863"/>
      <c r="J19771" s="845" t="s">
        <v>2504</v>
      </c>
    </row>
    <row r="19772" spans="1:10" x14ac:dyDescent="0.2">
      <c r="A19772" s="859">
        <f t="shared" si="450"/>
        <v>19771</v>
      </c>
      <c r="B19772" s="845" t="s">
        <v>2568</v>
      </c>
      <c r="D19772" s="862"/>
      <c r="I19772" s="845" t="s">
        <v>1009</v>
      </c>
    </row>
    <row r="19773" spans="1:10" x14ac:dyDescent="0.2">
      <c r="A19773" s="859">
        <f t="shared" si="450"/>
        <v>19772</v>
      </c>
      <c r="B19773" s="845" t="s">
        <v>2568</v>
      </c>
      <c r="D19773" s="862"/>
      <c r="I19773" s="845" t="str">
        <f>CONCATENATE("&lt;valeur&gt;",Cellule_1824,"&lt;/valeur&gt;")</f>
        <v>&lt;valeur&gt;&lt;/valeur&gt;</v>
      </c>
    </row>
    <row r="19774" spans="1:10" x14ac:dyDescent="0.2">
      <c r="A19774" s="859">
        <f t="shared" si="450"/>
        <v>19773</v>
      </c>
      <c r="B19774" s="845" t="s">
        <v>2568</v>
      </c>
      <c r="D19774" s="861"/>
      <c r="H19774" s="845" t="s">
        <v>1010</v>
      </c>
    </row>
    <row r="19775" spans="1:10" x14ac:dyDescent="0.2">
      <c r="A19775" s="859">
        <f t="shared" si="450"/>
        <v>19774</v>
      </c>
      <c r="B19775" s="845" t="s">
        <v>2568</v>
      </c>
      <c r="D19775" s="861"/>
      <c r="H19775" s="845" t="s">
        <v>1007</v>
      </c>
    </row>
    <row r="19776" spans="1:10" x14ac:dyDescent="0.2">
      <c r="A19776" s="859">
        <f t="shared" si="450"/>
        <v>19775</v>
      </c>
      <c r="B19776" s="845" t="s">
        <v>2568</v>
      </c>
      <c r="D19776" s="862"/>
      <c r="I19776" s="845" t="s">
        <v>1008</v>
      </c>
    </row>
    <row r="19777" spans="1:10" x14ac:dyDescent="0.2">
      <c r="A19777" s="859">
        <f t="shared" si="450"/>
        <v>19776</v>
      </c>
      <c r="B19777" s="845" t="s">
        <v>2568</v>
      </c>
      <c r="D19777" s="863"/>
      <c r="J19777" s="845" t="s">
        <v>2505</v>
      </c>
    </row>
    <row r="19778" spans="1:10" x14ac:dyDescent="0.2">
      <c r="A19778" s="859">
        <f t="shared" si="450"/>
        <v>19777</v>
      </c>
      <c r="B19778" s="845" t="s">
        <v>2568</v>
      </c>
      <c r="D19778" s="862"/>
      <c r="I19778" s="845" t="s">
        <v>1009</v>
      </c>
    </row>
    <row r="19779" spans="1:10" x14ac:dyDescent="0.2">
      <c r="A19779" s="859">
        <f t="shared" si="450"/>
        <v>19778</v>
      </c>
      <c r="B19779" s="845" t="s">
        <v>2568</v>
      </c>
      <c r="D19779" s="862"/>
      <c r="I19779" s="845" t="str">
        <f>CONCATENATE("&lt;valeur&gt;",Cellule_1841,"&lt;/valeur&gt;")</f>
        <v>&lt;valeur&gt;0&lt;/valeur&gt;</v>
      </c>
    </row>
    <row r="19780" spans="1:10" x14ac:dyDescent="0.2">
      <c r="A19780" s="859">
        <f t="shared" ref="A19780:A19843" si="451">+A19779+1</f>
        <v>19779</v>
      </c>
      <c r="B19780" s="845" t="s">
        <v>2568</v>
      </c>
      <c r="D19780" s="861"/>
      <c r="H19780" s="845" t="s">
        <v>1010</v>
      </c>
    </row>
    <row r="19781" spans="1:10" x14ac:dyDescent="0.2">
      <c r="A19781" s="859">
        <f t="shared" si="451"/>
        <v>19780</v>
      </c>
      <c r="B19781" s="845" t="s">
        <v>2568</v>
      </c>
      <c r="D19781" s="861"/>
      <c r="H19781" s="845" t="s">
        <v>1007</v>
      </c>
    </row>
    <row r="19782" spans="1:10" x14ac:dyDescent="0.2">
      <c r="A19782" s="859">
        <f t="shared" si="451"/>
        <v>19781</v>
      </c>
      <c r="B19782" s="845" t="s">
        <v>2568</v>
      </c>
      <c r="D19782" s="862"/>
      <c r="I19782" s="845" t="s">
        <v>1008</v>
      </c>
    </row>
    <row r="19783" spans="1:10" x14ac:dyDescent="0.2">
      <c r="A19783" s="859">
        <f t="shared" si="451"/>
        <v>19782</v>
      </c>
      <c r="B19783" s="845" t="s">
        <v>2568</v>
      </c>
      <c r="D19783" s="863"/>
      <c r="J19783" s="845" t="s">
        <v>2506</v>
      </c>
    </row>
    <row r="19784" spans="1:10" x14ac:dyDescent="0.2">
      <c r="A19784" s="859">
        <f t="shared" si="451"/>
        <v>19783</v>
      </c>
      <c r="B19784" s="845" t="s">
        <v>2568</v>
      </c>
      <c r="D19784" s="862"/>
      <c r="I19784" s="845" t="s">
        <v>1009</v>
      </c>
    </row>
    <row r="19785" spans="1:10" x14ac:dyDescent="0.2">
      <c r="A19785" s="859">
        <f t="shared" si="451"/>
        <v>19784</v>
      </c>
      <c r="B19785" s="845" t="s">
        <v>2568</v>
      </c>
      <c r="D19785" s="862"/>
      <c r="I19785" s="845" t="str">
        <f>CONCATENATE("&lt;valeur&gt;",Cellule_1858,"&lt;/valeur&gt;")</f>
        <v>&lt;valeur&gt;0&lt;/valeur&gt;</v>
      </c>
    </row>
    <row r="19786" spans="1:10" x14ac:dyDescent="0.2">
      <c r="A19786" s="859">
        <f t="shared" si="451"/>
        <v>19785</v>
      </c>
      <c r="B19786" s="845" t="s">
        <v>2568</v>
      </c>
      <c r="D19786" s="861"/>
      <c r="H19786" s="845" t="s">
        <v>1010</v>
      </c>
    </row>
    <row r="19787" spans="1:10" x14ac:dyDescent="0.2">
      <c r="A19787" s="859">
        <f t="shared" si="451"/>
        <v>19786</v>
      </c>
      <c r="B19787" s="845" t="s">
        <v>2568</v>
      </c>
      <c r="D19787" s="861"/>
      <c r="H19787" s="845" t="s">
        <v>1007</v>
      </c>
    </row>
    <row r="19788" spans="1:10" x14ac:dyDescent="0.2">
      <c r="A19788" s="859">
        <f t="shared" si="451"/>
        <v>19787</v>
      </c>
      <c r="B19788" s="845" t="s">
        <v>2568</v>
      </c>
      <c r="D19788" s="862"/>
      <c r="I19788" s="845" t="s">
        <v>1008</v>
      </c>
    </row>
    <row r="19789" spans="1:10" x14ac:dyDescent="0.2">
      <c r="A19789" s="859">
        <f t="shared" si="451"/>
        <v>19788</v>
      </c>
      <c r="B19789" s="845" t="s">
        <v>2568</v>
      </c>
      <c r="D19789" s="863"/>
      <c r="J19789" s="845" t="s">
        <v>2507</v>
      </c>
    </row>
    <row r="19790" spans="1:10" x14ac:dyDescent="0.2">
      <c r="A19790" s="859">
        <f t="shared" si="451"/>
        <v>19789</v>
      </c>
      <c r="B19790" s="845" t="s">
        <v>2568</v>
      </c>
      <c r="D19790" s="862"/>
      <c r="I19790" s="845" t="s">
        <v>1009</v>
      </c>
    </row>
    <row r="19791" spans="1:10" x14ac:dyDescent="0.2">
      <c r="A19791" s="859">
        <f t="shared" si="451"/>
        <v>19790</v>
      </c>
      <c r="B19791" s="845" t="s">
        <v>2568</v>
      </c>
      <c r="D19791" s="862"/>
      <c r="I19791" s="845" t="str">
        <f>CONCATENATE("&lt;valeur&gt;",Cellule_1866,"&lt;/valeur&gt;")</f>
        <v>&lt;valeur&gt;0&lt;/valeur&gt;</v>
      </c>
    </row>
    <row r="19792" spans="1:10" x14ac:dyDescent="0.2">
      <c r="A19792" s="859">
        <f t="shared" si="451"/>
        <v>19791</v>
      </c>
      <c r="B19792" s="845" t="s">
        <v>2568</v>
      </c>
      <c r="D19792" s="861"/>
      <c r="H19792" s="845" t="s">
        <v>1010</v>
      </c>
    </row>
    <row r="19793" spans="1:10" x14ac:dyDescent="0.2">
      <c r="A19793" s="859">
        <f t="shared" si="451"/>
        <v>19792</v>
      </c>
      <c r="B19793" s="845" t="s">
        <v>2568</v>
      </c>
      <c r="D19793" s="861"/>
      <c r="H19793" s="845" t="s">
        <v>1007</v>
      </c>
    </row>
    <row r="19794" spans="1:10" x14ac:dyDescent="0.2">
      <c r="A19794" s="859">
        <f t="shared" si="451"/>
        <v>19793</v>
      </c>
      <c r="B19794" s="845" t="s">
        <v>2568</v>
      </c>
      <c r="D19794" s="862"/>
      <c r="I19794" s="845" t="s">
        <v>1008</v>
      </c>
    </row>
    <row r="19795" spans="1:10" x14ac:dyDescent="0.2">
      <c r="A19795" s="859">
        <f t="shared" si="451"/>
        <v>19794</v>
      </c>
      <c r="B19795" s="845" t="s">
        <v>2568</v>
      </c>
      <c r="D19795" s="863"/>
      <c r="J19795" s="845" t="s">
        <v>2508</v>
      </c>
    </row>
    <row r="19796" spans="1:10" x14ac:dyDescent="0.2">
      <c r="A19796" s="859">
        <f t="shared" si="451"/>
        <v>19795</v>
      </c>
      <c r="B19796" s="845" t="s">
        <v>2568</v>
      </c>
      <c r="D19796" s="862"/>
      <c r="I19796" s="845" t="s">
        <v>1009</v>
      </c>
    </row>
    <row r="19797" spans="1:10" x14ac:dyDescent="0.2">
      <c r="A19797" s="859">
        <f t="shared" si="451"/>
        <v>19796</v>
      </c>
      <c r="B19797" s="845" t="s">
        <v>2568</v>
      </c>
      <c r="D19797" s="862"/>
      <c r="I19797" s="845" t="str">
        <f>CONCATENATE("&lt;valeur&gt;",Cellule_1874,"&lt;/valeur&gt;")</f>
        <v>&lt;valeur&gt;0&lt;/valeur&gt;</v>
      </c>
    </row>
    <row r="19798" spans="1:10" x14ac:dyDescent="0.2">
      <c r="A19798" s="859">
        <f t="shared" si="451"/>
        <v>19797</v>
      </c>
      <c r="B19798" s="845" t="s">
        <v>2568</v>
      </c>
      <c r="D19798" s="861"/>
      <c r="H19798" s="845" t="s">
        <v>1010</v>
      </c>
    </row>
    <row r="19799" spans="1:10" x14ac:dyDescent="0.2">
      <c r="A19799" s="859">
        <f t="shared" si="451"/>
        <v>19798</v>
      </c>
      <c r="B19799" s="845" t="s">
        <v>2568</v>
      </c>
      <c r="D19799" s="861"/>
      <c r="H19799" s="845" t="s">
        <v>1007</v>
      </c>
    </row>
    <row r="19800" spans="1:10" x14ac:dyDescent="0.2">
      <c r="A19800" s="859">
        <f t="shared" si="451"/>
        <v>19799</v>
      </c>
      <c r="B19800" s="845" t="s">
        <v>2568</v>
      </c>
      <c r="D19800" s="862"/>
      <c r="I19800" s="845" t="s">
        <v>1008</v>
      </c>
    </row>
    <row r="19801" spans="1:10" x14ac:dyDescent="0.2">
      <c r="A19801" s="859">
        <f t="shared" si="451"/>
        <v>19800</v>
      </c>
      <c r="B19801" s="845" t="s">
        <v>2568</v>
      </c>
      <c r="D19801" s="863"/>
      <c r="J19801" s="845" t="s">
        <v>2509</v>
      </c>
    </row>
    <row r="19802" spans="1:10" x14ac:dyDescent="0.2">
      <c r="A19802" s="859">
        <f t="shared" si="451"/>
        <v>19801</v>
      </c>
      <c r="B19802" s="845" t="s">
        <v>2568</v>
      </c>
      <c r="D19802" s="862"/>
      <c r="I19802" s="845" t="s">
        <v>1009</v>
      </c>
    </row>
    <row r="19803" spans="1:10" x14ac:dyDescent="0.2">
      <c r="A19803" s="859">
        <f t="shared" si="451"/>
        <v>19802</v>
      </c>
      <c r="B19803" s="845" t="s">
        <v>2568</v>
      </c>
      <c r="D19803" s="862"/>
      <c r="I19803" s="845" t="str">
        <f>CONCATENATE("&lt;valeur&gt;",Cellule_1891,"&lt;/valeur&gt;")</f>
        <v>&lt;valeur&gt;0&lt;/valeur&gt;</v>
      </c>
    </row>
    <row r="19804" spans="1:10" x14ac:dyDescent="0.2">
      <c r="A19804" s="859">
        <f t="shared" si="451"/>
        <v>19803</v>
      </c>
      <c r="B19804" s="845" t="s">
        <v>2568</v>
      </c>
      <c r="D19804" s="861"/>
      <c r="H19804" s="845" t="s">
        <v>1010</v>
      </c>
    </row>
    <row r="19805" spans="1:10" x14ac:dyDescent="0.2">
      <c r="A19805" s="859">
        <f t="shared" si="451"/>
        <v>19804</v>
      </c>
      <c r="B19805" s="845" t="s">
        <v>2568</v>
      </c>
      <c r="D19805" s="861"/>
      <c r="H19805" s="845" t="s">
        <v>1007</v>
      </c>
    </row>
    <row r="19806" spans="1:10" x14ac:dyDescent="0.2">
      <c r="A19806" s="859">
        <f t="shared" si="451"/>
        <v>19805</v>
      </c>
      <c r="B19806" s="845" t="s">
        <v>2568</v>
      </c>
      <c r="D19806" s="862"/>
      <c r="I19806" s="845" t="s">
        <v>1008</v>
      </c>
    </row>
    <row r="19807" spans="1:10" x14ac:dyDescent="0.2">
      <c r="A19807" s="859">
        <f t="shared" si="451"/>
        <v>19806</v>
      </c>
      <c r="B19807" s="845" t="s">
        <v>2568</v>
      </c>
      <c r="D19807" s="863"/>
      <c r="J19807" s="845" t="s">
        <v>2510</v>
      </c>
    </row>
    <row r="19808" spans="1:10" x14ac:dyDescent="0.2">
      <c r="A19808" s="859">
        <f t="shared" si="451"/>
        <v>19807</v>
      </c>
      <c r="B19808" s="845" t="s">
        <v>2568</v>
      </c>
      <c r="D19808" s="862"/>
      <c r="I19808" s="845" t="s">
        <v>1009</v>
      </c>
    </row>
    <row r="19809" spans="1:10" x14ac:dyDescent="0.2">
      <c r="A19809" s="859">
        <f t="shared" si="451"/>
        <v>19808</v>
      </c>
      <c r="B19809" s="845" t="s">
        <v>2568</v>
      </c>
      <c r="D19809" s="862"/>
      <c r="I19809" s="845" t="str">
        <f>CONCATENATE("&lt;valeur&gt;",Cellule_1407,"&lt;/valeur&gt;")</f>
        <v>&lt;valeur&gt;0&lt;/valeur&gt;</v>
      </c>
    </row>
    <row r="19810" spans="1:10" x14ac:dyDescent="0.2">
      <c r="A19810" s="859">
        <f t="shared" si="451"/>
        <v>19809</v>
      </c>
      <c r="B19810" s="845" t="s">
        <v>2568</v>
      </c>
      <c r="D19810" s="861"/>
      <c r="H19810" s="845" t="s">
        <v>1010</v>
      </c>
    </row>
    <row r="19811" spans="1:10" x14ac:dyDescent="0.2">
      <c r="A19811" s="859">
        <f t="shared" si="451"/>
        <v>19810</v>
      </c>
      <c r="B19811" s="845" t="s">
        <v>2568</v>
      </c>
      <c r="D19811" s="861"/>
      <c r="H19811" s="845" t="s">
        <v>1007</v>
      </c>
    </row>
    <row r="19812" spans="1:10" x14ac:dyDescent="0.2">
      <c r="A19812" s="859">
        <f t="shared" si="451"/>
        <v>19811</v>
      </c>
      <c r="B19812" s="845" t="s">
        <v>2568</v>
      </c>
      <c r="D19812" s="862"/>
      <c r="I19812" s="845" t="s">
        <v>1008</v>
      </c>
    </row>
    <row r="19813" spans="1:10" x14ac:dyDescent="0.2">
      <c r="A19813" s="859">
        <f t="shared" si="451"/>
        <v>19812</v>
      </c>
      <c r="B19813" s="845" t="s">
        <v>2568</v>
      </c>
      <c r="D19813" s="863"/>
      <c r="J19813" s="845" t="s">
        <v>2511</v>
      </c>
    </row>
    <row r="19814" spans="1:10" x14ac:dyDescent="0.2">
      <c r="A19814" s="859">
        <f t="shared" si="451"/>
        <v>19813</v>
      </c>
      <c r="B19814" s="845" t="s">
        <v>2568</v>
      </c>
      <c r="D19814" s="862"/>
      <c r="I19814" s="845" t="s">
        <v>1009</v>
      </c>
    </row>
    <row r="19815" spans="1:10" x14ac:dyDescent="0.2">
      <c r="A19815" s="859">
        <f t="shared" si="451"/>
        <v>19814</v>
      </c>
      <c r="B19815" s="845" t="s">
        <v>2568</v>
      </c>
      <c r="D19815" s="862"/>
      <c r="I19815" s="845" t="str">
        <f>CONCATENATE("&lt;valeur&gt;",Cellule_1415,"&lt;/valeur&gt;")</f>
        <v>&lt;valeur&gt;0&lt;/valeur&gt;</v>
      </c>
    </row>
    <row r="19816" spans="1:10" x14ac:dyDescent="0.2">
      <c r="A19816" s="859">
        <f t="shared" si="451"/>
        <v>19815</v>
      </c>
      <c r="B19816" s="845" t="s">
        <v>2568</v>
      </c>
      <c r="D19816" s="861"/>
      <c r="H19816" s="845" t="s">
        <v>1010</v>
      </c>
    </row>
    <row r="19817" spans="1:10" x14ac:dyDescent="0.2">
      <c r="A19817" s="859">
        <f t="shared" si="451"/>
        <v>19816</v>
      </c>
      <c r="B19817" s="845" t="s">
        <v>2568</v>
      </c>
      <c r="D19817" s="861"/>
      <c r="H19817" s="845" t="s">
        <v>1007</v>
      </c>
    </row>
    <row r="19818" spans="1:10" x14ac:dyDescent="0.2">
      <c r="A19818" s="859">
        <f t="shared" si="451"/>
        <v>19817</v>
      </c>
      <c r="B19818" s="845" t="s">
        <v>2568</v>
      </c>
      <c r="D19818" s="862"/>
      <c r="I19818" s="845" t="s">
        <v>1008</v>
      </c>
    </row>
    <row r="19819" spans="1:10" x14ac:dyDescent="0.2">
      <c r="A19819" s="859">
        <f t="shared" si="451"/>
        <v>19818</v>
      </c>
      <c r="B19819" s="845" t="s">
        <v>2568</v>
      </c>
      <c r="D19819" s="863"/>
      <c r="J19819" s="845" t="s">
        <v>2512</v>
      </c>
    </row>
    <row r="19820" spans="1:10" x14ac:dyDescent="0.2">
      <c r="A19820" s="859">
        <f t="shared" si="451"/>
        <v>19819</v>
      </c>
      <c r="B19820" s="845" t="s">
        <v>2568</v>
      </c>
      <c r="D19820" s="862"/>
      <c r="I19820" s="845" t="s">
        <v>1009</v>
      </c>
    </row>
    <row r="19821" spans="1:10" x14ac:dyDescent="0.2">
      <c r="A19821" s="859">
        <f t="shared" si="451"/>
        <v>19820</v>
      </c>
      <c r="B19821" s="845" t="s">
        <v>2568</v>
      </c>
      <c r="D19821" s="862"/>
      <c r="I19821" s="845" t="str">
        <f>CONCATENATE("&lt;valeur&gt;",Cellule_1431,"&lt;/valeur&gt;")</f>
        <v>&lt;valeur&gt;0&lt;/valeur&gt;</v>
      </c>
    </row>
    <row r="19822" spans="1:10" x14ac:dyDescent="0.2">
      <c r="A19822" s="859">
        <f t="shared" si="451"/>
        <v>19821</v>
      </c>
      <c r="B19822" s="845" t="s">
        <v>2568</v>
      </c>
      <c r="D19822" s="861"/>
      <c r="H19822" s="845" t="s">
        <v>1010</v>
      </c>
    </row>
    <row r="19823" spans="1:10" x14ac:dyDescent="0.2">
      <c r="A19823" s="859">
        <f t="shared" si="451"/>
        <v>19822</v>
      </c>
      <c r="B19823" s="845" t="s">
        <v>2568</v>
      </c>
      <c r="D19823" s="861"/>
      <c r="H19823" s="845" t="s">
        <v>1007</v>
      </c>
    </row>
    <row r="19824" spans="1:10" x14ac:dyDescent="0.2">
      <c r="A19824" s="859">
        <f t="shared" si="451"/>
        <v>19823</v>
      </c>
      <c r="B19824" s="845" t="s">
        <v>2568</v>
      </c>
      <c r="D19824" s="862"/>
      <c r="I19824" s="845" t="s">
        <v>1008</v>
      </c>
    </row>
    <row r="19825" spans="1:10" x14ac:dyDescent="0.2">
      <c r="A19825" s="859">
        <f t="shared" si="451"/>
        <v>19824</v>
      </c>
      <c r="B19825" s="845" t="s">
        <v>2568</v>
      </c>
      <c r="D19825" s="863"/>
      <c r="J19825" s="845" t="s">
        <v>2513</v>
      </c>
    </row>
    <row r="19826" spans="1:10" x14ac:dyDescent="0.2">
      <c r="A19826" s="859">
        <f t="shared" si="451"/>
        <v>19825</v>
      </c>
      <c r="B19826" s="845" t="s">
        <v>2568</v>
      </c>
      <c r="D19826" s="862"/>
      <c r="I19826" s="845" t="s">
        <v>1009</v>
      </c>
    </row>
    <row r="19827" spans="1:10" x14ac:dyDescent="0.2">
      <c r="A19827" s="859">
        <f t="shared" si="451"/>
        <v>19826</v>
      </c>
      <c r="B19827" s="845" t="s">
        <v>2568</v>
      </c>
      <c r="D19827" s="862"/>
      <c r="I19827" s="845" t="str">
        <f>CONCATENATE("&lt;valeur&gt;",Cellule_1439,"&lt;/valeur&gt;")</f>
        <v>&lt;valeur&gt;0&lt;/valeur&gt;</v>
      </c>
    </row>
    <row r="19828" spans="1:10" x14ac:dyDescent="0.2">
      <c r="A19828" s="859">
        <f t="shared" si="451"/>
        <v>19827</v>
      </c>
      <c r="B19828" s="845" t="s">
        <v>2568</v>
      </c>
      <c r="D19828" s="861"/>
      <c r="H19828" s="845" t="s">
        <v>1010</v>
      </c>
    </row>
    <row r="19829" spans="1:10" x14ac:dyDescent="0.2">
      <c r="A19829" s="859">
        <f t="shared" si="451"/>
        <v>19828</v>
      </c>
      <c r="B19829" s="845" t="s">
        <v>2568</v>
      </c>
      <c r="D19829" s="861"/>
      <c r="H19829" s="845" t="s">
        <v>1007</v>
      </c>
    </row>
    <row r="19830" spans="1:10" x14ac:dyDescent="0.2">
      <c r="A19830" s="859">
        <f t="shared" si="451"/>
        <v>19829</v>
      </c>
      <c r="B19830" s="845" t="s">
        <v>2568</v>
      </c>
      <c r="D19830" s="862"/>
      <c r="I19830" s="845" t="s">
        <v>1008</v>
      </c>
    </row>
    <row r="19831" spans="1:10" x14ac:dyDescent="0.2">
      <c r="A19831" s="859">
        <f t="shared" si="451"/>
        <v>19830</v>
      </c>
      <c r="B19831" s="845" t="s">
        <v>2568</v>
      </c>
      <c r="D19831" s="863"/>
      <c r="J19831" s="845" t="s">
        <v>2514</v>
      </c>
    </row>
    <row r="19832" spans="1:10" x14ac:dyDescent="0.2">
      <c r="A19832" s="859">
        <f t="shared" si="451"/>
        <v>19831</v>
      </c>
      <c r="B19832" s="845" t="s">
        <v>2568</v>
      </c>
      <c r="D19832" s="862"/>
      <c r="I19832" s="845" t="s">
        <v>1009</v>
      </c>
    </row>
    <row r="19833" spans="1:10" x14ac:dyDescent="0.2">
      <c r="A19833" s="859">
        <f t="shared" si="451"/>
        <v>19832</v>
      </c>
      <c r="B19833" s="845" t="s">
        <v>2568</v>
      </c>
      <c r="D19833" s="862"/>
      <c r="I19833" s="845" t="str">
        <f>CONCATENATE("&lt;valeur&gt;",Cellule_1455,"&lt;/valeur&gt;")</f>
        <v>&lt;valeur&gt;&lt;/valeur&gt;</v>
      </c>
    </row>
    <row r="19834" spans="1:10" x14ac:dyDescent="0.2">
      <c r="A19834" s="859">
        <f t="shared" si="451"/>
        <v>19833</v>
      </c>
      <c r="B19834" s="845" t="s">
        <v>2568</v>
      </c>
      <c r="D19834" s="861"/>
      <c r="H19834" s="845" t="s">
        <v>1010</v>
      </c>
    </row>
    <row r="19835" spans="1:10" x14ac:dyDescent="0.2">
      <c r="A19835" s="859">
        <f t="shared" si="451"/>
        <v>19834</v>
      </c>
      <c r="B19835" s="845" t="s">
        <v>2568</v>
      </c>
      <c r="D19835" s="861"/>
      <c r="H19835" s="845" t="s">
        <v>1007</v>
      </c>
    </row>
    <row r="19836" spans="1:10" x14ac:dyDescent="0.2">
      <c r="A19836" s="859">
        <f t="shared" si="451"/>
        <v>19835</v>
      </c>
      <c r="B19836" s="845" t="s">
        <v>2568</v>
      </c>
      <c r="D19836" s="862"/>
      <c r="I19836" s="845" t="s">
        <v>1008</v>
      </c>
    </row>
    <row r="19837" spans="1:10" x14ac:dyDescent="0.2">
      <c r="A19837" s="859">
        <f t="shared" si="451"/>
        <v>19836</v>
      </c>
      <c r="B19837" s="845" t="s">
        <v>2568</v>
      </c>
      <c r="D19837" s="863"/>
      <c r="J19837" s="845" t="s">
        <v>2515</v>
      </c>
    </row>
    <row r="19838" spans="1:10" x14ac:dyDescent="0.2">
      <c r="A19838" s="859">
        <f t="shared" si="451"/>
        <v>19837</v>
      </c>
      <c r="B19838" s="845" t="s">
        <v>2568</v>
      </c>
      <c r="D19838" s="862"/>
      <c r="I19838" s="845" t="s">
        <v>1009</v>
      </c>
    </row>
    <row r="19839" spans="1:10" x14ac:dyDescent="0.2">
      <c r="A19839" s="859">
        <f t="shared" si="451"/>
        <v>19838</v>
      </c>
      <c r="B19839" s="845" t="s">
        <v>2568</v>
      </c>
      <c r="D19839" s="862"/>
      <c r="I19839" s="845" t="str">
        <f>CONCATENATE("&lt;valeur&gt;",Cellule_1463,"&lt;/valeur&gt;")</f>
        <v>&lt;valeur&gt;0&lt;/valeur&gt;</v>
      </c>
    </row>
    <row r="19840" spans="1:10" x14ac:dyDescent="0.2">
      <c r="A19840" s="859">
        <f t="shared" si="451"/>
        <v>19839</v>
      </c>
      <c r="B19840" s="845" t="s">
        <v>2568</v>
      </c>
      <c r="D19840" s="861"/>
      <c r="H19840" s="845" t="s">
        <v>1010</v>
      </c>
    </row>
    <row r="19841" spans="1:10" x14ac:dyDescent="0.2">
      <c r="A19841" s="859">
        <f t="shared" si="451"/>
        <v>19840</v>
      </c>
      <c r="B19841" s="845" t="s">
        <v>2568</v>
      </c>
      <c r="D19841" s="861"/>
      <c r="H19841" s="845" t="s">
        <v>1007</v>
      </c>
    </row>
    <row r="19842" spans="1:10" x14ac:dyDescent="0.2">
      <c r="A19842" s="859">
        <f t="shared" si="451"/>
        <v>19841</v>
      </c>
      <c r="B19842" s="845" t="s">
        <v>2568</v>
      </c>
      <c r="D19842" s="862"/>
      <c r="I19842" s="845" t="s">
        <v>1008</v>
      </c>
    </row>
    <row r="19843" spans="1:10" x14ac:dyDescent="0.2">
      <c r="A19843" s="859">
        <f t="shared" si="451"/>
        <v>19842</v>
      </c>
      <c r="B19843" s="845" t="s">
        <v>2568</v>
      </c>
      <c r="D19843" s="863"/>
      <c r="J19843" s="845" t="s">
        <v>2516</v>
      </c>
    </row>
    <row r="19844" spans="1:10" x14ac:dyDescent="0.2">
      <c r="A19844" s="859">
        <f t="shared" ref="A19844:A19907" si="452">+A19843+1</f>
        <v>19843</v>
      </c>
      <c r="B19844" s="845" t="s">
        <v>2568</v>
      </c>
      <c r="D19844" s="862"/>
      <c r="I19844" s="845" t="s">
        <v>1009</v>
      </c>
    </row>
    <row r="19845" spans="1:10" x14ac:dyDescent="0.2">
      <c r="A19845" s="859">
        <f t="shared" si="452"/>
        <v>19844</v>
      </c>
      <c r="B19845" s="845" t="s">
        <v>2568</v>
      </c>
      <c r="D19845" s="862"/>
      <c r="I19845" s="845" t="str">
        <f>CONCATENATE("&lt;valeur&gt;",Cellule_1471,"&lt;/valeur&gt;")</f>
        <v>&lt;valeur&gt;0&lt;/valeur&gt;</v>
      </c>
    </row>
    <row r="19846" spans="1:10" x14ac:dyDescent="0.2">
      <c r="A19846" s="859">
        <f t="shared" si="452"/>
        <v>19845</v>
      </c>
      <c r="B19846" s="845" t="s">
        <v>2568</v>
      </c>
      <c r="D19846" s="861"/>
      <c r="H19846" s="845" t="s">
        <v>1010</v>
      </c>
    </row>
    <row r="19847" spans="1:10" x14ac:dyDescent="0.2">
      <c r="A19847" s="859">
        <f t="shared" si="452"/>
        <v>19846</v>
      </c>
      <c r="B19847" s="845" t="s">
        <v>2568</v>
      </c>
      <c r="D19847" s="861"/>
      <c r="H19847" s="845" t="s">
        <v>1007</v>
      </c>
    </row>
    <row r="19848" spans="1:10" x14ac:dyDescent="0.2">
      <c r="A19848" s="859">
        <f t="shared" si="452"/>
        <v>19847</v>
      </c>
      <c r="B19848" s="845" t="s">
        <v>2568</v>
      </c>
      <c r="D19848" s="862"/>
      <c r="I19848" s="845" t="s">
        <v>1008</v>
      </c>
    </row>
    <row r="19849" spans="1:10" x14ac:dyDescent="0.2">
      <c r="A19849" s="859">
        <f t="shared" si="452"/>
        <v>19848</v>
      </c>
      <c r="B19849" s="845" t="s">
        <v>2568</v>
      </c>
      <c r="D19849" s="863"/>
      <c r="J19849" s="845" t="s">
        <v>2517</v>
      </c>
    </row>
    <row r="19850" spans="1:10" x14ac:dyDescent="0.2">
      <c r="A19850" s="859">
        <f t="shared" si="452"/>
        <v>19849</v>
      </c>
      <c r="B19850" s="845" t="s">
        <v>2568</v>
      </c>
      <c r="D19850" s="862"/>
      <c r="I19850" s="845" t="s">
        <v>1009</v>
      </c>
    </row>
    <row r="19851" spans="1:10" x14ac:dyDescent="0.2">
      <c r="A19851" s="859">
        <f t="shared" si="452"/>
        <v>19850</v>
      </c>
      <c r="B19851" s="845" t="s">
        <v>2568</v>
      </c>
      <c r="D19851" s="862"/>
      <c r="I19851" s="845" t="str">
        <f>CONCATENATE("&lt;valeur&gt;",Cellule_1479,"&lt;/valeur&gt;")</f>
        <v>&lt;valeur&gt;0&lt;/valeur&gt;</v>
      </c>
    </row>
    <row r="19852" spans="1:10" x14ac:dyDescent="0.2">
      <c r="A19852" s="859">
        <f t="shared" si="452"/>
        <v>19851</v>
      </c>
      <c r="B19852" s="845" t="s">
        <v>2568</v>
      </c>
      <c r="D19852" s="861"/>
      <c r="H19852" s="845" t="s">
        <v>1010</v>
      </c>
    </row>
    <row r="19853" spans="1:10" x14ac:dyDescent="0.2">
      <c r="A19853" s="859">
        <f t="shared" si="452"/>
        <v>19852</v>
      </c>
      <c r="B19853" s="845" t="s">
        <v>2568</v>
      </c>
      <c r="D19853" s="861"/>
      <c r="H19853" s="845" t="s">
        <v>1007</v>
      </c>
    </row>
    <row r="19854" spans="1:10" x14ac:dyDescent="0.2">
      <c r="A19854" s="859">
        <f t="shared" si="452"/>
        <v>19853</v>
      </c>
      <c r="B19854" s="845" t="s">
        <v>2568</v>
      </c>
      <c r="D19854" s="862"/>
      <c r="I19854" s="845" t="s">
        <v>1008</v>
      </c>
    </row>
    <row r="19855" spans="1:10" x14ac:dyDescent="0.2">
      <c r="A19855" s="859">
        <f t="shared" si="452"/>
        <v>19854</v>
      </c>
      <c r="B19855" s="845" t="s">
        <v>2568</v>
      </c>
      <c r="D19855" s="863"/>
      <c r="J19855" s="845" t="s">
        <v>2518</v>
      </c>
    </row>
    <row r="19856" spans="1:10" x14ac:dyDescent="0.2">
      <c r="A19856" s="859">
        <f t="shared" si="452"/>
        <v>19855</v>
      </c>
      <c r="B19856" s="845" t="s">
        <v>2568</v>
      </c>
      <c r="D19856" s="862"/>
      <c r="I19856" s="845" t="s">
        <v>1009</v>
      </c>
    </row>
    <row r="19857" spans="1:10" x14ac:dyDescent="0.2">
      <c r="A19857" s="859">
        <f t="shared" si="452"/>
        <v>19856</v>
      </c>
      <c r="B19857" s="845" t="s">
        <v>2568</v>
      </c>
      <c r="D19857" s="862"/>
      <c r="I19857" s="845" t="str">
        <f>CONCATENATE("&lt;valeur&gt;",Cellule_1487,"&lt;/valeur&gt;")</f>
        <v>&lt;valeur&gt;0&lt;/valeur&gt;</v>
      </c>
    </row>
    <row r="19858" spans="1:10" x14ac:dyDescent="0.2">
      <c r="A19858" s="859">
        <f t="shared" si="452"/>
        <v>19857</v>
      </c>
      <c r="B19858" s="845" t="s">
        <v>2568</v>
      </c>
      <c r="D19858" s="861"/>
      <c r="H19858" s="845" t="s">
        <v>1010</v>
      </c>
    </row>
    <row r="19859" spans="1:10" x14ac:dyDescent="0.2">
      <c r="A19859" s="859">
        <f t="shared" si="452"/>
        <v>19858</v>
      </c>
      <c r="B19859" s="845" t="s">
        <v>2568</v>
      </c>
      <c r="D19859" s="861"/>
      <c r="H19859" s="845" t="s">
        <v>1007</v>
      </c>
    </row>
    <row r="19860" spans="1:10" x14ac:dyDescent="0.2">
      <c r="A19860" s="859">
        <f t="shared" si="452"/>
        <v>19859</v>
      </c>
      <c r="B19860" s="845" t="s">
        <v>2568</v>
      </c>
      <c r="D19860" s="862"/>
      <c r="I19860" s="845" t="s">
        <v>1008</v>
      </c>
    </row>
    <row r="19861" spans="1:10" x14ac:dyDescent="0.2">
      <c r="A19861" s="859">
        <f t="shared" si="452"/>
        <v>19860</v>
      </c>
      <c r="B19861" s="845" t="s">
        <v>2568</v>
      </c>
      <c r="D19861" s="863"/>
      <c r="J19861" s="845" t="s">
        <v>2519</v>
      </c>
    </row>
    <row r="19862" spans="1:10" x14ac:dyDescent="0.2">
      <c r="A19862" s="859">
        <f t="shared" si="452"/>
        <v>19861</v>
      </c>
      <c r="B19862" s="845" t="s">
        <v>2568</v>
      </c>
      <c r="D19862" s="862"/>
      <c r="I19862" s="845" t="s">
        <v>1009</v>
      </c>
    </row>
    <row r="19863" spans="1:10" x14ac:dyDescent="0.2">
      <c r="A19863" s="859">
        <f t="shared" si="452"/>
        <v>19862</v>
      </c>
      <c r="B19863" s="845" t="s">
        <v>2568</v>
      </c>
      <c r="D19863" s="862"/>
      <c r="I19863" s="845" t="str">
        <f>CONCATENATE("&lt;valeur&gt;",Cellule_1423,"&lt;/valeur&gt;")</f>
        <v>&lt;valeur&gt;0&lt;/valeur&gt;</v>
      </c>
    </row>
    <row r="19864" spans="1:10" x14ac:dyDescent="0.2">
      <c r="A19864" s="859">
        <f t="shared" si="452"/>
        <v>19863</v>
      </c>
      <c r="B19864" s="845" t="s">
        <v>2568</v>
      </c>
      <c r="D19864" s="861"/>
      <c r="H19864" s="845" t="s">
        <v>1010</v>
      </c>
    </row>
    <row r="19865" spans="1:10" x14ac:dyDescent="0.2">
      <c r="A19865" s="859">
        <f t="shared" si="452"/>
        <v>19864</v>
      </c>
      <c r="B19865" s="845" t="s">
        <v>2568</v>
      </c>
      <c r="D19865" s="861"/>
      <c r="H19865" s="845" t="s">
        <v>1007</v>
      </c>
    </row>
    <row r="19866" spans="1:10" x14ac:dyDescent="0.2">
      <c r="A19866" s="859">
        <f t="shared" si="452"/>
        <v>19865</v>
      </c>
      <c r="B19866" s="845" t="s">
        <v>2568</v>
      </c>
      <c r="D19866" s="862"/>
      <c r="I19866" s="845" t="s">
        <v>1008</v>
      </c>
    </row>
    <row r="19867" spans="1:10" x14ac:dyDescent="0.2">
      <c r="A19867" s="859">
        <f t="shared" si="452"/>
        <v>19866</v>
      </c>
      <c r="B19867" s="845" t="s">
        <v>2568</v>
      </c>
      <c r="D19867" s="863"/>
      <c r="J19867" s="845" t="s">
        <v>2520</v>
      </c>
    </row>
    <row r="19868" spans="1:10" x14ac:dyDescent="0.2">
      <c r="A19868" s="859">
        <f t="shared" si="452"/>
        <v>19867</v>
      </c>
      <c r="B19868" s="845" t="s">
        <v>2568</v>
      </c>
      <c r="D19868" s="862"/>
      <c r="I19868" s="845" t="s">
        <v>1009</v>
      </c>
    </row>
    <row r="19869" spans="1:10" x14ac:dyDescent="0.2">
      <c r="A19869" s="859">
        <f t="shared" si="452"/>
        <v>19868</v>
      </c>
      <c r="B19869" s="845" t="s">
        <v>2568</v>
      </c>
      <c r="D19869" s="862"/>
      <c r="I19869" s="845" t="str">
        <f>CONCATENATE("&lt;valeur&gt;",Cellule_1561,"&lt;/valeur&gt;")</f>
        <v>&lt;valeur&gt;0&lt;/valeur&gt;</v>
      </c>
    </row>
    <row r="19870" spans="1:10" x14ac:dyDescent="0.2">
      <c r="A19870" s="859">
        <f t="shared" si="452"/>
        <v>19869</v>
      </c>
      <c r="B19870" s="845" t="s">
        <v>2568</v>
      </c>
      <c r="D19870" s="861"/>
      <c r="H19870" s="845" t="s">
        <v>1010</v>
      </c>
    </row>
    <row r="19871" spans="1:10" x14ac:dyDescent="0.2">
      <c r="A19871" s="859">
        <f t="shared" si="452"/>
        <v>19870</v>
      </c>
      <c r="B19871" s="845" t="s">
        <v>2568</v>
      </c>
      <c r="D19871" s="861"/>
      <c r="H19871" s="845" t="s">
        <v>1007</v>
      </c>
    </row>
    <row r="19872" spans="1:10" x14ac:dyDescent="0.2">
      <c r="A19872" s="859">
        <f t="shared" si="452"/>
        <v>19871</v>
      </c>
      <c r="B19872" s="845" t="s">
        <v>2568</v>
      </c>
      <c r="D19872" s="862"/>
      <c r="I19872" s="845" t="s">
        <v>1008</v>
      </c>
    </row>
    <row r="19873" spans="1:10" x14ac:dyDescent="0.2">
      <c r="A19873" s="859">
        <f t="shared" si="452"/>
        <v>19872</v>
      </c>
      <c r="B19873" s="845" t="s">
        <v>2568</v>
      </c>
      <c r="D19873" s="863"/>
      <c r="J19873" s="845" t="s">
        <v>2521</v>
      </c>
    </row>
    <row r="19874" spans="1:10" x14ac:dyDescent="0.2">
      <c r="A19874" s="859">
        <f t="shared" si="452"/>
        <v>19873</v>
      </c>
      <c r="B19874" s="845" t="s">
        <v>2568</v>
      </c>
      <c r="D19874" s="862"/>
      <c r="I19874" s="845" t="s">
        <v>1009</v>
      </c>
    </row>
    <row r="19875" spans="1:10" x14ac:dyDescent="0.2">
      <c r="A19875" s="859">
        <f t="shared" si="452"/>
        <v>19874</v>
      </c>
      <c r="B19875" s="845" t="s">
        <v>2568</v>
      </c>
      <c r="D19875" s="862"/>
      <c r="I19875" s="845" t="str">
        <f>CONCATENATE("&lt;valeur&gt;",Cellule_1602,"&lt;/valeur&gt;")</f>
        <v>&lt;valeur&gt;0&lt;/valeur&gt;</v>
      </c>
    </row>
    <row r="19876" spans="1:10" x14ac:dyDescent="0.2">
      <c r="A19876" s="859">
        <f t="shared" si="452"/>
        <v>19875</v>
      </c>
      <c r="B19876" s="845" t="s">
        <v>2568</v>
      </c>
      <c r="D19876" s="861"/>
      <c r="H19876" s="845" t="s">
        <v>1010</v>
      </c>
    </row>
    <row r="19877" spans="1:10" x14ac:dyDescent="0.2">
      <c r="A19877" s="859">
        <f t="shared" si="452"/>
        <v>19876</v>
      </c>
      <c r="B19877" s="845" t="s">
        <v>2568</v>
      </c>
      <c r="D19877" s="861"/>
      <c r="H19877" s="845" t="s">
        <v>1007</v>
      </c>
    </row>
    <row r="19878" spans="1:10" x14ac:dyDescent="0.2">
      <c r="A19878" s="859">
        <f t="shared" si="452"/>
        <v>19877</v>
      </c>
      <c r="B19878" s="845" t="s">
        <v>2568</v>
      </c>
      <c r="D19878" s="862"/>
      <c r="I19878" s="845" t="s">
        <v>1008</v>
      </c>
    </row>
    <row r="19879" spans="1:10" x14ac:dyDescent="0.2">
      <c r="A19879" s="859">
        <f t="shared" si="452"/>
        <v>19878</v>
      </c>
      <c r="B19879" s="845" t="s">
        <v>2568</v>
      </c>
      <c r="D19879" s="863"/>
      <c r="J19879" s="845" t="s">
        <v>2522</v>
      </c>
    </row>
    <row r="19880" spans="1:10" x14ac:dyDescent="0.2">
      <c r="A19880" s="859">
        <f t="shared" si="452"/>
        <v>19879</v>
      </c>
      <c r="B19880" s="845" t="s">
        <v>2568</v>
      </c>
      <c r="D19880" s="862"/>
      <c r="I19880" s="845" t="s">
        <v>1009</v>
      </c>
    </row>
    <row r="19881" spans="1:10" x14ac:dyDescent="0.2">
      <c r="A19881" s="859">
        <f t="shared" si="452"/>
        <v>19880</v>
      </c>
      <c r="B19881" s="845" t="s">
        <v>2568</v>
      </c>
      <c r="D19881" s="862"/>
      <c r="I19881" s="845" t="str">
        <f>CONCATENATE("&lt;valeur&gt;",Cellule_1610,"&lt;/valeur&gt;")</f>
        <v>&lt;valeur&gt;0&lt;/valeur&gt;</v>
      </c>
    </row>
    <row r="19882" spans="1:10" x14ac:dyDescent="0.2">
      <c r="A19882" s="859">
        <f t="shared" si="452"/>
        <v>19881</v>
      </c>
      <c r="B19882" s="845" t="s">
        <v>2568</v>
      </c>
      <c r="D19882" s="861"/>
      <c r="H19882" s="845" t="s">
        <v>1010</v>
      </c>
    </row>
    <row r="19883" spans="1:10" x14ac:dyDescent="0.2">
      <c r="A19883" s="859">
        <f t="shared" si="452"/>
        <v>19882</v>
      </c>
      <c r="B19883" s="845" t="s">
        <v>2568</v>
      </c>
      <c r="D19883" s="861"/>
      <c r="H19883" s="845" t="s">
        <v>1007</v>
      </c>
    </row>
    <row r="19884" spans="1:10" x14ac:dyDescent="0.2">
      <c r="A19884" s="859">
        <f t="shared" si="452"/>
        <v>19883</v>
      </c>
      <c r="B19884" s="845" t="s">
        <v>2568</v>
      </c>
      <c r="D19884" s="862"/>
      <c r="I19884" s="845" t="s">
        <v>1008</v>
      </c>
    </row>
    <row r="19885" spans="1:10" x14ac:dyDescent="0.2">
      <c r="A19885" s="859">
        <f t="shared" si="452"/>
        <v>19884</v>
      </c>
      <c r="B19885" s="845" t="s">
        <v>2568</v>
      </c>
      <c r="D19885" s="863"/>
      <c r="J19885" s="845" t="s">
        <v>2523</v>
      </c>
    </row>
    <row r="19886" spans="1:10" x14ac:dyDescent="0.2">
      <c r="A19886" s="859">
        <f t="shared" si="452"/>
        <v>19885</v>
      </c>
      <c r="B19886" s="845" t="s">
        <v>2568</v>
      </c>
      <c r="D19886" s="862"/>
      <c r="I19886" s="845" t="s">
        <v>1009</v>
      </c>
    </row>
    <row r="19887" spans="1:10" x14ac:dyDescent="0.2">
      <c r="A19887" s="859">
        <f t="shared" si="452"/>
        <v>19886</v>
      </c>
      <c r="B19887" s="845" t="s">
        <v>2568</v>
      </c>
      <c r="D19887" s="862"/>
      <c r="I19887" s="845" t="str">
        <f>CONCATENATE("&lt;valeur&gt;",Cellule_1618,"&lt;/valeur&gt;")</f>
        <v>&lt;valeur&gt;0&lt;/valeur&gt;</v>
      </c>
    </row>
    <row r="19888" spans="1:10" x14ac:dyDescent="0.2">
      <c r="A19888" s="859">
        <f t="shared" si="452"/>
        <v>19887</v>
      </c>
      <c r="B19888" s="845" t="s">
        <v>2568</v>
      </c>
      <c r="D19888" s="861"/>
      <c r="H19888" s="845" t="s">
        <v>1010</v>
      </c>
    </row>
    <row r="19889" spans="1:10" x14ac:dyDescent="0.2">
      <c r="A19889" s="859">
        <f t="shared" si="452"/>
        <v>19888</v>
      </c>
      <c r="B19889" s="845" t="s">
        <v>2568</v>
      </c>
      <c r="D19889" s="861"/>
      <c r="H19889" s="845" t="s">
        <v>1007</v>
      </c>
    </row>
    <row r="19890" spans="1:10" x14ac:dyDescent="0.2">
      <c r="A19890" s="859">
        <f t="shared" si="452"/>
        <v>19889</v>
      </c>
      <c r="B19890" s="845" t="s">
        <v>2568</v>
      </c>
      <c r="D19890" s="862"/>
      <c r="I19890" s="845" t="s">
        <v>1008</v>
      </c>
    </row>
    <row r="19891" spans="1:10" x14ac:dyDescent="0.2">
      <c r="A19891" s="859">
        <f t="shared" si="452"/>
        <v>19890</v>
      </c>
      <c r="B19891" s="845" t="s">
        <v>2568</v>
      </c>
      <c r="D19891" s="863"/>
      <c r="J19891" s="845" t="s">
        <v>2524</v>
      </c>
    </row>
    <row r="19892" spans="1:10" x14ac:dyDescent="0.2">
      <c r="A19892" s="859">
        <f t="shared" si="452"/>
        <v>19891</v>
      </c>
      <c r="B19892" s="845" t="s">
        <v>2568</v>
      </c>
      <c r="D19892" s="862"/>
      <c r="I19892" s="845" t="s">
        <v>1009</v>
      </c>
    </row>
    <row r="19893" spans="1:10" x14ac:dyDescent="0.2">
      <c r="A19893" s="859">
        <f t="shared" si="452"/>
        <v>19892</v>
      </c>
      <c r="B19893" s="845" t="s">
        <v>2568</v>
      </c>
      <c r="D19893" s="862"/>
      <c r="I19893" s="845" t="str">
        <f>CONCATENATE("&lt;valeur&gt;",Cellule_1641,"&lt;/valeur&gt;")</f>
        <v>&lt;valeur&gt;&lt;/valeur&gt;</v>
      </c>
    </row>
    <row r="19894" spans="1:10" x14ac:dyDescent="0.2">
      <c r="A19894" s="859">
        <f t="shared" si="452"/>
        <v>19893</v>
      </c>
      <c r="B19894" s="845" t="s">
        <v>2568</v>
      </c>
      <c r="D19894" s="861"/>
      <c r="H19894" s="845" t="s">
        <v>1010</v>
      </c>
    </row>
    <row r="19895" spans="1:10" x14ac:dyDescent="0.2">
      <c r="A19895" s="859">
        <f t="shared" si="452"/>
        <v>19894</v>
      </c>
      <c r="B19895" s="845" t="s">
        <v>2568</v>
      </c>
      <c r="D19895" s="861"/>
      <c r="H19895" s="845" t="s">
        <v>1007</v>
      </c>
    </row>
    <row r="19896" spans="1:10" x14ac:dyDescent="0.2">
      <c r="A19896" s="859">
        <f t="shared" si="452"/>
        <v>19895</v>
      </c>
      <c r="B19896" s="845" t="s">
        <v>2568</v>
      </c>
      <c r="D19896" s="862"/>
      <c r="I19896" s="845" t="s">
        <v>1008</v>
      </c>
    </row>
    <row r="19897" spans="1:10" x14ac:dyDescent="0.2">
      <c r="A19897" s="859">
        <f t="shared" si="452"/>
        <v>19896</v>
      </c>
      <c r="B19897" s="845" t="s">
        <v>2568</v>
      </c>
      <c r="D19897" s="863"/>
      <c r="J19897" s="845" t="s">
        <v>2525</v>
      </c>
    </row>
    <row r="19898" spans="1:10" x14ac:dyDescent="0.2">
      <c r="A19898" s="859">
        <f t="shared" si="452"/>
        <v>19897</v>
      </c>
      <c r="B19898" s="845" t="s">
        <v>2568</v>
      </c>
      <c r="D19898" s="862"/>
      <c r="I19898" s="845" t="s">
        <v>1009</v>
      </c>
    </row>
    <row r="19899" spans="1:10" x14ac:dyDescent="0.2">
      <c r="A19899" s="859">
        <f t="shared" si="452"/>
        <v>19898</v>
      </c>
      <c r="B19899" s="845" t="s">
        <v>2568</v>
      </c>
      <c r="D19899" s="862"/>
      <c r="I19899" s="845" t="str">
        <f>CONCATENATE("&lt;valeur&gt;",Cellule_1649,"&lt;/valeur&gt;")</f>
        <v>&lt;valeur&gt;0&lt;/valeur&gt;</v>
      </c>
    </row>
    <row r="19900" spans="1:10" x14ac:dyDescent="0.2">
      <c r="A19900" s="859">
        <f t="shared" si="452"/>
        <v>19899</v>
      </c>
      <c r="B19900" s="845" t="s">
        <v>2568</v>
      </c>
      <c r="D19900" s="861"/>
      <c r="H19900" s="845" t="s">
        <v>1010</v>
      </c>
    </row>
    <row r="19901" spans="1:10" x14ac:dyDescent="0.2">
      <c r="A19901" s="859">
        <f t="shared" si="452"/>
        <v>19900</v>
      </c>
      <c r="B19901" s="845" t="s">
        <v>2568</v>
      </c>
      <c r="D19901" s="861"/>
      <c r="H19901" s="845" t="s">
        <v>1007</v>
      </c>
    </row>
    <row r="19902" spans="1:10" x14ac:dyDescent="0.2">
      <c r="A19902" s="859">
        <f t="shared" si="452"/>
        <v>19901</v>
      </c>
      <c r="B19902" s="845" t="s">
        <v>2568</v>
      </c>
      <c r="D19902" s="862"/>
      <c r="I19902" s="845" t="s">
        <v>1008</v>
      </c>
    </row>
    <row r="19903" spans="1:10" x14ac:dyDescent="0.2">
      <c r="A19903" s="859">
        <f t="shared" si="452"/>
        <v>19902</v>
      </c>
      <c r="B19903" s="845" t="s">
        <v>2568</v>
      </c>
      <c r="D19903" s="863"/>
      <c r="J19903" s="845" t="s">
        <v>2526</v>
      </c>
    </row>
    <row r="19904" spans="1:10" x14ac:dyDescent="0.2">
      <c r="A19904" s="859">
        <f t="shared" si="452"/>
        <v>19903</v>
      </c>
      <c r="B19904" s="845" t="s">
        <v>2568</v>
      </c>
      <c r="D19904" s="862"/>
      <c r="I19904" s="845" t="s">
        <v>1009</v>
      </c>
    </row>
    <row r="19905" spans="1:10" x14ac:dyDescent="0.2">
      <c r="A19905" s="859">
        <f t="shared" si="452"/>
        <v>19904</v>
      </c>
      <c r="B19905" s="845" t="s">
        <v>2568</v>
      </c>
      <c r="D19905" s="862"/>
      <c r="I19905" s="845" t="str">
        <f>CONCATENATE("&lt;valeur&gt;",Cellule_1662,"&lt;/valeur&gt;")</f>
        <v>&lt;valeur&gt;0&lt;/valeur&gt;</v>
      </c>
    </row>
    <row r="19906" spans="1:10" x14ac:dyDescent="0.2">
      <c r="A19906" s="859">
        <f t="shared" si="452"/>
        <v>19905</v>
      </c>
      <c r="B19906" s="845" t="s">
        <v>2568</v>
      </c>
      <c r="D19906" s="861"/>
      <c r="H19906" s="845" t="s">
        <v>1010</v>
      </c>
    </row>
    <row r="19907" spans="1:10" x14ac:dyDescent="0.2">
      <c r="A19907" s="859">
        <f t="shared" si="452"/>
        <v>19906</v>
      </c>
      <c r="B19907" s="845" t="s">
        <v>2568</v>
      </c>
      <c r="D19907" s="861"/>
      <c r="H19907" s="845" t="s">
        <v>1007</v>
      </c>
    </row>
    <row r="19908" spans="1:10" x14ac:dyDescent="0.2">
      <c r="A19908" s="859">
        <f t="shared" ref="A19908:A19971" si="453">+A19907+1</f>
        <v>19907</v>
      </c>
      <c r="B19908" s="845" t="s">
        <v>2568</v>
      </c>
      <c r="D19908" s="862"/>
      <c r="I19908" s="845" t="s">
        <v>1008</v>
      </c>
    </row>
    <row r="19909" spans="1:10" x14ac:dyDescent="0.2">
      <c r="A19909" s="859">
        <f t="shared" si="453"/>
        <v>19908</v>
      </c>
      <c r="B19909" s="845" t="s">
        <v>2568</v>
      </c>
      <c r="D19909" s="863"/>
      <c r="J19909" s="845" t="s">
        <v>2527</v>
      </c>
    </row>
    <row r="19910" spans="1:10" x14ac:dyDescent="0.2">
      <c r="A19910" s="859">
        <f t="shared" si="453"/>
        <v>19909</v>
      </c>
      <c r="B19910" s="845" t="s">
        <v>2568</v>
      </c>
      <c r="D19910" s="862"/>
      <c r="I19910" s="845" t="s">
        <v>1009</v>
      </c>
    </row>
    <row r="19911" spans="1:10" x14ac:dyDescent="0.2">
      <c r="A19911" s="859">
        <f t="shared" si="453"/>
        <v>19910</v>
      </c>
      <c r="B19911" s="845" t="s">
        <v>2568</v>
      </c>
      <c r="D19911" s="862"/>
      <c r="I19911" s="845" t="str">
        <f>CONCATENATE("&lt;valeur&gt;",Cellule_1670,"&lt;/valeur&gt;")</f>
        <v>&lt;valeur&gt;0&lt;/valeur&gt;</v>
      </c>
    </row>
    <row r="19912" spans="1:10" x14ac:dyDescent="0.2">
      <c r="A19912" s="859">
        <f t="shared" si="453"/>
        <v>19911</v>
      </c>
      <c r="B19912" s="845" t="s">
        <v>2568</v>
      </c>
      <c r="D19912" s="861"/>
      <c r="H19912" s="845" t="s">
        <v>1010</v>
      </c>
    </row>
    <row r="19913" spans="1:10" x14ac:dyDescent="0.2">
      <c r="A19913" s="859">
        <f t="shared" si="453"/>
        <v>19912</v>
      </c>
      <c r="B19913" s="845" t="s">
        <v>2568</v>
      </c>
      <c r="D19913" s="861"/>
      <c r="H19913" s="845" t="s">
        <v>1007</v>
      </c>
    </row>
    <row r="19914" spans="1:10" x14ac:dyDescent="0.2">
      <c r="A19914" s="859">
        <f t="shared" si="453"/>
        <v>19913</v>
      </c>
      <c r="B19914" s="845" t="s">
        <v>2568</v>
      </c>
      <c r="D19914" s="862"/>
      <c r="I19914" s="845" t="s">
        <v>1008</v>
      </c>
    </row>
    <row r="19915" spans="1:10" x14ac:dyDescent="0.2">
      <c r="A19915" s="859">
        <f t="shared" si="453"/>
        <v>19914</v>
      </c>
      <c r="B19915" s="845" t="s">
        <v>2568</v>
      </c>
      <c r="D19915" s="863"/>
      <c r="J19915" s="845" t="s">
        <v>2528</v>
      </c>
    </row>
    <row r="19916" spans="1:10" x14ac:dyDescent="0.2">
      <c r="A19916" s="859">
        <f t="shared" si="453"/>
        <v>19915</v>
      </c>
      <c r="B19916" s="845" t="s">
        <v>2568</v>
      </c>
      <c r="D19916" s="862"/>
      <c r="I19916" s="845" t="s">
        <v>1009</v>
      </c>
    </row>
    <row r="19917" spans="1:10" x14ac:dyDescent="0.2">
      <c r="A19917" s="859">
        <f t="shared" si="453"/>
        <v>19916</v>
      </c>
      <c r="B19917" s="845" t="s">
        <v>2568</v>
      </c>
      <c r="D19917" s="862"/>
      <c r="I19917" s="845" t="str">
        <f>CONCATENATE("&lt;valeur&gt;",Cellule_1678,"&lt;/valeur&gt;")</f>
        <v>&lt;valeur&gt;0&lt;/valeur&gt;</v>
      </c>
    </row>
    <row r="19918" spans="1:10" x14ac:dyDescent="0.2">
      <c r="A19918" s="859">
        <f t="shared" si="453"/>
        <v>19917</v>
      </c>
      <c r="B19918" s="845" t="s">
        <v>2568</v>
      </c>
      <c r="D19918" s="861"/>
      <c r="H19918" s="845" t="s">
        <v>1010</v>
      </c>
    </row>
    <row r="19919" spans="1:10" x14ac:dyDescent="0.2">
      <c r="A19919" s="859">
        <f t="shared" si="453"/>
        <v>19918</v>
      </c>
      <c r="B19919" s="845" t="s">
        <v>2568</v>
      </c>
      <c r="D19919" s="861"/>
      <c r="H19919" s="845" t="s">
        <v>1007</v>
      </c>
    </row>
    <row r="19920" spans="1:10" x14ac:dyDescent="0.2">
      <c r="A19920" s="859">
        <f t="shared" si="453"/>
        <v>19919</v>
      </c>
      <c r="B19920" s="845" t="s">
        <v>2568</v>
      </c>
      <c r="D19920" s="862"/>
      <c r="I19920" s="845" t="s">
        <v>1008</v>
      </c>
    </row>
    <row r="19921" spans="1:10" x14ac:dyDescent="0.2">
      <c r="A19921" s="859">
        <f t="shared" si="453"/>
        <v>19920</v>
      </c>
      <c r="B19921" s="845" t="s">
        <v>2568</v>
      </c>
      <c r="D19921" s="863"/>
      <c r="J19921" s="845" t="s">
        <v>2529</v>
      </c>
    </row>
    <row r="19922" spans="1:10" x14ac:dyDescent="0.2">
      <c r="A19922" s="859">
        <f t="shared" si="453"/>
        <v>19921</v>
      </c>
      <c r="B19922" s="845" t="s">
        <v>2568</v>
      </c>
      <c r="D19922" s="862"/>
      <c r="I19922" s="845" t="s">
        <v>1009</v>
      </c>
    </row>
    <row r="19923" spans="1:10" x14ac:dyDescent="0.2">
      <c r="A19923" s="859">
        <f t="shared" si="453"/>
        <v>19922</v>
      </c>
      <c r="B19923" s="845" t="s">
        <v>2568</v>
      </c>
      <c r="D19923" s="862"/>
      <c r="I19923" s="845" t="str">
        <f>CONCATENATE("&lt;valeur&gt;",Cellule_1691,"&lt;/valeur&gt;")</f>
        <v>&lt;valeur&gt;0&lt;/valeur&gt;</v>
      </c>
    </row>
    <row r="19924" spans="1:10" x14ac:dyDescent="0.2">
      <c r="A19924" s="859">
        <f t="shared" si="453"/>
        <v>19923</v>
      </c>
      <c r="B19924" s="845" t="s">
        <v>2568</v>
      </c>
      <c r="D19924" s="861"/>
      <c r="H19924" s="845" t="s">
        <v>1010</v>
      </c>
    </row>
    <row r="19925" spans="1:10" x14ac:dyDescent="0.2">
      <c r="A19925" s="859">
        <f t="shared" si="453"/>
        <v>19924</v>
      </c>
      <c r="B19925" s="845" t="s">
        <v>2568</v>
      </c>
      <c r="D19925" s="861"/>
      <c r="H19925" s="845" t="s">
        <v>1007</v>
      </c>
    </row>
    <row r="19926" spans="1:10" x14ac:dyDescent="0.2">
      <c r="A19926" s="859">
        <f t="shared" si="453"/>
        <v>19925</v>
      </c>
      <c r="B19926" s="845" t="s">
        <v>2568</v>
      </c>
      <c r="D19926" s="862"/>
      <c r="I19926" s="845" t="s">
        <v>1008</v>
      </c>
    </row>
    <row r="19927" spans="1:10" x14ac:dyDescent="0.2">
      <c r="A19927" s="859">
        <f t="shared" si="453"/>
        <v>19926</v>
      </c>
      <c r="B19927" s="845" t="s">
        <v>2568</v>
      </c>
      <c r="D19927" s="863"/>
      <c r="J19927" s="845" t="s">
        <v>2530</v>
      </c>
    </row>
    <row r="19928" spans="1:10" x14ac:dyDescent="0.2">
      <c r="A19928" s="859">
        <f t="shared" si="453"/>
        <v>19927</v>
      </c>
      <c r="B19928" s="845" t="s">
        <v>2568</v>
      </c>
      <c r="D19928" s="862"/>
      <c r="I19928" s="845" t="s">
        <v>1009</v>
      </c>
    </row>
    <row r="19929" spans="1:10" x14ac:dyDescent="0.2">
      <c r="A19929" s="859">
        <f t="shared" si="453"/>
        <v>19928</v>
      </c>
      <c r="B19929" s="845" t="s">
        <v>2568</v>
      </c>
      <c r="D19929" s="862"/>
      <c r="I19929" s="845" t="str">
        <f>CONCATENATE("&lt;valeur&gt;",Cellule_1742,"&lt;/valeur&gt;")</f>
        <v>&lt;valeur&gt;0&lt;/valeur&gt;</v>
      </c>
    </row>
    <row r="19930" spans="1:10" x14ac:dyDescent="0.2">
      <c r="A19930" s="859">
        <f t="shared" si="453"/>
        <v>19929</v>
      </c>
      <c r="B19930" s="845" t="s">
        <v>2568</v>
      </c>
      <c r="D19930" s="861"/>
      <c r="H19930" s="845" t="s">
        <v>1010</v>
      </c>
    </row>
    <row r="19931" spans="1:10" x14ac:dyDescent="0.2">
      <c r="A19931" s="859">
        <f t="shared" si="453"/>
        <v>19930</v>
      </c>
      <c r="B19931" s="845" t="s">
        <v>2568</v>
      </c>
      <c r="D19931" s="861"/>
      <c r="H19931" s="845" t="s">
        <v>1007</v>
      </c>
    </row>
    <row r="19932" spans="1:10" x14ac:dyDescent="0.2">
      <c r="A19932" s="859">
        <f t="shared" si="453"/>
        <v>19931</v>
      </c>
      <c r="B19932" s="845" t="s">
        <v>2568</v>
      </c>
      <c r="D19932" s="862"/>
      <c r="I19932" s="845" t="s">
        <v>1008</v>
      </c>
    </row>
    <row r="19933" spans="1:10" x14ac:dyDescent="0.2">
      <c r="A19933" s="859">
        <f t="shared" si="453"/>
        <v>19932</v>
      </c>
      <c r="B19933" s="845" t="s">
        <v>2568</v>
      </c>
      <c r="D19933" s="863"/>
      <c r="J19933" s="845" t="s">
        <v>2531</v>
      </c>
    </row>
    <row r="19934" spans="1:10" x14ac:dyDescent="0.2">
      <c r="A19934" s="859">
        <f t="shared" si="453"/>
        <v>19933</v>
      </c>
      <c r="B19934" s="845" t="s">
        <v>2568</v>
      </c>
      <c r="D19934" s="862"/>
      <c r="I19934" s="845" t="s">
        <v>1009</v>
      </c>
    </row>
    <row r="19935" spans="1:10" x14ac:dyDescent="0.2">
      <c r="A19935" s="859">
        <f t="shared" si="453"/>
        <v>19934</v>
      </c>
      <c r="B19935" s="845" t="s">
        <v>2568</v>
      </c>
      <c r="D19935" s="862"/>
      <c r="I19935" s="845" t="str">
        <f>CONCATENATE("&lt;valeur&gt;",Cellule_1763,"&lt;/valeur&gt;")</f>
        <v>&lt;valeur&gt;0&lt;/valeur&gt;</v>
      </c>
    </row>
    <row r="19936" spans="1:10" x14ac:dyDescent="0.2">
      <c r="A19936" s="859">
        <f t="shared" si="453"/>
        <v>19935</v>
      </c>
      <c r="B19936" s="845" t="s">
        <v>2568</v>
      </c>
      <c r="D19936" s="861"/>
      <c r="H19936" s="845" t="s">
        <v>1010</v>
      </c>
    </row>
    <row r="19937" spans="1:10" x14ac:dyDescent="0.2">
      <c r="A19937" s="859">
        <f t="shared" si="453"/>
        <v>19936</v>
      </c>
      <c r="B19937" s="845" t="s">
        <v>2568</v>
      </c>
      <c r="D19937" s="861"/>
      <c r="H19937" s="845" t="s">
        <v>1007</v>
      </c>
    </row>
    <row r="19938" spans="1:10" x14ac:dyDescent="0.2">
      <c r="A19938" s="859">
        <f t="shared" si="453"/>
        <v>19937</v>
      </c>
      <c r="B19938" s="845" t="s">
        <v>2568</v>
      </c>
      <c r="D19938" s="862"/>
      <c r="I19938" s="845" t="s">
        <v>1008</v>
      </c>
    </row>
    <row r="19939" spans="1:10" x14ac:dyDescent="0.2">
      <c r="A19939" s="859">
        <f t="shared" si="453"/>
        <v>19938</v>
      </c>
      <c r="B19939" s="845" t="s">
        <v>2568</v>
      </c>
      <c r="D19939" s="863"/>
      <c r="J19939" s="845" t="s">
        <v>2532</v>
      </c>
    </row>
    <row r="19940" spans="1:10" x14ac:dyDescent="0.2">
      <c r="A19940" s="859">
        <f t="shared" si="453"/>
        <v>19939</v>
      </c>
      <c r="B19940" s="845" t="s">
        <v>2568</v>
      </c>
      <c r="D19940" s="862"/>
      <c r="I19940" s="845" t="s">
        <v>1009</v>
      </c>
    </row>
    <row r="19941" spans="1:10" x14ac:dyDescent="0.2">
      <c r="A19941" s="859">
        <f t="shared" si="453"/>
        <v>19940</v>
      </c>
      <c r="B19941" s="845" t="s">
        <v>2568</v>
      </c>
      <c r="D19941" s="862"/>
      <c r="I19941" s="845" t="str">
        <f>CONCATENATE("&lt;valeur&gt;",Cellule_1775,"&lt;/valeur&gt;")</f>
        <v>&lt;valeur&gt;0&lt;/valeur&gt;</v>
      </c>
    </row>
    <row r="19942" spans="1:10" x14ac:dyDescent="0.2">
      <c r="A19942" s="859">
        <f t="shared" si="453"/>
        <v>19941</v>
      </c>
      <c r="B19942" s="845" t="s">
        <v>2568</v>
      </c>
      <c r="D19942" s="861"/>
      <c r="H19942" s="845" t="s">
        <v>1010</v>
      </c>
    </row>
    <row r="19943" spans="1:10" x14ac:dyDescent="0.2">
      <c r="A19943" s="859">
        <f t="shared" si="453"/>
        <v>19942</v>
      </c>
      <c r="B19943" s="845" t="s">
        <v>2568</v>
      </c>
      <c r="D19943" s="861"/>
      <c r="H19943" s="845" t="s">
        <v>1007</v>
      </c>
    </row>
    <row r="19944" spans="1:10" x14ac:dyDescent="0.2">
      <c r="A19944" s="859">
        <f t="shared" si="453"/>
        <v>19943</v>
      </c>
      <c r="B19944" s="845" t="s">
        <v>2568</v>
      </c>
      <c r="D19944" s="862"/>
      <c r="I19944" s="845" t="s">
        <v>1008</v>
      </c>
    </row>
    <row r="19945" spans="1:10" x14ac:dyDescent="0.2">
      <c r="A19945" s="859">
        <f t="shared" si="453"/>
        <v>19944</v>
      </c>
      <c r="B19945" s="845" t="s">
        <v>2568</v>
      </c>
      <c r="D19945" s="863"/>
      <c r="J19945" s="845" t="s">
        <v>2533</v>
      </c>
    </row>
    <row r="19946" spans="1:10" x14ac:dyDescent="0.2">
      <c r="A19946" s="859">
        <f t="shared" si="453"/>
        <v>19945</v>
      </c>
      <c r="B19946" s="845" t="s">
        <v>2568</v>
      </c>
      <c r="D19946" s="862"/>
      <c r="I19946" s="845" t="s">
        <v>1009</v>
      </c>
    </row>
    <row r="19947" spans="1:10" x14ac:dyDescent="0.2">
      <c r="A19947" s="859">
        <f t="shared" si="453"/>
        <v>19946</v>
      </c>
      <c r="B19947" s="845" t="s">
        <v>2568</v>
      </c>
      <c r="D19947" s="862"/>
      <c r="I19947" s="845" t="str">
        <f>CONCATENATE("&lt;valeur&gt;",Cellule_1806,"&lt;/valeur&gt;")</f>
        <v>&lt;valeur&gt;0&lt;/valeur&gt;</v>
      </c>
    </row>
    <row r="19948" spans="1:10" x14ac:dyDescent="0.2">
      <c r="A19948" s="859">
        <f t="shared" si="453"/>
        <v>19947</v>
      </c>
      <c r="B19948" s="845" t="s">
        <v>2568</v>
      </c>
      <c r="D19948" s="861"/>
      <c r="H19948" s="845" t="s">
        <v>1010</v>
      </c>
    </row>
    <row r="19949" spans="1:10" x14ac:dyDescent="0.2">
      <c r="A19949" s="859">
        <f t="shared" si="453"/>
        <v>19948</v>
      </c>
      <c r="B19949" s="845" t="s">
        <v>2568</v>
      </c>
      <c r="D19949" s="861"/>
      <c r="H19949" s="845" t="s">
        <v>1007</v>
      </c>
    </row>
    <row r="19950" spans="1:10" x14ac:dyDescent="0.2">
      <c r="A19950" s="859">
        <f t="shared" si="453"/>
        <v>19949</v>
      </c>
      <c r="B19950" s="845" t="s">
        <v>2568</v>
      </c>
      <c r="D19950" s="862"/>
      <c r="I19950" s="845" t="s">
        <v>1008</v>
      </c>
    </row>
    <row r="19951" spans="1:10" x14ac:dyDescent="0.2">
      <c r="A19951" s="859">
        <f t="shared" si="453"/>
        <v>19950</v>
      </c>
      <c r="B19951" s="845" t="s">
        <v>2568</v>
      </c>
      <c r="D19951" s="863"/>
      <c r="J19951" s="845" t="s">
        <v>2534</v>
      </c>
    </row>
    <row r="19952" spans="1:10" x14ac:dyDescent="0.2">
      <c r="A19952" s="859">
        <f t="shared" si="453"/>
        <v>19951</v>
      </c>
      <c r="B19952" s="845" t="s">
        <v>2568</v>
      </c>
      <c r="D19952" s="862"/>
      <c r="I19952" s="845" t="s">
        <v>1009</v>
      </c>
    </row>
    <row r="19953" spans="1:10" x14ac:dyDescent="0.2">
      <c r="A19953" s="859">
        <f t="shared" si="453"/>
        <v>19952</v>
      </c>
      <c r="B19953" s="845" t="s">
        <v>2568</v>
      </c>
      <c r="D19953" s="862"/>
      <c r="I19953" s="845" t="str">
        <f>CONCATENATE("&lt;valeur&gt;",Cellule_1825,"&lt;/valeur&gt;")</f>
        <v>&lt;valeur&gt;0&lt;/valeur&gt;</v>
      </c>
    </row>
    <row r="19954" spans="1:10" x14ac:dyDescent="0.2">
      <c r="A19954" s="859">
        <f t="shared" si="453"/>
        <v>19953</v>
      </c>
      <c r="B19954" s="845" t="s">
        <v>2568</v>
      </c>
      <c r="D19954" s="861"/>
      <c r="H19954" s="845" t="s">
        <v>1010</v>
      </c>
    </row>
    <row r="19955" spans="1:10" x14ac:dyDescent="0.2">
      <c r="A19955" s="859">
        <f t="shared" si="453"/>
        <v>19954</v>
      </c>
      <c r="B19955" s="845" t="s">
        <v>2568</v>
      </c>
      <c r="D19955" s="861"/>
      <c r="H19955" s="845" t="s">
        <v>1007</v>
      </c>
    </row>
    <row r="19956" spans="1:10" x14ac:dyDescent="0.2">
      <c r="A19956" s="859">
        <f t="shared" si="453"/>
        <v>19955</v>
      </c>
      <c r="B19956" s="845" t="s">
        <v>2568</v>
      </c>
      <c r="D19956" s="862"/>
      <c r="I19956" s="845" t="s">
        <v>1008</v>
      </c>
    </row>
    <row r="19957" spans="1:10" x14ac:dyDescent="0.2">
      <c r="A19957" s="859">
        <f t="shared" si="453"/>
        <v>19956</v>
      </c>
      <c r="B19957" s="845" t="s">
        <v>2568</v>
      </c>
      <c r="D19957" s="863"/>
      <c r="J19957" s="845" t="s">
        <v>2535</v>
      </c>
    </row>
    <row r="19958" spans="1:10" x14ac:dyDescent="0.2">
      <c r="A19958" s="859">
        <f t="shared" si="453"/>
        <v>19957</v>
      </c>
      <c r="B19958" s="845" t="s">
        <v>2568</v>
      </c>
      <c r="D19958" s="862"/>
      <c r="I19958" s="845" t="s">
        <v>1009</v>
      </c>
    </row>
    <row r="19959" spans="1:10" x14ac:dyDescent="0.2">
      <c r="A19959" s="859">
        <f t="shared" si="453"/>
        <v>19958</v>
      </c>
      <c r="B19959" s="845" t="s">
        <v>2568</v>
      </c>
      <c r="D19959" s="862"/>
      <c r="I19959" s="845" t="str">
        <f>CONCATENATE("&lt;valeur&gt;",Cellule_1842,"&lt;/valeur&gt;")</f>
        <v>&lt;valeur&gt;0&lt;/valeur&gt;</v>
      </c>
    </row>
    <row r="19960" spans="1:10" x14ac:dyDescent="0.2">
      <c r="A19960" s="859">
        <f t="shared" si="453"/>
        <v>19959</v>
      </c>
      <c r="B19960" s="845" t="s">
        <v>2568</v>
      </c>
      <c r="D19960" s="861"/>
      <c r="H19960" s="845" t="s">
        <v>1010</v>
      </c>
    </row>
    <row r="19961" spans="1:10" x14ac:dyDescent="0.2">
      <c r="A19961" s="859">
        <f t="shared" si="453"/>
        <v>19960</v>
      </c>
      <c r="B19961" s="845" t="s">
        <v>2568</v>
      </c>
      <c r="D19961" s="861"/>
      <c r="H19961" s="845" t="s">
        <v>1007</v>
      </c>
    </row>
    <row r="19962" spans="1:10" x14ac:dyDescent="0.2">
      <c r="A19962" s="859">
        <f t="shared" si="453"/>
        <v>19961</v>
      </c>
      <c r="B19962" s="845" t="s">
        <v>2568</v>
      </c>
      <c r="D19962" s="862"/>
      <c r="I19962" s="845" t="s">
        <v>1008</v>
      </c>
    </row>
    <row r="19963" spans="1:10" x14ac:dyDescent="0.2">
      <c r="A19963" s="859">
        <f t="shared" si="453"/>
        <v>19962</v>
      </c>
      <c r="B19963" s="845" t="s">
        <v>2568</v>
      </c>
      <c r="D19963" s="863"/>
      <c r="J19963" s="845" t="s">
        <v>2536</v>
      </c>
    </row>
    <row r="19964" spans="1:10" x14ac:dyDescent="0.2">
      <c r="A19964" s="859">
        <f t="shared" si="453"/>
        <v>19963</v>
      </c>
      <c r="B19964" s="845" t="s">
        <v>2568</v>
      </c>
      <c r="D19964" s="862"/>
      <c r="I19964" s="845" t="s">
        <v>1009</v>
      </c>
    </row>
    <row r="19965" spans="1:10" x14ac:dyDescent="0.2">
      <c r="A19965" s="859">
        <f t="shared" si="453"/>
        <v>19964</v>
      </c>
      <c r="B19965" s="845" t="s">
        <v>2568</v>
      </c>
      <c r="D19965" s="862"/>
      <c r="I19965" s="845" t="str">
        <f>CONCATENATE("&lt;valeur&gt;",Cellule_1859,"&lt;/valeur&gt;")</f>
        <v>&lt;valeur&gt;0&lt;/valeur&gt;</v>
      </c>
    </row>
    <row r="19966" spans="1:10" x14ac:dyDescent="0.2">
      <c r="A19966" s="859">
        <f t="shared" si="453"/>
        <v>19965</v>
      </c>
      <c r="B19966" s="845" t="s">
        <v>2568</v>
      </c>
      <c r="D19966" s="861"/>
      <c r="H19966" s="845" t="s">
        <v>1010</v>
      </c>
    </row>
    <row r="19967" spans="1:10" x14ac:dyDescent="0.2">
      <c r="A19967" s="859">
        <f t="shared" si="453"/>
        <v>19966</v>
      </c>
      <c r="B19967" s="845" t="s">
        <v>2568</v>
      </c>
      <c r="D19967" s="861"/>
      <c r="H19967" s="845" t="s">
        <v>1007</v>
      </c>
    </row>
    <row r="19968" spans="1:10" x14ac:dyDescent="0.2">
      <c r="A19968" s="859">
        <f t="shared" si="453"/>
        <v>19967</v>
      </c>
      <c r="B19968" s="845" t="s">
        <v>2568</v>
      </c>
      <c r="D19968" s="862"/>
      <c r="I19968" s="845" t="s">
        <v>1008</v>
      </c>
    </row>
    <row r="19969" spans="1:10" x14ac:dyDescent="0.2">
      <c r="A19969" s="859">
        <f t="shared" si="453"/>
        <v>19968</v>
      </c>
      <c r="B19969" s="845" t="s">
        <v>2568</v>
      </c>
      <c r="D19969" s="863"/>
      <c r="J19969" s="845" t="s">
        <v>2537</v>
      </c>
    </row>
    <row r="19970" spans="1:10" x14ac:dyDescent="0.2">
      <c r="A19970" s="859">
        <f t="shared" si="453"/>
        <v>19969</v>
      </c>
      <c r="B19970" s="845" t="s">
        <v>2568</v>
      </c>
      <c r="D19970" s="862"/>
      <c r="I19970" s="845" t="s">
        <v>1009</v>
      </c>
    </row>
    <row r="19971" spans="1:10" x14ac:dyDescent="0.2">
      <c r="A19971" s="859">
        <f t="shared" si="453"/>
        <v>19970</v>
      </c>
      <c r="B19971" s="845" t="s">
        <v>2568</v>
      </c>
      <c r="D19971" s="862"/>
      <c r="I19971" s="845" t="str">
        <f>CONCATENATE("&lt;valeur&gt;",Cellule_1867,"&lt;/valeur&gt;")</f>
        <v>&lt;valeur&gt;0&lt;/valeur&gt;</v>
      </c>
    </row>
    <row r="19972" spans="1:10" x14ac:dyDescent="0.2">
      <c r="A19972" s="859">
        <f t="shared" ref="A19972:A20035" si="454">+A19971+1</f>
        <v>19971</v>
      </c>
      <c r="B19972" s="845" t="s">
        <v>2568</v>
      </c>
      <c r="D19972" s="861"/>
      <c r="H19972" s="845" t="s">
        <v>1010</v>
      </c>
    </row>
    <row r="19973" spans="1:10" x14ac:dyDescent="0.2">
      <c r="A19973" s="859">
        <f t="shared" si="454"/>
        <v>19972</v>
      </c>
      <c r="B19973" s="845" t="s">
        <v>2568</v>
      </c>
      <c r="D19973" s="861"/>
      <c r="H19973" s="845" t="s">
        <v>1007</v>
      </c>
    </row>
    <row r="19974" spans="1:10" x14ac:dyDescent="0.2">
      <c r="A19974" s="859">
        <f t="shared" si="454"/>
        <v>19973</v>
      </c>
      <c r="B19974" s="845" t="s">
        <v>2568</v>
      </c>
      <c r="D19974" s="862"/>
      <c r="I19974" s="845" t="s">
        <v>1008</v>
      </c>
    </row>
    <row r="19975" spans="1:10" x14ac:dyDescent="0.2">
      <c r="A19975" s="859">
        <f t="shared" si="454"/>
        <v>19974</v>
      </c>
      <c r="B19975" s="845" t="s">
        <v>2568</v>
      </c>
      <c r="D19975" s="863"/>
      <c r="J19975" s="845" t="s">
        <v>2538</v>
      </c>
    </row>
    <row r="19976" spans="1:10" x14ac:dyDescent="0.2">
      <c r="A19976" s="859">
        <f t="shared" si="454"/>
        <v>19975</v>
      </c>
      <c r="B19976" s="845" t="s">
        <v>2568</v>
      </c>
      <c r="D19976" s="862"/>
      <c r="I19976" s="845" t="s">
        <v>1009</v>
      </c>
    </row>
    <row r="19977" spans="1:10" x14ac:dyDescent="0.2">
      <c r="A19977" s="859">
        <f t="shared" si="454"/>
        <v>19976</v>
      </c>
      <c r="B19977" s="845" t="s">
        <v>2568</v>
      </c>
      <c r="D19977" s="862"/>
      <c r="I19977" s="845" t="str">
        <f>CONCATENATE("&lt;valeur&gt;",Cellule_1875,"&lt;/valeur&gt;")</f>
        <v>&lt;valeur&gt;0&lt;/valeur&gt;</v>
      </c>
    </row>
    <row r="19978" spans="1:10" x14ac:dyDescent="0.2">
      <c r="A19978" s="859">
        <f t="shared" si="454"/>
        <v>19977</v>
      </c>
      <c r="B19978" s="845" t="s">
        <v>2568</v>
      </c>
      <c r="D19978" s="861"/>
      <c r="H19978" s="845" t="s">
        <v>1010</v>
      </c>
    </row>
    <row r="19979" spans="1:10" x14ac:dyDescent="0.2">
      <c r="A19979" s="859">
        <f t="shared" si="454"/>
        <v>19978</v>
      </c>
      <c r="B19979" s="845" t="s">
        <v>2568</v>
      </c>
      <c r="D19979" s="861"/>
      <c r="H19979" s="845" t="s">
        <v>1007</v>
      </c>
    </row>
    <row r="19980" spans="1:10" x14ac:dyDescent="0.2">
      <c r="A19980" s="859">
        <f t="shared" si="454"/>
        <v>19979</v>
      </c>
      <c r="B19980" s="845" t="s">
        <v>2568</v>
      </c>
      <c r="D19980" s="862"/>
      <c r="I19980" s="845" t="s">
        <v>1008</v>
      </c>
    </row>
    <row r="19981" spans="1:10" x14ac:dyDescent="0.2">
      <c r="A19981" s="859">
        <f t="shared" si="454"/>
        <v>19980</v>
      </c>
      <c r="B19981" s="845" t="s">
        <v>2568</v>
      </c>
      <c r="D19981" s="863"/>
      <c r="J19981" s="845" t="s">
        <v>2539</v>
      </c>
    </row>
    <row r="19982" spans="1:10" x14ac:dyDescent="0.2">
      <c r="A19982" s="859">
        <f t="shared" si="454"/>
        <v>19981</v>
      </c>
      <c r="B19982" s="845" t="s">
        <v>2568</v>
      </c>
      <c r="D19982" s="862"/>
      <c r="I19982" s="845" t="s">
        <v>1009</v>
      </c>
    </row>
    <row r="19983" spans="1:10" x14ac:dyDescent="0.2">
      <c r="A19983" s="859">
        <f t="shared" si="454"/>
        <v>19982</v>
      </c>
      <c r="B19983" s="845" t="s">
        <v>2568</v>
      </c>
      <c r="D19983" s="862"/>
      <c r="I19983" s="845" t="str">
        <f>CONCATENATE("&lt;valeur&gt;",Cellule_1892,"&lt;/valeur&gt;")</f>
        <v>&lt;valeur&gt;0&lt;/valeur&gt;</v>
      </c>
    </row>
    <row r="19984" spans="1:10" x14ac:dyDescent="0.2">
      <c r="A19984" s="859">
        <f t="shared" si="454"/>
        <v>19983</v>
      </c>
      <c r="B19984" s="845" t="s">
        <v>2568</v>
      </c>
      <c r="D19984" s="861"/>
      <c r="H19984" s="845" t="s">
        <v>1010</v>
      </c>
    </row>
    <row r="19985" spans="1:10" x14ac:dyDescent="0.2">
      <c r="A19985" s="859">
        <f t="shared" si="454"/>
        <v>19984</v>
      </c>
      <c r="B19985" s="845" t="s">
        <v>2568</v>
      </c>
      <c r="D19985" s="861"/>
      <c r="G19985" s="845" t="s">
        <v>1011</v>
      </c>
    </row>
    <row r="19986" spans="1:10" x14ac:dyDescent="0.2">
      <c r="A19986" s="859">
        <f t="shared" si="454"/>
        <v>19985</v>
      </c>
      <c r="B19986" s="845" t="s">
        <v>2568</v>
      </c>
      <c r="D19986" s="863"/>
      <c r="G19986" s="845" t="s">
        <v>1012</v>
      </c>
    </row>
    <row r="19987" spans="1:10" x14ac:dyDescent="0.2">
      <c r="A19987" s="859">
        <f t="shared" si="454"/>
        <v>19986</v>
      </c>
      <c r="B19987" s="845" t="s">
        <v>2568</v>
      </c>
      <c r="D19987" s="862"/>
      <c r="G19987" s="845" t="s">
        <v>1013</v>
      </c>
    </row>
    <row r="19988" spans="1:10" x14ac:dyDescent="0.2">
      <c r="A19988" s="859">
        <f t="shared" si="454"/>
        <v>19987</v>
      </c>
      <c r="B19988" s="845" t="s">
        <v>2568</v>
      </c>
      <c r="D19988" s="862"/>
      <c r="F19988" s="845" t="s">
        <v>1014</v>
      </c>
    </row>
    <row r="19989" spans="1:10" x14ac:dyDescent="0.2">
      <c r="A19989" s="859">
        <f t="shared" si="454"/>
        <v>19988</v>
      </c>
      <c r="B19989" s="845" t="s">
        <v>2679</v>
      </c>
      <c r="D19989" s="862"/>
      <c r="F19989" s="845" t="s">
        <v>1005</v>
      </c>
    </row>
    <row r="19990" spans="1:10" x14ac:dyDescent="0.2">
      <c r="A19990" s="859">
        <f t="shared" si="454"/>
        <v>19989</v>
      </c>
      <c r="B19990" s="845" t="s">
        <v>2679</v>
      </c>
      <c r="D19990" s="862"/>
      <c r="G19990" s="845" t="s">
        <v>2680</v>
      </c>
    </row>
    <row r="19991" spans="1:10" x14ac:dyDescent="0.2">
      <c r="A19991" s="859">
        <f t="shared" si="454"/>
        <v>19990</v>
      </c>
      <c r="B19991" s="845" t="s">
        <v>2679</v>
      </c>
      <c r="D19991" s="862"/>
      <c r="G19991" s="845" t="s">
        <v>1006</v>
      </c>
    </row>
    <row r="19992" spans="1:10" x14ac:dyDescent="0.2">
      <c r="A19992" s="859">
        <f t="shared" si="454"/>
        <v>19991</v>
      </c>
      <c r="B19992" s="845" t="s">
        <v>2679</v>
      </c>
      <c r="D19992" s="862"/>
      <c r="H19992" s="845" t="s">
        <v>1007</v>
      </c>
    </row>
    <row r="19993" spans="1:10" x14ac:dyDescent="0.2">
      <c r="A19993" s="859">
        <f t="shared" si="454"/>
        <v>19992</v>
      </c>
      <c r="B19993" s="845" t="s">
        <v>2679</v>
      </c>
      <c r="D19993" s="862"/>
      <c r="I19993" s="845" t="s">
        <v>1008</v>
      </c>
    </row>
    <row r="19994" spans="1:10" x14ac:dyDescent="0.2">
      <c r="A19994" s="859">
        <f t="shared" si="454"/>
        <v>19993</v>
      </c>
      <c r="B19994" s="845" t="s">
        <v>2679</v>
      </c>
      <c r="D19994" s="862"/>
      <c r="J19994" s="845" t="s">
        <v>2681</v>
      </c>
    </row>
    <row r="19995" spans="1:10" x14ac:dyDescent="0.2">
      <c r="A19995" s="859">
        <f t="shared" si="454"/>
        <v>19994</v>
      </c>
      <c r="B19995" s="845" t="s">
        <v>2679</v>
      </c>
      <c r="D19995" s="862"/>
      <c r="I19995" s="845" t="s">
        <v>1009</v>
      </c>
    </row>
    <row r="19996" spans="1:10" x14ac:dyDescent="0.2">
      <c r="A19996" s="859">
        <f t="shared" si="454"/>
        <v>19995</v>
      </c>
      <c r="B19996" s="845" t="s">
        <v>2679</v>
      </c>
      <c r="D19996" s="862"/>
      <c r="I19996" s="845" t="str">
        <f>CONCATENATE("&lt;valeur&gt;",Cellule_14068,"&lt;/valeur&gt;")</f>
        <v>&lt;valeur&gt;&lt;/valeur&gt;</v>
      </c>
    </row>
    <row r="19997" spans="1:10" x14ac:dyDescent="0.2">
      <c r="A19997" s="859">
        <f t="shared" si="454"/>
        <v>19996</v>
      </c>
      <c r="B19997" s="845" t="s">
        <v>2679</v>
      </c>
      <c r="D19997" s="862"/>
      <c r="H19997" s="845" t="s">
        <v>1010</v>
      </c>
    </row>
    <row r="19998" spans="1:10" x14ac:dyDescent="0.2">
      <c r="A19998" s="859">
        <f t="shared" si="454"/>
        <v>19997</v>
      </c>
      <c r="B19998" s="845" t="s">
        <v>2679</v>
      </c>
      <c r="D19998" s="862"/>
      <c r="H19998" s="845" t="s">
        <v>1007</v>
      </c>
    </row>
    <row r="19999" spans="1:10" x14ac:dyDescent="0.2">
      <c r="A19999" s="859">
        <f t="shared" si="454"/>
        <v>19998</v>
      </c>
      <c r="B19999" s="845" t="s">
        <v>2679</v>
      </c>
      <c r="D19999" s="862"/>
      <c r="I19999" s="845" t="s">
        <v>1008</v>
      </c>
    </row>
    <row r="20000" spans="1:10" x14ac:dyDescent="0.2">
      <c r="A20000" s="859">
        <f t="shared" si="454"/>
        <v>19999</v>
      </c>
      <c r="B20000" s="845" t="s">
        <v>2679</v>
      </c>
      <c r="D20000" s="862"/>
      <c r="J20000" s="845" t="s">
        <v>2682</v>
      </c>
    </row>
    <row r="20001" spans="1:10" x14ac:dyDescent="0.2">
      <c r="A20001" s="859">
        <f t="shared" si="454"/>
        <v>20000</v>
      </c>
      <c r="B20001" s="845" t="s">
        <v>2679</v>
      </c>
      <c r="D20001" s="862"/>
      <c r="I20001" s="845" t="s">
        <v>1009</v>
      </c>
    </row>
    <row r="20002" spans="1:10" x14ac:dyDescent="0.2">
      <c r="A20002" s="859">
        <f t="shared" si="454"/>
        <v>20001</v>
      </c>
      <c r="B20002" s="845" t="s">
        <v>2679</v>
      </c>
      <c r="D20002" s="862"/>
      <c r="I20002" s="845" t="str">
        <f>CONCATENATE("&lt;valeur&gt;",Cellule_14071,"&lt;/valeur&gt;")</f>
        <v>&lt;valeur&gt;&lt;/valeur&gt;</v>
      </c>
    </row>
    <row r="20003" spans="1:10" x14ac:dyDescent="0.2">
      <c r="A20003" s="859">
        <f t="shared" si="454"/>
        <v>20002</v>
      </c>
      <c r="B20003" s="845" t="s">
        <v>2679</v>
      </c>
      <c r="D20003" s="862"/>
      <c r="H20003" s="845" t="s">
        <v>1010</v>
      </c>
    </row>
    <row r="20004" spans="1:10" x14ac:dyDescent="0.2">
      <c r="A20004" s="859">
        <f t="shared" si="454"/>
        <v>20003</v>
      </c>
      <c r="B20004" s="845" t="s">
        <v>2679</v>
      </c>
      <c r="D20004" s="862"/>
      <c r="H20004" s="845" t="s">
        <v>1007</v>
      </c>
    </row>
    <row r="20005" spans="1:10" x14ac:dyDescent="0.2">
      <c r="A20005" s="859">
        <f t="shared" si="454"/>
        <v>20004</v>
      </c>
      <c r="B20005" s="845" t="s">
        <v>2679</v>
      </c>
      <c r="D20005" s="862"/>
      <c r="I20005" s="845" t="s">
        <v>1008</v>
      </c>
    </row>
    <row r="20006" spans="1:10" x14ac:dyDescent="0.2">
      <c r="A20006" s="859">
        <f t="shared" si="454"/>
        <v>20005</v>
      </c>
      <c r="B20006" s="845" t="s">
        <v>2679</v>
      </c>
      <c r="D20006" s="862"/>
      <c r="J20006" s="845" t="s">
        <v>2683</v>
      </c>
    </row>
    <row r="20007" spans="1:10" x14ac:dyDescent="0.2">
      <c r="A20007" s="859">
        <f t="shared" si="454"/>
        <v>20006</v>
      </c>
      <c r="B20007" s="845" t="s">
        <v>2679</v>
      </c>
      <c r="D20007" s="862"/>
      <c r="I20007" s="845" t="s">
        <v>1009</v>
      </c>
    </row>
    <row r="20008" spans="1:10" x14ac:dyDescent="0.2">
      <c r="A20008" s="859">
        <f t="shared" si="454"/>
        <v>20007</v>
      </c>
      <c r="B20008" s="845" t="s">
        <v>2679</v>
      </c>
      <c r="D20008" s="862"/>
      <c r="I20008" s="845" t="str">
        <f>CONCATENATE("&lt;valeur&gt;",Cellule_14074,"&lt;/valeur&gt;")</f>
        <v>&lt;valeur&gt;&lt;/valeur&gt;</v>
      </c>
    </row>
    <row r="20009" spans="1:10" x14ac:dyDescent="0.2">
      <c r="A20009" s="859">
        <f t="shared" si="454"/>
        <v>20008</v>
      </c>
      <c r="B20009" s="845" t="s">
        <v>2679</v>
      </c>
      <c r="D20009" s="862"/>
      <c r="H20009" s="845" t="s">
        <v>1010</v>
      </c>
    </row>
    <row r="20010" spans="1:10" x14ac:dyDescent="0.2">
      <c r="A20010" s="859">
        <f t="shared" si="454"/>
        <v>20009</v>
      </c>
      <c r="B20010" s="845" t="s">
        <v>2679</v>
      </c>
      <c r="D20010" s="862"/>
      <c r="H20010" s="845" t="s">
        <v>1007</v>
      </c>
    </row>
    <row r="20011" spans="1:10" x14ac:dyDescent="0.2">
      <c r="A20011" s="859">
        <f t="shared" si="454"/>
        <v>20010</v>
      </c>
      <c r="B20011" s="845" t="s">
        <v>2679</v>
      </c>
      <c r="D20011" s="862"/>
      <c r="I20011" s="845" t="s">
        <v>1008</v>
      </c>
    </row>
    <row r="20012" spans="1:10" x14ac:dyDescent="0.2">
      <c r="A20012" s="859">
        <f t="shared" si="454"/>
        <v>20011</v>
      </c>
      <c r="B20012" s="845" t="s">
        <v>2679</v>
      </c>
      <c r="D20012" s="862"/>
      <c r="J20012" s="845" t="s">
        <v>2684</v>
      </c>
    </row>
    <row r="20013" spans="1:10" x14ac:dyDescent="0.2">
      <c r="A20013" s="859">
        <f t="shared" si="454"/>
        <v>20012</v>
      </c>
      <c r="B20013" s="845" t="s">
        <v>2679</v>
      </c>
      <c r="D20013" s="862"/>
      <c r="I20013" s="845" t="s">
        <v>1009</v>
      </c>
    </row>
    <row r="20014" spans="1:10" x14ac:dyDescent="0.2">
      <c r="A20014" s="859">
        <f t="shared" si="454"/>
        <v>20013</v>
      </c>
      <c r="B20014" s="845" t="s">
        <v>2679</v>
      </c>
      <c r="D20014" s="862"/>
      <c r="I20014" s="845" t="str">
        <f>CONCATENATE("&lt;valeur&gt;",Cellule_14077,"&lt;/valeur&gt;")</f>
        <v>&lt;valeur&gt;&lt;/valeur&gt;</v>
      </c>
    </row>
    <row r="20015" spans="1:10" x14ac:dyDescent="0.2">
      <c r="A20015" s="859">
        <f t="shared" si="454"/>
        <v>20014</v>
      </c>
      <c r="B20015" s="845" t="s">
        <v>2679</v>
      </c>
      <c r="D20015" s="862"/>
      <c r="H20015" s="845" t="s">
        <v>1010</v>
      </c>
    </row>
    <row r="20016" spans="1:10" x14ac:dyDescent="0.2">
      <c r="A20016" s="859">
        <f t="shared" si="454"/>
        <v>20015</v>
      </c>
      <c r="B20016" s="845" t="s">
        <v>2679</v>
      </c>
      <c r="D20016" s="862"/>
      <c r="H20016" s="845" t="s">
        <v>1007</v>
      </c>
    </row>
    <row r="20017" spans="1:10" x14ac:dyDescent="0.2">
      <c r="A20017" s="859">
        <f t="shared" si="454"/>
        <v>20016</v>
      </c>
      <c r="B20017" s="845" t="s">
        <v>2679</v>
      </c>
      <c r="D20017" s="862"/>
      <c r="I20017" s="845" t="s">
        <v>1008</v>
      </c>
    </row>
    <row r="20018" spans="1:10" x14ac:dyDescent="0.2">
      <c r="A20018" s="859">
        <f t="shared" si="454"/>
        <v>20017</v>
      </c>
      <c r="B20018" s="845" t="s">
        <v>2679</v>
      </c>
      <c r="D20018" s="862"/>
      <c r="J20018" s="845" t="s">
        <v>2685</v>
      </c>
    </row>
    <row r="20019" spans="1:10" x14ac:dyDescent="0.2">
      <c r="A20019" s="859">
        <f t="shared" si="454"/>
        <v>20018</v>
      </c>
      <c r="B20019" s="845" t="s">
        <v>2679</v>
      </c>
      <c r="D20019" s="862"/>
      <c r="I20019" s="845" t="s">
        <v>1009</v>
      </c>
    </row>
    <row r="20020" spans="1:10" x14ac:dyDescent="0.2">
      <c r="A20020" s="859">
        <f t="shared" si="454"/>
        <v>20019</v>
      </c>
      <c r="B20020" s="845" t="s">
        <v>2679</v>
      </c>
      <c r="D20020" s="862"/>
      <c r="I20020" s="845" t="str">
        <f>CONCATENATE("&lt;valeur&gt;",Cellule_14080,"&lt;/valeur&gt;")</f>
        <v>&lt;valeur&gt;&lt;/valeur&gt;</v>
      </c>
    </row>
    <row r="20021" spans="1:10" x14ac:dyDescent="0.2">
      <c r="A20021" s="859">
        <f t="shared" si="454"/>
        <v>20020</v>
      </c>
      <c r="B20021" s="845" t="s">
        <v>2679</v>
      </c>
      <c r="D20021" s="862"/>
      <c r="H20021" s="845" t="s">
        <v>1010</v>
      </c>
    </row>
    <row r="20022" spans="1:10" x14ac:dyDescent="0.2">
      <c r="A20022" s="859">
        <f t="shared" si="454"/>
        <v>20021</v>
      </c>
      <c r="B20022" s="845" t="s">
        <v>2679</v>
      </c>
      <c r="D20022" s="862"/>
      <c r="H20022" s="845" t="s">
        <v>1007</v>
      </c>
    </row>
    <row r="20023" spans="1:10" x14ac:dyDescent="0.2">
      <c r="A20023" s="859">
        <f t="shared" si="454"/>
        <v>20022</v>
      </c>
      <c r="B20023" s="845" t="s">
        <v>2679</v>
      </c>
      <c r="D20023" s="862"/>
      <c r="I20023" s="845" t="s">
        <v>1008</v>
      </c>
    </row>
    <row r="20024" spans="1:10" x14ac:dyDescent="0.2">
      <c r="A20024" s="859">
        <f t="shared" si="454"/>
        <v>20023</v>
      </c>
      <c r="B20024" s="845" t="s">
        <v>2679</v>
      </c>
      <c r="D20024" s="862"/>
      <c r="J20024" s="845" t="s">
        <v>2686</v>
      </c>
    </row>
    <row r="20025" spans="1:10" x14ac:dyDescent="0.2">
      <c r="A20025" s="859">
        <f t="shared" si="454"/>
        <v>20024</v>
      </c>
      <c r="B20025" s="845" t="s">
        <v>2679</v>
      </c>
      <c r="D20025" s="862"/>
      <c r="I20025" s="845" t="s">
        <v>1009</v>
      </c>
    </row>
    <row r="20026" spans="1:10" x14ac:dyDescent="0.2">
      <c r="A20026" s="859">
        <f t="shared" si="454"/>
        <v>20025</v>
      </c>
      <c r="B20026" s="845" t="s">
        <v>2679</v>
      </c>
      <c r="D20026" s="862"/>
      <c r="I20026" s="845" t="str">
        <f>CONCATENATE("&lt;valeur&gt;",Cellule_14083,"&lt;/valeur&gt;")</f>
        <v>&lt;valeur&gt;&lt;/valeur&gt;</v>
      </c>
    </row>
    <row r="20027" spans="1:10" x14ac:dyDescent="0.2">
      <c r="A20027" s="859">
        <f t="shared" si="454"/>
        <v>20026</v>
      </c>
      <c r="B20027" s="845" t="s">
        <v>2679</v>
      </c>
      <c r="D20027" s="862"/>
      <c r="H20027" s="845" t="s">
        <v>1010</v>
      </c>
    </row>
    <row r="20028" spans="1:10" x14ac:dyDescent="0.2">
      <c r="A20028" s="859">
        <f t="shared" si="454"/>
        <v>20027</v>
      </c>
      <c r="B20028" s="845" t="s">
        <v>2679</v>
      </c>
      <c r="D20028" s="862"/>
      <c r="H20028" s="845" t="s">
        <v>1007</v>
      </c>
    </row>
    <row r="20029" spans="1:10" x14ac:dyDescent="0.2">
      <c r="A20029" s="859">
        <f t="shared" si="454"/>
        <v>20028</v>
      </c>
      <c r="B20029" s="845" t="s">
        <v>2679</v>
      </c>
      <c r="D20029" s="862"/>
      <c r="I20029" s="845" t="s">
        <v>1008</v>
      </c>
    </row>
    <row r="20030" spans="1:10" x14ac:dyDescent="0.2">
      <c r="A20030" s="859">
        <f t="shared" si="454"/>
        <v>20029</v>
      </c>
      <c r="B20030" s="845" t="s">
        <v>2679</v>
      </c>
      <c r="D20030" s="862"/>
      <c r="J20030" s="845" t="s">
        <v>2687</v>
      </c>
    </row>
    <row r="20031" spans="1:10" x14ac:dyDescent="0.2">
      <c r="A20031" s="859">
        <f t="shared" si="454"/>
        <v>20030</v>
      </c>
      <c r="B20031" s="845" t="s">
        <v>2679</v>
      </c>
      <c r="D20031" s="862"/>
      <c r="I20031" s="845" t="s">
        <v>1009</v>
      </c>
    </row>
    <row r="20032" spans="1:10" x14ac:dyDescent="0.2">
      <c r="A20032" s="859">
        <f t="shared" si="454"/>
        <v>20031</v>
      </c>
      <c r="B20032" s="845" t="s">
        <v>2679</v>
      </c>
      <c r="D20032" s="862"/>
      <c r="I20032" s="845" t="str">
        <f>CONCATENATE("&lt;valeur&gt;",Cellule_14069,"&lt;/valeur&gt;")</f>
        <v>&lt;valeur&gt;&lt;/valeur&gt;</v>
      </c>
    </row>
    <row r="20033" spans="1:10" x14ac:dyDescent="0.2">
      <c r="A20033" s="859">
        <f t="shared" si="454"/>
        <v>20032</v>
      </c>
      <c r="B20033" s="845" t="s">
        <v>2679</v>
      </c>
      <c r="D20033" s="862"/>
      <c r="H20033" s="845" t="s">
        <v>1010</v>
      </c>
    </row>
    <row r="20034" spans="1:10" x14ac:dyDescent="0.2">
      <c r="A20034" s="859">
        <f t="shared" si="454"/>
        <v>20033</v>
      </c>
      <c r="B20034" s="845" t="s">
        <v>2679</v>
      </c>
      <c r="D20034" s="862"/>
      <c r="H20034" s="845" t="s">
        <v>1007</v>
      </c>
    </row>
    <row r="20035" spans="1:10" x14ac:dyDescent="0.2">
      <c r="A20035" s="859">
        <f t="shared" si="454"/>
        <v>20034</v>
      </c>
      <c r="B20035" s="845" t="s">
        <v>2679</v>
      </c>
      <c r="D20035" s="862"/>
      <c r="I20035" s="845" t="s">
        <v>1008</v>
      </c>
    </row>
    <row r="20036" spans="1:10" x14ac:dyDescent="0.2">
      <c r="A20036" s="859">
        <f t="shared" ref="A20036:A20099" si="455">+A20035+1</f>
        <v>20035</v>
      </c>
      <c r="B20036" s="845" t="s">
        <v>2679</v>
      </c>
      <c r="D20036" s="862"/>
      <c r="J20036" s="845" t="s">
        <v>2688</v>
      </c>
    </row>
    <row r="20037" spans="1:10" x14ac:dyDescent="0.2">
      <c r="A20037" s="859">
        <f t="shared" si="455"/>
        <v>20036</v>
      </c>
      <c r="B20037" s="845" t="s">
        <v>2679</v>
      </c>
      <c r="D20037" s="862"/>
      <c r="I20037" s="845" t="s">
        <v>1009</v>
      </c>
    </row>
    <row r="20038" spans="1:10" x14ac:dyDescent="0.2">
      <c r="A20038" s="859">
        <f t="shared" si="455"/>
        <v>20037</v>
      </c>
      <c r="B20038" s="845" t="s">
        <v>2679</v>
      </c>
      <c r="D20038" s="862"/>
      <c r="I20038" s="845" t="str">
        <f>CONCATENATE("&lt;valeur&gt;",Cellule_14072,"&lt;/valeur&gt;")</f>
        <v>&lt;valeur&gt;&lt;/valeur&gt;</v>
      </c>
    </row>
    <row r="20039" spans="1:10" x14ac:dyDescent="0.2">
      <c r="A20039" s="859">
        <f t="shared" si="455"/>
        <v>20038</v>
      </c>
      <c r="B20039" s="845" t="s">
        <v>2679</v>
      </c>
      <c r="D20039" s="862"/>
      <c r="H20039" s="845" t="s">
        <v>1010</v>
      </c>
    </row>
    <row r="20040" spans="1:10" x14ac:dyDescent="0.2">
      <c r="A20040" s="859">
        <f t="shared" si="455"/>
        <v>20039</v>
      </c>
      <c r="B20040" s="845" t="s">
        <v>2679</v>
      </c>
      <c r="D20040" s="862"/>
      <c r="H20040" s="845" t="s">
        <v>1007</v>
      </c>
    </row>
    <row r="20041" spans="1:10" x14ac:dyDescent="0.2">
      <c r="A20041" s="859">
        <f t="shared" si="455"/>
        <v>20040</v>
      </c>
      <c r="B20041" s="845" t="s">
        <v>2679</v>
      </c>
      <c r="D20041" s="862"/>
      <c r="I20041" s="845" t="s">
        <v>1008</v>
      </c>
    </row>
    <row r="20042" spans="1:10" x14ac:dyDescent="0.2">
      <c r="A20042" s="859">
        <f t="shared" si="455"/>
        <v>20041</v>
      </c>
      <c r="B20042" s="845" t="s">
        <v>2679</v>
      </c>
      <c r="D20042" s="862"/>
      <c r="J20042" s="845" t="s">
        <v>2689</v>
      </c>
    </row>
    <row r="20043" spans="1:10" x14ac:dyDescent="0.2">
      <c r="A20043" s="859">
        <f t="shared" si="455"/>
        <v>20042</v>
      </c>
      <c r="B20043" s="845" t="s">
        <v>2679</v>
      </c>
      <c r="D20043" s="862"/>
      <c r="I20043" s="845" t="s">
        <v>1009</v>
      </c>
    </row>
    <row r="20044" spans="1:10" x14ac:dyDescent="0.2">
      <c r="A20044" s="859">
        <f t="shared" si="455"/>
        <v>20043</v>
      </c>
      <c r="B20044" s="845" t="s">
        <v>2679</v>
      </c>
      <c r="D20044" s="862"/>
      <c r="I20044" s="845" t="str">
        <f>CONCATENATE("&lt;valeur&gt;",Cellule_14075,"&lt;/valeur&gt;")</f>
        <v>&lt;valeur&gt;&lt;/valeur&gt;</v>
      </c>
    </row>
    <row r="20045" spans="1:10" x14ac:dyDescent="0.2">
      <c r="A20045" s="859">
        <f t="shared" si="455"/>
        <v>20044</v>
      </c>
      <c r="B20045" s="845" t="s">
        <v>2679</v>
      </c>
      <c r="D20045" s="862"/>
      <c r="H20045" s="845" t="s">
        <v>1010</v>
      </c>
    </row>
    <row r="20046" spans="1:10" x14ac:dyDescent="0.2">
      <c r="A20046" s="859">
        <f t="shared" si="455"/>
        <v>20045</v>
      </c>
      <c r="B20046" s="845" t="s">
        <v>2679</v>
      </c>
      <c r="D20046" s="862"/>
      <c r="H20046" s="845" t="s">
        <v>1007</v>
      </c>
    </row>
    <row r="20047" spans="1:10" x14ac:dyDescent="0.2">
      <c r="A20047" s="859">
        <f t="shared" si="455"/>
        <v>20046</v>
      </c>
      <c r="B20047" s="845" t="s">
        <v>2679</v>
      </c>
      <c r="D20047" s="862"/>
      <c r="I20047" s="845" t="s">
        <v>1008</v>
      </c>
    </row>
    <row r="20048" spans="1:10" x14ac:dyDescent="0.2">
      <c r="A20048" s="859">
        <f t="shared" si="455"/>
        <v>20047</v>
      </c>
      <c r="B20048" s="845" t="s">
        <v>2679</v>
      </c>
      <c r="D20048" s="862"/>
      <c r="J20048" s="845" t="s">
        <v>2690</v>
      </c>
    </row>
    <row r="20049" spans="1:10" x14ac:dyDescent="0.2">
      <c r="A20049" s="859">
        <f t="shared" si="455"/>
        <v>20048</v>
      </c>
      <c r="B20049" s="845" t="s">
        <v>2679</v>
      </c>
      <c r="D20049" s="862"/>
      <c r="I20049" s="845" t="s">
        <v>1009</v>
      </c>
    </row>
    <row r="20050" spans="1:10" x14ac:dyDescent="0.2">
      <c r="A20050" s="859">
        <f t="shared" si="455"/>
        <v>20049</v>
      </c>
      <c r="B20050" s="845" t="s">
        <v>2679</v>
      </c>
      <c r="D20050" s="862"/>
      <c r="I20050" s="845" t="str">
        <f>CONCATENATE("&lt;valeur&gt;",Cellule_14078,"&lt;/valeur&gt;")</f>
        <v>&lt;valeur&gt;&lt;/valeur&gt;</v>
      </c>
    </row>
    <row r="20051" spans="1:10" x14ac:dyDescent="0.2">
      <c r="A20051" s="859">
        <f t="shared" si="455"/>
        <v>20050</v>
      </c>
      <c r="B20051" s="845" t="s">
        <v>2679</v>
      </c>
      <c r="D20051" s="862"/>
      <c r="H20051" s="845" t="s">
        <v>1010</v>
      </c>
    </row>
    <row r="20052" spans="1:10" x14ac:dyDescent="0.2">
      <c r="A20052" s="859">
        <f t="shared" si="455"/>
        <v>20051</v>
      </c>
      <c r="B20052" s="845" t="s">
        <v>2679</v>
      </c>
      <c r="D20052" s="862"/>
      <c r="H20052" s="845" t="s">
        <v>1007</v>
      </c>
    </row>
    <row r="20053" spans="1:10" x14ac:dyDescent="0.2">
      <c r="A20053" s="859">
        <f t="shared" si="455"/>
        <v>20052</v>
      </c>
      <c r="B20053" s="845" t="s">
        <v>2679</v>
      </c>
      <c r="D20053" s="862"/>
      <c r="I20053" s="845" t="s">
        <v>1008</v>
      </c>
    </row>
    <row r="20054" spans="1:10" x14ac:dyDescent="0.2">
      <c r="A20054" s="859">
        <f t="shared" si="455"/>
        <v>20053</v>
      </c>
      <c r="B20054" s="845" t="s">
        <v>2679</v>
      </c>
      <c r="D20054" s="862"/>
      <c r="J20054" s="845" t="s">
        <v>2691</v>
      </c>
    </row>
    <row r="20055" spans="1:10" x14ac:dyDescent="0.2">
      <c r="A20055" s="859">
        <f t="shared" si="455"/>
        <v>20054</v>
      </c>
      <c r="B20055" s="845" t="s">
        <v>2679</v>
      </c>
      <c r="D20055" s="862"/>
      <c r="I20055" s="845" t="s">
        <v>1009</v>
      </c>
    </row>
    <row r="20056" spans="1:10" x14ac:dyDescent="0.2">
      <c r="A20056" s="859">
        <f t="shared" si="455"/>
        <v>20055</v>
      </c>
      <c r="B20056" s="845" t="s">
        <v>2679</v>
      </c>
      <c r="D20056" s="862"/>
      <c r="I20056" s="845" t="str">
        <f>CONCATENATE("&lt;valeur&gt;",Cellule_14081,"&lt;/valeur&gt;")</f>
        <v>&lt;valeur&gt;&lt;/valeur&gt;</v>
      </c>
    </row>
    <row r="20057" spans="1:10" x14ac:dyDescent="0.2">
      <c r="A20057" s="859">
        <f t="shared" si="455"/>
        <v>20056</v>
      </c>
      <c r="B20057" s="845" t="s">
        <v>2679</v>
      </c>
      <c r="D20057" s="862"/>
      <c r="H20057" s="845" t="s">
        <v>1010</v>
      </c>
    </row>
    <row r="20058" spans="1:10" x14ac:dyDescent="0.2">
      <c r="A20058" s="859">
        <f t="shared" si="455"/>
        <v>20057</v>
      </c>
      <c r="B20058" s="845" t="s">
        <v>2679</v>
      </c>
      <c r="D20058" s="862"/>
      <c r="H20058" s="845" t="s">
        <v>1007</v>
      </c>
    </row>
    <row r="20059" spans="1:10" x14ac:dyDescent="0.2">
      <c r="A20059" s="859">
        <f t="shared" si="455"/>
        <v>20058</v>
      </c>
      <c r="B20059" s="845" t="s">
        <v>2679</v>
      </c>
      <c r="D20059" s="862"/>
      <c r="I20059" s="845" t="s">
        <v>1008</v>
      </c>
    </row>
    <row r="20060" spans="1:10" x14ac:dyDescent="0.2">
      <c r="A20060" s="859">
        <f t="shared" si="455"/>
        <v>20059</v>
      </c>
      <c r="B20060" s="845" t="s">
        <v>2679</v>
      </c>
      <c r="D20060" s="862"/>
      <c r="J20060" s="845" t="s">
        <v>2692</v>
      </c>
    </row>
    <row r="20061" spans="1:10" x14ac:dyDescent="0.2">
      <c r="A20061" s="859">
        <f t="shared" si="455"/>
        <v>20060</v>
      </c>
      <c r="B20061" s="845" t="s">
        <v>2679</v>
      </c>
      <c r="D20061" s="862"/>
      <c r="I20061" s="845" t="s">
        <v>1009</v>
      </c>
    </row>
    <row r="20062" spans="1:10" x14ac:dyDescent="0.2">
      <c r="A20062" s="859">
        <f t="shared" si="455"/>
        <v>20061</v>
      </c>
      <c r="B20062" s="845" t="s">
        <v>2679</v>
      </c>
      <c r="D20062" s="862"/>
      <c r="I20062" s="845" t="str">
        <f>CONCATENATE("&lt;valeur&gt;",Cellule_14084,"&lt;/valeur&gt;")</f>
        <v>&lt;valeur&gt;&lt;/valeur&gt;</v>
      </c>
    </row>
    <row r="20063" spans="1:10" x14ac:dyDescent="0.2">
      <c r="A20063" s="859">
        <f t="shared" si="455"/>
        <v>20062</v>
      </c>
      <c r="B20063" s="845" t="s">
        <v>2679</v>
      </c>
      <c r="D20063" s="862"/>
      <c r="H20063" s="845" t="s">
        <v>1010</v>
      </c>
    </row>
    <row r="20064" spans="1:10" x14ac:dyDescent="0.2">
      <c r="A20064" s="859">
        <f t="shared" si="455"/>
        <v>20063</v>
      </c>
      <c r="B20064" s="845" t="s">
        <v>2679</v>
      </c>
      <c r="D20064" s="862"/>
      <c r="H20064" s="845" t="s">
        <v>1007</v>
      </c>
    </row>
    <row r="20065" spans="1:10" x14ac:dyDescent="0.2">
      <c r="A20065" s="859">
        <f t="shared" si="455"/>
        <v>20064</v>
      </c>
      <c r="B20065" s="845" t="s">
        <v>2679</v>
      </c>
      <c r="D20065" s="862"/>
      <c r="I20065" s="845" t="s">
        <v>1008</v>
      </c>
    </row>
    <row r="20066" spans="1:10" x14ac:dyDescent="0.2">
      <c r="A20066" s="859">
        <f t="shared" si="455"/>
        <v>20065</v>
      </c>
      <c r="B20066" s="845" t="s">
        <v>2679</v>
      </c>
      <c r="D20066" s="862"/>
      <c r="J20066" s="845" t="s">
        <v>2693</v>
      </c>
    </row>
    <row r="20067" spans="1:10" x14ac:dyDescent="0.2">
      <c r="A20067" s="859">
        <f t="shared" si="455"/>
        <v>20066</v>
      </c>
      <c r="B20067" s="845" t="s">
        <v>2679</v>
      </c>
      <c r="D20067" s="862"/>
      <c r="I20067" s="845" t="s">
        <v>1009</v>
      </c>
    </row>
    <row r="20068" spans="1:10" x14ac:dyDescent="0.2">
      <c r="A20068" s="859">
        <f t="shared" si="455"/>
        <v>20067</v>
      </c>
      <c r="B20068" s="845" t="s">
        <v>2679</v>
      </c>
      <c r="D20068" s="862"/>
      <c r="I20068" s="845" t="str">
        <f>CONCATENATE("&lt;valeur&gt;",Cellule_14086,"&lt;/valeur&gt;")</f>
        <v>&lt;valeur&gt;0&lt;/valeur&gt;</v>
      </c>
    </row>
    <row r="20069" spans="1:10" x14ac:dyDescent="0.2">
      <c r="A20069" s="859">
        <f t="shared" si="455"/>
        <v>20068</v>
      </c>
      <c r="B20069" s="845" t="s">
        <v>2679</v>
      </c>
      <c r="D20069" s="862"/>
      <c r="H20069" s="845" t="s">
        <v>1010</v>
      </c>
    </row>
    <row r="20070" spans="1:10" x14ac:dyDescent="0.2">
      <c r="A20070" s="859">
        <f t="shared" si="455"/>
        <v>20069</v>
      </c>
      <c r="B20070" s="845" t="s">
        <v>2679</v>
      </c>
      <c r="D20070" s="862"/>
      <c r="H20070" s="845" t="s">
        <v>1007</v>
      </c>
    </row>
    <row r="20071" spans="1:10" x14ac:dyDescent="0.2">
      <c r="A20071" s="859">
        <f t="shared" si="455"/>
        <v>20070</v>
      </c>
      <c r="B20071" s="845" t="s">
        <v>2679</v>
      </c>
      <c r="D20071" s="862"/>
      <c r="I20071" s="845" t="s">
        <v>1008</v>
      </c>
    </row>
    <row r="20072" spans="1:10" x14ac:dyDescent="0.2">
      <c r="A20072" s="859">
        <f t="shared" si="455"/>
        <v>20071</v>
      </c>
      <c r="B20072" s="845" t="s">
        <v>2679</v>
      </c>
      <c r="D20072" s="862"/>
      <c r="J20072" s="845" t="s">
        <v>2694</v>
      </c>
    </row>
    <row r="20073" spans="1:10" x14ac:dyDescent="0.2">
      <c r="A20073" s="859">
        <f t="shared" si="455"/>
        <v>20072</v>
      </c>
      <c r="B20073" s="845" t="s">
        <v>2679</v>
      </c>
      <c r="D20073" s="862"/>
      <c r="I20073" s="845" t="s">
        <v>1009</v>
      </c>
    </row>
    <row r="20074" spans="1:10" x14ac:dyDescent="0.2">
      <c r="A20074" s="859">
        <f t="shared" si="455"/>
        <v>20073</v>
      </c>
      <c r="B20074" s="845" t="s">
        <v>2679</v>
      </c>
      <c r="D20074" s="862"/>
      <c r="I20074" s="845" t="str">
        <f>CONCATENATE("&lt;valeur&gt;",Cellule_16394,"&lt;/valeur&gt;")</f>
        <v>&lt;valeur&gt;&lt;/valeur&gt;</v>
      </c>
    </row>
    <row r="20075" spans="1:10" x14ac:dyDescent="0.2">
      <c r="A20075" s="859">
        <f t="shared" si="455"/>
        <v>20074</v>
      </c>
      <c r="B20075" s="845" t="s">
        <v>2679</v>
      </c>
      <c r="D20075" s="862"/>
      <c r="H20075" s="845" t="s">
        <v>1010</v>
      </c>
    </row>
    <row r="20076" spans="1:10" x14ac:dyDescent="0.2">
      <c r="A20076" s="859">
        <f t="shared" si="455"/>
        <v>20075</v>
      </c>
      <c r="B20076" s="845" t="s">
        <v>2679</v>
      </c>
      <c r="D20076" s="862"/>
      <c r="H20076" s="845" t="s">
        <v>1007</v>
      </c>
    </row>
    <row r="20077" spans="1:10" x14ac:dyDescent="0.2">
      <c r="A20077" s="859">
        <f t="shared" si="455"/>
        <v>20076</v>
      </c>
      <c r="B20077" s="845" t="s">
        <v>2679</v>
      </c>
      <c r="D20077" s="862"/>
      <c r="I20077" s="845" t="s">
        <v>1008</v>
      </c>
    </row>
    <row r="20078" spans="1:10" x14ac:dyDescent="0.2">
      <c r="A20078" s="859">
        <f t="shared" si="455"/>
        <v>20077</v>
      </c>
      <c r="B20078" s="845" t="s">
        <v>2679</v>
      </c>
      <c r="D20078" s="862"/>
      <c r="J20078" s="845" t="s">
        <v>2695</v>
      </c>
    </row>
    <row r="20079" spans="1:10" x14ac:dyDescent="0.2">
      <c r="A20079" s="859">
        <f t="shared" si="455"/>
        <v>20078</v>
      </c>
      <c r="B20079" s="845" t="s">
        <v>2679</v>
      </c>
      <c r="D20079" s="862"/>
      <c r="I20079" s="845" t="s">
        <v>1009</v>
      </c>
    </row>
    <row r="20080" spans="1:10" x14ac:dyDescent="0.2">
      <c r="A20080" s="859">
        <f t="shared" si="455"/>
        <v>20079</v>
      </c>
      <c r="B20080" s="845" t="s">
        <v>2679</v>
      </c>
      <c r="D20080" s="862"/>
      <c r="I20080" s="845" t="str">
        <f>CONCATENATE("&lt;valeur&gt;",Cellule_16397,"&lt;/valeur&gt;")</f>
        <v>&lt;valeur&gt;0&lt;/valeur&gt;</v>
      </c>
    </row>
    <row r="20081" spans="1:10" x14ac:dyDescent="0.2">
      <c r="A20081" s="859">
        <f t="shared" si="455"/>
        <v>20080</v>
      </c>
      <c r="B20081" s="845" t="s">
        <v>2679</v>
      </c>
      <c r="D20081" s="862"/>
      <c r="H20081" s="845" t="s">
        <v>1010</v>
      </c>
    </row>
    <row r="20082" spans="1:10" x14ac:dyDescent="0.2">
      <c r="A20082" s="859">
        <f t="shared" si="455"/>
        <v>20081</v>
      </c>
      <c r="B20082" s="845" t="s">
        <v>2679</v>
      </c>
      <c r="D20082" s="862"/>
      <c r="H20082" s="845" t="s">
        <v>1007</v>
      </c>
    </row>
    <row r="20083" spans="1:10" x14ac:dyDescent="0.2">
      <c r="A20083" s="859">
        <f t="shared" si="455"/>
        <v>20082</v>
      </c>
      <c r="B20083" s="845" t="s">
        <v>2679</v>
      </c>
      <c r="D20083" s="862"/>
      <c r="I20083" s="845" t="s">
        <v>1008</v>
      </c>
    </row>
    <row r="20084" spans="1:10" x14ac:dyDescent="0.2">
      <c r="A20084" s="859">
        <f t="shared" si="455"/>
        <v>20083</v>
      </c>
      <c r="B20084" s="845" t="s">
        <v>2679</v>
      </c>
      <c r="D20084" s="862"/>
      <c r="J20084" s="845" t="s">
        <v>2696</v>
      </c>
    </row>
    <row r="20085" spans="1:10" x14ac:dyDescent="0.2">
      <c r="A20085" s="859">
        <f t="shared" si="455"/>
        <v>20084</v>
      </c>
      <c r="B20085" s="845" t="s">
        <v>2679</v>
      </c>
      <c r="D20085" s="862"/>
      <c r="I20085" s="845" t="s">
        <v>1009</v>
      </c>
    </row>
    <row r="20086" spans="1:10" x14ac:dyDescent="0.2">
      <c r="A20086" s="859">
        <f t="shared" si="455"/>
        <v>20085</v>
      </c>
      <c r="B20086" s="845" t="s">
        <v>2679</v>
      </c>
      <c r="D20086" s="862"/>
      <c r="I20086" s="845" t="str">
        <f>CONCATENATE("&lt;valeur&gt;",Cellule_16400,"&lt;/valeur&gt;")</f>
        <v>&lt;valeur&gt;0&lt;/valeur&gt;</v>
      </c>
    </row>
    <row r="20087" spans="1:10" x14ac:dyDescent="0.2">
      <c r="A20087" s="859">
        <f t="shared" si="455"/>
        <v>20086</v>
      </c>
      <c r="B20087" s="845" t="s">
        <v>2679</v>
      </c>
      <c r="D20087" s="862"/>
      <c r="H20087" s="845" t="s">
        <v>1010</v>
      </c>
    </row>
    <row r="20088" spans="1:10" x14ac:dyDescent="0.2">
      <c r="A20088" s="859">
        <f t="shared" si="455"/>
        <v>20087</v>
      </c>
      <c r="B20088" s="845" t="s">
        <v>2679</v>
      </c>
      <c r="D20088" s="862"/>
      <c r="H20088" s="845" t="s">
        <v>1007</v>
      </c>
    </row>
    <row r="20089" spans="1:10" x14ac:dyDescent="0.2">
      <c r="A20089" s="859">
        <f t="shared" si="455"/>
        <v>20088</v>
      </c>
      <c r="B20089" s="845" t="s">
        <v>2679</v>
      </c>
      <c r="D20089" s="862"/>
      <c r="I20089" s="845" t="s">
        <v>1008</v>
      </c>
    </row>
    <row r="20090" spans="1:10" x14ac:dyDescent="0.2">
      <c r="A20090" s="859">
        <f t="shared" si="455"/>
        <v>20089</v>
      </c>
      <c r="B20090" s="845" t="s">
        <v>2679</v>
      </c>
      <c r="D20090" s="862"/>
      <c r="J20090" s="845" t="s">
        <v>2697</v>
      </c>
    </row>
    <row r="20091" spans="1:10" x14ac:dyDescent="0.2">
      <c r="A20091" s="859">
        <f t="shared" si="455"/>
        <v>20090</v>
      </c>
      <c r="B20091" s="845" t="s">
        <v>2679</v>
      </c>
      <c r="D20091" s="862"/>
      <c r="I20091" s="845" t="s">
        <v>1009</v>
      </c>
    </row>
    <row r="20092" spans="1:10" x14ac:dyDescent="0.2">
      <c r="A20092" s="859">
        <f t="shared" si="455"/>
        <v>20091</v>
      </c>
      <c r="B20092" s="845" t="s">
        <v>2679</v>
      </c>
      <c r="D20092" s="862"/>
      <c r="I20092" s="845" t="str">
        <f>CONCATENATE("&lt;valeur&gt;",Cellule_14087,"&lt;/valeur&gt;")</f>
        <v>&lt;valeur&gt;&lt;/valeur&gt;</v>
      </c>
    </row>
    <row r="20093" spans="1:10" x14ac:dyDescent="0.2">
      <c r="A20093" s="859">
        <f t="shared" si="455"/>
        <v>20092</v>
      </c>
      <c r="B20093" s="845" t="s">
        <v>2679</v>
      </c>
      <c r="D20093" s="862"/>
      <c r="H20093" s="845" t="s">
        <v>1010</v>
      </c>
    </row>
    <row r="20094" spans="1:10" x14ac:dyDescent="0.2">
      <c r="A20094" s="859">
        <f t="shared" si="455"/>
        <v>20093</v>
      </c>
      <c r="B20094" s="845" t="s">
        <v>2679</v>
      </c>
      <c r="D20094" s="862"/>
      <c r="H20094" s="845" t="s">
        <v>1007</v>
      </c>
    </row>
    <row r="20095" spans="1:10" x14ac:dyDescent="0.2">
      <c r="A20095" s="859">
        <f t="shared" si="455"/>
        <v>20094</v>
      </c>
      <c r="B20095" s="845" t="s">
        <v>2679</v>
      </c>
      <c r="D20095" s="862"/>
      <c r="I20095" s="845" t="s">
        <v>1008</v>
      </c>
    </row>
    <row r="20096" spans="1:10" x14ac:dyDescent="0.2">
      <c r="A20096" s="859">
        <f t="shared" si="455"/>
        <v>20095</v>
      </c>
      <c r="B20096" s="845" t="s">
        <v>2679</v>
      </c>
      <c r="D20096" s="862"/>
      <c r="J20096" s="845" t="s">
        <v>2698</v>
      </c>
    </row>
    <row r="20097" spans="1:10" x14ac:dyDescent="0.2">
      <c r="A20097" s="859">
        <f t="shared" si="455"/>
        <v>20096</v>
      </c>
      <c r="B20097" s="845" t="s">
        <v>2679</v>
      </c>
      <c r="D20097" s="862"/>
      <c r="I20097" s="845" t="s">
        <v>1009</v>
      </c>
    </row>
    <row r="20098" spans="1:10" x14ac:dyDescent="0.2">
      <c r="A20098" s="859">
        <f t="shared" si="455"/>
        <v>20097</v>
      </c>
      <c r="B20098" s="845" t="s">
        <v>2679</v>
      </c>
      <c r="D20098" s="862"/>
      <c r="I20098" s="845" t="str">
        <f>CONCATENATE("&lt;valeur&gt;",Cellule_16395,"&lt;/valeur&gt;")</f>
        <v>&lt;valeur&gt;0&lt;/valeur&gt;</v>
      </c>
    </row>
    <row r="20099" spans="1:10" x14ac:dyDescent="0.2">
      <c r="A20099" s="859">
        <f t="shared" si="455"/>
        <v>20098</v>
      </c>
      <c r="B20099" s="845" t="s">
        <v>2679</v>
      </c>
      <c r="D20099" s="862"/>
      <c r="H20099" s="845" t="s">
        <v>1010</v>
      </c>
    </row>
    <row r="20100" spans="1:10" x14ac:dyDescent="0.2">
      <c r="A20100" s="859">
        <f t="shared" ref="A20100:A20163" si="456">+A20099+1</f>
        <v>20099</v>
      </c>
      <c r="B20100" s="845" t="s">
        <v>2679</v>
      </c>
      <c r="D20100" s="862"/>
      <c r="H20100" s="845" t="s">
        <v>1007</v>
      </c>
    </row>
    <row r="20101" spans="1:10" x14ac:dyDescent="0.2">
      <c r="A20101" s="859">
        <f t="shared" si="456"/>
        <v>20100</v>
      </c>
      <c r="B20101" s="845" t="s">
        <v>2679</v>
      </c>
      <c r="D20101" s="862"/>
      <c r="I20101" s="845" t="s">
        <v>1008</v>
      </c>
    </row>
    <row r="20102" spans="1:10" x14ac:dyDescent="0.2">
      <c r="A20102" s="859">
        <f t="shared" si="456"/>
        <v>20101</v>
      </c>
      <c r="B20102" s="845" t="s">
        <v>2679</v>
      </c>
      <c r="D20102" s="862"/>
      <c r="J20102" s="845" t="s">
        <v>2699</v>
      </c>
    </row>
    <row r="20103" spans="1:10" x14ac:dyDescent="0.2">
      <c r="A20103" s="859">
        <f t="shared" si="456"/>
        <v>20102</v>
      </c>
      <c r="B20103" s="845" t="s">
        <v>2679</v>
      </c>
      <c r="D20103" s="862"/>
      <c r="I20103" s="845" t="s">
        <v>1009</v>
      </c>
    </row>
    <row r="20104" spans="1:10" x14ac:dyDescent="0.2">
      <c r="A20104" s="859">
        <f t="shared" si="456"/>
        <v>20103</v>
      </c>
      <c r="B20104" s="845" t="s">
        <v>2679</v>
      </c>
      <c r="D20104" s="862"/>
      <c r="I20104" s="845" t="str">
        <f>CONCATENATE("&lt;valeur&gt;",Cellule_16398,"&lt;/valeur&gt;")</f>
        <v>&lt;valeur&gt;&lt;/valeur&gt;</v>
      </c>
    </row>
    <row r="20105" spans="1:10" x14ac:dyDescent="0.2">
      <c r="A20105" s="859">
        <f t="shared" si="456"/>
        <v>20104</v>
      </c>
      <c r="B20105" s="845" t="s">
        <v>2679</v>
      </c>
      <c r="D20105" s="862"/>
      <c r="H20105" s="845" t="s">
        <v>1010</v>
      </c>
    </row>
    <row r="20106" spans="1:10" x14ac:dyDescent="0.2">
      <c r="A20106" s="859">
        <f t="shared" si="456"/>
        <v>20105</v>
      </c>
      <c r="B20106" s="845" t="s">
        <v>2679</v>
      </c>
      <c r="D20106" s="862"/>
      <c r="H20106" s="845" t="s">
        <v>1007</v>
      </c>
    </row>
    <row r="20107" spans="1:10" x14ac:dyDescent="0.2">
      <c r="A20107" s="859">
        <f t="shared" si="456"/>
        <v>20106</v>
      </c>
      <c r="B20107" s="845" t="s">
        <v>2679</v>
      </c>
      <c r="D20107" s="862"/>
      <c r="I20107" s="845" t="s">
        <v>1008</v>
      </c>
    </row>
    <row r="20108" spans="1:10" x14ac:dyDescent="0.2">
      <c r="A20108" s="859">
        <f t="shared" si="456"/>
        <v>20107</v>
      </c>
      <c r="B20108" s="845" t="s">
        <v>2679</v>
      </c>
      <c r="D20108" s="862"/>
      <c r="J20108" s="845" t="s">
        <v>2700</v>
      </c>
    </row>
    <row r="20109" spans="1:10" x14ac:dyDescent="0.2">
      <c r="A20109" s="859">
        <f t="shared" si="456"/>
        <v>20108</v>
      </c>
      <c r="B20109" s="845" t="s">
        <v>2679</v>
      </c>
      <c r="D20109" s="862"/>
      <c r="I20109" s="845" t="s">
        <v>1009</v>
      </c>
    </row>
    <row r="20110" spans="1:10" x14ac:dyDescent="0.2">
      <c r="A20110" s="859">
        <f t="shared" si="456"/>
        <v>20109</v>
      </c>
      <c r="B20110" s="845" t="s">
        <v>2679</v>
      </c>
      <c r="D20110" s="862"/>
      <c r="I20110" s="845" t="str">
        <f>CONCATENATE("&lt;valeur&gt;",Cellule_16401,"&lt;/valeur&gt;")</f>
        <v>&lt;valeur&gt;0&lt;/valeur&gt;</v>
      </c>
    </row>
    <row r="20111" spans="1:10" x14ac:dyDescent="0.2">
      <c r="A20111" s="859">
        <f t="shared" si="456"/>
        <v>20110</v>
      </c>
      <c r="B20111" s="845" t="s">
        <v>2679</v>
      </c>
      <c r="D20111" s="862"/>
      <c r="H20111" s="845" t="s">
        <v>1010</v>
      </c>
    </row>
    <row r="20112" spans="1:10" x14ac:dyDescent="0.2">
      <c r="A20112" s="859">
        <f t="shared" si="456"/>
        <v>20111</v>
      </c>
      <c r="B20112" s="845" t="s">
        <v>2679</v>
      </c>
      <c r="D20112" s="862"/>
      <c r="G20112" s="845" t="s">
        <v>1011</v>
      </c>
    </row>
    <row r="20113" spans="1:9" x14ac:dyDescent="0.2">
      <c r="A20113" s="859">
        <f t="shared" si="456"/>
        <v>20112</v>
      </c>
      <c r="B20113" s="845" t="s">
        <v>2679</v>
      </c>
      <c r="D20113" s="862"/>
      <c r="G20113" s="845" t="s">
        <v>1012</v>
      </c>
    </row>
    <row r="20114" spans="1:9" x14ac:dyDescent="0.2">
      <c r="A20114" s="859">
        <f t="shared" si="456"/>
        <v>20113</v>
      </c>
      <c r="B20114" s="845" t="s">
        <v>2679</v>
      </c>
      <c r="D20114" s="862"/>
      <c r="G20114" s="845" t="s">
        <v>1013</v>
      </c>
    </row>
    <row r="20115" spans="1:9" x14ac:dyDescent="0.2">
      <c r="A20115" s="859">
        <f t="shared" si="456"/>
        <v>20114</v>
      </c>
      <c r="B20115" s="845" t="s">
        <v>2679</v>
      </c>
      <c r="D20115" s="862"/>
      <c r="F20115" s="845" t="s">
        <v>1014</v>
      </c>
    </row>
    <row r="20116" spans="1:9" x14ac:dyDescent="0.2">
      <c r="A20116" s="859">
        <f t="shared" si="456"/>
        <v>20115</v>
      </c>
      <c r="B20116" s="845" t="s">
        <v>2701</v>
      </c>
      <c r="D20116" s="862"/>
      <c r="F20116" s="845" t="s">
        <v>1005</v>
      </c>
    </row>
    <row r="20117" spans="1:9" x14ac:dyDescent="0.2">
      <c r="A20117" s="859">
        <f t="shared" si="456"/>
        <v>20116</v>
      </c>
      <c r="B20117" s="845" t="s">
        <v>2701</v>
      </c>
      <c r="D20117" s="862"/>
      <c r="G20117" s="845" t="s">
        <v>2702</v>
      </c>
    </row>
    <row r="20118" spans="1:9" x14ac:dyDescent="0.2">
      <c r="A20118" s="859">
        <f t="shared" si="456"/>
        <v>20117</v>
      </c>
      <c r="B20118" s="845" t="s">
        <v>2701</v>
      </c>
      <c r="D20118" s="862"/>
      <c r="G20118" s="845" t="s">
        <v>1006</v>
      </c>
    </row>
    <row r="20119" spans="1:9" x14ac:dyDescent="0.2">
      <c r="A20119" s="859">
        <f t="shared" si="456"/>
        <v>20118</v>
      </c>
      <c r="B20119" s="845" t="s">
        <v>2701</v>
      </c>
      <c r="D20119" s="862"/>
      <c r="H20119" s="845" t="s">
        <v>1007</v>
      </c>
    </row>
    <row r="20120" spans="1:9" x14ac:dyDescent="0.2">
      <c r="A20120" s="859">
        <f t="shared" si="456"/>
        <v>20119</v>
      </c>
      <c r="B20120" s="845" t="s">
        <v>2701</v>
      </c>
      <c r="D20120" s="862"/>
      <c r="I20120" s="845" t="s">
        <v>2703</v>
      </c>
    </row>
    <row r="20121" spans="1:9" x14ac:dyDescent="0.2">
      <c r="A20121" s="859">
        <f t="shared" si="456"/>
        <v>20120</v>
      </c>
      <c r="B20121" s="845" t="s">
        <v>2701</v>
      </c>
      <c r="D20121" s="862"/>
      <c r="I20121" s="845" t="str">
        <f>CONCATENATE("&lt;valeur&gt;",Cellule_14088_1,"&lt;/valeur&gt;")</f>
        <v>&lt;valeur&gt;&lt;/valeur&gt;</v>
      </c>
    </row>
    <row r="20122" spans="1:9" x14ac:dyDescent="0.2">
      <c r="A20122" s="859">
        <f t="shared" si="456"/>
        <v>20121</v>
      </c>
      <c r="B20122" s="845" t="s">
        <v>2701</v>
      </c>
      <c r="D20122" s="862"/>
      <c r="I20122" s="845" t="s">
        <v>1249</v>
      </c>
    </row>
    <row r="20123" spans="1:9" x14ac:dyDescent="0.2">
      <c r="A20123" s="859">
        <f t="shared" si="456"/>
        <v>20122</v>
      </c>
      <c r="B20123" s="845" t="s">
        <v>2701</v>
      </c>
      <c r="D20123" s="862"/>
      <c r="H20123" s="845" t="s">
        <v>1010</v>
      </c>
    </row>
    <row r="20124" spans="1:9" x14ac:dyDescent="0.2">
      <c r="A20124" s="859">
        <f t="shared" si="456"/>
        <v>20123</v>
      </c>
      <c r="B20124" s="845" t="s">
        <v>2701</v>
      </c>
      <c r="D20124" s="862"/>
      <c r="H20124" s="845" t="s">
        <v>1007</v>
      </c>
    </row>
    <row r="20125" spans="1:9" x14ac:dyDescent="0.2">
      <c r="A20125" s="859">
        <f t="shared" si="456"/>
        <v>20124</v>
      </c>
      <c r="B20125" s="845" t="s">
        <v>2701</v>
      </c>
      <c r="D20125" s="862"/>
      <c r="I20125" s="845" t="s">
        <v>2704</v>
      </c>
    </row>
    <row r="20126" spans="1:9" x14ac:dyDescent="0.2">
      <c r="A20126" s="859">
        <f t="shared" si="456"/>
        <v>20125</v>
      </c>
      <c r="B20126" s="845" t="s">
        <v>2701</v>
      </c>
      <c r="D20126" s="862"/>
      <c r="I20126" s="845" t="str">
        <f>CONCATENATE("&lt;valeur&gt;",Cellule_14089_1,"&lt;/valeur&gt;")</f>
        <v>&lt;valeur&gt;&lt;/valeur&gt;</v>
      </c>
    </row>
    <row r="20127" spans="1:9" x14ac:dyDescent="0.2">
      <c r="A20127" s="859">
        <f t="shared" si="456"/>
        <v>20126</v>
      </c>
      <c r="B20127" s="845" t="s">
        <v>2701</v>
      </c>
      <c r="D20127" s="862"/>
      <c r="I20127" s="845" t="s">
        <v>1249</v>
      </c>
    </row>
    <row r="20128" spans="1:9" x14ac:dyDescent="0.2">
      <c r="A20128" s="859">
        <f t="shared" si="456"/>
        <v>20127</v>
      </c>
      <c r="B20128" s="845" t="s">
        <v>2701</v>
      </c>
      <c r="D20128" s="862"/>
      <c r="H20128" s="845" t="s">
        <v>1010</v>
      </c>
    </row>
    <row r="20129" spans="1:9" x14ac:dyDescent="0.2">
      <c r="A20129" s="859">
        <f t="shared" si="456"/>
        <v>20128</v>
      </c>
      <c r="B20129" s="845" t="s">
        <v>2701</v>
      </c>
      <c r="D20129" s="862"/>
      <c r="H20129" s="845" t="s">
        <v>1007</v>
      </c>
    </row>
    <row r="20130" spans="1:9" x14ac:dyDescent="0.2">
      <c r="A20130" s="859">
        <f t="shared" si="456"/>
        <v>20129</v>
      </c>
      <c r="B20130" s="845" t="s">
        <v>2701</v>
      </c>
      <c r="D20130" s="862"/>
      <c r="I20130" s="845" t="s">
        <v>2705</v>
      </c>
    </row>
    <row r="20131" spans="1:9" x14ac:dyDescent="0.2">
      <c r="A20131" s="859">
        <f t="shared" si="456"/>
        <v>20130</v>
      </c>
      <c r="B20131" s="845" t="s">
        <v>2701</v>
      </c>
      <c r="D20131" s="862"/>
      <c r="I20131" s="845" t="str">
        <f>CONCATENATE("&lt;valeur&gt;",Cellule_14090_1,"&lt;/valeur&gt;")</f>
        <v>&lt;valeur&gt;&lt;/valeur&gt;</v>
      </c>
    </row>
    <row r="20132" spans="1:9" x14ac:dyDescent="0.2">
      <c r="A20132" s="859">
        <f t="shared" si="456"/>
        <v>20131</v>
      </c>
      <c r="B20132" s="845" t="s">
        <v>2701</v>
      </c>
      <c r="D20132" s="862"/>
      <c r="I20132" s="845" t="s">
        <v>1249</v>
      </c>
    </row>
    <row r="20133" spans="1:9" x14ac:dyDescent="0.2">
      <c r="A20133" s="859">
        <f t="shared" si="456"/>
        <v>20132</v>
      </c>
      <c r="B20133" s="845" t="s">
        <v>2701</v>
      </c>
      <c r="D20133" s="862"/>
      <c r="H20133" s="845" t="s">
        <v>1010</v>
      </c>
    </row>
    <row r="20134" spans="1:9" x14ac:dyDescent="0.2">
      <c r="A20134" s="859">
        <f t="shared" si="456"/>
        <v>20133</v>
      </c>
      <c r="B20134" s="845" t="s">
        <v>2701</v>
      </c>
      <c r="D20134" s="862"/>
      <c r="H20134" s="845" t="s">
        <v>1007</v>
      </c>
    </row>
    <row r="20135" spans="1:9" x14ac:dyDescent="0.2">
      <c r="A20135" s="859">
        <f t="shared" si="456"/>
        <v>20134</v>
      </c>
      <c r="B20135" s="845" t="s">
        <v>2701</v>
      </c>
      <c r="D20135" s="862"/>
      <c r="I20135" s="845" t="s">
        <v>2706</v>
      </c>
    </row>
    <row r="20136" spans="1:9" x14ac:dyDescent="0.2">
      <c r="A20136" s="859">
        <f t="shared" si="456"/>
        <v>20135</v>
      </c>
      <c r="B20136" s="845" t="s">
        <v>2701</v>
      </c>
      <c r="D20136" s="862"/>
      <c r="I20136" s="845" t="str">
        <f>CONCATENATE("&lt;valeur&gt;",Cellule_14091_1,"&lt;/valeur&gt;")</f>
        <v>&lt;valeur&gt;&lt;/valeur&gt;</v>
      </c>
    </row>
    <row r="20137" spans="1:9" x14ac:dyDescent="0.2">
      <c r="A20137" s="859">
        <f t="shared" si="456"/>
        <v>20136</v>
      </c>
      <c r="B20137" s="845" t="s">
        <v>2701</v>
      </c>
      <c r="D20137" s="862"/>
      <c r="I20137" s="845" t="s">
        <v>1249</v>
      </c>
    </row>
    <row r="20138" spans="1:9" x14ac:dyDescent="0.2">
      <c r="A20138" s="859">
        <f t="shared" si="456"/>
        <v>20137</v>
      </c>
      <c r="B20138" s="845" t="s">
        <v>2701</v>
      </c>
      <c r="D20138" s="862"/>
      <c r="H20138" s="845" t="s">
        <v>1010</v>
      </c>
    </row>
    <row r="20139" spans="1:9" x14ac:dyDescent="0.2">
      <c r="A20139" s="859">
        <f t="shared" si="456"/>
        <v>20138</v>
      </c>
      <c r="B20139" s="845" t="s">
        <v>2701</v>
      </c>
      <c r="D20139" s="862"/>
      <c r="H20139" s="845" t="s">
        <v>1007</v>
      </c>
    </row>
    <row r="20140" spans="1:9" x14ac:dyDescent="0.2">
      <c r="A20140" s="859">
        <f t="shared" si="456"/>
        <v>20139</v>
      </c>
      <c r="B20140" s="845" t="s">
        <v>2701</v>
      </c>
      <c r="D20140" s="862"/>
      <c r="I20140" s="845" t="s">
        <v>2707</v>
      </c>
    </row>
    <row r="20141" spans="1:9" x14ac:dyDescent="0.2">
      <c r="A20141" s="859">
        <f t="shared" si="456"/>
        <v>20140</v>
      </c>
      <c r="B20141" s="845" t="s">
        <v>2701</v>
      </c>
      <c r="D20141" s="862"/>
      <c r="I20141" s="845" t="str">
        <f>CONCATENATE("&lt;valeur&gt;",Cellule_14092_1,"&lt;/valeur&gt;")</f>
        <v>&lt;valeur&gt;&lt;/valeur&gt;</v>
      </c>
    </row>
    <row r="20142" spans="1:9" x14ac:dyDescent="0.2">
      <c r="A20142" s="859">
        <f t="shared" si="456"/>
        <v>20141</v>
      </c>
      <c r="B20142" s="845" t="s">
        <v>2701</v>
      </c>
      <c r="D20142" s="862"/>
      <c r="I20142" s="845" t="s">
        <v>1249</v>
      </c>
    </row>
    <row r="20143" spans="1:9" x14ac:dyDescent="0.2">
      <c r="A20143" s="859">
        <f t="shared" si="456"/>
        <v>20142</v>
      </c>
      <c r="B20143" s="845" t="s">
        <v>2701</v>
      </c>
      <c r="D20143" s="862"/>
      <c r="H20143" s="845" t="s">
        <v>1010</v>
      </c>
    </row>
    <row r="20144" spans="1:9" x14ac:dyDescent="0.2">
      <c r="A20144" s="859">
        <f t="shared" si="456"/>
        <v>20143</v>
      </c>
      <c r="B20144" s="845" t="s">
        <v>2701</v>
      </c>
      <c r="D20144" s="862"/>
      <c r="H20144" s="845" t="s">
        <v>1007</v>
      </c>
    </row>
    <row r="20145" spans="1:9" x14ac:dyDescent="0.2">
      <c r="A20145" s="859">
        <f t="shared" si="456"/>
        <v>20144</v>
      </c>
      <c r="B20145" s="845" t="s">
        <v>2701</v>
      </c>
      <c r="D20145" s="862"/>
      <c r="I20145" s="845" t="s">
        <v>2708</v>
      </c>
    </row>
    <row r="20146" spans="1:9" x14ac:dyDescent="0.2">
      <c r="A20146" s="859">
        <f t="shared" si="456"/>
        <v>20145</v>
      </c>
      <c r="B20146" s="845" t="s">
        <v>2701</v>
      </c>
      <c r="D20146" s="862"/>
      <c r="I20146" s="845" t="str">
        <f>CONCATENATE("&lt;valeur&gt;",Cellule_14093_1,"&lt;/valeur&gt;")</f>
        <v>&lt;valeur&gt;&lt;/valeur&gt;</v>
      </c>
    </row>
    <row r="20147" spans="1:9" x14ac:dyDescent="0.2">
      <c r="A20147" s="859">
        <f t="shared" si="456"/>
        <v>20146</v>
      </c>
      <c r="B20147" s="845" t="s">
        <v>2701</v>
      </c>
      <c r="D20147" s="862"/>
      <c r="I20147" s="845" t="s">
        <v>1249</v>
      </c>
    </row>
    <row r="20148" spans="1:9" x14ac:dyDescent="0.2">
      <c r="A20148" s="859">
        <f t="shared" si="456"/>
        <v>20147</v>
      </c>
      <c r="B20148" s="845" t="s">
        <v>2701</v>
      </c>
      <c r="D20148" s="862"/>
      <c r="H20148" s="845" t="s">
        <v>1010</v>
      </c>
    </row>
    <row r="20149" spans="1:9" x14ac:dyDescent="0.2">
      <c r="A20149" s="859">
        <f t="shared" si="456"/>
        <v>20148</v>
      </c>
      <c r="B20149" s="845" t="s">
        <v>2701</v>
      </c>
      <c r="D20149" s="862"/>
      <c r="H20149" s="845" t="s">
        <v>1007</v>
      </c>
    </row>
    <row r="20150" spans="1:9" x14ac:dyDescent="0.2">
      <c r="A20150" s="859">
        <f t="shared" si="456"/>
        <v>20149</v>
      </c>
      <c r="B20150" s="845" t="s">
        <v>2701</v>
      </c>
      <c r="D20150" s="862"/>
      <c r="I20150" s="845" t="s">
        <v>2703</v>
      </c>
    </row>
    <row r="20151" spans="1:9" x14ac:dyDescent="0.2">
      <c r="A20151" s="859">
        <f t="shared" si="456"/>
        <v>20150</v>
      </c>
      <c r="B20151" s="845" t="s">
        <v>2701</v>
      </c>
      <c r="D20151" s="862"/>
      <c r="I20151" s="845" t="str">
        <f>CONCATENATE("&lt;valeur&gt;",Cellule_14088_2,"&lt;/valeur&gt;")</f>
        <v>&lt;valeur&gt;&lt;/valeur&gt;</v>
      </c>
    </row>
    <row r="20152" spans="1:9" x14ac:dyDescent="0.2">
      <c r="A20152" s="859">
        <f t="shared" si="456"/>
        <v>20151</v>
      </c>
      <c r="B20152" s="845" t="s">
        <v>2701</v>
      </c>
      <c r="D20152" s="862"/>
      <c r="I20152" s="845" t="s">
        <v>2577</v>
      </c>
    </row>
    <row r="20153" spans="1:9" x14ac:dyDescent="0.2">
      <c r="A20153" s="859">
        <f t="shared" si="456"/>
        <v>20152</v>
      </c>
      <c r="B20153" s="845" t="s">
        <v>2701</v>
      </c>
      <c r="D20153" s="862"/>
      <c r="H20153" s="845" t="s">
        <v>1010</v>
      </c>
    </row>
    <row r="20154" spans="1:9" x14ac:dyDescent="0.2">
      <c r="A20154" s="859">
        <f t="shared" si="456"/>
        <v>20153</v>
      </c>
      <c r="B20154" s="845" t="s">
        <v>2701</v>
      </c>
      <c r="D20154" s="862"/>
      <c r="H20154" s="845" t="s">
        <v>1007</v>
      </c>
    </row>
    <row r="20155" spans="1:9" x14ac:dyDescent="0.2">
      <c r="A20155" s="859">
        <f t="shared" si="456"/>
        <v>20154</v>
      </c>
      <c r="B20155" s="845" t="s">
        <v>2701</v>
      </c>
      <c r="D20155" s="862"/>
      <c r="I20155" s="845" t="s">
        <v>2704</v>
      </c>
    </row>
    <row r="20156" spans="1:9" x14ac:dyDescent="0.2">
      <c r="A20156" s="859">
        <f t="shared" si="456"/>
        <v>20155</v>
      </c>
      <c r="B20156" s="845" t="s">
        <v>2701</v>
      </c>
      <c r="D20156" s="862"/>
      <c r="I20156" s="845" t="str">
        <f>CONCATENATE("&lt;valeur&gt;",Cellule_14089_2,"&lt;/valeur&gt;")</f>
        <v>&lt;valeur&gt;&lt;/valeur&gt;</v>
      </c>
    </row>
    <row r="20157" spans="1:9" x14ac:dyDescent="0.2">
      <c r="A20157" s="859">
        <f t="shared" si="456"/>
        <v>20156</v>
      </c>
      <c r="B20157" s="845" t="s">
        <v>2701</v>
      </c>
      <c r="D20157" s="862"/>
      <c r="I20157" s="845" t="s">
        <v>2577</v>
      </c>
    </row>
    <row r="20158" spans="1:9" x14ac:dyDescent="0.2">
      <c r="A20158" s="859">
        <f t="shared" si="456"/>
        <v>20157</v>
      </c>
      <c r="B20158" s="845" t="s">
        <v>2701</v>
      </c>
      <c r="D20158" s="862"/>
      <c r="H20158" s="845" t="s">
        <v>1010</v>
      </c>
    </row>
    <row r="20159" spans="1:9" x14ac:dyDescent="0.2">
      <c r="A20159" s="859">
        <f t="shared" si="456"/>
        <v>20158</v>
      </c>
      <c r="B20159" s="845" t="s">
        <v>2701</v>
      </c>
      <c r="D20159" s="862"/>
      <c r="H20159" s="845" t="s">
        <v>1007</v>
      </c>
    </row>
    <row r="20160" spans="1:9" x14ac:dyDescent="0.2">
      <c r="A20160" s="859">
        <f t="shared" si="456"/>
        <v>20159</v>
      </c>
      <c r="B20160" s="845" t="s">
        <v>2701</v>
      </c>
      <c r="D20160" s="862"/>
      <c r="I20160" s="845" t="s">
        <v>2705</v>
      </c>
    </row>
    <row r="20161" spans="1:9" x14ac:dyDescent="0.2">
      <c r="A20161" s="859">
        <f t="shared" si="456"/>
        <v>20160</v>
      </c>
      <c r="B20161" s="845" t="s">
        <v>2701</v>
      </c>
      <c r="D20161" s="862"/>
      <c r="I20161" s="845" t="str">
        <f>CONCATENATE("&lt;valeur&gt;",Cellule_14090_2,"&lt;/valeur&gt;")</f>
        <v>&lt;valeur&gt;&lt;/valeur&gt;</v>
      </c>
    </row>
    <row r="20162" spans="1:9" x14ac:dyDescent="0.2">
      <c r="A20162" s="859">
        <f t="shared" si="456"/>
        <v>20161</v>
      </c>
      <c r="B20162" s="845" t="s">
        <v>2701</v>
      </c>
      <c r="D20162" s="862"/>
      <c r="I20162" s="845" t="s">
        <v>2577</v>
      </c>
    </row>
    <row r="20163" spans="1:9" x14ac:dyDescent="0.2">
      <c r="A20163" s="859">
        <f t="shared" si="456"/>
        <v>20162</v>
      </c>
      <c r="B20163" s="845" t="s">
        <v>2701</v>
      </c>
      <c r="D20163" s="862"/>
      <c r="H20163" s="845" t="s">
        <v>1010</v>
      </c>
    </row>
    <row r="20164" spans="1:9" x14ac:dyDescent="0.2">
      <c r="A20164" s="859">
        <f t="shared" ref="A20164:A20227" si="457">+A20163+1</f>
        <v>20163</v>
      </c>
      <c r="B20164" s="845" t="s">
        <v>2701</v>
      </c>
      <c r="D20164" s="862"/>
      <c r="H20164" s="845" t="s">
        <v>1007</v>
      </c>
    </row>
    <row r="20165" spans="1:9" x14ac:dyDescent="0.2">
      <c r="A20165" s="859">
        <f t="shared" si="457"/>
        <v>20164</v>
      </c>
      <c r="B20165" s="845" t="s">
        <v>2701</v>
      </c>
      <c r="D20165" s="862"/>
      <c r="I20165" s="845" t="s">
        <v>2706</v>
      </c>
    </row>
    <row r="20166" spans="1:9" x14ac:dyDescent="0.2">
      <c r="A20166" s="859">
        <f t="shared" si="457"/>
        <v>20165</v>
      </c>
      <c r="B20166" s="845" t="s">
        <v>2701</v>
      </c>
      <c r="D20166" s="862"/>
      <c r="I20166" s="845" t="str">
        <f>CONCATENATE("&lt;valeur&gt;",Cellule_14091_2,"&lt;/valeur&gt;")</f>
        <v>&lt;valeur&gt;&lt;/valeur&gt;</v>
      </c>
    </row>
    <row r="20167" spans="1:9" x14ac:dyDescent="0.2">
      <c r="A20167" s="859">
        <f t="shared" si="457"/>
        <v>20166</v>
      </c>
      <c r="B20167" s="845" t="s">
        <v>2701</v>
      </c>
      <c r="D20167" s="862"/>
      <c r="I20167" s="845" t="s">
        <v>2577</v>
      </c>
    </row>
    <row r="20168" spans="1:9" x14ac:dyDescent="0.2">
      <c r="A20168" s="859">
        <f t="shared" si="457"/>
        <v>20167</v>
      </c>
      <c r="B20168" s="845" t="s">
        <v>2701</v>
      </c>
      <c r="D20168" s="862"/>
      <c r="H20168" s="845" t="s">
        <v>1010</v>
      </c>
    </row>
    <row r="20169" spans="1:9" x14ac:dyDescent="0.2">
      <c r="A20169" s="859">
        <f t="shared" si="457"/>
        <v>20168</v>
      </c>
      <c r="B20169" s="845" t="s">
        <v>2701</v>
      </c>
      <c r="D20169" s="862"/>
      <c r="H20169" s="845" t="s">
        <v>1007</v>
      </c>
    </row>
    <row r="20170" spans="1:9" x14ac:dyDescent="0.2">
      <c r="A20170" s="859">
        <f t="shared" si="457"/>
        <v>20169</v>
      </c>
      <c r="B20170" s="845" t="s">
        <v>2701</v>
      </c>
      <c r="D20170" s="862"/>
      <c r="I20170" s="845" t="s">
        <v>2707</v>
      </c>
    </row>
    <row r="20171" spans="1:9" x14ac:dyDescent="0.2">
      <c r="A20171" s="859">
        <f t="shared" si="457"/>
        <v>20170</v>
      </c>
      <c r="B20171" s="845" t="s">
        <v>2701</v>
      </c>
      <c r="D20171" s="862"/>
      <c r="I20171" s="845" t="str">
        <f>CONCATENATE("&lt;valeur&gt;",Cellule_14092_2,"&lt;/valeur&gt;")</f>
        <v>&lt;valeur&gt;&lt;/valeur&gt;</v>
      </c>
    </row>
    <row r="20172" spans="1:9" x14ac:dyDescent="0.2">
      <c r="A20172" s="859">
        <f t="shared" si="457"/>
        <v>20171</v>
      </c>
      <c r="B20172" s="845" t="s">
        <v>2701</v>
      </c>
      <c r="D20172" s="862"/>
      <c r="I20172" s="845" t="s">
        <v>2577</v>
      </c>
    </row>
    <row r="20173" spans="1:9" x14ac:dyDescent="0.2">
      <c r="A20173" s="859">
        <f t="shared" si="457"/>
        <v>20172</v>
      </c>
      <c r="B20173" s="845" t="s">
        <v>2701</v>
      </c>
      <c r="D20173" s="862"/>
      <c r="H20173" s="845" t="s">
        <v>1010</v>
      </c>
    </row>
    <row r="20174" spans="1:9" x14ac:dyDescent="0.2">
      <c r="A20174" s="859">
        <f t="shared" si="457"/>
        <v>20173</v>
      </c>
      <c r="B20174" s="845" t="s">
        <v>2701</v>
      </c>
      <c r="D20174" s="862"/>
      <c r="H20174" s="845" t="s">
        <v>1007</v>
      </c>
    </row>
    <row r="20175" spans="1:9" x14ac:dyDescent="0.2">
      <c r="A20175" s="859">
        <f t="shared" si="457"/>
        <v>20174</v>
      </c>
      <c r="B20175" s="845" t="s">
        <v>2701</v>
      </c>
      <c r="D20175" s="862"/>
      <c r="I20175" s="845" t="s">
        <v>2708</v>
      </c>
    </row>
    <row r="20176" spans="1:9" x14ac:dyDescent="0.2">
      <c r="A20176" s="859">
        <f t="shared" si="457"/>
        <v>20175</v>
      </c>
      <c r="B20176" s="845" t="s">
        <v>2701</v>
      </c>
      <c r="D20176" s="862"/>
      <c r="I20176" s="845" t="str">
        <f>CONCATENATE("&lt;valeur&gt;",Cellule_14093_2,"&lt;/valeur&gt;")</f>
        <v>&lt;valeur&gt;&lt;/valeur&gt;</v>
      </c>
    </row>
    <row r="20177" spans="1:10" x14ac:dyDescent="0.2">
      <c r="A20177" s="859">
        <f t="shared" si="457"/>
        <v>20176</v>
      </c>
      <c r="B20177" s="845" t="s">
        <v>2701</v>
      </c>
      <c r="D20177" s="862"/>
      <c r="I20177" s="845" t="s">
        <v>2577</v>
      </c>
    </row>
    <row r="20178" spans="1:10" x14ac:dyDescent="0.2">
      <c r="A20178" s="859">
        <f t="shared" si="457"/>
        <v>20177</v>
      </c>
      <c r="B20178" s="845" t="s">
        <v>2701</v>
      </c>
      <c r="D20178" s="862"/>
      <c r="H20178" s="845" t="s">
        <v>1010</v>
      </c>
    </row>
    <row r="20179" spans="1:10" x14ac:dyDescent="0.2">
      <c r="A20179" s="859">
        <f t="shared" si="457"/>
        <v>20178</v>
      </c>
      <c r="B20179" s="845" t="s">
        <v>2701</v>
      </c>
      <c r="D20179" s="862"/>
      <c r="G20179" s="845" t="s">
        <v>1011</v>
      </c>
    </row>
    <row r="20180" spans="1:10" x14ac:dyDescent="0.2">
      <c r="A20180" s="859">
        <f t="shared" si="457"/>
        <v>20179</v>
      </c>
      <c r="B20180" s="845" t="s">
        <v>2701</v>
      </c>
      <c r="D20180" s="862"/>
      <c r="G20180" s="845" t="s">
        <v>1012</v>
      </c>
    </row>
    <row r="20181" spans="1:10" x14ac:dyDescent="0.2">
      <c r="A20181" s="859">
        <f t="shared" si="457"/>
        <v>20180</v>
      </c>
      <c r="B20181" s="845" t="s">
        <v>2701</v>
      </c>
      <c r="D20181" s="862"/>
      <c r="G20181" s="845" t="s">
        <v>1013</v>
      </c>
    </row>
    <row r="20182" spans="1:10" x14ac:dyDescent="0.2">
      <c r="A20182" s="859">
        <f t="shared" si="457"/>
        <v>20181</v>
      </c>
      <c r="B20182" s="845" t="s">
        <v>2701</v>
      </c>
      <c r="D20182" s="862"/>
      <c r="F20182" s="845" t="s">
        <v>1014</v>
      </c>
    </row>
    <row r="20183" spans="1:10" x14ac:dyDescent="0.2">
      <c r="A20183" s="859">
        <f t="shared" si="457"/>
        <v>20182</v>
      </c>
      <c r="B20183" s="845" t="s">
        <v>2709</v>
      </c>
      <c r="D20183" s="862"/>
      <c r="F20183" s="845" t="s">
        <v>1005</v>
      </c>
    </row>
    <row r="20184" spans="1:10" x14ac:dyDescent="0.2">
      <c r="A20184" s="859">
        <f t="shared" si="457"/>
        <v>20183</v>
      </c>
      <c r="B20184" s="845" t="s">
        <v>2709</v>
      </c>
      <c r="D20184" s="862"/>
      <c r="G20184" s="845" t="s">
        <v>2710</v>
      </c>
    </row>
    <row r="20185" spans="1:10" x14ac:dyDescent="0.2">
      <c r="A20185" s="859">
        <f t="shared" si="457"/>
        <v>20184</v>
      </c>
      <c r="B20185" s="845" t="s">
        <v>2709</v>
      </c>
      <c r="D20185" s="862"/>
      <c r="G20185" s="845" t="s">
        <v>1006</v>
      </c>
    </row>
    <row r="20186" spans="1:10" x14ac:dyDescent="0.2">
      <c r="A20186" s="859">
        <f t="shared" si="457"/>
        <v>20185</v>
      </c>
      <c r="B20186" s="845" t="s">
        <v>2709</v>
      </c>
      <c r="D20186" s="862"/>
      <c r="H20186" s="845" t="s">
        <v>1007</v>
      </c>
    </row>
    <row r="20187" spans="1:10" x14ac:dyDescent="0.2">
      <c r="A20187" s="859">
        <f t="shared" si="457"/>
        <v>20186</v>
      </c>
      <c r="B20187" s="845" t="s">
        <v>2709</v>
      </c>
      <c r="D20187" s="862"/>
      <c r="I20187" s="845" t="s">
        <v>1008</v>
      </c>
    </row>
    <row r="20188" spans="1:10" x14ac:dyDescent="0.2">
      <c r="A20188" s="859">
        <f t="shared" si="457"/>
        <v>20187</v>
      </c>
      <c r="B20188" s="845" t="s">
        <v>2709</v>
      </c>
      <c r="D20188" s="862"/>
      <c r="J20188" s="845" t="s">
        <v>2711</v>
      </c>
    </row>
    <row r="20189" spans="1:10" x14ac:dyDescent="0.2">
      <c r="A20189" s="859">
        <f t="shared" si="457"/>
        <v>20188</v>
      </c>
      <c r="B20189" s="845" t="s">
        <v>2709</v>
      </c>
      <c r="D20189" s="862"/>
      <c r="I20189" s="845" t="s">
        <v>1009</v>
      </c>
    </row>
    <row r="20190" spans="1:10" x14ac:dyDescent="0.2">
      <c r="A20190" s="859">
        <f t="shared" si="457"/>
        <v>20189</v>
      </c>
      <c r="B20190" s="845" t="s">
        <v>2709</v>
      </c>
      <c r="D20190" s="862"/>
      <c r="I20190" s="845" t="str">
        <f>CONCATENATE("&lt;valeur&gt;",Cellule_14098,"&lt;/valeur&gt;")</f>
        <v>&lt;valeur&gt;&lt;/valeur&gt;</v>
      </c>
    </row>
    <row r="20191" spans="1:10" x14ac:dyDescent="0.2">
      <c r="A20191" s="859">
        <f t="shared" si="457"/>
        <v>20190</v>
      </c>
      <c r="B20191" s="845" t="s">
        <v>2709</v>
      </c>
      <c r="D20191" s="862"/>
      <c r="H20191" s="845" t="s">
        <v>1010</v>
      </c>
    </row>
    <row r="20192" spans="1:10" x14ac:dyDescent="0.2">
      <c r="A20192" s="859">
        <f t="shared" si="457"/>
        <v>20191</v>
      </c>
      <c r="B20192" s="845" t="s">
        <v>2709</v>
      </c>
      <c r="D20192" s="862"/>
      <c r="H20192" s="845" t="s">
        <v>1007</v>
      </c>
    </row>
    <row r="20193" spans="1:10" x14ac:dyDescent="0.2">
      <c r="A20193" s="859">
        <f t="shared" si="457"/>
        <v>20192</v>
      </c>
      <c r="B20193" s="845" t="s">
        <v>2709</v>
      </c>
      <c r="D20193" s="862"/>
      <c r="I20193" s="845" t="s">
        <v>1008</v>
      </c>
    </row>
    <row r="20194" spans="1:10" x14ac:dyDescent="0.2">
      <c r="A20194" s="859">
        <f t="shared" si="457"/>
        <v>20193</v>
      </c>
      <c r="B20194" s="845" t="s">
        <v>2709</v>
      </c>
      <c r="D20194" s="862"/>
      <c r="J20194" s="845" t="s">
        <v>2712</v>
      </c>
    </row>
    <row r="20195" spans="1:10" x14ac:dyDescent="0.2">
      <c r="A20195" s="859">
        <f t="shared" si="457"/>
        <v>20194</v>
      </c>
      <c r="B20195" s="845" t="s">
        <v>2709</v>
      </c>
      <c r="D20195" s="862"/>
      <c r="I20195" s="845" t="s">
        <v>1009</v>
      </c>
    </row>
    <row r="20196" spans="1:10" x14ac:dyDescent="0.2">
      <c r="A20196" s="859">
        <f t="shared" si="457"/>
        <v>20195</v>
      </c>
      <c r="B20196" s="845" t="s">
        <v>2709</v>
      </c>
      <c r="D20196" s="862"/>
      <c r="I20196" s="845" t="str">
        <f>CONCATENATE("&lt;valeur&gt;",Cellule_14101,"&lt;/valeur&gt;")</f>
        <v>&lt;valeur&gt;&lt;/valeur&gt;</v>
      </c>
    </row>
    <row r="20197" spans="1:10" x14ac:dyDescent="0.2">
      <c r="A20197" s="859">
        <f t="shared" si="457"/>
        <v>20196</v>
      </c>
      <c r="B20197" s="845" t="s">
        <v>2709</v>
      </c>
      <c r="D20197" s="862"/>
      <c r="H20197" s="845" t="s">
        <v>1010</v>
      </c>
    </row>
    <row r="20198" spans="1:10" x14ac:dyDescent="0.2">
      <c r="A20198" s="859">
        <f t="shared" si="457"/>
        <v>20197</v>
      </c>
      <c r="B20198" s="845" t="s">
        <v>2709</v>
      </c>
      <c r="D20198" s="862"/>
      <c r="H20198" s="845" t="s">
        <v>1007</v>
      </c>
    </row>
    <row r="20199" spans="1:10" x14ac:dyDescent="0.2">
      <c r="A20199" s="859">
        <f t="shared" si="457"/>
        <v>20198</v>
      </c>
      <c r="B20199" s="845" t="s">
        <v>2709</v>
      </c>
      <c r="D20199" s="862"/>
      <c r="I20199" s="845" t="s">
        <v>1008</v>
      </c>
    </row>
    <row r="20200" spans="1:10" x14ac:dyDescent="0.2">
      <c r="A20200" s="859">
        <f t="shared" si="457"/>
        <v>20199</v>
      </c>
      <c r="B20200" s="845" t="s">
        <v>2709</v>
      </c>
      <c r="D20200" s="862"/>
      <c r="J20200" s="845" t="s">
        <v>2713</v>
      </c>
    </row>
    <row r="20201" spans="1:10" x14ac:dyDescent="0.2">
      <c r="A20201" s="859">
        <f t="shared" si="457"/>
        <v>20200</v>
      </c>
      <c r="B20201" s="845" t="s">
        <v>2709</v>
      </c>
      <c r="D20201" s="862"/>
      <c r="I20201" s="845" t="s">
        <v>1009</v>
      </c>
    </row>
    <row r="20202" spans="1:10" x14ac:dyDescent="0.2">
      <c r="A20202" s="859">
        <f t="shared" si="457"/>
        <v>20201</v>
      </c>
      <c r="B20202" s="845" t="s">
        <v>2709</v>
      </c>
      <c r="D20202" s="862"/>
      <c r="I20202" s="845" t="str">
        <f>CONCATENATE("&lt;valeur&gt;",Cellule_14104,"&lt;/valeur&gt;")</f>
        <v>&lt;valeur&gt;&lt;/valeur&gt;</v>
      </c>
    </row>
    <row r="20203" spans="1:10" x14ac:dyDescent="0.2">
      <c r="A20203" s="859">
        <f t="shared" si="457"/>
        <v>20202</v>
      </c>
      <c r="B20203" s="845" t="s">
        <v>2709</v>
      </c>
      <c r="D20203" s="862"/>
      <c r="H20203" s="845" t="s">
        <v>1010</v>
      </c>
    </row>
    <row r="20204" spans="1:10" x14ac:dyDescent="0.2">
      <c r="A20204" s="859">
        <f t="shared" si="457"/>
        <v>20203</v>
      </c>
      <c r="B20204" s="845" t="s">
        <v>2709</v>
      </c>
      <c r="D20204" s="862"/>
      <c r="H20204" s="845" t="s">
        <v>1007</v>
      </c>
    </row>
    <row r="20205" spans="1:10" x14ac:dyDescent="0.2">
      <c r="A20205" s="859">
        <f t="shared" si="457"/>
        <v>20204</v>
      </c>
      <c r="B20205" s="845" t="s">
        <v>2709</v>
      </c>
      <c r="D20205" s="862"/>
      <c r="I20205" s="845" t="s">
        <v>1008</v>
      </c>
    </row>
    <row r="20206" spans="1:10" x14ac:dyDescent="0.2">
      <c r="A20206" s="859">
        <f t="shared" si="457"/>
        <v>20205</v>
      </c>
      <c r="B20206" s="845" t="s">
        <v>2709</v>
      </c>
      <c r="D20206" s="862"/>
      <c r="J20206" s="845" t="s">
        <v>2714</v>
      </c>
    </row>
    <row r="20207" spans="1:10" x14ac:dyDescent="0.2">
      <c r="A20207" s="859">
        <f t="shared" si="457"/>
        <v>20206</v>
      </c>
      <c r="B20207" s="845" t="s">
        <v>2709</v>
      </c>
      <c r="D20207" s="862"/>
      <c r="I20207" s="845" t="s">
        <v>1009</v>
      </c>
    </row>
    <row r="20208" spans="1:10" x14ac:dyDescent="0.2">
      <c r="A20208" s="859">
        <f t="shared" si="457"/>
        <v>20207</v>
      </c>
      <c r="B20208" s="845" t="s">
        <v>2709</v>
      </c>
      <c r="D20208" s="862"/>
      <c r="I20208" s="845" t="str">
        <f>CONCATENATE("&lt;valeur&gt;",Cellule_14099,"&lt;/valeur&gt;")</f>
        <v>&lt;valeur&gt;&lt;/valeur&gt;</v>
      </c>
    </row>
    <row r="20209" spans="1:10" x14ac:dyDescent="0.2">
      <c r="A20209" s="859">
        <f t="shared" si="457"/>
        <v>20208</v>
      </c>
      <c r="B20209" s="845" t="s">
        <v>2709</v>
      </c>
      <c r="D20209" s="862"/>
      <c r="H20209" s="845" t="s">
        <v>1010</v>
      </c>
    </row>
    <row r="20210" spans="1:10" x14ac:dyDescent="0.2">
      <c r="A20210" s="859">
        <f t="shared" si="457"/>
        <v>20209</v>
      </c>
      <c r="B20210" s="845" t="s">
        <v>2709</v>
      </c>
      <c r="D20210" s="862"/>
      <c r="H20210" s="845" t="s">
        <v>1007</v>
      </c>
    </row>
    <row r="20211" spans="1:10" x14ac:dyDescent="0.2">
      <c r="A20211" s="859">
        <f t="shared" si="457"/>
        <v>20210</v>
      </c>
      <c r="B20211" s="845" t="s">
        <v>2709</v>
      </c>
      <c r="D20211" s="862"/>
      <c r="I20211" s="845" t="s">
        <v>1008</v>
      </c>
    </row>
    <row r="20212" spans="1:10" x14ac:dyDescent="0.2">
      <c r="A20212" s="859">
        <f t="shared" si="457"/>
        <v>20211</v>
      </c>
      <c r="B20212" s="845" t="s">
        <v>2709</v>
      </c>
      <c r="D20212" s="862"/>
      <c r="J20212" s="845" t="s">
        <v>2715</v>
      </c>
    </row>
    <row r="20213" spans="1:10" x14ac:dyDescent="0.2">
      <c r="A20213" s="859">
        <f t="shared" si="457"/>
        <v>20212</v>
      </c>
      <c r="B20213" s="845" t="s">
        <v>2709</v>
      </c>
      <c r="D20213" s="862"/>
      <c r="I20213" s="845" t="s">
        <v>1009</v>
      </c>
    </row>
    <row r="20214" spans="1:10" x14ac:dyDescent="0.2">
      <c r="A20214" s="859">
        <f t="shared" si="457"/>
        <v>20213</v>
      </c>
      <c r="B20214" s="845" t="s">
        <v>2709</v>
      </c>
      <c r="D20214" s="862"/>
      <c r="I20214" s="845" t="str">
        <f>CONCATENATE("&lt;valeur&gt;",Cellule_14102,"&lt;/valeur&gt;")</f>
        <v>&lt;valeur&gt;&lt;/valeur&gt;</v>
      </c>
    </row>
    <row r="20215" spans="1:10" x14ac:dyDescent="0.2">
      <c r="A20215" s="859">
        <f t="shared" si="457"/>
        <v>20214</v>
      </c>
      <c r="B20215" s="845" t="s">
        <v>2709</v>
      </c>
      <c r="D20215" s="862"/>
      <c r="H20215" s="845" t="s">
        <v>1010</v>
      </c>
    </row>
    <row r="20216" spans="1:10" x14ac:dyDescent="0.2">
      <c r="A20216" s="859">
        <f t="shared" si="457"/>
        <v>20215</v>
      </c>
      <c r="B20216" s="845" t="s">
        <v>2709</v>
      </c>
      <c r="D20216" s="862"/>
      <c r="H20216" s="845" t="s">
        <v>1007</v>
      </c>
    </row>
    <row r="20217" spans="1:10" x14ac:dyDescent="0.2">
      <c r="A20217" s="859">
        <f t="shared" si="457"/>
        <v>20216</v>
      </c>
      <c r="B20217" s="845" t="s">
        <v>2709</v>
      </c>
      <c r="D20217" s="862"/>
      <c r="I20217" s="845" t="s">
        <v>1008</v>
      </c>
    </row>
    <row r="20218" spans="1:10" x14ac:dyDescent="0.2">
      <c r="A20218" s="859">
        <f t="shared" si="457"/>
        <v>20217</v>
      </c>
      <c r="B20218" s="845" t="s">
        <v>2709</v>
      </c>
      <c r="D20218" s="862"/>
      <c r="J20218" s="845" t="s">
        <v>2716</v>
      </c>
    </row>
    <row r="20219" spans="1:10" x14ac:dyDescent="0.2">
      <c r="A20219" s="859">
        <f t="shared" si="457"/>
        <v>20218</v>
      </c>
      <c r="B20219" s="845" t="s">
        <v>2709</v>
      </c>
      <c r="D20219" s="862"/>
      <c r="I20219" s="845" t="s">
        <v>1009</v>
      </c>
    </row>
    <row r="20220" spans="1:10" x14ac:dyDescent="0.2">
      <c r="A20220" s="859">
        <f t="shared" si="457"/>
        <v>20219</v>
      </c>
      <c r="B20220" s="845" t="s">
        <v>2709</v>
      </c>
      <c r="D20220" s="862"/>
      <c r="I20220" s="845" t="str">
        <f>CONCATENATE("&lt;valeur&gt;",Cellule_14105,"&lt;/valeur&gt;")</f>
        <v>&lt;valeur&gt;&lt;/valeur&gt;</v>
      </c>
    </row>
    <row r="20221" spans="1:10" x14ac:dyDescent="0.2">
      <c r="A20221" s="859">
        <f t="shared" si="457"/>
        <v>20220</v>
      </c>
      <c r="B20221" s="845" t="s">
        <v>2709</v>
      </c>
      <c r="D20221" s="862"/>
      <c r="H20221" s="845" t="s">
        <v>1010</v>
      </c>
    </row>
    <row r="20222" spans="1:10" x14ac:dyDescent="0.2">
      <c r="A20222" s="859">
        <f t="shared" si="457"/>
        <v>20221</v>
      </c>
      <c r="B20222" s="845" t="s">
        <v>2709</v>
      </c>
      <c r="D20222" s="862"/>
      <c r="G20222" s="845" t="s">
        <v>1011</v>
      </c>
    </row>
    <row r="20223" spans="1:10" x14ac:dyDescent="0.2">
      <c r="A20223" s="859">
        <f t="shared" si="457"/>
        <v>20222</v>
      </c>
      <c r="B20223" s="845" t="s">
        <v>2709</v>
      </c>
      <c r="D20223" s="862"/>
      <c r="G20223" s="845" t="s">
        <v>1012</v>
      </c>
    </row>
    <row r="20224" spans="1:10" x14ac:dyDescent="0.2">
      <c r="A20224" s="859">
        <f t="shared" si="457"/>
        <v>20223</v>
      </c>
      <c r="B20224" s="845" t="s">
        <v>2709</v>
      </c>
      <c r="D20224" s="862"/>
      <c r="G20224" s="845" t="s">
        <v>1013</v>
      </c>
    </row>
    <row r="20225" spans="1:10" x14ac:dyDescent="0.2">
      <c r="A20225" s="859">
        <f t="shared" si="457"/>
        <v>20224</v>
      </c>
      <c r="B20225" s="845" t="s">
        <v>2709</v>
      </c>
      <c r="D20225" s="862"/>
      <c r="F20225" s="845" t="s">
        <v>1014</v>
      </c>
    </row>
    <row r="20226" spans="1:10" x14ac:dyDescent="0.2">
      <c r="A20226" s="859">
        <f t="shared" si="457"/>
        <v>20225</v>
      </c>
      <c r="B20226" s="845" t="s">
        <v>2717</v>
      </c>
      <c r="D20226" s="862"/>
      <c r="F20226" s="845" t="s">
        <v>1005</v>
      </c>
    </row>
    <row r="20227" spans="1:10" x14ac:dyDescent="0.2">
      <c r="A20227" s="859">
        <f t="shared" si="457"/>
        <v>20226</v>
      </c>
      <c r="B20227" s="845" t="s">
        <v>2717</v>
      </c>
      <c r="D20227" s="862"/>
      <c r="G20227" s="845" t="s">
        <v>2718</v>
      </c>
    </row>
    <row r="20228" spans="1:10" x14ac:dyDescent="0.2">
      <c r="A20228" s="859">
        <f t="shared" ref="A20228:A20291" si="458">+A20227+1</f>
        <v>20227</v>
      </c>
      <c r="B20228" s="845" t="s">
        <v>2717</v>
      </c>
      <c r="D20228" s="862"/>
      <c r="G20228" s="845" t="s">
        <v>1006</v>
      </c>
    </row>
    <row r="20229" spans="1:10" x14ac:dyDescent="0.2">
      <c r="A20229" s="859">
        <f t="shared" si="458"/>
        <v>20228</v>
      </c>
      <c r="B20229" s="845" t="s">
        <v>2717</v>
      </c>
      <c r="D20229" s="862"/>
      <c r="H20229" s="845" t="s">
        <v>1007</v>
      </c>
    </row>
    <row r="20230" spans="1:10" x14ac:dyDescent="0.2">
      <c r="A20230" s="859">
        <f t="shared" si="458"/>
        <v>20229</v>
      </c>
      <c r="B20230" s="845" t="s">
        <v>2717</v>
      </c>
      <c r="D20230" s="862"/>
      <c r="I20230" s="845" t="s">
        <v>1008</v>
      </c>
    </row>
    <row r="20231" spans="1:10" x14ac:dyDescent="0.2">
      <c r="A20231" s="859">
        <f t="shared" si="458"/>
        <v>20230</v>
      </c>
      <c r="B20231" s="845" t="s">
        <v>2717</v>
      </c>
      <c r="D20231" s="862"/>
      <c r="J20231" s="845" t="s">
        <v>2719</v>
      </c>
    </row>
    <row r="20232" spans="1:10" x14ac:dyDescent="0.2">
      <c r="A20232" s="859">
        <f t="shared" si="458"/>
        <v>20231</v>
      </c>
      <c r="B20232" s="845" t="s">
        <v>2717</v>
      </c>
      <c r="D20232" s="862"/>
      <c r="I20232" s="845" t="s">
        <v>1009</v>
      </c>
    </row>
    <row r="20233" spans="1:10" x14ac:dyDescent="0.2">
      <c r="A20233" s="859">
        <f t="shared" si="458"/>
        <v>20232</v>
      </c>
      <c r="B20233" s="845" t="s">
        <v>2717</v>
      </c>
      <c r="D20233" s="862"/>
      <c r="I20233" s="845" t="str">
        <f>CONCATENATE("&lt;valeur&gt;",Cellule_14113,"&lt;/valeur&gt;")</f>
        <v>&lt;valeur&gt;0&lt;/valeur&gt;</v>
      </c>
    </row>
    <row r="20234" spans="1:10" x14ac:dyDescent="0.2">
      <c r="A20234" s="859">
        <f t="shared" si="458"/>
        <v>20233</v>
      </c>
      <c r="B20234" s="845" t="s">
        <v>2717</v>
      </c>
      <c r="D20234" s="862"/>
      <c r="H20234" s="845" t="s">
        <v>1010</v>
      </c>
    </row>
    <row r="20235" spans="1:10" x14ac:dyDescent="0.2">
      <c r="A20235" s="859">
        <f t="shared" si="458"/>
        <v>20234</v>
      </c>
      <c r="B20235" s="845" t="s">
        <v>2717</v>
      </c>
      <c r="D20235" s="862"/>
      <c r="H20235" s="845" t="s">
        <v>1007</v>
      </c>
    </row>
    <row r="20236" spans="1:10" x14ac:dyDescent="0.2">
      <c r="A20236" s="859">
        <f t="shared" si="458"/>
        <v>20235</v>
      </c>
      <c r="B20236" s="845" t="s">
        <v>2717</v>
      </c>
      <c r="D20236" s="862"/>
      <c r="I20236" s="845" t="s">
        <v>1008</v>
      </c>
    </row>
    <row r="20237" spans="1:10" x14ac:dyDescent="0.2">
      <c r="A20237" s="859">
        <f t="shared" si="458"/>
        <v>20236</v>
      </c>
      <c r="B20237" s="845" t="s">
        <v>2717</v>
      </c>
      <c r="D20237" s="862"/>
      <c r="J20237" s="845" t="s">
        <v>2720</v>
      </c>
    </row>
    <row r="20238" spans="1:10" x14ac:dyDescent="0.2">
      <c r="A20238" s="859">
        <f t="shared" si="458"/>
        <v>20237</v>
      </c>
      <c r="B20238" s="845" t="s">
        <v>2717</v>
      </c>
      <c r="D20238" s="862"/>
      <c r="I20238" s="845" t="s">
        <v>1009</v>
      </c>
    </row>
    <row r="20239" spans="1:10" x14ac:dyDescent="0.2">
      <c r="A20239" s="859">
        <f t="shared" si="458"/>
        <v>20238</v>
      </c>
      <c r="B20239" s="845" t="s">
        <v>2717</v>
      </c>
      <c r="D20239" s="862"/>
      <c r="I20239" s="845" t="str">
        <f>CONCATENATE("&lt;valeur&gt;",Cellule_14114,"&lt;/valeur&gt;")</f>
        <v>&lt;valeur&gt;0&lt;/valeur&gt;</v>
      </c>
    </row>
    <row r="20240" spans="1:10" x14ac:dyDescent="0.2">
      <c r="A20240" s="859">
        <f t="shared" si="458"/>
        <v>20239</v>
      </c>
      <c r="B20240" s="845" t="s">
        <v>2717</v>
      </c>
      <c r="D20240" s="862"/>
      <c r="H20240" s="845" t="s">
        <v>1010</v>
      </c>
    </row>
    <row r="20241" spans="1:10" x14ac:dyDescent="0.2">
      <c r="A20241" s="859">
        <f t="shared" si="458"/>
        <v>20240</v>
      </c>
      <c r="B20241" s="845" t="s">
        <v>2717</v>
      </c>
      <c r="D20241" s="862"/>
      <c r="H20241" s="845" t="s">
        <v>1007</v>
      </c>
    </row>
    <row r="20242" spans="1:10" x14ac:dyDescent="0.2">
      <c r="A20242" s="859">
        <f t="shared" si="458"/>
        <v>20241</v>
      </c>
      <c r="B20242" s="845" t="s">
        <v>2717</v>
      </c>
      <c r="D20242" s="862"/>
      <c r="I20242" s="845" t="s">
        <v>1008</v>
      </c>
    </row>
    <row r="20243" spans="1:10" x14ac:dyDescent="0.2">
      <c r="A20243" s="859">
        <f t="shared" si="458"/>
        <v>20242</v>
      </c>
      <c r="B20243" s="845" t="s">
        <v>2717</v>
      </c>
      <c r="D20243" s="862"/>
      <c r="J20243" s="845" t="s">
        <v>2721</v>
      </c>
    </row>
    <row r="20244" spans="1:10" x14ac:dyDescent="0.2">
      <c r="A20244" s="859">
        <f t="shared" si="458"/>
        <v>20243</v>
      </c>
      <c r="B20244" s="845" t="s">
        <v>2717</v>
      </c>
      <c r="D20244" s="862"/>
      <c r="I20244" s="845" t="s">
        <v>1009</v>
      </c>
    </row>
    <row r="20245" spans="1:10" x14ac:dyDescent="0.2">
      <c r="A20245" s="859">
        <f t="shared" si="458"/>
        <v>20244</v>
      </c>
      <c r="B20245" s="845" t="s">
        <v>2717</v>
      </c>
      <c r="D20245" s="862"/>
      <c r="I20245" s="845" t="str">
        <f>CONCATENATE("&lt;valeur&gt;",Cellule_14115,"&lt;/valeur&gt;")</f>
        <v>&lt;valeur&gt;0&lt;/valeur&gt;</v>
      </c>
    </row>
    <row r="20246" spans="1:10" x14ac:dyDescent="0.2">
      <c r="A20246" s="859">
        <f t="shared" si="458"/>
        <v>20245</v>
      </c>
      <c r="B20246" s="845" t="s">
        <v>2717</v>
      </c>
      <c r="D20246" s="862"/>
      <c r="H20246" s="845" t="s">
        <v>1010</v>
      </c>
    </row>
    <row r="20247" spans="1:10" x14ac:dyDescent="0.2">
      <c r="A20247" s="859">
        <f t="shared" si="458"/>
        <v>20246</v>
      </c>
      <c r="B20247" s="845" t="s">
        <v>2717</v>
      </c>
      <c r="D20247" s="862"/>
      <c r="H20247" s="845" t="s">
        <v>1007</v>
      </c>
    </row>
    <row r="20248" spans="1:10" x14ac:dyDescent="0.2">
      <c r="A20248" s="859">
        <f t="shared" si="458"/>
        <v>20247</v>
      </c>
      <c r="B20248" s="845" t="s">
        <v>2717</v>
      </c>
      <c r="D20248" s="862"/>
      <c r="I20248" s="845" t="s">
        <v>1008</v>
      </c>
    </row>
    <row r="20249" spans="1:10" x14ac:dyDescent="0.2">
      <c r="A20249" s="859">
        <f t="shared" si="458"/>
        <v>20248</v>
      </c>
      <c r="B20249" s="845" t="s">
        <v>2717</v>
      </c>
      <c r="D20249" s="862"/>
      <c r="J20249" s="845" t="s">
        <v>2722</v>
      </c>
    </row>
    <row r="20250" spans="1:10" x14ac:dyDescent="0.2">
      <c r="A20250" s="859">
        <f t="shared" si="458"/>
        <v>20249</v>
      </c>
      <c r="B20250" s="845" t="s">
        <v>2717</v>
      </c>
      <c r="D20250" s="862"/>
      <c r="I20250" s="845" t="s">
        <v>1009</v>
      </c>
    </row>
    <row r="20251" spans="1:10" x14ac:dyDescent="0.2">
      <c r="A20251" s="859">
        <f t="shared" si="458"/>
        <v>20250</v>
      </c>
      <c r="B20251" s="845" t="s">
        <v>2717</v>
      </c>
      <c r="D20251" s="862"/>
      <c r="I20251" s="845" t="str">
        <f>CONCATENATE("&lt;valeur&gt;",Cellule_14116,"&lt;/valeur&gt;")</f>
        <v>&lt;valeur&gt;0&lt;/valeur&gt;</v>
      </c>
    </row>
    <row r="20252" spans="1:10" x14ac:dyDescent="0.2">
      <c r="A20252" s="859">
        <f t="shared" si="458"/>
        <v>20251</v>
      </c>
      <c r="B20252" s="845" t="s">
        <v>2717</v>
      </c>
      <c r="D20252" s="862"/>
      <c r="H20252" s="845" t="s">
        <v>1010</v>
      </c>
    </row>
    <row r="20253" spans="1:10" x14ac:dyDescent="0.2">
      <c r="A20253" s="859">
        <f t="shared" si="458"/>
        <v>20252</v>
      </c>
      <c r="B20253" s="845" t="s">
        <v>2717</v>
      </c>
      <c r="D20253" s="862"/>
      <c r="H20253" s="845" t="s">
        <v>1007</v>
      </c>
    </row>
    <row r="20254" spans="1:10" x14ac:dyDescent="0.2">
      <c r="A20254" s="859">
        <f t="shared" si="458"/>
        <v>20253</v>
      </c>
      <c r="B20254" s="845" t="s">
        <v>2717</v>
      </c>
      <c r="D20254" s="862"/>
      <c r="I20254" s="845" t="s">
        <v>1008</v>
      </c>
    </row>
    <row r="20255" spans="1:10" x14ac:dyDescent="0.2">
      <c r="A20255" s="859">
        <f t="shared" si="458"/>
        <v>20254</v>
      </c>
      <c r="B20255" s="845" t="s">
        <v>2717</v>
      </c>
      <c r="D20255" s="862"/>
      <c r="J20255" s="845" t="s">
        <v>2723</v>
      </c>
    </row>
    <row r="20256" spans="1:10" x14ac:dyDescent="0.2">
      <c r="A20256" s="859">
        <f t="shared" si="458"/>
        <v>20255</v>
      </c>
      <c r="B20256" s="845" t="s">
        <v>2717</v>
      </c>
      <c r="D20256" s="862"/>
      <c r="I20256" s="845" t="s">
        <v>1009</v>
      </c>
    </row>
    <row r="20257" spans="1:10" x14ac:dyDescent="0.2">
      <c r="A20257" s="859">
        <f t="shared" si="458"/>
        <v>20256</v>
      </c>
      <c r="B20257" s="845" t="s">
        <v>2717</v>
      </c>
      <c r="D20257" s="862"/>
      <c r="I20257" s="845" t="str">
        <f>CONCATENATE("&lt;valeur&gt;",Cellule_14117,"&lt;/valeur&gt;")</f>
        <v>&lt;valeur&gt;0&lt;/valeur&gt;</v>
      </c>
    </row>
    <row r="20258" spans="1:10" x14ac:dyDescent="0.2">
      <c r="A20258" s="859">
        <f t="shared" si="458"/>
        <v>20257</v>
      </c>
      <c r="B20258" s="845" t="s">
        <v>2717</v>
      </c>
      <c r="D20258" s="862"/>
      <c r="H20258" s="845" t="s">
        <v>1010</v>
      </c>
    </row>
    <row r="20259" spans="1:10" x14ac:dyDescent="0.2">
      <c r="A20259" s="859">
        <f t="shared" si="458"/>
        <v>20258</v>
      </c>
      <c r="B20259" s="845" t="s">
        <v>2717</v>
      </c>
      <c r="D20259" s="862"/>
      <c r="H20259" s="845" t="s">
        <v>1007</v>
      </c>
    </row>
    <row r="20260" spans="1:10" x14ac:dyDescent="0.2">
      <c r="A20260" s="859">
        <f t="shared" si="458"/>
        <v>20259</v>
      </c>
      <c r="B20260" s="845" t="s">
        <v>2717</v>
      </c>
      <c r="D20260" s="862"/>
      <c r="I20260" s="845" t="s">
        <v>1008</v>
      </c>
    </row>
    <row r="20261" spans="1:10" x14ac:dyDescent="0.2">
      <c r="A20261" s="859">
        <f t="shared" si="458"/>
        <v>20260</v>
      </c>
      <c r="B20261" s="845" t="s">
        <v>2717</v>
      </c>
      <c r="D20261" s="862"/>
      <c r="J20261" s="845" t="s">
        <v>2724</v>
      </c>
    </row>
    <row r="20262" spans="1:10" x14ac:dyDescent="0.2">
      <c r="A20262" s="859">
        <f t="shared" si="458"/>
        <v>20261</v>
      </c>
      <c r="B20262" s="845" t="s">
        <v>2717</v>
      </c>
      <c r="D20262" s="862"/>
      <c r="I20262" s="845" t="s">
        <v>1009</v>
      </c>
    </row>
    <row r="20263" spans="1:10" x14ac:dyDescent="0.2">
      <c r="A20263" s="859">
        <f t="shared" si="458"/>
        <v>20262</v>
      </c>
      <c r="B20263" s="845" t="s">
        <v>2717</v>
      </c>
      <c r="D20263" s="862"/>
      <c r="I20263" s="845" t="str">
        <f>CONCATENATE("&lt;valeur&gt;",Cellule_14118,"&lt;/valeur&gt;")</f>
        <v>&lt;valeur&gt;0&lt;/valeur&gt;</v>
      </c>
    </row>
    <row r="20264" spans="1:10" x14ac:dyDescent="0.2">
      <c r="A20264" s="859">
        <f t="shared" si="458"/>
        <v>20263</v>
      </c>
      <c r="B20264" s="845" t="s">
        <v>2717</v>
      </c>
      <c r="D20264" s="862"/>
      <c r="H20264" s="845" t="s">
        <v>1010</v>
      </c>
    </row>
    <row r="20265" spans="1:10" x14ac:dyDescent="0.2">
      <c r="A20265" s="859">
        <f t="shared" si="458"/>
        <v>20264</v>
      </c>
      <c r="B20265" s="845" t="s">
        <v>2717</v>
      </c>
      <c r="D20265" s="862"/>
      <c r="H20265" s="845" t="s">
        <v>1007</v>
      </c>
    </row>
    <row r="20266" spans="1:10" x14ac:dyDescent="0.2">
      <c r="A20266" s="859">
        <f t="shared" si="458"/>
        <v>20265</v>
      </c>
      <c r="B20266" s="845" t="s">
        <v>2717</v>
      </c>
      <c r="D20266" s="862"/>
      <c r="I20266" s="845" t="s">
        <v>1008</v>
      </c>
    </row>
    <row r="20267" spans="1:10" x14ac:dyDescent="0.2">
      <c r="A20267" s="859">
        <f t="shared" si="458"/>
        <v>20266</v>
      </c>
      <c r="B20267" s="845" t="s">
        <v>2717</v>
      </c>
      <c r="D20267" s="862"/>
      <c r="J20267" s="845" t="s">
        <v>2725</v>
      </c>
    </row>
    <row r="20268" spans="1:10" x14ac:dyDescent="0.2">
      <c r="A20268" s="859">
        <f t="shared" si="458"/>
        <v>20267</v>
      </c>
      <c r="B20268" s="845" t="s">
        <v>2717</v>
      </c>
      <c r="D20268" s="862"/>
      <c r="I20268" s="845" t="s">
        <v>1009</v>
      </c>
    </row>
    <row r="20269" spans="1:10" x14ac:dyDescent="0.2">
      <c r="A20269" s="859">
        <f t="shared" si="458"/>
        <v>20268</v>
      </c>
      <c r="B20269" s="845" t="s">
        <v>2717</v>
      </c>
      <c r="D20269" s="862"/>
      <c r="I20269" s="845" t="str">
        <f>CONCATENATE("&lt;valeur&gt;",Cellule_14119,"&lt;/valeur&gt;")</f>
        <v>&lt;valeur&gt;0&lt;/valeur&gt;</v>
      </c>
    </row>
    <row r="20270" spans="1:10" x14ac:dyDescent="0.2">
      <c r="A20270" s="859">
        <f t="shared" si="458"/>
        <v>20269</v>
      </c>
      <c r="B20270" s="845" t="s">
        <v>2717</v>
      </c>
      <c r="D20270" s="862"/>
      <c r="H20270" s="845" t="s">
        <v>1010</v>
      </c>
    </row>
    <row r="20271" spans="1:10" x14ac:dyDescent="0.2">
      <c r="A20271" s="859">
        <f t="shared" si="458"/>
        <v>20270</v>
      </c>
      <c r="B20271" s="845" t="s">
        <v>2717</v>
      </c>
      <c r="D20271" s="862"/>
      <c r="H20271" s="845" t="s">
        <v>1007</v>
      </c>
    </row>
    <row r="20272" spans="1:10" x14ac:dyDescent="0.2">
      <c r="A20272" s="859">
        <f t="shared" si="458"/>
        <v>20271</v>
      </c>
      <c r="B20272" s="845" t="s">
        <v>2717</v>
      </c>
      <c r="D20272" s="862"/>
      <c r="I20272" s="845" t="s">
        <v>1008</v>
      </c>
    </row>
    <row r="20273" spans="1:10" x14ac:dyDescent="0.2">
      <c r="A20273" s="859">
        <f t="shared" si="458"/>
        <v>20272</v>
      </c>
      <c r="B20273" s="845" t="s">
        <v>2717</v>
      </c>
      <c r="D20273" s="862"/>
      <c r="J20273" s="845" t="s">
        <v>2726</v>
      </c>
    </row>
    <row r="20274" spans="1:10" x14ac:dyDescent="0.2">
      <c r="A20274" s="859">
        <f t="shared" si="458"/>
        <v>20273</v>
      </c>
      <c r="B20274" s="845" t="s">
        <v>2717</v>
      </c>
      <c r="D20274" s="862"/>
      <c r="I20274" s="845" t="s">
        <v>1009</v>
      </c>
    </row>
    <row r="20275" spans="1:10" x14ac:dyDescent="0.2">
      <c r="A20275" s="859">
        <f t="shared" si="458"/>
        <v>20274</v>
      </c>
      <c r="B20275" s="845" t="s">
        <v>2717</v>
      </c>
      <c r="D20275" s="862"/>
      <c r="I20275" s="845" t="str">
        <f>CONCATENATE("&lt;valeur&gt;",Cellule_14120,"&lt;/valeur&gt;")</f>
        <v>&lt;valeur&gt;0&lt;/valeur&gt;</v>
      </c>
    </row>
    <row r="20276" spans="1:10" x14ac:dyDescent="0.2">
      <c r="A20276" s="859">
        <f t="shared" si="458"/>
        <v>20275</v>
      </c>
      <c r="B20276" s="845" t="s">
        <v>2717</v>
      </c>
      <c r="D20276" s="862"/>
      <c r="H20276" s="845" t="s">
        <v>1010</v>
      </c>
    </row>
    <row r="20277" spans="1:10" x14ac:dyDescent="0.2">
      <c r="A20277" s="859">
        <f t="shared" si="458"/>
        <v>20276</v>
      </c>
      <c r="B20277" s="845" t="s">
        <v>2717</v>
      </c>
      <c r="D20277" s="862"/>
      <c r="H20277" s="845" t="s">
        <v>1007</v>
      </c>
    </row>
    <row r="20278" spans="1:10" x14ac:dyDescent="0.2">
      <c r="A20278" s="859">
        <f t="shared" si="458"/>
        <v>20277</v>
      </c>
      <c r="B20278" s="845" t="s">
        <v>2717</v>
      </c>
      <c r="D20278" s="862"/>
      <c r="I20278" s="845" t="s">
        <v>1008</v>
      </c>
    </row>
    <row r="20279" spans="1:10" x14ac:dyDescent="0.2">
      <c r="A20279" s="859">
        <f t="shared" si="458"/>
        <v>20278</v>
      </c>
      <c r="B20279" s="845" t="s">
        <v>2717</v>
      </c>
      <c r="D20279" s="862"/>
      <c r="J20279" s="845" t="s">
        <v>2727</v>
      </c>
    </row>
    <row r="20280" spans="1:10" x14ac:dyDescent="0.2">
      <c r="A20280" s="859">
        <f t="shared" si="458"/>
        <v>20279</v>
      </c>
      <c r="B20280" s="845" t="s">
        <v>2717</v>
      </c>
      <c r="D20280" s="862"/>
      <c r="I20280" s="845" t="s">
        <v>1009</v>
      </c>
    </row>
    <row r="20281" spans="1:10" x14ac:dyDescent="0.2">
      <c r="A20281" s="859">
        <f t="shared" si="458"/>
        <v>20280</v>
      </c>
      <c r="B20281" s="845" t="s">
        <v>2717</v>
      </c>
      <c r="D20281" s="862"/>
      <c r="I20281" s="845" t="str">
        <f>CONCATENATE("&lt;valeur&gt;",Cellule_14121,"&lt;/valeur&gt;")</f>
        <v>&lt;valeur&gt;0&lt;/valeur&gt;</v>
      </c>
    </row>
    <row r="20282" spans="1:10" x14ac:dyDescent="0.2">
      <c r="A20282" s="859">
        <f t="shared" si="458"/>
        <v>20281</v>
      </c>
      <c r="B20282" s="845" t="s">
        <v>2717</v>
      </c>
      <c r="D20282" s="862"/>
      <c r="H20282" s="845" t="s">
        <v>1010</v>
      </c>
    </row>
    <row r="20283" spans="1:10" x14ac:dyDescent="0.2">
      <c r="A20283" s="859">
        <f t="shared" si="458"/>
        <v>20282</v>
      </c>
      <c r="B20283" s="845" t="s">
        <v>2717</v>
      </c>
      <c r="D20283" s="862"/>
      <c r="H20283" s="845" t="s">
        <v>1007</v>
      </c>
    </row>
    <row r="20284" spans="1:10" x14ac:dyDescent="0.2">
      <c r="A20284" s="859">
        <f t="shared" si="458"/>
        <v>20283</v>
      </c>
      <c r="B20284" s="845" t="s">
        <v>2717</v>
      </c>
      <c r="D20284" s="862"/>
      <c r="I20284" s="845" t="s">
        <v>1008</v>
      </c>
    </row>
    <row r="20285" spans="1:10" x14ac:dyDescent="0.2">
      <c r="A20285" s="859">
        <f t="shared" si="458"/>
        <v>20284</v>
      </c>
      <c r="B20285" s="845" t="s">
        <v>2717</v>
      </c>
      <c r="D20285" s="862"/>
      <c r="J20285" s="845" t="s">
        <v>2728</v>
      </c>
    </row>
    <row r="20286" spans="1:10" x14ac:dyDescent="0.2">
      <c r="A20286" s="859">
        <f t="shared" si="458"/>
        <v>20285</v>
      </c>
      <c r="B20286" s="845" t="s">
        <v>2717</v>
      </c>
      <c r="D20286" s="862"/>
      <c r="I20286" s="845" t="s">
        <v>1009</v>
      </c>
    </row>
    <row r="20287" spans="1:10" x14ac:dyDescent="0.2">
      <c r="A20287" s="859">
        <f t="shared" si="458"/>
        <v>20286</v>
      </c>
      <c r="B20287" s="845" t="s">
        <v>2717</v>
      </c>
      <c r="D20287" s="862"/>
      <c r="I20287" s="845" t="str">
        <f>CONCATENATE("&lt;valeur&gt;",Cellule_14122,"&lt;/valeur&gt;")</f>
        <v>&lt;valeur&gt;0&lt;/valeur&gt;</v>
      </c>
    </row>
    <row r="20288" spans="1:10" x14ac:dyDescent="0.2">
      <c r="A20288" s="859">
        <f t="shared" si="458"/>
        <v>20287</v>
      </c>
      <c r="B20288" s="845" t="s">
        <v>2717</v>
      </c>
      <c r="D20288" s="862"/>
      <c r="H20288" s="845" t="s">
        <v>1010</v>
      </c>
    </row>
    <row r="20289" spans="1:10" x14ac:dyDescent="0.2">
      <c r="A20289" s="859">
        <f t="shared" si="458"/>
        <v>20288</v>
      </c>
      <c r="B20289" s="845" t="s">
        <v>2717</v>
      </c>
      <c r="D20289" s="862"/>
      <c r="H20289" s="845" t="s">
        <v>1007</v>
      </c>
    </row>
    <row r="20290" spans="1:10" x14ac:dyDescent="0.2">
      <c r="A20290" s="859">
        <f t="shared" si="458"/>
        <v>20289</v>
      </c>
      <c r="B20290" s="845" t="s">
        <v>2717</v>
      </c>
      <c r="D20290" s="862"/>
      <c r="I20290" s="845" t="s">
        <v>1008</v>
      </c>
    </row>
    <row r="20291" spans="1:10" x14ac:dyDescent="0.2">
      <c r="A20291" s="859">
        <f t="shared" si="458"/>
        <v>20290</v>
      </c>
      <c r="B20291" s="845" t="s">
        <v>2717</v>
      </c>
      <c r="D20291" s="862"/>
      <c r="J20291" s="845" t="s">
        <v>2729</v>
      </c>
    </row>
    <row r="20292" spans="1:10" x14ac:dyDescent="0.2">
      <c r="A20292" s="859">
        <f t="shared" ref="A20292:A20355" si="459">+A20291+1</f>
        <v>20291</v>
      </c>
      <c r="B20292" s="845" t="s">
        <v>2717</v>
      </c>
      <c r="D20292" s="862"/>
      <c r="I20292" s="845" t="s">
        <v>1009</v>
      </c>
    </row>
    <row r="20293" spans="1:10" x14ac:dyDescent="0.2">
      <c r="A20293" s="859">
        <f t="shared" si="459"/>
        <v>20292</v>
      </c>
      <c r="B20293" s="845" t="s">
        <v>2717</v>
      </c>
      <c r="D20293" s="862"/>
      <c r="I20293" s="845" t="str">
        <f>CONCATENATE("&lt;valeur&gt;",Cellule_14123,"&lt;/valeur&gt;")</f>
        <v>&lt;valeur&gt;0&lt;/valeur&gt;</v>
      </c>
    </row>
    <row r="20294" spans="1:10" x14ac:dyDescent="0.2">
      <c r="A20294" s="859">
        <f t="shared" si="459"/>
        <v>20293</v>
      </c>
      <c r="B20294" s="845" t="s">
        <v>2717</v>
      </c>
      <c r="D20294" s="862"/>
      <c r="H20294" s="845" t="s">
        <v>1010</v>
      </c>
    </row>
    <row r="20295" spans="1:10" x14ac:dyDescent="0.2">
      <c r="A20295" s="859">
        <f t="shared" si="459"/>
        <v>20294</v>
      </c>
      <c r="B20295" s="845" t="s">
        <v>2717</v>
      </c>
      <c r="D20295" s="862"/>
      <c r="H20295" s="845" t="s">
        <v>1007</v>
      </c>
    </row>
    <row r="20296" spans="1:10" x14ac:dyDescent="0.2">
      <c r="A20296" s="859">
        <f t="shared" si="459"/>
        <v>20295</v>
      </c>
      <c r="B20296" s="845" t="s">
        <v>2717</v>
      </c>
      <c r="D20296" s="862"/>
      <c r="I20296" s="845" t="s">
        <v>1008</v>
      </c>
    </row>
    <row r="20297" spans="1:10" x14ac:dyDescent="0.2">
      <c r="A20297" s="859">
        <f t="shared" si="459"/>
        <v>20296</v>
      </c>
      <c r="B20297" s="845" t="s">
        <v>2717</v>
      </c>
      <c r="D20297" s="862"/>
      <c r="J20297" s="845" t="s">
        <v>2730</v>
      </c>
    </row>
    <row r="20298" spans="1:10" x14ac:dyDescent="0.2">
      <c r="A20298" s="859">
        <f t="shared" si="459"/>
        <v>20297</v>
      </c>
      <c r="B20298" s="845" t="s">
        <v>2717</v>
      </c>
      <c r="D20298" s="862"/>
      <c r="I20298" s="845" t="s">
        <v>1009</v>
      </c>
    </row>
    <row r="20299" spans="1:10" x14ac:dyDescent="0.2">
      <c r="A20299" s="859">
        <f t="shared" si="459"/>
        <v>20298</v>
      </c>
      <c r="B20299" s="845" t="s">
        <v>2717</v>
      </c>
      <c r="D20299" s="862"/>
      <c r="I20299" s="845" t="str">
        <f>CONCATENATE("&lt;valeur&gt;",Cellule_14124,"&lt;/valeur&gt;")</f>
        <v>&lt;valeur&gt;0&lt;/valeur&gt;</v>
      </c>
    </row>
    <row r="20300" spans="1:10" x14ac:dyDescent="0.2">
      <c r="A20300" s="859">
        <f t="shared" si="459"/>
        <v>20299</v>
      </c>
      <c r="B20300" s="845" t="s">
        <v>2717</v>
      </c>
      <c r="D20300" s="862"/>
      <c r="H20300" s="845" t="s">
        <v>1010</v>
      </c>
    </row>
    <row r="20301" spans="1:10" x14ac:dyDescent="0.2">
      <c r="A20301" s="859">
        <f t="shared" si="459"/>
        <v>20300</v>
      </c>
      <c r="B20301" s="845" t="s">
        <v>2717</v>
      </c>
      <c r="D20301" s="862"/>
      <c r="H20301" s="845" t="s">
        <v>1007</v>
      </c>
    </row>
    <row r="20302" spans="1:10" x14ac:dyDescent="0.2">
      <c r="A20302" s="859">
        <f t="shared" si="459"/>
        <v>20301</v>
      </c>
      <c r="B20302" s="845" t="s">
        <v>2717</v>
      </c>
      <c r="D20302" s="862"/>
      <c r="I20302" s="845" t="s">
        <v>1008</v>
      </c>
    </row>
    <row r="20303" spans="1:10" x14ac:dyDescent="0.2">
      <c r="A20303" s="859">
        <f t="shared" si="459"/>
        <v>20302</v>
      </c>
      <c r="B20303" s="845" t="s">
        <v>2717</v>
      </c>
      <c r="D20303" s="862"/>
      <c r="J20303" s="845" t="s">
        <v>2731</v>
      </c>
    </row>
    <row r="20304" spans="1:10" x14ac:dyDescent="0.2">
      <c r="A20304" s="859">
        <f t="shared" si="459"/>
        <v>20303</v>
      </c>
      <c r="B20304" s="845" t="s">
        <v>2717</v>
      </c>
      <c r="D20304" s="862"/>
      <c r="I20304" s="845" t="s">
        <v>1009</v>
      </c>
    </row>
    <row r="20305" spans="1:10" x14ac:dyDescent="0.2">
      <c r="A20305" s="859">
        <f t="shared" si="459"/>
        <v>20304</v>
      </c>
      <c r="B20305" s="845" t="s">
        <v>2717</v>
      </c>
      <c r="D20305" s="862"/>
      <c r="I20305" s="845" t="str">
        <f>CONCATENATE("&lt;valeur&gt;",Cellule_14125,"&lt;/valeur&gt;")</f>
        <v>&lt;valeur&gt;0&lt;/valeur&gt;</v>
      </c>
    </row>
    <row r="20306" spans="1:10" x14ac:dyDescent="0.2">
      <c r="A20306" s="859">
        <f t="shared" si="459"/>
        <v>20305</v>
      </c>
      <c r="B20306" s="845" t="s">
        <v>2717</v>
      </c>
      <c r="D20306" s="862"/>
      <c r="H20306" s="845" t="s">
        <v>1010</v>
      </c>
    </row>
    <row r="20307" spans="1:10" x14ac:dyDescent="0.2">
      <c r="A20307" s="859">
        <f t="shared" si="459"/>
        <v>20306</v>
      </c>
      <c r="B20307" s="845" t="s">
        <v>2717</v>
      </c>
      <c r="D20307" s="862"/>
      <c r="H20307" s="845" t="s">
        <v>1007</v>
      </c>
    </row>
    <row r="20308" spans="1:10" x14ac:dyDescent="0.2">
      <c r="A20308" s="859">
        <f t="shared" si="459"/>
        <v>20307</v>
      </c>
      <c r="B20308" s="845" t="s">
        <v>2717</v>
      </c>
      <c r="D20308" s="862"/>
      <c r="I20308" s="845" t="s">
        <v>1008</v>
      </c>
    </row>
    <row r="20309" spans="1:10" x14ac:dyDescent="0.2">
      <c r="A20309" s="859">
        <f t="shared" si="459"/>
        <v>20308</v>
      </c>
      <c r="B20309" s="845" t="s">
        <v>2717</v>
      </c>
      <c r="D20309" s="862"/>
      <c r="J20309" s="845" t="s">
        <v>2732</v>
      </c>
    </row>
    <row r="20310" spans="1:10" x14ac:dyDescent="0.2">
      <c r="A20310" s="859">
        <f t="shared" si="459"/>
        <v>20309</v>
      </c>
      <c r="B20310" s="845" t="s">
        <v>2717</v>
      </c>
      <c r="D20310" s="862"/>
      <c r="I20310" s="845" t="s">
        <v>1009</v>
      </c>
    </row>
    <row r="20311" spans="1:10" x14ac:dyDescent="0.2">
      <c r="A20311" s="859">
        <f t="shared" si="459"/>
        <v>20310</v>
      </c>
      <c r="B20311" s="845" t="s">
        <v>2717</v>
      </c>
      <c r="D20311" s="862"/>
      <c r="I20311" s="845" t="str">
        <f>CONCATENATE("&lt;valeur&gt;",Cellule_14126,"&lt;/valeur&gt;")</f>
        <v>&lt;valeur&gt;0&lt;/valeur&gt;</v>
      </c>
    </row>
    <row r="20312" spans="1:10" x14ac:dyDescent="0.2">
      <c r="A20312" s="859">
        <f t="shared" si="459"/>
        <v>20311</v>
      </c>
      <c r="B20312" s="845" t="s">
        <v>2717</v>
      </c>
      <c r="D20312" s="862"/>
      <c r="H20312" s="845" t="s">
        <v>1010</v>
      </c>
    </row>
    <row r="20313" spans="1:10" x14ac:dyDescent="0.2">
      <c r="A20313" s="859">
        <f t="shared" si="459"/>
        <v>20312</v>
      </c>
      <c r="B20313" s="845" t="s">
        <v>2717</v>
      </c>
      <c r="D20313" s="862"/>
      <c r="H20313" s="845" t="s">
        <v>1007</v>
      </c>
    </row>
    <row r="20314" spans="1:10" x14ac:dyDescent="0.2">
      <c r="A20314" s="859">
        <f t="shared" si="459"/>
        <v>20313</v>
      </c>
      <c r="B20314" s="845" t="s">
        <v>2717</v>
      </c>
      <c r="D20314" s="862"/>
      <c r="I20314" s="845" t="s">
        <v>1008</v>
      </c>
    </row>
    <row r="20315" spans="1:10" x14ac:dyDescent="0.2">
      <c r="A20315" s="859">
        <f t="shared" si="459"/>
        <v>20314</v>
      </c>
      <c r="B20315" s="845" t="s">
        <v>2717</v>
      </c>
      <c r="D20315" s="862"/>
      <c r="J20315" s="845" t="s">
        <v>2733</v>
      </c>
    </row>
    <row r="20316" spans="1:10" x14ac:dyDescent="0.2">
      <c r="A20316" s="859">
        <f t="shared" si="459"/>
        <v>20315</v>
      </c>
      <c r="B20316" s="845" t="s">
        <v>2717</v>
      </c>
      <c r="D20316" s="862"/>
      <c r="I20316" s="845" t="s">
        <v>1009</v>
      </c>
    </row>
    <row r="20317" spans="1:10" x14ac:dyDescent="0.2">
      <c r="A20317" s="859">
        <f t="shared" si="459"/>
        <v>20316</v>
      </c>
      <c r="B20317" s="845" t="s">
        <v>2717</v>
      </c>
      <c r="D20317" s="862"/>
      <c r="I20317" s="845" t="str">
        <f>CONCATENATE("&lt;valeur&gt;",Cellule_14127,"&lt;/valeur&gt;")</f>
        <v>&lt;valeur&gt;0&lt;/valeur&gt;</v>
      </c>
    </row>
    <row r="20318" spans="1:10" x14ac:dyDescent="0.2">
      <c r="A20318" s="859">
        <f t="shared" si="459"/>
        <v>20317</v>
      </c>
      <c r="B20318" s="845" t="s">
        <v>2717</v>
      </c>
      <c r="D20318" s="862"/>
      <c r="H20318" s="845" t="s">
        <v>1010</v>
      </c>
    </row>
    <row r="20319" spans="1:10" x14ac:dyDescent="0.2">
      <c r="A20319" s="859">
        <f t="shared" si="459"/>
        <v>20318</v>
      </c>
      <c r="B20319" s="845" t="s">
        <v>2717</v>
      </c>
      <c r="D20319" s="862"/>
      <c r="H20319" s="845" t="s">
        <v>1007</v>
      </c>
    </row>
    <row r="20320" spans="1:10" x14ac:dyDescent="0.2">
      <c r="A20320" s="859">
        <f t="shared" si="459"/>
        <v>20319</v>
      </c>
      <c r="B20320" s="845" t="s">
        <v>2717</v>
      </c>
      <c r="D20320" s="862"/>
      <c r="I20320" s="845" t="s">
        <v>1008</v>
      </c>
    </row>
    <row r="20321" spans="1:10" x14ac:dyDescent="0.2">
      <c r="A20321" s="859">
        <f t="shared" si="459"/>
        <v>20320</v>
      </c>
      <c r="B20321" s="845" t="s">
        <v>2717</v>
      </c>
      <c r="D20321" s="862"/>
      <c r="J20321" s="845" t="s">
        <v>2734</v>
      </c>
    </row>
    <row r="20322" spans="1:10" x14ac:dyDescent="0.2">
      <c r="A20322" s="859">
        <f t="shared" si="459"/>
        <v>20321</v>
      </c>
      <c r="B20322" s="845" t="s">
        <v>2717</v>
      </c>
      <c r="D20322" s="862"/>
      <c r="I20322" s="845" t="s">
        <v>1009</v>
      </c>
    </row>
    <row r="20323" spans="1:10" x14ac:dyDescent="0.2">
      <c r="A20323" s="859">
        <f t="shared" si="459"/>
        <v>20322</v>
      </c>
      <c r="B20323" s="845" t="s">
        <v>2717</v>
      </c>
      <c r="D20323" s="862"/>
      <c r="I20323" s="845" t="str">
        <f>CONCATENATE("&lt;valeur&gt;",Cellule_14128,"&lt;/valeur&gt;")</f>
        <v>&lt;valeur&gt;0&lt;/valeur&gt;</v>
      </c>
    </row>
    <row r="20324" spans="1:10" x14ac:dyDescent="0.2">
      <c r="A20324" s="859">
        <f t="shared" si="459"/>
        <v>20323</v>
      </c>
      <c r="B20324" s="845" t="s">
        <v>2717</v>
      </c>
      <c r="D20324" s="862"/>
      <c r="H20324" s="845" t="s">
        <v>1010</v>
      </c>
    </row>
    <row r="20325" spans="1:10" x14ac:dyDescent="0.2">
      <c r="A20325" s="859">
        <f t="shared" si="459"/>
        <v>20324</v>
      </c>
      <c r="B20325" s="845" t="s">
        <v>2717</v>
      </c>
      <c r="D20325" s="862"/>
      <c r="H20325" s="845" t="s">
        <v>1007</v>
      </c>
    </row>
    <row r="20326" spans="1:10" x14ac:dyDescent="0.2">
      <c r="A20326" s="859">
        <f t="shared" si="459"/>
        <v>20325</v>
      </c>
      <c r="B20326" s="845" t="s">
        <v>2717</v>
      </c>
      <c r="D20326" s="862"/>
      <c r="I20326" s="845" t="s">
        <v>1008</v>
      </c>
    </row>
    <row r="20327" spans="1:10" x14ac:dyDescent="0.2">
      <c r="A20327" s="859">
        <f t="shared" si="459"/>
        <v>20326</v>
      </c>
      <c r="B20327" s="845" t="s">
        <v>2717</v>
      </c>
      <c r="D20327" s="862"/>
      <c r="J20327" s="845" t="s">
        <v>2735</v>
      </c>
    </row>
    <row r="20328" spans="1:10" x14ac:dyDescent="0.2">
      <c r="A20328" s="859">
        <f t="shared" si="459"/>
        <v>20327</v>
      </c>
      <c r="B20328" s="845" t="s">
        <v>2717</v>
      </c>
      <c r="D20328" s="862"/>
      <c r="I20328" s="845" t="s">
        <v>1009</v>
      </c>
    </row>
    <row r="20329" spans="1:10" x14ac:dyDescent="0.2">
      <c r="A20329" s="859">
        <f t="shared" si="459"/>
        <v>20328</v>
      </c>
      <c r="B20329" s="845" t="s">
        <v>2717</v>
      </c>
      <c r="D20329" s="862"/>
      <c r="I20329" s="845" t="str">
        <f>CONCATENATE("&lt;valeur&gt;",Cellule_14129,"&lt;/valeur&gt;")</f>
        <v>&lt;valeur&gt;0&lt;/valeur&gt;</v>
      </c>
    </row>
    <row r="20330" spans="1:10" x14ac:dyDescent="0.2">
      <c r="A20330" s="859">
        <f t="shared" si="459"/>
        <v>20329</v>
      </c>
      <c r="B20330" s="845" t="s">
        <v>2717</v>
      </c>
      <c r="D20330" s="862"/>
      <c r="H20330" s="845" t="s">
        <v>1010</v>
      </c>
    </row>
    <row r="20331" spans="1:10" x14ac:dyDescent="0.2">
      <c r="A20331" s="859">
        <f t="shared" si="459"/>
        <v>20330</v>
      </c>
      <c r="B20331" s="845" t="s">
        <v>2717</v>
      </c>
      <c r="D20331" s="862"/>
      <c r="H20331" s="845" t="s">
        <v>1007</v>
      </c>
    </row>
    <row r="20332" spans="1:10" x14ac:dyDescent="0.2">
      <c r="A20332" s="859">
        <f t="shared" si="459"/>
        <v>20331</v>
      </c>
      <c r="B20332" s="845" t="s">
        <v>2717</v>
      </c>
      <c r="D20332" s="862"/>
      <c r="I20332" s="845" t="s">
        <v>1008</v>
      </c>
    </row>
    <row r="20333" spans="1:10" x14ac:dyDescent="0.2">
      <c r="A20333" s="859">
        <f t="shared" si="459"/>
        <v>20332</v>
      </c>
      <c r="B20333" s="845" t="s">
        <v>2717</v>
      </c>
      <c r="D20333" s="862"/>
      <c r="J20333" s="845" t="s">
        <v>2736</v>
      </c>
    </row>
    <row r="20334" spans="1:10" x14ac:dyDescent="0.2">
      <c r="A20334" s="859">
        <f t="shared" si="459"/>
        <v>20333</v>
      </c>
      <c r="B20334" s="845" t="s">
        <v>2717</v>
      </c>
      <c r="D20334" s="862"/>
      <c r="I20334" s="845" t="s">
        <v>1009</v>
      </c>
    </row>
    <row r="20335" spans="1:10" x14ac:dyDescent="0.2">
      <c r="A20335" s="859">
        <f t="shared" si="459"/>
        <v>20334</v>
      </c>
      <c r="B20335" s="845" t="s">
        <v>2717</v>
      </c>
      <c r="D20335" s="862"/>
      <c r="I20335" s="845" t="str">
        <f>CONCATENATE("&lt;valeur&gt;",Cellule_14130,"&lt;/valeur&gt;")</f>
        <v>&lt;valeur&gt;0&lt;/valeur&gt;</v>
      </c>
    </row>
    <row r="20336" spans="1:10" x14ac:dyDescent="0.2">
      <c r="A20336" s="859">
        <f t="shared" si="459"/>
        <v>20335</v>
      </c>
      <c r="B20336" s="845" t="s">
        <v>2717</v>
      </c>
      <c r="D20336" s="862"/>
      <c r="H20336" s="845" t="s">
        <v>1010</v>
      </c>
    </row>
    <row r="20337" spans="1:10" x14ac:dyDescent="0.2">
      <c r="A20337" s="859">
        <f t="shared" si="459"/>
        <v>20336</v>
      </c>
      <c r="B20337" s="845" t="s">
        <v>2717</v>
      </c>
      <c r="D20337" s="862"/>
      <c r="H20337" s="845" t="s">
        <v>1007</v>
      </c>
    </row>
    <row r="20338" spans="1:10" x14ac:dyDescent="0.2">
      <c r="A20338" s="859">
        <f t="shared" si="459"/>
        <v>20337</v>
      </c>
      <c r="B20338" s="845" t="s">
        <v>2717</v>
      </c>
      <c r="D20338" s="862"/>
      <c r="I20338" s="845" t="s">
        <v>1008</v>
      </c>
    </row>
    <row r="20339" spans="1:10" x14ac:dyDescent="0.2">
      <c r="A20339" s="859">
        <f t="shared" si="459"/>
        <v>20338</v>
      </c>
      <c r="B20339" s="845" t="s">
        <v>2717</v>
      </c>
      <c r="D20339" s="862"/>
      <c r="J20339" s="845" t="s">
        <v>2737</v>
      </c>
    </row>
    <row r="20340" spans="1:10" x14ac:dyDescent="0.2">
      <c r="A20340" s="859">
        <f t="shared" si="459"/>
        <v>20339</v>
      </c>
      <c r="B20340" s="845" t="s">
        <v>2717</v>
      </c>
      <c r="D20340" s="862"/>
      <c r="I20340" s="845" t="s">
        <v>1009</v>
      </c>
    </row>
    <row r="20341" spans="1:10" x14ac:dyDescent="0.2">
      <c r="A20341" s="859">
        <f t="shared" si="459"/>
        <v>20340</v>
      </c>
      <c r="B20341" s="845" t="s">
        <v>2717</v>
      </c>
      <c r="D20341" s="862"/>
      <c r="I20341" s="845" t="str">
        <f>CONCATENATE("&lt;valeur&gt;",Cellule_14132,"&lt;/valeur&gt;")</f>
        <v>&lt;valeur&gt;0&lt;/valeur&gt;</v>
      </c>
    </row>
    <row r="20342" spans="1:10" x14ac:dyDescent="0.2">
      <c r="A20342" s="859">
        <f t="shared" si="459"/>
        <v>20341</v>
      </c>
      <c r="B20342" s="845" t="s">
        <v>2717</v>
      </c>
      <c r="D20342" s="862"/>
      <c r="H20342" s="845" t="s">
        <v>1010</v>
      </c>
    </row>
    <row r="20343" spans="1:10" x14ac:dyDescent="0.2">
      <c r="A20343" s="859">
        <f t="shared" si="459"/>
        <v>20342</v>
      </c>
      <c r="B20343" s="845" t="s">
        <v>2717</v>
      </c>
      <c r="D20343" s="862"/>
      <c r="H20343" s="845" t="s">
        <v>1007</v>
      </c>
    </row>
    <row r="20344" spans="1:10" x14ac:dyDescent="0.2">
      <c r="A20344" s="859">
        <f t="shared" si="459"/>
        <v>20343</v>
      </c>
      <c r="B20344" s="845" t="s">
        <v>2717</v>
      </c>
      <c r="D20344" s="862"/>
      <c r="I20344" s="845" t="s">
        <v>1008</v>
      </c>
    </row>
    <row r="20345" spans="1:10" x14ac:dyDescent="0.2">
      <c r="A20345" s="859">
        <f t="shared" si="459"/>
        <v>20344</v>
      </c>
      <c r="B20345" s="845" t="s">
        <v>2717</v>
      </c>
      <c r="D20345" s="862"/>
      <c r="J20345" s="845" t="s">
        <v>2738</v>
      </c>
    </row>
    <row r="20346" spans="1:10" x14ac:dyDescent="0.2">
      <c r="A20346" s="859">
        <f t="shared" si="459"/>
        <v>20345</v>
      </c>
      <c r="B20346" s="845" t="s">
        <v>2717</v>
      </c>
      <c r="D20346" s="862"/>
      <c r="I20346" s="845" t="s">
        <v>1009</v>
      </c>
    </row>
    <row r="20347" spans="1:10" x14ac:dyDescent="0.2">
      <c r="A20347" s="859">
        <f t="shared" si="459"/>
        <v>20346</v>
      </c>
      <c r="B20347" s="845" t="s">
        <v>2717</v>
      </c>
      <c r="D20347" s="862"/>
      <c r="I20347" s="845" t="str">
        <f>CONCATENATE("&lt;valeur&gt;",Cellule_14133,"&lt;/valeur&gt;")</f>
        <v>&lt;valeur&gt;0&lt;/valeur&gt;</v>
      </c>
    </row>
    <row r="20348" spans="1:10" x14ac:dyDescent="0.2">
      <c r="A20348" s="859">
        <f t="shared" si="459"/>
        <v>20347</v>
      </c>
      <c r="B20348" s="845" t="s">
        <v>2717</v>
      </c>
      <c r="D20348" s="862"/>
      <c r="H20348" s="845" t="s">
        <v>1010</v>
      </c>
    </row>
    <row r="20349" spans="1:10" x14ac:dyDescent="0.2">
      <c r="A20349" s="859">
        <f t="shared" si="459"/>
        <v>20348</v>
      </c>
      <c r="B20349" s="845" t="s">
        <v>2717</v>
      </c>
      <c r="D20349" s="862"/>
      <c r="H20349" s="845" t="s">
        <v>1007</v>
      </c>
    </row>
    <row r="20350" spans="1:10" x14ac:dyDescent="0.2">
      <c r="A20350" s="859">
        <f t="shared" si="459"/>
        <v>20349</v>
      </c>
      <c r="B20350" s="845" t="s">
        <v>2717</v>
      </c>
      <c r="D20350" s="862"/>
      <c r="I20350" s="845" t="s">
        <v>1008</v>
      </c>
    </row>
    <row r="20351" spans="1:10" x14ac:dyDescent="0.2">
      <c r="A20351" s="859">
        <f t="shared" si="459"/>
        <v>20350</v>
      </c>
      <c r="B20351" s="845" t="s">
        <v>2717</v>
      </c>
      <c r="D20351" s="862"/>
      <c r="J20351" s="845" t="s">
        <v>2739</v>
      </c>
    </row>
    <row r="20352" spans="1:10" x14ac:dyDescent="0.2">
      <c r="A20352" s="859">
        <f t="shared" si="459"/>
        <v>20351</v>
      </c>
      <c r="B20352" s="845" t="s">
        <v>2717</v>
      </c>
      <c r="D20352" s="862"/>
      <c r="I20352" s="845" t="s">
        <v>1009</v>
      </c>
    </row>
    <row r="20353" spans="1:10" x14ac:dyDescent="0.2">
      <c r="A20353" s="859">
        <f t="shared" si="459"/>
        <v>20352</v>
      </c>
      <c r="B20353" s="845" t="s">
        <v>2717</v>
      </c>
      <c r="D20353" s="862"/>
      <c r="I20353" s="845" t="str">
        <f>CONCATENATE("&lt;valeur&gt;",Cellule_14131,"&lt;/valeur&gt;")</f>
        <v>&lt;valeur&gt;0&lt;/valeur&gt;</v>
      </c>
    </row>
    <row r="20354" spans="1:10" x14ac:dyDescent="0.2">
      <c r="A20354" s="859">
        <f t="shared" si="459"/>
        <v>20353</v>
      </c>
      <c r="B20354" s="845" t="s">
        <v>2717</v>
      </c>
      <c r="D20354" s="862"/>
      <c r="H20354" s="845" t="s">
        <v>1010</v>
      </c>
    </row>
    <row r="20355" spans="1:10" x14ac:dyDescent="0.2">
      <c r="A20355" s="859">
        <f t="shared" si="459"/>
        <v>20354</v>
      </c>
      <c r="B20355" s="845" t="s">
        <v>2717</v>
      </c>
      <c r="D20355" s="862"/>
      <c r="H20355" s="845" t="s">
        <v>1007</v>
      </c>
    </row>
    <row r="20356" spans="1:10" x14ac:dyDescent="0.2">
      <c r="A20356" s="859">
        <f t="shared" ref="A20356:A20419" si="460">+A20355+1</f>
        <v>20355</v>
      </c>
      <c r="B20356" s="845" t="s">
        <v>2717</v>
      </c>
      <c r="D20356" s="862"/>
      <c r="I20356" s="845" t="s">
        <v>1008</v>
      </c>
    </row>
    <row r="20357" spans="1:10" x14ac:dyDescent="0.2">
      <c r="A20357" s="859">
        <f t="shared" si="460"/>
        <v>20356</v>
      </c>
      <c r="B20357" s="845" t="s">
        <v>2717</v>
      </c>
      <c r="D20357" s="862"/>
      <c r="J20357" s="845" t="s">
        <v>2740</v>
      </c>
    </row>
    <row r="20358" spans="1:10" x14ac:dyDescent="0.2">
      <c r="A20358" s="859">
        <f t="shared" si="460"/>
        <v>20357</v>
      </c>
      <c r="B20358" s="845" t="s">
        <v>2717</v>
      </c>
      <c r="D20358" s="862"/>
      <c r="I20358" s="845" t="s">
        <v>1009</v>
      </c>
    </row>
    <row r="20359" spans="1:10" x14ac:dyDescent="0.2">
      <c r="A20359" s="859">
        <f t="shared" si="460"/>
        <v>20358</v>
      </c>
      <c r="B20359" s="845" t="s">
        <v>2717</v>
      </c>
      <c r="D20359" s="862"/>
      <c r="I20359" s="845" t="str">
        <f>CONCATENATE("&lt;valeur&gt;",Cellule_14134,"&lt;/valeur&gt;")</f>
        <v>&lt;valeur&gt;0&lt;/valeur&gt;</v>
      </c>
    </row>
    <row r="20360" spans="1:10" x14ac:dyDescent="0.2">
      <c r="A20360" s="859">
        <f t="shared" si="460"/>
        <v>20359</v>
      </c>
      <c r="B20360" s="845" t="s">
        <v>2717</v>
      </c>
      <c r="D20360" s="862"/>
      <c r="H20360" s="845" t="s">
        <v>1010</v>
      </c>
    </row>
    <row r="20361" spans="1:10" x14ac:dyDescent="0.2">
      <c r="A20361" s="859">
        <f t="shared" si="460"/>
        <v>20360</v>
      </c>
      <c r="B20361" s="845" t="s">
        <v>2717</v>
      </c>
      <c r="D20361" s="862"/>
      <c r="H20361" s="845" t="s">
        <v>1007</v>
      </c>
    </row>
    <row r="20362" spans="1:10" x14ac:dyDescent="0.2">
      <c r="A20362" s="859">
        <f t="shared" si="460"/>
        <v>20361</v>
      </c>
      <c r="B20362" s="845" t="s">
        <v>2717</v>
      </c>
      <c r="D20362" s="862"/>
      <c r="I20362" s="845" t="s">
        <v>1008</v>
      </c>
    </row>
    <row r="20363" spans="1:10" x14ac:dyDescent="0.2">
      <c r="A20363" s="859">
        <f t="shared" si="460"/>
        <v>20362</v>
      </c>
      <c r="B20363" s="845" t="s">
        <v>2717</v>
      </c>
      <c r="D20363" s="862"/>
      <c r="J20363" s="845" t="s">
        <v>2741</v>
      </c>
    </row>
    <row r="20364" spans="1:10" x14ac:dyDescent="0.2">
      <c r="A20364" s="859">
        <f t="shared" si="460"/>
        <v>20363</v>
      </c>
      <c r="B20364" s="845" t="s">
        <v>2717</v>
      </c>
      <c r="D20364" s="862"/>
      <c r="I20364" s="845" t="s">
        <v>1009</v>
      </c>
    </row>
    <row r="20365" spans="1:10" x14ac:dyDescent="0.2">
      <c r="A20365" s="859">
        <f t="shared" si="460"/>
        <v>20364</v>
      </c>
      <c r="B20365" s="845" t="s">
        <v>2717</v>
      </c>
      <c r="D20365" s="862"/>
      <c r="I20365" s="845" t="str">
        <f>CONCATENATE("&lt;valeur&gt;",Cellule_14135,"&lt;/valeur&gt;")</f>
        <v>&lt;valeur&gt;0&lt;/valeur&gt;</v>
      </c>
    </row>
    <row r="20366" spans="1:10" x14ac:dyDescent="0.2">
      <c r="A20366" s="859">
        <f t="shared" si="460"/>
        <v>20365</v>
      </c>
      <c r="B20366" s="845" t="s">
        <v>2717</v>
      </c>
      <c r="D20366" s="862"/>
      <c r="H20366" s="845" t="s">
        <v>1010</v>
      </c>
    </row>
    <row r="20367" spans="1:10" x14ac:dyDescent="0.2">
      <c r="A20367" s="859">
        <f t="shared" si="460"/>
        <v>20366</v>
      </c>
      <c r="B20367" s="845" t="s">
        <v>2717</v>
      </c>
      <c r="D20367" s="862"/>
      <c r="H20367" s="845" t="s">
        <v>1007</v>
      </c>
    </row>
    <row r="20368" spans="1:10" x14ac:dyDescent="0.2">
      <c r="A20368" s="859">
        <f t="shared" si="460"/>
        <v>20367</v>
      </c>
      <c r="B20368" s="845" t="s">
        <v>2717</v>
      </c>
      <c r="D20368" s="862"/>
      <c r="I20368" s="845" t="s">
        <v>1008</v>
      </c>
    </row>
    <row r="20369" spans="1:10" x14ac:dyDescent="0.2">
      <c r="A20369" s="859">
        <f t="shared" si="460"/>
        <v>20368</v>
      </c>
      <c r="B20369" s="845" t="s">
        <v>2717</v>
      </c>
      <c r="D20369" s="862"/>
      <c r="J20369" s="845" t="s">
        <v>2742</v>
      </c>
    </row>
    <row r="20370" spans="1:10" x14ac:dyDescent="0.2">
      <c r="A20370" s="859">
        <f t="shared" si="460"/>
        <v>20369</v>
      </c>
      <c r="B20370" s="845" t="s">
        <v>2717</v>
      </c>
      <c r="D20370" s="862"/>
      <c r="I20370" s="845" t="s">
        <v>1009</v>
      </c>
    </row>
    <row r="20371" spans="1:10" x14ac:dyDescent="0.2">
      <c r="A20371" s="859">
        <f t="shared" si="460"/>
        <v>20370</v>
      </c>
      <c r="B20371" s="845" t="s">
        <v>2717</v>
      </c>
      <c r="D20371" s="862"/>
      <c r="I20371" s="845" t="str">
        <f>CONCATENATE("&lt;valeur&gt;",Cellule_14136,"&lt;/valeur&gt;")</f>
        <v>&lt;valeur&gt;0&lt;/valeur&gt;</v>
      </c>
    </row>
    <row r="20372" spans="1:10" x14ac:dyDescent="0.2">
      <c r="A20372" s="859">
        <f t="shared" si="460"/>
        <v>20371</v>
      </c>
      <c r="B20372" s="845" t="s">
        <v>2717</v>
      </c>
      <c r="D20372" s="862"/>
      <c r="H20372" s="845" t="s">
        <v>1010</v>
      </c>
    </row>
    <row r="20373" spans="1:10" x14ac:dyDescent="0.2">
      <c r="A20373" s="859">
        <f t="shared" si="460"/>
        <v>20372</v>
      </c>
      <c r="B20373" s="845" t="s">
        <v>2717</v>
      </c>
      <c r="D20373" s="862"/>
      <c r="H20373" s="845" t="s">
        <v>1007</v>
      </c>
    </row>
    <row r="20374" spans="1:10" x14ac:dyDescent="0.2">
      <c r="A20374" s="859">
        <f t="shared" si="460"/>
        <v>20373</v>
      </c>
      <c r="B20374" s="845" t="s">
        <v>2717</v>
      </c>
      <c r="D20374" s="862"/>
      <c r="I20374" s="845" t="s">
        <v>1008</v>
      </c>
    </row>
    <row r="20375" spans="1:10" x14ac:dyDescent="0.2">
      <c r="A20375" s="859">
        <f t="shared" si="460"/>
        <v>20374</v>
      </c>
      <c r="B20375" s="845" t="s">
        <v>2717</v>
      </c>
      <c r="D20375" s="862"/>
      <c r="J20375" s="845" t="s">
        <v>2743</v>
      </c>
    </row>
    <row r="20376" spans="1:10" x14ac:dyDescent="0.2">
      <c r="A20376" s="859">
        <f t="shared" si="460"/>
        <v>20375</v>
      </c>
      <c r="B20376" s="845" t="s">
        <v>2717</v>
      </c>
      <c r="D20376" s="862"/>
      <c r="I20376" s="845" t="s">
        <v>1009</v>
      </c>
    </row>
    <row r="20377" spans="1:10" x14ac:dyDescent="0.2">
      <c r="A20377" s="859">
        <f t="shared" si="460"/>
        <v>20376</v>
      </c>
      <c r="B20377" s="845" t="s">
        <v>2717</v>
      </c>
      <c r="D20377" s="862"/>
      <c r="I20377" s="845" t="str">
        <f>CONCATENATE("&lt;valeur&gt;",Cellule_14137,"&lt;/valeur&gt;")</f>
        <v>&lt;valeur&gt;0&lt;/valeur&gt;</v>
      </c>
    </row>
    <row r="20378" spans="1:10" x14ac:dyDescent="0.2">
      <c r="A20378" s="859">
        <f t="shared" si="460"/>
        <v>20377</v>
      </c>
      <c r="B20378" s="845" t="s">
        <v>2717</v>
      </c>
      <c r="D20378" s="862"/>
      <c r="H20378" s="845" t="s">
        <v>1010</v>
      </c>
    </row>
    <row r="20379" spans="1:10" x14ac:dyDescent="0.2">
      <c r="A20379" s="859">
        <f t="shared" si="460"/>
        <v>20378</v>
      </c>
      <c r="B20379" s="845" t="s">
        <v>2717</v>
      </c>
      <c r="D20379" s="862"/>
      <c r="H20379" s="845" t="s">
        <v>1007</v>
      </c>
    </row>
    <row r="20380" spans="1:10" x14ac:dyDescent="0.2">
      <c r="A20380" s="859">
        <f t="shared" si="460"/>
        <v>20379</v>
      </c>
      <c r="B20380" s="845" t="s">
        <v>2717</v>
      </c>
      <c r="D20380" s="862"/>
      <c r="I20380" s="845" t="s">
        <v>1008</v>
      </c>
    </row>
    <row r="20381" spans="1:10" x14ac:dyDescent="0.2">
      <c r="A20381" s="859">
        <f t="shared" si="460"/>
        <v>20380</v>
      </c>
      <c r="B20381" s="845" t="s">
        <v>2717</v>
      </c>
      <c r="D20381" s="862"/>
      <c r="J20381" s="845" t="s">
        <v>2744</v>
      </c>
    </row>
    <row r="20382" spans="1:10" x14ac:dyDescent="0.2">
      <c r="A20382" s="859">
        <f t="shared" si="460"/>
        <v>20381</v>
      </c>
      <c r="B20382" s="845" t="s">
        <v>2717</v>
      </c>
      <c r="D20382" s="862"/>
      <c r="I20382" s="845" t="s">
        <v>1009</v>
      </c>
    </row>
    <row r="20383" spans="1:10" x14ac:dyDescent="0.2">
      <c r="A20383" s="859">
        <f t="shared" si="460"/>
        <v>20382</v>
      </c>
      <c r="B20383" s="845" t="s">
        <v>2717</v>
      </c>
      <c r="D20383" s="862"/>
      <c r="I20383" s="845" t="str">
        <f>CONCATENATE("&lt;valeur&gt;",Cellule_14138,"&lt;/valeur&gt;")</f>
        <v>&lt;valeur&gt;0&lt;/valeur&gt;</v>
      </c>
    </row>
    <row r="20384" spans="1:10" x14ac:dyDescent="0.2">
      <c r="A20384" s="859">
        <f t="shared" si="460"/>
        <v>20383</v>
      </c>
      <c r="B20384" s="845" t="s">
        <v>2717</v>
      </c>
      <c r="D20384" s="862"/>
      <c r="H20384" s="845" t="s">
        <v>1010</v>
      </c>
    </row>
    <row r="20385" spans="1:10" x14ac:dyDescent="0.2">
      <c r="A20385" s="859">
        <f t="shared" si="460"/>
        <v>20384</v>
      </c>
      <c r="B20385" s="845" t="s">
        <v>2717</v>
      </c>
      <c r="D20385" s="862"/>
      <c r="H20385" s="845" t="s">
        <v>1007</v>
      </c>
    </row>
    <row r="20386" spans="1:10" x14ac:dyDescent="0.2">
      <c r="A20386" s="859">
        <f t="shared" si="460"/>
        <v>20385</v>
      </c>
      <c r="B20386" s="845" t="s">
        <v>2717</v>
      </c>
      <c r="D20386" s="862"/>
      <c r="I20386" s="845" t="s">
        <v>1008</v>
      </c>
    </row>
    <row r="20387" spans="1:10" x14ac:dyDescent="0.2">
      <c r="A20387" s="859">
        <f t="shared" si="460"/>
        <v>20386</v>
      </c>
      <c r="B20387" s="845" t="s">
        <v>2717</v>
      </c>
      <c r="D20387" s="862"/>
      <c r="J20387" s="845" t="s">
        <v>2745</v>
      </c>
    </row>
    <row r="20388" spans="1:10" x14ac:dyDescent="0.2">
      <c r="A20388" s="859">
        <f t="shared" si="460"/>
        <v>20387</v>
      </c>
      <c r="B20388" s="845" t="s">
        <v>2717</v>
      </c>
      <c r="D20388" s="862"/>
      <c r="I20388" s="845" t="s">
        <v>1009</v>
      </c>
    </row>
    <row r="20389" spans="1:10" x14ac:dyDescent="0.2">
      <c r="A20389" s="859">
        <f t="shared" si="460"/>
        <v>20388</v>
      </c>
      <c r="B20389" s="845" t="s">
        <v>2717</v>
      </c>
      <c r="D20389" s="862"/>
      <c r="I20389" s="845" t="str">
        <f>CONCATENATE("&lt;valeur&gt;",Cellule_14139,"&lt;/valeur&gt;")</f>
        <v>&lt;valeur&gt;0&lt;/valeur&gt;</v>
      </c>
    </row>
    <row r="20390" spans="1:10" x14ac:dyDescent="0.2">
      <c r="A20390" s="859">
        <f t="shared" si="460"/>
        <v>20389</v>
      </c>
      <c r="B20390" s="845" t="s">
        <v>2717</v>
      </c>
      <c r="D20390" s="862"/>
      <c r="H20390" s="845" t="s">
        <v>1010</v>
      </c>
    </row>
    <row r="20391" spans="1:10" x14ac:dyDescent="0.2">
      <c r="A20391" s="859">
        <f t="shared" si="460"/>
        <v>20390</v>
      </c>
      <c r="B20391" s="845" t="s">
        <v>2717</v>
      </c>
      <c r="D20391" s="862"/>
      <c r="H20391" s="845" t="s">
        <v>1007</v>
      </c>
    </row>
    <row r="20392" spans="1:10" x14ac:dyDescent="0.2">
      <c r="A20392" s="859">
        <f t="shared" si="460"/>
        <v>20391</v>
      </c>
      <c r="B20392" s="845" t="s">
        <v>2717</v>
      </c>
      <c r="D20392" s="862"/>
      <c r="I20392" s="845" t="s">
        <v>1008</v>
      </c>
    </row>
    <row r="20393" spans="1:10" x14ac:dyDescent="0.2">
      <c r="A20393" s="859">
        <f t="shared" si="460"/>
        <v>20392</v>
      </c>
      <c r="B20393" s="845" t="s">
        <v>2717</v>
      </c>
      <c r="D20393" s="862"/>
      <c r="J20393" s="845" t="s">
        <v>2746</v>
      </c>
    </row>
    <row r="20394" spans="1:10" x14ac:dyDescent="0.2">
      <c r="A20394" s="859">
        <f t="shared" si="460"/>
        <v>20393</v>
      </c>
      <c r="B20394" s="845" t="s">
        <v>2717</v>
      </c>
      <c r="D20394" s="862"/>
      <c r="I20394" s="845" t="s">
        <v>1009</v>
      </c>
    </row>
    <row r="20395" spans="1:10" x14ac:dyDescent="0.2">
      <c r="A20395" s="859">
        <f t="shared" si="460"/>
        <v>20394</v>
      </c>
      <c r="B20395" s="845" t="s">
        <v>2717</v>
      </c>
      <c r="D20395" s="862"/>
      <c r="I20395" s="845" t="str">
        <f>CONCATENATE("&lt;valeur&gt;",Cellule_14140,"&lt;/valeur&gt;")</f>
        <v>&lt;valeur&gt;0&lt;/valeur&gt;</v>
      </c>
    </row>
    <row r="20396" spans="1:10" x14ac:dyDescent="0.2">
      <c r="A20396" s="859">
        <f t="shared" si="460"/>
        <v>20395</v>
      </c>
      <c r="B20396" s="845" t="s">
        <v>2717</v>
      </c>
      <c r="D20396" s="862"/>
      <c r="H20396" s="845" t="s">
        <v>1010</v>
      </c>
    </row>
    <row r="20397" spans="1:10" x14ac:dyDescent="0.2">
      <c r="A20397" s="859">
        <f t="shared" si="460"/>
        <v>20396</v>
      </c>
      <c r="B20397" s="845" t="s">
        <v>2717</v>
      </c>
      <c r="D20397" s="862"/>
      <c r="H20397" s="845" t="s">
        <v>1007</v>
      </c>
    </row>
    <row r="20398" spans="1:10" x14ac:dyDescent="0.2">
      <c r="A20398" s="859">
        <f t="shared" si="460"/>
        <v>20397</v>
      </c>
      <c r="B20398" s="845" t="s">
        <v>2717</v>
      </c>
      <c r="D20398" s="862"/>
      <c r="I20398" s="845" t="s">
        <v>1008</v>
      </c>
    </row>
    <row r="20399" spans="1:10" x14ac:dyDescent="0.2">
      <c r="A20399" s="859">
        <f t="shared" si="460"/>
        <v>20398</v>
      </c>
      <c r="B20399" s="845" t="s">
        <v>2717</v>
      </c>
      <c r="D20399" s="862"/>
      <c r="J20399" s="845" t="s">
        <v>2747</v>
      </c>
    </row>
    <row r="20400" spans="1:10" x14ac:dyDescent="0.2">
      <c r="A20400" s="859">
        <f t="shared" si="460"/>
        <v>20399</v>
      </c>
      <c r="B20400" s="845" t="s">
        <v>2717</v>
      </c>
      <c r="D20400" s="862"/>
      <c r="I20400" s="845" t="s">
        <v>1009</v>
      </c>
    </row>
    <row r="20401" spans="1:10" x14ac:dyDescent="0.2">
      <c r="A20401" s="859">
        <f t="shared" si="460"/>
        <v>20400</v>
      </c>
      <c r="B20401" s="845" t="s">
        <v>2717</v>
      </c>
      <c r="D20401" s="862"/>
      <c r="I20401" s="845" t="str">
        <f>CONCATENATE("&lt;valeur&gt;",Cellule_14172,"&lt;/valeur&gt;")</f>
        <v>&lt;valeur&gt;&lt;/valeur&gt;</v>
      </c>
    </row>
    <row r="20402" spans="1:10" x14ac:dyDescent="0.2">
      <c r="A20402" s="859">
        <f t="shared" si="460"/>
        <v>20401</v>
      </c>
      <c r="B20402" s="845" t="s">
        <v>2717</v>
      </c>
      <c r="D20402" s="862"/>
      <c r="H20402" s="845" t="s">
        <v>1010</v>
      </c>
    </row>
    <row r="20403" spans="1:10" x14ac:dyDescent="0.2">
      <c r="A20403" s="859">
        <f t="shared" si="460"/>
        <v>20402</v>
      </c>
      <c r="B20403" s="845" t="s">
        <v>2717</v>
      </c>
      <c r="D20403" s="862"/>
      <c r="H20403" s="845" t="s">
        <v>1007</v>
      </c>
    </row>
    <row r="20404" spans="1:10" x14ac:dyDescent="0.2">
      <c r="A20404" s="859">
        <f t="shared" si="460"/>
        <v>20403</v>
      </c>
      <c r="B20404" s="845" t="s">
        <v>2717</v>
      </c>
      <c r="D20404" s="862"/>
      <c r="I20404" s="845" t="s">
        <v>1008</v>
      </c>
    </row>
    <row r="20405" spans="1:10" x14ac:dyDescent="0.2">
      <c r="A20405" s="859">
        <f t="shared" si="460"/>
        <v>20404</v>
      </c>
      <c r="B20405" s="845" t="s">
        <v>2717</v>
      </c>
      <c r="D20405" s="862"/>
      <c r="J20405" s="845" t="s">
        <v>2748</v>
      </c>
    </row>
    <row r="20406" spans="1:10" x14ac:dyDescent="0.2">
      <c r="A20406" s="859">
        <f t="shared" si="460"/>
        <v>20405</v>
      </c>
      <c r="B20406" s="845" t="s">
        <v>2717</v>
      </c>
      <c r="D20406" s="862"/>
      <c r="I20406" s="845" t="s">
        <v>1009</v>
      </c>
    </row>
    <row r="20407" spans="1:10" x14ac:dyDescent="0.2">
      <c r="A20407" s="859">
        <f t="shared" si="460"/>
        <v>20406</v>
      </c>
      <c r="B20407" s="845" t="s">
        <v>2717</v>
      </c>
      <c r="D20407" s="862"/>
      <c r="I20407" s="845" t="str">
        <f>CONCATENATE("&lt;valeur&gt;",Cellule_14173,"&lt;/valeur&gt;")</f>
        <v>&lt;valeur&gt;&lt;/valeur&gt;</v>
      </c>
    </row>
    <row r="20408" spans="1:10" x14ac:dyDescent="0.2">
      <c r="A20408" s="859">
        <f t="shared" si="460"/>
        <v>20407</v>
      </c>
      <c r="B20408" s="845" t="s">
        <v>2717</v>
      </c>
      <c r="D20408" s="862"/>
      <c r="H20408" s="845" t="s">
        <v>1010</v>
      </c>
    </row>
    <row r="20409" spans="1:10" x14ac:dyDescent="0.2">
      <c r="A20409" s="859">
        <f t="shared" si="460"/>
        <v>20408</v>
      </c>
      <c r="B20409" s="845" t="s">
        <v>2717</v>
      </c>
      <c r="D20409" s="862"/>
      <c r="H20409" s="845" t="s">
        <v>1007</v>
      </c>
    </row>
    <row r="20410" spans="1:10" x14ac:dyDescent="0.2">
      <c r="A20410" s="859">
        <f t="shared" si="460"/>
        <v>20409</v>
      </c>
      <c r="B20410" s="845" t="s">
        <v>2717</v>
      </c>
      <c r="D20410" s="862"/>
      <c r="I20410" s="845" t="s">
        <v>1008</v>
      </c>
    </row>
    <row r="20411" spans="1:10" x14ac:dyDescent="0.2">
      <c r="A20411" s="859">
        <f t="shared" si="460"/>
        <v>20410</v>
      </c>
      <c r="B20411" s="845" t="s">
        <v>2717</v>
      </c>
      <c r="D20411" s="862"/>
      <c r="J20411" s="845" t="s">
        <v>2749</v>
      </c>
    </row>
    <row r="20412" spans="1:10" x14ac:dyDescent="0.2">
      <c r="A20412" s="859">
        <f t="shared" si="460"/>
        <v>20411</v>
      </c>
      <c r="B20412" s="845" t="s">
        <v>2717</v>
      </c>
      <c r="D20412" s="862"/>
      <c r="I20412" s="845" t="s">
        <v>1009</v>
      </c>
    </row>
    <row r="20413" spans="1:10" x14ac:dyDescent="0.2">
      <c r="A20413" s="859">
        <f t="shared" si="460"/>
        <v>20412</v>
      </c>
      <c r="B20413" s="845" t="s">
        <v>2717</v>
      </c>
      <c r="D20413" s="862"/>
      <c r="I20413" s="845" t="str">
        <f>CONCATENATE("&lt;valeur&gt;",Cellule_14174,"&lt;/valeur&gt;")</f>
        <v>&lt;valeur&gt;&lt;/valeur&gt;</v>
      </c>
    </row>
    <row r="20414" spans="1:10" x14ac:dyDescent="0.2">
      <c r="A20414" s="859">
        <f t="shared" si="460"/>
        <v>20413</v>
      </c>
      <c r="B20414" s="845" t="s">
        <v>2717</v>
      </c>
      <c r="D20414" s="862"/>
      <c r="H20414" s="845" t="s">
        <v>1010</v>
      </c>
    </row>
    <row r="20415" spans="1:10" x14ac:dyDescent="0.2">
      <c r="A20415" s="859">
        <f t="shared" si="460"/>
        <v>20414</v>
      </c>
      <c r="B20415" s="845" t="s">
        <v>2717</v>
      </c>
      <c r="D20415" s="862"/>
      <c r="H20415" s="845" t="s">
        <v>1007</v>
      </c>
    </row>
    <row r="20416" spans="1:10" x14ac:dyDescent="0.2">
      <c r="A20416" s="859">
        <f t="shared" si="460"/>
        <v>20415</v>
      </c>
      <c r="B20416" s="845" t="s">
        <v>2717</v>
      </c>
      <c r="D20416" s="862"/>
      <c r="I20416" s="845" t="s">
        <v>1008</v>
      </c>
    </row>
    <row r="20417" spans="1:10" x14ac:dyDescent="0.2">
      <c r="A20417" s="859">
        <f t="shared" si="460"/>
        <v>20416</v>
      </c>
      <c r="B20417" s="845" t="s">
        <v>2717</v>
      </c>
      <c r="D20417" s="862"/>
      <c r="J20417" s="845" t="s">
        <v>2750</v>
      </c>
    </row>
    <row r="20418" spans="1:10" x14ac:dyDescent="0.2">
      <c r="A20418" s="859">
        <f t="shared" si="460"/>
        <v>20417</v>
      </c>
      <c r="B20418" s="845" t="s">
        <v>2717</v>
      </c>
      <c r="D20418" s="862"/>
      <c r="I20418" s="845" t="s">
        <v>1009</v>
      </c>
    </row>
    <row r="20419" spans="1:10" x14ac:dyDescent="0.2">
      <c r="A20419" s="859">
        <f t="shared" si="460"/>
        <v>20418</v>
      </c>
      <c r="B20419" s="845" t="s">
        <v>2717</v>
      </c>
      <c r="D20419" s="862"/>
      <c r="I20419" s="845" t="str">
        <f>CONCATENATE("&lt;valeur&gt;",Cellule_14175,"&lt;/valeur&gt;")</f>
        <v>&lt;valeur&gt;&lt;/valeur&gt;</v>
      </c>
    </row>
    <row r="20420" spans="1:10" x14ac:dyDescent="0.2">
      <c r="A20420" s="859">
        <f t="shared" ref="A20420:A20483" si="461">+A20419+1</f>
        <v>20419</v>
      </c>
      <c r="B20420" s="845" t="s">
        <v>2717</v>
      </c>
      <c r="D20420" s="862"/>
      <c r="H20420" s="845" t="s">
        <v>1010</v>
      </c>
    </row>
    <row r="20421" spans="1:10" x14ac:dyDescent="0.2">
      <c r="A20421" s="859">
        <f t="shared" si="461"/>
        <v>20420</v>
      </c>
      <c r="B20421" s="845" t="s">
        <v>2717</v>
      </c>
      <c r="D20421" s="862"/>
      <c r="H20421" s="845" t="s">
        <v>1007</v>
      </c>
    </row>
    <row r="20422" spans="1:10" x14ac:dyDescent="0.2">
      <c r="A20422" s="859">
        <f t="shared" si="461"/>
        <v>20421</v>
      </c>
      <c r="B20422" s="845" t="s">
        <v>2717</v>
      </c>
      <c r="D20422" s="862"/>
      <c r="I20422" s="845" t="s">
        <v>1008</v>
      </c>
    </row>
    <row r="20423" spans="1:10" x14ac:dyDescent="0.2">
      <c r="A20423" s="859">
        <f t="shared" si="461"/>
        <v>20422</v>
      </c>
      <c r="B20423" s="845" t="s">
        <v>2717</v>
      </c>
      <c r="D20423" s="862"/>
      <c r="J20423" s="845" t="s">
        <v>2751</v>
      </c>
    </row>
    <row r="20424" spans="1:10" x14ac:dyDescent="0.2">
      <c r="A20424" s="859">
        <f t="shared" si="461"/>
        <v>20423</v>
      </c>
      <c r="B20424" s="845" t="s">
        <v>2717</v>
      </c>
      <c r="D20424" s="862"/>
      <c r="I20424" s="845" t="s">
        <v>1009</v>
      </c>
    </row>
    <row r="20425" spans="1:10" x14ac:dyDescent="0.2">
      <c r="A20425" s="859">
        <f t="shared" si="461"/>
        <v>20424</v>
      </c>
      <c r="B20425" s="845" t="s">
        <v>2717</v>
      </c>
      <c r="D20425" s="862"/>
      <c r="I20425" s="845" t="str">
        <f>CONCATENATE("&lt;valeur&gt;",Cellule_14176,"&lt;/valeur&gt;")</f>
        <v>&lt;valeur&gt;&lt;/valeur&gt;</v>
      </c>
    </row>
    <row r="20426" spans="1:10" x14ac:dyDescent="0.2">
      <c r="A20426" s="859">
        <f t="shared" si="461"/>
        <v>20425</v>
      </c>
      <c r="B20426" s="845" t="s">
        <v>2717</v>
      </c>
      <c r="D20426" s="862"/>
      <c r="H20426" s="845" t="s">
        <v>1010</v>
      </c>
    </row>
    <row r="20427" spans="1:10" x14ac:dyDescent="0.2">
      <c r="A20427" s="859">
        <f t="shared" si="461"/>
        <v>20426</v>
      </c>
      <c r="B20427" s="845" t="s">
        <v>2717</v>
      </c>
      <c r="D20427" s="862"/>
      <c r="H20427" s="845" t="s">
        <v>1007</v>
      </c>
    </row>
    <row r="20428" spans="1:10" x14ac:dyDescent="0.2">
      <c r="A20428" s="859">
        <f t="shared" si="461"/>
        <v>20427</v>
      </c>
      <c r="B20428" s="845" t="s">
        <v>2717</v>
      </c>
      <c r="D20428" s="862"/>
      <c r="I20428" s="845" t="s">
        <v>1008</v>
      </c>
    </row>
    <row r="20429" spans="1:10" x14ac:dyDescent="0.2">
      <c r="A20429" s="859">
        <f t="shared" si="461"/>
        <v>20428</v>
      </c>
      <c r="B20429" s="845" t="s">
        <v>2717</v>
      </c>
      <c r="D20429" s="862"/>
      <c r="J20429" s="845" t="s">
        <v>2752</v>
      </c>
    </row>
    <row r="20430" spans="1:10" x14ac:dyDescent="0.2">
      <c r="A20430" s="859">
        <f t="shared" si="461"/>
        <v>20429</v>
      </c>
      <c r="B20430" s="845" t="s">
        <v>2717</v>
      </c>
      <c r="D20430" s="862"/>
      <c r="I20430" s="845" t="s">
        <v>1009</v>
      </c>
    </row>
    <row r="20431" spans="1:10" x14ac:dyDescent="0.2">
      <c r="A20431" s="859">
        <f t="shared" si="461"/>
        <v>20430</v>
      </c>
      <c r="B20431" s="845" t="s">
        <v>2717</v>
      </c>
      <c r="D20431" s="862"/>
      <c r="I20431" s="845" t="str">
        <f>CONCATENATE("&lt;valeur&gt;",Cellule_14177,"&lt;/valeur&gt;")</f>
        <v>&lt;valeur&gt;&lt;/valeur&gt;</v>
      </c>
    </row>
    <row r="20432" spans="1:10" x14ac:dyDescent="0.2">
      <c r="A20432" s="859">
        <f t="shared" si="461"/>
        <v>20431</v>
      </c>
      <c r="B20432" s="845" t="s">
        <v>2717</v>
      </c>
      <c r="D20432" s="862"/>
      <c r="H20432" s="845" t="s">
        <v>1010</v>
      </c>
    </row>
    <row r="20433" spans="1:10" x14ac:dyDescent="0.2">
      <c r="A20433" s="859">
        <f t="shared" si="461"/>
        <v>20432</v>
      </c>
      <c r="B20433" s="845" t="s">
        <v>2717</v>
      </c>
      <c r="D20433" s="862"/>
      <c r="H20433" s="845" t="s">
        <v>1007</v>
      </c>
    </row>
    <row r="20434" spans="1:10" x14ac:dyDescent="0.2">
      <c r="A20434" s="859">
        <f t="shared" si="461"/>
        <v>20433</v>
      </c>
      <c r="B20434" s="845" t="s">
        <v>2717</v>
      </c>
      <c r="D20434" s="862"/>
      <c r="I20434" s="845" t="s">
        <v>1008</v>
      </c>
    </row>
    <row r="20435" spans="1:10" x14ac:dyDescent="0.2">
      <c r="A20435" s="859">
        <f t="shared" si="461"/>
        <v>20434</v>
      </c>
      <c r="B20435" s="845" t="s">
        <v>2717</v>
      </c>
      <c r="D20435" s="862"/>
      <c r="J20435" s="845" t="s">
        <v>2753</v>
      </c>
    </row>
    <row r="20436" spans="1:10" x14ac:dyDescent="0.2">
      <c r="A20436" s="859">
        <f t="shared" si="461"/>
        <v>20435</v>
      </c>
      <c r="B20436" s="845" t="s">
        <v>2717</v>
      </c>
      <c r="D20436" s="862"/>
      <c r="I20436" s="845" t="s">
        <v>1009</v>
      </c>
    </row>
    <row r="20437" spans="1:10" x14ac:dyDescent="0.2">
      <c r="A20437" s="859">
        <f t="shared" si="461"/>
        <v>20436</v>
      </c>
      <c r="B20437" s="845" t="s">
        <v>2717</v>
      </c>
      <c r="D20437" s="862"/>
      <c r="I20437" s="845" t="str">
        <f>CONCATENATE("&lt;valeur&gt;",Cellule_14178,"&lt;/valeur&gt;")</f>
        <v>&lt;valeur&gt;&lt;/valeur&gt;</v>
      </c>
    </row>
    <row r="20438" spans="1:10" x14ac:dyDescent="0.2">
      <c r="A20438" s="859">
        <f t="shared" si="461"/>
        <v>20437</v>
      </c>
      <c r="B20438" s="845" t="s">
        <v>2717</v>
      </c>
      <c r="D20438" s="862"/>
      <c r="H20438" s="845" t="s">
        <v>1010</v>
      </c>
    </row>
    <row r="20439" spans="1:10" x14ac:dyDescent="0.2">
      <c r="A20439" s="859">
        <f t="shared" si="461"/>
        <v>20438</v>
      </c>
      <c r="B20439" s="845" t="s">
        <v>2717</v>
      </c>
      <c r="D20439" s="862"/>
      <c r="H20439" s="845" t="s">
        <v>1007</v>
      </c>
    </row>
    <row r="20440" spans="1:10" x14ac:dyDescent="0.2">
      <c r="A20440" s="859">
        <f t="shared" si="461"/>
        <v>20439</v>
      </c>
      <c r="B20440" s="845" t="s">
        <v>2717</v>
      </c>
      <c r="D20440" s="862"/>
      <c r="I20440" s="845" t="s">
        <v>1008</v>
      </c>
    </row>
    <row r="20441" spans="1:10" x14ac:dyDescent="0.2">
      <c r="A20441" s="859">
        <f t="shared" si="461"/>
        <v>20440</v>
      </c>
      <c r="B20441" s="845" t="s">
        <v>2717</v>
      </c>
      <c r="D20441" s="862"/>
      <c r="J20441" s="845" t="s">
        <v>2754</v>
      </c>
    </row>
    <row r="20442" spans="1:10" x14ac:dyDescent="0.2">
      <c r="A20442" s="859">
        <f t="shared" si="461"/>
        <v>20441</v>
      </c>
      <c r="B20442" s="845" t="s">
        <v>2717</v>
      </c>
      <c r="D20442" s="862"/>
      <c r="I20442" s="845" t="s">
        <v>1009</v>
      </c>
    </row>
    <row r="20443" spans="1:10" x14ac:dyDescent="0.2">
      <c r="A20443" s="859">
        <f t="shared" si="461"/>
        <v>20442</v>
      </c>
      <c r="B20443" s="845" t="s">
        <v>2717</v>
      </c>
      <c r="D20443" s="862"/>
      <c r="I20443" s="845" t="str">
        <f>CONCATENATE("&lt;valeur&gt;",Cellule_14179,"&lt;/valeur&gt;")</f>
        <v>&lt;valeur&gt;&lt;/valeur&gt;</v>
      </c>
    </row>
    <row r="20444" spans="1:10" x14ac:dyDescent="0.2">
      <c r="A20444" s="859">
        <f t="shared" si="461"/>
        <v>20443</v>
      </c>
      <c r="B20444" s="845" t="s">
        <v>2717</v>
      </c>
      <c r="D20444" s="862"/>
      <c r="H20444" s="845" t="s">
        <v>1010</v>
      </c>
    </row>
    <row r="20445" spans="1:10" x14ac:dyDescent="0.2">
      <c r="A20445" s="859">
        <f t="shared" si="461"/>
        <v>20444</v>
      </c>
      <c r="B20445" s="845" t="s">
        <v>2717</v>
      </c>
      <c r="D20445" s="862"/>
      <c r="H20445" s="845" t="s">
        <v>1007</v>
      </c>
    </row>
    <row r="20446" spans="1:10" x14ac:dyDescent="0.2">
      <c r="A20446" s="859">
        <f t="shared" si="461"/>
        <v>20445</v>
      </c>
      <c r="B20446" s="845" t="s">
        <v>2717</v>
      </c>
      <c r="D20446" s="862"/>
      <c r="I20446" s="845" t="s">
        <v>1008</v>
      </c>
    </row>
    <row r="20447" spans="1:10" x14ac:dyDescent="0.2">
      <c r="A20447" s="859">
        <f t="shared" si="461"/>
        <v>20446</v>
      </c>
      <c r="B20447" s="845" t="s">
        <v>2717</v>
      </c>
      <c r="D20447" s="862"/>
      <c r="J20447" s="845" t="s">
        <v>2755</v>
      </c>
    </row>
    <row r="20448" spans="1:10" x14ac:dyDescent="0.2">
      <c r="A20448" s="859">
        <f t="shared" si="461"/>
        <v>20447</v>
      </c>
      <c r="B20448" s="845" t="s">
        <v>2717</v>
      </c>
      <c r="D20448" s="862"/>
      <c r="I20448" s="845" t="s">
        <v>1009</v>
      </c>
    </row>
    <row r="20449" spans="1:10" x14ac:dyDescent="0.2">
      <c r="A20449" s="859">
        <f t="shared" si="461"/>
        <v>20448</v>
      </c>
      <c r="B20449" s="845" t="s">
        <v>2717</v>
      </c>
      <c r="D20449" s="862"/>
      <c r="I20449" s="845" t="str">
        <f>CONCATENATE("&lt;valeur&gt;",Cellule_14180,"&lt;/valeur&gt;")</f>
        <v>&lt;valeur&gt;&lt;/valeur&gt;</v>
      </c>
    </row>
    <row r="20450" spans="1:10" x14ac:dyDescent="0.2">
      <c r="A20450" s="859">
        <f t="shared" si="461"/>
        <v>20449</v>
      </c>
      <c r="B20450" s="845" t="s">
        <v>2717</v>
      </c>
      <c r="D20450" s="862"/>
      <c r="H20450" s="845" t="s">
        <v>1010</v>
      </c>
    </row>
    <row r="20451" spans="1:10" x14ac:dyDescent="0.2">
      <c r="A20451" s="859">
        <f t="shared" si="461"/>
        <v>20450</v>
      </c>
      <c r="B20451" s="845" t="s">
        <v>2717</v>
      </c>
      <c r="D20451" s="862"/>
      <c r="H20451" s="845" t="s">
        <v>1007</v>
      </c>
    </row>
    <row r="20452" spans="1:10" x14ac:dyDescent="0.2">
      <c r="A20452" s="859">
        <f t="shared" si="461"/>
        <v>20451</v>
      </c>
      <c r="B20452" s="845" t="s">
        <v>2717</v>
      </c>
      <c r="D20452" s="862"/>
      <c r="I20452" s="845" t="s">
        <v>1008</v>
      </c>
    </row>
    <row r="20453" spans="1:10" x14ac:dyDescent="0.2">
      <c r="A20453" s="859">
        <f t="shared" si="461"/>
        <v>20452</v>
      </c>
      <c r="B20453" s="845" t="s">
        <v>2717</v>
      </c>
      <c r="D20453" s="862"/>
      <c r="J20453" s="845" t="s">
        <v>2756</v>
      </c>
    </row>
    <row r="20454" spans="1:10" x14ac:dyDescent="0.2">
      <c r="A20454" s="859">
        <f t="shared" si="461"/>
        <v>20453</v>
      </c>
      <c r="B20454" s="845" t="s">
        <v>2717</v>
      </c>
      <c r="D20454" s="862"/>
      <c r="I20454" s="845" t="s">
        <v>1009</v>
      </c>
    </row>
    <row r="20455" spans="1:10" x14ac:dyDescent="0.2">
      <c r="A20455" s="859">
        <f t="shared" si="461"/>
        <v>20454</v>
      </c>
      <c r="B20455" s="845" t="s">
        <v>2717</v>
      </c>
      <c r="D20455" s="862"/>
      <c r="I20455" s="845" t="str">
        <f>CONCATENATE("&lt;valeur&gt;",Cellule_14181,"&lt;/valeur&gt;")</f>
        <v>&lt;valeur&gt;&lt;/valeur&gt;</v>
      </c>
    </row>
    <row r="20456" spans="1:10" x14ac:dyDescent="0.2">
      <c r="A20456" s="859">
        <f t="shared" si="461"/>
        <v>20455</v>
      </c>
      <c r="B20456" s="845" t="s">
        <v>2717</v>
      </c>
      <c r="D20456" s="862"/>
      <c r="H20456" s="845" t="s">
        <v>1010</v>
      </c>
    </row>
    <row r="20457" spans="1:10" x14ac:dyDescent="0.2">
      <c r="A20457" s="859">
        <f t="shared" si="461"/>
        <v>20456</v>
      </c>
      <c r="B20457" s="845" t="s">
        <v>2717</v>
      </c>
      <c r="D20457" s="862"/>
      <c r="H20457" s="845" t="s">
        <v>1007</v>
      </c>
    </row>
    <row r="20458" spans="1:10" x14ac:dyDescent="0.2">
      <c r="A20458" s="859">
        <f t="shared" si="461"/>
        <v>20457</v>
      </c>
      <c r="B20458" s="845" t="s">
        <v>2717</v>
      </c>
      <c r="D20458" s="862"/>
      <c r="I20458" s="845" t="s">
        <v>1008</v>
      </c>
    </row>
    <row r="20459" spans="1:10" x14ac:dyDescent="0.2">
      <c r="A20459" s="859">
        <f t="shared" si="461"/>
        <v>20458</v>
      </c>
      <c r="B20459" s="845" t="s">
        <v>2717</v>
      </c>
      <c r="D20459" s="862"/>
      <c r="J20459" s="845" t="s">
        <v>2757</v>
      </c>
    </row>
    <row r="20460" spans="1:10" x14ac:dyDescent="0.2">
      <c r="A20460" s="859">
        <f t="shared" si="461"/>
        <v>20459</v>
      </c>
      <c r="B20460" s="845" t="s">
        <v>2717</v>
      </c>
      <c r="D20460" s="862"/>
      <c r="I20460" s="845" t="s">
        <v>1009</v>
      </c>
    </row>
    <row r="20461" spans="1:10" x14ac:dyDescent="0.2">
      <c r="A20461" s="859">
        <f t="shared" si="461"/>
        <v>20460</v>
      </c>
      <c r="B20461" s="845" t="s">
        <v>2717</v>
      </c>
      <c r="D20461" s="862"/>
      <c r="I20461" s="845" t="str">
        <f>CONCATENATE("&lt;valeur&gt;",Cellule_14182,"&lt;/valeur&gt;")</f>
        <v>&lt;valeur&gt;&lt;/valeur&gt;</v>
      </c>
    </row>
    <row r="20462" spans="1:10" x14ac:dyDescent="0.2">
      <c r="A20462" s="859">
        <f t="shared" si="461"/>
        <v>20461</v>
      </c>
      <c r="B20462" s="845" t="s">
        <v>2717</v>
      </c>
      <c r="D20462" s="862"/>
      <c r="H20462" s="845" t="s">
        <v>1010</v>
      </c>
    </row>
    <row r="20463" spans="1:10" x14ac:dyDescent="0.2">
      <c r="A20463" s="859">
        <f t="shared" si="461"/>
        <v>20462</v>
      </c>
      <c r="B20463" s="845" t="s">
        <v>2717</v>
      </c>
      <c r="D20463" s="862"/>
      <c r="H20463" s="845" t="s">
        <v>1007</v>
      </c>
    </row>
    <row r="20464" spans="1:10" x14ac:dyDescent="0.2">
      <c r="A20464" s="859">
        <f t="shared" si="461"/>
        <v>20463</v>
      </c>
      <c r="B20464" s="845" t="s">
        <v>2717</v>
      </c>
      <c r="D20464" s="862"/>
      <c r="I20464" s="845" t="s">
        <v>1008</v>
      </c>
    </row>
    <row r="20465" spans="1:10" x14ac:dyDescent="0.2">
      <c r="A20465" s="859">
        <f t="shared" si="461"/>
        <v>20464</v>
      </c>
      <c r="B20465" s="845" t="s">
        <v>2717</v>
      </c>
      <c r="D20465" s="862"/>
      <c r="J20465" s="845" t="s">
        <v>2758</v>
      </c>
    </row>
    <row r="20466" spans="1:10" x14ac:dyDescent="0.2">
      <c r="A20466" s="859">
        <f t="shared" si="461"/>
        <v>20465</v>
      </c>
      <c r="B20466" s="845" t="s">
        <v>2717</v>
      </c>
      <c r="D20466" s="862"/>
      <c r="I20466" s="845" t="s">
        <v>1009</v>
      </c>
    </row>
    <row r="20467" spans="1:10" x14ac:dyDescent="0.2">
      <c r="A20467" s="859">
        <f t="shared" si="461"/>
        <v>20466</v>
      </c>
      <c r="B20467" s="845" t="s">
        <v>2717</v>
      </c>
      <c r="D20467" s="862"/>
      <c r="I20467" s="845" t="str">
        <f>CONCATENATE("&lt;valeur&gt;",Cellule_14183,"&lt;/valeur&gt;")</f>
        <v>&lt;valeur&gt;&lt;/valeur&gt;</v>
      </c>
    </row>
    <row r="20468" spans="1:10" x14ac:dyDescent="0.2">
      <c r="A20468" s="859">
        <f t="shared" si="461"/>
        <v>20467</v>
      </c>
      <c r="B20468" s="845" t="s">
        <v>2717</v>
      </c>
      <c r="D20468" s="862"/>
      <c r="H20468" s="845" t="s">
        <v>1010</v>
      </c>
    </row>
    <row r="20469" spans="1:10" x14ac:dyDescent="0.2">
      <c r="A20469" s="859">
        <f t="shared" si="461"/>
        <v>20468</v>
      </c>
      <c r="B20469" s="845" t="s">
        <v>2717</v>
      </c>
      <c r="D20469" s="862"/>
      <c r="H20469" s="845" t="s">
        <v>1007</v>
      </c>
    </row>
    <row r="20470" spans="1:10" x14ac:dyDescent="0.2">
      <c r="A20470" s="859">
        <f t="shared" si="461"/>
        <v>20469</v>
      </c>
      <c r="B20470" s="845" t="s">
        <v>2717</v>
      </c>
      <c r="D20470" s="862"/>
      <c r="I20470" s="845" t="s">
        <v>1008</v>
      </c>
    </row>
    <row r="20471" spans="1:10" x14ac:dyDescent="0.2">
      <c r="A20471" s="859">
        <f t="shared" si="461"/>
        <v>20470</v>
      </c>
      <c r="B20471" s="845" t="s">
        <v>2717</v>
      </c>
      <c r="D20471" s="862"/>
      <c r="J20471" s="845" t="s">
        <v>2759</v>
      </c>
    </row>
    <row r="20472" spans="1:10" x14ac:dyDescent="0.2">
      <c r="A20472" s="859">
        <f t="shared" si="461"/>
        <v>20471</v>
      </c>
      <c r="B20472" s="845" t="s">
        <v>2717</v>
      </c>
      <c r="D20472" s="862"/>
      <c r="I20472" s="845" t="s">
        <v>1009</v>
      </c>
    </row>
    <row r="20473" spans="1:10" x14ac:dyDescent="0.2">
      <c r="A20473" s="859">
        <f t="shared" si="461"/>
        <v>20472</v>
      </c>
      <c r="B20473" s="845" t="s">
        <v>2717</v>
      </c>
      <c r="D20473" s="862"/>
      <c r="I20473" s="845" t="str">
        <f>CONCATENATE("&lt;valeur&gt;",Cellule_14184,"&lt;/valeur&gt;")</f>
        <v>&lt;valeur&gt;0&lt;/valeur&gt;</v>
      </c>
    </row>
    <row r="20474" spans="1:10" x14ac:dyDescent="0.2">
      <c r="A20474" s="859">
        <f t="shared" si="461"/>
        <v>20473</v>
      </c>
      <c r="B20474" s="845" t="s">
        <v>2717</v>
      </c>
      <c r="D20474" s="862"/>
      <c r="H20474" s="845" t="s">
        <v>1010</v>
      </c>
    </row>
    <row r="20475" spans="1:10" x14ac:dyDescent="0.2">
      <c r="A20475" s="859">
        <f t="shared" si="461"/>
        <v>20474</v>
      </c>
      <c r="B20475" s="845" t="s">
        <v>2717</v>
      </c>
      <c r="D20475" s="862"/>
      <c r="H20475" s="845" t="s">
        <v>1007</v>
      </c>
    </row>
    <row r="20476" spans="1:10" x14ac:dyDescent="0.2">
      <c r="A20476" s="859">
        <f t="shared" si="461"/>
        <v>20475</v>
      </c>
      <c r="B20476" s="845" t="s">
        <v>2717</v>
      </c>
      <c r="D20476" s="862"/>
      <c r="I20476" s="845" t="s">
        <v>1008</v>
      </c>
    </row>
    <row r="20477" spans="1:10" x14ac:dyDescent="0.2">
      <c r="A20477" s="859">
        <f t="shared" si="461"/>
        <v>20476</v>
      </c>
      <c r="B20477" s="845" t="s">
        <v>2717</v>
      </c>
      <c r="D20477" s="862"/>
      <c r="J20477" s="845" t="s">
        <v>2760</v>
      </c>
    </row>
    <row r="20478" spans="1:10" x14ac:dyDescent="0.2">
      <c r="A20478" s="859">
        <f t="shared" si="461"/>
        <v>20477</v>
      </c>
      <c r="B20478" s="845" t="s">
        <v>2717</v>
      </c>
      <c r="D20478" s="862"/>
      <c r="I20478" s="845" t="s">
        <v>1009</v>
      </c>
    </row>
    <row r="20479" spans="1:10" x14ac:dyDescent="0.2">
      <c r="A20479" s="859">
        <f t="shared" si="461"/>
        <v>20478</v>
      </c>
      <c r="B20479" s="845" t="s">
        <v>2717</v>
      </c>
      <c r="D20479" s="862"/>
      <c r="I20479" s="845" t="str">
        <f>CONCATENATE("&lt;valeur&gt;",Cellule_14185,"&lt;/valeur&gt;")</f>
        <v>&lt;valeur&gt;0&lt;/valeur&gt;</v>
      </c>
    </row>
    <row r="20480" spans="1:10" x14ac:dyDescent="0.2">
      <c r="A20480" s="859">
        <f t="shared" si="461"/>
        <v>20479</v>
      </c>
      <c r="B20480" s="845" t="s">
        <v>2717</v>
      </c>
      <c r="D20480" s="862"/>
      <c r="H20480" s="845" t="s">
        <v>1010</v>
      </c>
    </row>
    <row r="20481" spans="1:10" x14ac:dyDescent="0.2">
      <c r="A20481" s="859">
        <f t="shared" si="461"/>
        <v>20480</v>
      </c>
      <c r="B20481" s="845" t="s">
        <v>2717</v>
      </c>
      <c r="D20481" s="862"/>
      <c r="H20481" s="845" t="s">
        <v>1007</v>
      </c>
    </row>
    <row r="20482" spans="1:10" x14ac:dyDescent="0.2">
      <c r="A20482" s="859">
        <f t="shared" si="461"/>
        <v>20481</v>
      </c>
      <c r="B20482" s="845" t="s">
        <v>2717</v>
      </c>
      <c r="D20482" s="862"/>
      <c r="I20482" s="845" t="s">
        <v>1008</v>
      </c>
    </row>
    <row r="20483" spans="1:10" x14ac:dyDescent="0.2">
      <c r="A20483" s="859">
        <f t="shared" si="461"/>
        <v>20482</v>
      </c>
      <c r="B20483" s="845" t="s">
        <v>2717</v>
      </c>
      <c r="D20483" s="862"/>
      <c r="J20483" s="845" t="s">
        <v>2761</v>
      </c>
    </row>
    <row r="20484" spans="1:10" x14ac:dyDescent="0.2">
      <c r="A20484" s="859">
        <f t="shared" ref="A20484:A20547" si="462">+A20483+1</f>
        <v>20483</v>
      </c>
      <c r="B20484" s="845" t="s">
        <v>2717</v>
      </c>
      <c r="D20484" s="862"/>
      <c r="I20484" s="845" t="s">
        <v>1009</v>
      </c>
    </row>
    <row r="20485" spans="1:10" x14ac:dyDescent="0.2">
      <c r="A20485" s="859">
        <f t="shared" si="462"/>
        <v>20484</v>
      </c>
      <c r="B20485" s="845" t="s">
        <v>2717</v>
      </c>
      <c r="D20485" s="862"/>
      <c r="I20485" s="845" t="str">
        <f>CONCATENATE("&lt;valeur&gt;",Cellule_14186,"&lt;/valeur&gt;")</f>
        <v>&lt;valeur&gt;0&lt;/valeur&gt;</v>
      </c>
    </row>
    <row r="20486" spans="1:10" x14ac:dyDescent="0.2">
      <c r="A20486" s="859">
        <f t="shared" si="462"/>
        <v>20485</v>
      </c>
      <c r="B20486" s="845" t="s">
        <v>2717</v>
      </c>
      <c r="D20486" s="862"/>
      <c r="H20486" s="845" t="s">
        <v>1010</v>
      </c>
    </row>
    <row r="20487" spans="1:10" x14ac:dyDescent="0.2">
      <c r="A20487" s="859">
        <f t="shared" si="462"/>
        <v>20486</v>
      </c>
      <c r="B20487" s="845" t="s">
        <v>2717</v>
      </c>
      <c r="D20487" s="862"/>
      <c r="H20487" s="845" t="s">
        <v>1007</v>
      </c>
    </row>
    <row r="20488" spans="1:10" x14ac:dyDescent="0.2">
      <c r="A20488" s="859">
        <f t="shared" si="462"/>
        <v>20487</v>
      </c>
      <c r="B20488" s="845" t="s">
        <v>2717</v>
      </c>
      <c r="D20488" s="862"/>
      <c r="I20488" s="845" t="s">
        <v>1008</v>
      </c>
    </row>
    <row r="20489" spans="1:10" x14ac:dyDescent="0.2">
      <c r="A20489" s="859">
        <f t="shared" si="462"/>
        <v>20488</v>
      </c>
      <c r="B20489" s="845" t="s">
        <v>2717</v>
      </c>
      <c r="D20489" s="862"/>
      <c r="J20489" s="845" t="s">
        <v>2762</v>
      </c>
    </row>
    <row r="20490" spans="1:10" x14ac:dyDescent="0.2">
      <c r="A20490" s="859">
        <f t="shared" si="462"/>
        <v>20489</v>
      </c>
      <c r="B20490" s="845" t="s">
        <v>2717</v>
      </c>
      <c r="D20490" s="862"/>
      <c r="I20490" s="845" t="s">
        <v>1009</v>
      </c>
    </row>
    <row r="20491" spans="1:10" x14ac:dyDescent="0.2">
      <c r="A20491" s="859">
        <f t="shared" si="462"/>
        <v>20490</v>
      </c>
      <c r="B20491" s="845" t="s">
        <v>2717</v>
      </c>
      <c r="D20491" s="862"/>
      <c r="I20491" s="845" t="str">
        <f>CONCATENATE("&lt;valeur&gt;",Cellule_14187,"&lt;/valeur&gt;")</f>
        <v>&lt;valeur&gt;0&lt;/valeur&gt;</v>
      </c>
    </row>
    <row r="20492" spans="1:10" x14ac:dyDescent="0.2">
      <c r="A20492" s="859">
        <f t="shared" si="462"/>
        <v>20491</v>
      </c>
      <c r="B20492" s="845" t="s">
        <v>2717</v>
      </c>
      <c r="D20492" s="862"/>
      <c r="H20492" s="845" t="s">
        <v>1010</v>
      </c>
    </row>
    <row r="20493" spans="1:10" x14ac:dyDescent="0.2">
      <c r="A20493" s="859">
        <f t="shared" si="462"/>
        <v>20492</v>
      </c>
      <c r="B20493" s="845" t="s">
        <v>2717</v>
      </c>
      <c r="D20493" s="862"/>
      <c r="H20493" s="845" t="s">
        <v>1007</v>
      </c>
    </row>
    <row r="20494" spans="1:10" x14ac:dyDescent="0.2">
      <c r="A20494" s="859">
        <f t="shared" si="462"/>
        <v>20493</v>
      </c>
      <c r="B20494" s="845" t="s">
        <v>2717</v>
      </c>
      <c r="D20494" s="862"/>
      <c r="I20494" s="845" t="s">
        <v>1008</v>
      </c>
    </row>
    <row r="20495" spans="1:10" x14ac:dyDescent="0.2">
      <c r="A20495" s="859">
        <f t="shared" si="462"/>
        <v>20494</v>
      </c>
      <c r="B20495" s="845" t="s">
        <v>2717</v>
      </c>
      <c r="D20495" s="862"/>
      <c r="J20495" s="845" t="s">
        <v>2763</v>
      </c>
    </row>
    <row r="20496" spans="1:10" x14ac:dyDescent="0.2">
      <c r="A20496" s="859">
        <f t="shared" si="462"/>
        <v>20495</v>
      </c>
      <c r="B20496" s="845" t="s">
        <v>2717</v>
      </c>
      <c r="D20496" s="862"/>
      <c r="I20496" s="845" t="s">
        <v>1009</v>
      </c>
    </row>
    <row r="20497" spans="1:10" x14ac:dyDescent="0.2">
      <c r="A20497" s="859">
        <f t="shared" si="462"/>
        <v>20496</v>
      </c>
      <c r="B20497" s="845" t="s">
        <v>2717</v>
      </c>
      <c r="D20497" s="862"/>
      <c r="I20497" s="845" t="str">
        <f>CONCATENATE("&lt;valeur&gt;",Cellule_14188,"&lt;/valeur&gt;")</f>
        <v>&lt;valeur&gt;0&lt;/valeur&gt;</v>
      </c>
    </row>
    <row r="20498" spans="1:10" x14ac:dyDescent="0.2">
      <c r="A20498" s="859">
        <f t="shared" si="462"/>
        <v>20497</v>
      </c>
      <c r="B20498" s="845" t="s">
        <v>2717</v>
      </c>
      <c r="D20498" s="862"/>
      <c r="H20498" s="845" t="s">
        <v>1010</v>
      </c>
    </row>
    <row r="20499" spans="1:10" x14ac:dyDescent="0.2">
      <c r="A20499" s="859">
        <f t="shared" si="462"/>
        <v>20498</v>
      </c>
      <c r="B20499" s="845" t="s">
        <v>2717</v>
      </c>
      <c r="D20499" s="862"/>
      <c r="H20499" s="845" t="s">
        <v>1007</v>
      </c>
    </row>
    <row r="20500" spans="1:10" x14ac:dyDescent="0.2">
      <c r="A20500" s="859">
        <f t="shared" si="462"/>
        <v>20499</v>
      </c>
      <c r="B20500" s="845" t="s">
        <v>2717</v>
      </c>
      <c r="D20500" s="862"/>
      <c r="I20500" s="845" t="s">
        <v>1008</v>
      </c>
    </row>
    <row r="20501" spans="1:10" x14ac:dyDescent="0.2">
      <c r="A20501" s="859">
        <f t="shared" si="462"/>
        <v>20500</v>
      </c>
      <c r="B20501" s="845" t="s">
        <v>2717</v>
      </c>
      <c r="D20501" s="862"/>
      <c r="J20501" s="845" t="s">
        <v>2764</v>
      </c>
    </row>
    <row r="20502" spans="1:10" x14ac:dyDescent="0.2">
      <c r="A20502" s="859">
        <f t="shared" si="462"/>
        <v>20501</v>
      </c>
      <c r="B20502" s="845" t="s">
        <v>2717</v>
      </c>
      <c r="D20502" s="862"/>
      <c r="I20502" s="845" t="s">
        <v>1009</v>
      </c>
    </row>
    <row r="20503" spans="1:10" x14ac:dyDescent="0.2">
      <c r="A20503" s="859">
        <f t="shared" si="462"/>
        <v>20502</v>
      </c>
      <c r="B20503" s="845" t="s">
        <v>2717</v>
      </c>
      <c r="D20503" s="862"/>
      <c r="I20503" s="845" t="str">
        <f>CONCATENATE("&lt;valeur&gt;",Cellule_14189,"&lt;/valeur&gt;")</f>
        <v>&lt;valeur&gt;0&lt;/valeur&gt;</v>
      </c>
    </row>
    <row r="20504" spans="1:10" x14ac:dyDescent="0.2">
      <c r="A20504" s="859">
        <f t="shared" si="462"/>
        <v>20503</v>
      </c>
      <c r="B20504" s="845" t="s">
        <v>2717</v>
      </c>
      <c r="D20504" s="862"/>
      <c r="H20504" s="845" t="s">
        <v>1010</v>
      </c>
    </row>
    <row r="20505" spans="1:10" x14ac:dyDescent="0.2">
      <c r="A20505" s="859">
        <f t="shared" si="462"/>
        <v>20504</v>
      </c>
      <c r="B20505" s="845" t="s">
        <v>2717</v>
      </c>
      <c r="D20505" s="862"/>
      <c r="H20505" s="845" t="s">
        <v>1007</v>
      </c>
    </row>
    <row r="20506" spans="1:10" x14ac:dyDescent="0.2">
      <c r="A20506" s="859">
        <f t="shared" si="462"/>
        <v>20505</v>
      </c>
      <c r="B20506" s="845" t="s">
        <v>2717</v>
      </c>
      <c r="D20506" s="862"/>
      <c r="I20506" s="845" t="s">
        <v>1008</v>
      </c>
    </row>
    <row r="20507" spans="1:10" x14ac:dyDescent="0.2">
      <c r="A20507" s="859">
        <f t="shared" si="462"/>
        <v>20506</v>
      </c>
      <c r="B20507" s="845" t="s">
        <v>2717</v>
      </c>
      <c r="D20507" s="862"/>
      <c r="J20507" s="845" t="s">
        <v>2765</v>
      </c>
    </row>
    <row r="20508" spans="1:10" x14ac:dyDescent="0.2">
      <c r="A20508" s="859">
        <f t="shared" si="462"/>
        <v>20507</v>
      </c>
      <c r="B20508" s="845" t="s">
        <v>2717</v>
      </c>
      <c r="D20508" s="862"/>
      <c r="I20508" s="845" t="s">
        <v>1009</v>
      </c>
    </row>
    <row r="20509" spans="1:10" x14ac:dyDescent="0.2">
      <c r="A20509" s="859">
        <f t="shared" si="462"/>
        <v>20508</v>
      </c>
      <c r="B20509" s="845" t="s">
        <v>2717</v>
      </c>
      <c r="D20509" s="862"/>
      <c r="I20509" s="845" t="str">
        <f>CONCATENATE("&lt;valeur&gt;",Cellule_14190,"&lt;/valeur&gt;")</f>
        <v>&lt;valeur&gt;0&lt;/valeur&gt;</v>
      </c>
    </row>
    <row r="20510" spans="1:10" x14ac:dyDescent="0.2">
      <c r="A20510" s="859">
        <f t="shared" si="462"/>
        <v>20509</v>
      </c>
      <c r="B20510" s="845" t="s">
        <v>2717</v>
      </c>
      <c r="D20510" s="862"/>
      <c r="H20510" s="845" t="s">
        <v>1010</v>
      </c>
    </row>
    <row r="20511" spans="1:10" x14ac:dyDescent="0.2">
      <c r="A20511" s="859">
        <f t="shared" si="462"/>
        <v>20510</v>
      </c>
      <c r="B20511" s="845" t="s">
        <v>2717</v>
      </c>
      <c r="D20511" s="862"/>
      <c r="H20511" s="845" t="s">
        <v>1007</v>
      </c>
    </row>
    <row r="20512" spans="1:10" x14ac:dyDescent="0.2">
      <c r="A20512" s="859">
        <f t="shared" si="462"/>
        <v>20511</v>
      </c>
      <c r="B20512" s="845" t="s">
        <v>2717</v>
      </c>
      <c r="D20512" s="862"/>
      <c r="I20512" s="845" t="s">
        <v>1008</v>
      </c>
    </row>
    <row r="20513" spans="1:10" x14ac:dyDescent="0.2">
      <c r="A20513" s="859">
        <f t="shared" si="462"/>
        <v>20512</v>
      </c>
      <c r="B20513" s="845" t="s">
        <v>2717</v>
      </c>
      <c r="D20513" s="862"/>
      <c r="J20513" s="845" t="s">
        <v>2766</v>
      </c>
    </row>
    <row r="20514" spans="1:10" x14ac:dyDescent="0.2">
      <c r="A20514" s="859">
        <f t="shared" si="462"/>
        <v>20513</v>
      </c>
      <c r="B20514" s="845" t="s">
        <v>2717</v>
      </c>
      <c r="D20514" s="862"/>
      <c r="I20514" s="845" t="s">
        <v>1009</v>
      </c>
    </row>
    <row r="20515" spans="1:10" x14ac:dyDescent="0.2">
      <c r="A20515" s="859">
        <f t="shared" si="462"/>
        <v>20514</v>
      </c>
      <c r="B20515" s="845" t="s">
        <v>2717</v>
      </c>
      <c r="D20515" s="862"/>
      <c r="I20515" s="845" t="str">
        <f>CONCATENATE("&lt;valeur&gt;",Cellule_14191,"&lt;/valeur&gt;")</f>
        <v>&lt;valeur&gt;0&lt;/valeur&gt;</v>
      </c>
    </row>
    <row r="20516" spans="1:10" x14ac:dyDescent="0.2">
      <c r="A20516" s="859">
        <f t="shared" si="462"/>
        <v>20515</v>
      </c>
      <c r="B20516" s="845" t="s">
        <v>2717</v>
      </c>
      <c r="D20516" s="862"/>
      <c r="H20516" s="845" t="s">
        <v>1010</v>
      </c>
    </row>
    <row r="20517" spans="1:10" x14ac:dyDescent="0.2">
      <c r="A20517" s="859">
        <f t="shared" si="462"/>
        <v>20516</v>
      </c>
      <c r="B20517" s="845" t="s">
        <v>2717</v>
      </c>
      <c r="D20517" s="862"/>
      <c r="H20517" s="845" t="s">
        <v>1007</v>
      </c>
    </row>
    <row r="20518" spans="1:10" x14ac:dyDescent="0.2">
      <c r="A20518" s="859">
        <f t="shared" si="462"/>
        <v>20517</v>
      </c>
      <c r="B20518" s="845" t="s">
        <v>2717</v>
      </c>
      <c r="D20518" s="862"/>
      <c r="I20518" s="845" t="s">
        <v>1008</v>
      </c>
    </row>
    <row r="20519" spans="1:10" x14ac:dyDescent="0.2">
      <c r="A20519" s="859">
        <f t="shared" si="462"/>
        <v>20518</v>
      </c>
      <c r="B20519" s="845" t="s">
        <v>2717</v>
      </c>
      <c r="D20519" s="862"/>
      <c r="J20519" s="845" t="s">
        <v>2767</v>
      </c>
    </row>
    <row r="20520" spans="1:10" x14ac:dyDescent="0.2">
      <c r="A20520" s="859">
        <f t="shared" si="462"/>
        <v>20519</v>
      </c>
      <c r="B20520" s="845" t="s">
        <v>2717</v>
      </c>
      <c r="D20520" s="862"/>
      <c r="I20520" s="845" t="s">
        <v>1009</v>
      </c>
    </row>
    <row r="20521" spans="1:10" x14ac:dyDescent="0.2">
      <c r="A20521" s="859">
        <f t="shared" si="462"/>
        <v>20520</v>
      </c>
      <c r="B20521" s="845" t="s">
        <v>2717</v>
      </c>
      <c r="D20521" s="862"/>
      <c r="I20521" s="845" t="str">
        <f>CONCATENATE("&lt;valeur&gt;",Cellule_14192,"&lt;/valeur&gt;")</f>
        <v>&lt;valeur&gt;0&lt;/valeur&gt;</v>
      </c>
    </row>
    <row r="20522" spans="1:10" x14ac:dyDescent="0.2">
      <c r="A20522" s="859">
        <f t="shared" si="462"/>
        <v>20521</v>
      </c>
      <c r="B20522" s="845" t="s">
        <v>2717</v>
      </c>
      <c r="D20522" s="862"/>
      <c r="H20522" s="845" t="s">
        <v>1010</v>
      </c>
    </row>
    <row r="20523" spans="1:10" x14ac:dyDescent="0.2">
      <c r="A20523" s="859">
        <f t="shared" si="462"/>
        <v>20522</v>
      </c>
      <c r="B20523" s="845" t="s">
        <v>2717</v>
      </c>
      <c r="D20523" s="862"/>
      <c r="H20523" s="845" t="s">
        <v>1007</v>
      </c>
    </row>
    <row r="20524" spans="1:10" x14ac:dyDescent="0.2">
      <c r="A20524" s="859">
        <f t="shared" si="462"/>
        <v>20523</v>
      </c>
      <c r="B20524" s="845" t="s">
        <v>2717</v>
      </c>
      <c r="D20524" s="862"/>
      <c r="I20524" s="845" t="s">
        <v>1008</v>
      </c>
    </row>
    <row r="20525" spans="1:10" x14ac:dyDescent="0.2">
      <c r="A20525" s="859">
        <f t="shared" si="462"/>
        <v>20524</v>
      </c>
      <c r="B20525" s="845" t="s">
        <v>2717</v>
      </c>
      <c r="D20525" s="862"/>
      <c r="J20525" s="845" t="s">
        <v>2768</v>
      </c>
    </row>
    <row r="20526" spans="1:10" x14ac:dyDescent="0.2">
      <c r="A20526" s="859">
        <f t="shared" si="462"/>
        <v>20525</v>
      </c>
      <c r="B20526" s="845" t="s">
        <v>2717</v>
      </c>
      <c r="D20526" s="862"/>
      <c r="I20526" s="845" t="s">
        <v>1009</v>
      </c>
    </row>
    <row r="20527" spans="1:10" x14ac:dyDescent="0.2">
      <c r="A20527" s="859">
        <f t="shared" si="462"/>
        <v>20526</v>
      </c>
      <c r="B20527" s="845" t="s">
        <v>2717</v>
      </c>
      <c r="D20527" s="862"/>
      <c r="I20527" s="845" t="str">
        <f>CONCATENATE("&lt;valeur&gt;",Cellule_14193,"&lt;/valeur&gt;")</f>
        <v>&lt;valeur&gt;0&lt;/valeur&gt;</v>
      </c>
    </row>
    <row r="20528" spans="1:10" x14ac:dyDescent="0.2">
      <c r="A20528" s="859">
        <f t="shared" si="462"/>
        <v>20527</v>
      </c>
      <c r="B20528" s="845" t="s">
        <v>2717</v>
      </c>
      <c r="D20528" s="862"/>
      <c r="H20528" s="845" t="s">
        <v>1010</v>
      </c>
    </row>
    <row r="20529" spans="1:10" x14ac:dyDescent="0.2">
      <c r="A20529" s="859">
        <f t="shared" si="462"/>
        <v>20528</v>
      </c>
      <c r="B20529" s="845" t="s">
        <v>2717</v>
      </c>
      <c r="D20529" s="862"/>
      <c r="H20529" s="845" t="s">
        <v>1007</v>
      </c>
    </row>
    <row r="20530" spans="1:10" x14ac:dyDescent="0.2">
      <c r="A20530" s="859">
        <f t="shared" si="462"/>
        <v>20529</v>
      </c>
      <c r="B20530" s="845" t="s">
        <v>2717</v>
      </c>
      <c r="D20530" s="862"/>
      <c r="I20530" s="845" t="s">
        <v>1008</v>
      </c>
    </row>
    <row r="20531" spans="1:10" x14ac:dyDescent="0.2">
      <c r="A20531" s="859">
        <f t="shared" si="462"/>
        <v>20530</v>
      </c>
      <c r="B20531" s="845" t="s">
        <v>2717</v>
      </c>
      <c r="D20531" s="862"/>
      <c r="J20531" s="845" t="s">
        <v>2769</v>
      </c>
    </row>
    <row r="20532" spans="1:10" x14ac:dyDescent="0.2">
      <c r="A20532" s="859">
        <f t="shared" si="462"/>
        <v>20531</v>
      </c>
      <c r="B20532" s="845" t="s">
        <v>2717</v>
      </c>
      <c r="D20532" s="862"/>
      <c r="I20532" s="845" t="s">
        <v>1009</v>
      </c>
    </row>
    <row r="20533" spans="1:10" x14ac:dyDescent="0.2">
      <c r="A20533" s="859">
        <f t="shared" si="462"/>
        <v>20532</v>
      </c>
      <c r="B20533" s="845" t="s">
        <v>2717</v>
      </c>
      <c r="D20533" s="862"/>
      <c r="I20533" s="845" t="str">
        <f>CONCATENATE("&lt;valeur&gt;",Cellule_14194,"&lt;/valeur&gt;")</f>
        <v>&lt;valeur&gt;0&lt;/valeur&gt;</v>
      </c>
    </row>
    <row r="20534" spans="1:10" x14ac:dyDescent="0.2">
      <c r="A20534" s="859">
        <f t="shared" si="462"/>
        <v>20533</v>
      </c>
      <c r="B20534" s="845" t="s">
        <v>2717</v>
      </c>
      <c r="D20534" s="862"/>
      <c r="H20534" s="845" t="s">
        <v>1010</v>
      </c>
    </row>
    <row r="20535" spans="1:10" x14ac:dyDescent="0.2">
      <c r="A20535" s="859">
        <f t="shared" si="462"/>
        <v>20534</v>
      </c>
      <c r="B20535" s="845" t="s">
        <v>2717</v>
      </c>
      <c r="D20535" s="862"/>
      <c r="H20535" s="845" t="s">
        <v>1007</v>
      </c>
    </row>
    <row r="20536" spans="1:10" x14ac:dyDescent="0.2">
      <c r="A20536" s="859">
        <f t="shared" si="462"/>
        <v>20535</v>
      </c>
      <c r="B20536" s="845" t="s">
        <v>2717</v>
      </c>
      <c r="D20536" s="862"/>
      <c r="I20536" s="845" t="s">
        <v>1008</v>
      </c>
    </row>
    <row r="20537" spans="1:10" x14ac:dyDescent="0.2">
      <c r="A20537" s="859">
        <f t="shared" si="462"/>
        <v>20536</v>
      </c>
      <c r="B20537" s="845" t="s">
        <v>2717</v>
      </c>
      <c r="D20537" s="862"/>
      <c r="J20537" s="845" t="s">
        <v>2770</v>
      </c>
    </row>
    <row r="20538" spans="1:10" x14ac:dyDescent="0.2">
      <c r="A20538" s="859">
        <f t="shared" si="462"/>
        <v>20537</v>
      </c>
      <c r="B20538" s="845" t="s">
        <v>2717</v>
      </c>
      <c r="D20538" s="862"/>
      <c r="I20538" s="845" t="s">
        <v>1009</v>
      </c>
    </row>
    <row r="20539" spans="1:10" x14ac:dyDescent="0.2">
      <c r="A20539" s="859">
        <f t="shared" si="462"/>
        <v>20538</v>
      </c>
      <c r="B20539" s="845" t="s">
        <v>2717</v>
      </c>
      <c r="D20539" s="862"/>
      <c r="I20539" s="845" t="str">
        <f>CONCATENATE("&lt;valeur&gt;",Cellule_14195,"&lt;/valeur&gt;")</f>
        <v>&lt;valeur&gt;0&lt;/valeur&gt;</v>
      </c>
    </row>
    <row r="20540" spans="1:10" x14ac:dyDescent="0.2">
      <c r="A20540" s="859">
        <f t="shared" si="462"/>
        <v>20539</v>
      </c>
      <c r="B20540" s="845" t="s">
        <v>2717</v>
      </c>
      <c r="D20540" s="862"/>
      <c r="H20540" s="845" t="s">
        <v>1010</v>
      </c>
    </row>
    <row r="20541" spans="1:10" x14ac:dyDescent="0.2">
      <c r="A20541" s="859">
        <f t="shared" si="462"/>
        <v>20540</v>
      </c>
      <c r="B20541" s="845" t="s">
        <v>2717</v>
      </c>
      <c r="D20541" s="862"/>
      <c r="H20541" s="845" t="s">
        <v>1007</v>
      </c>
    </row>
    <row r="20542" spans="1:10" x14ac:dyDescent="0.2">
      <c r="A20542" s="859">
        <f t="shared" si="462"/>
        <v>20541</v>
      </c>
      <c r="B20542" s="845" t="s">
        <v>2717</v>
      </c>
      <c r="D20542" s="862"/>
      <c r="I20542" s="845" t="s">
        <v>1008</v>
      </c>
    </row>
    <row r="20543" spans="1:10" x14ac:dyDescent="0.2">
      <c r="A20543" s="859">
        <f t="shared" si="462"/>
        <v>20542</v>
      </c>
      <c r="B20543" s="845" t="s">
        <v>2717</v>
      </c>
      <c r="D20543" s="862"/>
      <c r="J20543" s="845" t="s">
        <v>2771</v>
      </c>
    </row>
    <row r="20544" spans="1:10" x14ac:dyDescent="0.2">
      <c r="A20544" s="859">
        <f t="shared" si="462"/>
        <v>20543</v>
      </c>
      <c r="B20544" s="845" t="s">
        <v>2717</v>
      </c>
      <c r="D20544" s="862"/>
      <c r="I20544" s="845" t="s">
        <v>1009</v>
      </c>
    </row>
    <row r="20545" spans="1:10" x14ac:dyDescent="0.2">
      <c r="A20545" s="859">
        <f t="shared" si="462"/>
        <v>20544</v>
      </c>
      <c r="B20545" s="845" t="s">
        <v>2717</v>
      </c>
      <c r="D20545" s="862"/>
      <c r="I20545" s="845" t="str">
        <f>CONCATENATE("&lt;valeur&gt;",Cellule_14196,"&lt;/valeur&gt;")</f>
        <v>&lt;valeur&gt;&lt;/valeur&gt;</v>
      </c>
    </row>
    <row r="20546" spans="1:10" x14ac:dyDescent="0.2">
      <c r="A20546" s="859">
        <f t="shared" si="462"/>
        <v>20545</v>
      </c>
      <c r="B20546" s="845" t="s">
        <v>2717</v>
      </c>
      <c r="D20546" s="862"/>
      <c r="H20546" s="845" t="s">
        <v>1010</v>
      </c>
    </row>
    <row r="20547" spans="1:10" x14ac:dyDescent="0.2">
      <c r="A20547" s="859">
        <f t="shared" si="462"/>
        <v>20546</v>
      </c>
      <c r="B20547" s="845" t="s">
        <v>2717</v>
      </c>
      <c r="D20547" s="862"/>
      <c r="H20547" s="845" t="s">
        <v>1007</v>
      </c>
    </row>
    <row r="20548" spans="1:10" x14ac:dyDescent="0.2">
      <c r="A20548" s="859">
        <f t="shared" ref="A20548:A20611" si="463">+A20547+1</f>
        <v>20547</v>
      </c>
      <c r="B20548" s="845" t="s">
        <v>2717</v>
      </c>
      <c r="D20548" s="862"/>
      <c r="I20548" s="845" t="s">
        <v>1008</v>
      </c>
    </row>
    <row r="20549" spans="1:10" x14ac:dyDescent="0.2">
      <c r="A20549" s="859">
        <f t="shared" si="463"/>
        <v>20548</v>
      </c>
      <c r="B20549" s="845" t="s">
        <v>2717</v>
      </c>
      <c r="D20549" s="862"/>
      <c r="J20549" s="845" t="s">
        <v>2772</v>
      </c>
    </row>
    <row r="20550" spans="1:10" x14ac:dyDescent="0.2">
      <c r="A20550" s="859">
        <f t="shared" si="463"/>
        <v>20549</v>
      </c>
      <c r="B20550" s="845" t="s">
        <v>2717</v>
      </c>
      <c r="D20550" s="862"/>
      <c r="I20550" s="845" t="s">
        <v>1009</v>
      </c>
    </row>
    <row r="20551" spans="1:10" x14ac:dyDescent="0.2">
      <c r="A20551" s="859">
        <f t="shared" si="463"/>
        <v>20550</v>
      </c>
      <c r="B20551" s="845" t="s">
        <v>2717</v>
      </c>
      <c r="D20551" s="862"/>
      <c r="I20551" s="845" t="str">
        <f>CONCATENATE("&lt;valeur&gt;",Cellule_14197,"&lt;/valeur&gt;")</f>
        <v>&lt;valeur&gt;&lt;/valeur&gt;</v>
      </c>
    </row>
    <row r="20552" spans="1:10" x14ac:dyDescent="0.2">
      <c r="A20552" s="859">
        <f t="shared" si="463"/>
        <v>20551</v>
      </c>
      <c r="B20552" s="845" t="s">
        <v>2717</v>
      </c>
      <c r="D20552" s="862"/>
      <c r="H20552" s="845" t="s">
        <v>1010</v>
      </c>
    </row>
    <row r="20553" spans="1:10" x14ac:dyDescent="0.2">
      <c r="A20553" s="859">
        <f t="shared" si="463"/>
        <v>20552</v>
      </c>
      <c r="B20553" s="845" t="s">
        <v>2717</v>
      </c>
      <c r="D20553" s="862"/>
      <c r="H20553" s="845" t="s">
        <v>1007</v>
      </c>
    </row>
    <row r="20554" spans="1:10" x14ac:dyDescent="0.2">
      <c r="A20554" s="859">
        <f t="shared" si="463"/>
        <v>20553</v>
      </c>
      <c r="B20554" s="845" t="s">
        <v>2717</v>
      </c>
      <c r="D20554" s="862"/>
      <c r="I20554" s="845" t="s">
        <v>1008</v>
      </c>
    </row>
    <row r="20555" spans="1:10" x14ac:dyDescent="0.2">
      <c r="A20555" s="859">
        <f t="shared" si="463"/>
        <v>20554</v>
      </c>
      <c r="B20555" s="845" t="s">
        <v>2717</v>
      </c>
      <c r="D20555" s="862"/>
      <c r="J20555" s="845" t="s">
        <v>2773</v>
      </c>
    </row>
    <row r="20556" spans="1:10" x14ac:dyDescent="0.2">
      <c r="A20556" s="859">
        <f t="shared" si="463"/>
        <v>20555</v>
      </c>
      <c r="B20556" s="845" t="s">
        <v>2717</v>
      </c>
      <c r="D20556" s="862"/>
      <c r="I20556" s="845" t="s">
        <v>1009</v>
      </c>
    </row>
    <row r="20557" spans="1:10" x14ac:dyDescent="0.2">
      <c r="A20557" s="859">
        <f t="shared" si="463"/>
        <v>20556</v>
      </c>
      <c r="B20557" s="845" t="s">
        <v>2717</v>
      </c>
      <c r="D20557" s="862"/>
      <c r="I20557" s="845" t="str">
        <f>CONCATENATE("&lt;valeur&gt;",Cellule_14198,"&lt;/valeur&gt;")</f>
        <v>&lt;valeur&gt;&lt;/valeur&gt;</v>
      </c>
    </row>
    <row r="20558" spans="1:10" x14ac:dyDescent="0.2">
      <c r="A20558" s="859">
        <f t="shared" si="463"/>
        <v>20557</v>
      </c>
      <c r="B20558" s="845" t="s">
        <v>2717</v>
      </c>
      <c r="D20558" s="862"/>
      <c r="H20558" s="845" t="s">
        <v>1010</v>
      </c>
    </row>
    <row r="20559" spans="1:10" x14ac:dyDescent="0.2">
      <c r="A20559" s="859">
        <f t="shared" si="463"/>
        <v>20558</v>
      </c>
      <c r="B20559" s="845" t="s">
        <v>2717</v>
      </c>
      <c r="D20559" s="862"/>
      <c r="H20559" s="845" t="s">
        <v>1007</v>
      </c>
    </row>
    <row r="20560" spans="1:10" x14ac:dyDescent="0.2">
      <c r="A20560" s="859">
        <f t="shared" si="463"/>
        <v>20559</v>
      </c>
      <c r="B20560" s="845" t="s">
        <v>2717</v>
      </c>
      <c r="D20560" s="862"/>
      <c r="I20560" s="845" t="s">
        <v>1008</v>
      </c>
    </row>
    <row r="20561" spans="1:10" x14ac:dyDescent="0.2">
      <c r="A20561" s="859">
        <f t="shared" si="463"/>
        <v>20560</v>
      </c>
      <c r="B20561" s="845" t="s">
        <v>2717</v>
      </c>
      <c r="D20561" s="862"/>
      <c r="J20561" s="845" t="s">
        <v>2774</v>
      </c>
    </row>
    <row r="20562" spans="1:10" x14ac:dyDescent="0.2">
      <c r="A20562" s="859">
        <f t="shared" si="463"/>
        <v>20561</v>
      </c>
      <c r="B20562" s="845" t="s">
        <v>2717</v>
      </c>
      <c r="D20562" s="862"/>
      <c r="I20562" s="845" t="s">
        <v>1009</v>
      </c>
    </row>
    <row r="20563" spans="1:10" x14ac:dyDescent="0.2">
      <c r="A20563" s="859">
        <f t="shared" si="463"/>
        <v>20562</v>
      </c>
      <c r="B20563" s="845" t="s">
        <v>2717</v>
      </c>
      <c r="D20563" s="862"/>
      <c r="I20563" s="845" t="str">
        <f>CONCATENATE("&lt;valeur&gt;",Cellule_14199,"&lt;/valeur&gt;")</f>
        <v>&lt;valeur&gt;&lt;/valeur&gt;</v>
      </c>
    </row>
    <row r="20564" spans="1:10" x14ac:dyDescent="0.2">
      <c r="A20564" s="859">
        <f t="shared" si="463"/>
        <v>20563</v>
      </c>
      <c r="B20564" s="845" t="s">
        <v>2717</v>
      </c>
      <c r="D20564" s="862"/>
      <c r="H20564" s="845" t="s">
        <v>1010</v>
      </c>
    </row>
    <row r="20565" spans="1:10" x14ac:dyDescent="0.2">
      <c r="A20565" s="859">
        <f t="shared" si="463"/>
        <v>20564</v>
      </c>
      <c r="B20565" s="845" t="s">
        <v>2717</v>
      </c>
      <c r="D20565" s="862"/>
      <c r="H20565" s="845" t="s">
        <v>1007</v>
      </c>
    </row>
    <row r="20566" spans="1:10" x14ac:dyDescent="0.2">
      <c r="A20566" s="859">
        <f t="shared" si="463"/>
        <v>20565</v>
      </c>
      <c r="B20566" s="845" t="s">
        <v>2717</v>
      </c>
      <c r="D20566" s="862"/>
      <c r="I20566" s="845" t="s">
        <v>1008</v>
      </c>
    </row>
    <row r="20567" spans="1:10" x14ac:dyDescent="0.2">
      <c r="A20567" s="859">
        <f t="shared" si="463"/>
        <v>20566</v>
      </c>
      <c r="B20567" s="845" t="s">
        <v>2717</v>
      </c>
      <c r="D20567" s="862"/>
      <c r="J20567" s="845" t="s">
        <v>2775</v>
      </c>
    </row>
    <row r="20568" spans="1:10" x14ac:dyDescent="0.2">
      <c r="A20568" s="859">
        <f t="shared" si="463"/>
        <v>20567</v>
      </c>
      <c r="B20568" s="845" t="s">
        <v>2717</v>
      </c>
      <c r="D20568" s="862"/>
      <c r="I20568" s="845" t="s">
        <v>1009</v>
      </c>
    </row>
    <row r="20569" spans="1:10" x14ac:dyDescent="0.2">
      <c r="A20569" s="859">
        <f t="shared" si="463"/>
        <v>20568</v>
      </c>
      <c r="B20569" s="845" t="s">
        <v>2717</v>
      </c>
      <c r="D20569" s="862"/>
      <c r="I20569" s="845" t="str">
        <f>CONCATENATE("&lt;valeur&gt;",Cellule_14200,"&lt;/valeur&gt;")</f>
        <v>&lt;valeur&gt;&lt;/valeur&gt;</v>
      </c>
    </row>
    <row r="20570" spans="1:10" x14ac:dyDescent="0.2">
      <c r="A20570" s="859">
        <f t="shared" si="463"/>
        <v>20569</v>
      </c>
      <c r="B20570" s="845" t="s">
        <v>2717</v>
      </c>
      <c r="D20570" s="862"/>
      <c r="H20570" s="845" t="s">
        <v>1010</v>
      </c>
    </row>
    <row r="20571" spans="1:10" x14ac:dyDescent="0.2">
      <c r="A20571" s="859">
        <f t="shared" si="463"/>
        <v>20570</v>
      </c>
      <c r="B20571" s="845" t="s">
        <v>2717</v>
      </c>
      <c r="D20571" s="862"/>
      <c r="H20571" s="845" t="s">
        <v>1007</v>
      </c>
    </row>
    <row r="20572" spans="1:10" x14ac:dyDescent="0.2">
      <c r="A20572" s="859">
        <f t="shared" si="463"/>
        <v>20571</v>
      </c>
      <c r="B20572" s="845" t="s">
        <v>2717</v>
      </c>
      <c r="D20572" s="862"/>
      <c r="I20572" s="845" t="s">
        <v>1008</v>
      </c>
    </row>
    <row r="20573" spans="1:10" x14ac:dyDescent="0.2">
      <c r="A20573" s="859">
        <f t="shared" si="463"/>
        <v>20572</v>
      </c>
      <c r="B20573" s="845" t="s">
        <v>2717</v>
      </c>
      <c r="D20573" s="862"/>
      <c r="J20573" s="845" t="s">
        <v>2776</v>
      </c>
    </row>
    <row r="20574" spans="1:10" x14ac:dyDescent="0.2">
      <c r="A20574" s="859">
        <f t="shared" si="463"/>
        <v>20573</v>
      </c>
      <c r="B20574" s="845" t="s">
        <v>2717</v>
      </c>
      <c r="D20574" s="862"/>
      <c r="I20574" s="845" t="s">
        <v>1009</v>
      </c>
    </row>
    <row r="20575" spans="1:10" x14ac:dyDescent="0.2">
      <c r="A20575" s="859">
        <f t="shared" si="463"/>
        <v>20574</v>
      </c>
      <c r="B20575" s="845" t="s">
        <v>2717</v>
      </c>
      <c r="D20575" s="862"/>
      <c r="I20575" s="845" t="str">
        <f>CONCATENATE("&lt;valeur&gt;",Cellule_14201,"&lt;/valeur&gt;")</f>
        <v>&lt;valeur&gt;&lt;/valeur&gt;</v>
      </c>
    </row>
    <row r="20576" spans="1:10" x14ac:dyDescent="0.2">
      <c r="A20576" s="859">
        <f t="shared" si="463"/>
        <v>20575</v>
      </c>
      <c r="B20576" s="845" t="s">
        <v>2717</v>
      </c>
      <c r="D20576" s="862"/>
      <c r="H20576" s="845" t="s">
        <v>1010</v>
      </c>
    </row>
    <row r="20577" spans="1:10" x14ac:dyDescent="0.2">
      <c r="A20577" s="859">
        <f t="shared" si="463"/>
        <v>20576</v>
      </c>
      <c r="B20577" s="845" t="s">
        <v>2717</v>
      </c>
      <c r="D20577" s="862"/>
      <c r="H20577" s="845" t="s">
        <v>1007</v>
      </c>
    </row>
    <row r="20578" spans="1:10" x14ac:dyDescent="0.2">
      <c r="A20578" s="859">
        <f t="shared" si="463"/>
        <v>20577</v>
      </c>
      <c r="B20578" s="845" t="s">
        <v>2717</v>
      </c>
      <c r="D20578" s="862"/>
      <c r="I20578" s="845" t="s">
        <v>1008</v>
      </c>
    </row>
    <row r="20579" spans="1:10" x14ac:dyDescent="0.2">
      <c r="A20579" s="859">
        <f t="shared" si="463"/>
        <v>20578</v>
      </c>
      <c r="B20579" s="845" t="s">
        <v>2717</v>
      </c>
      <c r="D20579" s="862"/>
      <c r="J20579" s="845" t="s">
        <v>2777</v>
      </c>
    </row>
    <row r="20580" spans="1:10" x14ac:dyDescent="0.2">
      <c r="A20580" s="859">
        <f t="shared" si="463"/>
        <v>20579</v>
      </c>
      <c r="B20580" s="845" t="s">
        <v>2717</v>
      </c>
      <c r="D20580" s="862"/>
      <c r="I20580" s="845" t="s">
        <v>1009</v>
      </c>
    </row>
    <row r="20581" spans="1:10" x14ac:dyDescent="0.2">
      <c r="A20581" s="859">
        <f t="shared" si="463"/>
        <v>20580</v>
      </c>
      <c r="B20581" s="845" t="s">
        <v>2717</v>
      </c>
      <c r="D20581" s="862"/>
      <c r="I20581" s="845" t="str">
        <f>CONCATENATE("&lt;valeur&gt;",Cellule_14202,"&lt;/valeur&gt;")</f>
        <v>&lt;valeur&gt;&lt;/valeur&gt;</v>
      </c>
    </row>
    <row r="20582" spans="1:10" x14ac:dyDescent="0.2">
      <c r="A20582" s="859">
        <f t="shared" si="463"/>
        <v>20581</v>
      </c>
      <c r="B20582" s="845" t="s">
        <v>2717</v>
      </c>
      <c r="D20582" s="862"/>
      <c r="H20582" s="845" t="s">
        <v>1010</v>
      </c>
    </row>
    <row r="20583" spans="1:10" x14ac:dyDescent="0.2">
      <c r="A20583" s="859">
        <f t="shared" si="463"/>
        <v>20582</v>
      </c>
      <c r="B20583" s="845" t="s">
        <v>2717</v>
      </c>
      <c r="D20583" s="862"/>
      <c r="H20583" s="845" t="s">
        <v>1007</v>
      </c>
    </row>
    <row r="20584" spans="1:10" x14ac:dyDescent="0.2">
      <c r="A20584" s="859">
        <f t="shared" si="463"/>
        <v>20583</v>
      </c>
      <c r="B20584" s="845" t="s">
        <v>2717</v>
      </c>
      <c r="D20584" s="862"/>
      <c r="I20584" s="845" t="s">
        <v>1008</v>
      </c>
    </row>
    <row r="20585" spans="1:10" x14ac:dyDescent="0.2">
      <c r="A20585" s="859">
        <f t="shared" si="463"/>
        <v>20584</v>
      </c>
      <c r="B20585" s="845" t="s">
        <v>2717</v>
      </c>
      <c r="D20585" s="862"/>
      <c r="J20585" s="845" t="s">
        <v>2778</v>
      </c>
    </row>
    <row r="20586" spans="1:10" x14ac:dyDescent="0.2">
      <c r="A20586" s="859">
        <f t="shared" si="463"/>
        <v>20585</v>
      </c>
      <c r="B20586" s="845" t="s">
        <v>2717</v>
      </c>
      <c r="D20586" s="862"/>
      <c r="I20586" s="845" t="s">
        <v>1009</v>
      </c>
    </row>
    <row r="20587" spans="1:10" x14ac:dyDescent="0.2">
      <c r="A20587" s="859">
        <f t="shared" si="463"/>
        <v>20586</v>
      </c>
      <c r="B20587" s="845" t="s">
        <v>2717</v>
      </c>
      <c r="D20587" s="862"/>
      <c r="I20587" s="845" t="str">
        <f>CONCATENATE("&lt;valeur&gt;",Cellule_14203,"&lt;/valeur&gt;")</f>
        <v>&lt;valeur&gt;&lt;/valeur&gt;</v>
      </c>
    </row>
    <row r="20588" spans="1:10" x14ac:dyDescent="0.2">
      <c r="A20588" s="859">
        <f t="shared" si="463"/>
        <v>20587</v>
      </c>
      <c r="B20588" s="845" t="s">
        <v>2717</v>
      </c>
      <c r="D20588" s="862"/>
      <c r="H20588" s="845" t="s">
        <v>1010</v>
      </c>
    </row>
    <row r="20589" spans="1:10" x14ac:dyDescent="0.2">
      <c r="A20589" s="859">
        <f t="shared" si="463"/>
        <v>20588</v>
      </c>
      <c r="B20589" s="845" t="s">
        <v>2717</v>
      </c>
      <c r="D20589" s="862"/>
      <c r="H20589" s="845" t="s">
        <v>1007</v>
      </c>
    </row>
    <row r="20590" spans="1:10" x14ac:dyDescent="0.2">
      <c r="A20590" s="859">
        <f t="shared" si="463"/>
        <v>20589</v>
      </c>
      <c r="B20590" s="845" t="s">
        <v>2717</v>
      </c>
      <c r="D20590" s="862"/>
      <c r="I20590" s="845" t="s">
        <v>1008</v>
      </c>
    </row>
    <row r="20591" spans="1:10" x14ac:dyDescent="0.2">
      <c r="A20591" s="859">
        <f t="shared" si="463"/>
        <v>20590</v>
      </c>
      <c r="B20591" s="845" t="s">
        <v>2717</v>
      </c>
      <c r="D20591" s="862"/>
      <c r="J20591" s="845" t="s">
        <v>2779</v>
      </c>
    </row>
    <row r="20592" spans="1:10" x14ac:dyDescent="0.2">
      <c r="A20592" s="859">
        <f t="shared" si="463"/>
        <v>20591</v>
      </c>
      <c r="B20592" s="845" t="s">
        <v>2717</v>
      </c>
      <c r="D20592" s="862"/>
      <c r="I20592" s="845" t="s">
        <v>1009</v>
      </c>
    </row>
    <row r="20593" spans="1:10" x14ac:dyDescent="0.2">
      <c r="A20593" s="859">
        <f t="shared" si="463"/>
        <v>20592</v>
      </c>
      <c r="B20593" s="845" t="s">
        <v>2717</v>
      </c>
      <c r="D20593" s="862"/>
      <c r="I20593" s="845" t="str">
        <f>CONCATENATE("&lt;valeur&gt;",Cellule_14204,"&lt;/valeur&gt;")</f>
        <v>&lt;valeur&gt;&lt;/valeur&gt;</v>
      </c>
    </row>
    <row r="20594" spans="1:10" x14ac:dyDescent="0.2">
      <c r="A20594" s="859">
        <f t="shared" si="463"/>
        <v>20593</v>
      </c>
      <c r="B20594" s="845" t="s">
        <v>2717</v>
      </c>
      <c r="D20594" s="862"/>
      <c r="H20594" s="845" t="s">
        <v>1010</v>
      </c>
    </row>
    <row r="20595" spans="1:10" x14ac:dyDescent="0.2">
      <c r="A20595" s="859">
        <f t="shared" si="463"/>
        <v>20594</v>
      </c>
      <c r="B20595" s="845" t="s">
        <v>2717</v>
      </c>
      <c r="D20595" s="862"/>
      <c r="H20595" s="845" t="s">
        <v>1007</v>
      </c>
    </row>
    <row r="20596" spans="1:10" x14ac:dyDescent="0.2">
      <c r="A20596" s="859">
        <f t="shared" si="463"/>
        <v>20595</v>
      </c>
      <c r="B20596" s="845" t="s">
        <v>2717</v>
      </c>
      <c r="D20596" s="862"/>
      <c r="I20596" s="845" t="s">
        <v>1008</v>
      </c>
    </row>
    <row r="20597" spans="1:10" x14ac:dyDescent="0.2">
      <c r="A20597" s="859">
        <f t="shared" si="463"/>
        <v>20596</v>
      </c>
      <c r="B20597" s="845" t="s">
        <v>2717</v>
      </c>
      <c r="D20597" s="862"/>
      <c r="J20597" s="845" t="s">
        <v>2780</v>
      </c>
    </row>
    <row r="20598" spans="1:10" x14ac:dyDescent="0.2">
      <c r="A20598" s="859">
        <f t="shared" si="463"/>
        <v>20597</v>
      </c>
      <c r="B20598" s="845" t="s">
        <v>2717</v>
      </c>
      <c r="D20598" s="862"/>
      <c r="I20598" s="845" t="s">
        <v>1009</v>
      </c>
    </row>
    <row r="20599" spans="1:10" x14ac:dyDescent="0.2">
      <c r="A20599" s="859">
        <f t="shared" si="463"/>
        <v>20598</v>
      </c>
      <c r="B20599" s="845" t="s">
        <v>2717</v>
      </c>
      <c r="D20599" s="862"/>
      <c r="I20599" s="845" t="str">
        <f>CONCATENATE("&lt;valeur&gt;",Cellule_14206,"&lt;/valeur&gt;")</f>
        <v>&lt;valeur&gt;&lt;/valeur&gt;</v>
      </c>
    </row>
    <row r="20600" spans="1:10" x14ac:dyDescent="0.2">
      <c r="A20600" s="859">
        <f t="shared" si="463"/>
        <v>20599</v>
      </c>
      <c r="B20600" s="845" t="s">
        <v>2717</v>
      </c>
      <c r="D20600" s="862"/>
      <c r="H20600" s="845" t="s">
        <v>1010</v>
      </c>
    </row>
    <row r="20601" spans="1:10" x14ac:dyDescent="0.2">
      <c r="A20601" s="859">
        <f t="shared" si="463"/>
        <v>20600</v>
      </c>
      <c r="B20601" s="845" t="s">
        <v>2717</v>
      </c>
      <c r="D20601" s="862"/>
      <c r="H20601" s="845" t="s">
        <v>1007</v>
      </c>
    </row>
    <row r="20602" spans="1:10" x14ac:dyDescent="0.2">
      <c r="A20602" s="859">
        <f t="shared" si="463"/>
        <v>20601</v>
      </c>
      <c r="B20602" s="845" t="s">
        <v>2717</v>
      </c>
      <c r="D20602" s="862"/>
      <c r="I20602" s="845" t="s">
        <v>1008</v>
      </c>
    </row>
    <row r="20603" spans="1:10" x14ac:dyDescent="0.2">
      <c r="A20603" s="859">
        <f t="shared" si="463"/>
        <v>20602</v>
      </c>
      <c r="B20603" s="845" t="s">
        <v>2717</v>
      </c>
      <c r="D20603" s="862"/>
      <c r="J20603" s="845" t="s">
        <v>2781</v>
      </c>
    </row>
    <row r="20604" spans="1:10" x14ac:dyDescent="0.2">
      <c r="A20604" s="859">
        <f t="shared" si="463"/>
        <v>20603</v>
      </c>
      <c r="B20604" s="845" t="s">
        <v>2717</v>
      </c>
      <c r="D20604" s="862"/>
      <c r="I20604" s="845" t="s">
        <v>1009</v>
      </c>
    </row>
    <row r="20605" spans="1:10" x14ac:dyDescent="0.2">
      <c r="A20605" s="859">
        <f t="shared" si="463"/>
        <v>20604</v>
      </c>
      <c r="B20605" s="845" t="s">
        <v>2717</v>
      </c>
      <c r="D20605" s="862"/>
      <c r="I20605" s="845" t="str">
        <f>CONCATENATE("&lt;valeur&gt;",Cellule_14207,"&lt;/valeur&gt;")</f>
        <v>&lt;valeur&gt;&lt;/valeur&gt;</v>
      </c>
    </row>
    <row r="20606" spans="1:10" x14ac:dyDescent="0.2">
      <c r="A20606" s="859">
        <f t="shared" si="463"/>
        <v>20605</v>
      </c>
      <c r="B20606" s="845" t="s">
        <v>2717</v>
      </c>
      <c r="D20606" s="862"/>
      <c r="H20606" s="845" t="s">
        <v>1010</v>
      </c>
    </row>
    <row r="20607" spans="1:10" x14ac:dyDescent="0.2">
      <c r="A20607" s="859">
        <f t="shared" si="463"/>
        <v>20606</v>
      </c>
      <c r="B20607" s="845" t="s">
        <v>2717</v>
      </c>
      <c r="D20607" s="862"/>
      <c r="H20607" s="845" t="s">
        <v>1007</v>
      </c>
    </row>
    <row r="20608" spans="1:10" x14ac:dyDescent="0.2">
      <c r="A20608" s="859">
        <f t="shared" si="463"/>
        <v>20607</v>
      </c>
      <c r="B20608" s="845" t="s">
        <v>2717</v>
      </c>
      <c r="D20608" s="862"/>
      <c r="I20608" s="845" t="s">
        <v>1008</v>
      </c>
    </row>
    <row r="20609" spans="1:10" x14ac:dyDescent="0.2">
      <c r="A20609" s="859">
        <f t="shared" si="463"/>
        <v>20608</v>
      </c>
      <c r="B20609" s="845" t="s">
        <v>2717</v>
      </c>
      <c r="D20609" s="862"/>
      <c r="J20609" s="845" t="s">
        <v>2782</v>
      </c>
    </row>
    <row r="20610" spans="1:10" x14ac:dyDescent="0.2">
      <c r="A20610" s="859">
        <f t="shared" si="463"/>
        <v>20609</v>
      </c>
      <c r="B20610" s="845" t="s">
        <v>2717</v>
      </c>
      <c r="D20610" s="862"/>
      <c r="I20610" s="845" t="s">
        <v>1009</v>
      </c>
    </row>
    <row r="20611" spans="1:10" x14ac:dyDescent="0.2">
      <c r="A20611" s="859">
        <f t="shared" si="463"/>
        <v>20610</v>
      </c>
      <c r="B20611" s="845" t="s">
        <v>2717</v>
      </c>
      <c r="D20611" s="862"/>
      <c r="I20611" s="845" t="str">
        <f>CONCATENATE("&lt;valeur&gt;",Cellule_14205,"&lt;/valeur&gt;")</f>
        <v>&lt;valeur&gt;&lt;/valeur&gt;</v>
      </c>
    </row>
    <row r="20612" spans="1:10" x14ac:dyDescent="0.2">
      <c r="A20612" s="859">
        <f t="shared" ref="A20612:A20675" si="464">+A20611+1</f>
        <v>20611</v>
      </c>
      <c r="B20612" s="845" t="s">
        <v>2717</v>
      </c>
      <c r="D20612" s="862"/>
      <c r="H20612" s="845" t="s">
        <v>1010</v>
      </c>
    </row>
    <row r="20613" spans="1:10" x14ac:dyDescent="0.2">
      <c r="A20613" s="859">
        <f t="shared" si="464"/>
        <v>20612</v>
      </c>
      <c r="B20613" s="845" t="s">
        <v>2717</v>
      </c>
      <c r="D20613" s="862"/>
      <c r="H20613" s="845" t="s">
        <v>1007</v>
      </c>
    </row>
    <row r="20614" spans="1:10" x14ac:dyDescent="0.2">
      <c r="A20614" s="859">
        <f t="shared" si="464"/>
        <v>20613</v>
      </c>
      <c r="B20614" s="845" t="s">
        <v>2717</v>
      </c>
      <c r="D20614" s="862"/>
      <c r="I20614" s="845" t="s">
        <v>1008</v>
      </c>
    </row>
    <row r="20615" spans="1:10" x14ac:dyDescent="0.2">
      <c r="A20615" s="859">
        <f t="shared" si="464"/>
        <v>20614</v>
      </c>
      <c r="B20615" s="845" t="s">
        <v>2717</v>
      </c>
      <c r="D20615" s="862"/>
      <c r="J20615" s="845" t="s">
        <v>2783</v>
      </c>
    </row>
    <row r="20616" spans="1:10" x14ac:dyDescent="0.2">
      <c r="A20616" s="859">
        <f t="shared" si="464"/>
        <v>20615</v>
      </c>
      <c r="B20616" s="845" t="s">
        <v>2717</v>
      </c>
      <c r="D20616" s="862"/>
      <c r="I20616" s="845" t="s">
        <v>1009</v>
      </c>
    </row>
    <row r="20617" spans="1:10" x14ac:dyDescent="0.2">
      <c r="A20617" s="859">
        <f t="shared" si="464"/>
        <v>20616</v>
      </c>
      <c r="B20617" s="845" t="s">
        <v>2717</v>
      </c>
      <c r="D20617" s="862"/>
      <c r="I20617" s="845" t="str">
        <f>CONCATENATE("&lt;valeur&gt;",Cellule_14208,"&lt;/valeur&gt;")</f>
        <v>&lt;valeur&gt;0&lt;/valeur&gt;</v>
      </c>
    </row>
    <row r="20618" spans="1:10" x14ac:dyDescent="0.2">
      <c r="A20618" s="859">
        <f t="shared" si="464"/>
        <v>20617</v>
      </c>
      <c r="B20618" s="845" t="s">
        <v>2717</v>
      </c>
      <c r="D20618" s="862"/>
      <c r="H20618" s="845" t="s">
        <v>1010</v>
      </c>
    </row>
    <row r="20619" spans="1:10" x14ac:dyDescent="0.2">
      <c r="A20619" s="859">
        <f t="shared" si="464"/>
        <v>20618</v>
      </c>
      <c r="B20619" s="845" t="s">
        <v>2717</v>
      </c>
      <c r="D20619" s="862"/>
      <c r="H20619" s="845" t="s">
        <v>1007</v>
      </c>
    </row>
    <row r="20620" spans="1:10" x14ac:dyDescent="0.2">
      <c r="A20620" s="859">
        <f t="shared" si="464"/>
        <v>20619</v>
      </c>
      <c r="B20620" s="845" t="s">
        <v>2717</v>
      </c>
      <c r="D20620" s="862"/>
      <c r="I20620" s="845" t="s">
        <v>1008</v>
      </c>
    </row>
    <row r="20621" spans="1:10" x14ac:dyDescent="0.2">
      <c r="A20621" s="859">
        <f t="shared" si="464"/>
        <v>20620</v>
      </c>
      <c r="B20621" s="845" t="s">
        <v>2717</v>
      </c>
      <c r="D20621" s="862"/>
      <c r="J20621" s="845" t="s">
        <v>2784</v>
      </c>
    </row>
    <row r="20622" spans="1:10" x14ac:dyDescent="0.2">
      <c r="A20622" s="859">
        <f t="shared" si="464"/>
        <v>20621</v>
      </c>
      <c r="B20622" s="845" t="s">
        <v>2717</v>
      </c>
      <c r="D20622" s="862"/>
      <c r="I20622" s="845" t="s">
        <v>1009</v>
      </c>
    </row>
    <row r="20623" spans="1:10" x14ac:dyDescent="0.2">
      <c r="A20623" s="859">
        <f t="shared" si="464"/>
        <v>20622</v>
      </c>
      <c r="B20623" s="845" t="s">
        <v>2717</v>
      </c>
      <c r="D20623" s="862"/>
      <c r="I20623" s="845" t="str">
        <f>CONCATENATE("&lt;valeur&gt;",Cellule_14209,"&lt;/valeur&gt;")</f>
        <v>&lt;valeur&gt;0&lt;/valeur&gt;</v>
      </c>
    </row>
    <row r="20624" spans="1:10" x14ac:dyDescent="0.2">
      <c r="A20624" s="859">
        <f t="shared" si="464"/>
        <v>20623</v>
      </c>
      <c r="B20624" s="845" t="s">
        <v>2717</v>
      </c>
      <c r="D20624" s="862"/>
      <c r="H20624" s="845" t="s">
        <v>1010</v>
      </c>
    </row>
    <row r="20625" spans="1:10" x14ac:dyDescent="0.2">
      <c r="A20625" s="859">
        <f t="shared" si="464"/>
        <v>20624</v>
      </c>
      <c r="B20625" s="845" t="s">
        <v>2717</v>
      </c>
      <c r="D20625" s="862"/>
      <c r="H20625" s="845" t="s">
        <v>1007</v>
      </c>
    </row>
    <row r="20626" spans="1:10" x14ac:dyDescent="0.2">
      <c r="A20626" s="859">
        <f t="shared" si="464"/>
        <v>20625</v>
      </c>
      <c r="B20626" s="845" t="s">
        <v>2717</v>
      </c>
      <c r="D20626" s="862"/>
      <c r="I20626" s="845" t="s">
        <v>1008</v>
      </c>
    </row>
    <row r="20627" spans="1:10" x14ac:dyDescent="0.2">
      <c r="A20627" s="859">
        <f t="shared" si="464"/>
        <v>20626</v>
      </c>
      <c r="B20627" s="845" t="s">
        <v>2717</v>
      </c>
      <c r="D20627" s="862"/>
      <c r="J20627" s="845" t="s">
        <v>2785</v>
      </c>
    </row>
    <row r="20628" spans="1:10" x14ac:dyDescent="0.2">
      <c r="A20628" s="859">
        <f t="shared" si="464"/>
        <v>20627</v>
      </c>
      <c r="B20628" s="845" t="s">
        <v>2717</v>
      </c>
      <c r="D20628" s="862"/>
      <c r="I20628" s="845" t="s">
        <v>1009</v>
      </c>
    </row>
    <row r="20629" spans="1:10" x14ac:dyDescent="0.2">
      <c r="A20629" s="859">
        <f t="shared" si="464"/>
        <v>20628</v>
      </c>
      <c r="B20629" s="845" t="s">
        <v>2717</v>
      </c>
      <c r="D20629" s="862"/>
      <c r="I20629" s="845" t="str">
        <f>CONCATENATE("&lt;valeur&gt;",Cellule_14210,"&lt;/valeur&gt;")</f>
        <v>&lt;valeur&gt;0&lt;/valeur&gt;</v>
      </c>
    </row>
    <row r="20630" spans="1:10" x14ac:dyDescent="0.2">
      <c r="A20630" s="859">
        <f t="shared" si="464"/>
        <v>20629</v>
      </c>
      <c r="B20630" s="845" t="s">
        <v>2717</v>
      </c>
      <c r="D20630" s="862"/>
      <c r="H20630" s="845" t="s">
        <v>1010</v>
      </c>
    </row>
    <row r="20631" spans="1:10" x14ac:dyDescent="0.2">
      <c r="A20631" s="859">
        <f t="shared" si="464"/>
        <v>20630</v>
      </c>
      <c r="B20631" s="845" t="s">
        <v>2717</v>
      </c>
      <c r="D20631" s="862"/>
      <c r="H20631" s="845" t="s">
        <v>1007</v>
      </c>
    </row>
    <row r="20632" spans="1:10" x14ac:dyDescent="0.2">
      <c r="A20632" s="859">
        <f t="shared" si="464"/>
        <v>20631</v>
      </c>
      <c r="B20632" s="845" t="s">
        <v>2717</v>
      </c>
      <c r="D20632" s="862"/>
      <c r="I20632" s="845" t="s">
        <v>1008</v>
      </c>
    </row>
    <row r="20633" spans="1:10" x14ac:dyDescent="0.2">
      <c r="A20633" s="859">
        <f t="shared" si="464"/>
        <v>20632</v>
      </c>
      <c r="B20633" s="845" t="s">
        <v>2717</v>
      </c>
      <c r="D20633" s="862"/>
      <c r="J20633" s="845" t="s">
        <v>2786</v>
      </c>
    </row>
    <row r="20634" spans="1:10" x14ac:dyDescent="0.2">
      <c r="A20634" s="859">
        <f t="shared" si="464"/>
        <v>20633</v>
      </c>
      <c r="B20634" s="845" t="s">
        <v>2717</v>
      </c>
      <c r="D20634" s="862"/>
      <c r="I20634" s="845" t="s">
        <v>1009</v>
      </c>
    </row>
    <row r="20635" spans="1:10" x14ac:dyDescent="0.2">
      <c r="A20635" s="859">
        <f t="shared" si="464"/>
        <v>20634</v>
      </c>
      <c r="B20635" s="845" t="s">
        <v>2717</v>
      </c>
      <c r="D20635" s="862"/>
      <c r="I20635" s="845" t="str">
        <f>CONCATENATE("&lt;valeur&gt;",Cellule_14211,"&lt;/valeur&gt;")</f>
        <v>&lt;valeur&gt;0&lt;/valeur&gt;</v>
      </c>
    </row>
    <row r="20636" spans="1:10" x14ac:dyDescent="0.2">
      <c r="A20636" s="859">
        <f t="shared" si="464"/>
        <v>20635</v>
      </c>
      <c r="B20636" s="845" t="s">
        <v>2717</v>
      </c>
      <c r="D20636" s="862"/>
      <c r="H20636" s="845" t="s">
        <v>1010</v>
      </c>
    </row>
    <row r="20637" spans="1:10" x14ac:dyDescent="0.2">
      <c r="A20637" s="859">
        <f t="shared" si="464"/>
        <v>20636</v>
      </c>
      <c r="B20637" s="845" t="s">
        <v>2717</v>
      </c>
      <c r="D20637" s="862"/>
      <c r="H20637" s="845" t="s">
        <v>1007</v>
      </c>
    </row>
    <row r="20638" spans="1:10" x14ac:dyDescent="0.2">
      <c r="A20638" s="859">
        <f t="shared" si="464"/>
        <v>20637</v>
      </c>
      <c r="B20638" s="845" t="s">
        <v>2717</v>
      </c>
      <c r="D20638" s="862"/>
      <c r="I20638" s="845" t="s">
        <v>1008</v>
      </c>
    </row>
    <row r="20639" spans="1:10" x14ac:dyDescent="0.2">
      <c r="A20639" s="859">
        <f t="shared" si="464"/>
        <v>20638</v>
      </c>
      <c r="B20639" s="845" t="s">
        <v>2717</v>
      </c>
      <c r="D20639" s="862"/>
      <c r="J20639" s="845" t="s">
        <v>2787</v>
      </c>
    </row>
    <row r="20640" spans="1:10" x14ac:dyDescent="0.2">
      <c r="A20640" s="859">
        <f t="shared" si="464"/>
        <v>20639</v>
      </c>
      <c r="B20640" s="845" t="s">
        <v>2717</v>
      </c>
      <c r="D20640" s="862"/>
      <c r="I20640" s="845" t="s">
        <v>1009</v>
      </c>
    </row>
    <row r="20641" spans="1:10" x14ac:dyDescent="0.2">
      <c r="A20641" s="859">
        <f t="shared" si="464"/>
        <v>20640</v>
      </c>
      <c r="B20641" s="845" t="s">
        <v>2717</v>
      </c>
      <c r="D20641" s="862"/>
      <c r="I20641" s="845" t="str">
        <f>CONCATENATE("&lt;valeur&gt;",Cellule_14212,"&lt;/valeur&gt;")</f>
        <v>&lt;valeur&gt;&lt;/valeur&gt;</v>
      </c>
    </row>
    <row r="20642" spans="1:10" x14ac:dyDescent="0.2">
      <c r="A20642" s="859">
        <f t="shared" si="464"/>
        <v>20641</v>
      </c>
      <c r="B20642" s="845" t="s">
        <v>2717</v>
      </c>
      <c r="D20642" s="862"/>
      <c r="H20642" s="845" t="s">
        <v>1010</v>
      </c>
    </row>
    <row r="20643" spans="1:10" x14ac:dyDescent="0.2">
      <c r="A20643" s="859">
        <f t="shared" si="464"/>
        <v>20642</v>
      </c>
      <c r="B20643" s="845" t="s">
        <v>2717</v>
      </c>
      <c r="D20643" s="862"/>
      <c r="H20643" s="845" t="s">
        <v>1007</v>
      </c>
    </row>
    <row r="20644" spans="1:10" x14ac:dyDescent="0.2">
      <c r="A20644" s="859">
        <f t="shared" si="464"/>
        <v>20643</v>
      </c>
      <c r="B20644" s="845" t="s">
        <v>2717</v>
      </c>
      <c r="D20644" s="862"/>
      <c r="I20644" s="845" t="s">
        <v>1008</v>
      </c>
    </row>
    <row r="20645" spans="1:10" x14ac:dyDescent="0.2">
      <c r="A20645" s="859">
        <f t="shared" si="464"/>
        <v>20644</v>
      </c>
      <c r="B20645" s="845" t="s">
        <v>2717</v>
      </c>
      <c r="D20645" s="862"/>
      <c r="J20645" s="845" t="s">
        <v>2788</v>
      </c>
    </row>
    <row r="20646" spans="1:10" x14ac:dyDescent="0.2">
      <c r="A20646" s="859">
        <f t="shared" si="464"/>
        <v>20645</v>
      </c>
      <c r="B20646" s="845" t="s">
        <v>2717</v>
      </c>
      <c r="D20646" s="862"/>
      <c r="I20646" s="845" t="s">
        <v>1009</v>
      </c>
    </row>
    <row r="20647" spans="1:10" x14ac:dyDescent="0.2">
      <c r="A20647" s="859">
        <f t="shared" si="464"/>
        <v>20646</v>
      </c>
      <c r="B20647" s="845" t="s">
        <v>2717</v>
      </c>
      <c r="D20647" s="862"/>
      <c r="I20647" s="845" t="str">
        <f>CONCATENATE("&lt;valeur&gt;",Cellule_14213,"&lt;/valeur&gt;")</f>
        <v>&lt;valeur&gt;&lt;/valeur&gt;</v>
      </c>
    </row>
    <row r="20648" spans="1:10" x14ac:dyDescent="0.2">
      <c r="A20648" s="859">
        <f t="shared" si="464"/>
        <v>20647</v>
      </c>
      <c r="B20648" s="845" t="s">
        <v>2717</v>
      </c>
      <c r="D20648" s="862"/>
      <c r="H20648" s="845" t="s">
        <v>1010</v>
      </c>
    </row>
    <row r="20649" spans="1:10" x14ac:dyDescent="0.2">
      <c r="A20649" s="859">
        <f t="shared" si="464"/>
        <v>20648</v>
      </c>
      <c r="B20649" s="845" t="s">
        <v>2717</v>
      </c>
      <c r="D20649" s="862"/>
      <c r="H20649" s="845" t="s">
        <v>1007</v>
      </c>
    </row>
    <row r="20650" spans="1:10" x14ac:dyDescent="0.2">
      <c r="A20650" s="859">
        <f t="shared" si="464"/>
        <v>20649</v>
      </c>
      <c r="B20650" s="845" t="s">
        <v>2717</v>
      </c>
      <c r="D20650" s="862"/>
      <c r="I20650" s="845" t="s">
        <v>1008</v>
      </c>
    </row>
    <row r="20651" spans="1:10" x14ac:dyDescent="0.2">
      <c r="A20651" s="859">
        <f t="shared" si="464"/>
        <v>20650</v>
      </c>
      <c r="B20651" s="845" t="s">
        <v>2717</v>
      </c>
      <c r="D20651" s="862"/>
      <c r="J20651" s="845" t="s">
        <v>2789</v>
      </c>
    </row>
    <row r="20652" spans="1:10" x14ac:dyDescent="0.2">
      <c r="A20652" s="859">
        <f t="shared" si="464"/>
        <v>20651</v>
      </c>
      <c r="B20652" s="845" t="s">
        <v>2717</v>
      </c>
      <c r="D20652" s="862"/>
      <c r="I20652" s="845" t="s">
        <v>1009</v>
      </c>
    </row>
    <row r="20653" spans="1:10" x14ac:dyDescent="0.2">
      <c r="A20653" s="859">
        <f t="shared" si="464"/>
        <v>20652</v>
      </c>
      <c r="B20653" s="845" t="s">
        <v>2717</v>
      </c>
      <c r="D20653" s="862"/>
      <c r="I20653" s="845" t="str">
        <f>CONCATENATE("&lt;valeur&gt;",Cellule_14214,"&lt;/valeur&gt;")</f>
        <v>&lt;valeur&gt;&lt;/valeur&gt;</v>
      </c>
    </row>
    <row r="20654" spans="1:10" x14ac:dyDescent="0.2">
      <c r="A20654" s="859">
        <f t="shared" si="464"/>
        <v>20653</v>
      </c>
      <c r="B20654" s="845" t="s">
        <v>2717</v>
      </c>
      <c r="D20654" s="862"/>
      <c r="H20654" s="845" t="s">
        <v>1010</v>
      </c>
    </row>
    <row r="20655" spans="1:10" x14ac:dyDescent="0.2">
      <c r="A20655" s="859">
        <f t="shared" si="464"/>
        <v>20654</v>
      </c>
      <c r="B20655" s="845" t="s">
        <v>2717</v>
      </c>
      <c r="D20655" s="862"/>
      <c r="H20655" s="845" t="s">
        <v>1007</v>
      </c>
    </row>
    <row r="20656" spans="1:10" x14ac:dyDescent="0.2">
      <c r="A20656" s="859">
        <f t="shared" si="464"/>
        <v>20655</v>
      </c>
      <c r="B20656" s="845" t="s">
        <v>2717</v>
      </c>
      <c r="D20656" s="862"/>
      <c r="I20656" s="845" t="s">
        <v>1008</v>
      </c>
    </row>
    <row r="20657" spans="1:10" x14ac:dyDescent="0.2">
      <c r="A20657" s="859">
        <f t="shared" si="464"/>
        <v>20656</v>
      </c>
      <c r="B20657" s="845" t="s">
        <v>2717</v>
      </c>
      <c r="D20657" s="862"/>
      <c r="J20657" s="845" t="s">
        <v>2790</v>
      </c>
    </row>
    <row r="20658" spans="1:10" x14ac:dyDescent="0.2">
      <c r="A20658" s="859">
        <f t="shared" si="464"/>
        <v>20657</v>
      </c>
      <c r="B20658" s="845" t="s">
        <v>2717</v>
      </c>
      <c r="D20658" s="862"/>
      <c r="I20658" s="845" t="s">
        <v>1009</v>
      </c>
    </row>
    <row r="20659" spans="1:10" x14ac:dyDescent="0.2">
      <c r="A20659" s="859">
        <f t="shared" si="464"/>
        <v>20658</v>
      </c>
      <c r="B20659" s="845" t="s">
        <v>2717</v>
      </c>
      <c r="D20659" s="862"/>
      <c r="I20659" s="845" t="str">
        <f>CONCATENATE("&lt;valeur&gt;",Cellule_14215,"&lt;/valeur&gt;")</f>
        <v>&lt;valeur&gt;&lt;/valeur&gt;</v>
      </c>
    </row>
    <row r="20660" spans="1:10" x14ac:dyDescent="0.2">
      <c r="A20660" s="859">
        <f t="shared" si="464"/>
        <v>20659</v>
      </c>
      <c r="B20660" s="845" t="s">
        <v>2717</v>
      </c>
      <c r="D20660" s="862"/>
      <c r="H20660" s="845" t="s">
        <v>1010</v>
      </c>
    </row>
    <row r="20661" spans="1:10" x14ac:dyDescent="0.2">
      <c r="A20661" s="859">
        <f t="shared" si="464"/>
        <v>20660</v>
      </c>
      <c r="B20661" s="845" t="s">
        <v>2717</v>
      </c>
      <c r="D20661" s="862"/>
      <c r="H20661" s="845" t="s">
        <v>1007</v>
      </c>
    </row>
    <row r="20662" spans="1:10" x14ac:dyDescent="0.2">
      <c r="A20662" s="859">
        <f t="shared" si="464"/>
        <v>20661</v>
      </c>
      <c r="B20662" s="845" t="s">
        <v>2717</v>
      </c>
      <c r="D20662" s="862"/>
      <c r="I20662" s="845" t="s">
        <v>1008</v>
      </c>
    </row>
    <row r="20663" spans="1:10" x14ac:dyDescent="0.2">
      <c r="A20663" s="859">
        <f t="shared" si="464"/>
        <v>20662</v>
      </c>
      <c r="B20663" s="845" t="s">
        <v>2717</v>
      </c>
      <c r="D20663" s="862"/>
      <c r="J20663" s="845" t="s">
        <v>2791</v>
      </c>
    </row>
    <row r="20664" spans="1:10" x14ac:dyDescent="0.2">
      <c r="A20664" s="859">
        <f t="shared" si="464"/>
        <v>20663</v>
      </c>
      <c r="B20664" s="845" t="s">
        <v>2717</v>
      </c>
      <c r="D20664" s="862"/>
      <c r="I20664" s="845" t="s">
        <v>1009</v>
      </c>
    </row>
    <row r="20665" spans="1:10" x14ac:dyDescent="0.2">
      <c r="A20665" s="859">
        <f t="shared" si="464"/>
        <v>20664</v>
      </c>
      <c r="B20665" s="845" t="s">
        <v>2717</v>
      </c>
      <c r="D20665" s="862"/>
      <c r="I20665" s="845" t="str">
        <f>CONCATENATE("&lt;valeur&gt;",Cellule_14216,"&lt;/valeur&gt;")</f>
        <v>&lt;valeur&gt;0&lt;/valeur&gt;</v>
      </c>
    </row>
    <row r="20666" spans="1:10" x14ac:dyDescent="0.2">
      <c r="A20666" s="859">
        <f t="shared" si="464"/>
        <v>20665</v>
      </c>
      <c r="B20666" s="845" t="s">
        <v>2717</v>
      </c>
      <c r="D20666" s="862"/>
      <c r="H20666" s="845" t="s">
        <v>1010</v>
      </c>
    </row>
    <row r="20667" spans="1:10" x14ac:dyDescent="0.2">
      <c r="A20667" s="859">
        <f t="shared" si="464"/>
        <v>20666</v>
      </c>
      <c r="B20667" s="845" t="s">
        <v>2717</v>
      </c>
      <c r="D20667" s="862"/>
      <c r="H20667" s="845" t="s">
        <v>1007</v>
      </c>
    </row>
    <row r="20668" spans="1:10" x14ac:dyDescent="0.2">
      <c r="A20668" s="859">
        <f t="shared" si="464"/>
        <v>20667</v>
      </c>
      <c r="B20668" s="845" t="s">
        <v>2717</v>
      </c>
      <c r="D20668" s="862"/>
      <c r="I20668" s="845" t="s">
        <v>1008</v>
      </c>
    </row>
    <row r="20669" spans="1:10" x14ac:dyDescent="0.2">
      <c r="A20669" s="859">
        <f t="shared" si="464"/>
        <v>20668</v>
      </c>
      <c r="B20669" s="845" t="s">
        <v>2717</v>
      </c>
      <c r="D20669" s="862"/>
      <c r="J20669" s="845" t="s">
        <v>2792</v>
      </c>
    </row>
    <row r="20670" spans="1:10" x14ac:dyDescent="0.2">
      <c r="A20670" s="859">
        <f t="shared" si="464"/>
        <v>20669</v>
      </c>
      <c r="B20670" s="845" t="s">
        <v>2717</v>
      </c>
      <c r="D20670" s="862"/>
      <c r="I20670" s="845" t="s">
        <v>1009</v>
      </c>
    </row>
    <row r="20671" spans="1:10" x14ac:dyDescent="0.2">
      <c r="A20671" s="859">
        <f t="shared" si="464"/>
        <v>20670</v>
      </c>
      <c r="B20671" s="845" t="s">
        <v>2717</v>
      </c>
      <c r="D20671" s="862"/>
      <c r="I20671" s="845" t="str">
        <f>CONCATENATE("&lt;valeur&gt;",Cellule_14217,"&lt;/valeur&gt;")</f>
        <v>&lt;valeur&gt;&lt;/valeur&gt;</v>
      </c>
    </row>
    <row r="20672" spans="1:10" x14ac:dyDescent="0.2">
      <c r="A20672" s="859">
        <f t="shared" si="464"/>
        <v>20671</v>
      </c>
      <c r="B20672" s="845" t="s">
        <v>2717</v>
      </c>
      <c r="D20672" s="862"/>
      <c r="H20672" s="845" t="s">
        <v>1010</v>
      </c>
    </row>
    <row r="20673" spans="1:10" x14ac:dyDescent="0.2">
      <c r="A20673" s="859">
        <f t="shared" si="464"/>
        <v>20672</v>
      </c>
      <c r="B20673" s="845" t="s">
        <v>2717</v>
      </c>
      <c r="D20673" s="862"/>
      <c r="H20673" s="845" t="s">
        <v>1007</v>
      </c>
    </row>
    <row r="20674" spans="1:10" x14ac:dyDescent="0.2">
      <c r="A20674" s="859">
        <f t="shared" si="464"/>
        <v>20673</v>
      </c>
      <c r="B20674" s="845" t="s">
        <v>2717</v>
      </c>
      <c r="D20674" s="862"/>
      <c r="I20674" s="845" t="s">
        <v>1008</v>
      </c>
    </row>
    <row r="20675" spans="1:10" x14ac:dyDescent="0.2">
      <c r="A20675" s="859">
        <f t="shared" si="464"/>
        <v>20674</v>
      </c>
      <c r="B20675" s="845" t="s">
        <v>2717</v>
      </c>
      <c r="D20675" s="862"/>
      <c r="J20675" s="845" t="s">
        <v>2793</v>
      </c>
    </row>
    <row r="20676" spans="1:10" x14ac:dyDescent="0.2">
      <c r="A20676" s="859">
        <f t="shared" ref="A20676:A20739" si="465">+A20675+1</f>
        <v>20675</v>
      </c>
      <c r="B20676" s="845" t="s">
        <v>2717</v>
      </c>
      <c r="D20676" s="862"/>
      <c r="I20676" s="845" t="s">
        <v>1009</v>
      </c>
    </row>
    <row r="20677" spans="1:10" x14ac:dyDescent="0.2">
      <c r="A20677" s="859">
        <f t="shared" si="465"/>
        <v>20676</v>
      </c>
      <c r="B20677" s="845" t="s">
        <v>2717</v>
      </c>
      <c r="D20677" s="862"/>
      <c r="I20677" s="845" t="str">
        <f>CONCATENATE("&lt;valeur&gt;",Cellule_14218,"&lt;/valeur&gt;")</f>
        <v>&lt;valeur&gt;0&lt;/valeur&gt;</v>
      </c>
    </row>
    <row r="20678" spans="1:10" x14ac:dyDescent="0.2">
      <c r="A20678" s="859">
        <f t="shared" si="465"/>
        <v>20677</v>
      </c>
      <c r="B20678" s="845" t="s">
        <v>2717</v>
      </c>
      <c r="D20678" s="862"/>
      <c r="H20678" s="845" t="s">
        <v>1010</v>
      </c>
    </row>
    <row r="20679" spans="1:10" x14ac:dyDescent="0.2">
      <c r="A20679" s="859">
        <f t="shared" si="465"/>
        <v>20678</v>
      </c>
      <c r="B20679" s="845" t="s">
        <v>2717</v>
      </c>
      <c r="D20679" s="862"/>
      <c r="H20679" s="845" t="s">
        <v>1007</v>
      </c>
    </row>
    <row r="20680" spans="1:10" x14ac:dyDescent="0.2">
      <c r="A20680" s="859">
        <f t="shared" si="465"/>
        <v>20679</v>
      </c>
      <c r="B20680" s="845" t="s">
        <v>2717</v>
      </c>
      <c r="D20680" s="862"/>
      <c r="I20680" s="845" t="s">
        <v>1008</v>
      </c>
    </row>
    <row r="20681" spans="1:10" x14ac:dyDescent="0.2">
      <c r="A20681" s="859">
        <f t="shared" si="465"/>
        <v>20680</v>
      </c>
      <c r="B20681" s="845" t="s">
        <v>2717</v>
      </c>
      <c r="D20681" s="862"/>
      <c r="J20681" s="845" t="s">
        <v>2794</v>
      </c>
    </row>
    <row r="20682" spans="1:10" x14ac:dyDescent="0.2">
      <c r="A20682" s="859">
        <f t="shared" si="465"/>
        <v>20681</v>
      </c>
      <c r="B20682" s="845" t="s">
        <v>2717</v>
      </c>
      <c r="D20682" s="862"/>
      <c r="I20682" s="845" t="s">
        <v>1009</v>
      </c>
    </row>
    <row r="20683" spans="1:10" x14ac:dyDescent="0.2">
      <c r="A20683" s="859">
        <f t="shared" si="465"/>
        <v>20682</v>
      </c>
      <c r="B20683" s="845" t="s">
        <v>2717</v>
      </c>
      <c r="D20683" s="862"/>
      <c r="I20683" s="845" t="str">
        <f>CONCATENATE("&lt;valeur&gt;",Cellule_14219,"&lt;/valeur&gt;")</f>
        <v>&lt;valeur&gt;0&lt;/valeur&gt;</v>
      </c>
    </row>
    <row r="20684" spans="1:10" x14ac:dyDescent="0.2">
      <c r="A20684" s="859">
        <f t="shared" si="465"/>
        <v>20683</v>
      </c>
      <c r="B20684" s="845" t="s">
        <v>2717</v>
      </c>
      <c r="D20684" s="862"/>
      <c r="H20684" s="845" t="s">
        <v>1010</v>
      </c>
    </row>
    <row r="20685" spans="1:10" x14ac:dyDescent="0.2">
      <c r="A20685" s="859">
        <f t="shared" si="465"/>
        <v>20684</v>
      </c>
      <c r="B20685" s="845" t="s">
        <v>2717</v>
      </c>
      <c r="D20685" s="862"/>
      <c r="H20685" s="845" t="s">
        <v>1007</v>
      </c>
    </row>
    <row r="20686" spans="1:10" x14ac:dyDescent="0.2">
      <c r="A20686" s="859">
        <f t="shared" si="465"/>
        <v>20685</v>
      </c>
      <c r="B20686" s="845" t="s">
        <v>2717</v>
      </c>
      <c r="D20686" s="862"/>
      <c r="I20686" s="845" t="s">
        <v>1008</v>
      </c>
    </row>
    <row r="20687" spans="1:10" x14ac:dyDescent="0.2">
      <c r="A20687" s="859">
        <f t="shared" si="465"/>
        <v>20686</v>
      </c>
      <c r="B20687" s="845" t="s">
        <v>2717</v>
      </c>
      <c r="D20687" s="862"/>
      <c r="J20687" s="845" t="s">
        <v>2795</v>
      </c>
    </row>
    <row r="20688" spans="1:10" x14ac:dyDescent="0.2">
      <c r="A20688" s="859">
        <f t="shared" si="465"/>
        <v>20687</v>
      </c>
      <c r="B20688" s="845" t="s">
        <v>2717</v>
      </c>
      <c r="D20688" s="862"/>
      <c r="I20688" s="845" t="s">
        <v>1009</v>
      </c>
    </row>
    <row r="20689" spans="1:10" x14ac:dyDescent="0.2">
      <c r="A20689" s="859">
        <f t="shared" si="465"/>
        <v>20688</v>
      </c>
      <c r="B20689" s="845" t="s">
        <v>2717</v>
      </c>
      <c r="D20689" s="862"/>
      <c r="I20689" s="845" t="str">
        <f>CONCATENATE("&lt;valeur&gt;",Cellule_14221,"&lt;/valeur&gt;")</f>
        <v>&lt;valeur&gt;&lt;/valeur&gt;</v>
      </c>
    </row>
    <row r="20690" spans="1:10" x14ac:dyDescent="0.2">
      <c r="A20690" s="859">
        <f t="shared" si="465"/>
        <v>20689</v>
      </c>
      <c r="B20690" s="845" t="s">
        <v>2717</v>
      </c>
      <c r="D20690" s="862"/>
      <c r="H20690" s="845" t="s">
        <v>1010</v>
      </c>
    </row>
    <row r="20691" spans="1:10" x14ac:dyDescent="0.2">
      <c r="A20691" s="859">
        <f t="shared" si="465"/>
        <v>20690</v>
      </c>
      <c r="B20691" s="845" t="s">
        <v>2717</v>
      </c>
      <c r="D20691" s="862"/>
      <c r="H20691" s="845" t="s">
        <v>1007</v>
      </c>
    </row>
    <row r="20692" spans="1:10" x14ac:dyDescent="0.2">
      <c r="A20692" s="859">
        <f t="shared" si="465"/>
        <v>20691</v>
      </c>
      <c r="B20692" s="845" t="s">
        <v>2717</v>
      </c>
      <c r="D20692" s="862"/>
      <c r="I20692" s="845" t="s">
        <v>1008</v>
      </c>
    </row>
    <row r="20693" spans="1:10" x14ac:dyDescent="0.2">
      <c r="A20693" s="859">
        <f t="shared" si="465"/>
        <v>20692</v>
      </c>
      <c r="B20693" s="845" t="s">
        <v>2717</v>
      </c>
      <c r="D20693" s="862"/>
      <c r="J20693" s="845" t="s">
        <v>2796</v>
      </c>
    </row>
    <row r="20694" spans="1:10" x14ac:dyDescent="0.2">
      <c r="A20694" s="859">
        <f t="shared" si="465"/>
        <v>20693</v>
      </c>
      <c r="B20694" s="845" t="s">
        <v>2717</v>
      </c>
      <c r="D20694" s="862"/>
      <c r="I20694" s="845" t="s">
        <v>1009</v>
      </c>
    </row>
    <row r="20695" spans="1:10" x14ac:dyDescent="0.2">
      <c r="A20695" s="859">
        <f t="shared" si="465"/>
        <v>20694</v>
      </c>
      <c r="B20695" s="845" t="s">
        <v>2717</v>
      </c>
      <c r="D20695" s="862"/>
      <c r="I20695" s="845" t="str">
        <f>CONCATENATE("&lt;valeur&gt;",Cellule_14222,"&lt;/valeur&gt;")</f>
        <v>&lt;valeur&gt;0&lt;/valeur&gt;</v>
      </c>
    </row>
    <row r="20696" spans="1:10" x14ac:dyDescent="0.2">
      <c r="A20696" s="859">
        <f t="shared" si="465"/>
        <v>20695</v>
      </c>
      <c r="B20696" s="845" t="s">
        <v>2717</v>
      </c>
      <c r="D20696" s="862"/>
      <c r="H20696" s="845" t="s">
        <v>1010</v>
      </c>
    </row>
    <row r="20697" spans="1:10" x14ac:dyDescent="0.2">
      <c r="A20697" s="859">
        <f t="shared" si="465"/>
        <v>20696</v>
      </c>
      <c r="B20697" s="845" t="s">
        <v>2717</v>
      </c>
      <c r="D20697" s="862"/>
      <c r="H20697" s="845" t="s">
        <v>1007</v>
      </c>
    </row>
    <row r="20698" spans="1:10" x14ac:dyDescent="0.2">
      <c r="A20698" s="859">
        <f t="shared" si="465"/>
        <v>20697</v>
      </c>
      <c r="B20698" s="845" t="s">
        <v>2717</v>
      </c>
      <c r="D20698" s="862"/>
      <c r="I20698" s="845" t="s">
        <v>1008</v>
      </c>
    </row>
    <row r="20699" spans="1:10" x14ac:dyDescent="0.2">
      <c r="A20699" s="859">
        <f t="shared" si="465"/>
        <v>20698</v>
      </c>
      <c r="B20699" s="845" t="s">
        <v>2717</v>
      </c>
      <c r="D20699" s="862"/>
      <c r="J20699" s="845" t="s">
        <v>2797</v>
      </c>
    </row>
    <row r="20700" spans="1:10" x14ac:dyDescent="0.2">
      <c r="A20700" s="859">
        <f t="shared" si="465"/>
        <v>20699</v>
      </c>
      <c r="B20700" s="845" t="s">
        <v>2717</v>
      </c>
      <c r="D20700" s="862"/>
      <c r="I20700" s="845" t="s">
        <v>1009</v>
      </c>
    </row>
    <row r="20701" spans="1:10" x14ac:dyDescent="0.2">
      <c r="A20701" s="859">
        <f t="shared" si="465"/>
        <v>20700</v>
      </c>
      <c r="B20701" s="845" t="s">
        <v>2717</v>
      </c>
      <c r="D20701" s="862"/>
      <c r="I20701" s="845" t="str">
        <f>CONCATENATE("&lt;valeur&gt;",Cellule_14223,"&lt;/valeur&gt;")</f>
        <v>&lt;valeur&gt;&lt;/valeur&gt;</v>
      </c>
    </row>
    <row r="20702" spans="1:10" x14ac:dyDescent="0.2">
      <c r="A20702" s="859">
        <f t="shared" si="465"/>
        <v>20701</v>
      </c>
      <c r="B20702" s="845" t="s">
        <v>2717</v>
      </c>
      <c r="D20702" s="862"/>
      <c r="H20702" s="845" t="s">
        <v>1010</v>
      </c>
    </row>
    <row r="20703" spans="1:10" x14ac:dyDescent="0.2">
      <c r="A20703" s="859">
        <f t="shared" si="465"/>
        <v>20702</v>
      </c>
      <c r="B20703" s="845" t="s">
        <v>2717</v>
      </c>
      <c r="D20703" s="862"/>
      <c r="H20703" s="845" t="s">
        <v>1007</v>
      </c>
    </row>
    <row r="20704" spans="1:10" x14ac:dyDescent="0.2">
      <c r="A20704" s="859">
        <f t="shared" si="465"/>
        <v>20703</v>
      </c>
      <c r="B20704" s="845" t="s">
        <v>2717</v>
      </c>
      <c r="D20704" s="862"/>
      <c r="I20704" s="845" t="s">
        <v>1008</v>
      </c>
    </row>
    <row r="20705" spans="1:10" x14ac:dyDescent="0.2">
      <c r="A20705" s="859">
        <f t="shared" si="465"/>
        <v>20704</v>
      </c>
      <c r="B20705" s="845" t="s">
        <v>2717</v>
      </c>
      <c r="D20705" s="862"/>
      <c r="J20705" s="845" t="s">
        <v>2798</v>
      </c>
    </row>
    <row r="20706" spans="1:10" x14ac:dyDescent="0.2">
      <c r="A20706" s="859">
        <f t="shared" si="465"/>
        <v>20705</v>
      </c>
      <c r="B20706" s="845" t="s">
        <v>2717</v>
      </c>
      <c r="D20706" s="862"/>
      <c r="I20706" s="845" t="s">
        <v>1009</v>
      </c>
    </row>
    <row r="20707" spans="1:10" x14ac:dyDescent="0.2">
      <c r="A20707" s="859">
        <f t="shared" si="465"/>
        <v>20706</v>
      </c>
      <c r="B20707" s="845" t="s">
        <v>2717</v>
      </c>
      <c r="D20707" s="862"/>
      <c r="I20707" s="845" t="str">
        <f>CONCATENATE("&lt;valeur&gt;",Cellule_14224,"&lt;/valeur&gt;")</f>
        <v>&lt;valeur&gt;0&lt;/valeur&gt;</v>
      </c>
    </row>
    <row r="20708" spans="1:10" x14ac:dyDescent="0.2">
      <c r="A20708" s="859">
        <f t="shared" si="465"/>
        <v>20707</v>
      </c>
      <c r="B20708" s="845" t="s">
        <v>2717</v>
      </c>
      <c r="D20708" s="862"/>
      <c r="H20708" s="845" t="s">
        <v>1010</v>
      </c>
    </row>
    <row r="20709" spans="1:10" x14ac:dyDescent="0.2">
      <c r="A20709" s="859">
        <f t="shared" si="465"/>
        <v>20708</v>
      </c>
      <c r="B20709" s="845" t="s">
        <v>2717</v>
      </c>
      <c r="D20709" s="862"/>
      <c r="H20709" s="845" t="s">
        <v>1007</v>
      </c>
    </row>
    <row r="20710" spans="1:10" x14ac:dyDescent="0.2">
      <c r="A20710" s="859">
        <f t="shared" si="465"/>
        <v>20709</v>
      </c>
      <c r="B20710" s="845" t="s">
        <v>2717</v>
      </c>
      <c r="D20710" s="862"/>
      <c r="I20710" s="845" t="s">
        <v>1008</v>
      </c>
    </row>
    <row r="20711" spans="1:10" x14ac:dyDescent="0.2">
      <c r="A20711" s="859">
        <f t="shared" si="465"/>
        <v>20710</v>
      </c>
      <c r="B20711" s="845" t="s">
        <v>2717</v>
      </c>
      <c r="D20711" s="862"/>
      <c r="J20711" s="845" t="s">
        <v>2799</v>
      </c>
    </row>
    <row r="20712" spans="1:10" x14ac:dyDescent="0.2">
      <c r="A20712" s="859">
        <f t="shared" si="465"/>
        <v>20711</v>
      </c>
      <c r="B20712" s="845" t="s">
        <v>2717</v>
      </c>
      <c r="D20712" s="862"/>
      <c r="I20712" s="845" t="s">
        <v>1009</v>
      </c>
    </row>
    <row r="20713" spans="1:10" x14ac:dyDescent="0.2">
      <c r="A20713" s="859">
        <f t="shared" si="465"/>
        <v>20712</v>
      </c>
      <c r="B20713" s="845" t="s">
        <v>2717</v>
      </c>
      <c r="D20713" s="862"/>
      <c r="I20713" s="845" t="str">
        <f>CONCATENATE("&lt;valeur&gt;",Cellule_14233,"&lt;/valeur&gt;")</f>
        <v>&lt;valeur&gt;0&lt;/valeur&gt;</v>
      </c>
    </row>
    <row r="20714" spans="1:10" x14ac:dyDescent="0.2">
      <c r="A20714" s="859">
        <f t="shared" si="465"/>
        <v>20713</v>
      </c>
      <c r="B20714" s="845" t="s">
        <v>2717</v>
      </c>
      <c r="D20714" s="862"/>
      <c r="H20714" s="845" t="s">
        <v>1010</v>
      </c>
    </row>
    <row r="20715" spans="1:10" x14ac:dyDescent="0.2">
      <c r="A20715" s="859">
        <f t="shared" si="465"/>
        <v>20714</v>
      </c>
      <c r="B20715" s="845" t="s">
        <v>2717</v>
      </c>
      <c r="D20715" s="862"/>
      <c r="H20715" s="845" t="s">
        <v>1007</v>
      </c>
    </row>
    <row r="20716" spans="1:10" x14ac:dyDescent="0.2">
      <c r="A20716" s="859">
        <f t="shared" si="465"/>
        <v>20715</v>
      </c>
      <c r="B20716" s="845" t="s">
        <v>2717</v>
      </c>
      <c r="D20716" s="862"/>
      <c r="I20716" s="845" t="s">
        <v>1008</v>
      </c>
    </row>
    <row r="20717" spans="1:10" x14ac:dyDescent="0.2">
      <c r="A20717" s="859">
        <f t="shared" si="465"/>
        <v>20716</v>
      </c>
      <c r="B20717" s="845" t="s">
        <v>2717</v>
      </c>
      <c r="D20717" s="862"/>
      <c r="J20717" s="845" t="s">
        <v>2800</v>
      </c>
    </row>
    <row r="20718" spans="1:10" x14ac:dyDescent="0.2">
      <c r="A20718" s="859">
        <f t="shared" si="465"/>
        <v>20717</v>
      </c>
      <c r="B20718" s="845" t="s">
        <v>2717</v>
      </c>
      <c r="D20718" s="862"/>
      <c r="I20718" s="845" t="s">
        <v>1009</v>
      </c>
    </row>
    <row r="20719" spans="1:10" x14ac:dyDescent="0.2">
      <c r="A20719" s="859">
        <f t="shared" si="465"/>
        <v>20718</v>
      </c>
      <c r="B20719" s="845" t="s">
        <v>2717</v>
      </c>
      <c r="D20719" s="862"/>
      <c r="I20719" s="845" t="str">
        <f>CONCATENATE("&lt;valeur&gt;",Cellule_14234,"&lt;/valeur&gt;")</f>
        <v>&lt;valeur&gt;0&lt;/valeur&gt;</v>
      </c>
    </row>
    <row r="20720" spans="1:10" x14ac:dyDescent="0.2">
      <c r="A20720" s="859">
        <f t="shared" si="465"/>
        <v>20719</v>
      </c>
      <c r="B20720" s="845" t="s">
        <v>2717</v>
      </c>
      <c r="D20720" s="862"/>
      <c r="H20720" s="845" t="s">
        <v>1010</v>
      </c>
    </row>
    <row r="20721" spans="1:10" x14ac:dyDescent="0.2">
      <c r="A20721" s="859">
        <f t="shared" si="465"/>
        <v>20720</v>
      </c>
      <c r="B20721" s="845" t="s">
        <v>2717</v>
      </c>
      <c r="D20721" s="862"/>
      <c r="H20721" s="845" t="s">
        <v>1007</v>
      </c>
    </row>
    <row r="20722" spans="1:10" x14ac:dyDescent="0.2">
      <c r="A20722" s="859">
        <f t="shared" si="465"/>
        <v>20721</v>
      </c>
      <c r="B20722" s="845" t="s">
        <v>2717</v>
      </c>
      <c r="D20722" s="862"/>
      <c r="I20722" s="845" t="s">
        <v>1008</v>
      </c>
    </row>
    <row r="20723" spans="1:10" x14ac:dyDescent="0.2">
      <c r="A20723" s="859">
        <f t="shared" si="465"/>
        <v>20722</v>
      </c>
      <c r="B20723" s="845" t="s">
        <v>2717</v>
      </c>
      <c r="D20723" s="862"/>
      <c r="J20723" s="845" t="s">
        <v>2801</v>
      </c>
    </row>
    <row r="20724" spans="1:10" x14ac:dyDescent="0.2">
      <c r="A20724" s="859">
        <f t="shared" si="465"/>
        <v>20723</v>
      </c>
      <c r="B20724" s="845" t="s">
        <v>2717</v>
      </c>
      <c r="D20724" s="862"/>
      <c r="I20724" s="845" t="s">
        <v>1009</v>
      </c>
    </row>
    <row r="20725" spans="1:10" x14ac:dyDescent="0.2">
      <c r="A20725" s="859">
        <f t="shared" si="465"/>
        <v>20724</v>
      </c>
      <c r="B20725" s="845" t="s">
        <v>2717</v>
      </c>
      <c r="D20725" s="862"/>
      <c r="I20725" s="845" t="str">
        <f>CONCATENATE("&lt;valeur&gt;",Cellule_14235,"&lt;/valeur&gt;")</f>
        <v>&lt;valeur&gt;0&lt;/valeur&gt;</v>
      </c>
    </row>
    <row r="20726" spans="1:10" x14ac:dyDescent="0.2">
      <c r="A20726" s="859">
        <f t="shared" si="465"/>
        <v>20725</v>
      </c>
      <c r="B20726" s="845" t="s">
        <v>2717</v>
      </c>
      <c r="D20726" s="862"/>
      <c r="H20726" s="845" t="s">
        <v>1010</v>
      </c>
    </row>
    <row r="20727" spans="1:10" x14ac:dyDescent="0.2">
      <c r="A20727" s="859">
        <f t="shared" si="465"/>
        <v>20726</v>
      </c>
      <c r="B20727" s="845" t="s">
        <v>2717</v>
      </c>
      <c r="D20727" s="862"/>
      <c r="H20727" s="845" t="s">
        <v>1007</v>
      </c>
    </row>
    <row r="20728" spans="1:10" x14ac:dyDescent="0.2">
      <c r="A20728" s="859">
        <f t="shared" si="465"/>
        <v>20727</v>
      </c>
      <c r="B20728" s="845" t="s">
        <v>2717</v>
      </c>
      <c r="D20728" s="862"/>
      <c r="I20728" s="845" t="s">
        <v>1008</v>
      </c>
    </row>
    <row r="20729" spans="1:10" x14ac:dyDescent="0.2">
      <c r="A20729" s="859">
        <f t="shared" si="465"/>
        <v>20728</v>
      </c>
      <c r="B20729" s="845" t="s">
        <v>2717</v>
      </c>
      <c r="D20729" s="862"/>
      <c r="J20729" s="845" t="s">
        <v>2802</v>
      </c>
    </row>
    <row r="20730" spans="1:10" x14ac:dyDescent="0.2">
      <c r="A20730" s="859">
        <f t="shared" si="465"/>
        <v>20729</v>
      </c>
      <c r="B20730" s="845" t="s">
        <v>2717</v>
      </c>
      <c r="D20730" s="862"/>
      <c r="I20730" s="845" t="s">
        <v>1009</v>
      </c>
    </row>
    <row r="20731" spans="1:10" x14ac:dyDescent="0.2">
      <c r="A20731" s="859">
        <f t="shared" si="465"/>
        <v>20730</v>
      </c>
      <c r="B20731" s="845" t="s">
        <v>2717</v>
      </c>
      <c r="D20731" s="862"/>
      <c r="I20731" s="845" t="str">
        <f>CONCATENATE("&lt;valeur&gt;",Cellule_14236,"&lt;/valeur&gt;")</f>
        <v>&lt;valeur&gt;0&lt;/valeur&gt;</v>
      </c>
    </row>
    <row r="20732" spans="1:10" x14ac:dyDescent="0.2">
      <c r="A20732" s="859">
        <f t="shared" si="465"/>
        <v>20731</v>
      </c>
      <c r="B20732" s="845" t="s">
        <v>2717</v>
      </c>
      <c r="D20732" s="862"/>
      <c r="H20732" s="845" t="s">
        <v>1010</v>
      </c>
    </row>
    <row r="20733" spans="1:10" x14ac:dyDescent="0.2">
      <c r="A20733" s="859">
        <f t="shared" si="465"/>
        <v>20732</v>
      </c>
      <c r="B20733" s="845" t="s">
        <v>2717</v>
      </c>
      <c r="D20733" s="862"/>
      <c r="H20733" s="845" t="s">
        <v>1007</v>
      </c>
    </row>
    <row r="20734" spans="1:10" x14ac:dyDescent="0.2">
      <c r="A20734" s="859">
        <f t="shared" si="465"/>
        <v>20733</v>
      </c>
      <c r="B20734" s="845" t="s">
        <v>2717</v>
      </c>
      <c r="D20734" s="862"/>
      <c r="I20734" s="845" t="s">
        <v>1008</v>
      </c>
    </row>
    <row r="20735" spans="1:10" x14ac:dyDescent="0.2">
      <c r="A20735" s="859">
        <f t="shared" si="465"/>
        <v>20734</v>
      </c>
      <c r="B20735" s="845" t="s">
        <v>2717</v>
      </c>
      <c r="D20735" s="862"/>
      <c r="J20735" s="845" t="s">
        <v>2803</v>
      </c>
    </row>
    <row r="20736" spans="1:10" x14ac:dyDescent="0.2">
      <c r="A20736" s="859">
        <f t="shared" si="465"/>
        <v>20735</v>
      </c>
      <c r="B20736" s="845" t="s">
        <v>2717</v>
      </c>
      <c r="D20736" s="862"/>
      <c r="I20736" s="845" t="s">
        <v>1009</v>
      </c>
    </row>
    <row r="20737" spans="1:10" x14ac:dyDescent="0.2">
      <c r="A20737" s="859">
        <f t="shared" si="465"/>
        <v>20736</v>
      </c>
      <c r="B20737" s="845" t="s">
        <v>2717</v>
      </c>
      <c r="D20737" s="862"/>
      <c r="I20737" s="845" t="str">
        <f>CONCATENATE("&lt;valeur&gt;",Cellule_14237,"&lt;/valeur&gt;")</f>
        <v>&lt;valeur&gt;0&lt;/valeur&gt;</v>
      </c>
    </row>
    <row r="20738" spans="1:10" x14ac:dyDescent="0.2">
      <c r="A20738" s="859">
        <f t="shared" si="465"/>
        <v>20737</v>
      </c>
      <c r="B20738" s="845" t="s">
        <v>2717</v>
      </c>
      <c r="D20738" s="862"/>
      <c r="H20738" s="845" t="s">
        <v>1010</v>
      </c>
    </row>
    <row r="20739" spans="1:10" x14ac:dyDescent="0.2">
      <c r="A20739" s="859">
        <f t="shared" si="465"/>
        <v>20738</v>
      </c>
      <c r="B20739" s="845" t="s">
        <v>2717</v>
      </c>
      <c r="D20739" s="862"/>
      <c r="H20739" s="845" t="s">
        <v>1007</v>
      </c>
    </row>
    <row r="20740" spans="1:10" x14ac:dyDescent="0.2">
      <c r="A20740" s="859">
        <f t="shared" ref="A20740:A20803" si="466">+A20739+1</f>
        <v>20739</v>
      </c>
      <c r="B20740" s="845" t="s">
        <v>2717</v>
      </c>
      <c r="D20740" s="862"/>
      <c r="I20740" s="845" t="s">
        <v>1008</v>
      </c>
    </row>
    <row r="20741" spans="1:10" x14ac:dyDescent="0.2">
      <c r="A20741" s="859">
        <f t="shared" si="466"/>
        <v>20740</v>
      </c>
      <c r="B20741" s="845" t="s">
        <v>2717</v>
      </c>
      <c r="D20741" s="862"/>
      <c r="J20741" s="845" t="s">
        <v>2804</v>
      </c>
    </row>
    <row r="20742" spans="1:10" x14ac:dyDescent="0.2">
      <c r="A20742" s="859">
        <f t="shared" si="466"/>
        <v>20741</v>
      </c>
      <c r="B20742" s="845" t="s">
        <v>2717</v>
      </c>
      <c r="D20742" s="862"/>
      <c r="I20742" s="845" t="s">
        <v>1009</v>
      </c>
    </row>
    <row r="20743" spans="1:10" x14ac:dyDescent="0.2">
      <c r="A20743" s="859">
        <f t="shared" si="466"/>
        <v>20742</v>
      </c>
      <c r="B20743" s="845" t="s">
        <v>2717</v>
      </c>
      <c r="D20743" s="862"/>
      <c r="I20743" s="845" t="str">
        <f>CONCATENATE("&lt;valeur&gt;",Cellule_14238,"&lt;/valeur&gt;")</f>
        <v>&lt;valeur&gt;0&lt;/valeur&gt;</v>
      </c>
    </row>
    <row r="20744" spans="1:10" x14ac:dyDescent="0.2">
      <c r="A20744" s="859">
        <f t="shared" si="466"/>
        <v>20743</v>
      </c>
      <c r="B20744" s="845" t="s">
        <v>2717</v>
      </c>
      <c r="D20744" s="862"/>
      <c r="H20744" s="845" t="s">
        <v>1010</v>
      </c>
    </row>
    <row r="20745" spans="1:10" x14ac:dyDescent="0.2">
      <c r="A20745" s="859">
        <f t="shared" si="466"/>
        <v>20744</v>
      </c>
      <c r="B20745" s="845" t="s">
        <v>2717</v>
      </c>
      <c r="D20745" s="862"/>
      <c r="H20745" s="845" t="s">
        <v>1007</v>
      </c>
    </row>
    <row r="20746" spans="1:10" x14ac:dyDescent="0.2">
      <c r="A20746" s="859">
        <f t="shared" si="466"/>
        <v>20745</v>
      </c>
      <c r="B20746" s="845" t="s">
        <v>2717</v>
      </c>
      <c r="D20746" s="862"/>
      <c r="I20746" s="845" t="s">
        <v>1008</v>
      </c>
    </row>
    <row r="20747" spans="1:10" x14ac:dyDescent="0.2">
      <c r="A20747" s="859">
        <f t="shared" si="466"/>
        <v>20746</v>
      </c>
      <c r="B20747" s="845" t="s">
        <v>2717</v>
      </c>
      <c r="D20747" s="862"/>
      <c r="J20747" s="845" t="s">
        <v>2805</v>
      </c>
    </row>
    <row r="20748" spans="1:10" x14ac:dyDescent="0.2">
      <c r="A20748" s="859">
        <f t="shared" si="466"/>
        <v>20747</v>
      </c>
      <c r="B20748" s="845" t="s">
        <v>2717</v>
      </c>
      <c r="D20748" s="862"/>
      <c r="I20748" s="845" t="s">
        <v>1009</v>
      </c>
    </row>
    <row r="20749" spans="1:10" x14ac:dyDescent="0.2">
      <c r="A20749" s="859">
        <f t="shared" si="466"/>
        <v>20748</v>
      </c>
      <c r="B20749" s="845" t="s">
        <v>2717</v>
      </c>
      <c r="D20749" s="862"/>
      <c r="I20749" s="845" t="str">
        <f>CONCATENATE("&lt;valeur&gt;",Cellule_14239,"&lt;/valeur&gt;")</f>
        <v>&lt;valeur&gt;0&lt;/valeur&gt;</v>
      </c>
    </row>
    <row r="20750" spans="1:10" x14ac:dyDescent="0.2">
      <c r="A20750" s="859">
        <f t="shared" si="466"/>
        <v>20749</v>
      </c>
      <c r="B20750" s="845" t="s">
        <v>2717</v>
      </c>
      <c r="D20750" s="862"/>
      <c r="H20750" s="845" t="s">
        <v>1010</v>
      </c>
    </row>
    <row r="20751" spans="1:10" x14ac:dyDescent="0.2">
      <c r="A20751" s="859">
        <f t="shared" si="466"/>
        <v>20750</v>
      </c>
      <c r="B20751" s="845" t="s">
        <v>2717</v>
      </c>
      <c r="D20751" s="862"/>
      <c r="H20751" s="845" t="s">
        <v>1007</v>
      </c>
    </row>
    <row r="20752" spans="1:10" x14ac:dyDescent="0.2">
      <c r="A20752" s="859">
        <f t="shared" si="466"/>
        <v>20751</v>
      </c>
      <c r="B20752" s="845" t="s">
        <v>2717</v>
      </c>
      <c r="D20752" s="862"/>
      <c r="I20752" s="845" t="s">
        <v>1008</v>
      </c>
    </row>
    <row r="20753" spans="1:10" x14ac:dyDescent="0.2">
      <c r="A20753" s="859">
        <f t="shared" si="466"/>
        <v>20752</v>
      </c>
      <c r="B20753" s="845" t="s">
        <v>2717</v>
      </c>
      <c r="D20753" s="862"/>
      <c r="J20753" s="845" t="s">
        <v>2806</v>
      </c>
    </row>
    <row r="20754" spans="1:10" x14ac:dyDescent="0.2">
      <c r="A20754" s="859">
        <f t="shared" si="466"/>
        <v>20753</v>
      </c>
      <c r="B20754" s="845" t="s">
        <v>2717</v>
      </c>
      <c r="D20754" s="862"/>
      <c r="I20754" s="845" t="s">
        <v>1009</v>
      </c>
    </row>
    <row r="20755" spans="1:10" x14ac:dyDescent="0.2">
      <c r="A20755" s="859">
        <f t="shared" si="466"/>
        <v>20754</v>
      </c>
      <c r="B20755" s="845" t="s">
        <v>2717</v>
      </c>
      <c r="D20755" s="862"/>
      <c r="I20755" s="845" t="str">
        <f>CONCATENATE("&lt;valeur&gt;",Cellule_14240,"&lt;/valeur&gt;")</f>
        <v>&lt;valeur&gt;0&lt;/valeur&gt;</v>
      </c>
    </row>
    <row r="20756" spans="1:10" x14ac:dyDescent="0.2">
      <c r="A20756" s="859">
        <f t="shared" si="466"/>
        <v>20755</v>
      </c>
      <c r="B20756" s="845" t="s">
        <v>2717</v>
      </c>
      <c r="D20756" s="862"/>
      <c r="H20756" s="845" t="s">
        <v>1010</v>
      </c>
    </row>
    <row r="20757" spans="1:10" x14ac:dyDescent="0.2">
      <c r="A20757" s="859">
        <f t="shared" si="466"/>
        <v>20756</v>
      </c>
      <c r="B20757" s="845" t="s">
        <v>2717</v>
      </c>
      <c r="D20757" s="862"/>
      <c r="H20757" s="845" t="s">
        <v>1007</v>
      </c>
    </row>
    <row r="20758" spans="1:10" x14ac:dyDescent="0.2">
      <c r="A20758" s="859">
        <f t="shared" si="466"/>
        <v>20757</v>
      </c>
      <c r="B20758" s="845" t="s">
        <v>2717</v>
      </c>
      <c r="D20758" s="862"/>
      <c r="I20758" s="845" t="s">
        <v>1008</v>
      </c>
    </row>
    <row r="20759" spans="1:10" x14ac:dyDescent="0.2">
      <c r="A20759" s="859">
        <f t="shared" si="466"/>
        <v>20758</v>
      </c>
      <c r="B20759" s="845" t="s">
        <v>2717</v>
      </c>
      <c r="D20759" s="862"/>
      <c r="J20759" s="845" t="s">
        <v>2807</v>
      </c>
    </row>
    <row r="20760" spans="1:10" x14ac:dyDescent="0.2">
      <c r="A20760" s="859">
        <f t="shared" si="466"/>
        <v>20759</v>
      </c>
      <c r="B20760" s="845" t="s">
        <v>2717</v>
      </c>
      <c r="D20760" s="862"/>
      <c r="I20760" s="845" t="s">
        <v>1009</v>
      </c>
    </row>
    <row r="20761" spans="1:10" x14ac:dyDescent="0.2">
      <c r="A20761" s="859">
        <f t="shared" si="466"/>
        <v>20760</v>
      </c>
      <c r="B20761" s="845" t="s">
        <v>2717</v>
      </c>
      <c r="D20761" s="862"/>
      <c r="I20761" s="845" t="str">
        <f>CONCATENATE("&lt;valeur&gt;",Cellule_14241,"&lt;/valeur&gt;")</f>
        <v>&lt;valeur&gt;&lt;/valeur&gt;</v>
      </c>
    </row>
    <row r="20762" spans="1:10" x14ac:dyDescent="0.2">
      <c r="A20762" s="859">
        <f t="shared" si="466"/>
        <v>20761</v>
      </c>
      <c r="B20762" s="845" t="s">
        <v>2717</v>
      </c>
      <c r="D20762" s="862"/>
      <c r="H20762" s="845" t="s">
        <v>1010</v>
      </c>
    </row>
    <row r="20763" spans="1:10" x14ac:dyDescent="0.2">
      <c r="A20763" s="859">
        <f t="shared" si="466"/>
        <v>20762</v>
      </c>
      <c r="B20763" s="845" t="s">
        <v>2717</v>
      </c>
      <c r="D20763" s="862"/>
      <c r="H20763" s="845" t="s">
        <v>1007</v>
      </c>
    </row>
    <row r="20764" spans="1:10" x14ac:dyDescent="0.2">
      <c r="A20764" s="859">
        <f t="shared" si="466"/>
        <v>20763</v>
      </c>
      <c r="B20764" s="845" t="s">
        <v>2717</v>
      </c>
      <c r="D20764" s="862"/>
      <c r="I20764" s="845" t="s">
        <v>1008</v>
      </c>
    </row>
    <row r="20765" spans="1:10" x14ac:dyDescent="0.2">
      <c r="A20765" s="859">
        <f t="shared" si="466"/>
        <v>20764</v>
      </c>
      <c r="B20765" s="845" t="s">
        <v>2717</v>
      </c>
      <c r="D20765" s="862"/>
      <c r="J20765" s="845" t="s">
        <v>2808</v>
      </c>
    </row>
    <row r="20766" spans="1:10" x14ac:dyDescent="0.2">
      <c r="A20766" s="859">
        <f t="shared" si="466"/>
        <v>20765</v>
      </c>
      <c r="B20766" s="845" t="s">
        <v>2717</v>
      </c>
      <c r="D20766" s="862"/>
      <c r="I20766" s="845" t="s">
        <v>1009</v>
      </c>
    </row>
    <row r="20767" spans="1:10" x14ac:dyDescent="0.2">
      <c r="A20767" s="859">
        <f t="shared" si="466"/>
        <v>20766</v>
      </c>
      <c r="B20767" s="845" t="s">
        <v>2717</v>
      </c>
      <c r="D20767" s="862"/>
      <c r="I20767" s="845" t="str">
        <f>CONCATENATE("&lt;valeur&gt;",Cellule_14242,"&lt;/valeur&gt;")</f>
        <v>&lt;valeur&gt;&lt;/valeur&gt;</v>
      </c>
    </row>
    <row r="20768" spans="1:10" x14ac:dyDescent="0.2">
      <c r="A20768" s="859">
        <f t="shared" si="466"/>
        <v>20767</v>
      </c>
      <c r="B20768" s="845" t="s">
        <v>2717</v>
      </c>
      <c r="D20768" s="862"/>
      <c r="H20768" s="845" t="s">
        <v>1010</v>
      </c>
    </row>
    <row r="20769" spans="1:10" x14ac:dyDescent="0.2">
      <c r="A20769" s="859">
        <f t="shared" si="466"/>
        <v>20768</v>
      </c>
      <c r="B20769" s="845" t="s">
        <v>2717</v>
      </c>
      <c r="D20769" s="862"/>
      <c r="H20769" s="845" t="s">
        <v>1007</v>
      </c>
    </row>
    <row r="20770" spans="1:10" x14ac:dyDescent="0.2">
      <c r="A20770" s="859">
        <f t="shared" si="466"/>
        <v>20769</v>
      </c>
      <c r="B20770" s="845" t="s">
        <v>2717</v>
      </c>
      <c r="D20770" s="862"/>
      <c r="I20770" s="845" t="s">
        <v>1008</v>
      </c>
    </row>
    <row r="20771" spans="1:10" x14ac:dyDescent="0.2">
      <c r="A20771" s="859">
        <f t="shared" si="466"/>
        <v>20770</v>
      </c>
      <c r="B20771" s="845" t="s">
        <v>2717</v>
      </c>
      <c r="D20771" s="862"/>
      <c r="J20771" s="845" t="s">
        <v>2809</v>
      </c>
    </row>
    <row r="20772" spans="1:10" x14ac:dyDescent="0.2">
      <c r="A20772" s="859">
        <f t="shared" si="466"/>
        <v>20771</v>
      </c>
      <c r="B20772" s="845" t="s">
        <v>2717</v>
      </c>
      <c r="D20772" s="862"/>
      <c r="I20772" s="845" t="s">
        <v>1009</v>
      </c>
    </row>
    <row r="20773" spans="1:10" x14ac:dyDescent="0.2">
      <c r="A20773" s="859">
        <f t="shared" si="466"/>
        <v>20772</v>
      </c>
      <c r="B20773" s="845" t="s">
        <v>2717</v>
      </c>
      <c r="D20773" s="862"/>
      <c r="I20773" s="845" t="str">
        <f>CONCATENATE("&lt;valeur&gt;",Cellule_14243,"&lt;/valeur&gt;")</f>
        <v>&lt;valeur&gt;&lt;/valeur&gt;</v>
      </c>
    </row>
    <row r="20774" spans="1:10" x14ac:dyDescent="0.2">
      <c r="A20774" s="859">
        <f t="shared" si="466"/>
        <v>20773</v>
      </c>
      <c r="B20774" s="845" t="s">
        <v>2717</v>
      </c>
      <c r="D20774" s="862"/>
      <c r="H20774" s="845" t="s">
        <v>1010</v>
      </c>
    </row>
    <row r="20775" spans="1:10" x14ac:dyDescent="0.2">
      <c r="A20775" s="859">
        <f t="shared" si="466"/>
        <v>20774</v>
      </c>
      <c r="B20775" s="845" t="s">
        <v>2717</v>
      </c>
      <c r="D20775" s="862"/>
      <c r="H20775" s="845" t="s">
        <v>1007</v>
      </c>
    </row>
    <row r="20776" spans="1:10" x14ac:dyDescent="0.2">
      <c r="A20776" s="859">
        <f t="shared" si="466"/>
        <v>20775</v>
      </c>
      <c r="B20776" s="845" t="s">
        <v>2717</v>
      </c>
      <c r="D20776" s="862"/>
      <c r="I20776" s="845" t="s">
        <v>1008</v>
      </c>
    </row>
    <row r="20777" spans="1:10" x14ac:dyDescent="0.2">
      <c r="A20777" s="859">
        <f t="shared" si="466"/>
        <v>20776</v>
      </c>
      <c r="B20777" s="845" t="s">
        <v>2717</v>
      </c>
      <c r="D20777" s="862"/>
      <c r="J20777" s="845" t="s">
        <v>2810</v>
      </c>
    </row>
    <row r="20778" spans="1:10" x14ac:dyDescent="0.2">
      <c r="A20778" s="859">
        <f t="shared" si="466"/>
        <v>20777</v>
      </c>
      <c r="B20778" s="845" t="s">
        <v>2717</v>
      </c>
      <c r="D20778" s="862"/>
      <c r="I20778" s="845" t="s">
        <v>1009</v>
      </c>
    </row>
    <row r="20779" spans="1:10" x14ac:dyDescent="0.2">
      <c r="A20779" s="859">
        <f t="shared" si="466"/>
        <v>20778</v>
      </c>
      <c r="B20779" s="845" t="s">
        <v>2717</v>
      </c>
      <c r="D20779" s="862"/>
      <c r="I20779" s="845" t="str">
        <f>CONCATENATE("&lt;valeur&gt;",Cellule_14244,"&lt;/valeur&gt;")</f>
        <v>&lt;valeur&gt;&lt;/valeur&gt;</v>
      </c>
    </row>
    <row r="20780" spans="1:10" x14ac:dyDescent="0.2">
      <c r="A20780" s="859">
        <f t="shared" si="466"/>
        <v>20779</v>
      </c>
      <c r="B20780" s="845" t="s">
        <v>2717</v>
      </c>
      <c r="D20780" s="862"/>
      <c r="H20780" s="845" t="s">
        <v>1010</v>
      </c>
    </row>
    <row r="20781" spans="1:10" x14ac:dyDescent="0.2">
      <c r="A20781" s="859">
        <f t="shared" si="466"/>
        <v>20780</v>
      </c>
      <c r="B20781" s="845" t="s">
        <v>2717</v>
      </c>
      <c r="D20781" s="862"/>
      <c r="H20781" s="845" t="s">
        <v>1007</v>
      </c>
    </row>
    <row r="20782" spans="1:10" x14ac:dyDescent="0.2">
      <c r="A20782" s="859">
        <f t="shared" si="466"/>
        <v>20781</v>
      </c>
      <c r="B20782" s="845" t="s">
        <v>2717</v>
      </c>
      <c r="D20782" s="862"/>
      <c r="I20782" s="845" t="s">
        <v>1008</v>
      </c>
    </row>
    <row r="20783" spans="1:10" x14ac:dyDescent="0.2">
      <c r="A20783" s="859">
        <f t="shared" si="466"/>
        <v>20782</v>
      </c>
      <c r="B20783" s="845" t="s">
        <v>2717</v>
      </c>
      <c r="D20783" s="862"/>
      <c r="J20783" s="845" t="s">
        <v>2811</v>
      </c>
    </row>
    <row r="20784" spans="1:10" x14ac:dyDescent="0.2">
      <c r="A20784" s="859">
        <f t="shared" si="466"/>
        <v>20783</v>
      </c>
      <c r="B20784" s="845" t="s">
        <v>2717</v>
      </c>
      <c r="D20784" s="862"/>
      <c r="I20784" s="845" t="s">
        <v>1009</v>
      </c>
    </row>
    <row r="20785" spans="1:10" x14ac:dyDescent="0.2">
      <c r="A20785" s="859">
        <f t="shared" si="466"/>
        <v>20784</v>
      </c>
      <c r="B20785" s="845" t="s">
        <v>2717</v>
      </c>
      <c r="D20785" s="862"/>
      <c r="I20785" s="845" t="str">
        <f>CONCATENATE("&lt;valeur&gt;",Cellule_14245,"&lt;/valeur&gt;")</f>
        <v>&lt;valeur&gt;&lt;/valeur&gt;</v>
      </c>
    </row>
    <row r="20786" spans="1:10" x14ac:dyDescent="0.2">
      <c r="A20786" s="859">
        <f t="shared" si="466"/>
        <v>20785</v>
      </c>
      <c r="B20786" s="845" t="s">
        <v>2717</v>
      </c>
      <c r="D20786" s="862"/>
      <c r="H20786" s="845" t="s">
        <v>1010</v>
      </c>
    </row>
    <row r="20787" spans="1:10" x14ac:dyDescent="0.2">
      <c r="A20787" s="859">
        <f t="shared" si="466"/>
        <v>20786</v>
      </c>
      <c r="B20787" s="845" t="s">
        <v>2717</v>
      </c>
      <c r="D20787" s="862"/>
      <c r="H20787" s="845" t="s">
        <v>1007</v>
      </c>
    </row>
    <row r="20788" spans="1:10" x14ac:dyDescent="0.2">
      <c r="A20788" s="859">
        <f t="shared" si="466"/>
        <v>20787</v>
      </c>
      <c r="B20788" s="845" t="s">
        <v>2717</v>
      </c>
      <c r="D20788" s="862"/>
      <c r="I20788" s="845" t="s">
        <v>1008</v>
      </c>
    </row>
    <row r="20789" spans="1:10" x14ac:dyDescent="0.2">
      <c r="A20789" s="859">
        <f t="shared" si="466"/>
        <v>20788</v>
      </c>
      <c r="B20789" s="845" t="s">
        <v>2717</v>
      </c>
      <c r="D20789" s="862"/>
      <c r="J20789" s="845" t="s">
        <v>2812</v>
      </c>
    </row>
    <row r="20790" spans="1:10" x14ac:dyDescent="0.2">
      <c r="A20790" s="859">
        <f t="shared" si="466"/>
        <v>20789</v>
      </c>
      <c r="B20790" s="845" t="s">
        <v>2717</v>
      </c>
      <c r="D20790" s="862"/>
      <c r="I20790" s="845" t="s">
        <v>1009</v>
      </c>
    </row>
    <row r="20791" spans="1:10" x14ac:dyDescent="0.2">
      <c r="A20791" s="859">
        <f t="shared" si="466"/>
        <v>20790</v>
      </c>
      <c r="B20791" s="845" t="s">
        <v>2717</v>
      </c>
      <c r="D20791" s="862"/>
      <c r="I20791" s="845" t="str">
        <f>CONCATENATE("&lt;valeur&gt;",Cellule_14246,"&lt;/valeur&gt;")</f>
        <v>&lt;valeur&gt;&lt;/valeur&gt;</v>
      </c>
    </row>
    <row r="20792" spans="1:10" x14ac:dyDescent="0.2">
      <c r="A20792" s="859">
        <f t="shared" si="466"/>
        <v>20791</v>
      </c>
      <c r="B20792" s="845" t="s">
        <v>2717</v>
      </c>
      <c r="D20792" s="862"/>
      <c r="H20792" s="845" t="s">
        <v>1010</v>
      </c>
    </row>
    <row r="20793" spans="1:10" x14ac:dyDescent="0.2">
      <c r="A20793" s="859">
        <f t="shared" si="466"/>
        <v>20792</v>
      </c>
      <c r="B20793" s="845" t="s">
        <v>2717</v>
      </c>
      <c r="D20793" s="862"/>
      <c r="H20793" s="845" t="s">
        <v>1007</v>
      </c>
    </row>
    <row r="20794" spans="1:10" x14ac:dyDescent="0.2">
      <c r="A20794" s="859">
        <f t="shared" si="466"/>
        <v>20793</v>
      </c>
      <c r="B20794" s="845" t="s">
        <v>2717</v>
      </c>
      <c r="D20794" s="862"/>
      <c r="I20794" s="845" t="s">
        <v>1008</v>
      </c>
    </row>
    <row r="20795" spans="1:10" x14ac:dyDescent="0.2">
      <c r="A20795" s="859">
        <f t="shared" si="466"/>
        <v>20794</v>
      </c>
      <c r="B20795" s="845" t="s">
        <v>2717</v>
      </c>
      <c r="D20795" s="862"/>
      <c r="J20795" s="845" t="s">
        <v>2813</v>
      </c>
    </row>
    <row r="20796" spans="1:10" x14ac:dyDescent="0.2">
      <c r="A20796" s="859">
        <f t="shared" si="466"/>
        <v>20795</v>
      </c>
      <c r="B20796" s="845" t="s">
        <v>2717</v>
      </c>
      <c r="D20796" s="862"/>
      <c r="I20796" s="845" t="s">
        <v>1009</v>
      </c>
    </row>
    <row r="20797" spans="1:10" x14ac:dyDescent="0.2">
      <c r="A20797" s="859">
        <f t="shared" si="466"/>
        <v>20796</v>
      </c>
      <c r="B20797" s="845" t="s">
        <v>2717</v>
      </c>
      <c r="D20797" s="862"/>
      <c r="I20797" s="845" t="str">
        <f>CONCATENATE("&lt;valeur&gt;",Cellule_14247,"&lt;/valeur&gt;")</f>
        <v>&lt;valeur&gt;&lt;/valeur&gt;</v>
      </c>
    </row>
    <row r="20798" spans="1:10" x14ac:dyDescent="0.2">
      <c r="A20798" s="859">
        <f t="shared" si="466"/>
        <v>20797</v>
      </c>
      <c r="B20798" s="845" t="s">
        <v>2717</v>
      </c>
      <c r="D20798" s="862"/>
      <c r="H20798" s="845" t="s">
        <v>1010</v>
      </c>
    </row>
    <row r="20799" spans="1:10" x14ac:dyDescent="0.2">
      <c r="A20799" s="859">
        <f t="shared" si="466"/>
        <v>20798</v>
      </c>
      <c r="B20799" s="845" t="s">
        <v>2717</v>
      </c>
      <c r="D20799" s="862"/>
      <c r="H20799" s="845" t="s">
        <v>1007</v>
      </c>
    </row>
    <row r="20800" spans="1:10" x14ac:dyDescent="0.2">
      <c r="A20800" s="859">
        <f t="shared" si="466"/>
        <v>20799</v>
      </c>
      <c r="B20800" s="845" t="s">
        <v>2717</v>
      </c>
      <c r="D20800" s="862"/>
      <c r="I20800" s="845" t="s">
        <v>1008</v>
      </c>
    </row>
    <row r="20801" spans="1:10" x14ac:dyDescent="0.2">
      <c r="A20801" s="859">
        <f t="shared" si="466"/>
        <v>20800</v>
      </c>
      <c r="B20801" s="845" t="s">
        <v>2717</v>
      </c>
      <c r="D20801" s="862"/>
      <c r="J20801" s="845" t="s">
        <v>2814</v>
      </c>
    </row>
    <row r="20802" spans="1:10" x14ac:dyDescent="0.2">
      <c r="A20802" s="859">
        <f t="shared" si="466"/>
        <v>20801</v>
      </c>
      <c r="B20802" s="845" t="s">
        <v>2717</v>
      </c>
      <c r="D20802" s="862"/>
      <c r="I20802" s="845" t="s">
        <v>1009</v>
      </c>
    </row>
    <row r="20803" spans="1:10" x14ac:dyDescent="0.2">
      <c r="A20803" s="859">
        <f t="shared" si="466"/>
        <v>20802</v>
      </c>
      <c r="B20803" s="845" t="s">
        <v>2717</v>
      </c>
      <c r="D20803" s="862"/>
      <c r="I20803" s="845" t="str">
        <f>CONCATENATE("&lt;valeur&gt;",Cellule_14248,"&lt;/valeur&gt;")</f>
        <v>&lt;valeur&gt;&lt;/valeur&gt;</v>
      </c>
    </row>
    <row r="20804" spans="1:10" x14ac:dyDescent="0.2">
      <c r="A20804" s="859">
        <f t="shared" ref="A20804:A20867" si="467">+A20803+1</f>
        <v>20803</v>
      </c>
      <c r="B20804" s="845" t="s">
        <v>2717</v>
      </c>
      <c r="D20804" s="862"/>
      <c r="H20804" s="845" t="s">
        <v>1010</v>
      </c>
    </row>
    <row r="20805" spans="1:10" x14ac:dyDescent="0.2">
      <c r="A20805" s="859">
        <f t="shared" si="467"/>
        <v>20804</v>
      </c>
      <c r="B20805" s="845" t="s">
        <v>2717</v>
      </c>
      <c r="D20805" s="862"/>
      <c r="H20805" s="845" t="s">
        <v>1007</v>
      </c>
    </row>
    <row r="20806" spans="1:10" x14ac:dyDescent="0.2">
      <c r="A20806" s="859">
        <f t="shared" si="467"/>
        <v>20805</v>
      </c>
      <c r="B20806" s="845" t="s">
        <v>2717</v>
      </c>
      <c r="D20806" s="862"/>
      <c r="I20806" s="845" t="s">
        <v>1008</v>
      </c>
    </row>
    <row r="20807" spans="1:10" x14ac:dyDescent="0.2">
      <c r="A20807" s="859">
        <f t="shared" si="467"/>
        <v>20806</v>
      </c>
      <c r="B20807" s="845" t="s">
        <v>2717</v>
      </c>
      <c r="D20807" s="862"/>
      <c r="J20807" s="845" t="s">
        <v>2815</v>
      </c>
    </row>
    <row r="20808" spans="1:10" x14ac:dyDescent="0.2">
      <c r="A20808" s="859">
        <f t="shared" si="467"/>
        <v>20807</v>
      </c>
      <c r="B20808" s="845" t="s">
        <v>2717</v>
      </c>
      <c r="D20808" s="862"/>
      <c r="I20808" s="845" t="s">
        <v>1009</v>
      </c>
    </row>
    <row r="20809" spans="1:10" x14ac:dyDescent="0.2">
      <c r="A20809" s="859">
        <f t="shared" si="467"/>
        <v>20808</v>
      </c>
      <c r="B20809" s="845" t="s">
        <v>2717</v>
      </c>
      <c r="D20809" s="862"/>
      <c r="I20809" s="845" t="str">
        <f>CONCATENATE("&lt;valeur&gt;",Cellule_14249,"&lt;/valeur&gt;")</f>
        <v>&lt;valeur&gt;0&lt;/valeur&gt;</v>
      </c>
    </row>
    <row r="20810" spans="1:10" x14ac:dyDescent="0.2">
      <c r="A20810" s="859">
        <f t="shared" si="467"/>
        <v>20809</v>
      </c>
      <c r="B20810" s="845" t="s">
        <v>2717</v>
      </c>
      <c r="D20810" s="862"/>
      <c r="H20810" s="845" t="s">
        <v>1010</v>
      </c>
    </row>
    <row r="20811" spans="1:10" x14ac:dyDescent="0.2">
      <c r="A20811" s="859">
        <f t="shared" si="467"/>
        <v>20810</v>
      </c>
      <c r="B20811" s="845" t="s">
        <v>2717</v>
      </c>
      <c r="D20811" s="862"/>
      <c r="H20811" s="845" t="s">
        <v>1007</v>
      </c>
    </row>
    <row r="20812" spans="1:10" x14ac:dyDescent="0.2">
      <c r="A20812" s="859">
        <f t="shared" si="467"/>
        <v>20811</v>
      </c>
      <c r="B20812" s="845" t="s">
        <v>2717</v>
      </c>
      <c r="D20812" s="862"/>
      <c r="I20812" s="845" t="s">
        <v>1008</v>
      </c>
    </row>
    <row r="20813" spans="1:10" x14ac:dyDescent="0.2">
      <c r="A20813" s="859">
        <f t="shared" si="467"/>
        <v>20812</v>
      </c>
      <c r="B20813" s="845" t="s">
        <v>2717</v>
      </c>
      <c r="D20813" s="862"/>
      <c r="J20813" s="845" t="s">
        <v>2816</v>
      </c>
    </row>
    <row r="20814" spans="1:10" x14ac:dyDescent="0.2">
      <c r="A20814" s="859">
        <f t="shared" si="467"/>
        <v>20813</v>
      </c>
      <c r="B20814" s="845" t="s">
        <v>2717</v>
      </c>
      <c r="D20814" s="862"/>
      <c r="I20814" s="845" t="s">
        <v>1009</v>
      </c>
    </row>
    <row r="20815" spans="1:10" x14ac:dyDescent="0.2">
      <c r="A20815" s="859">
        <f t="shared" si="467"/>
        <v>20814</v>
      </c>
      <c r="B20815" s="845" t="s">
        <v>2717</v>
      </c>
      <c r="D20815" s="862"/>
      <c r="I20815" s="845" t="str">
        <f>CONCATENATE("&lt;valeur&gt;",Cellule_14250,"&lt;/valeur&gt;")</f>
        <v>&lt;valeur&gt;&lt;/valeur&gt;</v>
      </c>
    </row>
    <row r="20816" spans="1:10" x14ac:dyDescent="0.2">
      <c r="A20816" s="859">
        <f t="shared" si="467"/>
        <v>20815</v>
      </c>
      <c r="B20816" s="845" t="s">
        <v>2717</v>
      </c>
      <c r="D20816" s="862"/>
      <c r="H20816" s="845" t="s">
        <v>1010</v>
      </c>
    </row>
    <row r="20817" spans="1:10" x14ac:dyDescent="0.2">
      <c r="A20817" s="859">
        <f t="shared" si="467"/>
        <v>20816</v>
      </c>
      <c r="B20817" s="845" t="s">
        <v>2717</v>
      </c>
      <c r="D20817" s="862"/>
      <c r="H20817" s="845" t="s">
        <v>1007</v>
      </c>
    </row>
    <row r="20818" spans="1:10" x14ac:dyDescent="0.2">
      <c r="A20818" s="859">
        <f t="shared" si="467"/>
        <v>20817</v>
      </c>
      <c r="B20818" s="845" t="s">
        <v>2717</v>
      </c>
      <c r="D20818" s="862"/>
      <c r="I20818" s="845" t="s">
        <v>1008</v>
      </c>
    </row>
    <row r="20819" spans="1:10" x14ac:dyDescent="0.2">
      <c r="A20819" s="859">
        <f t="shared" si="467"/>
        <v>20818</v>
      </c>
      <c r="B20819" s="845" t="s">
        <v>2717</v>
      </c>
      <c r="D20819" s="862"/>
      <c r="J20819" s="845" t="s">
        <v>2817</v>
      </c>
    </row>
    <row r="20820" spans="1:10" x14ac:dyDescent="0.2">
      <c r="A20820" s="859">
        <f t="shared" si="467"/>
        <v>20819</v>
      </c>
      <c r="B20820" s="845" t="s">
        <v>2717</v>
      </c>
      <c r="D20820" s="862"/>
      <c r="I20820" s="845" t="s">
        <v>1009</v>
      </c>
    </row>
    <row r="20821" spans="1:10" x14ac:dyDescent="0.2">
      <c r="A20821" s="859">
        <f t="shared" si="467"/>
        <v>20820</v>
      </c>
      <c r="B20821" s="845" t="s">
        <v>2717</v>
      </c>
      <c r="D20821" s="862"/>
      <c r="I20821" s="845" t="str">
        <f>CONCATENATE("&lt;valeur&gt;",Cellule_14251,"&lt;/valeur&gt;")</f>
        <v>&lt;valeur&gt;&lt;/valeur&gt;</v>
      </c>
    </row>
    <row r="20822" spans="1:10" x14ac:dyDescent="0.2">
      <c r="A20822" s="859">
        <f t="shared" si="467"/>
        <v>20821</v>
      </c>
      <c r="B20822" s="845" t="s">
        <v>2717</v>
      </c>
      <c r="D20822" s="862"/>
      <c r="H20822" s="845" t="s">
        <v>1010</v>
      </c>
    </row>
    <row r="20823" spans="1:10" x14ac:dyDescent="0.2">
      <c r="A20823" s="859">
        <f t="shared" si="467"/>
        <v>20822</v>
      </c>
      <c r="B20823" s="845" t="s">
        <v>2717</v>
      </c>
      <c r="D20823" s="862"/>
      <c r="H20823" s="845" t="s">
        <v>1007</v>
      </c>
    </row>
    <row r="20824" spans="1:10" x14ac:dyDescent="0.2">
      <c r="A20824" s="859">
        <f t="shared" si="467"/>
        <v>20823</v>
      </c>
      <c r="B20824" s="845" t="s">
        <v>2717</v>
      </c>
      <c r="D20824" s="862"/>
      <c r="I20824" s="845" t="s">
        <v>1008</v>
      </c>
    </row>
    <row r="20825" spans="1:10" x14ac:dyDescent="0.2">
      <c r="A20825" s="859">
        <f t="shared" si="467"/>
        <v>20824</v>
      </c>
      <c r="B20825" s="845" t="s">
        <v>2717</v>
      </c>
      <c r="D20825" s="862"/>
      <c r="J20825" s="845" t="s">
        <v>2818</v>
      </c>
    </row>
    <row r="20826" spans="1:10" x14ac:dyDescent="0.2">
      <c r="A20826" s="859">
        <f t="shared" si="467"/>
        <v>20825</v>
      </c>
      <c r="B20826" s="845" t="s">
        <v>2717</v>
      </c>
      <c r="D20826" s="862"/>
      <c r="I20826" s="845" t="s">
        <v>1009</v>
      </c>
    </row>
    <row r="20827" spans="1:10" x14ac:dyDescent="0.2">
      <c r="A20827" s="859">
        <f t="shared" si="467"/>
        <v>20826</v>
      </c>
      <c r="B20827" s="845" t="s">
        <v>2717</v>
      </c>
      <c r="D20827" s="862"/>
      <c r="I20827" s="845" t="str">
        <f>CONCATENATE("&lt;valeur&gt;",Cellule_14252,"&lt;/valeur&gt;")</f>
        <v>&lt;valeur&gt;&lt;/valeur&gt;</v>
      </c>
    </row>
    <row r="20828" spans="1:10" x14ac:dyDescent="0.2">
      <c r="A20828" s="859">
        <f t="shared" si="467"/>
        <v>20827</v>
      </c>
      <c r="B20828" s="845" t="s">
        <v>2717</v>
      </c>
      <c r="D20828" s="862"/>
      <c r="H20828" s="845" t="s">
        <v>1010</v>
      </c>
    </row>
    <row r="20829" spans="1:10" x14ac:dyDescent="0.2">
      <c r="A20829" s="859">
        <f t="shared" si="467"/>
        <v>20828</v>
      </c>
      <c r="B20829" s="845" t="s">
        <v>2717</v>
      </c>
      <c r="D20829" s="862"/>
      <c r="H20829" s="845" t="s">
        <v>1007</v>
      </c>
    </row>
    <row r="20830" spans="1:10" x14ac:dyDescent="0.2">
      <c r="A20830" s="859">
        <f t="shared" si="467"/>
        <v>20829</v>
      </c>
      <c r="B20830" s="845" t="s">
        <v>2717</v>
      </c>
      <c r="D20830" s="862"/>
      <c r="I20830" s="845" t="s">
        <v>1008</v>
      </c>
    </row>
    <row r="20831" spans="1:10" x14ac:dyDescent="0.2">
      <c r="A20831" s="859">
        <f t="shared" si="467"/>
        <v>20830</v>
      </c>
      <c r="B20831" s="845" t="s">
        <v>2717</v>
      </c>
      <c r="D20831" s="862"/>
      <c r="J20831" s="845" t="s">
        <v>2819</v>
      </c>
    </row>
    <row r="20832" spans="1:10" x14ac:dyDescent="0.2">
      <c r="A20832" s="859">
        <f t="shared" si="467"/>
        <v>20831</v>
      </c>
      <c r="B20832" s="845" t="s">
        <v>2717</v>
      </c>
      <c r="D20832" s="862"/>
      <c r="I20832" s="845" t="s">
        <v>1009</v>
      </c>
    </row>
    <row r="20833" spans="1:10" x14ac:dyDescent="0.2">
      <c r="A20833" s="859">
        <f t="shared" si="467"/>
        <v>20832</v>
      </c>
      <c r="B20833" s="845" t="s">
        <v>2717</v>
      </c>
      <c r="D20833" s="862"/>
      <c r="I20833" s="845" t="str">
        <f>CONCATENATE("&lt;valeur&gt;",Cellule_14253,"&lt;/valeur&gt;")</f>
        <v>&lt;valeur&gt;&lt;/valeur&gt;</v>
      </c>
    </row>
    <row r="20834" spans="1:10" x14ac:dyDescent="0.2">
      <c r="A20834" s="859">
        <f t="shared" si="467"/>
        <v>20833</v>
      </c>
      <c r="B20834" s="845" t="s">
        <v>2717</v>
      </c>
      <c r="D20834" s="862"/>
      <c r="H20834" s="845" t="s">
        <v>1010</v>
      </c>
    </row>
    <row r="20835" spans="1:10" x14ac:dyDescent="0.2">
      <c r="A20835" s="859">
        <f t="shared" si="467"/>
        <v>20834</v>
      </c>
      <c r="B20835" s="845" t="s">
        <v>2717</v>
      </c>
      <c r="D20835" s="862"/>
      <c r="H20835" s="845" t="s">
        <v>1007</v>
      </c>
    </row>
    <row r="20836" spans="1:10" x14ac:dyDescent="0.2">
      <c r="A20836" s="859">
        <f t="shared" si="467"/>
        <v>20835</v>
      </c>
      <c r="B20836" s="845" t="s">
        <v>2717</v>
      </c>
      <c r="D20836" s="862"/>
      <c r="I20836" s="845" t="s">
        <v>1008</v>
      </c>
    </row>
    <row r="20837" spans="1:10" x14ac:dyDescent="0.2">
      <c r="A20837" s="859">
        <f t="shared" si="467"/>
        <v>20836</v>
      </c>
      <c r="B20837" s="845" t="s">
        <v>2717</v>
      </c>
      <c r="D20837" s="862"/>
      <c r="J20837" s="845" t="s">
        <v>2820</v>
      </c>
    </row>
    <row r="20838" spans="1:10" x14ac:dyDescent="0.2">
      <c r="A20838" s="859">
        <f t="shared" si="467"/>
        <v>20837</v>
      </c>
      <c r="B20838" s="845" t="s">
        <v>2717</v>
      </c>
      <c r="D20838" s="862"/>
      <c r="I20838" s="845" t="s">
        <v>1009</v>
      </c>
    </row>
    <row r="20839" spans="1:10" x14ac:dyDescent="0.2">
      <c r="A20839" s="859">
        <f t="shared" si="467"/>
        <v>20838</v>
      </c>
      <c r="B20839" s="845" t="s">
        <v>2717</v>
      </c>
      <c r="D20839" s="862"/>
      <c r="I20839" s="845" t="str">
        <f>CONCATENATE("&lt;valeur&gt;",Cellule_14254,"&lt;/valeur&gt;")</f>
        <v>&lt;valeur&gt;&lt;/valeur&gt;</v>
      </c>
    </row>
    <row r="20840" spans="1:10" x14ac:dyDescent="0.2">
      <c r="A20840" s="859">
        <f t="shared" si="467"/>
        <v>20839</v>
      </c>
      <c r="B20840" s="845" t="s">
        <v>2717</v>
      </c>
      <c r="D20840" s="862"/>
      <c r="H20840" s="845" t="s">
        <v>1010</v>
      </c>
    </row>
    <row r="20841" spans="1:10" x14ac:dyDescent="0.2">
      <c r="A20841" s="859">
        <f t="shared" si="467"/>
        <v>20840</v>
      </c>
      <c r="B20841" s="845" t="s">
        <v>2717</v>
      </c>
      <c r="D20841" s="862"/>
      <c r="H20841" s="845" t="s">
        <v>1007</v>
      </c>
    </row>
    <row r="20842" spans="1:10" x14ac:dyDescent="0.2">
      <c r="A20842" s="859">
        <f t="shared" si="467"/>
        <v>20841</v>
      </c>
      <c r="B20842" s="845" t="s">
        <v>2717</v>
      </c>
      <c r="D20842" s="862"/>
      <c r="I20842" s="845" t="s">
        <v>1008</v>
      </c>
    </row>
    <row r="20843" spans="1:10" x14ac:dyDescent="0.2">
      <c r="A20843" s="859">
        <f t="shared" si="467"/>
        <v>20842</v>
      </c>
      <c r="B20843" s="845" t="s">
        <v>2717</v>
      </c>
      <c r="D20843" s="862"/>
      <c r="J20843" s="845" t="s">
        <v>2821</v>
      </c>
    </row>
    <row r="20844" spans="1:10" x14ac:dyDescent="0.2">
      <c r="A20844" s="859">
        <f t="shared" si="467"/>
        <v>20843</v>
      </c>
      <c r="B20844" s="845" t="s">
        <v>2717</v>
      </c>
      <c r="D20844" s="862"/>
      <c r="I20844" s="845" t="s">
        <v>1009</v>
      </c>
    </row>
    <row r="20845" spans="1:10" x14ac:dyDescent="0.2">
      <c r="A20845" s="859">
        <f t="shared" si="467"/>
        <v>20844</v>
      </c>
      <c r="B20845" s="845" t="s">
        <v>2717</v>
      </c>
      <c r="D20845" s="862"/>
      <c r="I20845" s="845" t="str">
        <f>CONCATENATE("&lt;valeur&gt;",Cellule_14255,"&lt;/valeur&gt;")</f>
        <v>&lt;valeur&gt;0&lt;/valeur&gt;</v>
      </c>
    </row>
    <row r="20846" spans="1:10" x14ac:dyDescent="0.2">
      <c r="A20846" s="859">
        <f t="shared" si="467"/>
        <v>20845</v>
      </c>
      <c r="B20846" s="845" t="s">
        <v>2717</v>
      </c>
      <c r="D20846" s="862"/>
      <c r="H20846" s="845" t="s">
        <v>1010</v>
      </c>
    </row>
    <row r="20847" spans="1:10" x14ac:dyDescent="0.2">
      <c r="A20847" s="859">
        <f t="shared" si="467"/>
        <v>20846</v>
      </c>
      <c r="B20847" s="845" t="s">
        <v>2717</v>
      </c>
      <c r="D20847" s="862"/>
      <c r="H20847" s="845" t="s">
        <v>1007</v>
      </c>
    </row>
    <row r="20848" spans="1:10" x14ac:dyDescent="0.2">
      <c r="A20848" s="859">
        <f t="shared" si="467"/>
        <v>20847</v>
      </c>
      <c r="B20848" s="845" t="s">
        <v>2717</v>
      </c>
      <c r="D20848" s="862"/>
      <c r="I20848" s="845" t="s">
        <v>1008</v>
      </c>
    </row>
    <row r="20849" spans="1:10" x14ac:dyDescent="0.2">
      <c r="A20849" s="859">
        <f t="shared" si="467"/>
        <v>20848</v>
      </c>
      <c r="B20849" s="845" t="s">
        <v>2717</v>
      </c>
      <c r="D20849" s="862"/>
      <c r="J20849" s="845" t="s">
        <v>2822</v>
      </c>
    </row>
    <row r="20850" spans="1:10" x14ac:dyDescent="0.2">
      <c r="A20850" s="859">
        <f t="shared" si="467"/>
        <v>20849</v>
      </c>
      <c r="B20850" s="845" t="s">
        <v>2717</v>
      </c>
      <c r="D20850" s="862"/>
      <c r="I20850" s="845" t="s">
        <v>1009</v>
      </c>
    </row>
    <row r="20851" spans="1:10" x14ac:dyDescent="0.2">
      <c r="A20851" s="859">
        <f t="shared" si="467"/>
        <v>20850</v>
      </c>
      <c r="B20851" s="845" t="s">
        <v>2717</v>
      </c>
      <c r="D20851" s="862"/>
      <c r="I20851" s="845" t="str">
        <f>CONCATENATE("&lt;valeur&gt;",Cellule_14256,"&lt;/valeur&gt;")</f>
        <v>&lt;valeur&gt;&lt;/valeur&gt;</v>
      </c>
    </row>
    <row r="20852" spans="1:10" x14ac:dyDescent="0.2">
      <c r="A20852" s="859">
        <f t="shared" si="467"/>
        <v>20851</v>
      </c>
      <c r="B20852" s="845" t="s">
        <v>2717</v>
      </c>
      <c r="D20852" s="862"/>
      <c r="H20852" s="845" t="s">
        <v>1010</v>
      </c>
    </row>
    <row r="20853" spans="1:10" x14ac:dyDescent="0.2">
      <c r="A20853" s="859">
        <f t="shared" si="467"/>
        <v>20852</v>
      </c>
      <c r="B20853" s="845" t="s">
        <v>2717</v>
      </c>
      <c r="D20853" s="862"/>
      <c r="H20853" s="845" t="s">
        <v>1007</v>
      </c>
    </row>
    <row r="20854" spans="1:10" x14ac:dyDescent="0.2">
      <c r="A20854" s="859">
        <f t="shared" si="467"/>
        <v>20853</v>
      </c>
      <c r="B20854" s="845" t="s">
        <v>2717</v>
      </c>
      <c r="D20854" s="862"/>
      <c r="I20854" s="845" t="s">
        <v>1008</v>
      </c>
    </row>
    <row r="20855" spans="1:10" x14ac:dyDescent="0.2">
      <c r="A20855" s="859">
        <f t="shared" si="467"/>
        <v>20854</v>
      </c>
      <c r="B20855" s="845" t="s">
        <v>2717</v>
      </c>
      <c r="D20855" s="862"/>
      <c r="J20855" s="845" t="s">
        <v>2823</v>
      </c>
    </row>
    <row r="20856" spans="1:10" x14ac:dyDescent="0.2">
      <c r="A20856" s="859">
        <f t="shared" si="467"/>
        <v>20855</v>
      </c>
      <c r="B20856" s="845" t="s">
        <v>2717</v>
      </c>
      <c r="D20856" s="862"/>
      <c r="I20856" s="845" t="s">
        <v>1009</v>
      </c>
    </row>
    <row r="20857" spans="1:10" x14ac:dyDescent="0.2">
      <c r="A20857" s="859">
        <f t="shared" si="467"/>
        <v>20856</v>
      </c>
      <c r="B20857" s="845" t="s">
        <v>2717</v>
      </c>
      <c r="D20857" s="862"/>
      <c r="I20857" s="845" t="str">
        <f>CONCATENATE("&lt;valeur&gt;",Cellule_14257,"&lt;/valeur&gt;")</f>
        <v>&lt;valeur&gt;&lt;/valeur&gt;</v>
      </c>
    </row>
    <row r="20858" spans="1:10" x14ac:dyDescent="0.2">
      <c r="A20858" s="859">
        <f t="shared" si="467"/>
        <v>20857</v>
      </c>
      <c r="B20858" s="845" t="s">
        <v>2717</v>
      </c>
      <c r="D20858" s="862"/>
      <c r="H20858" s="845" t="s">
        <v>1010</v>
      </c>
    </row>
    <row r="20859" spans="1:10" x14ac:dyDescent="0.2">
      <c r="A20859" s="859">
        <f t="shared" si="467"/>
        <v>20858</v>
      </c>
      <c r="B20859" s="845" t="s">
        <v>2717</v>
      </c>
      <c r="D20859" s="862"/>
      <c r="H20859" s="845" t="s">
        <v>1007</v>
      </c>
    </row>
    <row r="20860" spans="1:10" x14ac:dyDescent="0.2">
      <c r="A20860" s="859">
        <f t="shared" si="467"/>
        <v>20859</v>
      </c>
      <c r="B20860" s="845" t="s">
        <v>2717</v>
      </c>
      <c r="D20860" s="862"/>
      <c r="I20860" s="845" t="s">
        <v>1008</v>
      </c>
    </row>
    <row r="20861" spans="1:10" x14ac:dyDescent="0.2">
      <c r="A20861" s="859">
        <f t="shared" si="467"/>
        <v>20860</v>
      </c>
      <c r="B20861" s="845" t="s">
        <v>2717</v>
      </c>
      <c r="D20861" s="862"/>
      <c r="J20861" s="845" t="s">
        <v>2824</v>
      </c>
    </row>
    <row r="20862" spans="1:10" x14ac:dyDescent="0.2">
      <c r="A20862" s="859">
        <f t="shared" si="467"/>
        <v>20861</v>
      </c>
      <c r="B20862" s="845" t="s">
        <v>2717</v>
      </c>
      <c r="D20862" s="862"/>
      <c r="I20862" s="845" t="s">
        <v>1009</v>
      </c>
    </row>
    <row r="20863" spans="1:10" x14ac:dyDescent="0.2">
      <c r="A20863" s="859">
        <f t="shared" si="467"/>
        <v>20862</v>
      </c>
      <c r="B20863" s="845" t="s">
        <v>2717</v>
      </c>
      <c r="D20863" s="862"/>
      <c r="I20863" s="845" t="str">
        <f>CONCATENATE("&lt;valeur&gt;",Cellule_14258,"&lt;/valeur&gt;")</f>
        <v>&lt;valeur&gt;&lt;/valeur&gt;</v>
      </c>
    </row>
    <row r="20864" spans="1:10" x14ac:dyDescent="0.2">
      <c r="A20864" s="859">
        <f t="shared" si="467"/>
        <v>20863</v>
      </c>
      <c r="B20864" s="845" t="s">
        <v>2717</v>
      </c>
      <c r="D20864" s="862"/>
      <c r="H20864" s="845" t="s">
        <v>1010</v>
      </c>
    </row>
    <row r="20865" spans="1:10" x14ac:dyDescent="0.2">
      <c r="A20865" s="859">
        <f t="shared" si="467"/>
        <v>20864</v>
      </c>
      <c r="B20865" s="845" t="s">
        <v>2717</v>
      </c>
      <c r="D20865" s="862"/>
      <c r="H20865" s="845" t="s">
        <v>1007</v>
      </c>
    </row>
    <row r="20866" spans="1:10" x14ac:dyDescent="0.2">
      <c r="A20866" s="859">
        <f t="shared" si="467"/>
        <v>20865</v>
      </c>
      <c r="B20866" s="845" t="s">
        <v>2717</v>
      </c>
      <c r="D20866" s="862"/>
      <c r="I20866" s="845" t="s">
        <v>1008</v>
      </c>
    </row>
    <row r="20867" spans="1:10" x14ac:dyDescent="0.2">
      <c r="A20867" s="859">
        <f t="shared" si="467"/>
        <v>20866</v>
      </c>
      <c r="B20867" s="845" t="s">
        <v>2717</v>
      </c>
      <c r="D20867" s="862"/>
      <c r="J20867" s="845" t="s">
        <v>2825</v>
      </c>
    </row>
    <row r="20868" spans="1:10" x14ac:dyDescent="0.2">
      <c r="A20868" s="859">
        <f t="shared" ref="A20868:A20931" si="468">+A20867+1</f>
        <v>20867</v>
      </c>
      <c r="B20868" s="845" t="s">
        <v>2717</v>
      </c>
      <c r="D20868" s="862"/>
      <c r="I20868" s="845" t="s">
        <v>1009</v>
      </c>
    </row>
    <row r="20869" spans="1:10" x14ac:dyDescent="0.2">
      <c r="A20869" s="859">
        <f t="shared" si="468"/>
        <v>20868</v>
      </c>
      <c r="B20869" s="845" t="s">
        <v>2717</v>
      </c>
      <c r="D20869" s="862"/>
      <c r="I20869" s="845" t="str">
        <f>CONCATENATE("&lt;valeur&gt;",Cellule_14259,"&lt;/valeur&gt;")</f>
        <v>&lt;valeur&gt;&lt;/valeur&gt;</v>
      </c>
    </row>
    <row r="20870" spans="1:10" x14ac:dyDescent="0.2">
      <c r="A20870" s="859">
        <f t="shared" si="468"/>
        <v>20869</v>
      </c>
      <c r="B20870" s="845" t="s">
        <v>2717</v>
      </c>
      <c r="D20870" s="862"/>
      <c r="H20870" s="845" t="s">
        <v>1010</v>
      </c>
    </row>
    <row r="20871" spans="1:10" x14ac:dyDescent="0.2">
      <c r="A20871" s="859">
        <f t="shared" si="468"/>
        <v>20870</v>
      </c>
      <c r="B20871" s="845" t="s">
        <v>2717</v>
      </c>
      <c r="D20871" s="862"/>
      <c r="H20871" s="845" t="s">
        <v>1007</v>
      </c>
    </row>
    <row r="20872" spans="1:10" x14ac:dyDescent="0.2">
      <c r="A20872" s="859">
        <f t="shared" si="468"/>
        <v>20871</v>
      </c>
      <c r="B20872" s="845" t="s">
        <v>2717</v>
      </c>
      <c r="D20872" s="862"/>
      <c r="I20872" s="845" t="s">
        <v>1008</v>
      </c>
    </row>
    <row r="20873" spans="1:10" x14ac:dyDescent="0.2">
      <c r="A20873" s="859">
        <f t="shared" si="468"/>
        <v>20872</v>
      </c>
      <c r="B20873" s="845" t="s">
        <v>2717</v>
      </c>
      <c r="D20873" s="862"/>
      <c r="J20873" s="845" t="s">
        <v>2826</v>
      </c>
    </row>
    <row r="20874" spans="1:10" x14ac:dyDescent="0.2">
      <c r="A20874" s="859">
        <f t="shared" si="468"/>
        <v>20873</v>
      </c>
      <c r="B20874" s="845" t="s">
        <v>2717</v>
      </c>
      <c r="D20874" s="862"/>
      <c r="I20874" s="845" t="s">
        <v>1009</v>
      </c>
    </row>
    <row r="20875" spans="1:10" x14ac:dyDescent="0.2">
      <c r="A20875" s="859">
        <f t="shared" si="468"/>
        <v>20874</v>
      </c>
      <c r="B20875" s="845" t="s">
        <v>2717</v>
      </c>
      <c r="D20875" s="862"/>
      <c r="I20875" s="845" t="str">
        <f>CONCATENATE("&lt;valeur&gt;",Cellule_14260,"&lt;/valeur&gt;")</f>
        <v>&lt;valeur&gt;&lt;/valeur&gt;</v>
      </c>
    </row>
    <row r="20876" spans="1:10" x14ac:dyDescent="0.2">
      <c r="A20876" s="859">
        <f t="shared" si="468"/>
        <v>20875</v>
      </c>
      <c r="B20876" s="845" t="s">
        <v>2717</v>
      </c>
      <c r="D20876" s="862"/>
      <c r="H20876" s="845" t="s">
        <v>1010</v>
      </c>
    </row>
    <row r="20877" spans="1:10" x14ac:dyDescent="0.2">
      <c r="A20877" s="859">
        <f t="shared" si="468"/>
        <v>20876</v>
      </c>
      <c r="B20877" s="845" t="s">
        <v>2717</v>
      </c>
      <c r="D20877" s="862"/>
      <c r="H20877" s="845" t="s">
        <v>1007</v>
      </c>
    </row>
    <row r="20878" spans="1:10" x14ac:dyDescent="0.2">
      <c r="A20878" s="859">
        <f t="shared" si="468"/>
        <v>20877</v>
      </c>
      <c r="B20878" s="845" t="s">
        <v>2717</v>
      </c>
      <c r="D20878" s="862"/>
      <c r="I20878" s="845" t="s">
        <v>1008</v>
      </c>
    </row>
    <row r="20879" spans="1:10" x14ac:dyDescent="0.2">
      <c r="A20879" s="859">
        <f t="shared" si="468"/>
        <v>20878</v>
      </c>
      <c r="B20879" s="845" t="s">
        <v>2717</v>
      </c>
      <c r="D20879" s="862"/>
      <c r="J20879" s="845" t="s">
        <v>2827</v>
      </c>
    </row>
    <row r="20880" spans="1:10" x14ac:dyDescent="0.2">
      <c r="A20880" s="859">
        <f t="shared" si="468"/>
        <v>20879</v>
      </c>
      <c r="B20880" s="845" t="s">
        <v>2717</v>
      </c>
      <c r="D20880" s="862"/>
      <c r="I20880" s="845" t="s">
        <v>1009</v>
      </c>
    </row>
    <row r="20881" spans="1:10" x14ac:dyDescent="0.2">
      <c r="A20881" s="859">
        <f t="shared" si="468"/>
        <v>20880</v>
      </c>
      <c r="B20881" s="845" t="s">
        <v>2717</v>
      </c>
      <c r="D20881" s="862"/>
      <c r="I20881" s="845" t="str">
        <f>CONCATENATE("&lt;valeur&gt;",Cellule_14262,"&lt;/valeur&gt;")</f>
        <v>&lt;valeur&gt;&lt;/valeur&gt;</v>
      </c>
    </row>
    <row r="20882" spans="1:10" x14ac:dyDescent="0.2">
      <c r="A20882" s="859">
        <f t="shared" si="468"/>
        <v>20881</v>
      </c>
      <c r="B20882" s="845" t="s">
        <v>2717</v>
      </c>
      <c r="D20882" s="862"/>
      <c r="H20882" s="845" t="s">
        <v>1010</v>
      </c>
    </row>
    <row r="20883" spans="1:10" x14ac:dyDescent="0.2">
      <c r="A20883" s="859">
        <f t="shared" si="468"/>
        <v>20882</v>
      </c>
      <c r="B20883" s="845" t="s">
        <v>2717</v>
      </c>
      <c r="D20883" s="862"/>
      <c r="H20883" s="845" t="s">
        <v>1007</v>
      </c>
    </row>
    <row r="20884" spans="1:10" x14ac:dyDescent="0.2">
      <c r="A20884" s="859">
        <f t="shared" si="468"/>
        <v>20883</v>
      </c>
      <c r="B20884" s="845" t="s">
        <v>2717</v>
      </c>
      <c r="D20884" s="862"/>
      <c r="I20884" s="845" t="s">
        <v>1008</v>
      </c>
    </row>
    <row r="20885" spans="1:10" x14ac:dyDescent="0.2">
      <c r="A20885" s="859">
        <f t="shared" si="468"/>
        <v>20884</v>
      </c>
      <c r="B20885" s="845" t="s">
        <v>2717</v>
      </c>
      <c r="D20885" s="862"/>
      <c r="J20885" s="845" t="s">
        <v>2828</v>
      </c>
    </row>
    <row r="20886" spans="1:10" x14ac:dyDescent="0.2">
      <c r="A20886" s="859">
        <f t="shared" si="468"/>
        <v>20885</v>
      </c>
      <c r="B20886" s="845" t="s">
        <v>2717</v>
      </c>
      <c r="D20886" s="862"/>
      <c r="I20886" s="845" t="s">
        <v>1009</v>
      </c>
    </row>
    <row r="20887" spans="1:10" x14ac:dyDescent="0.2">
      <c r="A20887" s="859">
        <f t="shared" si="468"/>
        <v>20886</v>
      </c>
      <c r="B20887" s="845" t="s">
        <v>2717</v>
      </c>
      <c r="D20887" s="862"/>
      <c r="I20887" s="845" t="str">
        <f>CONCATENATE("&lt;valeur&gt;",Cellule_14263,"&lt;/valeur&gt;")</f>
        <v>&lt;valeur&gt;&lt;/valeur&gt;</v>
      </c>
    </row>
    <row r="20888" spans="1:10" x14ac:dyDescent="0.2">
      <c r="A20888" s="859">
        <f t="shared" si="468"/>
        <v>20887</v>
      </c>
      <c r="B20888" s="845" t="s">
        <v>2717</v>
      </c>
      <c r="D20888" s="862"/>
      <c r="H20888" s="845" t="s">
        <v>1010</v>
      </c>
    </row>
    <row r="20889" spans="1:10" x14ac:dyDescent="0.2">
      <c r="A20889" s="859">
        <f t="shared" si="468"/>
        <v>20888</v>
      </c>
      <c r="B20889" s="845" t="s">
        <v>2717</v>
      </c>
      <c r="D20889" s="862"/>
      <c r="H20889" s="845" t="s">
        <v>1007</v>
      </c>
    </row>
    <row r="20890" spans="1:10" x14ac:dyDescent="0.2">
      <c r="A20890" s="859">
        <f t="shared" si="468"/>
        <v>20889</v>
      </c>
      <c r="B20890" s="845" t="s">
        <v>2717</v>
      </c>
      <c r="D20890" s="862"/>
      <c r="I20890" s="845" t="s">
        <v>1008</v>
      </c>
    </row>
    <row r="20891" spans="1:10" x14ac:dyDescent="0.2">
      <c r="A20891" s="859">
        <f t="shared" si="468"/>
        <v>20890</v>
      </c>
      <c r="B20891" s="845" t="s">
        <v>2717</v>
      </c>
      <c r="D20891" s="862"/>
      <c r="J20891" s="845" t="s">
        <v>2829</v>
      </c>
    </row>
    <row r="20892" spans="1:10" x14ac:dyDescent="0.2">
      <c r="A20892" s="859">
        <f t="shared" si="468"/>
        <v>20891</v>
      </c>
      <c r="B20892" s="845" t="s">
        <v>2717</v>
      </c>
      <c r="D20892" s="862"/>
      <c r="I20892" s="845" t="s">
        <v>1009</v>
      </c>
    </row>
    <row r="20893" spans="1:10" x14ac:dyDescent="0.2">
      <c r="A20893" s="859">
        <f t="shared" si="468"/>
        <v>20892</v>
      </c>
      <c r="B20893" s="845" t="s">
        <v>2717</v>
      </c>
      <c r="D20893" s="862"/>
      <c r="I20893" s="845" t="str">
        <f>CONCATENATE("&lt;valeur&gt;",Cellule_14264,"&lt;/valeur&gt;")</f>
        <v>&lt;valeur&gt;&lt;/valeur&gt;</v>
      </c>
    </row>
    <row r="20894" spans="1:10" x14ac:dyDescent="0.2">
      <c r="A20894" s="859">
        <f t="shared" si="468"/>
        <v>20893</v>
      </c>
      <c r="B20894" s="845" t="s">
        <v>2717</v>
      </c>
      <c r="D20894" s="862"/>
      <c r="H20894" s="845" t="s">
        <v>1010</v>
      </c>
    </row>
    <row r="20895" spans="1:10" x14ac:dyDescent="0.2">
      <c r="A20895" s="859">
        <f t="shared" si="468"/>
        <v>20894</v>
      </c>
      <c r="B20895" s="845" t="s">
        <v>2717</v>
      </c>
      <c r="D20895" s="862"/>
      <c r="H20895" s="845" t="s">
        <v>1007</v>
      </c>
    </row>
    <row r="20896" spans="1:10" x14ac:dyDescent="0.2">
      <c r="A20896" s="859">
        <f t="shared" si="468"/>
        <v>20895</v>
      </c>
      <c r="B20896" s="845" t="s">
        <v>2717</v>
      </c>
      <c r="D20896" s="862"/>
      <c r="I20896" s="845" t="s">
        <v>1008</v>
      </c>
    </row>
    <row r="20897" spans="1:10" x14ac:dyDescent="0.2">
      <c r="A20897" s="859">
        <f t="shared" si="468"/>
        <v>20896</v>
      </c>
      <c r="B20897" s="845" t="s">
        <v>2717</v>
      </c>
      <c r="D20897" s="862"/>
      <c r="J20897" s="845" t="s">
        <v>2830</v>
      </c>
    </row>
    <row r="20898" spans="1:10" x14ac:dyDescent="0.2">
      <c r="A20898" s="859">
        <f t="shared" si="468"/>
        <v>20897</v>
      </c>
      <c r="B20898" s="845" t="s">
        <v>2717</v>
      </c>
      <c r="D20898" s="862"/>
      <c r="I20898" s="845" t="s">
        <v>1009</v>
      </c>
    </row>
    <row r="20899" spans="1:10" x14ac:dyDescent="0.2">
      <c r="A20899" s="859">
        <f t="shared" si="468"/>
        <v>20898</v>
      </c>
      <c r="B20899" s="845" t="s">
        <v>2717</v>
      </c>
      <c r="D20899" s="862"/>
      <c r="I20899" s="845" t="str">
        <f>CONCATENATE("&lt;valeur&gt;",Cellule_14261,"&lt;/valeur&gt;")</f>
        <v>&lt;valeur&gt;&lt;/valeur&gt;</v>
      </c>
    </row>
    <row r="20900" spans="1:10" x14ac:dyDescent="0.2">
      <c r="A20900" s="859">
        <f t="shared" si="468"/>
        <v>20899</v>
      </c>
      <c r="B20900" s="845" t="s">
        <v>2717</v>
      </c>
      <c r="D20900" s="862"/>
      <c r="H20900" s="845" t="s">
        <v>1010</v>
      </c>
    </row>
    <row r="20901" spans="1:10" x14ac:dyDescent="0.2">
      <c r="A20901" s="859">
        <f t="shared" si="468"/>
        <v>20900</v>
      </c>
      <c r="B20901" s="845" t="s">
        <v>2717</v>
      </c>
      <c r="D20901" s="862"/>
      <c r="H20901" s="845" t="s">
        <v>1007</v>
      </c>
    </row>
    <row r="20902" spans="1:10" x14ac:dyDescent="0.2">
      <c r="A20902" s="859">
        <f t="shared" si="468"/>
        <v>20901</v>
      </c>
      <c r="B20902" s="845" t="s">
        <v>2717</v>
      </c>
      <c r="D20902" s="862"/>
      <c r="I20902" s="845" t="s">
        <v>1008</v>
      </c>
    </row>
    <row r="20903" spans="1:10" x14ac:dyDescent="0.2">
      <c r="A20903" s="859">
        <f t="shared" si="468"/>
        <v>20902</v>
      </c>
      <c r="B20903" s="845" t="s">
        <v>2717</v>
      </c>
      <c r="D20903" s="862"/>
      <c r="J20903" s="845" t="s">
        <v>2831</v>
      </c>
    </row>
    <row r="20904" spans="1:10" x14ac:dyDescent="0.2">
      <c r="A20904" s="859">
        <f t="shared" si="468"/>
        <v>20903</v>
      </c>
      <c r="B20904" s="845" t="s">
        <v>2717</v>
      </c>
      <c r="D20904" s="862"/>
      <c r="I20904" s="845" t="s">
        <v>1009</v>
      </c>
    </row>
    <row r="20905" spans="1:10" x14ac:dyDescent="0.2">
      <c r="A20905" s="859">
        <f t="shared" si="468"/>
        <v>20904</v>
      </c>
      <c r="B20905" s="845" t="s">
        <v>2717</v>
      </c>
      <c r="D20905" s="862"/>
      <c r="I20905" s="845" t="str">
        <f>CONCATENATE("&lt;valeur&gt;",Cellule_14266,"&lt;/valeur&gt;")</f>
        <v>&lt;valeur&gt;0&lt;/valeur&gt;</v>
      </c>
    </row>
    <row r="20906" spans="1:10" x14ac:dyDescent="0.2">
      <c r="A20906" s="859">
        <f t="shared" si="468"/>
        <v>20905</v>
      </c>
      <c r="B20906" s="845" t="s">
        <v>2717</v>
      </c>
      <c r="D20906" s="862"/>
      <c r="H20906" s="845" t="s">
        <v>1010</v>
      </c>
    </row>
    <row r="20907" spans="1:10" x14ac:dyDescent="0.2">
      <c r="A20907" s="859">
        <f t="shared" si="468"/>
        <v>20906</v>
      </c>
      <c r="B20907" s="845" t="s">
        <v>2717</v>
      </c>
      <c r="D20907" s="862"/>
      <c r="H20907" s="845" t="s">
        <v>1007</v>
      </c>
    </row>
    <row r="20908" spans="1:10" x14ac:dyDescent="0.2">
      <c r="A20908" s="859">
        <f t="shared" si="468"/>
        <v>20907</v>
      </c>
      <c r="B20908" s="845" t="s">
        <v>2717</v>
      </c>
      <c r="D20908" s="862"/>
      <c r="I20908" s="845" t="s">
        <v>1008</v>
      </c>
    </row>
    <row r="20909" spans="1:10" x14ac:dyDescent="0.2">
      <c r="A20909" s="859">
        <f t="shared" si="468"/>
        <v>20908</v>
      </c>
      <c r="B20909" s="845" t="s">
        <v>2717</v>
      </c>
      <c r="D20909" s="862"/>
      <c r="J20909" s="845" t="s">
        <v>2832</v>
      </c>
    </row>
    <row r="20910" spans="1:10" x14ac:dyDescent="0.2">
      <c r="A20910" s="859">
        <f t="shared" si="468"/>
        <v>20909</v>
      </c>
      <c r="B20910" s="845" t="s">
        <v>2717</v>
      </c>
      <c r="D20910" s="862"/>
      <c r="I20910" s="845" t="s">
        <v>1009</v>
      </c>
    </row>
    <row r="20911" spans="1:10" x14ac:dyDescent="0.2">
      <c r="A20911" s="859">
        <f t="shared" si="468"/>
        <v>20910</v>
      </c>
      <c r="B20911" s="845" t="s">
        <v>2717</v>
      </c>
      <c r="D20911" s="862"/>
      <c r="I20911" s="845" t="str">
        <f>CONCATENATE("&lt;valeur&gt;",Cellule_14267,"&lt;/valeur&gt;")</f>
        <v>&lt;valeur&gt;&lt;/valeur&gt;</v>
      </c>
    </row>
    <row r="20912" spans="1:10" x14ac:dyDescent="0.2">
      <c r="A20912" s="859">
        <f t="shared" si="468"/>
        <v>20911</v>
      </c>
      <c r="B20912" s="845" t="s">
        <v>2717</v>
      </c>
      <c r="D20912" s="862"/>
      <c r="H20912" s="845" t="s">
        <v>1010</v>
      </c>
    </row>
    <row r="20913" spans="1:10" x14ac:dyDescent="0.2">
      <c r="A20913" s="859">
        <f t="shared" si="468"/>
        <v>20912</v>
      </c>
      <c r="B20913" s="845" t="s">
        <v>2717</v>
      </c>
      <c r="D20913" s="862"/>
      <c r="H20913" s="845" t="s">
        <v>1007</v>
      </c>
    </row>
    <row r="20914" spans="1:10" x14ac:dyDescent="0.2">
      <c r="A20914" s="859">
        <f t="shared" si="468"/>
        <v>20913</v>
      </c>
      <c r="B20914" s="845" t="s">
        <v>2717</v>
      </c>
      <c r="D20914" s="862"/>
      <c r="I20914" s="845" t="s">
        <v>1008</v>
      </c>
    </row>
    <row r="20915" spans="1:10" x14ac:dyDescent="0.2">
      <c r="A20915" s="859">
        <f t="shared" si="468"/>
        <v>20914</v>
      </c>
      <c r="B20915" s="845" t="s">
        <v>2717</v>
      </c>
      <c r="D20915" s="862"/>
      <c r="J20915" s="845" t="s">
        <v>2833</v>
      </c>
    </row>
    <row r="20916" spans="1:10" x14ac:dyDescent="0.2">
      <c r="A20916" s="859">
        <f t="shared" si="468"/>
        <v>20915</v>
      </c>
      <c r="B20916" s="845" t="s">
        <v>2717</v>
      </c>
      <c r="D20916" s="862"/>
      <c r="I20916" s="845" t="s">
        <v>1009</v>
      </c>
    </row>
    <row r="20917" spans="1:10" x14ac:dyDescent="0.2">
      <c r="A20917" s="859">
        <f t="shared" si="468"/>
        <v>20916</v>
      </c>
      <c r="B20917" s="845" t="s">
        <v>2717</v>
      </c>
      <c r="D20917" s="862"/>
      <c r="I20917" s="845" t="str">
        <f>CONCATENATE("&lt;valeur&gt;",Cellule_14268,"&lt;/valeur&gt;")</f>
        <v>&lt;valeur&gt;0&lt;/valeur&gt;</v>
      </c>
    </row>
    <row r="20918" spans="1:10" x14ac:dyDescent="0.2">
      <c r="A20918" s="859">
        <f t="shared" si="468"/>
        <v>20917</v>
      </c>
      <c r="B20918" s="845" t="s">
        <v>2717</v>
      </c>
      <c r="D20918" s="862"/>
      <c r="H20918" s="845" t="s">
        <v>1010</v>
      </c>
    </row>
    <row r="20919" spans="1:10" x14ac:dyDescent="0.2">
      <c r="A20919" s="859">
        <f t="shared" si="468"/>
        <v>20918</v>
      </c>
      <c r="B20919" s="845" t="s">
        <v>2717</v>
      </c>
      <c r="D20919" s="862"/>
      <c r="H20919" s="845" t="s">
        <v>1007</v>
      </c>
    </row>
    <row r="20920" spans="1:10" x14ac:dyDescent="0.2">
      <c r="A20920" s="859">
        <f t="shared" si="468"/>
        <v>20919</v>
      </c>
      <c r="B20920" s="845" t="s">
        <v>2717</v>
      </c>
      <c r="D20920" s="862"/>
      <c r="I20920" s="845" t="s">
        <v>1008</v>
      </c>
    </row>
    <row r="20921" spans="1:10" x14ac:dyDescent="0.2">
      <c r="A20921" s="859">
        <f t="shared" si="468"/>
        <v>20920</v>
      </c>
      <c r="B20921" s="845" t="s">
        <v>2717</v>
      </c>
      <c r="D20921" s="862"/>
      <c r="J20921" s="845" t="s">
        <v>2834</v>
      </c>
    </row>
    <row r="20922" spans="1:10" x14ac:dyDescent="0.2">
      <c r="A20922" s="859">
        <f t="shared" si="468"/>
        <v>20921</v>
      </c>
      <c r="B20922" s="845" t="s">
        <v>2717</v>
      </c>
      <c r="D20922" s="862"/>
      <c r="I20922" s="845" t="s">
        <v>1009</v>
      </c>
    </row>
    <row r="20923" spans="1:10" x14ac:dyDescent="0.2">
      <c r="A20923" s="859">
        <f t="shared" si="468"/>
        <v>20922</v>
      </c>
      <c r="B20923" s="845" t="s">
        <v>2717</v>
      </c>
      <c r="D20923" s="862"/>
      <c r="I20923" s="845" t="str">
        <f>CONCATENATE("&lt;valeur&gt;",Cellule_14269,"&lt;/valeur&gt;")</f>
        <v>&lt;valeur&gt;&lt;/valeur&gt;</v>
      </c>
    </row>
    <row r="20924" spans="1:10" x14ac:dyDescent="0.2">
      <c r="A20924" s="859">
        <f t="shared" si="468"/>
        <v>20923</v>
      </c>
      <c r="B20924" s="845" t="s">
        <v>2717</v>
      </c>
      <c r="D20924" s="862"/>
      <c r="H20924" s="845" t="s">
        <v>1010</v>
      </c>
    </row>
    <row r="20925" spans="1:10" x14ac:dyDescent="0.2">
      <c r="A20925" s="859">
        <f t="shared" si="468"/>
        <v>20924</v>
      </c>
      <c r="B20925" s="845" t="s">
        <v>2717</v>
      </c>
      <c r="D20925" s="862"/>
      <c r="H20925" s="845" t="s">
        <v>1007</v>
      </c>
    </row>
    <row r="20926" spans="1:10" x14ac:dyDescent="0.2">
      <c r="A20926" s="859">
        <f t="shared" si="468"/>
        <v>20925</v>
      </c>
      <c r="B20926" s="845" t="s">
        <v>2717</v>
      </c>
      <c r="D20926" s="862"/>
      <c r="I20926" s="845" t="s">
        <v>1008</v>
      </c>
    </row>
    <row r="20927" spans="1:10" x14ac:dyDescent="0.2">
      <c r="A20927" s="859">
        <f t="shared" si="468"/>
        <v>20926</v>
      </c>
      <c r="B20927" s="845" t="s">
        <v>2717</v>
      </c>
      <c r="D20927" s="862"/>
      <c r="J20927" s="845" t="s">
        <v>2835</v>
      </c>
    </row>
    <row r="20928" spans="1:10" x14ac:dyDescent="0.2">
      <c r="A20928" s="859">
        <f t="shared" si="468"/>
        <v>20927</v>
      </c>
      <c r="B20928" s="845" t="s">
        <v>2717</v>
      </c>
      <c r="D20928" s="862"/>
      <c r="I20928" s="845" t="s">
        <v>1009</v>
      </c>
    </row>
    <row r="20929" spans="1:10" x14ac:dyDescent="0.2">
      <c r="A20929" s="859">
        <f t="shared" si="468"/>
        <v>20928</v>
      </c>
      <c r="B20929" s="845" t="s">
        <v>2717</v>
      </c>
      <c r="D20929" s="862"/>
      <c r="I20929" s="845" t="str">
        <f>CONCATENATE("&lt;valeur&gt;",Cellule_14271,"&lt;/valeur&gt;")</f>
        <v>&lt;valeur&gt;0&lt;/valeur&gt;</v>
      </c>
    </row>
    <row r="20930" spans="1:10" x14ac:dyDescent="0.2">
      <c r="A20930" s="859">
        <f t="shared" si="468"/>
        <v>20929</v>
      </c>
      <c r="B20930" s="845" t="s">
        <v>2717</v>
      </c>
      <c r="D20930" s="862"/>
      <c r="H20930" s="845" t="s">
        <v>1010</v>
      </c>
    </row>
    <row r="20931" spans="1:10" x14ac:dyDescent="0.2">
      <c r="A20931" s="859">
        <f t="shared" si="468"/>
        <v>20930</v>
      </c>
      <c r="B20931" s="845" t="s">
        <v>2717</v>
      </c>
      <c r="D20931" s="862"/>
      <c r="H20931" s="845" t="s">
        <v>1007</v>
      </c>
    </row>
    <row r="20932" spans="1:10" x14ac:dyDescent="0.2">
      <c r="A20932" s="859">
        <f t="shared" ref="A20932:A20995" si="469">+A20931+1</f>
        <v>20931</v>
      </c>
      <c r="B20932" s="845" t="s">
        <v>2717</v>
      </c>
      <c r="D20932" s="862"/>
      <c r="I20932" s="845" t="s">
        <v>1008</v>
      </c>
    </row>
    <row r="20933" spans="1:10" x14ac:dyDescent="0.2">
      <c r="A20933" s="859">
        <f t="shared" si="469"/>
        <v>20932</v>
      </c>
      <c r="B20933" s="845" t="s">
        <v>2717</v>
      </c>
      <c r="D20933" s="862"/>
      <c r="J20933" s="845" t="s">
        <v>2836</v>
      </c>
    </row>
    <row r="20934" spans="1:10" x14ac:dyDescent="0.2">
      <c r="A20934" s="859">
        <f t="shared" si="469"/>
        <v>20933</v>
      </c>
      <c r="B20934" s="845" t="s">
        <v>2717</v>
      </c>
      <c r="D20934" s="862"/>
      <c r="I20934" s="845" t="s">
        <v>1009</v>
      </c>
    </row>
    <row r="20935" spans="1:10" x14ac:dyDescent="0.2">
      <c r="A20935" s="859">
        <f t="shared" si="469"/>
        <v>20934</v>
      </c>
      <c r="B20935" s="845" t="s">
        <v>2717</v>
      </c>
      <c r="D20935" s="862"/>
      <c r="I20935" s="845" t="str">
        <f>CONCATENATE("&lt;valeur&gt;",Cellule_14272,"&lt;/valeur&gt;")</f>
        <v>&lt;valeur&gt;0&lt;/valeur&gt;</v>
      </c>
    </row>
    <row r="20936" spans="1:10" x14ac:dyDescent="0.2">
      <c r="A20936" s="859">
        <f t="shared" si="469"/>
        <v>20935</v>
      </c>
      <c r="B20936" s="845" t="s">
        <v>2717</v>
      </c>
      <c r="D20936" s="862"/>
      <c r="H20936" s="845" t="s">
        <v>1010</v>
      </c>
    </row>
    <row r="20937" spans="1:10" x14ac:dyDescent="0.2">
      <c r="A20937" s="859">
        <f t="shared" si="469"/>
        <v>20936</v>
      </c>
      <c r="B20937" s="845" t="s">
        <v>2717</v>
      </c>
      <c r="D20937" s="862"/>
      <c r="H20937" s="845" t="s">
        <v>1007</v>
      </c>
    </row>
    <row r="20938" spans="1:10" x14ac:dyDescent="0.2">
      <c r="A20938" s="859">
        <f t="shared" si="469"/>
        <v>20937</v>
      </c>
      <c r="B20938" s="845" t="s">
        <v>2717</v>
      </c>
      <c r="D20938" s="862"/>
      <c r="I20938" s="845" t="s">
        <v>1008</v>
      </c>
    </row>
    <row r="20939" spans="1:10" x14ac:dyDescent="0.2">
      <c r="A20939" s="859">
        <f t="shared" si="469"/>
        <v>20938</v>
      </c>
      <c r="B20939" s="845" t="s">
        <v>2717</v>
      </c>
      <c r="D20939" s="862"/>
      <c r="J20939" s="845" t="s">
        <v>2837</v>
      </c>
    </row>
    <row r="20940" spans="1:10" x14ac:dyDescent="0.2">
      <c r="A20940" s="859">
        <f t="shared" si="469"/>
        <v>20939</v>
      </c>
      <c r="B20940" s="845" t="s">
        <v>2717</v>
      </c>
      <c r="D20940" s="862"/>
      <c r="I20940" s="845" t="s">
        <v>1009</v>
      </c>
    </row>
    <row r="20941" spans="1:10" x14ac:dyDescent="0.2">
      <c r="A20941" s="859">
        <f t="shared" si="469"/>
        <v>20940</v>
      </c>
      <c r="B20941" s="845" t="s">
        <v>2717</v>
      </c>
      <c r="D20941" s="862"/>
      <c r="I20941" s="845" t="str">
        <f>CONCATENATE("&lt;valeur&gt;",Cellule_14273,"&lt;/valeur&gt;")</f>
        <v>&lt;valeur&gt;&lt;/valeur&gt;</v>
      </c>
    </row>
    <row r="20942" spans="1:10" x14ac:dyDescent="0.2">
      <c r="A20942" s="859">
        <f t="shared" si="469"/>
        <v>20941</v>
      </c>
      <c r="B20942" s="845" t="s">
        <v>2717</v>
      </c>
      <c r="D20942" s="862"/>
      <c r="H20942" s="845" t="s">
        <v>1010</v>
      </c>
    </row>
    <row r="20943" spans="1:10" x14ac:dyDescent="0.2">
      <c r="A20943" s="859">
        <f t="shared" si="469"/>
        <v>20942</v>
      </c>
      <c r="B20943" s="845" t="s">
        <v>2717</v>
      </c>
      <c r="D20943" s="862"/>
      <c r="H20943" s="845" t="s">
        <v>1007</v>
      </c>
    </row>
    <row r="20944" spans="1:10" x14ac:dyDescent="0.2">
      <c r="A20944" s="859">
        <f t="shared" si="469"/>
        <v>20943</v>
      </c>
      <c r="B20944" s="845" t="s">
        <v>2717</v>
      </c>
      <c r="D20944" s="862"/>
      <c r="I20944" s="845" t="s">
        <v>1008</v>
      </c>
    </row>
    <row r="20945" spans="1:10" x14ac:dyDescent="0.2">
      <c r="A20945" s="859">
        <f t="shared" si="469"/>
        <v>20944</v>
      </c>
      <c r="B20945" s="845" t="s">
        <v>2717</v>
      </c>
      <c r="D20945" s="862"/>
      <c r="J20945" s="845" t="s">
        <v>2838</v>
      </c>
    </row>
    <row r="20946" spans="1:10" x14ac:dyDescent="0.2">
      <c r="A20946" s="859">
        <f t="shared" si="469"/>
        <v>20945</v>
      </c>
      <c r="B20946" s="845" t="s">
        <v>2717</v>
      </c>
      <c r="D20946" s="862"/>
      <c r="I20946" s="845" t="s">
        <v>1009</v>
      </c>
    </row>
    <row r="20947" spans="1:10" x14ac:dyDescent="0.2">
      <c r="A20947" s="859">
        <f t="shared" si="469"/>
        <v>20946</v>
      </c>
      <c r="B20947" s="845" t="s">
        <v>2717</v>
      </c>
      <c r="D20947" s="862"/>
      <c r="I20947" s="845" t="str">
        <f>CONCATENATE("&lt;valeur&gt;",Cellule_14274,"&lt;/valeur&gt;")</f>
        <v>&lt;valeur&gt;0&lt;/valeur&gt;</v>
      </c>
    </row>
    <row r="20948" spans="1:10" x14ac:dyDescent="0.2">
      <c r="A20948" s="859">
        <f t="shared" si="469"/>
        <v>20947</v>
      </c>
      <c r="B20948" s="845" t="s">
        <v>2717</v>
      </c>
      <c r="D20948" s="862"/>
      <c r="H20948" s="845" t="s">
        <v>1010</v>
      </c>
    </row>
    <row r="20949" spans="1:10" x14ac:dyDescent="0.2">
      <c r="A20949" s="859">
        <f t="shared" si="469"/>
        <v>20948</v>
      </c>
      <c r="B20949" s="845" t="s">
        <v>2717</v>
      </c>
      <c r="D20949" s="862"/>
      <c r="H20949" s="845" t="s">
        <v>1007</v>
      </c>
    </row>
    <row r="20950" spans="1:10" x14ac:dyDescent="0.2">
      <c r="A20950" s="859">
        <f t="shared" si="469"/>
        <v>20949</v>
      </c>
      <c r="B20950" s="845" t="s">
        <v>2717</v>
      </c>
      <c r="D20950" s="862"/>
      <c r="I20950" s="845" t="s">
        <v>1008</v>
      </c>
    </row>
    <row r="20951" spans="1:10" x14ac:dyDescent="0.2">
      <c r="A20951" s="859">
        <f t="shared" si="469"/>
        <v>20950</v>
      </c>
      <c r="B20951" s="845" t="s">
        <v>2717</v>
      </c>
      <c r="D20951" s="862"/>
      <c r="J20951" s="845" t="s">
        <v>2839</v>
      </c>
    </row>
    <row r="20952" spans="1:10" x14ac:dyDescent="0.2">
      <c r="A20952" s="859">
        <f t="shared" si="469"/>
        <v>20951</v>
      </c>
      <c r="B20952" s="845" t="s">
        <v>2717</v>
      </c>
      <c r="D20952" s="862"/>
      <c r="I20952" s="845" t="s">
        <v>1009</v>
      </c>
    </row>
    <row r="20953" spans="1:10" x14ac:dyDescent="0.2">
      <c r="A20953" s="859">
        <f t="shared" si="469"/>
        <v>20952</v>
      </c>
      <c r="B20953" s="845" t="s">
        <v>2717</v>
      </c>
      <c r="D20953" s="862"/>
      <c r="I20953" s="845" t="str">
        <f>CONCATENATE("&lt;valeur&gt;",Cellule_14276,"&lt;/valeur&gt;")</f>
        <v>&lt;valeur&gt;0&lt;/valeur&gt;</v>
      </c>
    </row>
    <row r="20954" spans="1:10" x14ac:dyDescent="0.2">
      <c r="A20954" s="859">
        <f t="shared" si="469"/>
        <v>20953</v>
      </c>
      <c r="B20954" s="845" t="s">
        <v>2717</v>
      </c>
      <c r="D20954" s="862"/>
      <c r="H20954" s="845" t="s">
        <v>1010</v>
      </c>
    </row>
    <row r="20955" spans="1:10" x14ac:dyDescent="0.2">
      <c r="A20955" s="859">
        <f t="shared" si="469"/>
        <v>20954</v>
      </c>
      <c r="B20955" s="845" t="s">
        <v>2717</v>
      </c>
      <c r="D20955" s="862"/>
      <c r="H20955" s="845" t="s">
        <v>1007</v>
      </c>
    </row>
    <row r="20956" spans="1:10" x14ac:dyDescent="0.2">
      <c r="A20956" s="859">
        <f t="shared" si="469"/>
        <v>20955</v>
      </c>
      <c r="B20956" s="845" t="s">
        <v>2717</v>
      </c>
      <c r="D20956" s="862"/>
      <c r="I20956" s="845" t="s">
        <v>1008</v>
      </c>
    </row>
    <row r="20957" spans="1:10" x14ac:dyDescent="0.2">
      <c r="A20957" s="859">
        <f t="shared" si="469"/>
        <v>20956</v>
      </c>
      <c r="B20957" s="845" t="s">
        <v>2717</v>
      </c>
      <c r="D20957" s="862"/>
      <c r="J20957" s="845" t="s">
        <v>2840</v>
      </c>
    </row>
    <row r="20958" spans="1:10" x14ac:dyDescent="0.2">
      <c r="A20958" s="859">
        <f t="shared" si="469"/>
        <v>20957</v>
      </c>
      <c r="B20958" s="845" t="s">
        <v>2717</v>
      </c>
      <c r="D20958" s="862"/>
      <c r="I20958" s="845" t="s">
        <v>1009</v>
      </c>
    </row>
    <row r="20959" spans="1:10" x14ac:dyDescent="0.2">
      <c r="A20959" s="859">
        <f t="shared" si="469"/>
        <v>20958</v>
      </c>
      <c r="B20959" s="845" t="s">
        <v>2717</v>
      </c>
      <c r="D20959" s="862"/>
      <c r="I20959" s="845" t="str">
        <f>CONCATENATE("&lt;valeur&gt;",Cellule_14277,"&lt;/valeur&gt;")</f>
        <v>&lt;valeur&gt;0&lt;/valeur&gt;</v>
      </c>
    </row>
    <row r="20960" spans="1:10" x14ac:dyDescent="0.2">
      <c r="A20960" s="859">
        <f t="shared" si="469"/>
        <v>20959</v>
      </c>
      <c r="B20960" s="845" t="s">
        <v>2717</v>
      </c>
      <c r="D20960" s="862"/>
      <c r="H20960" s="845" t="s">
        <v>1010</v>
      </c>
    </row>
    <row r="20961" spans="1:10" x14ac:dyDescent="0.2">
      <c r="A20961" s="859">
        <f t="shared" si="469"/>
        <v>20960</v>
      </c>
      <c r="B20961" s="845" t="s">
        <v>2717</v>
      </c>
      <c r="D20961" s="862"/>
      <c r="H20961" s="845" t="s">
        <v>1007</v>
      </c>
    </row>
    <row r="20962" spans="1:10" x14ac:dyDescent="0.2">
      <c r="A20962" s="859">
        <f t="shared" si="469"/>
        <v>20961</v>
      </c>
      <c r="B20962" s="845" t="s">
        <v>2717</v>
      </c>
      <c r="D20962" s="862"/>
      <c r="I20962" s="845" t="s">
        <v>1008</v>
      </c>
    </row>
    <row r="20963" spans="1:10" x14ac:dyDescent="0.2">
      <c r="A20963" s="859">
        <f t="shared" si="469"/>
        <v>20962</v>
      </c>
      <c r="B20963" s="845" t="s">
        <v>2717</v>
      </c>
      <c r="D20963" s="862"/>
      <c r="J20963" s="845" t="s">
        <v>2841</v>
      </c>
    </row>
    <row r="20964" spans="1:10" x14ac:dyDescent="0.2">
      <c r="A20964" s="859">
        <f t="shared" si="469"/>
        <v>20963</v>
      </c>
      <c r="B20964" s="845" t="s">
        <v>2717</v>
      </c>
      <c r="D20964" s="862"/>
      <c r="I20964" s="845" t="s">
        <v>1009</v>
      </c>
    </row>
    <row r="20965" spans="1:10" x14ac:dyDescent="0.2">
      <c r="A20965" s="859">
        <f t="shared" si="469"/>
        <v>20964</v>
      </c>
      <c r="B20965" s="845" t="s">
        <v>2717</v>
      </c>
      <c r="D20965" s="862"/>
      <c r="I20965" s="845" t="str">
        <f>CONCATENATE("&lt;valeur&gt;",Cellule_14278,"&lt;/valeur&gt;")</f>
        <v>&lt;valeur&gt;0&lt;/valeur&gt;</v>
      </c>
    </row>
    <row r="20966" spans="1:10" x14ac:dyDescent="0.2">
      <c r="A20966" s="859">
        <f t="shared" si="469"/>
        <v>20965</v>
      </c>
      <c r="B20966" s="845" t="s">
        <v>2717</v>
      </c>
      <c r="D20966" s="862"/>
      <c r="H20966" s="845" t="s">
        <v>1010</v>
      </c>
    </row>
    <row r="20967" spans="1:10" x14ac:dyDescent="0.2">
      <c r="A20967" s="859">
        <f t="shared" si="469"/>
        <v>20966</v>
      </c>
      <c r="B20967" s="845" t="s">
        <v>2717</v>
      </c>
      <c r="D20967" s="862"/>
      <c r="H20967" s="845" t="s">
        <v>1007</v>
      </c>
    </row>
    <row r="20968" spans="1:10" x14ac:dyDescent="0.2">
      <c r="A20968" s="859">
        <f t="shared" si="469"/>
        <v>20967</v>
      </c>
      <c r="B20968" s="845" t="s">
        <v>2717</v>
      </c>
      <c r="D20968" s="862"/>
      <c r="I20968" s="845" t="s">
        <v>1008</v>
      </c>
    </row>
    <row r="20969" spans="1:10" x14ac:dyDescent="0.2">
      <c r="A20969" s="859">
        <f t="shared" si="469"/>
        <v>20968</v>
      </c>
      <c r="B20969" s="845" t="s">
        <v>2717</v>
      </c>
      <c r="D20969" s="862"/>
      <c r="J20969" s="845" t="s">
        <v>2842</v>
      </c>
    </row>
    <row r="20970" spans="1:10" x14ac:dyDescent="0.2">
      <c r="A20970" s="859">
        <f t="shared" si="469"/>
        <v>20969</v>
      </c>
      <c r="B20970" s="845" t="s">
        <v>2717</v>
      </c>
      <c r="D20970" s="862"/>
      <c r="I20970" s="845" t="s">
        <v>1009</v>
      </c>
    </row>
    <row r="20971" spans="1:10" x14ac:dyDescent="0.2">
      <c r="A20971" s="859">
        <f t="shared" si="469"/>
        <v>20970</v>
      </c>
      <c r="B20971" s="845" t="s">
        <v>2717</v>
      </c>
      <c r="D20971" s="862"/>
      <c r="I20971" s="845" t="str">
        <f>CONCATENATE("&lt;valeur&gt;",Cellule_14279,"&lt;/valeur&gt;")</f>
        <v>&lt;valeur&gt;&lt;/valeur&gt;</v>
      </c>
    </row>
    <row r="20972" spans="1:10" x14ac:dyDescent="0.2">
      <c r="A20972" s="859">
        <f t="shared" si="469"/>
        <v>20971</v>
      </c>
      <c r="B20972" s="845" t="s">
        <v>2717</v>
      </c>
      <c r="D20972" s="862"/>
      <c r="H20972" s="845" t="s">
        <v>1010</v>
      </c>
    </row>
    <row r="20973" spans="1:10" x14ac:dyDescent="0.2">
      <c r="A20973" s="859">
        <f t="shared" si="469"/>
        <v>20972</v>
      </c>
      <c r="B20973" s="845" t="s">
        <v>2717</v>
      </c>
      <c r="D20973" s="862"/>
      <c r="H20973" s="845" t="s">
        <v>1007</v>
      </c>
    </row>
    <row r="20974" spans="1:10" x14ac:dyDescent="0.2">
      <c r="A20974" s="859">
        <f t="shared" si="469"/>
        <v>20973</v>
      </c>
      <c r="B20974" s="845" t="s">
        <v>2717</v>
      </c>
      <c r="D20974" s="862"/>
      <c r="I20974" s="845" t="s">
        <v>1008</v>
      </c>
    </row>
    <row r="20975" spans="1:10" x14ac:dyDescent="0.2">
      <c r="A20975" s="859">
        <f t="shared" si="469"/>
        <v>20974</v>
      </c>
      <c r="B20975" s="845" t="s">
        <v>2717</v>
      </c>
      <c r="D20975" s="862"/>
      <c r="J20975" s="845" t="s">
        <v>2843</v>
      </c>
    </row>
    <row r="20976" spans="1:10" x14ac:dyDescent="0.2">
      <c r="A20976" s="859">
        <f t="shared" si="469"/>
        <v>20975</v>
      </c>
      <c r="B20976" s="845" t="s">
        <v>2717</v>
      </c>
      <c r="D20976" s="862"/>
      <c r="I20976" s="845" t="s">
        <v>1009</v>
      </c>
    </row>
    <row r="20977" spans="1:10" x14ac:dyDescent="0.2">
      <c r="A20977" s="859">
        <f t="shared" si="469"/>
        <v>20976</v>
      </c>
      <c r="B20977" s="845" t="s">
        <v>2717</v>
      </c>
      <c r="D20977" s="862"/>
      <c r="I20977" s="845" t="str">
        <f>CONCATENATE("&lt;valeur&gt;",Cellule_14281,"&lt;/valeur&gt;")</f>
        <v>&lt;valeur&gt;0&lt;/valeur&gt;</v>
      </c>
    </row>
    <row r="20978" spans="1:10" x14ac:dyDescent="0.2">
      <c r="A20978" s="859">
        <f t="shared" si="469"/>
        <v>20977</v>
      </c>
      <c r="B20978" s="845" t="s">
        <v>2717</v>
      </c>
      <c r="D20978" s="862"/>
      <c r="H20978" s="845" t="s">
        <v>1010</v>
      </c>
    </row>
    <row r="20979" spans="1:10" x14ac:dyDescent="0.2">
      <c r="A20979" s="859">
        <f t="shared" si="469"/>
        <v>20978</v>
      </c>
      <c r="B20979" s="845" t="s">
        <v>2717</v>
      </c>
      <c r="D20979" s="862"/>
      <c r="H20979" s="845" t="s">
        <v>1007</v>
      </c>
    </row>
    <row r="20980" spans="1:10" x14ac:dyDescent="0.2">
      <c r="A20980" s="859">
        <f t="shared" si="469"/>
        <v>20979</v>
      </c>
      <c r="B20980" s="845" t="s">
        <v>2717</v>
      </c>
      <c r="D20980" s="862"/>
      <c r="I20980" s="845" t="s">
        <v>1008</v>
      </c>
    </row>
    <row r="20981" spans="1:10" x14ac:dyDescent="0.2">
      <c r="A20981" s="859">
        <f t="shared" si="469"/>
        <v>20980</v>
      </c>
      <c r="B20981" s="845" t="s">
        <v>2717</v>
      </c>
      <c r="D20981" s="862"/>
      <c r="J20981" s="845" t="s">
        <v>2844</v>
      </c>
    </row>
    <row r="20982" spans="1:10" x14ac:dyDescent="0.2">
      <c r="A20982" s="859">
        <f t="shared" si="469"/>
        <v>20981</v>
      </c>
      <c r="B20982" s="845" t="s">
        <v>2717</v>
      </c>
      <c r="D20982" s="862"/>
      <c r="I20982" s="845" t="s">
        <v>1009</v>
      </c>
    </row>
    <row r="20983" spans="1:10" x14ac:dyDescent="0.2">
      <c r="A20983" s="859">
        <f t="shared" si="469"/>
        <v>20982</v>
      </c>
      <c r="B20983" s="845" t="s">
        <v>2717</v>
      </c>
      <c r="D20983" s="862"/>
      <c r="I20983" s="845" t="str">
        <f>CONCATENATE("&lt;valeur&gt;",Cellule_14282,"&lt;/valeur&gt;")</f>
        <v>&lt;valeur&gt;0&lt;/valeur&gt;</v>
      </c>
    </row>
    <row r="20984" spans="1:10" x14ac:dyDescent="0.2">
      <c r="A20984" s="859">
        <f t="shared" si="469"/>
        <v>20983</v>
      </c>
      <c r="B20984" s="845" t="s">
        <v>2717</v>
      </c>
      <c r="D20984" s="862"/>
      <c r="H20984" s="845" t="s">
        <v>1010</v>
      </c>
    </row>
    <row r="20985" spans="1:10" x14ac:dyDescent="0.2">
      <c r="A20985" s="859">
        <f t="shared" si="469"/>
        <v>20984</v>
      </c>
      <c r="B20985" s="845" t="s">
        <v>2717</v>
      </c>
      <c r="D20985" s="862"/>
      <c r="H20985" s="845" t="s">
        <v>1007</v>
      </c>
    </row>
    <row r="20986" spans="1:10" x14ac:dyDescent="0.2">
      <c r="A20986" s="859">
        <f t="shared" si="469"/>
        <v>20985</v>
      </c>
      <c r="B20986" s="845" t="s">
        <v>2717</v>
      </c>
      <c r="D20986" s="862"/>
      <c r="I20986" s="845" t="s">
        <v>1008</v>
      </c>
    </row>
    <row r="20987" spans="1:10" x14ac:dyDescent="0.2">
      <c r="A20987" s="859">
        <f t="shared" si="469"/>
        <v>20986</v>
      </c>
      <c r="B20987" s="845" t="s">
        <v>2717</v>
      </c>
      <c r="D20987" s="862"/>
      <c r="J20987" s="845" t="s">
        <v>2845</v>
      </c>
    </row>
    <row r="20988" spans="1:10" x14ac:dyDescent="0.2">
      <c r="A20988" s="859">
        <f t="shared" si="469"/>
        <v>20987</v>
      </c>
      <c r="B20988" s="845" t="s">
        <v>2717</v>
      </c>
      <c r="D20988" s="862"/>
      <c r="I20988" s="845" t="s">
        <v>1009</v>
      </c>
    </row>
    <row r="20989" spans="1:10" x14ac:dyDescent="0.2">
      <c r="A20989" s="859">
        <f t="shared" si="469"/>
        <v>20988</v>
      </c>
      <c r="B20989" s="845" t="s">
        <v>2717</v>
      </c>
      <c r="D20989" s="862"/>
      <c r="I20989" s="845" t="str">
        <f>CONCATENATE("&lt;valeur&gt;",Cellule_14283,"&lt;/valeur&gt;")</f>
        <v>&lt;valeur&gt;0&lt;/valeur&gt;</v>
      </c>
    </row>
    <row r="20990" spans="1:10" x14ac:dyDescent="0.2">
      <c r="A20990" s="859">
        <f t="shared" si="469"/>
        <v>20989</v>
      </c>
      <c r="B20990" s="845" t="s">
        <v>2717</v>
      </c>
      <c r="D20990" s="862"/>
      <c r="H20990" s="845" t="s">
        <v>1010</v>
      </c>
    </row>
    <row r="20991" spans="1:10" x14ac:dyDescent="0.2">
      <c r="A20991" s="859">
        <f t="shared" si="469"/>
        <v>20990</v>
      </c>
      <c r="B20991" s="845" t="s">
        <v>2717</v>
      </c>
      <c r="D20991" s="862"/>
      <c r="H20991" s="845" t="s">
        <v>1007</v>
      </c>
    </row>
    <row r="20992" spans="1:10" x14ac:dyDescent="0.2">
      <c r="A20992" s="859">
        <f t="shared" si="469"/>
        <v>20991</v>
      </c>
      <c r="B20992" s="845" t="s">
        <v>2717</v>
      </c>
      <c r="D20992" s="862"/>
      <c r="I20992" s="845" t="s">
        <v>1008</v>
      </c>
    </row>
    <row r="20993" spans="1:10" x14ac:dyDescent="0.2">
      <c r="A20993" s="859">
        <f t="shared" si="469"/>
        <v>20992</v>
      </c>
      <c r="B20993" s="845" t="s">
        <v>2717</v>
      </c>
      <c r="D20993" s="862"/>
      <c r="J20993" s="845" t="s">
        <v>2846</v>
      </c>
    </row>
    <row r="20994" spans="1:10" x14ac:dyDescent="0.2">
      <c r="A20994" s="859">
        <f t="shared" si="469"/>
        <v>20993</v>
      </c>
      <c r="B20994" s="845" t="s">
        <v>2717</v>
      </c>
      <c r="D20994" s="862"/>
      <c r="I20994" s="845" t="s">
        <v>1009</v>
      </c>
    </row>
    <row r="20995" spans="1:10" x14ac:dyDescent="0.2">
      <c r="A20995" s="859">
        <f t="shared" si="469"/>
        <v>20994</v>
      </c>
      <c r="B20995" s="845" t="s">
        <v>2717</v>
      </c>
      <c r="D20995" s="862"/>
      <c r="I20995" s="845" t="str">
        <f>CONCATENATE("&lt;valeur&gt;",Cellule_14284,"&lt;/valeur&gt;")</f>
        <v>&lt;valeur&gt;0&lt;/valeur&gt;</v>
      </c>
    </row>
    <row r="20996" spans="1:10" x14ac:dyDescent="0.2">
      <c r="A20996" s="859">
        <f t="shared" ref="A20996:A21059" si="470">+A20995+1</f>
        <v>20995</v>
      </c>
      <c r="B20996" s="845" t="s">
        <v>2717</v>
      </c>
      <c r="D20996" s="862"/>
      <c r="H20996" s="845" t="s">
        <v>1010</v>
      </c>
    </row>
    <row r="20997" spans="1:10" x14ac:dyDescent="0.2">
      <c r="A20997" s="859">
        <f t="shared" si="470"/>
        <v>20996</v>
      </c>
      <c r="B20997" s="845" t="s">
        <v>2717</v>
      </c>
      <c r="D20997" s="862"/>
      <c r="G20997" s="845" t="s">
        <v>1011</v>
      </c>
    </row>
    <row r="20998" spans="1:10" x14ac:dyDescent="0.2">
      <c r="A20998" s="859">
        <f t="shared" si="470"/>
        <v>20997</v>
      </c>
      <c r="B20998" s="845" t="s">
        <v>2717</v>
      </c>
      <c r="D20998" s="862"/>
      <c r="G20998" s="845" t="s">
        <v>1012</v>
      </c>
    </row>
    <row r="20999" spans="1:10" x14ac:dyDescent="0.2">
      <c r="A20999" s="859">
        <f t="shared" si="470"/>
        <v>20998</v>
      </c>
      <c r="B20999" s="845" t="s">
        <v>2717</v>
      </c>
      <c r="D20999" s="862"/>
      <c r="G20999" s="845" t="s">
        <v>1013</v>
      </c>
    </row>
    <row r="21000" spans="1:10" x14ac:dyDescent="0.2">
      <c r="A21000" s="859">
        <f t="shared" si="470"/>
        <v>20999</v>
      </c>
      <c r="B21000" s="845" t="s">
        <v>2717</v>
      </c>
      <c r="D21000" s="862"/>
      <c r="F21000" s="845" t="s">
        <v>1014</v>
      </c>
    </row>
    <row r="21001" spans="1:10" x14ac:dyDescent="0.2">
      <c r="A21001" s="859">
        <f t="shared" si="470"/>
        <v>21000</v>
      </c>
      <c r="B21001" s="845" t="s">
        <v>2847</v>
      </c>
      <c r="D21001" s="862"/>
      <c r="F21001" s="845" t="s">
        <v>1005</v>
      </c>
    </row>
    <row r="21002" spans="1:10" x14ac:dyDescent="0.2">
      <c r="A21002" s="859">
        <f t="shared" si="470"/>
        <v>21001</v>
      </c>
      <c r="B21002" s="845" t="s">
        <v>2847</v>
      </c>
      <c r="D21002" s="862"/>
      <c r="G21002" s="845" t="s">
        <v>2848</v>
      </c>
    </row>
    <row r="21003" spans="1:10" x14ac:dyDescent="0.2">
      <c r="A21003" s="859">
        <f t="shared" si="470"/>
        <v>21002</v>
      </c>
      <c r="B21003" s="845" t="s">
        <v>2847</v>
      </c>
      <c r="D21003" s="862"/>
      <c r="G21003" s="845" t="s">
        <v>1006</v>
      </c>
    </row>
    <row r="21004" spans="1:10" x14ac:dyDescent="0.2">
      <c r="A21004" s="859">
        <f t="shared" si="470"/>
        <v>21003</v>
      </c>
      <c r="B21004" s="845" t="s">
        <v>2847</v>
      </c>
      <c r="D21004" s="862"/>
      <c r="H21004" s="845" t="s">
        <v>1007</v>
      </c>
    </row>
    <row r="21005" spans="1:10" x14ac:dyDescent="0.2">
      <c r="A21005" s="859">
        <f t="shared" si="470"/>
        <v>21004</v>
      </c>
      <c r="B21005" s="845" t="s">
        <v>2847</v>
      </c>
      <c r="D21005" s="862"/>
      <c r="I21005" s="845" t="s">
        <v>1008</v>
      </c>
    </row>
    <row r="21006" spans="1:10" x14ac:dyDescent="0.2">
      <c r="A21006" s="859">
        <f t="shared" si="470"/>
        <v>21005</v>
      </c>
      <c r="B21006" s="845" t="s">
        <v>2847</v>
      </c>
      <c r="D21006" s="862"/>
      <c r="J21006" s="845" t="s">
        <v>2849</v>
      </c>
    </row>
    <row r="21007" spans="1:10" x14ac:dyDescent="0.2">
      <c r="A21007" s="859">
        <f t="shared" si="470"/>
        <v>21006</v>
      </c>
      <c r="B21007" s="845" t="s">
        <v>2847</v>
      </c>
      <c r="D21007" s="862"/>
      <c r="I21007" s="845" t="s">
        <v>1009</v>
      </c>
    </row>
    <row r="21008" spans="1:10" x14ac:dyDescent="0.2">
      <c r="A21008" s="859">
        <f t="shared" si="470"/>
        <v>21007</v>
      </c>
      <c r="B21008" s="845" t="s">
        <v>2847</v>
      </c>
      <c r="D21008" s="862"/>
      <c r="I21008" s="845" t="str">
        <f>CONCATENATE("&lt;valeur&gt;",Cellule_14342,"&lt;/valeur&gt;")</f>
        <v>&lt;valeur&gt;&lt;/valeur&gt;</v>
      </c>
    </row>
    <row r="21009" spans="1:10" x14ac:dyDescent="0.2">
      <c r="A21009" s="859">
        <f t="shared" si="470"/>
        <v>21008</v>
      </c>
      <c r="B21009" s="845" t="s">
        <v>2847</v>
      </c>
      <c r="D21009" s="862"/>
      <c r="H21009" s="845" t="s">
        <v>1010</v>
      </c>
    </row>
    <row r="21010" spans="1:10" x14ac:dyDescent="0.2">
      <c r="A21010" s="859">
        <f t="shared" si="470"/>
        <v>21009</v>
      </c>
      <c r="B21010" s="845" t="s">
        <v>2847</v>
      </c>
      <c r="D21010" s="862"/>
      <c r="H21010" s="845" t="s">
        <v>1007</v>
      </c>
    </row>
    <row r="21011" spans="1:10" x14ac:dyDescent="0.2">
      <c r="A21011" s="859">
        <f t="shared" si="470"/>
        <v>21010</v>
      </c>
      <c r="B21011" s="845" t="s">
        <v>2847</v>
      </c>
      <c r="D21011" s="862"/>
      <c r="I21011" s="845" t="s">
        <v>1008</v>
      </c>
    </row>
    <row r="21012" spans="1:10" x14ac:dyDescent="0.2">
      <c r="A21012" s="859">
        <f t="shared" si="470"/>
        <v>21011</v>
      </c>
      <c r="B21012" s="845" t="s">
        <v>2847</v>
      </c>
      <c r="D21012" s="862"/>
      <c r="J21012" s="845" t="s">
        <v>2850</v>
      </c>
    </row>
    <row r="21013" spans="1:10" x14ac:dyDescent="0.2">
      <c r="A21013" s="859">
        <f t="shared" si="470"/>
        <v>21012</v>
      </c>
      <c r="B21013" s="845" t="s">
        <v>2847</v>
      </c>
      <c r="D21013" s="862"/>
      <c r="I21013" s="845" t="s">
        <v>1009</v>
      </c>
    </row>
    <row r="21014" spans="1:10" x14ac:dyDescent="0.2">
      <c r="A21014" s="859">
        <f t="shared" si="470"/>
        <v>21013</v>
      </c>
      <c r="B21014" s="845" t="s">
        <v>2847</v>
      </c>
      <c r="D21014" s="862"/>
      <c r="I21014" s="845" t="str">
        <f>CONCATENATE("&lt;valeur&gt;",Cellule_14343,"&lt;/valeur&gt;")</f>
        <v>&lt;valeur&gt;&lt;/valeur&gt;</v>
      </c>
    </row>
    <row r="21015" spans="1:10" x14ac:dyDescent="0.2">
      <c r="A21015" s="859">
        <f t="shared" si="470"/>
        <v>21014</v>
      </c>
      <c r="B21015" s="845" t="s">
        <v>2847</v>
      </c>
      <c r="D21015" s="862"/>
      <c r="H21015" s="845" t="s">
        <v>1010</v>
      </c>
    </row>
    <row r="21016" spans="1:10" x14ac:dyDescent="0.2">
      <c r="A21016" s="859">
        <f t="shared" si="470"/>
        <v>21015</v>
      </c>
      <c r="B21016" s="845" t="s">
        <v>2847</v>
      </c>
      <c r="D21016" s="862"/>
      <c r="H21016" s="845" t="s">
        <v>1007</v>
      </c>
    </row>
    <row r="21017" spans="1:10" x14ac:dyDescent="0.2">
      <c r="A21017" s="859">
        <f t="shared" si="470"/>
        <v>21016</v>
      </c>
      <c r="B21017" s="845" t="s">
        <v>2847</v>
      </c>
      <c r="D21017" s="862"/>
      <c r="I21017" s="845" t="s">
        <v>1008</v>
      </c>
    </row>
    <row r="21018" spans="1:10" x14ac:dyDescent="0.2">
      <c r="A21018" s="859">
        <f t="shared" si="470"/>
        <v>21017</v>
      </c>
      <c r="B21018" s="845" t="s">
        <v>2847</v>
      </c>
      <c r="D21018" s="862"/>
      <c r="J21018" s="845" t="s">
        <v>2851</v>
      </c>
    </row>
    <row r="21019" spans="1:10" x14ac:dyDescent="0.2">
      <c r="A21019" s="859">
        <f t="shared" si="470"/>
        <v>21018</v>
      </c>
      <c r="B21019" s="845" t="s">
        <v>2847</v>
      </c>
      <c r="D21019" s="862"/>
      <c r="I21019" s="845" t="s">
        <v>1009</v>
      </c>
    </row>
    <row r="21020" spans="1:10" x14ac:dyDescent="0.2">
      <c r="A21020" s="859">
        <f t="shared" si="470"/>
        <v>21019</v>
      </c>
      <c r="B21020" s="845" t="s">
        <v>2847</v>
      </c>
      <c r="D21020" s="862"/>
      <c r="I21020" s="845" t="str">
        <f>CONCATENATE("&lt;valeur&gt;",Cellule_14344,"&lt;/valeur&gt;")</f>
        <v>&lt;valeur&gt;&lt;/valeur&gt;</v>
      </c>
    </row>
    <row r="21021" spans="1:10" x14ac:dyDescent="0.2">
      <c r="A21021" s="859">
        <f t="shared" si="470"/>
        <v>21020</v>
      </c>
      <c r="B21021" s="845" t="s">
        <v>2847</v>
      </c>
      <c r="D21021" s="862"/>
      <c r="H21021" s="845" t="s">
        <v>1010</v>
      </c>
    </row>
    <row r="21022" spans="1:10" x14ac:dyDescent="0.2">
      <c r="A21022" s="859">
        <f t="shared" si="470"/>
        <v>21021</v>
      </c>
      <c r="B21022" s="845" t="s">
        <v>2847</v>
      </c>
      <c r="D21022" s="862"/>
      <c r="H21022" s="845" t="s">
        <v>1007</v>
      </c>
    </row>
    <row r="21023" spans="1:10" x14ac:dyDescent="0.2">
      <c r="A21023" s="859">
        <f t="shared" si="470"/>
        <v>21022</v>
      </c>
      <c r="B21023" s="845" t="s">
        <v>2847</v>
      </c>
      <c r="D21023" s="862"/>
      <c r="I21023" s="845" t="s">
        <v>1008</v>
      </c>
    </row>
    <row r="21024" spans="1:10" x14ac:dyDescent="0.2">
      <c r="A21024" s="859">
        <f t="shared" si="470"/>
        <v>21023</v>
      </c>
      <c r="B21024" s="845" t="s">
        <v>2847</v>
      </c>
      <c r="D21024" s="862"/>
      <c r="J21024" s="845" t="s">
        <v>2852</v>
      </c>
    </row>
    <row r="21025" spans="1:10" x14ac:dyDescent="0.2">
      <c r="A21025" s="859">
        <f t="shared" si="470"/>
        <v>21024</v>
      </c>
      <c r="B21025" s="845" t="s">
        <v>2847</v>
      </c>
      <c r="D21025" s="862"/>
      <c r="I21025" s="845" t="s">
        <v>1009</v>
      </c>
    </row>
    <row r="21026" spans="1:10" x14ac:dyDescent="0.2">
      <c r="A21026" s="859">
        <f t="shared" si="470"/>
        <v>21025</v>
      </c>
      <c r="B21026" s="845" t="s">
        <v>2847</v>
      </c>
      <c r="D21026" s="862"/>
      <c r="I21026" s="845" t="str">
        <f>CONCATENATE("&lt;valeur&gt;",Cellule_14345,"&lt;/valeur&gt;")</f>
        <v>&lt;valeur&gt;&lt;/valeur&gt;</v>
      </c>
    </row>
    <row r="21027" spans="1:10" x14ac:dyDescent="0.2">
      <c r="A21027" s="859">
        <f t="shared" si="470"/>
        <v>21026</v>
      </c>
      <c r="B21027" s="845" t="s">
        <v>2847</v>
      </c>
      <c r="D21027" s="862"/>
      <c r="H21027" s="845" t="s">
        <v>1010</v>
      </c>
    </row>
    <row r="21028" spans="1:10" x14ac:dyDescent="0.2">
      <c r="A21028" s="859">
        <f t="shared" si="470"/>
        <v>21027</v>
      </c>
      <c r="B21028" s="845" t="s">
        <v>2847</v>
      </c>
      <c r="D21028" s="862"/>
      <c r="H21028" s="845" t="s">
        <v>1007</v>
      </c>
    </row>
    <row r="21029" spans="1:10" x14ac:dyDescent="0.2">
      <c r="A21029" s="859">
        <f t="shared" si="470"/>
        <v>21028</v>
      </c>
      <c r="B21029" s="845" t="s">
        <v>2847</v>
      </c>
      <c r="D21029" s="862"/>
      <c r="I21029" s="845" t="s">
        <v>1008</v>
      </c>
    </row>
    <row r="21030" spans="1:10" x14ac:dyDescent="0.2">
      <c r="A21030" s="859">
        <f t="shared" si="470"/>
        <v>21029</v>
      </c>
      <c r="B21030" s="845" t="s">
        <v>2847</v>
      </c>
      <c r="D21030" s="862"/>
      <c r="J21030" s="845" t="s">
        <v>2853</v>
      </c>
    </row>
    <row r="21031" spans="1:10" x14ac:dyDescent="0.2">
      <c r="A21031" s="859">
        <f t="shared" si="470"/>
        <v>21030</v>
      </c>
      <c r="B21031" s="845" t="s">
        <v>2847</v>
      </c>
      <c r="D21031" s="862"/>
      <c r="I21031" s="845" t="s">
        <v>1009</v>
      </c>
    </row>
    <row r="21032" spans="1:10" x14ac:dyDescent="0.2">
      <c r="A21032" s="859">
        <f t="shared" si="470"/>
        <v>21031</v>
      </c>
      <c r="B21032" s="845" t="s">
        <v>2847</v>
      </c>
      <c r="D21032" s="862"/>
      <c r="I21032" s="845" t="str">
        <f>CONCATENATE("&lt;valeur&gt;",Cellule_14301,"&lt;/valeur&gt;")</f>
        <v>&lt;valeur&gt;&lt;/valeur&gt;</v>
      </c>
    </row>
    <row r="21033" spans="1:10" x14ac:dyDescent="0.2">
      <c r="A21033" s="859">
        <f t="shared" si="470"/>
        <v>21032</v>
      </c>
      <c r="B21033" s="845" t="s">
        <v>2847</v>
      </c>
      <c r="D21033" s="862"/>
      <c r="H21033" s="845" t="s">
        <v>1010</v>
      </c>
    </row>
    <row r="21034" spans="1:10" x14ac:dyDescent="0.2">
      <c r="A21034" s="859">
        <f t="shared" si="470"/>
        <v>21033</v>
      </c>
      <c r="B21034" s="845" t="s">
        <v>2847</v>
      </c>
      <c r="D21034" s="862"/>
      <c r="H21034" s="845" t="s">
        <v>1007</v>
      </c>
    </row>
    <row r="21035" spans="1:10" x14ac:dyDescent="0.2">
      <c r="A21035" s="859">
        <f t="shared" si="470"/>
        <v>21034</v>
      </c>
      <c r="B21035" s="845" t="s">
        <v>2847</v>
      </c>
      <c r="D21035" s="862"/>
      <c r="I21035" s="845" t="s">
        <v>1008</v>
      </c>
    </row>
    <row r="21036" spans="1:10" x14ac:dyDescent="0.2">
      <c r="A21036" s="859">
        <f t="shared" si="470"/>
        <v>21035</v>
      </c>
      <c r="B21036" s="845" t="s">
        <v>2847</v>
      </c>
      <c r="D21036" s="862"/>
      <c r="J21036" s="845" t="s">
        <v>2854</v>
      </c>
    </row>
    <row r="21037" spans="1:10" x14ac:dyDescent="0.2">
      <c r="A21037" s="859">
        <f t="shared" si="470"/>
        <v>21036</v>
      </c>
      <c r="B21037" s="845" t="s">
        <v>2847</v>
      </c>
      <c r="D21037" s="862"/>
      <c r="I21037" s="845" t="s">
        <v>1009</v>
      </c>
    </row>
    <row r="21038" spans="1:10" x14ac:dyDescent="0.2">
      <c r="A21038" s="859">
        <f t="shared" si="470"/>
        <v>21037</v>
      </c>
      <c r="B21038" s="845" t="s">
        <v>2847</v>
      </c>
      <c r="D21038" s="862"/>
      <c r="I21038" s="845" t="str">
        <f>CONCATENATE("&lt;valeur&gt;",Cellule_14303,"&lt;/valeur&gt;")</f>
        <v>&lt;valeur&gt;&lt;/valeur&gt;</v>
      </c>
    </row>
    <row r="21039" spans="1:10" x14ac:dyDescent="0.2">
      <c r="A21039" s="859">
        <f t="shared" si="470"/>
        <v>21038</v>
      </c>
      <c r="B21039" s="845" t="s">
        <v>2847</v>
      </c>
      <c r="D21039" s="862"/>
      <c r="H21039" s="845" t="s">
        <v>1010</v>
      </c>
    </row>
    <row r="21040" spans="1:10" x14ac:dyDescent="0.2">
      <c r="A21040" s="859">
        <f t="shared" si="470"/>
        <v>21039</v>
      </c>
      <c r="B21040" s="845" t="s">
        <v>2847</v>
      </c>
      <c r="D21040" s="862"/>
      <c r="H21040" s="845" t="s">
        <v>1007</v>
      </c>
    </row>
    <row r="21041" spans="1:10" x14ac:dyDescent="0.2">
      <c r="A21041" s="859">
        <f t="shared" si="470"/>
        <v>21040</v>
      </c>
      <c r="B21041" s="845" t="s">
        <v>2847</v>
      </c>
      <c r="D21041" s="862"/>
      <c r="I21041" s="845" t="s">
        <v>1008</v>
      </c>
    </row>
    <row r="21042" spans="1:10" x14ac:dyDescent="0.2">
      <c r="A21042" s="859">
        <f t="shared" si="470"/>
        <v>21041</v>
      </c>
      <c r="B21042" s="845" t="s">
        <v>2847</v>
      </c>
      <c r="D21042" s="862"/>
      <c r="J21042" s="845" t="s">
        <v>2855</v>
      </c>
    </row>
    <row r="21043" spans="1:10" x14ac:dyDescent="0.2">
      <c r="A21043" s="859">
        <f t="shared" si="470"/>
        <v>21042</v>
      </c>
      <c r="B21043" s="845" t="s">
        <v>2847</v>
      </c>
      <c r="D21043" s="862"/>
      <c r="I21043" s="845" t="s">
        <v>1009</v>
      </c>
    </row>
    <row r="21044" spans="1:10" x14ac:dyDescent="0.2">
      <c r="A21044" s="859">
        <f t="shared" si="470"/>
        <v>21043</v>
      </c>
      <c r="B21044" s="845" t="s">
        <v>2847</v>
      </c>
      <c r="D21044" s="862"/>
      <c r="I21044" s="845" t="str">
        <f>CONCATENATE("&lt;valeur&gt;",Cellule_14305,"&lt;/valeur&gt;")</f>
        <v>&lt;valeur&gt;&lt;/valeur&gt;</v>
      </c>
    </row>
    <row r="21045" spans="1:10" x14ac:dyDescent="0.2">
      <c r="A21045" s="859">
        <f t="shared" si="470"/>
        <v>21044</v>
      </c>
      <c r="B21045" s="845" t="s">
        <v>2847</v>
      </c>
      <c r="D21045" s="862"/>
      <c r="H21045" s="845" t="s">
        <v>1010</v>
      </c>
    </row>
    <row r="21046" spans="1:10" x14ac:dyDescent="0.2">
      <c r="A21046" s="859">
        <f t="shared" si="470"/>
        <v>21045</v>
      </c>
      <c r="B21046" s="845" t="s">
        <v>2847</v>
      </c>
      <c r="D21046" s="862"/>
      <c r="H21046" s="845" t="s">
        <v>1007</v>
      </c>
    </row>
    <row r="21047" spans="1:10" x14ac:dyDescent="0.2">
      <c r="A21047" s="859">
        <f t="shared" si="470"/>
        <v>21046</v>
      </c>
      <c r="B21047" s="845" t="s">
        <v>2847</v>
      </c>
      <c r="D21047" s="862"/>
      <c r="I21047" s="845" t="s">
        <v>1008</v>
      </c>
    </row>
    <row r="21048" spans="1:10" x14ac:dyDescent="0.2">
      <c r="A21048" s="859">
        <f t="shared" si="470"/>
        <v>21047</v>
      </c>
      <c r="B21048" s="845" t="s">
        <v>2847</v>
      </c>
      <c r="D21048" s="862"/>
      <c r="J21048" s="845" t="s">
        <v>2856</v>
      </c>
    </row>
    <row r="21049" spans="1:10" x14ac:dyDescent="0.2">
      <c r="A21049" s="859">
        <f t="shared" si="470"/>
        <v>21048</v>
      </c>
      <c r="B21049" s="845" t="s">
        <v>2847</v>
      </c>
      <c r="D21049" s="862"/>
      <c r="I21049" s="845" t="s">
        <v>1009</v>
      </c>
    </row>
    <row r="21050" spans="1:10" x14ac:dyDescent="0.2">
      <c r="A21050" s="859">
        <f t="shared" si="470"/>
        <v>21049</v>
      </c>
      <c r="B21050" s="845" t="s">
        <v>2847</v>
      </c>
      <c r="D21050" s="862"/>
      <c r="I21050" s="845" t="str">
        <f>CONCATENATE("&lt;valeur&gt;",Cellule_14307,"&lt;/valeur&gt;")</f>
        <v>&lt;valeur&gt;&lt;/valeur&gt;</v>
      </c>
    </row>
    <row r="21051" spans="1:10" x14ac:dyDescent="0.2">
      <c r="A21051" s="859">
        <f t="shared" si="470"/>
        <v>21050</v>
      </c>
      <c r="B21051" s="845" t="s">
        <v>2847</v>
      </c>
      <c r="D21051" s="862"/>
      <c r="H21051" s="845" t="s">
        <v>1010</v>
      </c>
    </row>
    <row r="21052" spans="1:10" x14ac:dyDescent="0.2">
      <c r="A21052" s="859">
        <f t="shared" si="470"/>
        <v>21051</v>
      </c>
      <c r="B21052" s="845" t="s">
        <v>2847</v>
      </c>
      <c r="D21052" s="862"/>
      <c r="H21052" s="845" t="s">
        <v>1007</v>
      </c>
    </row>
    <row r="21053" spans="1:10" x14ac:dyDescent="0.2">
      <c r="A21053" s="859">
        <f t="shared" si="470"/>
        <v>21052</v>
      </c>
      <c r="B21053" s="845" t="s">
        <v>2847</v>
      </c>
      <c r="D21053" s="862"/>
      <c r="I21053" s="845" t="s">
        <v>1008</v>
      </c>
    </row>
    <row r="21054" spans="1:10" x14ac:dyDescent="0.2">
      <c r="A21054" s="859">
        <f t="shared" si="470"/>
        <v>21053</v>
      </c>
      <c r="B21054" s="845" t="s">
        <v>2847</v>
      </c>
      <c r="D21054" s="862"/>
      <c r="J21054" s="845" t="s">
        <v>2857</v>
      </c>
    </row>
    <row r="21055" spans="1:10" x14ac:dyDescent="0.2">
      <c r="A21055" s="859">
        <f t="shared" si="470"/>
        <v>21054</v>
      </c>
      <c r="B21055" s="845" t="s">
        <v>2847</v>
      </c>
      <c r="D21055" s="862"/>
      <c r="I21055" s="845" t="s">
        <v>1009</v>
      </c>
    </row>
    <row r="21056" spans="1:10" x14ac:dyDescent="0.2">
      <c r="A21056" s="859">
        <f t="shared" si="470"/>
        <v>21055</v>
      </c>
      <c r="B21056" s="845" t="s">
        <v>2847</v>
      </c>
      <c r="D21056" s="862"/>
      <c r="I21056" s="845" t="str">
        <f>CONCATENATE("&lt;valeur&gt;",Cellule_14309,"&lt;/valeur&gt;")</f>
        <v>&lt;valeur&gt;&lt;/valeur&gt;</v>
      </c>
    </row>
    <row r="21057" spans="1:10" x14ac:dyDescent="0.2">
      <c r="A21057" s="859">
        <f t="shared" si="470"/>
        <v>21056</v>
      </c>
      <c r="B21057" s="845" t="s">
        <v>2847</v>
      </c>
      <c r="D21057" s="862"/>
      <c r="H21057" s="845" t="s">
        <v>1010</v>
      </c>
    </row>
    <row r="21058" spans="1:10" x14ac:dyDescent="0.2">
      <c r="A21058" s="859">
        <f t="shared" si="470"/>
        <v>21057</v>
      </c>
      <c r="B21058" s="845" t="s">
        <v>2847</v>
      </c>
      <c r="D21058" s="862"/>
      <c r="H21058" s="845" t="s">
        <v>1007</v>
      </c>
    </row>
    <row r="21059" spans="1:10" x14ac:dyDescent="0.2">
      <c r="A21059" s="859">
        <f t="shared" si="470"/>
        <v>21058</v>
      </c>
      <c r="B21059" s="845" t="s">
        <v>2847</v>
      </c>
      <c r="D21059" s="862"/>
      <c r="I21059" s="845" t="s">
        <v>1008</v>
      </c>
    </row>
    <row r="21060" spans="1:10" x14ac:dyDescent="0.2">
      <c r="A21060" s="859">
        <f t="shared" ref="A21060:A21123" si="471">+A21059+1</f>
        <v>21059</v>
      </c>
      <c r="B21060" s="845" t="s">
        <v>2847</v>
      </c>
      <c r="D21060" s="862"/>
      <c r="J21060" s="845" t="s">
        <v>2858</v>
      </c>
    </row>
    <row r="21061" spans="1:10" x14ac:dyDescent="0.2">
      <c r="A21061" s="859">
        <f t="shared" si="471"/>
        <v>21060</v>
      </c>
      <c r="B21061" s="845" t="s">
        <v>2847</v>
      </c>
      <c r="D21061" s="862"/>
      <c r="I21061" s="845" t="s">
        <v>1009</v>
      </c>
    </row>
    <row r="21062" spans="1:10" x14ac:dyDescent="0.2">
      <c r="A21062" s="859">
        <f t="shared" si="471"/>
        <v>21061</v>
      </c>
      <c r="B21062" s="845" t="s">
        <v>2847</v>
      </c>
      <c r="D21062" s="862"/>
      <c r="I21062" s="845" t="str">
        <f>CONCATENATE("&lt;valeur&gt;",Cellule_14311,"&lt;/valeur&gt;")</f>
        <v>&lt;valeur&gt;&lt;/valeur&gt;</v>
      </c>
    </row>
    <row r="21063" spans="1:10" x14ac:dyDescent="0.2">
      <c r="A21063" s="859">
        <f t="shared" si="471"/>
        <v>21062</v>
      </c>
      <c r="B21063" s="845" t="s">
        <v>2847</v>
      </c>
      <c r="D21063" s="862"/>
      <c r="H21063" s="845" t="s">
        <v>1010</v>
      </c>
    </row>
    <row r="21064" spans="1:10" x14ac:dyDescent="0.2">
      <c r="A21064" s="859">
        <f t="shared" si="471"/>
        <v>21063</v>
      </c>
      <c r="B21064" s="845" t="s">
        <v>2847</v>
      </c>
      <c r="D21064" s="862"/>
      <c r="H21064" s="845" t="s">
        <v>1007</v>
      </c>
    </row>
    <row r="21065" spans="1:10" x14ac:dyDescent="0.2">
      <c r="A21065" s="859">
        <f t="shared" si="471"/>
        <v>21064</v>
      </c>
      <c r="B21065" s="845" t="s">
        <v>2847</v>
      </c>
      <c r="D21065" s="862"/>
      <c r="I21065" s="845" t="s">
        <v>1008</v>
      </c>
    </row>
    <row r="21066" spans="1:10" x14ac:dyDescent="0.2">
      <c r="A21066" s="859">
        <f t="shared" si="471"/>
        <v>21065</v>
      </c>
      <c r="B21066" s="845" t="s">
        <v>2847</v>
      </c>
      <c r="D21066" s="862"/>
      <c r="J21066" s="845" t="s">
        <v>2859</v>
      </c>
    </row>
    <row r="21067" spans="1:10" x14ac:dyDescent="0.2">
      <c r="A21067" s="859">
        <f t="shared" si="471"/>
        <v>21066</v>
      </c>
      <c r="B21067" s="845" t="s">
        <v>2847</v>
      </c>
      <c r="D21067" s="862"/>
      <c r="I21067" s="845" t="s">
        <v>1009</v>
      </c>
    </row>
    <row r="21068" spans="1:10" x14ac:dyDescent="0.2">
      <c r="A21068" s="859">
        <f t="shared" si="471"/>
        <v>21067</v>
      </c>
      <c r="B21068" s="845" t="s">
        <v>2847</v>
      </c>
      <c r="D21068" s="862"/>
      <c r="I21068" s="845" t="str">
        <f>CONCATENATE("&lt;valeur&gt;",Cellule_14313,"&lt;/valeur&gt;")</f>
        <v>&lt;valeur&gt;&lt;/valeur&gt;</v>
      </c>
    </row>
    <row r="21069" spans="1:10" x14ac:dyDescent="0.2">
      <c r="A21069" s="859">
        <f t="shared" si="471"/>
        <v>21068</v>
      </c>
      <c r="B21069" s="845" t="s">
        <v>2847</v>
      </c>
      <c r="D21069" s="862"/>
      <c r="H21069" s="845" t="s">
        <v>1010</v>
      </c>
    </row>
    <row r="21070" spans="1:10" x14ac:dyDescent="0.2">
      <c r="A21070" s="859">
        <f t="shared" si="471"/>
        <v>21069</v>
      </c>
      <c r="B21070" s="845" t="s">
        <v>2847</v>
      </c>
      <c r="D21070" s="862"/>
      <c r="H21070" s="845" t="s">
        <v>1007</v>
      </c>
    </row>
    <row r="21071" spans="1:10" x14ac:dyDescent="0.2">
      <c r="A21071" s="859">
        <f t="shared" si="471"/>
        <v>21070</v>
      </c>
      <c r="B21071" s="845" t="s">
        <v>2847</v>
      </c>
      <c r="D21071" s="862"/>
      <c r="I21071" s="845" t="s">
        <v>1008</v>
      </c>
    </row>
    <row r="21072" spans="1:10" x14ac:dyDescent="0.2">
      <c r="A21072" s="859">
        <f t="shared" si="471"/>
        <v>21071</v>
      </c>
      <c r="B21072" s="845" t="s">
        <v>2847</v>
      </c>
      <c r="D21072" s="862"/>
      <c r="J21072" s="845" t="s">
        <v>2860</v>
      </c>
    </row>
    <row r="21073" spans="1:10" x14ac:dyDescent="0.2">
      <c r="A21073" s="859">
        <f t="shared" si="471"/>
        <v>21072</v>
      </c>
      <c r="B21073" s="845" t="s">
        <v>2847</v>
      </c>
      <c r="D21073" s="862"/>
      <c r="I21073" s="845" t="s">
        <v>1009</v>
      </c>
    </row>
    <row r="21074" spans="1:10" x14ac:dyDescent="0.2">
      <c r="A21074" s="859">
        <f t="shared" si="471"/>
        <v>21073</v>
      </c>
      <c r="B21074" s="845" t="s">
        <v>2847</v>
      </c>
      <c r="D21074" s="862"/>
      <c r="I21074" s="845" t="str">
        <f>CONCATENATE("&lt;valeur&gt;",Cellule_14315,"&lt;/valeur&gt;")</f>
        <v>&lt;valeur&gt;&lt;/valeur&gt;</v>
      </c>
    </row>
    <row r="21075" spans="1:10" x14ac:dyDescent="0.2">
      <c r="A21075" s="859">
        <f t="shared" si="471"/>
        <v>21074</v>
      </c>
      <c r="B21075" s="845" t="s">
        <v>2847</v>
      </c>
      <c r="D21075" s="862"/>
      <c r="H21075" s="845" t="s">
        <v>1010</v>
      </c>
    </row>
    <row r="21076" spans="1:10" x14ac:dyDescent="0.2">
      <c r="A21076" s="859">
        <f t="shared" si="471"/>
        <v>21075</v>
      </c>
      <c r="B21076" s="845" t="s">
        <v>2847</v>
      </c>
      <c r="D21076" s="862"/>
      <c r="H21076" s="845" t="s">
        <v>1007</v>
      </c>
    </row>
    <row r="21077" spans="1:10" x14ac:dyDescent="0.2">
      <c r="A21077" s="859">
        <f t="shared" si="471"/>
        <v>21076</v>
      </c>
      <c r="B21077" s="845" t="s">
        <v>2847</v>
      </c>
      <c r="D21077" s="862"/>
      <c r="I21077" s="845" t="s">
        <v>1008</v>
      </c>
    </row>
    <row r="21078" spans="1:10" x14ac:dyDescent="0.2">
      <c r="A21078" s="859">
        <f t="shared" si="471"/>
        <v>21077</v>
      </c>
      <c r="B21078" s="845" t="s">
        <v>2847</v>
      </c>
      <c r="D21078" s="862"/>
      <c r="J21078" s="845" t="s">
        <v>2861</v>
      </c>
    </row>
    <row r="21079" spans="1:10" x14ac:dyDescent="0.2">
      <c r="A21079" s="859">
        <f t="shared" si="471"/>
        <v>21078</v>
      </c>
      <c r="B21079" s="845" t="s">
        <v>2847</v>
      </c>
      <c r="D21079" s="862"/>
      <c r="I21079" s="845" t="s">
        <v>1009</v>
      </c>
    </row>
    <row r="21080" spans="1:10" x14ac:dyDescent="0.2">
      <c r="A21080" s="859">
        <f t="shared" si="471"/>
        <v>21079</v>
      </c>
      <c r="B21080" s="845" t="s">
        <v>2847</v>
      </c>
      <c r="D21080" s="862"/>
      <c r="I21080" s="845" t="str">
        <f>CONCATENATE("&lt;valeur&gt;",Cellule_14317,"&lt;/valeur&gt;")</f>
        <v>&lt;valeur&gt;&lt;/valeur&gt;</v>
      </c>
    </row>
    <row r="21081" spans="1:10" x14ac:dyDescent="0.2">
      <c r="A21081" s="859">
        <f t="shared" si="471"/>
        <v>21080</v>
      </c>
      <c r="B21081" s="845" t="s">
        <v>2847</v>
      </c>
      <c r="D21081" s="862"/>
      <c r="H21081" s="845" t="s">
        <v>1010</v>
      </c>
    </row>
    <row r="21082" spans="1:10" x14ac:dyDescent="0.2">
      <c r="A21082" s="859">
        <f t="shared" si="471"/>
        <v>21081</v>
      </c>
      <c r="B21082" s="845" t="s">
        <v>2847</v>
      </c>
      <c r="D21082" s="862"/>
      <c r="H21082" s="845" t="s">
        <v>1007</v>
      </c>
    </row>
    <row r="21083" spans="1:10" x14ac:dyDescent="0.2">
      <c r="A21083" s="859">
        <f t="shared" si="471"/>
        <v>21082</v>
      </c>
      <c r="B21083" s="845" t="s">
        <v>2847</v>
      </c>
      <c r="D21083" s="862"/>
      <c r="I21083" s="845" t="s">
        <v>1008</v>
      </c>
    </row>
    <row r="21084" spans="1:10" x14ac:dyDescent="0.2">
      <c r="A21084" s="859">
        <f t="shared" si="471"/>
        <v>21083</v>
      </c>
      <c r="B21084" s="845" t="s">
        <v>2847</v>
      </c>
      <c r="D21084" s="862"/>
      <c r="J21084" s="845" t="s">
        <v>2862</v>
      </c>
    </row>
    <row r="21085" spans="1:10" x14ac:dyDescent="0.2">
      <c r="A21085" s="859">
        <f t="shared" si="471"/>
        <v>21084</v>
      </c>
      <c r="B21085" s="845" t="s">
        <v>2847</v>
      </c>
      <c r="D21085" s="862"/>
      <c r="I21085" s="845" t="s">
        <v>1009</v>
      </c>
    </row>
    <row r="21086" spans="1:10" x14ac:dyDescent="0.2">
      <c r="A21086" s="859">
        <f t="shared" si="471"/>
        <v>21085</v>
      </c>
      <c r="B21086" s="845" t="s">
        <v>2847</v>
      </c>
      <c r="D21086" s="862"/>
      <c r="I21086" s="845" t="str">
        <f>CONCATENATE("&lt;valeur&gt;",Cellule_14319,"&lt;/valeur&gt;")</f>
        <v>&lt;valeur&gt;&lt;/valeur&gt;</v>
      </c>
    </row>
    <row r="21087" spans="1:10" x14ac:dyDescent="0.2">
      <c r="A21087" s="859">
        <f t="shared" si="471"/>
        <v>21086</v>
      </c>
      <c r="B21087" s="845" t="s">
        <v>2847</v>
      </c>
      <c r="D21087" s="862"/>
      <c r="H21087" s="845" t="s">
        <v>1010</v>
      </c>
    </row>
    <row r="21088" spans="1:10" x14ac:dyDescent="0.2">
      <c r="A21088" s="859">
        <f t="shared" si="471"/>
        <v>21087</v>
      </c>
      <c r="B21088" s="845" t="s">
        <v>2847</v>
      </c>
      <c r="D21088" s="862"/>
      <c r="H21088" s="845" t="s">
        <v>1007</v>
      </c>
    </row>
    <row r="21089" spans="1:10" x14ac:dyDescent="0.2">
      <c r="A21089" s="859">
        <f t="shared" si="471"/>
        <v>21088</v>
      </c>
      <c r="B21089" s="845" t="s">
        <v>2847</v>
      </c>
      <c r="D21089" s="862"/>
      <c r="I21089" s="845" t="s">
        <v>1008</v>
      </c>
    </row>
    <row r="21090" spans="1:10" x14ac:dyDescent="0.2">
      <c r="A21090" s="859">
        <f t="shared" si="471"/>
        <v>21089</v>
      </c>
      <c r="B21090" s="845" t="s">
        <v>2847</v>
      </c>
      <c r="D21090" s="862"/>
      <c r="J21090" s="845" t="s">
        <v>2863</v>
      </c>
    </row>
    <row r="21091" spans="1:10" x14ac:dyDescent="0.2">
      <c r="A21091" s="859">
        <f t="shared" si="471"/>
        <v>21090</v>
      </c>
      <c r="B21091" s="845" t="s">
        <v>2847</v>
      </c>
      <c r="D21091" s="862"/>
      <c r="I21091" s="845" t="s">
        <v>1009</v>
      </c>
    </row>
    <row r="21092" spans="1:10" x14ac:dyDescent="0.2">
      <c r="A21092" s="859">
        <f t="shared" si="471"/>
        <v>21091</v>
      </c>
      <c r="B21092" s="845" t="s">
        <v>2847</v>
      </c>
      <c r="D21092" s="862"/>
      <c r="I21092" s="845" t="str">
        <f>CONCATENATE("&lt;valeur&gt;",Cellule_14321,"&lt;/valeur&gt;")</f>
        <v>&lt;valeur&gt;&lt;/valeur&gt;</v>
      </c>
    </row>
    <row r="21093" spans="1:10" x14ac:dyDescent="0.2">
      <c r="A21093" s="859">
        <f t="shared" si="471"/>
        <v>21092</v>
      </c>
      <c r="B21093" s="845" t="s">
        <v>2847</v>
      </c>
      <c r="D21093" s="862"/>
      <c r="H21093" s="845" t="s">
        <v>1010</v>
      </c>
    </row>
    <row r="21094" spans="1:10" x14ac:dyDescent="0.2">
      <c r="A21094" s="859">
        <f t="shared" si="471"/>
        <v>21093</v>
      </c>
      <c r="B21094" s="845" t="s">
        <v>2847</v>
      </c>
      <c r="D21094" s="862"/>
      <c r="H21094" s="845" t="s">
        <v>1007</v>
      </c>
    </row>
    <row r="21095" spans="1:10" x14ac:dyDescent="0.2">
      <c r="A21095" s="859">
        <f t="shared" si="471"/>
        <v>21094</v>
      </c>
      <c r="B21095" s="845" t="s">
        <v>2847</v>
      </c>
      <c r="D21095" s="862"/>
      <c r="I21095" s="845" t="s">
        <v>1008</v>
      </c>
    </row>
    <row r="21096" spans="1:10" x14ac:dyDescent="0.2">
      <c r="A21096" s="859">
        <f t="shared" si="471"/>
        <v>21095</v>
      </c>
      <c r="B21096" s="845" t="s">
        <v>2847</v>
      </c>
      <c r="D21096" s="862"/>
      <c r="J21096" s="845" t="s">
        <v>2864</v>
      </c>
    </row>
    <row r="21097" spans="1:10" x14ac:dyDescent="0.2">
      <c r="A21097" s="859">
        <f t="shared" si="471"/>
        <v>21096</v>
      </c>
      <c r="B21097" s="845" t="s">
        <v>2847</v>
      </c>
      <c r="D21097" s="862"/>
      <c r="I21097" s="845" t="s">
        <v>1009</v>
      </c>
    </row>
    <row r="21098" spans="1:10" x14ac:dyDescent="0.2">
      <c r="A21098" s="859">
        <f t="shared" si="471"/>
        <v>21097</v>
      </c>
      <c r="B21098" s="845" t="s">
        <v>2847</v>
      </c>
      <c r="D21098" s="862"/>
      <c r="I21098" s="845" t="str">
        <f>CONCATENATE("&lt;valeur&gt;",Cellule_14323,"&lt;/valeur&gt;")</f>
        <v>&lt;valeur&gt;&lt;/valeur&gt;</v>
      </c>
    </row>
    <row r="21099" spans="1:10" x14ac:dyDescent="0.2">
      <c r="A21099" s="859">
        <f t="shared" si="471"/>
        <v>21098</v>
      </c>
      <c r="B21099" s="845" t="s">
        <v>2847</v>
      </c>
      <c r="D21099" s="862"/>
      <c r="H21099" s="845" t="s">
        <v>1010</v>
      </c>
    </row>
    <row r="21100" spans="1:10" x14ac:dyDescent="0.2">
      <c r="A21100" s="859">
        <f t="shared" si="471"/>
        <v>21099</v>
      </c>
      <c r="B21100" s="845" t="s">
        <v>2847</v>
      </c>
      <c r="D21100" s="862"/>
      <c r="H21100" s="845" t="s">
        <v>1007</v>
      </c>
    </row>
    <row r="21101" spans="1:10" x14ac:dyDescent="0.2">
      <c r="A21101" s="859">
        <f t="shared" si="471"/>
        <v>21100</v>
      </c>
      <c r="B21101" s="845" t="s">
        <v>2847</v>
      </c>
      <c r="D21101" s="862"/>
      <c r="I21101" s="845" t="s">
        <v>1008</v>
      </c>
    </row>
    <row r="21102" spans="1:10" x14ac:dyDescent="0.2">
      <c r="A21102" s="859">
        <f t="shared" si="471"/>
        <v>21101</v>
      </c>
      <c r="B21102" s="845" t="s">
        <v>2847</v>
      </c>
      <c r="D21102" s="862"/>
      <c r="J21102" s="845" t="s">
        <v>2865</v>
      </c>
    </row>
    <row r="21103" spans="1:10" x14ac:dyDescent="0.2">
      <c r="A21103" s="859">
        <f t="shared" si="471"/>
        <v>21102</v>
      </c>
      <c r="B21103" s="845" t="s">
        <v>2847</v>
      </c>
      <c r="D21103" s="862"/>
      <c r="I21103" s="845" t="s">
        <v>1009</v>
      </c>
    </row>
    <row r="21104" spans="1:10" x14ac:dyDescent="0.2">
      <c r="A21104" s="859">
        <f t="shared" si="471"/>
        <v>21103</v>
      </c>
      <c r="B21104" s="845" t="s">
        <v>2847</v>
      </c>
      <c r="D21104" s="862"/>
      <c r="I21104" s="845" t="str">
        <f>CONCATENATE("&lt;valeur&gt;",Cellule_14325,"&lt;/valeur&gt;")</f>
        <v>&lt;valeur&gt;&lt;/valeur&gt;</v>
      </c>
    </row>
    <row r="21105" spans="1:10" x14ac:dyDescent="0.2">
      <c r="A21105" s="859">
        <f t="shared" si="471"/>
        <v>21104</v>
      </c>
      <c r="B21105" s="845" t="s">
        <v>2847</v>
      </c>
      <c r="D21105" s="862"/>
      <c r="H21105" s="845" t="s">
        <v>1010</v>
      </c>
    </row>
    <row r="21106" spans="1:10" x14ac:dyDescent="0.2">
      <c r="A21106" s="859">
        <f t="shared" si="471"/>
        <v>21105</v>
      </c>
      <c r="B21106" s="845" t="s">
        <v>2847</v>
      </c>
      <c r="D21106" s="862"/>
      <c r="H21106" s="845" t="s">
        <v>1007</v>
      </c>
    </row>
    <row r="21107" spans="1:10" x14ac:dyDescent="0.2">
      <c r="A21107" s="859">
        <f t="shared" si="471"/>
        <v>21106</v>
      </c>
      <c r="B21107" s="845" t="s">
        <v>2847</v>
      </c>
      <c r="D21107" s="862"/>
      <c r="I21107" s="845" t="s">
        <v>1008</v>
      </c>
    </row>
    <row r="21108" spans="1:10" x14ac:dyDescent="0.2">
      <c r="A21108" s="859">
        <f t="shared" si="471"/>
        <v>21107</v>
      </c>
      <c r="B21108" s="845" t="s">
        <v>2847</v>
      </c>
      <c r="D21108" s="862"/>
      <c r="J21108" s="845" t="s">
        <v>2866</v>
      </c>
    </row>
    <row r="21109" spans="1:10" x14ac:dyDescent="0.2">
      <c r="A21109" s="859">
        <f t="shared" si="471"/>
        <v>21108</v>
      </c>
      <c r="B21109" s="845" t="s">
        <v>2847</v>
      </c>
      <c r="D21109" s="862"/>
      <c r="I21109" s="845" t="s">
        <v>1009</v>
      </c>
    </row>
    <row r="21110" spans="1:10" x14ac:dyDescent="0.2">
      <c r="A21110" s="859">
        <f t="shared" si="471"/>
        <v>21109</v>
      </c>
      <c r="B21110" s="845" t="s">
        <v>2847</v>
      </c>
      <c r="D21110" s="862"/>
      <c r="I21110" s="845" t="str">
        <f>CONCATENATE("&lt;valeur&gt;",Cellule_14327,"&lt;/valeur&gt;")</f>
        <v>&lt;valeur&gt;&lt;/valeur&gt;</v>
      </c>
    </row>
    <row r="21111" spans="1:10" x14ac:dyDescent="0.2">
      <c r="A21111" s="859">
        <f t="shared" si="471"/>
        <v>21110</v>
      </c>
      <c r="B21111" s="845" t="s">
        <v>2847</v>
      </c>
      <c r="D21111" s="862"/>
      <c r="H21111" s="845" t="s">
        <v>1010</v>
      </c>
    </row>
    <row r="21112" spans="1:10" x14ac:dyDescent="0.2">
      <c r="A21112" s="859">
        <f t="shared" si="471"/>
        <v>21111</v>
      </c>
      <c r="B21112" s="845" t="s">
        <v>2847</v>
      </c>
      <c r="D21112" s="862"/>
      <c r="H21112" s="845" t="s">
        <v>1007</v>
      </c>
    </row>
    <row r="21113" spans="1:10" x14ac:dyDescent="0.2">
      <c r="A21113" s="859">
        <f t="shared" si="471"/>
        <v>21112</v>
      </c>
      <c r="B21113" s="845" t="s">
        <v>2847</v>
      </c>
      <c r="D21113" s="862"/>
      <c r="I21113" s="845" t="s">
        <v>1008</v>
      </c>
    </row>
    <row r="21114" spans="1:10" x14ac:dyDescent="0.2">
      <c r="A21114" s="859">
        <f t="shared" si="471"/>
        <v>21113</v>
      </c>
      <c r="B21114" s="845" t="s">
        <v>2847</v>
      </c>
      <c r="D21114" s="862"/>
      <c r="J21114" s="845" t="s">
        <v>2867</v>
      </c>
    </row>
    <row r="21115" spans="1:10" x14ac:dyDescent="0.2">
      <c r="A21115" s="859">
        <f t="shared" si="471"/>
        <v>21114</v>
      </c>
      <c r="B21115" s="845" t="s">
        <v>2847</v>
      </c>
      <c r="D21115" s="862"/>
      <c r="I21115" s="845" t="s">
        <v>1009</v>
      </c>
    </row>
    <row r="21116" spans="1:10" x14ac:dyDescent="0.2">
      <c r="A21116" s="859">
        <f t="shared" si="471"/>
        <v>21115</v>
      </c>
      <c r="B21116" s="845" t="s">
        <v>2847</v>
      </c>
      <c r="D21116" s="862"/>
      <c r="I21116" s="845" t="str">
        <f>CONCATENATE("&lt;valeur&gt;",Cellule_14329,"&lt;/valeur&gt;")</f>
        <v>&lt;valeur&gt;&lt;/valeur&gt;</v>
      </c>
    </row>
    <row r="21117" spans="1:10" x14ac:dyDescent="0.2">
      <c r="A21117" s="859">
        <f t="shared" si="471"/>
        <v>21116</v>
      </c>
      <c r="B21117" s="845" t="s">
        <v>2847</v>
      </c>
      <c r="D21117" s="862"/>
      <c r="H21117" s="845" t="s">
        <v>1010</v>
      </c>
    </row>
    <row r="21118" spans="1:10" x14ac:dyDescent="0.2">
      <c r="A21118" s="859">
        <f t="shared" si="471"/>
        <v>21117</v>
      </c>
      <c r="B21118" s="845" t="s">
        <v>2847</v>
      </c>
      <c r="D21118" s="862"/>
      <c r="H21118" s="845" t="s">
        <v>1007</v>
      </c>
    </row>
    <row r="21119" spans="1:10" x14ac:dyDescent="0.2">
      <c r="A21119" s="859">
        <f t="shared" si="471"/>
        <v>21118</v>
      </c>
      <c r="B21119" s="845" t="s">
        <v>2847</v>
      </c>
      <c r="D21119" s="862"/>
      <c r="I21119" s="845" t="s">
        <v>1008</v>
      </c>
    </row>
    <row r="21120" spans="1:10" x14ac:dyDescent="0.2">
      <c r="A21120" s="859">
        <f t="shared" si="471"/>
        <v>21119</v>
      </c>
      <c r="B21120" s="845" t="s">
        <v>2847</v>
      </c>
      <c r="D21120" s="862"/>
      <c r="J21120" s="845" t="s">
        <v>2868</v>
      </c>
    </row>
    <row r="21121" spans="1:10" x14ac:dyDescent="0.2">
      <c r="A21121" s="859">
        <f t="shared" si="471"/>
        <v>21120</v>
      </c>
      <c r="B21121" s="845" t="s">
        <v>2847</v>
      </c>
      <c r="D21121" s="862"/>
      <c r="I21121" s="845" t="s">
        <v>1009</v>
      </c>
    </row>
    <row r="21122" spans="1:10" x14ac:dyDescent="0.2">
      <c r="A21122" s="859">
        <f t="shared" si="471"/>
        <v>21121</v>
      </c>
      <c r="B21122" s="845" t="s">
        <v>2847</v>
      </c>
      <c r="D21122" s="862"/>
      <c r="I21122" s="845" t="str">
        <f>CONCATENATE("&lt;valeur&gt;",Cellule_14331,"&lt;/valeur&gt;")</f>
        <v>&lt;valeur&gt;&lt;/valeur&gt;</v>
      </c>
    </row>
    <row r="21123" spans="1:10" x14ac:dyDescent="0.2">
      <c r="A21123" s="859">
        <f t="shared" si="471"/>
        <v>21122</v>
      </c>
      <c r="B21123" s="845" t="s">
        <v>2847</v>
      </c>
      <c r="D21123" s="862"/>
      <c r="H21123" s="845" t="s">
        <v>1010</v>
      </c>
    </row>
    <row r="21124" spans="1:10" x14ac:dyDescent="0.2">
      <c r="A21124" s="859">
        <f t="shared" ref="A21124:A21187" si="472">+A21123+1</f>
        <v>21123</v>
      </c>
      <c r="B21124" s="845" t="s">
        <v>2847</v>
      </c>
      <c r="D21124" s="862"/>
      <c r="H21124" s="845" t="s">
        <v>1007</v>
      </c>
    </row>
    <row r="21125" spans="1:10" x14ac:dyDescent="0.2">
      <c r="A21125" s="859">
        <f t="shared" si="472"/>
        <v>21124</v>
      </c>
      <c r="B21125" s="845" t="s">
        <v>2847</v>
      </c>
      <c r="D21125" s="862"/>
      <c r="I21125" s="845" t="s">
        <v>1008</v>
      </c>
    </row>
    <row r="21126" spans="1:10" x14ac:dyDescent="0.2">
      <c r="A21126" s="859">
        <f t="shared" si="472"/>
        <v>21125</v>
      </c>
      <c r="B21126" s="845" t="s">
        <v>2847</v>
      </c>
      <c r="D21126" s="862"/>
      <c r="J21126" s="845" t="s">
        <v>2869</v>
      </c>
    </row>
    <row r="21127" spans="1:10" x14ac:dyDescent="0.2">
      <c r="A21127" s="859">
        <f t="shared" si="472"/>
        <v>21126</v>
      </c>
      <c r="B21127" s="845" t="s">
        <v>2847</v>
      </c>
      <c r="D21127" s="862"/>
      <c r="I21127" s="845" t="s">
        <v>1009</v>
      </c>
    </row>
    <row r="21128" spans="1:10" x14ac:dyDescent="0.2">
      <c r="A21128" s="859">
        <f t="shared" si="472"/>
        <v>21127</v>
      </c>
      <c r="B21128" s="845" t="s">
        <v>2847</v>
      </c>
      <c r="D21128" s="862"/>
      <c r="I21128" s="845" t="str">
        <f>CONCATENATE("&lt;valeur&gt;",Cellule_14333,"&lt;/valeur&gt;")</f>
        <v>&lt;valeur&gt;&lt;/valeur&gt;</v>
      </c>
    </row>
    <row r="21129" spans="1:10" x14ac:dyDescent="0.2">
      <c r="A21129" s="859">
        <f t="shared" si="472"/>
        <v>21128</v>
      </c>
      <c r="B21129" s="845" t="s">
        <v>2847</v>
      </c>
      <c r="D21129" s="862"/>
      <c r="H21129" s="845" t="s">
        <v>1010</v>
      </c>
    </row>
    <row r="21130" spans="1:10" x14ac:dyDescent="0.2">
      <c r="A21130" s="859">
        <f t="shared" si="472"/>
        <v>21129</v>
      </c>
      <c r="B21130" s="845" t="s">
        <v>2847</v>
      </c>
      <c r="D21130" s="862"/>
      <c r="H21130" s="845" t="s">
        <v>1007</v>
      </c>
    </row>
    <row r="21131" spans="1:10" x14ac:dyDescent="0.2">
      <c r="A21131" s="859">
        <f t="shared" si="472"/>
        <v>21130</v>
      </c>
      <c r="B21131" s="845" t="s">
        <v>2847</v>
      </c>
      <c r="D21131" s="862"/>
      <c r="I21131" s="845" t="s">
        <v>1008</v>
      </c>
    </row>
    <row r="21132" spans="1:10" x14ac:dyDescent="0.2">
      <c r="A21132" s="859">
        <f t="shared" si="472"/>
        <v>21131</v>
      </c>
      <c r="B21132" s="845" t="s">
        <v>2847</v>
      </c>
      <c r="D21132" s="862"/>
      <c r="J21132" s="845" t="s">
        <v>2870</v>
      </c>
    </row>
    <row r="21133" spans="1:10" x14ac:dyDescent="0.2">
      <c r="A21133" s="859">
        <f t="shared" si="472"/>
        <v>21132</v>
      </c>
      <c r="B21133" s="845" t="s">
        <v>2847</v>
      </c>
      <c r="D21133" s="862"/>
      <c r="I21133" s="845" t="s">
        <v>1009</v>
      </c>
    </row>
    <row r="21134" spans="1:10" x14ac:dyDescent="0.2">
      <c r="A21134" s="859">
        <f t="shared" si="472"/>
        <v>21133</v>
      </c>
      <c r="B21134" s="845" t="s">
        <v>2847</v>
      </c>
      <c r="D21134" s="862"/>
      <c r="I21134" s="845" t="str">
        <f>CONCATENATE("&lt;valeur&gt;",Cellule_14335,"&lt;/valeur&gt;")</f>
        <v>&lt;valeur&gt;&lt;/valeur&gt;</v>
      </c>
    </row>
    <row r="21135" spans="1:10" x14ac:dyDescent="0.2">
      <c r="A21135" s="859">
        <f t="shared" si="472"/>
        <v>21134</v>
      </c>
      <c r="B21135" s="845" t="s">
        <v>2847</v>
      </c>
      <c r="D21135" s="862"/>
      <c r="H21135" s="845" t="s">
        <v>1010</v>
      </c>
    </row>
    <row r="21136" spans="1:10" x14ac:dyDescent="0.2">
      <c r="A21136" s="859">
        <f t="shared" si="472"/>
        <v>21135</v>
      </c>
      <c r="B21136" s="845" t="s">
        <v>2847</v>
      </c>
      <c r="D21136" s="862"/>
      <c r="H21136" s="845" t="s">
        <v>1007</v>
      </c>
    </row>
    <row r="21137" spans="1:10" x14ac:dyDescent="0.2">
      <c r="A21137" s="859">
        <f t="shared" si="472"/>
        <v>21136</v>
      </c>
      <c r="B21137" s="845" t="s">
        <v>2847</v>
      </c>
      <c r="D21137" s="862"/>
      <c r="I21137" s="845" t="s">
        <v>1008</v>
      </c>
    </row>
    <row r="21138" spans="1:10" x14ac:dyDescent="0.2">
      <c r="A21138" s="859">
        <f t="shared" si="472"/>
        <v>21137</v>
      </c>
      <c r="B21138" s="845" t="s">
        <v>2847</v>
      </c>
      <c r="D21138" s="862"/>
      <c r="J21138" s="845" t="s">
        <v>2871</v>
      </c>
    </row>
    <row r="21139" spans="1:10" x14ac:dyDescent="0.2">
      <c r="A21139" s="859">
        <f t="shared" si="472"/>
        <v>21138</v>
      </c>
      <c r="B21139" s="845" t="s">
        <v>2847</v>
      </c>
      <c r="D21139" s="862"/>
      <c r="I21139" s="845" t="s">
        <v>1009</v>
      </c>
    </row>
    <row r="21140" spans="1:10" x14ac:dyDescent="0.2">
      <c r="A21140" s="859">
        <f t="shared" si="472"/>
        <v>21139</v>
      </c>
      <c r="B21140" s="845" t="s">
        <v>2847</v>
      </c>
      <c r="D21140" s="862"/>
      <c r="I21140" s="845" t="str">
        <f>CONCATENATE("&lt;valeur&gt;",Cellule_14337,"&lt;/valeur&gt;")</f>
        <v>&lt;valeur&gt;&lt;/valeur&gt;</v>
      </c>
    </row>
    <row r="21141" spans="1:10" x14ac:dyDescent="0.2">
      <c r="A21141" s="859">
        <f t="shared" si="472"/>
        <v>21140</v>
      </c>
      <c r="B21141" s="845" t="s">
        <v>2847</v>
      </c>
      <c r="D21141" s="862"/>
      <c r="H21141" s="845" t="s">
        <v>1010</v>
      </c>
    </row>
    <row r="21142" spans="1:10" x14ac:dyDescent="0.2">
      <c r="A21142" s="859">
        <f t="shared" si="472"/>
        <v>21141</v>
      </c>
      <c r="B21142" s="845" t="s">
        <v>2847</v>
      </c>
      <c r="D21142" s="862"/>
      <c r="G21142" s="845" t="s">
        <v>1011</v>
      </c>
    </row>
    <row r="21143" spans="1:10" x14ac:dyDescent="0.2">
      <c r="A21143" s="859">
        <f t="shared" si="472"/>
        <v>21142</v>
      </c>
      <c r="B21143" s="845" t="s">
        <v>2847</v>
      </c>
      <c r="D21143" s="862"/>
      <c r="G21143" s="845" t="s">
        <v>1012</v>
      </c>
    </row>
    <row r="21144" spans="1:10" x14ac:dyDescent="0.2">
      <c r="A21144" s="859">
        <f t="shared" si="472"/>
        <v>21143</v>
      </c>
      <c r="B21144" s="845" t="s">
        <v>2847</v>
      </c>
      <c r="D21144" s="862"/>
      <c r="G21144" s="845" t="s">
        <v>1013</v>
      </c>
    </row>
    <row r="21145" spans="1:10" x14ac:dyDescent="0.2">
      <c r="A21145" s="859">
        <f t="shared" si="472"/>
        <v>21144</v>
      </c>
      <c r="B21145" s="845" t="s">
        <v>2847</v>
      </c>
      <c r="D21145" s="862"/>
      <c r="F21145" s="845" t="s">
        <v>1014</v>
      </c>
    </row>
    <row r="21146" spans="1:10" x14ac:dyDescent="0.2">
      <c r="A21146" s="859">
        <f t="shared" si="472"/>
        <v>21145</v>
      </c>
      <c r="B21146" s="845" t="s">
        <v>2931</v>
      </c>
      <c r="D21146" s="862"/>
      <c r="F21146" s="845" t="s">
        <v>1005</v>
      </c>
    </row>
    <row r="21147" spans="1:10" x14ac:dyDescent="0.2">
      <c r="A21147" s="859">
        <f t="shared" si="472"/>
        <v>21146</v>
      </c>
      <c r="B21147" s="845" t="s">
        <v>2931</v>
      </c>
      <c r="D21147" s="862"/>
      <c r="G21147" s="845" t="s">
        <v>2872</v>
      </c>
    </row>
    <row r="21148" spans="1:10" x14ac:dyDescent="0.2">
      <c r="A21148" s="859">
        <f t="shared" si="472"/>
        <v>21147</v>
      </c>
      <c r="B21148" s="845" t="s">
        <v>2931</v>
      </c>
      <c r="D21148" s="862"/>
      <c r="G21148" s="845" t="s">
        <v>1006</v>
      </c>
    </row>
    <row r="21149" spans="1:10" x14ac:dyDescent="0.2">
      <c r="A21149" s="859">
        <f t="shared" si="472"/>
        <v>21148</v>
      </c>
      <c r="B21149" s="845" t="s">
        <v>2931</v>
      </c>
      <c r="D21149" s="862"/>
      <c r="H21149" s="845" t="s">
        <v>1007</v>
      </c>
    </row>
    <row r="21150" spans="1:10" x14ac:dyDescent="0.2">
      <c r="A21150" s="859">
        <f t="shared" si="472"/>
        <v>21149</v>
      </c>
      <c r="B21150" s="845" t="s">
        <v>2931</v>
      </c>
      <c r="D21150" s="862"/>
      <c r="I21150" s="845" t="s">
        <v>1008</v>
      </c>
    </row>
    <row r="21151" spans="1:10" x14ac:dyDescent="0.2">
      <c r="A21151" s="859">
        <f t="shared" si="472"/>
        <v>21150</v>
      </c>
      <c r="B21151" s="845" t="s">
        <v>2931</v>
      </c>
      <c r="D21151" s="862"/>
      <c r="J21151" s="845" t="s">
        <v>2873</v>
      </c>
    </row>
    <row r="21152" spans="1:10" x14ac:dyDescent="0.2">
      <c r="A21152" s="859">
        <f t="shared" si="472"/>
        <v>21151</v>
      </c>
      <c r="B21152" s="845" t="s">
        <v>2931</v>
      </c>
      <c r="D21152" s="862"/>
      <c r="I21152" s="845" t="s">
        <v>1009</v>
      </c>
    </row>
    <row r="21153" spans="1:10" x14ac:dyDescent="0.2">
      <c r="A21153" s="859">
        <f t="shared" si="472"/>
        <v>21152</v>
      </c>
      <c r="B21153" s="845" t="s">
        <v>2931</v>
      </c>
      <c r="D21153" s="862"/>
      <c r="I21153" s="845" t="str">
        <f>CONCATENATE("&lt;valeur&gt;",Cellule_14347,"&lt;/valeur&gt;")</f>
        <v>&lt;valeur&gt;0&lt;/valeur&gt;</v>
      </c>
    </row>
    <row r="21154" spans="1:10" x14ac:dyDescent="0.2">
      <c r="A21154" s="859">
        <f t="shared" si="472"/>
        <v>21153</v>
      </c>
      <c r="B21154" s="845" t="s">
        <v>2931</v>
      </c>
      <c r="D21154" s="862"/>
      <c r="H21154" s="845" t="s">
        <v>1010</v>
      </c>
    </row>
    <row r="21155" spans="1:10" x14ac:dyDescent="0.2">
      <c r="A21155" s="859">
        <f t="shared" si="472"/>
        <v>21154</v>
      </c>
      <c r="B21155" s="845" t="s">
        <v>2931</v>
      </c>
      <c r="D21155" s="862"/>
      <c r="H21155" s="845" t="s">
        <v>1007</v>
      </c>
    </row>
    <row r="21156" spans="1:10" x14ac:dyDescent="0.2">
      <c r="A21156" s="859">
        <f t="shared" si="472"/>
        <v>21155</v>
      </c>
      <c r="B21156" s="845" t="s">
        <v>2931</v>
      </c>
      <c r="D21156" s="862"/>
      <c r="I21156" s="845" t="s">
        <v>1008</v>
      </c>
    </row>
    <row r="21157" spans="1:10" x14ac:dyDescent="0.2">
      <c r="A21157" s="859">
        <f t="shared" si="472"/>
        <v>21156</v>
      </c>
      <c r="B21157" s="845" t="s">
        <v>2931</v>
      </c>
      <c r="D21157" s="862"/>
      <c r="J21157" s="845" t="s">
        <v>2874</v>
      </c>
    </row>
    <row r="21158" spans="1:10" x14ac:dyDescent="0.2">
      <c r="A21158" s="859">
        <f t="shared" si="472"/>
        <v>21157</v>
      </c>
      <c r="B21158" s="845" t="s">
        <v>2931</v>
      </c>
      <c r="D21158" s="862"/>
      <c r="I21158" s="845" t="s">
        <v>1009</v>
      </c>
    </row>
    <row r="21159" spans="1:10" x14ac:dyDescent="0.2">
      <c r="A21159" s="859">
        <f t="shared" si="472"/>
        <v>21158</v>
      </c>
      <c r="B21159" s="845" t="s">
        <v>2931</v>
      </c>
      <c r="D21159" s="862"/>
      <c r="I21159" s="845" t="str">
        <f>CONCATENATE("&lt;valeur&gt;",Cellule_14349,"&lt;/valeur&gt;")</f>
        <v>&lt;valeur&gt;0&lt;/valeur&gt;</v>
      </c>
    </row>
    <row r="21160" spans="1:10" x14ac:dyDescent="0.2">
      <c r="A21160" s="859">
        <f t="shared" si="472"/>
        <v>21159</v>
      </c>
      <c r="B21160" s="845" t="s">
        <v>2931</v>
      </c>
      <c r="D21160" s="862"/>
      <c r="H21160" s="845" t="s">
        <v>1010</v>
      </c>
    </row>
    <row r="21161" spans="1:10" x14ac:dyDescent="0.2">
      <c r="A21161" s="859">
        <f t="shared" si="472"/>
        <v>21160</v>
      </c>
      <c r="B21161" s="845" t="s">
        <v>2931</v>
      </c>
      <c r="D21161" s="862"/>
      <c r="H21161" s="845" t="s">
        <v>1007</v>
      </c>
    </row>
    <row r="21162" spans="1:10" x14ac:dyDescent="0.2">
      <c r="A21162" s="859">
        <f t="shared" si="472"/>
        <v>21161</v>
      </c>
      <c r="B21162" s="845" t="s">
        <v>2931</v>
      </c>
      <c r="D21162" s="862"/>
      <c r="I21162" s="845" t="s">
        <v>2875</v>
      </c>
    </row>
    <row r="21163" spans="1:10" x14ac:dyDescent="0.2">
      <c r="A21163" s="859">
        <f t="shared" si="472"/>
        <v>21162</v>
      </c>
      <c r="B21163" s="845" t="s">
        <v>2931</v>
      </c>
      <c r="D21163" s="862"/>
      <c r="I21163" s="845" t="str">
        <f>CONCATENATE("&lt;valeur&gt;",Cellule_14990_1,"&lt;/valeur&gt;")</f>
        <v>&lt;valeur&gt;0,175&lt;/valeur&gt;</v>
      </c>
    </row>
    <row r="21164" spans="1:10" x14ac:dyDescent="0.2">
      <c r="A21164" s="859">
        <f t="shared" si="472"/>
        <v>21163</v>
      </c>
      <c r="B21164" s="845" t="s">
        <v>2931</v>
      </c>
      <c r="D21164" s="862"/>
      <c r="I21164" s="845" t="s">
        <v>1249</v>
      </c>
    </row>
    <row r="21165" spans="1:10" x14ac:dyDescent="0.2">
      <c r="A21165" s="859">
        <f t="shared" si="472"/>
        <v>21164</v>
      </c>
      <c r="B21165" s="845" t="s">
        <v>2931</v>
      </c>
      <c r="D21165" s="862"/>
      <c r="H21165" s="845" t="s">
        <v>1010</v>
      </c>
    </row>
    <row r="21166" spans="1:10" x14ac:dyDescent="0.2">
      <c r="A21166" s="859">
        <f t="shared" si="472"/>
        <v>21165</v>
      </c>
      <c r="B21166" s="845" t="s">
        <v>2931</v>
      </c>
      <c r="D21166" s="862"/>
      <c r="H21166" s="845" t="s">
        <v>1007</v>
      </c>
    </row>
    <row r="21167" spans="1:10" x14ac:dyDescent="0.2">
      <c r="A21167" s="859">
        <f t="shared" si="472"/>
        <v>21166</v>
      </c>
      <c r="B21167" s="845" t="s">
        <v>2931</v>
      </c>
      <c r="D21167" s="862"/>
      <c r="I21167" s="845" t="s">
        <v>2876</v>
      </c>
    </row>
    <row r="21168" spans="1:10" x14ac:dyDescent="0.2">
      <c r="A21168" s="859">
        <f t="shared" si="472"/>
        <v>21167</v>
      </c>
      <c r="B21168" s="845" t="s">
        <v>2931</v>
      </c>
      <c r="D21168" s="862"/>
      <c r="I21168" s="845" t="str">
        <f>CONCATENATE("&lt;valeur&gt;",Cellule_14353_1,"&lt;/valeur&gt;")</f>
        <v>&lt;valeur&gt;0&lt;/valeur&gt;</v>
      </c>
    </row>
    <row r="21169" spans="1:10" x14ac:dyDescent="0.2">
      <c r="A21169" s="859">
        <f t="shared" si="472"/>
        <v>21168</v>
      </c>
      <c r="B21169" s="845" t="s">
        <v>2931</v>
      </c>
      <c r="D21169" s="862"/>
      <c r="I21169" s="845" t="s">
        <v>1249</v>
      </c>
    </row>
    <row r="21170" spans="1:10" x14ac:dyDescent="0.2">
      <c r="A21170" s="859">
        <f t="shared" si="472"/>
        <v>21169</v>
      </c>
      <c r="B21170" s="845" t="s">
        <v>2931</v>
      </c>
      <c r="D21170" s="862"/>
      <c r="H21170" s="845" t="s">
        <v>1010</v>
      </c>
    </row>
    <row r="21171" spans="1:10" x14ac:dyDescent="0.2">
      <c r="A21171" s="859">
        <f t="shared" si="472"/>
        <v>21170</v>
      </c>
      <c r="B21171" s="845" t="s">
        <v>2931</v>
      </c>
      <c r="D21171" s="862"/>
      <c r="H21171" s="845" t="s">
        <v>1007</v>
      </c>
    </row>
    <row r="21172" spans="1:10" x14ac:dyDescent="0.2">
      <c r="A21172" s="859">
        <f t="shared" si="472"/>
        <v>21171</v>
      </c>
      <c r="B21172" s="845" t="s">
        <v>2931</v>
      </c>
      <c r="D21172" s="862"/>
      <c r="I21172" s="845" t="s">
        <v>1008</v>
      </c>
    </row>
    <row r="21173" spans="1:10" x14ac:dyDescent="0.2">
      <c r="A21173" s="859">
        <f t="shared" si="472"/>
        <v>21172</v>
      </c>
      <c r="B21173" s="845" t="s">
        <v>2931</v>
      </c>
      <c r="D21173" s="862"/>
      <c r="J21173" s="845" t="s">
        <v>2877</v>
      </c>
    </row>
    <row r="21174" spans="1:10" x14ac:dyDescent="0.2">
      <c r="A21174" s="859">
        <f t="shared" si="472"/>
        <v>21173</v>
      </c>
      <c r="B21174" s="845" t="s">
        <v>2931</v>
      </c>
      <c r="D21174" s="862"/>
      <c r="I21174" s="845" t="s">
        <v>1009</v>
      </c>
    </row>
    <row r="21175" spans="1:10" x14ac:dyDescent="0.2">
      <c r="A21175" s="859">
        <f t="shared" si="472"/>
        <v>21174</v>
      </c>
      <c r="B21175" s="845" t="s">
        <v>2931</v>
      </c>
      <c r="D21175" s="862"/>
      <c r="I21175" s="845" t="str">
        <f>CONCATENATE("&lt;valeur&gt;",Cellule_17929,"&lt;/valeur&gt;")</f>
        <v>&lt;valeur&gt;0&lt;/valeur&gt;</v>
      </c>
    </row>
    <row r="21176" spans="1:10" x14ac:dyDescent="0.2">
      <c r="A21176" s="859">
        <f t="shared" si="472"/>
        <v>21175</v>
      </c>
      <c r="B21176" s="845" t="s">
        <v>2931</v>
      </c>
      <c r="D21176" s="862"/>
      <c r="H21176" s="845" t="s">
        <v>1010</v>
      </c>
    </row>
    <row r="21177" spans="1:10" s="1062" customFormat="1" x14ac:dyDescent="0.2">
      <c r="A21177" s="859">
        <f t="shared" si="472"/>
        <v>21176</v>
      </c>
      <c r="B21177" s="1062" t="s">
        <v>2931</v>
      </c>
      <c r="D21177" s="1063"/>
      <c r="H21177" s="1062" t="s">
        <v>1007</v>
      </c>
    </row>
    <row r="21178" spans="1:10" x14ac:dyDescent="0.2">
      <c r="A21178" s="859">
        <f t="shared" si="472"/>
        <v>21177</v>
      </c>
      <c r="B21178" s="845" t="s">
        <v>2931</v>
      </c>
      <c r="D21178" s="862"/>
      <c r="I21178" s="845" t="s">
        <v>1008</v>
      </c>
    </row>
    <row r="21179" spans="1:10" x14ac:dyDescent="0.2">
      <c r="A21179" s="859">
        <f t="shared" si="472"/>
        <v>21178</v>
      </c>
      <c r="B21179" s="845" t="s">
        <v>2931</v>
      </c>
      <c r="D21179" s="862"/>
      <c r="J21179" s="845" t="s">
        <v>2878</v>
      </c>
    </row>
    <row r="21180" spans="1:10" x14ac:dyDescent="0.2">
      <c r="A21180" s="859">
        <f t="shared" si="472"/>
        <v>21179</v>
      </c>
      <c r="B21180" s="845" t="s">
        <v>2931</v>
      </c>
      <c r="D21180" s="862"/>
      <c r="I21180" s="845" t="s">
        <v>1009</v>
      </c>
    </row>
    <row r="21181" spans="1:10" x14ac:dyDescent="0.2">
      <c r="A21181" s="859">
        <f t="shared" si="472"/>
        <v>21180</v>
      </c>
      <c r="B21181" s="845" t="s">
        <v>2931</v>
      </c>
      <c r="D21181" s="862"/>
      <c r="I21181" s="845" t="str">
        <f>CONCATENATE("&lt;valeur&gt;",Cellule_14992,"&lt;/valeur&gt;")</f>
        <v>&lt;valeur&gt;0&lt;/valeur&gt;</v>
      </c>
    </row>
    <row r="21182" spans="1:10" x14ac:dyDescent="0.2">
      <c r="A21182" s="859">
        <f t="shared" si="472"/>
        <v>21181</v>
      </c>
      <c r="B21182" s="845" t="s">
        <v>2931</v>
      </c>
      <c r="D21182" s="862"/>
      <c r="H21182" s="845" t="s">
        <v>1010</v>
      </c>
    </row>
    <row r="21183" spans="1:10" x14ac:dyDescent="0.2">
      <c r="A21183" s="859">
        <f t="shared" si="472"/>
        <v>21182</v>
      </c>
      <c r="B21183" s="845" t="s">
        <v>2931</v>
      </c>
      <c r="D21183" s="862"/>
      <c r="H21183" s="845" t="s">
        <v>1007</v>
      </c>
    </row>
    <row r="21184" spans="1:10" x14ac:dyDescent="0.2">
      <c r="A21184" s="859">
        <f t="shared" si="472"/>
        <v>21183</v>
      </c>
      <c r="B21184" s="845" t="s">
        <v>2931</v>
      </c>
      <c r="D21184" s="862"/>
      <c r="I21184" s="845" t="s">
        <v>1008</v>
      </c>
    </row>
    <row r="21185" spans="1:10" x14ac:dyDescent="0.2">
      <c r="A21185" s="859">
        <f t="shared" si="472"/>
        <v>21184</v>
      </c>
      <c r="B21185" s="845" t="s">
        <v>2931</v>
      </c>
      <c r="D21185" s="862"/>
      <c r="J21185" s="845" t="s">
        <v>2879</v>
      </c>
    </row>
    <row r="21186" spans="1:10" x14ac:dyDescent="0.2">
      <c r="A21186" s="859">
        <f t="shared" si="472"/>
        <v>21185</v>
      </c>
      <c r="B21186" s="845" t="s">
        <v>2931</v>
      </c>
      <c r="D21186" s="862"/>
      <c r="I21186" s="845" t="s">
        <v>1009</v>
      </c>
    </row>
    <row r="21187" spans="1:10" x14ac:dyDescent="0.2">
      <c r="A21187" s="859">
        <f t="shared" si="472"/>
        <v>21186</v>
      </c>
      <c r="B21187" s="845" t="s">
        <v>2931</v>
      </c>
      <c r="D21187" s="862"/>
      <c r="I21187" s="845" t="str">
        <f>CONCATENATE("&lt;valeur&gt;",Cellule_14994,"&lt;/valeur&gt;")</f>
        <v>&lt;valeur&gt;0&lt;/valeur&gt;</v>
      </c>
    </row>
    <row r="21188" spans="1:10" x14ac:dyDescent="0.2">
      <c r="A21188" s="859">
        <f t="shared" ref="A21188:A21232" si="473">+A21187+1</f>
        <v>21187</v>
      </c>
      <c r="B21188" s="845" t="s">
        <v>2931</v>
      </c>
      <c r="D21188" s="862"/>
      <c r="H21188" s="845" t="s">
        <v>1010</v>
      </c>
    </row>
    <row r="21189" spans="1:10" x14ac:dyDescent="0.2">
      <c r="A21189" s="859">
        <f t="shared" si="473"/>
        <v>21188</v>
      </c>
      <c r="B21189" s="845" t="s">
        <v>2931</v>
      </c>
      <c r="D21189" s="862"/>
      <c r="H21189" s="845" t="s">
        <v>1007</v>
      </c>
    </row>
    <row r="21190" spans="1:10" x14ac:dyDescent="0.2">
      <c r="A21190" s="859">
        <f t="shared" si="473"/>
        <v>21189</v>
      </c>
      <c r="B21190" s="845" t="s">
        <v>2931</v>
      </c>
      <c r="D21190" s="862"/>
      <c r="I21190" s="845" t="s">
        <v>1008</v>
      </c>
    </row>
    <row r="21191" spans="1:10" x14ac:dyDescent="0.2">
      <c r="A21191" s="859">
        <f t="shared" si="473"/>
        <v>21190</v>
      </c>
      <c r="B21191" s="845" t="s">
        <v>2931</v>
      </c>
      <c r="D21191" s="862"/>
      <c r="J21191" s="845" t="s">
        <v>2880</v>
      </c>
    </row>
    <row r="21192" spans="1:10" x14ac:dyDescent="0.2">
      <c r="A21192" s="859">
        <f t="shared" si="473"/>
        <v>21191</v>
      </c>
      <c r="B21192" s="845" t="s">
        <v>2931</v>
      </c>
      <c r="D21192" s="862"/>
      <c r="I21192" s="845" t="s">
        <v>1009</v>
      </c>
    </row>
    <row r="21193" spans="1:10" x14ac:dyDescent="0.2">
      <c r="A21193" s="859">
        <f t="shared" si="473"/>
        <v>21192</v>
      </c>
      <c r="B21193" s="845" t="s">
        <v>2931</v>
      </c>
      <c r="D21193" s="862"/>
      <c r="I21193" s="845" t="str">
        <f>CONCATENATE("&lt;valeur&gt;",Cellule_14996,"&lt;/valeur&gt;")</f>
        <v>&lt;valeur&gt;0&lt;/valeur&gt;</v>
      </c>
    </row>
    <row r="21194" spans="1:10" x14ac:dyDescent="0.2">
      <c r="A21194" s="859">
        <f t="shared" si="473"/>
        <v>21193</v>
      </c>
      <c r="B21194" s="845" t="s">
        <v>2931</v>
      </c>
      <c r="D21194" s="862"/>
      <c r="H21194" s="845" t="s">
        <v>1010</v>
      </c>
    </row>
    <row r="21195" spans="1:10" x14ac:dyDescent="0.2">
      <c r="A21195" s="859">
        <f t="shared" si="473"/>
        <v>21194</v>
      </c>
      <c r="B21195" s="845" t="s">
        <v>2931</v>
      </c>
      <c r="D21195" s="862"/>
      <c r="H21195" s="845" t="s">
        <v>1007</v>
      </c>
    </row>
    <row r="21196" spans="1:10" x14ac:dyDescent="0.2">
      <c r="A21196" s="859">
        <f t="shared" si="473"/>
        <v>21195</v>
      </c>
      <c r="B21196" s="845" t="s">
        <v>2931</v>
      </c>
      <c r="D21196" s="862"/>
      <c r="I21196" s="845" t="s">
        <v>2881</v>
      </c>
    </row>
    <row r="21197" spans="1:10" x14ac:dyDescent="0.2">
      <c r="A21197" s="859">
        <f t="shared" si="473"/>
        <v>21196</v>
      </c>
      <c r="B21197" s="845" t="s">
        <v>2931</v>
      </c>
      <c r="D21197" s="862"/>
      <c r="I21197" s="845" t="str">
        <f>CONCATENATE("&lt;valeur&gt;",Cellule_14355_1,"&lt;/valeur&gt;")</f>
        <v>&lt;valeur&gt;- &lt;/valeur&gt;</v>
      </c>
    </row>
    <row r="21198" spans="1:10" x14ac:dyDescent="0.2">
      <c r="A21198" s="859">
        <f t="shared" si="473"/>
        <v>21197</v>
      </c>
      <c r="B21198" s="845" t="s">
        <v>2931</v>
      </c>
      <c r="D21198" s="862"/>
      <c r="I21198" s="845" t="s">
        <v>1249</v>
      </c>
    </row>
    <row r="21199" spans="1:10" x14ac:dyDescent="0.2">
      <c r="A21199" s="859">
        <f t="shared" si="473"/>
        <v>21198</v>
      </c>
      <c r="B21199" s="845" t="s">
        <v>2931</v>
      </c>
      <c r="D21199" s="862"/>
      <c r="H21199" s="845" t="s">
        <v>1010</v>
      </c>
    </row>
    <row r="21200" spans="1:10" x14ac:dyDescent="0.2">
      <c r="A21200" s="859">
        <f t="shared" si="473"/>
        <v>21199</v>
      </c>
      <c r="B21200" s="845" t="s">
        <v>2931</v>
      </c>
      <c r="D21200" s="862"/>
      <c r="H21200" s="845" t="s">
        <v>1007</v>
      </c>
    </row>
    <row r="21201" spans="1:9" x14ac:dyDescent="0.2">
      <c r="A21201" s="859">
        <f t="shared" si="473"/>
        <v>21200</v>
      </c>
      <c r="B21201" s="845" t="s">
        <v>2931</v>
      </c>
      <c r="D21201" s="862"/>
      <c r="I21201" s="845" t="s">
        <v>2882</v>
      </c>
    </row>
    <row r="21202" spans="1:9" x14ac:dyDescent="0.2">
      <c r="A21202" s="859">
        <f t="shared" si="473"/>
        <v>21201</v>
      </c>
      <c r="B21202" s="845" t="s">
        <v>2931</v>
      </c>
      <c r="D21202" s="862"/>
      <c r="I21202" s="845" t="str">
        <f>CONCATENATE("&lt;valeur&gt;",Cellule_14356_1,"&lt;/valeur&gt;")</f>
        <v>&lt;valeur&gt;0&lt;/valeur&gt;</v>
      </c>
    </row>
    <row r="21203" spans="1:9" x14ac:dyDescent="0.2">
      <c r="A21203" s="859">
        <f t="shared" si="473"/>
        <v>21202</v>
      </c>
      <c r="B21203" s="845" t="s">
        <v>2931</v>
      </c>
      <c r="D21203" s="862"/>
      <c r="I21203" s="845" t="s">
        <v>1249</v>
      </c>
    </row>
    <row r="21204" spans="1:9" x14ac:dyDescent="0.2">
      <c r="A21204" s="859">
        <f t="shared" si="473"/>
        <v>21203</v>
      </c>
      <c r="B21204" s="845" t="s">
        <v>2931</v>
      </c>
      <c r="D21204" s="862"/>
      <c r="H21204" s="845" t="s">
        <v>1010</v>
      </c>
    </row>
    <row r="21205" spans="1:9" x14ac:dyDescent="0.2">
      <c r="A21205" s="859">
        <f t="shared" si="473"/>
        <v>21204</v>
      </c>
      <c r="B21205" s="845" t="s">
        <v>2931</v>
      </c>
      <c r="D21205" s="862"/>
      <c r="H21205" s="845" t="s">
        <v>1007</v>
      </c>
    </row>
    <row r="21206" spans="1:9" x14ac:dyDescent="0.2">
      <c r="A21206" s="859">
        <f t="shared" si="473"/>
        <v>21205</v>
      </c>
      <c r="B21206" s="845" t="s">
        <v>2931</v>
      </c>
      <c r="D21206" s="862"/>
      <c r="I21206" s="845" t="s">
        <v>2881</v>
      </c>
    </row>
    <row r="21207" spans="1:9" x14ac:dyDescent="0.2">
      <c r="A21207" s="859">
        <f t="shared" si="473"/>
        <v>21206</v>
      </c>
      <c r="B21207" s="845" t="s">
        <v>2931</v>
      </c>
      <c r="D21207" s="862"/>
      <c r="I21207" s="845" t="str">
        <f>CONCATENATE("&lt;valeur&gt;",Cellule_14355_2,"&lt;/valeur&gt;")</f>
        <v>&lt;valeur&gt;- &lt;/valeur&gt;</v>
      </c>
    </row>
    <row r="21208" spans="1:9" x14ac:dyDescent="0.2">
      <c r="A21208" s="859">
        <f t="shared" si="473"/>
        <v>21207</v>
      </c>
      <c r="B21208" s="845" t="s">
        <v>2931</v>
      </c>
      <c r="D21208" s="862"/>
      <c r="I21208" s="845" t="s">
        <v>2577</v>
      </c>
    </row>
    <row r="21209" spans="1:9" x14ac:dyDescent="0.2">
      <c r="A21209" s="859">
        <f t="shared" si="473"/>
        <v>21208</v>
      </c>
      <c r="B21209" s="845" t="s">
        <v>2931</v>
      </c>
      <c r="D21209" s="862"/>
      <c r="H21209" s="845" t="s">
        <v>1010</v>
      </c>
    </row>
    <row r="21210" spans="1:9" x14ac:dyDescent="0.2">
      <c r="A21210" s="859">
        <f t="shared" si="473"/>
        <v>21209</v>
      </c>
      <c r="B21210" s="845" t="s">
        <v>2931</v>
      </c>
      <c r="D21210" s="862"/>
      <c r="H21210" s="845" t="s">
        <v>1007</v>
      </c>
    </row>
    <row r="21211" spans="1:9" x14ac:dyDescent="0.2">
      <c r="A21211" s="859">
        <f t="shared" si="473"/>
        <v>21210</v>
      </c>
      <c r="B21211" s="845" t="s">
        <v>2931</v>
      </c>
      <c r="D21211" s="862"/>
      <c r="I21211" s="845" t="s">
        <v>2882</v>
      </c>
    </row>
    <row r="21212" spans="1:9" x14ac:dyDescent="0.2">
      <c r="A21212" s="859">
        <f t="shared" si="473"/>
        <v>21211</v>
      </c>
      <c r="B21212" s="845" t="s">
        <v>2931</v>
      </c>
      <c r="D21212" s="862"/>
      <c r="I21212" s="845" t="str">
        <f>CONCATENATE("&lt;valeur&gt;",Cellule_14356_2,"&lt;/valeur&gt;")</f>
        <v>&lt;valeur&gt;0&lt;/valeur&gt;</v>
      </c>
    </row>
    <row r="21213" spans="1:9" x14ac:dyDescent="0.2">
      <c r="A21213" s="859">
        <f t="shared" si="473"/>
        <v>21212</v>
      </c>
      <c r="B21213" s="845" t="s">
        <v>2931</v>
      </c>
      <c r="D21213" s="862"/>
      <c r="I21213" s="845" t="s">
        <v>2577</v>
      </c>
    </row>
    <row r="21214" spans="1:9" x14ac:dyDescent="0.2">
      <c r="A21214" s="859">
        <f t="shared" si="473"/>
        <v>21213</v>
      </c>
      <c r="B21214" s="845" t="s">
        <v>2931</v>
      </c>
      <c r="D21214" s="862"/>
      <c r="H21214" s="845" t="s">
        <v>1010</v>
      </c>
    </row>
    <row r="21215" spans="1:9" x14ac:dyDescent="0.2">
      <c r="A21215" s="859">
        <f t="shared" si="473"/>
        <v>21214</v>
      </c>
      <c r="B21215" s="845" t="s">
        <v>2931</v>
      </c>
      <c r="D21215" s="862"/>
      <c r="H21215" s="845" t="s">
        <v>1007</v>
      </c>
    </row>
    <row r="21216" spans="1:9" x14ac:dyDescent="0.2">
      <c r="A21216" s="859">
        <f t="shared" si="473"/>
        <v>21215</v>
      </c>
      <c r="B21216" s="845" t="s">
        <v>2931</v>
      </c>
      <c r="D21216" s="862"/>
      <c r="I21216" s="845" t="s">
        <v>1008</v>
      </c>
    </row>
    <row r="21217" spans="1:10" x14ac:dyDescent="0.2">
      <c r="A21217" s="859">
        <f t="shared" si="473"/>
        <v>21216</v>
      </c>
      <c r="B21217" s="845" t="s">
        <v>2931</v>
      </c>
      <c r="D21217" s="862"/>
      <c r="J21217" s="845" t="s">
        <v>2883</v>
      </c>
    </row>
    <row r="21218" spans="1:10" x14ac:dyDescent="0.2">
      <c r="A21218" s="859">
        <f t="shared" si="473"/>
        <v>21217</v>
      </c>
      <c r="B21218" s="845" t="s">
        <v>2931</v>
      </c>
      <c r="D21218" s="862"/>
      <c r="I21218" s="845" t="s">
        <v>1009</v>
      </c>
    </row>
    <row r="21219" spans="1:10" x14ac:dyDescent="0.2">
      <c r="A21219" s="859">
        <f t="shared" si="473"/>
        <v>21218</v>
      </c>
      <c r="B21219" s="845" t="s">
        <v>2931</v>
      </c>
      <c r="D21219" s="862"/>
      <c r="I21219" s="845" t="str">
        <f>CONCATENATE("&lt;valeur&gt;",Cellule_14415,"&lt;/valeur&gt;")</f>
        <v>&lt;valeur&gt;0&lt;/valeur&gt;</v>
      </c>
    </row>
    <row r="21220" spans="1:10" x14ac:dyDescent="0.2">
      <c r="A21220" s="859">
        <f t="shared" si="473"/>
        <v>21219</v>
      </c>
      <c r="B21220" s="845" t="s">
        <v>2931</v>
      </c>
      <c r="D21220" s="862"/>
      <c r="H21220" s="845" t="s">
        <v>1010</v>
      </c>
    </row>
    <row r="21221" spans="1:10" x14ac:dyDescent="0.2">
      <c r="A21221" s="859">
        <f t="shared" si="473"/>
        <v>21220</v>
      </c>
      <c r="B21221" s="845" t="s">
        <v>2931</v>
      </c>
      <c r="D21221" s="862"/>
      <c r="H21221" s="845" t="s">
        <v>1007</v>
      </c>
    </row>
    <row r="21222" spans="1:10" x14ac:dyDescent="0.2">
      <c r="A21222" s="859">
        <f t="shared" si="473"/>
        <v>21221</v>
      </c>
      <c r="B21222" s="845" t="s">
        <v>2931</v>
      </c>
      <c r="D21222" s="862"/>
      <c r="I21222" s="845" t="s">
        <v>1008</v>
      </c>
    </row>
    <row r="21223" spans="1:10" x14ac:dyDescent="0.2">
      <c r="A21223" s="859">
        <f t="shared" si="473"/>
        <v>21222</v>
      </c>
      <c r="B21223" s="845" t="s">
        <v>2931</v>
      </c>
      <c r="D21223" s="862"/>
      <c r="J21223" s="845" t="s">
        <v>2884</v>
      </c>
    </row>
    <row r="21224" spans="1:10" x14ac:dyDescent="0.2">
      <c r="A21224" s="859">
        <f t="shared" si="473"/>
        <v>21223</v>
      </c>
      <c r="B21224" s="845" t="s">
        <v>2931</v>
      </c>
      <c r="D21224" s="862"/>
      <c r="I21224" s="845" t="s">
        <v>1009</v>
      </c>
    </row>
    <row r="21225" spans="1:10" x14ac:dyDescent="0.2">
      <c r="A21225" s="859">
        <f t="shared" si="473"/>
        <v>21224</v>
      </c>
      <c r="B21225" s="845" t="s">
        <v>2931</v>
      </c>
      <c r="D21225" s="862"/>
      <c r="I21225" s="845" t="str">
        <f>CONCATENATE("&lt;valeur&gt;",Cellule_14380,"&lt;/valeur&gt;")</f>
        <v>&lt;valeur&gt;0&lt;/valeur&gt;</v>
      </c>
    </row>
    <row r="21226" spans="1:10" x14ac:dyDescent="0.2">
      <c r="A21226" s="859">
        <f t="shared" si="473"/>
        <v>21225</v>
      </c>
      <c r="B21226" s="845" t="s">
        <v>2931</v>
      </c>
      <c r="D21226" s="862"/>
      <c r="H21226" s="845" t="s">
        <v>1010</v>
      </c>
    </row>
    <row r="21227" spans="1:10" x14ac:dyDescent="0.2">
      <c r="A21227" s="859">
        <f t="shared" si="473"/>
        <v>21226</v>
      </c>
      <c r="B21227" s="845" t="s">
        <v>2931</v>
      </c>
      <c r="D21227" s="862"/>
      <c r="G21227" s="845" t="s">
        <v>1011</v>
      </c>
    </row>
    <row r="21228" spans="1:10" x14ac:dyDescent="0.2">
      <c r="A21228" s="859">
        <f t="shared" si="473"/>
        <v>21227</v>
      </c>
      <c r="B21228" s="845" t="s">
        <v>2931</v>
      </c>
      <c r="D21228" s="862"/>
      <c r="G21228" s="845" t="s">
        <v>1012</v>
      </c>
    </row>
    <row r="21229" spans="1:10" x14ac:dyDescent="0.2">
      <c r="A21229" s="859">
        <f t="shared" si="473"/>
        <v>21228</v>
      </c>
      <c r="B21229" s="845" t="s">
        <v>2931</v>
      </c>
      <c r="D21229" s="862"/>
      <c r="G21229" s="845" t="s">
        <v>1013</v>
      </c>
    </row>
    <row r="21230" spans="1:10" x14ac:dyDescent="0.2">
      <c r="A21230" s="859">
        <f t="shared" si="473"/>
        <v>21229</v>
      </c>
      <c r="B21230" s="845" t="s">
        <v>2931</v>
      </c>
      <c r="D21230" s="862"/>
      <c r="F21230" s="845" t="s">
        <v>1014</v>
      </c>
    </row>
    <row r="21231" spans="1:10" x14ac:dyDescent="0.2">
      <c r="A21231" s="859">
        <f t="shared" si="473"/>
        <v>21230</v>
      </c>
      <c r="B21231" s="845" t="s">
        <v>2576</v>
      </c>
      <c r="D21231" s="861"/>
      <c r="E21231" s="845" t="s">
        <v>1019</v>
      </c>
    </row>
    <row r="21232" spans="1:10" x14ac:dyDescent="0.2">
      <c r="A21232" s="859">
        <f t="shared" si="473"/>
        <v>21231</v>
      </c>
      <c r="B21232" s="845" t="s">
        <v>2576</v>
      </c>
      <c r="D21232" s="861" t="s">
        <v>1020</v>
      </c>
    </row>
    <row r="21233" spans="4:4" x14ac:dyDescent="0.2">
      <c r="D21233" s="862"/>
    </row>
    <row r="21234" spans="4:4" x14ac:dyDescent="0.2">
      <c r="D21234" s="863"/>
    </row>
    <row r="21235" spans="4:4" x14ac:dyDescent="0.2">
      <c r="D21235" s="862"/>
    </row>
    <row r="21236" spans="4:4" x14ac:dyDescent="0.2">
      <c r="D21236" s="862"/>
    </row>
    <row r="21237" spans="4:4" x14ac:dyDescent="0.2">
      <c r="D21237" s="861"/>
    </row>
    <row r="21238" spans="4:4" x14ac:dyDescent="0.2">
      <c r="D21238" s="861"/>
    </row>
    <row r="21239" spans="4:4" x14ac:dyDescent="0.2">
      <c r="D21239" s="862"/>
    </row>
    <row r="21240" spans="4:4" x14ac:dyDescent="0.2">
      <c r="D21240" s="863"/>
    </row>
    <row r="21241" spans="4:4" x14ac:dyDescent="0.2">
      <c r="D21241" s="862"/>
    </row>
    <row r="21242" spans="4:4" x14ac:dyDescent="0.2">
      <c r="D21242" s="862"/>
    </row>
    <row r="21243" spans="4:4" x14ac:dyDescent="0.2">
      <c r="D21243" s="861"/>
    </row>
    <row r="21244" spans="4:4" x14ac:dyDescent="0.2">
      <c r="D21244" s="861"/>
    </row>
    <row r="21245" spans="4:4" x14ac:dyDescent="0.2">
      <c r="D21245" s="862"/>
    </row>
    <row r="21246" spans="4:4" x14ac:dyDescent="0.2">
      <c r="D21246" s="863"/>
    </row>
    <row r="21247" spans="4:4" x14ac:dyDescent="0.2">
      <c r="D21247" s="862"/>
    </row>
    <row r="21248" spans="4:4" x14ac:dyDescent="0.2">
      <c r="D21248" s="862"/>
    </row>
    <row r="21249" spans="4:4" x14ac:dyDescent="0.2">
      <c r="D21249" s="861"/>
    </row>
    <row r="21250" spans="4:4" x14ac:dyDescent="0.2">
      <c r="D21250" s="861"/>
    </row>
    <row r="21251" spans="4:4" x14ac:dyDescent="0.2">
      <c r="D21251" s="862"/>
    </row>
    <row r="21252" spans="4:4" x14ac:dyDescent="0.2">
      <c r="D21252" s="863"/>
    </row>
    <row r="21253" spans="4:4" x14ac:dyDescent="0.2">
      <c r="D21253" s="862"/>
    </row>
    <row r="21254" spans="4:4" x14ac:dyDescent="0.2">
      <c r="D21254" s="862"/>
    </row>
    <row r="21255" spans="4:4" x14ac:dyDescent="0.2">
      <c r="D21255" s="861"/>
    </row>
    <row r="21256" spans="4:4" x14ac:dyDescent="0.2">
      <c r="D21256" s="861"/>
    </row>
    <row r="21257" spans="4:4" x14ac:dyDescent="0.2">
      <c r="D21257" s="862"/>
    </row>
    <row r="21258" spans="4:4" x14ac:dyDescent="0.2">
      <c r="D21258" s="863"/>
    </row>
    <row r="21259" spans="4:4" x14ac:dyDescent="0.2">
      <c r="D21259" s="862"/>
    </row>
    <row r="21260" spans="4:4" x14ac:dyDescent="0.2">
      <c r="D21260" s="862"/>
    </row>
    <row r="21261" spans="4:4" x14ac:dyDescent="0.2">
      <c r="D21261" s="861"/>
    </row>
    <row r="21262" spans="4:4" x14ac:dyDescent="0.2">
      <c r="D21262" s="861"/>
    </row>
    <row r="21263" spans="4:4" x14ac:dyDescent="0.2">
      <c r="D21263" s="862"/>
    </row>
    <row r="21264" spans="4:4" x14ac:dyDescent="0.2">
      <c r="D21264" s="863"/>
    </row>
    <row r="21265" spans="4:4" x14ac:dyDescent="0.2">
      <c r="D21265" s="862"/>
    </row>
    <row r="21266" spans="4:4" x14ac:dyDescent="0.2">
      <c r="D21266" s="862"/>
    </row>
    <row r="21267" spans="4:4" x14ac:dyDescent="0.2">
      <c r="D21267" s="861"/>
    </row>
    <row r="21268" spans="4:4" x14ac:dyDescent="0.2">
      <c r="D21268" s="861"/>
    </row>
    <row r="21269" spans="4:4" x14ac:dyDescent="0.2">
      <c r="D21269" s="862"/>
    </row>
    <row r="21270" spans="4:4" x14ac:dyDescent="0.2">
      <c r="D21270" s="863"/>
    </row>
    <row r="21271" spans="4:4" x14ac:dyDescent="0.2">
      <c r="D21271" s="862"/>
    </row>
    <row r="21272" spans="4:4" x14ac:dyDescent="0.2">
      <c r="D21272" s="862"/>
    </row>
    <row r="21273" spans="4:4" x14ac:dyDescent="0.2">
      <c r="D21273" s="861"/>
    </row>
    <row r="21274" spans="4:4" x14ac:dyDescent="0.2">
      <c r="D21274" s="861"/>
    </row>
    <row r="21275" spans="4:4" x14ac:dyDescent="0.2">
      <c r="D21275" s="862"/>
    </row>
    <row r="21276" spans="4:4" x14ac:dyDescent="0.2">
      <c r="D21276" s="863"/>
    </row>
    <row r="21277" spans="4:4" x14ac:dyDescent="0.2">
      <c r="D21277" s="862"/>
    </row>
    <row r="21278" spans="4:4" x14ac:dyDescent="0.2">
      <c r="D21278" s="862"/>
    </row>
    <row r="21279" spans="4:4" x14ac:dyDescent="0.2">
      <c r="D21279" s="861"/>
    </row>
    <row r="21280" spans="4:4" x14ac:dyDescent="0.2">
      <c r="D21280" s="861"/>
    </row>
    <row r="21281" spans="4:4" x14ac:dyDescent="0.2">
      <c r="D21281" s="862"/>
    </row>
    <row r="21282" spans="4:4" x14ac:dyDescent="0.2">
      <c r="D21282" s="863"/>
    </row>
    <row r="21283" spans="4:4" x14ac:dyDescent="0.2">
      <c r="D21283" s="862"/>
    </row>
    <row r="21284" spans="4:4" x14ac:dyDescent="0.2">
      <c r="D21284" s="862"/>
    </row>
    <row r="21285" spans="4:4" x14ac:dyDescent="0.2">
      <c r="D21285" s="861"/>
    </row>
    <row r="21286" spans="4:4" x14ac:dyDescent="0.2">
      <c r="D21286" s="861"/>
    </row>
    <row r="21287" spans="4:4" x14ac:dyDescent="0.2">
      <c r="D21287" s="862"/>
    </row>
    <row r="21288" spans="4:4" x14ac:dyDescent="0.2">
      <c r="D21288" s="863"/>
    </row>
    <row r="21289" spans="4:4" x14ac:dyDescent="0.2">
      <c r="D21289" s="862"/>
    </row>
    <row r="21290" spans="4:4" x14ac:dyDescent="0.2">
      <c r="D21290" s="862"/>
    </row>
    <row r="21291" spans="4:4" x14ac:dyDescent="0.2">
      <c r="D21291" s="861"/>
    </row>
    <row r="21292" spans="4:4" x14ac:dyDescent="0.2">
      <c r="D21292" s="861"/>
    </row>
    <row r="21293" spans="4:4" x14ac:dyDescent="0.2">
      <c r="D21293" s="862"/>
    </row>
    <row r="21294" spans="4:4" x14ac:dyDescent="0.2">
      <c r="D21294" s="863"/>
    </row>
    <row r="21295" spans="4:4" x14ac:dyDescent="0.2">
      <c r="D21295" s="862"/>
    </row>
    <row r="21296" spans="4:4" x14ac:dyDescent="0.2">
      <c r="D21296" s="862"/>
    </row>
    <row r="21297" spans="4:4" x14ac:dyDescent="0.2">
      <c r="D21297" s="861"/>
    </row>
    <row r="21298" spans="4:4" x14ac:dyDescent="0.2">
      <c r="D21298" s="861"/>
    </row>
    <row r="21299" spans="4:4" x14ac:dyDescent="0.2">
      <c r="D21299" s="862"/>
    </row>
    <row r="21300" spans="4:4" x14ac:dyDescent="0.2">
      <c r="D21300" s="863"/>
    </row>
    <row r="21301" spans="4:4" x14ac:dyDescent="0.2">
      <c r="D21301" s="862"/>
    </row>
    <row r="21302" spans="4:4" x14ac:dyDescent="0.2">
      <c r="D21302" s="862"/>
    </row>
    <row r="21303" spans="4:4" x14ac:dyDescent="0.2">
      <c r="D21303" s="861"/>
    </row>
    <row r="21304" spans="4:4" x14ac:dyDescent="0.2">
      <c r="D21304" s="861"/>
    </row>
    <row r="21305" spans="4:4" x14ac:dyDescent="0.2">
      <c r="D21305" s="862"/>
    </row>
    <row r="21306" spans="4:4" x14ac:dyDescent="0.2">
      <c r="D21306" s="863"/>
    </row>
    <row r="21307" spans="4:4" x14ac:dyDescent="0.2">
      <c r="D21307" s="862"/>
    </row>
    <row r="21308" spans="4:4" x14ac:dyDescent="0.2">
      <c r="D21308" s="862"/>
    </row>
    <row r="21309" spans="4:4" x14ac:dyDescent="0.2">
      <c r="D21309" s="861"/>
    </row>
    <row r="21310" spans="4:4" x14ac:dyDescent="0.2">
      <c r="D21310" s="861"/>
    </row>
    <row r="21311" spans="4:4" x14ac:dyDescent="0.2">
      <c r="D21311" s="862"/>
    </row>
    <row r="21312" spans="4:4" x14ac:dyDescent="0.2">
      <c r="D21312" s="863"/>
    </row>
    <row r="21313" spans="4:4" x14ac:dyDescent="0.2">
      <c r="D21313" s="862"/>
    </row>
    <row r="21314" spans="4:4" x14ac:dyDescent="0.2">
      <c r="D21314" s="862"/>
    </row>
    <row r="21315" spans="4:4" x14ac:dyDescent="0.2">
      <c r="D21315" s="861"/>
    </row>
    <row r="21316" spans="4:4" x14ac:dyDescent="0.2">
      <c r="D21316" s="861"/>
    </row>
    <row r="21317" spans="4:4" x14ac:dyDescent="0.2">
      <c r="D21317" s="862"/>
    </row>
    <row r="21318" spans="4:4" x14ac:dyDescent="0.2">
      <c r="D21318" s="863"/>
    </row>
    <row r="21319" spans="4:4" x14ac:dyDescent="0.2">
      <c r="D21319" s="862"/>
    </row>
    <row r="21320" spans="4:4" x14ac:dyDescent="0.2">
      <c r="D21320" s="862"/>
    </row>
    <row r="21321" spans="4:4" x14ac:dyDescent="0.2">
      <c r="D21321" s="861"/>
    </row>
    <row r="21322" spans="4:4" x14ac:dyDescent="0.2">
      <c r="D21322" s="861"/>
    </row>
    <row r="21323" spans="4:4" x14ac:dyDescent="0.2">
      <c r="D21323" s="862"/>
    </row>
    <row r="21324" spans="4:4" x14ac:dyDescent="0.2">
      <c r="D21324" s="863"/>
    </row>
    <row r="21325" spans="4:4" x14ac:dyDescent="0.2">
      <c r="D21325" s="862"/>
    </row>
    <row r="21326" spans="4:4" x14ac:dyDescent="0.2">
      <c r="D21326" s="862"/>
    </row>
    <row r="21327" spans="4:4" x14ac:dyDescent="0.2">
      <c r="D21327" s="861"/>
    </row>
    <row r="21328" spans="4:4" x14ac:dyDescent="0.2">
      <c r="D21328" s="861"/>
    </row>
    <row r="21329" spans="4:4" x14ac:dyDescent="0.2">
      <c r="D21329" s="862"/>
    </row>
    <row r="21330" spans="4:4" x14ac:dyDescent="0.2">
      <c r="D21330" s="863"/>
    </row>
    <row r="21331" spans="4:4" x14ac:dyDescent="0.2">
      <c r="D21331" s="862"/>
    </row>
    <row r="21332" spans="4:4" x14ac:dyDescent="0.2">
      <c r="D21332" s="862"/>
    </row>
    <row r="21333" spans="4:4" x14ac:dyDescent="0.2">
      <c r="D21333" s="861"/>
    </row>
    <row r="21334" spans="4:4" x14ac:dyDescent="0.2">
      <c r="D21334" s="861"/>
    </row>
    <row r="21335" spans="4:4" x14ac:dyDescent="0.2">
      <c r="D21335" s="862"/>
    </row>
    <row r="21336" spans="4:4" x14ac:dyDescent="0.2">
      <c r="D21336" s="863"/>
    </row>
    <row r="21337" spans="4:4" x14ac:dyDescent="0.2">
      <c r="D21337" s="862"/>
    </row>
    <row r="21338" spans="4:4" x14ac:dyDescent="0.2">
      <c r="D21338" s="862"/>
    </row>
    <row r="21339" spans="4:4" x14ac:dyDescent="0.2">
      <c r="D21339" s="861"/>
    </row>
    <row r="21340" spans="4:4" x14ac:dyDescent="0.2">
      <c r="D21340" s="861"/>
    </row>
    <row r="21341" spans="4:4" x14ac:dyDescent="0.2">
      <c r="D21341" s="862"/>
    </row>
    <row r="21342" spans="4:4" x14ac:dyDescent="0.2">
      <c r="D21342" s="863"/>
    </row>
    <row r="21343" spans="4:4" x14ac:dyDescent="0.2">
      <c r="D21343" s="862"/>
    </row>
    <row r="21344" spans="4:4" x14ac:dyDescent="0.2">
      <c r="D21344" s="862"/>
    </row>
    <row r="21345" spans="4:4" x14ac:dyDescent="0.2">
      <c r="D21345" s="861"/>
    </row>
    <row r="21346" spans="4:4" x14ac:dyDescent="0.2">
      <c r="D21346" s="861"/>
    </row>
    <row r="21347" spans="4:4" x14ac:dyDescent="0.2">
      <c r="D21347" s="862"/>
    </row>
    <row r="21348" spans="4:4" x14ac:dyDescent="0.2">
      <c r="D21348" s="863"/>
    </row>
    <row r="21349" spans="4:4" x14ac:dyDescent="0.2">
      <c r="D21349" s="862"/>
    </row>
    <row r="21350" spans="4:4" x14ac:dyDescent="0.2">
      <c r="D21350" s="862"/>
    </row>
    <row r="21351" spans="4:4" x14ac:dyDescent="0.2">
      <c r="D21351" s="861"/>
    </row>
    <row r="21352" spans="4:4" x14ac:dyDescent="0.2">
      <c r="D21352" s="861"/>
    </row>
    <row r="21353" spans="4:4" x14ac:dyDescent="0.2">
      <c r="D21353" s="862"/>
    </row>
    <row r="21354" spans="4:4" x14ac:dyDescent="0.2">
      <c r="D21354" s="863"/>
    </row>
    <row r="21355" spans="4:4" x14ac:dyDescent="0.2">
      <c r="D21355" s="862"/>
    </row>
    <row r="21356" spans="4:4" x14ac:dyDescent="0.2">
      <c r="D21356" s="862"/>
    </row>
    <row r="21357" spans="4:4" x14ac:dyDescent="0.2">
      <c r="D21357" s="861"/>
    </row>
    <row r="21358" spans="4:4" x14ac:dyDescent="0.2">
      <c r="D21358" s="861"/>
    </row>
    <row r="21359" spans="4:4" x14ac:dyDescent="0.2">
      <c r="D21359" s="862"/>
    </row>
    <row r="21360" spans="4:4" x14ac:dyDescent="0.2">
      <c r="D21360" s="863"/>
    </row>
    <row r="21361" spans="4:4" x14ac:dyDescent="0.2">
      <c r="D21361" s="862"/>
    </row>
    <row r="21362" spans="4:4" x14ac:dyDescent="0.2">
      <c r="D21362" s="862"/>
    </row>
    <row r="21363" spans="4:4" x14ac:dyDescent="0.2">
      <c r="D21363" s="861"/>
    </row>
    <row r="21364" spans="4:4" x14ac:dyDescent="0.2">
      <c r="D21364" s="861"/>
    </row>
    <row r="21365" spans="4:4" x14ac:dyDescent="0.2">
      <c r="D21365" s="862"/>
    </row>
    <row r="21366" spans="4:4" x14ac:dyDescent="0.2">
      <c r="D21366" s="863"/>
    </row>
    <row r="21367" spans="4:4" x14ac:dyDescent="0.2">
      <c r="D21367" s="862"/>
    </row>
    <row r="21368" spans="4:4" x14ac:dyDescent="0.2">
      <c r="D21368" s="862"/>
    </row>
    <row r="21369" spans="4:4" x14ac:dyDescent="0.2">
      <c r="D21369" s="861"/>
    </row>
    <row r="21370" spans="4:4" x14ac:dyDescent="0.2">
      <c r="D21370" s="861"/>
    </row>
    <row r="21371" spans="4:4" x14ac:dyDescent="0.2">
      <c r="D21371" s="862"/>
    </row>
    <row r="21372" spans="4:4" x14ac:dyDescent="0.2">
      <c r="D21372" s="863"/>
    </row>
    <row r="21373" spans="4:4" x14ac:dyDescent="0.2">
      <c r="D21373" s="862"/>
    </row>
    <row r="21374" spans="4:4" x14ac:dyDescent="0.2">
      <c r="D21374" s="862"/>
    </row>
    <row r="21375" spans="4:4" x14ac:dyDescent="0.2">
      <c r="D21375" s="861"/>
    </row>
    <row r="21376" spans="4:4" x14ac:dyDescent="0.2">
      <c r="D21376" s="861"/>
    </row>
    <row r="21377" spans="4:4" x14ac:dyDescent="0.2">
      <c r="D21377" s="862"/>
    </row>
    <row r="21378" spans="4:4" x14ac:dyDescent="0.2">
      <c r="D21378" s="863"/>
    </row>
    <row r="21379" spans="4:4" x14ac:dyDescent="0.2">
      <c r="D21379" s="862"/>
    </row>
    <row r="21380" spans="4:4" x14ac:dyDescent="0.2">
      <c r="D21380" s="862"/>
    </row>
    <row r="21381" spans="4:4" x14ac:dyDescent="0.2">
      <c r="D21381" s="861"/>
    </row>
    <row r="21382" spans="4:4" x14ac:dyDescent="0.2">
      <c r="D21382" s="861"/>
    </row>
    <row r="21383" spans="4:4" x14ac:dyDescent="0.2">
      <c r="D21383" s="862"/>
    </row>
    <row r="21384" spans="4:4" x14ac:dyDescent="0.2">
      <c r="D21384" s="863"/>
    </row>
    <row r="21385" spans="4:4" x14ac:dyDescent="0.2">
      <c r="D21385" s="862"/>
    </row>
    <row r="21386" spans="4:4" x14ac:dyDescent="0.2">
      <c r="D21386" s="862"/>
    </row>
    <row r="21387" spans="4:4" x14ac:dyDescent="0.2">
      <c r="D21387" s="861"/>
    </row>
    <row r="21388" spans="4:4" x14ac:dyDescent="0.2">
      <c r="D21388" s="861"/>
    </row>
    <row r="21389" spans="4:4" x14ac:dyDescent="0.2">
      <c r="D21389" s="862"/>
    </row>
    <row r="21390" spans="4:4" x14ac:dyDescent="0.2">
      <c r="D21390" s="863"/>
    </row>
    <row r="21391" spans="4:4" x14ac:dyDescent="0.2">
      <c r="D21391" s="862"/>
    </row>
    <row r="21392" spans="4:4" x14ac:dyDescent="0.2">
      <c r="D21392" s="862"/>
    </row>
    <row r="21393" spans="4:4" x14ac:dyDescent="0.2">
      <c r="D21393" s="861"/>
    </row>
    <row r="21394" spans="4:4" x14ac:dyDescent="0.2">
      <c r="D21394" s="861"/>
    </row>
    <row r="21395" spans="4:4" x14ac:dyDescent="0.2">
      <c r="D21395" s="862"/>
    </row>
    <row r="21396" spans="4:4" x14ac:dyDescent="0.2">
      <c r="D21396" s="863"/>
    </row>
    <row r="21397" spans="4:4" x14ac:dyDescent="0.2">
      <c r="D21397" s="862"/>
    </row>
    <row r="21398" spans="4:4" x14ac:dyDescent="0.2">
      <c r="D21398" s="862"/>
    </row>
    <row r="21399" spans="4:4" x14ac:dyDescent="0.2">
      <c r="D21399" s="861"/>
    </row>
    <row r="21400" spans="4:4" x14ac:dyDescent="0.2">
      <c r="D21400" s="861"/>
    </row>
    <row r="21401" spans="4:4" x14ac:dyDescent="0.2">
      <c r="D21401" s="862"/>
    </row>
    <row r="21402" spans="4:4" x14ac:dyDescent="0.2">
      <c r="D21402" s="863"/>
    </row>
    <row r="21403" spans="4:4" x14ac:dyDescent="0.2">
      <c r="D21403" s="862"/>
    </row>
    <row r="21404" spans="4:4" x14ac:dyDescent="0.2">
      <c r="D21404" s="862"/>
    </row>
    <row r="21405" spans="4:4" x14ac:dyDescent="0.2">
      <c r="D21405" s="861"/>
    </row>
    <row r="21406" spans="4:4" x14ac:dyDescent="0.2">
      <c r="D21406" s="861"/>
    </row>
    <row r="21407" spans="4:4" x14ac:dyDescent="0.2">
      <c r="D21407" s="862"/>
    </row>
    <row r="21408" spans="4:4" x14ac:dyDescent="0.2">
      <c r="D21408" s="863"/>
    </row>
    <row r="21409" spans="4:4" x14ac:dyDescent="0.2">
      <c r="D21409" s="862"/>
    </row>
    <row r="21410" spans="4:4" x14ac:dyDescent="0.2">
      <c r="D21410" s="862"/>
    </row>
    <row r="21411" spans="4:4" x14ac:dyDescent="0.2">
      <c r="D21411" s="861"/>
    </row>
    <row r="21412" spans="4:4" x14ac:dyDescent="0.2">
      <c r="D21412" s="860"/>
    </row>
    <row r="21413" spans="4:4" x14ac:dyDescent="0.2">
      <c r="D21413" s="860"/>
    </row>
    <row r="21414" spans="4:4" x14ac:dyDescent="0.2">
      <c r="D21414" s="857"/>
    </row>
    <row r="21415" spans="4:4" x14ac:dyDescent="0.2">
      <c r="D21415" s="856"/>
    </row>
    <row r="21416" spans="4:4" x14ac:dyDescent="0.2">
      <c r="D21416" s="847"/>
    </row>
  </sheetData>
  <autoFilter ref="A1:J21232" xr:uid="{00000000-0009-0000-0000-000004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tabColor rgb="FFFF0000"/>
  </sheetPr>
  <dimension ref="A1:A21237"/>
  <sheetViews>
    <sheetView workbookViewId="0">
      <selection sqref="A1:A21231"/>
    </sheetView>
  </sheetViews>
  <sheetFormatPr baseColWidth="10" defaultColWidth="12" defaultRowHeight="12.75" x14ac:dyDescent="0.2"/>
  <cols>
    <col min="1" max="1" width="50" style="845" customWidth="1"/>
    <col min="2" max="16384" width="12" style="845"/>
  </cols>
  <sheetData>
    <row r="1" spans="1:1" x14ac:dyDescent="0.2">
      <c r="A1" s="996" t="str">
        <f>CONCATENATE(Programme!D2,Programme!E2,Programme!F2,Programme!G2,Programme!H2,Programme!I2,Programme!J2)</f>
        <v>&lt;?xml version="1.0" encoding="utf-8"?&gt;</v>
      </c>
    </row>
    <row r="2" spans="1:1" x14ac:dyDescent="0.2">
      <c r="A2" s="996" t="str">
        <f>CONCATENATE(Programme!D3,Programme!E3,Programme!F3,Programme!G3,Programme!H3,Programme!I3,Programme!J3)</f>
        <v>&lt;Liasse&gt;</v>
      </c>
    </row>
    <row r="3" spans="1:1" x14ac:dyDescent="0.2">
      <c r="A3" s="996" t="str">
        <f>CONCATENATE(Programme!D4,Programme!E4,Programme!F4,Programme!G4,Programme!H4,Programme!I4,Programme!J4)</f>
        <v>&lt;modele&gt;</v>
      </c>
    </row>
    <row r="4" spans="1:1" x14ac:dyDescent="0.2">
      <c r="A4" s="996" t="str">
        <f>CONCATENATE(Programme!D5,Programme!E5,Programme!F5,Programme!G5,Programme!H5,Programme!I5,Programme!J5)</f>
        <v>&lt;id&gt;1&lt;/id&gt;</v>
      </c>
    </row>
    <row r="5" spans="1:1" x14ac:dyDescent="0.2">
      <c r="A5" s="996" t="str">
        <f>CONCATENATE(Programme!D6,Programme!E6,Programme!F6,Programme!G6,Programme!H6,Programme!I6,Programme!J6)</f>
        <v>&lt;/modele&gt;</v>
      </c>
    </row>
    <row r="6" spans="1:1" x14ac:dyDescent="0.2">
      <c r="A6" s="996" t="str">
        <f>CONCATENATE(Programme!D7,Programme!E7,Programme!F7,Programme!G7,Programme!H7,Programme!I7,Programme!J7)</f>
        <v>&lt;resultatFiscal&gt;</v>
      </c>
    </row>
    <row r="7" spans="1:1" x14ac:dyDescent="0.2">
      <c r="A7" s="996" t="str">
        <f>CONCATENATE(Programme!D8,Programme!E8,Programme!F8,Programme!G8,Programme!H8,Programme!I8,Programme!J8)</f>
        <v>&lt;identifiantFiscal&gt;1087240&lt;/identifiantFiscal&gt;</v>
      </c>
    </row>
    <row r="8" spans="1:1" x14ac:dyDescent="0.2">
      <c r="A8" s="996" t="str">
        <f>CONCATENATE(Programme!D9,Programme!E9,Programme!F9,Programme!G9,Programme!H9,Programme!I9,Programme!J9)</f>
        <v>&lt;exerciceFiscalDu&gt;2015-01-01&lt;/exerciceFiscalDu&gt;</v>
      </c>
    </row>
    <row r="9" spans="1:1" x14ac:dyDescent="0.2">
      <c r="A9" s="996" t="str">
        <f>CONCATENATE(Programme!D10,Programme!E10,Programme!F10,Programme!G10,Programme!H10,Programme!I10,Programme!J10)</f>
        <v>&lt;exerciceFiscalAu&gt;2015-12-31&lt;/exerciceFiscalAu&gt;</v>
      </c>
    </row>
    <row r="10" spans="1:1" x14ac:dyDescent="0.2">
      <c r="A10" s="996" t="str">
        <f>CONCATENATE(Programme!D11,Programme!E11,Programme!F11,Programme!G11,Programme!H11,Programme!I11,Programme!J11)</f>
        <v>&lt;/resultatFiscal&gt;</v>
      </c>
    </row>
    <row r="11" spans="1:1" x14ac:dyDescent="0.2">
      <c r="A11" s="996" t="str">
        <f>CONCATENATE(Programme!D12,Programme!E12,Programme!F12,Programme!G12,Programme!H12,Programme!I12,Programme!J12)</f>
        <v>&lt;!-- Partie 2 : Liasse Fiscale  --&gt;</v>
      </c>
    </row>
    <row r="12" spans="1:1" x14ac:dyDescent="0.2">
      <c r="A12" s="996" t="str">
        <f>CONCATENATE(Programme!D13,Programme!E13,Programme!F13,Programme!G13,Programme!H13,Programme!I13,Programme!J13)</f>
        <v>&lt;!-- Les valeurs de chaque tableau de la liasse  --&gt;</v>
      </c>
    </row>
    <row r="13" spans="1:1" x14ac:dyDescent="0.2">
      <c r="A13" s="996" t="str">
        <f>CONCATENATE(Programme!D14,Programme!E14,Programme!F14,Programme!G14,Programme!H14,Programme!I14,Programme!J14)</f>
        <v>&lt;groupeValeursTableau&gt;</v>
      </c>
    </row>
    <row r="14" spans="1:1" x14ac:dyDescent="0.2">
      <c r="A14" s="996" t="str">
        <f>CONCATENATE(Programme!D15,Programme!E15,Programme!F15,Programme!G15,Programme!H15,Programme!I15,Programme!J15)</f>
        <v>&lt;ValeursTableau&gt;</v>
      </c>
    </row>
    <row r="15" spans="1:1" x14ac:dyDescent="0.2">
      <c r="A15" s="996" t="str">
        <f>CONCATENATE(Programme!D16,Programme!E16,Programme!F16,Programme!G16,Programme!H16,Programme!I16,Programme!J16)</f>
        <v>&lt;tableau&gt;&lt;id&gt;2&lt;/id&gt;&lt;/tableau&gt;</v>
      </c>
    </row>
    <row r="16" spans="1:1" x14ac:dyDescent="0.2">
      <c r="A16" s="996" t="str">
        <f>CONCATENATE(Programme!D17,Programme!E17,Programme!F17,Programme!G17,Programme!H17,Programme!I17,Programme!J17)</f>
        <v>&lt;groupeValeurs&gt;</v>
      </c>
    </row>
    <row r="17" spans="1:1" x14ac:dyDescent="0.2">
      <c r="A17" s="996" t="str">
        <f>CONCATENATE(Programme!D18,Programme!E18,Programme!F18,Programme!G18,Programme!H18,Programme!I18,Programme!J18)</f>
        <v>&lt;ValeurCellule&gt;</v>
      </c>
    </row>
    <row r="18" spans="1:1" x14ac:dyDescent="0.2">
      <c r="A18" s="996" t="str">
        <f>CONCATENATE(Programme!D19,Programme!E19,Programme!F19,Programme!G19,Programme!H19,Programme!I19,Programme!J19)</f>
        <v>&lt;cellule&gt;</v>
      </c>
    </row>
    <row r="19" spans="1:1" x14ac:dyDescent="0.2">
      <c r="A19" s="996" t="str">
        <f>CONCATENATE(Programme!D20,Programme!E20,Programme!F20,Programme!G20,Programme!H20,Programme!I20,Programme!J20)</f>
        <v>&lt;codeEdi&gt;238&lt;/codeEdi&gt;</v>
      </c>
    </row>
    <row r="20" spans="1:1" x14ac:dyDescent="0.2">
      <c r="A20" s="996" t="str">
        <f>CONCATENATE(Programme!D21,Programme!E21,Programme!F21,Programme!G21,Programme!H21,Programme!I21,Programme!J21)</f>
        <v>&lt;/cellule&gt;</v>
      </c>
    </row>
    <row r="21" spans="1:1" x14ac:dyDescent="0.2">
      <c r="A21" s="996" t="str">
        <f>CONCATENATE(Programme!D22,Programme!E22,Programme!F22,Programme!G22,Programme!H22,Programme!I22,Programme!J22)</f>
        <v>&lt;valeur&gt;0&lt;/valeur&gt;</v>
      </c>
    </row>
    <row r="22" spans="1:1" x14ac:dyDescent="0.2">
      <c r="A22" s="996" t="str">
        <f>CONCATENATE(Programme!D23,Programme!E23,Programme!F23,Programme!G23,Programme!H23,Programme!I23,Programme!J23)</f>
        <v>&lt;/ValeurCellule&gt;</v>
      </c>
    </row>
    <row r="23" spans="1:1" x14ac:dyDescent="0.2">
      <c r="A23" s="996" t="str">
        <f>CONCATENATE(Programme!D24,Programme!E24,Programme!F24,Programme!G24,Programme!H24,Programme!I24,Programme!J24)</f>
        <v>&lt;ValeurCellule&gt;</v>
      </c>
    </row>
    <row r="24" spans="1:1" x14ac:dyDescent="0.2">
      <c r="A24" s="996" t="str">
        <f>CONCATENATE(Programme!D25,Programme!E25,Programme!F25,Programme!G25,Programme!H25,Programme!I25,Programme!J25)</f>
        <v>&lt;cellule&gt;</v>
      </c>
    </row>
    <row r="25" spans="1:1" x14ac:dyDescent="0.2">
      <c r="A25" s="996" t="str">
        <f>CONCATENATE(Programme!D26,Programme!E26,Programme!F26,Programme!G26,Programme!H26,Programme!I26,Programme!J26)</f>
        <v>&lt;codeEdi&gt;239&lt;/codeEdi&gt;</v>
      </c>
    </row>
    <row r="26" spans="1:1" x14ac:dyDescent="0.2">
      <c r="A26" s="996" t="str">
        <f>CONCATENATE(Programme!D27,Programme!E27,Programme!F27,Programme!G27,Programme!H27,Programme!I27,Programme!J27)</f>
        <v>&lt;/cellule&gt;</v>
      </c>
    </row>
    <row r="27" spans="1:1" x14ac:dyDescent="0.2">
      <c r="A27" s="996" t="str">
        <f>CONCATENATE(Programme!D28,Programme!E28,Programme!F28,Programme!G28,Programme!H28,Programme!I28,Programme!J28)</f>
        <v>&lt;valeur&gt;0&lt;/valeur&gt;</v>
      </c>
    </row>
    <row r="28" spans="1:1" x14ac:dyDescent="0.2">
      <c r="A28" s="996" t="str">
        <f>CONCATENATE(Programme!D29,Programme!E29,Programme!F29,Programme!G29,Programme!H29,Programme!I29,Programme!J29)</f>
        <v>&lt;/ValeurCellule&gt;</v>
      </c>
    </row>
    <row r="29" spans="1:1" x14ac:dyDescent="0.2">
      <c r="A29" s="996" t="str">
        <f>CONCATENATE(Programme!D30,Programme!E30,Programme!F30,Programme!G30,Programme!H30,Programme!I30,Programme!J30)</f>
        <v>&lt;ValeurCellule&gt;</v>
      </c>
    </row>
    <row r="30" spans="1:1" x14ac:dyDescent="0.2">
      <c r="A30" s="996" t="str">
        <f>CONCATENATE(Programme!D31,Programme!E31,Programme!F31,Programme!G31,Programme!H31,Programme!I31,Programme!J31)</f>
        <v>&lt;cellule&gt;</v>
      </c>
    </row>
    <row r="31" spans="1:1" x14ac:dyDescent="0.2">
      <c r="A31" s="996" t="str">
        <f>CONCATENATE(Programme!D32,Programme!E32,Programme!F32,Programme!G32,Programme!H32,Programme!I32,Programme!J32)</f>
        <v>&lt;codeEdi&gt;240&lt;/codeEdi&gt;</v>
      </c>
    </row>
    <row r="32" spans="1:1" x14ac:dyDescent="0.2">
      <c r="A32" s="996" t="str">
        <f>CONCATENATE(Programme!D33,Programme!E33,Programme!F33,Programme!G33,Programme!H33,Programme!I33,Programme!J33)</f>
        <v>&lt;/cellule&gt;</v>
      </c>
    </row>
    <row r="33" spans="1:1" x14ac:dyDescent="0.2">
      <c r="A33" s="996" t="str">
        <f>CONCATENATE(Programme!D34,Programme!E34,Programme!F34,Programme!G34,Programme!H34,Programme!I34,Programme!J34)</f>
        <v>&lt;valeur&gt;0&lt;/valeur&gt;</v>
      </c>
    </row>
    <row r="34" spans="1:1" x14ac:dyDescent="0.2">
      <c r="A34" s="996" t="str">
        <f>CONCATENATE(Programme!D35,Programme!E35,Programme!F35,Programme!G35,Programme!H35,Programme!I35,Programme!J35)</f>
        <v>&lt;/ValeurCellule&gt;</v>
      </c>
    </row>
    <row r="35" spans="1:1" x14ac:dyDescent="0.2">
      <c r="A35" s="996" t="str">
        <f>CONCATENATE(Programme!D36,Programme!E36,Programme!F36,Programme!G36,Programme!H36,Programme!I36,Programme!J36)</f>
        <v>&lt;ValeurCellule&gt;</v>
      </c>
    </row>
    <row r="36" spans="1:1" x14ac:dyDescent="0.2">
      <c r="A36" s="996" t="str">
        <f>CONCATENATE(Programme!D37,Programme!E37,Programme!F37,Programme!G37,Programme!H37,Programme!I37,Programme!J37)</f>
        <v>&lt;cellule&gt;</v>
      </c>
    </row>
    <row r="37" spans="1:1" x14ac:dyDescent="0.2">
      <c r="A37" s="996" t="str">
        <f>CONCATENATE(Programme!D38,Programme!E38,Programme!F38,Programme!G38,Programme!H38,Programme!I38,Programme!J38)</f>
        <v>&lt;codeEdi&gt;497&lt;/codeEdi&gt;</v>
      </c>
    </row>
    <row r="38" spans="1:1" x14ac:dyDescent="0.2">
      <c r="A38" s="996" t="str">
        <f>CONCATENATE(Programme!D39,Programme!E39,Programme!F39,Programme!G39,Programme!H39,Programme!I39,Programme!J39)</f>
        <v>&lt;/cellule&gt;</v>
      </c>
    </row>
    <row r="39" spans="1:1" x14ac:dyDescent="0.2">
      <c r="A39" s="996" t="str">
        <f>CONCATENATE(Programme!D40,Programme!E40,Programme!F40,Programme!G40,Programme!H40,Programme!I40,Programme!J40)</f>
        <v>&lt;valeur&gt;0&lt;/valeur&gt;</v>
      </c>
    </row>
    <row r="40" spans="1:1" x14ac:dyDescent="0.2">
      <c r="A40" s="996" t="str">
        <f>CONCATENATE(Programme!D41,Programme!E41,Programme!F41,Programme!G41,Programme!H41,Programme!I41,Programme!J41)</f>
        <v>&lt;/ValeurCellule&gt;</v>
      </c>
    </row>
    <row r="41" spans="1:1" x14ac:dyDescent="0.2">
      <c r="A41" s="996" t="str">
        <f>CONCATENATE(Programme!D42,Programme!E42,Programme!F42,Programme!G42,Programme!H42,Programme!I42,Programme!J42)</f>
        <v>&lt;ValeurCellule&gt;</v>
      </c>
    </row>
    <row r="42" spans="1:1" x14ac:dyDescent="0.2">
      <c r="A42" s="996" t="str">
        <f>CONCATENATE(Programme!D43,Programme!E43,Programme!F43,Programme!G43,Programme!H43,Programme!I43,Programme!J43)</f>
        <v>&lt;cellule&gt;</v>
      </c>
    </row>
    <row r="43" spans="1:1" x14ac:dyDescent="0.2">
      <c r="A43" s="996" t="str">
        <f>CONCATENATE(Programme!D44,Programme!E44,Programme!F44,Programme!G44,Programme!H44,Programme!I44,Programme!J44)</f>
        <v>&lt;codeEdi&gt;241&lt;/codeEdi&gt;</v>
      </c>
    </row>
    <row r="44" spans="1:1" x14ac:dyDescent="0.2">
      <c r="A44" s="996" t="str">
        <f>CONCATENATE(Programme!D45,Programme!E45,Programme!F45,Programme!G45,Programme!H45,Programme!I45,Programme!J45)</f>
        <v>&lt;/cellule&gt;</v>
      </c>
    </row>
    <row r="45" spans="1:1" x14ac:dyDescent="0.2">
      <c r="A45" s="996" t="str">
        <f>CONCATENATE(Programme!D46,Programme!E46,Programme!F46,Programme!G46,Programme!H46,Programme!I46,Programme!J46)</f>
        <v>&lt;valeur&gt;0&lt;/valeur&gt;</v>
      </c>
    </row>
    <row r="46" spans="1:1" x14ac:dyDescent="0.2">
      <c r="A46" s="996" t="str">
        <f>CONCATENATE(Programme!D47,Programme!E47,Programme!F47,Programme!G47,Programme!H47,Programme!I47,Programme!J47)</f>
        <v>&lt;/ValeurCellule&gt;</v>
      </c>
    </row>
    <row r="47" spans="1:1" x14ac:dyDescent="0.2">
      <c r="A47" s="996" t="str">
        <f>CONCATENATE(Programme!D48,Programme!E48,Programme!F48,Programme!G48,Programme!H48,Programme!I48,Programme!J48)</f>
        <v>&lt;ValeurCellule&gt;</v>
      </c>
    </row>
    <row r="48" spans="1:1" x14ac:dyDescent="0.2">
      <c r="A48" s="996" t="str">
        <f>CONCATENATE(Programme!D49,Programme!E49,Programme!F49,Programme!G49,Programme!H49,Programme!I49,Programme!J49)</f>
        <v>&lt;cellule&gt;</v>
      </c>
    </row>
    <row r="49" spans="1:1" x14ac:dyDescent="0.2">
      <c r="A49" s="996" t="str">
        <f>CONCATENATE(Programme!D50,Programme!E50,Programme!F50,Programme!G50,Programme!H50,Programme!I50,Programme!J50)</f>
        <v>&lt;codeEdi&gt;242&lt;/codeEdi&gt;</v>
      </c>
    </row>
    <row r="50" spans="1:1" x14ac:dyDescent="0.2">
      <c r="A50" s="996" t="str">
        <f>CONCATENATE(Programme!D51,Programme!E51,Programme!F51,Programme!G51,Programme!H51,Programme!I51,Programme!J51)</f>
        <v>&lt;/cellule&gt;</v>
      </c>
    </row>
    <row r="51" spans="1:1" x14ac:dyDescent="0.2">
      <c r="A51" s="996" t="str">
        <f>CONCATENATE(Programme!D52,Programme!E52,Programme!F52,Programme!G52,Programme!H52,Programme!I52,Programme!J52)</f>
        <v>&lt;valeur&gt;0&lt;/valeur&gt;</v>
      </c>
    </row>
    <row r="52" spans="1:1" x14ac:dyDescent="0.2">
      <c r="A52" s="996" t="str">
        <f>CONCATENATE(Programme!D53,Programme!E53,Programme!F53,Programme!G53,Programme!H53,Programme!I53,Programme!J53)</f>
        <v>&lt;/ValeurCellule&gt;</v>
      </c>
    </row>
    <row r="53" spans="1:1" x14ac:dyDescent="0.2">
      <c r="A53" s="996" t="str">
        <f>CONCATENATE(Programme!D54,Programme!E54,Programme!F54,Programme!G54,Programme!H54,Programme!I54,Programme!J54)</f>
        <v>&lt;ValeurCellule&gt;</v>
      </c>
    </row>
    <row r="54" spans="1:1" x14ac:dyDescent="0.2">
      <c r="A54" s="996" t="str">
        <f>CONCATENATE(Programme!D55,Programme!E55,Programme!F55,Programme!G55,Programme!H55,Programme!I55,Programme!J55)</f>
        <v>&lt;cellule&gt;</v>
      </c>
    </row>
    <row r="55" spans="1:1" x14ac:dyDescent="0.2">
      <c r="A55" s="996" t="str">
        <f>CONCATENATE(Programme!D56,Programme!E56,Programme!F56,Programme!G56,Programme!H56,Programme!I56,Programme!J56)</f>
        <v>&lt;codeEdi&gt;243&lt;/codeEdi&gt;</v>
      </c>
    </row>
    <row r="56" spans="1:1" x14ac:dyDescent="0.2">
      <c r="A56" s="996" t="str">
        <f>CONCATENATE(Programme!D57,Programme!E57,Programme!F57,Programme!G57,Programme!H57,Programme!I57,Programme!J57)</f>
        <v>&lt;/cellule&gt;</v>
      </c>
    </row>
    <row r="57" spans="1:1" x14ac:dyDescent="0.2">
      <c r="A57" s="996" t="str">
        <f>CONCATENATE(Programme!D58,Programme!E58,Programme!F58,Programme!G58,Programme!H58,Programme!I58,Programme!J58)</f>
        <v>&lt;valeur&gt;0&lt;/valeur&gt;</v>
      </c>
    </row>
    <row r="58" spans="1:1" x14ac:dyDescent="0.2">
      <c r="A58" s="996" t="str">
        <f>CONCATENATE(Programme!D59,Programme!E59,Programme!F59,Programme!G59,Programme!H59,Programme!I59,Programme!J59)</f>
        <v>&lt;/ValeurCellule&gt;</v>
      </c>
    </row>
    <row r="59" spans="1:1" x14ac:dyDescent="0.2">
      <c r="A59" s="996" t="str">
        <f>CONCATENATE(Programme!D60,Programme!E60,Programme!F60,Programme!G60,Programme!H60,Programme!I60,Programme!J60)</f>
        <v>&lt;ValeurCellule&gt;</v>
      </c>
    </row>
    <row r="60" spans="1:1" x14ac:dyDescent="0.2">
      <c r="A60" s="996" t="str">
        <f>CONCATENATE(Programme!D61,Programme!E61,Programme!F61,Programme!G61,Programme!H61,Programme!I61,Programme!J61)</f>
        <v>&lt;cellule&gt;</v>
      </c>
    </row>
    <row r="61" spans="1:1" x14ac:dyDescent="0.2">
      <c r="A61" s="996" t="str">
        <f>CONCATENATE(Programme!D62,Programme!E62,Programme!F62,Programme!G62,Programme!H62,Programme!I62,Programme!J62)</f>
        <v>&lt;codeEdi&gt;498&lt;/codeEdi&gt;</v>
      </c>
    </row>
    <row r="62" spans="1:1" x14ac:dyDescent="0.2">
      <c r="A62" s="996" t="str">
        <f>CONCATENATE(Programme!D63,Programme!E63,Programme!F63,Programme!G63,Programme!H63,Programme!I63,Programme!J63)</f>
        <v>&lt;/cellule&gt;</v>
      </c>
    </row>
    <row r="63" spans="1:1" x14ac:dyDescent="0.2">
      <c r="A63" s="996" t="str">
        <f>CONCATENATE(Programme!D64,Programme!E64,Programme!F64,Programme!G64,Programme!H64,Programme!I64,Programme!J64)</f>
        <v>&lt;valeur&gt;0&lt;/valeur&gt;</v>
      </c>
    </row>
    <row r="64" spans="1:1" x14ac:dyDescent="0.2">
      <c r="A64" s="996" t="str">
        <f>CONCATENATE(Programme!D65,Programme!E65,Programme!F65,Programme!G65,Programme!H65,Programme!I65,Programme!J65)</f>
        <v>&lt;/ValeurCellule&gt;</v>
      </c>
    </row>
    <row r="65" spans="1:1" x14ac:dyDescent="0.2">
      <c r="A65" s="996" t="str">
        <f>CONCATENATE(Programme!D66,Programme!E66,Programme!F66,Programme!G66,Programme!H66,Programme!I66,Programme!J66)</f>
        <v>&lt;ValeurCellule&gt;</v>
      </c>
    </row>
    <row r="66" spans="1:1" x14ac:dyDescent="0.2">
      <c r="A66" s="996" t="str">
        <f>CONCATENATE(Programme!D67,Programme!E67,Programme!F67,Programme!G67,Programme!H67,Programme!I67,Programme!J67)</f>
        <v>&lt;cellule&gt;</v>
      </c>
    </row>
    <row r="67" spans="1:1" x14ac:dyDescent="0.2">
      <c r="A67" s="996" t="str">
        <f>CONCATENATE(Programme!D68,Programme!E68,Programme!F68,Programme!G68,Programme!H68,Programme!I68,Programme!J68)</f>
        <v>&lt;codeEdi&gt;244&lt;/codeEdi&gt;</v>
      </c>
    </row>
    <row r="68" spans="1:1" x14ac:dyDescent="0.2">
      <c r="A68" s="996" t="str">
        <f>CONCATENATE(Programme!D69,Programme!E69,Programme!F69,Programme!G69,Programme!H69,Programme!I69,Programme!J69)</f>
        <v>&lt;/cellule&gt;</v>
      </c>
    </row>
    <row r="69" spans="1:1" x14ac:dyDescent="0.2">
      <c r="A69" s="996" t="str">
        <f>CONCATENATE(Programme!D70,Programme!E70,Programme!F70,Programme!G70,Programme!H70,Programme!I70,Programme!J70)</f>
        <v>&lt;valeur&gt;0&lt;/valeur&gt;</v>
      </c>
    </row>
    <row r="70" spans="1:1" x14ac:dyDescent="0.2">
      <c r="A70" s="996" t="str">
        <f>CONCATENATE(Programme!D71,Programme!E71,Programme!F71,Programme!G71,Programme!H71,Programme!I71,Programme!J71)</f>
        <v>&lt;/ValeurCellule&gt;</v>
      </c>
    </row>
    <row r="71" spans="1:1" x14ac:dyDescent="0.2">
      <c r="A71" s="996" t="str">
        <f>CONCATENATE(Programme!D72,Programme!E72,Programme!F72,Programme!G72,Programme!H72,Programme!I72,Programme!J72)</f>
        <v>&lt;ValeurCellule&gt;</v>
      </c>
    </row>
    <row r="72" spans="1:1" x14ac:dyDescent="0.2">
      <c r="A72" s="996" t="str">
        <f>CONCATENATE(Programme!D73,Programme!E73,Programme!F73,Programme!G73,Programme!H73,Programme!I73,Programme!J73)</f>
        <v>&lt;cellule&gt;</v>
      </c>
    </row>
    <row r="73" spans="1:1" x14ac:dyDescent="0.2">
      <c r="A73" s="996" t="str">
        <f>CONCATENATE(Programme!D74,Programme!E74,Programme!F74,Programme!G74,Programme!H74,Programme!I74,Programme!J74)</f>
        <v>&lt;codeEdi&gt;245&lt;/codeEdi&gt;</v>
      </c>
    </row>
    <row r="74" spans="1:1" x14ac:dyDescent="0.2">
      <c r="A74" s="996" t="str">
        <f>CONCATENATE(Programme!D75,Programme!E75,Programme!F75,Programme!G75,Programme!H75,Programme!I75,Programme!J75)</f>
        <v>&lt;/cellule&gt;</v>
      </c>
    </row>
    <row r="75" spans="1:1" x14ac:dyDescent="0.2">
      <c r="A75" s="996" t="str">
        <f>CONCATENATE(Programme!D76,Programme!E76,Programme!F76,Programme!G76,Programme!H76,Programme!I76,Programme!J76)</f>
        <v>&lt;valeur&gt;0&lt;/valeur&gt;</v>
      </c>
    </row>
    <row r="76" spans="1:1" x14ac:dyDescent="0.2">
      <c r="A76" s="996" t="str">
        <f>CONCATENATE(Programme!D77,Programme!E77,Programme!F77,Programme!G77,Programme!H77,Programme!I77,Programme!J77)</f>
        <v>&lt;/ValeurCellule&gt;</v>
      </c>
    </row>
    <row r="77" spans="1:1" x14ac:dyDescent="0.2">
      <c r="A77" s="996" t="str">
        <f>CONCATENATE(Programme!D78,Programme!E78,Programme!F78,Programme!G78,Programme!H78,Programme!I78,Programme!J78)</f>
        <v>&lt;ValeurCellule&gt;</v>
      </c>
    </row>
    <row r="78" spans="1:1" x14ac:dyDescent="0.2">
      <c r="A78" s="996" t="str">
        <f>CONCATENATE(Programme!D79,Programme!E79,Programme!F79,Programme!G79,Programme!H79,Programme!I79,Programme!J79)</f>
        <v>&lt;cellule&gt;</v>
      </c>
    </row>
    <row r="79" spans="1:1" x14ac:dyDescent="0.2">
      <c r="A79" s="996" t="str">
        <f>CONCATENATE(Programme!D80,Programme!E80,Programme!F80,Programme!G80,Programme!H80,Programme!I80,Programme!J80)</f>
        <v>&lt;codeEdi&gt;246&lt;/codeEdi&gt;</v>
      </c>
    </row>
    <row r="80" spans="1:1" x14ac:dyDescent="0.2">
      <c r="A80" s="996" t="str">
        <f>CONCATENATE(Programme!D81,Programme!E81,Programme!F81,Programme!G81,Programme!H81,Programme!I81,Programme!J81)</f>
        <v>&lt;/cellule&gt;</v>
      </c>
    </row>
    <row r="81" spans="1:1" x14ac:dyDescent="0.2">
      <c r="A81" s="996" t="str">
        <f>CONCATENATE(Programme!D82,Programme!E82,Programme!F82,Programme!G82,Programme!H82,Programme!I82,Programme!J82)</f>
        <v>&lt;valeur&gt;0&lt;/valeur&gt;</v>
      </c>
    </row>
    <row r="82" spans="1:1" x14ac:dyDescent="0.2">
      <c r="A82" s="996" t="str">
        <f>CONCATENATE(Programme!D83,Programme!E83,Programme!F83,Programme!G83,Programme!H83,Programme!I83,Programme!J83)</f>
        <v>&lt;/ValeurCellule&gt;</v>
      </c>
    </row>
    <row r="83" spans="1:1" x14ac:dyDescent="0.2">
      <c r="A83" s="996" t="str">
        <f>CONCATENATE(Programme!D84,Programme!E84,Programme!F84,Programme!G84,Programme!H84,Programme!I84,Programme!J84)</f>
        <v>&lt;ValeurCellule&gt;</v>
      </c>
    </row>
    <row r="84" spans="1:1" x14ac:dyDescent="0.2">
      <c r="A84" s="996" t="str">
        <f>CONCATENATE(Programme!D85,Programme!E85,Programme!F85,Programme!G85,Programme!H85,Programme!I85,Programme!J85)</f>
        <v>&lt;cellule&gt;</v>
      </c>
    </row>
    <row r="85" spans="1:1" x14ac:dyDescent="0.2">
      <c r="A85" s="996" t="str">
        <f>CONCATENATE(Programme!D86,Programme!E86,Programme!F86,Programme!G86,Programme!H86,Programme!I86,Programme!J86)</f>
        <v>&lt;codeEdi&gt;499&lt;/codeEdi&gt;</v>
      </c>
    </row>
    <row r="86" spans="1:1" x14ac:dyDescent="0.2">
      <c r="A86" s="996" t="str">
        <f>CONCATENATE(Programme!D87,Programme!E87,Programme!F87,Programme!G87,Programme!H87,Programme!I87,Programme!J87)</f>
        <v>&lt;/cellule&gt;</v>
      </c>
    </row>
    <row r="87" spans="1:1" x14ac:dyDescent="0.2">
      <c r="A87" s="996" t="str">
        <f>CONCATENATE(Programme!D88,Programme!E88,Programme!F88,Programme!G88,Programme!H88,Programme!I88,Programme!J88)</f>
        <v>&lt;valeur&gt;0&lt;/valeur&gt;</v>
      </c>
    </row>
    <row r="88" spans="1:1" x14ac:dyDescent="0.2">
      <c r="A88" s="996" t="str">
        <f>CONCATENATE(Programme!D89,Programme!E89,Programme!F89,Programme!G89,Programme!H89,Programme!I89,Programme!J89)</f>
        <v>&lt;/ValeurCellule&gt;</v>
      </c>
    </row>
    <row r="89" spans="1:1" x14ac:dyDescent="0.2">
      <c r="A89" s="996" t="str">
        <f>CONCATENATE(Programme!D90,Programme!E90,Programme!F90,Programme!G90,Programme!H90,Programme!I90,Programme!J90)</f>
        <v>&lt;ValeurCellule&gt;</v>
      </c>
    </row>
    <row r="90" spans="1:1" x14ac:dyDescent="0.2">
      <c r="A90" s="996" t="str">
        <f>CONCATENATE(Programme!D91,Programme!E91,Programme!F91,Programme!G91,Programme!H91,Programme!I91,Programme!J91)</f>
        <v>&lt;cellule&gt;</v>
      </c>
    </row>
    <row r="91" spans="1:1" x14ac:dyDescent="0.2">
      <c r="A91" s="996" t="str">
        <f>CONCATENATE(Programme!D92,Programme!E92,Programme!F92,Programme!G92,Programme!H92,Programme!I92,Programme!J92)</f>
        <v>&lt;codeEdi&gt;247&lt;/codeEdi&gt;</v>
      </c>
    </row>
    <row r="92" spans="1:1" x14ac:dyDescent="0.2">
      <c r="A92" s="996" t="str">
        <f>CONCATENATE(Programme!D93,Programme!E93,Programme!F93,Programme!G93,Programme!H93,Programme!I93,Programme!J93)</f>
        <v>&lt;/cellule&gt;</v>
      </c>
    </row>
    <row r="93" spans="1:1" x14ac:dyDescent="0.2">
      <c r="A93" s="996" t="str">
        <f>CONCATENATE(Programme!D94,Programme!E94,Programme!F94,Programme!G94,Programme!H94,Programme!I94,Programme!J94)</f>
        <v>&lt;valeur&gt;0&lt;/valeur&gt;</v>
      </c>
    </row>
    <row r="94" spans="1:1" x14ac:dyDescent="0.2">
      <c r="A94" s="996" t="str">
        <f>CONCATENATE(Programme!D95,Programme!E95,Programme!F95,Programme!G95,Programme!H95,Programme!I95,Programme!J95)</f>
        <v>&lt;/ValeurCellule&gt;</v>
      </c>
    </row>
    <row r="95" spans="1:1" x14ac:dyDescent="0.2">
      <c r="A95" s="996" t="str">
        <f>CONCATENATE(Programme!D96,Programme!E96,Programme!F96,Programme!G96,Programme!H96,Programme!I96,Programme!J96)</f>
        <v>&lt;ValeurCellule&gt;</v>
      </c>
    </row>
    <row r="96" spans="1:1" x14ac:dyDescent="0.2">
      <c r="A96" s="996" t="str">
        <f>CONCATENATE(Programme!D97,Programme!E97,Programme!F97,Programme!G97,Programme!H97,Programme!I97,Programme!J97)</f>
        <v>&lt;cellule&gt;</v>
      </c>
    </row>
    <row r="97" spans="1:1" x14ac:dyDescent="0.2">
      <c r="A97" s="996" t="str">
        <f>CONCATENATE(Programme!D98,Programme!E98,Programme!F98,Programme!G98,Programme!H98,Programme!I98,Programme!J98)</f>
        <v>&lt;codeEdi&gt;248&lt;/codeEdi&gt;</v>
      </c>
    </row>
    <row r="98" spans="1:1" x14ac:dyDescent="0.2">
      <c r="A98" s="996" t="str">
        <f>CONCATENATE(Programme!D99,Programme!E99,Programme!F99,Programme!G99,Programme!H99,Programme!I99,Programme!J99)</f>
        <v>&lt;/cellule&gt;</v>
      </c>
    </row>
    <row r="99" spans="1:1" x14ac:dyDescent="0.2">
      <c r="A99" s="996" t="str">
        <f>CONCATENATE(Programme!D100,Programme!E100,Programme!F100,Programme!G100,Programme!H100,Programme!I100,Programme!J100)</f>
        <v>&lt;valeur&gt;0&lt;/valeur&gt;</v>
      </c>
    </row>
    <row r="100" spans="1:1" x14ac:dyDescent="0.2">
      <c r="A100" s="996" t="str">
        <f>CONCATENATE(Programme!D101,Programme!E101,Programme!F101,Programme!G101,Programme!H101,Programme!I101,Programme!J101)</f>
        <v>&lt;/ValeurCellule&gt;</v>
      </c>
    </row>
    <row r="101" spans="1:1" x14ac:dyDescent="0.2">
      <c r="A101" s="996" t="str">
        <f>CONCATENATE(Programme!D102,Programme!E102,Programme!F102,Programme!G102,Programme!H102,Programme!I102,Programme!J102)</f>
        <v>&lt;ValeurCellule&gt;</v>
      </c>
    </row>
    <row r="102" spans="1:1" x14ac:dyDescent="0.2">
      <c r="A102" s="996" t="str">
        <f>CONCATENATE(Programme!D103,Programme!E103,Programme!F103,Programme!G103,Programme!H103,Programme!I103,Programme!J103)</f>
        <v>&lt;cellule&gt;</v>
      </c>
    </row>
    <row r="103" spans="1:1" x14ac:dyDescent="0.2">
      <c r="A103" s="996" t="str">
        <f>CONCATENATE(Programme!D104,Programme!E104,Programme!F104,Programme!G104,Programme!H104,Programme!I104,Programme!J104)</f>
        <v>&lt;codeEdi&gt;249&lt;/codeEdi&gt;</v>
      </c>
    </row>
    <row r="104" spans="1:1" x14ac:dyDescent="0.2">
      <c r="A104" s="996" t="str">
        <f>CONCATENATE(Programme!D105,Programme!E105,Programme!F105,Programme!G105,Programme!H105,Programme!I105,Programme!J105)</f>
        <v>&lt;/cellule&gt;</v>
      </c>
    </row>
    <row r="105" spans="1:1" x14ac:dyDescent="0.2">
      <c r="A105" s="996" t="str">
        <f>CONCATENATE(Programme!D106,Programme!E106,Programme!F106,Programme!G106,Programme!H106,Programme!I106,Programme!J106)</f>
        <v>&lt;valeur&gt;0&lt;/valeur&gt;</v>
      </c>
    </row>
    <row r="106" spans="1:1" x14ac:dyDescent="0.2">
      <c r="A106" s="996" t="str">
        <f>CONCATENATE(Programme!D107,Programme!E107,Programme!F107,Programme!G107,Programme!H107,Programme!I107,Programme!J107)</f>
        <v>&lt;/ValeurCellule&gt;</v>
      </c>
    </row>
    <row r="107" spans="1:1" x14ac:dyDescent="0.2">
      <c r="A107" s="996" t="str">
        <f>CONCATENATE(Programme!D108,Programme!E108,Programme!F108,Programme!G108,Programme!H108,Programme!I108,Programme!J108)</f>
        <v>&lt;ValeurCellule&gt;</v>
      </c>
    </row>
    <row r="108" spans="1:1" x14ac:dyDescent="0.2">
      <c r="A108" s="996" t="str">
        <f>CONCATENATE(Programme!D109,Programme!E109,Programme!F109,Programme!G109,Programme!H109,Programme!I109,Programme!J109)</f>
        <v>&lt;cellule&gt;</v>
      </c>
    </row>
    <row r="109" spans="1:1" x14ac:dyDescent="0.2">
      <c r="A109" s="996" t="str">
        <f>CONCATENATE(Programme!D110,Programme!E110,Programme!F110,Programme!G110,Programme!H110,Programme!I110,Programme!J110)</f>
        <v>&lt;codeEdi&gt;500&lt;/codeEdi&gt;</v>
      </c>
    </row>
    <row r="110" spans="1:1" x14ac:dyDescent="0.2">
      <c r="A110" s="996" t="str">
        <f>CONCATENATE(Programme!D111,Programme!E111,Programme!F111,Programme!G111,Programme!H111,Programme!I111,Programme!J111)</f>
        <v>&lt;/cellule&gt;</v>
      </c>
    </row>
    <row r="111" spans="1:1" x14ac:dyDescent="0.2">
      <c r="A111" s="996" t="str">
        <f>CONCATENATE(Programme!D112,Programme!E112,Programme!F112,Programme!G112,Programme!H112,Programme!I112,Programme!J112)</f>
        <v>&lt;valeur&gt;0&lt;/valeur&gt;</v>
      </c>
    </row>
    <row r="112" spans="1:1" x14ac:dyDescent="0.2">
      <c r="A112" s="996" t="str">
        <f>CONCATENATE(Programme!D113,Programme!E113,Programme!F113,Programme!G113,Programme!H113,Programme!I113,Programme!J113)</f>
        <v>&lt;/ValeurCellule&gt;</v>
      </c>
    </row>
    <row r="113" spans="1:1" x14ac:dyDescent="0.2">
      <c r="A113" s="996" t="str">
        <f>CONCATENATE(Programme!D114,Programme!E114,Programme!F114,Programme!G114,Programme!H114,Programme!I114,Programme!J114)</f>
        <v>&lt;ValeurCellule&gt;</v>
      </c>
    </row>
    <row r="114" spans="1:1" x14ac:dyDescent="0.2">
      <c r="A114" s="996" t="str">
        <f>CONCATENATE(Programme!D115,Programme!E115,Programme!F115,Programme!G115,Programme!H115,Programme!I115,Programme!J115)</f>
        <v>&lt;cellule&gt;</v>
      </c>
    </row>
    <row r="115" spans="1:1" x14ac:dyDescent="0.2">
      <c r="A115" s="996" t="str">
        <f>CONCATENATE(Programme!D116,Programme!E116,Programme!F116,Programme!G116,Programme!H116,Programme!I116,Programme!J116)</f>
        <v>&lt;codeEdi&gt;274&lt;/codeEdi&gt;</v>
      </c>
    </row>
    <row r="116" spans="1:1" x14ac:dyDescent="0.2">
      <c r="A116" s="996" t="str">
        <f>CONCATENATE(Programme!D117,Programme!E117,Programme!F117,Programme!G117,Programme!H117,Programme!I117,Programme!J117)</f>
        <v>&lt;/cellule&gt;</v>
      </c>
    </row>
    <row r="117" spans="1:1" x14ac:dyDescent="0.2">
      <c r="A117" s="996" t="str">
        <f>CONCATENATE(Programme!D118,Programme!E118,Programme!F118,Programme!G118,Programme!H118,Programme!I118,Programme!J118)</f>
        <v>&lt;valeur&gt;0&lt;/valeur&gt;</v>
      </c>
    </row>
    <row r="118" spans="1:1" x14ac:dyDescent="0.2">
      <c r="A118" s="996" t="str">
        <f>CONCATENATE(Programme!D119,Programme!E119,Programme!F119,Programme!G119,Programme!H119,Programme!I119,Programme!J119)</f>
        <v>&lt;/ValeurCellule&gt;</v>
      </c>
    </row>
    <row r="119" spans="1:1" x14ac:dyDescent="0.2">
      <c r="A119" s="996" t="str">
        <f>CONCATENATE(Programme!D120,Programme!E120,Programme!F120,Programme!G120,Programme!H120,Programme!I120,Programme!J120)</f>
        <v>&lt;ValeurCellule&gt;</v>
      </c>
    </row>
    <row r="120" spans="1:1" x14ac:dyDescent="0.2">
      <c r="A120" s="996" t="str">
        <f>CONCATENATE(Programme!D121,Programme!E121,Programme!F121,Programme!G121,Programme!H121,Programme!I121,Programme!J121)</f>
        <v>&lt;cellule&gt;</v>
      </c>
    </row>
    <row r="121" spans="1:1" x14ac:dyDescent="0.2">
      <c r="A121" s="996" t="str">
        <f>CONCATENATE(Programme!D122,Programme!E122,Programme!F122,Programme!G122,Programme!H122,Programme!I122,Programme!J122)</f>
        <v>&lt;codeEdi&gt;275&lt;/codeEdi&gt;</v>
      </c>
    </row>
    <row r="122" spans="1:1" x14ac:dyDescent="0.2">
      <c r="A122" s="996" t="str">
        <f>CONCATENATE(Programme!D123,Programme!E123,Programme!F123,Programme!G123,Programme!H123,Programme!I123,Programme!J123)</f>
        <v>&lt;/cellule&gt;</v>
      </c>
    </row>
    <row r="123" spans="1:1" x14ac:dyDescent="0.2">
      <c r="A123" s="996" t="str">
        <f>CONCATENATE(Programme!D124,Programme!E124,Programme!F124,Programme!G124,Programme!H124,Programme!I124,Programme!J124)</f>
        <v>&lt;valeur&gt;0&lt;/valeur&gt;</v>
      </c>
    </row>
    <row r="124" spans="1:1" x14ac:dyDescent="0.2">
      <c r="A124" s="996" t="str">
        <f>CONCATENATE(Programme!D125,Programme!E125,Programme!F125,Programme!G125,Programme!H125,Programme!I125,Programme!J125)</f>
        <v>&lt;/ValeurCellule&gt;</v>
      </c>
    </row>
    <row r="125" spans="1:1" x14ac:dyDescent="0.2">
      <c r="A125" s="996" t="str">
        <f>CONCATENATE(Programme!D126,Programme!E126,Programme!F126,Programme!G126,Programme!H126,Programme!I126,Programme!J126)</f>
        <v>&lt;ValeurCellule&gt;</v>
      </c>
    </row>
    <row r="126" spans="1:1" x14ac:dyDescent="0.2">
      <c r="A126" s="996" t="str">
        <f>CONCATENATE(Programme!D127,Programme!E127,Programme!F127,Programme!G127,Programme!H127,Programme!I127,Programme!J127)</f>
        <v>&lt;cellule&gt;</v>
      </c>
    </row>
    <row r="127" spans="1:1" x14ac:dyDescent="0.2">
      <c r="A127" s="996" t="str">
        <f>CONCATENATE(Programme!D128,Programme!E128,Programme!F128,Programme!G128,Programme!H128,Programme!I128,Programme!J128)</f>
        <v>&lt;codeEdi&gt;276&lt;/codeEdi&gt;</v>
      </c>
    </row>
    <row r="128" spans="1:1" x14ac:dyDescent="0.2">
      <c r="A128" s="996" t="str">
        <f>CONCATENATE(Programme!D129,Programme!E129,Programme!F129,Programme!G129,Programme!H129,Programme!I129,Programme!J129)</f>
        <v>&lt;/cellule&gt;</v>
      </c>
    </row>
    <row r="129" spans="1:1" x14ac:dyDescent="0.2">
      <c r="A129" s="996" t="str">
        <f>CONCATENATE(Programme!D130,Programme!E130,Programme!F130,Programme!G130,Programme!H130,Programme!I130,Programme!J130)</f>
        <v>&lt;valeur&gt;0&lt;/valeur&gt;</v>
      </c>
    </row>
    <row r="130" spans="1:1" x14ac:dyDescent="0.2">
      <c r="A130" s="996" t="str">
        <f>CONCATENATE(Programme!D131,Programme!E131,Programme!F131,Programme!G131,Programme!H131,Programme!I131,Programme!J131)</f>
        <v>&lt;/ValeurCellule&gt;</v>
      </c>
    </row>
    <row r="131" spans="1:1" x14ac:dyDescent="0.2">
      <c r="A131" s="996" t="str">
        <f>CONCATENATE(Programme!D132,Programme!E132,Programme!F132,Programme!G132,Programme!H132,Programme!I132,Programme!J132)</f>
        <v>&lt;ValeurCellule&gt;</v>
      </c>
    </row>
    <row r="132" spans="1:1" x14ac:dyDescent="0.2">
      <c r="A132" s="996" t="str">
        <f>CONCATENATE(Programme!D133,Programme!E133,Programme!F133,Programme!G133,Programme!H133,Programme!I133,Programme!J133)</f>
        <v>&lt;cellule&gt;</v>
      </c>
    </row>
    <row r="133" spans="1:1" x14ac:dyDescent="0.2">
      <c r="A133" s="996" t="str">
        <f>CONCATENATE(Programme!D134,Programme!E134,Programme!F134,Programme!G134,Programme!H134,Programme!I134,Programme!J134)</f>
        <v>&lt;codeEdi&gt;277&lt;/codeEdi&gt;</v>
      </c>
    </row>
    <row r="134" spans="1:1" x14ac:dyDescent="0.2">
      <c r="A134" s="996" t="str">
        <f>CONCATENATE(Programme!D135,Programme!E135,Programme!F135,Programme!G135,Programme!H135,Programme!I135,Programme!J135)</f>
        <v>&lt;/cellule&gt;</v>
      </c>
    </row>
    <row r="135" spans="1:1" x14ac:dyDescent="0.2">
      <c r="A135" s="996" t="str">
        <f>CONCATENATE(Programme!D136,Programme!E136,Programme!F136,Programme!G136,Programme!H136,Programme!I136,Programme!J136)</f>
        <v>&lt;valeur&gt;0&lt;/valeur&gt;</v>
      </c>
    </row>
    <row r="136" spans="1:1" x14ac:dyDescent="0.2">
      <c r="A136" s="996" t="str">
        <f>CONCATENATE(Programme!D137,Programme!E137,Programme!F137,Programme!G137,Programme!H137,Programme!I137,Programme!J137)</f>
        <v>&lt;/ValeurCellule&gt;</v>
      </c>
    </row>
    <row r="137" spans="1:1" x14ac:dyDescent="0.2">
      <c r="A137" s="996" t="str">
        <f>CONCATENATE(Programme!D138,Programme!E138,Programme!F138,Programme!G138,Programme!H138,Programme!I138,Programme!J138)</f>
        <v>&lt;ValeurCellule&gt;</v>
      </c>
    </row>
    <row r="138" spans="1:1" x14ac:dyDescent="0.2">
      <c r="A138" s="996" t="str">
        <f>CONCATENATE(Programme!D139,Programme!E139,Programme!F139,Programme!G139,Programme!H139,Programme!I139,Programme!J139)</f>
        <v>&lt;cellule&gt;</v>
      </c>
    </row>
    <row r="139" spans="1:1" x14ac:dyDescent="0.2">
      <c r="A139" s="996" t="str">
        <f>CONCATENATE(Programme!D140,Programme!E140,Programme!F140,Programme!G140,Programme!H140,Programme!I140,Programme!J140)</f>
        <v>&lt;codeEdi&gt;502&lt;/codeEdi&gt;</v>
      </c>
    </row>
    <row r="140" spans="1:1" x14ac:dyDescent="0.2">
      <c r="A140" s="996" t="str">
        <f>CONCATENATE(Programme!D141,Programme!E141,Programme!F141,Programme!G141,Programme!H141,Programme!I141,Programme!J141)</f>
        <v>&lt;/cellule&gt;</v>
      </c>
    </row>
    <row r="141" spans="1:1" x14ac:dyDescent="0.2">
      <c r="A141" s="996" t="str">
        <f>CONCATENATE(Programme!D142,Programme!E142,Programme!F142,Programme!G142,Programme!H142,Programme!I142,Programme!J142)</f>
        <v>&lt;valeur&gt;0&lt;/valeur&gt;</v>
      </c>
    </row>
    <row r="142" spans="1:1" x14ac:dyDescent="0.2">
      <c r="A142" s="996" t="str">
        <f>CONCATENATE(Programme!D143,Programme!E143,Programme!F143,Programme!G143,Programme!H143,Programme!I143,Programme!J143)</f>
        <v>&lt;/ValeurCellule&gt;</v>
      </c>
    </row>
    <row r="143" spans="1:1" x14ac:dyDescent="0.2">
      <c r="A143" s="996" t="str">
        <f>CONCATENATE(Programme!D144,Programme!E144,Programme!F144,Programme!G144,Programme!H144,Programme!I144,Programme!J144)</f>
        <v>&lt;ValeurCellule&gt;</v>
      </c>
    </row>
    <row r="144" spans="1:1" x14ac:dyDescent="0.2">
      <c r="A144" s="996" t="str">
        <f>CONCATENATE(Programme!D145,Programme!E145,Programme!F145,Programme!G145,Programme!H145,Programme!I145,Programme!J145)</f>
        <v>&lt;cellule&gt;</v>
      </c>
    </row>
    <row r="145" spans="1:1" x14ac:dyDescent="0.2">
      <c r="A145" s="996" t="str">
        <f>CONCATENATE(Programme!D146,Programme!E146,Programme!F146,Programme!G146,Programme!H146,Programme!I146,Programme!J146)</f>
        <v>&lt;codeEdi&gt;278&lt;/codeEdi&gt;</v>
      </c>
    </row>
    <row r="146" spans="1:1" x14ac:dyDescent="0.2">
      <c r="A146" s="996" t="str">
        <f>CONCATENATE(Programme!D147,Programme!E147,Programme!F147,Programme!G147,Programme!H147,Programme!I147,Programme!J147)</f>
        <v>&lt;/cellule&gt;</v>
      </c>
    </row>
    <row r="147" spans="1:1" x14ac:dyDescent="0.2">
      <c r="A147" s="996" t="str">
        <f>CONCATENATE(Programme!D148,Programme!E148,Programme!F148,Programme!G148,Programme!H148,Programme!I148,Programme!J148)</f>
        <v>&lt;valeur&gt;0&lt;/valeur&gt;</v>
      </c>
    </row>
    <row r="148" spans="1:1" x14ac:dyDescent="0.2">
      <c r="A148" s="996" t="str">
        <f>CONCATENATE(Programme!D149,Programme!E149,Programme!F149,Programme!G149,Programme!H149,Programme!I149,Programme!J149)</f>
        <v>&lt;/ValeurCellule&gt;</v>
      </c>
    </row>
    <row r="149" spans="1:1" x14ac:dyDescent="0.2">
      <c r="A149" s="996" t="str">
        <f>CONCATENATE(Programme!D150,Programme!E150,Programme!F150,Programme!G150,Programme!H150,Programme!I150,Programme!J150)</f>
        <v>&lt;ValeurCellule&gt;</v>
      </c>
    </row>
    <row r="150" spans="1:1" x14ac:dyDescent="0.2">
      <c r="A150" s="996" t="str">
        <f>CONCATENATE(Programme!D151,Programme!E151,Programme!F151,Programme!G151,Programme!H151,Programme!I151,Programme!J151)</f>
        <v>&lt;cellule&gt;</v>
      </c>
    </row>
    <row r="151" spans="1:1" x14ac:dyDescent="0.2">
      <c r="A151" s="996" t="str">
        <f>CONCATENATE(Programme!D152,Programme!E152,Programme!F152,Programme!G152,Programme!H152,Programme!I152,Programme!J152)</f>
        <v>&lt;codeEdi&gt;279&lt;/codeEdi&gt;</v>
      </c>
    </row>
    <row r="152" spans="1:1" x14ac:dyDescent="0.2">
      <c r="A152" s="996" t="str">
        <f>CONCATENATE(Programme!D153,Programme!E153,Programme!F153,Programme!G153,Programme!H153,Programme!I153,Programme!J153)</f>
        <v>&lt;/cellule&gt;</v>
      </c>
    </row>
    <row r="153" spans="1:1" x14ac:dyDescent="0.2">
      <c r="A153" s="996" t="str">
        <f>CONCATENATE(Programme!D154,Programme!E154,Programme!F154,Programme!G154,Programme!H154,Programme!I154,Programme!J154)</f>
        <v>&lt;valeur&gt;0&lt;/valeur&gt;</v>
      </c>
    </row>
    <row r="154" spans="1:1" x14ac:dyDescent="0.2">
      <c r="A154" s="996" t="str">
        <f>CONCATENATE(Programme!D155,Programme!E155,Programme!F155,Programme!G155,Programme!H155,Programme!I155,Programme!J155)</f>
        <v>&lt;/ValeurCellule&gt;</v>
      </c>
    </row>
    <row r="155" spans="1:1" x14ac:dyDescent="0.2">
      <c r="A155" s="996" t="str">
        <f>CONCATENATE(Programme!D156,Programme!E156,Programme!F156,Programme!G156,Programme!H156,Programme!I156,Programme!J156)</f>
        <v>&lt;ValeurCellule&gt;</v>
      </c>
    </row>
    <row r="156" spans="1:1" x14ac:dyDescent="0.2">
      <c r="A156" s="996" t="str">
        <f>CONCATENATE(Programme!D157,Programme!E157,Programme!F157,Programme!G157,Programme!H157,Programme!I157,Programme!J157)</f>
        <v>&lt;cellule&gt;</v>
      </c>
    </row>
    <row r="157" spans="1:1" x14ac:dyDescent="0.2">
      <c r="A157" s="996" t="str">
        <f>CONCATENATE(Programme!D158,Programme!E158,Programme!F158,Programme!G158,Programme!H158,Programme!I158,Programme!J158)</f>
        <v>&lt;codeEdi&gt;280&lt;/codeEdi&gt;</v>
      </c>
    </row>
    <row r="158" spans="1:1" x14ac:dyDescent="0.2">
      <c r="A158" s="996" t="str">
        <f>CONCATENATE(Programme!D159,Programme!E159,Programme!F159,Programme!G159,Programme!H159,Programme!I159,Programme!J159)</f>
        <v>&lt;/cellule&gt;</v>
      </c>
    </row>
    <row r="159" spans="1:1" x14ac:dyDescent="0.2">
      <c r="A159" s="996" t="str">
        <f>CONCATENATE(Programme!D160,Programme!E160,Programme!F160,Programme!G160,Programme!H160,Programme!I160,Programme!J160)</f>
        <v>&lt;valeur&gt;0&lt;/valeur&gt;</v>
      </c>
    </row>
    <row r="160" spans="1:1" x14ac:dyDescent="0.2">
      <c r="A160" s="996" t="str">
        <f>CONCATENATE(Programme!D161,Programme!E161,Programme!F161,Programme!G161,Programme!H161,Programme!I161,Programme!J161)</f>
        <v>&lt;/ValeurCellule&gt;</v>
      </c>
    </row>
    <row r="161" spans="1:1" x14ac:dyDescent="0.2">
      <c r="A161" s="996" t="str">
        <f>CONCATENATE(Programme!D162,Programme!E162,Programme!F162,Programme!G162,Programme!H162,Programme!I162,Programme!J162)</f>
        <v>&lt;ValeurCellule&gt;</v>
      </c>
    </row>
    <row r="162" spans="1:1" x14ac:dyDescent="0.2">
      <c r="A162" s="996" t="str">
        <f>CONCATENATE(Programme!D163,Programme!E163,Programme!F163,Programme!G163,Programme!H163,Programme!I163,Programme!J163)</f>
        <v>&lt;cellule&gt;</v>
      </c>
    </row>
    <row r="163" spans="1:1" x14ac:dyDescent="0.2">
      <c r="A163" s="996" t="str">
        <f>CONCATENATE(Programme!D164,Programme!E164,Programme!F164,Programme!G164,Programme!H164,Programme!I164,Programme!J164)</f>
        <v>&lt;codeEdi&gt;281&lt;/codeEdi&gt;</v>
      </c>
    </row>
    <row r="164" spans="1:1" x14ac:dyDescent="0.2">
      <c r="A164" s="996" t="str">
        <f>CONCATENATE(Programme!D165,Programme!E165,Programme!F165,Programme!G165,Programme!H165,Programme!I165,Programme!J165)</f>
        <v>&lt;/cellule&gt;</v>
      </c>
    </row>
    <row r="165" spans="1:1" x14ac:dyDescent="0.2">
      <c r="A165" s="996" t="str">
        <f>CONCATENATE(Programme!D166,Programme!E166,Programme!F166,Programme!G166,Programme!H166,Programme!I166,Programme!J166)</f>
        <v>&lt;valeur&gt;0&lt;/valeur&gt;</v>
      </c>
    </row>
    <row r="166" spans="1:1" x14ac:dyDescent="0.2">
      <c r="A166" s="996" t="str">
        <f>CONCATENATE(Programme!D167,Programme!E167,Programme!F167,Programme!G167,Programme!H167,Programme!I167,Programme!J167)</f>
        <v>&lt;/ValeurCellule&gt;</v>
      </c>
    </row>
    <row r="167" spans="1:1" x14ac:dyDescent="0.2">
      <c r="A167" s="996" t="str">
        <f>CONCATENATE(Programme!D168,Programme!E168,Programme!F168,Programme!G168,Programme!H168,Programme!I168,Programme!J168)</f>
        <v>&lt;ValeurCellule&gt;</v>
      </c>
    </row>
    <row r="168" spans="1:1" x14ac:dyDescent="0.2">
      <c r="A168" s="996" t="str">
        <f>CONCATENATE(Programme!D169,Programme!E169,Programme!F169,Programme!G169,Programme!H169,Programme!I169,Programme!J169)</f>
        <v>&lt;cellule&gt;</v>
      </c>
    </row>
    <row r="169" spans="1:1" x14ac:dyDescent="0.2">
      <c r="A169" s="996" t="str">
        <f>CONCATENATE(Programme!D170,Programme!E170,Programme!F170,Programme!G170,Programme!H170,Programme!I170,Programme!J170)</f>
        <v>&lt;codeEdi&gt;503&lt;/codeEdi&gt;</v>
      </c>
    </row>
    <row r="170" spans="1:1" x14ac:dyDescent="0.2">
      <c r="A170" s="996" t="str">
        <f>CONCATENATE(Programme!D171,Programme!E171,Programme!F171,Programme!G171,Programme!H171,Programme!I171,Programme!J171)</f>
        <v>&lt;/cellule&gt;</v>
      </c>
    </row>
    <row r="171" spans="1:1" x14ac:dyDescent="0.2">
      <c r="A171" s="996" t="str">
        <f>CONCATENATE(Programme!D172,Programme!E172,Programme!F172,Programme!G172,Programme!H172,Programme!I172,Programme!J172)</f>
        <v>&lt;valeur&gt;0&lt;/valeur&gt;</v>
      </c>
    </row>
    <row r="172" spans="1:1" x14ac:dyDescent="0.2">
      <c r="A172" s="996" t="str">
        <f>CONCATENATE(Programme!D173,Programme!E173,Programme!F173,Programme!G173,Programme!H173,Programme!I173,Programme!J173)</f>
        <v>&lt;/ValeurCellule&gt;</v>
      </c>
    </row>
    <row r="173" spans="1:1" x14ac:dyDescent="0.2">
      <c r="A173" s="996" t="str">
        <f>CONCATENATE(Programme!D174,Programme!E174,Programme!F174,Programme!G174,Programme!H174,Programme!I174,Programme!J174)</f>
        <v>&lt;ValeurCellule&gt;</v>
      </c>
    </row>
    <row r="174" spans="1:1" x14ac:dyDescent="0.2">
      <c r="A174" s="996" t="str">
        <f>CONCATENATE(Programme!D175,Programme!E175,Programme!F175,Programme!G175,Programme!H175,Programme!I175,Programme!J175)</f>
        <v>&lt;cellule&gt;</v>
      </c>
    </row>
    <row r="175" spans="1:1" x14ac:dyDescent="0.2">
      <c r="A175" s="996" t="str">
        <f>CONCATENATE(Programme!D176,Programme!E176,Programme!F176,Programme!G176,Programme!H176,Programme!I176,Programme!J176)</f>
        <v>&lt;codeEdi&gt;282&lt;/codeEdi&gt;</v>
      </c>
    </row>
    <row r="176" spans="1:1" x14ac:dyDescent="0.2">
      <c r="A176" s="996" t="str">
        <f>CONCATENATE(Programme!D177,Programme!E177,Programme!F177,Programme!G177,Programme!H177,Programme!I177,Programme!J177)</f>
        <v>&lt;/cellule&gt;</v>
      </c>
    </row>
    <row r="177" spans="1:1" x14ac:dyDescent="0.2">
      <c r="A177" s="996" t="str">
        <f>CONCATENATE(Programme!D178,Programme!E178,Programme!F178,Programme!G178,Programme!H178,Programme!I178,Programme!J178)</f>
        <v>&lt;valeur&gt;0&lt;/valeur&gt;</v>
      </c>
    </row>
    <row r="178" spans="1:1" x14ac:dyDescent="0.2">
      <c r="A178" s="996" t="str">
        <f>CONCATENATE(Programme!D179,Programme!E179,Programme!F179,Programme!G179,Programme!H179,Programme!I179,Programme!J179)</f>
        <v>&lt;/ValeurCellule&gt;</v>
      </c>
    </row>
    <row r="179" spans="1:1" x14ac:dyDescent="0.2">
      <c r="A179" s="996" t="str">
        <f>CONCATENATE(Programme!D180,Programme!E180,Programme!F180,Programme!G180,Programme!H180,Programme!I180,Programme!J180)</f>
        <v>&lt;ValeurCellule&gt;</v>
      </c>
    </row>
    <row r="180" spans="1:1" x14ac:dyDescent="0.2">
      <c r="A180" s="996" t="str">
        <f>CONCATENATE(Programme!D181,Programme!E181,Programme!F181,Programme!G181,Programme!H181,Programme!I181,Programme!J181)</f>
        <v>&lt;cellule&gt;</v>
      </c>
    </row>
    <row r="181" spans="1:1" x14ac:dyDescent="0.2">
      <c r="A181" s="996" t="str">
        <f>CONCATENATE(Programme!D182,Programme!E182,Programme!F182,Programme!G182,Programme!H182,Programme!I182,Programme!J182)</f>
        <v>&lt;codeEdi&gt;283&lt;/codeEdi&gt;</v>
      </c>
    </row>
    <row r="182" spans="1:1" x14ac:dyDescent="0.2">
      <c r="A182" s="996" t="str">
        <f>CONCATENATE(Programme!D183,Programme!E183,Programme!F183,Programme!G183,Programme!H183,Programme!I183,Programme!J183)</f>
        <v>&lt;/cellule&gt;</v>
      </c>
    </row>
    <row r="183" spans="1:1" x14ac:dyDescent="0.2">
      <c r="A183" s="996" t="str">
        <f>CONCATENATE(Programme!D184,Programme!E184,Programme!F184,Programme!G184,Programme!H184,Programme!I184,Programme!J184)</f>
        <v>&lt;valeur&gt;0&lt;/valeur&gt;</v>
      </c>
    </row>
    <row r="184" spans="1:1" x14ac:dyDescent="0.2">
      <c r="A184" s="996" t="str">
        <f>CONCATENATE(Programme!D185,Programme!E185,Programme!F185,Programme!G185,Programme!H185,Programme!I185,Programme!J185)</f>
        <v>&lt;/ValeurCellule&gt;</v>
      </c>
    </row>
    <row r="185" spans="1:1" x14ac:dyDescent="0.2">
      <c r="A185" s="996" t="str">
        <f>CONCATENATE(Programme!D186,Programme!E186,Programme!F186,Programme!G186,Programme!H186,Programme!I186,Programme!J186)</f>
        <v>&lt;ValeurCellule&gt;</v>
      </c>
    </row>
    <row r="186" spans="1:1" x14ac:dyDescent="0.2">
      <c r="A186" s="996" t="str">
        <f>CONCATENATE(Programme!D187,Programme!E187,Programme!F187,Programme!G187,Programme!H187,Programme!I187,Programme!J187)</f>
        <v>&lt;cellule&gt;</v>
      </c>
    </row>
    <row r="187" spans="1:1" x14ac:dyDescent="0.2">
      <c r="A187" s="996" t="str">
        <f>CONCATENATE(Programme!D188,Programme!E188,Programme!F188,Programme!G188,Programme!H188,Programme!I188,Programme!J188)</f>
        <v>&lt;codeEdi&gt;284&lt;/codeEdi&gt;</v>
      </c>
    </row>
    <row r="188" spans="1:1" x14ac:dyDescent="0.2">
      <c r="A188" s="996" t="str">
        <f>CONCATENATE(Programme!D189,Programme!E189,Programme!F189,Programme!G189,Programme!H189,Programme!I189,Programme!J189)</f>
        <v>&lt;/cellule&gt;</v>
      </c>
    </row>
    <row r="189" spans="1:1" x14ac:dyDescent="0.2">
      <c r="A189" s="996" t="str">
        <f>CONCATENATE(Programme!D190,Programme!E190,Programme!F190,Programme!G190,Programme!H190,Programme!I190,Programme!J190)</f>
        <v>&lt;valeur&gt;0&lt;/valeur&gt;</v>
      </c>
    </row>
    <row r="190" spans="1:1" x14ac:dyDescent="0.2">
      <c r="A190" s="996" t="str">
        <f>CONCATENATE(Programme!D191,Programme!E191,Programme!F191,Programme!G191,Programme!H191,Programme!I191,Programme!J191)</f>
        <v>&lt;/ValeurCellule&gt;</v>
      </c>
    </row>
    <row r="191" spans="1:1" x14ac:dyDescent="0.2">
      <c r="A191" s="996" t="str">
        <f>CONCATENATE(Programme!D192,Programme!E192,Programme!F192,Programme!G192,Programme!H192,Programme!I192,Programme!J192)</f>
        <v>&lt;ValeurCellule&gt;</v>
      </c>
    </row>
    <row r="192" spans="1:1" x14ac:dyDescent="0.2">
      <c r="A192" s="996" t="str">
        <f>CONCATENATE(Programme!D193,Programme!E193,Programme!F193,Programme!G193,Programme!H193,Programme!I193,Programme!J193)</f>
        <v>&lt;cellule&gt;</v>
      </c>
    </row>
    <row r="193" spans="1:1" x14ac:dyDescent="0.2">
      <c r="A193" s="996" t="str">
        <f>CONCATENATE(Programme!D194,Programme!E194,Programme!F194,Programme!G194,Programme!H194,Programme!I194,Programme!J194)</f>
        <v>&lt;codeEdi&gt;285&lt;/codeEdi&gt;</v>
      </c>
    </row>
    <row r="194" spans="1:1" x14ac:dyDescent="0.2">
      <c r="A194" s="996" t="str">
        <f>CONCATENATE(Programme!D195,Programme!E195,Programme!F195,Programme!G195,Programme!H195,Programme!I195,Programme!J195)</f>
        <v>&lt;/cellule&gt;</v>
      </c>
    </row>
    <row r="195" spans="1:1" x14ac:dyDescent="0.2">
      <c r="A195" s="996" t="str">
        <f>CONCATENATE(Programme!D196,Programme!E196,Programme!F196,Programme!G196,Programme!H196,Programme!I196,Programme!J196)</f>
        <v>&lt;valeur&gt;0&lt;/valeur&gt;</v>
      </c>
    </row>
    <row r="196" spans="1:1" x14ac:dyDescent="0.2">
      <c r="A196" s="996" t="str">
        <f>CONCATENATE(Programme!D197,Programme!E197,Programme!F197,Programme!G197,Programme!H197,Programme!I197,Programme!J197)</f>
        <v>&lt;/ValeurCellule&gt;</v>
      </c>
    </row>
    <row r="197" spans="1:1" x14ac:dyDescent="0.2">
      <c r="A197" s="996" t="str">
        <f>CONCATENATE(Programme!D198,Programme!E198,Programme!F198,Programme!G198,Programme!H198,Programme!I198,Programme!J198)</f>
        <v>&lt;ValeurCellule&gt;</v>
      </c>
    </row>
    <row r="198" spans="1:1" x14ac:dyDescent="0.2">
      <c r="A198" s="996" t="str">
        <f>CONCATENATE(Programme!D199,Programme!E199,Programme!F199,Programme!G199,Programme!H199,Programme!I199,Programme!J199)</f>
        <v>&lt;cellule&gt;</v>
      </c>
    </row>
    <row r="199" spans="1:1" x14ac:dyDescent="0.2">
      <c r="A199" s="996" t="str">
        <f>CONCATENATE(Programme!D200,Programme!E200,Programme!F200,Programme!G200,Programme!H200,Programme!I200,Programme!J200)</f>
        <v>&lt;codeEdi&gt;504&lt;/codeEdi&gt;</v>
      </c>
    </row>
    <row r="200" spans="1:1" x14ac:dyDescent="0.2">
      <c r="A200" s="996" t="str">
        <f>CONCATENATE(Programme!D201,Programme!E201,Programme!F201,Programme!G201,Programme!H201,Programme!I201,Programme!J201)</f>
        <v>&lt;/cellule&gt;</v>
      </c>
    </row>
    <row r="201" spans="1:1" x14ac:dyDescent="0.2">
      <c r="A201" s="996" t="str">
        <f>CONCATENATE(Programme!D202,Programme!E202,Programme!F202,Programme!G202,Programme!H202,Programme!I202,Programme!J202)</f>
        <v>&lt;valeur&gt;0&lt;/valeur&gt;</v>
      </c>
    </row>
    <row r="202" spans="1:1" x14ac:dyDescent="0.2">
      <c r="A202" s="996" t="str">
        <f>CONCATENATE(Programme!D203,Programme!E203,Programme!F203,Programme!G203,Programme!H203,Programme!I203,Programme!J203)</f>
        <v>&lt;/ValeurCellule&gt;</v>
      </c>
    </row>
    <row r="203" spans="1:1" x14ac:dyDescent="0.2">
      <c r="A203" s="996" t="str">
        <f>CONCATENATE(Programme!D204,Programme!E204,Programme!F204,Programme!G204,Programme!H204,Programme!I204,Programme!J204)</f>
        <v>&lt;ValeurCellule&gt;</v>
      </c>
    </row>
    <row r="204" spans="1:1" x14ac:dyDescent="0.2">
      <c r="A204" s="996" t="str">
        <f>CONCATENATE(Programme!D205,Programme!E205,Programme!F205,Programme!G205,Programme!H205,Programme!I205,Programme!J205)</f>
        <v>&lt;cellule&gt;</v>
      </c>
    </row>
    <row r="205" spans="1:1" x14ac:dyDescent="0.2">
      <c r="A205" s="996" t="str">
        <f>CONCATENATE(Programme!D206,Programme!E206,Programme!F206,Programme!G206,Programme!H206,Programme!I206,Programme!J206)</f>
        <v>&lt;codeEdi&gt;286&lt;/codeEdi&gt;</v>
      </c>
    </row>
    <row r="206" spans="1:1" x14ac:dyDescent="0.2">
      <c r="A206" s="996" t="str">
        <f>CONCATENATE(Programme!D207,Programme!E207,Programme!F207,Programme!G207,Programme!H207,Programme!I207,Programme!J207)</f>
        <v>&lt;/cellule&gt;</v>
      </c>
    </row>
    <row r="207" spans="1:1" x14ac:dyDescent="0.2">
      <c r="A207" s="996" t="str">
        <f>CONCATENATE(Programme!D208,Programme!E208,Programme!F208,Programme!G208,Programme!H208,Programme!I208,Programme!J208)</f>
        <v>&lt;valeur&gt;0&lt;/valeur&gt;</v>
      </c>
    </row>
    <row r="208" spans="1:1" x14ac:dyDescent="0.2">
      <c r="A208" s="996" t="str">
        <f>CONCATENATE(Programme!D209,Programme!E209,Programme!F209,Programme!G209,Programme!H209,Programme!I209,Programme!J209)</f>
        <v>&lt;/ValeurCellule&gt;</v>
      </c>
    </row>
    <row r="209" spans="1:1" x14ac:dyDescent="0.2">
      <c r="A209" s="996" t="str">
        <f>CONCATENATE(Programme!D210,Programme!E210,Programme!F210,Programme!G210,Programme!H210,Programme!I210,Programme!J210)</f>
        <v>&lt;ValeurCellule&gt;</v>
      </c>
    </row>
    <row r="210" spans="1:1" x14ac:dyDescent="0.2">
      <c r="A210" s="996" t="str">
        <f>CONCATENATE(Programme!D211,Programme!E211,Programme!F211,Programme!G211,Programme!H211,Programme!I211,Programme!J211)</f>
        <v>&lt;cellule&gt;</v>
      </c>
    </row>
    <row r="211" spans="1:1" x14ac:dyDescent="0.2">
      <c r="A211" s="996" t="str">
        <f>CONCATENATE(Programme!D212,Programme!E212,Programme!F212,Programme!G212,Programme!H212,Programme!I212,Programme!J212)</f>
        <v>&lt;codeEdi&gt;287&lt;/codeEdi&gt;</v>
      </c>
    </row>
    <row r="212" spans="1:1" x14ac:dyDescent="0.2">
      <c r="A212" s="996" t="str">
        <f>CONCATENATE(Programme!D213,Programme!E213,Programme!F213,Programme!G213,Programme!H213,Programme!I213,Programme!J213)</f>
        <v>&lt;/cellule&gt;</v>
      </c>
    </row>
    <row r="213" spans="1:1" x14ac:dyDescent="0.2">
      <c r="A213" s="996" t="str">
        <f>CONCATENATE(Programme!D214,Programme!E214,Programme!F214,Programme!G214,Programme!H214,Programme!I214,Programme!J214)</f>
        <v>&lt;valeur&gt;0&lt;/valeur&gt;</v>
      </c>
    </row>
    <row r="214" spans="1:1" x14ac:dyDescent="0.2">
      <c r="A214" s="996" t="str">
        <f>CONCATENATE(Programme!D215,Programme!E215,Programme!F215,Programme!G215,Programme!H215,Programme!I215,Programme!J215)</f>
        <v>&lt;/ValeurCellule&gt;</v>
      </c>
    </row>
    <row r="215" spans="1:1" x14ac:dyDescent="0.2">
      <c r="A215" s="996" t="str">
        <f>CONCATENATE(Programme!D216,Programme!E216,Programme!F216,Programme!G216,Programme!H216,Programme!I216,Programme!J216)</f>
        <v>&lt;ValeurCellule&gt;</v>
      </c>
    </row>
    <row r="216" spans="1:1" x14ac:dyDescent="0.2">
      <c r="A216" s="996" t="str">
        <f>CONCATENATE(Programme!D217,Programme!E217,Programme!F217,Programme!G217,Programme!H217,Programme!I217,Programme!J217)</f>
        <v>&lt;cellule&gt;</v>
      </c>
    </row>
    <row r="217" spans="1:1" x14ac:dyDescent="0.2">
      <c r="A217" s="996" t="str">
        <f>CONCATENATE(Programme!D218,Programme!E218,Programme!F218,Programme!G218,Programme!H218,Programme!I218,Programme!J218)</f>
        <v>&lt;codeEdi&gt;288&lt;/codeEdi&gt;</v>
      </c>
    </row>
    <row r="218" spans="1:1" x14ac:dyDescent="0.2">
      <c r="A218" s="996" t="str">
        <f>CONCATENATE(Programme!D219,Programme!E219,Programme!F219,Programme!G219,Programme!H219,Programme!I219,Programme!J219)</f>
        <v>&lt;/cellule&gt;</v>
      </c>
    </row>
    <row r="219" spans="1:1" x14ac:dyDescent="0.2">
      <c r="A219" s="996" t="str">
        <f>CONCATENATE(Programme!D220,Programme!E220,Programme!F220,Programme!G220,Programme!H220,Programme!I220,Programme!J220)</f>
        <v>&lt;valeur&gt;0&lt;/valeur&gt;</v>
      </c>
    </row>
    <row r="220" spans="1:1" x14ac:dyDescent="0.2">
      <c r="A220" s="996" t="str">
        <f>CONCATENATE(Programme!D221,Programme!E221,Programme!F221,Programme!G221,Programme!H221,Programme!I221,Programme!J221)</f>
        <v>&lt;/ValeurCellule&gt;</v>
      </c>
    </row>
    <row r="221" spans="1:1" x14ac:dyDescent="0.2">
      <c r="A221" s="996" t="str">
        <f>CONCATENATE(Programme!D222,Programme!E222,Programme!F222,Programme!G222,Programme!H222,Programme!I222,Programme!J222)</f>
        <v>&lt;ValeurCellule&gt;</v>
      </c>
    </row>
    <row r="222" spans="1:1" x14ac:dyDescent="0.2">
      <c r="A222" s="996" t="str">
        <f>CONCATENATE(Programme!D223,Programme!E223,Programme!F223,Programme!G223,Programme!H223,Programme!I223,Programme!J223)</f>
        <v>&lt;cellule&gt;</v>
      </c>
    </row>
    <row r="223" spans="1:1" x14ac:dyDescent="0.2">
      <c r="A223" s="996" t="str">
        <f>CONCATENATE(Programme!D224,Programme!E224,Programme!F224,Programme!G224,Programme!H224,Programme!I224,Programme!J224)</f>
        <v>&lt;codeEdi&gt;289&lt;/codeEdi&gt;</v>
      </c>
    </row>
    <row r="224" spans="1:1" x14ac:dyDescent="0.2">
      <c r="A224" s="996" t="str">
        <f>CONCATENATE(Programme!D225,Programme!E225,Programme!F225,Programme!G225,Programme!H225,Programme!I225,Programme!J225)</f>
        <v>&lt;/cellule&gt;</v>
      </c>
    </row>
    <row r="225" spans="1:1" x14ac:dyDescent="0.2">
      <c r="A225" s="996" t="str">
        <f>CONCATENATE(Programme!D226,Programme!E226,Programme!F226,Programme!G226,Programme!H226,Programme!I226,Programme!J226)</f>
        <v>&lt;valeur&gt;0&lt;/valeur&gt;</v>
      </c>
    </row>
    <row r="226" spans="1:1" x14ac:dyDescent="0.2">
      <c r="A226" s="996" t="str">
        <f>CONCATENATE(Programme!D227,Programme!E227,Programme!F227,Programme!G227,Programme!H227,Programme!I227,Programme!J227)</f>
        <v>&lt;/ValeurCellule&gt;</v>
      </c>
    </row>
    <row r="227" spans="1:1" x14ac:dyDescent="0.2">
      <c r="A227" s="996" t="str">
        <f>CONCATENATE(Programme!D228,Programme!E228,Programme!F228,Programme!G228,Programme!H228,Programme!I228,Programme!J228)</f>
        <v>&lt;ValeurCellule&gt;</v>
      </c>
    </row>
    <row r="228" spans="1:1" x14ac:dyDescent="0.2">
      <c r="A228" s="996" t="str">
        <f>CONCATENATE(Programme!D229,Programme!E229,Programme!F229,Programme!G229,Programme!H229,Programme!I229,Programme!J229)</f>
        <v>&lt;cellule&gt;</v>
      </c>
    </row>
    <row r="229" spans="1:1" x14ac:dyDescent="0.2">
      <c r="A229" s="996" t="str">
        <f>CONCATENATE(Programme!D230,Programme!E230,Programme!F230,Programme!G230,Programme!H230,Programme!I230,Programme!J230)</f>
        <v>&lt;codeEdi&gt;505&lt;/codeEdi&gt;</v>
      </c>
    </row>
    <row r="230" spans="1:1" x14ac:dyDescent="0.2">
      <c r="A230" s="996" t="str">
        <f>CONCATENATE(Programme!D231,Programme!E231,Programme!F231,Programme!G231,Programme!H231,Programme!I231,Programme!J231)</f>
        <v>&lt;/cellule&gt;</v>
      </c>
    </row>
    <row r="231" spans="1:1" x14ac:dyDescent="0.2">
      <c r="A231" s="996" t="str">
        <f>CONCATENATE(Programme!D232,Programme!E232,Programme!F232,Programme!G232,Programme!H232,Programme!I232,Programme!J232)</f>
        <v>&lt;valeur&gt;0&lt;/valeur&gt;</v>
      </c>
    </row>
    <row r="232" spans="1:1" x14ac:dyDescent="0.2">
      <c r="A232" s="996" t="str">
        <f>CONCATENATE(Programme!D233,Programme!E233,Programme!F233,Programme!G233,Programme!H233,Programme!I233,Programme!J233)</f>
        <v>&lt;/ValeurCellule&gt;</v>
      </c>
    </row>
    <row r="233" spans="1:1" x14ac:dyDescent="0.2">
      <c r="A233" s="996" t="str">
        <f>CONCATENATE(Programme!D234,Programme!E234,Programme!F234,Programme!G234,Programme!H234,Programme!I234,Programme!J234)</f>
        <v>&lt;ValeurCellule&gt;</v>
      </c>
    </row>
    <row r="234" spans="1:1" x14ac:dyDescent="0.2">
      <c r="A234" s="996" t="str">
        <f>CONCATENATE(Programme!D235,Programme!E235,Programme!F235,Programme!G235,Programme!H235,Programme!I235,Programme!J235)</f>
        <v>&lt;cellule&gt;</v>
      </c>
    </row>
    <row r="235" spans="1:1" x14ac:dyDescent="0.2">
      <c r="A235" s="996" t="str">
        <f>CONCATENATE(Programme!D236,Programme!E236,Programme!F236,Programme!G236,Programme!H236,Programme!I236,Programme!J236)</f>
        <v>&lt;codeEdi&gt;207&lt;/codeEdi&gt;</v>
      </c>
    </row>
    <row r="236" spans="1:1" x14ac:dyDescent="0.2">
      <c r="A236" s="996" t="str">
        <f>CONCATENATE(Programme!D237,Programme!E237,Programme!F237,Programme!G237,Programme!H237,Programme!I237,Programme!J237)</f>
        <v>&lt;/cellule&gt;</v>
      </c>
    </row>
    <row r="237" spans="1:1" x14ac:dyDescent="0.2">
      <c r="A237" s="996" t="str">
        <f>CONCATENATE(Programme!D238,Programme!E238,Programme!F238,Programme!G238,Programme!H238,Programme!I238,Programme!J238)</f>
        <v>&lt;valeur&gt;0&lt;/valeur&gt;</v>
      </c>
    </row>
    <row r="238" spans="1:1" x14ac:dyDescent="0.2">
      <c r="A238" s="996" t="str">
        <f>CONCATENATE(Programme!D239,Programme!E239,Programme!F239,Programme!G239,Programme!H239,Programme!I239,Programme!J239)</f>
        <v>&lt;/ValeurCellule&gt;</v>
      </c>
    </row>
    <row r="239" spans="1:1" x14ac:dyDescent="0.2">
      <c r="A239" s="996" t="str">
        <f>CONCATENATE(Programme!D240,Programme!E240,Programme!F240,Programme!G240,Programme!H240,Programme!I240,Programme!J240)</f>
        <v>&lt;ValeurCellule&gt;</v>
      </c>
    </row>
    <row r="240" spans="1:1" x14ac:dyDescent="0.2">
      <c r="A240" s="996" t="str">
        <f>CONCATENATE(Programme!D241,Programme!E241,Programme!F241,Programme!G241,Programme!H241,Programme!I241,Programme!J241)</f>
        <v>&lt;cellule&gt;</v>
      </c>
    </row>
    <row r="241" spans="1:1" x14ac:dyDescent="0.2">
      <c r="A241" s="996" t="str">
        <f>CONCATENATE(Programme!D242,Programme!E242,Programme!F242,Programme!G242,Programme!H242,Programme!I242,Programme!J242)</f>
        <v>&lt;codeEdi&gt;208&lt;/codeEdi&gt;</v>
      </c>
    </row>
    <row r="242" spans="1:1" x14ac:dyDescent="0.2">
      <c r="A242" s="996" t="str">
        <f>CONCATENATE(Programme!D243,Programme!E243,Programme!F243,Programme!G243,Programme!H243,Programme!I243,Programme!J243)</f>
        <v>&lt;/cellule&gt;</v>
      </c>
    </row>
    <row r="243" spans="1:1" x14ac:dyDescent="0.2">
      <c r="A243" s="996" t="str">
        <f>CONCATENATE(Programme!D244,Programme!E244,Programme!F244,Programme!G244,Programme!H244,Programme!I244,Programme!J244)</f>
        <v>&lt;valeur&gt;0&lt;/valeur&gt;</v>
      </c>
    </row>
    <row r="244" spans="1:1" x14ac:dyDescent="0.2">
      <c r="A244" s="996" t="str">
        <f>CONCATENATE(Programme!D245,Programme!E245,Programme!F245,Programme!G245,Programme!H245,Programme!I245,Programme!J245)</f>
        <v>&lt;/ValeurCellule&gt;</v>
      </c>
    </row>
    <row r="245" spans="1:1" x14ac:dyDescent="0.2">
      <c r="A245" s="996" t="str">
        <f>CONCATENATE(Programme!D246,Programme!E246,Programme!F246,Programme!G246,Programme!H246,Programme!I246,Programme!J246)</f>
        <v>&lt;ValeurCellule&gt;</v>
      </c>
    </row>
    <row r="246" spans="1:1" x14ac:dyDescent="0.2">
      <c r="A246" s="996" t="str">
        <f>CONCATENATE(Programme!D247,Programme!E247,Programme!F247,Programme!G247,Programme!H247,Programme!I247,Programme!J247)</f>
        <v>&lt;cellule&gt;</v>
      </c>
    </row>
    <row r="247" spans="1:1" x14ac:dyDescent="0.2">
      <c r="A247" s="996" t="str">
        <f>CONCATENATE(Programme!D248,Programme!E248,Programme!F248,Programme!G248,Programme!H248,Programme!I248,Programme!J248)</f>
        <v>&lt;codeEdi&gt;209&lt;/codeEdi&gt;</v>
      </c>
    </row>
    <row r="248" spans="1:1" x14ac:dyDescent="0.2">
      <c r="A248" s="996" t="str">
        <f>CONCATENATE(Programme!D249,Programme!E249,Programme!F249,Programme!G249,Programme!H249,Programme!I249,Programme!J249)</f>
        <v>&lt;/cellule&gt;</v>
      </c>
    </row>
    <row r="249" spans="1:1" x14ac:dyDescent="0.2">
      <c r="A249" s="996" t="str">
        <f>CONCATENATE(Programme!D250,Programme!E250,Programme!F250,Programme!G250,Programme!H250,Programme!I250,Programme!J250)</f>
        <v>&lt;valeur&gt;0&lt;/valeur&gt;</v>
      </c>
    </row>
    <row r="250" spans="1:1" x14ac:dyDescent="0.2">
      <c r="A250" s="996" t="str">
        <f>CONCATENATE(Programme!D251,Programme!E251,Programme!F251,Programme!G251,Programme!H251,Programme!I251,Programme!J251)</f>
        <v>&lt;/ValeurCellule&gt;</v>
      </c>
    </row>
    <row r="251" spans="1:1" x14ac:dyDescent="0.2">
      <c r="A251" s="996" t="str">
        <f>CONCATENATE(Programme!D252,Programme!E252,Programme!F252,Programme!G252,Programme!H252,Programme!I252,Programme!J252)</f>
        <v>&lt;ValeurCellule&gt;</v>
      </c>
    </row>
    <row r="252" spans="1:1" x14ac:dyDescent="0.2">
      <c r="A252" s="996" t="str">
        <f>CONCATENATE(Programme!D253,Programme!E253,Programme!F253,Programme!G253,Programme!H253,Programme!I253,Programme!J253)</f>
        <v>&lt;cellule&gt;</v>
      </c>
    </row>
    <row r="253" spans="1:1" x14ac:dyDescent="0.2">
      <c r="A253" s="996" t="str">
        <f>CONCATENATE(Programme!D254,Programme!E254,Programme!F254,Programme!G254,Programme!H254,Programme!I254,Programme!J254)</f>
        <v>&lt;codeEdi&gt;210&lt;/codeEdi&gt;</v>
      </c>
    </row>
    <row r="254" spans="1:1" x14ac:dyDescent="0.2">
      <c r="A254" s="996" t="str">
        <f>CONCATENATE(Programme!D255,Programme!E255,Programme!F255,Programme!G255,Programme!H255,Programme!I255,Programme!J255)</f>
        <v>&lt;/cellule&gt;</v>
      </c>
    </row>
    <row r="255" spans="1:1" x14ac:dyDescent="0.2">
      <c r="A255" s="996" t="str">
        <f>CONCATENATE(Programme!D256,Programme!E256,Programme!F256,Programme!G256,Programme!H256,Programme!I256,Programme!J256)</f>
        <v>&lt;valeur&gt;0&lt;/valeur&gt;</v>
      </c>
    </row>
    <row r="256" spans="1:1" x14ac:dyDescent="0.2">
      <c r="A256" s="996" t="str">
        <f>CONCATENATE(Programme!D257,Programme!E257,Programme!F257,Programme!G257,Programme!H257,Programme!I257,Programme!J257)</f>
        <v>&lt;/ValeurCellule&gt;</v>
      </c>
    </row>
    <row r="257" spans="1:1" x14ac:dyDescent="0.2">
      <c r="A257" s="996" t="str">
        <f>CONCATENATE(Programme!D258,Programme!E258,Programme!F258,Programme!G258,Programme!H258,Programme!I258,Programme!J258)</f>
        <v>&lt;ValeurCellule&gt;</v>
      </c>
    </row>
    <row r="258" spans="1:1" x14ac:dyDescent="0.2">
      <c r="A258" s="996" t="str">
        <f>CONCATENATE(Programme!D259,Programme!E259,Programme!F259,Programme!G259,Programme!H259,Programme!I259,Programme!J259)</f>
        <v>&lt;cellule&gt;</v>
      </c>
    </row>
    <row r="259" spans="1:1" x14ac:dyDescent="0.2">
      <c r="A259" s="996" t="str">
        <f>CONCATENATE(Programme!D260,Programme!E260,Programme!F260,Programme!G260,Programme!H260,Programme!I260,Programme!J260)</f>
        <v>&lt;codeEdi&gt;211&lt;/codeEdi&gt;</v>
      </c>
    </row>
    <row r="260" spans="1:1" x14ac:dyDescent="0.2">
      <c r="A260" s="996" t="str">
        <f>CONCATENATE(Programme!D261,Programme!E261,Programme!F261,Programme!G261,Programme!H261,Programme!I261,Programme!J261)</f>
        <v>&lt;/cellule&gt;</v>
      </c>
    </row>
    <row r="261" spans="1:1" x14ac:dyDescent="0.2">
      <c r="A261" s="996" t="str">
        <f>CONCATENATE(Programme!D262,Programme!E262,Programme!F262,Programme!G262,Programme!H262,Programme!I262,Programme!J262)</f>
        <v>&lt;valeur&gt;0&lt;/valeur&gt;</v>
      </c>
    </row>
    <row r="262" spans="1:1" x14ac:dyDescent="0.2">
      <c r="A262" s="996" t="str">
        <f>CONCATENATE(Programme!D263,Programme!E263,Programme!F263,Programme!G263,Programme!H263,Programme!I263,Programme!J263)</f>
        <v>&lt;/ValeurCellule&gt;</v>
      </c>
    </row>
    <row r="263" spans="1:1" x14ac:dyDescent="0.2">
      <c r="A263" s="996" t="str">
        <f>CONCATENATE(Programme!D264,Programme!E264,Programme!F264,Programme!G264,Programme!H264,Programme!I264,Programme!J264)</f>
        <v>&lt;ValeurCellule&gt;</v>
      </c>
    </row>
    <row r="264" spans="1:1" x14ac:dyDescent="0.2">
      <c r="A264" s="996" t="str">
        <f>CONCATENATE(Programme!D265,Programme!E265,Programme!F265,Programme!G265,Programme!H265,Programme!I265,Programme!J265)</f>
        <v>&lt;cellule&gt;</v>
      </c>
    </row>
    <row r="265" spans="1:1" x14ac:dyDescent="0.2">
      <c r="A265" s="996" t="str">
        <f>CONCATENATE(Programme!D266,Programme!E266,Programme!F266,Programme!G266,Programme!H266,Programme!I266,Programme!J266)</f>
        <v>&lt;codeEdi&gt;212&lt;/codeEdi&gt;</v>
      </c>
    </row>
    <row r="266" spans="1:1" x14ac:dyDescent="0.2">
      <c r="A266" s="996" t="str">
        <f>CONCATENATE(Programme!D267,Programme!E267,Programme!F267,Programme!G267,Programme!H267,Programme!I267,Programme!J267)</f>
        <v>&lt;/cellule&gt;</v>
      </c>
    </row>
    <row r="267" spans="1:1" x14ac:dyDescent="0.2">
      <c r="A267" s="996" t="str">
        <f>CONCATENATE(Programme!D268,Programme!E268,Programme!F268,Programme!G268,Programme!H268,Programme!I268,Programme!J268)</f>
        <v>&lt;valeur&gt;0&lt;/valeur&gt;</v>
      </c>
    </row>
    <row r="268" spans="1:1" x14ac:dyDescent="0.2">
      <c r="A268" s="996" t="str">
        <f>CONCATENATE(Programme!D269,Programme!E269,Programme!F269,Programme!G269,Programme!H269,Programme!I269,Programme!J269)</f>
        <v>&lt;/ValeurCellule&gt;</v>
      </c>
    </row>
    <row r="269" spans="1:1" x14ac:dyDescent="0.2">
      <c r="A269" s="996" t="str">
        <f>CONCATENATE(Programme!D270,Programme!E270,Programme!F270,Programme!G270,Programme!H270,Programme!I270,Programme!J270)</f>
        <v>&lt;ValeurCellule&gt;</v>
      </c>
    </row>
    <row r="270" spans="1:1" x14ac:dyDescent="0.2">
      <c r="A270" s="996" t="str">
        <f>CONCATENATE(Programme!D271,Programme!E271,Programme!F271,Programme!G271,Programme!H271,Programme!I271,Programme!J271)</f>
        <v>&lt;cellule&gt;</v>
      </c>
    </row>
    <row r="271" spans="1:1" x14ac:dyDescent="0.2">
      <c r="A271" s="996" t="str">
        <f>CONCATENATE(Programme!D272,Programme!E272,Programme!F272,Programme!G272,Programme!H272,Programme!I272,Programme!J272)</f>
        <v>&lt;codeEdi&gt;213&lt;/codeEdi&gt;</v>
      </c>
    </row>
    <row r="272" spans="1:1" x14ac:dyDescent="0.2">
      <c r="A272" s="996" t="str">
        <f>CONCATENATE(Programme!D273,Programme!E273,Programme!F273,Programme!G273,Programme!H273,Programme!I273,Programme!J273)</f>
        <v>&lt;/cellule&gt;</v>
      </c>
    </row>
    <row r="273" spans="1:1" x14ac:dyDescent="0.2">
      <c r="A273" s="996" t="str">
        <f>CONCATENATE(Programme!D274,Programme!E274,Programme!F274,Programme!G274,Programme!H274,Programme!I274,Programme!J274)</f>
        <v>&lt;valeur&gt;0&lt;/valeur&gt;</v>
      </c>
    </row>
    <row r="274" spans="1:1" x14ac:dyDescent="0.2">
      <c r="A274" s="996" t="str">
        <f>CONCATENATE(Programme!D275,Programme!E275,Programme!F275,Programme!G275,Programme!H275,Programme!I275,Programme!J275)</f>
        <v>&lt;/ValeurCellule&gt;</v>
      </c>
    </row>
    <row r="275" spans="1:1" x14ac:dyDescent="0.2">
      <c r="A275" s="996" t="str">
        <f>CONCATENATE(Programme!D276,Programme!E276,Programme!F276,Programme!G276,Programme!H276,Programme!I276,Programme!J276)</f>
        <v>&lt;ValeurCellule&gt;</v>
      </c>
    </row>
    <row r="276" spans="1:1" x14ac:dyDescent="0.2">
      <c r="A276" s="996" t="str">
        <f>CONCATENATE(Programme!D277,Programme!E277,Programme!F277,Programme!G277,Programme!H277,Programme!I277,Programme!J277)</f>
        <v>&lt;cellule&gt;</v>
      </c>
    </row>
    <row r="277" spans="1:1" x14ac:dyDescent="0.2">
      <c r="A277" s="996" t="str">
        <f>CONCATENATE(Programme!D278,Programme!E278,Programme!F278,Programme!G278,Programme!H278,Programme!I278,Programme!J278)</f>
        <v>&lt;codeEdi&gt;507&lt;/codeEdi&gt;</v>
      </c>
    </row>
    <row r="278" spans="1:1" x14ac:dyDescent="0.2">
      <c r="A278" s="996" t="str">
        <f>CONCATENATE(Programme!D279,Programme!E279,Programme!F279,Programme!G279,Programme!H279,Programme!I279,Programme!J279)</f>
        <v>&lt;/cellule&gt;</v>
      </c>
    </row>
    <row r="279" spans="1:1" x14ac:dyDescent="0.2">
      <c r="A279" s="996" t="str">
        <f>CONCATENATE(Programme!D280,Programme!E280,Programme!F280,Programme!G280,Programme!H280,Programme!I280,Programme!J280)</f>
        <v>&lt;valeur&gt;0&lt;/valeur&gt;</v>
      </c>
    </row>
    <row r="280" spans="1:1" x14ac:dyDescent="0.2">
      <c r="A280" s="996" t="str">
        <f>CONCATENATE(Programme!D281,Programme!E281,Programme!F281,Programme!G281,Programme!H281,Programme!I281,Programme!J281)</f>
        <v>&lt;/ValeurCellule&gt;</v>
      </c>
    </row>
    <row r="281" spans="1:1" x14ac:dyDescent="0.2">
      <c r="A281" s="996" t="str">
        <f>CONCATENATE(Programme!D282,Programme!E282,Programme!F282,Programme!G282,Programme!H282,Programme!I282,Programme!J282)</f>
        <v>&lt;ValeurCellule&gt;</v>
      </c>
    </row>
    <row r="282" spans="1:1" x14ac:dyDescent="0.2">
      <c r="A282" s="996" t="str">
        <f>CONCATENATE(Programme!D283,Programme!E283,Programme!F283,Programme!G283,Programme!H283,Programme!I283,Programme!J283)</f>
        <v>&lt;cellule&gt;</v>
      </c>
    </row>
    <row r="283" spans="1:1" x14ac:dyDescent="0.2">
      <c r="A283" s="996" t="str">
        <f>CONCATENATE(Programme!D284,Programme!E284,Programme!F284,Programme!G284,Programme!H284,Programme!I284,Programme!J284)</f>
        <v>&lt;codeEdi&gt;214&lt;/codeEdi&gt;</v>
      </c>
    </row>
    <row r="284" spans="1:1" x14ac:dyDescent="0.2">
      <c r="A284" s="996" t="str">
        <f>CONCATENATE(Programme!D285,Programme!E285,Programme!F285,Programme!G285,Programme!H285,Programme!I285,Programme!J285)</f>
        <v>&lt;/cellule&gt;</v>
      </c>
    </row>
    <row r="285" spans="1:1" x14ac:dyDescent="0.2">
      <c r="A285" s="996" t="str">
        <f>CONCATENATE(Programme!D286,Programme!E286,Programme!F286,Programme!G286,Programme!H286,Programme!I286,Programme!J286)</f>
        <v>&lt;valeur&gt;0&lt;/valeur&gt;</v>
      </c>
    </row>
    <row r="286" spans="1:1" x14ac:dyDescent="0.2">
      <c r="A286" s="996" t="str">
        <f>CONCATENATE(Programme!D287,Programme!E287,Programme!F287,Programme!G287,Programme!H287,Programme!I287,Programme!J287)</f>
        <v>&lt;/ValeurCellule&gt;</v>
      </c>
    </row>
    <row r="287" spans="1:1" x14ac:dyDescent="0.2">
      <c r="A287" s="996" t="str">
        <f>CONCATENATE(Programme!D288,Programme!E288,Programme!F288,Programme!G288,Programme!H288,Programme!I288,Programme!J288)</f>
        <v>&lt;ValeurCellule&gt;</v>
      </c>
    </row>
    <row r="288" spans="1:1" x14ac:dyDescent="0.2">
      <c r="A288" s="996" t="str">
        <f>CONCATENATE(Programme!D289,Programme!E289,Programme!F289,Programme!G289,Programme!H289,Programme!I289,Programme!J289)</f>
        <v>&lt;cellule&gt;</v>
      </c>
    </row>
    <row r="289" spans="1:1" x14ac:dyDescent="0.2">
      <c r="A289" s="996" t="str">
        <f>CONCATENATE(Programme!D290,Programme!E290,Programme!F290,Programme!G290,Programme!H290,Programme!I290,Programme!J290)</f>
        <v>&lt;codeEdi&gt;215&lt;/codeEdi&gt;</v>
      </c>
    </row>
    <row r="290" spans="1:1" x14ac:dyDescent="0.2">
      <c r="A290" s="996" t="str">
        <f>CONCATENATE(Programme!D291,Programme!E291,Programme!F291,Programme!G291,Programme!H291,Programme!I291,Programme!J291)</f>
        <v>&lt;/cellule&gt;</v>
      </c>
    </row>
    <row r="291" spans="1:1" x14ac:dyDescent="0.2">
      <c r="A291" s="996" t="str">
        <f>CONCATENATE(Programme!D292,Programme!E292,Programme!F292,Programme!G292,Programme!H292,Programme!I292,Programme!J292)</f>
        <v>&lt;valeur&gt;0&lt;/valeur&gt;</v>
      </c>
    </row>
    <row r="292" spans="1:1" x14ac:dyDescent="0.2">
      <c r="A292" s="996" t="str">
        <f>CONCATENATE(Programme!D293,Programme!E293,Programme!F293,Programme!G293,Programme!H293,Programme!I293,Programme!J293)</f>
        <v>&lt;/ValeurCellule&gt;</v>
      </c>
    </row>
    <row r="293" spans="1:1" x14ac:dyDescent="0.2">
      <c r="A293" s="996" t="str">
        <f>CONCATENATE(Programme!D294,Programme!E294,Programme!F294,Programme!G294,Programme!H294,Programme!I294,Programme!J294)</f>
        <v>&lt;ValeurCellule&gt;</v>
      </c>
    </row>
    <row r="294" spans="1:1" x14ac:dyDescent="0.2">
      <c r="A294" s="996" t="str">
        <f>CONCATENATE(Programme!D295,Programme!E295,Programme!F295,Programme!G295,Programme!H295,Programme!I295,Programme!J295)</f>
        <v>&lt;cellule&gt;</v>
      </c>
    </row>
    <row r="295" spans="1:1" x14ac:dyDescent="0.2">
      <c r="A295" s="996" t="str">
        <f>CONCATENATE(Programme!D296,Programme!E296,Programme!F296,Programme!G296,Programme!H296,Programme!I296,Programme!J296)</f>
        <v>&lt;codeEdi&gt;216&lt;/codeEdi&gt;</v>
      </c>
    </row>
    <row r="296" spans="1:1" x14ac:dyDescent="0.2">
      <c r="A296" s="996" t="str">
        <f>CONCATENATE(Programme!D297,Programme!E297,Programme!F297,Programme!G297,Programme!H297,Programme!I297,Programme!J297)</f>
        <v>&lt;/cellule&gt;</v>
      </c>
    </row>
    <row r="297" spans="1:1" x14ac:dyDescent="0.2">
      <c r="A297" s="996" t="str">
        <f>CONCATENATE(Programme!D298,Programme!E298,Programme!F298,Programme!G298,Programme!H298,Programme!I298,Programme!J298)</f>
        <v>&lt;valeur&gt;0&lt;/valeur&gt;</v>
      </c>
    </row>
    <row r="298" spans="1:1" x14ac:dyDescent="0.2">
      <c r="A298" s="996" t="str">
        <f>CONCATENATE(Programme!D299,Programme!E299,Programme!F299,Programme!G299,Programme!H299,Programme!I299,Programme!J299)</f>
        <v>&lt;/ValeurCellule&gt;</v>
      </c>
    </row>
    <row r="299" spans="1:1" x14ac:dyDescent="0.2">
      <c r="A299" s="996" t="str">
        <f>CONCATENATE(Programme!D300,Programme!E300,Programme!F300,Programme!G300,Programme!H300,Programme!I300,Programme!J300)</f>
        <v>&lt;ValeurCellule&gt;</v>
      </c>
    </row>
    <row r="300" spans="1:1" x14ac:dyDescent="0.2">
      <c r="A300" s="996" t="str">
        <f>CONCATENATE(Programme!D301,Programme!E301,Programme!F301,Programme!G301,Programme!H301,Programme!I301,Programme!J301)</f>
        <v>&lt;cellule&gt;</v>
      </c>
    </row>
    <row r="301" spans="1:1" x14ac:dyDescent="0.2">
      <c r="A301" s="996" t="str">
        <f>CONCATENATE(Programme!D302,Programme!E302,Programme!F302,Programme!G302,Programme!H302,Programme!I302,Programme!J302)</f>
        <v>&lt;codeEdi&gt;217&lt;/codeEdi&gt;</v>
      </c>
    </row>
    <row r="302" spans="1:1" x14ac:dyDescent="0.2">
      <c r="A302" s="996" t="str">
        <f>CONCATENATE(Programme!D303,Programme!E303,Programme!F303,Programme!G303,Programme!H303,Programme!I303,Programme!J303)</f>
        <v>&lt;/cellule&gt;</v>
      </c>
    </row>
    <row r="303" spans="1:1" x14ac:dyDescent="0.2">
      <c r="A303" s="996" t="str">
        <f>CONCATENATE(Programme!D304,Programme!E304,Programme!F304,Programme!G304,Programme!H304,Programme!I304,Programme!J304)</f>
        <v>&lt;valeur&gt;0&lt;/valeur&gt;</v>
      </c>
    </row>
    <row r="304" spans="1:1" x14ac:dyDescent="0.2">
      <c r="A304" s="996" t="str">
        <f>CONCATENATE(Programme!D305,Programme!E305,Programme!F305,Programme!G305,Programme!H305,Programme!I305,Programme!J305)</f>
        <v>&lt;/ValeurCellule&gt;</v>
      </c>
    </row>
    <row r="305" spans="1:1" x14ac:dyDescent="0.2">
      <c r="A305" s="996" t="str">
        <f>CONCATENATE(Programme!D306,Programme!E306,Programme!F306,Programme!G306,Programme!H306,Programme!I306,Programme!J306)</f>
        <v>&lt;ValeurCellule&gt;</v>
      </c>
    </row>
    <row r="306" spans="1:1" x14ac:dyDescent="0.2">
      <c r="A306" s="996" t="str">
        <f>CONCATENATE(Programme!D307,Programme!E307,Programme!F307,Programme!G307,Programme!H307,Programme!I307,Programme!J307)</f>
        <v>&lt;cellule&gt;</v>
      </c>
    </row>
    <row r="307" spans="1:1" x14ac:dyDescent="0.2">
      <c r="A307" s="996" t="str">
        <f>CONCATENATE(Programme!D308,Programme!E308,Programme!F308,Programme!G308,Programme!H308,Programme!I308,Programme!J308)</f>
        <v>&lt;codeEdi&gt;218&lt;/codeEdi&gt;</v>
      </c>
    </row>
    <row r="308" spans="1:1" x14ac:dyDescent="0.2">
      <c r="A308" s="996" t="str">
        <f>CONCATENATE(Programme!D309,Programme!E309,Programme!F309,Programme!G309,Programme!H309,Programme!I309,Programme!J309)</f>
        <v>&lt;/cellule&gt;</v>
      </c>
    </row>
    <row r="309" spans="1:1" x14ac:dyDescent="0.2">
      <c r="A309" s="996" t="str">
        <f>CONCATENATE(Programme!D310,Programme!E310,Programme!F310,Programme!G310,Programme!H310,Programme!I310,Programme!J310)</f>
        <v>&lt;valeur&gt;0&lt;/valeur&gt;</v>
      </c>
    </row>
    <row r="310" spans="1:1" x14ac:dyDescent="0.2">
      <c r="A310" s="996" t="str">
        <f>CONCATENATE(Programme!D311,Programme!E311,Programme!F311,Programme!G311,Programme!H311,Programme!I311,Programme!J311)</f>
        <v>&lt;/ValeurCellule&gt;</v>
      </c>
    </row>
    <row r="311" spans="1:1" x14ac:dyDescent="0.2">
      <c r="A311" s="996" t="str">
        <f>CONCATENATE(Programme!D312,Programme!E312,Programme!F312,Programme!G312,Programme!H312,Programme!I312,Programme!J312)</f>
        <v>&lt;ValeurCellule&gt;</v>
      </c>
    </row>
    <row r="312" spans="1:1" x14ac:dyDescent="0.2">
      <c r="A312" s="996" t="str">
        <f>CONCATENATE(Programme!D313,Programme!E313,Programme!F313,Programme!G313,Programme!H313,Programme!I313,Programme!J313)</f>
        <v>&lt;cellule&gt;</v>
      </c>
    </row>
    <row r="313" spans="1:1" x14ac:dyDescent="0.2">
      <c r="A313" s="996" t="str">
        <f>CONCATENATE(Programme!D314,Programme!E314,Programme!F314,Programme!G314,Programme!H314,Programme!I314,Programme!J314)</f>
        <v>&lt;codeEdi&gt;219&lt;/codeEdi&gt;</v>
      </c>
    </row>
    <row r="314" spans="1:1" x14ac:dyDescent="0.2">
      <c r="A314" s="996" t="str">
        <f>CONCATENATE(Programme!D315,Programme!E315,Programme!F315,Programme!G315,Programme!H315,Programme!I315,Programme!J315)</f>
        <v>&lt;/cellule&gt;</v>
      </c>
    </row>
    <row r="315" spans="1:1" x14ac:dyDescent="0.2">
      <c r="A315" s="996" t="str">
        <f>CONCATENATE(Programme!D316,Programme!E316,Programme!F316,Programme!G316,Programme!H316,Programme!I316,Programme!J316)</f>
        <v>&lt;valeur&gt;0&lt;/valeur&gt;</v>
      </c>
    </row>
    <row r="316" spans="1:1" x14ac:dyDescent="0.2">
      <c r="A316" s="996" t="str">
        <f>CONCATENATE(Programme!D317,Programme!E317,Programme!F317,Programme!G317,Programme!H317,Programme!I317,Programme!J317)</f>
        <v>&lt;/ValeurCellule&gt;</v>
      </c>
    </row>
    <row r="317" spans="1:1" x14ac:dyDescent="0.2">
      <c r="A317" s="996" t="str">
        <f>CONCATENATE(Programme!D318,Programme!E318,Programme!F318,Programme!G318,Programme!H318,Programme!I318,Programme!J318)</f>
        <v>&lt;ValeurCellule&gt;</v>
      </c>
    </row>
    <row r="318" spans="1:1" x14ac:dyDescent="0.2">
      <c r="A318" s="996" t="str">
        <f>CONCATENATE(Programme!D319,Programme!E319,Programme!F319,Programme!G319,Programme!H319,Programme!I319,Programme!J319)</f>
        <v>&lt;cellule&gt;</v>
      </c>
    </row>
    <row r="319" spans="1:1" x14ac:dyDescent="0.2">
      <c r="A319" s="996" t="str">
        <f>CONCATENATE(Programme!D320,Programme!E320,Programme!F320,Programme!G320,Programme!H320,Programme!I320,Programme!J320)</f>
        <v>&lt;codeEdi&gt;220&lt;/codeEdi&gt;</v>
      </c>
    </row>
    <row r="320" spans="1:1" x14ac:dyDescent="0.2">
      <c r="A320" s="996" t="str">
        <f>CONCATENATE(Programme!D321,Programme!E321,Programme!F321,Programme!G321,Programme!H321,Programme!I321,Programme!J321)</f>
        <v>&lt;/cellule&gt;</v>
      </c>
    </row>
    <row r="321" spans="1:1" x14ac:dyDescent="0.2">
      <c r="A321" s="996" t="str">
        <f>CONCATENATE(Programme!D322,Programme!E322,Programme!F322,Programme!G322,Programme!H322,Programme!I322,Programme!J322)</f>
        <v>&lt;valeur&gt;0&lt;/valeur&gt;</v>
      </c>
    </row>
    <row r="322" spans="1:1" x14ac:dyDescent="0.2">
      <c r="A322" s="996" t="str">
        <f>CONCATENATE(Programme!D323,Programme!E323,Programme!F323,Programme!G323,Programme!H323,Programme!I323,Programme!J323)</f>
        <v>&lt;/ValeurCellule&gt;</v>
      </c>
    </row>
    <row r="323" spans="1:1" x14ac:dyDescent="0.2">
      <c r="A323" s="996" t="str">
        <f>CONCATENATE(Programme!D324,Programme!E324,Programme!F324,Programme!G324,Programme!H324,Programme!I324,Programme!J324)</f>
        <v>&lt;ValeurCellule&gt;</v>
      </c>
    </row>
    <row r="324" spans="1:1" x14ac:dyDescent="0.2">
      <c r="A324" s="996" t="str">
        <f>CONCATENATE(Programme!D325,Programme!E325,Programme!F325,Programme!G325,Programme!H325,Programme!I325,Programme!J325)</f>
        <v>&lt;cellule&gt;</v>
      </c>
    </row>
    <row r="325" spans="1:1" x14ac:dyDescent="0.2">
      <c r="A325" s="996" t="str">
        <f>CONCATENATE(Programme!D326,Programme!E326,Programme!F326,Programme!G326,Programme!H326,Programme!I326,Programme!J326)</f>
        <v>&lt;codeEdi&gt;508&lt;/codeEdi&gt;</v>
      </c>
    </row>
    <row r="326" spans="1:1" x14ac:dyDescent="0.2">
      <c r="A326" s="996" t="str">
        <f>CONCATENATE(Programme!D327,Programme!E327,Programme!F327,Programme!G327,Programme!H327,Programme!I327,Programme!J327)</f>
        <v>&lt;/cellule&gt;</v>
      </c>
    </row>
    <row r="327" spans="1:1" x14ac:dyDescent="0.2">
      <c r="A327" s="996" t="str">
        <f>CONCATENATE(Programme!D328,Programme!E328,Programme!F328,Programme!G328,Programme!H328,Programme!I328,Programme!J328)</f>
        <v>&lt;valeur&gt;0&lt;/valeur&gt;</v>
      </c>
    </row>
    <row r="328" spans="1:1" x14ac:dyDescent="0.2">
      <c r="A328" s="996" t="str">
        <f>CONCATENATE(Programme!D329,Programme!E329,Programme!F329,Programme!G329,Programme!H329,Programme!I329,Programme!J329)</f>
        <v>&lt;/ValeurCellule&gt;</v>
      </c>
    </row>
    <row r="329" spans="1:1" x14ac:dyDescent="0.2">
      <c r="A329" s="996" t="str">
        <f>CONCATENATE(Programme!D330,Programme!E330,Programme!F330,Programme!G330,Programme!H330,Programme!I330,Programme!J330)</f>
        <v>&lt;ValeurCellule&gt;</v>
      </c>
    </row>
    <row r="330" spans="1:1" x14ac:dyDescent="0.2">
      <c r="A330" s="996" t="str">
        <f>CONCATENATE(Programme!D331,Programme!E331,Programme!F331,Programme!G331,Programme!H331,Programme!I331,Programme!J331)</f>
        <v>&lt;cellule&gt;</v>
      </c>
    </row>
    <row r="331" spans="1:1" x14ac:dyDescent="0.2">
      <c r="A331" s="996" t="str">
        <f>CONCATENATE(Programme!D332,Programme!E332,Programme!F332,Programme!G332,Programme!H332,Programme!I332,Programme!J332)</f>
        <v>&lt;codeEdi&gt;221&lt;/codeEdi&gt;</v>
      </c>
    </row>
    <row r="332" spans="1:1" x14ac:dyDescent="0.2">
      <c r="A332" s="996" t="str">
        <f>CONCATENATE(Programme!D333,Programme!E333,Programme!F333,Programme!G333,Programme!H333,Programme!I333,Programme!J333)</f>
        <v>&lt;/cellule&gt;</v>
      </c>
    </row>
    <row r="333" spans="1:1" x14ac:dyDescent="0.2">
      <c r="A333" s="996" t="str">
        <f>CONCATENATE(Programme!D334,Programme!E334,Programme!F334,Programme!G334,Programme!H334,Programme!I334,Programme!J334)</f>
        <v>&lt;valeur&gt;0&lt;/valeur&gt;</v>
      </c>
    </row>
    <row r="334" spans="1:1" x14ac:dyDescent="0.2">
      <c r="A334" s="996" t="str">
        <f>CONCATENATE(Programme!D335,Programme!E335,Programme!F335,Programme!G335,Programme!H335,Programme!I335,Programme!J335)</f>
        <v>&lt;/ValeurCellule&gt;</v>
      </c>
    </row>
    <row r="335" spans="1:1" x14ac:dyDescent="0.2">
      <c r="A335" s="996" t="str">
        <f>CONCATENATE(Programme!D336,Programme!E336,Programme!F336,Programme!G336,Programme!H336,Programme!I336,Programme!J336)</f>
        <v>&lt;ValeurCellule&gt;</v>
      </c>
    </row>
    <row r="336" spans="1:1" x14ac:dyDescent="0.2">
      <c r="A336" s="996" t="str">
        <f>CONCATENATE(Programme!D337,Programme!E337,Programme!F337,Programme!G337,Programme!H337,Programme!I337,Programme!J337)</f>
        <v>&lt;cellule&gt;</v>
      </c>
    </row>
    <row r="337" spans="1:1" x14ac:dyDescent="0.2">
      <c r="A337" s="996" t="str">
        <f>CONCATENATE(Programme!D338,Programme!E338,Programme!F338,Programme!G338,Programme!H338,Programme!I338,Programme!J338)</f>
        <v>&lt;codeEdi&gt;222&lt;/codeEdi&gt;</v>
      </c>
    </row>
    <row r="338" spans="1:1" x14ac:dyDescent="0.2">
      <c r="A338" s="996" t="str">
        <f>CONCATENATE(Programme!D339,Programme!E339,Programme!F339,Programme!G339,Programme!H339,Programme!I339,Programme!J339)</f>
        <v>&lt;/cellule&gt;</v>
      </c>
    </row>
    <row r="339" spans="1:1" x14ac:dyDescent="0.2">
      <c r="A339" s="996" t="str">
        <f>CONCATENATE(Programme!D340,Programme!E340,Programme!F340,Programme!G340,Programme!H340,Programme!I340,Programme!J340)</f>
        <v>&lt;valeur&gt;0&lt;/valeur&gt;</v>
      </c>
    </row>
    <row r="340" spans="1:1" x14ac:dyDescent="0.2">
      <c r="A340" s="996" t="str">
        <f>CONCATENATE(Programme!D341,Programme!E341,Programme!F341,Programme!G341,Programme!H341,Programme!I341,Programme!J341)</f>
        <v>&lt;/ValeurCellule&gt;</v>
      </c>
    </row>
    <row r="341" spans="1:1" x14ac:dyDescent="0.2">
      <c r="A341" s="996" t="str">
        <f>CONCATENATE(Programme!D342,Programme!E342,Programme!F342,Programme!G342,Programme!H342,Programme!I342,Programme!J342)</f>
        <v>&lt;ValeurCellule&gt;</v>
      </c>
    </row>
    <row r="342" spans="1:1" x14ac:dyDescent="0.2">
      <c r="A342" s="996" t="str">
        <f>CONCATENATE(Programme!D343,Programme!E343,Programme!F343,Programme!G343,Programme!H343,Programme!I343,Programme!J343)</f>
        <v>&lt;cellule&gt;</v>
      </c>
    </row>
    <row r="343" spans="1:1" x14ac:dyDescent="0.2">
      <c r="A343" s="996" t="str">
        <f>CONCATENATE(Programme!D344,Programme!E344,Programme!F344,Programme!G344,Programme!H344,Programme!I344,Programme!J344)</f>
        <v>&lt;codeEdi&gt;223&lt;/codeEdi&gt;</v>
      </c>
    </row>
    <row r="344" spans="1:1" x14ac:dyDescent="0.2">
      <c r="A344" s="996" t="str">
        <f>CONCATENATE(Programme!D345,Programme!E345,Programme!F345,Programme!G345,Programme!H345,Programme!I345,Programme!J345)</f>
        <v>&lt;/cellule&gt;</v>
      </c>
    </row>
    <row r="345" spans="1:1" x14ac:dyDescent="0.2">
      <c r="A345" s="996" t="str">
        <f>CONCATENATE(Programme!D346,Programme!E346,Programme!F346,Programme!G346,Programme!H346,Programme!I346,Programme!J346)</f>
        <v>&lt;valeur&gt;0&lt;/valeur&gt;</v>
      </c>
    </row>
    <row r="346" spans="1:1" x14ac:dyDescent="0.2">
      <c r="A346" s="996" t="str">
        <f>CONCATENATE(Programme!D347,Programme!E347,Programme!F347,Programme!G347,Programme!H347,Programme!I347,Programme!J347)</f>
        <v>&lt;/ValeurCellule&gt;</v>
      </c>
    </row>
    <row r="347" spans="1:1" x14ac:dyDescent="0.2">
      <c r="A347" s="996" t="str">
        <f>CONCATENATE(Programme!D348,Programme!E348,Programme!F348,Programme!G348,Programme!H348,Programme!I348,Programme!J348)</f>
        <v>&lt;ValeurCellule&gt;</v>
      </c>
    </row>
    <row r="348" spans="1:1" x14ac:dyDescent="0.2">
      <c r="A348" s="996" t="str">
        <f>CONCATENATE(Programme!D349,Programme!E349,Programme!F349,Programme!G349,Programme!H349,Programme!I349,Programme!J349)</f>
        <v>&lt;cellule&gt;</v>
      </c>
    </row>
    <row r="349" spans="1:1" x14ac:dyDescent="0.2">
      <c r="A349" s="996" t="str">
        <f>CONCATENATE(Programme!D350,Programme!E350,Programme!F350,Programme!G350,Programme!H350,Programme!I350,Programme!J350)</f>
        <v>&lt;codeEdi&gt;224&lt;/codeEdi&gt;</v>
      </c>
    </row>
    <row r="350" spans="1:1" x14ac:dyDescent="0.2">
      <c r="A350" s="996" t="str">
        <f>CONCATENATE(Programme!D351,Programme!E351,Programme!F351,Programme!G351,Programme!H351,Programme!I351,Programme!J351)</f>
        <v>&lt;/cellule&gt;</v>
      </c>
    </row>
    <row r="351" spans="1:1" x14ac:dyDescent="0.2">
      <c r="A351" s="996" t="str">
        <f>CONCATENATE(Programme!D352,Programme!E352,Programme!F352,Programme!G352,Programme!H352,Programme!I352,Programme!J352)</f>
        <v>&lt;valeur&gt;0&lt;/valeur&gt;</v>
      </c>
    </row>
    <row r="352" spans="1:1" x14ac:dyDescent="0.2">
      <c r="A352" s="996" t="str">
        <f>CONCATENATE(Programme!D353,Programme!E353,Programme!F353,Programme!G353,Programme!H353,Programme!I353,Programme!J353)</f>
        <v>&lt;/ValeurCellule&gt;</v>
      </c>
    </row>
    <row r="353" spans="1:1" x14ac:dyDescent="0.2">
      <c r="A353" s="996" t="str">
        <f>CONCATENATE(Programme!D354,Programme!E354,Programme!F354,Programme!G354,Programme!H354,Programme!I354,Programme!J354)</f>
        <v>&lt;ValeurCellule&gt;</v>
      </c>
    </row>
    <row r="354" spans="1:1" x14ac:dyDescent="0.2">
      <c r="A354" s="996" t="str">
        <f>CONCATENATE(Programme!D355,Programme!E355,Programme!F355,Programme!G355,Programme!H355,Programme!I355,Programme!J355)</f>
        <v>&lt;cellule&gt;</v>
      </c>
    </row>
    <row r="355" spans="1:1" x14ac:dyDescent="0.2">
      <c r="A355" s="996" t="str">
        <f>CONCATENATE(Programme!D356,Programme!E356,Programme!F356,Programme!G356,Programme!H356,Programme!I356,Programme!J356)</f>
        <v>&lt;codeEdi&gt;225&lt;/codeEdi&gt;</v>
      </c>
    </row>
    <row r="356" spans="1:1" x14ac:dyDescent="0.2">
      <c r="A356" s="996" t="str">
        <f>CONCATENATE(Programme!D357,Programme!E357,Programme!F357,Programme!G357,Programme!H357,Programme!I357,Programme!J357)</f>
        <v>&lt;/cellule&gt;</v>
      </c>
    </row>
    <row r="357" spans="1:1" x14ac:dyDescent="0.2">
      <c r="A357" s="996" t="str">
        <f>CONCATENATE(Programme!D358,Programme!E358,Programme!F358,Programme!G358,Programme!H358,Programme!I358,Programme!J358)</f>
        <v>&lt;valeur&gt;0&lt;/valeur&gt;</v>
      </c>
    </row>
    <row r="358" spans="1:1" x14ac:dyDescent="0.2">
      <c r="A358" s="996" t="str">
        <f>CONCATENATE(Programme!D359,Programme!E359,Programme!F359,Programme!G359,Programme!H359,Programme!I359,Programme!J359)</f>
        <v>&lt;/ValeurCellule&gt;</v>
      </c>
    </row>
    <row r="359" spans="1:1" x14ac:dyDescent="0.2">
      <c r="A359" s="996" t="str">
        <f>CONCATENATE(Programme!D360,Programme!E360,Programme!F360,Programme!G360,Programme!H360,Programme!I360,Programme!J360)</f>
        <v>&lt;ValeurCellule&gt;</v>
      </c>
    </row>
    <row r="360" spans="1:1" x14ac:dyDescent="0.2">
      <c r="A360" s="996" t="str">
        <f>CONCATENATE(Programme!D361,Programme!E361,Programme!F361,Programme!G361,Programme!H361,Programme!I361,Programme!J361)</f>
        <v>&lt;cellule&gt;</v>
      </c>
    </row>
    <row r="361" spans="1:1" x14ac:dyDescent="0.2">
      <c r="A361" s="996" t="str">
        <f>CONCATENATE(Programme!D362,Programme!E362,Programme!F362,Programme!G362,Programme!H362,Programme!I362,Programme!J362)</f>
        <v>&lt;codeEdi&gt;226&lt;/codeEdi&gt;</v>
      </c>
    </row>
    <row r="362" spans="1:1" x14ac:dyDescent="0.2">
      <c r="A362" s="996" t="str">
        <f>CONCATENATE(Programme!D363,Programme!E363,Programme!F363,Programme!G363,Programme!H363,Programme!I363,Programme!J363)</f>
        <v>&lt;/cellule&gt;</v>
      </c>
    </row>
    <row r="363" spans="1:1" x14ac:dyDescent="0.2">
      <c r="A363" s="996" t="str">
        <f>CONCATENATE(Programme!D364,Programme!E364,Programme!F364,Programme!G364,Programme!H364,Programme!I364,Programme!J364)</f>
        <v>&lt;valeur&gt;0&lt;/valeur&gt;</v>
      </c>
    </row>
    <row r="364" spans="1:1" x14ac:dyDescent="0.2">
      <c r="A364" s="996" t="str">
        <f>CONCATENATE(Programme!D365,Programme!E365,Programme!F365,Programme!G365,Programme!H365,Programme!I365,Programme!J365)</f>
        <v>&lt;/ValeurCellule&gt;</v>
      </c>
    </row>
    <row r="365" spans="1:1" x14ac:dyDescent="0.2">
      <c r="A365" s="996" t="str">
        <f>CONCATENATE(Programme!D366,Programme!E366,Programme!F366,Programme!G366,Programme!H366,Programme!I366,Programme!J366)</f>
        <v>&lt;ValeurCellule&gt;</v>
      </c>
    </row>
    <row r="366" spans="1:1" x14ac:dyDescent="0.2">
      <c r="A366" s="996" t="str">
        <f>CONCATENATE(Programme!D367,Programme!E367,Programme!F367,Programme!G367,Programme!H367,Programme!I367,Programme!J367)</f>
        <v>&lt;cellule&gt;</v>
      </c>
    </row>
    <row r="367" spans="1:1" x14ac:dyDescent="0.2">
      <c r="A367" s="996" t="str">
        <f>CONCATENATE(Programme!D368,Programme!E368,Programme!F368,Programme!G368,Programme!H368,Programme!I368,Programme!J368)</f>
        <v>&lt;codeEdi&gt;227&lt;/codeEdi&gt;</v>
      </c>
    </row>
    <row r="368" spans="1:1" x14ac:dyDescent="0.2">
      <c r="A368" s="996" t="str">
        <f>CONCATENATE(Programme!D369,Programme!E369,Programme!F369,Programme!G369,Programme!H369,Programme!I369,Programme!J369)</f>
        <v>&lt;/cellule&gt;</v>
      </c>
    </row>
    <row r="369" spans="1:1" x14ac:dyDescent="0.2">
      <c r="A369" s="996" t="str">
        <f>CONCATENATE(Programme!D370,Programme!E370,Programme!F370,Programme!G370,Programme!H370,Programme!I370,Programme!J370)</f>
        <v>&lt;valeur&gt;0&lt;/valeur&gt;</v>
      </c>
    </row>
    <row r="370" spans="1:1" x14ac:dyDescent="0.2">
      <c r="A370" s="996" t="str">
        <f>CONCATENATE(Programme!D371,Programme!E371,Programme!F371,Programme!G371,Programme!H371,Programme!I371,Programme!J371)</f>
        <v>&lt;/ValeurCellule&gt;</v>
      </c>
    </row>
    <row r="371" spans="1:1" x14ac:dyDescent="0.2">
      <c r="A371" s="996" t="str">
        <f>CONCATENATE(Programme!D372,Programme!E372,Programme!F372,Programme!G372,Programme!H372,Programme!I372,Programme!J372)</f>
        <v>&lt;ValeurCellule&gt;</v>
      </c>
    </row>
    <row r="372" spans="1:1" x14ac:dyDescent="0.2">
      <c r="A372" s="996" t="str">
        <f>CONCATENATE(Programme!D373,Programme!E373,Programme!F373,Programme!G373,Programme!H373,Programme!I373,Programme!J373)</f>
        <v>&lt;cellule&gt;</v>
      </c>
    </row>
    <row r="373" spans="1:1" x14ac:dyDescent="0.2">
      <c r="A373" s="996" t="str">
        <f>CONCATENATE(Programme!D374,Programme!E374,Programme!F374,Programme!G374,Programme!H374,Programme!I374,Programme!J374)</f>
        <v>&lt;codeEdi&gt;509&lt;/codeEdi&gt;</v>
      </c>
    </row>
    <row r="374" spans="1:1" x14ac:dyDescent="0.2">
      <c r="A374" s="996" t="str">
        <f>CONCATENATE(Programme!D375,Programme!E375,Programme!F375,Programme!G375,Programme!H375,Programme!I375,Programme!J375)</f>
        <v>&lt;/cellule&gt;</v>
      </c>
    </row>
    <row r="375" spans="1:1" x14ac:dyDescent="0.2">
      <c r="A375" s="996" t="str">
        <f>CONCATENATE(Programme!D376,Programme!E376,Programme!F376,Programme!G376,Programme!H376,Programme!I376,Programme!J376)</f>
        <v>&lt;valeur&gt;0&lt;/valeur&gt;</v>
      </c>
    </row>
    <row r="376" spans="1:1" x14ac:dyDescent="0.2">
      <c r="A376" s="996" t="str">
        <f>CONCATENATE(Programme!D377,Programme!E377,Programme!F377,Programme!G377,Programme!H377,Programme!I377,Programme!J377)</f>
        <v>&lt;/ValeurCellule&gt;</v>
      </c>
    </row>
    <row r="377" spans="1:1" x14ac:dyDescent="0.2">
      <c r="A377" s="996" t="str">
        <f>CONCATENATE(Programme!D378,Programme!E378,Programme!F378,Programme!G378,Programme!H378,Programme!I378,Programme!J378)</f>
        <v>&lt;ValeurCellule&gt;</v>
      </c>
    </row>
    <row r="378" spans="1:1" x14ac:dyDescent="0.2">
      <c r="A378" s="996" t="str">
        <f>CONCATENATE(Programme!D379,Programme!E379,Programme!F379,Programme!G379,Programme!H379,Programme!I379,Programme!J379)</f>
        <v>&lt;cellule&gt;</v>
      </c>
    </row>
    <row r="379" spans="1:1" x14ac:dyDescent="0.2">
      <c r="A379" s="996" t="str">
        <f>CONCATENATE(Programme!D380,Programme!E380,Programme!F380,Programme!G380,Programme!H380,Programme!I380,Programme!J380)</f>
        <v>&lt;codeEdi&gt;228&lt;/codeEdi&gt;</v>
      </c>
    </row>
    <row r="380" spans="1:1" x14ac:dyDescent="0.2">
      <c r="A380" s="996" t="str">
        <f>CONCATENATE(Programme!D381,Programme!E381,Programme!F381,Programme!G381,Programme!H381,Programme!I381,Programme!J381)</f>
        <v>&lt;/cellule&gt;</v>
      </c>
    </row>
    <row r="381" spans="1:1" x14ac:dyDescent="0.2">
      <c r="A381" s="996" t="str">
        <f>CONCATENATE(Programme!D382,Programme!E382,Programme!F382,Programme!G382,Programme!H382,Programme!I382,Programme!J382)</f>
        <v>&lt;valeur&gt;0&lt;/valeur&gt;</v>
      </c>
    </row>
    <row r="382" spans="1:1" x14ac:dyDescent="0.2">
      <c r="A382" s="996" t="str">
        <f>CONCATENATE(Programme!D383,Programme!E383,Programme!F383,Programme!G383,Programme!H383,Programme!I383,Programme!J383)</f>
        <v>&lt;/ValeurCellule&gt;</v>
      </c>
    </row>
    <row r="383" spans="1:1" x14ac:dyDescent="0.2">
      <c r="A383" s="996" t="str">
        <f>CONCATENATE(Programme!D384,Programme!E384,Programme!F384,Programme!G384,Programme!H384,Programme!I384,Programme!J384)</f>
        <v>&lt;ValeurCellule&gt;</v>
      </c>
    </row>
    <row r="384" spans="1:1" x14ac:dyDescent="0.2">
      <c r="A384" s="996" t="str">
        <f>CONCATENATE(Programme!D385,Programme!E385,Programme!F385,Programme!G385,Programme!H385,Programme!I385,Programme!J385)</f>
        <v>&lt;cellule&gt;</v>
      </c>
    </row>
    <row r="385" spans="1:1" x14ac:dyDescent="0.2">
      <c r="A385" s="996" t="str">
        <f>CONCATENATE(Programme!D386,Programme!E386,Programme!F386,Programme!G386,Programme!H386,Programme!I386,Programme!J386)</f>
        <v>&lt;codeEdi&gt;229&lt;/codeEdi&gt;</v>
      </c>
    </row>
    <row r="386" spans="1:1" x14ac:dyDescent="0.2">
      <c r="A386" s="996" t="str">
        <f>CONCATENATE(Programme!D387,Programme!E387,Programme!F387,Programme!G387,Programme!H387,Programme!I387,Programme!J387)</f>
        <v>&lt;/cellule&gt;</v>
      </c>
    </row>
    <row r="387" spans="1:1" x14ac:dyDescent="0.2">
      <c r="A387" s="996" t="str">
        <f>CONCATENATE(Programme!D388,Programme!E388,Programme!F388,Programme!G388,Programme!H388,Programme!I388,Programme!J388)</f>
        <v>&lt;valeur&gt;0&lt;/valeur&gt;</v>
      </c>
    </row>
    <row r="388" spans="1:1" x14ac:dyDescent="0.2">
      <c r="A388" s="996" t="str">
        <f>CONCATENATE(Programme!D389,Programme!E389,Programme!F389,Programme!G389,Programme!H389,Programme!I389,Programme!J389)</f>
        <v>&lt;/ValeurCellule&gt;</v>
      </c>
    </row>
    <row r="389" spans="1:1" x14ac:dyDescent="0.2">
      <c r="A389" s="996" t="str">
        <f>CONCATENATE(Programme!D390,Programme!E390,Programme!F390,Programme!G390,Programme!H390,Programme!I390,Programme!J390)</f>
        <v>&lt;ValeurCellule&gt;</v>
      </c>
    </row>
    <row r="390" spans="1:1" x14ac:dyDescent="0.2">
      <c r="A390" s="996" t="str">
        <f>CONCATENATE(Programme!D391,Programme!E391,Programme!F391,Programme!G391,Programme!H391,Programme!I391,Programme!J391)</f>
        <v>&lt;cellule&gt;</v>
      </c>
    </row>
    <row r="391" spans="1:1" x14ac:dyDescent="0.2">
      <c r="A391" s="996" t="str">
        <f>CONCATENATE(Programme!D392,Programme!E392,Programme!F392,Programme!G392,Programme!H392,Programme!I392,Programme!J392)</f>
        <v>&lt;codeEdi&gt;230&lt;/codeEdi&gt;</v>
      </c>
    </row>
    <row r="392" spans="1:1" x14ac:dyDescent="0.2">
      <c r="A392" s="996" t="str">
        <f>CONCATENATE(Programme!D393,Programme!E393,Programme!F393,Programme!G393,Programme!H393,Programme!I393,Programme!J393)</f>
        <v>&lt;/cellule&gt;</v>
      </c>
    </row>
    <row r="393" spans="1:1" x14ac:dyDescent="0.2">
      <c r="A393" s="996" t="str">
        <f>CONCATENATE(Programme!D394,Programme!E394,Programme!F394,Programme!G394,Programme!H394,Programme!I394,Programme!J394)</f>
        <v>&lt;valeur&gt;0&lt;/valeur&gt;</v>
      </c>
    </row>
    <row r="394" spans="1:1" x14ac:dyDescent="0.2">
      <c r="A394" s="996" t="str">
        <f>CONCATENATE(Programme!D395,Programme!E395,Programme!F395,Programme!G395,Programme!H395,Programme!I395,Programme!J395)</f>
        <v>&lt;/ValeurCellule&gt;</v>
      </c>
    </row>
    <row r="395" spans="1:1" x14ac:dyDescent="0.2">
      <c r="A395" s="996" t="str">
        <f>CONCATENATE(Programme!D396,Programme!E396,Programme!F396,Programme!G396,Programme!H396,Programme!I396,Programme!J396)</f>
        <v>&lt;ValeurCellule&gt;</v>
      </c>
    </row>
    <row r="396" spans="1:1" x14ac:dyDescent="0.2">
      <c r="A396" s="996" t="str">
        <f>CONCATENATE(Programme!D397,Programme!E397,Programme!F397,Programme!G397,Programme!H397,Programme!I397,Programme!J397)</f>
        <v>&lt;cellule&gt;</v>
      </c>
    </row>
    <row r="397" spans="1:1" x14ac:dyDescent="0.2">
      <c r="A397" s="996" t="str">
        <f>CONCATENATE(Programme!D398,Programme!E398,Programme!F398,Programme!G398,Programme!H398,Programme!I398,Programme!J398)</f>
        <v>&lt;codeEdi&gt;231&lt;/codeEdi&gt;</v>
      </c>
    </row>
    <row r="398" spans="1:1" x14ac:dyDescent="0.2">
      <c r="A398" s="996" t="str">
        <f>CONCATENATE(Programme!D399,Programme!E399,Programme!F399,Programme!G399,Programme!H399,Programme!I399,Programme!J399)</f>
        <v>&lt;/cellule&gt;</v>
      </c>
    </row>
    <row r="399" spans="1:1" x14ac:dyDescent="0.2">
      <c r="A399" s="996" t="str">
        <f>CONCATENATE(Programme!D400,Programme!E400,Programme!F400,Programme!G400,Programme!H400,Programme!I400,Programme!J400)</f>
        <v>&lt;valeur&gt;0&lt;/valeur&gt;</v>
      </c>
    </row>
    <row r="400" spans="1:1" x14ac:dyDescent="0.2">
      <c r="A400" s="996" t="str">
        <f>CONCATENATE(Programme!D401,Programme!E401,Programme!F401,Programme!G401,Programme!H401,Programme!I401,Programme!J401)</f>
        <v>&lt;/ValeurCellule&gt;</v>
      </c>
    </row>
    <row r="401" spans="1:1" x14ac:dyDescent="0.2">
      <c r="A401" s="996" t="str">
        <f>CONCATENATE(Programme!D402,Programme!E402,Programme!F402,Programme!G402,Programme!H402,Programme!I402,Programme!J402)</f>
        <v>&lt;ValeurCellule&gt;</v>
      </c>
    </row>
    <row r="402" spans="1:1" x14ac:dyDescent="0.2">
      <c r="A402" s="996" t="str">
        <f>CONCATENATE(Programme!D403,Programme!E403,Programme!F403,Programme!G403,Programme!H403,Programme!I403,Programme!J403)</f>
        <v>&lt;cellule&gt;</v>
      </c>
    </row>
    <row r="403" spans="1:1" x14ac:dyDescent="0.2">
      <c r="A403" s="996" t="str">
        <f>CONCATENATE(Programme!D404,Programme!E404,Programme!F404,Programme!G404,Programme!H404,Programme!I404,Programme!J404)</f>
        <v>&lt;codeEdi&gt;232&lt;/codeEdi&gt;</v>
      </c>
    </row>
    <row r="404" spans="1:1" x14ac:dyDescent="0.2">
      <c r="A404" s="996" t="str">
        <f>CONCATENATE(Programme!D405,Programme!E405,Programme!F405,Programme!G405,Programme!H405,Programme!I405,Programme!J405)</f>
        <v>&lt;/cellule&gt;</v>
      </c>
    </row>
    <row r="405" spans="1:1" x14ac:dyDescent="0.2">
      <c r="A405" s="996" t="str">
        <f>CONCATENATE(Programme!D406,Programme!E406,Programme!F406,Programme!G406,Programme!H406,Programme!I406,Programme!J406)</f>
        <v>&lt;valeur&gt;0&lt;/valeur&gt;</v>
      </c>
    </row>
    <row r="406" spans="1:1" x14ac:dyDescent="0.2">
      <c r="A406" s="996" t="str">
        <f>CONCATENATE(Programme!D407,Programme!E407,Programme!F407,Programme!G407,Programme!H407,Programme!I407,Programme!J407)</f>
        <v>&lt;/ValeurCellule&gt;</v>
      </c>
    </row>
    <row r="407" spans="1:1" x14ac:dyDescent="0.2">
      <c r="A407" s="996" t="str">
        <f>CONCATENATE(Programme!D408,Programme!E408,Programme!F408,Programme!G408,Programme!H408,Programme!I408,Programme!J408)</f>
        <v>&lt;ValeurCellule&gt;</v>
      </c>
    </row>
    <row r="408" spans="1:1" x14ac:dyDescent="0.2">
      <c r="A408" s="996" t="str">
        <f>CONCATENATE(Programme!D409,Programme!E409,Programme!F409,Programme!G409,Programme!H409,Programme!I409,Programme!J409)</f>
        <v>&lt;cellule&gt;</v>
      </c>
    </row>
    <row r="409" spans="1:1" x14ac:dyDescent="0.2">
      <c r="A409" s="996" t="str">
        <f>CONCATENATE(Programme!D410,Programme!E410,Programme!F410,Programme!G410,Programme!H410,Programme!I410,Programme!J410)</f>
        <v>&lt;codeEdi&gt;233&lt;/codeEdi&gt;</v>
      </c>
    </row>
    <row r="410" spans="1:1" x14ac:dyDescent="0.2">
      <c r="A410" s="996" t="str">
        <f>CONCATENATE(Programme!D411,Programme!E411,Programme!F411,Programme!G411,Programme!H411,Programme!I411,Programme!J411)</f>
        <v>&lt;/cellule&gt;</v>
      </c>
    </row>
    <row r="411" spans="1:1" x14ac:dyDescent="0.2">
      <c r="A411" s="996" t="str">
        <f>CONCATENATE(Programme!D412,Programme!E412,Programme!F412,Programme!G412,Programme!H412,Programme!I412,Programme!J412)</f>
        <v>&lt;valeur&gt;0&lt;/valeur&gt;</v>
      </c>
    </row>
    <row r="412" spans="1:1" x14ac:dyDescent="0.2">
      <c r="A412" s="996" t="str">
        <f>CONCATENATE(Programme!D413,Programme!E413,Programme!F413,Programme!G413,Programme!H413,Programme!I413,Programme!J413)</f>
        <v>&lt;/ValeurCellule&gt;</v>
      </c>
    </row>
    <row r="413" spans="1:1" x14ac:dyDescent="0.2">
      <c r="A413" s="996" t="str">
        <f>CONCATENATE(Programme!D414,Programme!E414,Programme!F414,Programme!G414,Programme!H414,Programme!I414,Programme!J414)</f>
        <v>&lt;ValeurCellule&gt;</v>
      </c>
    </row>
    <row r="414" spans="1:1" x14ac:dyDescent="0.2">
      <c r="A414" s="996" t="str">
        <f>CONCATENATE(Programme!D415,Programme!E415,Programme!F415,Programme!G415,Programme!H415,Programme!I415,Programme!J415)</f>
        <v>&lt;cellule&gt;</v>
      </c>
    </row>
    <row r="415" spans="1:1" x14ac:dyDescent="0.2">
      <c r="A415" s="996" t="str">
        <f>CONCATENATE(Programme!D416,Programme!E416,Programme!F416,Programme!G416,Programme!H416,Programme!I416,Programme!J416)</f>
        <v>&lt;codeEdi&gt;234&lt;/codeEdi&gt;</v>
      </c>
    </row>
    <row r="416" spans="1:1" x14ac:dyDescent="0.2">
      <c r="A416" s="996" t="str">
        <f>CONCATENATE(Programme!D417,Programme!E417,Programme!F417,Programme!G417,Programme!H417,Programme!I417,Programme!J417)</f>
        <v>&lt;/cellule&gt;</v>
      </c>
    </row>
    <row r="417" spans="1:1" x14ac:dyDescent="0.2">
      <c r="A417" s="996" t="str">
        <f>CONCATENATE(Programme!D418,Programme!E418,Programme!F418,Programme!G418,Programme!H418,Programme!I418,Programme!J418)</f>
        <v>&lt;valeur&gt;0&lt;/valeur&gt;</v>
      </c>
    </row>
    <row r="418" spans="1:1" x14ac:dyDescent="0.2">
      <c r="A418" s="996" t="str">
        <f>CONCATENATE(Programme!D419,Programme!E419,Programme!F419,Programme!G419,Programme!H419,Programme!I419,Programme!J419)</f>
        <v>&lt;/ValeurCellule&gt;</v>
      </c>
    </row>
    <row r="419" spans="1:1" x14ac:dyDescent="0.2">
      <c r="A419" s="996" t="str">
        <f>CONCATENATE(Programme!D420,Programme!E420,Programme!F420,Programme!G420,Programme!H420,Programme!I420,Programme!J420)</f>
        <v>&lt;ValeurCellule&gt;</v>
      </c>
    </row>
    <row r="420" spans="1:1" x14ac:dyDescent="0.2">
      <c r="A420" s="996" t="str">
        <f>CONCATENATE(Programme!D421,Programme!E421,Programme!F421,Programme!G421,Programme!H421,Programme!I421,Programme!J421)</f>
        <v>&lt;cellule&gt;</v>
      </c>
    </row>
    <row r="421" spans="1:1" x14ac:dyDescent="0.2">
      <c r="A421" s="996" t="str">
        <f>CONCATENATE(Programme!D422,Programme!E422,Programme!F422,Programme!G422,Programme!H422,Programme!I422,Programme!J422)</f>
        <v>&lt;codeEdi&gt;510&lt;/codeEdi&gt;</v>
      </c>
    </row>
    <row r="422" spans="1:1" x14ac:dyDescent="0.2">
      <c r="A422" s="996" t="str">
        <f>CONCATENATE(Programme!D423,Programme!E423,Programme!F423,Programme!G423,Programme!H423,Programme!I423,Programme!J423)</f>
        <v>&lt;/cellule&gt;</v>
      </c>
    </row>
    <row r="423" spans="1:1" x14ac:dyDescent="0.2">
      <c r="A423" s="996" t="str">
        <f>CONCATENATE(Programme!D424,Programme!E424,Programme!F424,Programme!G424,Programme!H424,Programme!I424,Programme!J424)</f>
        <v>&lt;valeur&gt;0&lt;/valeur&gt;</v>
      </c>
    </row>
    <row r="424" spans="1:1" x14ac:dyDescent="0.2">
      <c r="A424" s="996" t="str">
        <f>CONCATENATE(Programme!D425,Programme!E425,Programme!F425,Programme!G425,Programme!H425,Programme!I425,Programme!J425)</f>
        <v>&lt;/ValeurCellule&gt;</v>
      </c>
    </row>
    <row r="425" spans="1:1" x14ac:dyDescent="0.2">
      <c r="A425" s="996" t="str">
        <f>CONCATENATE(Programme!D426,Programme!E426,Programme!F426,Programme!G426,Programme!H426,Programme!I426,Programme!J426)</f>
        <v>&lt;ValeurCellule&gt;</v>
      </c>
    </row>
    <row r="426" spans="1:1" x14ac:dyDescent="0.2">
      <c r="A426" s="996" t="str">
        <f>CONCATENATE(Programme!D427,Programme!E427,Programme!F427,Programme!G427,Programme!H427,Programme!I427,Programme!J427)</f>
        <v>&lt;cellule&gt;</v>
      </c>
    </row>
    <row r="427" spans="1:1" x14ac:dyDescent="0.2">
      <c r="A427" s="996" t="str">
        <f>CONCATENATE(Programme!D428,Programme!E428,Programme!F428,Programme!G428,Programme!H428,Programme!I428,Programme!J428)</f>
        <v>&lt;codeEdi&gt;254&lt;/codeEdi&gt;</v>
      </c>
    </row>
    <row r="428" spans="1:1" x14ac:dyDescent="0.2">
      <c r="A428" s="996" t="str">
        <f>CONCATENATE(Programme!D429,Programme!E429,Programme!F429,Programme!G429,Programme!H429,Programme!I429,Programme!J429)</f>
        <v>&lt;/cellule&gt;</v>
      </c>
    </row>
    <row r="429" spans="1:1" x14ac:dyDescent="0.2">
      <c r="A429" s="996" t="str">
        <f>CONCATENATE(Programme!D430,Programme!E430,Programme!F430,Programme!G430,Programme!H430,Programme!I430,Programme!J430)</f>
        <v>&lt;valeur&gt;0&lt;/valeur&gt;</v>
      </c>
    </row>
    <row r="430" spans="1:1" x14ac:dyDescent="0.2">
      <c r="A430" s="996" t="str">
        <f>CONCATENATE(Programme!D431,Programme!E431,Programme!F431,Programme!G431,Programme!H431,Programme!I431,Programme!J431)</f>
        <v>&lt;/ValeurCellule&gt;</v>
      </c>
    </row>
    <row r="431" spans="1:1" x14ac:dyDescent="0.2">
      <c r="A431" s="996" t="str">
        <f>CONCATENATE(Programme!D432,Programme!E432,Programme!F432,Programme!G432,Programme!H432,Programme!I432,Programme!J432)</f>
        <v>&lt;ValeurCellule&gt;</v>
      </c>
    </row>
    <row r="432" spans="1:1" x14ac:dyDescent="0.2">
      <c r="A432" s="996" t="str">
        <f>CONCATENATE(Programme!D433,Programme!E433,Programme!F433,Programme!G433,Programme!H433,Programme!I433,Programme!J433)</f>
        <v>&lt;cellule&gt;</v>
      </c>
    </row>
    <row r="433" spans="1:1" x14ac:dyDescent="0.2">
      <c r="A433" s="996" t="str">
        <f>CONCATENATE(Programme!D434,Programme!E434,Programme!F434,Programme!G434,Programme!H434,Programme!I434,Programme!J434)</f>
        <v>&lt;codeEdi&gt;255&lt;/codeEdi&gt;</v>
      </c>
    </row>
    <row r="434" spans="1:1" x14ac:dyDescent="0.2">
      <c r="A434" s="996" t="str">
        <f>CONCATENATE(Programme!D435,Programme!E435,Programme!F435,Programme!G435,Programme!H435,Programme!I435,Programme!J435)</f>
        <v>&lt;/cellule&gt;</v>
      </c>
    </row>
    <row r="435" spans="1:1" x14ac:dyDescent="0.2">
      <c r="A435" s="996" t="str">
        <f>CONCATENATE(Programme!D436,Programme!E436,Programme!F436,Programme!G436,Programme!H436,Programme!I436,Programme!J436)</f>
        <v>&lt;valeur&gt;0&lt;/valeur&gt;</v>
      </c>
    </row>
    <row r="436" spans="1:1" x14ac:dyDescent="0.2">
      <c r="A436" s="996" t="str">
        <f>CONCATENATE(Programme!D437,Programme!E437,Programme!F437,Programme!G437,Programme!H437,Programme!I437,Programme!J437)</f>
        <v>&lt;/ValeurCellule&gt;</v>
      </c>
    </row>
    <row r="437" spans="1:1" x14ac:dyDescent="0.2">
      <c r="A437" s="996" t="str">
        <f>CONCATENATE(Programme!D438,Programme!E438,Programme!F438,Programme!G438,Programme!H438,Programme!I438,Programme!J438)</f>
        <v>&lt;ValeurCellule&gt;</v>
      </c>
    </row>
    <row r="438" spans="1:1" x14ac:dyDescent="0.2">
      <c r="A438" s="996" t="str">
        <f>CONCATENATE(Programme!D439,Programme!E439,Programme!F439,Programme!G439,Programme!H439,Programme!I439,Programme!J439)</f>
        <v>&lt;cellule&gt;</v>
      </c>
    </row>
    <row r="439" spans="1:1" x14ac:dyDescent="0.2">
      <c r="A439" s="996" t="str">
        <f>CONCATENATE(Programme!D440,Programme!E440,Programme!F440,Programme!G440,Programme!H440,Programme!I440,Programme!J440)</f>
        <v>&lt;codeEdi&gt;256&lt;/codeEdi&gt;</v>
      </c>
    </row>
    <row r="440" spans="1:1" x14ac:dyDescent="0.2">
      <c r="A440" s="996" t="str">
        <f>CONCATENATE(Programme!D441,Programme!E441,Programme!F441,Programme!G441,Programme!H441,Programme!I441,Programme!J441)</f>
        <v>&lt;/cellule&gt;</v>
      </c>
    </row>
    <row r="441" spans="1:1" x14ac:dyDescent="0.2">
      <c r="A441" s="996" t="str">
        <f>CONCATENATE(Programme!D442,Programme!E442,Programme!F442,Programme!G442,Programme!H442,Programme!I442,Programme!J442)</f>
        <v>&lt;valeur&gt;0&lt;/valeur&gt;</v>
      </c>
    </row>
    <row r="442" spans="1:1" x14ac:dyDescent="0.2">
      <c r="A442" s="996" t="str">
        <f>CONCATENATE(Programme!D443,Programme!E443,Programme!F443,Programme!G443,Programme!H443,Programme!I443,Programme!J443)</f>
        <v>&lt;/ValeurCellule&gt;</v>
      </c>
    </row>
    <row r="443" spans="1:1" x14ac:dyDescent="0.2">
      <c r="A443" s="996" t="str">
        <f>CONCATENATE(Programme!D444,Programme!E444,Programme!F444,Programme!G444,Programme!H444,Programme!I444,Programme!J444)</f>
        <v>&lt;ValeurCellule&gt;</v>
      </c>
    </row>
    <row r="444" spans="1:1" x14ac:dyDescent="0.2">
      <c r="A444" s="996" t="str">
        <f>CONCATENATE(Programme!D445,Programme!E445,Programme!F445,Programme!G445,Programme!H445,Programme!I445,Programme!J445)</f>
        <v>&lt;cellule&gt;</v>
      </c>
    </row>
    <row r="445" spans="1:1" x14ac:dyDescent="0.2">
      <c r="A445" s="996" t="str">
        <f>CONCATENATE(Programme!D446,Programme!E446,Programme!F446,Programme!G446,Programme!H446,Programme!I446,Programme!J446)</f>
        <v>&lt;codeEdi&gt;257&lt;/codeEdi&gt;</v>
      </c>
    </row>
    <row r="446" spans="1:1" x14ac:dyDescent="0.2">
      <c r="A446" s="996" t="str">
        <f>CONCATENATE(Programme!D447,Programme!E447,Programme!F447,Programme!G447,Programme!H447,Programme!I447,Programme!J447)</f>
        <v>&lt;/cellule&gt;</v>
      </c>
    </row>
    <row r="447" spans="1:1" x14ac:dyDescent="0.2">
      <c r="A447" s="996" t="str">
        <f>CONCATENATE(Programme!D448,Programme!E448,Programme!F448,Programme!G448,Programme!H448,Programme!I448,Programme!J448)</f>
        <v>&lt;valeur&gt;0&lt;/valeur&gt;</v>
      </c>
    </row>
    <row r="448" spans="1:1" x14ac:dyDescent="0.2">
      <c r="A448" s="996" t="str">
        <f>CONCATENATE(Programme!D449,Programme!E449,Programme!F449,Programme!G449,Programme!H449,Programme!I449,Programme!J449)</f>
        <v>&lt;/ValeurCellule&gt;</v>
      </c>
    </row>
    <row r="449" spans="1:1" x14ac:dyDescent="0.2">
      <c r="A449" s="996" t="str">
        <f>CONCATENATE(Programme!D450,Programme!E450,Programme!F450,Programme!G450,Programme!H450,Programme!I450,Programme!J450)</f>
        <v>&lt;ValeurCellule&gt;</v>
      </c>
    </row>
    <row r="450" spans="1:1" x14ac:dyDescent="0.2">
      <c r="A450" s="996" t="str">
        <f>CONCATENATE(Programme!D451,Programme!E451,Programme!F451,Programme!G451,Programme!H451,Programme!I451,Programme!J451)</f>
        <v>&lt;cellule&gt;</v>
      </c>
    </row>
    <row r="451" spans="1:1" x14ac:dyDescent="0.2">
      <c r="A451" s="996" t="str">
        <f>CONCATENATE(Programme!D452,Programme!E452,Programme!F452,Programme!G452,Programme!H452,Programme!I452,Programme!J452)</f>
        <v>&lt;codeEdi&gt;512&lt;/codeEdi&gt;</v>
      </c>
    </row>
    <row r="452" spans="1:1" x14ac:dyDescent="0.2">
      <c r="A452" s="996" t="str">
        <f>CONCATENATE(Programme!D453,Programme!E453,Programme!F453,Programme!G453,Programme!H453,Programme!I453,Programme!J453)</f>
        <v>&lt;/cellule&gt;</v>
      </c>
    </row>
    <row r="453" spans="1:1" x14ac:dyDescent="0.2">
      <c r="A453" s="996" t="str">
        <f>CONCATENATE(Programme!D454,Programme!E454,Programme!F454,Programme!G454,Programme!H454,Programme!I454,Programme!J454)</f>
        <v>&lt;valeur&gt;0&lt;/valeur&gt;</v>
      </c>
    </row>
    <row r="454" spans="1:1" x14ac:dyDescent="0.2">
      <c r="A454" s="996" t="str">
        <f>CONCATENATE(Programme!D455,Programme!E455,Programme!F455,Programme!G455,Programme!H455,Programme!I455,Programme!J455)</f>
        <v>&lt;/ValeurCellule&gt;</v>
      </c>
    </row>
    <row r="455" spans="1:1" x14ac:dyDescent="0.2">
      <c r="A455" s="996" t="str">
        <f>CONCATENATE(Programme!D456,Programme!E456,Programme!F456,Programme!G456,Programme!H456,Programme!I456,Programme!J456)</f>
        <v>&lt;ValeurCellule&gt;</v>
      </c>
    </row>
    <row r="456" spans="1:1" x14ac:dyDescent="0.2">
      <c r="A456" s="996" t="str">
        <f>CONCATENATE(Programme!D457,Programme!E457,Programme!F457,Programme!G457,Programme!H457,Programme!I457,Programme!J457)</f>
        <v>&lt;cellule&gt;</v>
      </c>
    </row>
    <row r="457" spans="1:1" x14ac:dyDescent="0.2">
      <c r="A457" s="996" t="str">
        <f>CONCATENATE(Programme!D458,Programme!E458,Programme!F458,Programme!G458,Programme!H458,Programme!I458,Programme!J458)</f>
        <v>&lt;codeEdi&gt;258&lt;/codeEdi&gt;</v>
      </c>
    </row>
    <row r="458" spans="1:1" x14ac:dyDescent="0.2">
      <c r="A458" s="996" t="str">
        <f>CONCATENATE(Programme!D459,Programme!E459,Programme!F459,Programme!G459,Programme!H459,Programme!I459,Programme!J459)</f>
        <v>&lt;/cellule&gt;</v>
      </c>
    </row>
    <row r="459" spans="1:1" x14ac:dyDescent="0.2">
      <c r="A459" s="996" t="str">
        <f>CONCATENATE(Programme!D460,Programme!E460,Programme!F460,Programme!G460,Programme!H460,Programme!I460,Programme!J460)</f>
        <v>&lt;valeur&gt;0&lt;/valeur&gt;</v>
      </c>
    </row>
    <row r="460" spans="1:1" x14ac:dyDescent="0.2">
      <c r="A460" s="996" t="str">
        <f>CONCATENATE(Programme!D461,Programme!E461,Programme!F461,Programme!G461,Programme!H461,Programme!I461,Programme!J461)</f>
        <v>&lt;/ValeurCellule&gt;</v>
      </c>
    </row>
    <row r="461" spans="1:1" x14ac:dyDescent="0.2">
      <c r="A461" s="996" t="str">
        <f>CONCATENATE(Programme!D462,Programme!E462,Programme!F462,Programme!G462,Programme!H462,Programme!I462,Programme!J462)</f>
        <v>&lt;ValeurCellule&gt;</v>
      </c>
    </row>
    <row r="462" spans="1:1" x14ac:dyDescent="0.2">
      <c r="A462" s="996" t="str">
        <f>CONCATENATE(Programme!D463,Programme!E463,Programme!F463,Programme!G463,Programme!H463,Programme!I463,Programme!J463)</f>
        <v>&lt;cellule&gt;</v>
      </c>
    </row>
    <row r="463" spans="1:1" x14ac:dyDescent="0.2">
      <c r="A463" s="996" t="str">
        <f>CONCATENATE(Programme!D464,Programme!E464,Programme!F464,Programme!G464,Programme!H464,Programme!I464,Programme!J464)</f>
        <v>&lt;codeEdi&gt;259&lt;/codeEdi&gt;</v>
      </c>
    </row>
    <row r="464" spans="1:1" x14ac:dyDescent="0.2">
      <c r="A464" s="996" t="str">
        <f>CONCATENATE(Programme!D465,Programme!E465,Programme!F465,Programme!G465,Programme!H465,Programme!I465,Programme!J465)</f>
        <v>&lt;/cellule&gt;</v>
      </c>
    </row>
    <row r="465" spans="1:1" x14ac:dyDescent="0.2">
      <c r="A465" s="996" t="str">
        <f>CONCATENATE(Programme!D466,Programme!E466,Programme!F466,Programme!G466,Programme!H466,Programme!I466,Programme!J466)</f>
        <v>&lt;valeur&gt;0&lt;/valeur&gt;</v>
      </c>
    </row>
    <row r="466" spans="1:1" x14ac:dyDescent="0.2">
      <c r="A466" s="996" t="str">
        <f>CONCATENATE(Programme!D467,Programme!E467,Programme!F467,Programme!G467,Programme!H467,Programme!I467,Programme!J467)</f>
        <v>&lt;/ValeurCellule&gt;</v>
      </c>
    </row>
    <row r="467" spans="1:1" x14ac:dyDescent="0.2">
      <c r="A467" s="996" t="str">
        <f>CONCATENATE(Programme!D468,Programme!E468,Programme!F468,Programme!G468,Programme!H468,Programme!I468,Programme!J468)</f>
        <v>&lt;ValeurCellule&gt;</v>
      </c>
    </row>
    <row r="468" spans="1:1" x14ac:dyDescent="0.2">
      <c r="A468" s="996" t="str">
        <f>CONCATENATE(Programme!D469,Programme!E469,Programme!F469,Programme!G469,Programme!H469,Programme!I469,Programme!J469)</f>
        <v>&lt;cellule&gt;</v>
      </c>
    </row>
    <row r="469" spans="1:1" x14ac:dyDescent="0.2">
      <c r="A469" s="996" t="str">
        <f>CONCATENATE(Programme!D470,Programme!E470,Programme!F470,Programme!G470,Programme!H470,Programme!I470,Programme!J470)</f>
        <v>&lt;codeEdi&gt;260&lt;/codeEdi&gt;</v>
      </c>
    </row>
    <row r="470" spans="1:1" x14ac:dyDescent="0.2">
      <c r="A470" s="996" t="str">
        <f>CONCATENATE(Programme!D471,Programme!E471,Programme!F471,Programme!G471,Programme!H471,Programme!I471,Programme!J471)</f>
        <v>&lt;/cellule&gt;</v>
      </c>
    </row>
    <row r="471" spans="1:1" x14ac:dyDescent="0.2">
      <c r="A471" s="996" t="str">
        <f>CONCATENATE(Programme!D472,Programme!E472,Programme!F472,Programme!G472,Programme!H472,Programme!I472,Programme!J472)</f>
        <v>&lt;valeur&gt;0&lt;/valeur&gt;</v>
      </c>
    </row>
    <row r="472" spans="1:1" x14ac:dyDescent="0.2">
      <c r="A472" s="996" t="str">
        <f>CONCATENATE(Programme!D473,Programme!E473,Programme!F473,Programme!G473,Programme!H473,Programme!I473,Programme!J473)</f>
        <v>&lt;/ValeurCellule&gt;</v>
      </c>
    </row>
    <row r="473" spans="1:1" x14ac:dyDescent="0.2">
      <c r="A473" s="996" t="str">
        <f>CONCATENATE(Programme!D474,Programme!E474,Programme!F474,Programme!G474,Programme!H474,Programme!I474,Programme!J474)</f>
        <v>&lt;ValeurCellule&gt;</v>
      </c>
    </row>
    <row r="474" spans="1:1" x14ac:dyDescent="0.2">
      <c r="A474" s="996" t="str">
        <f>CONCATENATE(Programme!D475,Programme!E475,Programme!F475,Programme!G475,Programme!H475,Programme!I475,Programme!J475)</f>
        <v>&lt;cellule&gt;</v>
      </c>
    </row>
    <row r="475" spans="1:1" x14ac:dyDescent="0.2">
      <c r="A475" s="996" t="str">
        <f>CONCATENATE(Programme!D476,Programme!E476,Programme!F476,Programme!G476,Programme!H476,Programme!I476,Programme!J476)</f>
        <v>&lt;codeEdi&gt;261&lt;/codeEdi&gt;</v>
      </c>
    </row>
    <row r="476" spans="1:1" x14ac:dyDescent="0.2">
      <c r="A476" s="996" t="str">
        <f>CONCATENATE(Programme!D477,Programme!E477,Programme!F477,Programme!G477,Programme!H477,Programme!I477,Programme!J477)</f>
        <v>&lt;/cellule&gt;</v>
      </c>
    </row>
    <row r="477" spans="1:1" x14ac:dyDescent="0.2">
      <c r="A477" s="996" t="str">
        <f>CONCATENATE(Programme!D478,Programme!E478,Programme!F478,Programme!G478,Programme!H478,Programme!I478,Programme!J478)</f>
        <v>&lt;valeur&gt;0&lt;/valeur&gt;</v>
      </c>
    </row>
    <row r="478" spans="1:1" x14ac:dyDescent="0.2">
      <c r="A478" s="996" t="str">
        <f>CONCATENATE(Programme!D479,Programme!E479,Programme!F479,Programme!G479,Programme!H479,Programme!I479,Programme!J479)</f>
        <v>&lt;/ValeurCellule&gt;</v>
      </c>
    </row>
    <row r="479" spans="1:1" x14ac:dyDescent="0.2">
      <c r="A479" s="996" t="str">
        <f>CONCATENATE(Programme!D480,Programme!E480,Programme!F480,Programme!G480,Programme!H480,Programme!I480,Programme!J480)</f>
        <v>&lt;ValeurCellule&gt;</v>
      </c>
    </row>
    <row r="480" spans="1:1" x14ac:dyDescent="0.2">
      <c r="A480" s="996" t="str">
        <f>CONCATENATE(Programme!D481,Programme!E481,Programme!F481,Programme!G481,Programme!H481,Programme!I481,Programme!J481)</f>
        <v>&lt;cellule&gt;</v>
      </c>
    </row>
    <row r="481" spans="1:1" x14ac:dyDescent="0.2">
      <c r="A481" s="996" t="str">
        <f>CONCATENATE(Programme!D482,Programme!E482,Programme!F482,Programme!G482,Programme!H482,Programme!I482,Programme!J482)</f>
        <v>&lt;codeEdi&gt;513&lt;/codeEdi&gt;</v>
      </c>
    </row>
    <row r="482" spans="1:1" x14ac:dyDescent="0.2">
      <c r="A482" s="996" t="str">
        <f>CONCATENATE(Programme!D483,Programme!E483,Programme!F483,Programme!G483,Programme!H483,Programme!I483,Programme!J483)</f>
        <v>&lt;/cellule&gt;</v>
      </c>
    </row>
    <row r="483" spans="1:1" x14ac:dyDescent="0.2">
      <c r="A483" s="996" t="str">
        <f>CONCATENATE(Programme!D484,Programme!E484,Programme!F484,Programme!G484,Programme!H484,Programme!I484,Programme!J484)</f>
        <v>&lt;valeur&gt;0&lt;/valeur&gt;</v>
      </c>
    </row>
    <row r="484" spans="1:1" x14ac:dyDescent="0.2">
      <c r="A484" s="996" t="str">
        <f>CONCATENATE(Programme!D485,Programme!E485,Programme!F485,Programme!G485,Programme!H485,Programme!I485,Programme!J485)</f>
        <v>&lt;/ValeurCellule&gt;</v>
      </c>
    </row>
    <row r="485" spans="1:1" x14ac:dyDescent="0.2">
      <c r="A485" s="996" t="str">
        <f>CONCATENATE(Programme!D486,Programme!E486,Programme!F486,Programme!G486,Programme!H486,Programme!I486,Programme!J486)</f>
        <v>&lt;ValeurCellule&gt;</v>
      </c>
    </row>
    <row r="486" spans="1:1" x14ac:dyDescent="0.2">
      <c r="A486" s="996" t="str">
        <f>CONCATENATE(Programme!D487,Programme!E487,Programme!F487,Programme!G487,Programme!H487,Programme!I487,Programme!J487)</f>
        <v>&lt;cellule&gt;</v>
      </c>
    </row>
    <row r="487" spans="1:1" x14ac:dyDescent="0.2">
      <c r="A487" s="996" t="str">
        <f>CONCATENATE(Programme!D488,Programme!E488,Programme!F488,Programme!G488,Programme!H488,Programme!I488,Programme!J488)</f>
        <v>&lt;codeEdi&gt;262&lt;/codeEdi&gt;</v>
      </c>
    </row>
    <row r="488" spans="1:1" x14ac:dyDescent="0.2">
      <c r="A488" s="996" t="str">
        <f>CONCATENATE(Programme!D489,Programme!E489,Programme!F489,Programme!G489,Programme!H489,Programme!I489,Programme!J489)</f>
        <v>&lt;/cellule&gt;</v>
      </c>
    </row>
    <row r="489" spans="1:1" x14ac:dyDescent="0.2">
      <c r="A489" s="996" t="str">
        <f>CONCATENATE(Programme!D490,Programme!E490,Programme!F490,Programme!G490,Programme!H490,Programme!I490,Programme!J490)</f>
        <v>&lt;valeur&gt;0&lt;/valeur&gt;</v>
      </c>
    </row>
    <row r="490" spans="1:1" x14ac:dyDescent="0.2">
      <c r="A490" s="996" t="str">
        <f>CONCATENATE(Programme!D491,Programme!E491,Programme!F491,Programme!G491,Programme!H491,Programme!I491,Programme!J491)</f>
        <v>&lt;/ValeurCellule&gt;</v>
      </c>
    </row>
    <row r="491" spans="1:1" x14ac:dyDescent="0.2">
      <c r="A491" s="996" t="str">
        <f>CONCATENATE(Programme!D492,Programme!E492,Programme!F492,Programme!G492,Programme!H492,Programme!I492,Programme!J492)</f>
        <v>&lt;ValeurCellule&gt;</v>
      </c>
    </row>
    <row r="492" spans="1:1" x14ac:dyDescent="0.2">
      <c r="A492" s="996" t="str">
        <f>CONCATENATE(Programme!D493,Programme!E493,Programme!F493,Programme!G493,Programme!H493,Programme!I493,Programme!J493)</f>
        <v>&lt;cellule&gt;</v>
      </c>
    </row>
    <row r="493" spans="1:1" x14ac:dyDescent="0.2">
      <c r="A493" s="996" t="str">
        <f>CONCATENATE(Programme!D494,Programme!E494,Programme!F494,Programme!G494,Programme!H494,Programme!I494,Programme!J494)</f>
        <v>&lt;codeEdi&gt;263&lt;/codeEdi&gt;</v>
      </c>
    </row>
    <row r="494" spans="1:1" x14ac:dyDescent="0.2">
      <c r="A494" s="996" t="str">
        <f>CONCATENATE(Programme!D495,Programme!E495,Programme!F495,Programme!G495,Programme!H495,Programme!I495,Programme!J495)</f>
        <v>&lt;/cellule&gt;</v>
      </c>
    </row>
    <row r="495" spans="1:1" x14ac:dyDescent="0.2">
      <c r="A495" s="996" t="str">
        <f>CONCATENATE(Programme!D496,Programme!E496,Programme!F496,Programme!G496,Programme!H496,Programme!I496,Programme!J496)</f>
        <v>&lt;valeur&gt;0&lt;/valeur&gt;</v>
      </c>
    </row>
    <row r="496" spans="1:1" x14ac:dyDescent="0.2">
      <c r="A496" s="996" t="str">
        <f>CONCATENATE(Programme!D497,Programme!E497,Programme!F497,Programme!G497,Programme!H497,Programme!I497,Programme!J497)</f>
        <v>&lt;/ValeurCellule&gt;</v>
      </c>
    </row>
    <row r="497" spans="1:1" x14ac:dyDescent="0.2">
      <c r="A497" s="996" t="str">
        <f>CONCATENATE(Programme!D498,Programme!E498,Programme!F498,Programme!G498,Programme!H498,Programme!I498,Programme!J498)</f>
        <v>&lt;ValeurCellule&gt;</v>
      </c>
    </row>
    <row r="498" spans="1:1" x14ac:dyDescent="0.2">
      <c r="A498" s="996" t="str">
        <f>CONCATENATE(Programme!D499,Programme!E499,Programme!F499,Programme!G499,Programme!H499,Programme!I499,Programme!J499)</f>
        <v>&lt;cellule&gt;</v>
      </c>
    </row>
    <row r="499" spans="1:1" x14ac:dyDescent="0.2">
      <c r="A499" s="996" t="str">
        <f>CONCATENATE(Programme!D500,Programme!E500,Programme!F500,Programme!G500,Programme!H500,Programme!I500,Programme!J500)</f>
        <v>&lt;codeEdi&gt;264&lt;/codeEdi&gt;</v>
      </c>
    </row>
    <row r="500" spans="1:1" x14ac:dyDescent="0.2">
      <c r="A500" s="996" t="str">
        <f>CONCATENATE(Programme!D501,Programme!E501,Programme!F501,Programme!G501,Programme!H501,Programme!I501,Programme!J501)</f>
        <v>&lt;/cellule&gt;</v>
      </c>
    </row>
    <row r="501" spans="1:1" x14ac:dyDescent="0.2">
      <c r="A501" s="996" t="str">
        <f>CONCATENATE(Programme!D502,Programme!E502,Programme!F502,Programme!G502,Programme!H502,Programme!I502,Programme!J502)</f>
        <v>&lt;valeur&gt;0&lt;/valeur&gt;</v>
      </c>
    </row>
    <row r="502" spans="1:1" x14ac:dyDescent="0.2">
      <c r="A502" s="996" t="str">
        <f>CONCATENATE(Programme!D503,Programme!E503,Programme!F503,Programme!G503,Programme!H503,Programme!I503,Programme!J503)</f>
        <v>&lt;/ValeurCellule&gt;</v>
      </c>
    </row>
    <row r="503" spans="1:1" x14ac:dyDescent="0.2">
      <c r="A503" s="996" t="str">
        <f>CONCATENATE(Programme!D504,Programme!E504,Programme!F504,Programme!G504,Programme!H504,Programme!I504,Programme!J504)</f>
        <v>&lt;ValeurCellule&gt;</v>
      </c>
    </row>
    <row r="504" spans="1:1" x14ac:dyDescent="0.2">
      <c r="A504" s="996" t="str">
        <f>CONCATENATE(Programme!D505,Programme!E505,Programme!F505,Programme!G505,Programme!H505,Programme!I505,Programme!J505)</f>
        <v>&lt;cellule&gt;</v>
      </c>
    </row>
    <row r="505" spans="1:1" x14ac:dyDescent="0.2">
      <c r="A505" s="996" t="str">
        <f>CONCATENATE(Programme!D506,Programme!E506,Programme!F506,Programme!G506,Programme!H506,Programme!I506,Programme!J506)</f>
        <v>&lt;codeEdi&gt;265&lt;/codeEdi&gt;</v>
      </c>
    </row>
    <row r="506" spans="1:1" x14ac:dyDescent="0.2">
      <c r="A506" s="996" t="str">
        <f>CONCATENATE(Programme!D507,Programme!E507,Programme!F507,Programme!G507,Programme!H507,Programme!I507,Programme!J507)</f>
        <v>&lt;/cellule&gt;</v>
      </c>
    </row>
    <row r="507" spans="1:1" x14ac:dyDescent="0.2">
      <c r="A507" s="996" t="str">
        <f>CONCATENATE(Programme!D508,Programme!E508,Programme!F508,Programme!G508,Programme!H508,Programme!I508,Programme!J508)</f>
        <v>&lt;valeur&gt;0&lt;/valeur&gt;</v>
      </c>
    </row>
    <row r="508" spans="1:1" x14ac:dyDescent="0.2">
      <c r="A508" s="996" t="str">
        <f>CONCATENATE(Programme!D509,Programme!E509,Programme!F509,Programme!G509,Programme!H509,Programme!I509,Programme!J509)</f>
        <v>&lt;/ValeurCellule&gt;</v>
      </c>
    </row>
    <row r="509" spans="1:1" x14ac:dyDescent="0.2">
      <c r="A509" s="996" t="str">
        <f>CONCATENATE(Programme!D510,Programme!E510,Programme!F510,Programme!G510,Programme!H510,Programme!I510,Programme!J510)</f>
        <v>&lt;ValeurCellule&gt;</v>
      </c>
    </row>
    <row r="510" spans="1:1" x14ac:dyDescent="0.2">
      <c r="A510" s="996" t="str">
        <f>CONCATENATE(Programme!D511,Programme!E511,Programme!F511,Programme!G511,Programme!H511,Programme!I511,Programme!J511)</f>
        <v>&lt;cellule&gt;</v>
      </c>
    </row>
    <row r="511" spans="1:1" x14ac:dyDescent="0.2">
      <c r="A511" s="996" t="str">
        <f>CONCATENATE(Programme!D512,Programme!E512,Programme!F512,Programme!G512,Programme!H512,Programme!I512,Programme!J512)</f>
        <v>&lt;codeEdi&gt;514&lt;/codeEdi&gt;</v>
      </c>
    </row>
    <row r="512" spans="1:1" x14ac:dyDescent="0.2">
      <c r="A512" s="996" t="str">
        <f>CONCATENATE(Programme!D513,Programme!E513,Programme!F513,Programme!G513,Programme!H513,Programme!I513,Programme!J513)</f>
        <v>&lt;/cellule&gt;</v>
      </c>
    </row>
    <row r="513" spans="1:1" x14ac:dyDescent="0.2">
      <c r="A513" s="996" t="str">
        <f>CONCATENATE(Programme!D514,Programme!E514,Programme!F514,Programme!G514,Programme!H514,Programme!I514,Programme!J514)</f>
        <v>&lt;valeur&gt;0&lt;/valeur&gt;</v>
      </c>
    </row>
    <row r="514" spans="1:1" x14ac:dyDescent="0.2">
      <c r="A514" s="996" t="str">
        <f>CONCATENATE(Programme!D515,Programme!E515,Programme!F515,Programme!G515,Programme!H515,Programme!I515,Programme!J515)</f>
        <v>&lt;/ValeurCellule&gt;</v>
      </c>
    </row>
    <row r="515" spans="1:1" x14ac:dyDescent="0.2">
      <c r="A515" s="996" t="str">
        <f>CONCATENATE(Programme!D516,Programme!E516,Programme!F516,Programme!G516,Programme!H516,Programme!I516,Programme!J516)</f>
        <v>&lt;ValeurCellule&gt;</v>
      </c>
    </row>
    <row r="516" spans="1:1" x14ac:dyDescent="0.2">
      <c r="A516" s="996" t="str">
        <f>CONCATENATE(Programme!D517,Programme!E517,Programme!F517,Programme!G517,Programme!H517,Programme!I517,Programme!J517)</f>
        <v>&lt;cellule&gt;</v>
      </c>
    </row>
    <row r="517" spans="1:1" x14ac:dyDescent="0.2">
      <c r="A517" s="996" t="str">
        <f>CONCATENATE(Programme!D518,Programme!E518,Programme!F518,Programme!G518,Programme!H518,Programme!I518,Programme!J518)</f>
        <v>&lt;codeEdi&gt;266&lt;/codeEdi&gt;</v>
      </c>
    </row>
    <row r="518" spans="1:1" x14ac:dyDescent="0.2">
      <c r="A518" s="996" t="str">
        <f>CONCATENATE(Programme!D519,Programme!E519,Programme!F519,Programme!G519,Programme!H519,Programme!I519,Programme!J519)</f>
        <v>&lt;/cellule&gt;</v>
      </c>
    </row>
    <row r="519" spans="1:1" x14ac:dyDescent="0.2">
      <c r="A519" s="996" t="str">
        <f>CONCATENATE(Programme!D520,Programme!E520,Programme!F520,Programme!G520,Programme!H520,Programme!I520,Programme!J520)</f>
        <v>&lt;valeur&gt;0&lt;/valeur&gt;</v>
      </c>
    </row>
    <row r="520" spans="1:1" x14ac:dyDescent="0.2">
      <c r="A520" s="996" t="str">
        <f>CONCATENATE(Programme!D521,Programme!E521,Programme!F521,Programme!G521,Programme!H521,Programme!I521,Programme!J521)</f>
        <v>&lt;/ValeurCellule&gt;</v>
      </c>
    </row>
    <row r="521" spans="1:1" x14ac:dyDescent="0.2">
      <c r="A521" s="996" t="str">
        <f>CONCATENATE(Programme!D522,Programme!E522,Programme!F522,Programme!G522,Programme!H522,Programme!I522,Programme!J522)</f>
        <v>&lt;ValeurCellule&gt;</v>
      </c>
    </row>
    <row r="522" spans="1:1" x14ac:dyDescent="0.2">
      <c r="A522" s="996" t="str">
        <f>CONCATENATE(Programme!D523,Programme!E523,Programme!F523,Programme!G523,Programme!H523,Programme!I523,Programme!J523)</f>
        <v>&lt;cellule&gt;</v>
      </c>
    </row>
    <row r="523" spans="1:1" x14ac:dyDescent="0.2">
      <c r="A523" s="996" t="str">
        <f>CONCATENATE(Programme!D524,Programme!E524,Programme!F524,Programme!G524,Programme!H524,Programme!I524,Programme!J524)</f>
        <v>&lt;codeEdi&gt;267&lt;/codeEdi&gt;</v>
      </c>
    </row>
    <row r="524" spans="1:1" x14ac:dyDescent="0.2">
      <c r="A524" s="996" t="str">
        <f>CONCATENATE(Programme!D525,Programme!E525,Programme!F525,Programme!G525,Programme!H525,Programme!I525,Programme!J525)</f>
        <v>&lt;/cellule&gt;</v>
      </c>
    </row>
    <row r="525" spans="1:1" x14ac:dyDescent="0.2">
      <c r="A525" s="996" t="str">
        <f>CONCATENATE(Programme!D526,Programme!E526,Programme!F526,Programme!G526,Programme!H526,Programme!I526,Programme!J526)</f>
        <v>&lt;valeur&gt;0&lt;/valeur&gt;</v>
      </c>
    </row>
    <row r="526" spans="1:1" x14ac:dyDescent="0.2">
      <c r="A526" s="996" t="str">
        <f>CONCATENATE(Programme!D527,Programme!E527,Programme!F527,Programme!G527,Programme!H527,Programme!I527,Programme!J527)</f>
        <v>&lt;/ValeurCellule&gt;</v>
      </c>
    </row>
    <row r="527" spans="1:1" x14ac:dyDescent="0.2">
      <c r="A527" s="996" t="str">
        <f>CONCATENATE(Programme!D528,Programme!E528,Programme!F528,Programme!G528,Programme!H528,Programme!I528,Programme!J528)</f>
        <v>&lt;ValeurCellule&gt;</v>
      </c>
    </row>
    <row r="528" spans="1:1" x14ac:dyDescent="0.2">
      <c r="A528" s="996" t="str">
        <f>CONCATENATE(Programme!D529,Programme!E529,Programme!F529,Programme!G529,Programme!H529,Programme!I529,Programme!J529)</f>
        <v>&lt;cellule&gt;</v>
      </c>
    </row>
    <row r="529" spans="1:1" x14ac:dyDescent="0.2">
      <c r="A529" s="996" t="str">
        <f>CONCATENATE(Programme!D530,Programme!E530,Programme!F530,Programme!G530,Programme!H530,Programme!I530,Programme!J530)</f>
        <v>&lt;codeEdi&gt;268&lt;/codeEdi&gt;</v>
      </c>
    </row>
    <row r="530" spans="1:1" x14ac:dyDescent="0.2">
      <c r="A530" s="996" t="str">
        <f>CONCATENATE(Programme!D531,Programme!E531,Programme!F531,Programme!G531,Programme!H531,Programme!I531,Programme!J531)</f>
        <v>&lt;/cellule&gt;</v>
      </c>
    </row>
    <row r="531" spans="1:1" x14ac:dyDescent="0.2">
      <c r="A531" s="996" t="str">
        <f>CONCATENATE(Programme!D532,Programme!E532,Programme!F532,Programme!G532,Programme!H532,Programme!I532,Programme!J532)</f>
        <v>&lt;valeur&gt;0&lt;/valeur&gt;</v>
      </c>
    </row>
    <row r="532" spans="1:1" x14ac:dyDescent="0.2">
      <c r="A532" s="996" t="str">
        <f>CONCATENATE(Programme!D533,Programme!E533,Programme!F533,Programme!G533,Programme!H533,Programme!I533,Programme!J533)</f>
        <v>&lt;/ValeurCellule&gt;</v>
      </c>
    </row>
    <row r="533" spans="1:1" x14ac:dyDescent="0.2">
      <c r="A533" s="996" t="str">
        <f>CONCATENATE(Programme!D534,Programme!E534,Programme!F534,Programme!G534,Programme!H534,Programme!I534,Programme!J534)</f>
        <v>&lt;ValeurCellule&gt;</v>
      </c>
    </row>
    <row r="534" spans="1:1" x14ac:dyDescent="0.2">
      <c r="A534" s="996" t="str">
        <f>CONCATENATE(Programme!D535,Programme!E535,Programme!F535,Programme!G535,Programme!H535,Programme!I535,Programme!J535)</f>
        <v>&lt;cellule&gt;</v>
      </c>
    </row>
    <row r="535" spans="1:1" x14ac:dyDescent="0.2">
      <c r="A535" s="996" t="str">
        <f>CONCATENATE(Programme!D536,Programme!E536,Programme!F536,Programme!G536,Programme!H536,Programme!I536,Programme!J536)</f>
        <v>&lt;codeEdi&gt;269&lt;/codeEdi&gt;</v>
      </c>
    </row>
    <row r="536" spans="1:1" x14ac:dyDescent="0.2">
      <c r="A536" s="996" t="str">
        <f>CONCATENATE(Programme!D537,Programme!E537,Programme!F537,Programme!G537,Programme!H537,Programme!I537,Programme!J537)</f>
        <v>&lt;/cellule&gt;</v>
      </c>
    </row>
    <row r="537" spans="1:1" x14ac:dyDescent="0.2">
      <c r="A537" s="996" t="str">
        <f>CONCATENATE(Programme!D538,Programme!E538,Programme!F538,Programme!G538,Programme!H538,Programme!I538,Programme!J538)</f>
        <v>&lt;valeur&gt;0&lt;/valeur&gt;</v>
      </c>
    </row>
    <row r="538" spans="1:1" x14ac:dyDescent="0.2">
      <c r="A538" s="996" t="str">
        <f>CONCATENATE(Programme!D539,Programme!E539,Programme!F539,Programme!G539,Programme!H539,Programme!I539,Programme!J539)</f>
        <v>&lt;/ValeurCellule&gt;</v>
      </c>
    </row>
    <row r="539" spans="1:1" x14ac:dyDescent="0.2">
      <c r="A539" s="996" t="str">
        <f>CONCATENATE(Programme!D540,Programme!E540,Programme!F540,Programme!G540,Programme!H540,Programme!I540,Programme!J540)</f>
        <v>&lt;ValeurCellule&gt;</v>
      </c>
    </row>
    <row r="540" spans="1:1" x14ac:dyDescent="0.2">
      <c r="A540" s="996" t="str">
        <f>CONCATENATE(Programme!D541,Programme!E541,Programme!F541,Programme!G541,Programme!H541,Programme!I541,Programme!J541)</f>
        <v>&lt;cellule&gt;</v>
      </c>
    </row>
    <row r="541" spans="1:1" x14ac:dyDescent="0.2">
      <c r="A541" s="996" t="str">
        <f>CONCATENATE(Programme!D542,Programme!E542,Programme!F542,Programme!G542,Programme!H542,Programme!I542,Programme!J542)</f>
        <v>&lt;codeEdi&gt;515&lt;/codeEdi&gt;</v>
      </c>
    </row>
    <row r="542" spans="1:1" x14ac:dyDescent="0.2">
      <c r="A542" s="996" t="str">
        <f>CONCATENATE(Programme!D543,Programme!E543,Programme!F543,Programme!G543,Programme!H543,Programme!I543,Programme!J543)</f>
        <v>&lt;/cellule&gt;</v>
      </c>
    </row>
    <row r="543" spans="1:1" x14ac:dyDescent="0.2">
      <c r="A543" s="996" t="str">
        <f>CONCATENATE(Programme!D544,Programme!E544,Programme!F544,Programme!G544,Programme!H544,Programme!I544,Programme!J544)</f>
        <v>&lt;valeur&gt;0&lt;/valeur&gt;</v>
      </c>
    </row>
    <row r="544" spans="1:1" x14ac:dyDescent="0.2">
      <c r="A544" s="996" t="str">
        <f>CONCATENATE(Programme!D545,Programme!E545,Programme!F545,Programme!G545,Programme!H545,Programme!I545,Programme!J545)</f>
        <v>&lt;/ValeurCellule&gt;</v>
      </c>
    </row>
    <row r="545" spans="1:1" x14ac:dyDescent="0.2">
      <c r="A545" s="996" t="str">
        <f>CONCATENATE(Programme!D546,Programme!E546,Programme!F546,Programme!G546,Programme!H546,Programme!I546,Programme!J546)</f>
        <v>&lt;ValeurCellule&gt;</v>
      </c>
    </row>
    <row r="546" spans="1:1" x14ac:dyDescent="0.2">
      <c r="A546" s="996" t="str">
        <f>CONCATENATE(Programme!D547,Programme!E547,Programme!F547,Programme!G547,Programme!H547,Programme!I547,Programme!J547)</f>
        <v>&lt;cellule&gt;</v>
      </c>
    </row>
    <row r="547" spans="1:1" x14ac:dyDescent="0.2">
      <c r="A547" s="996" t="str">
        <f>CONCATENATE(Programme!D548,Programme!E548,Programme!F548,Programme!G548,Programme!H548,Programme!I548,Programme!J548)</f>
        <v>&lt;codeEdi&gt;192&lt;/codeEdi&gt;</v>
      </c>
    </row>
    <row r="548" spans="1:1" x14ac:dyDescent="0.2">
      <c r="A548" s="996" t="str">
        <f>CONCATENATE(Programme!D549,Programme!E549,Programme!F549,Programme!G549,Programme!H549,Programme!I549,Programme!J549)</f>
        <v>&lt;/cellule&gt;</v>
      </c>
    </row>
    <row r="549" spans="1:1" x14ac:dyDescent="0.2">
      <c r="A549" s="996" t="str">
        <f>CONCATENATE(Programme!D550,Programme!E550,Programme!F550,Programme!G550,Programme!H550,Programme!I550,Programme!J550)</f>
        <v>&lt;valeur&gt;0&lt;/valeur&gt;</v>
      </c>
    </row>
    <row r="550" spans="1:1" x14ac:dyDescent="0.2">
      <c r="A550" s="996" t="str">
        <f>CONCATENATE(Programme!D551,Programme!E551,Programme!F551,Programme!G551,Programme!H551,Programme!I551,Programme!J551)</f>
        <v>&lt;/ValeurCellule&gt;</v>
      </c>
    </row>
    <row r="551" spans="1:1" x14ac:dyDescent="0.2">
      <c r="A551" s="996" t="str">
        <f>CONCATENATE(Programme!D552,Programme!E552,Programme!F552,Programme!G552,Programme!H552,Programme!I552,Programme!J552)</f>
        <v>&lt;ValeurCellule&gt;</v>
      </c>
    </row>
    <row r="552" spans="1:1" x14ac:dyDescent="0.2">
      <c r="A552" s="996" t="str">
        <f>CONCATENATE(Programme!D553,Programme!E553,Programme!F553,Programme!G553,Programme!H553,Programme!I553,Programme!J553)</f>
        <v>&lt;cellule&gt;</v>
      </c>
    </row>
    <row r="553" spans="1:1" x14ac:dyDescent="0.2">
      <c r="A553" s="996" t="str">
        <f>CONCATENATE(Programme!D554,Programme!E554,Programme!F554,Programme!G554,Programme!H554,Programme!I554,Programme!J554)</f>
        <v>&lt;codeEdi&gt;193&lt;/codeEdi&gt;</v>
      </c>
    </row>
    <row r="554" spans="1:1" x14ac:dyDescent="0.2">
      <c r="A554" s="996" t="str">
        <f>CONCATENATE(Programme!D555,Programme!E555,Programme!F555,Programme!G555,Programme!H555,Programme!I555,Programme!J555)</f>
        <v>&lt;/cellule&gt;</v>
      </c>
    </row>
    <row r="555" spans="1:1" x14ac:dyDescent="0.2">
      <c r="A555" s="996" t="str">
        <f>CONCATENATE(Programme!D556,Programme!E556,Programme!F556,Programme!G556,Programme!H556,Programme!I556,Programme!J556)</f>
        <v>&lt;valeur&gt;0&lt;/valeur&gt;</v>
      </c>
    </row>
    <row r="556" spans="1:1" x14ac:dyDescent="0.2">
      <c r="A556" s="996" t="str">
        <f>CONCATENATE(Programme!D557,Programme!E557,Programme!F557,Programme!G557,Programme!H557,Programme!I557,Programme!J557)</f>
        <v>&lt;/ValeurCellule&gt;</v>
      </c>
    </row>
    <row r="557" spans="1:1" x14ac:dyDescent="0.2">
      <c r="A557" s="996" t="str">
        <f>CONCATENATE(Programme!D558,Programme!E558,Programme!F558,Programme!G558,Programme!H558,Programme!I558,Programme!J558)</f>
        <v>&lt;ValeurCellule&gt;</v>
      </c>
    </row>
    <row r="558" spans="1:1" x14ac:dyDescent="0.2">
      <c r="A558" s="996" t="str">
        <f>CONCATENATE(Programme!D559,Programme!E559,Programme!F559,Programme!G559,Programme!H559,Programme!I559,Programme!J559)</f>
        <v>&lt;cellule&gt;</v>
      </c>
    </row>
    <row r="559" spans="1:1" x14ac:dyDescent="0.2">
      <c r="A559" s="996" t="str">
        <f>CONCATENATE(Programme!D560,Programme!E560,Programme!F560,Programme!G560,Programme!H560,Programme!I560,Programme!J560)</f>
        <v>&lt;codeEdi&gt;517&lt;/codeEdi&gt;</v>
      </c>
    </row>
    <row r="560" spans="1:1" x14ac:dyDescent="0.2">
      <c r="A560" s="996" t="str">
        <f>CONCATENATE(Programme!D561,Programme!E561,Programme!F561,Programme!G561,Programme!H561,Programme!I561,Programme!J561)</f>
        <v>&lt;/cellule&gt;</v>
      </c>
    </row>
    <row r="561" spans="1:1" x14ac:dyDescent="0.2">
      <c r="A561" s="996" t="str">
        <f>CONCATENATE(Programme!D562,Programme!E562,Programme!F562,Programme!G562,Programme!H562,Programme!I562,Programme!J562)</f>
        <v>&lt;valeur&gt;0&lt;/valeur&gt;</v>
      </c>
    </row>
    <row r="562" spans="1:1" x14ac:dyDescent="0.2">
      <c r="A562" s="996" t="str">
        <f>CONCATENATE(Programme!D563,Programme!E563,Programme!F563,Programme!G563,Programme!H563,Programme!I563,Programme!J563)</f>
        <v>&lt;/ValeurCellule&gt;</v>
      </c>
    </row>
    <row r="563" spans="1:1" x14ac:dyDescent="0.2">
      <c r="A563" s="996" t="str">
        <f>CONCATENATE(Programme!D564,Programme!E564,Programme!F564,Programme!G564,Programme!H564,Programme!I564,Programme!J564)</f>
        <v>&lt;ValeurCellule&gt;</v>
      </c>
    </row>
    <row r="564" spans="1:1" x14ac:dyDescent="0.2">
      <c r="A564" s="996" t="str">
        <f>CONCATENATE(Programme!D565,Programme!E565,Programme!F565,Programme!G565,Programme!H565,Programme!I565,Programme!J565)</f>
        <v>&lt;cellule&gt;</v>
      </c>
    </row>
    <row r="565" spans="1:1" x14ac:dyDescent="0.2">
      <c r="A565" s="996" t="str">
        <f>CONCATENATE(Programme!D566,Programme!E566,Programme!F566,Programme!G566,Programme!H566,Programme!I566,Programme!J566)</f>
        <v>&lt;codeEdi&gt;194&lt;/codeEdi&gt;</v>
      </c>
    </row>
    <row r="566" spans="1:1" x14ac:dyDescent="0.2">
      <c r="A566" s="996" t="str">
        <f>CONCATENATE(Programme!D567,Programme!E567,Programme!F567,Programme!G567,Programme!H567,Programme!I567,Programme!J567)</f>
        <v>&lt;/cellule&gt;</v>
      </c>
    </row>
    <row r="567" spans="1:1" x14ac:dyDescent="0.2">
      <c r="A567" s="996" t="str">
        <f>CONCATENATE(Programme!D568,Programme!E568,Programme!F568,Programme!G568,Programme!H568,Programme!I568,Programme!J568)</f>
        <v>&lt;valeur&gt;&lt;/valeur&gt;</v>
      </c>
    </row>
    <row r="568" spans="1:1" x14ac:dyDescent="0.2">
      <c r="A568" s="996" t="str">
        <f>CONCATENATE(Programme!D569,Programme!E569,Programme!F569,Programme!G569,Programme!H569,Programme!I569,Programme!J569)</f>
        <v>&lt;/ValeurCellule&gt;</v>
      </c>
    </row>
    <row r="569" spans="1:1" x14ac:dyDescent="0.2">
      <c r="A569" s="996" t="str">
        <f>CONCATENATE(Programme!D570,Programme!E570,Programme!F570,Programme!G570,Programme!H570,Programme!I570,Programme!J570)</f>
        <v>&lt;ValeurCellule&gt;</v>
      </c>
    </row>
    <row r="570" spans="1:1" x14ac:dyDescent="0.2">
      <c r="A570" s="996" t="str">
        <f>CONCATENATE(Programme!D571,Programme!E571,Programme!F571,Programme!G571,Programme!H571,Programme!I571,Programme!J571)</f>
        <v>&lt;cellule&gt;</v>
      </c>
    </row>
    <row r="571" spans="1:1" x14ac:dyDescent="0.2">
      <c r="A571" s="996" t="str">
        <f>CONCATENATE(Programme!D572,Programme!E572,Programme!F572,Programme!G572,Programme!H572,Programme!I572,Programme!J572)</f>
        <v>&lt;codeEdi&gt;195&lt;/codeEdi&gt;</v>
      </c>
    </row>
    <row r="572" spans="1:1" x14ac:dyDescent="0.2">
      <c r="A572" s="996" t="str">
        <f>CONCATENATE(Programme!D573,Programme!E573,Programme!F573,Programme!G573,Programme!H573,Programme!I573,Programme!J573)</f>
        <v>&lt;/cellule&gt;</v>
      </c>
    </row>
    <row r="573" spans="1:1" x14ac:dyDescent="0.2">
      <c r="A573" s="996" t="str">
        <f>CONCATENATE(Programme!D574,Programme!E574,Programme!F574,Programme!G574,Programme!H574,Programme!I574,Programme!J574)</f>
        <v>&lt;valeur&gt;&lt;/valeur&gt;</v>
      </c>
    </row>
    <row r="574" spans="1:1" x14ac:dyDescent="0.2">
      <c r="A574" s="996" t="str">
        <f>CONCATENATE(Programme!D575,Programme!E575,Programme!F575,Programme!G575,Programme!H575,Programme!I575,Programme!J575)</f>
        <v>&lt;/ValeurCellule&gt;</v>
      </c>
    </row>
    <row r="575" spans="1:1" x14ac:dyDescent="0.2">
      <c r="A575" s="996" t="str">
        <f>CONCATENATE(Programme!D576,Programme!E576,Programme!F576,Programme!G576,Programme!H576,Programme!I576,Programme!J576)</f>
        <v>&lt;ValeurCellule&gt;</v>
      </c>
    </row>
    <row r="576" spans="1:1" x14ac:dyDescent="0.2">
      <c r="A576" s="996" t="str">
        <f>CONCATENATE(Programme!D577,Programme!E577,Programme!F577,Programme!G577,Programme!H577,Programme!I577,Programme!J577)</f>
        <v>&lt;cellule&gt;</v>
      </c>
    </row>
    <row r="577" spans="1:1" x14ac:dyDescent="0.2">
      <c r="A577" s="996" t="str">
        <f>CONCATENATE(Programme!D578,Programme!E578,Programme!F578,Programme!G578,Programme!H578,Programme!I578,Programme!J578)</f>
        <v>&lt;codeEdi&gt;518&lt;/codeEdi&gt;</v>
      </c>
    </row>
    <row r="578" spans="1:1" x14ac:dyDescent="0.2">
      <c r="A578" s="996" t="str">
        <f>CONCATENATE(Programme!D579,Programme!E579,Programme!F579,Programme!G579,Programme!H579,Programme!I579,Programme!J579)</f>
        <v>&lt;/cellule&gt;</v>
      </c>
    </row>
    <row r="579" spans="1:1" x14ac:dyDescent="0.2">
      <c r="A579" s="996" t="str">
        <f>CONCATENATE(Programme!D580,Programme!E580,Programme!F580,Programme!G580,Programme!H580,Programme!I580,Programme!J580)</f>
        <v>&lt;valeur&gt;&lt;/valeur&gt;</v>
      </c>
    </row>
    <row r="580" spans="1:1" x14ac:dyDescent="0.2">
      <c r="A580" s="996" t="str">
        <f>CONCATENATE(Programme!D581,Programme!E581,Programme!F581,Programme!G581,Programme!H581,Programme!I581,Programme!J581)</f>
        <v>&lt;/ValeurCellule&gt;</v>
      </c>
    </row>
    <row r="581" spans="1:1" x14ac:dyDescent="0.2">
      <c r="A581" s="996" t="str">
        <f>CONCATENATE(Programme!D582,Programme!E582,Programme!F582,Programme!G582,Programme!H582,Programme!I582,Programme!J582)</f>
        <v>&lt;ValeurCellule&gt;</v>
      </c>
    </row>
    <row r="582" spans="1:1" x14ac:dyDescent="0.2">
      <c r="A582" s="996" t="str">
        <f>CONCATENATE(Programme!D583,Programme!E583,Programme!F583,Programme!G583,Programme!H583,Programme!I583,Programme!J583)</f>
        <v>&lt;cellule&gt;</v>
      </c>
    </row>
    <row r="583" spans="1:1" x14ac:dyDescent="0.2">
      <c r="A583" s="996" t="str">
        <f>CONCATENATE(Programme!D584,Programme!E584,Programme!F584,Programme!G584,Programme!H584,Programme!I584,Programme!J584)</f>
        <v>&lt;codeEdi&gt;196&lt;/codeEdi&gt;</v>
      </c>
    </row>
    <row r="584" spans="1:1" x14ac:dyDescent="0.2">
      <c r="A584" s="996" t="str">
        <f>CONCATENATE(Programme!D585,Programme!E585,Programme!F585,Programme!G585,Programme!H585,Programme!I585,Programme!J585)</f>
        <v>&lt;/cellule&gt;</v>
      </c>
    </row>
    <row r="585" spans="1:1" x14ac:dyDescent="0.2">
      <c r="A585" s="996" t="str">
        <f>CONCATENATE(Programme!D586,Programme!E586,Programme!F586,Programme!G586,Programme!H586,Programme!I586,Programme!J586)</f>
        <v>&lt;valeur&gt;0&lt;/valeur&gt;</v>
      </c>
    </row>
    <row r="586" spans="1:1" x14ac:dyDescent="0.2">
      <c r="A586" s="996" t="str">
        <f>CONCATENATE(Programme!D587,Programme!E587,Programme!F587,Programme!G587,Programme!H587,Programme!I587,Programme!J587)</f>
        <v>&lt;/ValeurCellule&gt;</v>
      </c>
    </row>
    <row r="587" spans="1:1" x14ac:dyDescent="0.2">
      <c r="A587" s="996" t="str">
        <f>CONCATENATE(Programme!D588,Programme!E588,Programme!F588,Programme!G588,Programme!H588,Programme!I588,Programme!J588)</f>
        <v>&lt;ValeurCellule&gt;</v>
      </c>
    </row>
    <row r="588" spans="1:1" x14ac:dyDescent="0.2">
      <c r="A588" s="996" t="str">
        <f>CONCATENATE(Programme!D589,Programme!E589,Programme!F589,Programme!G589,Programme!H589,Programme!I589,Programme!J589)</f>
        <v>&lt;cellule&gt;</v>
      </c>
    </row>
    <row r="589" spans="1:1" x14ac:dyDescent="0.2">
      <c r="A589" s="996" t="str">
        <f>CONCATENATE(Programme!D590,Programme!E590,Programme!F590,Programme!G590,Programme!H590,Programme!I590,Programme!J590)</f>
        <v>&lt;codeEdi&gt;197&lt;/codeEdi&gt;</v>
      </c>
    </row>
    <row r="590" spans="1:1" x14ac:dyDescent="0.2">
      <c r="A590" s="996" t="str">
        <f>CONCATENATE(Programme!D591,Programme!E591,Programme!F591,Programme!G591,Programme!H591,Programme!I591,Programme!J591)</f>
        <v>&lt;/cellule&gt;</v>
      </c>
    </row>
    <row r="591" spans="1:1" x14ac:dyDescent="0.2">
      <c r="A591" s="996" t="str">
        <f>CONCATENATE(Programme!D592,Programme!E592,Programme!F592,Programme!G592,Programme!H592,Programme!I592,Programme!J592)</f>
        <v>&lt;valeur&gt;0&lt;/valeur&gt;</v>
      </c>
    </row>
    <row r="592" spans="1:1" x14ac:dyDescent="0.2">
      <c r="A592" s="996" t="str">
        <f>CONCATENATE(Programme!D593,Programme!E593,Programme!F593,Programme!G593,Programme!H593,Programme!I593,Programme!J593)</f>
        <v>&lt;/ValeurCellule&gt;</v>
      </c>
    </row>
    <row r="593" spans="1:1" x14ac:dyDescent="0.2">
      <c r="A593" s="996" t="str">
        <f>CONCATENATE(Programme!D594,Programme!E594,Programme!F594,Programme!G594,Programme!H594,Programme!I594,Programme!J594)</f>
        <v>&lt;ValeurCellule&gt;</v>
      </c>
    </row>
    <row r="594" spans="1:1" x14ac:dyDescent="0.2">
      <c r="A594" s="996" t="str">
        <f>CONCATENATE(Programme!D595,Programme!E595,Programme!F595,Programme!G595,Programme!H595,Programme!I595,Programme!J595)</f>
        <v>&lt;cellule&gt;</v>
      </c>
    </row>
    <row r="595" spans="1:1" x14ac:dyDescent="0.2">
      <c r="A595" s="996" t="str">
        <f>CONCATENATE(Programme!D596,Programme!E596,Programme!F596,Programme!G596,Programme!H596,Programme!I596,Programme!J596)</f>
        <v>&lt;codeEdi&gt;519&lt;/codeEdi&gt;</v>
      </c>
    </row>
    <row r="596" spans="1:1" x14ac:dyDescent="0.2">
      <c r="A596" s="996" t="str">
        <f>CONCATENATE(Programme!D597,Programme!E597,Programme!F597,Programme!G597,Programme!H597,Programme!I597,Programme!J597)</f>
        <v>&lt;/cellule&gt;</v>
      </c>
    </row>
    <row r="597" spans="1:1" x14ac:dyDescent="0.2">
      <c r="A597" s="996" t="str">
        <f>CONCATENATE(Programme!D598,Programme!E598,Programme!F598,Programme!G598,Programme!H598,Programme!I598,Programme!J598)</f>
        <v>&lt;valeur&gt;0&lt;/valeur&gt;</v>
      </c>
    </row>
    <row r="598" spans="1:1" x14ac:dyDescent="0.2">
      <c r="A598" s="996" t="str">
        <f>CONCATENATE(Programme!D599,Programme!E599,Programme!F599,Programme!G599,Programme!H599,Programme!I599,Programme!J599)</f>
        <v>&lt;/ValeurCellule&gt;</v>
      </c>
    </row>
    <row r="599" spans="1:1" x14ac:dyDescent="0.2">
      <c r="A599" s="996" t="str">
        <f>CONCATENATE(Programme!D600,Programme!E600,Programme!F600,Programme!G600,Programme!H600,Programme!I600,Programme!J600)</f>
        <v>&lt;ValeurCellule&gt;</v>
      </c>
    </row>
    <row r="600" spans="1:1" x14ac:dyDescent="0.2">
      <c r="A600" s="996" t="str">
        <f>CONCATENATE(Programme!D601,Programme!E601,Programme!F601,Programme!G601,Programme!H601,Programme!I601,Programme!J601)</f>
        <v>&lt;cellule&gt;</v>
      </c>
    </row>
    <row r="601" spans="1:1" x14ac:dyDescent="0.2">
      <c r="A601" s="996" t="str">
        <f>CONCATENATE(Programme!D602,Programme!E602,Programme!F602,Programme!G602,Programme!H602,Programme!I602,Programme!J602)</f>
        <v>&lt;codeEdi&gt;198&lt;/codeEdi&gt;</v>
      </c>
    </row>
    <row r="602" spans="1:1" x14ac:dyDescent="0.2">
      <c r="A602" s="996" t="str">
        <f>CONCATENATE(Programme!D603,Programme!E603,Programme!F603,Programme!G603,Programme!H603,Programme!I603,Programme!J603)</f>
        <v>&lt;/cellule&gt;</v>
      </c>
    </row>
    <row r="603" spans="1:1" x14ac:dyDescent="0.2">
      <c r="A603" s="996" t="str">
        <f>CONCATENATE(Programme!D604,Programme!E604,Programme!F604,Programme!G604,Programme!H604,Programme!I604,Programme!J604)</f>
        <v>&lt;valeur&gt;0&lt;/valeur&gt;</v>
      </c>
    </row>
    <row r="604" spans="1:1" x14ac:dyDescent="0.2">
      <c r="A604" s="996" t="str">
        <f>CONCATENATE(Programme!D605,Programme!E605,Programme!F605,Programme!G605,Programme!H605,Programme!I605,Programme!J605)</f>
        <v>&lt;/ValeurCellule&gt;</v>
      </c>
    </row>
    <row r="605" spans="1:1" x14ac:dyDescent="0.2">
      <c r="A605" s="996" t="str">
        <f>CONCATENATE(Programme!D606,Programme!E606,Programme!F606,Programme!G606,Programme!H606,Programme!I606,Programme!J606)</f>
        <v>&lt;ValeurCellule&gt;</v>
      </c>
    </row>
    <row r="606" spans="1:1" x14ac:dyDescent="0.2">
      <c r="A606" s="996" t="str">
        <f>CONCATENATE(Programme!D607,Programme!E607,Programme!F607,Programme!G607,Programme!H607,Programme!I607,Programme!J607)</f>
        <v>&lt;cellule&gt;</v>
      </c>
    </row>
    <row r="607" spans="1:1" x14ac:dyDescent="0.2">
      <c r="A607" s="996" t="str">
        <f>CONCATENATE(Programme!D608,Programme!E608,Programme!F608,Programme!G608,Programme!H608,Programme!I608,Programme!J608)</f>
        <v>&lt;codeEdi&gt;199&lt;/codeEdi&gt;</v>
      </c>
    </row>
    <row r="608" spans="1:1" x14ac:dyDescent="0.2">
      <c r="A608" s="996" t="str">
        <f>CONCATENATE(Programme!D609,Programme!E609,Programme!F609,Programme!G609,Programme!H609,Programme!I609,Programme!J609)</f>
        <v>&lt;/cellule&gt;</v>
      </c>
    </row>
    <row r="609" spans="1:1" x14ac:dyDescent="0.2">
      <c r="A609" s="996" t="str">
        <f>CONCATENATE(Programme!D610,Programme!E610,Programme!F610,Programme!G610,Programme!H610,Programme!I610,Programme!J610)</f>
        <v>&lt;valeur&gt;0&lt;/valeur&gt;</v>
      </c>
    </row>
    <row r="610" spans="1:1" x14ac:dyDescent="0.2">
      <c r="A610" s="996" t="str">
        <f>CONCATENATE(Programme!D611,Programme!E611,Programme!F611,Programme!G611,Programme!H611,Programme!I611,Programme!J611)</f>
        <v>&lt;/ValeurCellule&gt;</v>
      </c>
    </row>
    <row r="611" spans="1:1" x14ac:dyDescent="0.2">
      <c r="A611" s="996" t="str">
        <f>CONCATENATE(Programme!D612,Programme!E612,Programme!F612,Programme!G612,Programme!H612,Programme!I612,Programme!J612)</f>
        <v>&lt;ValeurCellule&gt;</v>
      </c>
    </row>
    <row r="612" spans="1:1" x14ac:dyDescent="0.2">
      <c r="A612" s="996" t="str">
        <f>CONCATENATE(Programme!D613,Programme!E613,Programme!F613,Programme!G613,Programme!H613,Programme!I613,Programme!J613)</f>
        <v>&lt;cellule&gt;</v>
      </c>
    </row>
    <row r="613" spans="1:1" x14ac:dyDescent="0.2">
      <c r="A613" s="996" t="str">
        <f>CONCATENATE(Programme!D614,Programme!E614,Programme!F614,Programme!G614,Programme!H614,Programme!I614,Programme!J614)</f>
        <v>&lt;codeEdi&gt;520&lt;/codeEdi&gt;</v>
      </c>
    </row>
    <row r="614" spans="1:1" x14ac:dyDescent="0.2">
      <c r="A614" s="996" t="str">
        <f>CONCATENATE(Programme!D615,Programme!E615,Programme!F615,Programme!G615,Programme!H615,Programme!I615,Programme!J615)</f>
        <v>&lt;/cellule&gt;</v>
      </c>
    </row>
    <row r="615" spans="1:1" x14ac:dyDescent="0.2">
      <c r="A615" s="996" t="str">
        <f>CONCATENATE(Programme!D616,Programme!E616,Programme!F616,Programme!G616,Programme!H616,Programme!I616,Programme!J616)</f>
        <v>&lt;valeur&gt;0&lt;/valeur&gt;</v>
      </c>
    </row>
    <row r="616" spans="1:1" x14ac:dyDescent="0.2">
      <c r="A616" s="996" t="str">
        <f>CONCATENATE(Programme!D617,Programme!E617,Programme!F617,Programme!G617,Programme!H617,Programme!I617,Programme!J617)</f>
        <v>&lt;/ValeurCellule&gt;</v>
      </c>
    </row>
    <row r="617" spans="1:1" x14ac:dyDescent="0.2">
      <c r="A617" s="996" t="str">
        <f>CONCATENATE(Programme!D618,Programme!E618,Programme!F618,Programme!G618,Programme!H618,Programme!I618,Programme!J618)</f>
        <v>&lt;ValeurCellule&gt;</v>
      </c>
    </row>
    <row r="618" spans="1:1" x14ac:dyDescent="0.2">
      <c r="A618" s="996" t="str">
        <f>CONCATENATE(Programme!D619,Programme!E619,Programme!F619,Programme!G619,Programme!H619,Programme!I619,Programme!J619)</f>
        <v>&lt;cellule&gt;</v>
      </c>
    </row>
    <row r="619" spans="1:1" x14ac:dyDescent="0.2">
      <c r="A619" s="996" t="str">
        <f>CONCATENATE(Programme!D620,Programme!E620,Programme!F620,Programme!G620,Programme!H620,Programme!I620,Programme!J620)</f>
        <v>&lt;codeEdi&gt;291&lt;/codeEdi&gt;</v>
      </c>
    </row>
    <row r="620" spans="1:1" x14ac:dyDescent="0.2">
      <c r="A620" s="996" t="str">
        <f>CONCATENATE(Programme!D621,Programme!E621,Programme!F621,Programme!G621,Programme!H621,Programme!I621,Programme!J621)</f>
        <v>&lt;/cellule&gt;</v>
      </c>
    </row>
    <row r="621" spans="1:1" x14ac:dyDescent="0.2">
      <c r="A621" s="996" t="str">
        <f>CONCATENATE(Programme!D622,Programme!E622,Programme!F622,Programme!G622,Programme!H622,Programme!I622,Programme!J622)</f>
        <v>&lt;valeur&gt;0&lt;/valeur&gt;</v>
      </c>
    </row>
    <row r="622" spans="1:1" x14ac:dyDescent="0.2">
      <c r="A622" s="996" t="str">
        <f>CONCATENATE(Programme!D623,Programme!E623,Programme!F623,Programme!G623,Programme!H623,Programme!I623,Programme!J623)</f>
        <v>&lt;/ValeurCellule&gt;</v>
      </c>
    </row>
    <row r="623" spans="1:1" x14ac:dyDescent="0.2">
      <c r="A623" s="996" t="str">
        <f>CONCATENATE(Programme!D624,Programme!E624,Programme!F624,Programme!G624,Programme!H624,Programme!I624,Programme!J624)</f>
        <v>&lt;ValeurCellule&gt;</v>
      </c>
    </row>
    <row r="624" spans="1:1" x14ac:dyDescent="0.2">
      <c r="A624" s="996" t="str">
        <f>CONCATENATE(Programme!D625,Programme!E625,Programme!F625,Programme!G625,Programme!H625,Programme!I625,Programme!J625)</f>
        <v>&lt;cellule&gt;</v>
      </c>
    </row>
    <row r="625" spans="1:1" x14ac:dyDescent="0.2">
      <c r="A625" s="996" t="str">
        <f>CONCATENATE(Programme!D626,Programme!E626,Programme!F626,Programme!G626,Programme!H626,Programme!I626,Programme!J626)</f>
        <v>&lt;codeEdi&gt;292&lt;/codeEdi&gt;</v>
      </c>
    </row>
    <row r="626" spans="1:1" x14ac:dyDescent="0.2">
      <c r="A626" s="996" t="str">
        <f>CONCATENATE(Programme!D627,Programme!E627,Programme!F627,Programme!G627,Programme!H627,Programme!I627,Programme!J627)</f>
        <v>&lt;/cellule&gt;</v>
      </c>
    </row>
    <row r="627" spans="1:1" x14ac:dyDescent="0.2">
      <c r="A627" s="996" t="str">
        <f>CONCATENATE(Programme!D628,Programme!E628,Programme!F628,Programme!G628,Programme!H628,Programme!I628,Programme!J628)</f>
        <v>&lt;valeur&gt;0&lt;/valeur&gt;</v>
      </c>
    </row>
    <row r="628" spans="1:1" x14ac:dyDescent="0.2">
      <c r="A628" s="996" t="str">
        <f>CONCATENATE(Programme!D629,Programme!E629,Programme!F629,Programme!G629,Programme!H629,Programme!I629,Programme!J629)</f>
        <v>&lt;/ValeurCellule&gt;</v>
      </c>
    </row>
    <row r="629" spans="1:1" x14ac:dyDescent="0.2">
      <c r="A629" s="996" t="str">
        <f>CONCATENATE(Programme!D630,Programme!E630,Programme!F630,Programme!G630,Programme!H630,Programme!I630,Programme!J630)</f>
        <v>&lt;ValeurCellule&gt;</v>
      </c>
    </row>
    <row r="630" spans="1:1" x14ac:dyDescent="0.2">
      <c r="A630" s="996" t="str">
        <f>CONCATENATE(Programme!D631,Programme!E631,Programme!F631,Programme!G631,Programme!H631,Programme!I631,Programme!J631)</f>
        <v>&lt;cellule&gt;</v>
      </c>
    </row>
    <row r="631" spans="1:1" x14ac:dyDescent="0.2">
      <c r="A631" s="996" t="str">
        <f>CONCATENATE(Programme!D632,Programme!E632,Programme!F632,Programme!G632,Programme!H632,Programme!I632,Programme!J632)</f>
        <v>&lt;codeEdi&gt;293&lt;/codeEdi&gt;</v>
      </c>
    </row>
    <row r="632" spans="1:1" x14ac:dyDescent="0.2">
      <c r="A632" s="996" t="str">
        <f>CONCATENATE(Programme!D633,Programme!E633,Programme!F633,Programme!G633,Programme!H633,Programme!I633,Programme!J633)</f>
        <v>&lt;/cellule&gt;</v>
      </c>
    </row>
    <row r="633" spans="1:1" x14ac:dyDescent="0.2">
      <c r="A633" s="996" t="str">
        <f>CONCATENATE(Programme!D634,Programme!E634,Programme!F634,Programme!G634,Programme!H634,Programme!I634,Programme!J634)</f>
        <v>&lt;valeur&gt;0&lt;/valeur&gt;</v>
      </c>
    </row>
    <row r="634" spans="1:1" x14ac:dyDescent="0.2">
      <c r="A634" s="996" t="str">
        <f>CONCATENATE(Programme!D635,Programme!E635,Programme!F635,Programme!G635,Programme!H635,Programme!I635,Programme!J635)</f>
        <v>&lt;/ValeurCellule&gt;</v>
      </c>
    </row>
    <row r="635" spans="1:1" x14ac:dyDescent="0.2">
      <c r="A635" s="996" t="str">
        <f>CONCATENATE(Programme!D636,Programme!E636,Programme!F636,Programme!G636,Programme!H636,Programme!I636,Programme!J636)</f>
        <v>&lt;ValeurCellule&gt;</v>
      </c>
    </row>
    <row r="636" spans="1:1" x14ac:dyDescent="0.2">
      <c r="A636" s="996" t="str">
        <f>CONCATENATE(Programme!D637,Programme!E637,Programme!F637,Programme!G637,Programme!H637,Programme!I637,Programme!J637)</f>
        <v>&lt;cellule&gt;</v>
      </c>
    </row>
    <row r="637" spans="1:1" x14ac:dyDescent="0.2">
      <c r="A637" s="996" t="str">
        <f>CONCATENATE(Programme!D638,Programme!E638,Programme!F638,Programme!G638,Programme!H638,Programme!I638,Programme!J638)</f>
        <v>&lt;codeEdi&gt;294&lt;/codeEdi&gt;</v>
      </c>
    </row>
    <row r="638" spans="1:1" x14ac:dyDescent="0.2">
      <c r="A638" s="996" t="str">
        <f>CONCATENATE(Programme!D639,Programme!E639,Programme!F639,Programme!G639,Programme!H639,Programme!I639,Programme!J639)</f>
        <v>&lt;/cellule&gt;</v>
      </c>
    </row>
    <row r="639" spans="1:1" x14ac:dyDescent="0.2">
      <c r="A639" s="996" t="str">
        <f>CONCATENATE(Programme!D640,Programme!E640,Programme!F640,Programme!G640,Programme!H640,Programme!I640,Programme!J640)</f>
        <v>&lt;valeur&gt;0&lt;/valeur&gt;</v>
      </c>
    </row>
    <row r="640" spans="1:1" x14ac:dyDescent="0.2">
      <c r="A640" s="996" t="str">
        <f>CONCATENATE(Programme!D641,Programme!E641,Programme!F641,Programme!G641,Programme!H641,Programme!I641,Programme!J641)</f>
        <v>&lt;/ValeurCellule&gt;</v>
      </c>
    </row>
    <row r="641" spans="1:1" x14ac:dyDescent="0.2">
      <c r="A641" s="996" t="str">
        <f>CONCATENATE(Programme!D642,Programme!E642,Programme!F642,Programme!G642,Programme!H642,Programme!I642,Programme!J642)</f>
        <v>&lt;ValeurCellule&gt;</v>
      </c>
    </row>
    <row r="642" spans="1:1" x14ac:dyDescent="0.2">
      <c r="A642" s="996" t="str">
        <f>CONCATENATE(Programme!D643,Programme!E643,Programme!F643,Programme!G643,Programme!H643,Programme!I643,Programme!J643)</f>
        <v>&lt;cellule&gt;</v>
      </c>
    </row>
    <row r="643" spans="1:1" x14ac:dyDescent="0.2">
      <c r="A643" s="996" t="str">
        <f>CONCATENATE(Programme!D644,Programme!E644,Programme!F644,Programme!G644,Programme!H644,Programme!I644,Programme!J644)</f>
        <v>&lt;codeEdi&gt;160&lt;/codeEdi&gt;</v>
      </c>
    </row>
    <row r="644" spans="1:1" x14ac:dyDescent="0.2">
      <c r="A644" s="996" t="str">
        <f>CONCATENATE(Programme!D645,Programme!E645,Programme!F645,Programme!G645,Programme!H645,Programme!I645,Programme!J645)</f>
        <v>&lt;/cellule&gt;</v>
      </c>
    </row>
    <row r="645" spans="1:1" x14ac:dyDescent="0.2">
      <c r="A645" s="996" t="str">
        <f>CONCATENATE(Programme!D646,Programme!E646,Programme!F646,Programme!G646,Programme!H646,Programme!I646,Programme!J646)</f>
        <v>&lt;valeur&gt;0&lt;/valeur&gt;</v>
      </c>
    </row>
    <row r="646" spans="1:1" x14ac:dyDescent="0.2">
      <c r="A646" s="996" t="str">
        <f>CONCATENATE(Programme!D647,Programme!E647,Programme!F647,Programme!G647,Programme!H647,Programme!I647,Programme!J647)</f>
        <v>&lt;/ValeurCellule&gt;</v>
      </c>
    </row>
    <row r="647" spans="1:1" x14ac:dyDescent="0.2">
      <c r="A647" s="996" t="str">
        <f>CONCATENATE(Programme!D648,Programme!E648,Programme!F648,Programme!G648,Programme!H648,Programme!I648,Programme!J648)</f>
        <v>&lt;ValeurCellule&gt;</v>
      </c>
    </row>
    <row r="648" spans="1:1" x14ac:dyDescent="0.2">
      <c r="A648" s="996" t="str">
        <f>CONCATENATE(Programme!D649,Programme!E649,Programme!F649,Programme!G649,Programme!H649,Programme!I649,Programme!J649)</f>
        <v>&lt;cellule&gt;</v>
      </c>
    </row>
    <row r="649" spans="1:1" x14ac:dyDescent="0.2">
      <c r="A649" s="996" t="str">
        <f>CONCATENATE(Programme!D650,Programme!E650,Programme!F650,Programme!G650,Programme!H650,Programme!I650,Programme!J650)</f>
        <v>&lt;codeEdi&gt;161&lt;/codeEdi&gt;</v>
      </c>
    </row>
    <row r="650" spans="1:1" x14ac:dyDescent="0.2">
      <c r="A650" s="996" t="str">
        <f>CONCATENATE(Programme!D651,Programme!E651,Programme!F651,Programme!G651,Programme!H651,Programme!I651,Programme!J651)</f>
        <v>&lt;/cellule&gt;</v>
      </c>
    </row>
    <row r="651" spans="1:1" x14ac:dyDescent="0.2">
      <c r="A651" s="996" t="str">
        <f>CONCATENATE(Programme!D652,Programme!E652,Programme!F652,Programme!G652,Programme!H652,Programme!I652,Programme!J652)</f>
        <v>&lt;valeur&gt;0&lt;/valeur&gt;</v>
      </c>
    </row>
    <row r="652" spans="1:1" x14ac:dyDescent="0.2">
      <c r="A652" s="996" t="str">
        <f>CONCATENATE(Programme!D653,Programme!E653,Programme!F653,Programme!G653,Programme!H653,Programme!I653,Programme!J653)</f>
        <v>&lt;/ValeurCellule&gt;</v>
      </c>
    </row>
    <row r="653" spans="1:1" x14ac:dyDescent="0.2">
      <c r="A653" s="996" t="str">
        <f>CONCATENATE(Programme!D654,Programme!E654,Programme!F654,Programme!G654,Programme!H654,Programme!I654,Programme!J654)</f>
        <v>&lt;ValeurCellule&gt;</v>
      </c>
    </row>
    <row r="654" spans="1:1" x14ac:dyDescent="0.2">
      <c r="A654" s="996" t="str">
        <f>CONCATENATE(Programme!D655,Programme!E655,Programme!F655,Programme!G655,Programme!H655,Programme!I655,Programme!J655)</f>
        <v>&lt;cellule&gt;</v>
      </c>
    </row>
    <row r="655" spans="1:1" x14ac:dyDescent="0.2">
      <c r="A655" s="996" t="str">
        <f>CONCATENATE(Programme!D656,Programme!E656,Programme!F656,Programme!G656,Programme!H656,Programme!I656,Programme!J656)</f>
        <v>&lt;codeEdi&gt;162&lt;/codeEdi&gt;</v>
      </c>
    </row>
    <row r="656" spans="1:1" x14ac:dyDescent="0.2">
      <c r="A656" s="996" t="str">
        <f>CONCATENATE(Programme!D657,Programme!E657,Programme!F657,Programme!G657,Programme!H657,Programme!I657,Programme!J657)</f>
        <v>&lt;/cellule&gt;</v>
      </c>
    </row>
    <row r="657" spans="1:1" x14ac:dyDescent="0.2">
      <c r="A657" s="996" t="str">
        <f>CONCATENATE(Programme!D658,Programme!E658,Programme!F658,Programme!G658,Programme!H658,Programme!I658,Programme!J658)</f>
        <v>&lt;valeur&gt;0&lt;/valeur&gt;</v>
      </c>
    </row>
    <row r="658" spans="1:1" x14ac:dyDescent="0.2">
      <c r="A658" s="996" t="str">
        <f>CONCATENATE(Programme!D659,Programme!E659,Programme!F659,Programme!G659,Programme!H659,Programme!I659,Programme!J659)</f>
        <v>&lt;/ValeurCellule&gt;</v>
      </c>
    </row>
    <row r="659" spans="1:1" x14ac:dyDescent="0.2">
      <c r="A659" s="996" t="str">
        <f>CONCATENATE(Programme!D660,Programme!E660,Programme!F660,Programme!G660,Programme!H660,Programme!I660,Programme!J660)</f>
        <v>&lt;ValeurCellule&gt;</v>
      </c>
    </row>
    <row r="660" spans="1:1" x14ac:dyDescent="0.2">
      <c r="A660" s="996" t="str">
        <f>CONCATENATE(Programme!D661,Programme!E661,Programme!F661,Programme!G661,Programme!H661,Programme!I661,Programme!J661)</f>
        <v>&lt;cellule&gt;</v>
      </c>
    </row>
    <row r="661" spans="1:1" x14ac:dyDescent="0.2">
      <c r="A661" s="996" t="str">
        <f>CONCATENATE(Programme!D662,Programme!E662,Programme!F662,Programme!G662,Programme!H662,Programme!I662,Programme!J662)</f>
        <v>&lt;codeEdi&gt;163&lt;/codeEdi&gt;</v>
      </c>
    </row>
    <row r="662" spans="1:1" x14ac:dyDescent="0.2">
      <c r="A662" s="996" t="str">
        <f>CONCATENATE(Programme!D663,Programme!E663,Programme!F663,Programme!G663,Programme!H663,Programme!I663,Programme!J663)</f>
        <v>&lt;/cellule&gt;</v>
      </c>
    </row>
    <row r="663" spans="1:1" x14ac:dyDescent="0.2">
      <c r="A663" s="996" t="str">
        <f>CONCATENATE(Programme!D664,Programme!E664,Programme!F664,Programme!G664,Programme!H664,Programme!I664,Programme!J664)</f>
        <v>&lt;valeur&gt;0&lt;/valeur&gt;</v>
      </c>
    </row>
    <row r="664" spans="1:1" x14ac:dyDescent="0.2">
      <c r="A664" s="996" t="str">
        <f>CONCATENATE(Programme!D665,Programme!E665,Programme!F665,Programme!G665,Programme!H665,Programme!I665,Programme!J665)</f>
        <v>&lt;/ValeurCellule&gt;</v>
      </c>
    </row>
    <row r="665" spans="1:1" x14ac:dyDescent="0.2">
      <c r="A665" s="996" t="str">
        <f>CONCATENATE(Programme!D666,Programme!E666,Programme!F666,Programme!G666,Programme!H666,Programme!I666,Programme!J666)</f>
        <v>&lt;ValeurCellule&gt;</v>
      </c>
    </row>
    <row r="666" spans="1:1" x14ac:dyDescent="0.2">
      <c r="A666" s="996" t="str">
        <f>CONCATENATE(Programme!D667,Programme!E667,Programme!F667,Programme!G667,Programme!H667,Programme!I667,Programme!J667)</f>
        <v>&lt;cellule&gt;</v>
      </c>
    </row>
    <row r="667" spans="1:1" x14ac:dyDescent="0.2">
      <c r="A667" s="996" t="str">
        <f>CONCATENATE(Programme!D668,Programme!E668,Programme!F668,Programme!G668,Programme!H668,Programme!I668,Programme!J668)</f>
        <v>&lt;codeEdi&gt;164&lt;/codeEdi&gt;</v>
      </c>
    </row>
    <row r="668" spans="1:1" x14ac:dyDescent="0.2">
      <c r="A668" s="996" t="str">
        <f>CONCATENATE(Programme!D669,Programme!E669,Programme!F669,Programme!G669,Programme!H669,Programme!I669,Programme!J669)</f>
        <v>&lt;/cellule&gt;</v>
      </c>
    </row>
    <row r="669" spans="1:1" x14ac:dyDescent="0.2">
      <c r="A669" s="996" t="str">
        <f>CONCATENATE(Programme!D670,Programme!E670,Programme!F670,Programme!G670,Programme!H670,Programme!I670,Programme!J670)</f>
        <v>&lt;valeur&gt;0&lt;/valeur&gt;</v>
      </c>
    </row>
    <row r="670" spans="1:1" x14ac:dyDescent="0.2">
      <c r="A670" s="996" t="str">
        <f>CONCATENATE(Programme!D671,Programme!E671,Programme!F671,Programme!G671,Programme!H671,Programme!I671,Programme!J671)</f>
        <v>&lt;/ValeurCellule&gt;</v>
      </c>
    </row>
    <row r="671" spans="1:1" x14ac:dyDescent="0.2">
      <c r="A671" s="996" t="str">
        <f>CONCATENATE(Programme!D672,Programme!E672,Programme!F672,Programme!G672,Programme!H672,Programme!I672,Programme!J672)</f>
        <v>&lt;ValeurCellule&gt;</v>
      </c>
    </row>
    <row r="672" spans="1:1" x14ac:dyDescent="0.2">
      <c r="A672" s="996" t="str">
        <f>CONCATENATE(Programme!D673,Programme!E673,Programme!F673,Programme!G673,Programme!H673,Programme!I673,Programme!J673)</f>
        <v>&lt;cellule&gt;</v>
      </c>
    </row>
    <row r="673" spans="1:1" x14ac:dyDescent="0.2">
      <c r="A673" s="996" t="str">
        <f>CONCATENATE(Programme!D674,Programme!E674,Programme!F674,Programme!G674,Programme!H674,Programme!I674,Programme!J674)</f>
        <v>&lt;codeEdi&gt;522&lt;/codeEdi&gt;</v>
      </c>
    </row>
    <row r="674" spans="1:1" x14ac:dyDescent="0.2">
      <c r="A674" s="996" t="str">
        <f>CONCATENATE(Programme!D675,Programme!E675,Programme!F675,Programme!G675,Programme!H675,Programme!I675,Programme!J675)</f>
        <v>&lt;/cellule&gt;</v>
      </c>
    </row>
    <row r="675" spans="1:1" x14ac:dyDescent="0.2">
      <c r="A675" s="996" t="str">
        <f>CONCATENATE(Programme!D676,Programme!E676,Programme!F676,Programme!G676,Programme!H676,Programme!I676,Programme!J676)</f>
        <v>&lt;valeur&gt;0&lt;/valeur&gt;</v>
      </c>
    </row>
    <row r="676" spans="1:1" x14ac:dyDescent="0.2">
      <c r="A676" s="996" t="str">
        <f>CONCATENATE(Programme!D677,Programme!E677,Programme!F677,Programme!G677,Programme!H677,Programme!I677,Programme!J677)</f>
        <v>&lt;/ValeurCellule&gt;</v>
      </c>
    </row>
    <row r="677" spans="1:1" x14ac:dyDescent="0.2">
      <c r="A677" s="996" t="str">
        <f>CONCATENATE(Programme!D678,Programme!E678,Programme!F678,Programme!G678,Programme!H678,Programme!I678,Programme!J678)</f>
        <v>&lt;ValeurCellule&gt;</v>
      </c>
    </row>
    <row r="678" spans="1:1" x14ac:dyDescent="0.2">
      <c r="A678" s="996" t="str">
        <f>CONCATENATE(Programme!D679,Programme!E679,Programme!F679,Programme!G679,Programme!H679,Programme!I679,Programme!J679)</f>
        <v>&lt;cellule&gt;</v>
      </c>
    </row>
    <row r="679" spans="1:1" x14ac:dyDescent="0.2">
      <c r="A679" s="996" t="str">
        <f>CONCATENATE(Programme!D680,Programme!E680,Programme!F680,Programme!G680,Programme!H680,Programme!I680,Programme!J680)</f>
        <v>&lt;codeEdi&gt;165&lt;/codeEdi&gt;</v>
      </c>
    </row>
    <row r="680" spans="1:1" x14ac:dyDescent="0.2">
      <c r="A680" s="996" t="str">
        <f>CONCATENATE(Programme!D681,Programme!E681,Programme!F681,Programme!G681,Programme!H681,Programme!I681,Programme!J681)</f>
        <v>&lt;/cellule&gt;</v>
      </c>
    </row>
    <row r="681" spans="1:1" x14ac:dyDescent="0.2">
      <c r="A681" s="996" t="str">
        <f>CONCATENATE(Programme!D682,Programme!E682,Programme!F682,Programme!G682,Programme!H682,Programme!I682,Programme!J682)</f>
        <v>&lt;valeur&gt;0&lt;/valeur&gt;</v>
      </c>
    </row>
    <row r="682" spans="1:1" x14ac:dyDescent="0.2">
      <c r="A682" s="996" t="str">
        <f>CONCATENATE(Programme!D683,Programme!E683,Programme!F683,Programme!G683,Programme!H683,Programme!I683,Programme!J683)</f>
        <v>&lt;/ValeurCellule&gt;</v>
      </c>
    </row>
    <row r="683" spans="1:1" x14ac:dyDescent="0.2">
      <c r="A683" s="996" t="str">
        <f>CONCATENATE(Programme!D684,Programme!E684,Programme!F684,Programme!G684,Programme!H684,Programme!I684,Programme!J684)</f>
        <v>&lt;ValeurCellule&gt;</v>
      </c>
    </row>
    <row r="684" spans="1:1" x14ac:dyDescent="0.2">
      <c r="A684" s="996" t="str">
        <f>CONCATENATE(Programme!D685,Programme!E685,Programme!F685,Programme!G685,Programme!H685,Programme!I685,Programme!J685)</f>
        <v>&lt;cellule&gt;</v>
      </c>
    </row>
    <row r="685" spans="1:1" x14ac:dyDescent="0.2">
      <c r="A685" s="996" t="str">
        <f>CONCATENATE(Programme!D686,Programme!E686,Programme!F686,Programme!G686,Programme!H686,Programme!I686,Programme!J686)</f>
        <v>&lt;codeEdi&gt;166&lt;/codeEdi&gt;</v>
      </c>
    </row>
    <row r="686" spans="1:1" x14ac:dyDescent="0.2">
      <c r="A686" s="996" t="str">
        <f>CONCATENATE(Programme!D687,Programme!E687,Programme!F687,Programme!G687,Programme!H687,Programme!I687,Programme!J687)</f>
        <v>&lt;/cellule&gt;</v>
      </c>
    </row>
    <row r="687" spans="1:1" x14ac:dyDescent="0.2">
      <c r="A687" s="996" t="str">
        <f>CONCATENATE(Programme!D688,Programme!E688,Programme!F688,Programme!G688,Programme!H688,Programme!I688,Programme!J688)</f>
        <v>&lt;valeur&gt;0&lt;/valeur&gt;</v>
      </c>
    </row>
    <row r="688" spans="1:1" x14ac:dyDescent="0.2">
      <c r="A688" s="996" t="str">
        <f>CONCATENATE(Programme!D689,Programme!E689,Programme!F689,Programme!G689,Programme!H689,Programme!I689,Programme!J689)</f>
        <v>&lt;/ValeurCellule&gt;</v>
      </c>
    </row>
    <row r="689" spans="1:1" x14ac:dyDescent="0.2">
      <c r="A689" s="996" t="str">
        <f>CONCATENATE(Programme!D690,Programme!E690,Programme!F690,Programme!G690,Programme!H690,Programme!I690,Programme!J690)</f>
        <v>&lt;ValeurCellule&gt;</v>
      </c>
    </row>
    <row r="690" spans="1:1" x14ac:dyDescent="0.2">
      <c r="A690" s="996" t="str">
        <f>CONCATENATE(Programme!D691,Programme!E691,Programme!F691,Programme!G691,Programme!H691,Programme!I691,Programme!J691)</f>
        <v>&lt;cellule&gt;</v>
      </c>
    </row>
    <row r="691" spans="1:1" x14ac:dyDescent="0.2">
      <c r="A691" s="996" t="str">
        <f>CONCATENATE(Programme!D692,Programme!E692,Programme!F692,Programme!G692,Programme!H692,Programme!I692,Programme!J692)</f>
        <v>&lt;codeEdi&gt;167&lt;/codeEdi&gt;</v>
      </c>
    </row>
    <row r="692" spans="1:1" x14ac:dyDescent="0.2">
      <c r="A692" s="996" t="str">
        <f>CONCATENATE(Programme!D693,Programme!E693,Programme!F693,Programme!G693,Programme!H693,Programme!I693,Programme!J693)</f>
        <v>&lt;/cellule&gt;</v>
      </c>
    </row>
    <row r="693" spans="1:1" x14ac:dyDescent="0.2">
      <c r="A693" s="996" t="str">
        <f>CONCATENATE(Programme!D694,Programme!E694,Programme!F694,Programme!G694,Programme!H694,Programme!I694,Programme!J694)</f>
        <v>&lt;valeur&gt;0&lt;/valeur&gt;</v>
      </c>
    </row>
    <row r="694" spans="1:1" x14ac:dyDescent="0.2">
      <c r="A694" s="996" t="str">
        <f>CONCATENATE(Programme!D695,Programme!E695,Programme!F695,Programme!G695,Programme!H695,Programme!I695,Programme!J695)</f>
        <v>&lt;/ValeurCellule&gt;</v>
      </c>
    </row>
    <row r="695" spans="1:1" x14ac:dyDescent="0.2">
      <c r="A695" s="996" t="str">
        <f>CONCATENATE(Programme!D696,Programme!E696,Programme!F696,Programme!G696,Programme!H696,Programme!I696,Programme!J696)</f>
        <v>&lt;ValeurCellule&gt;</v>
      </c>
    </row>
    <row r="696" spans="1:1" x14ac:dyDescent="0.2">
      <c r="A696" s="996" t="str">
        <f>CONCATENATE(Programme!D697,Programme!E697,Programme!F697,Programme!G697,Programme!H697,Programme!I697,Programme!J697)</f>
        <v>&lt;cellule&gt;</v>
      </c>
    </row>
    <row r="697" spans="1:1" x14ac:dyDescent="0.2">
      <c r="A697" s="996" t="str">
        <f>CONCATENATE(Programme!D698,Programme!E698,Programme!F698,Programme!G698,Programme!H698,Programme!I698,Programme!J698)</f>
        <v>&lt;codeEdi&gt;168&lt;/codeEdi&gt;</v>
      </c>
    </row>
    <row r="698" spans="1:1" x14ac:dyDescent="0.2">
      <c r="A698" s="996" t="str">
        <f>CONCATENATE(Programme!D699,Programme!E699,Programme!F699,Programme!G699,Programme!H699,Programme!I699,Programme!J699)</f>
        <v>&lt;/cellule&gt;</v>
      </c>
    </row>
    <row r="699" spans="1:1" x14ac:dyDescent="0.2">
      <c r="A699" s="996" t="str">
        <f>CONCATENATE(Programme!D700,Programme!E700,Programme!F700,Programme!G700,Programme!H700,Programme!I700,Programme!J700)</f>
        <v>&lt;valeur&gt;0&lt;/valeur&gt;</v>
      </c>
    </row>
    <row r="700" spans="1:1" x14ac:dyDescent="0.2">
      <c r="A700" s="996" t="str">
        <f>CONCATENATE(Programme!D701,Programme!E701,Programme!F701,Programme!G701,Programme!H701,Programme!I701,Programme!J701)</f>
        <v>&lt;/ValeurCellule&gt;</v>
      </c>
    </row>
    <row r="701" spans="1:1" x14ac:dyDescent="0.2">
      <c r="A701" s="996" t="str">
        <f>CONCATENATE(Programme!D702,Programme!E702,Programme!F702,Programme!G702,Programme!H702,Programme!I702,Programme!J702)</f>
        <v>&lt;ValeurCellule&gt;</v>
      </c>
    </row>
    <row r="702" spans="1:1" x14ac:dyDescent="0.2">
      <c r="A702" s="996" t="str">
        <f>CONCATENATE(Programme!D703,Programme!E703,Programme!F703,Programme!G703,Programme!H703,Programme!I703,Programme!J703)</f>
        <v>&lt;cellule&gt;</v>
      </c>
    </row>
    <row r="703" spans="1:1" x14ac:dyDescent="0.2">
      <c r="A703" s="996" t="str">
        <f>CONCATENATE(Programme!D704,Programme!E704,Programme!F704,Programme!G704,Programme!H704,Programme!I704,Programme!J704)</f>
        <v>&lt;codeEdi&gt;169&lt;/codeEdi&gt;</v>
      </c>
    </row>
    <row r="704" spans="1:1" x14ac:dyDescent="0.2">
      <c r="A704" s="996" t="str">
        <f>CONCATENATE(Programme!D705,Programme!E705,Programme!F705,Programme!G705,Programme!H705,Programme!I705,Programme!J705)</f>
        <v>&lt;/cellule&gt;</v>
      </c>
    </row>
    <row r="705" spans="1:1" x14ac:dyDescent="0.2">
      <c r="A705" s="996" t="str">
        <f>CONCATENATE(Programme!D706,Programme!E706,Programme!F706,Programme!G706,Programme!H706,Programme!I706,Programme!J706)</f>
        <v>&lt;valeur&gt;0&lt;/valeur&gt;</v>
      </c>
    </row>
    <row r="706" spans="1:1" x14ac:dyDescent="0.2">
      <c r="A706" s="996" t="str">
        <f>CONCATENATE(Programme!D707,Programme!E707,Programme!F707,Programme!G707,Programme!H707,Programme!I707,Programme!J707)</f>
        <v>&lt;/ValeurCellule&gt;</v>
      </c>
    </row>
    <row r="707" spans="1:1" x14ac:dyDescent="0.2">
      <c r="A707" s="996" t="str">
        <f>CONCATENATE(Programme!D708,Programme!E708,Programme!F708,Programme!G708,Programme!H708,Programme!I708,Programme!J708)</f>
        <v>&lt;ValeurCellule&gt;</v>
      </c>
    </row>
    <row r="708" spans="1:1" x14ac:dyDescent="0.2">
      <c r="A708" s="996" t="str">
        <f>CONCATENATE(Programme!D709,Programme!E709,Programme!F709,Programme!G709,Programme!H709,Programme!I709,Programme!J709)</f>
        <v>&lt;cellule&gt;</v>
      </c>
    </row>
    <row r="709" spans="1:1" x14ac:dyDescent="0.2">
      <c r="A709" s="996" t="str">
        <f>CONCATENATE(Programme!D710,Programme!E710,Programme!F710,Programme!G710,Programme!H710,Programme!I710,Programme!J710)</f>
        <v>&lt;codeEdi&gt;523&lt;/codeEdi&gt;</v>
      </c>
    </row>
    <row r="710" spans="1:1" x14ac:dyDescent="0.2">
      <c r="A710" s="996" t="str">
        <f>CONCATENATE(Programme!D711,Programme!E711,Programme!F711,Programme!G711,Programme!H711,Programme!I711,Programme!J711)</f>
        <v>&lt;/cellule&gt;</v>
      </c>
    </row>
    <row r="711" spans="1:1" x14ac:dyDescent="0.2">
      <c r="A711" s="996" t="str">
        <f>CONCATENATE(Programme!D712,Programme!E712,Programme!F712,Programme!G712,Programme!H712,Programme!I712,Programme!J712)</f>
        <v>&lt;valeur&gt;0&lt;/valeur&gt;</v>
      </c>
    </row>
    <row r="712" spans="1:1" x14ac:dyDescent="0.2">
      <c r="A712" s="996" t="str">
        <f>CONCATENATE(Programme!D713,Programme!E713,Programme!F713,Programme!G713,Programme!H713,Programme!I713,Programme!J713)</f>
        <v>&lt;/ValeurCellule&gt;</v>
      </c>
    </row>
    <row r="713" spans="1:1" x14ac:dyDescent="0.2">
      <c r="A713" s="996" t="str">
        <f>CONCATENATE(Programme!D714,Programme!E714,Programme!F714,Programme!G714,Programme!H714,Programme!I714,Programme!J714)</f>
        <v>&lt;ValeurCellule&gt;</v>
      </c>
    </row>
    <row r="714" spans="1:1" x14ac:dyDescent="0.2">
      <c r="A714" s="996" t="str">
        <f>CONCATENATE(Programme!D715,Programme!E715,Programme!F715,Programme!G715,Programme!H715,Programme!I715,Programme!J715)</f>
        <v>&lt;cellule&gt;</v>
      </c>
    </row>
    <row r="715" spans="1:1" x14ac:dyDescent="0.2">
      <c r="A715" s="996" t="str">
        <f>CONCATENATE(Programme!D716,Programme!E716,Programme!F716,Programme!G716,Programme!H716,Programme!I716,Programme!J716)</f>
        <v>&lt;codeEdi&gt;170&lt;/codeEdi&gt;</v>
      </c>
    </row>
    <row r="716" spans="1:1" x14ac:dyDescent="0.2">
      <c r="A716" s="996" t="str">
        <f>CONCATENATE(Programme!D717,Programme!E717,Programme!F717,Programme!G717,Programme!H717,Programme!I717,Programme!J717)</f>
        <v>&lt;/cellule&gt;</v>
      </c>
    </row>
    <row r="717" spans="1:1" x14ac:dyDescent="0.2">
      <c r="A717" s="996" t="str">
        <f>CONCATENATE(Programme!D718,Programme!E718,Programme!F718,Programme!G718,Programme!H718,Programme!I718,Programme!J718)</f>
        <v>&lt;valeur&gt;0&lt;/valeur&gt;</v>
      </c>
    </row>
    <row r="718" spans="1:1" x14ac:dyDescent="0.2">
      <c r="A718" s="996" t="str">
        <f>CONCATENATE(Programme!D719,Programme!E719,Programme!F719,Programme!G719,Programme!H719,Programme!I719,Programme!J719)</f>
        <v>&lt;/ValeurCellule&gt;</v>
      </c>
    </row>
    <row r="719" spans="1:1" x14ac:dyDescent="0.2">
      <c r="A719" s="996" t="str">
        <f>CONCATENATE(Programme!D720,Programme!E720,Programme!F720,Programme!G720,Programme!H720,Programme!I720,Programme!J720)</f>
        <v>&lt;ValeurCellule&gt;</v>
      </c>
    </row>
    <row r="720" spans="1:1" x14ac:dyDescent="0.2">
      <c r="A720" s="996" t="str">
        <f>CONCATENATE(Programme!D721,Programme!E721,Programme!F721,Programme!G721,Programme!H721,Programme!I721,Programme!J721)</f>
        <v>&lt;cellule&gt;</v>
      </c>
    </row>
    <row r="721" spans="1:1" x14ac:dyDescent="0.2">
      <c r="A721" s="996" t="str">
        <f>CONCATENATE(Programme!D722,Programme!E722,Programme!F722,Programme!G722,Programme!H722,Programme!I722,Programme!J722)</f>
        <v>&lt;codeEdi&gt;171&lt;/codeEdi&gt;</v>
      </c>
    </row>
    <row r="722" spans="1:1" x14ac:dyDescent="0.2">
      <c r="A722" s="996" t="str">
        <f>CONCATENATE(Programme!D723,Programme!E723,Programme!F723,Programme!G723,Programme!H723,Programme!I723,Programme!J723)</f>
        <v>&lt;/cellule&gt;</v>
      </c>
    </row>
    <row r="723" spans="1:1" x14ac:dyDescent="0.2">
      <c r="A723" s="996" t="str">
        <f>CONCATENATE(Programme!D724,Programme!E724,Programme!F724,Programme!G724,Programme!H724,Programme!I724,Programme!J724)</f>
        <v>&lt;valeur&gt;0&lt;/valeur&gt;</v>
      </c>
    </row>
    <row r="724" spans="1:1" x14ac:dyDescent="0.2">
      <c r="A724" s="996" t="str">
        <f>CONCATENATE(Programme!D725,Programme!E725,Programme!F725,Programme!G725,Programme!H725,Programme!I725,Programme!J725)</f>
        <v>&lt;/ValeurCellule&gt;</v>
      </c>
    </row>
    <row r="725" spans="1:1" x14ac:dyDescent="0.2">
      <c r="A725" s="996" t="str">
        <f>CONCATENATE(Programme!D726,Programme!E726,Programme!F726,Programme!G726,Programme!H726,Programme!I726,Programme!J726)</f>
        <v>&lt;ValeurCellule&gt;</v>
      </c>
    </row>
    <row r="726" spans="1:1" x14ac:dyDescent="0.2">
      <c r="A726" s="996" t="str">
        <f>CONCATENATE(Programme!D727,Programme!E727,Programme!F727,Programme!G727,Programme!H727,Programme!I727,Programme!J727)</f>
        <v>&lt;cellule&gt;</v>
      </c>
    </row>
    <row r="727" spans="1:1" x14ac:dyDescent="0.2">
      <c r="A727" s="996" t="str">
        <f>CONCATENATE(Programme!D728,Programme!E728,Programme!F728,Programme!G728,Programme!H728,Programme!I728,Programme!J728)</f>
        <v>&lt;codeEdi&gt;172&lt;/codeEdi&gt;</v>
      </c>
    </row>
    <row r="728" spans="1:1" x14ac:dyDescent="0.2">
      <c r="A728" s="996" t="str">
        <f>CONCATENATE(Programme!D729,Programme!E729,Programme!F729,Programme!G729,Programme!H729,Programme!I729,Programme!J729)</f>
        <v>&lt;/cellule&gt;</v>
      </c>
    </row>
    <row r="729" spans="1:1" x14ac:dyDescent="0.2">
      <c r="A729" s="996" t="str">
        <f>CONCATENATE(Programme!D730,Programme!E730,Programme!F730,Programme!G730,Programme!H730,Programme!I730,Programme!J730)</f>
        <v>&lt;valeur&gt;0&lt;/valeur&gt;</v>
      </c>
    </row>
    <row r="730" spans="1:1" x14ac:dyDescent="0.2">
      <c r="A730" s="996" t="str">
        <f>CONCATENATE(Programme!D731,Programme!E731,Programme!F731,Programme!G731,Programme!H731,Programme!I731,Programme!J731)</f>
        <v>&lt;/ValeurCellule&gt;</v>
      </c>
    </row>
    <row r="731" spans="1:1" x14ac:dyDescent="0.2">
      <c r="A731" s="996" t="str">
        <f>CONCATENATE(Programme!D732,Programme!E732,Programme!F732,Programme!G732,Programme!H732,Programme!I732,Programme!J732)</f>
        <v>&lt;ValeurCellule&gt;</v>
      </c>
    </row>
    <row r="732" spans="1:1" x14ac:dyDescent="0.2">
      <c r="A732" s="996" t="str">
        <f>CONCATENATE(Programme!D733,Programme!E733,Programme!F733,Programme!G733,Programme!H733,Programme!I733,Programme!J733)</f>
        <v>&lt;cellule&gt;</v>
      </c>
    </row>
    <row r="733" spans="1:1" x14ac:dyDescent="0.2">
      <c r="A733" s="996" t="str">
        <f>CONCATENATE(Programme!D734,Programme!E734,Programme!F734,Programme!G734,Programme!H734,Programme!I734,Programme!J734)</f>
        <v>&lt;codeEdi&gt;173&lt;/codeEdi&gt;</v>
      </c>
    </row>
    <row r="734" spans="1:1" x14ac:dyDescent="0.2">
      <c r="A734" s="996" t="str">
        <f>CONCATENATE(Programme!D735,Programme!E735,Programme!F735,Programme!G735,Programme!H735,Programme!I735,Programme!J735)</f>
        <v>&lt;/cellule&gt;</v>
      </c>
    </row>
    <row r="735" spans="1:1" x14ac:dyDescent="0.2">
      <c r="A735" s="996" t="str">
        <f>CONCATENATE(Programme!D736,Programme!E736,Programme!F736,Programme!G736,Programme!H736,Programme!I736,Programme!J736)</f>
        <v>&lt;valeur&gt;0&lt;/valeur&gt;</v>
      </c>
    </row>
    <row r="736" spans="1:1" x14ac:dyDescent="0.2">
      <c r="A736" s="996" t="str">
        <f>CONCATENATE(Programme!D737,Programme!E737,Programme!F737,Programme!G737,Programme!H737,Programme!I737,Programme!J737)</f>
        <v>&lt;/ValeurCellule&gt;</v>
      </c>
    </row>
    <row r="737" spans="1:1" x14ac:dyDescent="0.2">
      <c r="A737" s="996" t="str">
        <f>CONCATENATE(Programme!D738,Programme!E738,Programme!F738,Programme!G738,Programme!H738,Programme!I738,Programme!J738)</f>
        <v>&lt;ValeurCellule&gt;</v>
      </c>
    </row>
    <row r="738" spans="1:1" x14ac:dyDescent="0.2">
      <c r="A738" s="996" t="str">
        <f>CONCATENATE(Programme!D739,Programme!E739,Programme!F739,Programme!G739,Programme!H739,Programme!I739,Programme!J739)</f>
        <v>&lt;cellule&gt;</v>
      </c>
    </row>
    <row r="739" spans="1:1" x14ac:dyDescent="0.2">
      <c r="A739" s="996" t="str">
        <f>CONCATENATE(Programme!D740,Programme!E740,Programme!F740,Programme!G740,Programme!H740,Programme!I740,Programme!J740)</f>
        <v>&lt;codeEdi&gt;174&lt;/codeEdi&gt;</v>
      </c>
    </row>
    <row r="740" spans="1:1" x14ac:dyDescent="0.2">
      <c r="A740" s="996" t="str">
        <f>CONCATENATE(Programme!D741,Programme!E741,Programme!F741,Programme!G741,Programme!H741,Programme!I741,Programme!J741)</f>
        <v>&lt;/cellule&gt;</v>
      </c>
    </row>
    <row r="741" spans="1:1" x14ac:dyDescent="0.2">
      <c r="A741" s="996" t="str">
        <f>CONCATENATE(Programme!D742,Programme!E742,Programme!F742,Programme!G742,Programme!H742,Programme!I742,Programme!J742)</f>
        <v>&lt;valeur&gt;0&lt;/valeur&gt;</v>
      </c>
    </row>
    <row r="742" spans="1:1" x14ac:dyDescent="0.2">
      <c r="A742" s="996" t="str">
        <f>CONCATENATE(Programme!D743,Programme!E743,Programme!F743,Programme!G743,Programme!H743,Programme!I743,Programme!J743)</f>
        <v>&lt;/ValeurCellule&gt;</v>
      </c>
    </row>
    <row r="743" spans="1:1" x14ac:dyDescent="0.2">
      <c r="A743" s="996" t="str">
        <f>CONCATENATE(Programme!D744,Programme!E744,Programme!F744,Programme!G744,Programme!H744,Programme!I744,Programme!J744)</f>
        <v>&lt;ValeurCellule&gt;</v>
      </c>
    </row>
    <row r="744" spans="1:1" x14ac:dyDescent="0.2">
      <c r="A744" s="996" t="str">
        <f>CONCATENATE(Programme!D745,Programme!E745,Programme!F745,Programme!G745,Programme!H745,Programme!I745,Programme!J745)</f>
        <v>&lt;cellule&gt;</v>
      </c>
    </row>
    <row r="745" spans="1:1" x14ac:dyDescent="0.2">
      <c r="A745" s="996" t="str">
        <f>CONCATENATE(Programme!D746,Programme!E746,Programme!F746,Programme!G746,Programme!H746,Programme!I746,Programme!J746)</f>
        <v>&lt;codeEdi&gt;524&lt;/codeEdi&gt;</v>
      </c>
    </row>
    <row r="746" spans="1:1" x14ac:dyDescent="0.2">
      <c r="A746" s="996" t="str">
        <f>CONCATENATE(Programme!D747,Programme!E747,Programme!F747,Programme!G747,Programme!H747,Programme!I747,Programme!J747)</f>
        <v>&lt;/cellule&gt;</v>
      </c>
    </row>
    <row r="747" spans="1:1" x14ac:dyDescent="0.2">
      <c r="A747" s="996" t="str">
        <f>CONCATENATE(Programme!D748,Programme!E748,Programme!F748,Programme!G748,Programme!H748,Programme!I748,Programme!J748)</f>
        <v>&lt;valeur&gt;0&lt;/valeur&gt;</v>
      </c>
    </row>
    <row r="748" spans="1:1" x14ac:dyDescent="0.2">
      <c r="A748" s="996" t="str">
        <f>CONCATENATE(Programme!D749,Programme!E749,Programme!F749,Programme!G749,Programme!H749,Programme!I749,Programme!J749)</f>
        <v>&lt;/ValeurCellule&gt;</v>
      </c>
    </row>
    <row r="749" spans="1:1" x14ac:dyDescent="0.2">
      <c r="A749" s="996" t="str">
        <f>CONCATENATE(Programme!D750,Programme!E750,Programme!F750,Programme!G750,Programme!H750,Programme!I750,Programme!J750)</f>
        <v>&lt;ValeurCellule&gt;</v>
      </c>
    </row>
    <row r="750" spans="1:1" x14ac:dyDescent="0.2">
      <c r="A750" s="996" t="str">
        <f>CONCATENATE(Programme!D751,Programme!E751,Programme!F751,Programme!G751,Programme!H751,Programme!I751,Programme!J751)</f>
        <v>&lt;cellule&gt;</v>
      </c>
    </row>
    <row r="751" spans="1:1" x14ac:dyDescent="0.2">
      <c r="A751" s="996" t="str">
        <f>CONCATENATE(Programme!D752,Programme!E752,Programme!F752,Programme!G752,Programme!H752,Programme!I752,Programme!J752)</f>
        <v>&lt;codeEdi&gt;175&lt;/codeEdi&gt;</v>
      </c>
    </row>
    <row r="752" spans="1:1" x14ac:dyDescent="0.2">
      <c r="A752" s="996" t="str">
        <f>CONCATENATE(Programme!D753,Programme!E753,Programme!F753,Programme!G753,Programme!H753,Programme!I753,Programme!J753)</f>
        <v>&lt;/cellule&gt;</v>
      </c>
    </row>
    <row r="753" spans="1:1" x14ac:dyDescent="0.2">
      <c r="A753" s="996" t="str">
        <f>CONCATENATE(Programme!D754,Programme!E754,Programme!F754,Programme!G754,Programme!H754,Programme!I754,Programme!J754)</f>
        <v>&lt;valeur&gt;0&lt;/valeur&gt;</v>
      </c>
    </row>
    <row r="754" spans="1:1" x14ac:dyDescent="0.2">
      <c r="A754" s="996" t="str">
        <f>CONCATENATE(Programme!D755,Programme!E755,Programme!F755,Programme!G755,Programme!H755,Programme!I755,Programme!J755)</f>
        <v>&lt;/ValeurCellule&gt;</v>
      </c>
    </row>
    <row r="755" spans="1:1" x14ac:dyDescent="0.2">
      <c r="A755" s="996" t="str">
        <f>CONCATENATE(Programme!D756,Programme!E756,Programme!F756,Programme!G756,Programme!H756,Programme!I756,Programme!J756)</f>
        <v>&lt;ValeurCellule&gt;</v>
      </c>
    </row>
    <row r="756" spans="1:1" x14ac:dyDescent="0.2">
      <c r="A756" s="996" t="str">
        <f>CONCATENATE(Programme!D757,Programme!E757,Programme!F757,Programme!G757,Programme!H757,Programme!I757,Programme!J757)</f>
        <v>&lt;cellule&gt;</v>
      </c>
    </row>
    <row r="757" spans="1:1" x14ac:dyDescent="0.2">
      <c r="A757" s="996" t="str">
        <f>CONCATENATE(Programme!D758,Programme!E758,Programme!F758,Programme!G758,Programme!H758,Programme!I758,Programme!J758)</f>
        <v>&lt;codeEdi&gt;176&lt;/codeEdi&gt;</v>
      </c>
    </row>
    <row r="758" spans="1:1" x14ac:dyDescent="0.2">
      <c r="A758" s="996" t="str">
        <f>CONCATENATE(Programme!D759,Programme!E759,Programme!F759,Programme!G759,Programme!H759,Programme!I759,Programme!J759)</f>
        <v>&lt;/cellule&gt;</v>
      </c>
    </row>
    <row r="759" spans="1:1" x14ac:dyDescent="0.2">
      <c r="A759" s="996" t="str">
        <f>CONCATENATE(Programme!D760,Programme!E760,Programme!F760,Programme!G760,Programme!H760,Programme!I760,Programme!J760)</f>
        <v>&lt;valeur&gt;0&lt;/valeur&gt;</v>
      </c>
    </row>
    <row r="760" spans="1:1" x14ac:dyDescent="0.2">
      <c r="A760" s="996" t="str">
        <f>CONCATENATE(Programme!D761,Programme!E761,Programme!F761,Programme!G761,Programme!H761,Programme!I761,Programme!J761)</f>
        <v>&lt;/ValeurCellule&gt;</v>
      </c>
    </row>
    <row r="761" spans="1:1" x14ac:dyDescent="0.2">
      <c r="A761" s="996" t="str">
        <f>CONCATENATE(Programme!D762,Programme!E762,Programme!F762,Programme!G762,Programme!H762,Programme!I762,Programme!J762)</f>
        <v>&lt;ValeurCellule&gt;</v>
      </c>
    </row>
    <row r="762" spans="1:1" x14ac:dyDescent="0.2">
      <c r="A762" s="996" t="str">
        <f>CONCATENATE(Programme!D763,Programme!E763,Programme!F763,Programme!G763,Programme!H763,Programme!I763,Programme!J763)</f>
        <v>&lt;cellule&gt;</v>
      </c>
    </row>
    <row r="763" spans="1:1" x14ac:dyDescent="0.2">
      <c r="A763" s="996" t="str">
        <f>CONCATENATE(Programme!D764,Programme!E764,Programme!F764,Programme!G764,Programme!H764,Programme!I764,Programme!J764)</f>
        <v>&lt;codeEdi&gt;177&lt;/codeEdi&gt;</v>
      </c>
    </row>
    <row r="764" spans="1:1" x14ac:dyDescent="0.2">
      <c r="A764" s="996" t="str">
        <f>CONCATENATE(Programme!D765,Programme!E765,Programme!F765,Programme!G765,Programme!H765,Programme!I765,Programme!J765)</f>
        <v>&lt;/cellule&gt;</v>
      </c>
    </row>
    <row r="765" spans="1:1" x14ac:dyDescent="0.2">
      <c r="A765" s="996" t="str">
        <f>CONCATENATE(Programme!D766,Programme!E766,Programme!F766,Programme!G766,Programme!H766,Programme!I766,Programme!J766)</f>
        <v>&lt;valeur&gt;0&lt;/valeur&gt;</v>
      </c>
    </row>
    <row r="766" spans="1:1" x14ac:dyDescent="0.2">
      <c r="A766" s="996" t="str">
        <f>CONCATENATE(Programme!D767,Programme!E767,Programme!F767,Programme!G767,Programme!H767,Programme!I767,Programme!J767)</f>
        <v>&lt;/ValeurCellule&gt;</v>
      </c>
    </row>
    <row r="767" spans="1:1" x14ac:dyDescent="0.2">
      <c r="A767" s="996" t="str">
        <f>CONCATENATE(Programme!D768,Programme!E768,Programme!F768,Programme!G768,Programme!H768,Programme!I768,Programme!J768)</f>
        <v>&lt;ValeurCellule&gt;</v>
      </c>
    </row>
    <row r="768" spans="1:1" x14ac:dyDescent="0.2">
      <c r="A768" s="996" t="str">
        <f>CONCATENATE(Programme!D769,Programme!E769,Programme!F769,Programme!G769,Programme!H769,Programme!I769,Programme!J769)</f>
        <v>&lt;cellule&gt;</v>
      </c>
    </row>
    <row r="769" spans="1:1" x14ac:dyDescent="0.2">
      <c r="A769" s="996" t="str">
        <f>CONCATENATE(Programme!D770,Programme!E770,Programme!F770,Programme!G770,Programme!H770,Programme!I770,Programme!J770)</f>
        <v>&lt;codeEdi&gt;178&lt;/codeEdi&gt;</v>
      </c>
    </row>
    <row r="770" spans="1:1" x14ac:dyDescent="0.2">
      <c r="A770" s="996" t="str">
        <f>CONCATENATE(Programme!D771,Programme!E771,Programme!F771,Programme!G771,Programme!H771,Programme!I771,Programme!J771)</f>
        <v>&lt;/cellule&gt;</v>
      </c>
    </row>
    <row r="771" spans="1:1" x14ac:dyDescent="0.2">
      <c r="A771" s="996" t="str">
        <f>CONCATENATE(Programme!D772,Programme!E772,Programme!F772,Programme!G772,Programme!H772,Programme!I772,Programme!J772)</f>
        <v>&lt;valeur&gt;0&lt;/valeur&gt;</v>
      </c>
    </row>
    <row r="772" spans="1:1" x14ac:dyDescent="0.2">
      <c r="A772" s="996" t="str">
        <f>CONCATENATE(Programme!D773,Programme!E773,Programme!F773,Programme!G773,Programme!H773,Programme!I773,Programme!J773)</f>
        <v>&lt;/ValeurCellule&gt;</v>
      </c>
    </row>
    <row r="773" spans="1:1" x14ac:dyDescent="0.2">
      <c r="A773" s="996" t="str">
        <f>CONCATENATE(Programme!D774,Programme!E774,Programme!F774,Programme!G774,Programme!H774,Programme!I774,Programme!J774)</f>
        <v>&lt;ValeurCellule&gt;</v>
      </c>
    </row>
    <row r="774" spans="1:1" x14ac:dyDescent="0.2">
      <c r="A774" s="996" t="str">
        <f>CONCATENATE(Programme!D775,Programme!E775,Programme!F775,Programme!G775,Programme!H775,Programme!I775,Programme!J775)</f>
        <v>&lt;cellule&gt;</v>
      </c>
    </row>
    <row r="775" spans="1:1" x14ac:dyDescent="0.2">
      <c r="A775" s="996" t="str">
        <f>CONCATENATE(Programme!D776,Programme!E776,Programme!F776,Programme!G776,Programme!H776,Programme!I776,Programme!J776)</f>
        <v>&lt;codeEdi&gt;179&lt;/codeEdi&gt;</v>
      </c>
    </row>
    <row r="776" spans="1:1" x14ac:dyDescent="0.2">
      <c r="A776" s="996" t="str">
        <f>CONCATENATE(Programme!D777,Programme!E777,Programme!F777,Programme!G777,Programme!H777,Programme!I777,Programme!J777)</f>
        <v>&lt;/cellule&gt;</v>
      </c>
    </row>
    <row r="777" spans="1:1" x14ac:dyDescent="0.2">
      <c r="A777" s="996" t="str">
        <f>CONCATENATE(Programme!D778,Programme!E778,Programme!F778,Programme!G778,Programme!H778,Programme!I778,Programme!J778)</f>
        <v>&lt;valeur&gt;0&lt;/valeur&gt;</v>
      </c>
    </row>
    <row r="778" spans="1:1" x14ac:dyDescent="0.2">
      <c r="A778" s="996" t="str">
        <f>CONCATENATE(Programme!D779,Programme!E779,Programme!F779,Programme!G779,Programme!H779,Programme!I779,Programme!J779)</f>
        <v>&lt;/ValeurCellule&gt;</v>
      </c>
    </row>
    <row r="779" spans="1:1" x14ac:dyDescent="0.2">
      <c r="A779" s="996" t="str">
        <f>CONCATENATE(Programme!D780,Programme!E780,Programme!F780,Programme!G780,Programme!H780,Programme!I780,Programme!J780)</f>
        <v>&lt;ValeurCellule&gt;</v>
      </c>
    </row>
    <row r="780" spans="1:1" x14ac:dyDescent="0.2">
      <c r="A780" s="996" t="str">
        <f>CONCATENATE(Programme!D781,Programme!E781,Programme!F781,Programme!G781,Programme!H781,Programme!I781,Programme!J781)</f>
        <v>&lt;cellule&gt;</v>
      </c>
    </row>
    <row r="781" spans="1:1" x14ac:dyDescent="0.2">
      <c r="A781" s="996" t="str">
        <f>CONCATENATE(Programme!D782,Programme!E782,Programme!F782,Programme!G782,Programme!H782,Programme!I782,Programme!J782)</f>
        <v>&lt;codeEdi&gt;525&lt;/codeEdi&gt;</v>
      </c>
    </row>
    <row r="782" spans="1:1" x14ac:dyDescent="0.2">
      <c r="A782" s="996" t="str">
        <f>CONCATENATE(Programme!D783,Programme!E783,Programme!F783,Programme!G783,Programme!H783,Programme!I783,Programme!J783)</f>
        <v>&lt;/cellule&gt;</v>
      </c>
    </row>
    <row r="783" spans="1:1" x14ac:dyDescent="0.2">
      <c r="A783" s="996" t="str">
        <f>CONCATENATE(Programme!D784,Programme!E784,Programme!F784,Programme!G784,Programme!H784,Programme!I784,Programme!J784)</f>
        <v>&lt;valeur&gt;0&lt;/valeur&gt;</v>
      </c>
    </row>
    <row r="784" spans="1:1" x14ac:dyDescent="0.2">
      <c r="A784" s="996" t="str">
        <f>CONCATENATE(Programme!D785,Programme!E785,Programme!F785,Programme!G785,Programme!H785,Programme!I785,Programme!J785)</f>
        <v>&lt;/ValeurCellule&gt;</v>
      </c>
    </row>
    <row r="785" spans="1:1" x14ac:dyDescent="0.2">
      <c r="A785" s="996" t="str">
        <f>CONCATENATE(Programme!D786,Programme!E786,Programme!F786,Programme!G786,Programme!H786,Programme!I786,Programme!J786)</f>
        <v>&lt;ValeurCellule&gt;</v>
      </c>
    </row>
    <row r="786" spans="1:1" x14ac:dyDescent="0.2">
      <c r="A786" s="996" t="str">
        <f>CONCATENATE(Programme!D787,Programme!E787,Programme!F787,Programme!G787,Programme!H787,Programme!I787,Programme!J787)</f>
        <v>&lt;cellule&gt;</v>
      </c>
    </row>
    <row r="787" spans="1:1" x14ac:dyDescent="0.2">
      <c r="A787" s="996" t="str">
        <f>CONCATENATE(Programme!D788,Programme!E788,Programme!F788,Programme!G788,Programme!H788,Programme!I788,Programme!J788)</f>
        <v>&lt;codeEdi&gt;122&lt;/codeEdi&gt;</v>
      </c>
    </row>
    <row r="788" spans="1:1" x14ac:dyDescent="0.2">
      <c r="A788" s="996" t="str">
        <f>CONCATENATE(Programme!D789,Programme!E789,Programme!F789,Programme!G789,Programme!H789,Programme!I789,Programme!J789)</f>
        <v>&lt;/cellule&gt;</v>
      </c>
    </row>
    <row r="789" spans="1:1" x14ac:dyDescent="0.2">
      <c r="A789" s="996" t="str">
        <f>CONCATENATE(Programme!D790,Programme!E790,Programme!F790,Programme!G790,Programme!H790,Programme!I790,Programme!J790)</f>
        <v>&lt;valeur&gt;0&lt;/valeur&gt;</v>
      </c>
    </row>
    <row r="790" spans="1:1" x14ac:dyDescent="0.2">
      <c r="A790" s="996" t="str">
        <f>CONCATENATE(Programme!D791,Programme!E791,Programme!F791,Programme!G791,Programme!H791,Programme!I791,Programme!J791)</f>
        <v>&lt;/ValeurCellule&gt;</v>
      </c>
    </row>
    <row r="791" spans="1:1" x14ac:dyDescent="0.2">
      <c r="A791" s="996" t="str">
        <f>CONCATENATE(Programme!D792,Programme!E792,Programme!F792,Programme!G792,Programme!H792,Programme!I792,Programme!J792)</f>
        <v>&lt;ValeurCellule&gt;</v>
      </c>
    </row>
    <row r="792" spans="1:1" x14ac:dyDescent="0.2">
      <c r="A792" s="996" t="str">
        <f>CONCATENATE(Programme!D793,Programme!E793,Programme!F793,Programme!G793,Programme!H793,Programme!I793,Programme!J793)</f>
        <v>&lt;cellule&gt;</v>
      </c>
    </row>
    <row r="793" spans="1:1" x14ac:dyDescent="0.2">
      <c r="A793" s="996" t="str">
        <f>CONCATENATE(Programme!D794,Programme!E794,Programme!F794,Programme!G794,Programme!H794,Programme!I794,Programme!J794)</f>
        <v>&lt;codeEdi&gt;123&lt;/codeEdi&gt;</v>
      </c>
    </row>
    <row r="794" spans="1:1" x14ac:dyDescent="0.2">
      <c r="A794" s="996" t="str">
        <f>CONCATENATE(Programme!D795,Programme!E795,Programme!F795,Programme!G795,Programme!H795,Programme!I795,Programme!J795)</f>
        <v>&lt;/cellule&gt;</v>
      </c>
    </row>
    <row r="795" spans="1:1" x14ac:dyDescent="0.2">
      <c r="A795" s="996" t="str">
        <f>CONCATENATE(Programme!D796,Programme!E796,Programme!F796,Programme!G796,Programme!H796,Programme!I796,Programme!J796)</f>
        <v>&lt;valeur&gt;0&lt;/valeur&gt;</v>
      </c>
    </row>
    <row r="796" spans="1:1" x14ac:dyDescent="0.2">
      <c r="A796" s="996" t="str">
        <f>CONCATENATE(Programme!D797,Programme!E797,Programme!F797,Programme!G797,Programme!H797,Programme!I797,Programme!J797)</f>
        <v>&lt;/ValeurCellule&gt;</v>
      </c>
    </row>
    <row r="797" spans="1:1" x14ac:dyDescent="0.2">
      <c r="A797" s="996" t="str">
        <f>CONCATENATE(Programme!D798,Programme!E798,Programme!F798,Programme!G798,Programme!H798,Programme!I798,Programme!J798)</f>
        <v>&lt;ValeurCellule&gt;</v>
      </c>
    </row>
    <row r="798" spans="1:1" x14ac:dyDescent="0.2">
      <c r="A798" s="996" t="str">
        <f>CONCATENATE(Programme!D799,Programme!E799,Programme!F799,Programme!G799,Programme!H799,Programme!I799,Programme!J799)</f>
        <v>&lt;cellule&gt;</v>
      </c>
    </row>
    <row r="799" spans="1:1" x14ac:dyDescent="0.2">
      <c r="A799" s="996" t="str">
        <f>CONCATENATE(Programme!D800,Programme!E800,Programme!F800,Programme!G800,Programme!H800,Programme!I800,Programme!J800)</f>
        <v>&lt;codeEdi&gt;124&lt;/codeEdi&gt;</v>
      </c>
    </row>
    <row r="800" spans="1:1" x14ac:dyDescent="0.2">
      <c r="A800" s="996" t="str">
        <f>CONCATENATE(Programme!D801,Programme!E801,Programme!F801,Programme!G801,Programme!H801,Programme!I801,Programme!J801)</f>
        <v>&lt;/cellule&gt;</v>
      </c>
    </row>
    <row r="801" spans="1:1" x14ac:dyDescent="0.2">
      <c r="A801" s="996" t="str">
        <f>CONCATENATE(Programme!D802,Programme!E802,Programme!F802,Programme!G802,Programme!H802,Programme!I802,Programme!J802)</f>
        <v>&lt;valeur&gt;0&lt;/valeur&gt;</v>
      </c>
    </row>
    <row r="802" spans="1:1" x14ac:dyDescent="0.2">
      <c r="A802" s="996" t="str">
        <f>CONCATENATE(Programme!D803,Programme!E803,Programme!F803,Programme!G803,Programme!H803,Programme!I803,Programme!J803)</f>
        <v>&lt;/ValeurCellule&gt;</v>
      </c>
    </row>
    <row r="803" spans="1:1" x14ac:dyDescent="0.2">
      <c r="A803" s="996" t="str">
        <f>CONCATENATE(Programme!D804,Programme!E804,Programme!F804,Programme!G804,Programme!H804,Programme!I804,Programme!J804)</f>
        <v>&lt;ValeurCellule&gt;</v>
      </c>
    </row>
    <row r="804" spans="1:1" x14ac:dyDescent="0.2">
      <c r="A804" s="996" t="str">
        <f>CONCATENATE(Programme!D805,Programme!E805,Programme!F805,Programme!G805,Programme!H805,Programme!I805,Programme!J805)</f>
        <v>&lt;cellule&gt;</v>
      </c>
    </row>
    <row r="805" spans="1:1" x14ac:dyDescent="0.2">
      <c r="A805" s="996" t="str">
        <f>CONCATENATE(Programme!D806,Programme!E806,Programme!F806,Programme!G806,Programme!H806,Programme!I806,Programme!J806)</f>
        <v>&lt;codeEdi&gt;125&lt;/codeEdi&gt;</v>
      </c>
    </row>
    <row r="806" spans="1:1" x14ac:dyDescent="0.2">
      <c r="A806" s="996" t="str">
        <f>CONCATENATE(Programme!D807,Programme!E807,Programme!F807,Programme!G807,Programme!H807,Programme!I807,Programme!J807)</f>
        <v>&lt;/cellule&gt;</v>
      </c>
    </row>
    <row r="807" spans="1:1" x14ac:dyDescent="0.2">
      <c r="A807" s="996" t="str">
        <f>CONCATENATE(Programme!D808,Programme!E808,Programme!F808,Programme!G808,Programme!H808,Programme!I808,Programme!J808)</f>
        <v>&lt;valeur&gt;0&lt;/valeur&gt;</v>
      </c>
    </row>
    <row r="808" spans="1:1" x14ac:dyDescent="0.2">
      <c r="A808" s="996" t="str">
        <f>CONCATENATE(Programme!D809,Programme!E809,Programme!F809,Programme!G809,Programme!H809,Programme!I809,Programme!J809)</f>
        <v>&lt;/ValeurCellule&gt;</v>
      </c>
    </row>
    <row r="809" spans="1:1" x14ac:dyDescent="0.2">
      <c r="A809" s="996" t="str">
        <f>CONCATENATE(Programme!D810,Programme!E810,Programme!F810,Programme!G810,Programme!H810,Programme!I810,Programme!J810)</f>
        <v>&lt;ValeurCellule&gt;</v>
      </c>
    </row>
    <row r="810" spans="1:1" x14ac:dyDescent="0.2">
      <c r="A810" s="996" t="str">
        <f>CONCATENATE(Programme!D811,Programme!E811,Programme!F811,Programme!G811,Programme!H811,Programme!I811,Programme!J811)</f>
        <v>&lt;cellule&gt;</v>
      </c>
    </row>
    <row r="811" spans="1:1" x14ac:dyDescent="0.2">
      <c r="A811" s="996" t="str">
        <f>CONCATENATE(Programme!D812,Programme!E812,Programme!F812,Programme!G812,Programme!H812,Programme!I812,Programme!J812)</f>
        <v>&lt;codeEdi&gt;126&lt;/codeEdi&gt;</v>
      </c>
    </row>
    <row r="812" spans="1:1" x14ac:dyDescent="0.2">
      <c r="A812" s="996" t="str">
        <f>CONCATENATE(Programme!D813,Programme!E813,Programme!F813,Programme!G813,Programme!H813,Programme!I813,Programme!J813)</f>
        <v>&lt;/cellule&gt;</v>
      </c>
    </row>
    <row r="813" spans="1:1" x14ac:dyDescent="0.2">
      <c r="A813" s="996" t="str">
        <f>CONCATENATE(Programme!D814,Programme!E814,Programme!F814,Programme!G814,Programme!H814,Programme!I814,Programme!J814)</f>
        <v>&lt;valeur&gt;0&lt;/valeur&gt;</v>
      </c>
    </row>
    <row r="814" spans="1:1" x14ac:dyDescent="0.2">
      <c r="A814" s="996" t="str">
        <f>CONCATENATE(Programme!D815,Programme!E815,Programme!F815,Programme!G815,Programme!H815,Programme!I815,Programme!J815)</f>
        <v>&lt;/ValeurCellule&gt;</v>
      </c>
    </row>
    <row r="815" spans="1:1" x14ac:dyDescent="0.2">
      <c r="A815" s="996" t="str">
        <f>CONCATENATE(Programme!D816,Programme!E816,Programme!F816,Programme!G816,Programme!H816,Programme!I816,Programme!J816)</f>
        <v>&lt;ValeurCellule&gt;</v>
      </c>
    </row>
    <row r="816" spans="1:1" x14ac:dyDescent="0.2">
      <c r="A816" s="996" t="str">
        <f>CONCATENATE(Programme!D817,Programme!E817,Programme!F817,Programme!G817,Programme!H817,Programme!I817,Programme!J817)</f>
        <v>&lt;cellule&gt;</v>
      </c>
    </row>
    <row r="817" spans="1:1" x14ac:dyDescent="0.2">
      <c r="A817" s="996" t="str">
        <f>CONCATENATE(Programme!D818,Programme!E818,Programme!F818,Programme!G818,Programme!H818,Programme!I818,Programme!J818)</f>
        <v>&lt;codeEdi&gt;127&lt;/codeEdi&gt;</v>
      </c>
    </row>
    <row r="818" spans="1:1" x14ac:dyDescent="0.2">
      <c r="A818" s="996" t="str">
        <f>CONCATENATE(Programme!D819,Programme!E819,Programme!F819,Programme!G819,Programme!H819,Programme!I819,Programme!J819)</f>
        <v>&lt;/cellule&gt;</v>
      </c>
    </row>
    <row r="819" spans="1:1" x14ac:dyDescent="0.2">
      <c r="A819" s="996" t="str">
        <f>CONCATENATE(Programme!D820,Programme!E820,Programme!F820,Programme!G820,Programme!H820,Programme!I820,Programme!J820)</f>
        <v>&lt;valeur&gt;0&lt;/valeur&gt;</v>
      </c>
    </row>
    <row r="820" spans="1:1" x14ac:dyDescent="0.2">
      <c r="A820" s="996" t="str">
        <f>CONCATENATE(Programme!D821,Programme!E821,Programme!F821,Programme!G821,Programme!H821,Programme!I821,Programme!J821)</f>
        <v>&lt;/ValeurCellule&gt;</v>
      </c>
    </row>
    <row r="821" spans="1:1" x14ac:dyDescent="0.2">
      <c r="A821" s="996" t="str">
        <f>CONCATENATE(Programme!D822,Programme!E822,Programme!F822,Programme!G822,Programme!H822,Programme!I822,Programme!J822)</f>
        <v>&lt;ValeurCellule&gt;</v>
      </c>
    </row>
    <row r="822" spans="1:1" x14ac:dyDescent="0.2">
      <c r="A822" s="996" t="str">
        <f>CONCATENATE(Programme!D823,Programme!E823,Programme!F823,Programme!G823,Programme!H823,Programme!I823,Programme!J823)</f>
        <v>&lt;cellule&gt;</v>
      </c>
    </row>
    <row r="823" spans="1:1" x14ac:dyDescent="0.2">
      <c r="A823" s="996" t="str">
        <f>CONCATENATE(Programme!D824,Programme!E824,Programme!F824,Programme!G824,Programme!H824,Programme!I824,Programme!J824)</f>
        <v>&lt;codeEdi&gt;128&lt;/codeEdi&gt;</v>
      </c>
    </row>
    <row r="824" spans="1:1" x14ac:dyDescent="0.2">
      <c r="A824" s="996" t="str">
        <f>CONCATENATE(Programme!D825,Programme!E825,Programme!F825,Programme!G825,Programme!H825,Programme!I825,Programme!J825)</f>
        <v>&lt;/cellule&gt;</v>
      </c>
    </row>
    <row r="825" spans="1:1" x14ac:dyDescent="0.2">
      <c r="A825" s="996" t="str">
        <f>CONCATENATE(Programme!D826,Programme!E826,Programme!F826,Programme!G826,Programme!H826,Programme!I826,Programme!J826)</f>
        <v>&lt;valeur&gt;0&lt;/valeur&gt;</v>
      </c>
    </row>
    <row r="826" spans="1:1" x14ac:dyDescent="0.2">
      <c r="A826" s="996" t="str">
        <f>CONCATENATE(Programme!D827,Programme!E827,Programme!F827,Programme!G827,Programme!H827,Programme!I827,Programme!J827)</f>
        <v>&lt;/ValeurCellule&gt;</v>
      </c>
    </row>
    <row r="827" spans="1:1" x14ac:dyDescent="0.2">
      <c r="A827" s="996" t="str">
        <f>CONCATENATE(Programme!D828,Programme!E828,Programme!F828,Programme!G828,Programme!H828,Programme!I828,Programme!J828)</f>
        <v>&lt;ValeurCellule&gt;</v>
      </c>
    </row>
    <row r="828" spans="1:1" x14ac:dyDescent="0.2">
      <c r="A828" s="996" t="str">
        <f>CONCATENATE(Programme!D829,Programme!E829,Programme!F829,Programme!G829,Programme!H829,Programme!I829,Programme!J829)</f>
        <v>&lt;cellule&gt;</v>
      </c>
    </row>
    <row r="829" spans="1:1" x14ac:dyDescent="0.2">
      <c r="A829" s="996" t="str">
        <f>CONCATENATE(Programme!D830,Programme!E830,Programme!F830,Programme!G830,Programme!H830,Programme!I830,Programme!J830)</f>
        <v>&lt;codeEdi&gt;527&lt;/codeEdi&gt;</v>
      </c>
    </row>
    <row r="830" spans="1:1" x14ac:dyDescent="0.2">
      <c r="A830" s="996" t="str">
        <f>CONCATENATE(Programme!D831,Programme!E831,Programme!F831,Programme!G831,Programme!H831,Programme!I831,Programme!J831)</f>
        <v>&lt;/cellule&gt;</v>
      </c>
    </row>
    <row r="831" spans="1:1" x14ac:dyDescent="0.2">
      <c r="A831" s="996" t="str">
        <f>CONCATENATE(Programme!D832,Programme!E832,Programme!F832,Programme!G832,Programme!H832,Programme!I832,Programme!J832)</f>
        <v>&lt;valeur&gt;0&lt;/valeur&gt;</v>
      </c>
    </row>
    <row r="832" spans="1:1" x14ac:dyDescent="0.2">
      <c r="A832" s="996" t="str">
        <f>CONCATENATE(Programme!D833,Programme!E833,Programme!F833,Programme!G833,Programme!H833,Programme!I833,Programme!J833)</f>
        <v>&lt;/ValeurCellule&gt;</v>
      </c>
    </row>
    <row r="833" spans="1:1" x14ac:dyDescent="0.2">
      <c r="A833" s="996" t="str">
        <f>CONCATENATE(Programme!D834,Programme!E834,Programme!F834,Programme!G834,Programme!H834,Programme!I834,Programme!J834)</f>
        <v>&lt;ValeurCellule&gt;</v>
      </c>
    </row>
    <row r="834" spans="1:1" x14ac:dyDescent="0.2">
      <c r="A834" s="996" t="str">
        <f>CONCATENATE(Programme!D835,Programme!E835,Programme!F835,Programme!G835,Programme!H835,Programme!I835,Programme!J835)</f>
        <v>&lt;cellule&gt;</v>
      </c>
    </row>
    <row r="835" spans="1:1" x14ac:dyDescent="0.2">
      <c r="A835" s="996" t="str">
        <f>CONCATENATE(Programme!D836,Programme!E836,Programme!F836,Programme!G836,Programme!H836,Programme!I836,Programme!J836)</f>
        <v>&lt;codeEdi&gt;129&lt;/codeEdi&gt;</v>
      </c>
    </row>
    <row r="836" spans="1:1" x14ac:dyDescent="0.2">
      <c r="A836" s="996" t="str">
        <f>CONCATENATE(Programme!D837,Programme!E837,Programme!F837,Programme!G837,Programme!H837,Programme!I837,Programme!J837)</f>
        <v>&lt;/cellule&gt;</v>
      </c>
    </row>
    <row r="837" spans="1:1" x14ac:dyDescent="0.2">
      <c r="A837" s="996" t="str">
        <f>CONCATENATE(Programme!D838,Programme!E838,Programme!F838,Programme!G838,Programme!H838,Programme!I838,Programme!J838)</f>
        <v>&lt;valeur&gt;0&lt;/valeur&gt;</v>
      </c>
    </row>
    <row r="838" spans="1:1" x14ac:dyDescent="0.2">
      <c r="A838" s="996" t="str">
        <f>CONCATENATE(Programme!D839,Programme!E839,Programme!F839,Programme!G839,Programme!H839,Programme!I839,Programme!J839)</f>
        <v>&lt;/ValeurCellule&gt;</v>
      </c>
    </row>
    <row r="839" spans="1:1" x14ac:dyDescent="0.2">
      <c r="A839" s="996" t="str">
        <f>CONCATENATE(Programme!D840,Programme!E840,Programme!F840,Programme!G840,Programme!H840,Programme!I840,Programme!J840)</f>
        <v>&lt;ValeurCellule&gt;</v>
      </c>
    </row>
    <row r="840" spans="1:1" x14ac:dyDescent="0.2">
      <c r="A840" s="996" t="str">
        <f>CONCATENATE(Programme!D841,Programme!E841,Programme!F841,Programme!G841,Programme!H841,Programme!I841,Programme!J841)</f>
        <v>&lt;cellule&gt;</v>
      </c>
    </row>
    <row r="841" spans="1:1" x14ac:dyDescent="0.2">
      <c r="A841" s="996" t="str">
        <f>CONCATENATE(Programme!D842,Programme!E842,Programme!F842,Programme!G842,Programme!H842,Programme!I842,Programme!J842)</f>
        <v>&lt;codeEdi&gt;130&lt;/codeEdi&gt;</v>
      </c>
    </row>
    <row r="842" spans="1:1" x14ac:dyDescent="0.2">
      <c r="A842" s="996" t="str">
        <f>CONCATENATE(Programme!D843,Programme!E843,Programme!F843,Programme!G843,Programme!H843,Programme!I843,Programme!J843)</f>
        <v>&lt;/cellule&gt;</v>
      </c>
    </row>
    <row r="843" spans="1:1" x14ac:dyDescent="0.2">
      <c r="A843" s="996" t="str">
        <f>CONCATENATE(Programme!D844,Programme!E844,Programme!F844,Programme!G844,Programme!H844,Programme!I844,Programme!J844)</f>
        <v>&lt;valeur&gt;0&lt;/valeur&gt;</v>
      </c>
    </row>
    <row r="844" spans="1:1" x14ac:dyDescent="0.2">
      <c r="A844" s="996" t="str">
        <f>CONCATENATE(Programme!D845,Programme!E845,Programme!F845,Programme!G845,Programme!H845,Programme!I845,Programme!J845)</f>
        <v>&lt;/ValeurCellule&gt;</v>
      </c>
    </row>
    <row r="845" spans="1:1" x14ac:dyDescent="0.2">
      <c r="A845" s="996" t="str">
        <f>CONCATENATE(Programme!D846,Programme!E846,Programme!F846,Programme!G846,Programme!H846,Programme!I846,Programme!J846)</f>
        <v>&lt;ValeurCellule&gt;</v>
      </c>
    </row>
    <row r="846" spans="1:1" x14ac:dyDescent="0.2">
      <c r="A846" s="996" t="str">
        <f>CONCATENATE(Programme!D847,Programme!E847,Programme!F847,Programme!G847,Programme!H847,Programme!I847,Programme!J847)</f>
        <v>&lt;cellule&gt;</v>
      </c>
    </row>
    <row r="847" spans="1:1" x14ac:dyDescent="0.2">
      <c r="A847" s="996" t="str">
        <f>CONCATENATE(Programme!D848,Programme!E848,Programme!F848,Programme!G848,Programme!H848,Programme!I848,Programme!J848)</f>
        <v>&lt;codeEdi&gt;131&lt;/codeEdi&gt;</v>
      </c>
    </row>
    <row r="848" spans="1:1" x14ac:dyDescent="0.2">
      <c r="A848" s="996" t="str">
        <f>CONCATENATE(Programme!D849,Programme!E849,Programme!F849,Programme!G849,Programme!H849,Programme!I849,Programme!J849)</f>
        <v>&lt;/cellule&gt;</v>
      </c>
    </row>
    <row r="849" spans="1:1" x14ac:dyDescent="0.2">
      <c r="A849" s="996" t="str">
        <f>CONCATENATE(Programme!D850,Programme!E850,Programme!F850,Programme!G850,Programme!H850,Programme!I850,Programme!J850)</f>
        <v>&lt;valeur&gt;0&lt;/valeur&gt;</v>
      </c>
    </row>
    <row r="850" spans="1:1" x14ac:dyDescent="0.2">
      <c r="A850" s="996" t="str">
        <f>CONCATENATE(Programme!D851,Programme!E851,Programme!F851,Programme!G851,Programme!H851,Programme!I851,Programme!J851)</f>
        <v>&lt;/ValeurCellule&gt;</v>
      </c>
    </row>
    <row r="851" spans="1:1" x14ac:dyDescent="0.2">
      <c r="A851" s="996" t="str">
        <f>CONCATENATE(Programme!D852,Programme!E852,Programme!F852,Programme!G852,Programme!H852,Programme!I852,Programme!J852)</f>
        <v>&lt;ValeurCellule&gt;</v>
      </c>
    </row>
    <row r="852" spans="1:1" x14ac:dyDescent="0.2">
      <c r="A852" s="996" t="str">
        <f>CONCATENATE(Programme!D853,Programme!E853,Programme!F853,Programme!G853,Programme!H853,Programme!I853,Programme!J853)</f>
        <v>&lt;cellule&gt;</v>
      </c>
    </row>
    <row r="853" spans="1:1" x14ac:dyDescent="0.2">
      <c r="A853" s="996" t="str">
        <f>CONCATENATE(Programme!D854,Programme!E854,Programme!F854,Programme!G854,Programme!H854,Programme!I854,Programme!J854)</f>
        <v>&lt;codeEdi&gt;132&lt;/codeEdi&gt;</v>
      </c>
    </row>
    <row r="854" spans="1:1" x14ac:dyDescent="0.2">
      <c r="A854" s="996" t="str">
        <f>CONCATENATE(Programme!D855,Programme!E855,Programme!F855,Programme!G855,Programme!H855,Programme!I855,Programme!J855)</f>
        <v>&lt;/cellule&gt;</v>
      </c>
    </row>
    <row r="855" spans="1:1" x14ac:dyDescent="0.2">
      <c r="A855" s="996" t="str">
        <f>CONCATENATE(Programme!D856,Programme!E856,Programme!F856,Programme!G856,Programme!H856,Programme!I856,Programme!J856)</f>
        <v>&lt;valeur&gt;0&lt;/valeur&gt;</v>
      </c>
    </row>
    <row r="856" spans="1:1" x14ac:dyDescent="0.2">
      <c r="A856" s="996" t="str">
        <f>CONCATENATE(Programme!D857,Programme!E857,Programme!F857,Programme!G857,Programme!H857,Programme!I857,Programme!J857)</f>
        <v>&lt;/ValeurCellule&gt;</v>
      </c>
    </row>
    <row r="857" spans="1:1" x14ac:dyDescent="0.2">
      <c r="A857" s="996" t="str">
        <f>CONCATENATE(Programme!D858,Programme!E858,Programme!F858,Programme!G858,Programme!H858,Programme!I858,Programme!J858)</f>
        <v>&lt;ValeurCellule&gt;</v>
      </c>
    </row>
    <row r="858" spans="1:1" x14ac:dyDescent="0.2">
      <c r="A858" s="996" t="str">
        <f>CONCATENATE(Programme!D859,Programme!E859,Programme!F859,Programme!G859,Programme!H859,Programme!I859,Programme!J859)</f>
        <v>&lt;cellule&gt;</v>
      </c>
    </row>
    <row r="859" spans="1:1" x14ac:dyDescent="0.2">
      <c r="A859" s="996" t="str">
        <f>CONCATENATE(Programme!D860,Programme!E860,Programme!F860,Programme!G860,Programme!H860,Programme!I860,Programme!J860)</f>
        <v>&lt;codeEdi&gt;133&lt;/codeEdi&gt;</v>
      </c>
    </row>
    <row r="860" spans="1:1" x14ac:dyDescent="0.2">
      <c r="A860" s="996" t="str">
        <f>CONCATENATE(Programme!D861,Programme!E861,Programme!F861,Programme!G861,Programme!H861,Programme!I861,Programme!J861)</f>
        <v>&lt;/cellule&gt;</v>
      </c>
    </row>
    <row r="861" spans="1:1" x14ac:dyDescent="0.2">
      <c r="A861" s="996" t="str">
        <f>CONCATENATE(Programme!D862,Programme!E862,Programme!F862,Programme!G862,Programme!H862,Programme!I862,Programme!J862)</f>
        <v>&lt;valeur&gt;0&lt;/valeur&gt;</v>
      </c>
    </row>
    <row r="862" spans="1:1" x14ac:dyDescent="0.2">
      <c r="A862" s="996" t="str">
        <f>CONCATENATE(Programme!D863,Programme!E863,Programme!F863,Programme!G863,Programme!H863,Programme!I863,Programme!J863)</f>
        <v>&lt;/ValeurCellule&gt;</v>
      </c>
    </row>
    <row r="863" spans="1:1" x14ac:dyDescent="0.2">
      <c r="A863" s="996" t="str">
        <f>CONCATENATE(Programme!D864,Programme!E864,Programme!F864,Programme!G864,Programme!H864,Programme!I864,Programme!J864)</f>
        <v>&lt;ValeurCellule&gt;</v>
      </c>
    </row>
    <row r="864" spans="1:1" x14ac:dyDescent="0.2">
      <c r="A864" s="996" t="str">
        <f>CONCATENATE(Programme!D865,Programme!E865,Programme!F865,Programme!G865,Programme!H865,Programme!I865,Programme!J865)</f>
        <v>&lt;cellule&gt;</v>
      </c>
    </row>
    <row r="865" spans="1:1" x14ac:dyDescent="0.2">
      <c r="A865" s="996" t="str">
        <f>CONCATENATE(Programme!D866,Programme!E866,Programme!F866,Programme!G866,Programme!H866,Programme!I866,Programme!J866)</f>
        <v>&lt;codeEdi&gt;134&lt;/codeEdi&gt;</v>
      </c>
    </row>
    <row r="866" spans="1:1" x14ac:dyDescent="0.2">
      <c r="A866" s="996" t="str">
        <f>CONCATENATE(Programme!D867,Programme!E867,Programme!F867,Programme!G867,Programme!H867,Programme!I867,Programme!J867)</f>
        <v>&lt;/cellule&gt;</v>
      </c>
    </row>
    <row r="867" spans="1:1" x14ac:dyDescent="0.2">
      <c r="A867" s="996" t="str">
        <f>CONCATENATE(Programme!D868,Programme!E868,Programme!F868,Programme!G868,Programme!H868,Programme!I868,Programme!J868)</f>
        <v>&lt;valeur&gt;0&lt;/valeur&gt;</v>
      </c>
    </row>
    <row r="868" spans="1:1" x14ac:dyDescent="0.2">
      <c r="A868" s="996" t="str">
        <f>CONCATENATE(Programme!D869,Programme!E869,Programme!F869,Programme!G869,Programme!H869,Programme!I869,Programme!J869)</f>
        <v>&lt;/ValeurCellule&gt;</v>
      </c>
    </row>
    <row r="869" spans="1:1" x14ac:dyDescent="0.2">
      <c r="A869" s="996" t="str">
        <f>CONCATENATE(Programme!D870,Programme!E870,Programme!F870,Programme!G870,Programme!H870,Programme!I870,Programme!J870)</f>
        <v>&lt;ValeurCellule&gt;</v>
      </c>
    </row>
    <row r="870" spans="1:1" x14ac:dyDescent="0.2">
      <c r="A870" s="996" t="str">
        <f>CONCATENATE(Programme!D871,Programme!E871,Programme!F871,Programme!G871,Programme!H871,Programme!I871,Programme!J871)</f>
        <v>&lt;cellule&gt;</v>
      </c>
    </row>
    <row r="871" spans="1:1" x14ac:dyDescent="0.2">
      <c r="A871" s="996" t="str">
        <f>CONCATENATE(Programme!D872,Programme!E872,Programme!F872,Programme!G872,Programme!H872,Programme!I872,Programme!J872)</f>
        <v>&lt;codeEdi&gt;135&lt;/codeEdi&gt;</v>
      </c>
    </row>
    <row r="872" spans="1:1" x14ac:dyDescent="0.2">
      <c r="A872" s="996" t="str">
        <f>CONCATENATE(Programme!D873,Programme!E873,Programme!F873,Programme!G873,Programme!H873,Programme!I873,Programme!J873)</f>
        <v>&lt;/cellule&gt;</v>
      </c>
    </row>
    <row r="873" spans="1:1" x14ac:dyDescent="0.2">
      <c r="A873" s="996" t="str">
        <f>CONCATENATE(Programme!D874,Programme!E874,Programme!F874,Programme!G874,Programme!H874,Programme!I874,Programme!J874)</f>
        <v>&lt;valeur&gt;0&lt;/valeur&gt;</v>
      </c>
    </row>
    <row r="874" spans="1:1" x14ac:dyDescent="0.2">
      <c r="A874" s="996" t="str">
        <f>CONCATENATE(Programme!D875,Programme!E875,Programme!F875,Programme!G875,Programme!H875,Programme!I875,Programme!J875)</f>
        <v>&lt;/ValeurCellule&gt;</v>
      </c>
    </row>
    <row r="875" spans="1:1" x14ac:dyDescent="0.2">
      <c r="A875" s="996" t="str">
        <f>CONCATENATE(Programme!D876,Programme!E876,Programme!F876,Programme!G876,Programme!H876,Programme!I876,Programme!J876)</f>
        <v>&lt;ValeurCellule&gt;</v>
      </c>
    </row>
    <row r="876" spans="1:1" x14ac:dyDescent="0.2">
      <c r="A876" s="996" t="str">
        <f>CONCATENATE(Programme!D877,Programme!E877,Programme!F877,Programme!G877,Programme!H877,Programme!I877,Programme!J877)</f>
        <v>&lt;cellule&gt;</v>
      </c>
    </row>
    <row r="877" spans="1:1" x14ac:dyDescent="0.2">
      <c r="A877" s="996" t="str">
        <f>CONCATENATE(Programme!D878,Programme!E878,Programme!F878,Programme!G878,Programme!H878,Programme!I878,Programme!J878)</f>
        <v>&lt;codeEdi&gt;528&lt;/codeEdi&gt;</v>
      </c>
    </row>
    <row r="878" spans="1:1" x14ac:dyDescent="0.2">
      <c r="A878" s="996" t="str">
        <f>CONCATENATE(Programme!D879,Programme!E879,Programme!F879,Programme!G879,Programme!H879,Programme!I879,Programme!J879)</f>
        <v>&lt;/cellule&gt;</v>
      </c>
    </row>
    <row r="879" spans="1:1" x14ac:dyDescent="0.2">
      <c r="A879" s="996" t="str">
        <f>CONCATENATE(Programme!D880,Programme!E880,Programme!F880,Programme!G880,Programme!H880,Programme!I880,Programme!J880)</f>
        <v>&lt;valeur&gt;0&lt;/valeur&gt;</v>
      </c>
    </row>
    <row r="880" spans="1:1" x14ac:dyDescent="0.2">
      <c r="A880" s="996" t="str">
        <f>CONCATENATE(Programme!D881,Programme!E881,Programme!F881,Programme!G881,Programme!H881,Programme!I881,Programme!J881)</f>
        <v>&lt;/ValeurCellule&gt;</v>
      </c>
    </row>
    <row r="881" spans="1:1" x14ac:dyDescent="0.2">
      <c r="A881" s="996" t="str">
        <f>CONCATENATE(Programme!D882,Programme!E882,Programme!F882,Programme!G882,Programme!H882,Programme!I882,Programme!J882)</f>
        <v>&lt;ValeurCellule&gt;</v>
      </c>
    </row>
    <row r="882" spans="1:1" x14ac:dyDescent="0.2">
      <c r="A882" s="996" t="str">
        <f>CONCATENATE(Programme!D883,Programme!E883,Programme!F883,Programme!G883,Programme!H883,Programme!I883,Programme!J883)</f>
        <v>&lt;cellule&gt;</v>
      </c>
    </row>
    <row r="883" spans="1:1" x14ac:dyDescent="0.2">
      <c r="A883" s="996" t="str">
        <f>CONCATENATE(Programme!D884,Programme!E884,Programme!F884,Programme!G884,Programme!H884,Programme!I884,Programme!J884)</f>
        <v>&lt;codeEdi&gt;141&lt;/codeEdi&gt;</v>
      </c>
    </row>
    <row r="884" spans="1:1" x14ac:dyDescent="0.2">
      <c r="A884" s="996" t="str">
        <f>CONCATENATE(Programme!D885,Programme!E885,Programme!F885,Programme!G885,Programme!H885,Programme!I885,Programme!J885)</f>
        <v>&lt;/cellule&gt;</v>
      </c>
    </row>
    <row r="885" spans="1:1" x14ac:dyDescent="0.2">
      <c r="A885" s="996" t="str">
        <f>CONCATENATE(Programme!D886,Programme!E886,Programme!F886,Programme!G886,Programme!H886,Programme!I886,Programme!J886)</f>
        <v>&lt;valeur&gt;0&lt;/valeur&gt;</v>
      </c>
    </row>
    <row r="886" spans="1:1" x14ac:dyDescent="0.2">
      <c r="A886" s="996" t="str">
        <f>CONCATENATE(Programme!D887,Programme!E887,Programme!F887,Programme!G887,Programme!H887,Programme!I887,Programme!J887)</f>
        <v>&lt;/ValeurCellule&gt;</v>
      </c>
    </row>
    <row r="887" spans="1:1" x14ac:dyDescent="0.2">
      <c r="A887" s="996" t="str">
        <f>CONCATENATE(Programme!D888,Programme!E888,Programme!F888,Programme!G888,Programme!H888,Programme!I888,Programme!J888)</f>
        <v>&lt;ValeurCellule&gt;</v>
      </c>
    </row>
    <row r="888" spans="1:1" x14ac:dyDescent="0.2">
      <c r="A888" s="996" t="str">
        <f>CONCATENATE(Programme!D889,Programme!E889,Programme!F889,Programme!G889,Programme!H889,Programme!I889,Programme!J889)</f>
        <v>&lt;cellule&gt;</v>
      </c>
    </row>
    <row r="889" spans="1:1" x14ac:dyDescent="0.2">
      <c r="A889" s="996" t="str">
        <f>CONCATENATE(Programme!D890,Programme!E890,Programme!F890,Programme!G890,Programme!H890,Programme!I890,Programme!J890)</f>
        <v>&lt;codeEdi&gt;142&lt;/codeEdi&gt;</v>
      </c>
    </row>
    <row r="890" spans="1:1" x14ac:dyDescent="0.2">
      <c r="A890" s="996" t="str">
        <f>CONCATENATE(Programme!D891,Programme!E891,Programme!F891,Programme!G891,Programme!H891,Programme!I891,Programme!J891)</f>
        <v>&lt;/cellule&gt;</v>
      </c>
    </row>
    <row r="891" spans="1:1" x14ac:dyDescent="0.2">
      <c r="A891" s="996" t="str">
        <f>CONCATENATE(Programme!D892,Programme!E892,Programme!F892,Programme!G892,Programme!H892,Programme!I892,Programme!J892)</f>
        <v>&lt;valeur&gt;0&lt;/valeur&gt;</v>
      </c>
    </row>
    <row r="892" spans="1:1" x14ac:dyDescent="0.2">
      <c r="A892" s="996" t="str">
        <f>CONCATENATE(Programme!D893,Programme!E893,Programme!F893,Programme!G893,Programme!H893,Programme!I893,Programme!J893)</f>
        <v>&lt;/ValeurCellule&gt;</v>
      </c>
    </row>
    <row r="893" spans="1:1" x14ac:dyDescent="0.2">
      <c r="A893" s="996" t="str">
        <f>CONCATENATE(Programme!D894,Programme!E894,Programme!F894,Programme!G894,Programme!H894,Programme!I894,Programme!J894)</f>
        <v>&lt;ValeurCellule&gt;</v>
      </c>
    </row>
    <row r="894" spans="1:1" x14ac:dyDescent="0.2">
      <c r="A894" s="996" t="str">
        <f>CONCATENATE(Programme!D895,Programme!E895,Programme!F895,Programme!G895,Programme!H895,Programme!I895,Programme!J895)</f>
        <v>&lt;cellule&gt;</v>
      </c>
    </row>
    <row r="895" spans="1:1" x14ac:dyDescent="0.2">
      <c r="A895" s="996" t="str">
        <f>CONCATENATE(Programme!D896,Programme!E896,Programme!F896,Programme!G896,Programme!H896,Programme!I896,Programme!J896)</f>
        <v>&lt;codeEdi&gt;136&lt;/codeEdi&gt;</v>
      </c>
    </row>
    <row r="896" spans="1:1" x14ac:dyDescent="0.2">
      <c r="A896" s="996" t="str">
        <f>CONCATENATE(Programme!D897,Programme!E897,Programme!F897,Programme!G897,Programme!H897,Programme!I897,Programme!J897)</f>
        <v>&lt;/cellule&gt;</v>
      </c>
    </row>
    <row r="897" spans="1:1" x14ac:dyDescent="0.2">
      <c r="A897" s="996" t="str">
        <f>CONCATENATE(Programme!D898,Programme!E898,Programme!F898,Programme!G898,Programme!H898,Programme!I898,Programme!J898)</f>
        <v>&lt;valeur&gt;0&lt;/valeur&gt;</v>
      </c>
    </row>
    <row r="898" spans="1:1" x14ac:dyDescent="0.2">
      <c r="A898" s="996" t="str">
        <f>CONCATENATE(Programme!D899,Programme!E899,Programme!F899,Programme!G899,Programme!H899,Programme!I899,Programme!J899)</f>
        <v>&lt;/ValeurCellule&gt;</v>
      </c>
    </row>
    <row r="899" spans="1:1" x14ac:dyDescent="0.2">
      <c r="A899" s="996" t="str">
        <f>CONCATENATE(Programme!D900,Programme!E900,Programme!F900,Programme!G900,Programme!H900,Programme!I900,Programme!J900)</f>
        <v>&lt;ValeurCellule&gt;</v>
      </c>
    </row>
    <row r="900" spans="1:1" x14ac:dyDescent="0.2">
      <c r="A900" s="996" t="str">
        <f>CONCATENATE(Programme!D901,Programme!E901,Programme!F901,Programme!G901,Programme!H901,Programme!I901,Programme!J901)</f>
        <v>&lt;cellule&gt;</v>
      </c>
    </row>
    <row r="901" spans="1:1" x14ac:dyDescent="0.2">
      <c r="A901" s="996" t="str">
        <f>CONCATENATE(Programme!D902,Programme!E902,Programme!F902,Programme!G902,Programme!H902,Programme!I902,Programme!J902)</f>
        <v>&lt;codeEdi&gt;137&lt;/codeEdi&gt;</v>
      </c>
    </row>
    <row r="902" spans="1:1" x14ac:dyDescent="0.2">
      <c r="A902" s="996" t="str">
        <f>CONCATENATE(Programme!D903,Programme!E903,Programme!F903,Programme!G903,Programme!H903,Programme!I903,Programme!J903)</f>
        <v>&lt;/cellule&gt;</v>
      </c>
    </row>
    <row r="903" spans="1:1" x14ac:dyDescent="0.2">
      <c r="A903" s="996" t="str">
        <f>CONCATENATE(Programme!D904,Programme!E904,Programme!F904,Programme!G904,Programme!H904,Programme!I904,Programme!J904)</f>
        <v>&lt;valeur&gt;0&lt;/valeur&gt;</v>
      </c>
    </row>
    <row r="904" spans="1:1" x14ac:dyDescent="0.2">
      <c r="A904" s="996" t="str">
        <f>CONCATENATE(Programme!D905,Programme!E905,Programme!F905,Programme!G905,Programme!H905,Programme!I905,Programme!J905)</f>
        <v>&lt;/ValeurCellule&gt;</v>
      </c>
    </row>
    <row r="905" spans="1:1" x14ac:dyDescent="0.2">
      <c r="A905" s="996" t="str">
        <f>CONCATENATE(Programme!D906,Programme!E906,Programme!F906,Programme!G906,Programme!H906,Programme!I906,Programme!J906)</f>
        <v>&lt;ValeurCellule&gt;</v>
      </c>
    </row>
    <row r="906" spans="1:1" x14ac:dyDescent="0.2">
      <c r="A906" s="996" t="str">
        <f>CONCATENATE(Programme!D907,Programme!E907,Programme!F907,Programme!G907,Programme!H907,Programme!I907,Programme!J907)</f>
        <v>&lt;cellule&gt;</v>
      </c>
    </row>
    <row r="907" spans="1:1" x14ac:dyDescent="0.2">
      <c r="A907" s="996" t="str">
        <f>CONCATENATE(Programme!D908,Programme!E908,Programme!F908,Programme!G908,Programme!H908,Programme!I908,Programme!J908)</f>
        <v>&lt;codeEdi&gt;138&lt;/codeEdi&gt;</v>
      </c>
    </row>
    <row r="908" spans="1:1" x14ac:dyDescent="0.2">
      <c r="A908" s="996" t="str">
        <f>CONCATENATE(Programme!D909,Programme!E909,Programme!F909,Programme!G909,Programme!H909,Programme!I909,Programme!J909)</f>
        <v>&lt;/cellule&gt;</v>
      </c>
    </row>
    <row r="909" spans="1:1" x14ac:dyDescent="0.2">
      <c r="A909" s="996" t="str">
        <f>CONCATENATE(Programme!D910,Programme!E910,Programme!F910,Programme!G910,Programme!H910,Programme!I910,Programme!J910)</f>
        <v>&lt;valeur&gt;0&lt;/valeur&gt;</v>
      </c>
    </row>
    <row r="910" spans="1:1" x14ac:dyDescent="0.2">
      <c r="A910" s="996" t="str">
        <f>CONCATENATE(Programme!D911,Programme!E911,Programme!F911,Programme!G911,Programme!H911,Programme!I911,Programme!J911)</f>
        <v>&lt;/ValeurCellule&gt;</v>
      </c>
    </row>
    <row r="911" spans="1:1" x14ac:dyDescent="0.2">
      <c r="A911" s="996" t="str">
        <f>CONCATENATE(Programme!D912,Programme!E912,Programme!F912,Programme!G912,Programme!H912,Programme!I912,Programme!J912)</f>
        <v>&lt;ValeurCellule&gt;</v>
      </c>
    </row>
    <row r="912" spans="1:1" x14ac:dyDescent="0.2">
      <c r="A912" s="996" t="str">
        <f>CONCATENATE(Programme!D913,Programme!E913,Programme!F913,Programme!G913,Programme!H913,Programme!I913,Programme!J913)</f>
        <v>&lt;cellule&gt;</v>
      </c>
    </row>
    <row r="913" spans="1:1" x14ac:dyDescent="0.2">
      <c r="A913" s="996" t="str">
        <f>CONCATENATE(Programme!D914,Programme!E914,Programme!F914,Programme!G914,Programme!H914,Programme!I914,Programme!J914)</f>
        <v>&lt;codeEdi&gt;139&lt;/codeEdi&gt;</v>
      </c>
    </row>
    <row r="914" spans="1:1" x14ac:dyDescent="0.2">
      <c r="A914" s="996" t="str">
        <f>CONCATENATE(Programme!D915,Programme!E915,Programme!F915,Programme!G915,Programme!H915,Programme!I915,Programme!J915)</f>
        <v>&lt;/cellule&gt;</v>
      </c>
    </row>
    <row r="915" spans="1:1" x14ac:dyDescent="0.2">
      <c r="A915" s="996" t="str">
        <f>CONCATENATE(Programme!D916,Programme!E916,Programme!F916,Programme!G916,Programme!H916,Programme!I916,Programme!J916)</f>
        <v>&lt;valeur&gt;0&lt;/valeur&gt;</v>
      </c>
    </row>
    <row r="916" spans="1:1" x14ac:dyDescent="0.2">
      <c r="A916" s="996" t="str">
        <f>CONCATENATE(Programme!D917,Programme!E917,Programme!F917,Programme!G917,Programme!H917,Programme!I917,Programme!J917)</f>
        <v>&lt;/ValeurCellule&gt;</v>
      </c>
    </row>
    <row r="917" spans="1:1" x14ac:dyDescent="0.2">
      <c r="A917" s="996" t="str">
        <f>CONCATENATE(Programme!D918,Programme!E918,Programme!F918,Programme!G918,Programme!H918,Programme!I918,Programme!J918)</f>
        <v>&lt;ValeurCellule&gt;</v>
      </c>
    </row>
    <row r="918" spans="1:1" x14ac:dyDescent="0.2">
      <c r="A918" s="996" t="str">
        <f>CONCATENATE(Programme!D919,Programme!E919,Programme!F919,Programme!G919,Programme!H919,Programme!I919,Programme!J919)</f>
        <v>&lt;cellule&gt;</v>
      </c>
    </row>
    <row r="919" spans="1:1" x14ac:dyDescent="0.2">
      <c r="A919" s="996" t="str">
        <f>CONCATENATE(Programme!D920,Programme!E920,Programme!F920,Programme!G920,Programme!H920,Programme!I920,Programme!J920)</f>
        <v>&lt;codeEdi&gt;140&lt;/codeEdi&gt;</v>
      </c>
    </row>
    <row r="920" spans="1:1" x14ac:dyDescent="0.2">
      <c r="A920" s="996" t="str">
        <f>CONCATENATE(Programme!D921,Programme!E921,Programme!F921,Programme!G921,Programme!H921,Programme!I921,Programme!J921)</f>
        <v>&lt;/cellule&gt;</v>
      </c>
    </row>
    <row r="921" spans="1:1" x14ac:dyDescent="0.2">
      <c r="A921" s="996" t="str">
        <f>CONCATENATE(Programme!D922,Programme!E922,Programme!F922,Programme!G922,Programme!H922,Programme!I922,Programme!J922)</f>
        <v>&lt;valeur&gt;0&lt;/valeur&gt;</v>
      </c>
    </row>
    <row r="922" spans="1:1" x14ac:dyDescent="0.2">
      <c r="A922" s="996" t="str">
        <f>CONCATENATE(Programme!D923,Programme!E923,Programme!F923,Programme!G923,Programme!H923,Programme!I923,Programme!J923)</f>
        <v>&lt;/ValeurCellule&gt;</v>
      </c>
    </row>
    <row r="923" spans="1:1" x14ac:dyDescent="0.2">
      <c r="A923" s="996" t="str">
        <f>CONCATENATE(Programme!D924,Programme!E924,Programme!F924,Programme!G924,Programme!H924,Programme!I924,Programme!J924)</f>
        <v>&lt;ValeurCellule&gt;</v>
      </c>
    </row>
    <row r="924" spans="1:1" x14ac:dyDescent="0.2">
      <c r="A924" s="996" t="str">
        <f>CONCATENATE(Programme!D925,Programme!E925,Programme!F925,Programme!G925,Programme!H925,Programme!I925,Programme!J925)</f>
        <v>&lt;cellule&gt;</v>
      </c>
    </row>
    <row r="925" spans="1:1" x14ac:dyDescent="0.2">
      <c r="A925" s="996" t="str">
        <f>CONCATENATE(Programme!D926,Programme!E926,Programme!F926,Programme!G926,Programme!H926,Programme!I926,Programme!J926)</f>
        <v>&lt;codeEdi&gt;529&lt;/codeEdi&gt;</v>
      </c>
    </row>
    <row r="926" spans="1:1" x14ac:dyDescent="0.2">
      <c r="A926" s="996" t="str">
        <f>CONCATENATE(Programme!D927,Programme!E927,Programme!F927,Programme!G927,Programme!H927,Programme!I927,Programme!J927)</f>
        <v>&lt;/cellule&gt;</v>
      </c>
    </row>
    <row r="927" spans="1:1" x14ac:dyDescent="0.2">
      <c r="A927" s="996" t="str">
        <f>CONCATENATE(Programme!D928,Programme!E928,Programme!F928,Programme!G928,Programme!H928,Programme!I928,Programme!J928)</f>
        <v>&lt;valeur&gt;0&lt;/valeur&gt;</v>
      </c>
    </row>
    <row r="928" spans="1:1" x14ac:dyDescent="0.2">
      <c r="A928" s="996" t="str">
        <f>CONCATENATE(Programme!D929,Programme!E929,Programme!F929,Programme!G929,Programme!H929,Programme!I929,Programme!J929)</f>
        <v>&lt;/ValeurCellule&gt;</v>
      </c>
    </row>
    <row r="929" spans="1:1" x14ac:dyDescent="0.2">
      <c r="A929" s="996" t="str">
        <f>CONCATENATE(Programme!D930,Programme!E930,Programme!F930,Programme!G930,Programme!H930,Programme!I930,Programme!J930)</f>
        <v>&lt;ValeurCellule&gt;</v>
      </c>
    </row>
    <row r="930" spans="1:1" x14ac:dyDescent="0.2">
      <c r="A930" s="996" t="str">
        <f>CONCATENATE(Programme!D931,Programme!E931,Programme!F931,Programme!G931,Programme!H931,Programme!I931,Programme!J931)</f>
        <v>&lt;cellule&gt;</v>
      </c>
    </row>
    <row r="931" spans="1:1" x14ac:dyDescent="0.2">
      <c r="A931" s="996" t="str">
        <f>CONCATENATE(Programme!D932,Programme!E932,Programme!F932,Programme!G932,Programme!H932,Programme!I932,Programme!J932)</f>
        <v>&lt;codeEdi&gt;143&lt;/codeEdi&gt;</v>
      </c>
    </row>
    <row r="932" spans="1:1" x14ac:dyDescent="0.2">
      <c r="A932" s="996" t="str">
        <f>CONCATENATE(Programme!D933,Programme!E933,Programme!F933,Programme!G933,Programme!H933,Programme!I933,Programme!J933)</f>
        <v>&lt;/cellule&gt;</v>
      </c>
    </row>
    <row r="933" spans="1:1" x14ac:dyDescent="0.2">
      <c r="A933" s="996" t="str">
        <f>CONCATENATE(Programme!D934,Programme!E934,Programme!F934,Programme!G934,Programme!H934,Programme!I934,Programme!J934)</f>
        <v>&lt;valeur&gt;0&lt;/valeur&gt;</v>
      </c>
    </row>
    <row r="934" spans="1:1" x14ac:dyDescent="0.2">
      <c r="A934" s="996" t="str">
        <f>CONCATENATE(Programme!D935,Programme!E935,Programme!F935,Programme!G935,Programme!H935,Programme!I935,Programme!J935)</f>
        <v>&lt;/ValeurCellule&gt;</v>
      </c>
    </row>
    <row r="935" spans="1:1" x14ac:dyDescent="0.2">
      <c r="A935" s="996" t="str">
        <f>CONCATENATE(Programme!D936,Programme!E936,Programme!F936,Programme!G936,Programme!H936,Programme!I936,Programme!J936)</f>
        <v>&lt;ValeurCellule&gt;</v>
      </c>
    </row>
    <row r="936" spans="1:1" x14ac:dyDescent="0.2">
      <c r="A936" s="996" t="str">
        <f>CONCATENATE(Programme!D937,Programme!E937,Programme!F937,Programme!G937,Programme!H937,Programme!I937,Programme!J937)</f>
        <v>&lt;cellule&gt;</v>
      </c>
    </row>
    <row r="937" spans="1:1" x14ac:dyDescent="0.2">
      <c r="A937" s="996" t="str">
        <f>CONCATENATE(Programme!D938,Programme!E938,Programme!F938,Programme!G938,Programme!H938,Programme!I938,Programme!J938)</f>
        <v>&lt;codeEdi&gt;144&lt;/codeEdi&gt;</v>
      </c>
    </row>
    <row r="938" spans="1:1" x14ac:dyDescent="0.2">
      <c r="A938" s="996" t="str">
        <f>CONCATENATE(Programme!D939,Programme!E939,Programme!F939,Programme!G939,Programme!H939,Programme!I939,Programme!J939)</f>
        <v>&lt;/cellule&gt;</v>
      </c>
    </row>
    <row r="939" spans="1:1" x14ac:dyDescent="0.2">
      <c r="A939" s="996" t="str">
        <f>CONCATENATE(Programme!D940,Programme!E940,Programme!F940,Programme!G940,Programme!H940,Programme!I940,Programme!J940)</f>
        <v>&lt;valeur&gt;0&lt;/valeur&gt;</v>
      </c>
    </row>
    <row r="940" spans="1:1" x14ac:dyDescent="0.2">
      <c r="A940" s="996" t="str">
        <f>CONCATENATE(Programme!D941,Programme!E941,Programme!F941,Programme!G941,Programme!H941,Programme!I941,Programme!J941)</f>
        <v>&lt;/ValeurCellule&gt;</v>
      </c>
    </row>
    <row r="941" spans="1:1" x14ac:dyDescent="0.2">
      <c r="A941" s="996" t="str">
        <f>CONCATENATE(Programme!D942,Programme!E942,Programme!F942,Programme!G942,Programme!H942,Programme!I942,Programme!J942)</f>
        <v>&lt;ValeurCellule&gt;</v>
      </c>
    </row>
    <row r="942" spans="1:1" x14ac:dyDescent="0.2">
      <c r="A942" s="996" t="str">
        <f>CONCATENATE(Programme!D943,Programme!E943,Programme!F943,Programme!G943,Programme!H943,Programme!I943,Programme!J943)</f>
        <v>&lt;cellule&gt;</v>
      </c>
    </row>
    <row r="943" spans="1:1" x14ac:dyDescent="0.2">
      <c r="A943" s="996" t="str">
        <f>CONCATENATE(Programme!D944,Programme!E944,Programme!F944,Programme!G944,Programme!H944,Programme!I944,Programme!J944)</f>
        <v>&lt;codeEdi&gt;145&lt;/codeEdi&gt;</v>
      </c>
    </row>
    <row r="944" spans="1:1" x14ac:dyDescent="0.2">
      <c r="A944" s="996" t="str">
        <f>CONCATENATE(Programme!D945,Programme!E945,Programme!F945,Programme!G945,Programme!H945,Programme!I945,Programme!J945)</f>
        <v>&lt;/cellule&gt;</v>
      </c>
    </row>
    <row r="945" spans="1:1" x14ac:dyDescent="0.2">
      <c r="A945" s="996" t="str">
        <f>CONCATENATE(Programme!D946,Programme!E946,Programme!F946,Programme!G946,Programme!H946,Programme!I946,Programme!J946)</f>
        <v>&lt;valeur&gt;0&lt;/valeur&gt;</v>
      </c>
    </row>
    <row r="946" spans="1:1" x14ac:dyDescent="0.2">
      <c r="A946" s="996" t="str">
        <f>CONCATENATE(Programme!D947,Programme!E947,Programme!F947,Programme!G947,Programme!H947,Programme!I947,Programme!J947)</f>
        <v>&lt;/ValeurCellule&gt;</v>
      </c>
    </row>
    <row r="947" spans="1:1" x14ac:dyDescent="0.2">
      <c r="A947" s="996" t="str">
        <f>CONCATENATE(Programme!D948,Programme!E948,Programme!F948,Programme!G948,Programme!H948,Programme!I948,Programme!J948)</f>
        <v>&lt;ValeurCellule&gt;</v>
      </c>
    </row>
    <row r="948" spans="1:1" x14ac:dyDescent="0.2">
      <c r="A948" s="996" t="str">
        <f>CONCATENATE(Programme!D949,Programme!E949,Programme!F949,Programme!G949,Programme!H949,Programme!I949,Programme!J949)</f>
        <v>&lt;cellule&gt;</v>
      </c>
    </row>
    <row r="949" spans="1:1" x14ac:dyDescent="0.2">
      <c r="A949" s="996" t="str">
        <f>CONCATENATE(Programme!D950,Programme!E950,Programme!F950,Programme!G950,Programme!H950,Programme!I950,Programme!J950)</f>
        <v>&lt;codeEdi&gt;146&lt;/codeEdi&gt;</v>
      </c>
    </row>
    <row r="950" spans="1:1" x14ac:dyDescent="0.2">
      <c r="A950" s="996" t="str">
        <f>CONCATENATE(Programme!D951,Programme!E951,Programme!F951,Programme!G951,Programme!H951,Programme!I951,Programme!J951)</f>
        <v>&lt;/cellule&gt;</v>
      </c>
    </row>
    <row r="951" spans="1:1" x14ac:dyDescent="0.2">
      <c r="A951" s="996" t="str">
        <f>CONCATENATE(Programme!D952,Programme!E952,Programme!F952,Programme!G952,Programme!H952,Programme!I952,Programme!J952)</f>
        <v>&lt;valeur&gt;0&lt;/valeur&gt;</v>
      </c>
    </row>
    <row r="952" spans="1:1" x14ac:dyDescent="0.2">
      <c r="A952" s="996" t="str">
        <f>CONCATENATE(Programme!D953,Programme!E953,Programme!F953,Programme!G953,Programme!H953,Programme!I953,Programme!J953)</f>
        <v>&lt;/ValeurCellule&gt;</v>
      </c>
    </row>
    <row r="953" spans="1:1" x14ac:dyDescent="0.2">
      <c r="A953" s="996" t="str">
        <f>CONCATENATE(Programme!D954,Programme!E954,Programme!F954,Programme!G954,Programme!H954,Programme!I954,Programme!J954)</f>
        <v>&lt;ValeurCellule&gt;</v>
      </c>
    </row>
    <row r="954" spans="1:1" x14ac:dyDescent="0.2">
      <c r="A954" s="996" t="str">
        <f>CONCATENATE(Programme!D955,Programme!E955,Programme!F955,Programme!G955,Programme!H955,Programme!I955,Programme!J955)</f>
        <v>&lt;cellule&gt;</v>
      </c>
    </row>
    <row r="955" spans="1:1" x14ac:dyDescent="0.2">
      <c r="A955" s="996" t="str">
        <f>CONCATENATE(Programme!D956,Programme!E956,Programme!F956,Programme!G956,Programme!H956,Programme!I956,Programme!J956)</f>
        <v>&lt;codeEdi&gt;147&lt;/codeEdi&gt;</v>
      </c>
    </row>
    <row r="956" spans="1:1" x14ac:dyDescent="0.2">
      <c r="A956" s="996" t="str">
        <f>CONCATENATE(Programme!D957,Programme!E957,Programme!F957,Programme!G957,Programme!H957,Programme!I957,Programme!J957)</f>
        <v>&lt;/cellule&gt;</v>
      </c>
    </row>
    <row r="957" spans="1:1" x14ac:dyDescent="0.2">
      <c r="A957" s="996" t="str">
        <f>CONCATENATE(Programme!D958,Programme!E958,Programme!F958,Programme!G958,Programme!H958,Programme!I958,Programme!J958)</f>
        <v>&lt;valeur&gt;0&lt;/valeur&gt;</v>
      </c>
    </row>
    <row r="958" spans="1:1" x14ac:dyDescent="0.2">
      <c r="A958" s="996" t="str">
        <f>CONCATENATE(Programme!D959,Programme!E959,Programme!F959,Programme!G959,Programme!H959,Programme!I959,Programme!J959)</f>
        <v>&lt;/ValeurCellule&gt;</v>
      </c>
    </row>
    <row r="959" spans="1:1" x14ac:dyDescent="0.2">
      <c r="A959" s="996" t="str">
        <f>CONCATENATE(Programme!D960,Programme!E960,Programme!F960,Programme!G960,Programme!H960,Programme!I960,Programme!J960)</f>
        <v>&lt;ValeurCellule&gt;</v>
      </c>
    </row>
    <row r="960" spans="1:1" x14ac:dyDescent="0.2">
      <c r="A960" s="996" t="str">
        <f>CONCATENATE(Programme!D961,Programme!E961,Programme!F961,Programme!G961,Programme!H961,Programme!I961,Programme!J961)</f>
        <v>&lt;cellule&gt;</v>
      </c>
    </row>
    <row r="961" spans="1:1" x14ac:dyDescent="0.2">
      <c r="A961" s="996" t="str">
        <f>CONCATENATE(Programme!D962,Programme!E962,Programme!F962,Programme!G962,Programme!H962,Programme!I962,Programme!J962)</f>
        <v>&lt;codeEdi&gt;148&lt;/codeEdi&gt;</v>
      </c>
    </row>
    <row r="962" spans="1:1" x14ac:dyDescent="0.2">
      <c r="A962" s="996" t="str">
        <f>CONCATENATE(Programme!D963,Programme!E963,Programme!F963,Programme!G963,Programme!H963,Programme!I963,Programme!J963)</f>
        <v>&lt;/cellule&gt;</v>
      </c>
    </row>
    <row r="963" spans="1:1" x14ac:dyDescent="0.2">
      <c r="A963" s="996" t="str">
        <f>CONCATENATE(Programme!D964,Programme!E964,Programme!F964,Programme!G964,Programme!H964,Programme!I964,Programme!J964)</f>
        <v>&lt;valeur&gt;0&lt;/valeur&gt;</v>
      </c>
    </row>
    <row r="964" spans="1:1" x14ac:dyDescent="0.2">
      <c r="A964" s="996" t="str">
        <f>CONCATENATE(Programme!D965,Programme!E965,Programme!F965,Programme!G965,Programme!H965,Programme!I965,Programme!J965)</f>
        <v>&lt;/ValeurCellule&gt;</v>
      </c>
    </row>
    <row r="965" spans="1:1" x14ac:dyDescent="0.2">
      <c r="A965" s="996" t="str">
        <f>CONCATENATE(Programme!D966,Programme!E966,Programme!F966,Programme!G966,Programme!H966,Programme!I966,Programme!J966)</f>
        <v>&lt;ValeurCellule&gt;</v>
      </c>
    </row>
    <row r="966" spans="1:1" x14ac:dyDescent="0.2">
      <c r="A966" s="996" t="str">
        <f>CONCATENATE(Programme!D967,Programme!E967,Programme!F967,Programme!G967,Programme!H967,Programme!I967,Programme!J967)</f>
        <v>&lt;cellule&gt;</v>
      </c>
    </row>
    <row r="967" spans="1:1" x14ac:dyDescent="0.2">
      <c r="A967" s="996" t="str">
        <f>CONCATENATE(Programme!D968,Programme!E968,Programme!F968,Programme!G968,Programme!H968,Programme!I968,Programme!J968)</f>
        <v>&lt;codeEdi&gt;149&lt;/codeEdi&gt;</v>
      </c>
    </row>
    <row r="968" spans="1:1" x14ac:dyDescent="0.2">
      <c r="A968" s="996" t="str">
        <f>CONCATENATE(Programme!D969,Programme!E969,Programme!F969,Programme!G969,Programme!H969,Programme!I969,Programme!J969)</f>
        <v>&lt;/cellule&gt;</v>
      </c>
    </row>
    <row r="969" spans="1:1" x14ac:dyDescent="0.2">
      <c r="A969" s="996" t="str">
        <f>CONCATENATE(Programme!D970,Programme!E970,Programme!F970,Programme!G970,Programme!H970,Programme!I970,Programme!J970)</f>
        <v>&lt;valeur&gt;0&lt;/valeur&gt;</v>
      </c>
    </row>
    <row r="970" spans="1:1" x14ac:dyDescent="0.2">
      <c r="A970" s="996" t="str">
        <f>CONCATENATE(Programme!D971,Programme!E971,Programme!F971,Programme!G971,Programme!H971,Programme!I971,Programme!J971)</f>
        <v>&lt;/ValeurCellule&gt;</v>
      </c>
    </row>
    <row r="971" spans="1:1" x14ac:dyDescent="0.2">
      <c r="A971" s="996" t="str">
        <f>CONCATENATE(Programme!D972,Programme!E972,Programme!F972,Programme!G972,Programme!H972,Programme!I972,Programme!J972)</f>
        <v>&lt;ValeurCellule&gt;</v>
      </c>
    </row>
    <row r="972" spans="1:1" x14ac:dyDescent="0.2">
      <c r="A972" s="996" t="str">
        <f>CONCATENATE(Programme!D973,Programme!E973,Programme!F973,Programme!G973,Programme!H973,Programme!I973,Programme!J973)</f>
        <v>&lt;cellule&gt;</v>
      </c>
    </row>
    <row r="973" spans="1:1" x14ac:dyDescent="0.2">
      <c r="A973" s="996" t="str">
        <f>CONCATENATE(Programme!D974,Programme!E974,Programme!F974,Programme!G974,Programme!H974,Programme!I974,Programme!J974)</f>
        <v>&lt;codeEdi&gt;530&lt;/codeEdi&gt;</v>
      </c>
    </row>
    <row r="974" spans="1:1" x14ac:dyDescent="0.2">
      <c r="A974" s="996" t="str">
        <f>CONCATENATE(Programme!D975,Programme!E975,Programme!F975,Programme!G975,Programme!H975,Programme!I975,Programme!J975)</f>
        <v>&lt;/cellule&gt;</v>
      </c>
    </row>
    <row r="975" spans="1:1" x14ac:dyDescent="0.2">
      <c r="A975" s="996" t="str">
        <f>CONCATENATE(Programme!D976,Programme!E976,Programme!F976,Programme!G976,Programme!H976,Programme!I976,Programme!J976)</f>
        <v>&lt;valeur&gt;0&lt;/valeur&gt;</v>
      </c>
    </row>
    <row r="976" spans="1:1" x14ac:dyDescent="0.2">
      <c r="A976" s="996" t="str">
        <f>CONCATENATE(Programme!D977,Programme!E977,Programme!F977,Programme!G977,Programme!H977,Programme!I977,Programme!J977)</f>
        <v>&lt;/ValeurCellule&gt;</v>
      </c>
    </row>
    <row r="977" spans="1:1" x14ac:dyDescent="0.2">
      <c r="A977" s="996" t="str">
        <f>CONCATENATE(Programme!D978,Programme!E978,Programme!F978,Programme!G978,Programme!H978,Programme!I978,Programme!J978)</f>
        <v>&lt;ValeurCellule&gt;</v>
      </c>
    </row>
    <row r="978" spans="1:1" x14ac:dyDescent="0.2">
      <c r="A978" s="996" t="str">
        <f>CONCATENATE(Programme!D979,Programme!E979,Programme!F979,Programme!G979,Programme!H979,Programme!I979,Programme!J979)</f>
        <v>&lt;cellule&gt;</v>
      </c>
    </row>
    <row r="979" spans="1:1" x14ac:dyDescent="0.2">
      <c r="A979" s="996" t="str">
        <f>CONCATENATE(Programme!D980,Programme!E980,Programme!F980,Programme!G980,Programme!H980,Programme!I980,Programme!J980)</f>
        <v>&lt;codeEdi&gt;181&lt;/codeEdi&gt;</v>
      </c>
    </row>
    <row r="980" spans="1:1" x14ac:dyDescent="0.2">
      <c r="A980" s="996" t="str">
        <f>CONCATENATE(Programme!D981,Programme!E981,Programme!F981,Programme!G981,Programme!H981,Programme!I981,Programme!J981)</f>
        <v>&lt;/cellule&gt;</v>
      </c>
    </row>
    <row r="981" spans="1:1" x14ac:dyDescent="0.2">
      <c r="A981" s="996" t="str">
        <f>CONCATENATE(Programme!D982,Programme!E982,Programme!F982,Programme!G982,Programme!H982,Programme!I982,Programme!J982)</f>
        <v>&lt;valeur&gt;0&lt;/valeur&gt;</v>
      </c>
    </row>
    <row r="982" spans="1:1" x14ac:dyDescent="0.2">
      <c r="A982" s="996" t="str">
        <f>CONCATENATE(Programme!D983,Programme!E983,Programme!F983,Programme!G983,Programme!H983,Programme!I983,Programme!J983)</f>
        <v>&lt;/ValeurCellule&gt;</v>
      </c>
    </row>
    <row r="983" spans="1:1" x14ac:dyDescent="0.2">
      <c r="A983" s="996" t="str">
        <f>CONCATENATE(Programme!D984,Programme!E984,Programme!F984,Programme!G984,Programme!H984,Programme!I984,Programme!J984)</f>
        <v>&lt;ValeurCellule&gt;</v>
      </c>
    </row>
    <row r="984" spans="1:1" x14ac:dyDescent="0.2">
      <c r="A984" s="996" t="str">
        <f>CONCATENATE(Programme!D985,Programme!E985,Programme!F985,Programme!G985,Programme!H985,Programme!I985,Programme!J985)</f>
        <v>&lt;cellule&gt;</v>
      </c>
    </row>
    <row r="985" spans="1:1" x14ac:dyDescent="0.2">
      <c r="A985" s="996" t="str">
        <f>CONCATENATE(Programme!D986,Programme!E986,Programme!F986,Programme!G986,Programme!H986,Programme!I986,Programme!J986)</f>
        <v>&lt;codeEdi&gt;182&lt;/codeEdi&gt;</v>
      </c>
    </row>
    <row r="986" spans="1:1" x14ac:dyDescent="0.2">
      <c r="A986" s="996" t="str">
        <f>CONCATENATE(Programme!D987,Programme!E987,Programme!F987,Programme!G987,Programme!H987,Programme!I987,Programme!J987)</f>
        <v>&lt;/cellule&gt;</v>
      </c>
    </row>
    <row r="987" spans="1:1" x14ac:dyDescent="0.2">
      <c r="A987" s="996" t="str">
        <f>CONCATENATE(Programme!D988,Programme!E988,Programme!F988,Programme!G988,Programme!H988,Programme!I988,Programme!J988)</f>
        <v>&lt;valeur&gt;0&lt;/valeur&gt;</v>
      </c>
    </row>
    <row r="988" spans="1:1" x14ac:dyDescent="0.2">
      <c r="A988" s="996" t="str">
        <f>CONCATENATE(Programme!D989,Programme!E989,Programme!F989,Programme!G989,Programme!H989,Programme!I989,Programme!J989)</f>
        <v>&lt;/ValeurCellule&gt;</v>
      </c>
    </row>
    <row r="989" spans="1:1" x14ac:dyDescent="0.2">
      <c r="A989" s="996" t="str">
        <f>CONCATENATE(Programme!D990,Programme!E990,Programme!F990,Programme!G990,Programme!H990,Programme!I990,Programme!J990)</f>
        <v>&lt;ValeurCellule&gt;</v>
      </c>
    </row>
    <row r="990" spans="1:1" x14ac:dyDescent="0.2">
      <c r="A990" s="996" t="str">
        <f>CONCATENATE(Programme!D991,Programme!E991,Programme!F991,Programme!G991,Programme!H991,Programme!I991,Programme!J991)</f>
        <v>&lt;cellule&gt;</v>
      </c>
    </row>
    <row r="991" spans="1:1" x14ac:dyDescent="0.2">
      <c r="A991" s="996" t="str">
        <f>CONCATENATE(Programme!D992,Programme!E992,Programme!F992,Programme!G992,Programme!H992,Programme!I992,Programme!J992)</f>
        <v>&lt;codeEdi&gt;183&lt;/codeEdi&gt;</v>
      </c>
    </row>
    <row r="992" spans="1:1" x14ac:dyDescent="0.2">
      <c r="A992" s="996" t="str">
        <f>CONCATENATE(Programme!D993,Programme!E993,Programme!F993,Programme!G993,Programme!H993,Programme!I993,Programme!J993)</f>
        <v>&lt;/cellule&gt;</v>
      </c>
    </row>
    <row r="993" spans="1:1" x14ac:dyDescent="0.2">
      <c r="A993" s="996" t="str">
        <f>CONCATENATE(Programme!D994,Programme!E994,Programme!F994,Programme!G994,Programme!H994,Programme!I994,Programme!J994)</f>
        <v>&lt;valeur&gt;0&lt;/valeur&gt;</v>
      </c>
    </row>
    <row r="994" spans="1:1" x14ac:dyDescent="0.2">
      <c r="A994" s="996" t="str">
        <f>CONCATENATE(Programme!D995,Programme!E995,Programme!F995,Programme!G995,Programme!H995,Programme!I995,Programme!J995)</f>
        <v>&lt;/ValeurCellule&gt;</v>
      </c>
    </row>
    <row r="995" spans="1:1" x14ac:dyDescent="0.2">
      <c r="A995" s="996" t="str">
        <f>CONCATENATE(Programme!D996,Programme!E996,Programme!F996,Programme!G996,Programme!H996,Programme!I996,Programme!J996)</f>
        <v>&lt;ValeurCellule&gt;</v>
      </c>
    </row>
    <row r="996" spans="1:1" x14ac:dyDescent="0.2">
      <c r="A996" s="996" t="str">
        <f>CONCATENATE(Programme!D997,Programme!E997,Programme!F997,Programme!G997,Programme!H997,Programme!I997,Programme!J997)</f>
        <v>&lt;cellule&gt;</v>
      </c>
    </row>
    <row r="997" spans="1:1" x14ac:dyDescent="0.2">
      <c r="A997" s="996" t="str">
        <f>CONCATENATE(Programme!D998,Programme!E998,Programme!F998,Programme!G998,Programme!H998,Programme!I998,Programme!J998)</f>
        <v>&lt;codeEdi&gt;184&lt;/codeEdi&gt;</v>
      </c>
    </row>
    <row r="998" spans="1:1" x14ac:dyDescent="0.2">
      <c r="A998" s="996" t="str">
        <f>CONCATENATE(Programme!D999,Programme!E999,Programme!F999,Programme!G999,Programme!H999,Programme!I999,Programme!J999)</f>
        <v>&lt;/cellule&gt;</v>
      </c>
    </row>
    <row r="999" spans="1:1" x14ac:dyDescent="0.2">
      <c r="A999" s="996" t="str">
        <f>CONCATENATE(Programme!D1000,Programme!E1000,Programme!F1000,Programme!G1000,Programme!H1000,Programme!I1000,Programme!J1000)</f>
        <v>&lt;valeur&gt;0&lt;/valeur&gt;</v>
      </c>
    </row>
    <row r="1000" spans="1:1" x14ac:dyDescent="0.2">
      <c r="A1000" s="996" t="str">
        <f>CONCATENATE(Programme!D1001,Programme!E1001,Programme!F1001,Programme!G1001,Programme!H1001,Programme!I1001,Programme!J1001)</f>
        <v>&lt;/ValeurCellule&gt;</v>
      </c>
    </row>
    <row r="1001" spans="1:1" x14ac:dyDescent="0.2">
      <c r="A1001" s="996" t="str">
        <f>CONCATENATE(Programme!D1002,Programme!E1002,Programme!F1002,Programme!G1002,Programme!H1002,Programme!I1002,Programme!J1002)</f>
        <v>&lt;ValeurCellule&gt;</v>
      </c>
    </row>
    <row r="1002" spans="1:1" x14ac:dyDescent="0.2">
      <c r="A1002" s="996" t="str">
        <f>CONCATENATE(Programme!D1003,Programme!E1003,Programme!F1003,Programme!G1003,Programme!H1003,Programme!I1003,Programme!J1003)</f>
        <v>&lt;cellule&gt;</v>
      </c>
    </row>
    <row r="1003" spans="1:1" x14ac:dyDescent="0.2">
      <c r="A1003" s="996" t="str">
        <f>CONCATENATE(Programme!D1004,Programme!E1004,Programme!F1004,Programme!G1004,Programme!H1004,Programme!I1004,Programme!J1004)</f>
        <v>&lt;codeEdi&gt;151&lt;/codeEdi&gt;</v>
      </c>
    </row>
    <row r="1004" spans="1:1" x14ac:dyDescent="0.2">
      <c r="A1004" s="996" t="str">
        <f>CONCATENATE(Programme!D1005,Programme!E1005,Programme!F1005,Programme!G1005,Programme!H1005,Programme!I1005,Programme!J1005)</f>
        <v>&lt;/cellule&gt;</v>
      </c>
    </row>
    <row r="1005" spans="1:1" x14ac:dyDescent="0.2">
      <c r="A1005" s="996" t="str">
        <f>CONCATENATE(Programme!D1006,Programme!E1006,Programme!F1006,Programme!G1006,Programme!H1006,Programme!I1006,Programme!J1006)</f>
        <v>&lt;valeur&gt;0&lt;/valeur&gt;</v>
      </c>
    </row>
    <row r="1006" spans="1:1" x14ac:dyDescent="0.2">
      <c r="A1006" s="996" t="str">
        <f>CONCATENATE(Programme!D1007,Programme!E1007,Programme!F1007,Programme!G1007,Programme!H1007,Programme!I1007,Programme!J1007)</f>
        <v>&lt;/ValeurCellule&gt;</v>
      </c>
    </row>
    <row r="1007" spans="1:1" x14ac:dyDescent="0.2">
      <c r="A1007" s="996" t="str">
        <f>CONCATENATE(Programme!D1008,Programme!E1008,Programme!F1008,Programme!G1008,Programme!H1008,Programme!I1008,Programme!J1008)</f>
        <v>&lt;ValeurCellule&gt;</v>
      </c>
    </row>
    <row r="1008" spans="1:1" x14ac:dyDescent="0.2">
      <c r="A1008" s="996" t="str">
        <f>CONCATENATE(Programme!D1009,Programme!E1009,Programme!F1009,Programme!G1009,Programme!H1009,Programme!I1009,Programme!J1009)</f>
        <v>&lt;cellule&gt;</v>
      </c>
    </row>
    <row r="1009" spans="1:1" x14ac:dyDescent="0.2">
      <c r="A1009" s="996" t="str">
        <f>CONCATENATE(Programme!D1010,Programme!E1010,Programme!F1010,Programme!G1010,Programme!H1010,Programme!I1010,Programme!J1010)</f>
        <v>&lt;codeEdi&gt;152&lt;/codeEdi&gt;</v>
      </c>
    </row>
    <row r="1010" spans="1:1" x14ac:dyDescent="0.2">
      <c r="A1010" s="996" t="str">
        <f>CONCATENATE(Programme!D1011,Programme!E1011,Programme!F1011,Programme!G1011,Programme!H1011,Programme!I1011,Programme!J1011)</f>
        <v>&lt;/cellule&gt;</v>
      </c>
    </row>
    <row r="1011" spans="1:1" x14ac:dyDescent="0.2">
      <c r="A1011" s="996" t="str">
        <f>CONCATENATE(Programme!D1012,Programme!E1012,Programme!F1012,Programme!G1012,Programme!H1012,Programme!I1012,Programme!J1012)</f>
        <v>&lt;valeur&gt;&lt;/valeur&gt;</v>
      </c>
    </row>
    <row r="1012" spans="1:1" x14ac:dyDescent="0.2">
      <c r="A1012" s="996" t="str">
        <f>CONCATENATE(Programme!D1013,Programme!E1013,Programme!F1013,Programme!G1013,Programme!H1013,Programme!I1013,Programme!J1013)</f>
        <v>&lt;/ValeurCellule&gt;</v>
      </c>
    </row>
    <row r="1013" spans="1:1" x14ac:dyDescent="0.2">
      <c r="A1013" s="996" t="str">
        <f>CONCATENATE(Programme!D1014,Programme!E1014,Programme!F1014,Programme!G1014,Programme!H1014,Programme!I1014,Programme!J1014)</f>
        <v>&lt;ValeurCellule&gt;</v>
      </c>
    </row>
    <row r="1014" spans="1:1" x14ac:dyDescent="0.2">
      <c r="A1014" s="996" t="str">
        <f>CONCATENATE(Programme!D1015,Programme!E1015,Programme!F1015,Programme!G1015,Programme!H1015,Programme!I1015,Programme!J1015)</f>
        <v>&lt;cellule&gt;</v>
      </c>
    </row>
    <row r="1015" spans="1:1" x14ac:dyDescent="0.2">
      <c r="A1015" s="996" t="str">
        <f>CONCATENATE(Programme!D1016,Programme!E1016,Programme!F1016,Programme!G1016,Programme!H1016,Programme!I1016,Programme!J1016)</f>
        <v>&lt;codeEdi&gt;153&lt;/codeEdi&gt;</v>
      </c>
    </row>
    <row r="1016" spans="1:1" x14ac:dyDescent="0.2">
      <c r="A1016" s="996" t="str">
        <f>CONCATENATE(Programme!D1017,Programme!E1017,Programme!F1017,Programme!G1017,Programme!H1017,Programme!I1017,Programme!J1017)</f>
        <v>&lt;/cellule&gt;</v>
      </c>
    </row>
    <row r="1017" spans="1:1" x14ac:dyDescent="0.2">
      <c r="A1017" s="996" t="str">
        <f>CONCATENATE(Programme!D1018,Programme!E1018,Programme!F1018,Programme!G1018,Programme!H1018,Programme!I1018,Programme!J1018)</f>
        <v>&lt;valeur&gt;0&lt;/valeur&gt;</v>
      </c>
    </row>
    <row r="1018" spans="1:1" x14ac:dyDescent="0.2">
      <c r="A1018" s="996" t="str">
        <f>CONCATENATE(Programme!D1019,Programme!E1019,Programme!F1019,Programme!G1019,Programme!H1019,Programme!I1019,Programme!J1019)</f>
        <v>&lt;/ValeurCellule&gt;</v>
      </c>
    </row>
    <row r="1019" spans="1:1" x14ac:dyDescent="0.2">
      <c r="A1019" s="996" t="str">
        <f>CONCATENATE(Programme!D1020,Programme!E1020,Programme!F1020,Programme!G1020,Programme!H1020,Programme!I1020,Programme!J1020)</f>
        <v>&lt;ValeurCellule&gt;</v>
      </c>
    </row>
    <row r="1020" spans="1:1" x14ac:dyDescent="0.2">
      <c r="A1020" s="996" t="str">
        <f>CONCATENATE(Programme!D1021,Programme!E1021,Programme!F1021,Programme!G1021,Programme!H1021,Programme!I1021,Programme!J1021)</f>
        <v>&lt;cellule&gt;</v>
      </c>
    </row>
    <row r="1021" spans="1:1" x14ac:dyDescent="0.2">
      <c r="A1021" s="996" t="str">
        <f>CONCATENATE(Programme!D1022,Programme!E1022,Programme!F1022,Programme!G1022,Programme!H1022,Programme!I1022,Programme!J1022)</f>
        <v>&lt;codeEdi&gt;154&lt;/codeEdi&gt;</v>
      </c>
    </row>
    <row r="1022" spans="1:1" x14ac:dyDescent="0.2">
      <c r="A1022" s="996" t="str">
        <f>CONCATENATE(Programme!D1023,Programme!E1023,Programme!F1023,Programme!G1023,Programme!H1023,Programme!I1023,Programme!J1023)</f>
        <v>&lt;/cellule&gt;</v>
      </c>
    </row>
    <row r="1023" spans="1:1" x14ac:dyDescent="0.2">
      <c r="A1023" s="996" t="str">
        <f>CONCATENATE(Programme!D1024,Programme!E1024,Programme!F1024,Programme!G1024,Programme!H1024,Programme!I1024,Programme!J1024)</f>
        <v>&lt;valeur&gt;0&lt;/valeur&gt;</v>
      </c>
    </row>
    <row r="1024" spans="1:1" x14ac:dyDescent="0.2">
      <c r="A1024" s="996" t="str">
        <f>CONCATENATE(Programme!D1025,Programme!E1025,Programme!F1025,Programme!G1025,Programme!H1025,Programme!I1025,Programme!J1025)</f>
        <v>&lt;/ValeurCellule&gt;</v>
      </c>
    </row>
    <row r="1025" spans="1:1" x14ac:dyDescent="0.2">
      <c r="A1025" s="996" t="str">
        <f>CONCATENATE(Programme!D1026,Programme!E1026,Programme!F1026,Programme!G1026,Programme!H1026,Programme!I1026,Programme!J1026)</f>
        <v>&lt;ValeurCellule&gt;</v>
      </c>
    </row>
    <row r="1026" spans="1:1" x14ac:dyDescent="0.2">
      <c r="A1026" s="996" t="str">
        <f>CONCATENATE(Programme!D1027,Programme!E1027,Programme!F1027,Programme!G1027,Programme!H1027,Programme!I1027,Programme!J1027)</f>
        <v>&lt;cellule&gt;</v>
      </c>
    </row>
    <row r="1027" spans="1:1" x14ac:dyDescent="0.2">
      <c r="A1027" s="996" t="str">
        <f>CONCATENATE(Programme!D1028,Programme!E1028,Programme!F1028,Programme!G1028,Programme!H1028,Programme!I1028,Programme!J1028)</f>
        <v>&lt;codeEdi&gt;296&lt;/codeEdi&gt;</v>
      </c>
    </row>
    <row r="1028" spans="1:1" x14ac:dyDescent="0.2">
      <c r="A1028" s="996" t="str">
        <f>CONCATENATE(Programme!D1029,Programme!E1029,Programme!F1029,Programme!G1029,Programme!H1029,Programme!I1029,Programme!J1029)</f>
        <v>&lt;/cellule&gt;</v>
      </c>
    </row>
    <row r="1029" spans="1:1" x14ac:dyDescent="0.2">
      <c r="A1029" s="996" t="str">
        <f>CONCATENATE(Programme!D1030,Programme!E1030,Programme!F1030,Programme!G1030,Programme!H1030,Programme!I1030,Programme!J1030)</f>
        <v>&lt;valeur&gt;0&lt;/valeur&gt;</v>
      </c>
    </row>
    <row r="1030" spans="1:1" x14ac:dyDescent="0.2">
      <c r="A1030" s="996" t="str">
        <f>CONCATENATE(Programme!D1031,Programme!E1031,Programme!F1031,Programme!G1031,Programme!H1031,Programme!I1031,Programme!J1031)</f>
        <v>&lt;/ValeurCellule&gt;</v>
      </c>
    </row>
    <row r="1031" spans="1:1" x14ac:dyDescent="0.2">
      <c r="A1031" s="996" t="str">
        <f>CONCATENATE(Programme!D1032,Programme!E1032,Programme!F1032,Programme!G1032,Programme!H1032,Programme!I1032,Programme!J1032)</f>
        <v>&lt;ValeurCellule&gt;</v>
      </c>
    </row>
    <row r="1032" spans="1:1" x14ac:dyDescent="0.2">
      <c r="A1032" s="996" t="str">
        <f>CONCATENATE(Programme!D1033,Programme!E1033,Programme!F1033,Programme!G1033,Programme!H1033,Programme!I1033,Programme!J1033)</f>
        <v>&lt;cellule&gt;</v>
      </c>
    </row>
    <row r="1033" spans="1:1" x14ac:dyDescent="0.2">
      <c r="A1033" s="996" t="str">
        <f>CONCATENATE(Programme!D1034,Programme!E1034,Programme!F1034,Programme!G1034,Programme!H1034,Programme!I1034,Programme!J1034)</f>
        <v>&lt;codeEdi&gt;297&lt;/codeEdi&gt;</v>
      </c>
    </row>
    <row r="1034" spans="1:1" x14ac:dyDescent="0.2">
      <c r="A1034" s="996" t="str">
        <f>CONCATENATE(Programme!D1035,Programme!E1035,Programme!F1035,Programme!G1035,Programme!H1035,Programme!I1035,Programme!J1035)</f>
        <v>&lt;/cellule&gt;</v>
      </c>
    </row>
    <row r="1035" spans="1:1" x14ac:dyDescent="0.2">
      <c r="A1035" s="996" t="str">
        <f>CONCATENATE(Programme!D1036,Programme!E1036,Programme!F1036,Programme!G1036,Programme!H1036,Programme!I1036,Programme!J1036)</f>
        <v>&lt;valeur&gt;0&lt;/valeur&gt;</v>
      </c>
    </row>
    <row r="1036" spans="1:1" x14ac:dyDescent="0.2">
      <c r="A1036" s="996" t="str">
        <f>CONCATENATE(Programme!D1037,Programme!E1037,Programme!F1037,Programme!G1037,Programme!H1037,Programme!I1037,Programme!J1037)</f>
        <v>&lt;/ValeurCellule&gt;</v>
      </c>
    </row>
    <row r="1037" spans="1:1" x14ac:dyDescent="0.2">
      <c r="A1037" s="996" t="str">
        <f>CONCATENATE(Programme!D1038,Programme!E1038,Programme!F1038,Programme!G1038,Programme!H1038,Programme!I1038,Programme!J1038)</f>
        <v>&lt;ValeurCellule&gt;</v>
      </c>
    </row>
    <row r="1038" spans="1:1" x14ac:dyDescent="0.2">
      <c r="A1038" s="996" t="str">
        <f>CONCATENATE(Programme!D1039,Programme!E1039,Programme!F1039,Programme!G1039,Programme!H1039,Programme!I1039,Programme!J1039)</f>
        <v>&lt;cellule&gt;</v>
      </c>
    </row>
    <row r="1039" spans="1:1" x14ac:dyDescent="0.2">
      <c r="A1039" s="996" t="str">
        <f>CONCATENATE(Programme!D1040,Programme!E1040,Programme!F1040,Programme!G1040,Programme!H1040,Programme!I1040,Programme!J1040)</f>
        <v>&lt;codeEdi&gt;298&lt;/codeEdi&gt;</v>
      </c>
    </row>
    <row r="1040" spans="1:1" x14ac:dyDescent="0.2">
      <c r="A1040" s="996" t="str">
        <f>CONCATENATE(Programme!D1041,Programme!E1041,Programme!F1041,Programme!G1041,Programme!H1041,Programme!I1041,Programme!J1041)</f>
        <v>&lt;/cellule&gt;</v>
      </c>
    </row>
    <row r="1041" spans="1:1" x14ac:dyDescent="0.2">
      <c r="A1041" s="996" t="str">
        <f>CONCATENATE(Programme!D1042,Programme!E1042,Programme!F1042,Programme!G1042,Programme!H1042,Programme!I1042,Programme!J1042)</f>
        <v>&lt;valeur&gt;0&lt;/valeur&gt;</v>
      </c>
    </row>
    <row r="1042" spans="1:1" x14ac:dyDescent="0.2">
      <c r="A1042" s="996" t="str">
        <f>CONCATENATE(Programme!D1043,Programme!E1043,Programme!F1043,Programme!G1043,Programme!H1043,Programme!I1043,Programme!J1043)</f>
        <v>&lt;/ValeurCellule&gt;</v>
      </c>
    </row>
    <row r="1043" spans="1:1" x14ac:dyDescent="0.2">
      <c r="A1043" s="996" t="str">
        <f>CONCATENATE(Programme!D1044,Programme!E1044,Programme!F1044,Programme!G1044,Programme!H1044,Programme!I1044,Programme!J1044)</f>
        <v>&lt;ValeurCellule&gt;</v>
      </c>
    </row>
    <row r="1044" spans="1:1" x14ac:dyDescent="0.2">
      <c r="A1044" s="996" t="str">
        <f>CONCATENATE(Programme!D1045,Programme!E1045,Programme!F1045,Programme!G1045,Programme!H1045,Programme!I1045,Programme!J1045)</f>
        <v>&lt;cellule&gt;</v>
      </c>
    </row>
    <row r="1045" spans="1:1" x14ac:dyDescent="0.2">
      <c r="A1045" s="996" t="str">
        <f>CONCATENATE(Programme!D1046,Programme!E1046,Programme!F1046,Programme!G1046,Programme!H1046,Programme!I1046,Programme!J1046)</f>
        <v>&lt;codeEdi&gt;299&lt;/codeEdi&gt;</v>
      </c>
    </row>
    <row r="1046" spans="1:1" x14ac:dyDescent="0.2">
      <c r="A1046" s="996" t="str">
        <f>CONCATENATE(Programme!D1047,Programme!E1047,Programme!F1047,Programme!G1047,Programme!H1047,Programme!I1047,Programme!J1047)</f>
        <v>&lt;/cellule&gt;</v>
      </c>
    </row>
    <row r="1047" spans="1:1" x14ac:dyDescent="0.2">
      <c r="A1047" s="996" t="str">
        <f>CONCATENATE(Programme!D1048,Programme!E1048,Programme!F1048,Programme!G1048,Programme!H1048,Programme!I1048,Programme!J1048)</f>
        <v>&lt;valeur&gt;0&lt;/valeur&gt;</v>
      </c>
    </row>
    <row r="1048" spans="1:1" x14ac:dyDescent="0.2">
      <c r="A1048" s="996" t="str">
        <f>CONCATENATE(Programme!D1049,Programme!E1049,Programme!F1049,Programme!G1049,Programme!H1049,Programme!I1049,Programme!J1049)</f>
        <v>&lt;/ValeurCellule&gt;</v>
      </c>
    </row>
    <row r="1049" spans="1:1" x14ac:dyDescent="0.2">
      <c r="A1049" s="996" t="str">
        <f>CONCATENATE(Programme!D1050,Programme!E1050,Programme!F1050,Programme!G1050,Programme!H1050,Programme!I1050,Programme!J1050)</f>
        <v>&lt;ValeurCellule&gt;</v>
      </c>
    </row>
    <row r="1050" spans="1:1" x14ac:dyDescent="0.2">
      <c r="A1050" s="996" t="str">
        <f>CONCATENATE(Programme!D1051,Programme!E1051,Programme!F1051,Programme!G1051,Programme!H1051,Programme!I1051,Programme!J1051)</f>
        <v>&lt;cellule&gt;</v>
      </c>
    </row>
    <row r="1051" spans="1:1" x14ac:dyDescent="0.2">
      <c r="A1051" s="996" t="str">
        <f>CONCATENATE(Programme!D1052,Programme!E1052,Programme!F1052,Programme!G1052,Programme!H1052,Programme!I1052,Programme!J1052)</f>
        <v>&lt;codeEdi&gt;303&lt;/codeEdi&gt;</v>
      </c>
    </row>
    <row r="1052" spans="1:1" x14ac:dyDescent="0.2">
      <c r="A1052" s="996" t="str">
        <f>CONCATENATE(Programme!D1053,Programme!E1053,Programme!F1053,Programme!G1053,Programme!H1053,Programme!I1053,Programme!J1053)</f>
        <v>&lt;/cellule&gt;</v>
      </c>
    </row>
    <row r="1053" spans="1:1" x14ac:dyDescent="0.2">
      <c r="A1053" s="996" t="str">
        <f>CONCATENATE(Programme!D1054,Programme!E1054,Programme!F1054,Programme!G1054,Programme!H1054,Programme!I1054,Programme!J1054)</f>
        <v>&lt;valeur&gt;0&lt;/valeur&gt;</v>
      </c>
    </row>
    <row r="1054" spans="1:1" x14ac:dyDescent="0.2">
      <c r="A1054" s="996" t="str">
        <f>CONCATENATE(Programme!D1055,Programme!E1055,Programme!F1055,Programme!G1055,Programme!H1055,Programme!I1055,Programme!J1055)</f>
        <v>&lt;/ValeurCellule&gt;</v>
      </c>
    </row>
    <row r="1055" spans="1:1" x14ac:dyDescent="0.2">
      <c r="A1055" s="996" t="str">
        <f>CONCATENATE(Programme!D1056,Programme!E1056,Programme!F1056,Programme!G1056,Programme!H1056,Programme!I1056,Programme!J1056)</f>
        <v>&lt;ValeurCellule&gt;</v>
      </c>
    </row>
    <row r="1056" spans="1:1" x14ac:dyDescent="0.2">
      <c r="A1056" s="996" t="str">
        <f>CONCATENATE(Programme!D1057,Programme!E1057,Programme!F1057,Programme!G1057,Programme!H1057,Programme!I1057,Programme!J1057)</f>
        <v>&lt;cellule&gt;</v>
      </c>
    </row>
    <row r="1057" spans="1:1" x14ac:dyDescent="0.2">
      <c r="A1057" s="996" t="str">
        <f>CONCATENATE(Programme!D1058,Programme!E1058,Programme!F1058,Programme!G1058,Programme!H1058,Programme!I1058,Programme!J1058)</f>
        <v>&lt;codeEdi&gt;304&lt;/codeEdi&gt;</v>
      </c>
    </row>
    <row r="1058" spans="1:1" x14ac:dyDescent="0.2">
      <c r="A1058" s="996" t="str">
        <f>CONCATENATE(Programme!D1059,Programme!E1059,Programme!F1059,Programme!G1059,Programme!H1059,Programme!I1059,Programme!J1059)</f>
        <v>&lt;/cellule&gt;</v>
      </c>
    </row>
    <row r="1059" spans="1:1" x14ac:dyDescent="0.2">
      <c r="A1059" s="996" t="str">
        <f>CONCATENATE(Programme!D1060,Programme!E1060,Programme!F1060,Programme!G1060,Programme!H1060,Programme!I1060,Programme!J1060)</f>
        <v>&lt;valeur&gt;0&lt;/valeur&gt;</v>
      </c>
    </row>
    <row r="1060" spans="1:1" x14ac:dyDescent="0.2">
      <c r="A1060" s="996" t="str">
        <f>CONCATENATE(Programme!D1061,Programme!E1061,Programme!F1061,Programme!G1061,Programme!H1061,Programme!I1061,Programme!J1061)</f>
        <v>&lt;/ValeurCellule&gt;</v>
      </c>
    </row>
    <row r="1061" spans="1:1" x14ac:dyDescent="0.2">
      <c r="A1061" s="996" t="str">
        <f>CONCATENATE(Programme!D1062,Programme!E1062,Programme!F1062,Programme!G1062,Programme!H1062,Programme!I1062,Programme!J1062)</f>
        <v>&lt;ValeurCellule&gt;</v>
      </c>
    </row>
    <row r="1062" spans="1:1" x14ac:dyDescent="0.2">
      <c r="A1062" s="996" t="str">
        <f>CONCATENATE(Programme!D1063,Programme!E1063,Programme!F1063,Programme!G1063,Programme!H1063,Programme!I1063,Programme!J1063)</f>
        <v>&lt;cellule&gt;</v>
      </c>
    </row>
    <row r="1063" spans="1:1" x14ac:dyDescent="0.2">
      <c r="A1063" s="996" t="str">
        <f>CONCATENATE(Programme!D1064,Programme!E1064,Programme!F1064,Programme!G1064,Programme!H1064,Programme!I1064,Programme!J1064)</f>
        <v>&lt;codeEdi&gt;305&lt;/codeEdi&gt;</v>
      </c>
    </row>
    <row r="1064" spans="1:1" x14ac:dyDescent="0.2">
      <c r="A1064" s="996" t="str">
        <f>CONCATENATE(Programme!D1065,Programme!E1065,Programme!F1065,Programme!G1065,Programme!H1065,Programme!I1065,Programme!J1065)</f>
        <v>&lt;/cellule&gt;</v>
      </c>
    </row>
    <row r="1065" spans="1:1" x14ac:dyDescent="0.2">
      <c r="A1065" s="996" t="str">
        <f>CONCATENATE(Programme!D1066,Programme!E1066,Programme!F1066,Programme!G1066,Programme!H1066,Programme!I1066,Programme!J1066)</f>
        <v>&lt;valeur&gt;0&lt;/valeur&gt;</v>
      </c>
    </row>
    <row r="1066" spans="1:1" x14ac:dyDescent="0.2">
      <c r="A1066" s="996" t="str">
        <f>CONCATENATE(Programme!D1067,Programme!E1067,Programme!F1067,Programme!G1067,Programme!H1067,Programme!I1067,Programme!J1067)</f>
        <v>&lt;/ValeurCellule&gt;</v>
      </c>
    </row>
    <row r="1067" spans="1:1" x14ac:dyDescent="0.2">
      <c r="A1067" s="996" t="str">
        <f>CONCATENATE(Programme!D1068,Programme!E1068,Programme!F1068,Programme!G1068,Programme!H1068,Programme!I1068,Programme!J1068)</f>
        <v>&lt;ValeurCellule&gt;</v>
      </c>
    </row>
    <row r="1068" spans="1:1" x14ac:dyDescent="0.2">
      <c r="A1068" s="996" t="str">
        <f>CONCATENATE(Programme!D1069,Programme!E1069,Programme!F1069,Programme!G1069,Programme!H1069,Programme!I1069,Programme!J1069)</f>
        <v>&lt;cellule&gt;</v>
      </c>
    </row>
    <row r="1069" spans="1:1" x14ac:dyDescent="0.2">
      <c r="A1069" s="996" t="str">
        <f>CONCATENATE(Programme!D1070,Programme!E1070,Programme!F1070,Programme!G1070,Programme!H1070,Programme!I1070,Programme!J1070)</f>
        <v>&lt;codeEdi&gt;532&lt;/codeEdi&gt;</v>
      </c>
    </row>
    <row r="1070" spans="1:1" x14ac:dyDescent="0.2">
      <c r="A1070" s="996" t="str">
        <f>CONCATENATE(Programme!D1071,Programme!E1071,Programme!F1071,Programme!G1071,Programme!H1071,Programme!I1071,Programme!J1071)</f>
        <v>&lt;/cellule&gt;</v>
      </c>
    </row>
    <row r="1071" spans="1:1" x14ac:dyDescent="0.2">
      <c r="A1071" s="996" t="str">
        <f>CONCATENATE(Programme!D1072,Programme!E1072,Programme!F1072,Programme!G1072,Programme!H1072,Programme!I1072,Programme!J1072)</f>
        <v>&lt;valeur&gt;0&lt;/valeur&gt;</v>
      </c>
    </row>
    <row r="1072" spans="1:1" x14ac:dyDescent="0.2">
      <c r="A1072" s="996" t="str">
        <f>CONCATENATE(Programme!D1073,Programme!E1073,Programme!F1073,Programme!G1073,Programme!H1073,Programme!I1073,Programme!J1073)</f>
        <v>&lt;/ValeurCellule&gt;</v>
      </c>
    </row>
    <row r="1073" spans="1:1" x14ac:dyDescent="0.2">
      <c r="A1073" s="996" t="str">
        <f>CONCATENATE(Programme!D1074,Programme!E1074,Programme!F1074,Programme!G1074,Programme!H1074,Programme!I1074,Programme!J1074)</f>
        <v>&lt;ValeurCellule&gt;</v>
      </c>
    </row>
    <row r="1074" spans="1:1" x14ac:dyDescent="0.2">
      <c r="A1074" s="996" t="str">
        <f>CONCATENATE(Programme!D1075,Programme!E1075,Programme!F1075,Programme!G1075,Programme!H1075,Programme!I1075,Programme!J1075)</f>
        <v>&lt;cellule&gt;</v>
      </c>
    </row>
    <row r="1075" spans="1:1" x14ac:dyDescent="0.2">
      <c r="A1075" s="996" t="str">
        <f>CONCATENATE(Programme!D1076,Programme!E1076,Programme!F1076,Programme!G1076,Programme!H1076,Programme!I1076,Programme!J1076)</f>
        <v>&lt;codeEdi&gt;306&lt;/codeEdi&gt;</v>
      </c>
    </row>
    <row r="1076" spans="1:1" x14ac:dyDescent="0.2">
      <c r="A1076" s="996" t="str">
        <f>CONCATENATE(Programme!D1077,Programme!E1077,Programme!F1077,Programme!G1077,Programme!H1077,Programme!I1077,Programme!J1077)</f>
        <v>&lt;/cellule&gt;</v>
      </c>
    </row>
    <row r="1077" spans="1:1" x14ac:dyDescent="0.2">
      <c r="A1077" s="996" t="str">
        <f>CONCATENATE(Programme!D1078,Programme!E1078,Programme!F1078,Programme!G1078,Programme!H1078,Programme!I1078,Programme!J1078)</f>
        <v>&lt;valeur&gt;0&lt;/valeur&gt;</v>
      </c>
    </row>
    <row r="1078" spans="1:1" x14ac:dyDescent="0.2">
      <c r="A1078" s="996" t="str">
        <f>CONCATENATE(Programme!D1079,Programme!E1079,Programme!F1079,Programme!G1079,Programme!H1079,Programme!I1079,Programme!J1079)</f>
        <v>&lt;/ValeurCellule&gt;</v>
      </c>
    </row>
    <row r="1079" spans="1:1" x14ac:dyDescent="0.2">
      <c r="A1079" s="996" t="str">
        <f>CONCATENATE(Programme!D1080,Programme!E1080,Programme!F1080,Programme!G1080,Programme!H1080,Programme!I1080,Programme!J1080)</f>
        <v>&lt;ValeurCellule&gt;</v>
      </c>
    </row>
    <row r="1080" spans="1:1" x14ac:dyDescent="0.2">
      <c r="A1080" s="996" t="str">
        <f>CONCATENATE(Programme!D1081,Programme!E1081,Programme!F1081,Programme!G1081,Programme!H1081,Programme!I1081,Programme!J1081)</f>
        <v>&lt;cellule&gt;</v>
      </c>
    </row>
    <row r="1081" spans="1:1" x14ac:dyDescent="0.2">
      <c r="A1081" s="996" t="str">
        <f>CONCATENATE(Programme!D1082,Programme!E1082,Programme!F1082,Programme!G1082,Programme!H1082,Programme!I1082,Programme!J1082)</f>
        <v>&lt;codeEdi&gt;307&lt;/codeEdi&gt;</v>
      </c>
    </row>
    <row r="1082" spans="1:1" x14ac:dyDescent="0.2">
      <c r="A1082" s="996" t="str">
        <f>CONCATENATE(Programme!D1083,Programme!E1083,Programme!F1083,Programme!G1083,Programme!H1083,Programme!I1083,Programme!J1083)</f>
        <v>&lt;/cellule&gt;</v>
      </c>
    </row>
    <row r="1083" spans="1:1" x14ac:dyDescent="0.2">
      <c r="A1083" s="996" t="str">
        <f>CONCATENATE(Programme!D1084,Programme!E1084,Programme!F1084,Programme!G1084,Programme!H1084,Programme!I1084,Programme!J1084)</f>
        <v>&lt;valeur&gt;0&lt;/valeur&gt;</v>
      </c>
    </row>
    <row r="1084" spans="1:1" x14ac:dyDescent="0.2">
      <c r="A1084" s="996" t="str">
        <f>CONCATENATE(Programme!D1085,Programme!E1085,Programme!F1085,Programme!G1085,Programme!H1085,Programme!I1085,Programme!J1085)</f>
        <v>&lt;/ValeurCellule&gt;</v>
      </c>
    </row>
    <row r="1085" spans="1:1" x14ac:dyDescent="0.2">
      <c r="A1085" s="996" t="str">
        <f>CONCATENATE(Programme!D1086,Programme!E1086,Programme!F1086,Programme!G1086,Programme!H1086,Programme!I1086,Programme!J1086)</f>
        <v>&lt;ValeurCellule&gt;</v>
      </c>
    </row>
    <row r="1086" spans="1:1" x14ac:dyDescent="0.2">
      <c r="A1086" s="996" t="str">
        <f>CONCATENATE(Programme!D1087,Programme!E1087,Programme!F1087,Programme!G1087,Programme!H1087,Programme!I1087,Programme!J1087)</f>
        <v>&lt;cellule&gt;</v>
      </c>
    </row>
    <row r="1087" spans="1:1" x14ac:dyDescent="0.2">
      <c r="A1087" s="996" t="str">
        <f>CONCATENATE(Programme!D1088,Programme!E1088,Programme!F1088,Programme!G1088,Programme!H1088,Programme!I1088,Programme!J1088)</f>
        <v>&lt;codeEdi&gt;308&lt;/codeEdi&gt;</v>
      </c>
    </row>
    <row r="1088" spans="1:1" x14ac:dyDescent="0.2">
      <c r="A1088" s="996" t="str">
        <f>CONCATENATE(Programme!D1089,Programme!E1089,Programme!F1089,Programme!G1089,Programme!H1089,Programme!I1089,Programme!J1089)</f>
        <v>&lt;/cellule&gt;</v>
      </c>
    </row>
    <row r="1089" spans="1:1" x14ac:dyDescent="0.2">
      <c r="A1089" s="996" t="str">
        <f>CONCATENATE(Programme!D1090,Programme!E1090,Programme!F1090,Programme!G1090,Programme!H1090,Programme!I1090,Programme!J1090)</f>
        <v>&lt;valeur&gt;0&lt;/valeur&gt;</v>
      </c>
    </row>
    <row r="1090" spans="1:1" x14ac:dyDescent="0.2">
      <c r="A1090" s="996" t="str">
        <f>CONCATENATE(Programme!D1091,Programme!E1091,Programme!F1091,Programme!G1091,Programme!H1091,Programme!I1091,Programme!J1091)</f>
        <v>&lt;/ValeurCellule&gt;</v>
      </c>
    </row>
    <row r="1091" spans="1:1" x14ac:dyDescent="0.2">
      <c r="A1091" s="996" t="str">
        <f>CONCATENATE(Programme!D1092,Programme!E1092,Programme!F1092,Programme!G1092,Programme!H1092,Programme!I1092,Programme!J1092)</f>
        <v>&lt;ValeurCellule&gt;</v>
      </c>
    </row>
    <row r="1092" spans="1:1" x14ac:dyDescent="0.2">
      <c r="A1092" s="996" t="str">
        <f>CONCATENATE(Programme!D1093,Programme!E1093,Programme!F1093,Programme!G1093,Programme!H1093,Programme!I1093,Programme!J1093)</f>
        <v>&lt;cellule&gt;</v>
      </c>
    </row>
    <row r="1093" spans="1:1" x14ac:dyDescent="0.2">
      <c r="A1093" s="996" t="str">
        <f>CONCATENATE(Programme!D1094,Programme!E1094,Programme!F1094,Programme!G1094,Programme!H1094,Programme!I1094,Programme!J1094)</f>
        <v>&lt;codeEdi&gt;533&lt;/codeEdi&gt;</v>
      </c>
    </row>
    <row r="1094" spans="1:1" x14ac:dyDescent="0.2">
      <c r="A1094" s="996" t="str">
        <f>CONCATENATE(Programme!D1095,Programme!E1095,Programme!F1095,Programme!G1095,Programme!H1095,Programme!I1095,Programme!J1095)</f>
        <v>&lt;/cellule&gt;</v>
      </c>
    </row>
    <row r="1095" spans="1:1" x14ac:dyDescent="0.2">
      <c r="A1095" s="996" t="str">
        <f>CONCATENATE(Programme!D1096,Programme!E1096,Programme!F1096,Programme!G1096,Programme!H1096,Programme!I1096,Programme!J1096)</f>
        <v>&lt;valeur&gt;0&lt;/valeur&gt;</v>
      </c>
    </row>
    <row r="1096" spans="1:1" x14ac:dyDescent="0.2">
      <c r="A1096" s="996" t="str">
        <f>CONCATENATE(Programme!D1097,Programme!E1097,Programme!F1097,Programme!G1097,Programme!H1097,Programme!I1097,Programme!J1097)</f>
        <v>&lt;/ValeurCellule&gt;</v>
      </c>
    </row>
    <row r="1097" spans="1:1" x14ac:dyDescent="0.2">
      <c r="A1097" s="996" t="str">
        <f>CONCATENATE(Programme!D1098,Programme!E1098,Programme!F1098,Programme!G1098,Programme!H1098,Programme!I1098,Programme!J1098)</f>
        <v>&lt;ValeurCellule&gt;</v>
      </c>
    </row>
    <row r="1098" spans="1:1" x14ac:dyDescent="0.2">
      <c r="A1098" s="996" t="str">
        <f>CONCATENATE(Programme!D1099,Programme!E1099,Programme!F1099,Programme!G1099,Programme!H1099,Programme!I1099,Programme!J1099)</f>
        <v>&lt;cellule&gt;</v>
      </c>
    </row>
    <row r="1099" spans="1:1" x14ac:dyDescent="0.2">
      <c r="A1099" s="996" t="str">
        <f>CONCATENATE(Programme!D1100,Programme!E1100,Programme!F1100,Programme!G1100,Programme!H1100,Programme!I1100,Programme!J1100)</f>
        <v>&lt;codeEdi&gt;309&lt;/codeEdi&gt;</v>
      </c>
    </row>
    <row r="1100" spans="1:1" x14ac:dyDescent="0.2">
      <c r="A1100" s="996" t="str">
        <f>CONCATENATE(Programme!D1101,Programme!E1101,Programme!F1101,Programme!G1101,Programme!H1101,Programme!I1101,Programme!J1101)</f>
        <v>&lt;/cellule&gt;</v>
      </c>
    </row>
    <row r="1101" spans="1:1" x14ac:dyDescent="0.2">
      <c r="A1101" s="996" t="str">
        <f>CONCATENATE(Programme!D1102,Programme!E1102,Programme!F1102,Programme!G1102,Programme!H1102,Programme!I1102,Programme!J1102)</f>
        <v>&lt;valeur&gt;0&lt;/valeur&gt;</v>
      </c>
    </row>
    <row r="1102" spans="1:1" x14ac:dyDescent="0.2">
      <c r="A1102" s="996" t="str">
        <f>CONCATENATE(Programme!D1103,Programme!E1103,Programme!F1103,Programme!G1103,Programme!H1103,Programme!I1103,Programme!J1103)</f>
        <v>&lt;/ValeurCellule&gt;</v>
      </c>
    </row>
    <row r="1103" spans="1:1" x14ac:dyDescent="0.2">
      <c r="A1103" s="996" t="str">
        <f>CONCATENATE(Programme!D1104,Programme!E1104,Programme!F1104,Programme!G1104,Programme!H1104,Programme!I1104,Programme!J1104)</f>
        <v>&lt;ValeurCellule&gt;</v>
      </c>
    </row>
    <row r="1104" spans="1:1" x14ac:dyDescent="0.2">
      <c r="A1104" s="996" t="str">
        <f>CONCATENATE(Programme!D1105,Programme!E1105,Programme!F1105,Programme!G1105,Programme!H1105,Programme!I1105,Programme!J1105)</f>
        <v>&lt;cellule&gt;</v>
      </c>
    </row>
    <row r="1105" spans="1:1" x14ac:dyDescent="0.2">
      <c r="A1105" s="996" t="str">
        <f>CONCATENATE(Programme!D1106,Programme!E1106,Programme!F1106,Programme!G1106,Programme!H1106,Programme!I1106,Programme!J1106)</f>
        <v>&lt;codeEdi&gt;310&lt;/codeEdi&gt;</v>
      </c>
    </row>
    <row r="1106" spans="1:1" x14ac:dyDescent="0.2">
      <c r="A1106" s="996" t="str">
        <f>CONCATENATE(Programme!D1107,Programme!E1107,Programme!F1107,Programme!G1107,Programme!H1107,Programme!I1107,Programme!J1107)</f>
        <v>&lt;/cellule&gt;</v>
      </c>
    </row>
    <row r="1107" spans="1:1" x14ac:dyDescent="0.2">
      <c r="A1107" s="996" t="str">
        <f>CONCATENATE(Programme!D1108,Programme!E1108,Programme!F1108,Programme!G1108,Programme!H1108,Programme!I1108,Programme!J1108)</f>
        <v>&lt;valeur&gt;0&lt;/valeur&gt;</v>
      </c>
    </row>
    <row r="1108" spans="1:1" x14ac:dyDescent="0.2">
      <c r="A1108" s="996" t="str">
        <f>CONCATENATE(Programme!D1109,Programme!E1109,Programme!F1109,Programme!G1109,Programme!H1109,Programme!I1109,Programme!J1109)</f>
        <v>&lt;/ValeurCellule&gt;</v>
      </c>
    </row>
    <row r="1109" spans="1:1" x14ac:dyDescent="0.2">
      <c r="A1109" s="996" t="str">
        <f>CONCATENATE(Programme!D1110,Programme!E1110,Programme!F1110,Programme!G1110,Programme!H1110,Programme!I1110,Programme!J1110)</f>
        <v>&lt;ValeurCellule&gt;</v>
      </c>
    </row>
    <row r="1110" spans="1:1" x14ac:dyDescent="0.2">
      <c r="A1110" s="996" t="str">
        <f>CONCATENATE(Programme!D1111,Programme!E1111,Programme!F1111,Programme!G1111,Programme!H1111,Programme!I1111,Programme!J1111)</f>
        <v>&lt;cellule&gt;</v>
      </c>
    </row>
    <row r="1111" spans="1:1" x14ac:dyDescent="0.2">
      <c r="A1111" s="996" t="str">
        <f>CONCATENATE(Programme!D1112,Programme!E1112,Programme!F1112,Programme!G1112,Programme!H1112,Programme!I1112,Programme!J1112)</f>
        <v>&lt;codeEdi&gt;311&lt;/codeEdi&gt;</v>
      </c>
    </row>
    <row r="1112" spans="1:1" x14ac:dyDescent="0.2">
      <c r="A1112" s="996" t="str">
        <f>CONCATENATE(Programme!D1113,Programme!E1113,Programme!F1113,Programme!G1113,Programme!H1113,Programme!I1113,Programme!J1113)</f>
        <v>&lt;/cellule&gt;</v>
      </c>
    </row>
    <row r="1113" spans="1:1" x14ac:dyDescent="0.2">
      <c r="A1113" s="996" t="str">
        <f>CONCATENATE(Programme!D1114,Programme!E1114,Programme!F1114,Programme!G1114,Programme!H1114,Programme!I1114,Programme!J1114)</f>
        <v>&lt;valeur&gt;0&lt;/valeur&gt;</v>
      </c>
    </row>
    <row r="1114" spans="1:1" x14ac:dyDescent="0.2">
      <c r="A1114" s="996" t="str">
        <f>CONCATENATE(Programme!D1115,Programme!E1115,Programme!F1115,Programme!G1115,Programme!H1115,Programme!I1115,Programme!J1115)</f>
        <v>&lt;/ValeurCellule&gt;</v>
      </c>
    </row>
    <row r="1115" spans="1:1" x14ac:dyDescent="0.2">
      <c r="A1115" s="996" t="str">
        <f>CONCATENATE(Programme!D1116,Programme!E1116,Programme!F1116,Programme!G1116,Programme!H1116,Programme!I1116,Programme!J1116)</f>
        <v>&lt;ValeurCellule&gt;</v>
      </c>
    </row>
    <row r="1116" spans="1:1" x14ac:dyDescent="0.2">
      <c r="A1116" s="996" t="str">
        <f>CONCATENATE(Programme!D1117,Programme!E1117,Programme!F1117,Programme!G1117,Programme!H1117,Programme!I1117,Programme!J1117)</f>
        <v>&lt;cellule&gt;</v>
      </c>
    </row>
    <row r="1117" spans="1:1" x14ac:dyDescent="0.2">
      <c r="A1117" s="996" t="str">
        <f>CONCATENATE(Programme!D1118,Programme!E1118,Programme!F1118,Programme!G1118,Programme!H1118,Programme!I1118,Programme!J1118)</f>
        <v>&lt;codeEdi&gt;534&lt;/codeEdi&gt;</v>
      </c>
    </row>
    <row r="1118" spans="1:1" x14ac:dyDescent="0.2">
      <c r="A1118" s="996" t="str">
        <f>CONCATENATE(Programme!D1119,Programme!E1119,Programme!F1119,Programme!G1119,Programme!H1119,Programme!I1119,Programme!J1119)</f>
        <v>&lt;/cellule&gt;</v>
      </c>
    </row>
    <row r="1119" spans="1:1" x14ac:dyDescent="0.2">
      <c r="A1119" s="996" t="str">
        <f>CONCATENATE(Programme!D1120,Programme!E1120,Programme!F1120,Programme!G1120,Programme!H1120,Programme!I1120,Programme!J1120)</f>
        <v>&lt;valeur&gt;0&lt;/valeur&gt;</v>
      </c>
    </row>
    <row r="1120" spans="1:1" x14ac:dyDescent="0.2">
      <c r="A1120" s="996" t="str">
        <f>CONCATENATE(Programme!D1121,Programme!E1121,Programme!F1121,Programme!G1121,Programme!H1121,Programme!I1121,Programme!J1121)</f>
        <v>&lt;/ValeurCellule&gt;</v>
      </c>
    </row>
    <row r="1121" spans="1:1" x14ac:dyDescent="0.2">
      <c r="A1121" s="996" t="str">
        <f>CONCATENATE(Programme!D1122,Programme!E1122,Programme!F1122,Programme!G1122,Programme!H1122,Programme!I1122,Programme!J1122)</f>
        <v>&lt;ValeurCellule&gt;</v>
      </c>
    </row>
    <row r="1122" spans="1:1" x14ac:dyDescent="0.2">
      <c r="A1122" s="996" t="str">
        <f>CONCATENATE(Programme!D1123,Programme!E1123,Programme!F1123,Programme!G1123,Programme!H1123,Programme!I1123,Programme!J1123)</f>
        <v>&lt;cellule&gt;</v>
      </c>
    </row>
    <row r="1123" spans="1:1" x14ac:dyDescent="0.2">
      <c r="A1123" s="996" t="str">
        <f>CONCATENATE(Programme!D1124,Programme!E1124,Programme!F1124,Programme!G1124,Programme!H1124,Programme!I1124,Programme!J1124)</f>
        <v>&lt;codeEdi&gt;312&lt;/codeEdi&gt;</v>
      </c>
    </row>
    <row r="1124" spans="1:1" x14ac:dyDescent="0.2">
      <c r="A1124" s="996" t="str">
        <f>CONCATENATE(Programme!D1125,Programme!E1125,Programme!F1125,Programme!G1125,Programme!H1125,Programme!I1125,Programme!J1125)</f>
        <v>&lt;/cellule&gt;</v>
      </c>
    </row>
    <row r="1125" spans="1:1" x14ac:dyDescent="0.2">
      <c r="A1125" s="996" t="str">
        <f>CONCATENATE(Programme!D1126,Programme!E1126,Programme!F1126,Programme!G1126,Programme!H1126,Programme!I1126,Programme!J1126)</f>
        <v>&lt;valeur&gt;0&lt;/valeur&gt;</v>
      </c>
    </row>
    <row r="1126" spans="1:1" x14ac:dyDescent="0.2">
      <c r="A1126" s="996" t="str">
        <f>CONCATENATE(Programme!D1127,Programme!E1127,Programme!F1127,Programme!G1127,Programme!H1127,Programme!I1127,Programme!J1127)</f>
        <v>&lt;/ValeurCellule&gt;</v>
      </c>
    </row>
    <row r="1127" spans="1:1" x14ac:dyDescent="0.2">
      <c r="A1127" s="996" t="str">
        <f>CONCATENATE(Programme!D1128,Programme!E1128,Programme!F1128,Programme!G1128,Programme!H1128,Programme!I1128,Programme!J1128)</f>
        <v>&lt;ValeurCellule&gt;</v>
      </c>
    </row>
    <row r="1128" spans="1:1" x14ac:dyDescent="0.2">
      <c r="A1128" s="996" t="str">
        <f>CONCATENATE(Programme!D1129,Programme!E1129,Programme!F1129,Programme!G1129,Programme!H1129,Programme!I1129,Programme!J1129)</f>
        <v>&lt;cellule&gt;</v>
      </c>
    </row>
    <row r="1129" spans="1:1" x14ac:dyDescent="0.2">
      <c r="A1129" s="996" t="str">
        <f>CONCATENATE(Programme!D1130,Programme!E1130,Programme!F1130,Programme!G1130,Programme!H1130,Programme!I1130,Programme!J1130)</f>
        <v>&lt;codeEdi&gt;313&lt;/codeEdi&gt;</v>
      </c>
    </row>
    <row r="1130" spans="1:1" x14ac:dyDescent="0.2">
      <c r="A1130" s="996" t="str">
        <f>CONCATENATE(Programme!D1131,Programme!E1131,Programme!F1131,Programme!G1131,Programme!H1131,Programme!I1131,Programme!J1131)</f>
        <v>&lt;/cellule&gt;</v>
      </c>
    </row>
    <row r="1131" spans="1:1" x14ac:dyDescent="0.2">
      <c r="A1131" s="996" t="str">
        <f>CONCATENATE(Programme!D1132,Programme!E1132,Programme!F1132,Programme!G1132,Programme!H1132,Programme!I1132,Programme!J1132)</f>
        <v>&lt;valeur&gt;0&lt;/valeur&gt;</v>
      </c>
    </row>
    <row r="1132" spans="1:1" x14ac:dyDescent="0.2">
      <c r="A1132" s="996" t="str">
        <f>CONCATENATE(Programme!D1133,Programme!E1133,Programme!F1133,Programme!G1133,Programme!H1133,Programme!I1133,Programme!J1133)</f>
        <v>&lt;/ValeurCellule&gt;</v>
      </c>
    </row>
    <row r="1133" spans="1:1" x14ac:dyDescent="0.2">
      <c r="A1133" s="996" t="str">
        <f>CONCATENATE(Programme!D1134,Programme!E1134,Programme!F1134,Programme!G1134,Programme!H1134,Programme!I1134,Programme!J1134)</f>
        <v>&lt;ValeurCellule&gt;</v>
      </c>
    </row>
    <row r="1134" spans="1:1" x14ac:dyDescent="0.2">
      <c r="A1134" s="996" t="str">
        <f>CONCATENATE(Programme!D1135,Programme!E1135,Programme!F1135,Programme!G1135,Programme!H1135,Programme!I1135,Programme!J1135)</f>
        <v>&lt;cellule&gt;</v>
      </c>
    </row>
    <row r="1135" spans="1:1" x14ac:dyDescent="0.2">
      <c r="A1135" s="996" t="str">
        <f>CONCATENATE(Programme!D1136,Programme!E1136,Programme!F1136,Programme!G1136,Programme!H1136,Programme!I1136,Programme!J1136)</f>
        <v>&lt;codeEdi&gt;314&lt;/codeEdi&gt;</v>
      </c>
    </row>
    <row r="1136" spans="1:1" x14ac:dyDescent="0.2">
      <c r="A1136" s="996" t="str">
        <f>CONCATENATE(Programme!D1137,Programme!E1137,Programme!F1137,Programme!G1137,Programme!H1137,Programme!I1137,Programme!J1137)</f>
        <v>&lt;/cellule&gt;</v>
      </c>
    </row>
    <row r="1137" spans="1:1" x14ac:dyDescent="0.2">
      <c r="A1137" s="996" t="str">
        <f>CONCATENATE(Programme!D1138,Programme!E1138,Programme!F1138,Programme!G1138,Programme!H1138,Programme!I1138,Programme!J1138)</f>
        <v>&lt;valeur&gt;0&lt;/valeur&gt;</v>
      </c>
    </row>
    <row r="1138" spans="1:1" x14ac:dyDescent="0.2">
      <c r="A1138" s="996" t="str">
        <f>CONCATENATE(Programme!D1139,Programme!E1139,Programme!F1139,Programme!G1139,Programme!H1139,Programme!I1139,Programme!J1139)</f>
        <v>&lt;/ValeurCellule&gt;</v>
      </c>
    </row>
    <row r="1139" spans="1:1" x14ac:dyDescent="0.2">
      <c r="A1139" s="996" t="str">
        <f>CONCATENATE(Programme!D1140,Programme!E1140,Programme!F1140,Programme!G1140,Programme!H1140,Programme!I1140,Programme!J1140)</f>
        <v>&lt;ValeurCellule&gt;</v>
      </c>
    </row>
    <row r="1140" spans="1:1" x14ac:dyDescent="0.2">
      <c r="A1140" s="996" t="str">
        <f>CONCATENATE(Programme!D1141,Programme!E1141,Programme!F1141,Programme!G1141,Programme!H1141,Programme!I1141,Programme!J1141)</f>
        <v>&lt;cellule&gt;</v>
      </c>
    </row>
    <row r="1141" spans="1:1" x14ac:dyDescent="0.2">
      <c r="A1141" s="996" t="str">
        <f>CONCATENATE(Programme!D1142,Programme!E1142,Programme!F1142,Programme!G1142,Programme!H1142,Programme!I1142,Programme!J1142)</f>
        <v>&lt;codeEdi&gt;535&lt;/codeEdi&gt;</v>
      </c>
    </row>
    <row r="1142" spans="1:1" x14ac:dyDescent="0.2">
      <c r="A1142" s="996" t="str">
        <f>CONCATENATE(Programme!D1143,Programme!E1143,Programme!F1143,Programme!G1143,Programme!H1143,Programme!I1143,Programme!J1143)</f>
        <v>&lt;/cellule&gt;</v>
      </c>
    </row>
    <row r="1143" spans="1:1" x14ac:dyDescent="0.2">
      <c r="A1143" s="996" t="str">
        <f>CONCATENATE(Programme!D1144,Programme!E1144,Programme!F1144,Programme!G1144,Programme!H1144,Programme!I1144,Programme!J1144)</f>
        <v>&lt;valeur&gt;0&lt;/valeur&gt;</v>
      </c>
    </row>
    <row r="1144" spans="1:1" x14ac:dyDescent="0.2">
      <c r="A1144" s="996" t="str">
        <f>CONCATENATE(Programme!D1145,Programme!E1145,Programme!F1145,Programme!G1145,Programme!H1145,Programme!I1145,Programme!J1145)</f>
        <v>&lt;/ValeurCellule&gt;</v>
      </c>
    </row>
    <row r="1145" spans="1:1" x14ac:dyDescent="0.2">
      <c r="A1145" s="996" t="str">
        <f>CONCATENATE(Programme!D1146,Programme!E1146,Programme!F1146,Programme!G1146,Programme!H1146,Programme!I1146,Programme!J1146)</f>
        <v>&lt;ValeurCellule&gt;</v>
      </c>
    </row>
    <row r="1146" spans="1:1" x14ac:dyDescent="0.2">
      <c r="A1146" s="996" t="str">
        <f>CONCATENATE(Programme!D1147,Programme!E1147,Programme!F1147,Programme!G1147,Programme!H1147,Programme!I1147,Programme!J1147)</f>
        <v>&lt;cellule&gt;</v>
      </c>
    </row>
    <row r="1147" spans="1:1" x14ac:dyDescent="0.2">
      <c r="A1147" s="996" t="str">
        <f>CONCATENATE(Programme!D1148,Programme!E1148,Programme!F1148,Programme!G1148,Programme!H1148,Programme!I1148,Programme!J1148)</f>
        <v>&lt;codeEdi&gt;316&lt;/codeEdi&gt;</v>
      </c>
    </row>
    <row r="1148" spans="1:1" x14ac:dyDescent="0.2">
      <c r="A1148" s="996" t="str">
        <f>CONCATENATE(Programme!D1149,Programme!E1149,Programme!F1149,Programme!G1149,Programme!H1149,Programme!I1149,Programme!J1149)</f>
        <v>&lt;/cellule&gt;</v>
      </c>
    </row>
    <row r="1149" spans="1:1" x14ac:dyDescent="0.2">
      <c r="A1149" s="996" t="str">
        <f>CONCATENATE(Programme!D1150,Programme!E1150,Programme!F1150,Programme!G1150,Programme!H1150,Programme!I1150,Programme!J1150)</f>
        <v>&lt;valeur&gt;0&lt;/valeur&gt;</v>
      </c>
    </row>
    <row r="1150" spans="1:1" x14ac:dyDescent="0.2">
      <c r="A1150" s="996" t="str">
        <f>CONCATENATE(Programme!D1151,Programme!E1151,Programme!F1151,Programme!G1151,Programme!H1151,Programme!I1151,Programme!J1151)</f>
        <v>&lt;/ValeurCellule&gt;</v>
      </c>
    </row>
    <row r="1151" spans="1:1" x14ac:dyDescent="0.2">
      <c r="A1151" s="996" t="str">
        <f>CONCATENATE(Programme!D1152,Programme!E1152,Programme!F1152,Programme!G1152,Programme!H1152,Programme!I1152,Programme!J1152)</f>
        <v>&lt;ValeurCellule&gt;</v>
      </c>
    </row>
    <row r="1152" spans="1:1" x14ac:dyDescent="0.2">
      <c r="A1152" s="996" t="str">
        <f>CONCATENATE(Programme!D1153,Programme!E1153,Programme!F1153,Programme!G1153,Programme!H1153,Programme!I1153,Programme!J1153)</f>
        <v>&lt;cellule&gt;</v>
      </c>
    </row>
    <row r="1153" spans="1:1" x14ac:dyDescent="0.2">
      <c r="A1153" s="996" t="str">
        <f>CONCATENATE(Programme!D1154,Programme!E1154,Programme!F1154,Programme!G1154,Programme!H1154,Programme!I1154,Programme!J1154)</f>
        <v>&lt;codeEdi&gt;317&lt;/codeEdi&gt;</v>
      </c>
    </row>
    <row r="1154" spans="1:1" x14ac:dyDescent="0.2">
      <c r="A1154" s="996" t="str">
        <f>CONCATENATE(Programme!D1155,Programme!E1155,Programme!F1155,Programme!G1155,Programme!H1155,Programme!I1155,Programme!J1155)</f>
        <v>&lt;/cellule&gt;</v>
      </c>
    </row>
    <row r="1155" spans="1:1" x14ac:dyDescent="0.2">
      <c r="A1155" s="996" t="str">
        <f>CONCATENATE(Programme!D1156,Programme!E1156,Programme!F1156,Programme!G1156,Programme!H1156,Programme!I1156,Programme!J1156)</f>
        <v>&lt;valeur&gt;0&lt;/valeur&gt;</v>
      </c>
    </row>
    <row r="1156" spans="1:1" x14ac:dyDescent="0.2">
      <c r="A1156" s="996" t="str">
        <f>CONCATENATE(Programme!D1157,Programme!E1157,Programme!F1157,Programme!G1157,Programme!H1157,Programme!I1157,Programme!J1157)</f>
        <v>&lt;/ValeurCellule&gt;</v>
      </c>
    </row>
    <row r="1157" spans="1:1" x14ac:dyDescent="0.2">
      <c r="A1157" s="996" t="str">
        <f>CONCATENATE(Programme!D1158,Programme!E1158,Programme!F1158,Programme!G1158,Programme!H1158,Programme!I1158,Programme!J1158)</f>
        <v>&lt;ValeurCellule&gt;</v>
      </c>
    </row>
    <row r="1158" spans="1:1" x14ac:dyDescent="0.2">
      <c r="A1158" s="996" t="str">
        <f>CONCATENATE(Programme!D1159,Programme!E1159,Programme!F1159,Programme!G1159,Programme!H1159,Programme!I1159,Programme!J1159)</f>
        <v>&lt;cellule&gt;</v>
      </c>
    </row>
    <row r="1159" spans="1:1" x14ac:dyDescent="0.2">
      <c r="A1159" s="996" t="str">
        <f>CONCATENATE(Programme!D1160,Programme!E1160,Programme!F1160,Programme!G1160,Programme!H1160,Programme!I1160,Programme!J1160)</f>
        <v>&lt;codeEdi&gt;318&lt;/codeEdi&gt;</v>
      </c>
    </row>
    <row r="1160" spans="1:1" x14ac:dyDescent="0.2">
      <c r="A1160" s="996" t="str">
        <f>CONCATENATE(Programme!D1161,Programme!E1161,Programme!F1161,Programme!G1161,Programme!H1161,Programme!I1161,Programme!J1161)</f>
        <v>&lt;/cellule&gt;</v>
      </c>
    </row>
    <row r="1161" spans="1:1" x14ac:dyDescent="0.2">
      <c r="A1161" s="996" t="str">
        <f>CONCATENATE(Programme!D1162,Programme!E1162,Programme!F1162,Programme!G1162,Programme!H1162,Programme!I1162,Programme!J1162)</f>
        <v>&lt;valeur&gt;0&lt;/valeur&gt;</v>
      </c>
    </row>
    <row r="1162" spans="1:1" x14ac:dyDescent="0.2">
      <c r="A1162" s="996" t="str">
        <f>CONCATENATE(Programme!D1163,Programme!E1163,Programme!F1163,Programme!G1163,Programme!H1163,Programme!I1163,Programme!J1163)</f>
        <v>&lt;/ValeurCellule&gt;</v>
      </c>
    </row>
    <row r="1163" spans="1:1" x14ac:dyDescent="0.2">
      <c r="A1163" s="996" t="str">
        <f>CONCATENATE(Programme!D1164,Programme!E1164,Programme!F1164,Programme!G1164,Programme!H1164,Programme!I1164,Programme!J1164)</f>
        <v>&lt;ValeurCellule&gt;</v>
      </c>
    </row>
    <row r="1164" spans="1:1" x14ac:dyDescent="0.2">
      <c r="A1164" s="996" t="str">
        <f>CONCATENATE(Programme!D1165,Programme!E1165,Programme!F1165,Programme!G1165,Programme!H1165,Programme!I1165,Programme!J1165)</f>
        <v>&lt;cellule&gt;</v>
      </c>
    </row>
    <row r="1165" spans="1:1" x14ac:dyDescent="0.2">
      <c r="A1165" s="996" t="str">
        <f>CONCATENATE(Programme!D1166,Programme!E1166,Programme!F1166,Programme!G1166,Programme!H1166,Programme!I1166,Programme!J1166)</f>
        <v>&lt;codeEdi&gt;319&lt;/codeEdi&gt;</v>
      </c>
    </row>
    <row r="1166" spans="1:1" x14ac:dyDescent="0.2">
      <c r="A1166" s="996" t="str">
        <f>CONCATENATE(Programme!D1167,Programme!E1167,Programme!F1167,Programme!G1167,Programme!H1167,Programme!I1167,Programme!J1167)</f>
        <v>&lt;/cellule&gt;</v>
      </c>
    </row>
    <row r="1167" spans="1:1" x14ac:dyDescent="0.2">
      <c r="A1167" s="996" t="str">
        <f>CONCATENATE(Programme!D1168,Programme!E1168,Programme!F1168,Programme!G1168,Programme!H1168,Programme!I1168,Programme!J1168)</f>
        <v>&lt;valeur&gt;0&lt;/valeur&gt;</v>
      </c>
    </row>
    <row r="1168" spans="1:1" x14ac:dyDescent="0.2">
      <c r="A1168" s="996" t="str">
        <f>CONCATENATE(Programme!D1169,Programme!E1169,Programme!F1169,Programme!G1169,Programme!H1169,Programme!I1169,Programme!J1169)</f>
        <v>&lt;/ValeurCellule&gt;</v>
      </c>
    </row>
    <row r="1169" spans="1:1" x14ac:dyDescent="0.2">
      <c r="A1169" s="996" t="str">
        <f>CONCATENATE(Programme!D1170,Programme!E1170,Programme!F1170,Programme!G1170,Programme!H1170,Programme!I1170,Programme!J1170)</f>
        <v>&lt;ValeurCellule&gt;</v>
      </c>
    </row>
    <row r="1170" spans="1:1" x14ac:dyDescent="0.2">
      <c r="A1170" s="996" t="str">
        <f>CONCATENATE(Programme!D1171,Programme!E1171,Programme!F1171,Programme!G1171,Programme!H1171,Programme!I1171,Programme!J1171)</f>
        <v>&lt;cellule&gt;</v>
      </c>
    </row>
    <row r="1171" spans="1:1" x14ac:dyDescent="0.2">
      <c r="A1171" s="996" t="str">
        <f>CONCATENATE(Programme!D1172,Programme!E1172,Programme!F1172,Programme!G1172,Programme!H1172,Programme!I1172,Programme!J1172)</f>
        <v>&lt;codeEdi&gt;186&lt;/codeEdi&gt;</v>
      </c>
    </row>
    <row r="1172" spans="1:1" x14ac:dyDescent="0.2">
      <c r="A1172" s="996" t="str">
        <f>CONCATENATE(Programme!D1173,Programme!E1173,Programme!F1173,Programme!G1173,Programme!H1173,Programme!I1173,Programme!J1173)</f>
        <v>&lt;/cellule&gt;</v>
      </c>
    </row>
    <row r="1173" spans="1:1" x14ac:dyDescent="0.2">
      <c r="A1173" s="996" t="str">
        <f>CONCATENATE(Programme!D1174,Programme!E1174,Programme!F1174,Programme!G1174,Programme!H1174,Programme!I1174,Programme!J1174)</f>
        <v>&lt;valeur&gt;0&lt;/valeur&gt;</v>
      </c>
    </row>
    <row r="1174" spans="1:1" x14ac:dyDescent="0.2">
      <c r="A1174" s="996" t="str">
        <f>CONCATENATE(Programme!D1175,Programme!E1175,Programme!F1175,Programme!G1175,Programme!H1175,Programme!I1175,Programme!J1175)</f>
        <v>&lt;/ValeurCellule&gt;</v>
      </c>
    </row>
    <row r="1175" spans="1:1" x14ac:dyDescent="0.2">
      <c r="A1175" s="996" t="str">
        <f>CONCATENATE(Programme!D1176,Programme!E1176,Programme!F1176,Programme!G1176,Programme!H1176,Programme!I1176,Programme!J1176)</f>
        <v>&lt;ValeurCellule&gt;</v>
      </c>
    </row>
    <row r="1176" spans="1:1" x14ac:dyDescent="0.2">
      <c r="A1176" s="996" t="str">
        <f>CONCATENATE(Programme!D1177,Programme!E1177,Programme!F1177,Programme!G1177,Programme!H1177,Programme!I1177,Programme!J1177)</f>
        <v>&lt;cellule&gt;</v>
      </c>
    </row>
    <row r="1177" spans="1:1" x14ac:dyDescent="0.2">
      <c r="A1177" s="996" t="str">
        <f>CONCATENATE(Programme!D1178,Programme!E1178,Programme!F1178,Programme!G1178,Programme!H1178,Programme!I1178,Programme!J1178)</f>
        <v>&lt;codeEdi&gt;187&lt;/codeEdi&gt;</v>
      </c>
    </row>
    <row r="1178" spans="1:1" x14ac:dyDescent="0.2">
      <c r="A1178" s="996" t="str">
        <f>CONCATENATE(Programme!D1179,Programme!E1179,Programme!F1179,Programme!G1179,Programme!H1179,Programme!I1179,Programme!J1179)</f>
        <v>&lt;/cellule&gt;</v>
      </c>
    </row>
    <row r="1179" spans="1:1" x14ac:dyDescent="0.2">
      <c r="A1179" s="996" t="str">
        <f>CONCATENATE(Programme!D1180,Programme!E1180,Programme!F1180,Programme!G1180,Programme!H1180,Programme!I1180,Programme!J1180)</f>
        <v>&lt;valeur&gt;0&lt;/valeur&gt;</v>
      </c>
    </row>
    <row r="1180" spans="1:1" x14ac:dyDescent="0.2">
      <c r="A1180" s="996" t="str">
        <f>CONCATENATE(Programme!D1181,Programme!E1181,Programme!F1181,Programme!G1181,Programme!H1181,Programme!I1181,Programme!J1181)</f>
        <v>&lt;/ValeurCellule&gt;</v>
      </c>
    </row>
    <row r="1181" spans="1:1" x14ac:dyDescent="0.2">
      <c r="A1181" s="996" t="str">
        <f>CONCATENATE(Programme!D1182,Programme!E1182,Programme!F1182,Programme!G1182,Programme!H1182,Programme!I1182,Programme!J1182)</f>
        <v>&lt;ValeurCellule&gt;</v>
      </c>
    </row>
    <row r="1182" spans="1:1" x14ac:dyDescent="0.2">
      <c r="A1182" s="996" t="str">
        <f>CONCATENATE(Programme!D1183,Programme!E1183,Programme!F1183,Programme!G1183,Programme!H1183,Programme!I1183,Programme!J1183)</f>
        <v>&lt;cellule&gt;</v>
      </c>
    </row>
    <row r="1183" spans="1:1" x14ac:dyDescent="0.2">
      <c r="A1183" s="996" t="str">
        <f>CONCATENATE(Programme!D1184,Programme!E1184,Programme!F1184,Programme!G1184,Programme!H1184,Programme!I1184,Programme!J1184)</f>
        <v>&lt;codeEdi&gt;188&lt;/codeEdi&gt;</v>
      </c>
    </row>
    <row r="1184" spans="1:1" x14ac:dyDescent="0.2">
      <c r="A1184" s="996" t="str">
        <f>CONCATENATE(Programme!D1185,Programme!E1185,Programme!F1185,Programme!G1185,Programme!H1185,Programme!I1185,Programme!J1185)</f>
        <v>&lt;/cellule&gt;</v>
      </c>
    </row>
    <row r="1185" spans="1:1" x14ac:dyDescent="0.2">
      <c r="A1185" s="996" t="str">
        <f>CONCATENATE(Programme!D1186,Programme!E1186,Programme!F1186,Programme!G1186,Programme!H1186,Programme!I1186,Programme!J1186)</f>
        <v>&lt;valeur&gt;0&lt;/valeur&gt;</v>
      </c>
    </row>
    <row r="1186" spans="1:1" x14ac:dyDescent="0.2">
      <c r="A1186" s="996" t="str">
        <f>CONCATENATE(Programme!D1187,Programme!E1187,Programme!F1187,Programme!G1187,Programme!H1187,Programme!I1187,Programme!J1187)</f>
        <v>&lt;/ValeurCellule&gt;</v>
      </c>
    </row>
    <row r="1187" spans="1:1" x14ac:dyDescent="0.2">
      <c r="A1187" s="996" t="str">
        <f>CONCATENATE(Programme!D1188,Programme!E1188,Programme!F1188,Programme!G1188,Programme!H1188,Programme!I1188,Programme!J1188)</f>
        <v>&lt;ValeurCellule&gt;</v>
      </c>
    </row>
    <row r="1188" spans="1:1" x14ac:dyDescent="0.2">
      <c r="A1188" s="996" t="str">
        <f>CONCATENATE(Programme!D1189,Programme!E1189,Programme!F1189,Programme!G1189,Programme!H1189,Programme!I1189,Programme!J1189)</f>
        <v>&lt;cellule&gt;</v>
      </c>
    </row>
    <row r="1189" spans="1:1" x14ac:dyDescent="0.2">
      <c r="A1189" s="996" t="str">
        <f>CONCATENATE(Programme!D1190,Programme!E1190,Programme!F1190,Programme!G1190,Programme!H1190,Programme!I1190,Programme!J1190)</f>
        <v>&lt;codeEdi&gt;189&lt;/codeEdi&gt;</v>
      </c>
    </row>
    <row r="1190" spans="1:1" x14ac:dyDescent="0.2">
      <c r="A1190" s="996" t="str">
        <f>CONCATENATE(Programme!D1191,Programme!E1191,Programme!F1191,Programme!G1191,Programme!H1191,Programme!I1191,Programme!J1191)</f>
        <v>&lt;/cellule&gt;</v>
      </c>
    </row>
    <row r="1191" spans="1:1" x14ac:dyDescent="0.2">
      <c r="A1191" s="996" t="str">
        <f>CONCATENATE(Programme!D1192,Programme!E1192,Programme!F1192,Programme!G1192,Programme!H1192,Programme!I1192,Programme!J1192)</f>
        <v>&lt;valeur&gt;0&lt;/valeur&gt;</v>
      </c>
    </row>
    <row r="1192" spans="1:1" x14ac:dyDescent="0.2">
      <c r="A1192" s="996" t="str">
        <f>CONCATENATE(Programme!D1193,Programme!E1193,Programme!F1193,Programme!G1193,Programme!H1193,Programme!I1193,Programme!J1193)</f>
        <v>&lt;/ValeurCellule&gt;</v>
      </c>
    </row>
    <row r="1193" spans="1:1" x14ac:dyDescent="0.2">
      <c r="A1193" s="996" t="str">
        <f>CONCATENATE(Programme!D1194,Programme!E1194,Programme!F1194,Programme!G1194,Programme!H1194,Programme!I1194,Programme!J1194)</f>
        <v>&lt;/groupeValeurs&gt;</v>
      </c>
    </row>
    <row r="1194" spans="1:1" x14ac:dyDescent="0.2">
      <c r="A1194" s="996" t="str">
        <f>CONCATENATE(Programme!D1195,Programme!E1195,Programme!F1195,Programme!G1195,Programme!H1195,Programme!I1195,Programme!J1195)</f>
        <v>&lt;extraFieldvaleurs&gt;</v>
      </c>
    </row>
    <row r="1195" spans="1:1" x14ac:dyDescent="0.2">
      <c r="A1195" s="996" t="str">
        <f>CONCATENATE(Programme!D1196,Programme!E1196,Programme!F1196,Programme!G1196,Programme!H1196,Programme!I1196,Programme!J1196)</f>
        <v>&lt;/extraFieldvaleurs&gt;</v>
      </c>
    </row>
    <row r="1196" spans="1:1" x14ac:dyDescent="0.2">
      <c r="A1196" s="996" t="str">
        <f>CONCATENATE(Programme!D1197,Programme!E1197,Programme!F1197,Programme!G1197,Programme!H1197,Programme!I1197,Programme!J1197)</f>
        <v>&lt;/ValeursTableau&gt;</v>
      </c>
    </row>
    <row r="1197" spans="1:1" x14ac:dyDescent="0.2">
      <c r="A1197" s="996" t="str">
        <f>CONCATENATE(Programme!D1198,Programme!E1198,Programme!F1198,Programme!G1198,Programme!H1198,Programme!I1198,Programme!J1198)</f>
        <v>&lt;ValeursTableau&gt;</v>
      </c>
    </row>
    <row r="1198" spans="1:1" x14ac:dyDescent="0.2">
      <c r="A1198" s="996" t="str">
        <f>CONCATENATE(Programme!D1199,Programme!E1199,Programme!F1199,Programme!G1199,Programme!H1199,Programme!I1199,Programme!J1199)</f>
        <v>&lt;tableau&gt;&lt;id&gt;1&lt;/id&gt;&lt;/tableau&gt;</v>
      </c>
    </row>
    <row r="1199" spans="1:1" x14ac:dyDescent="0.2">
      <c r="A1199" s="996" t="str">
        <f>CONCATENATE(Programme!D1200,Programme!E1200,Programme!F1200,Programme!G1200,Programme!H1200,Programme!I1200,Programme!J1200)</f>
        <v>&lt;groupeValeurs&gt;</v>
      </c>
    </row>
    <row r="1200" spans="1:1" x14ac:dyDescent="0.2">
      <c r="A1200" s="996" t="str">
        <f>CONCATENATE(Programme!D1201,Programme!E1201,Programme!F1201,Programme!G1201,Programme!H1201,Programme!I1201,Programme!J1201)</f>
        <v>&lt;ValeurCellule&gt;</v>
      </c>
    </row>
    <row r="1201" spans="1:1" x14ac:dyDescent="0.2">
      <c r="A1201" s="996" t="str">
        <f>CONCATENATE(Programme!D1202,Programme!E1202,Programme!F1202,Programme!G1202,Programme!H1202,Programme!I1202,Programme!J1202)</f>
        <v>&lt;cellule&gt;</v>
      </c>
    </row>
    <row r="1202" spans="1:1" x14ac:dyDescent="0.2">
      <c r="A1202" s="996" t="str">
        <f>CONCATENATE(Programme!D1203,Programme!E1203,Programme!F1203,Programme!G1203,Programme!H1203,Programme!I1203,Programme!J1203)</f>
        <v>&lt;codeEdi&gt;13406&lt;/codeEdi&gt;</v>
      </c>
    </row>
    <row r="1203" spans="1:1" x14ac:dyDescent="0.2">
      <c r="A1203" s="996" t="str">
        <f>CONCATENATE(Programme!D1204,Programme!E1204,Programme!F1204,Programme!G1204,Programme!H1204,Programme!I1204,Programme!J1204)</f>
        <v>&lt;/cellule&gt;</v>
      </c>
    </row>
    <row r="1204" spans="1:1" x14ac:dyDescent="0.2">
      <c r="A1204" s="996" t="str">
        <f>CONCATENATE(Programme!D1205,Programme!E1205,Programme!F1205,Programme!G1205,Programme!H1205,Programme!I1205,Programme!J1205)</f>
        <v>&lt;valeur&gt;0&lt;/valeur&gt;</v>
      </c>
    </row>
    <row r="1205" spans="1:1" x14ac:dyDescent="0.2">
      <c r="A1205" s="996" t="str">
        <f>CONCATENATE(Programme!D1206,Programme!E1206,Programme!F1206,Programme!G1206,Programme!H1206,Programme!I1206,Programme!J1206)</f>
        <v>&lt;/ValeurCellule&gt;</v>
      </c>
    </row>
    <row r="1206" spans="1:1" x14ac:dyDescent="0.2">
      <c r="A1206" s="996" t="str">
        <f>CONCATENATE(Programme!D1207,Programme!E1207,Programme!F1207,Programme!G1207,Programme!H1207,Programme!I1207,Programme!J1207)</f>
        <v>&lt;ValeurCellule&gt;</v>
      </c>
    </row>
    <row r="1207" spans="1:1" x14ac:dyDescent="0.2">
      <c r="A1207" s="996" t="str">
        <f>CONCATENATE(Programme!D1208,Programme!E1208,Programme!F1208,Programme!G1208,Programme!H1208,Programme!I1208,Programme!J1208)</f>
        <v>&lt;cellule&gt;</v>
      </c>
    </row>
    <row r="1208" spans="1:1" x14ac:dyDescent="0.2">
      <c r="A1208" s="996" t="str">
        <f>CONCATENATE(Programme!D1209,Programme!E1209,Programme!F1209,Programme!G1209,Programme!H1209,Programme!I1209,Programme!J1209)</f>
        <v>&lt;codeEdi&gt;13407&lt;/codeEdi&gt;</v>
      </c>
    </row>
    <row r="1209" spans="1:1" x14ac:dyDescent="0.2">
      <c r="A1209" s="996" t="str">
        <f>CONCATENATE(Programme!D1210,Programme!E1210,Programme!F1210,Programme!G1210,Programme!H1210,Programme!I1210,Programme!J1210)</f>
        <v>&lt;/cellule&gt;</v>
      </c>
    </row>
    <row r="1210" spans="1:1" x14ac:dyDescent="0.2">
      <c r="A1210" s="996" t="str">
        <f>CONCATENATE(Programme!D1211,Programme!E1211,Programme!F1211,Programme!G1211,Programme!H1211,Programme!I1211,Programme!J1211)</f>
        <v>&lt;valeur&gt;0&lt;/valeur&gt;</v>
      </c>
    </row>
    <row r="1211" spans="1:1" x14ac:dyDescent="0.2">
      <c r="A1211" s="996" t="str">
        <f>CONCATENATE(Programme!D1212,Programme!E1212,Programme!F1212,Programme!G1212,Programme!H1212,Programme!I1212,Programme!J1212)</f>
        <v>&lt;/ValeurCellule&gt;</v>
      </c>
    </row>
    <row r="1212" spans="1:1" x14ac:dyDescent="0.2">
      <c r="A1212" s="996" t="str">
        <f>CONCATENATE(Programme!D1213,Programme!E1213,Programme!F1213,Programme!G1213,Programme!H1213,Programme!I1213,Programme!J1213)</f>
        <v>&lt;ValeurCellule&gt;</v>
      </c>
    </row>
    <row r="1213" spans="1:1" x14ac:dyDescent="0.2">
      <c r="A1213" s="996" t="str">
        <f>CONCATENATE(Programme!D1214,Programme!E1214,Programme!F1214,Programme!G1214,Programme!H1214,Programme!I1214,Programme!J1214)</f>
        <v>&lt;cellule&gt;</v>
      </c>
    </row>
    <row r="1214" spans="1:1" x14ac:dyDescent="0.2">
      <c r="A1214" s="996" t="str">
        <f>CONCATENATE(Programme!D1215,Programme!E1215,Programme!F1215,Programme!G1215,Programme!H1215,Programme!I1215,Programme!J1215)</f>
        <v>&lt;codeEdi&gt;13408&lt;/codeEdi&gt;</v>
      </c>
    </row>
    <row r="1215" spans="1:1" x14ac:dyDescent="0.2">
      <c r="A1215" s="996" t="str">
        <f>CONCATENATE(Programme!D1216,Programme!E1216,Programme!F1216,Programme!G1216,Programme!H1216,Programme!I1216,Programme!J1216)</f>
        <v>&lt;/cellule&gt;</v>
      </c>
    </row>
    <row r="1216" spans="1:1" x14ac:dyDescent="0.2">
      <c r="A1216" s="996" t="str">
        <f>CONCATENATE(Programme!D1217,Programme!E1217,Programme!F1217,Programme!G1217,Programme!H1217,Programme!I1217,Programme!J1217)</f>
        <v>&lt;valeur&gt;0&lt;/valeur&gt;</v>
      </c>
    </row>
    <row r="1217" spans="1:1" x14ac:dyDescent="0.2">
      <c r="A1217" s="996" t="str">
        <f>CONCATENATE(Programme!D1218,Programme!E1218,Programme!F1218,Programme!G1218,Programme!H1218,Programme!I1218,Programme!J1218)</f>
        <v>&lt;/ValeurCellule&gt;</v>
      </c>
    </row>
    <row r="1218" spans="1:1" x14ac:dyDescent="0.2">
      <c r="A1218" s="996" t="str">
        <f>CONCATENATE(Programme!D1219,Programme!E1219,Programme!F1219,Programme!G1219,Programme!H1219,Programme!I1219,Programme!J1219)</f>
        <v>&lt;ValeurCellule&gt;</v>
      </c>
    </row>
    <row r="1219" spans="1:1" x14ac:dyDescent="0.2">
      <c r="A1219" s="996" t="str">
        <f>CONCATENATE(Programme!D1220,Programme!E1220,Programme!F1220,Programme!G1220,Programme!H1220,Programme!I1220,Programme!J1220)</f>
        <v>&lt;cellule&gt;</v>
      </c>
    </row>
    <row r="1220" spans="1:1" x14ac:dyDescent="0.2">
      <c r="A1220" s="996" t="str">
        <f>CONCATENATE(Programme!D1221,Programme!E1221,Programme!F1221,Programme!G1221,Programme!H1221,Programme!I1221,Programme!J1221)</f>
        <v>&lt;codeEdi&gt;13409&lt;/codeEdi&gt;</v>
      </c>
    </row>
    <row r="1221" spans="1:1" x14ac:dyDescent="0.2">
      <c r="A1221" s="996" t="str">
        <f>CONCATENATE(Programme!D1222,Programme!E1222,Programme!F1222,Programme!G1222,Programme!H1222,Programme!I1222,Programme!J1222)</f>
        <v>&lt;/cellule&gt;</v>
      </c>
    </row>
    <row r="1222" spans="1:1" x14ac:dyDescent="0.2">
      <c r="A1222" s="996" t="str">
        <f>CONCATENATE(Programme!D1223,Programme!E1223,Programme!F1223,Programme!G1223,Programme!H1223,Programme!I1223,Programme!J1223)</f>
        <v>&lt;valeur&gt;0&lt;/valeur&gt;</v>
      </c>
    </row>
    <row r="1223" spans="1:1" x14ac:dyDescent="0.2">
      <c r="A1223" s="996" t="str">
        <f>CONCATENATE(Programme!D1224,Programme!E1224,Programme!F1224,Programme!G1224,Programme!H1224,Programme!I1224,Programme!J1224)</f>
        <v>&lt;/ValeurCellule&gt;</v>
      </c>
    </row>
    <row r="1224" spans="1:1" x14ac:dyDescent="0.2">
      <c r="A1224" s="996" t="str">
        <f>CONCATENATE(Programme!D1225,Programme!E1225,Programme!F1225,Programme!G1225,Programme!H1225,Programme!I1225,Programme!J1225)</f>
        <v>&lt;ValeurCellule&gt;</v>
      </c>
    </row>
    <row r="1225" spans="1:1" x14ac:dyDescent="0.2">
      <c r="A1225" s="996" t="str">
        <f>CONCATENATE(Programme!D1226,Programme!E1226,Programme!F1226,Programme!G1226,Programme!H1226,Programme!I1226,Programme!J1226)</f>
        <v>&lt;cellule&gt;</v>
      </c>
    </row>
    <row r="1226" spans="1:1" x14ac:dyDescent="0.2">
      <c r="A1226" s="996" t="str">
        <f>CONCATENATE(Programme!D1227,Programme!E1227,Programme!F1227,Programme!G1227,Programme!H1227,Programme!I1227,Programme!J1227)</f>
        <v>&lt;codeEdi&gt;13410&lt;/codeEdi&gt;</v>
      </c>
    </row>
    <row r="1227" spans="1:1" x14ac:dyDescent="0.2">
      <c r="A1227" s="996" t="str">
        <f>CONCATENATE(Programme!D1228,Programme!E1228,Programme!F1228,Programme!G1228,Programme!H1228,Programme!I1228,Programme!J1228)</f>
        <v>&lt;/cellule&gt;</v>
      </c>
    </row>
    <row r="1228" spans="1:1" x14ac:dyDescent="0.2">
      <c r="A1228" s="996" t="str">
        <f>CONCATENATE(Programme!D1229,Programme!E1229,Programme!F1229,Programme!G1229,Programme!H1229,Programme!I1229,Programme!J1229)</f>
        <v>&lt;valeur&gt;0&lt;/valeur&gt;</v>
      </c>
    </row>
    <row r="1229" spans="1:1" x14ac:dyDescent="0.2">
      <c r="A1229" s="996" t="str">
        <f>CONCATENATE(Programme!D1230,Programme!E1230,Programme!F1230,Programme!G1230,Programme!H1230,Programme!I1230,Programme!J1230)</f>
        <v>&lt;/ValeurCellule&gt;</v>
      </c>
    </row>
    <row r="1230" spans="1:1" x14ac:dyDescent="0.2">
      <c r="A1230" s="996" t="str">
        <f>CONCATENATE(Programme!D1231,Programme!E1231,Programme!F1231,Programme!G1231,Programme!H1231,Programme!I1231,Programme!J1231)</f>
        <v>&lt;ValeurCellule&gt;</v>
      </c>
    </row>
    <row r="1231" spans="1:1" x14ac:dyDescent="0.2">
      <c r="A1231" s="996" t="str">
        <f>CONCATENATE(Programme!D1232,Programme!E1232,Programme!F1232,Programme!G1232,Programme!H1232,Programme!I1232,Programme!J1232)</f>
        <v>&lt;cellule&gt;</v>
      </c>
    </row>
    <row r="1232" spans="1:1" x14ac:dyDescent="0.2">
      <c r="A1232" s="996" t="str">
        <f>CONCATENATE(Programme!D1233,Programme!E1233,Programme!F1233,Programme!G1233,Programme!H1233,Programme!I1233,Programme!J1233)</f>
        <v>&lt;codeEdi&gt;13400&lt;/codeEdi&gt;</v>
      </c>
    </row>
    <row r="1233" spans="1:1" x14ac:dyDescent="0.2">
      <c r="A1233" s="996" t="str">
        <f>CONCATENATE(Programme!D1234,Programme!E1234,Programme!F1234,Programme!G1234,Programme!H1234,Programme!I1234,Programme!J1234)</f>
        <v>&lt;/cellule&gt;</v>
      </c>
    </row>
    <row r="1234" spans="1:1" x14ac:dyDescent="0.2">
      <c r="A1234" s="996" t="str">
        <f>CONCATENATE(Programme!D1235,Programme!E1235,Programme!F1235,Programme!G1235,Programme!H1235,Programme!I1235,Programme!J1235)</f>
        <v>&lt;valeur&gt;0&lt;/valeur&gt;</v>
      </c>
    </row>
    <row r="1235" spans="1:1" x14ac:dyDescent="0.2">
      <c r="A1235" s="996" t="str">
        <f>CONCATENATE(Programme!D1236,Programme!E1236,Programme!F1236,Programme!G1236,Programme!H1236,Programme!I1236,Programme!J1236)</f>
        <v>&lt;/ValeurCellule&gt;</v>
      </c>
    </row>
    <row r="1236" spans="1:1" x14ac:dyDescent="0.2">
      <c r="A1236" s="996" t="str">
        <f>CONCATENATE(Programme!D1237,Programme!E1237,Programme!F1237,Programme!G1237,Programme!H1237,Programme!I1237,Programme!J1237)</f>
        <v>&lt;ValeurCellule&gt;</v>
      </c>
    </row>
    <row r="1237" spans="1:1" x14ac:dyDescent="0.2">
      <c r="A1237" s="996" t="str">
        <f>CONCATENATE(Programme!D1238,Programme!E1238,Programme!F1238,Programme!G1238,Programme!H1238,Programme!I1238,Programme!J1238)</f>
        <v>&lt;cellule&gt;</v>
      </c>
    </row>
    <row r="1238" spans="1:1" x14ac:dyDescent="0.2">
      <c r="A1238" s="996" t="str">
        <f>CONCATENATE(Programme!D1239,Programme!E1239,Programme!F1239,Programme!G1239,Programme!H1239,Programme!I1239,Programme!J1239)</f>
        <v>&lt;codeEdi&gt;13401&lt;/codeEdi&gt;</v>
      </c>
    </row>
    <row r="1239" spans="1:1" x14ac:dyDescent="0.2">
      <c r="A1239" s="996" t="str">
        <f>CONCATENATE(Programme!D1240,Programme!E1240,Programme!F1240,Programme!G1240,Programme!H1240,Programme!I1240,Programme!J1240)</f>
        <v>&lt;/cellule&gt;</v>
      </c>
    </row>
    <row r="1240" spans="1:1" x14ac:dyDescent="0.2">
      <c r="A1240" s="996" t="str">
        <f>CONCATENATE(Programme!D1241,Programme!E1241,Programme!F1241,Programme!G1241,Programme!H1241,Programme!I1241,Programme!J1241)</f>
        <v>&lt;valeur&gt;0&lt;/valeur&gt;</v>
      </c>
    </row>
    <row r="1241" spans="1:1" x14ac:dyDescent="0.2">
      <c r="A1241" s="996" t="str">
        <f>CONCATENATE(Programme!D1242,Programme!E1242,Programme!F1242,Programme!G1242,Programme!H1242,Programme!I1242,Programme!J1242)</f>
        <v>&lt;/ValeurCellule&gt;</v>
      </c>
    </row>
    <row r="1242" spans="1:1" x14ac:dyDescent="0.2">
      <c r="A1242" s="996" t="str">
        <f>CONCATENATE(Programme!D1243,Programme!E1243,Programme!F1243,Programme!G1243,Programme!H1243,Programme!I1243,Programme!J1243)</f>
        <v>&lt;ValeurCellule&gt;</v>
      </c>
    </row>
    <row r="1243" spans="1:1" x14ac:dyDescent="0.2">
      <c r="A1243" s="996" t="str">
        <f>CONCATENATE(Programme!D1244,Programme!E1244,Programme!F1244,Programme!G1244,Programme!H1244,Programme!I1244,Programme!J1244)</f>
        <v>&lt;cellule&gt;</v>
      </c>
    </row>
    <row r="1244" spans="1:1" x14ac:dyDescent="0.2">
      <c r="A1244" s="996" t="str">
        <f>CONCATENATE(Programme!D1245,Programme!E1245,Programme!F1245,Programme!G1245,Programme!H1245,Programme!I1245,Programme!J1245)</f>
        <v>&lt;codeEdi&gt;13402&lt;/codeEdi&gt;</v>
      </c>
    </row>
    <row r="1245" spans="1:1" x14ac:dyDescent="0.2">
      <c r="A1245" s="996" t="str">
        <f>CONCATENATE(Programme!D1246,Programme!E1246,Programme!F1246,Programme!G1246,Programme!H1246,Programme!I1246,Programme!J1246)</f>
        <v>&lt;/cellule&gt;</v>
      </c>
    </row>
    <row r="1246" spans="1:1" x14ac:dyDescent="0.2">
      <c r="A1246" s="996" t="str">
        <f>CONCATENATE(Programme!D1247,Programme!E1247,Programme!F1247,Programme!G1247,Programme!H1247,Programme!I1247,Programme!J1247)</f>
        <v>&lt;valeur&gt;&lt;/valeur&gt;</v>
      </c>
    </row>
    <row r="1247" spans="1:1" x14ac:dyDescent="0.2">
      <c r="A1247" s="996" t="str">
        <f>CONCATENATE(Programme!D1248,Programme!E1248,Programme!F1248,Programme!G1248,Programme!H1248,Programme!I1248,Programme!J1248)</f>
        <v>&lt;/ValeurCellule&gt;</v>
      </c>
    </row>
    <row r="1248" spans="1:1" x14ac:dyDescent="0.2">
      <c r="A1248" s="996" t="str">
        <f>CONCATENATE(Programme!D1249,Programme!E1249,Programme!F1249,Programme!G1249,Programme!H1249,Programme!I1249,Programme!J1249)</f>
        <v>&lt;ValeurCellule&gt;</v>
      </c>
    </row>
    <row r="1249" spans="1:1" x14ac:dyDescent="0.2">
      <c r="A1249" s="996" t="str">
        <f>CONCATENATE(Programme!D1250,Programme!E1250,Programme!F1250,Programme!G1250,Programme!H1250,Programme!I1250,Programme!J1250)</f>
        <v>&lt;cellule&gt;</v>
      </c>
    </row>
    <row r="1250" spans="1:1" x14ac:dyDescent="0.2">
      <c r="A1250" s="996" t="str">
        <f>CONCATENATE(Programme!D1251,Programme!E1251,Programme!F1251,Programme!G1251,Programme!H1251,Programme!I1251,Programme!J1251)</f>
        <v>&lt;codeEdi&gt;13403&lt;/codeEdi&gt;</v>
      </c>
    </row>
    <row r="1251" spans="1:1" x14ac:dyDescent="0.2">
      <c r="A1251" s="996" t="str">
        <f>CONCATENATE(Programme!D1252,Programme!E1252,Programme!F1252,Programme!G1252,Programme!H1252,Programme!I1252,Programme!J1252)</f>
        <v>&lt;/cellule&gt;</v>
      </c>
    </row>
    <row r="1252" spans="1:1" x14ac:dyDescent="0.2">
      <c r="A1252" s="996" t="str">
        <f>CONCATENATE(Programme!D1253,Programme!E1253,Programme!F1253,Programme!G1253,Programme!H1253,Programme!I1253,Programme!J1253)</f>
        <v>&lt;valeur&gt;0&lt;/valeur&gt;</v>
      </c>
    </row>
    <row r="1253" spans="1:1" x14ac:dyDescent="0.2">
      <c r="A1253" s="996" t="str">
        <f>CONCATENATE(Programme!D1254,Programme!E1254,Programme!F1254,Programme!G1254,Programme!H1254,Programme!I1254,Programme!J1254)</f>
        <v>&lt;/ValeurCellule&gt;</v>
      </c>
    </row>
    <row r="1254" spans="1:1" x14ac:dyDescent="0.2">
      <c r="A1254" s="996" t="str">
        <f>CONCATENATE(Programme!D1255,Programme!E1255,Programme!F1255,Programme!G1255,Programme!H1255,Programme!I1255,Programme!J1255)</f>
        <v>&lt;ValeurCellule&gt;</v>
      </c>
    </row>
    <row r="1255" spans="1:1" x14ac:dyDescent="0.2">
      <c r="A1255" s="996" t="str">
        <f>CONCATENATE(Programme!D1256,Programme!E1256,Programme!F1256,Programme!G1256,Programme!H1256,Programme!I1256,Programme!J1256)</f>
        <v>&lt;cellule&gt;</v>
      </c>
    </row>
    <row r="1256" spans="1:1" x14ac:dyDescent="0.2">
      <c r="A1256" s="996" t="str">
        <f>CONCATENATE(Programme!D1257,Programme!E1257,Programme!F1257,Programme!G1257,Programme!H1257,Programme!I1257,Programme!J1257)</f>
        <v>&lt;codeEdi&gt;13404&lt;/codeEdi&gt;</v>
      </c>
    </row>
    <row r="1257" spans="1:1" x14ac:dyDescent="0.2">
      <c r="A1257" s="996" t="str">
        <f>CONCATENATE(Programme!D1258,Programme!E1258,Programme!F1258,Programme!G1258,Programme!H1258,Programme!I1258,Programme!J1258)</f>
        <v>&lt;/cellule&gt;</v>
      </c>
    </row>
    <row r="1258" spans="1:1" x14ac:dyDescent="0.2">
      <c r="A1258" s="996" t="str">
        <f>CONCATENATE(Programme!D1259,Programme!E1259,Programme!F1259,Programme!G1259,Programme!H1259,Programme!I1259,Programme!J1259)</f>
        <v>&lt;valeur&gt;0&lt;/valeur&gt;</v>
      </c>
    </row>
    <row r="1259" spans="1:1" x14ac:dyDescent="0.2">
      <c r="A1259" s="996" t="str">
        <f>CONCATENATE(Programme!D1260,Programme!E1260,Programme!F1260,Programme!G1260,Programme!H1260,Programme!I1260,Programme!J1260)</f>
        <v>&lt;/ValeurCellule&gt;</v>
      </c>
    </row>
    <row r="1260" spans="1:1" x14ac:dyDescent="0.2">
      <c r="A1260" s="996" t="str">
        <f>CONCATENATE(Programme!D1261,Programme!E1261,Programme!F1261,Programme!G1261,Programme!H1261,Programme!I1261,Programme!J1261)</f>
        <v>&lt;ValeurCellule&gt;</v>
      </c>
    </row>
    <row r="1261" spans="1:1" x14ac:dyDescent="0.2">
      <c r="A1261" s="996" t="str">
        <f>CONCATENATE(Programme!D1262,Programme!E1262,Programme!F1262,Programme!G1262,Programme!H1262,Programme!I1262,Programme!J1262)</f>
        <v>&lt;cellule&gt;</v>
      </c>
    </row>
    <row r="1262" spans="1:1" x14ac:dyDescent="0.2">
      <c r="A1262" s="996" t="str">
        <f>CONCATENATE(Programme!D1263,Programme!E1263,Programme!F1263,Programme!G1263,Programme!H1263,Programme!I1263,Programme!J1263)</f>
        <v>&lt;codeEdi&gt;13405&lt;/codeEdi&gt;</v>
      </c>
    </row>
    <row r="1263" spans="1:1" x14ac:dyDescent="0.2">
      <c r="A1263" s="996" t="str">
        <f>CONCATENATE(Programme!D1264,Programme!E1264,Programme!F1264,Programme!G1264,Programme!H1264,Programme!I1264,Programme!J1264)</f>
        <v>&lt;/cellule&gt;</v>
      </c>
    </row>
    <row r="1264" spans="1:1" x14ac:dyDescent="0.2">
      <c r="A1264" s="996" t="str">
        <f>CONCATENATE(Programme!D1265,Programme!E1265,Programme!F1265,Programme!G1265,Programme!H1265,Programme!I1265,Programme!J1265)</f>
        <v>&lt;valeur&gt;0&lt;/valeur&gt;</v>
      </c>
    </row>
    <row r="1265" spans="1:1" x14ac:dyDescent="0.2">
      <c r="A1265" s="996" t="str">
        <f>CONCATENATE(Programme!D1266,Programme!E1266,Programme!F1266,Programme!G1266,Programme!H1266,Programme!I1266,Programme!J1266)</f>
        <v>&lt;/ValeurCellule&gt;</v>
      </c>
    </row>
    <row r="1266" spans="1:1" x14ac:dyDescent="0.2">
      <c r="A1266" s="996" t="str">
        <f>CONCATENATE(Programme!D1267,Programme!E1267,Programme!F1267,Programme!G1267,Programme!H1267,Programme!I1267,Programme!J1267)</f>
        <v>&lt;ValeurCellule&gt;</v>
      </c>
    </row>
    <row r="1267" spans="1:1" x14ac:dyDescent="0.2">
      <c r="A1267" s="996" t="str">
        <f>CONCATENATE(Programme!D1268,Programme!E1268,Programme!F1268,Programme!G1268,Programme!H1268,Programme!I1268,Programme!J1268)</f>
        <v>&lt;cellule&gt;</v>
      </c>
    </row>
    <row r="1268" spans="1:1" x14ac:dyDescent="0.2">
      <c r="A1268" s="996" t="str">
        <f>CONCATENATE(Programme!D1269,Programme!E1269,Programme!F1269,Programme!G1269,Programme!H1269,Programme!I1269,Programme!J1269)</f>
        <v>&lt;codeEdi&gt;13411&lt;/codeEdi&gt;</v>
      </c>
    </row>
    <row r="1269" spans="1:1" x14ac:dyDescent="0.2">
      <c r="A1269" s="996" t="str">
        <f>CONCATENATE(Programme!D1270,Programme!E1270,Programme!F1270,Programme!G1270,Programme!H1270,Programme!I1270,Programme!J1270)</f>
        <v>&lt;/cellule&gt;</v>
      </c>
    </row>
    <row r="1270" spans="1:1" x14ac:dyDescent="0.2">
      <c r="A1270" s="996" t="str">
        <f>CONCATENATE(Programme!D1271,Programme!E1271,Programme!F1271,Programme!G1271,Programme!H1271,Programme!I1271,Programme!J1271)</f>
        <v>&lt;valeur&gt;0&lt;/valeur&gt;</v>
      </c>
    </row>
    <row r="1271" spans="1:1" x14ac:dyDescent="0.2">
      <c r="A1271" s="996" t="str">
        <f>CONCATENATE(Programme!D1272,Programme!E1272,Programme!F1272,Programme!G1272,Programme!H1272,Programme!I1272,Programme!J1272)</f>
        <v>&lt;/ValeurCellule&gt;</v>
      </c>
    </row>
    <row r="1272" spans="1:1" x14ac:dyDescent="0.2">
      <c r="A1272" s="996" t="str">
        <f>CONCATENATE(Programme!D1273,Programme!E1273,Programme!F1273,Programme!G1273,Programme!H1273,Programme!I1273,Programme!J1273)</f>
        <v>&lt;ValeurCellule&gt;</v>
      </c>
    </row>
    <row r="1273" spans="1:1" x14ac:dyDescent="0.2">
      <c r="A1273" s="996" t="str">
        <f>CONCATENATE(Programme!D1274,Programme!E1274,Programme!F1274,Programme!G1274,Programme!H1274,Programme!I1274,Programme!J1274)</f>
        <v>&lt;cellule&gt;</v>
      </c>
    </row>
    <row r="1274" spans="1:1" x14ac:dyDescent="0.2">
      <c r="A1274" s="996" t="str">
        <f>CONCATENATE(Programme!D1275,Programme!E1275,Programme!F1275,Programme!G1275,Programme!H1275,Programme!I1275,Programme!J1275)</f>
        <v>&lt;codeEdi&gt;13412&lt;/codeEdi&gt;</v>
      </c>
    </row>
    <row r="1275" spans="1:1" x14ac:dyDescent="0.2">
      <c r="A1275" s="996" t="str">
        <f>CONCATENATE(Programme!D1276,Programme!E1276,Programme!F1276,Programme!G1276,Programme!H1276,Programme!I1276,Programme!J1276)</f>
        <v>&lt;/cellule&gt;</v>
      </c>
    </row>
    <row r="1276" spans="1:1" x14ac:dyDescent="0.2">
      <c r="A1276" s="996" t="str">
        <f>CONCATENATE(Programme!D1277,Programme!E1277,Programme!F1277,Programme!G1277,Programme!H1277,Programme!I1277,Programme!J1277)</f>
        <v>&lt;valeur&gt;0&lt;/valeur&gt;</v>
      </c>
    </row>
    <row r="1277" spans="1:1" x14ac:dyDescent="0.2">
      <c r="A1277" s="996" t="str">
        <f>CONCATENATE(Programme!D1278,Programme!E1278,Programme!F1278,Programme!G1278,Programme!H1278,Programme!I1278,Programme!J1278)</f>
        <v>&lt;/ValeurCellule&gt;</v>
      </c>
    </row>
    <row r="1278" spans="1:1" x14ac:dyDescent="0.2">
      <c r="A1278" s="996" t="str">
        <f>CONCATENATE(Programme!D1279,Programme!E1279,Programme!F1279,Programme!G1279,Programme!H1279,Programme!I1279,Programme!J1279)</f>
        <v>&lt;ValeurCellule&gt;</v>
      </c>
    </row>
    <row r="1279" spans="1:1" x14ac:dyDescent="0.2">
      <c r="A1279" s="996" t="str">
        <f>CONCATENATE(Programme!D1280,Programme!E1280,Programme!F1280,Programme!G1280,Programme!H1280,Programme!I1280,Programme!J1280)</f>
        <v>&lt;cellule&gt;</v>
      </c>
    </row>
    <row r="1280" spans="1:1" x14ac:dyDescent="0.2">
      <c r="A1280" s="996" t="str">
        <f>CONCATENATE(Programme!D1281,Programme!E1281,Programme!F1281,Programme!G1281,Programme!H1281,Programme!I1281,Programme!J1281)</f>
        <v>&lt;codeEdi&gt;13413&lt;/codeEdi&gt;</v>
      </c>
    </row>
    <row r="1281" spans="1:1" x14ac:dyDescent="0.2">
      <c r="A1281" s="996" t="str">
        <f>CONCATENATE(Programme!D1282,Programme!E1282,Programme!F1282,Programme!G1282,Programme!H1282,Programme!I1282,Programme!J1282)</f>
        <v>&lt;/cellule&gt;</v>
      </c>
    </row>
    <row r="1282" spans="1:1" x14ac:dyDescent="0.2">
      <c r="A1282" s="996" t="str">
        <f>CONCATENATE(Programme!D1283,Programme!E1283,Programme!F1283,Programme!G1283,Programme!H1283,Programme!I1283,Programme!J1283)</f>
        <v>&lt;valeur&gt;&lt;/valeur&gt;</v>
      </c>
    </row>
    <row r="1283" spans="1:1" x14ac:dyDescent="0.2">
      <c r="A1283" s="996" t="str">
        <f>CONCATENATE(Programme!D1284,Programme!E1284,Programme!F1284,Programme!G1284,Programme!H1284,Programme!I1284,Programme!J1284)</f>
        <v>&lt;/ValeurCellule&gt;</v>
      </c>
    </row>
    <row r="1284" spans="1:1" x14ac:dyDescent="0.2">
      <c r="A1284" s="996" t="str">
        <f>CONCATENATE(Programme!D1285,Programme!E1285,Programme!F1285,Programme!G1285,Programme!H1285,Programme!I1285,Programme!J1285)</f>
        <v>&lt;ValeurCellule&gt;</v>
      </c>
    </row>
    <row r="1285" spans="1:1" x14ac:dyDescent="0.2">
      <c r="A1285" s="996" t="str">
        <f>CONCATENATE(Programme!D1286,Programme!E1286,Programme!F1286,Programme!G1286,Programme!H1286,Programme!I1286,Programme!J1286)</f>
        <v>&lt;cellule&gt;</v>
      </c>
    </row>
    <row r="1286" spans="1:1" x14ac:dyDescent="0.2">
      <c r="A1286" s="996" t="str">
        <f>CONCATENATE(Programme!D1287,Programme!E1287,Programme!F1287,Programme!G1287,Programme!H1287,Programme!I1287,Programme!J1287)</f>
        <v>&lt;codeEdi&gt;13414&lt;/codeEdi&gt;</v>
      </c>
    </row>
    <row r="1287" spans="1:1" x14ac:dyDescent="0.2">
      <c r="A1287" s="996" t="str">
        <f>CONCATENATE(Programme!D1288,Programme!E1288,Programme!F1288,Programme!G1288,Programme!H1288,Programme!I1288,Programme!J1288)</f>
        <v>&lt;/cellule&gt;</v>
      </c>
    </row>
    <row r="1288" spans="1:1" x14ac:dyDescent="0.2">
      <c r="A1288" s="996" t="str">
        <f>CONCATENATE(Programme!D1289,Programme!E1289,Programme!F1289,Programme!G1289,Programme!H1289,Programme!I1289,Programme!J1289)</f>
        <v>&lt;valeur&gt;0&lt;/valeur&gt;</v>
      </c>
    </row>
    <row r="1289" spans="1:1" x14ac:dyDescent="0.2">
      <c r="A1289" s="996" t="str">
        <f>CONCATENATE(Programme!D1290,Programme!E1290,Programme!F1290,Programme!G1290,Programme!H1290,Programme!I1290,Programme!J1290)</f>
        <v>&lt;/ValeurCellule&gt;</v>
      </c>
    </row>
    <row r="1290" spans="1:1" x14ac:dyDescent="0.2">
      <c r="A1290" s="996" t="str">
        <f>CONCATENATE(Programme!D1291,Programme!E1291,Programme!F1291,Programme!G1291,Programme!H1291,Programme!I1291,Programme!J1291)</f>
        <v>&lt;ValeurCellule&gt;</v>
      </c>
    </row>
    <row r="1291" spans="1:1" x14ac:dyDescent="0.2">
      <c r="A1291" s="996" t="str">
        <f>CONCATENATE(Programme!D1292,Programme!E1292,Programme!F1292,Programme!G1292,Programme!H1292,Programme!I1292,Programme!J1292)</f>
        <v>&lt;cellule&gt;</v>
      </c>
    </row>
    <row r="1292" spans="1:1" x14ac:dyDescent="0.2">
      <c r="A1292" s="996" t="str">
        <f>CONCATENATE(Programme!D1293,Programme!E1293,Programme!F1293,Programme!G1293,Programme!H1293,Programme!I1293,Programme!J1293)</f>
        <v>&lt;codeEdi&gt;13415&lt;/codeEdi&gt;</v>
      </c>
    </row>
    <row r="1293" spans="1:1" x14ac:dyDescent="0.2">
      <c r="A1293" s="996" t="str">
        <f>CONCATENATE(Programme!D1294,Programme!E1294,Programme!F1294,Programme!G1294,Programme!H1294,Programme!I1294,Programme!J1294)</f>
        <v>&lt;/cellule&gt;</v>
      </c>
    </row>
    <row r="1294" spans="1:1" x14ac:dyDescent="0.2">
      <c r="A1294" s="996" t="str">
        <f>CONCATENATE(Programme!D1295,Programme!E1295,Programme!F1295,Programme!G1295,Programme!H1295,Programme!I1295,Programme!J1295)</f>
        <v>&lt;valeur&gt;0&lt;/valeur&gt;</v>
      </c>
    </row>
    <row r="1295" spans="1:1" x14ac:dyDescent="0.2">
      <c r="A1295" s="996" t="str">
        <f>CONCATENATE(Programme!D1296,Programme!E1296,Programme!F1296,Programme!G1296,Programme!H1296,Programme!I1296,Programme!J1296)</f>
        <v>&lt;/ValeurCellule&gt;</v>
      </c>
    </row>
    <row r="1296" spans="1:1" x14ac:dyDescent="0.2">
      <c r="A1296" s="996" t="str">
        <f>CONCATENATE(Programme!D1297,Programme!E1297,Programme!F1297,Programme!G1297,Programme!H1297,Programme!I1297,Programme!J1297)</f>
        <v>&lt;ValeurCellule&gt;</v>
      </c>
    </row>
    <row r="1297" spans="1:1" x14ac:dyDescent="0.2">
      <c r="A1297" s="996" t="str">
        <f>CONCATENATE(Programme!D1298,Programme!E1298,Programme!F1298,Programme!G1298,Programme!H1298,Programme!I1298,Programme!J1298)</f>
        <v>&lt;cellule&gt;</v>
      </c>
    </row>
    <row r="1298" spans="1:1" x14ac:dyDescent="0.2">
      <c r="A1298" s="996" t="str">
        <f>CONCATENATE(Programme!D1299,Programme!E1299,Programme!F1299,Programme!G1299,Programme!H1299,Programme!I1299,Programme!J1299)</f>
        <v>&lt;codeEdi&gt;13416&lt;/codeEdi&gt;</v>
      </c>
    </row>
    <row r="1299" spans="1:1" x14ac:dyDescent="0.2">
      <c r="A1299" s="996" t="str">
        <f>CONCATENATE(Programme!D1300,Programme!E1300,Programme!F1300,Programme!G1300,Programme!H1300,Programme!I1300,Programme!J1300)</f>
        <v>&lt;/cellule&gt;</v>
      </c>
    </row>
    <row r="1300" spans="1:1" x14ac:dyDescent="0.2">
      <c r="A1300" s="996" t="str">
        <f>CONCATENATE(Programme!D1301,Programme!E1301,Programme!F1301,Programme!G1301,Programme!H1301,Programme!I1301,Programme!J1301)</f>
        <v>&lt;valeur&gt;0&lt;/valeur&gt;</v>
      </c>
    </row>
    <row r="1301" spans="1:1" x14ac:dyDescent="0.2">
      <c r="A1301" s="996" t="str">
        <f>CONCATENATE(Programme!D1302,Programme!E1302,Programme!F1302,Programme!G1302,Programme!H1302,Programme!I1302,Programme!J1302)</f>
        <v>&lt;/ValeurCellule&gt;</v>
      </c>
    </row>
    <row r="1302" spans="1:1" x14ac:dyDescent="0.2">
      <c r="A1302" s="996" t="str">
        <f>CONCATENATE(Programme!D1303,Programme!E1303,Programme!F1303,Programme!G1303,Programme!H1303,Programme!I1303,Programme!J1303)</f>
        <v>&lt;ValeurCellule&gt;</v>
      </c>
    </row>
    <row r="1303" spans="1:1" x14ac:dyDescent="0.2">
      <c r="A1303" s="996" t="str">
        <f>CONCATENATE(Programme!D1304,Programme!E1304,Programme!F1304,Programme!G1304,Programme!H1304,Programme!I1304,Programme!J1304)</f>
        <v>&lt;cellule&gt;</v>
      </c>
    </row>
    <row r="1304" spans="1:1" x14ac:dyDescent="0.2">
      <c r="A1304" s="996" t="str">
        <f>CONCATENATE(Programme!D1305,Programme!E1305,Programme!F1305,Programme!G1305,Programme!H1305,Programme!I1305,Programme!J1305)</f>
        <v>&lt;codeEdi&gt;13417&lt;/codeEdi&gt;</v>
      </c>
    </row>
    <row r="1305" spans="1:1" x14ac:dyDescent="0.2">
      <c r="A1305" s="996" t="str">
        <f>CONCATENATE(Programme!D1306,Programme!E1306,Programme!F1306,Programme!G1306,Programme!H1306,Programme!I1306,Programme!J1306)</f>
        <v>&lt;/cellule&gt;</v>
      </c>
    </row>
    <row r="1306" spans="1:1" x14ac:dyDescent="0.2">
      <c r="A1306" s="996" t="str">
        <f>CONCATENATE(Programme!D1307,Programme!E1307,Programme!F1307,Programme!G1307,Programme!H1307,Programme!I1307,Programme!J1307)</f>
        <v>&lt;valeur&gt;0&lt;/valeur&gt;</v>
      </c>
    </row>
    <row r="1307" spans="1:1" x14ac:dyDescent="0.2">
      <c r="A1307" s="996" t="str">
        <f>CONCATENATE(Programme!D1308,Programme!E1308,Programme!F1308,Programme!G1308,Programme!H1308,Programme!I1308,Programme!J1308)</f>
        <v>&lt;/ValeurCellule&gt;</v>
      </c>
    </row>
    <row r="1308" spans="1:1" x14ac:dyDescent="0.2">
      <c r="A1308" s="996" t="str">
        <f>CONCATENATE(Programme!D1309,Programme!E1309,Programme!F1309,Programme!G1309,Programme!H1309,Programme!I1309,Programme!J1309)</f>
        <v>&lt;ValeurCellule&gt;</v>
      </c>
    </row>
    <row r="1309" spans="1:1" x14ac:dyDescent="0.2">
      <c r="A1309" s="996" t="str">
        <f>CONCATENATE(Programme!D1310,Programme!E1310,Programme!F1310,Programme!G1310,Programme!H1310,Programme!I1310,Programme!J1310)</f>
        <v>&lt;cellule&gt;</v>
      </c>
    </row>
    <row r="1310" spans="1:1" x14ac:dyDescent="0.2">
      <c r="A1310" s="996" t="str">
        <f>CONCATENATE(Programme!D1311,Programme!E1311,Programme!F1311,Programme!G1311,Programme!H1311,Programme!I1311,Programme!J1311)</f>
        <v>&lt;codeEdi&gt;13418&lt;/codeEdi&gt;</v>
      </c>
    </row>
    <row r="1311" spans="1:1" x14ac:dyDescent="0.2">
      <c r="A1311" s="996" t="str">
        <f>CONCATENATE(Programme!D1312,Programme!E1312,Programme!F1312,Programme!G1312,Programme!H1312,Programme!I1312,Programme!J1312)</f>
        <v>&lt;/cellule&gt;</v>
      </c>
    </row>
    <row r="1312" spans="1:1" x14ac:dyDescent="0.2">
      <c r="A1312" s="996" t="str">
        <f>CONCATENATE(Programme!D1313,Programme!E1313,Programme!F1313,Programme!G1313,Programme!H1313,Programme!I1313,Programme!J1313)</f>
        <v>&lt;valeur&gt;0&lt;/valeur&gt;</v>
      </c>
    </row>
    <row r="1313" spans="1:1" x14ac:dyDescent="0.2">
      <c r="A1313" s="996" t="str">
        <f>CONCATENATE(Programme!D1314,Programme!E1314,Programme!F1314,Programme!G1314,Programme!H1314,Programme!I1314,Programme!J1314)</f>
        <v>&lt;/ValeurCellule&gt;</v>
      </c>
    </row>
    <row r="1314" spans="1:1" x14ac:dyDescent="0.2">
      <c r="A1314" s="996" t="str">
        <f>CONCATENATE(Programme!D1315,Programme!E1315,Programme!F1315,Programme!G1315,Programme!H1315,Programme!I1315,Programme!J1315)</f>
        <v>&lt;ValeurCellule&gt;</v>
      </c>
    </row>
    <row r="1315" spans="1:1" x14ac:dyDescent="0.2">
      <c r="A1315" s="996" t="str">
        <f>CONCATENATE(Programme!D1316,Programme!E1316,Programme!F1316,Programme!G1316,Programme!H1316,Programme!I1316,Programme!J1316)</f>
        <v>&lt;cellule&gt;</v>
      </c>
    </row>
    <row r="1316" spans="1:1" x14ac:dyDescent="0.2">
      <c r="A1316" s="996" t="str">
        <f>CONCATENATE(Programme!D1317,Programme!E1317,Programme!F1317,Programme!G1317,Programme!H1317,Programme!I1317,Programme!J1317)</f>
        <v>&lt;codeEdi&gt;13419&lt;/codeEdi&gt;</v>
      </c>
    </row>
    <row r="1317" spans="1:1" x14ac:dyDescent="0.2">
      <c r="A1317" s="996" t="str">
        <f>CONCATENATE(Programme!D1318,Programme!E1318,Programme!F1318,Programme!G1318,Programme!H1318,Programme!I1318,Programme!J1318)</f>
        <v>&lt;/cellule&gt;</v>
      </c>
    </row>
    <row r="1318" spans="1:1" x14ac:dyDescent="0.2">
      <c r="A1318" s="996" t="str">
        <f>CONCATENATE(Programme!D1319,Programme!E1319,Programme!F1319,Programme!G1319,Programme!H1319,Programme!I1319,Programme!J1319)</f>
        <v>&lt;valeur&gt;0&lt;/valeur&gt;</v>
      </c>
    </row>
    <row r="1319" spans="1:1" x14ac:dyDescent="0.2">
      <c r="A1319" s="996" t="str">
        <f>CONCATENATE(Programme!D1320,Programme!E1320,Programme!F1320,Programme!G1320,Programme!H1320,Programme!I1320,Programme!J1320)</f>
        <v>&lt;/ValeurCellule&gt;</v>
      </c>
    </row>
    <row r="1320" spans="1:1" x14ac:dyDescent="0.2">
      <c r="A1320" s="996" t="str">
        <f>CONCATENATE(Programme!D1321,Programme!E1321,Programme!F1321,Programme!G1321,Programme!H1321,Programme!I1321,Programme!J1321)</f>
        <v>&lt;ValeurCellule&gt;</v>
      </c>
    </row>
    <row r="1321" spans="1:1" x14ac:dyDescent="0.2">
      <c r="A1321" s="996" t="str">
        <f>CONCATENATE(Programme!D1322,Programme!E1322,Programme!F1322,Programme!G1322,Programme!H1322,Programme!I1322,Programme!J1322)</f>
        <v>&lt;cellule&gt;</v>
      </c>
    </row>
    <row r="1322" spans="1:1" x14ac:dyDescent="0.2">
      <c r="A1322" s="996" t="str">
        <f>CONCATENATE(Programme!D1323,Programme!E1323,Programme!F1323,Programme!G1323,Programme!H1323,Programme!I1323,Programme!J1323)</f>
        <v>&lt;codeEdi&gt;13420&lt;/codeEdi&gt;</v>
      </c>
    </row>
    <row r="1323" spans="1:1" x14ac:dyDescent="0.2">
      <c r="A1323" s="996" t="str">
        <f>CONCATENATE(Programme!D1324,Programme!E1324,Programme!F1324,Programme!G1324,Programme!H1324,Programme!I1324,Programme!J1324)</f>
        <v>&lt;/cellule&gt;</v>
      </c>
    </row>
    <row r="1324" spans="1:1" x14ac:dyDescent="0.2">
      <c r="A1324" s="996" t="str">
        <f>CONCATENATE(Programme!D1325,Programme!E1325,Programme!F1325,Programme!G1325,Programme!H1325,Programme!I1325,Programme!J1325)</f>
        <v>&lt;valeur&gt;0&lt;/valeur&gt;</v>
      </c>
    </row>
    <row r="1325" spans="1:1" x14ac:dyDescent="0.2">
      <c r="A1325" s="996" t="str">
        <f>CONCATENATE(Programme!D1326,Programme!E1326,Programme!F1326,Programme!G1326,Programme!H1326,Programme!I1326,Programme!J1326)</f>
        <v>&lt;/ValeurCellule&gt;</v>
      </c>
    </row>
    <row r="1326" spans="1:1" x14ac:dyDescent="0.2">
      <c r="A1326" s="996" t="str">
        <f>CONCATENATE(Programme!D1327,Programme!E1327,Programme!F1327,Programme!G1327,Programme!H1327,Programme!I1327,Programme!J1327)</f>
        <v>&lt;ValeurCellule&gt;</v>
      </c>
    </row>
    <row r="1327" spans="1:1" x14ac:dyDescent="0.2">
      <c r="A1327" s="996" t="str">
        <f>CONCATENATE(Programme!D1328,Programme!E1328,Programme!F1328,Programme!G1328,Programme!H1328,Programme!I1328,Programme!J1328)</f>
        <v>&lt;cellule&gt;</v>
      </c>
    </row>
    <row r="1328" spans="1:1" x14ac:dyDescent="0.2">
      <c r="A1328" s="996" t="str">
        <f>CONCATENATE(Programme!D1329,Programme!E1329,Programme!F1329,Programme!G1329,Programme!H1329,Programme!I1329,Programme!J1329)</f>
        <v>&lt;codeEdi&gt;13421&lt;/codeEdi&gt;</v>
      </c>
    </row>
    <row r="1329" spans="1:1" x14ac:dyDescent="0.2">
      <c r="A1329" s="996" t="str">
        <f>CONCATENATE(Programme!D1330,Programme!E1330,Programme!F1330,Programme!G1330,Programme!H1330,Programme!I1330,Programme!J1330)</f>
        <v>&lt;/cellule&gt;</v>
      </c>
    </row>
    <row r="1330" spans="1:1" x14ac:dyDescent="0.2">
      <c r="A1330" s="996" t="str">
        <f>CONCATENATE(Programme!D1331,Programme!E1331,Programme!F1331,Programme!G1331,Programme!H1331,Programme!I1331,Programme!J1331)</f>
        <v>&lt;valeur&gt;0&lt;/valeur&gt;</v>
      </c>
    </row>
    <row r="1331" spans="1:1" x14ac:dyDescent="0.2">
      <c r="A1331" s="996" t="str">
        <f>CONCATENATE(Programme!D1332,Programme!E1332,Programme!F1332,Programme!G1332,Programme!H1332,Programme!I1332,Programme!J1332)</f>
        <v>&lt;/ValeurCellule&gt;</v>
      </c>
    </row>
    <row r="1332" spans="1:1" x14ac:dyDescent="0.2">
      <c r="A1332" s="996" t="str">
        <f>CONCATENATE(Programme!D1333,Programme!E1333,Programme!F1333,Programme!G1333,Programme!H1333,Programme!I1333,Programme!J1333)</f>
        <v>&lt;ValeurCellule&gt;</v>
      </c>
    </row>
    <row r="1333" spans="1:1" x14ac:dyDescent="0.2">
      <c r="A1333" s="996" t="str">
        <f>CONCATENATE(Programme!D1334,Programme!E1334,Programme!F1334,Programme!G1334,Programme!H1334,Programme!I1334,Programme!J1334)</f>
        <v>&lt;cellule&gt;</v>
      </c>
    </row>
    <row r="1334" spans="1:1" x14ac:dyDescent="0.2">
      <c r="A1334" s="996" t="str">
        <f>CONCATENATE(Programme!D1335,Programme!E1335,Programme!F1335,Programme!G1335,Programme!H1335,Programme!I1335,Programme!J1335)</f>
        <v>&lt;codeEdi&gt;13397&lt;/codeEdi&gt;</v>
      </c>
    </row>
    <row r="1335" spans="1:1" x14ac:dyDescent="0.2">
      <c r="A1335" s="996" t="str">
        <f>CONCATENATE(Programme!D1336,Programme!E1336,Programme!F1336,Programme!G1336,Programme!H1336,Programme!I1336,Programme!J1336)</f>
        <v>&lt;/cellule&gt;</v>
      </c>
    </row>
    <row r="1336" spans="1:1" x14ac:dyDescent="0.2">
      <c r="A1336" s="996" t="str">
        <f>CONCATENATE(Programme!D1337,Programme!E1337,Programme!F1337,Programme!G1337,Programme!H1337,Programme!I1337,Programme!J1337)</f>
        <v>&lt;valeur&gt;0&lt;/valeur&gt;</v>
      </c>
    </row>
    <row r="1337" spans="1:1" x14ac:dyDescent="0.2">
      <c r="A1337" s="996" t="str">
        <f>CONCATENATE(Programme!D1338,Programme!E1338,Programme!F1338,Programme!G1338,Programme!H1338,Programme!I1338,Programme!J1338)</f>
        <v>&lt;/ValeurCellule&gt;</v>
      </c>
    </row>
    <row r="1338" spans="1:1" x14ac:dyDescent="0.2">
      <c r="A1338" s="996" t="str">
        <f>CONCATENATE(Programme!D1339,Programme!E1339,Programme!F1339,Programme!G1339,Programme!H1339,Programme!I1339,Programme!J1339)</f>
        <v>&lt;ValeurCellule&gt;</v>
      </c>
    </row>
    <row r="1339" spans="1:1" x14ac:dyDescent="0.2">
      <c r="A1339" s="996" t="str">
        <f>CONCATENATE(Programme!D1340,Programme!E1340,Programme!F1340,Programme!G1340,Programme!H1340,Programme!I1340,Programme!J1340)</f>
        <v>&lt;cellule&gt;</v>
      </c>
    </row>
    <row r="1340" spans="1:1" x14ac:dyDescent="0.2">
      <c r="A1340" s="996" t="str">
        <f>CONCATENATE(Programme!D1341,Programme!E1341,Programme!F1341,Programme!G1341,Programme!H1341,Programme!I1341,Programme!J1341)</f>
        <v>&lt;codeEdi&gt;13398&lt;/codeEdi&gt;</v>
      </c>
    </row>
    <row r="1341" spans="1:1" x14ac:dyDescent="0.2">
      <c r="A1341" s="996" t="str">
        <f>CONCATENATE(Programme!D1342,Programme!E1342,Programme!F1342,Programme!G1342,Programme!H1342,Programme!I1342,Programme!J1342)</f>
        <v>&lt;/cellule&gt;</v>
      </c>
    </row>
    <row r="1342" spans="1:1" x14ac:dyDescent="0.2">
      <c r="A1342" s="996" t="str">
        <f>CONCATENATE(Programme!D1343,Programme!E1343,Programme!F1343,Programme!G1343,Programme!H1343,Programme!I1343,Programme!J1343)</f>
        <v>&lt;valeur&gt;0&lt;/valeur&gt;</v>
      </c>
    </row>
    <row r="1343" spans="1:1" x14ac:dyDescent="0.2">
      <c r="A1343" s="996" t="str">
        <f>CONCATENATE(Programme!D1344,Programme!E1344,Programme!F1344,Programme!G1344,Programme!H1344,Programme!I1344,Programme!J1344)</f>
        <v>&lt;/ValeurCellule&gt;</v>
      </c>
    </row>
    <row r="1344" spans="1:1" x14ac:dyDescent="0.2">
      <c r="A1344" s="996" t="str">
        <f>CONCATENATE(Programme!D1345,Programme!E1345,Programme!F1345,Programme!G1345,Programme!H1345,Programme!I1345,Programme!J1345)</f>
        <v>&lt;ValeurCellule&gt;</v>
      </c>
    </row>
    <row r="1345" spans="1:1" x14ac:dyDescent="0.2">
      <c r="A1345" s="996" t="str">
        <f>CONCATENATE(Programme!D1346,Programme!E1346,Programme!F1346,Programme!G1346,Programme!H1346,Programme!I1346,Programme!J1346)</f>
        <v>&lt;cellule&gt;</v>
      </c>
    </row>
    <row r="1346" spans="1:1" x14ac:dyDescent="0.2">
      <c r="A1346" s="996" t="str">
        <f>CONCATENATE(Programme!D1347,Programme!E1347,Programme!F1347,Programme!G1347,Programme!H1347,Programme!I1347,Programme!J1347)</f>
        <v>&lt;codeEdi&gt;13399&lt;/codeEdi&gt;</v>
      </c>
    </row>
    <row r="1347" spans="1:1" x14ac:dyDescent="0.2">
      <c r="A1347" s="996" t="str">
        <f>CONCATENATE(Programme!D1348,Programme!E1348,Programme!F1348,Programme!G1348,Programme!H1348,Programme!I1348,Programme!J1348)</f>
        <v>&lt;/cellule&gt;</v>
      </c>
    </row>
    <row r="1348" spans="1:1" x14ac:dyDescent="0.2">
      <c r="A1348" s="996" t="str">
        <f>CONCATENATE(Programme!D1349,Programme!E1349,Programme!F1349,Programme!G1349,Programme!H1349,Programme!I1349,Programme!J1349)</f>
        <v>&lt;valeur&gt;0&lt;/valeur&gt;</v>
      </c>
    </row>
    <row r="1349" spans="1:1" x14ac:dyDescent="0.2">
      <c r="A1349" s="996" t="str">
        <f>CONCATENATE(Programme!D1350,Programme!E1350,Programme!F1350,Programme!G1350,Programme!H1350,Programme!I1350,Programme!J1350)</f>
        <v>&lt;/ValeurCellule&gt;</v>
      </c>
    </row>
    <row r="1350" spans="1:1" x14ac:dyDescent="0.2">
      <c r="A1350" s="996" t="str">
        <f>CONCATENATE(Programme!D1351,Programme!E1351,Programme!F1351,Programme!G1351,Programme!H1351,Programme!I1351,Programme!J1351)</f>
        <v>&lt;ValeurCellule&gt;</v>
      </c>
    </row>
    <row r="1351" spans="1:1" x14ac:dyDescent="0.2">
      <c r="A1351" s="996" t="str">
        <f>CONCATENATE(Programme!D1352,Programme!E1352,Programme!F1352,Programme!G1352,Programme!H1352,Programme!I1352,Programme!J1352)</f>
        <v>&lt;cellule&gt;</v>
      </c>
    </row>
    <row r="1352" spans="1:1" x14ac:dyDescent="0.2">
      <c r="A1352" s="996" t="str">
        <f>CONCATENATE(Programme!D1353,Programme!E1353,Programme!F1353,Programme!G1353,Programme!H1353,Programme!I1353,Programme!J1353)</f>
        <v>&lt;codeEdi&gt;13422&lt;/codeEdi&gt;</v>
      </c>
    </row>
    <row r="1353" spans="1:1" x14ac:dyDescent="0.2">
      <c r="A1353" s="996" t="str">
        <f>CONCATENATE(Programme!D1354,Programme!E1354,Programme!F1354,Programme!G1354,Programme!H1354,Programme!I1354,Programme!J1354)</f>
        <v>&lt;/cellule&gt;</v>
      </c>
    </row>
    <row r="1354" spans="1:1" x14ac:dyDescent="0.2">
      <c r="A1354" s="996" t="str">
        <f>CONCATENATE(Programme!D1355,Programme!E1355,Programme!F1355,Programme!G1355,Programme!H1355,Programme!I1355,Programme!J1355)</f>
        <v>&lt;valeur&gt;0&lt;/valeur&gt;</v>
      </c>
    </row>
    <row r="1355" spans="1:1" x14ac:dyDescent="0.2">
      <c r="A1355" s="996" t="str">
        <f>CONCATENATE(Programme!D1356,Programme!E1356,Programme!F1356,Programme!G1356,Programme!H1356,Programme!I1356,Programme!J1356)</f>
        <v>&lt;/ValeurCellule&gt;</v>
      </c>
    </row>
    <row r="1356" spans="1:1" x14ac:dyDescent="0.2">
      <c r="A1356" s="996" t="str">
        <f>CONCATENATE(Programme!D1357,Programme!E1357,Programme!F1357,Programme!G1357,Programme!H1357,Programme!I1357,Programme!J1357)</f>
        <v>&lt;ValeurCellule&gt;</v>
      </c>
    </row>
    <row r="1357" spans="1:1" x14ac:dyDescent="0.2">
      <c r="A1357" s="996" t="str">
        <f>CONCATENATE(Programme!D1358,Programme!E1358,Programme!F1358,Programme!G1358,Programme!H1358,Programme!I1358,Programme!J1358)</f>
        <v>&lt;cellule&gt;</v>
      </c>
    </row>
    <row r="1358" spans="1:1" x14ac:dyDescent="0.2">
      <c r="A1358" s="996" t="str">
        <f>CONCATENATE(Programme!D1359,Programme!E1359,Programme!F1359,Programme!G1359,Programme!H1359,Programme!I1359,Programme!J1359)</f>
        <v>&lt;codeEdi&gt;13423&lt;/codeEdi&gt;</v>
      </c>
    </row>
    <row r="1359" spans="1:1" x14ac:dyDescent="0.2">
      <c r="A1359" s="996" t="str">
        <f>CONCATENATE(Programme!D1360,Programme!E1360,Programme!F1360,Programme!G1360,Programme!H1360,Programme!I1360,Programme!J1360)</f>
        <v>&lt;/cellule&gt;</v>
      </c>
    </row>
    <row r="1360" spans="1:1" x14ac:dyDescent="0.2">
      <c r="A1360" s="996" t="str">
        <f>CONCATENATE(Programme!D1361,Programme!E1361,Programme!F1361,Programme!G1361,Programme!H1361,Programme!I1361,Programme!J1361)</f>
        <v>&lt;valeur&gt;0&lt;/valeur&gt;</v>
      </c>
    </row>
    <row r="1361" spans="1:1" x14ac:dyDescent="0.2">
      <c r="A1361" s="996" t="str">
        <f>CONCATENATE(Programme!D1362,Programme!E1362,Programme!F1362,Programme!G1362,Programme!H1362,Programme!I1362,Programme!J1362)</f>
        <v>&lt;/ValeurCellule&gt;</v>
      </c>
    </row>
    <row r="1362" spans="1:1" x14ac:dyDescent="0.2">
      <c r="A1362" s="996" t="str">
        <f>CONCATENATE(Programme!D1363,Programme!E1363,Programme!F1363,Programme!G1363,Programme!H1363,Programme!I1363,Programme!J1363)</f>
        <v>&lt;ValeurCellule&gt;</v>
      </c>
    </row>
    <row r="1363" spans="1:1" x14ac:dyDescent="0.2">
      <c r="A1363" s="996" t="str">
        <f>CONCATENATE(Programme!D1364,Programme!E1364,Programme!F1364,Programme!G1364,Programme!H1364,Programme!I1364,Programme!J1364)</f>
        <v>&lt;cellule&gt;</v>
      </c>
    </row>
    <row r="1364" spans="1:1" x14ac:dyDescent="0.2">
      <c r="A1364" s="996" t="str">
        <f>CONCATENATE(Programme!D1365,Programme!E1365,Programme!F1365,Programme!G1365,Programme!H1365,Programme!I1365,Programme!J1365)</f>
        <v>&lt;codeEdi&gt;13424&lt;/codeEdi&gt;</v>
      </c>
    </row>
    <row r="1365" spans="1:1" x14ac:dyDescent="0.2">
      <c r="A1365" s="996" t="str">
        <f>CONCATENATE(Programme!D1366,Programme!E1366,Programme!F1366,Programme!G1366,Programme!H1366,Programme!I1366,Programme!J1366)</f>
        <v>&lt;/cellule&gt;</v>
      </c>
    </row>
    <row r="1366" spans="1:1" x14ac:dyDescent="0.2">
      <c r="A1366" s="996" t="str">
        <f>CONCATENATE(Programme!D1367,Programme!E1367,Programme!F1367,Programme!G1367,Programme!H1367,Programme!I1367,Programme!J1367)</f>
        <v>&lt;valeur&gt;0&lt;/valeur&gt;</v>
      </c>
    </row>
    <row r="1367" spans="1:1" x14ac:dyDescent="0.2">
      <c r="A1367" s="996" t="str">
        <f>CONCATENATE(Programme!D1368,Programme!E1368,Programme!F1368,Programme!G1368,Programme!H1368,Programme!I1368,Programme!J1368)</f>
        <v>&lt;/ValeurCellule&gt;</v>
      </c>
    </row>
    <row r="1368" spans="1:1" x14ac:dyDescent="0.2">
      <c r="A1368" s="996" t="str">
        <f>CONCATENATE(Programme!D1369,Programme!E1369,Programme!F1369,Programme!G1369,Programme!H1369,Programme!I1369,Programme!J1369)</f>
        <v>&lt;ValeurCellule&gt;</v>
      </c>
    </row>
    <row r="1369" spans="1:1" x14ac:dyDescent="0.2">
      <c r="A1369" s="996" t="str">
        <f>CONCATENATE(Programme!D1370,Programme!E1370,Programme!F1370,Programme!G1370,Programme!H1370,Programme!I1370,Programme!J1370)</f>
        <v>&lt;cellule&gt;&lt;codeEdi&gt;13339&lt;/codeEdi&gt;&lt;/cellule&gt;</v>
      </c>
    </row>
    <row r="1370" spans="1:1" x14ac:dyDescent="0.2">
      <c r="A1370" s="996" t="str">
        <f>CONCATENATE(Programme!D1371,Programme!E1371,Programme!F1371,Programme!G1371,Programme!H1371,Programme!I1371,Programme!J1371)</f>
        <v>&lt;valeur&gt;&lt;/valeur&gt;</v>
      </c>
    </row>
    <row r="1371" spans="1:1" x14ac:dyDescent="0.2">
      <c r="A1371" s="996" t="str">
        <f>CONCATENATE(Programme!D1372,Programme!E1372,Programme!F1372,Programme!G1372,Programme!H1372,Programme!I1372,Programme!J1372)</f>
        <v>&lt;numeroLigne&gt;1&lt;/numeroLigne&gt;</v>
      </c>
    </row>
    <row r="1372" spans="1:1" x14ac:dyDescent="0.2">
      <c r="A1372" s="996" t="str">
        <f>CONCATENATE(Programme!D1373,Programme!E1373,Programme!F1373,Programme!G1373,Programme!H1373,Programme!I1373,Programme!J1373)</f>
        <v>&lt;/ValeurCellule&gt;</v>
      </c>
    </row>
    <row r="1373" spans="1:1" x14ac:dyDescent="0.2">
      <c r="A1373" s="996" t="str">
        <f>CONCATENATE(Programme!D1374,Programme!E1374,Programme!F1374,Programme!G1374,Programme!H1374,Programme!I1374,Programme!J1374)</f>
        <v>&lt;ValeurCellule&gt;</v>
      </c>
    </row>
    <row r="1374" spans="1:1" x14ac:dyDescent="0.2">
      <c r="A1374" s="996" t="str">
        <f>CONCATENATE(Programme!D1375,Programme!E1375,Programme!F1375,Programme!G1375,Programme!H1375,Programme!I1375,Programme!J1375)</f>
        <v>&lt;cellule&gt;&lt;codeEdi&gt;13396&lt;/codeEdi&gt;&lt;/cellule&gt;</v>
      </c>
    </row>
    <row r="1375" spans="1:1" x14ac:dyDescent="0.2">
      <c r="A1375" s="996" t="str">
        <f>CONCATENATE(Programme!D1376,Programme!E1376,Programme!F1376,Programme!G1376,Programme!H1376,Programme!I1376,Programme!J1376)</f>
        <v>&lt;valeur&gt;&lt;/valeur&gt;</v>
      </c>
    </row>
    <row r="1376" spans="1:1" x14ac:dyDescent="0.2">
      <c r="A1376" s="996" t="str">
        <f>CONCATENATE(Programme!D1377,Programme!E1377,Programme!F1377,Programme!G1377,Programme!H1377,Programme!I1377,Programme!J1377)</f>
        <v>&lt;numeroLigne&gt;1&lt;/numeroLigne&gt;</v>
      </c>
    </row>
    <row r="1377" spans="1:1" x14ac:dyDescent="0.2">
      <c r="A1377" s="996" t="str">
        <f>CONCATENATE(Programme!D1378,Programme!E1378,Programme!F1378,Programme!G1378,Programme!H1378,Programme!I1378,Programme!J1378)</f>
        <v>&lt;/ValeurCellule&gt;</v>
      </c>
    </row>
    <row r="1378" spans="1:1" x14ac:dyDescent="0.2">
      <c r="A1378" s="996" t="str">
        <f>CONCATENATE(Programme!D1379,Programme!E1379,Programme!F1379,Programme!G1379,Programme!H1379,Programme!I1379,Programme!J1379)</f>
        <v>&lt;ValeurCellule&gt;</v>
      </c>
    </row>
    <row r="1379" spans="1:1" x14ac:dyDescent="0.2">
      <c r="A1379" s="996" t="str">
        <f>CONCATENATE(Programme!D1380,Programme!E1380,Programme!F1380,Programme!G1380,Programme!H1380,Programme!I1380,Programme!J1380)</f>
        <v>&lt;cellule&gt;&lt;codeEdi&gt;13425&lt;/codeEdi&gt;&lt;/cellule&gt;</v>
      </c>
    </row>
    <row r="1380" spans="1:1" x14ac:dyDescent="0.2">
      <c r="A1380" s="996" t="str">
        <f>CONCATENATE(Programme!D1381,Programme!E1381,Programme!F1381,Programme!G1381,Programme!H1381,Programme!I1381,Programme!J1381)</f>
        <v>&lt;valeur&gt;&lt;/valeur&gt;</v>
      </c>
    </row>
    <row r="1381" spans="1:1" x14ac:dyDescent="0.2">
      <c r="A1381" s="996" t="str">
        <f>CONCATENATE(Programme!D1382,Programme!E1382,Programme!F1382,Programme!G1382,Programme!H1382,Programme!I1382,Programme!J1382)</f>
        <v>&lt;numeroLigne&gt;1&lt;/numeroLigne&gt;</v>
      </c>
    </row>
    <row r="1382" spans="1:1" x14ac:dyDescent="0.2">
      <c r="A1382" s="996" t="str">
        <f>CONCATENATE(Programme!D1383,Programme!E1383,Programme!F1383,Programme!G1383,Programme!H1383,Programme!I1383,Programme!J1383)</f>
        <v>&lt;/ValeurCellule&gt;</v>
      </c>
    </row>
    <row r="1383" spans="1:1" x14ac:dyDescent="0.2">
      <c r="A1383" s="996" t="str">
        <f>CONCATENATE(Programme!D1384,Programme!E1384,Programme!F1384,Programme!G1384,Programme!H1384,Programme!I1384,Programme!J1384)</f>
        <v>&lt;ValeurCellule&gt;</v>
      </c>
    </row>
    <row r="1384" spans="1:1" x14ac:dyDescent="0.2">
      <c r="A1384" s="996" t="str">
        <f>CONCATENATE(Programme!D1385,Programme!E1385,Programme!F1385,Programme!G1385,Programme!H1385,Programme!I1385,Programme!J1385)</f>
        <v>&lt;cellule&gt;</v>
      </c>
    </row>
    <row r="1385" spans="1:1" x14ac:dyDescent="0.2">
      <c r="A1385" s="996" t="str">
        <f>CONCATENATE(Programme!D1386,Programme!E1386,Programme!F1386,Programme!G1386,Programme!H1386,Programme!I1386,Programme!J1386)</f>
        <v>&lt;codeEdi&gt;13393&lt;/codeEdi&gt;</v>
      </c>
    </row>
    <row r="1386" spans="1:1" x14ac:dyDescent="0.2">
      <c r="A1386" s="996" t="str">
        <f>CONCATENATE(Programme!D1387,Programme!E1387,Programme!F1387,Programme!G1387,Programme!H1387,Programme!I1387,Programme!J1387)</f>
        <v>&lt;/cellule&gt;</v>
      </c>
    </row>
    <row r="1387" spans="1:1" x14ac:dyDescent="0.2">
      <c r="A1387" s="996" t="str">
        <f>CONCATENATE(Programme!D1388,Programme!E1388,Programme!F1388,Programme!G1388,Programme!H1388,Programme!I1388,Programme!J1388)</f>
        <v>&lt;valeur&gt;0&lt;/valeur&gt;</v>
      </c>
    </row>
    <row r="1388" spans="1:1" x14ac:dyDescent="0.2">
      <c r="A1388" s="996" t="str">
        <f>CONCATENATE(Programme!D1389,Programme!E1389,Programme!F1389,Programme!G1389,Programme!H1389,Programme!I1389,Programme!J1389)</f>
        <v>&lt;/ValeurCellule&gt;</v>
      </c>
    </row>
    <row r="1389" spans="1:1" x14ac:dyDescent="0.2">
      <c r="A1389" s="996" t="str">
        <f>CONCATENATE(Programme!D1390,Programme!E1390,Programme!F1390,Programme!G1390,Programme!H1390,Programme!I1390,Programme!J1390)</f>
        <v>&lt;ValeurCellule&gt;</v>
      </c>
    </row>
    <row r="1390" spans="1:1" x14ac:dyDescent="0.2">
      <c r="A1390" s="996" t="str">
        <f>CONCATENATE(Programme!D1391,Programme!E1391,Programme!F1391,Programme!G1391,Programme!H1391,Programme!I1391,Programme!J1391)</f>
        <v>&lt;cellule&gt;</v>
      </c>
    </row>
    <row r="1391" spans="1:1" x14ac:dyDescent="0.2">
      <c r="A1391" s="996" t="str">
        <f>CONCATENATE(Programme!D1392,Programme!E1392,Programme!F1392,Programme!G1392,Programme!H1392,Programme!I1392,Programme!J1392)</f>
        <v>&lt;codeEdi&gt;13394&lt;/codeEdi&gt;</v>
      </c>
    </row>
    <row r="1392" spans="1:1" x14ac:dyDescent="0.2">
      <c r="A1392" s="996" t="str">
        <f>CONCATENATE(Programme!D1393,Programme!E1393,Programme!F1393,Programme!G1393,Programme!H1393,Programme!I1393,Programme!J1393)</f>
        <v>&lt;/cellule&gt;</v>
      </c>
    </row>
    <row r="1393" spans="1:1" x14ac:dyDescent="0.2">
      <c r="A1393" s="996" t="str">
        <f>CONCATENATE(Programme!D1394,Programme!E1394,Programme!F1394,Programme!G1394,Programme!H1394,Programme!I1394,Programme!J1394)</f>
        <v>&lt;valeur&gt;0&lt;/valeur&gt;</v>
      </c>
    </row>
    <row r="1394" spans="1:1" x14ac:dyDescent="0.2">
      <c r="A1394" s="996" t="str">
        <f>CONCATENATE(Programme!D1395,Programme!E1395,Programme!F1395,Programme!G1395,Programme!H1395,Programme!I1395,Programme!J1395)</f>
        <v>&lt;/ValeurCellule&gt;</v>
      </c>
    </row>
    <row r="1395" spans="1:1" x14ac:dyDescent="0.2">
      <c r="A1395" s="996" t="str">
        <f>CONCATENATE(Programme!D1396,Programme!E1396,Programme!F1396,Programme!G1396,Programme!H1396,Programme!I1396,Programme!J1396)</f>
        <v>&lt;ValeurCellule&gt;</v>
      </c>
    </row>
    <row r="1396" spans="1:1" x14ac:dyDescent="0.2">
      <c r="A1396" s="996" t="str">
        <f>CONCATENATE(Programme!D1397,Programme!E1397,Programme!F1397,Programme!G1397,Programme!H1397,Programme!I1397,Programme!J1397)</f>
        <v>&lt;cellule&gt;</v>
      </c>
    </row>
    <row r="1397" spans="1:1" x14ac:dyDescent="0.2">
      <c r="A1397" s="996" t="str">
        <f>CONCATENATE(Programme!D1398,Programme!E1398,Programme!F1398,Programme!G1398,Programme!H1398,Programme!I1398,Programme!J1398)</f>
        <v>&lt;codeEdi&gt;13395&lt;/codeEdi&gt;</v>
      </c>
    </row>
    <row r="1398" spans="1:1" x14ac:dyDescent="0.2">
      <c r="A1398" s="996" t="str">
        <f>CONCATENATE(Programme!D1399,Programme!E1399,Programme!F1399,Programme!G1399,Programme!H1399,Programme!I1399,Programme!J1399)</f>
        <v>&lt;/cellule&gt;</v>
      </c>
    </row>
    <row r="1399" spans="1:1" x14ac:dyDescent="0.2">
      <c r="A1399" s="996" t="str">
        <f>CONCATENATE(Programme!D1400,Programme!E1400,Programme!F1400,Programme!G1400,Programme!H1400,Programme!I1400,Programme!J1400)</f>
        <v>&lt;valeur&gt;0&lt;/valeur&gt;</v>
      </c>
    </row>
    <row r="1400" spans="1:1" x14ac:dyDescent="0.2">
      <c r="A1400" s="996" t="str">
        <f>CONCATENATE(Programme!D1401,Programme!E1401,Programme!F1401,Programme!G1401,Programme!H1401,Programme!I1401,Programme!J1401)</f>
        <v>&lt;/ValeurCellule&gt;</v>
      </c>
    </row>
    <row r="1401" spans="1:1" x14ac:dyDescent="0.2">
      <c r="A1401" s="996" t="str">
        <f>CONCATENATE(Programme!D1402,Programme!E1402,Programme!F1402,Programme!G1402,Programme!H1402,Programme!I1402,Programme!J1402)</f>
        <v>&lt;ValeurCellule&gt;</v>
      </c>
    </row>
    <row r="1402" spans="1:1" x14ac:dyDescent="0.2">
      <c r="A1402" s="996" t="str">
        <f>CONCATENATE(Programme!D1403,Programme!E1403,Programme!F1403,Programme!G1403,Programme!H1403,Programme!I1403,Programme!J1403)</f>
        <v>&lt;cellule&gt;</v>
      </c>
    </row>
    <row r="1403" spans="1:1" x14ac:dyDescent="0.2">
      <c r="A1403" s="996" t="str">
        <f>CONCATENATE(Programme!D1404,Programme!E1404,Programme!F1404,Programme!G1404,Programme!H1404,Programme!I1404,Programme!J1404)</f>
        <v>&lt;codeEdi&gt;13426&lt;/codeEdi&gt;</v>
      </c>
    </row>
    <row r="1404" spans="1:1" x14ac:dyDescent="0.2">
      <c r="A1404" s="996" t="str">
        <f>CONCATENATE(Programme!D1405,Programme!E1405,Programme!F1405,Programme!G1405,Programme!H1405,Programme!I1405,Programme!J1405)</f>
        <v>&lt;/cellule&gt;</v>
      </c>
    </row>
    <row r="1405" spans="1:1" x14ac:dyDescent="0.2">
      <c r="A1405" s="996" t="str">
        <f>CONCATENATE(Programme!D1406,Programme!E1406,Programme!F1406,Programme!G1406,Programme!H1406,Programme!I1406,Programme!J1406)</f>
        <v>&lt;valeur&gt;0&lt;/valeur&gt;</v>
      </c>
    </row>
    <row r="1406" spans="1:1" x14ac:dyDescent="0.2">
      <c r="A1406" s="996" t="str">
        <f>CONCATENATE(Programme!D1407,Programme!E1407,Programme!F1407,Programme!G1407,Programme!H1407,Programme!I1407,Programme!J1407)</f>
        <v>&lt;/ValeurCellule&gt;</v>
      </c>
    </row>
    <row r="1407" spans="1:1" x14ac:dyDescent="0.2">
      <c r="A1407" s="996" t="str">
        <f>CONCATENATE(Programme!D1408,Programme!E1408,Programme!F1408,Programme!G1408,Programme!H1408,Programme!I1408,Programme!J1408)</f>
        <v>&lt;ValeurCellule&gt;</v>
      </c>
    </row>
    <row r="1408" spans="1:1" x14ac:dyDescent="0.2">
      <c r="A1408" s="996" t="str">
        <f>CONCATENATE(Programme!D1409,Programme!E1409,Programme!F1409,Programme!G1409,Programme!H1409,Programme!I1409,Programme!J1409)</f>
        <v>&lt;cellule&gt;</v>
      </c>
    </row>
    <row r="1409" spans="1:1" x14ac:dyDescent="0.2">
      <c r="A1409" s="996" t="str">
        <f>CONCATENATE(Programme!D1410,Programme!E1410,Programme!F1410,Programme!G1410,Programme!H1410,Programme!I1410,Programme!J1410)</f>
        <v>&lt;codeEdi&gt;13427&lt;/codeEdi&gt;</v>
      </c>
    </row>
    <row r="1410" spans="1:1" x14ac:dyDescent="0.2">
      <c r="A1410" s="996" t="str">
        <f>CONCATENATE(Programme!D1411,Programme!E1411,Programme!F1411,Programme!G1411,Programme!H1411,Programme!I1411,Programme!J1411)</f>
        <v>&lt;/cellule&gt;</v>
      </c>
    </row>
    <row r="1411" spans="1:1" x14ac:dyDescent="0.2">
      <c r="A1411" s="996" t="str">
        <f>CONCATENATE(Programme!D1412,Programme!E1412,Programme!F1412,Programme!G1412,Programme!H1412,Programme!I1412,Programme!J1412)</f>
        <v>&lt;valeur&gt;0&lt;/valeur&gt;</v>
      </c>
    </row>
    <row r="1412" spans="1:1" x14ac:dyDescent="0.2">
      <c r="A1412" s="996" t="str">
        <f>CONCATENATE(Programme!D1413,Programme!E1413,Programme!F1413,Programme!G1413,Programme!H1413,Programme!I1413,Programme!J1413)</f>
        <v>&lt;/ValeurCellule&gt;</v>
      </c>
    </row>
    <row r="1413" spans="1:1" x14ac:dyDescent="0.2">
      <c r="A1413" s="996" t="str">
        <f>CONCATENATE(Programme!D1414,Programme!E1414,Programme!F1414,Programme!G1414,Programme!H1414,Programme!I1414,Programme!J1414)</f>
        <v>&lt;ValeurCellule&gt;</v>
      </c>
    </row>
    <row r="1414" spans="1:1" x14ac:dyDescent="0.2">
      <c r="A1414" s="996" t="str">
        <f>CONCATENATE(Programme!D1415,Programme!E1415,Programme!F1415,Programme!G1415,Programme!H1415,Programme!I1415,Programme!J1415)</f>
        <v>&lt;cellule&gt;</v>
      </c>
    </row>
    <row r="1415" spans="1:1" x14ac:dyDescent="0.2">
      <c r="A1415" s="996" t="str">
        <f>CONCATENATE(Programme!D1416,Programme!E1416,Programme!F1416,Programme!G1416,Programme!H1416,Programme!I1416,Programme!J1416)</f>
        <v>&lt;codeEdi&gt;13428&lt;/codeEdi&gt;</v>
      </c>
    </row>
    <row r="1416" spans="1:1" x14ac:dyDescent="0.2">
      <c r="A1416" s="996" t="str">
        <f>CONCATENATE(Programme!D1417,Programme!E1417,Programme!F1417,Programme!G1417,Programme!H1417,Programme!I1417,Programme!J1417)</f>
        <v>&lt;/cellule&gt;</v>
      </c>
    </row>
    <row r="1417" spans="1:1" x14ac:dyDescent="0.2">
      <c r="A1417" s="996" t="str">
        <f>CONCATENATE(Programme!D1418,Programme!E1418,Programme!F1418,Programme!G1418,Programme!H1418,Programme!I1418,Programme!J1418)</f>
        <v>&lt;valeur&gt;0&lt;/valeur&gt;</v>
      </c>
    </row>
    <row r="1418" spans="1:1" x14ac:dyDescent="0.2">
      <c r="A1418" s="996" t="str">
        <f>CONCATENATE(Programme!D1419,Programme!E1419,Programme!F1419,Programme!G1419,Programme!H1419,Programme!I1419,Programme!J1419)</f>
        <v>&lt;/ValeurCellule&gt;</v>
      </c>
    </row>
    <row r="1419" spans="1:1" x14ac:dyDescent="0.2">
      <c r="A1419" s="996" t="str">
        <f>CONCATENATE(Programme!D1420,Programme!E1420,Programme!F1420,Programme!G1420,Programme!H1420,Programme!I1420,Programme!J1420)</f>
        <v>&lt;ValeurCellule&gt;</v>
      </c>
    </row>
    <row r="1420" spans="1:1" x14ac:dyDescent="0.2">
      <c r="A1420" s="996" t="str">
        <f>CONCATENATE(Programme!D1421,Programme!E1421,Programme!F1421,Programme!G1421,Programme!H1421,Programme!I1421,Programme!J1421)</f>
        <v>&lt;cellule&gt;&lt;codeEdi&gt;13343&lt;/codeEdi&gt;&lt;/cellule&gt;</v>
      </c>
    </row>
    <row r="1421" spans="1:1" x14ac:dyDescent="0.2">
      <c r="A1421" s="996" t="str">
        <f>CONCATENATE(Programme!D1422,Programme!E1422,Programme!F1422,Programme!G1422,Programme!H1422,Programme!I1422,Programme!J1422)</f>
        <v>&lt;valeur&gt;&lt;/valeur&gt;</v>
      </c>
    </row>
    <row r="1422" spans="1:1" x14ac:dyDescent="0.2">
      <c r="A1422" s="996" t="str">
        <f>CONCATENATE(Programme!D1423,Programme!E1423,Programme!F1423,Programme!G1423,Programme!H1423,Programme!I1423,Programme!J1423)</f>
        <v>&lt;numeroLigne&gt;1&lt;/numeroLigne&gt;</v>
      </c>
    </row>
    <row r="1423" spans="1:1" x14ac:dyDescent="0.2">
      <c r="A1423" s="996" t="str">
        <f>CONCATENATE(Programme!D1424,Programme!E1424,Programme!F1424,Programme!G1424,Programme!H1424,Programme!I1424,Programme!J1424)</f>
        <v>&lt;/ValeurCellule&gt;</v>
      </c>
    </row>
    <row r="1424" spans="1:1" x14ac:dyDescent="0.2">
      <c r="A1424" s="996" t="str">
        <f>CONCATENATE(Programme!D1425,Programme!E1425,Programme!F1425,Programme!G1425,Programme!H1425,Programme!I1425,Programme!J1425)</f>
        <v>&lt;ValeurCellule&gt;</v>
      </c>
    </row>
    <row r="1425" spans="1:1" x14ac:dyDescent="0.2">
      <c r="A1425" s="996" t="str">
        <f>CONCATENATE(Programme!D1426,Programme!E1426,Programme!F1426,Programme!G1426,Programme!H1426,Programme!I1426,Programme!J1426)</f>
        <v>&lt;cellule&gt;&lt;codeEdi&gt;13392&lt;/codeEdi&gt;&lt;/cellule&gt;</v>
      </c>
    </row>
    <row r="1426" spans="1:1" x14ac:dyDescent="0.2">
      <c r="A1426" s="996" t="str">
        <f>CONCATENATE(Programme!D1427,Programme!E1427,Programme!F1427,Programme!G1427,Programme!H1427,Programme!I1427,Programme!J1427)</f>
        <v>&lt;valeur&gt;&lt;/valeur&gt;</v>
      </c>
    </row>
    <row r="1427" spans="1:1" x14ac:dyDescent="0.2">
      <c r="A1427" s="996" t="str">
        <f>CONCATENATE(Programme!D1428,Programme!E1428,Programme!F1428,Programme!G1428,Programme!H1428,Programme!I1428,Programme!J1428)</f>
        <v>&lt;numeroLigne&gt;1&lt;/numeroLigne&gt;</v>
      </c>
    </row>
    <row r="1428" spans="1:1" x14ac:dyDescent="0.2">
      <c r="A1428" s="996" t="str">
        <f>CONCATENATE(Programme!D1429,Programme!E1429,Programme!F1429,Programme!G1429,Programme!H1429,Programme!I1429,Programme!J1429)</f>
        <v>&lt;/ValeurCellule&gt;</v>
      </c>
    </row>
    <row r="1429" spans="1:1" x14ac:dyDescent="0.2">
      <c r="A1429" s="996" t="str">
        <f>CONCATENATE(Programme!D1430,Programme!E1430,Programme!F1430,Programme!G1430,Programme!H1430,Programme!I1430,Programme!J1430)</f>
        <v>&lt;ValeurCellule&gt;</v>
      </c>
    </row>
    <row r="1430" spans="1:1" x14ac:dyDescent="0.2">
      <c r="A1430" s="996" t="str">
        <f>CONCATENATE(Programme!D1431,Programme!E1431,Programme!F1431,Programme!G1431,Programme!H1431,Programme!I1431,Programme!J1431)</f>
        <v>&lt;cellule&gt;&lt;codeEdi&gt;13429&lt;/codeEdi&gt;&lt;/cellule&gt;</v>
      </c>
    </row>
    <row r="1431" spans="1:1" x14ac:dyDescent="0.2">
      <c r="A1431" s="996" t="str">
        <f>CONCATENATE(Programme!D1432,Programme!E1432,Programme!F1432,Programme!G1432,Programme!H1432,Programme!I1432,Programme!J1432)</f>
        <v>&lt;valeur&gt;&lt;/valeur&gt;</v>
      </c>
    </row>
    <row r="1432" spans="1:1" x14ac:dyDescent="0.2">
      <c r="A1432" s="996" t="str">
        <f>CONCATENATE(Programme!D1433,Programme!E1433,Programme!F1433,Programme!G1433,Programme!H1433,Programme!I1433,Programme!J1433)</f>
        <v>&lt;numeroLigne&gt;1&lt;/numeroLigne&gt;</v>
      </c>
    </row>
    <row r="1433" spans="1:1" x14ac:dyDescent="0.2">
      <c r="A1433" s="996" t="str">
        <f>CONCATENATE(Programme!D1434,Programme!E1434,Programme!F1434,Programme!G1434,Programme!H1434,Programme!I1434,Programme!J1434)</f>
        <v>&lt;/ValeurCellule&gt;</v>
      </c>
    </row>
    <row r="1434" spans="1:1" x14ac:dyDescent="0.2">
      <c r="A1434" s="996" t="str">
        <f>CONCATENATE(Programme!D1435,Programme!E1435,Programme!F1435,Programme!G1435,Programme!H1435,Programme!I1435,Programme!J1435)</f>
        <v>&lt;ValeurCellule&gt;</v>
      </c>
    </row>
    <row r="1435" spans="1:1" x14ac:dyDescent="0.2">
      <c r="A1435" s="996" t="str">
        <f>CONCATENATE(Programme!D1436,Programme!E1436,Programme!F1436,Programme!G1436,Programme!H1436,Programme!I1436,Programme!J1436)</f>
        <v>&lt;cellule&gt;</v>
      </c>
    </row>
    <row r="1436" spans="1:1" x14ac:dyDescent="0.2">
      <c r="A1436" s="996" t="str">
        <f>CONCATENATE(Programme!D1437,Programme!E1437,Programme!F1437,Programme!G1437,Programme!H1437,Programme!I1437,Programme!J1437)</f>
        <v>&lt;codeEdi&gt;13389&lt;/codeEdi&gt;</v>
      </c>
    </row>
    <row r="1437" spans="1:1" x14ac:dyDescent="0.2">
      <c r="A1437" s="996" t="str">
        <f>CONCATENATE(Programme!D1438,Programme!E1438,Programme!F1438,Programme!G1438,Programme!H1438,Programme!I1438,Programme!J1438)</f>
        <v>&lt;/cellule&gt;</v>
      </c>
    </row>
    <row r="1438" spans="1:1" x14ac:dyDescent="0.2">
      <c r="A1438" s="996" t="str">
        <f>CONCATENATE(Programme!D1439,Programme!E1439,Programme!F1439,Programme!G1439,Programme!H1439,Programme!I1439,Programme!J1439)</f>
        <v>&lt;valeur&gt;0&lt;/valeur&gt;</v>
      </c>
    </row>
    <row r="1439" spans="1:1" x14ac:dyDescent="0.2">
      <c r="A1439" s="996" t="str">
        <f>CONCATENATE(Programme!D1440,Programme!E1440,Programme!F1440,Programme!G1440,Programme!H1440,Programme!I1440,Programme!J1440)</f>
        <v>&lt;/ValeurCellule&gt;</v>
      </c>
    </row>
    <row r="1440" spans="1:1" x14ac:dyDescent="0.2">
      <c r="A1440" s="996" t="str">
        <f>CONCATENATE(Programme!D1441,Programme!E1441,Programme!F1441,Programme!G1441,Programme!H1441,Programme!I1441,Programme!J1441)</f>
        <v>&lt;ValeurCellule&gt;</v>
      </c>
    </row>
    <row r="1441" spans="1:1" x14ac:dyDescent="0.2">
      <c r="A1441" s="996" t="str">
        <f>CONCATENATE(Programme!D1442,Programme!E1442,Programme!F1442,Programme!G1442,Programme!H1442,Programme!I1442,Programme!J1442)</f>
        <v>&lt;cellule&gt;</v>
      </c>
    </row>
    <row r="1442" spans="1:1" x14ac:dyDescent="0.2">
      <c r="A1442" s="996" t="str">
        <f>CONCATENATE(Programme!D1443,Programme!E1443,Programme!F1443,Programme!G1443,Programme!H1443,Programme!I1443,Programme!J1443)</f>
        <v>&lt;codeEdi&gt;13390&lt;/codeEdi&gt;</v>
      </c>
    </row>
    <row r="1443" spans="1:1" x14ac:dyDescent="0.2">
      <c r="A1443" s="996" t="str">
        <f>CONCATENATE(Programme!D1444,Programme!E1444,Programme!F1444,Programme!G1444,Programme!H1444,Programme!I1444,Programme!J1444)</f>
        <v>&lt;/cellule&gt;</v>
      </c>
    </row>
    <row r="1444" spans="1:1" x14ac:dyDescent="0.2">
      <c r="A1444" s="996" t="str">
        <f>CONCATENATE(Programme!D1445,Programme!E1445,Programme!F1445,Programme!G1445,Programme!H1445,Programme!I1445,Programme!J1445)</f>
        <v>&lt;valeur&gt;0&lt;/valeur&gt;</v>
      </c>
    </row>
    <row r="1445" spans="1:1" x14ac:dyDescent="0.2">
      <c r="A1445" s="996" t="str">
        <f>CONCATENATE(Programme!D1446,Programme!E1446,Programme!F1446,Programme!G1446,Programme!H1446,Programme!I1446,Programme!J1446)</f>
        <v>&lt;/ValeurCellule&gt;</v>
      </c>
    </row>
    <row r="1446" spans="1:1" x14ac:dyDescent="0.2">
      <c r="A1446" s="996" t="str">
        <f>CONCATENATE(Programme!D1447,Programme!E1447,Programme!F1447,Programme!G1447,Programme!H1447,Programme!I1447,Programme!J1447)</f>
        <v>&lt;ValeurCellule&gt;</v>
      </c>
    </row>
    <row r="1447" spans="1:1" x14ac:dyDescent="0.2">
      <c r="A1447" s="996" t="str">
        <f>CONCATENATE(Programme!D1448,Programme!E1448,Programme!F1448,Programme!G1448,Programme!H1448,Programme!I1448,Programme!J1448)</f>
        <v>&lt;cellule&gt;</v>
      </c>
    </row>
    <row r="1448" spans="1:1" x14ac:dyDescent="0.2">
      <c r="A1448" s="996" t="str">
        <f>CONCATENATE(Programme!D1449,Programme!E1449,Programme!F1449,Programme!G1449,Programme!H1449,Programme!I1449,Programme!J1449)</f>
        <v>&lt;codeEdi&gt;13391&lt;/codeEdi&gt;</v>
      </c>
    </row>
    <row r="1449" spans="1:1" x14ac:dyDescent="0.2">
      <c r="A1449" s="996" t="str">
        <f>CONCATENATE(Programme!D1450,Programme!E1450,Programme!F1450,Programme!G1450,Programme!H1450,Programme!I1450,Programme!J1450)</f>
        <v>&lt;/cellule&gt;</v>
      </c>
    </row>
    <row r="1450" spans="1:1" x14ac:dyDescent="0.2">
      <c r="A1450" s="996" t="str">
        <f>CONCATENATE(Programme!D1451,Programme!E1451,Programme!F1451,Programme!G1451,Programme!H1451,Programme!I1451,Programme!J1451)</f>
        <v>&lt;valeur&gt;0&lt;/valeur&gt;</v>
      </c>
    </row>
    <row r="1451" spans="1:1" x14ac:dyDescent="0.2">
      <c r="A1451" s="996" t="str">
        <f>CONCATENATE(Programme!D1452,Programme!E1452,Programme!F1452,Programme!G1452,Programme!H1452,Programme!I1452,Programme!J1452)</f>
        <v>&lt;/ValeurCellule&gt;</v>
      </c>
    </row>
    <row r="1452" spans="1:1" x14ac:dyDescent="0.2">
      <c r="A1452" s="996" t="str">
        <f>CONCATENATE(Programme!D1453,Programme!E1453,Programme!F1453,Programme!G1453,Programme!H1453,Programme!I1453,Programme!J1453)</f>
        <v>&lt;ValeurCellule&gt;</v>
      </c>
    </row>
    <row r="1453" spans="1:1" x14ac:dyDescent="0.2">
      <c r="A1453" s="996" t="str">
        <f>CONCATENATE(Programme!D1454,Programme!E1454,Programme!F1454,Programme!G1454,Programme!H1454,Programme!I1454,Programme!J1454)</f>
        <v>&lt;cellule&gt;</v>
      </c>
    </row>
    <row r="1454" spans="1:1" x14ac:dyDescent="0.2">
      <c r="A1454" s="996" t="str">
        <f>CONCATENATE(Programme!D1455,Programme!E1455,Programme!F1455,Programme!G1455,Programme!H1455,Programme!I1455,Programme!J1455)</f>
        <v>&lt;codeEdi&gt;13430&lt;/codeEdi&gt;</v>
      </c>
    </row>
    <row r="1455" spans="1:1" x14ac:dyDescent="0.2">
      <c r="A1455" s="996" t="str">
        <f>CONCATENATE(Programme!D1456,Programme!E1456,Programme!F1456,Programme!G1456,Programme!H1456,Programme!I1456,Programme!J1456)</f>
        <v>&lt;/cellule&gt;</v>
      </c>
    </row>
    <row r="1456" spans="1:1" x14ac:dyDescent="0.2">
      <c r="A1456" s="996" t="str">
        <f>CONCATENATE(Programme!D1457,Programme!E1457,Programme!F1457,Programme!G1457,Programme!H1457,Programme!I1457,Programme!J1457)</f>
        <v>&lt;valeur&gt;0&lt;/valeur&gt;</v>
      </c>
    </row>
    <row r="1457" spans="1:1" x14ac:dyDescent="0.2">
      <c r="A1457" s="996" t="str">
        <f>CONCATENATE(Programme!D1458,Programme!E1458,Programme!F1458,Programme!G1458,Programme!H1458,Programme!I1458,Programme!J1458)</f>
        <v>&lt;/ValeurCellule&gt;</v>
      </c>
    </row>
    <row r="1458" spans="1:1" x14ac:dyDescent="0.2">
      <c r="A1458" s="996" t="str">
        <f>CONCATENATE(Programme!D1459,Programme!E1459,Programme!F1459,Programme!G1459,Programme!H1459,Programme!I1459,Programme!J1459)</f>
        <v>&lt;ValeurCellule&gt;</v>
      </c>
    </row>
    <row r="1459" spans="1:1" x14ac:dyDescent="0.2">
      <c r="A1459" s="996" t="str">
        <f>CONCATENATE(Programme!D1460,Programme!E1460,Programme!F1460,Programme!G1460,Programme!H1460,Programme!I1460,Programme!J1460)</f>
        <v>&lt;cellule&gt;</v>
      </c>
    </row>
    <row r="1460" spans="1:1" x14ac:dyDescent="0.2">
      <c r="A1460" s="996" t="str">
        <f>CONCATENATE(Programme!D1461,Programme!E1461,Programme!F1461,Programme!G1461,Programme!H1461,Programme!I1461,Programme!J1461)</f>
        <v>&lt;codeEdi&gt;13431&lt;/codeEdi&gt;</v>
      </c>
    </row>
    <row r="1461" spans="1:1" x14ac:dyDescent="0.2">
      <c r="A1461" s="996" t="str">
        <f>CONCATENATE(Programme!D1462,Programme!E1462,Programme!F1462,Programme!G1462,Programme!H1462,Programme!I1462,Programme!J1462)</f>
        <v>&lt;/cellule&gt;</v>
      </c>
    </row>
    <row r="1462" spans="1:1" x14ac:dyDescent="0.2">
      <c r="A1462" s="996" t="str">
        <f>CONCATENATE(Programme!D1463,Programme!E1463,Programme!F1463,Programme!G1463,Programme!H1463,Programme!I1463,Programme!J1463)</f>
        <v>&lt;valeur&gt;0&lt;/valeur&gt;</v>
      </c>
    </row>
    <row r="1463" spans="1:1" x14ac:dyDescent="0.2">
      <c r="A1463" s="996" t="str">
        <f>CONCATENATE(Programme!D1464,Programme!E1464,Programme!F1464,Programme!G1464,Programme!H1464,Programme!I1464,Programme!J1464)</f>
        <v>&lt;/ValeurCellule&gt;</v>
      </c>
    </row>
    <row r="1464" spans="1:1" x14ac:dyDescent="0.2">
      <c r="A1464" s="996" t="str">
        <f>CONCATENATE(Programme!D1465,Programme!E1465,Programme!F1465,Programme!G1465,Programme!H1465,Programme!I1465,Programme!J1465)</f>
        <v>&lt;ValeurCellule&gt;</v>
      </c>
    </row>
    <row r="1465" spans="1:1" x14ac:dyDescent="0.2">
      <c r="A1465" s="996" t="str">
        <f>CONCATENATE(Programme!D1466,Programme!E1466,Programme!F1466,Programme!G1466,Programme!H1466,Programme!I1466,Programme!J1466)</f>
        <v>&lt;cellule&gt;</v>
      </c>
    </row>
    <row r="1466" spans="1:1" x14ac:dyDescent="0.2">
      <c r="A1466" s="996" t="str">
        <f>CONCATENATE(Programme!D1467,Programme!E1467,Programme!F1467,Programme!G1467,Programme!H1467,Programme!I1467,Programme!J1467)</f>
        <v>&lt;codeEdi&gt;13432&lt;/codeEdi&gt;</v>
      </c>
    </row>
    <row r="1467" spans="1:1" x14ac:dyDescent="0.2">
      <c r="A1467" s="996" t="str">
        <f>CONCATENATE(Programme!D1468,Programme!E1468,Programme!F1468,Programme!G1468,Programme!H1468,Programme!I1468,Programme!J1468)</f>
        <v>&lt;/cellule&gt;</v>
      </c>
    </row>
    <row r="1468" spans="1:1" x14ac:dyDescent="0.2">
      <c r="A1468" s="996" t="str">
        <f>CONCATENATE(Programme!D1469,Programme!E1469,Programme!F1469,Programme!G1469,Programme!H1469,Programme!I1469,Programme!J1469)</f>
        <v>&lt;valeur&gt;0&lt;/valeur&gt;</v>
      </c>
    </row>
    <row r="1469" spans="1:1" x14ac:dyDescent="0.2">
      <c r="A1469" s="996" t="str">
        <f>CONCATENATE(Programme!D1470,Programme!E1470,Programme!F1470,Programme!G1470,Programme!H1470,Programme!I1470,Programme!J1470)</f>
        <v>&lt;/ValeurCellule&gt;</v>
      </c>
    </row>
    <row r="1470" spans="1:1" x14ac:dyDescent="0.2">
      <c r="A1470" s="996" t="str">
        <f>CONCATENATE(Programme!D1471,Programme!E1471,Programme!F1471,Programme!G1471,Programme!H1471,Programme!I1471,Programme!J1471)</f>
        <v>&lt;ValeurCellule&gt;</v>
      </c>
    </row>
    <row r="1471" spans="1:1" x14ac:dyDescent="0.2">
      <c r="A1471" s="996" t="str">
        <f>CONCATENATE(Programme!D1472,Programme!E1472,Programme!F1472,Programme!G1472,Programme!H1472,Programme!I1472,Programme!J1472)</f>
        <v>&lt;cellule&gt;</v>
      </c>
    </row>
    <row r="1472" spans="1:1" x14ac:dyDescent="0.2">
      <c r="A1472" s="996" t="str">
        <f>CONCATENATE(Programme!D1473,Programme!E1473,Programme!F1473,Programme!G1473,Programme!H1473,Programme!I1473,Programme!J1473)</f>
        <v>&lt;codeEdi&gt;13386&lt;/codeEdi&gt;</v>
      </c>
    </row>
    <row r="1473" spans="1:1" x14ac:dyDescent="0.2">
      <c r="A1473" s="996" t="str">
        <f>CONCATENATE(Programme!D1474,Programme!E1474,Programme!F1474,Programme!G1474,Programme!H1474,Programme!I1474,Programme!J1474)</f>
        <v>&lt;/cellule&gt;</v>
      </c>
    </row>
    <row r="1474" spans="1:1" x14ac:dyDescent="0.2">
      <c r="A1474" s="996" t="str">
        <f>CONCATENATE(Programme!D1475,Programme!E1475,Programme!F1475,Programme!G1475,Programme!H1475,Programme!I1475,Programme!J1475)</f>
        <v>&lt;valeur&gt;0&lt;/valeur&gt;</v>
      </c>
    </row>
    <row r="1475" spans="1:1" x14ac:dyDescent="0.2">
      <c r="A1475" s="996" t="str">
        <f>CONCATENATE(Programme!D1476,Programme!E1476,Programme!F1476,Programme!G1476,Programme!H1476,Programme!I1476,Programme!J1476)</f>
        <v>&lt;/ValeurCellule&gt;</v>
      </c>
    </row>
    <row r="1476" spans="1:1" x14ac:dyDescent="0.2">
      <c r="A1476" s="996" t="str">
        <f>CONCATENATE(Programme!D1477,Programme!E1477,Programme!F1477,Programme!G1477,Programme!H1477,Programme!I1477,Programme!J1477)</f>
        <v>&lt;ValeurCellule&gt;</v>
      </c>
    </row>
    <row r="1477" spans="1:1" x14ac:dyDescent="0.2">
      <c r="A1477" s="996" t="str">
        <f>CONCATENATE(Programme!D1478,Programme!E1478,Programme!F1478,Programme!G1478,Programme!H1478,Programme!I1478,Programme!J1478)</f>
        <v>&lt;cellule&gt;</v>
      </c>
    </row>
    <row r="1478" spans="1:1" x14ac:dyDescent="0.2">
      <c r="A1478" s="996" t="str">
        <f>CONCATENATE(Programme!D1479,Programme!E1479,Programme!F1479,Programme!G1479,Programme!H1479,Programme!I1479,Programme!J1479)</f>
        <v>&lt;codeEdi&gt;13387&lt;/codeEdi&gt;</v>
      </c>
    </row>
    <row r="1479" spans="1:1" x14ac:dyDescent="0.2">
      <c r="A1479" s="996" t="str">
        <f>CONCATENATE(Programme!D1480,Programme!E1480,Programme!F1480,Programme!G1480,Programme!H1480,Programme!I1480,Programme!J1480)</f>
        <v>&lt;/cellule&gt;</v>
      </c>
    </row>
    <row r="1480" spans="1:1" x14ac:dyDescent="0.2">
      <c r="A1480" s="996" t="str">
        <f>CONCATENATE(Programme!D1481,Programme!E1481,Programme!F1481,Programme!G1481,Programme!H1481,Programme!I1481,Programme!J1481)</f>
        <v>&lt;valeur&gt;0&lt;/valeur&gt;</v>
      </c>
    </row>
    <row r="1481" spans="1:1" x14ac:dyDescent="0.2">
      <c r="A1481" s="996" t="str">
        <f>CONCATENATE(Programme!D1482,Programme!E1482,Programme!F1482,Programme!G1482,Programme!H1482,Programme!I1482,Programme!J1482)</f>
        <v>&lt;/ValeurCellule&gt;</v>
      </c>
    </row>
    <row r="1482" spans="1:1" x14ac:dyDescent="0.2">
      <c r="A1482" s="996" t="str">
        <f>CONCATENATE(Programme!D1483,Programme!E1483,Programme!F1483,Programme!G1483,Programme!H1483,Programme!I1483,Programme!J1483)</f>
        <v>&lt;ValeurCellule&gt;</v>
      </c>
    </row>
    <row r="1483" spans="1:1" x14ac:dyDescent="0.2">
      <c r="A1483" s="996" t="str">
        <f>CONCATENATE(Programme!D1484,Programme!E1484,Programme!F1484,Programme!G1484,Programme!H1484,Programme!I1484,Programme!J1484)</f>
        <v>&lt;cellule&gt;</v>
      </c>
    </row>
    <row r="1484" spans="1:1" x14ac:dyDescent="0.2">
      <c r="A1484" s="996" t="str">
        <f>CONCATENATE(Programme!D1485,Programme!E1485,Programme!F1485,Programme!G1485,Programme!H1485,Programme!I1485,Programme!J1485)</f>
        <v>&lt;codeEdi&gt;13388&lt;/codeEdi&gt;</v>
      </c>
    </row>
    <row r="1485" spans="1:1" x14ac:dyDescent="0.2">
      <c r="A1485" s="996" t="str">
        <f>CONCATENATE(Programme!D1486,Programme!E1486,Programme!F1486,Programme!G1486,Programme!H1486,Programme!I1486,Programme!J1486)</f>
        <v>&lt;/cellule&gt;</v>
      </c>
    </row>
    <row r="1486" spans="1:1" x14ac:dyDescent="0.2">
      <c r="A1486" s="996" t="str">
        <f>CONCATENATE(Programme!D1487,Programme!E1487,Programme!F1487,Programme!G1487,Programme!H1487,Programme!I1487,Programme!J1487)</f>
        <v>&lt;valeur&gt;0&lt;/valeur&gt;</v>
      </c>
    </row>
    <row r="1487" spans="1:1" x14ac:dyDescent="0.2">
      <c r="A1487" s="996" t="str">
        <f>CONCATENATE(Programme!D1488,Programme!E1488,Programme!F1488,Programme!G1488,Programme!H1488,Programme!I1488,Programme!J1488)</f>
        <v>&lt;/ValeurCellule&gt;</v>
      </c>
    </row>
    <row r="1488" spans="1:1" x14ac:dyDescent="0.2">
      <c r="A1488" s="996" t="str">
        <f>CONCATENATE(Programme!D1489,Programme!E1489,Programme!F1489,Programme!G1489,Programme!H1489,Programme!I1489,Programme!J1489)</f>
        <v>&lt;ValeurCellule&gt;</v>
      </c>
    </row>
    <row r="1489" spans="1:1" x14ac:dyDescent="0.2">
      <c r="A1489" s="996" t="str">
        <f>CONCATENATE(Programme!D1490,Programme!E1490,Programme!F1490,Programme!G1490,Programme!H1490,Programme!I1490,Programme!J1490)</f>
        <v>&lt;cellule&gt;</v>
      </c>
    </row>
    <row r="1490" spans="1:1" x14ac:dyDescent="0.2">
      <c r="A1490" s="996" t="str">
        <f>CONCATENATE(Programme!D1491,Programme!E1491,Programme!F1491,Programme!G1491,Programme!H1491,Programme!I1491,Programme!J1491)</f>
        <v>&lt;codeEdi&gt;13433&lt;/codeEdi&gt;</v>
      </c>
    </row>
    <row r="1491" spans="1:1" x14ac:dyDescent="0.2">
      <c r="A1491" s="996" t="str">
        <f>CONCATENATE(Programme!D1492,Programme!E1492,Programme!F1492,Programme!G1492,Programme!H1492,Programme!I1492,Programme!J1492)</f>
        <v>&lt;/cellule&gt;</v>
      </c>
    </row>
    <row r="1492" spans="1:1" x14ac:dyDescent="0.2">
      <c r="A1492" s="996" t="str">
        <f>CONCATENATE(Programme!D1493,Programme!E1493,Programme!F1493,Programme!G1493,Programme!H1493,Programme!I1493,Programme!J1493)</f>
        <v>&lt;valeur&gt;0&lt;/valeur&gt;</v>
      </c>
    </row>
    <row r="1493" spans="1:1" x14ac:dyDescent="0.2">
      <c r="A1493" s="996" t="str">
        <f>CONCATENATE(Programme!D1494,Programme!E1494,Programme!F1494,Programme!G1494,Programme!H1494,Programme!I1494,Programme!J1494)</f>
        <v>&lt;/ValeurCellule&gt;</v>
      </c>
    </row>
    <row r="1494" spans="1:1" x14ac:dyDescent="0.2">
      <c r="A1494" s="996" t="str">
        <f>CONCATENATE(Programme!D1495,Programme!E1495,Programme!F1495,Programme!G1495,Programme!H1495,Programme!I1495,Programme!J1495)</f>
        <v>&lt;ValeurCellule&gt;</v>
      </c>
    </row>
    <row r="1495" spans="1:1" x14ac:dyDescent="0.2">
      <c r="A1495" s="996" t="str">
        <f>CONCATENATE(Programme!D1496,Programme!E1496,Programme!F1496,Programme!G1496,Programme!H1496,Programme!I1496,Programme!J1496)</f>
        <v>&lt;cellule&gt;</v>
      </c>
    </row>
    <row r="1496" spans="1:1" x14ac:dyDescent="0.2">
      <c r="A1496" s="996" t="str">
        <f>CONCATENATE(Programme!D1497,Programme!E1497,Programme!F1497,Programme!G1497,Programme!H1497,Programme!I1497,Programme!J1497)</f>
        <v>&lt;codeEdi&gt;13434&lt;/codeEdi&gt;</v>
      </c>
    </row>
    <row r="1497" spans="1:1" x14ac:dyDescent="0.2">
      <c r="A1497" s="996" t="str">
        <f>CONCATENATE(Programme!D1498,Programme!E1498,Programme!F1498,Programme!G1498,Programme!H1498,Programme!I1498,Programme!J1498)</f>
        <v>&lt;/cellule&gt;</v>
      </c>
    </row>
    <row r="1498" spans="1:1" x14ac:dyDescent="0.2">
      <c r="A1498" s="996" t="str">
        <f>CONCATENATE(Programme!D1499,Programme!E1499,Programme!F1499,Programme!G1499,Programme!H1499,Programme!I1499,Programme!J1499)</f>
        <v>&lt;valeur&gt;0&lt;/valeur&gt;</v>
      </c>
    </row>
    <row r="1499" spans="1:1" x14ac:dyDescent="0.2">
      <c r="A1499" s="996" t="str">
        <f>CONCATENATE(Programme!D1500,Programme!E1500,Programme!F1500,Programme!G1500,Programme!H1500,Programme!I1500,Programme!J1500)</f>
        <v>&lt;/ValeurCellule&gt;</v>
      </c>
    </row>
    <row r="1500" spans="1:1" x14ac:dyDescent="0.2">
      <c r="A1500" s="996" t="str">
        <f>CONCATENATE(Programme!D1501,Programme!E1501,Programme!F1501,Programme!G1501,Programme!H1501,Programme!I1501,Programme!J1501)</f>
        <v>&lt;ValeurCellule&gt;</v>
      </c>
    </row>
    <row r="1501" spans="1:1" x14ac:dyDescent="0.2">
      <c r="A1501" s="996" t="str">
        <f>CONCATENATE(Programme!D1502,Programme!E1502,Programme!F1502,Programme!G1502,Programme!H1502,Programme!I1502,Programme!J1502)</f>
        <v>&lt;cellule&gt;</v>
      </c>
    </row>
    <row r="1502" spans="1:1" x14ac:dyDescent="0.2">
      <c r="A1502" s="996" t="str">
        <f>CONCATENATE(Programme!D1503,Programme!E1503,Programme!F1503,Programme!G1503,Programme!H1503,Programme!I1503,Programme!J1503)</f>
        <v>&lt;codeEdi&gt;13435&lt;/codeEdi&gt;</v>
      </c>
    </row>
    <row r="1503" spans="1:1" x14ac:dyDescent="0.2">
      <c r="A1503" s="996" t="str">
        <f>CONCATENATE(Programme!D1504,Programme!E1504,Programme!F1504,Programme!G1504,Programme!H1504,Programme!I1504,Programme!J1504)</f>
        <v>&lt;/cellule&gt;</v>
      </c>
    </row>
    <row r="1504" spans="1:1" x14ac:dyDescent="0.2">
      <c r="A1504" s="996" t="str">
        <f>CONCATENATE(Programme!D1505,Programme!E1505,Programme!F1505,Programme!G1505,Programme!H1505,Programme!I1505,Programme!J1505)</f>
        <v>&lt;valeur&gt;0&lt;/valeur&gt;</v>
      </c>
    </row>
    <row r="1505" spans="1:1" x14ac:dyDescent="0.2">
      <c r="A1505" s="996" t="str">
        <f>CONCATENATE(Programme!D1506,Programme!E1506,Programme!F1506,Programme!G1506,Programme!H1506,Programme!I1506,Programme!J1506)</f>
        <v>&lt;/ValeurCellule&gt;</v>
      </c>
    </row>
    <row r="1506" spans="1:1" x14ac:dyDescent="0.2">
      <c r="A1506" s="996" t="str">
        <f>CONCATENATE(Programme!D1507,Programme!E1507,Programme!F1507,Programme!G1507,Programme!H1507,Programme!I1507,Programme!J1507)</f>
        <v>&lt;ValeurCellule&gt;</v>
      </c>
    </row>
    <row r="1507" spans="1:1" x14ac:dyDescent="0.2">
      <c r="A1507" s="996" t="str">
        <f>CONCATENATE(Programme!D1508,Programme!E1508,Programme!F1508,Programme!G1508,Programme!H1508,Programme!I1508,Programme!J1508)</f>
        <v>&lt;cellule&gt;</v>
      </c>
    </row>
    <row r="1508" spans="1:1" x14ac:dyDescent="0.2">
      <c r="A1508" s="996" t="str">
        <f>CONCATENATE(Programme!D1509,Programme!E1509,Programme!F1509,Programme!G1509,Programme!H1509,Programme!I1509,Programme!J1509)</f>
        <v>&lt;codeEdi&gt;13385&lt;/codeEdi&gt;</v>
      </c>
    </row>
    <row r="1509" spans="1:1" x14ac:dyDescent="0.2">
      <c r="A1509" s="996" t="str">
        <f>CONCATENATE(Programme!D1510,Programme!E1510,Programme!F1510,Programme!G1510,Programme!H1510,Programme!I1510,Programme!J1510)</f>
        <v>&lt;/cellule&gt;</v>
      </c>
    </row>
    <row r="1510" spans="1:1" x14ac:dyDescent="0.2">
      <c r="A1510" s="996" t="str">
        <f>CONCATENATE(Programme!D1511,Programme!E1511,Programme!F1511,Programme!G1511,Programme!H1511,Programme!I1511,Programme!J1511)</f>
        <v>&lt;valeur&gt;0&lt;/valeur&gt;</v>
      </c>
    </row>
    <row r="1511" spans="1:1" x14ac:dyDescent="0.2">
      <c r="A1511" s="996" t="str">
        <f>CONCATENATE(Programme!D1512,Programme!E1512,Programme!F1512,Programme!G1512,Programme!H1512,Programme!I1512,Programme!J1512)</f>
        <v>&lt;/ValeurCellule&gt;</v>
      </c>
    </row>
    <row r="1512" spans="1:1" x14ac:dyDescent="0.2">
      <c r="A1512" s="996" t="str">
        <f>CONCATENATE(Programme!D1513,Programme!E1513,Programme!F1513,Programme!G1513,Programme!H1513,Programme!I1513,Programme!J1513)</f>
        <v>&lt;ValeurCellule&gt;</v>
      </c>
    </row>
    <row r="1513" spans="1:1" x14ac:dyDescent="0.2">
      <c r="A1513" s="996" t="str">
        <f>CONCATENATE(Programme!D1514,Programme!E1514,Programme!F1514,Programme!G1514,Programme!H1514,Programme!I1514,Programme!J1514)</f>
        <v>&lt;cellule&gt;</v>
      </c>
    </row>
    <row r="1514" spans="1:1" x14ac:dyDescent="0.2">
      <c r="A1514" s="996" t="str">
        <f>CONCATENATE(Programme!D1515,Programme!E1515,Programme!F1515,Programme!G1515,Programme!H1515,Programme!I1515,Programme!J1515)</f>
        <v>&lt;codeEdi&gt;13436&lt;/codeEdi&gt;</v>
      </c>
    </row>
    <row r="1515" spans="1:1" x14ac:dyDescent="0.2">
      <c r="A1515" s="996" t="str">
        <f>CONCATENATE(Programme!D1516,Programme!E1516,Programme!F1516,Programme!G1516,Programme!H1516,Programme!I1516,Programme!J1516)</f>
        <v>&lt;/cellule&gt;</v>
      </c>
    </row>
    <row r="1516" spans="1:1" x14ac:dyDescent="0.2">
      <c r="A1516" s="996" t="str">
        <f>CONCATENATE(Programme!D1517,Programme!E1517,Programme!F1517,Programme!G1517,Programme!H1517,Programme!I1517,Programme!J1517)</f>
        <v>&lt;valeur&gt;0&lt;/valeur&gt;</v>
      </c>
    </row>
    <row r="1517" spans="1:1" x14ac:dyDescent="0.2">
      <c r="A1517" s="996" t="str">
        <f>CONCATENATE(Programme!D1518,Programme!E1518,Programme!F1518,Programme!G1518,Programme!H1518,Programme!I1518,Programme!J1518)</f>
        <v>&lt;/ValeurCellule&gt;</v>
      </c>
    </row>
    <row r="1518" spans="1:1" x14ac:dyDescent="0.2">
      <c r="A1518" s="996" t="str">
        <f>CONCATENATE(Programme!D1519,Programme!E1519,Programme!F1519,Programme!G1519,Programme!H1519,Programme!I1519,Programme!J1519)</f>
        <v>&lt;ValeurCellule&gt;</v>
      </c>
    </row>
    <row r="1519" spans="1:1" x14ac:dyDescent="0.2">
      <c r="A1519" s="996" t="str">
        <f>CONCATENATE(Programme!D1520,Programme!E1520,Programme!F1520,Programme!G1520,Programme!H1520,Programme!I1520,Programme!J1520)</f>
        <v>&lt;cellule&gt;</v>
      </c>
    </row>
    <row r="1520" spans="1:1" x14ac:dyDescent="0.2">
      <c r="A1520" s="996" t="str">
        <f>CONCATENATE(Programme!D1521,Programme!E1521,Programme!F1521,Programme!G1521,Programme!H1521,Programme!I1521,Programme!J1521)</f>
        <v>&lt;codeEdi&gt;13376&lt;/codeEdi&gt;</v>
      </c>
    </row>
    <row r="1521" spans="1:1" x14ac:dyDescent="0.2">
      <c r="A1521" s="996" t="str">
        <f>CONCATENATE(Programme!D1522,Programme!E1522,Programme!F1522,Programme!G1522,Programme!H1522,Programme!I1522,Programme!J1522)</f>
        <v>&lt;/cellule&gt;</v>
      </c>
    </row>
    <row r="1522" spans="1:1" x14ac:dyDescent="0.2">
      <c r="A1522" s="996" t="str">
        <f>CONCATENATE(Programme!D1523,Programme!E1523,Programme!F1523,Programme!G1523,Programme!H1523,Programme!I1523,Programme!J1523)</f>
        <v>&lt;valeur&gt;0&lt;/valeur&gt;</v>
      </c>
    </row>
    <row r="1523" spans="1:1" x14ac:dyDescent="0.2">
      <c r="A1523" s="996" t="str">
        <f>CONCATENATE(Programme!D1524,Programme!E1524,Programme!F1524,Programme!G1524,Programme!H1524,Programme!I1524,Programme!J1524)</f>
        <v>&lt;/ValeurCellule&gt;</v>
      </c>
    </row>
    <row r="1524" spans="1:1" x14ac:dyDescent="0.2">
      <c r="A1524" s="996" t="str">
        <f>CONCATENATE(Programme!D1525,Programme!E1525,Programme!F1525,Programme!G1525,Programme!H1525,Programme!I1525,Programme!J1525)</f>
        <v>&lt;ValeurCellule&gt;</v>
      </c>
    </row>
    <row r="1525" spans="1:1" x14ac:dyDescent="0.2">
      <c r="A1525" s="996" t="str">
        <f>CONCATENATE(Programme!D1526,Programme!E1526,Programme!F1526,Programme!G1526,Programme!H1526,Programme!I1526,Programme!J1526)</f>
        <v>&lt;cellule&gt;</v>
      </c>
    </row>
    <row r="1526" spans="1:1" x14ac:dyDescent="0.2">
      <c r="A1526" s="996" t="str">
        <f>CONCATENATE(Programme!D1527,Programme!E1527,Programme!F1527,Programme!G1527,Programme!H1527,Programme!I1527,Programme!J1527)</f>
        <v>&lt;codeEdi&gt;13377&lt;/codeEdi&gt;</v>
      </c>
    </row>
    <row r="1527" spans="1:1" x14ac:dyDescent="0.2">
      <c r="A1527" s="996" t="str">
        <f>CONCATENATE(Programme!D1528,Programme!E1528,Programme!F1528,Programme!G1528,Programme!H1528,Programme!I1528,Programme!J1528)</f>
        <v>&lt;/cellule&gt;</v>
      </c>
    </row>
    <row r="1528" spans="1:1" x14ac:dyDescent="0.2">
      <c r="A1528" s="996" t="str">
        <f>CONCATENATE(Programme!D1529,Programme!E1529,Programme!F1529,Programme!G1529,Programme!H1529,Programme!I1529,Programme!J1529)</f>
        <v>&lt;valeur&gt;0&lt;/valeur&gt;</v>
      </c>
    </row>
    <row r="1529" spans="1:1" x14ac:dyDescent="0.2">
      <c r="A1529" s="996" t="str">
        <f>CONCATENATE(Programme!D1530,Programme!E1530,Programme!F1530,Programme!G1530,Programme!H1530,Programme!I1530,Programme!J1530)</f>
        <v>&lt;/ValeurCellule&gt;</v>
      </c>
    </row>
    <row r="1530" spans="1:1" x14ac:dyDescent="0.2">
      <c r="A1530" s="996" t="str">
        <f>CONCATENATE(Programme!D1531,Programme!E1531,Programme!F1531,Programme!G1531,Programme!H1531,Programme!I1531,Programme!J1531)</f>
        <v>&lt;ValeurCellule&gt;</v>
      </c>
    </row>
    <row r="1531" spans="1:1" x14ac:dyDescent="0.2">
      <c r="A1531" s="996" t="str">
        <f>CONCATENATE(Programme!D1532,Programme!E1532,Programme!F1532,Programme!G1532,Programme!H1532,Programme!I1532,Programme!J1532)</f>
        <v>&lt;cellule&gt;</v>
      </c>
    </row>
    <row r="1532" spans="1:1" x14ac:dyDescent="0.2">
      <c r="A1532" s="996" t="str">
        <f>CONCATENATE(Programme!D1533,Programme!E1533,Programme!F1533,Programme!G1533,Programme!H1533,Programme!I1533,Programme!J1533)</f>
        <v>&lt;codeEdi&gt;13378&lt;/codeEdi&gt;</v>
      </c>
    </row>
    <row r="1533" spans="1:1" x14ac:dyDescent="0.2">
      <c r="A1533" s="996" t="str">
        <f>CONCATENATE(Programme!D1534,Programme!E1534,Programme!F1534,Programme!G1534,Programme!H1534,Programme!I1534,Programme!J1534)</f>
        <v>&lt;/cellule&gt;</v>
      </c>
    </row>
    <row r="1534" spans="1:1" x14ac:dyDescent="0.2">
      <c r="A1534" s="996" t="str">
        <f>CONCATENATE(Programme!D1535,Programme!E1535,Programme!F1535,Programme!G1535,Programme!H1535,Programme!I1535,Programme!J1535)</f>
        <v>&lt;valeur&gt;0&lt;/valeur&gt;</v>
      </c>
    </row>
    <row r="1535" spans="1:1" x14ac:dyDescent="0.2">
      <c r="A1535" s="996" t="str">
        <f>CONCATENATE(Programme!D1536,Programme!E1536,Programme!F1536,Programme!G1536,Programme!H1536,Programme!I1536,Programme!J1536)</f>
        <v>&lt;/ValeurCellule&gt;</v>
      </c>
    </row>
    <row r="1536" spans="1:1" x14ac:dyDescent="0.2">
      <c r="A1536" s="996" t="str">
        <f>CONCATENATE(Programme!D1537,Programme!E1537,Programme!F1537,Programme!G1537,Programme!H1537,Programme!I1537,Programme!J1537)</f>
        <v>&lt;ValeurCellule&gt;</v>
      </c>
    </row>
    <row r="1537" spans="1:1" x14ac:dyDescent="0.2">
      <c r="A1537" s="996" t="str">
        <f>CONCATENATE(Programme!D1538,Programme!E1538,Programme!F1538,Programme!G1538,Programme!H1538,Programme!I1538,Programme!J1538)</f>
        <v>&lt;cellule&gt;</v>
      </c>
    </row>
    <row r="1538" spans="1:1" x14ac:dyDescent="0.2">
      <c r="A1538" s="996" t="str">
        <f>CONCATENATE(Programme!D1539,Programme!E1539,Programme!F1539,Programme!G1539,Programme!H1539,Programme!I1539,Programme!J1539)</f>
        <v>&lt;codeEdi&gt;13379&lt;/codeEdi&gt;</v>
      </c>
    </row>
    <row r="1539" spans="1:1" x14ac:dyDescent="0.2">
      <c r="A1539" s="996" t="str">
        <f>CONCATENATE(Programme!D1540,Programme!E1540,Programme!F1540,Programme!G1540,Programme!H1540,Programme!I1540,Programme!J1540)</f>
        <v>&lt;/cellule&gt;</v>
      </c>
    </row>
    <row r="1540" spans="1:1" x14ac:dyDescent="0.2">
      <c r="A1540" s="996" t="str">
        <f>CONCATENATE(Programme!D1541,Programme!E1541,Programme!F1541,Programme!G1541,Programme!H1541,Programme!I1541,Programme!J1541)</f>
        <v>&lt;valeur&gt;0&lt;/valeur&gt;</v>
      </c>
    </row>
    <row r="1541" spans="1:1" x14ac:dyDescent="0.2">
      <c r="A1541" s="996" t="str">
        <f>CONCATENATE(Programme!D1542,Programme!E1542,Programme!F1542,Programme!G1542,Programme!H1542,Programme!I1542,Programme!J1542)</f>
        <v>&lt;/ValeurCellule&gt;</v>
      </c>
    </row>
    <row r="1542" spans="1:1" x14ac:dyDescent="0.2">
      <c r="A1542" s="996" t="str">
        <f>CONCATENATE(Programme!D1543,Programme!E1543,Programme!F1543,Programme!G1543,Programme!H1543,Programme!I1543,Programme!J1543)</f>
        <v>&lt;ValeurCellule&gt;</v>
      </c>
    </row>
    <row r="1543" spans="1:1" x14ac:dyDescent="0.2">
      <c r="A1543" s="996" t="str">
        <f>CONCATENATE(Programme!D1544,Programme!E1544,Programme!F1544,Programme!G1544,Programme!H1544,Programme!I1544,Programme!J1544)</f>
        <v>&lt;cellule&gt;</v>
      </c>
    </row>
    <row r="1544" spans="1:1" x14ac:dyDescent="0.2">
      <c r="A1544" s="996" t="str">
        <f>CONCATENATE(Programme!D1545,Programme!E1545,Programme!F1545,Programme!G1545,Programme!H1545,Programme!I1545,Programme!J1545)</f>
        <v>&lt;codeEdi&gt;13380&lt;/codeEdi&gt;</v>
      </c>
    </row>
    <row r="1545" spans="1:1" x14ac:dyDescent="0.2">
      <c r="A1545" s="996" t="str">
        <f>CONCATENATE(Programme!D1546,Programme!E1546,Programme!F1546,Programme!G1546,Programme!H1546,Programme!I1546,Programme!J1546)</f>
        <v>&lt;/cellule&gt;</v>
      </c>
    </row>
    <row r="1546" spans="1:1" x14ac:dyDescent="0.2">
      <c r="A1546" s="996" t="str">
        <f>CONCATENATE(Programme!D1547,Programme!E1547,Programme!F1547,Programme!G1547,Programme!H1547,Programme!I1547,Programme!J1547)</f>
        <v>&lt;valeur&gt;0&lt;/valeur&gt;</v>
      </c>
    </row>
    <row r="1547" spans="1:1" x14ac:dyDescent="0.2">
      <c r="A1547" s="996" t="str">
        <f>CONCATENATE(Programme!D1548,Programme!E1548,Programme!F1548,Programme!G1548,Programme!H1548,Programme!I1548,Programme!J1548)</f>
        <v>&lt;/ValeurCellule&gt;</v>
      </c>
    </row>
    <row r="1548" spans="1:1" x14ac:dyDescent="0.2">
      <c r="A1548" s="996" t="str">
        <f>CONCATENATE(Programme!D1549,Programme!E1549,Programme!F1549,Programme!G1549,Programme!H1549,Programme!I1549,Programme!J1549)</f>
        <v>&lt;ValeurCellule&gt;</v>
      </c>
    </row>
    <row r="1549" spans="1:1" x14ac:dyDescent="0.2">
      <c r="A1549" s="996" t="str">
        <f>CONCATENATE(Programme!D1550,Programme!E1550,Programme!F1550,Programme!G1550,Programme!H1550,Programme!I1550,Programme!J1550)</f>
        <v>&lt;cellule&gt;</v>
      </c>
    </row>
    <row r="1550" spans="1:1" x14ac:dyDescent="0.2">
      <c r="A1550" s="996" t="str">
        <f>CONCATENATE(Programme!D1551,Programme!E1551,Programme!F1551,Programme!G1551,Programme!H1551,Programme!I1551,Programme!J1551)</f>
        <v>&lt;codeEdi&gt;13381&lt;/codeEdi&gt;</v>
      </c>
    </row>
    <row r="1551" spans="1:1" x14ac:dyDescent="0.2">
      <c r="A1551" s="996" t="str">
        <f>CONCATENATE(Programme!D1552,Programme!E1552,Programme!F1552,Programme!G1552,Programme!H1552,Programme!I1552,Programme!J1552)</f>
        <v>&lt;/cellule&gt;</v>
      </c>
    </row>
    <row r="1552" spans="1:1" x14ac:dyDescent="0.2">
      <c r="A1552" s="996" t="str">
        <f>CONCATENATE(Programme!D1553,Programme!E1553,Programme!F1553,Programme!G1553,Programme!H1553,Programme!I1553,Programme!J1553)</f>
        <v>&lt;valeur&gt;0&lt;/valeur&gt;</v>
      </c>
    </row>
    <row r="1553" spans="1:1" x14ac:dyDescent="0.2">
      <c r="A1553" s="996" t="str">
        <f>CONCATENATE(Programme!D1554,Programme!E1554,Programme!F1554,Programme!G1554,Programme!H1554,Programme!I1554,Programme!J1554)</f>
        <v>&lt;/ValeurCellule&gt;</v>
      </c>
    </row>
    <row r="1554" spans="1:1" x14ac:dyDescent="0.2">
      <c r="A1554" s="996" t="str">
        <f>CONCATENATE(Programme!D1555,Programme!E1555,Programme!F1555,Programme!G1555,Programme!H1555,Programme!I1555,Programme!J1555)</f>
        <v>&lt;ValeurCellule&gt;</v>
      </c>
    </row>
    <row r="1555" spans="1:1" x14ac:dyDescent="0.2">
      <c r="A1555" s="996" t="str">
        <f>CONCATENATE(Programme!D1556,Programme!E1556,Programme!F1556,Programme!G1556,Programme!H1556,Programme!I1556,Programme!J1556)</f>
        <v>&lt;cellule&gt;</v>
      </c>
    </row>
    <row r="1556" spans="1:1" x14ac:dyDescent="0.2">
      <c r="A1556" s="996" t="str">
        <f>CONCATENATE(Programme!D1557,Programme!E1557,Programme!F1557,Programme!G1557,Programme!H1557,Programme!I1557,Programme!J1557)</f>
        <v>&lt;codeEdi&gt;13382&lt;/codeEdi&gt;</v>
      </c>
    </row>
    <row r="1557" spans="1:1" x14ac:dyDescent="0.2">
      <c r="A1557" s="996" t="str">
        <f>CONCATENATE(Programme!D1558,Programme!E1558,Programme!F1558,Programme!G1558,Programme!H1558,Programme!I1558,Programme!J1558)</f>
        <v>&lt;/cellule&gt;</v>
      </c>
    </row>
    <row r="1558" spans="1:1" x14ac:dyDescent="0.2">
      <c r="A1558" s="996" t="str">
        <f>CONCATENATE(Programme!D1559,Programme!E1559,Programme!F1559,Programme!G1559,Programme!H1559,Programme!I1559,Programme!J1559)</f>
        <v>&lt;valeur&gt;0&lt;/valeur&gt;</v>
      </c>
    </row>
    <row r="1559" spans="1:1" x14ac:dyDescent="0.2">
      <c r="A1559" s="996" t="str">
        <f>CONCATENATE(Programme!D1560,Programme!E1560,Programme!F1560,Programme!G1560,Programme!H1560,Programme!I1560,Programme!J1560)</f>
        <v>&lt;/ValeurCellule&gt;</v>
      </c>
    </row>
    <row r="1560" spans="1:1" x14ac:dyDescent="0.2">
      <c r="A1560" s="996" t="str">
        <f>CONCATENATE(Programme!D1561,Programme!E1561,Programme!F1561,Programme!G1561,Programme!H1561,Programme!I1561,Programme!J1561)</f>
        <v>&lt;ValeurCellule&gt;</v>
      </c>
    </row>
    <row r="1561" spans="1:1" x14ac:dyDescent="0.2">
      <c r="A1561" s="996" t="str">
        <f>CONCATENATE(Programme!D1562,Programme!E1562,Programme!F1562,Programme!G1562,Programme!H1562,Programme!I1562,Programme!J1562)</f>
        <v>&lt;cellule&gt;</v>
      </c>
    </row>
    <row r="1562" spans="1:1" x14ac:dyDescent="0.2">
      <c r="A1562" s="996" t="str">
        <f>CONCATENATE(Programme!D1563,Programme!E1563,Programme!F1563,Programme!G1563,Programme!H1563,Programme!I1563,Programme!J1563)</f>
        <v>&lt;codeEdi&gt;13383&lt;/codeEdi&gt;</v>
      </c>
    </row>
    <row r="1563" spans="1:1" x14ac:dyDescent="0.2">
      <c r="A1563" s="996" t="str">
        <f>CONCATENATE(Programme!D1564,Programme!E1564,Programme!F1564,Programme!G1564,Programme!H1564,Programme!I1564,Programme!J1564)</f>
        <v>&lt;/cellule&gt;</v>
      </c>
    </row>
    <row r="1564" spans="1:1" x14ac:dyDescent="0.2">
      <c r="A1564" s="996" t="str">
        <f>CONCATENATE(Programme!D1565,Programme!E1565,Programme!F1565,Programme!G1565,Programme!H1565,Programme!I1565,Programme!J1565)</f>
        <v>&lt;valeur&gt;0&lt;/valeur&gt;</v>
      </c>
    </row>
    <row r="1565" spans="1:1" x14ac:dyDescent="0.2">
      <c r="A1565" s="996" t="str">
        <f>CONCATENATE(Programme!D1566,Programme!E1566,Programme!F1566,Programme!G1566,Programme!H1566,Programme!I1566,Programme!J1566)</f>
        <v>&lt;/ValeurCellule&gt;</v>
      </c>
    </row>
    <row r="1566" spans="1:1" x14ac:dyDescent="0.2">
      <c r="A1566" s="996" t="str">
        <f>CONCATENATE(Programme!D1567,Programme!E1567,Programme!F1567,Programme!G1567,Programme!H1567,Programme!I1567,Programme!J1567)</f>
        <v>&lt;ValeurCellule&gt;</v>
      </c>
    </row>
    <row r="1567" spans="1:1" x14ac:dyDescent="0.2">
      <c r="A1567" s="996" t="str">
        <f>CONCATENATE(Programme!D1568,Programme!E1568,Programme!F1568,Programme!G1568,Programme!H1568,Programme!I1568,Programme!J1568)</f>
        <v>&lt;cellule&gt;</v>
      </c>
    </row>
    <row r="1568" spans="1:1" x14ac:dyDescent="0.2">
      <c r="A1568" s="996" t="str">
        <f>CONCATENATE(Programme!D1569,Programme!E1569,Programme!F1569,Programme!G1569,Programme!H1569,Programme!I1569,Programme!J1569)</f>
        <v>&lt;codeEdi&gt;13384&lt;/codeEdi&gt;</v>
      </c>
    </row>
    <row r="1569" spans="1:1" x14ac:dyDescent="0.2">
      <c r="A1569" s="996" t="str">
        <f>CONCATENATE(Programme!D1570,Programme!E1570,Programme!F1570,Programme!G1570,Programme!H1570,Programme!I1570,Programme!J1570)</f>
        <v>&lt;/cellule&gt;</v>
      </c>
    </row>
    <row r="1570" spans="1:1" x14ac:dyDescent="0.2">
      <c r="A1570" s="996" t="str">
        <f>CONCATENATE(Programme!D1571,Programme!E1571,Programme!F1571,Programme!G1571,Programme!H1571,Programme!I1571,Programme!J1571)</f>
        <v>&lt;valeur&gt;0&lt;/valeur&gt;</v>
      </c>
    </row>
    <row r="1571" spans="1:1" x14ac:dyDescent="0.2">
      <c r="A1571" s="996" t="str">
        <f>CONCATENATE(Programme!D1572,Programme!E1572,Programme!F1572,Programme!G1572,Programme!H1572,Programme!I1572,Programme!J1572)</f>
        <v>&lt;/ValeurCellule&gt;</v>
      </c>
    </row>
    <row r="1572" spans="1:1" x14ac:dyDescent="0.2">
      <c r="A1572" s="996" t="str">
        <f>CONCATENATE(Programme!D1573,Programme!E1573,Programme!F1573,Programme!G1573,Programme!H1573,Programme!I1573,Programme!J1573)</f>
        <v>&lt;ValeurCellule&gt;</v>
      </c>
    </row>
    <row r="1573" spans="1:1" x14ac:dyDescent="0.2">
      <c r="A1573" s="996" t="str">
        <f>CONCATENATE(Programme!D1574,Programme!E1574,Programme!F1574,Programme!G1574,Programme!H1574,Programme!I1574,Programme!J1574)</f>
        <v>&lt;cellule&gt;</v>
      </c>
    </row>
    <row r="1574" spans="1:1" x14ac:dyDescent="0.2">
      <c r="A1574" s="996" t="str">
        <f>CONCATENATE(Programme!D1575,Programme!E1575,Programme!F1575,Programme!G1575,Programme!H1575,Programme!I1575,Programme!J1575)</f>
        <v>&lt;codeEdi&gt;13437&lt;/codeEdi&gt;</v>
      </c>
    </row>
    <row r="1575" spans="1:1" x14ac:dyDescent="0.2">
      <c r="A1575" s="996" t="str">
        <f>CONCATENATE(Programme!D1576,Programme!E1576,Programme!F1576,Programme!G1576,Programme!H1576,Programme!I1576,Programme!J1576)</f>
        <v>&lt;/cellule&gt;</v>
      </c>
    </row>
    <row r="1576" spans="1:1" x14ac:dyDescent="0.2">
      <c r="A1576" s="996" t="str">
        <f>CONCATENATE(Programme!D1577,Programme!E1577,Programme!F1577,Programme!G1577,Programme!H1577,Programme!I1577,Programme!J1577)</f>
        <v>&lt;valeur&gt;0&lt;/valeur&gt;</v>
      </c>
    </row>
    <row r="1577" spans="1:1" x14ac:dyDescent="0.2">
      <c r="A1577" s="996" t="str">
        <f>CONCATENATE(Programme!D1578,Programme!E1578,Programme!F1578,Programme!G1578,Programme!H1578,Programme!I1578,Programme!J1578)</f>
        <v>&lt;/ValeurCellule&gt;</v>
      </c>
    </row>
    <row r="1578" spans="1:1" x14ac:dyDescent="0.2">
      <c r="A1578" s="996" t="str">
        <f>CONCATENATE(Programme!D1579,Programme!E1579,Programme!F1579,Programme!G1579,Programme!H1579,Programme!I1579,Programme!J1579)</f>
        <v>&lt;ValeurCellule&gt;</v>
      </c>
    </row>
    <row r="1579" spans="1:1" x14ac:dyDescent="0.2">
      <c r="A1579" s="996" t="str">
        <f>CONCATENATE(Programme!D1580,Programme!E1580,Programme!F1580,Programme!G1580,Programme!H1580,Programme!I1580,Programme!J1580)</f>
        <v>&lt;cellule&gt;</v>
      </c>
    </row>
    <row r="1580" spans="1:1" x14ac:dyDescent="0.2">
      <c r="A1580" s="996" t="str">
        <f>CONCATENATE(Programme!D1581,Programme!E1581,Programme!F1581,Programme!G1581,Programme!H1581,Programme!I1581,Programme!J1581)</f>
        <v>&lt;codeEdi&gt;13438&lt;/codeEdi&gt;</v>
      </c>
    </row>
    <row r="1581" spans="1:1" x14ac:dyDescent="0.2">
      <c r="A1581" s="996" t="str">
        <f>CONCATENATE(Programme!D1582,Programme!E1582,Programme!F1582,Programme!G1582,Programme!H1582,Programme!I1582,Programme!J1582)</f>
        <v>&lt;/cellule&gt;</v>
      </c>
    </row>
    <row r="1582" spans="1:1" x14ac:dyDescent="0.2">
      <c r="A1582" s="996" t="str">
        <f>CONCATENATE(Programme!D1583,Programme!E1583,Programme!F1583,Programme!G1583,Programme!H1583,Programme!I1583,Programme!J1583)</f>
        <v>&lt;valeur&gt;0&lt;/valeur&gt;</v>
      </c>
    </row>
    <row r="1583" spans="1:1" x14ac:dyDescent="0.2">
      <c r="A1583" s="996" t="str">
        <f>CONCATENATE(Programme!D1584,Programme!E1584,Programme!F1584,Programme!G1584,Programme!H1584,Programme!I1584,Programme!J1584)</f>
        <v>&lt;/ValeurCellule&gt;</v>
      </c>
    </row>
    <row r="1584" spans="1:1" x14ac:dyDescent="0.2">
      <c r="A1584" s="996" t="str">
        <f>CONCATENATE(Programme!D1585,Programme!E1585,Programme!F1585,Programme!G1585,Programme!H1585,Programme!I1585,Programme!J1585)</f>
        <v>&lt;ValeurCellule&gt;</v>
      </c>
    </row>
    <row r="1585" spans="1:1" x14ac:dyDescent="0.2">
      <c r="A1585" s="996" t="str">
        <f>CONCATENATE(Programme!D1586,Programme!E1586,Programme!F1586,Programme!G1586,Programme!H1586,Programme!I1586,Programme!J1586)</f>
        <v>&lt;cellule&gt;</v>
      </c>
    </row>
    <row r="1586" spans="1:1" x14ac:dyDescent="0.2">
      <c r="A1586" s="996" t="str">
        <f>CONCATENATE(Programme!D1587,Programme!E1587,Programme!F1587,Programme!G1587,Programme!H1587,Programme!I1587,Programme!J1587)</f>
        <v>&lt;codeEdi&gt;13439&lt;/codeEdi&gt;</v>
      </c>
    </row>
    <row r="1587" spans="1:1" x14ac:dyDescent="0.2">
      <c r="A1587" s="996" t="str">
        <f>CONCATENATE(Programme!D1588,Programme!E1588,Programme!F1588,Programme!G1588,Programme!H1588,Programme!I1588,Programme!J1588)</f>
        <v>&lt;/cellule&gt;</v>
      </c>
    </row>
    <row r="1588" spans="1:1" x14ac:dyDescent="0.2">
      <c r="A1588" s="996" t="str">
        <f>CONCATENATE(Programme!D1589,Programme!E1589,Programme!F1589,Programme!G1589,Programme!H1589,Programme!I1589,Programme!J1589)</f>
        <v>&lt;valeur&gt;0&lt;/valeur&gt;</v>
      </c>
    </row>
    <row r="1589" spans="1:1" x14ac:dyDescent="0.2">
      <c r="A1589" s="996" t="str">
        <f>CONCATENATE(Programme!D1590,Programme!E1590,Programme!F1590,Programme!G1590,Programme!H1590,Programme!I1590,Programme!J1590)</f>
        <v>&lt;/ValeurCellule&gt;</v>
      </c>
    </row>
    <row r="1590" spans="1:1" x14ac:dyDescent="0.2">
      <c r="A1590" s="996" t="str">
        <f>CONCATENATE(Programme!D1591,Programme!E1591,Programme!F1591,Programme!G1591,Programme!H1591,Programme!I1591,Programme!J1591)</f>
        <v>&lt;ValeurCellule&gt;</v>
      </c>
    </row>
    <row r="1591" spans="1:1" x14ac:dyDescent="0.2">
      <c r="A1591" s="996" t="str">
        <f>CONCATENATE(Programme!D1592,Programme!E1592,Programme!F1592,Programme!G1592,Programme!H1592,Programme!I1592,Programme!J1592)</f>
        <v>&lt;cellule&gt;</v>
      </c>
    </row>
    <row r="1592" spans="1:1" x14ac:dyDescent="0.2">
      <c r="A1592" s="996" t="str">
        <f>CONCATENATE(Programme!D1593,Programme!E1593,Programme!F1593,Programme!G1593,Programme!H1593,Programme!I1593,Programme!J1593)</f>
        <v>&lt;codeEdi&gt;13440&lt;/codeEdi&gt;</v>
      </c>
    </row>
    <row r="1593" spans="1:1" x14ac:dyDescent="0.2">
      <c r="A1593" s="996" t="str">
        <f>CONCATENATE(Programme!D1594,Programme!E1594,Programme!F1594,Programme!G1594,Programme!H1594,Programme!I1594,Programme!J1594)</f>
        <v>&lt;/cellule&gt;</v>
      </c>
    </row>
    <row r="1594" spans="1:1" x14ac:dyDescent="0.2">
      <c r="A1594" s="996" t="str">
        <f>CONCATENATE(Programme!D1595,Programme!E1595,Programme!F1595,Programme!G1595,Programme!H1595,Programme!I1595,Programme!J1595)</f>
        <v>&lt;valeur&gt;0&lt;/valeur&gt;</v>
      </c>
    </row>
    <row r="1595" spans="1:1" x14ac:dyDescent="0.2">
      <c r="A1595" s="996" t="str">
        <f>CONCATENATE(Programme!D1596,Programme!E1596,Programme!F1596,Programme!G1596,Programme!H1596,Programme!I1596,Programme!J1596)</f>
        <v>&lt;/ValeurCellule&gt;</v>
      </c>
    </row>
    <row r="1596" spans="1:1" x14ac:dyDescent="0.2">
      <c r="A1596" s="996" t="str">
        <f>CONCATENATE(Programme!D1597,Programme!E1597,Programme!F1597,Programme!G1597,Programme!H1597,Programme!I1597,Programme!J1597)</f>
        <v>&lt;ValeurCellule&gt;</v>
      </c>
    </row>
    <row r="1597" spans="1:1" x14ac:dyDescent="0.2">
      <c r="A1597" s="996" t="str">
        <f>CONCATENATE(Programme!D1598,Programme!E1598,Programme!F1598,Programme!G1598,Programme!H1598,Programme!I1598,Programme!J1598)</f>
        <v>&lt;cellule&gt;</v>
      </c>
    </row>
    <row r="1598" spans="1:1" x14ac:dyDescent="0.2">
      <c r="A1598" s="996" t="str">
        <f>CONCATENATE(Programme!D1599,Programme!E1599,Programme!F1599,Programme!G1599,Programme!H1599,Programme!I1599,Programme!J1599)</f>
        <v>&lt;codeEdi&gt;13441&lt;/codeEdi&gt;</v>
      </c>
    </row>
    <row r="1599" spans="1:1" x14ac:dyDescent="0.2">
      <c r="A1599" s="996" t="str">
        <f>CONCATENATE(Programme!D1600,Programme!E1600,Programme!F1600,Programme!G1600,Programme!H1600,Programme!I1600,Programme!J1600)</f>
        <v>&lt;/cellule&gt;</v>
      </c>
    </row>
    <row r="1600" spans="1:1" x14ac:dyDescent="0.2">
      <c r="A1600" s="996" t="str">
        <f>CONCATENATE(Programme!D1601,Programme!E1601,Programme!F1601,Programme!G1601,Programme!H1601,Programme!I1601,Programme!J1601)</f>
        <v>&lt;valeur&gt;0&lt;/valeur&gt;</v>
      </c>
    </row>
    <row r="1601" spans="1:1" x14ac:dyDescent="0.2">
      <c r="A1601" s="996" t="str">
        <f>CONCATENATE(Programme!D1602,Programme!E1602,Programme!F1602,Programme!G1602,Programme!H1602,Programme!I1602,Programme!J1602)</f>
        <v>&lt;/ValeurCellule&gt;</v>
      </c>
    </row>
    <row r="1602" spans="1:1" x14ac:dyDescent="0.2">
      <c r="A1602" s="996" t="str">
        <f>CONCATENATE(Programme!D1603,Programme!E1603,Programme!F1603,Programme!G1603,Programme!H1603,Programme!I1603,Programme!J1603)</f>
        <v>&lt;ValeurCellule&gt;</v>
      </c>
    </row>
    <row r="1603" spans="1:1" x14ac:dyDescent="0.2">
      <c r="A1603" s="996" t="str">
        <f>CONCATENATE(Programme!D1604,Programme!E1604,Programme!F1604,Programme!G1604,Programme!H1604,Programme!I1604,Programme!J1604)</f>
        <v>&lt;cellule&gt;</v>
      </c>
    </row>
    <row r="1604" spans="1:1" x14ac:dyDescent="0.2">
      <c r="A1604" s="996" t="str">
        <f>CONCATENATE(Programme!D1605,Programme!E1605,Programme!F1605,Programme!G1605,Programme!H1605,Programme!I1605,Programme!J1605)</f>
        <v>&lt;codeEdi&gt;13442&lt;/codeEdi&gt;</v>
      </c>
    </row>
    <row r="1605" spans="1:1" x14ac:dyDescent="0.2">
      <c r="A1605" s="996" t="str">
        <f>CONCATENATE(Programme!D1606,Programme!E1606,Programme!F1606,Programme!G1606,Programme!H1606,Programme!I1606,Programme!J1606)</f>
        <v>&lt;/cellule&gt;</v>
      </c>
    </row>
    <row r="1606" spans="1:1" x14ac:dyDescent="0.2">
      <c r="A1606" s="996" t="str">
        <f>CONCATENATE(Programme!D1607,Programme!E1607,Programme!F1607,Programme!G1607,Programme!H1607,Programme!I1607,Programme!J1607)</f>
        <v>&lt;valeur&gt;0&lt;/valeur&gt;</v>
      </c>
    </row>
    <row r="1607" spans="1:1" x14ac:dyDescent="0.2">
      <c r="A1607" s="996" t="str">
        <f>CONCATENATE(Programme!D1608,Programme!E1608,Programme!F1608,Programme!G1608,Programme!H1608,Programme!I1608,Programme!J1608)</f>
        <v>&lt;/ValeurCellule&gt;</v>
      </c>
    </row>
    <row r="1608" spans="1:1" x14ac:dyDescent="0.2">
      <c r="A1608" s="996" t="str">
        <f>CONCATENATE(Programme!D1609,Programme!E1609,Programme!F1609,Programme!G1609,Programme!H1609,Programme!I1609,Programme!J1609)</f>
        <v>&lt;ValeurCellule&gt;</v>
      </c>
    </row>
    <row r="1609" spans="1:1" x14ac:dyDescent="0.2">
      <c r="A1609" s="996" t="str">
        <f>CONCATENATE(Programme!D1610,Programme!E1610,Programme!F1610,Programme!G1610,Programme!H1610,Programme!I1610,Programme!J1610)</f>
        <v>&lt;cellule&gt;</v>
      </c>
    </row>
    <row r="1610" spans="1:1" x14ac:dyDescent="0.2">
      <c r="A1610" s="996" t="str">
        <f>CONCATENATE(Programme!D1611,Programme!E1611,Programme!F1611,Programme!G1611,Programme!H1611,Programme!I1611,Programme!J1611)</f>
        <v>&lt;codeEdi&gt;13443&lt;/codeEdi&gt;</v>
      </c>
    </row>
    <row r="1611" spans="1:1" x14ac:dyDescent="0.2">
      <c r="A1611" s="996" t="str">
        <f>CONCATENATE(Programme!D1612,Programme!E1612,Programme!F1612,Programme!G1612,Programme!H1612,Programme!I1612,Programme!J1612)</f>
        <v>&lt;/cellule&gt;</v>
      </c>
    </row>
    <row r="1612" spans="1:1" x14ac:dyDescent="0.2">
      <c r="A1612" s="996" t="str">
        <f>CONCATENATE(Programme!D1613,Programme!E1613,Programme!F1613,Programme!G1613,Programme!H1613,Programme!I1613,Programme!J1613)</f>
        <v>&lt;valeur&gt;0&lt;/valeur&gt;</v>
      </c>
    </row>
    <row r="1613" spans="1:1" x14ac:dyDescent="0.2">
      <c r="A1613" s="996" t="str">
        <f>CONCATENATE(Programme!D1614,Programme!E1614,Programme!F1614,Programme!G1614,Programme!H1614,Programme!I1614,Programme!J1614)</f>
        <v>&lt;/ValeurCellule&gt;</v>
      </c>
    </row>
    <row r="1614" spans="1:1" x14ac:dyDescent="0.2">
      <c r="A1614" s="996" t="str">
        <f>CONCATENATE(Programme!D1615,Programme!E1615,Programme!F1615,Programme!G1615,Programme!H1615,Programme!I1615,Programme!J1615)</f>
        <v>&lt;ValeurCellule&gt;</v>
      </c>
    </row>
    <row r="1615" spans="1:1" x14ac:dyDescent="0.2">
      <c r="A1615" s="996" t="str">
        <f>CONCATENATE(Programme!D1616,Programme!E1616,Programme!F1616,Programme!G1616,Programme!H1616,Programme!I1616,Programme!J1616)</f>
        <v>&lt;cellule&gt;</v>
      </c>
    </row>
    <row r="1616" spans="1:1" x14ac:dyDescent="0.2">
      <c r="A1616" s="996" t="str">
        <f>CONCATENATE(Programme!D1617,Programme!E1617,Programme!F1617,Programme!G1617,Programme!H1617,Programme!I1617,Programme!J1617)</f>
        <v>&lt;codeEdi&gt;13444&lt;/codeEdi&gt;</v>
      </c>
    </row>
    <row r="1617" spans="1:1" x14ac:dyDescent="0.2">
      <c r="A1617" s="996" t="str">
        <f>CONCATENATE(Programme!D1618,Programme!E1618,Programme!F1618,Programme!G1618,Programme!H1618,Programme!I1618,Programme!J1618)</f>
        <v>&lt;/cellule&gt;</v>
      </c>
    </row>
    <row r="1618" spans="1:1" x14ac:dyDescent="0.2">
      <c r="A1618" s="996" t="str">
        <f>CONCATENATE(Programme!D1619,Programme!E1619,Programme!F1619,Programme!G1619,Programme!H1619,Programme!I1619,Programme!J1619)</f>
        <v>&lt;valeur&gt;0&lt;/valeur&gt;</v>
      </c>
    </row>
    <row r="1619" spans="1:1" x14ac:dyDescent="0.2">
      <c r="A1619" s="996" t="str">
        <f>CONCATENATE(Programme!D1620,Programme!E1620,Programme!F1620,Programme!G1620,Programme!H1620,Programme!I1620,Programme!J1620)</f>
        <v>&lt;/ValeurCellule&gt;</v>
      </c>
    </row>
    <row r="1620" spans="1:1" x14ac:dyDescent="0.2">
      <c r="A1620" s="996" t="str">
        <f>CONCATENATE(Programme!D1621,Programme!E1621,Programme!F1621,Programme!G1621,Programme!H1621,Programme!I1621,Programme!J1621)</f>
        <v>&lt;ValeurCellule&gt;</v>
      </c>
    </row>
    <row r="1621" spans="1:1" x14ac:dyDescent="0.2">
      <c r="A1621" s="996" t="str">
        <f>CONCATENATE(Programme!D1622,Programme!E1622,Programme!F1622,Programme!G1622,Programme!H1622,Programme!I1622,Programme!J1622)</f>
        <v>&lt;cellule&gt;</v>
      </c>
    </row>
    <row r="1622" spans="1:1" x14ac:dyDescent="0.2">
      <c r="A1622" s="996" t="str">
        <f>CONCATENATE(Programme!D1623,Programme!E1623,Programme!F1623,Programme!G1623,Programme!H1623,Programme!I1623,Programme!J1623)</f>
        <v>&lt;codeEdi&gt;13445&lt;/codeEdi&gt;</v>
      </c>
    </row>
    <row r="1623" spans="1:1" x14ac:dyDescent="0.2">
      <c r="A1623" s="996" t="str">
        <f>CONCATENATE(Programme!D1624,Programme!E1624,Programme!F1624,Programme!G1624,Programme!H1624,Programme!I1624,Programme!J1624)</f>
        <v>&lt;/cellule&gt;</v>
      </c>
    </row>
    <row r="1624" spans="1:1" x14ac:dyDescent="0.2">
      <c r="A1624" s="996" t="str">
        <f>CONCATENATE(Programme!D1625,Programme!E1625,Programme!F1625,Programme!G1625,Programme!H1625,Programme!I1625,Programme!J1625)</f>
        <v>&lt;valeur&gt;0&lt;/valeur&gt;</v>
      </c>
    </row>
    <row r="1625" spans="1:1" x14ac:dyDescent="0.2">
      <c r="A1625" s="996" t="str">
        <f>CONCATENATE(Programme!D1626,Programme!E1626,Programme!F1626,Programme!G1626,Programme!H1626,Programme!I1626,Programme!J1626)</f>
        <v>&lt;/ValeurCellule&gt;</v>
      </c>
    </row>
    <row r="1626" spans="1:1" x14ac:dyDescent="0.2">
      <c r="A1626" s="996" t="str">
        <f>CONCATENATE(Programme!D1627,Programme!E1627,Programme!F1627,Programme!G1627,Programme!H1627,Programme!I1627,Programme!J1627)</f>
        <v>&lt;ValeurCellule&gt;</v>
      </c>
    </row>
    <row r="1627" spans="1:1" x14ac:dyDescent="0.2">
      <c r="A1627" s="996" t="str">
        <f>CONCATENATE(Programme!D1628,Programme!E1628,Programme!F1628,Programme!G1628,Programme!H1628,Programme!I1628,Programme!J1628)</f>
        <v>&lt;cellule&gt;</v>
      </c>
    </row>
    <row r="1628" spans="1:1" x14ac:dyDescent="0.2">
      <c r="A1628" s="996" t="str">
        <f>CONCATENATE(Programme!D1629,Programme!E1629,Programme!F1629,Programme!G1629,Programme!H1629,Programme!I1629,Programme!J1629)</f>
        <v>&lt;codeEdi&gt;13375&lt;/codeEdi&gt;</v>
      </c>
    </row>
    <row r="1629" spans="1:1" x14ac:dyDescent="0.2">
      <c r="A1629" s="996" t="str">
        <f>CONCATENATE(Programme!D1630,Programme!E1630,Programme!F1630,Programme!G1630,Programme!H1630,Programme!I1630,Programme!J1630)</f>
        <v>&lt;/cellule&gt;</v>
      </c>
    </row>
    <row r="1630" spans="1:1" x14ac:dyDescent="0.2">
      <c r="A1630" s="996" t="str">
        <f>CONCATENATE(Programme!D1631,Programme!E1631,Programme!F1631,Programme!G1631,Programme!H1631,Programme!I1631,Programme!J1631)</f>
        <v>&lt;valeur&gt;0&lt;/valeur&gt;</v>
      </c>
    </row>
    <row r="1631" spans="1:1" x14ac:dyDescent="0.2">
      <c r="A1631" s="996" t="str">
        <f>CONCATENATE(Programme!D1632,Programme!E1632,Programme!F1632,Programme!G1632,Programme!H1632,Programme!I1632,Programme!J1632)</f>
        <v>&lt;/ValeurCellule&gt;</v>
      </c>
    </row>
    <row r="1632" spans="1:1" x14ac:dyDescent="0.2">
      <c r="A1632" s="996" t="str">
        <f>CONCATENATE(Programme!D1633,Programme!E1633,Programme!F1633,Programme!G1633,Programme!H1633,Programme!I1633,Programme!J1633)</f>
        <v>&lt;ValeurCellule&gt;</v>
      </c>
    </row>
    <row r="1633" spans="1:1" x14ac:dyDescent="0.2">
      <c r="A1633" s="996" t="str">
        <f>CONCATENATE(Programme!D1634,Programme!E1634,Programme!F1634,Programme!G1634,Programme!H1634,Programme!I1634,Programme!J1634)</f>
        <v>&lt;cellule&gt;</v>
      </c>
    </row>
    <row r="1634" spans="1:1" x14ac:dyDescent="0.2">
      <c r="A1634" s="996" t="str">
        <f>CONCATENATE(Programme!D1635,Programme!E1635,Programme!F1635,Programme!G1635,Programme!H1635,Programme!I1635,Programme!J1635)</f>
        <v>&lt;codeEdi&gt;13446&lt;/codeEdi&gt;</v>
      </c>
    </row>
    <row r="1635" spans="1:1" x14ac:dyDescent="0.2">
      <c r="A1635" s="996" t="str">
        <f>CONCATENATE(Programme!D1636,Programme!E1636,Programme!F1636,Programme!G1636,Programme!H1636,Programme!I1636,Programme!J1636)</f>
        <v>&lt;/cellule&gt;</v>
      </c>
    </row>
    <row r="1636" spans="1:1" x14ac:dyDescent="0.2">
      <c r="A1636" s="996" t="str">
        <f>CONCATENATE(Programme!D1637,Programme!E1637,Programme!F1637,Programme!G1637,Programme!H1637,Programme!I1637,Programme!J1637)</f>
        <v>&lt;valeur&gt;0&lt;/valeur&gt;</v>
      </c>
    </row>
    <row r="1637" spans="1:1" x14ac:dyDescent="0.2">
      <c r="A1637" s="996" t="str">
        <f>CONCATENATE(Programme!D1638,Programme!E1638,Programme!F1638,Programme!G1638,Programme!H1638,Programme!I1638,Programme!J1638)</f>
        <v>&lt;/ValeurCellule&gt;</v>
      </c>
    </row>
    <row r="1638" spans="1:1" x14ac:dyDescent="0.2">
      <c r="A1638" s="996" t="str">
        <f>CONCATENATE(Programme!D1639,Programme!E1639,Programme!F1639,Programme!G1639,Programme!H1639,Programme!I1639,Programme!J1639)</f>
        <v>&lt;ValeurCellule&gt;</v>
      </c>
    </row>
    <row r="1639" spans="1:1" x14ac:dyDescent="0.2">
      <c r="A1639" s="996" t="str">
        <f>CONCATENATE(Programme!D1640,Programme!E1640,Programme!F1640,Programme!G1640,Programme!H1640,Programme!I1640,Programme!J1640)</f>
        <v>&lt;cellule&gt;</v>
      </c>
    </row>
    <row r="1640" spans="1:1" x14ac:dyDescent="0.2">
      <c r="A1640" s="996" t="str">
        <f>CONCATENATE(Programme!D1641,Programme!E1641,Programme!F1641,Programme!G1641,Programme!H1641,Programme!I1641,Programme!J1641)</f>
        <v>&lt;codeEdi&gt;13374&lt;/codeEdi&gt;</v>
      </c>
    </row>
    <row r="1641" spans="1:1" x14ac:dyDescent="0.2">
      <c r="A1641" s="996" t="str">
        <f>CONCATENATE(Programme!D1642,Programme!E1642,Programme!F1642,Programme!G1642,Programme!H1642,Programme!I1642,Programme!J1642)</f>
        <v>&lt;/cellule&gt;</v>
      </c>
    </row>
    <row r="1642" spans="1:1" x14ac:dyDescent="0.2">
      <c r="A1642" s="996" t="str">
        <f>CONCATENATE(Programme!D1643,Programme!E1643,Programme!F1643,Programme!G1643,Programme!H1643,Programme!I1643,Programme!J1643)</f>
        <v>&lt;valeur&gt;0&lt;/valeur&gt;</v>
      </c>
    </row>
    <row r="1643" spans="1:1" x14ac:dyDescent="0.2">
      <c r="A1643" s="996" t="str">
        <f>CONCATENATE(Programme!D1644,Programme!E1644,Programme!F1644,Programme!G1644,Programme!H1644,Programme!I1644,Programme!J1644)</f>
        <v>&lt;/ValeurCellule&gt;</v>
      </c>
    </row>
    <row r="1644" spans="1:1" x14ac:dyDescent="0.2">
      <c r="A1644" s="996" t="str">
        <f>CONCATENATE(Programme!D1645,Programme!E1645,Programme!F1645,Programme!G1645,Programme!H1645,Programme!I1645,Programme!J1645)</f>
        <v>&lt;ValeurCellule&gt;</v>
      </c>
    </row>
    <row r="1645" spans="1:1" x14ac:dyDescent="0.2">
      <c r="A1645" s="996" t="str">
        <f>CONCATENATE(Programme!D1646,Programme!E1646,Programme!F1646,Programme!G1646,Programme!H1646,Programme!I1646,Programme!J1646)</f>
        <v>&lt;cellule&gt;</v>
      </c>
    </row>
    <row r="1646" spans="1:1" x14ac:dyDescent="0.2">
      <c r="A1646" s="996" t="str">
        <f>CONCATENATE(Programme!D1647,Programme!E1647,Programme!F1647,Programme!G1647,Programme!H1647,Programme!I1647,Programme!J1647)</f>
        <v>&lt;codeEdi&gt;13447&lt;/codeEdi&gt;</v>
      </c>
    </row>
    <row r="1647" spans="1:1" x14ac:dyDescent="0.2">
      <c r="A1647" s="996" t="str">
        <f>CONCATENATE(Programme!D1648,Programme!E1648,Programme!F1648,Programme!G1648,Programme!H1648,Programme!I1648,Programme!J1648)</f>
        <v>&lt;/cellule&gt;</v>
      </c>
    </row>
    <row r="1648" spans="1:1" x14ac:dyDescent="0.2">
      <c r="A1648" s="996" t="str">
        <f>CONCATENATE(Programme!D1649,Programme!E1649,Programme!F1649,Programme!G1649,Programme!H1649,Programme!I1649,Programme!J1649)</f>
        <v>&lt;valeur&gt;0&lt;/valeur&gt;</v>
      </c>
    </row>
    <row r="1649" spans="1:1" x14ac:dyDescent="0.2">
      <c r="A1649" s="996" t="str">
        <f>CONCATENATE(Programme!D1650,Programme!E1650,Programme!F1650,Programme!G1650,Programme!H1650,Programme!I1650,Programme!J1650)</f>
        <v>&lt;/ValeurCellule&gt;</v>
      </c>
    </row>
    <row r="1650" spans="1:1" x14ac:dyDescent="0.2">
      <c r="A1650" s="996" t="str">
        <f>CONCATENATE(Programme!D1651,Programme!E1651,Programme!F1651,Programme!G1651,Programme!H1651,Programme!I1651,Programme!J1651)</f>
        <v>&lt;ValeurCellule&gt;</v>
      </c>
    </row>
    <row r="1651" spans="1:1" x14ac:dyDescent="0.2">
      <c r="A1651" s="996" t="str">
        <f>CONCATENATE(Programme!D1652,Programme!E1652,Programme!F1652,Programme!G1652,Programme!H1652,Programme!I1652,Programme!J1652)</f>
        <v>&lt;cellule&gt;</v>
      </c>
    </row>
    <row r="1652" spans="1:1" x14ac:dyDescent="0.2">
      <c r="A1652" s="996" t="str">
        <f>CONCATENATE(Programme!D1653,Programme!E1653,Programme!F1653,Programme!G1653,Programme!H1653,Programme!I1653,Programme!J1653)</f>
        <v>&lt;codeEdi&gt;13373&lt;/codeEdi&gt;</v>
      </c>
    </row>
    <row r="1653" spans="1:1" x14ac:dyDescent="0.2">
      <c r="A1653" s="996" t="str">
        <f>CONCATENATE(Programme!D1654,Programme!E1654,Programme!F1654,Programme!G1654,Programme!H1654,Programme!I1654,Programme!J1654)</f>
        <v>&lt;/cellule&gt;</v>
      </c>
    </row>
    <row r="1654" spans="1:1" x14ac:dyDescent="0.2">
      <c r="A1654" s="996" t="str">
        <f>CONCATENATE(Programme!D1655,Programme!E1655,Programme!F1655,Programme!G1655,Programme!H1655,Programme!I1655,Programme!J1655)</f>
        <v>&lt;valeur&gt;0&lt;/valeur&gt;</v>
      </c>
    </row>
    <row r="1655" spans="1:1" x14ac:dyDescent="0.2">
      <c r="A1655" s="996" t="str">
        <f>CONCATENATE(Programme!D1656,Programme!E1656,Programme!F1656,Programme!G1656,Programme!H1656,Programme!I1656,Programme!J1656)</f>
        <v>&lt;/ValeurCellule&gt;</v>
      </c>
    </row>
    <row r="1656" spans="1:1" x14ac:dyDescent="0.2">
      <c r="A1656" s="996" t="str">
        <f>CONCATENATE(Programme!D1657,Programme!E1657,Programme!F1657,Programme!G1657,Programme!H1657,Programme!I1657,Programme!J1657)</f>
        <v>&lt;ValeurCellule&gt;</v>
      </c>
    </row>
    <row r="1657" spans="1:1" x14ac:dyDescent="0.2">
      <c r="A1657" s="996" t="str">
        <f>CONCATENATE(Programme!D1658,Programme!E1658,Programme!F1658,Programme!G1658,Programme!H1658,Programme!I1658,Programme!J1658)</f>
        <v>&lt;cellule&gt;</v>
      </c>
    </row>
    <row r="1658" spans="1:1" x14ac:dyDescent="0.2">
      <c r="A1658" s="996" t="str">
        <f>CONCATENATE(Programme!D1659,Programme!E1659,Programme!F1659,Programme!G1659,Programme!H1659,Programme!I1659,Programme!J1659)</f>
        <v>&lt;codeEdi&gt;13448&lt;/codeEdi&gt;</v>
      </c>
    </row>
    <row r="1659" spans="1:1" x14ac:dyDescent="0.2">
      <c r="A1659" s="996" t="str">
        <f>CONCATENATE(Programme!D1660,Programme!E1660,Programme!F1660,Programme!G1660,Programme!H1660,Programme!I1660,Programme!J1660)</f>
        <v>&lt;/cellule&gt;</v>
      </c>
    </row>
    <row r="1660" spans="1:1" x14ac:dyDescent="0.2">
      <c r="A1660" s="996" t="str">
        <f>CONCATENATE(Programme!D1661,Programme!E1661,Programme!F1661,Programme!G1661,Programme!H1661,Programme!I1661,Programme!J1661)</f>
        <v>&lt;valeur&gt;0&lt;/valeur&gt;</v>
      </c>
    </row>
    <row r="1661" spans="1:1" x14ac:dyDescent="0.2">
      <c r="A1661" s="996" t="str">
        <f>CONCATENATE(Programme!D1662,Programme!E1662,Programme!F1662,Programme!G1662,Programme!H1662,Programme!I1662,Programme!J1662)</f>
        <v>&lt;/ValeurCellule&gt;</v>
      </c>
    </row>
    <row r="1662" spans="1:1" x14ac:dyDescent="0.2">
      <c r="A1662" s="996" t="str">
        <f>CONCATENATE(Programme!D1663,Programme!E1663,Programme!F1663,Programme!G1663,Programme!H1663,Programme!I1663,Programme!J1663)</f>
        <v>&lt;ValeurCellule&gt;</v>
      </c>
    </row>
    <row r="1663" spans="1:1" x14ac:dyDescent="0.2">
      <c r="A1663" s="996" t="str">
        <f>CONCATENATE(Programme!D1664,Programme!E1664,Programme!F1664,Programme!G1664,Programme!H1664,Programme!I1664,Programme!J1664)</f>
        <v>&lt;cellule&gt;</v>
      </c>
    </row>
    <row r="1664" spans="1:1" x14ac:dyDescent="0.2">
      <c r="A1664" s="996" t="str">
        <f>CONCATENATE(Programme!D1665,Programme!E1665,Programme!F1665,Programme!G1665,Programme!H1665,Programme!I1665,Programme!J1665)</f>
        <v>&lt;codeEdi&gt;13370&lt;/codeEdi&gt;</v>
      </c>
    </row>
    <row r="1665" spans="1:1" x14ac:dyDescent="0.2">
      <c r="A1665" s="996" t="str">
        <f>CONCATENATE(Programme!D1666,Programme!E1666,Programme!F1666,Programme!G1666,Programme!H1666,Programme!I1666,Programme!J1666)</f>
        <v>&lt;/cellule&gt;</v>
      </c>
    </row>
    <row r="1666" spans="1:1" x14ac:dyDescent="0.2">
      <c r="A1666" s="996" t="str">
        <f>CONCATENATE(Programme!D1667,Programme!E1667,Programme!F1667,Programme!G1667,Programme!H1667,Programme!I1667,Programme!J1667)</f>
        <v>&lt;valeur&gt;0&lt;/valeur&gt;</v>
      </c>
    </row>
    <row r="1667" spans="1:1" x14ac:dyDescent="0.2">
      <c r="A1667" s="996" t="str">
        <f>CONCATENATE(Programme!D1668,Programme!E1668,Programme!F1668,Programme!G1668,Programme!H1668,Programme!I1668,Programme!J1668)</f>
        <v>&lt;/ValeurCellule&gt;</v>
      </c>
    </row>
    <row r="1668" spans="1:1" x14ac:dyDescent="0.2">
      <c r="A1668" s="996" t="str">
        <f>CONCATENATE(Programme!D1669,Programme!E1669,Programme!F1669,Programme!G1669,Programme!H1669,Programme!I1669,Programme!J1669)</f>
        <v>&lt;ValeurCellule&gt;</v>
      </c>
    </row>
    <row r="1669" spans="1:1" x14ac:dyDescent="0.2">
      <c r="A1669" s="996" t="str">
        <f>CONCATENATE(Programme!D1670,Programme!E1670,Programme!F1670,Programme!G1670,Programme!H1670,Programme!I1670,Programme!J1670)</f>
        <v>&lt;cellule&gt;</v>
      </c>
    </row>
    <row r="1670" spans="1:1" x14ac:dyDescent="0.2">
      <c r="A1670" s="996" t="str">
        <f>CONCATENATE(Programme!D1671,Programme!E1671,Programme!F1671,Programme!G1671,Programme!H1671,Programme!I1671,Programme!J1671)</f>
        <v>&lt;codeEdi&gt;13371&lt;/codeEdi&gt;</v>
      </c>
    </row>
    <row r="1671" spans="1:1" x14ac:dyDescent="0.2">
      <c r="A1671" s="996" t="str">
        <f>CONCATENATE(Programme!D1672,Programme!E1672,Programme!F1672,Programme!G1672,Programme!H1672,Programme!I1672,Programme!J1672)</f>
        <v>&lt;/cellule&gt;</v>
      </c>
    </row>
    <row r="1672" spans="1:1" x14ac:dyDescent="0.2">
      <c r="A1672" s="996" t="str">
        <f>CONCATENATE(Programme!D1673,Programme!E1673,Programme!F1673,Programme!G1673,Programme!H1673,Programme!I1673,Programme!J1673)</f>
        <v>&lt;valeur&gt;0&lt;/valeur&gt;</v>
      </c>
    </row>
    <row r="1673" spans="1:1" x14ac:dyDescent="0.2">
      <c r="A1673" s="996" t="str">
        <f>CONCATENATE(Programme!D1674,Programme!E1674,Programme!F1674,Programme!G1674,Programme!H1674,Programme!I1674,Programme!J1674)</f>
        <v>&lt;/ValeurCellule&gt;</v>
      </c>
    </row>
    <row r="1674" spans="1:1" x14ac:dyDescent="0.2">
      <c r="A1674" s="996" t="str">
        <f>CONCATENATE(Programme!D1675,Programme!E1675,Programme!F1675,Programme!G1675,Programme!H1675,Programme!I1675,Programme!J1675)</f>
        <v>&lt;ValeurCellule&gt;</v>
      </c>
    </row>
    <row r="1675" spans="1:1" x14ac:dyDescent="0.2">
      <c r="A1675" s="996" t="str">
        <f>CONCATENATE(Programme!D1676,Programme!E1676,Programme!F1676,Programme!G1676,Programme!H1676,Programme!I1676,Programme!J1676)</f>
        <v>&lt;cellule&gt;</v>
      </c>
    </row>
    <row r="1676" spans="1:1" x14ac:dyDescent="0.2">
      <c r="A1676" s="996" t="str">
        <f>CONCATENATE(Programme!D1677,Programme!E1677,Programme!F1677,Programme!G1677,Programme!H1677,Programme!I1677,Programme!J1677)</f>
        <v>&lt;codeEdi&gt;13372&lt;/codeEdi&gt;</v>
      </c>
    </row>
    <row r="1677" spans="1:1" x14ac:dyDescent="0.2">
      <c r="A1677" s="996" t="str">
        <f>CONCATENATE(Programme!D1678,Programme!E1678,Programme!F1678,Programme!G1678,Programme!H1678,Programme!I1678,Programme!J1678)</f>
        <v>&lt;/cellule&gt;</v>
      </c>
    </row>
    <row r="1678" spans="1:1" x14ac:dyDescent="0.2">
      <c r="A1678" s="996" t="str">
        <f>CONCATENATE(Programme!D1679,Programme!E1679,Programme!F1679,Programme!G1679,Programme!H1679,Programme!I1679,Programme!J1679)</f>
        <v>&lt;valeur&gt;0&lt;/valeur&gt;</v>
      </c>
    </row>
    <row r="1679" spans="1:1" x14ac:dyDescent="0.2">
      <c r="A1679" s="996" t="str">
        <f>CONCATENATE(Programme!D1680,Programme!E1680,Programme!F1680,Programme!G1680,Programme!H1680,Programme!I1680,Programme!J1680)</f>
        <v>&lt;/ValeurCellule&gt;</v>
      </c>
    </row>
    <row r="1680" spans="1:1" x14ac:dyDescent="0.2">
      <c r="A1680" s="996" t="str">
        <f>CONCATENATE(Programme!D1681,Programme!E1681,Programme!F1681,Programme!G1681,Programme!H1681,Programme!I1681,Programme!J1681)</f>
        <v>&lt;ValeurCellule&gt;</v>
      </c>
    </row>
    <row r="1681" spans="1:1" x14ac:dyDescent="0.2">
      <c r="A1681" s="996" t="str">
        <f>CONCATENATE(Programme!D1682,Programme!E1682,Programme!F1682,Programme!G1682,Programme!H1682,Programme!I1682,Programme!J1682)</f>
        <v>&lt;cellule&gt;</v>
      </c>
    </row>
    <row r="1682" spans="1:1" x14ac:dyDescent="0.2">
      <c r="A1682" s="996" t="str">
        <f>CONCATENATE(Programme!D1683,Programme!E1683,Programme!F1683,Programme!G1683,Programme!H1683,Programme!I1683,Programme!J1683)</f>
        <v>&lt;codeEdi&gt;13449&lt;/codeEdi&gt;</v>
      </c>
    </row>
    <row r="1683" spans="1:1" x14ac:dyDescent="0.2">
      <c r="A1683" s="996" t="str">
        <f>CONCATENATE(Programme!D1684,Programme!E1684,Programme!F1684,Programme!G1684,Programme!H1684,Programme!I1684,Programme!J1684)</f>
        <v>&lt;/cellule&gt;</v>
      </c>
    </row>
    <row r="1684" spans="1:1" x14ac:dyDescent="0.2">
      <c r="A1684" s="996" t="str">
        <f>CONCATENATE(Programme!D1685,Programme!E1685,Programme!F1685,Programme!G1685,Programme!H1685,Programme!I1685,Programme!J1685)</f>
        <v>&lt;valeur&gt;0&lt;/valeur&gt;</v>
      </c>
    </row>
    <row r="1685" spans="1:1" x14ac:dyDescent="0.2">
      <c r="A1685" s="996" t="str">
        <f>CONCATENATE(Programme!D1686,Programme!E1686,Programme!F1686,Programme!G1686,Programme!H1686,Programme!I1686,Programme!J1686)</f>
        <v>&lt;/ValeurCellule&gt;</v>
      </c>
    </row>
    <row r="1686" spans="1:1" x14ac:dyDescent="0.2">
      <c r="A1686" s="996" t="str">
        <f>CONCATENATE(Programme!D1687,Programme!E1687,Programme!F1687,Programme!G1687,Programme!H1687,Programme!I1687,Programme!J1687)</f>
        <v>&lt;ValeurCellule&gt;</v>
      </c>
    </row>
    <row r="1687" spans="1:1" x14ac:dyDescent="0.2">
      <c r="A1687" s="996" t="str">
        <f>CONCATENATE(Programme!D1688,Programme!E1688,Programme!F1688,Programme!G1688,Programme!H1688,Programme!I1688,Programme!J1688)</f>
        <v>&lt;cellule&gt;</v>
      </c>
    </row>
    <row r="1688" spans="1:1" x14ac:dyDescent="0.2">
      <c r="A1688" s="996" t="str">
        <f>CONCATENATE(Programme!D1689,Programme!E1689,Programme!F1689,Programme!G1689,Programme!H1689,Programme!I1689,Programme!J1689)</f>
        <v>&lt;codeEdi&gt;13450&lt;/codeEdi&gt;</v>
      </c>
    </row>
    <row r="1689" spans="1:1" x14ac:dyDescent="0.2">
      <c r="A1689" s="996" t="str">
        <f>CONCATENATE(Programme!D1690,Programme!E1690,Programme!F1690,Programme!G1690,Programme!H1690,Programme!I1690,Programme!J1690)</f>
        <v>&lt;/cellule&gt;</v>
      </c>
    </row>
    <row r="1690" spans="1:1" x14ac:dyDescent="0.2">
      <c r="A1690" s="996" t="str">
        <f>CONCATENATE(Programme!D1691,Programme!E1691,Programme!F1691,Programme!G1691,Programme!H1691,Programme!I1691,Programme!J1691)</f>
        <v>&lt;valeur&gt;0&lt;/valeur&gt;</v>
      </c>
    </row>
    <row r="1691" spans="1:1" x14ac:dyDescent="0.2">
      <c r="A1691" s="996" t="str">
        <f>CONCATENATE(Programme!D1692,Programme!E1692,Programme!F1692,Programme!G1692,Programme!H1692,Programme!I1692,Programme!J1692)</f>
        <v>&lt;/ValeurCellule&gt;</v>
      </c>
    </row>
    <row r="1692" spans="1:1" x14ac:dyDescent="0.2">
      <c r="A1692" s="996" t="str">
        <f>CONCATENATE(Programme!D1693,Programme!E1693,Programme!F1693,Programme!G1693,Programme!H1693,Programme!I1693,Programme!J1693)</f>
        <v>&lt;ValeurCellule&gt;</v>
      </c>
    </row>
    <row r="1693" spans="1:1" x14ac:dyDescent="0.2">
      <c r="A1693" s="996" t="str">
        <f>CONCATENATE(Programme!D1694,Programme!E1694,Programme!F1694,Programme!G1694,Programme!H1694,Programme!I1694,Programme!J1694)</f>
        <v>&lt;cellule&gt;</v>
      </c>
    </row>
    <row r="1694" spans="1:1" x14ac:dyDescent="0.2">
      <c r="A1694" s="996" t="str">
        <f>CONCATENATE(Programme!D1695,Programme!E1695,Programme!F1695,Programme!G1695,Programme!H1695,Programme!I1695,Programme!J1695)</f>
        <v>&lt;codeEdi&gt;13451&lt;/codeEdi&gt;</v>
      </c>
    </row>
    <row r="1695" spans="1:1" x14ac:dyDescent="0.2">
      <c r="A1695" s="996" t="str">
        <f>CONCATENATE(Programme!D1696,Programme!E1696,Programme!F1696,Programme!G1696,Programme!H1696,Programme!I1696,Programme!J1696)</f>
        <v>&lt;/cellule&gt;</v>
      </c>
    </row>
    <row r="1696" spans="1:1" x14ac:dyDescent="0.2">
      <c r="A1696" s="996" t="str">
        <f>CONCATENATE(Programme!D1697,Programme!E1697,Programme!F1697,Programme!G1697,Programme!H1697,Programme!I1697,Programme!J1697)</f>
        <v>&lt;valeur&gt;0&lt;/valeur&gt;</v>
      </c>
    </row>
    <row r="1697" spans="1:1" x14ac:dyDescent="0.2">
      <c r="A1697" s="996" t="str">
        <f>CONCATENATE(Programme!D1698,Programme!E1698,Programme!F1698,Programme!G1698,Programme!H1698,Programme!I1698,Programme!J1698)</f>
        <v>&lt;/ValeurCellule&gt;</v>
      </c>
    </row>
    <row r="1698" spans="1:1" x14ac:dyDescent="0.2">
      <c r="A1698" s="996" t="str">
        <f>CONCATENATE(Programme!D1699,Programme!E1699,Programme!F1699,Programme!G1699,Programme!H1699,Programme!I1699,Programme!J1699)</f>
        <v>&lt;ValeurCellule&gt;</v>
      </c>
    </row>
    <row r="1699" spans="1:1" x14ac:dyDescent="0.2">
      <c r="A1699" s="996" t="str">
        <f>CONCATENATE(Programme!D1700,Programme!E1700,Programme!F1700,Programme!G1700,Programme!H1700,Programme!I1700,Programme!J1700)</f>
        <v>&lt;cellule&gt;</v>
      </c>
    </row>
    <row r="1700" spans="1:1" x14ac:dyDescent="0.2">
      <c r="A1700" s="996" t="str">
        <f>CONCATENATE(Programme!D1701,Programme!E1701,Programme!F1701,Programme!G1701,Programme!H1701,Programme!I1701,Programme!J1701)</f>
        <v>&lt;codeEdi&gt;13369&lt;/codeEdi&gt;</v>
      </c>
    </row>
    <row r="1701" spans="1:1" x14ac:dyDescent="0.2">
      <c r="A1701" s="996" t="str">
        <f>CONCATENATE(Programme!D1702,Programme!E1702,Programme!F1702,Programme!G1702,Programme!H1702,Programme!I1702,Programme!J1702)</f>
        <v>&lt;/cellule&gt;</v>
      </c>
    </row>
    <row r="1702" spans="1:1" x14ac:dyDescent="0.2">
      <c r="A1702" s="996" t="str">
        <f>CONCATENATE(Programme!D1703,Programme!E1703,Programme!F1703,Programme!G1703,Programme!H1703,Programme!I1703,Programme!J1703)</f>
        <v>&lt;valeur&gt;0&lt;/valeur&gt;</v>
      </c>
    </row>
    <row r="1703" spans="1:1" x14ac:dyDescent="0.2">
      <c r="A1703" s="996" t="str">
        <f>CONCATENATE(Programme!D1704,Programme!E1704,Programme!F1704,Programme!G1704,Programme!H1704,Programme!I1704,Programme!J1704)</f>
        <v>&lt;/ValeurCellule&gt;</v>
      </c>
    </row>
    <row r="1704" spans="1:1" x14ac:dyDescent="0.2">
      <c r="A1704" s="996" t="str">
        <f>CONCATENATE(Programme!D1705,Programme!E1705,Programme!F1705,Programme!G1705,Programme!H1705,Programme!I1705,Programme!J1705)</f>
        <v>&lt;ValeurCellule&gt;</v>
      </c>
    </row>
    <row r="1705" spans="1:1" x14ac:dyDescent="0.2">
      <c r="A1705" s="996" t="str">
        <f>CONCATENATE(Programme!D1706,Programme!E1706,Programme!F1706,Programme!G1706,Programme!H1706,Programme!I1706,Programme!J1706)</f>
        <v>&lt;cellule&gt;</v>
      </c>
    </row>
    <row r="1706" spans="1:1" x14ac:dyDescent="0.2">
      <c r="A1706" s="996" t="str">
        <f>CONCATENATE(Programme!D1707,Programme!E1707,Programme!F1707,Programme!G1707,Programme!H1707,Programme!I1707,Programme!J1707)</f>
        <v>&lt;codeEdi&gt;13452&lt;/codeEdi&gt;</v>
      </c>
    </row>
    <row r="1707" spans="1:1" x14ac:dyDescent="0.2">
      <c r="A1707" s="996" t="str">
        <f>CONCATENATE(Programme!D1708,Programme!E1708,Programme!F1708,Programme!G1708,Programme!H1708,Programme!I1708,Programme!J1708)</f>
        <v>&lt;/cellule&gt;</v>
      </c>
    </row>
    <row r="1708" spans="1:1" x14ac:dyDescent="0.2">
      <c r="A1708" s="996" t="str">
        <f>CONCATENATE(Programme!D1709,Programme!E1709,Programme!F1709,Programme!G1709,Programme!H1709,Programme!I1709,Programme!J1709)</f>
        <v>&lt;valeur&gt;0&lt;/valeur&gt;</v>
      </c>
    </row>
    <row r="1709" spans="1:1" x14ac:dyDescent="0.2">
      <c r="A1709" s="996" t="str">
        <f>CONCATENATE(Programme!D1710,Programme!E1710,Programme!F1710,Programme!G1710,Programme!H1710,Programme!I1710,Programme!J1710)</f>
        <v>&lt;/ValeurCellule&gt;</v>
      </c>
    </row>
    <row r="1710" spans="1:1" x14ac:dyDescent="0.2">
      <c r="A1710" s="996" t="str">
        <f>CONCATENATE(Programme!D1711,Programme!E1711,Programme!F1711,Programme!G1711,Programme!H1711,Programme!I1711,Programme!J1711)</f>
        <v>&lt;ValeurCellule&gt;</v>
      </c>
    </row>
    <row r="1711" spans="1:1" x14ac:dyDescent="0.2">
      <c r="A1711" s="996" t="str">
        <f>CONCATENATE(Programme!D1712,Programme!E1712,Programme!F1712,Programme!G1712,Programme!H1712,Programme!I1712,Programme!J1712)</f>
        <v>&lt;cellule&gt;</v>
      </c>
    </row>
    <row r="1712" spans="1:1" x14ac:dyDescent="0.2">
      <c r="A1712" s="996" t="str">
        <f>CONCATENATE(Programme!D1713,Programme!E1713,Programme!F1713,Programme!G1713,Programme!H1713,Programme!I1713,Programme!J1713)</f>
        <v>&lt;codeEdi&gt;13368&lt;/codeEdi&gt;</v>
      </c>
    </row>
    <row r="1713" spans="1:1" x14ac:dyDescent="0.2">
      <c r="A1713" s="996" t="str">
        <f>CONCATENATE(Programme!D1714,Programme!E1714,Programme!F1714,Programme!G1714,Programme!H1714,Programme!I1714,Programme!J1714)</f>
        <v>&lt;/cellule&gt;</v>
      </c>
    </row>
    <row r="1714" spans="1:1" x14ac:dyDescent="0.2">
      <c r="A1714" s="996" t="str">
        <f>CONCATENATE(Programme!D1715,Programme!E1715,Programme!F1715,Programme!G1715,Programme!H1715,Programme!I1715,Programme!J1715)</f>
        <v>&lt;valeur&gt;0&lt;/valeur&gt;</v>
      </c>
    </row>
    <row r="1715" spans="1:1" x14ac:dyDescent="0.2">
      <c r="A1715" s="996" t="str">
        <f>CONCATENATE(Programme!D1716,Programme!E1716,Programme!F1716,Programme!G1716,Programme!H1716,Programme!I1716,Programme!J1716)</f>
        <v>&lt;/ValeurCellule&gt;</v>
      </c>
    </row>
    <row r="1716" spans="1:1" x14ac:dyDescent="0.2">
      <c r="A1716" s="996" t="str">
        <f>CONCATENATE(Programme!D1717,Programme!E1717,Programme!F1717,Programme!G1717,Programme!H1717,Programme!I1717,Programme!J1717)</f>
        <v>&lt;ValeurCellule&gt;</v>
      </c>
    </row>
    <row r="1717" spans="1:1" x14ac:dyDescent="0.2">
      <c r="A1717" s="996" t="str">
        <f>CONCATENATE(Programme!D1718,Programme!E1718,Programme!F1718,Programme!G1718,Programme!H1718,Programme!I1718,Programme!J1718)</f>
        <v>&lt;cellule&gt;</v>
      </c>
    </row>
    <row r="1718" spans="1:1" x14ac:dyDescent="0.2">
      <c r="A1718" s="996" t="str">
        <f>CONCATENATE(Programme!D1719,Programme!E1719,Programme!F1719,Programme!G1719,Programme!H1719,Programme!I1719,Programme!J1719)</f>
        <v>&lt;codeEdi&gt;13453&lt;/codeEdi&gt;</v>
      </c>
    </row>
    <row r="1719" spans="1:1" x14ac:dyDescent="0.2">
      <c r="A1719" s="996" t="str">
        <f>CONCATENATE(Programme!D1720,Programme!E1720,Programme!F1720,Programme!G1720,Programme!H1720,Programme!I1720,Programme!J1720)</f>
        <v>&lt;/cellule&gt;</v>
      </c>
    </row>
    <row r="1720" spans="1:1" x14ac:dyDescent="0.2">
      <c r="A1720" s="996" t="str">
        <f>CONCATENATE(Programme!D1721,Programme!E1721,Programme!F1721,Programme!G1721,Programme!H1721,Programme!I1721,Programme!J1721)</f>
        <v>&lt;valeur&gt;0&lt;/valeur&gt;</v>
      </c>
    </row>
    <row r="1721" spans="1:1" x14ac:dyDescent="0.2">
      <c r="A1721" s="996" t="str">
        <f>CONCATENATE(Programme!D1722,Programme!E1722,Programme!F1722,Programme!G1722,Programme!H1722,Programme!I1722,Programme!J1722)</f>
        <v>&lt;/ValeurCellule&gt;</v>
      </c>
    </row>
    <row r="1722" spans="1:1" x14ac:dyDescent="0.2">
      <c r="A1722" s="996" t="str">
        <f>CONCATENATE(Programme!D1723,Programme!E1723,Programme!F1723,Programme!G1723,Programme!H1723,Programme!I1723,Programme!J1723)</f>
        <v>&lt;/groupeValeurs&gt;</v>
      </c>
    </row>
    <row r="1723" spans="1:1" x14ac:dyDescent="0.2">
      <c r="A1723" s="996" t="str">
        <f>CONCATENATE(Programme!D1724,Programme!E1724,Programme!F1724,Programme!G1724,Programme!H1724,Programme!I1724,Programme!J1724)</f>
        <v>&lt;extraFieldvaleurs&gt;</v>
      </c>
    </row>
    <row r="1724" spans="1:1" x14ac:dyDescent="0.2">
      <c r="A1724" s="996" t="str">
        <f>CONCATENATE(Programme!D1725,Programme!E1725,Programme!F1725,Programme!G1725,Programme!H1725,Programme!I1725,Programme!J1725)</f>
        <v>&lt;/extraFieldvaleurs&gt;</v>
      </c>
    </row>
    <row r="1725" spans="1:1" x14ac:dyDescent="0.2">
      <c r="A1725" s="996" t="str">
        <f>CONCATENATE(Programme!D1726,Programme!E1726,Programme!F1726,Programme!G1726,Programme!H1726,Programme!I1726,Programme!J1726)</f>
        <v>&lt;/ValeursTableau&gt;</v>
      </c>
    </row>
    <row r="1726" spans="1:1" x14ac:dyDescent="0.2">
      <c r="A1726" s="996" t="str">
        <f>CONCATENATE(Programme!D1727,Programme!E1727,Programme!F1727,Programme!G1727,Programme!H1727,Programme!I1727,Programme!J1727)</f>
        <v>&lt;ValeursTableau&gt;</v>
      </c>
    </row>
    <row r="1727" spans="1:1" x14ac:dyDescent="0.2">
      <c r="A1727" s="996" t="str">
        <f>CONCATENATE(Programme!D1728,Programme!E1728,Programme!F1728,Programme!G1728,Programme!H1728,Programme!I1728,Programme!J1728)</f>
        <v>&lt;tableau&gt;&lt;id&gt;6&lt;/id&gt;&lt;/tableau&gt;</v>
      </c>
    </row>
    <row r="1728" spans="1:1" x14ac:dyDescent="0.2">
      <c r="A1728" s="996" t="str">
        <f>CONCATENATE(Programme!D1729,Programme!E1729,Programme!F1729,Programme!G1729,Programme!H1729,Programme!I1729,Programme!J1729)</f>
        <v>&lt;groupeValeurs&gt;</v>
      </c>
    </row>
    <row r="1729" spans="1:1" x14ac:dyDescent="0.2">
      <c r="A1729" s="996" t="str">
        <f>CONCATENATE(Programme!D1730,Programme!E1730,Programme!F1730,Programme!G1730,Programme!H1730,Programme!I1730,Programme!J1730)</f>
        <v>&lt;ValeurCellule&gt;</v>
      </c>
    </row>
    <row r="1730" spans="1:1" x14ac:dyDescent="0.2">
      <c r="A1730" s="996" t="str">
        <f>CONCATENATE(Programme!D1731,Programme!E1731,Programme!F1731,Programme!G1731,Programme!H1731,Programme!I1731,Programme!J1731)</f>
        <v>&lt;cellule&gt;</v>
      </c>
    </row>
    <row r="1731" spans="1:1" x14ac:dyDescent="0.2">
      <c r="A1731" s="996" t="str">
        <f>CONCATENATE(Programme!D1732,Programme!E1732,Programme!F1732,Programme!G1732,Programme!H1732,Programme!I1732,Programme!J1732)</f>
        <v>&lt;codeEdi&gt;11206&lt;/codeEdi&gt;</v>
      </c>
    </row>
    <row r="1732" spans="1:1" x14ac:dyDescent="0.2">
      <c r="A1732" s="996" t="str">
        <f>CONCATENATE(Programme!D1733,Programme!E1733,Programme!F1733,Programme!G1733,Programme!H1733,Programme!I1733,Programme!J1733)</f>
        <v>&lt;/cellule&gt;</v>
      </c>
    </row>
    <row r="1733" spans="1:1" x14ac:dyDescent="0.2">
      <c r="A1733" s="996" t="str">
        <f>CONCATENATE(Programme!D1734,Programme!E1734,Programme!F1734,Programme!G1734,Programme!H1734,Programme!I1734,Programme!J1734)</f>
        <v>&lt;valeur&gt;0&lt;/valeur&gt;</v>
      </c>
    </row>
    <row r="1734" spans="1:1" x14ac:dyDescent="0.2">
      <c r="A1734" s="996" t="str">
        <f>CONCATENATE(Programme!D1735,Programme!E1735,Programme!F1735,Programme!G1735,Programme!H1735,Programme!I1735,Programme!J1735)</f>
        <v>&lt;/ValeurCellule&gt;</v>
      </c>
    </row>
    <row r="1735" spans="1:1" x14ac:dyDescent="0.2">
      <c r="A1735" s="996" t="str">
        <f>CONCATENATE(Programme!D1736,Programme!E1736,Programme!F1736,Programme!G1736,Programme!H1736,Programme!I1736,Programme!J1736)</f>
        <v>&lt;ValeurCellule&gt;</v>
      </c>
    </row>
    <row r="1736" spans="1:1" x14ac:dyDescent="0.2">
      <c r="A1736" s="996" t="str">
        <f>CONCATENATE(Programme!D1737,Programme!E1737,Programme!F1737,Programme!G1737,Programme!H1737,Programme!I1737,Programme!J1737)</f>
        <v>&lt;cellule&gt;</v>
      </c>
    </row>
    <row r="1737" spans="1:1" x14ac:dyDescent="0.2">
      <c r="A1737" s="996" t="str">
        <f>CONCATENATE(Programme!D1738,Programme!E1738,Programme!F1738,Programme!G1738,Programme!H1738,Programme!I1738,Programme!J1738)</f>
        <v>&lt;codeEdi&gt;11211&lt;/codeEdi&gt;</v>
      </c>
    </row>
    <row r="1738" spans="1:1" x14ac:dyDescent="0.2">
      <c r="A1738" s="996" t="str">
        <f>CONCATENATE(Programme!D1739,Programme!E1739,Programme!F1739,Programme!G1739,Programme!H1739,Programme!I1739,Programme!J1739)</f>
        <v>&lt;/cellule&gt;</v>
      </c>
    </row>
    <row r="1739" spans="1:1" x14ac:dyDescent="0.2">
      <c r="A1739" s="996" t="str">
        <f>CONCATENATE(Programme!D1740,Programme!E1740,Programme!F1740,Programme!G1740,Programme!H1740,Programme!I1740,Programme!J1740)</f>
        <v>&lt;valeur&gt;0&lt;/valeur&gt;</v>
      </c>
    </row>
    <row r="1740" spans="1:1" x14ac:dyDescent="0.2">
      <c r="A1740" s="996" t="str">
        <f>CONCATENATE(Programme!D1741,Programme!E1741,Programme!F1741,Programme!G1741,Programme!H1741,Programme!I1741,Programme!J1741)</f>
        <v>&lt;/ValeurCellule&gt;</v>
      </c>
    </row>
    <row r="1741" spans="1:1" x14ac:dyDescent="0.2">
      <c r="A1741" s="996" t="str">
        <f>CONCATENATE(Programme!D1742,Programme!E1742,Programme!F1742,Programme!G1742,Programme!H1742,Programme!I1742,Programme!J1742)</f>
        <v>&lt;ValeurCellule&gt;</v>
      </c>
    </row>
    <row r="1742" spans="1:1" x14ac:dyDescent="0.2">
      <c r="A1742" s="996" t="str">
        <f>CONCATENATE(Programme!D1743,Programme!E1743,Programme!F1743,Programme!G1743,Programme!H1743,Programme!I1743,Programme!J1743)</f>
        <v>&lt;cellule&gt;</v>
      </c>
    </row>
    <row r="1743" spans="1:1" x14ac:dyDescent="0.2">
      <c r="A1743" s="996" t="str">
        <f>CONCATENATE(Programme!D1744,Programme!E1744,Programme!F1744,Programme!G1744,Programme!H1744,Programme!I1744,Programme!J1744)</f>
        <v>&lt;codeEdi&gt;11216&lt;/codeEdi&gt;</v>
      </c>
    </row>
    <row r="1744" spans="1:1" x14ac:dyDescent="0.2">
      <c r="A1744" s="996" t="str">
        <f>CONCATENATE(Programme!D1745,Programme!E1745,Programme!F1745,Programme!G1745,Programme!H1745,Programme!I1745,Programme!J1745)</f>
        <v>&lt;/cellule&gt;</v>
      </c>
    </row>
    <row r="1745" spans="1:1" x14ac:dyDescent="0.2">
      <c r="A1745" s="996" t="str">
        <f>CONCATENATE(Programme!D1746,Programme!E1746,Programme!F1746,Programme!G1746,Programme!H1746,Programme!I1746,Programme!J1746)</f>
        <v>&lt;valeur&gt;0&lt;/valeur&gt;</v>
      </c>
    </row>
    <row r="1746" spans="1:1" x14ac:dyDescent="0.2">
      <c r="A1746" s="996" t="str">
        <f>CONCATENATE(Programme!D1747,Programme!E1747,Programme!F1747,Programme!G1747,Programme!H1747,Programme!I1747,Programme!J1747)</f>
        <v>&lt;/ValeurCellule&gt;</v>
      </c>
    </row>
    <row r="1747" spans="1:1" x14ac:dyDescent="0.2">
      <c r="A1747" s="996" t="str">
        <f>CONCATENATE(Programme!D1748,Programme!E1748,Programme!F1748,Programme!G1748,Programme!H1748,Programme!I1748,Programme!J1748)</f>
        <v>&lt;ValeurCellule&gt;</v>
      </c>
    </row>
    <row r="1748" spans="1:1" x14ac:dyDescent="0.2">
      <c r="A1748" s="996" t="str">
        <f>CONCATENATE(Programme!D1749,Programme!E1749,Programme!F1749,Programme!G1749,Programme!H1749,Programme!I1749,Programme!J1749)</f>
        <v>&lt;cellule&gt;</v>
      </c>
    </row>
    <row r="1749" spans="1:1" x14ac:dyDescent="0.2">
      <c r="A1749" s="996" t="str">
        <f>CONCATENATE(Programme!D1750,Programme!E1750,Programme!F1750,Programme!G1750,Programme!H1750,Programme!I1750,Programme!J1750)</f>
        <v>&lt;codeEdi&gt;11221&lt;/codeEdi&gt;</v>
      </c>
    </row>
    <row r="1750" spans="1:1" x14ac:dyDescent="0.2">
      <c r="A1750" s="996" t="str">
        <f>CONCATENATE(Programme!D1751,Programme!E1751,Programme!F1751,Programme!G1751,Programme!H1751,Programme!I1751,Programme!J1751)</f>
        <v>&lt;/cellule&gt;</v>
      </c>
    </row>
    <row r="1751" spans="1:1" x14ac:dyDescent="0.2">
      <c r="A1751" s="996" t="str">
        <f>CONCATENATE(Programme!D1752,Programme!E1752,Programme!F1752,Programme!G1752,Programme!H1752,Programme!I1752,Programme!J1752)</f>
        <v>&lt;valeur&gt;0&lt;/valeur&gt;</v>
      </c>
    </row>
    <row r="1752" spans="1:1" x14ac:dyDescent="0.2">
      <c r="A1752" s="996" t="str">
        <f>CONCATENATE(Programme!D1753,Programme!E1753,Programme!F1753,Programme!G1753,Programme!H1753,Programme!I1753,Programme!J1753)</f>
        <v>&lt;/ValeurCellule&gt;</v>
      </c>
    </row>
    <row r="1753" spans="1:1" x14ac:dyDescent="0.2">
      <c r="A1753" s="996" t="str">
        <f>CONCATENATE(Programme!D1754,Programme!E1754,Programme!F1754,Programme!G1754,Programme!H1754,Programme!I1754,Programme!J1754)</f>
        <v>&lt;ValeurCellule&gt;</v>
      </c>
    </row>
    <row r="1754" spans="1:1" x14ac:dyDescent="0.2">
      <c r="A1754" s="996" t="str">
        <f>CONCATENATE(Programme!D1755,Programme!E1755,Programme!F1755,Programme!G1755,Programme!H1755,Programme!I1755,Programme!J1755)</f>
        <v>&lt;cellule&gt;</v>
      </c>
    </row>
    <row r="1755" spans="1:1" x14ac:dyDescent="0.2">
      <c r="A1755" s="996" t="str">
        <f>CONCATENATE(Programme!D1756,Programme!E1756,Programme!F1756,Programme!G1756,Programme!H1756,Programme!I1756,Programme!J1756)</f>
        <v>&lt;codeEdi&gt;11226&lt;/codeEdi&gt;</v>
      </c>
    </row>
    <row r="1756" spans="1:1" x14ac:dyDescent="0.2">
      <c r="A1756" s="996" t="str">
        <f>CONCATENATE(Programme!D1757,Programme!E1757,Programme!F1757,Programme!G1757,Programme!H1757,Programme!I1757,Programme!J1757)</f>
        <v>&lt;/cellule&gt;</v>
      </c>
    </row>
    <row r="1757" spans="1:1" x14ac:dyDescent="0.2">
      <c r="A1757" s="996" t="str">
        <f>CONCATENATE(Programme!D1758,Programme!E1758,Programme!F1758,Programme!G1758,Programme!H1758,Programme!I1758,Programme!J1758)</f>
        <v>&lt;valeur&gt;0&lt;/valeur&gt;</v>
      </c>
    </row>
    <row r="1758" spans="1:1" x14ac:dyDescent="0.2">
      <c r="A1758" s="996" t="str">
        <f>CONCATENATE(Programme!D1759,Programme!E1759,Programme!F1759,Programme!G1759,Programme!H1759,Programme!I1759,Programme!J1759)</f>
        <v>&lt;/ValeurCellule&gt;</v>
      </c>
    </row>
    <row r="1759" spans="1:1" x14ac:dyDescent="0.2">
      <c r="A1759" s="996" t="str">
        <f>CONCATENATE(Programme!D1760,Programme!E1760,Programme!F1760,Programme!G1760,Programme!H1760,Programme!I1760,Programme!J1760)</f>
        <v>&lt;ValeurCellule&gt;</v>
      </c>
    </row>
    <row r="1760" spans="1:1" x14ac:dyDescent="0.2">
      <c r="A1760" s="996" t="str">
        <f>CONCATENATE(Programme!D1761,Programme!E1761,Programme!F1761,Programme!G1761,Programme!H1761,Programme!I1761,Programme!J1761)</f>
        <v>&lt;cellule&gt;</v>
      </c>
    </row>
    <row r="1761" spans="1:1" x14ac:dyDescent="0.2">
      <c r="A1761" s="996" t="str">
        <f>CONCATENATE(Programme!D1762,Programme!E1762,Programme!F1762,Programme!G1762,Programme!H1762,Programme!I1762,Programme!J1762)</f>
        <v>&lt;codeEdi&gt;11231&lt;/codeEdi&gt;</v>
      </c>
    </row>
    <row r="1762" spans="1:1" x14ac:dyDescent="0.2">
      <c r="A1762" s="996" t="str">
        <f>CONCATENATE(Programme!D1763,Programme!E1763,Programme!F1763,Programme!G1763,Programme!H1763,Programme!I1763,Programme!J1763)</f>
        <v>&lt;/cellule&gt;</v>
      </c>
    </row>
    <row r="1763" spans="1:1" x14ac:dyDescent="0.2">
      <c r="A1763" s="996" t="str">
        <f>CONCATENATE(Programme!D1764,Programme!E1764,Programme!F1764,Programme!G1764,Programme!H1764,Programme!I1764,Programme!J1764)</f>
        <v>&lt;valeur&gt;0&lt;/valeur&gt;</v>
      </c>
    </row>
    <row r="1764" spans="1:1" x14ac:dyDescent="0.2">
      <c r="A1764" s="996" t="str">
        <f>CONCATENATE(Programme!D1765,Programme!E1765,Programme!F1765,Programme!G1765,Programme!H1765,Programme!I1765,Programme!J1765)</f>
        <v>&lt;/ValeurCellule&gt;</v>
      </c>
    </row>
    <row r="1765" spans="1:1" x14ac:dyDescent="0.2">
      <c r="A1765" s="996" t="str">
        <f>CONCATENATE(Programme!D1766,Programme!E1766,Programme!F1766,Programme!G1766,Programme!H1766,Programme!I1766,Programme!J1766)</f>
        <v>&lt;ValeurCellule&gt;</v>
      </c>
    </row>
    <row r="1766" spans="1:1" x14ac:dyDescent="0.2">
      <c r="A1766" s="996" t="str">
        <f>CONCATENATE(Programme!D1767,Programme!E1767,Programme!F1767,Programme!G1767,Programme!H1767,Programme!I1767,Programme!J1767)</f>
        <v>&lt;cellule&gt;</v>
      </c>
    </row>
    <row r="1767" spans="1:1" x14ac:dyDescent="0.2">
      <c r="A1767" s="996" t="str">
        <f>CONCATENATE(Programme!D1768,Programme!E1768,Programme!F1768,Programme!G1768,Programme!H1768,Programme!I1768,Programme!J1768)</f>
        <v>&lt;codeEdi&gt;11176&lt;/codeEdi&gt;</v>
      </c>
    </row>
    <row r="1768" spans="1:1" x14ac:dyDescent="0.2">
      <c r="A1768" s="996" t="str">
        <f>CONCATENATE(Programme!D1769,Programme!E1769,Programme!F1769,Programme!G1769,Programme!H1769,Programme!I1769,Programme!J1769)</f>
        <v>&lt;/cellule&gt;</v>
      </c>
    </row>
    <row r="1769" spans="1:1" x14ac:dyDescent="0.2">
      <c r="A1769" s="996" t="str">
        <f>CONCATENATE(Programme!D1770,Programme!E1770,Programme!F1770,Programme!G1770,Programme!H1770,Programme!I1770,Programme!J1770)</f>
        <v>&lt;valeur&gt;0&lt;/valeur&gt;</v>
      </c>
    </row>
    <row r="1770" spans="1:1" x14ac:dyDescent="0.2">
      <c r="A1770" s="996" t="str">
        <f>CONCATENATE(Programme!D1771,Programme!E1771,Programme!F1771,Programme!G1771,Programme!H1771,Programme!I1771,Programme!J1771)</f>
        <v>&lt;/ValeurCellule&gt;</v>
      </c>
    </row>
    <row r="1771" spans="1:1" x14ac:dyDescent="0.2">
      <c r="A1771" s="996" t="str">
        <f>CONCATENATE(Programme!D1772,Programme!E1772,Programme!F1772,Programme!G1772,Programme!H1772,Programme!I1772,Programme!J1772)</f>
        <v>&lt;ValeurCellule&gt;</v>
      </c>
    </row>
    <row r="1772" spans="1:1" x14ac:dyDescent="0.2">
      <c r="A1772" s="996" t="str">
        <f>CONCATENATE(Programme!D1773,Programme!E1773,Programme!F1773,Programme!G1773,Programme!H1773,Programme!I1773,Programme!J1773)</f>
        <v>&lt;cellule&gt;</v>
      </c>
    </row>
    <row r="1773" spans="1:1" x14ac:dyDescent="0.2">
      <c r="A1773" s="996" t="str">
        <f>CONCATENATE(Programme!D1774,Programme!E1774,Programme!F1774,Programme!G1774,Programme!H1774,Programme!I1774,Programme!J1774)</f>
        <v>&lt;codeEdi&gt;11181&lt;/codeEdi&gt;</v>
      </c>
    </row>
    <row r="1774" spans="1:1" x14ac:dyDescent="0.2">
      <c r="A1774" s="996" t="str">
        <f>CONCATENATE(Programme!D1775,Programme!E1775,Programme!F1775,Programme!G1775,Programme!H1775,Programme!I1775,Programme!J1775)</f>
        <v>&lt;/cellule&gt;</v>
      </c>
    </row>
    <row r="1775" spans="1:1" x14ac:dyDescent="0.2">
      <c r="A1775" s="996" t="str">
        <f>CONCATENATE(Programme!D1776,Programme!E1776,Programme!F1776,Programme!G1776,Programme!H1776,Programme!I1776,Programme!J1776)</f>
        <v>&lt;valeur&gt;0&lt;/valeur&gt;</v>
      </c>
    </row>
    <row r="1776" spans="1:1" x14ac:dyDescent="0.2">
      <c r="A1776" s="996" t="str">
        <f>CONCATENATE(Programme!D1777,Programme!E1777,Programme!F1777,Programme!G1777,Programme!H1777,Programme!I1777,Programme!J1777)</f>
        <v>&lt;/ValeurCellule&gt;</v>
      </c>
    </row>
    <row r="1777" spans="1:1" x14ac:dyDescent="0.2">
      <c r="A1777" s="996" t="str">
        <f>CONCATENATE(Programme!D1778,Programme!E1778,Programme!F1778,Programme!G1778,Programme!H1778,Programme!I1778,Programme!J1778)</f>
        <v>&lt;ValeurCellule&gt;</v>
      </c>
    </row>
    <row r="1778" spans="1:1" x14ac:dyDescent="0.2">
      <c r="A1778" s="996" t="str">
        <f>CONCATENATE(Programme!D1779,Programme!E1779,Programme!F1779,Programme!G1779,Programme!H1779,Programme!I1779,Programme!J1779)</f>
        <v>&lt;cellule&gt;</v>
      </c>
    </row>
    <row r="1779" spans="1:1" x14ac:dyDescent="0.2">
      <c r="A1779" s="996" t="str">
        <f>CONCATENATE(Programme!D1780,Programme!E1780,Programme!F1780,Programme!G1780,Programme!H1780,Programme!I1780,Programme!J1780)</f>
        <v>&lt;codeEdi&gt;11186&lt;/codeEdi&gt;</v>
      </c>
    </row>
    <row r="1780" spans="1:1" x14ac:dyDescent="0.2">
      <c r="A1780" s="996" t="str">
        <f>CONCATENATE(Programme!D1781,Programme!E1781,Programme!F1781,Programme!G1781,Programme!H1781,Programme!I1781,Programme!J1781)</f>
        <v>&lt;/cellule&gt;</v>
      </c>
    </row>
    <row r="1781" spans="1:1" x14ac:dyDescent="0.2">
      <c r="A1781" s="996" t="str">
        <f>CONCATENATE(Programme!D1782,Programme!E1782,Programme!F1782,Programme!G1782,Programme!H1782,Programme!I1782,Programme!J1782)</f>
        <v>&lt;valeur&gt;0&lt;/valeur&gt;</v>
      </c>
    </row>
    <row r="1782" spans="1:1" x14ac:dyDescent="0.2">
      <c r="A1782" s="996" t="str">
        <f>CONCATENATE(Programme!D1783,Programme!E1783,Programme!F1783,Programme!G1783,Programme!H1783,Programme!I1783,Programme!J1783)</f>
        <v>&lt;/ValeurCellule&gt;</v>
      </c>
    </row>
    <row r="1783" spans="1:1" x14ac:dyDescent="0.2">
      <c r="A1783" s="996" t="str">
        <f>CONCATENATE(Programme!D1784,Programme!E1784,Programme!F1784,Programme!G1784,Programme!H1784,Programme!I1784,Programme!J1784)</f>
        <v>&lt;ValeurCellule&gt;</v>
      </c>
    </row>
    <row r="1784" spans="1:1" x14ac:dyDescent="0.2">
      <c r="A1784" s="996" t="str">
        <f>CONCATENATE(Programme!D1785,Programme!E1785,Programme!F1785,Programme!G1785,Programme!H1785,Programme!I1785,Programme!J1785)</f>
        <v>&lt;cellule&gt;</v>
      </c>
    </row>
    <row r="1785" spans="1:1" x14ac:dyDescent="0.2">
      <c r="A1785" s="996" t="str">
        <f>CONCATENATE(Programme!D1786,Programme!E1786,Programme!F1786,Programme!G1786,Programme!H1786,Programme!I1786,Programme!J1786)</f>
        <v>&lt;codeEdi&gt;11191&lt;/codeEdi&gt;</v>
      </c>
    </row>
    <row r="1786" spans="1:1" x14ac:dyDescent="0.2">
      <c r="A1786" s="996" t="str">
        <f>CONCATENATE(Programme!D1787,Programme!E1787,Programme!F1787,Programme!G1787,Programme!H1787,Programme!I1787,Programme!J1787)</f>
        <v>&lt;/cellule&gt;</v>
      </c>
    </row>
    <row r="1787" spans="1:1" x14ac:dyDescent="0.2">
      <c r="A1787" s="996" t="str">
        <f>CONCATENATE(Programme!D1788,Programme!E1788,Programme!F1788,Programme!G1788,Programme!H1788,Programme!I1788,Programme!J1788)</f>
        <v>&lt;valeur&gt;0&lt;/valeur&gt;</v>
      </c>
    </row>
    <row r="1788" spans="1:1" x14ac:dyDescent="0.2">
      <c r="A1788" s="996" t="str">
        <f>CONCATENATE(Programme!D1789,Programme!E1789,Programme!F1789,Programme!G1789,Programme!H1789,Programme!I1789,Programme!J1789)</f>
        <v>&lt;/ValeurCellule&gt;</v>
      </c>
    </row>
    <row r="1789" spans="1:1" x14ac:dyDescent="0.2">
      <c r="A1789" s="996" t="str">
        <f>CONCATENATE(Programme!D1790,Programme!E1790,Programme!F1790,Programme!G1790,Programme!H1790,Programme!I1790,Programme!J1790)</f>
        <v>&lt;ValeurCellule&gt;</v>
      </c>
    </row>
    <row r="1790" spans="1:1" x14ac:dyDescent="0.2">
      <c r="A1790" s="996" t="str">
        <f>CONCATENATE(Programme!D1791,Programme!E1791,Programme!F1791,Programme!G1791,Programme!H1791,Programme!I1791,Programme!J1791)</f>
        <v>&lt;cellule&gt;</v>
      </c>
    </row>
    <row r="1791" spans="1:1" x14ac:dyDescent="0.2">
      <c r="A1791" s="996" t="str">
        <f>CONCATENATE(Programme!D1792,Programme!E1792,Programme!F1792,Programme!G1792,Programme!H1792,Programme!I1792,Programme!J1792)</f>
        <v>&lt;codeEdi&gt;11196&lt;/codeEdi&gt;</v>
      </c>
    </row>
    <row r="1792" spans="1:1" x14ac:dyDescent="0.2">
      <c r="A1792" s="996" t="str">
        <f>CONCATENATE(Programme!D1793,Programme!E1793,Programme!F1793,Programme!G1793,Programme!H1793,Programme!I1793,Programme!J1793)</f>
        <v>&lt;/cellule&gt;</v>
      </c>
    </row>
    <row r="1793" spans="1:1" x14ac:dyDescent="0.2">
      <c r="A1793" s="996" t="str">
        <f>CONCATENATE(Programme!D1794,Programme!E1794,Programme!F1794,Programme!G1794,Programme!H1794,Programme!I1794,Programme!J1794)</f>
        <v>&lt;valeur&gt;0&lt;/valeur&gt;</v>
      </c>
    </row>
    <row r="1794" spans="1:1" x14ac:dyDescent="0.2">
      <c r="A1794" s="996" t="str">
        <f>CONCATENATE(Programme!D1795,Programme!E1795,Programme!F1795,Programme!G1795,Programme!H1795,Programme!I1795,Programme!J1795)</f>
        <v>&lt;/ValeurCellule&gt;</v>
      </c>
    </row>
    <row r="1795" spans="1:1" x14ac:dyDescent="0.2">
      <c r="A1795" s="996" t="str">
        <f>CONCATENATE(Programme!D1796,Programme!E1796,Programme!F1796,Programme!G1796,Programme!H1796,Programme!I1796,Programme!J1796)</f>
        <v>&lt;ValeurCellule&gt;</v>
      </c>
    </row>
    <row r="1796" spans="1:1" x14ac:dyDescent="0.2">
      <c r="A1796" s="996" t="str">
        <f>CONCATENATE(Programme!D1797,Programme!E1797,Programme!F1797,Programme!G1797,Programme!H1797,Programme!I1797,Programme!J1797)</f>
        <v>&lt;cellule&gt;</v>
      </c>
    </row>
    <row r="1797" spans="1:1" x14ac:dyDescent="0.2">
      <c r="A1797" s="996" t="str">
        <f>CONCATENATE(Programme!D1798,Programme!E1798,Programme!F1798,Programme!G1798,Programme!H1798,Programme!I1798,Programme!J1798)</f>
        <v>&lt;codeEdi&gt;11201&lt;/codeEdi&gt;</v>
      </c>
    </row>
    <row r="1798" spans="1:1" x14ac:dyDescent="0.2">
      <c r="A1798" s="996" t="str">
        <f>CONCATENATE(Programme!D1799,Programme!E1799,Programme!F1799,Programme!G1799,Programme!H1799,Programme!I1799,Programme!J1799)</f>
        <v>&lt;/cellule&gt;</v>
      </c>
    </row>
    <row r="1799" spans="1:1" x14ac:dyDescent="0.2">
      <c r="A1799" s="996" t="str">
        <f>CONCATENATE(Programme!D1800,Programme!E1800,Programme!F1800,Programme!G1800,Programme!H1800,Programme!I1800,Programme!J1800)</f>
        <v>&lt;valeur&gt;0&lt;/valeur&gt;</v>
      </c>
    </row>
    <row r="1800" spans="1:1" x14ac:dyDescent="0.2">
      <c r="A1800" s="996" t="str">
        <f>CONCATENATE(Programme!D1801,Programme!E1801,Programme!F1801,Programme!G1801,Programme!H1801,Programme!I1801,Programme!J1801)</f>
        <v>&lt;/ValeurCellule&gt;</v>
      </c>
    </row>
    <row r="1801" spans="1:1" x14ac:dyDescent="0.2">
      <c r="A1801" s="996" t="str">
        <f>CONCATENATE(Programme!D1802,Programme!E1802,Programme!F1802,Programme!G1802,Programme!H1802,Programme!I1802,Programme!J1802)</f>
        <v>&lt;ValeurCellule&gt;</v>
      </c>
    </row>
    <row r="1802" spans="1:1" x14ac:dyDescent="0.2">
      <c r="A1802" s="996" t="str">
        <f>CONCATENATE(Programme!D1803,Programme!E1803,Programme!F1803,Programme!G1803,Programme!H1803,Programme!I1803,Programme!J1803)</f>
        <v>&lt;cellule&gt;</v>
      </c>
    </row>
    <row r="1803" spans="1:1" x14ac:dyDescent="0.2">
      <c r="A1803" s="996" t="str">
        <f>CONCATENATE(Programme!D1804,Programme!E1804,Programme!F1804,Programme!G1804,Programme!H1804,Programme!I1804,Programme!J1804)</f>
        <v>&lt;codeEdi&gt;11266&lt;/codeEdi&gt;</v>
      </c>
    </row>
    <row r="1804" spans="1:1" x14ac:dyDescent="0.2">
      <c r="A1804" s="996" t="str">
        <f>CONCATENATE(Programme!D1805,Programme!E1805,Programme!F1805,Programme!G1805,Programme!H1805,Programme!I1805,Programme!J1805)</f>
        <v>&lt;/cellule&gt;</v>
      </c>
    </row>
    <row r="1805" spans="1:1" x14ac:dyDescent="0.2">
      <c r="A1805" s="996" t="str">
        <f>CONCATENATE(Programme!D1806,Programme!E1806,Programme!F1806,Programme!G1806,Programme!H1806,Programme!I1806,Programme!J1806)</f>
        <v>&lt;valeur&gt;0&lt;/valeur&gt;</v>
      </c>
    </row>
    <row r="1806" spans="1:1" x14ac:dyDescent="0.2">
      <c r="A1806" s="996" t="str">
        <f>CONCATENATE(Programme!D1807,Programme!E1807,Programme!F1807,Programme!G1807,Programme!H1807,Programme!I1807,Programme!J1807)</f>
        <v>&lt;/ValeurCellule&gt;</v>
      </c>
    </row>
    <row r="1807" spans="1:1" x14ac:dyDescent="0.2">
      <c r="A1807" s="996" t="str">
        <f>CONCATENATE(Programme!D1808,Programme!E1808,Programme!F1808,Programme!G1808,Programme!H1808,Programme!I1808,Programme!J1808)</f>
        <v>&lt;ValeurCellule&gt;</v>
      </c>
    </row>
    <row r="1808" spans="1:1" x14ac:dyDescent="0.2">
      <c r="A1808" s="996" t="str">
        <f>CONCATENATE(Programme!D1809,Programme!E1809,Programme!F1809,Programme!G1809,Programme!H1809,Programme!I1809,Programme!J1809)</f>
        <v>&lt;cellule&gt;</v>
      </c>
    </row>
    <row r="1809" spans="1:1" x14ac:dyDescent="0.2">
      <c r="A1809" s="996" t="str">
        <f>CONCATENATE(Programme!D1810,Programme!E1810,Programme!F1810,Programme!G1810,Programme!H1810,Programme!I1810,Programme!J1810)</f>
        <v>&lt;codeEdi&gt;11236&lt;/codeEdi&gt;</v>
      </c>
    </row>
    <row r="1810" spans="1:1" x14ac:dyDescent="0.2">
      <c r="A1810" s="996" t="str">
        <f>CONCATENATE(Programme!D1811,Programme!E1811,Programme!F1811,Programme!G1811,Programme!H1811,Programme!I1811,Programme!J1811)</f>
        <v>&lt;/cellule&gt;</v>
      </c>
    </row>
    <row r="1811" spans="1:1" x14ac:dyDescent="0.2">
      <c r="A1811" s="996" t="str">
        <f>CONCATENATE(Programme!D1812,Programme!E1812,Programme!F1812,Programme!G1812,Programme!H1812,Programme!I1812,Programme!J1812)</f>
        <v>&lt;valeur&gt;0&lt;/valeur&gt;</v>
      </c>
    </row>
    <row r="1812" spans="1:1" x14ac:dyDescent="0.2">
      <c r="A1812" s="996" t="str">
        <f>CONCATENATE(Programme!D1813,Programme!E1813,Programme!F1813,Programme!G1813,Programme!H1813,Programme!I1813,Programme!J1813)</f>
        <v>&lt;/ValeurCellule&gt;</v>
      </c>
    </row>
    <row r="1813" spans="1:1" x14ac:dyDescent="0.2">
      <c r="A1813" s="996" t="str">
        <f>CONCATENATE(Programme!D1814,Programme!E1814,Programme!F1814,Programme!G1814,Programme!H1814,Programme!I1814,Programme!J1814)</f>
        <v>&lt;ValeurCellule&gt;</v>
      </c>
    </row>
    <row r="1814" spans="1:1" x14ac:dyDescent="0.2">
      <c r="A1814" s="996" t="str">
        <f>CONCATENATE(Programme!D1815,Programme!E1815,Programme!F1815,Programme!G1815,Programme!H1815,Programme!I1815,Programme!J1815)</f>
        <v>&lt;cellule&gt;</v>
      </c>
    </row>
    <row r="1815" spans="1:1" x14ac:dyDescent="0.2">
      <c r="A1815" s="996" t="str">
        <f>CONCATENATE(Programme!D1816,Programme!E1816,Programme!F1816,Programme!G1816,Programme!H1816,Programme!I1816,Programme!J1816)</f>
        <v>&lt;codeEdi&gt;11241&lt;/codeEdi&gt;</v>
      </c>
    </row>
    <row r="1816" spans="1:1" x14ac:dyDescent="0.2">
      <c r="A1816" s="996" t="str">
        <f>CONCATENATE(Programme!D1817,Programme!E1817,Programme!F1817,Programme!G1817,Programme!H1817,Programme!I1817,Programme!J1817)</f>
        <v>&lt;/cellule&gt;</v>
      </c>
    </row>
    <row r="1817" spans="1:1" x14ac:dyDescent="0.2">
      <c r="A1817" s="996" t="str">
        <f>CONCATENATE(Programme!D1818,Programme!E1818,Programme!F1818,Programme!G1818,Programme!H1818,Programme!I1818,Programme!J1818)</f>
        <v>&lt;valeur&gt;0&lt;/valeur&gt;</v>
      </c>
    </row>
    <row r="1818" spans="1:1" x14ac:dyDescent="0.2">
      <c r="A1818" s="996" t="str">
        <f>CONCATENATE(Programme!D1819,Programme!E1819,Programme!F1819,Programme!G1819,Programme!H1819,Programme!I1819,Programme!J1819)</f>
        <v>&lt;/ValeurCellule&gt;</v>
      </c>
    </row>
    <row r="1819" spans="1:1" x14ac:dyDescent="0.2">
      <c r="A1819" s="996" t="str">
        <f>CONCATENATE(Programme!D1820,Programme!E1820,Programme!F1820,Programme!G1820,Programme!H1820,Programme!I1820,Programme!J1820)</f>
        <v>&lt;ValeurCellule&gt;</v>
      </c>
    </row>
    <row r="1820" spans="1:1" x14ac:dyDescent="0.2">
      <c r="A1820" s="996" t="str">
        <f>CONCATENATE(Programme!D1821,Programme!E1821,Programme!F1821,Programme!G1821,Programme!H1821,Programme!I1821,Programme!J1821)</f>
        <v>&lt;cellule&gt;</v>
      </c>
    </row>
    <row r="1821" spans="1:1" x14ac:dyDescent="0.2">
      <c r="A1821" s="996" t="str">
        <f>CONCATENATE(Programme!D1822,Programme!E1822,Programme!F1822,Programme!G1822,Programme!H1822,Programme!I1822,Programme!J1822)</f>
        <v>&lt;codeEdi&gt;11246&lt;/codeEdi&gt;</v>
      </c>
    </row>
    <row r="1822" spans="1:1" x14ac:dyDescent="0.2">
      <c r="A1822" s="996" t="str">
        <f>CONCATENATE(Programme!D1823,Programme!E1823,Programme!F1823,Programme!G1823,Programme!H1823,Programme!I1823,Programme!J1823)</f>
        <v>&lt;/cellule&gt;</v>
      </c>
    </row>
    <row r="1823" spans="1:1" x14ac:dyDescent="0.2">
      <c r="A1823" s="996" t="str">
        <f>CONCATENATE(Programme!D1824,Programme!E1824,Programme!F1824,Programme!G1824,Programme!H1824,Programme!I1824,Programme!J1824)</f>
        <v>&lt;valeur&gt;0&lt;/valeur&gt;</v>
      </c>
    </row>
    <row r="1824" spans="1:1" x14ac:dyDescent="0.2">
      <c r="A1824" s="996" t="str">
        <f>CONCATENATE(Programme!D1825,Programme!E1825,Programme!F1825,Programme!G1825,Programme!H1825,Programme!I1825,Programme!J1825)</f>
        <v>&lt;/ValeurCellule&gt;</v>
      </c>
    </row>
    <row r="1825" spans="1:1" x14ac:dyDescent="0.2">
      <c r="A1825" s="996" t="str">
        <f>CONCATENATE(Programme!D1826,Programme!E1826,Programme!F1826,Programme!G1826,Programme!H1826,Programme!I1826,Programme!J1826)</f>
        <v>&lt;ValeurCellule&gt;</v>
      </c>
    </row>
    <row r="1826" spans="1:1" x14ac:dyDescent="0.2">
      <c r="A1826" s="996" t="str">
        <f>CONCATENATE(Programme!D1827,Programme!E1827,Programme!F1827,Programme!G1827,Programme!H1827,Programme!I1827,Programme!J1827)</f>
        <v>&lt;cellule&gt;</v>
      </c>
    </row>
    <row r="1827" spans="1:1" x14ac:dyDescent="0.2">
      <c r="A1827" s="996" t="str">
        <f>CONCATENATE(Programme!D1828,Programme!E1828,Programme!F1828,Programme!G1828,Programme!H1828,Programme!I1828,Programme!J1828)</f>
        <v>&lt;codeEdi&gt;11251&lt;/codeEdi&gt;</v>
      </c>
    </row>
    <row r="1828" spans="1:1" x14ac:dyDescent="0.2">
      <c r="A1828" s="996" t="str">
        <f>CONCATENATE(Programme!D1829,Programme!E1829,Programme!F1829,Programme!G1829,Programme!H1829,Programme!I1829,Programme!J1829)</f>
        <v>&lt;/cellule&gt;</v>
      </c>
    </row>
    <row r="1829" spans="1:1" x14ac:dyDescent="0.2">
      <c r="A1829" s="996" t="str">
        <f>CONCATENATE(Programme!D1830,Programme!E1830,Programme!F1830,Programme!G1830,Programme!H1830,Programme!I1830,Programme!J1830)</f>
        <v>&lt;valeur&gt;0&lt;/valeur&gt;</v>
      </c>
    </row>
    <row r="1830" spans="1:1" x14ac:dyDescent="0.2">
      <c r="A1830" s="996" t="str">
        <f>CONCATENATE(Programme!D1831,Programme!E1831,Programme!F1831,Programme!G1831,Programme!H1831,Programme!I1831,Programme!J1831)</f>
        <v>&lt;/ValeurCellule&gt;</v>
      </c>
    </row>
    <row r="1831" spans="1:1" x14ac:dyDescent="0.2">
      <c r="A1831" s="996" t="str">
        <f>CONCATENATE(Programme!D1832,Programme!E1832,Programme!F1832,Programme!G1832,Programme!H1832,Programme!I1832,Programme!J1832)</f>
        <v>&lt;ValeurCellule&gt;</v>
      </c>
    </row>
    <row r="1832" spans="1:1" x14ac:dyDescent="0.2">
      <c r="A1832" s="996" t="str">
        <f>CONCATENATE(Programme!D1833,Programme!E1833,Programme!F1833,Programme!G1833,Programme!H1833,Programme!I1833,Programme!J1833)</f>
        <v>&lt;cellule&gt;</v>
      </c>
    </row>
    <row r="1833" spans="1:1" x14ac:dyDescent="0.2">
      <c r="A1833" s="996" t="str">
        <f>CONCATENATE(Programme!D1834,Programme!E1834,Programme!F1834,Programme!G1834,Programme!H1834,Programme!I1834,Programme!J1834)</f>
        <v>&lt;codeEdi&gt;11256&lt;/codeEdi&gt;</v>
      </c>
    </row>
    <row r="1834" spans="1:1" x14ac:dyDescent="0.2">
      <c r="A1834" s="996" t="str">
        <f>CONCATENATE(Programme!D1835,Programme!E1835,Programme!F1835,Programme!G1835,Programme!H1835,Programme!I1835,Programme!J1835)</f>
        <v>&lt;/cellule&gt;</v>
      </c>
    </row>
    <row r="1835" spans="1:1" x14ac:dyDescent="0.2">
      <c r="A1835" s="996" t="str">
        <f>CONCATENATE(Programme!D1836,Programme!E1836,Programme!F1836,Programme!G1836,Programme!H1836,Programme!I1836,Programme!J1836)</f>
        <v>&lt;valeur&gt;0&lt;/valeur&gt;</v>
      </c>
    </row>
    <row r="1836" spans="1:1" x14ac:dyDescent="0.2">
      <c r="A1836" s="996" t="str">
        <f>CONCATENATE(Programme!D1837,Programme!E1837,Programme!F1837,Programme!G1837,Programme!H1837,Programme!I1837,Programme!J1837)</f>
        <v>&lt;/ValeurCellule&gt;</v>
      </c>
    </row>
    <row r="1837" spans="1:1" x14ac:dyDescent="0.2">
      <c r="A1837" s="996" t="str">
        <f>CONCATENATE(Programme!D1838,Programme!E1838,Programme!F1838,Programme!G1838,Programme!H1838,Programme!I1838,Programme!J1838)</f>
        <v>&lt;ValeurCellule&gt;</v>
      </c>
    </row>
    <row r="1838" spans="1:1" x14ac:dyDescent="0.2">
      <c r="A1838" s="996" t="str">
        <f>CONCATENATE(Programme!D1839,Programme!E1839,Programme!F1839,Programme!G1839,Programme!H1839,Programme!I1839,Programme!J1839)</f>
        <v>&lt;cellule&gt;</v>
      </c>
    </row>
    <row r="1839" spans="1:1" x14ac:dyDescent="0.2">
      <c r="A1839" s="996" t="str">
        <f>CONCATENATE(Programme!D1840,Programme!E1840,Programme!F1840,Programme!G1840,Programme!H1840,Programme!I1840,Programme!J1840)</f>
        <v>&lt;codeEdi&gt;11261&lt;/codeEdi&gt;</v>
      </c>
    </row>
    <row r="1840" spans="1:1" x14ac:dyDescent="0.2">
      <c r="A1840" s="996" t="str">
        <f>CONCATENATE(Programme!D1841,Programme!E1841,Programme!F1841,Programme!G1841,Programme!H1841,Programme!I1841,Programme!J1841)</f>
        <v>&lt;/cellule&gt;</v>
      </c>
    </row>
    <row r="1841" spans="1:1" x14ac:dyDescent="0.2">
      <c r="A1841" s="996" t="str">
        <f>CONCATENATE(Programme!D1842,Programme!E1842,Programme!F1842,Programme!G1842,Programme!H1842,Programme!I1842,Programme!J1842)</f>
        <v>&lt;valeur&gt;0&lt;/valeur&gt;</v>
      </c>
    </row>
    <row r="1842" spans="1:1" x14ac:dyDescent="0.2">
      <c r="A1842" s="996" t="str">
        <f>CONCATENATE(Programme!D1843,Programme!E1843,Programme!F1843,Programme!G1843,Programme!H1843,Programme!I1843,Programme!J1843)</f>
        <v>&lt;/ValeurCellule&gt;</v>
      </c>
    </row>
    <row r="1843" spans="1:1" x14ac:dyDescent="0.2">
      <c r="A1843" s="996" t="str">
        <f>CONCATENATE(Programme!D1844,Programme!E1844,Programme!F1844,Programme!G1844,Programme!H1844,Programme!I1844,Programme!J1844)</f>
        <v>&lt;ValeurCellule&gt;</v>
      </c>
    </row>
    <row r="1844" spans="1:1" x14ac:dyDescent="0.2">
      <c r="A1844" s="996" t="str">
        <f>CONCATENATE(Programme!D1845,Programme!E1845,Programme!F1845,Programme!G1845,Programme!H1845,Programme!I1845,Programme!J1845)</f>
        <v>&lt;cellule&gt;</v>
      </c>
    </row>
    <row r="1845" spans="1:1" x14ac:dyDescent="0.2">
      <c r="A1845" s="996" t="str">
        <f>CONCATENATE(Programme!D1846,Programme!E1846,Programme!F1846,Programme!G1846,Programme!H1846,Programme!I1846,Programme!J1846)</f>
        <v>&lt;codeEdi&gt;11202&lt;/codeEdi&gt;</v>
      </c>
    </row>
    <row r="1846" spans="1:1" x14ac:dyDescent="0.2">
      <c r="A1846" s="996" t="str">
        <f>CONCATENATE(Programme!D1847,Programme!E1847,Programme!F1847,Programme!G1847,Programme!H1847,Programme!I1847,Programme!J1847)</f>
        <v>&lt;/cellule&gt;</v>
      </c>
    </row>
    <row r="1847" spans="1:1" x14ac:dyDescent="0.2">
      <c r="A1847" s="996" t="str">
        <f>CONCATENATE(Programme!D1848,Programme!E1848,Programme!F1848,Programme!G1848,Programme!H1848,Programme!I1848,Programme!J1848)</f>
        <v>&lt;valeur&gt;0&lt;/valeur&gt;</v>
      </c>
    </row>
    <row r="1848" spans="1:1" x14ac:dyDescent="0.2">
      <c r="A1848" s="996" t="str">
        <f>CONCATENATE(Programme!D1849,Programme!E1849,Programme!F1849,Programme!G1849,Programme!H1849,Programme!I1849,Programme!J1849)</f>
        <v>&lt;/ValeurCellule&gt;</v>
      </c>
    </row>
    <row r="1849" spans="1:1" x14ac:dyDescent="0.2">
      <c r="A1849" s="996" t="str">
        <f>CONCATENATE(Programme!D1850,Programme!E1850,Programme!F1850,Programme!G1850,Programme!H1850,Programme!I1850,Programme!J1850)</f>
        <v>&lt;ValeurCellule&gt;</v>
      </c>
    </row>
    <row r="1850" spans="1:1" x14ac:dyDescent="0.2">
      <c r="A1850" s="996" t="str">
        <f>CONCATENATE(Programme!D1851,Programme!E1851,Programme!F1851,Programme!G1851,Programme!H1851,Programme!I1851,Programme!J1851)</f>
        <v>&lt;cellule&gt;</v>
      </c>
    </row>
    <row r="1851" spans="1:1" x14ac:dyDescent="0.2">
      <c r="A1851" s="996" t="str">
        <f>CONCATENATE(Programme!D1852,Programme!E1852,Programme!F1852,Programme!G1852,Programme!H1852,Programme!I1852,Programme!J1852)</f>
        <v>&lt;codeEdi&gt;11207&lt;/codeEdi&gt;</v>
      </c>
    </row>
    <row r="1852" spans="1:1" x14ac:dyDescent="0.2">
      <c r="A1852" s="996" t="str">
        <f>CONCATENATE(Programme!D1853,Programme!E1853,Programme!F1853,Programme!G1853,Programme!H1853,Programme!I1853,Programme!J1853)</f>
        <v>&lt;/cellule&gt;</v>
      </c>
    </row>
    <row r="1853" spans="1:1" x14ac:dyDescent="0.2">
      <c r="A1853" s="996" t="str">
        <f>CONCATENATE(Programme!D1854,Programme!E1854,Programme!F1854,Programme!G1854,Programme!H1854,Programme!I1854,Programme!J1854)</f>
        <v>&lt;valeur&gt;0&lt;/valeur&gt;</v>
      </c>
    </row>
    <row r="1854" spans="1:1" x14ac:dyDescent="0.2">
      <c r="A1854" s="996" t="str">
        <f>CONCATENATE(Programme!D1855,Programme!E1855,Programme!F1855,Programme!G1855,Programme!H1855,Programme!I1855,Programme!J1855)</f>
        <v>&lt;/ValeurCellule&gt;</v>
      </c>
    </row>
    <row r="1855" spans="1:1" x14ac:dyDescent="0.2">
      <c r="A1855" s="996" t="str">
        <f>CONCATENATE(Programme!D1856,Programme!E1856,Programme!F1856,Programme!G1856,Programme!H1856,Programme!I1856,Programme!J1856)</f>
        <v>&lt;ValeurCellule&gt;</v>
      </c>
    </row>
    <row r="1856" spans="1:1" x14ac:dyDescent="0.2">
      <c r="A1856" s="996" t="str">
        <f>CONCATENATE(Programme!D1857,Programme!E1857,Programme!F1857,Programme!G1857,Programme!H1857,Programme!I1857,Programme!J1857)</f>
        <v>&lt;cellule&gt;</v>
      </c>
    </row>
    <row r="1857" spans="1:1" x14ac:dyDescent="0.2">
      <c r="A1857" s="996" t="str">
        <f>CONCATENATE(Programme!D1858,Programme!E1858,Programme!F1858,Programme!G1858,Programme!H1858,Programme!I1858,Programme!J1858)</f>
        <v>&lt;codeEdi&gt;11212&lt;/codeEdi&gt;</v>
      </c>
    </row>
    <row r="1858" spans="1:1" x14ac:dyDescent="0.2">
      <c r="A1858" s="996" t="str">
        <f>CONCATENATE(Programme!D1859,Programme!E1859,Programme!F1859,Programme!G1859,Programme!H1859,Programme!I1859,Programme!J1859)</f>
        <v>&lt;/cellule&gt;</v>
      </c>
    </row>
    <row r="1859" spans="1:1" x14ac:dyDescent="0.2">
      <c r="A1859" s="996" t="str">
        <f>CONCATENATE(Programme!D1860,Programme!E1860,Programme!F1860,Programme!G1860,Programme!H1860,Programme!I1860,Programme!J1860)</f>
        <v>&lt;valeur&gt;0&lt;/valeur&gt;</v>
      </c>
    </row>
    <row r="1860" spans="1:1" x14ac:dyDescent="0.2">
      <c r="A1860" s="996" t="str">
        <f>CONCATENATE(Programme!D1861,Programme!E1861,Programme!F1861,Programme!G1861,Programme!H1861,Programme!I1861,Programme!J1861)</f>
        <v>&lt;/ValeurCellule&gt;</v>
      </c>
    </row>
    <row r="1861" spans="1:1" x14ac:dyDescent="0.2">
      <c r="A1861" s="996" t="str">
        <f>CONCATENATE(Programme!D1862,Programme!E1862,Programme!F1862,Programme!G1862,Programme!H1862,Programme!I1862,Programme!J1862)</f>
        <v>&lt;ValeurCellule&gt;</v>
      </c>
    </row>
    <row r="1862" spans="1:1" x14ac:dyDescent="0.2">
      <c r="A1862" s="996" t="str">
        <f>CONCATENATE(Programme!D1863,Programme!E1863,Programme!F1863,Programme!G1863,Programme!H1863,Programme!I1863,Programme!J1863)</f>
        <v>&lt;cellule&gt;</v>
      </c>
    </row>
    <row r="1863" spans="1:1" x14ac:dyDescent="0.2">
      <c r="A1863" s="996" t="str">
        <f>CONCATENATE(Programme!D1864,Programme!E1864,Programme!F1864,Programme!G1864,Programme!H1864,Programme!I1864,Programme!J1864)</f>
        <v>&lt;codeEdi&gt;11217&lt;/codeEdi&gt;</v>
      </c>
    </row>
    <row r="1864" spans="1:1" x14ac:dyDescent="0.2">
      <c r="A1864" s="996" t="str">
        <f>CONCATENATE(Programme!D1865,Programme!E1865,Programme!F1865,Programme!G1865,Programme!H1865,Programme!I1865,Programme!J1865)</f>
        <v>&lt;/cellule&gt;</v>
      </c>
    </row>
    <row r="1865" spans="1:1" x14ac:dyDescent="0.2">
      <c r="A1865" s="996" t="str">
        <f>CONCATENATE(Programme!D1866,Programme!E1866,Programme!F1866,Programme!G1866,Programme!H1866,Programme!I1866,Programme!J1866)</f>
        <v>&lt;valeur&gt;0&lt;/valeur&gt;</v>
      </c>
    </row>
    <row r="1866" spans="1:1" x14ac:dyDescent="0.2">
      <c r="A1866" s="996" t="str">
        <f>CONCATENATE(Programme!D1867,Programme!E1867,Programme!F1867,Programme!G1867,Programme!H1867,Programme!I1867,Programme!J1867)</f>
        <v>&lt;/ValeurCellule&gt;</v>
      </c>
    </row>
    <row r="1867" spans="1:1" x14ac:dyDescent="0.2">
      <c r="A1867" s="996" t="str">
        <f>CONCATENATE(Programme!D1868,Programme!E1868,Programme!F1868,Programme!G1868,Programme!H1868,Programme!I1868,Programme!J1868)</f>
        <v>&lt;ValeurCellule&gt;</v>
      </c>
    </row>
    <row r="1868" spans="1:1" x14ac:dyDescent="0.2">
      <c r="A1868" s="996" t="str">
        <f>CONCATENATE(Programme!D1869,Programme!E1869,Programme!F1869,Programme!G1869,Programme!H1869,Programme!I1869,Programme!J1869)</f>
        <v>&lt;cellule&gt;</v>
      </c>
    </row>
    <row r="1869" spans="1:1" x14ac:dyDescent="0.2">
      <c r="A1869" s="996" t="str">
        <f>CONCATENATE(Programme!D1870,Programme!E1870,Programme!F1870,Programme!G1870,Programme!H1870,Programme!I1870,Programme!J1870)</f>
        <v>&lt;codeEdi&gt;11222&lt;/codeEdi&gt;</v>
      </c>
    </row>
    <row r="1870" spans="1:1" x14ac:dyDescent="0.2">
      <c r="A1870" s="996" t="str">
        <f>CONCATENATE(Programme!D1871,Programme!E1871,Programme!F1871,Programme!G1871,Programme!H1871,Programme!I1871,Programme!J1871)</f>
        <v>&lt;/cellule&gt;</v>
      </c>
    </row>
    <row r="1871" spans="1:1" x14ac:dyDescent="0.2">
      <c r="A1871" s="996" t="str">
        <f>CONCATENATE(Programme!D1872,Programme!E1872,Programme!F1872,Programme!G1872,Programme!H1872,Programme!I1872,Programme!J1872)</f>
        <v>&lt;valeur&gt;0&lt;/valeur&gt;</v>
      </c>
    </row>
    <row r="1872" spans="1:1" x14ac:dyDescent="0.2">
      <c r="A1872" s="996" t="str">
        <f>CONCATENATE(Programme!D1873,Programme!E1873,Programme!F1873,Programme!G1873,Programme!H1873,Programme!I1873,Programme!J1873)</f>
        <v>&lt;/ValeurCellule&gt;</v>
      </c>
    </row>
    <row r="1873" spans="1:1" x14ac:dyDescent="0.2">
      <c r="A1873" s="996" t="str">
        <f>CONCATENATE(Programme!D1874,Programme!E1874,Programme!F1874,Programme!G1874,Programme!H1874,Programme!I1874,Programme!J1874)</f>
        <v>&lt;ValeurCellule&gt;</v>
      </c>
    </row>
    <row r="1874" spans="1:1" x14ac:dyDescent="0.2">
      <c r="A1874" s="996" t="str">
        <f>CONCATENATE(Programme!D1875,Programme!E1875,Programme!F1875,Programme!G1875,Programme!H1875,Programme!I1875,Programme!J1875)</f>
        <v>&lt;cellule&gt;</v>
      </c>
    </row>
    <row r="1875" spans="1:1" x14ac:dyDescent="0.2">
      <c r="A1875" s="996" t="str">
        <f>CONCATENATE(Programme!D1876,Programme!E1876,Programme!F1876,Programme!G1876,Programme!H1876,Programme!I1876,Programme!J1876)</f>
        <v>&lt;codeEdi&gt;11227&lt;/codeEdi&gt;</v>
      </c>
    </row>
    <row r="1876" spans="1:1" x14ac:dyDescent="0.2">
      <c r="A1876" s="996" t="str">
        <f>CONCATENATE(Programme!D1877,Programme!E1877,Programme!F1877,Programme!G1877,Programme!H1877,Programme!I1877,Programme!J1877)</f>
        <v>&lt;/cellule&gt;</v>
      </c>
    </row>
    <row r="1877" spans="1:1" x14ac:dyDescent="0.2">
      <c r="A1877" s="996" t="str">
        <f>CONCATENATE(Programme!D1878,Programme!E1878,Programme!F1878,Programme!G1878,Programme!H1878,Programme!I1878,Programme!J1878)</f>
        <v>&lt;valeur&gt;0&lt;/valeur&gt;</v>
      </c>
    </row>
    <row r="1878" spans="1:1" x14ac:dyDescent="0.2">
      <c r="A1878" s="996" t="str">
        <f>CONCATENATE(Programme!D1879,Programme!E1879,Programme!F1879,Programme!G1879,Programme!H1879,Programme!I1879,Programme!J1879)</f>
        <v>&lt;/ValeurCellule&gt;</v>
      </c>
    </row>
    <row r="1879" spans="1:1" x14ac:dyDescent="0.2">
      <c r="A1879" s="996" t="str">
        <f>CONCATENATE(Programme!D1880,Programme!E1880,Programme!F1880,Programme!G1880,Programme!H1880,Programme!I1880,Programme!J1880)</f>
        <v>&lt;ValeurCellule&gt;</v>
      </c>
    </row>
    <row r="1880" spans="1:1" x14ac:dyDescent="0.2">
      <c r="A1880" s="996" t="str">
        <f>CONCATENATE(Programme!D1881,Programme!E1881,Programme!F1881,Programme!G1881,Programme!H1881,Programme!I1881,Programme!J1881)</f>
        <v>&lt;cellule&gt;</v>
      </c>
    </row>
    <row r="1881" spans="1:1" x14ac:dyDescent="0.2">
      <c r="A1881" s="996" t="str">
        <f>CONCATENATE(Programme!D1882,Programme!E1882,Programme!F1882,Programme!G1882,Programme!H1882,Programme!I1882,Programme!J1882)</f>
        <v>&lt;codeEdi&gt;11232&lt;/codeEdi&gt;</v>
      </c>
    </row>
    <row r="1882" spans="1:1" x14ac:dyDescent="0.2">
      <c r="A1882" s="996" t="str">
        <f>CONCATENATE(Programme!D1883,Programme!E1883,Programme!F1883,Programme!G1883,Programme!H1883,Programme!I1883,Programme!J1883)</f>
        <v>&lt;/cellule&gt;</v>
      </c>
    </row>
    <row r="1883" spans="1:1" x14ac:dyDescent="0.2">
      <c r="A1883" s="996" t="str">
        <f>CONCATENATE(Programme!D1884,Programme!E1884,Programme!F1884,Programme!G1884,Programme!H1884,Programme!I1884,Programme!J1884)</f>
        <v>&lt;valeur&gt;0&lt;/valeur&gt;</v>
      </c>
    </row>
    <row r="1884" spans="1:1" x14ac:dyDescent="0.2">
      <c r="A1884" s="996" t="str">
        <f>CONCATENATE(Programme!D1885,Programme!E1885,Programme!F1885,Programme!G1885,Programme!H1885,Programme!I1885,Programme!J1885)</f>
        <v>&lt;/ValeurCellule&gt;</v>
      </c>
    </row>
    <row r="1885" spans="1:1" x14ac:dyDescent="0.2">
      <c r="A1885" s="996" t="str">
        <f>CONCATENATE(Programme!D1886,Programme!E1886,Programme!F1886,Programme!G1886,Programme!H1886,Programme!I1886,Programme!J1886)</f>
        <v>&lt;ValeurCellule&gt;</v>
      </c>
    </row>
    <row r="1886" spans="1:1" x14ac:dyDescent="0.2">
      <c r="A1886" s="996" t="str">
        <f>CONCATENATE(Programme!D1887,Programme!E1887,Programme!F1887,Programme!G1887,Programme!H1887,Programme!I1887,Programme!J1887)</f>
        <v>&lt;cellule&gt;</v>
      </c>
    </row>
    <row r="1887" spans="1:1" x14ac:dyDescent="0.2">
      <c r="A1887" s="996" t="str">
        <f>CONCATENATE(Programme!D1888,Programme!E1888,Programme!F1888,Programme!G1888,Programme!H1888,Programme!I1888,Programme!J1888)</f>
        <v>&lt;codeEdi&gt;11177&lt;/codeEdi&gt;</v>
      </c>
    </row>
    <row r="1888" spans="1:1" x14ac:dyDescent="0.2">
      <c r="A1888" s="996" t="str">
        <f>CONCATENATE(Programme!D1889,Programme!E1889,Programme!F1889,Programme!G1889,Programme!H1889,Programme!I1889,Programme!J1889)</f>
        <v>&lt;/cellule&gt;</v>
      </c>
    </row>
    <row r="1889" spans="1:1" x14ac:dyDescent="0.2">
      <c r="A1889" s="996" t="str">
        <f>CONCATENATE(Programme!D1890,Programme!E1890,Programme!F1890,Programme!G1890,Programme!H1890,Programme!I1890,Programme!J1890)</f>
        <v>&lt;valeur&gt;0&lt;/valeur&gt;</v>
      </c>
    </row>
    <row r="1890" spans="1:1" x14ac:dyDescent="0.2">
      <c r="A1890" s="996" t="str">
        <f>CONCATENATE(Programme!D1891,Programme!E1891,Programme!F1891,Programme!G1891,Programme!H1891,Programme!I1891,Programme!J1891)</f>
        <v>&lt;/ValeurCellule&gt;</v>
      </c>
    </row>
    <row r="1891" spans="1:1" x14ac:dyDescent="0.2">
      <c r="A1891" s="996" t="str">
        <f>CONCATENATE(Programme!D1892,Programme!E1892,Programme!F1892,Programme!G1892,Programme!H1892,Programme!I1892,Programme!J1892)</f>
        <v>&lt;ValeurCellule&gt;</v>
      </c>
    </row>
    <row r="1892" spans="1:1" x14ac:dyDescent="0.2">
      <c r="A1892" s="996" t="str">
        <f>CONCATENATE(Programme!D1893,Programme!E1893,Programme!F1893,Programme!G1893,Programme!H1893,Programme!I1893,Programme!J1893)</f>
        <v>&lt;cellule&gt;</v>
      </c>
    </row>
    <row r="1893" spans="1:1" x14ac:dyDescent="0.2">
      <c r="A1893" s="996" t="str">
        <f>CONCATENATE(Programme!D1894,Programme!E1894,Programme!F1894,Programme!G1894,Programme!H1894,Programme!I1894,Programme!J1894)</f>
        <v>&lt;codeEdi&gt;11182&lt;/codeEdi&gt;</v>
      </c>
    </row>
    <row r="1894" spans="1:1" x14ac:dyDescent="0.2">
      <c r="A1894" s="996" t="str">
        <f>CONCATENATE(Programme!D1895,Programme!E1895,Programme!F1895,Programme!G1895,Programme!H1895,Programme!I1895,Programme!J1895)</f>
        <v>&lt;/cellule&gt;</v>
      </c>
    </row>
    <row r="1895" spans="1:1" x14ac:dyDescent="0.2">
      <c r="A1895" s="996" t="str">
        <f>CONCATENATE(Programme!D1896,Programme!E1896,Programme!F1896,Programme!G1896,Programme!H1896,Programme!I1896,Programme!J1896)</f>
        <v>&lt;valeur&gt;0&lt;/valeur&gt;</v>
      </c>
    </row>
    <row r="1896" spans="1:1" x14ac:dyDescent="0.2">
      <c r="A1896" s="996" t="str">
        <f>CONCATENATE(Programme!D1897,Programme!E1897,Programme!F1897,Programme!G1897,Programme!H1897,Programme!I1897,Programme!J1897)</f>
        <v>&lt;/ValeurCellule&gt;</v>
      </c>
    </row>
    <row r="1897" spans="1:1" x14ac:dyDescent="0.2">
      <c r="A1897" s="996" t="str">
        <f>CONCATENATE(Programme!D1898,Programme!E1898,Programme!F1898,Programme!G1898,Programme!H1898,Programme!I1898,Programme!J1898)</f>
        <v>&lt;ValeurCellule&gt;</v>
      </c>
    </row>
    <row r="1898" spans="1:1" x14ac:dyDescent="0.2">
      <c r="A1898" s="996" t="str">
        <f>CONCATENATE(Programme!D1899,Programme!E1899,Programme!F1899,Programme!G1899,Programme!H1899,Programme!I1899,Programme!J1899)</f>
        <v>&lt;cellule&gt;</v>
      </c>
    </row>
    <row r="1899" spans="1:1" x14ac:dyDescent="0.2">
      <c r="A1899" s="996" t="str">
        <f>CONCATENATE(Programme!D1900,Programme!E1900,Programme!F1900,Programme!G1900,Programme!H1900,Programme!I1900,Programme!J1900)</f>
        <v>&lt;codeEdi&gt;11187&lt;/codeEdi&gt;</v>
      </c>
    </row>
    <row r="1900" spans="1:1" x14ac:dyDescent="0.2">
      <c r="A1900" s="996" t="str">
        <f>CONCATENATE(Programme!D1901,Programme!E1901,Programme!F1901,Programme!G1901,Programme!H1901,Programme!I1901,Programme!J1901)</f>
        <v>&lt;/cellule&gt;</v>
      </c>
    </row>
    <row r="1901" spans="1:1" x14ac:dyDescent="0.2">
      <c r="A1901" s="996" t="str">
        <f>CONCATENATE(Programme!D1902,Programme!E1902,Programme!F1902,Programme!G1902,Programme!H1902,Programme!I1902,Programme!J1902)</f>
        <v>&lt;valeur&gt;0&lt;/valeur&gt;</v>
      </c>
    </row>
    <row r="1902" spans="1:1" x14ac:dyDescent="0.2">
      <c r="A1902" s="996" t="str">
        <f>CONCATENATE(Programme!D1903,Programme!E1903,Programme!F1903,Programme!G1903,Programme!H1903,Programme!I1903,Programme!J1903)</f>
        <v>&lt;/ValeurCellule&gt;</v>
      </c>
    </row>
    <row r="1903" spans="1:1" x14ac:dyDescent="0.2">
      <c r="A1903" s="996" t="str">
        <f>CONCATENATE(Programme!D1904,Programme!E1904,Programme!F1904,Programme!G1904,Programme!H1904,Programme!I1904,Programme!J1904)</f>
        <v>&lt;ValeurCellule&gt;</v>
      </c>
    </row>
    <row r="1904" spans="1:1" x14ac:dyDescent="0.2">
      <c r="A1904" s="996" t="str">
        <f>CONCATENATE(Programme!D1905,Programme!E1905,Programme!F1905,Programme!G1905,Programme!H1905,Programme!I1905,Programme!J1905)</f>
        <v>&lt;cellule&gt;</v>
      </c>
    </row>
    <row r="1905" spans="1:1" x14ac:dyDescent="0.2">
      <c r="A1905" s="996" t="str">
        <f>CONCATENATE(Programme!D1906,Programme!E1906,Programme!F1906,Programme!G1906,Programme!H1906,Programme!I1906,Programme!J1906)</f>
        <v>&lt;codeEdi&gt;11192&lt;/codeEdi&gt;</v>
      </c>
    </row>
    <row r="1906" spans="1:1" x14ac:dyDescent="0.2">
      <c r="A1906" s="996" t="str">
        <f>CONCATENATE(Programme!D1907,Programme!E1907,Programme!F1907,Programme!G1907,Programme!H1907,Programme!I1907,Programme!J1907)</f>
        <v>&lt;/cellule&gt;</v>
      </c>
    </row>
    <row r="1907" spans="1:1" x14ac:dyDescent="0.2">
      <c r="A1907" s="996" t="str">
        <f>CONCATENATE(Programme!D1908,Programme!E1908,Programme!F1908,Programme!G1908,Programme!H1908,Programme!I1908,Programme!J1908)</f>
        <v>&lt;valeur&gt;&lt;/valeur&gt;</v>
      </c>
    </row>
    <row r="1908" spans="1:1" x14ac:dyDescent="0.2">
      <c r="A1908" s="996" t="str">
        <f>CONCATENATE(Programme!D1909,Programme!E1909,Programme!F1909,Programme!G1909,Programme!H1909,Programme!I1909,Programme!J1909)</f>
        <v>&lt;/ValeurCellule&gt;</v>
      </c>
    </row>
    <row r="1909" spans="1:1" x14ac:dyDescent="0.2">
      <c r="A1909" s="996" t="str">
        <f>CONCATENATE(Programme!D1910,Programme!E1910,Programme!F1910,Programme!G1910,Programme!H1910,Programme!I1910,Programme!J1910)</f>
        <v>&lt;ValeurCellule&gt;</v>
      </c>
    </row>
    <row r="1910" spans="1:1" x14ac:dyDescent="0.2">
      <c r="A1910" s="996" t="str">
        <f>CONCATENATE(Programme!D1911,Programme!E1911,Programme!F1911,Programme!G1911,Programme!H1911,Programme!I1911,Programme!J1911)</f>
        <v>&lt;cellule&gt;</v>
      </c>
    </row>
    <row r="1911" spans="1:1" x14ac:dyDescent="0.2">
      <c r="A1911" s="996" t="str">
        <f>CONCATENATE(Programme!D1912,Programme!E1912,Programme!F1912,Programme!G1912,Programme!H1912,Programme!I1912,Programme!J1912)</f>
        <v>&lt;codeEdi&gt;11197&lt;/codeEdi&gt;</v>
      </c>
    </row>
    <row r="1912" spans="1:1" x14ac:dyDescent="0.2">
      <c r="A1912" s="996" t="str">
        <f>CONCATENATE(Programme!D1913,Programme!E1913,Programme!F1913,Programme!G1913,Programme!H1913,Programme!I1913,Programme!J1913)</f>
        <v>&lt;/cellule&gt;</v>
      </c>
    </row>
    <row r="1913" spans="1:1" x14ac:dyDescent="0.2">
      <c r="A1913" s="996" t="str">
        <f>CONCATENATE(Programme!D1914,Programme!E1914,Programme!F1914,Programme!G1914,Programme!H1914,Programme!I1914,Programme!J1914)</f>
        <v>&lt;valeur&gt;0&lt;/valeur&gt;</v>
      </c>
    </row>
    <row r="1914" spans="1:1" x14ac:dyDescent="0.2">
      <c r="A1914" s="996" t="str">
        <f>CONCATENATE(Programme!D1915,Programme!E1915,Programme!F1915,Programme!G1915,Programme!H1915,Programme!I1915,Programme!J1915)</f>
        <v>&lt;/ValeurCellule&gt;</v>
      </c>
    </row>
    <row r="1915" spans="1:1" x14ac:dyDescent="0.2">
      <c r="A1915" s="996" t="str">
        <f>CONCATENATE(Programme!D1916,Programme!E1916,Programme!F1916,Programme!G1916,Programme!H1916,Programme!I1916,Programme!J1916)</f>
        <v>&lt;ValeurCellule&gt;</v>
      </c>
    </row>
    <row r="1916" spans="1:1" x14ac:dyDescent="0.2">
      <c r="A1916" s="996" t="str">
        <f>CONCATENATE(Programme!D1917,Programme!E1917,Programme!F1917,Programme!G1917,Programme!H1917,Programme!I1917,Programme!J1917)</f>
        <v>&lt;cellule&gt;</v>
      </c>
    </row>
    <row r="1917" spans="1:1" x14ac:dyDescent="0.2">
      <c r="A1917" s="996" t="str">
        <f>CONCATENATE(Programme!D1918,Programme!E1918,Programme!F1918,Programme!G1918,Programme!H1918,Programme!I1918,Programme!J1918)</f>
        <v>&lt;codeEdi&gt;11267&lt;/codeEdi&gt;</v>
      </c>
    </row>
    <row r="1918" spans="1:1" x14ac:dyDescent="0.2">
      <c r="A1918" s="996" t="str">
        <f>CONCATENATE(Programme!D1919,Programme!E1919,Programme!F1919,Programme!G1919,Programme!H1919,Programme!I1919,Programme!J1919)</f>
        <v>&lt;/cellule&gt;</v>
      </c>
    </row>
    <row r="1919" spans="1:1" x14ac:dyDescent="0.2">
      <c r="A1919" s="996" t="str">
        <f>CONCATENATE(Programme!D1920,Programme!E1920,Programme!F1920,Programme!G1920,Programme!H1920,Programme!I1920,Programme!J1920)</f>
        <v>&lt;valeur&gt;0&lt;/valeur&gt;</v>
      </c>
    </row>
    <row r="1920" spans="1:1" x14ac:dyDescent="0.2">
      <c r="A1920" s="996" t="str">
        <f>CONCATENATE(Programme!D1921,Programme!E1921,Programme!F1921,Programme!G1921,Programme!H1921,Programme!I1921,Programme!J1921)</f>
        <v>&lt;/ValeurCellule&gt;</v>
      </c>
    </row>
    <row r="1921" spans="1:1" x14ac:dyDescent="0.2">
      <c r="A1921" s="996" t="str">
        <f>CONCATENATE(Programme!D1922,Programme!E1922,Programme!F1922,Programme!G1922,Programme!H1922,Programme!I1922,Programme!J1922)</f>
        <v>&lt;ValeurCellule&gt;</v>
      </c>
    </row>
    <row r="1922" spans="1:1" x14ac:dyDescent="0.2">
      <c r="A1922" s="996" t="str">
        <f>CONCATENATE(Programme!D1923,Programme!E1923,Programme!F1923,Programme!G1923,Programme!H1923,Programme!I1923,Programme!J1923)</f>
        <v>&lt;cellule&gt;</v>
      </c>
    </row>
    <row r="1923" spans="1:1" x14ac:dyDescent="0.2">
      <c r="A1923" s="996" t="str">
        <f>CONCATENATE(Programme!D1924,Programme!E1924,Programme!F1924,Programme!G1924,Programme!H1924,Programme!I1924,Programme!J1924)</f>
        <v>&lt;codeEdi&gt;11237&lt;/codeEdi&gt;</v>
      </c>
    </row>
    <row r="1924" spans="1:1" x14ac:dyDescent="0.2">
      <c r="A1924" s="996" t="str">
        <f>CONCATENATE(Programme!D1925,Programme!E1925,Programme!F1925,Programme!G1925,Programme!H1925,Programme!I1925,Programme!J1925)</f>
        <v>&lt;/cellule&gt;</v>
      </c>
    </row>
    <row r="1925" spans="1:1" x14ac:dyDescent="0.2">
      <c r="A1925" s="996" t="str">
        <f>CONCATENATE(Programme!D1926,Programme!E1926,Programme!F1926,Programme!G1926,Programme!H1926,Programme!I1926,Programme!J1926)</f>
        <v>&lt;valeur&gt;0&lt;/valeur&gt;</v>
      </c>
    </row>
    <row r="1926" spans="1:1" x14ac:dyDescent="0.2">
      <c r="A1926" s="996" t="str">
        <f>CONCATENATE(Programme!D1927,Programme!E1927,Programme!F1927,Programme!G1927,Programme!H1927,Programme!I1927,Programme!J1927)</f>
        <v>&lt;/ValeurCellule&gt;</v>
      </c>
    </row>
    <row r="1927" spans="1:1" x14ac:dyDescent="0.2">
      <c r="A1927" s="996" t="str">
        <f>CONCATENATE(Programme!D1928,Programme!E1928,Programme!F1928,Programme!G1928,Programme!H1928,Programme!I1928,Programme!J1928)</f>
        <v>&lt;ValeurCellule&gt;</v>
      </c>
    </row>
    <row r="1928" spans="1:1" x14ac:dyDescent="0.2">
      <c r="A1928" s="996" t="str">
        <f>CONCATENATE(Programme!D1929,Programme!E1929,Programme!F1929,Programme!G1929,Programme!H1929,Programme!I1929,Programme!J1929)</f>
        <v>&lt;cellule&gt;</v>
      </c>
    </row>
    <row r="1929" spans="1:1" x14ac:dyDescent="0.2">
      <c r="A1929" s="996" t="str">
        <f>CONCATENATE(Programme!D1930,Programme!E1930,Programme!F1930,Programme!G1930,Programme!H1930,Programme!I1930,Programme!J1930)</f>
        <v>&lt;codeEdi&gt;11242&lt;/codeEdi&gt;</v>
      </c>
    </row>
    <row r="1930" spans="1:1" x14ac:dyDescent="0.2">
      <c r="A1930" s="996" t="str">
        <f>CONCATENATE(Programme!D1931,Programme!E1931,Programme!F1931,Programme!G1931,Programme!H1931,Programme!I1931,Programme!J1931)</f>
        <v>&lt;/cellule&gt;</v>
      </c>
    </row>
    <row r="1931" spans="1:1" x14ac:dyDescent="0.2">
      <c r="A1931" s="996" t="str">
        <f>CONCATENATE(Programme!D1932,Programme!E1932,Programme!F1932,Programme!G1932,Programme!H1932,Programme!I1932,Programme!J1932)</f>
        <v>&lt;valeur&gt;0&lt;/valeur&gt;</v>
      </c>
    </row>
    <row r="1932" spans="1:1" x14ac:dyDescent="0.2">
      <c r="A1932" s="996" t="str">
        <f>CONCATENATE(Programme!D1933,Programme!E1933,Programme!F1933,Programme!G1933,Programme!H1933,Programme!I1933,Programme!J1933)</f>
        <v>&lt;/ValeurCellule&gt;</v>
      </c>
    </row>
    <row r="1933" spans="1:1" x14ac:dyDescent="0.2">
      <c r="A1933" s="996" t="str">
        <f>CONCATENATE(Programme!D1934,Programme!E1934,Programme!F1934,Programme!G1934,Programme!H1934,Programme!I1934,Programme!J1934)</f>
        <v>&lt;ValeurCellule&gt;</v>
      </c>
    </row>
    <row r="1934" spans="1:1" x14ac:dyDescent="0.2">
      <c r="A1934" s="996" t="str">
        <f>CONCATENATE(Programme!D1935,Programme!E1935,Programme!F1935,Programme!G1935,Programme!H1935,Programme!I1935,Programme!J1935)</f>
        <v>&lt;cellule&gt;</v>
      </c>
    </row>
    <row r="1935" spans="1:1" x14ac:dyDescent="0.2">
      <c r="A1935" s="996" t="str">
        <f>CONCATENATE(Programme!D1936,Programme!E1936,Programme!F1936,Programme!G1936,Programme!H1936,Programme!I1936,Programme!J1936)</f>
        <v>&lt;codeEdi&gt;11247&lt;/codeEdi&gt;</v>
      </c>
    </row>
    <row r="1936" spans="1:1" x14ac:dyDescent="0.2">
      <c r="A1936" s="996" t="str">
        <f>CONCATENATE(Programme!D1937,Programme!E1937,Programme!F1937,Programme!G1937,Programme!H1937,Programme!I1937,Programme!J1937)</f>
        <v>&lt;/cellule&gt;</v>
      </c>
    </row>
    <row r="1937" spans="1:1" x14ac:dyDescent="0.2">
      <c r="A1937" s="996" t="str">
        <f>CONCATENATE(Programme!D1938,Programme!E1938,Programme!F1938,Programme!G1938,Programme!H1938,Programme!I1938,Programme!J1938)</f>
        <v>&lt;valeur&gt;0&lt;/valeur&gt;</v>
      </c>
    </row>
    <row r="1938" spans="1:1" x14ac:dyDescent="0.2">
      <c r="A1938" s="996" t="str">
        <f>CONCATENATE(Programme!D1939,Programme!E1939,Programme!F1939,Programme!G1939,Programme!H1939,Programme!I1939,Programme!J1939)</f>
        <v>&lt;/ValeurCellule&gt;</v>
      </c>
    </row>
    <row r="1939" spans="1:1" x14ac:dyDescent="0.2">
      <c r="A1939" s="996" t="str">
        <f>CONCATENATE(Programme!D1940,Programme!E1940,Programme!F1940,Programme!G1940,Programme!H1940,Programme!I1940,Programme!J1940)</f>
        <v>&lt;ValeurCellule&gt;</v>
      </c>
    </row>
    <row r="1940" spans="1:1" x14ac:dyDescent="0.2">
      <c r="A1940" s="996" t="str">
        <f>CONCATENATE(Programme!D1941,Programme!E1941,Programme!F1941,Programme!G1941,Programme!H1941,Programme!I1941,Programme!J1941)</f>
        <v>&lt;cellule&gt;</v>
      </c>
    </row>
    <row r="1941" spans="1:1" x14ac:dyDescent="0.2">
      <c r="A1941" s="996" t="str">
        <f>CONCATENATE(Programme!D1942,Programme!E1942,Programme!F1942,Programme!G1942,Programme!H1942,Programme!I1942,Programme!J1942)</f>
        <v>&lt;codeEdi&gt;11252&lt;/codeEdi&gt;</v>
      </c>
    </row>
    <row r="1942" spans="1:1" x14ac:dyDescent="0.2">
      <c r="A1942" s="996" t="str">
        <f>CONCATENATE(Programme!D1943,Programme!E1943,Programme!F1943,Programme!G1943,Programme!H1943,Programme!I1943,Programme!J1943)</f>
        <v>&lt;/cellule&gt;</v>
      </c>
    </row>
    <row r="1943" spans="1:1" x14ac:dyDescent="0.2">
      <c r="A1943" s="996" t="str">
        <f>CONCATENATE(Programme!D1944,Programme!E1944,Programme!F1944,Programme!G1944,Programme!H1944,Programme!I1944,Programme!J1944)</f>
        <v>&lt;valeur&gt;0&lt;/valeur&gt;</v>
      </c>
    </row>
    <row r="1944" spans="1:1" x14ac:dyDescent="0.2">
      <c r="A1944" s="996" t="str">
        <f>CONCATENATE(Programme!D1945,Programme!E1945,Programme!F1945,Programme!G1945,Programme!H1945,Programme!I1945,Programme!J1945)</f>
        <v>&lt;/ValeurCellule&gt;</v>
      </c>
    </row>
    <row r="1945" spans="1:1" x14ac:dyDescent="0.2">
      <c r="A1945" s="996" t="str">
        <f>CONCATENATE(Programme!D1946,Programme!E1946,Programme!F1946,Programme!G1946,Programme!H1946,Programme!I1946,Programme!J1946)</f>
        <v>&lt;ValeurCellule&gt;</v>
      </c>
    </row>
    <row r="1946" spans="1:1" x14ac:dyDescent="0.2">
      <c r="A1946" s="996" t="str">
        <f>CONCATENATE(Programme!D1947,Programme!E1947,Programme!F1947,Programme!G1947,Programme!H1947,Programme!I1947,Programme!J1947)</f>
        <v>&lt;cellule&gt;</v>
      </c>
    </row>
    <row r="1947" spans="1:1" x14ac:dyDescent="0.2">
      <c r="A1947" s="996" t="str">
        <f>CONCATENATE(Programme!D1948,Programme!E1948,Programme!F1948,Programme!G1948,Programme!H1948,Programme!I1948,Programme!J1948)</f>
        <v>&lt;codeEdi&gt;11257&lt;/codeEdi&gt;</v>
      </c>
    </row>
    <row r="1948" spans="1:1" x14ac:dyDescent="0.2">
      <c r="A1948" s="996" t="str">
        <f>CONCATENATE(Programme!D1949,Programme!E1949,Programme!F1949,Programme!G1949,Programme!H1949,Programme!I1949,Programme!J1949)</f>
        <v>&lt;/cellule&gt;</v>
      </c>
    </row>
    <row r="1949" spans="1:1" x14ac:dyDescent="0.2">
      <c r="A1949" s="996" t="str">
        <f>CONCATENATE(Programme!D1950,Programme!E1950,Programme!F1950,Programme!G1950,Programme!H1950,Programme!I1950,Programme!J1950)</f>
        <v>&lt;valeur&gt;0&lt;/valeur&gt;</v>
      </c>
    </row>
    <row r="1950" spans="1:1" x14ac:dyDescent="0.2">
      <c r="A1950" s="996" t="str">
        <f>CONCATENATE(Programme!D1951,Programme!E1951,Programme!F1951,Programme!G1951,Programme!H1951,Programme!I1951,Programme!J1951)</f>
        <v>&lt;/ValeurCellule&gt;</v>
      </c>
    </row>
    <row r="1951" spans="1:1" x14ac:dyDescent="0.2">
      <c r="A1951" s="996" t="str">
        <f>CONCATENATE(Programme!D1952,Programme!E1952,Programme!F1952,Programme!G1952,Programme!H1952,Programme!I1952,Programme!J1952)</f>
        <v>&lt;ValeurCellule&gt;</v>
      </c>
    </row>
    <row r="1952" spans="1:1" x14ac:dyDescent="0.2">
      <c r="A1952" s="996" t="str">
        <f>CONCATENATE(Programme!D1953,Programme!E1953,Programme!F1953,Programme!G1953,Programme!H1953,Programme!I1953,Programme!J1953)</f>
        <v>&lt;cellule&gt;</v>
      </c>
    </row>
    <row r="1953" spans="1:1" x14ac:dyDescent="0.2">
      <c r="A1953" s="996" t="str">
        <f>CONCATENATE(Programme!D1954,Programme!E1954,Programme!F1954,Programme!G1954,Programme!H1954,Programme!I1954,Programme!J1954)</f>
        <v>&lt;codeEdi&gt;11262&lt;/codeEdi&gt;</v>
      </c>
    </row>
    <row r="1954" spans="1:1" x14ac:dyDescent="0.2">
      <c r="A1954" s="996" t="str">
        <f>CONCATENATE(Programme!D1955,Programme!E1955,Programme!F1955,Programme!G1955,Programme!H1955,Programme!I1955,Programme!J1955)</f>
        <v>&lt;/cellule&gt;</v>
      </c>
    </row>
    <row r="1955" spans="1:1" x14ac:dyDescent="0.2">
      <c r="A1955" s="996" t="str">
        <f>CONCATENATE(Programme!D1956,Programme!E1956,Programme!F1956,Programme!G1956,Programme!H1956,Programme!I1956,Programme!J1956)</f>
        <v>&lt;valeur&gt;0&lt;/valeur&gt;</v>
      </c>
    </row>
    <row r="1956" spans="1:1" x14ac:dyDescent="0.2">
      <c r="A1956" s="996" t="str">
        <f>CONCATENATE(Programme!D1957,Programme!E1957,Programme!F1957,Programme!G1957,Programme!H1957,Programme!I1957,Programme!J1957)</f>
        <v>&lt;/ValeurCellule&gt;</v>
      </c>
    </row>
    <row r="1957" spans="1:1" x14ac:dyDescent="0.2">
      <c r="A1957" s="996" t="str">
        <f>CONCATENATE(Programme!D1958,Programme!E1958,Programme!F1958,Programme!G1958,Programme!H1958,Programme!I1958,Programme!J1958)</f>
        <v>&lt;ValeurCellule&gt;</v>
      </c>
    </row>
    <row r="1958" spans="1:1" x14ac:dyDescent="0.2">
      <c r="A1958" s="996" t="str">
        <f>CONCATENATE(Programme!D1959,Programme!E1959,Programme!F1959,Programme!G1959,Programme!H1959,Programme!I1959,Programme!J1959)</f>
        <v>&lt;cellule&gt;</v>
      </c>
    </row>
    <row r="1959" spans="1:1" x14ac:dyDescent="0.2">
      <c r="A1959" s="996" t="str">
        <f>CONCATENATE(Programme!D1960,Programme!E1960,Programme!F1960,Programme!G1960,Programme!H1960,Programme!I1960,Programme!J1960)</f>
        <v>&lt;codeEdi&gt;11203&lt;/codeEdi&gt;</v>
      </c>
    </row>
    <row r="1960" spans="1:1" x14ac:dyDescent="0.2">
      <c r="A1960" s="996" t="str">
        <f>CONCATENATE(Programme!D1961,Programme!E1961,Programme!F1961,Programme!G1961,Programme!H1961,Programme!I1961,Programme!J1961)</f>
        <v>&lt;/cellule&gt;</v>
      </c>
    </row>
    <row r="1961" spans="1:1" x14ac:dyDescent="0.2">
      <c r="A1961" s="996" t="str">
        <f>CONCATENATE(Programme!D1962,Programme!E1962,Programme!F1962,Programme!G1962,Programme!H1962,Programme!I1962,Programme!J1962)</f>
        <v>&lt;valeur&gt;0&lt;/valeur&gt;</v>
      </c>
    </row>
    <row r="1962" spans="1:1" x14ac:dyDescent="0.2">
      <c r="A1962" s="996" t="str">
        <f>CONCATENATE(Programme!D1963,Programme!E1963,Programme!F1963,Programme!G1963,Programme!H1963,Programme!I1963,Programme!J1963)</f>
        <v>&lt;/ValeurCellule&gt;</v>
      </c>
    </row>
    <row r="1963" spans="1:1" x14ac:dyDescent="0.2">
      <c r="A1963" s="996" t="str">
        <f>CONCATENATE(Programme!D1964,Programme!E1964,Programme!F1964,Programme!G1964,Programme!H1964,Programme!I1964,Programme!J1964)</f>
        <v>&lt;ValeurCellule&gt;</v>
      </c>
    </row>
    <row r="1964" spans="1:1" x14ac:dyDescent="0.2">
      <c r="A1964" s="996" t="str">
        <f>CONCATENATE(Programme!D1965,Programme!E1965,Programme!F1965,Programme!G1965,Programme!H1965,Programme!I1965,Programme!J1965)</f>
        <v>&lt;cellule&gt;</v>
      </c>
    </row>
    <row r="1965" spans="1:1" x14ac:dyDescent="0.2">
      <c r="A1965" s="996" t="str">
        <f>CONCATENATE(Programme!D1966,Programme!E1966,Programme!F1966,Programme!G1966,Programme!H1966,Programme!I1966,Programme!J1966)</f>
        <v>&lt;codeEdi&gt;11208&lt;/codeEdi&gt;</v>
      </c>
    </row>
    <row r="1966" spans="1:1" x14ac:dyDescent="0.2">
      <c r="A1966" s="996" t="str">
        <f>CONCATENATE(Programme!D1967,Programme!E1967,Programme!F1967,Programme!G1967,Programme!H1967,Programme!I1967,Programme!J1967)</f>
        <v>&lt;/cellule&gt;</v>
      </c>
    </row>
    <row r="1967" spans="1:1" x14ac:dyDescent="0.2">
      <c r="A1967" s="996" t="str">
        <f>CONCATENATE(Programme!D1968,Programme!E1968,Programme!F1968,Programme!G1968,Programme!H1968,Programme!I1968,Programme!J1968)</f>
        <v>&lt;valeur&gt;0&lt;/valeur&gt;</v>
      </c>
    </row>
    <row r="1968" spans="1:1" x14ac:dyDescent="0.2">
      <c r="A1968" s="996" t="str">
        <f>CONCATENATE(Programme!D1969,Programme!E1969,Programme!F1969,Programme!G1969,Programme!H1969,Programme!I1969,Programme!J1969)</f>
        <v>&lt;/ValeurCellule&gt;</v>
      </c>
    </row>
    <row r="1969" spans="1:1" x14ac:dyDescent="0.2">
      <c r="A1969" s="996" t="str">
        <f>CONCATENATE(Programme!D1970,Programme!E1970,Programme!F1970,Programme!G1970,Programme!H1970,Programme!I1970,Programme!J1970)</f>
        <v>&lt;ValeurCellule&gt;</v>
      </c>
    </row>
    <row r="1970" spans="1:1" x14ac:dyDescent="0.2">
      <c r="A1970" s="996" t="str">
        <f>CONCATENATE(Programme!D1971,Programme!E1971,Programme!F1971,Programme!G1971,Programme!H1971,Programme!I1971,Programme!J1971)</f>
        <v>&lt;cellule&gt;</v>
      </c>
    </row>
    <row r="1971" spans="1:1" x14ac:dyDescent="0.2">
      <c r="A1971" s="996" t="str">
        <f>CONCATENATE(Programme!D1972,Programme!E1972,Programme!F1972,Programme!G1972,Programme!H1972,Programme!I1972,Programme!J1972)</f>
        <v>&lt;codeEdi&gt;11213&lt;/codeEdi&gt;</v>
      </c>
    </row>
    <row r="1972" spans="1:1" x14ac:dyDescent="0.2">
      <c r="A1972" s="996" t="str">
        <f>CONCATENATE(Programme!D1973,Programme!E1973,Programme!F1973,Programme!G1973,Programme!H1973,Programme!I1973,Programme!J1973)</f>
        <v>&lt;/cellule&gt;</v>
      </c>
    </row>
    <row r="1973" spans="1:1" x14ac:dyDescent="0.2">
      <c r="A1973" s="996" t="str">
        <f>CONCATENATE(Programme!D1974,Programme!E1974,Programme!F1974,Programme!G1974,Programme!H1974,Programme!I1974,Programme!J1974)</f>
        <v>&lt;valeur&gt;0&lt;/valeur&gt;</v>
      </c>
    </row>
    <row r="1974" spans="1:1" x14ac:dyDescent="0.2">
      <c r="A1974" s="996" t="str">
        <f>CONCATENATE(Programme!D1975,Programme!E1975,Programme!F1975,Programme!G1975,Programme!H1975,Programme!I1975,Programme!J1975)</f>
        <v>&lt;/ValeurCellule&gt;</v>
      </c>
    </row>
    <row r="1975" spans="1:1" x14ac:dyDescent="0.2">
      <c r="A1975" s="996" t="str">
        <f>CONCATENATE(Programme!D1976,Programme!E1976,Programme!F1976,Programme!G1976,Programme!H1976,Programme!I1976,Programme!J1976)</f>
        <v>&lt;ValeurCellule&gt;</v>
      </c>
    </row>
    <row r="1976" spans="1:1" x14ac:dyDescent="0.2">
      <c r="A1976" s="996" t="str">
        <f>CONCATENATE(Programme!D1977,Programme!E1977,Programme!F1977,Programme!G1977,Programme!H1977,Programme!I1977,Programme!J1977)</f>
        <v>&lt;cellule&gt;</v>
      </c>
    </row>
    <row r="1977" spans="1:1" x14ac:dyDescent="0.2">
      <c r="A1977" s="996" t="str">
        <f>CONCATENATE(Programme!D1978,Programme!E1978,Programme!F1978,Programme!G1978,Programme!H1978,Programme!I1978,Programme!J1978)</f>
        <v>&lt;codeEdi&gt;11218&lt;/codeEdi&gt;</v>
      </c>
    </row>
    <row r="1978" spans="1:1" x14ac:dyDescent="0.2">
      <c r="A1978" s="996" t="str">
        <f>CONCATENATE(Programme!D1979,Programme!E1979,Programme!F1979,Programme!G1979,Programme!H1979,Programme!I1979,Programme!J1979)</f>
        <v>&lt;/cellule&gt;</v>
      </c>
    </row>
    <row r="1979" spans="1:1" x14ac:dyDescent="0.2">
      <c r="A1979" s="996" t="str">
        <f>CONCATENATE(Programme!D1980,Programme!E1980,Programme!F1980,Programme!G1980,Programme!H1980,Programme!I1980,Programme!J1980)</f>
        <v>&lt;valeur&gt;0&lt;/valeur&gt;</v>
      </c>
    </row>
    <row r="1980" spans="1:1" x14ac:dyDescent="0.2">
      <c r="A1980" s="996" t="str">
        <f>CONCATENATE(Programme!D1981,Programme!E1981,Programme!F1981,Programme!G1981,Programme!H1981,Programme!I1981,Programme!J1981)</f>
        <v>&lt;/ValeurCellule&gt;</v>
      </c>
    </row>
    <row r="1981" spans="1:1" x14ac:dyDescent="0.2">
      <c r="A1981" s="996" t="str">
        <f>CONCATENATE(Programme!D1982,Programme!E1982,Programme!F1982,Programme!G1982,Programme!H1982,Programme!I1982,Programme!J1982)</f>
        <v>&lt;ValeurCellule&gt;</v>
      </c>
    </row>
    <row r="1982" spans="1:1" x14ac:dyDescent="0.2">
      <c r="A1982" s="996" t="str">
        <f>CONCATENATE(Programme!D1983,Programme!E1983,Programme!F1983,Programme!G1983,Programme!H1983,Programme!I1983,Programme!J1983)</f>
        <v>&lt;cellule&gt;</v>
      </c>
    </row>
    <row r="1983" spans="1:1" x14ac:dyDescent="0.2">
      <c r="A1983" s="996" t="str">
        <f>CONCATENATE(Programme!D1984,Programme!E1984,Programme!F1984,Programme!G1984,Programme!H1984,Programme!I1984,Programme!J1984)</f>
        <v>&lt;codeEdi&gt;11223&lt;/codeEdi&gt;</v>
      </c>
    </row>
    <row r="1984" spans="1:1" x14ac:dyDescent="0.2">
      <c r="A1984" s="996" t="str">
        <f>CONCATENATE(Programme!D1985,Programme!E1985,Programme!F1985,Programme!G1985,Programme!H1985,Programme!I1985,Programme!J1985)</f>
        <v>&lt;/cellule&gt;</v>
      </c>
    </row>
    <row r="1985" spans="1:1" x14ac:dyDescent="0.2">
      <c r="A1985" s="996" t="str">
        <f>CONCATENATE(Programme!D1986,Programme!E1986,Programme!F1986,Programme!G1986,Programme!H1986,Programme!I1986,Programme!J1986)</f>
        <v>&lt;valeur&gt;0&lt;/valeur&gt;</v>
      </c>
    </row>
    <row r="1986" spans="1:1" x14ac:dyDescent="0.2">
      <c r="A1986" s="996" t="str">
        <f>CONCATENATE(Programme!D1987,Programme!E1987,Programme!F1987,Programme!G1987,Programme!H1987,Programme!I1987,Programme!J1987)</f>
        <v>&lt;/ValeurCellule&gt;</v>
      </c>
    </row>
    <row r="1987" spans="1:1" x14ac:dyDescent="0.2">
      <c r="A1987" s="996" t="str">
        <f>CONCATENATE(Programme!D1988,Programme!E1988,Programme!F1988,Programme!G1988,Programme!H1988,Programme!I1988,Programme!J1988)</f>
        <v>&lt;ValeurCellule&gt;</v>
      </c>
    </row>
    <row r="1988" spans="1:1" x14ac:dyDescent="0.2">
      <c r="A1988" s="996" t="str">
        <f>CONCATENATE(Programme!D1989,Programme!E1989,Programme!F1989,Programme!G1989,Programme!H1989,Programme!I1989,Programme!J1989)</f>
        <v>&lt;cellule&gt;</v>
      </c>
    </row>
    <row r="1989" spans="1:1" x14ac:dyDescent="0.2">
      <c r="A1989" s="996" t="str">
        <f>CONCATENATE(Programme!D1990,Programme!E1990,Programme!F1990,Programme!G1990,Programme!H1990,Programme!I1990,Programme!J1990)</f>
        <v>&lt;codeEdi&gt;11228&lt;/codeEdi&gt;</v>
      </c>
    </row>
    <row r="1990" spans="1:1" x14ac:dyDescent="0.2">
      <c r="A1990" s="996" t="str">
        <f>CONCATENATE(Programme!D1991,Programme!E1991,Programme!F1991,Programme!G1991,Programme!H1991,Programme!I1991,Programme!J1991)</f>
        <v>&lt;/cellule&gt;</v>
      </c>
    </row>
    <row r="1991" spans="1:1" x14ac:dyDescent="0.2">
      <c r="A1991" s="996" t="str">
        <f>CONCATENATE(Programme!D1992,Programme!E1992,Programme!F1992,Programme!G1992,Programme!H1992,Programme!I1992,Programme!J1992)</f>
        <v>&lt;valeur&gt;0&lt;/valeur&gt;</v>
      </c>
    </row>
    <row r="1992" spans="1:1" x14ac:dyDescent="0.2">
      <c r="A1992" s="996" t="str">
        <f>CONCATENATE(Programme!D1993,Programme!E1993,Programme!F1993,Programme!G1993,Programme!H1993,Programme!I1993,Programme!J1993)</f>
        <v>&lt;/ValeurCellule&gt;</v>
      </c>
    </row>
    <row r="1993" spans="1:1" x14ac:dyDescent="0.2">
      <c r="A1993" s="996" t="str">
        <f>CONCATENATE(Programme!D1994,Programme!E1994,Programme!F1994,Programme!G1994,Programme!H1994,Programme!I1994,Programme!J1994)</f>
        <v>&lt;ValeurCellule&gt;</v>
      </c>
    </row>
    <row r="1994" spans="1:1" x14ac:dyDescent="0.2">
      <c r="A1994" s="996" t="str">
        <f>CONCATENATE(Programme!D1995,Programme!E1995,Programme!F1995,Programme!G1995,Programme!H1995,Programme!I1995,Programme!J1995)</f>
        <v>&lt;cellule&gt;</v>
      </c>
    </row>
    <row r="1995" spans="1:1" x14ac:dyDescent="0.2">
      <c r="A1995" s="996" t="str">
        <f>CONCATENATE(Programme!D1996,Programme!E1996,Programme!F1996,Programme!G1996,Programme!H1996,Programme!I1996,Programme!J1996)</f>
        <v>&lt;codeEdi&gt;11233&lt;/codeEdi&gt;</v>
      </c>
    </row>
    <row r="1996" spans="1:1" x14ac:dyDescent="0.2">
      <c r="A1996" s="996" t="str">
        <f>CONCATENATE(Programme!D1997,Programme!E1997,Programme!F1997,Programme!G1997,Programme!H1997,Programme!I1997,Programme!J1997)</f>
        <v>&lt;/cellule&gt;</v>
      </c>
    </row>
    <row r="1997" spans="1:1" x14ac:dyDescent="0.2">
      <c r="A1997" s="996" t="str">
        <f>CONCATENATE(Programme!D1998,Programme!E1998,Programme!F1998,Programme!G1998,Programme!H1998,Programme!I1998,Programme!J1998)</f>
        <v>&lt;valeur&gt;0&lt;/valeur&gt;</v>
      </c>
    </row>
    <row r="1998" spans="1:1" x14ac:dyDescent="0.2">
      <c r="A1998" s="996" t="str">
        <f>CONCATENATE(Programme!D1999,Programme!E1999,Programme!F1999,Programme!G1999,Programme!H1999,Programme!I1999,Programme!J1999)</f>
        <v>&lt;/ValeurCellule&gt;</v>
      </c>
    </row>
    <row r="1999" spans="1:1" x14ac:dyDescent="0.2">
      <c r="A1999" s="996" t="str">
        <f>CONCATENATE(Programme!D2000,Programme!E2000,Programme!F2000,Programme!G2000,Programme!H2000,Programme!I2000,Programme!J2000)</f>
        <v>&lt;ValeurCellule&gt;</v>
      </c>
    </row>
    <row r="2000" spans="1:1" x14ac:dyDescent="0.2">
      <c r="A2000" s="996" t="str">
        <f>CONCATENATE(Programme!D2001,Programme!E2001,Programme!F2001,Programme!G2001,Programme!H2001,Programme!I2001,Programme!J2001)</f>
        <v>&lt;cellule&gt;</v>
      </c>
    </row>
    <row r="2001" spans="1:1" x14ac:dyDescent="0.2">
      <c r="A2001" s="996" t="str">
        <f>CONCATENATE(Programme!D2002,Programme!E2002,Programme!F2002,Programme!G2002,Programme!H2002,Programme!I2002,Programme!J2002)</f>
        <v>&lt;codeEdi&gt;11178&lt;/codeEdi&gt;</v>
      </c>
    </row>
    <row r="2002" spans="1:1" x14ac:dyDescent="0.2">
      <c r="A2002" s="996" t="str">
        <f>CONCATENATE(Programme!D2003,Programme!E2003,Programme!F2003,Programme!G2003,Programme!H2003,Programme!I2003,Programme!J2003)</f>
        <v>&lt;/cellule&gt;</v>
      </c>
    </row>
    <row r="2003" spans="1:1" x14ac:dyDescent="0.2">
      <c r="A2003" s="996" t="str">
        <f>CONCATENATE(Programme!D2004,Programme!E2004,Programme!F2004,Programme!G2004,Programme!H2004,Programme!I2004,Programme!J2004)</f>
        <v>&lt;valeur&gt;0&lt;/valeur&gt;</v>
      </c>
    </row>
    <row r="2004" spans="1:1" x14ac:dyDescent="0.2">
      <c r="A2004" s="996" t="str">
        <f>CONCATENATE(Programme!D2005,Programme!E2005,Programme!F2005,Programme!G2005,Programme!H2005,Programme!I2005,Programme!J2005)</f>
        <v>&lt;/ValeurCellule&gt;</v>
      </c>
    </row>
    <row r="2005" spans="1:1" x14ac:dyDescent="0.2">
      <c r="A2005" s="996" t="str">
        <f>CONCATENATE(Programme!D2006,Programme!E2006,Programme!F2006,Programme!G2006,Programme!H2006,Programme!I2006,Programme!J2006)</f>
        <v>&lt;ValeurCellule&gt;</v>
      </c>
    </row>
    <row r="2006" spans="1:1" x14ac:dyDescent="0.2">
      <c r="A2006" s="996" t="str">
        <f>CONCATENATE(Programme!D2007,Programme!E2007,Programme!F2007,Programme!G2007,Programme!H2007,Programme!I2007,Programme!J2007)</f>
        <v>&lt;cellule&gt;</v>
      </c>
    </row>
    <row r="2007" spans="1:1" x14ac:dyDescent="0.2">
      <c r="A2007" s="996" t="str">
        <f>CONCATENATE(Programme!D2008,Programme!E2008,Programme!F2008,Programme!G2008,Programme!H2008,Programme!I2008,Programme!J2008)</f>
        <v>&lt;codeEdi&gt;11183&lt;/codeEdi&gt;</v>
      </c>
    </row>
    <row r="2008" spans="1:1" x14ac:dyDescent="0.2">
      <c r="A2008" s="996" t="str">
        <f>CONCATENATE(Programme!D2009,Programme!E2009,Programme!F2009,Programme!G2009,Programme!H2009,Programme!I2009,Programme!J2009)</f>
        <v>&lt;/cellule&gt;</v>
      </c>
    </row>
    <row r="2009" spans="1:1" x14ac:dyDescent="0.2">
      <c r="A2009" s="996" t="str">
        <f>CONCATENATE(Programme!D2010,Programme!E2010,Programme!F2010,Programme!G2010,Programme!H2010,Programme!I2010,Programme!J2010)</f>
        <v>&lt;valeur&gt;0&lt;/valeur&gt;</v>
      </c>
    </row>
    <row r="2010" spans="1:1" x14ac:dyDescent="0.2">
      <c r="A2010" s="996" t="str">
        <f>CONCATENATE(Programme!D2011,Programme!E2011,Programme!F2011,Programme!G2011,Programme!H2011,Programme!I2011,Programme!J2011)</f>
        <v>&lt;/ValeurCellule&gt;</v>
      </c>
    </row>
    <row r="2011" spans="1:1" x14ac:dyDescent="0.2">
      <c r="A2011" s="996" t="str">
        <f>CONCATENATE(Programme!D2012,Programme!E2012,Programme!F2012,Programme!G2012,Programme!H2012,Programme!I2012,Programme!J2012)</f>
        <v>&lt;ValeurCellule&gt;</v>
      </c>
    </row>
    <row r="2012" spans="1:1" x14ac:dyDescent="0.2">
      <c r="A2012" s="996" t="str">
        <f>CONCATENATE(Programme!D2013,Programme!E2013,Programme!F2013,Programme!G2013,Programme!H2013,Programme!I2013,Programme!J2013)</f>
        <v>&lt;cellule&gt;</v>
      </c>
    </row>
    <row r="2013" spans="1:1" x14ac:dyDescent="0.2">
      <c r="A2013" s="996" t="str">
        <f>CONCATENATE(Programme!D2014,Programme!E2014,Programme!F2014,Programme!G2014,Programme!H2014,Programme!I2014,Programme!J2014)</f>
        <v>&lt;codeEdi&gt;11188&lt;/codeEdi&gt;</v>
      </c>
    </row>
    <row r="2014" spans="1:1" x14ac:dyDescent="0.2">
      <c r="A2014" s="996" t="str">
        <f>CONCATENATE(Programme!D2015,Programme!E2015,Programme!F2015,Programme!G2015,Programme!H2015,Programme!I2015,Programme!J2015)</f>
        <v>&lt;/cellule&gt;</v>
      </c>
    </row>
    <row r="2015" spans="1:1" x14ac:dyDescent="0.2">
      <c r="A2015" s="996" t="str">
        <f>CONCATENATE(Programme!D2016,Programme!E2016,Programme!F2016,Programme!G2016,Programme!H2016,Programme!I2016,Programme!J2016)</f>
        <v>&lt;valeur&gt;0&lt;/valeur&gt;</v>
      </c>
    </row>
    <row r="2016" spans="1:1" x14ac:dyDescent="0.2">
      <c r="A2016" s="996" t="str">
        <f>CONCATENATE(Programme!D2017,Programme!E2017,Programme!F2017,Programme!G2017,Programme!H2017,Programme!I2017,Programme!J2017)</f>
        <v>&lt;/ValeurCellule&gt;</v>
      </c>
    </row>
    <row r="2017" spans="1:1" x14ac:dyDescent="0.2">
      <c r="A2017" s="996" t="str">
        <f>CONCATENATE(Programme!D2018,Programme!E2018,Programme!F2018,Programme!G2018,Programme!H2018,Programme!I2018,Programme!J2018)</f>
        <v>&lt;ValeurCellule&gt;</v>
      </c>
    </row>
    <row r="2018" spans="1:1" x14ac:dyDescent="0.2">
      <c r="A2018" s="996" t="str">
        <f>CONCATENATE(Programme!D2019,Programme!E2019,Programme!F2019,Programme!G2019,Programme!H2019,Programme!I2019,Programme!J2019)</f>
        <v>&lt;cellule&gt;</v>
      </c>
    </row>
    <row r="2019" spans="1:1" x14ac:dyDescent="0.2">
      <c r="A2019" s="996" t="str">
        <f>CONCATENATE(Programme!D2020,Programme!E2020,Programme!F2020,Programme!G2020,Programme!H2020,Programme!I2020,Programme!J2020)</f>
        <v>&lt;codeEdi&gt;11193&lt;/codeEdi&gt;</v>
      </c>
    </row>
    <row r="2020" spans="1:1" x14ac:dyDescent="0.2">
      <c r="A2020" s="996" t="str">
        <f>CONCATENATE(Programme!D2021,Programme!E2021,Programme!F2021,Programme!G2021,Programme!H2021,Programme!I2021,Programme!J2021)</f>
        <v>&lt;/cellule&gt;</v>
      </c>
    </row>
    <row r="2021" spans="1:1" x14ac:dyDescent="0.2">
      <c r="A2021" s="996" t="str">
        <f>CONCATENATE(Programme!D2022,Programme!E2022,Programme!F2022,Programme!G2022,Programme!H2022,Programme!I2022,Programme!J2022)</f>
        <v>&lt;valeur&gt;0&lt;/valeur&gt;</v>
      </c>
    </row>
    <row r="2022" spans="1:1" x14ac:dyDescent="0.2">
      <c r="A2022" s="996" t="str">
        <f>CONCATENATE(Programme!D2023,Programme!E2023,Programme!F2023,Programme!G2023,Programme!H2023,Programme!I2023,Programme!J2023)</f>
        <v>&lt;/ValeurCellule&gt;</v>
      </c>
    </row>
    <row r="2023" spans="1:1" x14ac:dyDescent="0.2">
      <c r="A2023" s="996" t="str">
        <f>CONCATENATE(Programme!D2024,Programme!E2024,Programme!F2024,Programme!G2024,Programme!H2024,Programme!I2024,Programme!J2024)</f>
        <v>&lt;ValeurCellule&gt;</v>
      </c>
    </row>
    <row r="2024" spans="1:1" x14ac:dyDescent="0.2">
      <c r="A2024" s="996" t="str">
        <f>CONCATENATE(Programme!D2025,Programme!E2025,Programme!F2025,Programme!G2025,Programme!H2025,Programme!I2025,Programme!J2025)</f>
        <v>&lt;cellule&gt;</v>
      </c>
    </row>
    <row r="2025" spans="1:1" x14ac:dyDescent="0.2">
      <c r="A2025" s="996" t="str">
        <f>CONCATENATE(Programme!D2026,Programme!E2026,Programme!F2026,Programme!G2026,Programme!H2026,Programme!I2026,Programme!J2026)</f>
        <v>&lt;codeEdi&gt;11198&lt;/codeEdi&gt;</v>
      </c>
    </row>
    <row r="2026" spans="1:1" x14ac:dyDescent="0.2">
      <c r="A2026" s="996" t="str">
        <f>CONCATENATE(Programme!D2027,Programme!E2027,Programme!F2027,Programme!G2027,Programme!H2027,Programme!I2027,Programme!J2027)</f>
        <v>&lt;/cellule&gt;</v>
      </c>
    </row>
    <row r="2027" spans="1:1" x14ac:dyDescent="0.2">
      <c r="A2027" s="996" t="str">
        <f>CONCATENATE(Programme!D2028,Programme!E2028,Programme!F2028,Programme!G2028,Programme!H2028,Programme!I2028,Programme!J2028)</f>
        <v>&lt;valeur&gt;0&lt;/valeur&gt;</v>
      </c>
    </row>
    <row r="2028" spans="1:1" x14ac:dyDescent="0.2">
      <c r="A2028" s="996" t="str">
        <f>CONCATENATE(Programme!D2029,Programme!E2029,Programme!F2029,Programme!G2029,Programme!H2029,Programme!I2029,Programme!J2029)</f>
        <v>&lt;/ValeurCellule&gt;</v>
      </c>
    </row>
    <row r="2029" spans="1:1" x14ac:dyDescent="0.2">
      <c r="A2029" s="996" t="str">
        <f>CONCATENATE(Programme!D2030,Programme!E2030,Programme!F2030,Programme!G2030,Programme!H2030,Programme!I2030,Programme!J2030)</f>
        <v>&lt;ValeurCellule&gt;</v>
      </c>
    </row>
    <row r="2030" spans="1:1" x14ac:dyDescent="0.2">
      <c r="A2030" s="996" t="str">
        <f>CONCATENATE(Programme!D2031,Programme!E2031,Programme!F2031,Programme!G2031,Programme!H2031,Programme!I2031,Programme!J2031)</f>
        <v>&lt;cellule&gt;</v>
      </c>
    </row>
    <row r="2031" spans="1:1" x14ac:dyDescent="0.2">
      <c r="A2031" s="996" t="str">
        <f>CONCATENATE(Programme!D2032,Programme!E2032,Programme!F2032,Programme!G2032,Programme!H2032,Programme!I2032,Programme!J2032)</f>
        <v>&lt;codeEdi&gt;11268&lt;/codeEdi&gt;</v>
      </c>
    </row>
    <row r="2032" spans="1:1" x14ac:dyDescent="0.2">
      <c r="A2032" s="996" t="str">
        <f>CONCATENATE(Programme!D2033,Programme!E2033,Programme!F2033,Programme!G2033,Programme!H2033,Programme!I2033,Programme!J2033)</f>
        <v>&lt;/cellule&gt;</v>
      </c>
    </row>
    <row r="2033" spans="1:1" x14ac:dyDescent="0.2">
      <c r="A2033" s="996" t="str">
        <f>CONCATENATE(Programme!D2034,Programme!E2034,Programme!F2034,Programme!G2034,Programme!H2034,Programme!I2034,Programme!J2034)</f>
        <v>&lt;valeur&gt;0&lt;/valeur&gt;</v>
      </c>
    </row>
    <row r="2034" spans="1:1" x14ac:dyDescent="0.2">
      <c r="A2034" s="996" t="str">
        <f>CONCATENATE(Programme!D2035,Programme!E2035,Programme!F2035,Programme!G2035,Programme!H2035,Programme!I2035,Programme!J2035)</f>
        <v>&lt;/ValeurCellule&gt;</v>
      </c>
    </row>
    <row r="2035" spans="1:1" x14ac:dyDescent="0.2">
      <c r="A2035" s="996" t="str">
        <f>CONCATENATE(Programme!D2036,Programme!E2036,Programme!F2036,Programme!G2036,Programme!H2036,Programme!I2036,Programme!J2036)</f>
        <v>&lt;ValeurCellule&gt;</v>
      </c>
    </row>
    <row r="2036" spans="1:1" x14ac:dyDescent="0.2">
      <c r="A2036" s="996" t="str">
        <f>CONCATENATE(Programme!D2037,Programme!E2037,Programme!F2037,Programme!G2037,Programme!H2037,Programme!I2037,Programme!J2037)</f>
        <v>&lt;cellule&gt;</v>
      </c>
    </row>
    <row r="2037" spans="1:1" x14ac:dyDescent="0.2">
      <c r="A2037" s="996" t="str">
        <f>CONCATENATE(Programme!D2038,Programme!E2038,Programme!F2038,Programme!G2038,Programme!H2038,Programme!I2038,Programme!J2038)</f>
        <v>&lt;codeEdi&gt;11238&lt;/codeEdi&gt;</v>
      </c>
    </row>
    <row r="2038" spans="1:1" x14ac:dyDescent="0.2">
      <c r="A2038" s="996" t="str">
        <f>CONCATENATE(Programme!D2039,Programme!E2039,Programme!F2039,Programme!G2039,Programme!H2039,Programme!I2039,Programme!J2039)</f>
        <v>&lt;/cellule&gt;</v>
      </c>
    </row>
    <row r="2039" spans="1:1" x14ac:dyDescent="0.2">
      <c r="A2039" s="996" t="str">
        <f>CONCATENATE(Programme!D2040,Programme!E2040,Programme!F2040,Programme!G2040,Programme!H2040,Programme!I2040,Programme!J2040)</f>
        <v>&lt;valeur&gt;0&lt;/valeur&gt;</v>
      </c>
    </row>
    <row r="2040" spans="1:1" x14ac:dyDescent="0.2">
      <c r="A2040" s="996" t="str">
        <f>CONCATENATE(Programme!D2041,Programme!E2041,Programme!F2041,Programme!G2041,Programme!H2041,Programme!I2041,Programme!J2041)</f>
        <v>&lt;/ValeurCellule&gt;</v>
      </c>
    </row>
    <row r="2041" spans="1:1" x14ac:dyDescent="0.2">
      <c r="A2041" s="996" t="str">
        <f>CONCATENATE(Programme!D2042,Programme!E2042,Programme!F2042,Programme!G2042,Programme!H2042,Programme!I2042,Programme!J2042)</f>
        <v>&lt;ValeurCellule&gt;</v>
      </c>
    </row>
    <row r="2042" spans="1:1" x14ac:dyDescent="0.2">
      <c r="A2042" s="996" t="str">
        <f>CONCATENATE(Programme!D2043,Programme!E2043,Programme!F2043,Programme!G2043,Programme!H2043,Programme!I2043,Programme!J2043)</f>
        <v>&lt;cellule&gt;</v>
      </c>
    </row>
    <row r="2043" spans="1:1" x14ac:dyDescent="0.2">
      <c r="A2043" s="996" t="str">
        <f>CONCATENATE(Programme!D2044,Programme!E2044,Programme!F2044,Programme!G2044,Programme!H2044,Programme!I2044,Programme!J2044)</f>
        <v>&lt;codeEdi&gt;11243&lt;/codeEdi&gt;</v>
      </c>
    </row>
    <row r="2044" spans="1:1" x14ac:dyDescent="0.2">
      <c r="A2044" s="996" t="str">
        <f>CONCATENATE(Programme!D2045,Programme!E2045,Programme!F2045,Programme!G2045,Programme!H2045,Programme!I2045,Programme!J2045)</f>
        <v>&lt;/cellule&gt;</v>
      </c>
    </row>
    <row r="2045" spans="1:1" x14ac:dyDescent="0.2">
      <c r="A2045" s="996" t="str">
        <f>CONCATENATE(Programme!D2046,Programme!E2046,Programme!F2046,Programme!G2046,Programme!H2046,Programme!I2046,Programme!J2046)</f>
        <v>&lt;valeur&gt;0&lt;/valeur&gt;</v>
      </c>
    </row>
    <row r="2046" spans="1:1" x14ac:dyDescent="0.2">
      <c r="A2046" s="996" t="str">
        <f>CONCATENATE(Programme!D2047,Programme!E2047,Programme!F2047,Programme!G2047,Programme!H2047,Programme!I2047,Programme!J2047)</f>
        <v>&lt;/ValeurCellule&gt;</v>
      </c>
    </row>
    <row r="2047" spans="1:1" x14ac:dyDescent="0.2">
      <c r="A2047" s="996" t="str">
        <f>CONCATENATE(Programme!D2048,Programme!E2048,Programme!F2048,Programme!G2048,Programme!H2048,Programme!I2048,Programme!J2048)</f>
        <v>&lt;ValeurCellule&gt;</v>
      </c>
    </row>
    <row r="2048" spans="1:1" x14ac:dyDescent="0.2">
      <c r="A2048" s="996" t="str">
        <f>CONCATENATE(Programme!D2049,Programme!E2049,Programme!F2049,Programme!G2049,Programme!H2049,Programme!I2049,Programme!J2049)</f>
        <v>&lt;cellule&gt;</v>
      </c>
    </row>
    <row r="2049" spans="1:1" x14ac:dyDescent="0.2">
      <c r="A2049" s="996" t="str">
        <f>CONCATENATE(Programme!D2050,Programme!E2050,Programme!F2050,Programme!G2050,Programme!H2050,Programme!I2050,Programme!J2050)</f>
        <v>&lt;codeEdi&gt;11248&lt;/codeEdi&gt;</v>
      </c>
    </row>
    <row r="2050" spans="1:1" x14ac:dyDescent="0.2">
      <c r="A2050" s="996" t="str">
        <f>CONCATENATE(Programme!D2051,Programme!E2051,Programme!F2051,Programme!G2051,Programme!H2051,Programme!I2051,Programme!J2051)</f>
        <v>&lt;/cellule&gt;</v>
      </c>
    </row>
    <row r="2051" spans="1:1" x14ac:dyDescent="0.2">
      <c r="A2051" s="996" t="str">
        <f>CONCATENATE(Programme!D2052,Programme!E2052,Programme!F2052,Programme!G2052,Programme!H2052,Programme!I2052,Programme!J2052)</f>
        <v>&lt;valeur&gt;0&lt;/valeur&gt;</v>
      </c>
    </row>
    <row r="2052" spans="1:1" x14ac:dyDescent="0.2">
      <c r="A2052" s="996" t="str">
        <f>CONCATENATE(Programme!D2053,Programme!E2053,Programme!F2053,Programme!G2053,Programme!H2053,Programme!I2053,Programme!J2053)</f>
        <v>&lt;/ValeurCellule&gt;</v>
      </c>
    </row>
    <row r="2053" spans="1:1" x14ac:dyDescent="0.2">
      <c r="A2053" s="996" t="str">
        <f>CONCATENATE(Programme!D2054,Programme!E2054,Programme!F2054,Programme!G2054,Programme!H2054,Programme!I2054,Programme!J2054)</f>
        <v>&lt;ValeurCellule&gt;</v>
      </c>
    </row>
    <row r="2054" spans="1:1" x14ac:dyDescent="0.2">
      <c r="A2054" s="996" t="str">
        <f>CONCATENATE(Programme!D2055,Programme!E2055,Programme!F2055,Programme!G2055,Programme!H2055,Programme!I2055,Programme!J2055)</f>
        <v>&lt;cellule&gt;</v>
      </c>
    </row>
    <row r="2055" spans="1:1" x14ac:dyDescent="0.2">
      <c r="A2055" s="996" t="str">
        <f>CONCATENATE(Programme!D2056,Programme!E2056,Programme!F2056,Programme!G2056,Programme!H2056,Programme!I2056,Programme!J2056)</f>
        <v>&lt;codeEdi&gt;11253&lt;/codeEdi&gt;</v>
      </c>
    </row>
    <row r="2056" spans="1:1" x14ac:dyDescent="0.2">
      <c r="A2056" s="996" t="str">
        <f>CONCATENATE(Programme!D2057,Programme!E2057,Programme!F2057,Programme!G2057,Programme!H2057,Programme!I2057,Programme!J2057)</f>
        <v>&lt;/cellule&gt;</v>
      </c>
    </row>
    <row r="2057" spans="1:1" x14ac:dyDescent="0.2">
      <c r="A2057" s="996" t="str">
        <f>CONCATENATE(Programme!D2058,Programme!E2058,Programme!F2058,Programme!G2058,Programme!H2058,Programme!I2058,Programme!J2058)</f>
        <v>&lt;valeur&gt;0&lt;/valeur&gt;</v>
      </c>
    </row>
    <row r="2058" spans="1:1" x14ac:dyDescent="0.2">
      <c r="A2058" s="996" t="str">
        <f>CONCATENATE(Programme!D2059,Programme!E2059,Programme!F2059,Programme!G2059,Programme!H2059,Programme!I2059,Programme!J2059)</f>
        <v>&lt;/ValeurCellule&gt;</v>
      </c>
    </row>
    <row r="2059" spans="1:1" x14ac:dyDescent="0.2">
      <c r="A2059" s="996" t="str">
        <f>CONCATENATE(Programme!D2060,Programme!E2060,Programme!F2060,Programme!G2060,Programme!H2060,Programme!I2060,Programme!J2060)</f>
        <v>&lt;ValeurCellule&gt;</v>
      </c>
    </row>
    <row r="2060" spans="1:1" x14ac:dyDescent="0.2">
      <c r="A2060" s="996" t="str">
        <f>CONCATENATE(Programme!D2061,Programme!E2061,Programme!F2061,Programme!G2061,Programme!H2061,Programme!I2061,Programme!J2061)</f>
        <v>&lt;cellule&gt;</v>
      </c>
    </row>
    <row r="2061" spans="1:1" x14ac:dyDescent="0.2">
      <c r="A2061" s="996" t="str">
        <f>CONCATENATE(Programme!D2062,Programme!E2062,Programme!F2062,Programme!G2062,Programme!H2062,Programme!I2062,Programme!J2062)</f>
        <v>&lt;codeEdi&gt;11258&lt;/codeEdi&gt;</v>
      </c>
    </row>
    <row r="2062" spans="1:1" x14ac:dyDescent="0.2">
      <c r="A2062" s="996" t="str">
        <f>CONCATENATE(Programme!D2063,Programme!E2063,Programme!F2063,Programme!G2063,Programme!H2063,Programme!I2063,Programme!J2063)</f>
        <v>&lt;/cellule&gt;</v>
      </c>
    </row>
    <row r="2063" spans="1:1" x14ac:dyDescent="0.2">
      <c r="A2063" s="996" t="str">
        <f>CONCATENATE(Programme!D2064,Programme!E2064,Programme!F2064,Programme!G2064,Programme!H2064,Programme!I2064,Programme!J2064)</f>
        <v>&lt;valeur&gt;0&lt;/valeur&gt;</v>
      </c>
    </row>
    <row r="2064" spans="1:1" x14ac:dyDescent="0.2">
      <c r="A2064" s="996" t="str">
        <f>CONCATENATE(Programme!D2065,Programme!E2065,Programme!F2065,Programme!G2065,Programme!H2065,Programme!I2065,Programme!J2065)</f>
        <v>&lt;/ValeurCellule&gt;</v>
      </c>
    </row>
    <row r="2065" spans="1:1" x14ac:dyDescent="0.2">
      <c r="A2065" s="996" t="str">
        <f>CONCATENATE(Programme!D2066,Programme!E2066,Programme!F2066,Programme!G2066,Programme!H2066,Programme!I2066,Programme!J2066)</f>
        <v>&lt;ValeurCellule&gt;</v>
      </c>
    </row>
    <row r="2066" spans="1:1" x14ac:dyDescent="0.2">
      <c r="A2066" s="996" t="str">
        <f>CONCATENATE(Programme!D2067,Programme!E2067,Programme!F2067,Programme!G2067,Programme!H2067,Programme!I2067,Programme!J2067)</f>
        <v>&lt;cellule&gt;</v>
      </c>
    </row>
    <row r="2067" spans="1:1" x14ac:dyDescent="0.2">
      <c r="A2067" s="996" t="str">
        <f>CONCATENATE(Programme!D2068,Programme!E2068,Programme!F2068,Programme!G2068,Programme!H2068,Programme!I2068,Programme!J2068)</f>
        <v>&lt;codeEdi&gt;11263&lt;/codeEdi&gt;</v>
      </c>
    </row>
    <row r="2068" spans="1:1" x14ac:dyDescent="0.2">
      <c r="A2068" s="996" t="str">
        <f>CONCATENATE(Programme!D2069,Programme!E2069,Programme!F2069,Programme!G2069,Programme!H2069,Programme!I2069,Programme!J2069)</f>
        <v>&lt;/cellule&gt;</v>
      </c>
    </row>
    <row r="2069" spans="1:1" x14ac:dyDescent="0.2">
      <c r="A2069" s="996" t="str">
        <f>CONCATENATE(Programme!D2070,Programme!E2070,Programme!F2070,Programme!G2070,Programme!H2070,Programme!I2070,Programme!J2070)</f>
        <v>&lt;valeur&gt;0&lt;/valeur&gt;</v>
      </c>
    </row>
    <row r="2070" spans="1:1" x14ac:dyDescent="0.2">
      <c r="A2070" s="996" t="str">
        <f>CONCATENATE(Programme!D2071,Programme!E2071,Programme!F2071,Programme!G2071,Programme!H2071,Programme!I2071,Programme!J2071)</f>
        <v>&lt;/ValeurCellule&gt;</v>
      </c>
    </row>
    <row r="2071" spans="1:1" x14ac:dyDescent="0.2">
      <c r="A2071" s="996" t="str">
        <f>CONCATENATE(Programme!D2072,Programme!E2072,Programme!F2072,Programme!G2072,Programme!H2072,Programme!I2072,Programme!J2072)</f>
        <v>&lt;ValeurCellule&gt;</v>
      </c>
    </row>
    <row r="2072" spans="1:1" x14ac:dyDescent="0.2">
      <c r="A2072" s="996" t="str">
        <f>CONCATENATE(Programme!D2073,Programme!E2073,Programme!F2073,Programme!G2073,Programme!H2073,Programme!I2073,Programme!J2073)</f>
        <v>&lt;cellule&gt;</v>
      </c>
    </row>
    <row r="2073" spans="1:1" x14ac:dyDescent="0.2">
      <c r="A2073" s="996" t="str">
        <f>CONCATENATE(Programme!D2074,Programme!E2074,Programme!F2074,Programme!G2074,Programme!H2074,Programme!I2074,Programme!J2074)</f>
        <v>&lt;codeEdi&gt;11204&lt;/codeEdi&gt;</v>
      </c>
    </row>
    <row r="2074" spans="1:1" x14ac:dyDescent="0.2">
      <c r="A2074" s="996" t="str">
        <f>CONCATENATE(Programme!D2075,Programme!E2075,Programme!F2075,Programme!G2075,Programme!H2075,Programme!I2075,Programme!J2075)</f>
        <v>&lt;/cellule&gt;</v>
      </c>
    </row>
    <row r="2075" spans="1:1" x14ac:dyDescent="0.2">
      <c r="A2075" s="996" t="str">
        <f>CONCATENATE(Programme!D2076,Programme!E2076,Programme!F2076,Programme!G2076,Programme!H2076,Programme!I2076,Programme!J2076)</f>
        <v>&lt;valeur&gt;0&lt;/valeur&gt;</v>
      </c>
    </row>
    <row r="2076" spans="1:1" x14ac:dyDescent="0.2">
      <c r="A2076" s="996" t="str">
        <f>CONCATENATE(Programme!D2077,Programme!E2077,Programme!F2077,Programme!G2077,Programme!H2077,Programme!I2077,Programme!J2077)</f>
        <v>&lt;/ValeurCellule&gt;</v>
      </c>
    </row>
    <row r="2077" spans="1:1" x14ac:dyDescent="0.2">
      <c r="A2077" s="996" t="str">
        <f>CONCATENATE(Programme!D2078,Programme!E2078,Programme!F2078,Programme!G2078,Programme!H2078,Programme!I2078,Programme!J2078)</f>
        <v>&lt;ValeurCellule&gt;</v>
      </c>
    </row>
    <row r="2078" spans="1:1" x14ac:dyDescent="0.2">
      <c r="A2078" s="996" t="str">
        <f>CONCATENATE(Programme!D2079,Programme!E2079,Programme!F2079,Programme!G2079,Programme!H2079,Programme!I2079,Programme!J2079)</f>
        <v>&lt;cellule&gt;</v>
      </c>
    </row>
    <row r="2079" spans="1:1" x14ac:dyDescent="0.2">
      <c r="A2079" s="996" t="str">
        <f>CONCATENATE(Programme!D2080,Programme!E2080,Programme!F2080,Programme!G2080,Programme!H2080,Programme!I2080,Programme!J2080)</f>
        <v>&lt;codeEdi&gt;11209&lt;/codeEdi&gt;</v>
      </c>
    </row>
    <row r="2080" spans="1:1" x14ac:dyDescent="0.2">
      <c r="A2080" s="996" t="str">
        <f>CONCATENATE(Programme!D2081,Programme!E2081,Programme!F2081,Programme!G2081,Programme!H2081,Programme!I2081,Programme!J2081)</f>
        <v>&lt;/cellule&gt;</v>
      </c>
    </row>
    <row r="2081" spans="1:1" x14ac:dyDescent="0.2">
      <c r="A2081" s="996" t="str">
        <f>CONCATENATE(Programme!D2082,Programme!E2082,Programme!F2082,Programme!G2082,Programme!H2082,Programme!I2082,Programme!J2082)</f>
        <v>&lt;valeur&gt;0&lt;/valeur&gt;</v>
      </c>
    </row>
    <row r="2082" spans="1:1" x14ac:dyDescent="0.2">
      <c r="A2082" s="996" t="str">
        <f>CONCATENATE(Programme!D2083,Programme!E2083,Programme!F2083,Programme!G2083,Programme!H2083,Programme!I2083,Programme!J2083)</f>
        <v>&lt;/ValeurCellule&gt;</v>
      </c>
    </row>
    <row r="2083" spans="1:1" x14ac:dyDescent="0.2">
      <c r="A2083" s="996" t="str">
        <f>CONCATENATE(Programme!D2084,Programme!E2084,Programme!F2084,Programme!G2084,Programme!H2084,Programme!I2084,Programme!J2084)</f>
        <v>&lt;ValeurCellule&gt;</v>
      </c>
    </row>
    <row r="2084" spans="1:1" x14ac:dyDescent="0.2">
      <c r="A2084" s="996" t="str">
        <f>CONCATENATE(Programme!D2085,Programme!E2085,Programme!F2085,Programme!G2085,Programme!H2085,Programme!I2085,Programme!J2085)</f>
        <v>&lt;cellule&gt;</v>
      </c>
    </row>
    <row r="2085" spans="1:1" x14ac:dyDescent="0.2">
      <c r="A2085" s="996" t="str">
        <f>CONCATENATE(Programme!D2086,Programme!E2086,Programme!F2086,Programme!G2086,Programme!H2086,Programme!I2086,Programme!J2086)</f>
        <v>&lt;codeEdi&gt;11214&lt;/codeEdi&gt;</v>
      </c>
    </row>
    <row r="2086" spans="1:1" x14ac:dyDescent="0.2">
      <c r="A2086" s="996" t="str">
        <f>CONCATENATE(Programme!D2087,Programme!E2087,Programme!F2087,Programme!G2087,Programme!H2087,Programme!I2087,Programme!J2087)</f>
        <v>&lt;/cellule&gt;</v>
      </c>
    </row>
    <row r="2087" spans="1:1" x14ac:dyDescent="0.2">
      <c r="A2087" s="996" t="str">
        <f>CONCATENATE(Programme!D2088,Programme!E2088,Programme!F2088,Programme!G2088,Programme!H2088,Programme!I2088,Programme!J2088)</f>
        <v>&lt;valeur&gt;0&lt;/valeur&gt;</v>
      </c>
    </row>
    <row r="2088" spans="1:1" x14ac:dyDescent="0.2">
      <c r="A2088" s="996" t="str">
        <f>CONCATENATE(Programme!D2089,Programme!E2089,Programme!F2089,Programme!G2089,Programme!H2089,Programme!I2089,Programme!J2089)</f>
        <v>&lt;/ValeurCellule&gt;</v>
      </c>
    </row>
    <row r="2089" spans="1:1" x14ac:dyDescent="0.2">
      <c r="A2089" s="996" t="str">
        <f>CONCATENATE(Programme!D2090,Programme!E2090,Programme!F2090,Programme!G2090,Programme!H2090,Programme!I2090,Programme!J2090)</f>
        <v>&lt;ValeurCellule&gt;</v>
      </c>
    </row>
    <row r="2090" spans="1:1" x14ac:dyDescent="0.2">
      <c r="A2090" s="996" t="str">
        <f>CONCATENATE(Programme!D2091,Programme!E2091,Programme!F2091,Programme!G2091,Programme!H2091,Programme!I2091,Programme!J2091)</f>
        <v>&lt;cellule&gt;</v>
      </c>
    </row>
    <row r="2091" spans="1:1" x14ac:dyDescent="0.2">
      <c r="A2091" s="996" t="str">
        <f>CONCATENATE(Programme!D2092,Programme!E2092,Programme!F2092,Programme!G2092,Programme!H2092,Programme!I2092,Programme!J2092)</f>
        <v>&lt;codeEdi&gt;11219&lt;/codeEdi&gt;</v>
      </c>
    </row>
    <row r="2092" spans="1:1" x14ac:dyDescent="0.2">
      <c r="A2092" s="996" t="str">
        <f>CONCATENATE(Programme!D2093,Programme!E2093,Programme!F2093,Programme!G2093,Programme!H2093,Programme!I2093,Programme!J2093)</f>
        <v>&lt;/cellule&gt;</v>
      </c>
    </row>
    <row r="2093" spans="1:1" x14ac:dyDescent="0.2">
      <c r="A2093" s="996" t="str">
        <f>CONCATENATE(Programme!D2094,Programme!E2094,Programme!F2094,Programme!G2094,Programme!H2094,Programme!I2094,Programme!J2094)</f>
        <v>&lt;valeur&gt;0&lt;/valeur&gt;</v>
      </c>
    </row>
    <row r="2094" spans="1:1" x14ac:dyDescent="0.2">
      <c r="A2094" s="996" t="str">
        <f>CONCATENATE(Programme!D2095,Programme!E2095,Programme!F2095,Programme!G2095,Programme!H2095,Programme!I2095,Programme!J2095)</f>
        <v>&lt;/ValeurCellule&gt;</v>
      </c>
    </row>
    <row r="2095" spans="1:1" x14ac:dyDescent="0.2">
      <c r="A2095" s="996" t="str">
        <f>CONCATENATE(Programme!D2096,Programme!E2096,Programme!F2096,Programme!G2096,Programme!H2096,Programme!I2096,Programme!J2096)</f>
        <v>&lt;ValeurCellule&gt;</v>
      </c>
    </row>
    <row r="2096" spans="1:1" x14ac:dyDescent="0.2">
      <c r="A2096" s="996" t="str">
        <f>CONCATENATE(Programme!D2097,Programme!E2097,Programme!F2097,Programme!G2097,Programme!H2097,Programme!I2097,Programme!J2097)</f>
        <v>&lt;cellule&gt;</v>
      </c>
    </row>
    <row r="2097" spans="1:1" x14ac:dyDescent="0.2">
      <c r="A2097" s="996" t="str">
        <f>CONCATENATE(Programme!D2098,Programme!E2098,Programme!F2098,Programme!G2098,Programme!H2098,Programme!I2098,Programme!J2098)</f>
        <v>&lt;codeEdi&gt;11224&lt;/codeEdi&gt;</v>
      </c>
    </row>
    <row r="2098" spans="1:1" x14ac:dyDescent="0.2">
      <c r="A2098" s="996" t="str">
        <f>CONCATENATE(Programme!D2099,Programme!E2099,Programme!F2099,Programme!G2099,Programme!H2099,Programme!I2099,Programme!J2099)</f>
        <v>&lt;/cellule&gt;</v>
      </c>
    </row>
    <row r="2099" spans="1:1" x14ac:dyDescent="0.2">
      <c r="A2099" s="996" t="str">
        <f>CONCATENATE(Programme!D2100,Programme!E2100,Programme!F2100,Programme!G2100,Programme!H2100,Programme!I2100,Programme!J2100)</f>
        <v>&lt;valeur&gt;0&lt;/valeur&gt;</v>
      </c>
    </row>
    <row r="2100" spans="1:1" x14ac:dyDescent="0.2">
      <c r="A2100" s="996" t="str">
        <f>CONCATENATE(Programme!D2101,Programme!E2101,Programme!F2101,Programme!G2101,Programme!H2101,Programme!I2101,Programme!J2101)</f>
        <v>&lt;/ValeurCellule&gt;</v>
      </c>
    </row>
    <row r="2101" spans="1:1" x14ac:dyDescent="0.2">
      <c r="A2101" s="996" t="str">
        <f>CONCATENATE(Programme!D2102,Programme!E2102,Programme!F2102,Programme!G2102,Programme!H2102,Programme!I2102,Programme!J2102)</f>
        <v>&lt;ValeurCellule&gt;</v>
      </c>
    </row>
    <row r="2102" spans="1:1" x14ac:dyDescent="0.2">
      <c r="A2102" s="996" t="str">
        <f>CONCATENATE(Programme!D2103,Programme!E2103,Programme!F2103,Programme!G2103,Programme!H2103,Programme!I2103,Programme!J2103)</f>
        <v>&lt;cellule&gt;</v>
      </c>
    </row>
    <row r="2103" spans="1:1" x14ac:dyDescent="0.2">
      <c r="A2103" s="996" t="str">
        <f>CONCATENATE(Programme!D2104,Programme!E2104,Programme!F2104,Programme!G2104,Programme!H2104,Programme!I2104,Programme!J2104)</f>
        <v>&lt;codeEdi&gt;11229&lt;/codeEdi&gt;</v>
      </c>
    </row>
    <row r="2104" spans="1:1" x14ac:dyDescent="0.2">
      <c r="A2104" s="996" t="str">
        <f>CONCATENATE(Programme!D2105,Programme!E2105,Programme!F2105,Programme!G2105,Programme!H2105,Programme!I2105,Programme!J2105)</f>
        <v>&lt;/cellule&gt;</v>
      </c>
    </row>
    <row r="2105" spans="1:1" x14ac:dyDescent="0.2">
      <c r="A2105" s="996" t="str">
        <f>CONCATENATE(Programme!D2106,Programme!E2106,Programme!F2106,Programme!G2106,Programme!H2106,Programme!I2106,Programme!J2106)</f>
        <v>&lt;valeur&gt;0&lt;/valeur&gt;</v>
      </c>
    </row>
    <row r="2106" spans="1:1" x14ac:dyDescent="0.2">
      <c r="A2106" s="996" t="str">
        <f>CONCATENATE(Programme!D2107,Programme!E2107,Programme!F2107,Programme!G2107,Programme!H2107,Programme!I2107,Programme!J2107)</f>
        <v>&lt;/ValeurCellule&gt;</v>
      </c>
    </row>
    <row r="2107" spans="1:1" x14ac:dyDescent="0.2">
      <c r="A2107" s="996" t="str">
        <f>CONCATENATE(Programme!D2108,Programme!E2108,Programme!F2108,Programme!G2108,Programme!H2108,Programme!I2108,Programme!J2108)</f>
        <v>&lt;ValeurCellule&gt;</v>
      </c>
    </row>
    <row r="2108" spans="1:1" x14ac:dyDescent="0.2">
      <c r="A2108" s="996" t="str">
        <f>CONCATENATE(Programme!D2109,Programme!E2109,Programme!F2109,Programme!G2109,Programme!H2109,Programme!I2109,Programme!J2109)</f>
        <v>&lt;cellule&gt;</v>
      </c>
    </row>
    <row r="2109" spans="1:1" x14ac:dyDescent="0.2">
      <c r="A2109" s="996" t="str">
        <f>CONCATENATE(Programme!D2110,Programme!E2110,Programme!F2110,Programme!G2110,Programme!H2110,Programme!I2110,Programme!J2110)</f>
        <v>&lt;codeEdi&gt;11234&lt;/codeEdi&gt;</v>
      </c>
    </row>
    <row r="2110" spans="1:1" x14ac:dyDescent="0.2">
      <c r="A2110" s="996" t="str">
        <f>CONCATENATE(Programme!D2111,Programme!E2111,Programme!F2111,Programme!G2111,Programme!H2111,Programme!I2111,Programme!J2111)</f>
        <v>&lt;/cellule&gt;</v>
      </c>
    </row>
    <row r="2111" spans="1:1" x14ac:dyDescent="0.2">
      <c r="A2111" s="996" t="str">
        <f>CONCATENATE(Programme!D2112,Programme!E2112,Programme!F2112,Programme!G2112,Programme!H2112,Programme!I2112,Programme!J2112)</f>
        <v>&lt;valeur&gt;0&lt;/valeur&gt;</v>
      </c>
    </row>
    <row r="2112" spans="1:1" x14ac:dyDescent="0.2">
      <c r="A2112" s="996" t="str">
        <f>CONCATENATE(Programme!D2113,Programme!E2113,Programme!F2113,Programme!G2113,Programme!H2113,Programme!I2113,Programme!J2113)</f>
        <v>&lt;/ValeurCellule&gt;</v>
      </c>
    </row>
    <row r="2113" spans="1:1" x14ac:dyDescent="0.2">
      <c r="A2113" s="996" t="str">
        <f>CONCATENATE(Programme!D2114,Programme!E2114,Programme!F2114,Programme!G2114,Programme!H2114,Programme!I2114,Programme!J2114)</f>
        <v>&lt;ValeurCellule&gt;</v>
      </c>
    </row>
    <row r="2114" spans="1:1" x14ac:dyDescent="0.2">
      <c r="A2114" s="996" t="str">
        <f>CONCATENATE(Programme!D2115,Programme!E2115,Programme!F2115,Programme!G2115,Programme!H2115,Programme!I2115,Programme!J2115)</f>
        <v>&lt;cellule&gt;</v>
      </c>
    </row>
    <row r="2115" spans="1:1" x14ac:dyDescent="0.2">
      <c r="A2115" s="996" t="str">
        <f>CONCATENATE(Programme!D2116,Programme!E2116,Programme!F2116,Programme!G2116,Programme!H2116,Programme!I2116,Programme!J2116)</f>
        <v>&lt;codeEdi&gt;11179&lt;/codeEdi&gt;</v>
      </c>
    </row>
    <row r="2116" spans="1:1" x14ac:dyDescent="0.2">
      <c r="A2116" s="996" t="str">
        <f>CONCATENATE(Programme!D2117,Programme!E2117,Programme!F2117,Programme!G2117,Programme!H2117,Programme!I2117,Programme!J2117)</f>
        <v>&lt;/cellule&gt;</v>
      </c>
    </row>
    <row r="2117" spans="1:1" x14ac:dyDescent="0.2">
      <c r="A2117" s="996" t="str">
        <f>CONCATENATE(Programme!D2118,Programme!E2118,Programme!F2118,Programme!G2118,Programme!H2118,Programme!I2118,Programme!J2118)</f>
        <v>&lt;valeur&gt;0&lt;/valeur&gt;</v>
      </c>
    </row>
    <row r="2118" spans="1:1" x14ac:dyDescent="0.2">
      <c r="A2118" s="996" t="str">
        <f>CONCATENATE(Programme!D2119,Programme!E2119,Programme!F2119,Programme!G2119,Programme!H2119,Programme!I2119,Programme!J2119)</f>
        <v>&lt;/ValeurCellule&gt;</v>
      </c>
    </row>
    <row r="2119" spans="1:1" x14ac:dyDescent="0.2">
      <c r="A2119" s="996" t="str">
        <f>CONCATENATE(Programme!D2120,Programme!E2120,Programme!F2120,Programme!G2120,Programme!H2120,Programme!I2120,Programme!J2120)</f>
        <v>&lt;ValeurCellule&gt;</v>
      </c>
    </row>
    <row r="2120" spans="1:1" x14ac:dyDescent="0.2">
      <c r="A2120" s="996" t="str">
        <f>CONCATENATE(Programme!D2121,Programme!E2121,Programme!F2121,Programme!G2121,Programme!H2121,Programme!I2121,Programme!J2121)</f>
        <v>&lt;cellule&gt;</v>
      </c>
    </row>
    <row r="2121" spans="1:1" x14ac:dyDescent="0.2">
      <c r="A2121" s="996" t="str">
        <f>CONCATENATE(Programme!D2122,Programme!E2122,Programme!F2122,Programme!G2122,Programme!H2122,Programme!I2122,Programme!J2122)</f>
        <v>&lt;codeEdi&gt;11184&lt;/codeEdi&gt;</v>
      </c>
    </row>
    <row r="2122" spans="1:1" x14ac:dyDescent="0.2">
      <c r="A2122" s="996" t="str">
        <f>CONCATENATE(Programme!D2123,Programme!E2123,Programme!F2123,Programme!G2123,Programme!H2123,Programme!I2123,Programme!J2123)</f>
        <v>&lt;/cellule&gt;</v>
      </c>
    </row>
    <row r="2123" spans="1:1" x14ac:dyDescent="0.2">
      <c r="A2123" s="996" t="str">
        <f>CONCATENATE(Programme!D2124,Programme!E2124,Programme!F2124,Programme!G2124,Programme!H2124,Programme!I2124,Programme!J2124)</f>
        <v>&lt;valeur&gt;0&lt;/valeur&gt;</v>
      </c>
    </row>
    <row r="2124" spans="1:1" x14ac:dyDescent="0.2">
      <c r="A2124" s="996" t="str">
        <f>CONCATENATE(Programme!D2125,Programme!E2125,Programme!F2125,Programme!G2125,Programme!H2125,Programme!I2125,Programme!J2125)</f>
        <v>&lt;/ValeurCellule&gt;</v>
      </c>
    </row>
    <row r="2125" spans="1:1" x14ac:dyDescent="0.2">
      <c r="A2125" s="996" t="str">
        <f>CONCATENATE(Programme!D2126,Programme!E2126,Programme!F2126,Programme!G2126,Programme!H2126,Programme!I2126,Programme!J2126)</f>
        <v>&lt;ValeurCellule&gt;</v>
      </c>
    </row>
    <row r="2126" spans="1:1" x14ac:dyDescent="0.2">
      <c r="A2126" s="996" t="str">
        <f>CONCATENATE(Programme!D2127,Programme!E2127,Programme!F2127,Programme!G2127,Programme!H2127,Programme!I2127,Programme!J2127)</f>
        <v>&lt;cellule&gt;</v>
      </c>
    </row>
    <row r="2127" spans="1:1" x14ac:dyDescent="0.2">
      <c r="A2127" s="996" t="str">
        <f>CONCATENATE(Programme!D2128,Programme!E2128,Programme!F2128,Programme!G2128,Programme!H2128,Programme!I2128,Programme!J2128)</f>
        <v>&lt;codeEdi&gt;11189&lt;/codeEdi&gt;</v>
      </c>
    </row>
    <row r="2128" spans="1:1" x14ac:dyDescent="0.2">
      <c r="A2128" s="996" t="str">
        <f>CONCATENATE(Programme!D2129,Programme!E2129,Programme!F2129,Programme!G2129,Programme!H2129,Programme!I2129,Programme!J2129)</f>
        <v>&lt;/cellule&gt;</v>
      </c>
    </row>
    <row r="2129" spans="1:1" x14ac:dyDescent="0.2">
      <c r="A2129" s="996" t="str">
        <f>CONCATENATE(Programme!D2130,Programme!E2130,Programme!F2130,Programme!G2130,Programme!H2130,Programme!I2130,Programme!J2130)</f>
        <v>&lt;valeur&gt;0&lt;/valeur&gt;</v>
      </c>
    </row>
    <row r="2130" spans="1:1" x14ac:dyDescent="0.2">
      <c r="A2130" s="996" t="str">
        <f>CONCATENATE(Programme!D2131,Programme!E2131,Programme!F2131,Programme!G2131,Programme!H2131,Programme!I2131,Programme!J2131)</f>
        <v>&lt;/ValeurCellule&gt;</v>
      </c>
    </row>
    <row r="2131" spans="1:1" x14ac:dyDescent="0.2">
      <c r="A2131" s="996" t="str">
        <f>CONCATENATE(Programme!D2132,Programme!E2132,Programme!F2132,Programme!G2132,Programme!H2132,Programme!I2132,Programme!J2132)</f>
        <v>&lt;ValeurCellule&gt;</v>
      </c>
    </row>
    <row r="2132" spans="1:1" x14ac:dyDescent="0.2">
      <c r="A2132" s="996" t="str">
        <f>CONCATENATE(Programme!D2133,Programme!E2133,Programme!F2133,Programme!G2133,Programme!H2133,Programme!I2133,Programme!J2133)</f>
        <v>&lt;cellule&gt;</v>
      </c>
    </row>
    <row r="2133" spans="1:1" x14ac:dyDescent="0.2">
      <c r="A2133" s="996" t="str">
        <f>CONCATENATE(Programme!D2134,Programme!E2134,Programme!F2134,Programme!G2134,Programme!H2134,Programme!I2134,Programme!J2134)</f>
        <v>&lt;codeEdi&gt;11194&lt;/codeEdi&gt;</v>
      </c>
    </row>
    <row r="2134" spans="1:1" x14ac:dyDescent="0.2">
      <c r="A2134" s="996" t="str">
        <f>CONCATENATE(Programme!D2135,Programme!E2135,Programme!F2135,Programme!G2135,Programme!H2135,Programme!I2135,Programme!J2135)</f>
        <v>&lt;/cellule&gt;</v>
      </c>
    </row>
    <row r="2135" spans="1:1" x14ac:dyDescent="0.2">
      <c r="A2135" s="996" t="str">
        <f>CONCATENATE(Programme!D2136,Programme!E2136,Programme!F2136,Programme!G2136,Programme!H2136,Programme!I2136,Programme!J2136)</f>
        <v>&lt;valeur&gt;0&lt;/valeur&gt;</v>
      </c>
    </row>
    <row r="2136" spans="1:1" x14ac:dyDescent="0.2">
      <c r="A2136" s="996" t="str">
        <f>CONCATENATE(Programme!D2137,Programme!E2137,Programme!F2137,Programme!G2137,Programme!H2137,Programme!I2137,Programme!J2137)</f>
        <v>&lt;/ValeurCellule&gt;</v>
      </c>
    </row>
    <row r="2137" spans="1:1" x14ac:dyDescent="0.2">
      <c r="A2137" s="996" t="str">
        <f>CONCATENATE(Programme!D2138,Programme!E2138,Programme!F2138,Programme!G2138,Programme!H2138,Programme!I2138,Programme!J2138)</f>
        <v>&lt;ValeurCellule&gt;</v>
      </c>
    </row>
    <row r="2138" spans="1:1" x14ac:dyDescent="0.2">
      <c r="A2138" s="996" t="str">
        <f>CONCATENATE(Programme!D2139,Programme!E2139,Programme!F2139,Programme!G2139,Programme!H2139,Programme!I2139,Programme!J2139)</f>
        <v>&lt;cellule&gt;</v>
      </c>
    </row>
    <row r="2139" spans="1:1" x14ac:dyDescent="0.2">
      <c r="A2139" s="996" t="str">
        <f>CONCATENATE(Programme!D2140,Programme!E2140,Programme!F2140,Programme!G2140,Programme!H2140,Programme!I2140,Programme!J2140)</f>
        <v>&lt;codeEdi&gt;11199&lt;/codeEdi&gt;</v>
      </c>
    </row>
    <row r="2140" spans="1:1" x14ac:dyDescent="0.2">
      <c r="A2140" s="996" t="str">
        <f>CONCATENATE(Programme!D2141,Programme!E2141,Programme!F2141,Programme!G2141,Programme!H2141,Programme!I2141,Programme!J2141)</f>
        <v>&lt;/cellule&gt;</v>
      </c>
    </row>
    <row r="2141" spans="1:1" x14ac:dyDescent="0.2">
      <c r="A2141" s="996" t="str">
        <f>CONCATENATE(Programme!D2142,Programme!E2142,Programme!F2142,Programme!G2142,Programme!H2142,Programme!I2142,Programme!J2142)</f>
        <v>&lt;valeur&gt;0&lt;/valeur&gt;</v>
      </c>
    </row>
    <row r="2142" spans="1:1" x14ac:dyDescent="0.2">
      <c r="A2142" s="996" t="str">
        <f>CONCATENATE(Programme!D2143,Programme!E2143,Programme!F2143,Programme!G2143,Programme!H2143,Programme!I2143,Programme!J2143)</f>
        <v>&lt;/ValeurCellule&gt;</v>
      </c>
    </row>
    <row r="2143" spans="1:1" x14ac:dyDescent="0.2">
      <c r="A2143" s="996" t="str">
        <f>CONCATENATE(Programme!D2144,Programme!E2144,Programme!F2144,Programme!G2144,Programme!H2144,Programme!I2144,Programme!J2144)</f>
        <v>&lt;ValeurCellule&gt;</v>
      </c>
    </row>
    <row r="2144" spans="1:1" x14ac:dyDescent="0.2">
      <c r="A2144" s="996" t="str">
        <f>CONCATENATE(Programme!D2145,Programme!E2145,Programme!F2145,Programme!G2145,Programme!H2145,Programme!I2145,Programme!J2145)</f>
        <v>&lt;cellule&gt;</v>
      </c>
    </row>
    <row r="2145" spans="1:1" x14ac:dyDescent="0.2">
      <c r="A2145" s="996" t="str">
        <f>CONCATENATE(Programme!D2146,Programme!E2146,Programme!F2146,Programme!G2146,Programme!H2146,Programme!I2146,Programme!J2146)</f>
        <v>&lt;codeEdi&gt;11269&lt;/codeEdi&gt;</v>
      </c>
    </row>
    <row r="2146" spans="1:1" x14ac:dyDescent="0.2">
      <c r="A2146" s="996" t="str">
        <f>CONCATENATE(Programme!D2147,Programme!E2147,Programme!F2147,Programme!G2147,Programme!H2147,Programme!I2147,Programme!J2147)</f>
        <v>&lt;/cellule&gt;</v>
      </c>
    </row>
    <row r="2147" spans="1:1" x14ac:dyDescent="0.2">
      <c r="A2147" s="996" t="str">
        <f>CONCATENATE(Programme!D2148,Programme!E2148,Programme!F2148,Programme!G2148,Programme!H2148,Programme!I2148,Programme!J2148)</f>
        <v>&lt;valeur&gt;0&lt;/valeur&gt;</v>
      </c>
    </row>
    <row r="2148" spans="1:1" x14ac:dyDescent="0.2">
      <c r="A2148" s="996" t="str">
        <f>CONCATENATE(Programme!D2149,Programme!E2149,Programme!F2149,Programme!G2149,Programme!H2149,Programme!I2149,Programme!J2149)</f>
        <v>&lt;/ValeurCellule&gt;</v>
      </c>
    </row>
    <row r="2149" spans="1:1" x14ac:dyDescent="0.2">
      <c r="A2149" s="996" t="str">
        <f>CONCATENATE(Programme!D2150,Programme!E2150,Programme!F2150,Programme!G2150,Programme!H2150,Programme!I2150,Programme!J2150)</f>
        <v>&lt;ValeurCellule&gt;</v>
      </c>
    </row>
    <row r="2150" spans="1:1" x14ac:dyDescent="0.2">
      <c r="A2150" s="996" t="str">
        <f>CONCATENATE(Programme!D2151,Programme!E2151,Programme!F2151,Programme!G2151,Programme!H2151,Programme!I2151,Programme!J2151)</f>
        <v>&lt;cellule&gt;</v>
      </c>
    </row>
    <row r="2151" spans="1:1" x14ac:dyDescent="0.2">
      <c r="A2151" s="996" t="str">
        <f>CONCATENATE(Programme!D2152,Programme!E2152,Programme!F2152,Programme!G2152,Programme!H2152,Programme!I2152,Programme!J2152)</f>
        <v>&lt;codeEdi&gt;11239&lt;/codeEdi&gt;</v>
      </c>
    </row>
    <row r="2152" spans="1:1" x14ac:dyDescent="0.2">
      <c r="A2152" s="996" t="str">
        <f>CONCATENATE(Programme!D2153,Programme!E2153,Programme!F2153,Programme!G2153,Programme!H2153,Programme!I2153,Programme!J2153)</f>
        <v>&lt;/cellule&gt;</v>
      </c>
    </row>
    <row r="2153" spans="1:1" x14ac:dyDescent="0.2">
      <c r="A2153" s="996" t="str">
        <f>CONCATENATE(Programme!D2154,Programme!E2154,Programme!F2154,Programme!G2154,Programme!H2154,Programme!I2154,Programme!J2154)</f>
        <v>&lt;valeur&gt;0&lt;/valeur&gt;</v>
      </c>
    </row>
    <row r="2154" spans="1:1" x14ac:dyDescent="0.2">
      <c r="A2154" s="996" t="str">
        <f>CONCATENATE(Programme!D2155,Programme!E2155,Programme!F2155,Programme!G2155,Programme!H2155,Programme!I2155,Programme!J2155)</f>
        <v>&lt;/ValeurCellule&gt;</v>
      </c>
    </row>
    <row r="2155" spans="1:1" x14ac:dyDescent="0.2">
      <c r="A2155" s="996" t="str">
        <f>CONCATENATE(Programme!D2156,Programme!E2156,Programme!F2156,Programme!G2156,Programme!H2156,Programme!I2156,Programme!J2156)</f>
        <v>&lt;ValeurCellule&gt;</v>
      </c>
    </row>
    <row r="2156" spans="1:1" x14ac:dyDescent="0.2">
      <c r="A2156" s="996" t="str">
        <f>CONCATENATE(Programme!D2157,Programme!E2157,Programme!F2157,Programme!G2157,Programme!H2157,Programme!I2157,Programme!J2157)</f>
        <v>&lt;cellule&gt;</v>
      </c>
    </row>
    <row r="2157" spans="1:1" x14ac:dyDescent="0.2">
      <c r="A2157" s="996" t="str">
        <f>CONCATENATE(Programme!D2158,Programme!E2158,Programme!F2158,Programme!G2158,Programme!H2158,Programme!I2158,Programme!J2158)</f>
        <v>&lt;codeEdi&gt;11244&lt;/codeEdi&gt;</v>
      </c>
    </row>
    <row r="2158" spans="1:1" x14ac:dyDescent="0.2">
      <c r="A2158" s="996" t="str">
        <f>CONCATENATE(Programme!D2159,Programme!E2159,Programme!F2159,Programme!G2159,Programme!H2159,Programme!I2159,Programme!J2159)</f>
        <v>&lt;/cellule&gt;</v>
      </c>
    </row>
    <row r="2159" spans="1:1" x14ac:dyDescent="0.2">
      <c r="A2159" s="996" t="str">
        <f>CONCATENATE(Programme!D2160,Programme!E2160,Programme!F2160,Programme!G2160,Programme!H2160,Programme!I2160,Programme!J2160)</f>
        <v>&lt;valeur&gt;0&lt;/valeur&gt;</v>
      </c>
    </row>
    <row r="2160" spans="1:1" x14ac:dyDescent="0.2">
      <c r="A2160" s="996" t="str">
        <f>CONCATENATE(Programme!D2161,Programme!E2161,Programme!F2161,Programme!G2161,Programme!H2161,Programme!I2161,Programme!J2161)</f>
        <v>&lt;/ValeurCellule&gt;</v>
      </c>
    </row>
    <row r="2161" spans="1:1" x14ac:dyDescent="0.2">
      <c r="A2161" s="996" t="str">
        <f>CONCATENATE(Programme!D2162,Programme!E2162,Programme!F2162,Programme!G2162,Programme!H2162,Programme!I2162,Programme!J2162)</f>
        <v>&lt;ValeurCellule&gt;</v>
      </c>
    </row>
    <row r="2162" spans="1:1" x14ac:dyDescent="0.2">
      <c r="A2162" s="996" t="str">
        <f>CONCATENATE(Programme!D2163,Programme!E2163,Programme!F2163,Programme!G2163,Programme!H2163,Programme!I2163,Programme!J2163)</f>
        <v>&lt;cellule&gt;</v>
      </c>
    </row>
    <row r="2163" spans="1:1" x14ac:dyDescent="0.2">
      <c r="A2163" s="996" t="str">
        <f>CONCATENATE(Programme!D2164,Programme!E2164,Programme!F2164,Programme!G2164,Programme!H2164,Programme!I2164,Programme!J2164)</f>
        <v>&lt;codeEdi&gt;11249&lt;/codeEdi&gt;</v>
      </c>
    </row>
    <row r="2164" spans="1:1" x14ac:dyDescent="0.2">
      <c r="A2164" s="996" t="str">
        <f>CONCATENATE(Programme!D2165,Programme!E2165,Programme!F2165,Programme!G2165,Programme!H2165,Programme!I2165,Programme!J2165)</f>
        <v>&lt;/cellule&gt;</v>
      </c>
    </row>
    <row r="2165" spans="1:1" x14ac:dyDescent="0.2">
      <c r="A2165" s="996" t="str">
        <f>CONCATENATE(Programme!D2166,Programme!E2166,Programme!F2166,Programme!G2166,Programme!H2166,Programme!I2166,Programme!J2166)</f>
        <v>&lt;valeur&gt;0&lt;/valeur&gt;</v>
      </c>
    </row>
    <row r="2166" spans="1:1" x14ac:dyDescent="0.2">
      <c r="A2166" s="996" t="str">
        <f>CONCATENATE(Programme!D2167,Programme!E2167,Programme!F2167,Programme!G2167,Programme!H2167,Programme!I2167,Programme!J2167)</f>
        <v>&lt;/ValeurCellule&gt;</v>
      </c>
    </row>
    <row r="2167" spans="1:1" x14ac:dyDescent="0.2">
      <c r="A2167" s="996" t="str">
        <f>CONCATENATE(Programme!D2168,Programme!E2168,Programme!F2168,Programme!G2168,Programme!H2168,Programme!I2168,Programme!J2168)</f>
        <v>&lt;ValeurCellule&gt;</v>
      </c>
    </row>
    <row r="2168" spans="1:1" x14ac:dyDescent="0.2">
      <c r="A2168" s="996" t="str">
        <f>CONCATENATE(Programme!D2169,Programme!E2169,Programme!F2169,Programme!G2169,Programme!H2169,Programme!I2169,Programme!J2169)</f>
        <v>&lt;cellule&gt;</v>
      </c>
    </row>
    <row r="2169" spans="1:1" x14ac:dyDescent="0.2">
      <c r="A2169" s="996" t="str">
        <f>CONCATENATE(Programme!D2170,Programme!E2170,Programme!F2170,Programme!G2170,Programme!H2170,Programme!I2170,Programme!J2170)</f>
        <v>&lt;codeEdi&gt;11254&lt;/codeEdi&gt;</v>
      </c>
    </row>
    <row r="2170" spans="1:1" x14ac:dyDescent="0.2">
      <c r="A2170" s="996" t="str">
        <f>CONCATENATE(Programme!D2171,Programme!E2171,Programme!F2171,Programme!G2171,Programme!H2171,Programme!I2171,Programme!J2171)</f>
        <v>&lt;/cellule&gt;</v>
      </c>
    </row>
    <row r="2171" spans="1:1" x14ac:dyDescent="0.2">
      <c r="A2171" s="996" t="str">
        <f>CONCATENATE(Programme!D2172,Programme!E2172,Programme!F2172,Programme!G2172,Programme!H2172,Programme!I2172,Programme!J2172)</f>
        <v>&lt;valeur&gt;0&lt;/valeur&gt;</v>
      </c>
    </row>
    <row r="2172" spans="1:1" x14ac:dyDescent="0.2">
      <c r="A2172" s="996" t="str">
        <f>CONCATENATE(Programme!D2173,Programme!E2173,Programme!F2173,Programme!G2173,Programme!H2173,Programme!I2173,Programme!J2173)</f>
        <v>&lt;/ValeurCellule&gt;</v>
      </c>
    </row>
    <row r="2173" spans="1:1" x14ac:dyDescent="0.2">
      <c r="A2173" s="996" t="str">
        <f>CONCATENATE(Programme!D2174,Programme!E2174,Programme!F2174,Programme!G2174,Programme!H2174,Programme!I2174,Programme!J2174)</f>
        <v>&lt;ValeurCellule&gt;</v>
      </c>
    </row>
    <row r="2174" spans="1:1" x14ac:dyDescent="0.2">
      <c r="A2174" s="996" t="str">
        <f>CONCATENATE(Programme!D2175,Programme!E2175,Programme!F2175,Programme!G2175,Programme!H2175,Programme!I2175,Programme!J2175)</f>
        <v>&lt;cellule&gt;</v>
      </c>
    </row>
    <row r="2175" spans="1:1" x14ac:dyDescent="0.2">
      <c r="A2175" s="996" t="str">
        <f>CONCATENATE(Programme!D2176,Programme!E2176,Programme!F2176,Programme!G2176,Programme!H2176,Programme!I2176,Programme!J2176)</f>
        <v>&lt;codeEdi&gt;11259&lt;/codeEdi&gt;</v>
      </c>
    </row>
    <row r="2176" spans="1:1" x14ac:dyDescent="0.2">
      <c r="A2176" s="996" t="str">
        <f>CONCATENATE(Programme!D2177,Programme!E2177,Programme!F2177,Programme!G2177,Programme!H2177,Programme!I2177,Programme!J2177)</f>
        <v>&lt;/cellule&gt;</v>
      </c>
    </row>
    <row r="2177" spans="1:1" x14ac:dyDescent="0.2">
      <c r="A2177" s="996" t="str">
        <f>CONCATENATE(Programme!D2178,Programme!E2178,Programme!F2178,Programme!G2178,Programme!H2178,Programme!I2178,Programme!J2178)</f>
        <v>&lt;valeur&gt;0&lt;/valeur&gt;</v>
      </c>
    </row>
    <row r="2178" spans="1:1" x14ac:dyDescent="0.2">
      <c r="A2178" s="996" t="str">
        <f>CONCATENATE(Programme!D2179,Programme!E2179,Programme!F2179,Programme!G2179,Programme!H2179,Programme!I2179,Programme!J2179)</f>
        <v>&lt;/ValeurCellule&gt;</v>
      </c>
    </row>
    <row r="2179" spans="1:1" x14ac:dyDescent="0.2">
      <c r="A2179" s="996" t="str">
        <f>CONCATENATE(Programme!D2180,Programme!E2180,Programme!F2180,Programme!G2180,Programme!H2180,Programme!I2180,Programme!J2180)</f>
        <v>&lt;ValeurCellule&gt;</v>
      </c>
    </row>
    <row r="2180" spans="1:1" x14ac:dyDescent="0.2">
      <c r="A2180" s="996" t="str">
        <f>CONCATENATE(Programme!D2181,Programme!E2181,Programme!F2181,Programme!G2181,Programme!H2181,Programme!I2181,Programme!J2181)</f>
        <v>&lt;cellule&gt;</v>
      </c>
    </row>
    <row r="2181" spans="1:1" x14ac:dyDescent="0.2">
      <c r="A2181" s="996" t="str">
        <f>CONCATENATE(Programme!D2182,Programme!E2182,Programme!F2182,Programme!G2182,Programme!H2182,Programme!I2182,Programme!J2182)</f>
        <v>&lt;codeEdi&gt;11264&lt;/codeEdi&gt;</v>
      </c>
    </row>
    <row r="2182" spans="1:1" x14ac:dyDescent="0.2">
      <c r="A2182" s="996" t="str">
        <f>CONCATENATE(Programme!D2183,Programme!E2183,Programme!F2183,Programme!G2183,Programme!H2183,Programme!I2183,Programme!J2183)</f>
        <v>&lt;/cellule&gt;</v>
      </c>
    </row>
    <row r="2183" spans="1:1" x14ac:dyDescent="0.2">
      <c r="A2183" s="996" t="str">
        <f>CONCATENATE(Programme!D2184,Programme!E2184,Programme!F2184,Programme!G2184,Programme!H2184,Programme!I2184,Programme!J2184)</f>
        <v>&lt;valeur&gt;0&lt;/valeur&gt;</v>
      </c>
    </row>
    <row r="2184" spans="1:1" x14ac:dyDescent="0.2">
      <c r="A2184" s="996" t="str">
        <f>CONCATENATE(Programme!D2185,Programme!E2185,Programme!F2185,Programme!G2185,Programme!H2185,Programme!I2185,Programme!J2185)</f>
        <v>&lt;/ValeurCellule&gt;</v>
      </c>
    </row>
    <row r="2185" spans="1:1" x14ac:dyDescent="0.2">
      <c r="A2185" s="996" t="str">
        <f>CONCATENATE(Programme!D2186,Programme!E2186,Programme!F2186,Programme!G2186,Programme!H2186,Programme!I2186,Programme!J2186)</f>
        <v>&lt;ValeurCellule&gt;</v>
      </c>
    </row>
    <row r="2186" spans="1:1" x14ac:dyDescent="0.2">
      <c r="A2186" s="996" t="str">
        <f>CONCATENATE(Programme!D2187,Programme!E2187,Programme!F2187,Programme!G2187,Programme!H2187,Programme!I2187,Programme!J2187)</f>
        <v>&lt;cellule&gt;</v>
      </c>
    </row>
    <row r="2187" spans="1:1" x14ac:dyDescent="0.2">
      <c r="A2187" s="996" t="str">
        <f>CONCATENATE(Programme!D2188,Programme!E2188,Programme!F2188,Programme!G2188,Programme!H2188,Programme!I2188,Programme!J2188)</f>
        <v>&lt;codeEdi&gt;11271&lt;/codeEdi&gt;</v>
      </c>
    </row>
    <row r="2188" spans="1:1" x14ac:dyDescent="0.2">
      <c r="A2188" s="996" t="str">
        <f>CONCATENATE(Programme!D2189,Programme!E2189,Programme!F2189,Programme!G2189,Programme!H2189,Programme!I2189,Programme!J2189)</f>
        <v>&lt;/cellule&gt;</v>
      </c>
    </row>
    <row r="2189" spans="1:1" x14ac:dyDescent="0.2">
      <c r="A2189" s="996" t="str">
        <f>CONCATENATE(Programme!D2190,Programme!E2190,Programme!F2190,Programme!G2190,Programme!H2190,Programme!I2190,Programme!J2190)</f>
        <v>&lt;valeur&gt;0&lt;/valeur&gt;</v>
      </c>
    </row>
    <row r="2190" spans="1:1" x14ac:dyDescent="0.2">
      <c r="A2190" s="996" t="str">
        <f>CONCATENATE(Programme!D2191,Programme!E2191,Programme!F2191,Programme!G2191,Programme!H2191,Programme!I2191,Programme!J2191)</f>
        <v>&lt;/ValeurCellule&gt;</v>
      </c>
    </row>
    <row r="2191" spans="1:1" x14ac:dyDescent="0.2">
      <c r="A2191" s="996" t="str">
        <f>CONCATENATE(Programme!D2192,Programme!E2192,Programme!F2192,Programme!G2192,Programme!H2192,Programme!I2192,Programme!J2192)</f>
        <v>&lt;ValeurCellule&gt;</v>
      </c>
    </row>
    <row r="2192" spans="1:1" x14ac:dyDescent="0.2">
      <c r="A2192" s="996" t="str">
        <f>CONCATENATE(Programme!D2193,Programme!E2193,Programme!F2193,Programme!G2193,Programme!H2193,Programme!I2193,Programme!J2193)</f>
        <v>&lt;cellule&gt;</v>
      </c>
    </row>
    <row r="2193" spans="1:1" x14ac:dyDescent="0.2">
      <c r="A2193" s="996" t="str">
        <f>CONCATENATE(Programme!D2194,Programme!E2194,Programme!F2194,Programme!G2194,Programme!H2194,Programme!I2194,Programme!J2194)</f>
        <v>&lt;codeEdi&gt;11276&lt;/codeEdi&gt;</v>
      </c>
    </row>
    <row r="2194" spans="1:1" x14ac:dyDescent="0.2">
      <c r="A2194" s="996" t="str">
        <f>CONCATENATE(Programme!D2195,Programme!E2195,Programme!F2195,Programme!G2195,Programme!H2195,Programme!I2195,Programme!J2195)</f>
        <v>&lt;/cellule&gt;</v>
      </c>
    </row>
    <row r="2195" spans="1:1" x14ac:dyDescent="0.2">
      <c r="A2195" s="996" t="str">
        <f>CONCATENATE(Programme!D2196,Programme!E2196,Programme!F2196,Programme!G2196,Programme!H2196,Programme!I2196,Programme!J2196)</f>
        <v>&lt;valeur&gt;0&lt;/valeur&gt;</v>
      </c>
    </row>
    <row r="2196" spans="1:1" x14ac:dyDescent="0.2">
      <c r="A2196" s="996" t="str">
        <f>CONCATENATE(Programme!D2197,Programme!E2197,Programme!F2197,Programme!G2197,Programme!H2197,Programme!I2197,Programme!J2197)</f>
        <v>&lt;/ValeurCellule&gt;</v>
      </c>
    </row>
    <row r="2197" spans="1:1" x14ac:dyDescent="0.2">
      <c r="A2197" s="996" t="str">
        <f>CONCATENATE(Programme!D2198,Programme!E2198,Programme!F2198,Programme!G2198,Programme!H2198,Programme!I2198,Programme!J2198)</f>
        <v>&lt;ValeurCellule&gt;</v>
      </c>
    </row>
    <row r="2198" spans="1:1" x14ac:dyDescent="0.2">
      <c r="A2198" s="996" t="str">
        <f>CONCATENATE(Programme!D2199,Programme!E2199,Programme!F2199,Programme!G2199,Programme!H2199,Programme!I2199,Programme!J2199)</f>
        <v>&lt;cellule&gt;</v>
      </c>
    </row>
    <row r="2199" spans="1:1" x14ac:dyDescent="0.2">
      <c r="A2199" s="996" t="str">
        <f>CONCATENATE(Programme!D2200,Programme!E2200,Programme!F2200,Programme!G2200,Programme!H2200,Programme!I2200,Programme!J2200)</f>
        <v>&lt;codeEdi&gt;11281&lt;/codeEdi&gt;</v>
      </c>
    </row>
    <row r="2200" spans="1:1" x14ac:dyDescent="0.2">
      <c r="A2200" s="996" t="str">
        <f>CONCATENATE(Programme!D2201,Programme!E2201,Programme!F2201,Programme!G2201,Programme!H2201,Programme!I2201,Programme!J2201)</f>
        <v>&lt;/cellule&gt;</v>
      </c>
    </row>
    <row r="2201" spans="1:1" x14ac:dyDescent="0.2">
      <c r="A2201" s="996" t="str">
        <f>CONCATENATE(Programme!D2202,Programme!E2202,Programme!F2202,Programme!G2202,Programme!H2202,Programme!I2202,Programme!J2202)</f>
        <v>&lt;valeur&gt;0&lt;/valeur&gt;</v>
      </c>
    </row>
    <row r="2202" spans="1:1" x14ac:dyDescent="0.2">
      <c r="A2202" s="996" t="str">
        <f>CONCATENATE(Programme!D2203,Programme!E2203,Programme!F2203,Programme!G2203,Programme!H2203,Programme!I2203,Programme!J2203)</f>
        <v>&lt;/ValeurCellule&gt;</v>
      </c>
    </row>
    <row r="2203" spans="1:1" x14ac:dyDescent="0.2">
      <c r="A2203" s="996" t="str">
        <f>CONCATENATE(Programme!D2204,Programme!E2204,Programme!F2204,Programme!G2204,Programme!H2204,Programme!I2204,Programme!J2204)</f>
        <v>&lt;ValeurCellule&gt;</v>
      </c>
    </row>
    <row r="2204" spans="1:1" x14ac:dyDescent="0.2">
      <c r="A2204" s="996" t="str">
        <f>CONCATENATE(Programme!D2205,Programme!E2205,Programme!F2205,Programme!G2205,Programme!H2205,Programme!I2205,Programme!J2205)</f>
        <v>&lt;cellule&gt;</v>
      </c>
    </row>
    <row r="2205" spans="1:1" x14ac:dyDescent="0.2">
      <c r="A2205" s="996" t="str">
        <f>CONCATENATE(Programme!D2206,Programme!E2206,Programme!F2206,Programme!G2206,Programme!H2206,Programme!I2206,Programme!J2206)</f>
        <v>&lt;codeEdi&gt;11286&lt;/codeEdi&gt;</v>
      </c>
    </row>
    <row r="2206" spans="1:1" x14ac:dyDescent="0.2">
      <c r="A2206" s="996" t="str">
        <f>CONCATENATE(Programme!D2207,Programme!E2207,Programme!F2207,Programme!G2207,Programme!H2207,Programme!I2207,Programme!J2207)</f>
        <v>&lt;/cellule&gt;</v>
      </c>
    </row>
    <row r="2207" spans="1:1" x14ac:dyDescent="0.2">
      <c r="A2207" s="996" t="str">
        <f>CONCATENATE(Programme!D2208,Programme!E2208,Programme!F2208,Programme!G2208,Programme!H2208,Programme!I2208,Programme!J2208)</f>
        <v>&lt;valeur&gt;0&lt;/valeur&gt;</v>
      </c>
    </row>
    <row r="2208" spans="1:1" x14ac:dyDescent="0.2">
      <c r="A2208" s="996" t="str">
        <f>CONCATENATE(Programme!D2209,Programme!E2209,Programme!F2209,Programme!G2209,Programme!H2209,Programme!I2209,Programme!J2209)</f>
        <v>&lt;/ValeurCellule&gt;</v>
      </c>
    </row>
    <row r="2209" spans="1:1" x14ac:dyDescent="0.2">
      <c r="A2209" s="996" t="str">
        <f>CONCATENATE(Programme!D2210,Programme!E2210,Programme!F2210,Programme!G2210,Programme!H2210,Programme!I2210,Programme!J2210)</f>
        <v>&lt;ValeurCellule&gt;</v>
      </c>
    </row>
    <row r="2210" spans="1:1" x14ac:dyDescent="0.2">
      <c r="A2210" s="996" t="str">
        <f>CONCATENATE(Programme!D2211,Programme!E2211,Programme!F2211,Programme!G2211,Programme!H2211,Programme!I2211,Programme!J2211)</f>
        <v>&lt;cellule&gt;</v>
      </c>
    </row>
    <row r="2211" spans="1:1" x14ac:dyDescent="0.2">
      <c r="A2211" s="996" t="str">
        <f>CONCATENATE(Programme!D2212,Programme!E2212,Programme!F2212,Programme!G2212,Programme!H2212,Programme!I2212,Programme!J2212)</f>
        <v>&lt;codeEdi&gt;11291&lt;/codeEdi&gt;</v>
      </c>
    </row>
    <row r="2212" spans="1:1" x14ac:dyDescent="0.2">
      <c r="A2212" s="996" t="str">
        <f>CONCATENATE(Programme!D2213,Programme!E2213,Programme!F2213,Programme!G2213,Programme!H2213,Programme!I2213,Programme!J2213)</f>
        <v>&lt;/cellule&gt;</v>
      </c>
    </row>
    <row r="2213" spans="1:1" x14ac:dyDescent="0.2">
      <c r="A2213" s="996" t="str">
        <f>CONCATENATE(Programme!D2214,Programme!E2214,Programme!F2214,Programme!G2214,Programme!H2214,Programme!I2214,Programme!J2214)</f>
        <v>&lt;valeur&gt;0&lt;/valeur&gt;</v>
      </c>
    </row>
    <row r="2214" spans="1:1" x14ac:dyDescent="0.2">
      <c r="A2214" s="996" t="str">
        <f>CONCATENATE(Programme!D2215,Programme!E2215,Programme!F2215,Programme!G2215,Programme!H2215,Programme!I2215,Programme!J2215)</f>
        <v>&lt;/ValeurCellule&gt;</v>
      </c>
    </row>
    <row r="2215" spans="1:1" x14ac:dyDescent="0.2">
      <c r="A2215" s="996" t="str">
        <f>CONCATENATE(Programme!D2216,Programme!E2216,Programme!F2216,Programme!G2216,Programme!H2216,Programme!I2216,Programme!J2216)</f>
        <v>&lt;ValeurCellule&gt;</v>
      </c>
    </row>
    <row r="2216" spans="1:1" x14ac:dyDescent="0.2">
      <c r="A2216" s="996" t="str">
        <f>CONCATENATE(Programme!D2217,Programme!E2217,Programme!F2217,Programme!G2217,Programme!H2217,Programme!I2217,Programme!J2217)</f>
        <v>&lt;cellule&gt;</v>
      </c>
    </row>
    <row r="2217" spans="1:1" x14ac:dyDescent="0.2">
      <c r="A2217" s="996" t="str">
        <f>CONCATENATE(Programme!D2218,Programme!E2218,Programme!F2218,Programme!G2218,Programme!H2218,Programme!I2218,Programme!J2218)</f>
        <v>&lt;codeEdi&gt;11331&lt;/codeEdi&gt;</v>
      </c>
    </row>
    <row r="2218" spans="1:1" x14ac:dyDescent="0.2">
      <c r="A2218" s="996" t="str">
        <f>CONCATENATE(Programme!D2219,Programme!E2219,Programme!F2219,Programme!G2219,Programme!H2219,Programme!I2219,Programme!J2219)</f>
        <v>&lt;/cellule&gt;</v>
      </c>
    </row>
    <row r="2219" spans="1:1" x14ac:dyDescent="0.2">
      <c r="A2219" s="996" t="str">
        <f>CONCATENATE(Programme!D2220,Programme!E2220,Programme!F2220,Programme!G2220,Programme!H2220,Programme!I2220,Programme!J2220)</f>
        <v>&lt;valeur&gt;0&lt;/valeur&gt;</v>
      </c>
    </row>
    <row r="2220" spans="1:1" x14ac:dyDescent="0.2">
      <c r="A2220" s="996" t="str">
        <f>CONCATENATE(Programme!D2221,Programme!E2221,Programme!F2221,Programme!G2221,Programme!H2221,Programme!I2221,Programme!J2221)</f>
        <v>&lt;/ValeurCellule&gt;</v>
      </c>
    </row>
    <row r="2221" spans="1:1" x14ac:dyDescent="0.2">
      <c r="A2221" s="996" t="str">
        <f>CONCATENATE(Programme!D2222,Programme!E2222,Programme!F2222,Programme!G2222,Programme!H2222,Programme!I2222,Programme!J2222)</f>
        <v>&lt;ValeurCellule&gt;</v>
      </c>
    </row>
    <row r="2222" spans="1:1" x14ac:dyDescent="0.2">
      <c r="A2222" s="996" t="str">
        <f>CONCATENATE(Programme!D2223,Programme!E2223,Programme!F2223,Programme!G2223,Programme!H2223,Programme!I2223,Programme!J2223)</f>
        <v>&lt;cellule&gt;</v>
      </c>
    </row>
    <row r="2223" spans="1:1" x14ac:dyDescent="0.2">
      <c r="A2223" s="996" t="str">
        <f>CONCATENATE(Programme!D2224,Programme!E2224,Programme!F2224,Programme!G2224,Programme!H2224,Programme!I2224,Programme!J2224)</f>
        <v>&lt;codeEdi&gt;11296&lt;/codeEdi&gt;</v>
      </c>
    </row>
    <row r="2224" spans="1:1" x14ac:dyDescent="0.2">
      <c r="A2224" s="996" t="str">
        <f>CONCATENATE(Programme!D2225,Programme!E2225,Programme!F2225,Programme!G2225,Programme!H2225,Programme!I2225,Programme!J2225)</f>
        <v>&lt;/cellule&gt;</v>
      </c>
    </row>
    <row r="2225" spans="1:1" x14ac:dyDescent="0.2">
      <c r="A2225" s="996" t="str">
        <f>CONCATENATE(Programme!D2226,Programme!E2226,Programme!F2226,Programme!G2226,Programme!H2226,Programme!I2226,Programme!J2226)</f>
        <v>&lt;valeur&gt;0&lt;/valeur&gt;</v>
      </c>
    </row>
    <row r="2226" spans="1:1" x14ac:dyDescent="0.2">
      <c r="A2226" s="996" t="str">
        <f>CONCATENATE(Programme!D2227,Programme!E2227,Programme!F2227,Programme!G2227,Programme!H2227,Programme!I2227,Programme!J2227)</f>
        <v>&lt;/ValeurCellule&gt;</v>
      </c>
    </row>
    <row r="2227" spans="1:1" x14ac:dyDescent="0.2">
      <c r="A2227" s="996" t="str">
        <f>CONCATENATE(Programme!D2228,Programme!E2228,Programme!F2228,Programme!G2228,Programme!H2228,Programme!I2228,Programme!J2228)</f>
        <v>&lt;ValeurCellule&gt;</v>
      </c>
    </row>
    <row r="2228" spans="1:1" x14ac:dyDescent="0.2">
      <c r="A2228" s="996" t="str">
        <f>CONCATENATE(Programme!D2229,Programme!E2229,Programme!F2229,Programme!G2229,Programme!H2229,Programme!I2229,Programme!J2229)</f>
        <v>&lt;cellule&gt;</v>
      </c>
    </row>
    <row r="2229" spans="1:1" x14ac:dyDescent="0.2">
      <c r="A2229" s="996" t="str">
        <f>CONCATENATE(Programme!D2230,Programme!E2230,Programme!F2230,Programme!G2230,Programme!H2230,Programme!I2230,Programme!J2230)</f>
        <v>&lt;codeEdi&gt;11301&lt;/codeEdi&gt;</v>
      </c>
    </row>
    <row r="2230" spans="1:1" x14ac:dyDescent="0.2">
      <c r="A2230" s="996" t="str">
        <f>CONCATENATE(Programme!D2231,Programme!E2231,Programme!F2231,Programme!G2231,Programme!H2231,Programme!I2231,Programme!J2231)</f>
        <v>&lt;/cellule&gt;</v>
      </c>
    </row>
    <row r="2231" spans="1:1" x14ac:dyDescent="0.2">
      <c r="A2231" s="996" t="str">
        <f>CONCATENATE(Programme!D2232,Programme!E2232,Programme!F2232,Programme!G2232,Programme!H2232,Programme!I2232,Programme!J2232)</f>
        <v>&lt;valeur&gt;0&lt;/valeur&gt;</v>
      </c>
    </row>
    <row r="2232" spans="1:1" x14ac:dyDescent="0.2">
      <c r="A2232" s="996" t="str">
        <f>CONCATENATE(Programme!D2233,Programme!E2233,Programme!F2233,Programme!G2233,Programme!H2233,Programme!I2233,Programme!J2233)</f>
        <v>&lt;/ValeurCellule&gt;</v>
      </c>
    </row>
    <row r="2233" spans="1:1" x14ac:dyDescent="0.2">
      <c r="A2233" s="996" t="str">
        <f>CONCATENATE(Programme!D2234,Programme!E2234,Programme!F2234,Programme!G2234,Programme!H2234,Programme!I2234,Programme!J2234)</f>
        <v>&lt;ValeurCellule&gt;</v>
      </c>
    </row>
    <row r="2234" spans="1:1" x14ac:dyDescent="0.2">
      <c r="A2234" s="996" t="str">
        <f>CONCATENATE(Programme!D2235,Programme!E2235,Programme!F2235,Programme!G2235,Programme!H2235,Programme!I2235,Programme!J2235)</f>
        <v>&lt;cellule&gt;</v>
      </c>
    </row>
    <row r="2235" spans="1:1" x14ac:dyDescent="0.2">
      <c r="A2235" s="996" t="str">
        <f>CONCATENATE(Programme!D2236,Programme!E2236,Programme!F2236,Programme!G2236,Programme!H2236,Programme!I2236,Programme!J2236)</f>
        <v>&lt;codeEdi&gt;11306&lt;/codeEdi&gt;</v>
      </c>
    </row>
    <row r="2236" spans="1:1" x14ac:dyDescent="0.2">
      <c r="A2236" s="996" t="str">
        <f>CONCATENATE(Programme!D2237,Programme!E2237,Programme!F2237,Programme!G2237,Programme!H2237,Programme!I2237,Programme!J2237)</f>
        <v>&lt;/cellule&gt;</v>
      </c>
    </row>
    <row r="2237" spans="1:1" x14ac:dyDescent="0.2">
      <c r="A2237" s="996" t="str">
        <f>CONCATENATE(Programme!D2238,Programme!E2238,Programme!F2238,Programme!G2238,Programme!H2238,Programme!I2238,Programme!J2238)</f>
        <v>&lt;valeur&gt;0&lt;/valeur&gt;</v>
      </c>
    </row>
    <row r="2238" spans="1:1" x14ac:dyDescent="0.2">
      <c r="A2238" s="996" t="str">
        <f>CONCATENATE(Programme!D2239,Programme!E2239,Programme!F2239,Programme!G2239,Programme!H2239,Programme!I2239,Programme!J2239)</f>
        <v>&lt;/ValeurCellule&gt;</v>
      </c>
    </row>
    <row r="2239" spans="1:1" x14ac:dyDescent="0.2">
      <c r="A2239" s="996" t="str">
        <f>CONCATENATE(Programme!D2240,Programme!E2240,Programme!F2240,Programme!G2240,Programme!H2240,Programme!I2240,Programme!J2240)</f>
        <v>&lt;ValeurCellule&gt;</v>
      </c>
    </row>
    <row r="2240" spans="1:1" x14ac:dyDescent="0.2">
      <c r="A2240" s="996" t="str">
        <f>CONCATENATE(Programme!D2241,Programme!E2241,Programme!F2241,Programme!G2241,Programme!H2241,Programme!I2241,Programme!J2241)</f>
        <v>&lt;cellule&gt;</v>
      </c>
    </row>
    <row r="2241" spans="1:1" x14ac:dyDescent="0.2">
      <c r="A2241" s="996" t="str">
        <f>CONCATENATE(Programme!D2242,Programme!E2242,Programme!F2242,Programme!G2242,Programme!H2242,Programme!I2242,Programme!J2242)</f>
        <v>&lt;codeEdi&gt;11311&lt;/codeEdi&gt;</v>
      </c>
    </row>
    <row r="2242" spans="1:1" x14ac:dyDescent="0.2">
      <c r="A2242" s="996" t="str">
        <f>CONCATENATE(Programme!D2243,Programme!E2243,Programme!F2243,Programme!G2243,Programme!H2243,Programme!I2243,Programme!J2243)</f>
        <v>&lt;/cellule&gt;</v>
      </c>
    </row>
    <row r="2243" spans="1:1" x14ac:dyDescent="0.2">
      <c r="A2243" s="996" t="str">
        <f>CONCATENATE(Programme!D2244,Programme!E2244,Programme!F2244,Programme!G2244,Programme!H2244,Programme!I2244,Programme!J2244)</f>
        <v>&lt;valeur&gt;0&lt;/valeur&gt;</v>
      </c>
    </row>
    <row r="2244" spans="1:1" x14ac:dyDescent="0.2">
      <c r="A2244" s="996" t="str">
        <f>CONCATENATE(Programme!D2245,Programme!E2245,Programme!F2245,Programme!G2245,Programme!H2245,Programme!I2245,Programme!J2245)</f>
        <v>&lt;/ValeurCellule&gt;</v>
      </c>
    </row>
    <row r="2245" spans="1:1" x14ac:dyDescent="0.2">
      <c r="A2245" s="996" t="str">
        <f>CONCATENATE(Programme!D2246,Programme!E2246,Programme!F2246,Programme!G2246,Programme!H2246,Programme!I2246,Programme!J2246)</f>
        <v>&lt;ValeurCellule&gt;</v>
      </c>
    </row>
    <row r="2246" spans="1:1" x14ac:dyDescent="0.2">
      <c r="A2246" s="996" t="str">
        <f>CONCATENATE(Programme!D2247,Programme!E2247,Programme!F2247,Programme!G2247,Programme!H2247,Programme!I2247,Programme!J2247)</f>
        <v>&lt;cellule&gt;</v>
      </c>
    </row>
    <row r="2247" spans="1:1" x14ac:dyDescent="0.2">
      <c r="A2247" s="996" t="str">
        <f>CONCATENATE(Programme!D2248,Programme!E2248,Programme!F2248,Programme!G2248,Programme!H2248,Programme!I2248,Programme!J2248)</f>
        <v>&lt;codeEdi&gt;11316&lt;/codeEdi&gt;</v>
      </c>
    </row>
    <row r="2248" spans="1:1" x14ac:dyDescent="0.2">
      <c r="A2248" s="996" t="str">
        <f>CONCATENATE(Programme!D2249,Programme!E2249,Programme!F2249,Programme!G2249,Programme!H2249,Programme!I2249,Programme!J2249)</f>
        <v>&lt;/cellule&gt;</v>
      </c>
    </row>
    <row r="2249" spans="1:1" x14ac:dyDescent="0.2">
      <c r="A2249" s="996" t="str">
        <f>CONCATENATE(Programme!D2250,Programme!E2250,Programme!F2250,Programme!G2250,Programme!H2250,Programme!I2250,Programme!J2250)</f>
        <v>&lt;valeur&gt;0&lt;/valeur&gt;</v>
      </c>
    </row>
    <row r="2250" spans="1:1" x14ac:dyDescent="0.2">
      <c r="A2250" s="996" t="str">
        <f>CONCATENATE(Programme!D2251,Programme!E2251,Programme!F2251,Programme!G2251,Programme!H2251,Programme!I2251,Programme!J2251)</f>
        <v>&lt;/ValeurCellule&gt;</v>
      </c>
    </row>
    <row r="2251" spans="1:1" x14ac:dyDescent="0.2">
      <c r="A2251" s="996" t="str">
        <f>CONCATENATE(Programme!D2252,Programme!E2252,Programme!F2252,Programme!G2252,Programme!H2252,Programme!I2252,Programme!J2252)</f>
        <v>&lt;ValeurCellule&gt;</v>
      </c>
    </row>
    <row r="2252" spans="1:1" x14ac:dyDescent="0.2">
      <c r="A2252" s="996" t="str">
        <f>CONCATENATE(Programme!D2253,Programme!E2253,Programme!F2253,Programme!G2253,Programme!H2253,Programme!I2253,Programme!J2253)</f>
        <v>&lt;cellule&gt;</v>
      </c>
    </row>
    <row r="2253" spans="1:1" x14ac:dyDescent="0.2">
      <c r="A2253" s="996" t="str">
        <f>CONCATENATE(Programme!D2254,Programme!E2254,Programme!F2254,Programme!G2254,Programme!H2254,Programme!I2254,Programme!J2254)</f>
        <v>&lt;codeEdi&gt;11321&lt;/codeEdi&gt;</v>
      </c>
    </row>
    <row r="2254" spans="1:1" x14ac:dyDescent="0.2">
      <c r="A2254" s="996" t="str">
        <f>CONCATENATE(Programme!D2255,Programme!E2255,Programme!F2255,Programme!G2255,Programme!H2255,Programme!I2255,Programme!J2255)</f>
        <v>&lt;/cellule&gt;</v>
      </c>
    </row>
    <row r="2255" spans="1:1" x14ac:dyDescent="0.2">
      <c r="A2255" s="996" t="str">
        <f>CONCATENATE(Programme!D2256,Programme!E2256,Programme!F2256,Programme!G2256,Programme!H2256,Programme!I2256,Programme!J2256)</f>
        <v>&lt;valeur&gt;0&lt;/valeur&gt;</v>
      </c>
    </row>
    <row r="2256" spans="1:1" x14ac:dyDescent="0.2">
      <c r="A2256" s="996" t="str">
        <f>CONCATENATE(Programme!D2257,Programme!E2257,Programme!F2257,Programme!G2257,Programme!H2257,Programme!I2257,Programme!J2257)</f>
        <v>&lt;/ValeurCellule&gt;</v>
      </c>
    </row>
    <row r="2257" spans="1:1" x14ac:dyDescent="0.2">
      <c r="A2257" s="996" t="str">
        <f>CONCATENATE(Programme!D2258,Programme!E2258,Programme!F2258,Programme!G2258,Programme!H2258,Programme!I2258,Programme!J2258)</f>
        <v>&lt;ValeurCellule&gt;</v>
      </c>
    </row>
    <row r="2258" spans="1:1" x14ac:dyDescent="0.2">
      <c r="A2258" s="996" t="str">
        <f>CONCATENATE(Programme!D2259,Programme!E2259,Programme!F2259,Programme!G2259,Programme!H2259,Programme!I2259,Programme!J2259)</f>
        <v>&lt;cellule&gt;</v>
      </c>
    </row>
    <row r="2259" spans="1:1" x14ac:dyDescent="0.2">
      <c r="A2259" s="996" t="str">
        <f>CONCATENATE(Programme!D2260,Programme!E2260,Programme!F2260,Programme!G2260,Programme!H2260,Programme!I2260,Programme!J2260)</f>
        <v>&lt;codeEdi&gt;11326&lt;/codeEdi&gt;</v>
      </c>
    </row>
    <row r="2260" spans="1:1" x14ac:dyDescent="0.2">
      <c r="A2260" s="996" t="str">
        <f>CONCATENATE(Programme!D2261,Programme!E2261,Programme!F2261,Programme!G2261,Programme!H2261,Programme!I2261,Programme!J2261)</f>
        <v>&lt;/cellule&gt;</v>
      </c>
    </row>
    <row r="2261" spans="1:1" x14ac:dyDescent="0.2">
      <c r="A2261" s="996" t="str">
        <f>CONCATENATE(Programme!D2262,Programme!E2262,Programme!F2262,Programme!G2262,Programme!H2262,Programme!I2262,Programme!J2262)</f>
        <v>&lt;valeur&gt;0&lt;/valeur&gt;</v>
      </c>
    </row>
    <row r="2262" spans="1:1" x14ac:dyDescent="0.2">
      <c r="A2262" s="996" t="str">
        <f>CONCATENATE(Programme!D2263,Programme!E2263,Programme!F2263,Programme!G2263,Programme!H2263,Programme!I2263,Programme!J2263)</f>
        <v>&lt;/ValeurCellule&gt;</v>
      </c>
    </row>
    <row r="2263" spans="1:1" x14ac:dyDescent="0.2">
      <c r="A2263" s="996" t="str">
        <f>CONCATENATE(Programme!D2264,Programme!E2264,Programme!F2264,Programme!G2264,Programme!H2264,Programme!I2264,Programme!J2264)</f>
        <v>&lt;ValeurCellule&gt;</v>
      </c>
    </row>
    <row r="2264" spans="1:1" x14ac:dyDescent="0.2">
      <c r="A2264" s="996" t="str">
        <f>CONCATENATE(Programme!D2265,Programme!E2265,Programme!F2265,Programme!G2265,Programme!H2265,Programme!I2265,Programme!J2265)</f>
        <v>&lt;cellule&gt;</v>
      </c>
    </row>
    <row r="2265" spans="1:1" x14ac:dyDescent="0.2">
      <c r="A2265" s="996" t="str">
        <f>CONCATENATE(Programme!D2266,Programme!E2266,Programme!F2266,Programme!G2266,Programme!H2266,Programme!I2266,Programme!J2266)</f>
        <v>&lt;codeEdi&gt;11272&lt;/codeEdi&gt;</v>
      </c>
    </row>
    <row r="2266" spans="1:1" x14ac:dyDescent="0.2">
      <c r="A2266" s="996" t="str">
        <f>CONCATENATE(Programme!D2267,Programme!E2267,Programme!F2267,Programme!G2267,Programme!H2267,Programme!I2267,Programme!J2267)</f>
        <v>&lt;/cellule&gt;</v>
      </c>
    </row>
    <row r="2267" spans="1:1" x14ac:dyDescent="0.2">
      <c r="A2267" s="996" t="str">
        <f>CONCATENATE(Programme!D2268,Programme!E2268,Programme!F2268,Programme!G2268,Programme!H2268,Programme!I2268,Programme!J2268)</f>
        <v>&lt;valeur&gt;0&lt;/valeur&gt;</v>
      </c>
    </row>
    <row r="2268" spans="1:1" x14ac:dyDescent="0.2">
      <c r="A2268" s="996" t="str">
        <f>CONCATENATE(Programme!D2269,Programme!E2269,Programme!F2269,Programme!G2269,Programme!H2269,Programme!I2269,Programme!J2269)</f>
        <v>&lt;/ValeurCellule&gt;</v>
      </c>
    </row>
    <row r="2269" spans="1:1" x14ac:dyDescent="0.2">
      <c r="A2269" s="996" t="str">
        <f>CONCATENATE(Programme!D2270,Programme!E2270,Programme!F2270,Programme!G2270,Programme!H2270,Programme!I2270,Programme!J2270)</f>
        <v>&lt;ValeurCellule&gt;</v>
      </c>
    </row>
    <row r="2270" spans="1:1" x14ac:dyDescent="0.2">
      <c r="A2270" s="996" t="str">
        <f>CONCATENATE(Programme!D2271,Programme!E2271,Programme!F2271,Programme!G2271,Programme!H2271,Programme!I2271,Programme!J2271)</f>
        <v>&lt;cellule&gt;</v>
      </c>
    </row>
    <row r="2271" spans="1:1" x14ac:dyDescent="0.2">
      <c r="A2271" s="996" t="str">
        <f>CONCATENATE(Programme!D2272,Programme!E2272,Programme!F2272,Programme!G2272,Programme!H2272,Programme!I2272,Programme!J2272)</f>
        <v>&lt;codeEdi&gt;11277&lt;/codeEdi&gt;</v>
      </c>
    </row>
    <row r="2272" spans="1:1" x14ac:dyDescent="0.2">
      <c r="A2272" s="996" t="str">
        <f>CONCATENATE(Programme!D2273,Programme!E2273,Programme!F2273,Programme!G2273,Programme!H2273,Programme!I2273,Programme!J2273)</f>
        <v>&lt;/cellule&gt;</v>
      </c>
    </row>
    <row r="2273" spans="1:1" x14ac:dyDescent="0.2">
      <c r="A2273" s="996" t="str">
        <f>CONCATENATE(Programme!D2274,Programme!E2274,Programme!F2274,Programme!G2274,Programme!H2274,Programme!I2274,Programme!J2274)</f>
        <v>&lt;valeur&gt;0&lt;/valeur&gt;</v>
      </c>
    </row>
    <row r="2274" spans="1:1" x14ac:dyDescent="0.2">
      <c r="A2274" s="996" t="str">
        <f>CONCATENATE(Programme!D2275,Programme!E2275,Programme!F2275,Programme!G2275,Programme!H2275,Programme!I2275,Programme!J2275)</f>
        <v>&lt;/ValeurCellule&gt;</v>
      </c>
    </row>
    <row r="2275" spans="1:1" x14ac:dyDescent="0.2">
      <c r="A2275" s="996" t="str">
        <f>CONCATENATE(Programme!D2276,Programme!E2276,Programme!F2276,Programme!G2276,Programme!H2276,Programme!I2276,Programme!J2276)</f>
        <v>&lt;ValeurCellule&gt;</v>
      </c>
    </row>
    <row r="2276" spans="1:1" x14ac:dyDescent="0.2">
      <c r="A2276" s="996" t="str">
        <f>CONCATENATE(Programme!D2277,Programme!E2277,Programme!F2277,Programme!G2277,Programme!H2277,Programme!I2277,Programme!J2277)</f>
        <v>&lt;cellule&gt;</v>
      </c>
    </row>
    <row r="2277" spans="1:1" x14ac:dyDescent="0.2">
      <c r="A2277" s="996" t="str">
        <f>CONCATENATE(Programme!D2278,Programme!E2278,Programme!F2278,Programme!G2278,Programme!H2278,Programme!I2278,Programme!J2278)</f>
        <v>&lt;codeEdi&gt;11282&lt;/codeEdi&gt;</v>
      </c>
    </row>
    <row r="2278" spans="1:1" x14ac:dyDescent="0.2">
      <c r="A2278" s="996" t="str">
        <f>CONCATENATE(Programme!D2279,Programme!E2279,Programme!F2279,Programme!G2279,Programme!H2279,Programme!I2279,Programme!J2279)</f>
        <v>&lt;/cellule&gt;</v>
      </c>
    </row>
    <row r="2279" spans="1:1" x14ac:dyDescent="0.2">
      <c r="A2279" s="996" t="str">
        <f>CONCATENATE(Programme!D2280,Programme!E2280,Programme!F2280,Programme!G2280,Programme!H2280,Programme!I2280,Programme!J2280)</f>
        <v>&lt;valeur&gt;0&lt;/valeur&gt;</v>
      </c>
    </row>
    <row r="2280" spans="1:1" x14ac:dyDescent="0.2">
      <c r="A2280" s="996" t="str">
        <f>CONCATENATE(Programme!D2281,Programme!E2281,Programme!F2281,Programme!G2281,Programme!H2281,Programme!I2281,Programme!J2281)</f>
        <v>&lt;/ValeurCellule&gt;</v>
      </c>
    </row>
    <row r="2281" spans="1:1" x14ac:dyDescent="0.2">
      <c r="A2281" s="996" t="str">
        <f>CONCATENATE(Programme!D2282,Programme!E2282,Programme!F2282,Programme!G2282,Programme!H2282,Programme!I2282,Programme!J2282)</f>
        <v>&lt;ValeurCellule&gt;</v>
      </c>
    </row>
    <row r="2282" spans="1:1" x14ac:dyDescent="0.2">
      <c r="A2282" s="996" t="str">
        <f>CONCATENATE(Programme!D2283,Programme!E2283,Programme!F2283,Programme!G2283,Programme!H2283,Programme!I2283,Programme!J2283)</f>
        <v>&lt;cellule&gt;</v>
      </c>
    </row>
    <row r="2283" spans="1:1" x14ac:dyDescent="0.2">
      <c r="A2283" s="996" t="str">
        <f>CONCATENATE(Programme!D2284,Programme!E2284,Programme!F2284,Programme!G2284,Programme!H2284,Programme!I2284,Programme!J2284)</f>
        <v>&lt;codeEdi&gt;11287&lt;/codeEdi&gt;</v>
      </c>
    </row>
    <row r="2284" spans="1:1" x14ac:dyDescent="0.2">
      <c r="A2284" s="996" t="str">
        <f>CONCATENATE(Programme!D2285,Programme!E2285,Programme!F2285,Programme!G2285,Programme!H2285,Programme!I2285,Programme!J2285)</f>
        <v>&lt;/cellule&gt;</v>
      </c>
    </row>
    <row r="2285" spans="1:1" x14ac:dyDescent="0.2">
      <c r="A2285" s="996" t="str">
        <f>CONCATENATE(Programme!D2286,Programme!E2286,Programme!F2286,Programme!G2286,Programme!H2286,Programme!I2286,Programme!J2286)</f>
        <v>&lt;valeur&gt;0&lt;/valeur&gt;</v>
      </c>
    </row>
    <row r="2286" spans="1:1" x14ac:dyDescent="0.2">
      <c r="A2286" s="996" t="str">
        <f>CONCATENATE(Programme!D2287,Programme!E2287,Programme!F2287,Programme!G2287,Programme!H2287,Programme!I2287,Programme!J2287)</f>
        <v>&lt;/ValeurCellule&gt;</v>
      </c>
    </row>
    <row r="2287" spans="1:1" x14ac:dyDescent="0.2">
      <c r="A2287" s="996" t="str">
        <f>CONCATENATE(Programme!D2288,Programme!E2288,Programme!F2288,Programme!G2288,Programme!H2288,Programme!I2288,Programme!J2288)</f>
        <v>&lt;ValeurCellule&gt;</v>
      </c>
    </row>
    <row r="2288" spans="1:1" x14ac:dyDescent="0.2">
      <c r="A2288" s="996" t="str">
        <f>CONCATENATE(Programme!D2289,Programme!E2289,Programme!F2289,Programme!G2289,Programme!H2289,Programme!I2289,Programme!J2289)</f>
        <v>&lt;cellule&gt;</v>
      </c>
    </row>
    <row r="2289" spans="1:1" x14ac:dyDescent="0.2">
      <c r="A2289" s="996" t="str">
        <f>CONCATENATE(Programme!D2290,Programme!E2290,Programme!F2290,Programme!G2290,Programme!H2290,Programme!I2290,Programme!J2290)</f>
        <v>&lt;codeEdi&gt;11292&lt;/codeEdi&gt;</v>
      </c>
    </row>
    <row r="2290" spans="1:1" x14ac:dyDescent="0.2">
      <c r="A2290" s="996" t="str">
        <f>CONCATENATE(Programme!D2291,Programme!E2291,Programme!F2291,Programme!G2291,Programme!H2291,Programme!I2291,Programme!J2291)</f>
        <v>&lt;/cellule&gt;</v>
      </c>
    </row>
    <row r="2291" spans="1:1" x14ac:dyDescent="0.2">
      <c r="A2291" s="996" t="str">
        <f>CONCATENATE(Programme!D2292,Programme!E2292,Programme!F2292,Programme!G2292,Programme!H2292,Programme!I2292,Programme!J2292)</f>
        <v>&lt;valeur&gt;0&lt;/valeur&gt;</v>
      </c>
    </row>
    <row r="2292" spans="1:1" x14ac:dyDescent="0.2">
      <c r="A2292" s="996" t="str">
        <f>CONCATENATE(Programme!D2293,Programme!E2293,Programme!F2293,Programme!G2293,Programme!H2293,Programme!I2293,Programme!J2293)</f>
        <v>&lt;/ValeurCellule&gt;</v>
      </c>
    </row>
    <row r="2293" spans="1:1" x14ac:dyDescent="0.2">
      <c r="A2293" s="996" t="str">
        <f>CONCATENATE(Programme!D2294,Programme!E2294,Programme!F2294,Programme!G2294,Programme!H2294,Programme!I2294,Programme!J2294)</f>
        <v>&lt;ValeurCellule&gt;</v>
      </c>
    </row>
    <row r="2294" spans="1:1" x14ac:dyDescent="0.2">
      <c r="A2294" s="996" t="str">
        <f>CONCATENATE(Programme!D2295,Programme!E2295,Programme!F2295,Programme!G2295,Programme!H2295,Programme!I2295,Programme!J2295)</f>
        <v>&lt;cellule&gt;</v>
      </c>
    </row>
    <row r="2295" spans="1:1" x14ac:dyDescent="0.2">
      <c r="A2295" s="996" t="str">
        <f>CONCATENATE(Programme!D2296,Programme!E2296,Programme!F2296,Programme!G2296,Programme!H2296,Programme!I2296,Programme!J2296)</f>
        <v>&lt;codeEdi&gt;11332&lt;/codeEdi&gt;</v>
      </c>
    </row>
    <row r="2296" spans="1:1" x14ac:dyDescent="0.2">
      <c r="A2296" s="996" t="str">
        <f>CONCATENATE(Programme!D2297,Programme!E2297,Programme!F2297,Programme!G2297,Programme!H2297,Programme!I2297,Programme!J2297)</f>
        <v>&lt;/cellule&gt;</v>
      </c>
    </row>
    <row r="2297" spans="1:1" x14ac:dyDescent="0.2">
      <c r="A2297" s="996" t="str">
        <f>CONCATENATE(Programme!D2298,Programme!E2298,Programme!F2298,Programme!G2298,Programme!H2298,Programme!I2298,Programme!J2298)</f>
        <v>&lt;valeur&gt;0&lt;/valeur&gt;</v>
      </c>
    </row>
    <row r="2298" spans="1:1" x14ac:dyDescent="0.2">
      <c r="A2298" s="996" t="str">
        <f>CONCATENATE(Programme!D2299,Programme!E2299,Programme!F2299,Programme!G2299,Programme!H2299,Programme!I2299,Programme!J2299)</f>
        <v>&lt;/ValeurCellule&gt;</v>
      </c>
    </row>
    <row r="2299" spans="1:1" x14ac:dyDescent="0.2">
      <c r="A2299" s="996" t="str">
        <f>CONCATENATE(Programme!D2300,Programme!E2300,Programme!F2300,Programme!G2300,Programme!H2300,Programme!I2300,Programme!J2300)</f>
        <v>&lt;ValeurCellule&gt;</v>
      </c>
    </row>
    <row r="2300" spans="1:1" x14ac:dyDescent="0.2">
      <c r="A2300" s="996" t="str">
        <f>CONCATENATE(Programme!D2301,Programme!E2301,Programme!F2301,Programme!G2301,Programme!H2301,Programme!I2301,Programme!J2301)</f>
        <v>&lt;cellule&gt;</v>
      </c>
    </row>
    <row r="2301" spans="1:1" x14ac:dyDescent="0.2">
      <c r="A2301" s="996" t="str">
        <f>CONCATENATE(Programme!D2302,Programme!E2302,Programme!F2302,Programme!G2302,Programme!H2302,Programme!I2302,Programme!J2302)</f>
        <v>&lt;codeEdi&gt;11297&lt;/codeEdi&gt;</v>
      </c>
    </row>
    <row r="2302" spans="1:1" x14ac:dyDescent="0.2">
      <c r="A2302" s="996" t="str">
        <f>CONCATENATE(Programme!D2303,Programme!E2303,Programme!F2303,Programme!G2303,Programme!H2303,Programme!I2303,Programme!J2303)</f>
        <v>&lt;/cellule&gt;</v>
      </c>
    </row>
    <row r="2303" spans="1:1" x14ac:dyDescent="0.2">
      <c r="A2303" s="996" t="str">
        <f>CONCATENATE(Programme!D2304,Programme!E2304,Programme!F2304,Programme!G2304,Programme!H2304,Programme!I2304,Programme!J2304)</f>
        <v>&lt;valeur&gt;0&lt;/valeur&gt;</v>
      </c>
    </row>
    <row r="2304" spans="1:1" x14ac:dyDescent="0.2">
      <c r="A2304" s="996" t="str">
        <f>CONCATENATE(Programme!D2305,Programme!E2305,Programme!F2305,Programme!G2305,Programme!H2305,Programme!I2305,Programme!J2305)</f>
        <v>&lt;/ValeurCellule&gt;</v>
      </c>
    </row>
    <row r="2305" spans="1:1" x14ac:dyDescent="0.2">
      <c r="A2305" s="996" t="str">
        <f>CONCATENATE(Programme!D2306,Programme!E2306,Programme!F2306,Programme!G2306,Programme!H2306,Programme!I2306,Programme!J2306)</f>
        <v>&lt;ValeurCellule&gt;</v>
      </c>
    </row>
    <row r="2306" spans="1:1" x14ac:dyDescent="0.2">
      <c r="A2306" s="996" t="str">
        <f>CONCATENATE(Programme!D2307,Programme!E2307,Programme!F2307,Programme!G2307,Programme!H2307,Programme!I2307,Programme!J2307)</f>
        <v>&lt;cellule&gt;</v>
      </c>
    </row>
    <row r="2307" spans="1:1" x14ac:dyDescent="0.2">
      <c r="A2307" s="996" t="str">
        <f>CONCATENATE(Programme!D2308,Programme!E2308,Programme!F2308,Programme!G2308,Programme!H2308,Programme!I2308,Programme!J2308)</f>
        <v>&lt;codeEdi&gt;11302&lt;/codeEdi&gt;</v>
      </c>
    </row>
    <row r="2308" spans="1:1" x14ac:dyDescent="0.2">
      <c r="A2308" s="996" t="str">
        <f>CONCATENATE(Programme!D2309,Programme!E2309,Programme!F2309,Programme!G2309,Programme!H2309,Programme!I2309,Programme!J2309)</f>
        <v>&lt;/cellule&gt;</v>
      </c>
    </row>
    <row r="2309" spans="1:1" x14ac:dyDescent="0.2">
      <c r="A2309" s="996" t="str">
        <f>CONCATENATE(Programme!D2310,Programme!E2310,Programme!F2310,Programme!G2310,Programme!H2310,Programme!I2310,Programme!J2310)</f>
        <v>&lt;valeur&gt;0&lt;/valeur&gt;</v>
      </c>
    </row>
    <row r="2310" spans="1:1" x14ac:dyDescent="0.2">
      <c r="A2310" s="996" t="str">
        <f>CONCATENATE(Programme!D2311,Programme!E2311,Programme!F2311,Programme!G2311,Programme!H2311,Programme!I2311,Programme!J2311)</f>
        <v>&lt;/ValeurCellule&gt;</v>
      </c>
    </row>
    <row r="2311" spans="1:1" x14ac:dyDescent="0.2">
      <c r="A2311" s="996" t="str">
        <f>CONCATENATE(Programme!D2312,Programme!E2312,Programme!F2312,Programme!G2312,Programme!H2312,Programme!I2312,Programme!J2312)</f>
        <v>&lt;ValeurCellule&gt;</v>
      </c>
    </row>
    <row r="2312" spans="1:1" x14ac:dyDescent="0.2">
      <c r="A2312" s="996" t="str">
        <f>CONCATENATE(Programme!D2313,Programme!E2313,Programme!F2313,Programme!G2313,Programme!H2313,Programme!I2313,Programme!J2313)</f>
        <v>&lt;cellule&gt;</v>
      </c>
    </row>
    <row r="2313" spans="1:1" x14ac:dyDescent="0.2">
      <c r="A2313" s="996" t="str">
        <f>CONCATENATE(Programme!D2314,Programme!E2314,Programme!F2314,Programme!G2314,Programme!H2314,Programme!I2314,Programme!J2314)</f>
        <v>&lt;codeEdi&gt;11307&lt;/codeEdi&gt;</v>
      </c>
    </row>
    <row r="2314" spans="1:1" x14ac:dyDescent="0.2">
      <c r="A2314" s="996" t="str">
        <f>CONCATENATE(Programme!D2315,Programme!E2315,Programme!F2315,Programme!G2315,Programme!H2315,Programme!I2315,Programme!J2315)</f>
        <v>&lt;/cellule&gt;</v>
      </c>
    </row>
    <row r="2315" spans="1:1" x14ac:dyDescent="0.2">
      <c r="A2315" s="996" t="str">
        <f>CONCATENATE(Programme!D2316,Programme!E2316,Programme!F2316,Programme!G2316,Programme!H2316,Programme!I2316,Programme!J2316)</f>
        <v>&lt;valeur&gt;0&lt;/valeur&gt;</v>
      </c>
    </row>
    <row r="2316" spans="1:1" x14ac:dyDescent="0.2">
      <c r="A2316" s="996" t="str">
        <f>CONCATENATE(Programme!D2317,Programme!E2317,Programme!F2317,Programme!G2317,Programme!H2317,Programme!I2317,Programme!J2317)</f>
        <v>&lt;/ValeurCellule&gt;</v>
      </c>
    </row>
    <row r="2317" spans="1:1" x14ac:dyDescent="0.2">
      <c r="A2317" s="996" t="str">
        <f>CONCATENATE(Programme!D2318,Programme!E2318,Programme!F2318,Programme!G2318,Programme!H2318,Programme!I2318,Programme!J2318)</f>
        <v>&lt;ValeurCellule&gt;</v>
      </c>
    </row>
    <row r="2318" spans="1:1" x14ac:dyDescent="0.2">
      <c r="A2318" s="996" t="str">
        <f>CONCATENATE(Programme!D2319,Programme!E2319,Programme!F2319,Programme!G2319,Programme!H2319,Programme!I2319,Programme!J2319)</f>
        <v>&lt;cellule&gt;</v>
      </c>
    </row>
    <row r="2319" spans="1:1" x14ac:dyDescent="0.2">
      <c r="A2319" s="996" t="str">
        <f>CONCATENATE(Programme!D2320,Programme!E2320,Programme!F2320,Programme!G2320,Programme!H2320,Programme!I2320,Programme!J2320)</f>
        <v>&lt;codeEdi&gt;11312&lt;/codeEdi&gt;</v>
      </c>
    </row>
    <row r="2320" spans="1:1" x14ac:dyDescent="0.2">
      <c r="A2320" s="996" t="str">
        <f>CONCATENATE(Programme!D2321,Programme!E2321,Programme!F2321,Programme!G2321,Programme!H2321,Programme!I2321,Programme!J2321)</f>
        <v>&lt;/cellule&gt;</v>
      </c>
    </row>
    <row r="2321" spans="1:1" x14ac:dyDescent="0.2">
      <c r="A2321" s="996" t="str">
        <f>CONCATENATE(Programme!D2322,Programme!E2322,Programme!F2322,Programme!G2322,Programme!H2322,Programme!I2322,Programme!J2322)</f>
        <v>&lt;valeur&gt;0&lt;/valeur&gt;</v>
      </c>
    </row>
    <row r="2322" spans="1:1" x14ac:dyDescent="0.2">
      <c r="A2322" s="996" t="str">
        <f>CONCATENATE(Programme!D2323,Programme!E2323,Programme!F2323,Programme!G2323,Programme!H2323,Programme!I2323,Programme!J2323)</f>
        <v>&lt;/ValeurCellule&gt;</v>
      </c>
    </row>
    <row r="2323" spans="1:1" x14ac:dyDescent="0.2">
      <c r="A2323" s="996" t="str">
        <f>CONCATENATE(Programme!D2324,Programme!E2324,Programme!F2324,Programme!G2324,Programme!H2324,Programme!I2324,Programme!J2324)</f>
        <v>&lt;ValeurCellule&gt;</v>
      </c>
    </row>
    <row r="2324" spans="1:1" x14ac:dyDescent="0.2">
      <c r="A2324" s="996" t="str">
        <f>CONCATENATE(Programme!D2325,Programme!E2325,Programme!F2325,Programme!G2325,Programme!H2325,Programme!I2325,Programme!J2325)</f>
        <v>&lt;cellule&gt;</v>
      </c>
    </row>
    <row r="2325" spans="1:1" x14ac:dyDescent="0.2">
      <c r="A2325" s="996" t="str">
        <f>CONCATENATE(Programme!D2326,Programme!E2326,Programme!F2326,Programme!G2326,Programme!H2326,Programme!I2326,Programme!J2326)</f>
        <v>&lt;codeEdi&gt;11317&lt;/codeEdi&gt;</v>
      </c>
    </row>
    <row r="2326" spans="1:1" x14ac:dyDescent="0.2">
      <c r="A2326" s="996" t="str">
        <f>CONCATENATE(Programme!D2327,Programme!E2327,Programme!F2327,Programme!G2327,Programme!H2327,Programme!I2327,Programme!J2327)</f>
        <v>&lt;/cellule&gt;</v>
      </c>
    </row>
    <row r="2327" spans="1:1" x14ac:dyDescent="0.2">
      <c r="A2327" s="996" t="str">
        <f>CONCATENATE(Programme!D2328,Programme!E2328,Programme!F2328,Programme!G2328,Programme!H2328,Programme!I2328,Programme!J2328)</f>
        <v>&lt;valeur&gt;0&lt;/valeur&gt;</v>
      </c>
    </row>
    <row r="2328" spans="1:1" x14ac:dyDescent="0.2">
      <c r="A2328" s="996" t="str">
        <f>CONCATENATE(Programme!D2329,Programme!E2329,Programme!F2329,Programme!G2329,Programme!H2329,Programme!I2329,Programme!J2329)</f>
        <v>&lt;/ValeurCellule&gt;</v>
      </c>
    </row>
    <row r="2329" spans="1:1" x14ac:dyDescent="0.2">
      <c r="A2329" s="996" t="str">
        <f>CONCATENATE(Programme!D2330,Programme!E2330,Programme!F2330,Programme!G2330,Programme!H2330,Programme!I2330,Programme!J2330)</f>
        <v>&lt;ValeurCellule&gt;</v>
      </c>
    </row>
    <row r="2330" spans="1:1" x14ac:dyDescent="0.2">
      <c r="A2330" s="996" t="str">
        <f>CONCATENATE(Programme!D2331,Programme!E2331,Programme!F2331,Programme!G2331,Programme!H2331,Programme!I2331,Programme!J2331)</f>
        <v>&lt;cellule&gt;</v>
      </c>
    </row>
    <row r="2331" spans="1:1" x14ac:dyDescent="0.2">
      <c r="A2331" s="996" t="str">
        <f>CONCATENATE(Programme!D2332,Programme!E2332,Programme!F2332,Programme!G2332,Programme!H2332,Programme!I2332,Programme!J2332)</f>
        <v>&lt;codeEdi&gt;11322&lt;/codeEdi&gt;</v>
      </c>
    </row>
    <row r="2332" spans="1:1" x14ac:dyDescent="0.2">
      <c r="A2332" s="996" t="str">
        <f>CONCATENATE(Programme!D2333,Programme!E2333,Programme!F2333,Programme!G2333,Programme!H2333,Programme!I2333,Programme!J2333)</f>
        <v>&lt;/cellule&gt;</v>
      </c>
    </row>
    <row r="2333" spans="1:1" x14ac:dyDescent="0.2">
      <c r="A2333" s="996" t="str">
        <f>CONCATENATE(Programme!D2334,Programme!E2334,Programme!F2334,Programme!G2334,Programme!H2334,Programme!I2334,Programme!J2334)</f>
        <v>&lt;valeur&gt;0&lt;/valeur&gt;</v>
      </c>
    </row>
    <row r="2334" spans="1:1" x14ac:dyDescent="0.2">
      <c r="A2334" s="996" t="str">
        <f>CONCATENATE(Programme!D2335,Programme!E2335,Programme!F2335,Programme!G2335,Programme!H2335,Programme!I2335,Programme!J2335)</f>
        <v>&lt;/ValeurCellule&gt;</v>
      </c>
    </row>
    <row r="2335" spans="1:1" x14ac:dyDescent="0.2">
      <c r="A2335" s="996" t="str">
        <f>CONCATENATE(Programme!D2336,Programme!E2336,Programme!F2336,Programme!G2336,Programme!H2336,Programme!I2336,Programme!J2336)</f>
        <v>&lt;ValeurCellule&gt;</v>
      </c>
    </row>
    <row r="2336" spans="1:1" x14ac:dyDescent="0.2">
      <c r="A2336" s="996" t="str">
        <f>CONCATENATE(Programme!D2337,Programme!E2337,Programme!F2337,Programme!G2337,Programme!H2337,Programme!I2337,Programme!J2337)</f>
        <v>&lt;cellule&gt;</v>
      </c>
    </row>
    <row r="2337" spans="1:1" x14ac:dyDescent="0.2">
      <c r="A2337" s="996" t="str">
        <f>CONCATENATE(Programme!D2338,Programme!E2338,Programme!F2338,Programme!G2338,Programme!H2338,Programme!I2338,Programme!J2338)</f>
        <v>&lt;codeEdi&gt;11327&lt;/codeEdi&gt;</v>
      </c>
    </row>
    <row r="2338" spans="1:1" x14ac:dyDescent="0.2">
      <c r="A2338" s="996" t="str">
        <f>CONCATENATE(Programme!D2339,Programme!E2339,Programme!F2339,Programme!G2339,Programme!H2339,Programme!I2339,Programme!J2339)</f>
        <v>&lt;/cellule&gt;</v>
      </c>
    </row>
    <row r="2339" spans="1:1" x14ac:dyDescent="0.2">
      <c r="A2339" s="996" t="str">
        <f>CONCATENATE(Programme!D2340,Programme!E2340,Programme!F2340,Programme!G2340,Programme!H2340,Programme!I2340,Programme!J2340)</f>
        <v>&lt;valeur&gt;0&lt;/valeur&gt;</v>
      </c>
    </row>
    <row r="2340" spans="1:1" x14ac:dyDescent="0.2">
      <c r="A2340" s="996" t="str">
        <f>CONCATENATE(Programme!D2341,Programme!E2341,Programme!F2341,Programme!G2341,Programme!H2341,Programme!I2341,Programme!J2341)</f>
        <v>&lt;/ValeurCellule&gt;</v>
      </c>
    </row>
    <row r="2341" spans="1:1" x14ac:dyDescent="0.2">
      <c r="A2341" s="996" t="str">
        <f>CONCATENATE(Programme!D2342,Programme!E2342,Programme!F2342,Programme!G2342,Programme!H2342,Programme!I2342,Programme!J2342)</f>
        <v>&lt;ValeurCellule&gt;</v>
      </c>
    </row>
    <row r="2342" spans="1:1" x14ac:dyDescent="0.2">
      <c r="A2342" s="996" t="str">
        <f>CONCATENATE(Programme!D2343,Programme!E2343,Programme!F2343,Programme!G2343,Programme!H2343,Programme!I2343,Programme!J2343)</f>
        <v>&lt;cellule&gt;</v>
      </c>
    </row>
    <row r="2343" spans="1:1" x14ac:dyDescent="0.2">
      <c r="A2343" s="996" t="str">
        <f>CONCATENATE(Programme!D2344,Programme!E2344,Programme!F2344,Programme!G2344,Programme!H2344,Programme!I2344,Programme!J2344)</f>
        <v>&lt;codeEdi&gt;11273&lt;/codeEdi&gt;</v>
      </c>
    </row>
    <row r="2344" spans="1:1" x14ac:dyDescent="0.2">
      <c r="A2344" s="996" t="str">
        <f>CONCATENATE(Programme!D2345,Programme!E2345,Programme!F2345,Programme!G2345,Programme!H2345,Programme!I2345,Programme!J2345)</f>
        <v>&lt;/cellule&gt;</v>
      </c>
    </row>
    <row r="2345" spans="1:1" x14ac:dyDescent="0.2">
      <c r="A2345" s="996" t="str">
        <f>CONCATENATE(Programme!D2346,Programme!E2346,Programme!F2346,Programme!G2346,Programme!H2346,Programme!I2346,Programme!J2346)</f>
        <v>&lt;valeur&gt;0&lt;/valeur&gt;</v>
      </c>
    </row>
    <row r="2346" spans="1:1" x14ac:dyDescent="0.2">
      <c r="A2346" s="996" t="str">
        <f>CONCATENATE(Programme!D2347,Programme!E2347,Programme!F2347,Programme!G2347,Programme!H2347,Programme!I2347,Programme!J2347)</f>
        <v>&lt;/ValeurCellule&gt;</v>
      </c>
    </row>
    <row r="2347" spans="1:1" x14ac:dyDescent="0.2">
      <c r="A2347" s="996" t="str">
        <f>CONCATENATE(Programme!D2348,Programme!E2348,Programme!F2348,Programme!G2348,Programme!H2348,Programme!I2348,Programme!J2348)</f>
        <v>&lt;ValeurCellule&gt;</v>
      </c>
    </row>
    <row r="2348" spans="1:1" x14ac:dyDescent="0.2">
      <c r="A2348" s="996" t="str">
        <f>CONCATENATE(Programme!D2349,Programme!E2349,Programme!F2349,Programme!G2349,Programme!H2349,Programme!I2349,Programme!J2349)</f>
        <v>&lt;cellule&gt;</v>
      </c>
    </row>
    <row r="2349" spans="1:1" x14ac:dyDescent="0.2">
      <c r="A2349" s="996" t="str">
        <f>CONCATENATE(Programme!D2350,Programme!E2350,Programme!F2350,Programme!G2350,Programme!H2350,Programme!I2350,Programme!J2350)</f>
        <v>&lt;codeEdi&gt;11278&lt;/codeEdi&gt;</v>
      </c>
    </row>
    <row r="2350" spans="1:1" x14ac:dyDescent="0.2">
      <c r="A2350" s="996" t="str">
        <f>CONCATENATE(Programme!D2351,Programme!E2351,Programme!F2351,Programme!G2351,Programme!H2351,Programme!I2351,Programme!J2351)</f>
        <v>&lt;/cellule&gt;</v>
      </c>
    </row>
    <row r="2351" spans="1:1" x14ac:dyDescent="0.2">
      <c r="A2351" s="996" t="str">
        <f>CONCATENATE(Programme!D2352,Programme!E2352,Programme!F2352,Programme!G2352,Programme!H2352,Programme!I2352,Programme!J2352)</f>
        <v>&lt;valeur&gt;0&lt;/valeur&gt;</v>
      </c>
    </row>
    <row r="2352" spans="1:1" x14ac:dyDescent="0.2">
      <c r="A2352" s="996" t="str">
        <f>CONCATENATE(Programme!D2353,Programme!E2353,Programme!F2353,Programme!G2353,Programme!H2353,Programme!I2353,Programme!J2353)</f>
        <v>&lt;/ValeurCellule&gt;</v>
      </c>
    </row>
    <row r="2353" spans="1:1" x14ac:dyDescent="0.2">
      <c r="A2353" s="996" t="str">
        <f>CONCATENATE(Programme!D2354,Programme!E2354,Programme!F2354,Programme!G2354,Programme!H2354,Programme!I2354,Programme!J2354)</f>
        <v>&lt;ValeurCellule&gt;</v>
      </c>
    </row>
    <row r="2354" spans="1:1" x14ac:dyDescent="0.2">
      <c r="A2354" s="996" t="str">
        <f>CONCATENATE(Programme!D2355,Programme!E2355,Programme!F2355,Programme!G2355,Programme!H2355,Programme!I2355,Programme!J2355)</f>
        <v>&lt;cellule&gt;</v>
      </c>
    </row>
    <row r="2355" spans="1:1" x14ac:dyDescent="0.2">
      <c r="A2355" s="996" t="str">
        <f>CONCATENATE(Programme!D2356,Programme!E2356,Programme!F2356,Programme!G2356,Programme!H2356,Programme!I2356,Programme!J2356)</f>
        <v>&lt;codeEdi&gt;11283&lt;/codeEdi&gt;</v>
      </c>
    </row>
    <row r="2356" spans="1:1" x14ac:dyDescent="0.2">
      <c r="A2356" s="996" t="str">
        <f>CONCATENATE(Programme!D2357,Programme!E2357,Programme!F2357,Programme!G2357,Programme!H2357,Programme!I2357,Programme!J2357)</f>
        <v>&lt;/cellule&gt;</v>
      </c>
    </row>
    <row r="2357" spans="1:1" x14ac:dyDescent="0.2">
      <c r="A2357" s="996" t="str">
        <f>CONCATENATE(Programme!D2358,Programme!E2358,Programme!F2358,Programme!G2358,Programme!H2358,Programme!I2358,Programme!J2358)</f>
        <v>&lt;valeur&gt;0&lt;/valeur&gt;</v>
      </c>
    </row>
    <row r="2358" spans="1:1" x14ac:dyDescent="0.2">
      <c r="A2358" s="996" t="str">
        <f>CONCATENATE(Programme!D2359,Programme!E2359,Programme!F2359,Programme!G2359,Programme!H2359,Programme!I2359,Programme!J2359)</f>
        <v>&lt;/ValeurCellule&gt;</v>
      </c>
    </row>
    <row r="2359" spans="1:1" x14ac:dyDescent="0.2">
      <c r="A2359" s="996" t="str">
        <f>CONCATENATE(Programme!D2360,Programme!E2360,Programme!F2360,Programme!G2360,Programme!H2360,Programme!I2360,Programme!J2360)</f>
        <v>&lt;ValeurCellule&gt;</v>
      </c>
    </row>
    <row r="2360" spans="1:1" x14ac:dyDescent="0.2">
      <c r="A2360" s="996" t="str">
        <f>CONCATENATE(Programme!D2361,Programme!E2361,Programme!F2361,Programme!G2361,Programme!H2361,Programme!I2361,Programme!J2361)</f>
        <v>&lt;cellule&gt;</v>
      </c>
    </row>
    <row r="2361" spans="1:1" x14ac:dyDescent="0.2">
      <c r="A2361" s="996" t="str">
        <f>CONCATENATE(Programme!D2362,Programme!E2362,Programme!F2362,Programme!G2362,Programme!H2362,Programme!I2362,Programme!J2362)</f>
        <v>&lt;codeEdi&gt;11288&lt;/codeEdi&gt;</v>
      </c>
    </row>
    <row r="2362" spans="1:1" x14ac:dyDescent="0.2">
      <c r="A2362" s="996" t="str">
        <f>CONCATENATE(Programme!D2363,Programme!E2363,Programme!F2363,Programme!G2363,Programme!H2363,Programme!I2363,Programme!J2363)</f>
        <v>&lt;/cellule&gt;</v>
      </c>
    </row>
    <row r="2363" spans="1:1" x14ac:dyDescent="0.2">
      <c r="A2363" s="996" t="str">
        <f>CONCATENATE(Programme!D2364,Programme!E2364,Programme!F2364,Programme!G2364,Programme!H2364,Programme!I2364,Programme!J2364)</f>
        <v>&lt;valeur&gt;0&lt;/valeur&gt;</v>
      </c>
    </row>
    <row r="2364" spans="1:1" x14ac:dyDescent="0.2">
      <c r="A2364" s="996" t="str">
        <f>CONCATENATE(Programme!D2365,Programme!E2365,Programme!F2365,Programme!G2365,Programme!H2365,Programme!I2365,Programme!J2365)</f>
        <v>&lt;/ValeurCellule&gt;</v>
      </c>
    </row>
    <row r="2365" spans="1:1" x14ac:dyDescent="0.2">
      <c r="A2365" s="996" t="str">
        <f>CONCATENATE(Programme!D2366,Programme!E2366,Programme!F2366,Programme!G2366,Programme!H2366,Programme!I2366,Programme!J2366)</f>
        <v>&lt;ValeurCellule&gt;</v>
      </c>
    </row>
    <row r="2366" spans="1:1" x14ac:dyDescent="0.2">
      <c r="A2366" s="996" t="str">
        <f>CONCATENATE(Programme!D2367,Programme!E2367,Programme!F2367,Programme!G2367,Programme!H2367,Programme!I2367,Programme!J2367)</f>
        <v>&lt;cellule&gt;</v>
      </c>
    </row>
    <row r="2367" spans="1:1" x14ac:dyDescent="0.2">
      <c r="A2367" s="996" t="str">
        <f>CONCATENATE(Programme!D2368,Programme!E2368,Programme!F2368,Programme!G2368,Programme!H2368,Programme!I2368,Programme!J2368)</f>
        <v>&lt;codeEdi&gt;11293&lt;/codeEdi&gt;</v>
      </c>
    </row>
    <row r="2368" spans="1:1" x14ac:dyDescent="0.2">
      <c r="A2368" s="996" t="str">
        <f>CONCATENATE(Programme!D2369,Programme!E2369,Programme!F2369,Programme!G2369,Programme!H2369,Programme!I2369,Programme!J2369)</f>
        <v>&lt;/cellule&gt;</v>
      </c>
    </row>
    <row r="2369" spans="1:1" x14ac:dyDescent="0.2">
      <c r="A2369" s="996" t="str">
        <f>CONCATENATE(Programme!D2370,Programme!E2370,Programme!F2370,Programme!G2370,Programme!H2370,Programme!I2370,Programme!J2370)</f>
        <v>&lt;valeur&gt;0&lt;/valeur&gt;</v>
      </c>
    </row>
    <row r="2370" spans="1:1" x14ac:dyDescent="0.2">
      <c r="A2370" s="996" t="str">
        <f>CONCATENATE(Programme!D2371,Programme!E2371,Programme!F2371,Programme!G2371,Programme!H2371,Programme!I2371,Programme!J2371)</f>
        <v>&lt;/ValeurCellule&gt;</v>
      </c>
    </row>
    <row r="2371" spans="1:1" x14ac:dyDescent="0.2">
      <c r="A2371" s="996" t="str">
        <f>CONCATENATE(Programme!D2372,Programme!E2372,Programme!F2372,Programme!G2372,Programme!H2372,Programme!I2372,Programme!J2372)</f>
        <v>&lt;ValeurCellule&gt;</v>
      </c>
    </row>
    <row r="2372" spans="1:1" x14ac:dyDescent="0.2">
      <c r="A2372" s="996" t="str">
        <f>CONCATENATE(Programme!D2373,Programme!E2373,Programme!F2373,Programme!G2373,Programme!H2373,Programme!I2373,Programme!J2373)</f>
        <v>&lt;cellule&gt;</v>
      </c>
    </row>
    <row r="2373" spans="1:1" x14ac:dyDescent="0.2">
      <c r="A2373" s="996" t="str">
        <f>CONCATENATE(Programme!D2374,Programme!E2374,Programme!F2374,Programme!G2374,Programme!H2374,Programme!I2374,Programme!J2374)</f>
        <v>&lt;codeEdi&gt;11333&lt;/codeEdi&gt;</v>
      </c>
    </row>
    <row r="2374" spans="1:1" x14ac:dyDescent="0.2">
      <c r="A2374" s="996" t="str">
        <f>CONCATENATE(Programme!D2375,Programme!E2375,Programme!F2375,Programme!G2375,Programme!H2375,Programme!I2375,Programme!J2375)</f>
        <v>&lt;/cellule&gt;</v>
      </c>
    </row>
    <row r="2375" spans="1:1" x14ac:dyDescent="0.2">
      <c r="A2375" s="996" t="str">
        <f>CONCATENATE(Programme!D2376,Programme!E2376,Programme!F2376,Programme!G2376,Programme!H2376,Programme!I2376,Programme!J2376)</f>
        <v>&lt;valeur&gt;0&lt;/valeur&gt;</v>
      </c>
    </row>
    <row r="2376" spans="1:1" x14ac:dyDescent="0.2">
      <c r="A2376" s="996" t="str">
        <f>CONCATENATE(Programme!D2377,Programme!E2377,Programme!F2377,Programme!G2377,Programme!H2377,Programme!I2377,Programme!J2377)</f>
        <v>&lt;/ValeurCellule&gt;</v>
      </c>
    </row>
    <row r="2377" spans="1:1" x14ac:dyDescent="0.2">
      <c r="A2377" s="996" t="str">
        <f>CONCATENATE(Programme!D2378,Programme!E2378,Programme!F2378,Programme!G2378,Programme!H2378,Programme!I2378,Programme!J2378)</f>
        <v>&lt;ValeurCellule&gt;</v>
      </c>
    </row>
    <row r="2378" spans="1:1" x14ac:dyDescent="0.2">
      <c r="A2378" s="996" t="str">
        <f>CONCATENATE(Programme!D2379,Programme!E2379,Programme!F2379,Programme!G2379,Programme!H2379,Programme!I2379,Programme!J2379)</f>
        <v>&lt;cellule&gt;</v>
      </c>
    </row>
    <row r="2379" spans="1:1" x14ac:dyDescent="0.2">
      <c r="A2379" s="996" t="str">
        <f>CONCATENATE(Programme!D2380,Programme!E2380,Programme!F2380,Programme!G2380,Programme!H2380,Programme!I2380,Programme!J2380)</f>
        <v>&lt;codeEdi&gt;11298&lt;/codeEdi&gt;</v>
      </c>
    </row>
    <row r="2380" spans="1:1" x14ac:dyDescent="0.2">
      <c r="A2380" s="996" t="str">
        <f>CONCATENATE(Programme!D2381,Programme!E2381,Programme!F2381,Programme!G2381,Programme!H2381,Programme!I2381,Programme!J2381)</f>
        <v>&lt;/cellule&gt;</v>
      </c>
    </row>
    <row r="2381" spans="1:1" x14ac:dyDescent="0.2">
      <c r="A2381" s="996" t="str">
        <f>CONCATENATE(Programme!D2382,Programme!E2382,Programme!F2382,Programme!G2382,Programme!H2382,Programme!I2382,Programme!J2382)</f>
        <v>&lt;valeur&gt;0&lt;/valeur&gt;</v>
      </c>
    </row>
    <row r="2382" spans="1:1" x14ac:dyDescent="0.2">
      <c r="A2382" s="996" t="str">
        <f>CONCATENATE(Programme!D2383,Programme!E2383,Programme!F2383,Programme!G2383,Programme!H2383,Programme!I2383,Programme!J2383)</f>
        <v>&lt;/ValeurCellule&gt;</v>
      </c>
    </row>
    <row r="2383" spans="1:1" x14ac:dyDescent="0.2">
      <c r="A2383" s="996" t="str">
        <f>CONCATENATE(Programme!D2384,Programme!E2384,Programme!F2384,Programme!G2384,Programme!H2384,Programme!I2384,Programme!J2384)</f>
        <v>&lt;ValeurCellule&gt;</v>
      </c>
    </row>
    <row r="2384" spans="1:1" x14ac:dyDescent="0.2">
      <c r="A2384" s="996" t="str">
        <f>CONCATENATE(Programme!D2385,Programme!E2385,Programme!F2385,Programme!G2385,Programme!H2385,Programme!I2385,Programme!J2385)</f>
        <v>&lt;cellule&gt;</v>
      </c>
    </row>
    <row r="2385" spans="1:1" x14ac:dyDescent="0.2">
      <c r="A2385" s="996" t="str">
        <f>CONCATENATE(Programme!D2386,Programme!E2386,Programme!F2386,Programme!G2386,Programme!H2386,Programme!I2386,Programme!J2386)</f>
        <v>&lt;codeEdi&gt;11303&lt;/codeEdi&gt;</v>
      </c>
    </row>
    <row r="2386" spans="1:1" x14ac:dyDescent="0.2">
      <c r="A2386" s="996" t="str">
        <f>CONCATENATE(Programme!D2387,Programme!E2387,Programme!F2387,Programme!G2387,Programme!H2387,Programme!I2387,Programme!J2387)</f>
        <v>&lt;/cellule&gt;</v>
      </c>
    </row>
    <row r="2387" spans="1:1" x14ac:dyDescent="0.2">
      <c r="A2387" s="996" t="str">
        <f>CONCATENATE(Programme!D2388,Programme!E2388,Programme!F2388,Programme!G2388,Programme!H2388,Programme!I2388,Programme!J2388)</f>
        <v>&lt;valeur&gt;0&lt;/valeur&gt;</v>
      </c>
    </row>
    <row r="2388" spans="1:1" x14ac:dyDescent="0.2">
      <c r="A2388" s="996" t="str">
        <f>CONCATENATE(Programme!D2389,Programme!E2389,Programme!F2389,Programme!G2389,Programme!H2389,Programme!I2389,Programme!J2389)</f>
        <v>&lt;/ValeurCellule&gt;</v>
      </c>
    </row>
    <row r="2389" spans="1:1" x14ac:dyDescent="0.2">
      <c r="A2389" s="996" t="str">
        <f>CONCATENATE(Programme!D2390,Programme!E2390,Programme!F2390,Programme!G2390,Programme!H2390,Programme!I2390,Programme!J2390)</f>
        <v>&lt;ValeurCellule&gt;</v>
      </c>
    </row>
    <row r="2390" spans="1:1" x14ac:dyDescent="0.2">
      <c r="A2390" s="996" t="str">
        <f>CONCATENATE(Programme!D2391,Programme!E2391,Programme!F2391,Programme!G2391,Programme!H2391,Programme!I2391,Programme!J2391)</f>
        <v>&lt;cellule&gt;</v>
      </c>
    </row>
    <row r="2391" spans="1:1" x14ac:dyDescent="0.2">
      <c r="A2391" s="996" t="str">
        <f>CONCATENATE(Programme!D2392,Programme!E2392,Programme!F2392,Programme!G2392,Programme!H2392,Programme!I2392,Programme!J2392)</f>
        <v>&lt;codeEdi&gt;11308&lt;/codeEdi&gt;</v>
      </c>
    </row>
    <row r="2392" spans="1:1" x14ac:dyDescent="0.2">
      <c r="A2392" s="996" t="str">
        <f>CONCATENATE(Programme!D2393,Programme!E2393,Programme!F2393,Programme!G2393,Programme!H2393,Programme!I2393,Programme!J2393)</f>
        <v>&lt;/cellule&gt;</v>
      </c>
    </row>
    <row r="2393" spans="1:1" x14ac:dyDescent="0.2">
      <c r="A2393" s="996" t="str">
        <f>CONCATENATE(Programme!D2394,Programme!E2394,Programme!F2394,Programme!G2394,Programme!H2394,Programme!I2394,Programme!J2394)</f>
        <v>&lt;valeur&gt;0&lt;/valeur&gt;</v>
      </c>
    </row>
    <row r="2394" spans="1:1" x14ac:dyDescent="0.2">
      <c r="A2394" s="996" t="str">
        <f>CONCATENATE(Programme!D2395,Programme!E2395,Programme!F2395,Programme!G2395,Programme!H2395,Programme!I2395,Programme!J2395)</f>
        <v>&lt;/ValeurCellule&gt;</v>
      </c>
    </row>
    <row r="2395" spans="1:1" x14ac:dyDescent="0.2">
      <c r="A2395" s="996" t="str">
        <f>CONCATENATE(Programme!D2396,Programme!E2396,Programme!F2396,Programme!G2396,Programme!H2396,Programme!I2396,Programme!J2396)</f>
        <v>&lt;ValeurCellule&gt;</v>
      </c>
    </row>
    <row r="2396" spans="1:1" x14ac:dyDescent="0.2">
      <c r="A2396" s="996" t="str">
        <f>CONCATENATE(Programme!D2397,Programme!E2397,Programme!F2397,Programme!G2397,Programme!H2397,Programme!I2397,Programme!J2397)</f>
        <v>&lt;cellule&gt;</v>
      </c>
    </row>
    <row r="2397" spans="1:1" x14ac:dyDescent="0.2">
      <c r="A2397" s="996" t="str">
        <f>CONCATENATE(Programme!D2398,Programme!E2398,Programme!F2398,Programme!G2398,Programme!H2398,Programme!I2398,Programme!J2398)</f>
        <v>&lt;codeEdi&gt;11313&lt;/codeEdi&gt;</v>
      </c>
    </row>
    <row r="2398" spans="1:1" x14ac:dyDescent="0.2">
      <c r="A2398" s="996" t="str">
        <f>CONCATENATE(Programme!D2399,Programme!E2399,Programme!F2399,Programme!G2399,Programme!H2399,Programme!I2399,Programme!J2399)</f>
        <v>&lt;/cellule&gt;</v>
      </c>
    </row>
    <row r="2399" spans="1:1" x14ac:dyDescent="0.2">
      <c r="A2399" s="996" t="str">
        <f>CONCATENATE(Programme!D2400,Programme!E2400,Programme!F2400,Programme!G2400,Programme!H2400,Programme!I2400,Programme!J2400)</f>
        <v>&lt;valeur&gt;0&lt;/valeur&gt;</v>
      </c>
    </row>
    <row r="2400" spans="1:1" x14ac:dyDescent="0.2">
      <c r="A2400" s="996" t="str">
        <f>CONCATENATE(Programme!D2401,Programme!E2401,Programme!F2401,Programme!G2401,Programme!H2401,Programme!I2401,Programme!J2401)</f>
        <v>&lt;/ValeurCellule&gt;</v>
      </c>
    </row>
    <row r="2401" spans="1:1" x14ac:dyDescent="0.2">
      <c r="A2401" s="996" t="str">
        <f>CONCATENATE(Programme!D2402,Programme!E2402,Programme!F2402,Programme!G2402,Programme!H2402,Programme!I2402,Programme!J2402)</f>
        <v>&lt;ValeurCellule&gt;</v>
      </c>
    </row>
    <row r="2402" spans="1:1" x14ac:dyDescent="0.2">
      <c r="A2402" s="996" t="str">
        <f>CONCATENATE(Programme!D2403,Programme!E2403,Programme!F2403,Programme!G2403,Programme!H2403,Programme!I2403,Programme!J2403)</f>
        <v>&lt;cellule&gt;</v>
      </c>
    </row>
    <row r="2403" spans="1:1" x14ac:dyDescent="0.2">
      <c r="A2403" s="996" t="str">
        <f>CONCATENATE(Programme!D2404,Programme!E2404,Programme!F2404,Programme!G2404,Programme!H2404,Programme!I2404,Programme!J2404)</f>
        <v>&lt;codeEdi&gt;11318&lt;/codeEdi&gt;</v>
      </c>
    </row>
    <row r="2404" spans="1:1" x14ac:dyDescent="0.2">
      <c r="A2404" s="996" t="str">
        <f>CONCATENATE(Programme!D2405,Programme!E2405,Programme!F2405,Programme!G2405,Programme!H2405,Programme!I2405,Programme!J2405)</f>
        <v>&lt;/cellule&gt;</v>
      </c>
    </row>
    <row r="2405" spans="1:1" x14ac:dyDescent="0.2">
      <c r="A2405" s="996" t="str">
        <f>CONCATENATE(Programme!D2406,Programme!E2406,Programme!F2406,Programme!G2406,Programme!H2406,Programme!I2406,Programme!J2406)</f>
        <v>&lt;valeur&gt;0&lt;/valeur&gt;</v>
      </c>
    </row>
    <row r="2406" spans="1:1" x14ac:dyDescent="0.2">
      <c r="A2406" s="996" t="str">
        <f>CONCATENATE(Programme!D2407,Programme!E2407,Programme!F2407,Programme!G2407,Programme!H2407,Programme!I2407,Programme!J2407)</f>
        <v>&lt;/ValeurCellule&gt;</v>
      </c>
    </row>
    <row r="2407" spans="1:1" x14ac:dyDescent="0.2">
      <c r="A2407" s="996" t="str">
        <f>CONCATENATE(Programme!D2408,Programme!E2408,Programme!F2408,Programme!G2408,Programme!H2408,Programme!I2408,Programme!J2408)</f>
        <v>&lt;ValeurCellule&gt;</v>
      </c>
    </row>
    <row r="2408" spans="1:1" x14ac:dyDescent="0.2">
      <c r="A2408" s="996" t="str">
        <f>CONCATENATE(Programme!D2409,Programme!E2409,Programme!F2409,Programme!G2409,Programme!H2409,Programme!I2409,Programme!J2409)</f>
        <v>&lt;cellule&gt;</v>
      </c>
    </row>
    <row r="2409" spans="1:1" x14ac:dyDescent="0.2">
      <c r="A2409" s="996" t="str">
        <f>CONCATENATE(Programme!D2410,Programme!E2410,Programme!F2410,Programme!G2410,Programme!H2410,Programme!I2410,Programme!J2410)</f>
        <v>&lt;codeEdi&gt;11323&lt;/codeEdi&gt;</v>
      </c>
    </row>
    <row r="2410" spans="1:1" x14ac:dyDescent="0.2">
      <c r="A2410" s="996" t="str">
        <f>CONCATENATE(Programme!D2411,Programme!E2411,Programme!F2411,Programme!G2411,Programme!H2411,Programme!I2411,Programme!J2411)</f>
        <v>&lt;/cellule&gt;</v>
      </c>
    </row>
    <row r="2411" spans="1:1" x14ac:dyDescent="0.2">
      <c r="A2411" s="996" t="str">
        <f>CONCATENATE(Programme!D2412,Programme!E2412,Programme!F2412,Programme!G2412,Programme!H2412,Programme!I2412,Programme!J2412)</f>
        <v>&lt;valeur&gt;0&lt;/valeur&gt;</v>
      </c>
    </row>
    <row r="2412" spans="1:1" x14ac:dyDescent="0.2">
      <c r="A2412" s="996" t="str">
        <f>CONCATENATE(Programme!D2413,Programme!E2413,Programme!F2413,Programme!G2413,Programme!H2413,Programme!I2413,Programme!J2413)</f>
        <v>&lt;/ValeurCellule&gt;</v>
      </c>
    </row>
    <row r="2413" spans="1:1" x14ac:dyDescent="0.2">
      <c r="A2413" s="996" t="str">
        <f>CONCATENATE(Programme!D2414,Programme!E2414,Programme!F2414,Programme!G2414,Programme!H2414,Programme!I2414,Programme!J2414)</f>
        <v>&lt;ValeurCellule&gt;</v>
      </c>
    </row>
    <row r="2414" spans="1:1" x14ac:dyDescent="0.2">
      <c r="A2414" s="996" t="str">
        <f>CONCATENATE(Programme!D2415,Programme!E2415,Programme!F2415,Programme!G2415,Programme!H2415,Programme!I2415,Programme!J2415)</f>
        <v>&lt;cellule&gt;</v>
      </c>
    </row>
    <row r="2415" spans="1:1" x14ac:dyDescent="0.2">
      <c r="A2415" s="996" t="str">
        <f>CONCATENATE(Programme!D2416,Programme!E2416,Programme!F2416,Programme!G2416,Programme!H2416,Programme!I2416,Programme!J2416)</f>
        <v>&lt;codeEdi&gt;11328&lt;/codeEdi&gt;</v>
      </c>
    </row>
    <row r="2416" spans="1:1" x14ac:dyDescent="0.2">
      <c r="A2416" s="996" t="str">
        <f>CONCATENATE(Programme!D2417,Programme!E2417,Programme!F2417,Programme!G2417,Programme!H2417,Programme!I2417,Programme!J2417)</f>
        <v>&lt;/cellule&gt;</v>
      </c>
    </row>
    <row r="2417" spans="1:1" x14ac:dyDescent="0.2">
      <c r="A2417" s="996" t="str">
        <f>CONCATENATE(Programme!D2418,Programme!E2418,Programme!F2418,Programme!G2418,Programme!H2418,Programme!I2418,Programme!J2418)</f>
        <v>&lt;valeur&gt;0&lt;/valeur&gt;</v>
      </c>
    </row>
    <row r="2418" spans="1:1" x14ac:dyDescent="0.2">
      <c r="A2418" s="996" t="str">
        <f>CONCATENATE(Programme!D2419,Programme!E2419,Programme!F2419,Programme!G2419,Programme!H2419,Programme!I2419,Programme!J2419)</f>
        <v>&lt;/ValeurCellule&gt;</v>
      </c>
    </row>
    <row r="2419" spans="1:1" x14ac:dyDescent="0.2">
      <c r="A2419" s="996" t="str">
        <f>CONCATENATE(Programme!D2420,Programme!E2420,Programme!F2420,Programme!G2420,Programme!H2420,Programme!I2420,Programme!J2420)</f>
        <v>&lt;ValeurCellule&gt;</v>
      </c>
    </row>
    <row r="2420" spans="1:1" x14ac:dyDescent="0.2">
      <c r="A2420" s="996" t="str">
        <f>CONCATENATE(Programme!D2421,Programme!E2421,Programme!F2421,Programme!G2421,Programme!H2421,Programme!I2421,Programme!J2421)</f>
        <v>&lt;cellule&gt;</v>
      </c>
    </row>
    <row r="2421" spans="1:1" x14ac:dyDescent="0.2">
      <c r="A2421" s="996" t="str">
        <f>CONCATENATE(Programme!D2422,Programme!E2422,Programme!F2422,Programme!G2422,Programme!H2422,Programme!I2422,Programme!J2422)</f>
        <v>&lt;codeEdi&gt;11274&lt;/codeEdi&gt;</v>
      </c>
    </row>
    <row r="2422" spans="1:1" x14ac:dyDescent="0.2">
      <c r="A2422" s="996" t="str">
        <f>CONCATENATE(Programme!D2423,Programme!E2423,Programme!F2423,Programme!G2423,Programme!H2423,Programme!I2423,Programme!J2423)</f>
        <v>&lt;/cellule&gt;</v>
      </c>
    </row>
    <row r="2423" spans="1:1" x14ac:dyDescent="0.2">
      <c r="A2423" s="996" t="str">
        <f>CONCATENATE(Programme!D2424,Programme!E2424,Programme!F2424,Programme!G2424,Programme!H2424,Programme!I2424,Programme!J2424)</f>
        <v>&lt;valeur&gt;0&lt;/valeur&gt;</v>
      </c>
    </row>
    <row r="2424" spans="1:1" x14ac:dyDescent="0.2">
      <c r="A2424" s="996" t="str">
        <f>CONCATENATE(Programme!D2425,Programme!E2425,Programme!F2425,Programme!G2425,Programme!H2425,Programme!I2425,Programme!J2425)</f>
        <v>&lt;/ValeurCellule&gt;</v>
      </c>
    </row>
    <row r="2425" spans="1:1" x14ac:dyDescent="0.2">
      <c r="A2425" s="996" t="str">
        <f>CONCATENATE(Programme!D2426,Programme!E2426,Programme!F2426,Programme!G2426,Programme!H2426,Programme!I2426,Programme!J2426)</f>
        <v>&lt;ValeurCellule&gt;</v>
      </c>
    </row>
    <row r="2426" spans="1:1" x14ac:dyDescent="0.2">
      <c r="A2426" s="996" t="str">
        <f>CONCATENATE(Programme!D2427,Programme!E2427,Programme!F2427,Programme!G2427,Programme!H2427,Programme!I2427,Programme!J2427)</f>
        <v>&lt;cellule&gt;</v>
      </c>
    </row>
    <row r="2427" spans="1:1" x14ac:dyDescent="0.2">
      <c r="A2427" s="996" t="str">
        <f>CONCATENATE(Programme!D2428,Programme!E2428,Programme!F2428,Programme!G2428,Programme!H2428,Programme!I2428,Programme!J2428)</f>
        <v>&lt;codeEdi&gt;11279&lt;/codeEdi&gt;</v>
      </c>
    </row>
    <row r="2428" spans="1:1" x14ac:dyDescent="0.2">
      <c r="A2428" s="996" t="str">
        <f>CONCATENATE(Programme!D2429,Programme!E2429,Programme!F2429,Programme!G2429,Programme!H2429,Programme!I2429,Programme!J2429)</f>
        <v>&lt;/cellule&gt;</v>
      </c>
    </row>
    <row r="2429" spans="1:1" x14ac:dyDescent="0.2">
      <c r="A2429" s="996" t="str">
        <f>CONCATENATE(Programme!D2430,Programme!E2430,Programme!F2430,Programme!G2430,Programme!H2430,Programme!I2430,Programme!J2430)</f>
        <v>&lt;valeur&gt;0&lt;/valeur&gt;</v>
      </c>
    </row>
    <row r="2430" spans="1:1" x14ac:dyDescent="0.2">
      <c r="A2430" s="996" t="str">
        <f>CONCATENATE(Programme!D2431,Programme!E2431,Programme!F2431,Programme!G2431,Programme!H2431,Programme!I2431,Programme!J2431)</f>
        <v>&lt;/ValeurCellule&gt;</v>
      </c>
    </row>
    <row r="2431" spans="1:1" x14ac:dyDescent="0.2">
      <c r="A2431" s="996" t="str">
        <f>CONCATENATE(Programme!D2432,Programme!E2432,Programme!F2432,Programme!G2432,Programme!H2432,Programme!I2432,Programme!J2432)</f>
        <v>&lt;ValeurCellule&gt;</v>
      </c>
    </row>
    <row r="2432" spans="1:1" x14ac:dyDescent="0.2">
      <c r="A2432" s="996" t="str">
        <f>CONCATENATE(Programme!D2433,Programme!E2433,Programme!F2433,Programme!G2433,Programme!H2433,Programme!I2433,Programme!J2433)</f>
        <v>&lt;cellule&gt;</v>
      </c>
    </row>
    <row r="2433" spans="1:1" x14ac:dyDescent="0.2">
      <c r="A2433" s="996" t="str">
        <f>CONCATENATE(Programme!D2434,Programme!E2434,Programme!F2434,Programme!G2434,Programme!H2434,Programme!I2434,Programme!J2434)</f>
        <v>&lt;codeEdi&gt;11284&lt;/codeEdi&gt;</v>
      </c>
    </row>
    <row r="2434" spans="1:1" x14ac:dyDescent="0.2">
      <c r="A2434" s="996" t="str">
        <f>CONCATENATE(Programme!D2435,Programme!E2435,Programme!F2435,Programme!G2435,Programme!H2435,Programme!I2435,Programme!J2435)</f>
        <v>&lt;/cellule&gt;</v>
      </c>
    </row>
    <row r="2435" spans="1:1" x14ac:dyDescent="0.2">
      <c r="A2435" s="996" t="str">
        <f>CONCATENATE(Programme!D2436,Programme!E2436,Programme!F2436,Programme!G2436,Programme!H2436,Programme!I2436,Programme!J2436)</f>
        <v>&lt;valeur&gt;0&lt;/valeur&gt;</v>
      </c>
    </row>
    <row r="2436" spans="1:1" x14ac:dyDescent="0.2">
      <c r="A2436" s="996" t="str">
        <f>CONCATENATE(Programme!D2437,Programme!E2437,Programme!F2437,Programme!G2437,Programme!H2437,Programme!I2437,Programme!J2437)</f>
        <v>&lt;/ValeurCellule&gt;</v>
      </c>
    </row>
    <row r="2437" spans="1:1" x14ac:dyDescent="0.2">
      <c r="A2437" s="996" t="str">
        <f>CONCATENATE(Programme!D2438,Programme!E2438,Programme!F2438,Programme!G2438,Programme!H2438,Programme!I2438,Programme!J2438)</f>
        <v>&lt;ValeurCellule&gt;</v>
      </c>
    </row>
    <row r="2438" spans="1:1" x14ac:dyDescent="0.2">
      <c r="A2438" s="996" t="str">
        <f>CONCATENATE(Programme!D2439,Programme!E2439,Programme!F2439,Programme!G2439,Programme!H2439,Programme!I2439,Programme!J2439)</f>
        <v>&lt;cellule&gt;</v>
      </c>
    </row>
    <row r="2439" spans="1:1" x14ac:dyDescent="0.2">
      <c r="A2439" s="996" t="str">
        <f>CONCATENATE(Programme!D2440,Programme!E2440,Programme!F2440,Programme!G2440,Programme!H2440,Programme!I2440,Programme!J2440)</f>
        <v>&lt;codeEdi&gt;11289&lt;/codeEdi&gt;</v>
      </c>
    </row>
    <row r="2440" spans="1:1" x14ac:dyDescent="0.2">
      <c r="A2440" s="996" t="str">
        <f>CONCATENATE(Programme!D2441,Programme!E2441,Programme!F2441,Programme!G2441,Programme!H2441,Programme!I2441,Programme!J2441)</f>
        <v>&lt;/cellule&gt;</v>
      </c>
    </row>
    <row r="2441" spans="1:1" x14ac:dyDescent="0.2">
      <c r="A2441" s="996" t="str">
        <f>CONCATENATE(Programme!D2442,Programme!E2442,Programme!F2442,Programme!G2442,Programme!H2442,Programme!I2442,Programme!J2442)</f>
        <v>&lt;valeur&gt;0&lt;/valeur&gt;</v>
      </c>
    </row>
    <row r="2442" spans="1:1" x14ac:dyDescent="0.2">
      <c r="A2442" s="996" t="str">
        <f>CONCATENATE(Programme!D2443,Programme!E2443,Programme!F2443,Programme!G2443,Programme!H2443,Programme!I2443,Programme!J2443)</f>
        <v>&lt;/ValeurCellule&gt;</v>
      </c>
    </row>
    <row r="2443" spans="1:1" x14ac:dyDescent="0.2">
      <c r="A2443" s="996" t="str">
        <f>CONCATENATE(Programme!D2444,Programme!E2444,Programme!F2444,Programme!G2444,Programme!H2444,Programme!I2444,Programme!J2444)</f>
        <v>&lt;ValeurCellule&gt;</v>
      </c>
    </row>
    <row r="2444" spans="1:1" x14ac:dyDescent="0.2">
      <c r="A2444" s="996" t="str">
        <f>CONCATENATE(Programme!D2445,Programme!E2445,Programme!F2445,Programme!G2445,Programme!H2445,Programme!I2445,Programme!J2445)</f>
        <v>&lt;cellule&gt;</v>
      </c>
    </row>
    <row r="2445" spans="1:1" x14ac:dyDescent="0.2">
      <c r="A2445" s="996" t="str">
        <f>CONCATENATE(Programme!D2446,Programme!E2446,Programme!F2446,Programme!G2446,Programme!H2446,Programme!I2446,Programme!J2446)</f>
        <v>&lt;codeEdi&gt;11294&lt;/codeEdi&gt;</v>
      </c>
    </row>
    <row r="2446" spans="1:1" x14ac:dyDescent="0.2">
      <c r="A2446" s="996" t="str">
        <f>CONCATENATE(Programme!D2447,Programme!E2447,Programme!F2447,Programme!G2447,Programme!H2447,Programme!I2447,Programme!J2447)</f>
        <v>&lt;/cellule&gt;</v>
      </c>
    </row>
    <row r="2447" spans="1:1" x14ac:dyDescent="0.2">
      <c r="A2447" s="996" t="str">
        <f>CONCATENATE(Programme!D2448,Programme!E2448,Programme!F2448,Programme!G2448,Programme!H2448,Programme!I2448,Programme!J2448)</f>
        <v>&lt;valeur&gt;0&lt;/valeur&gt;</v>
      </c>
    </row>
    <row r="2448" spans="1:1" x14ac:dyDescent="0.2">
      <c r="A2448" s="996" t="str">
        <f>CONCATENATE(Programme!D2449,Programme!E2449,Programme!F2449,Programme!G2449,Programme!H2449,Programme!I2449,Programme!J2449)</f>
        <v>&lt;/ValeurCellule&gt;</v>
      </c>
    </row>
    <row r="2449" spans="1:1" x14ac:dyDescent="0.2">
      <c r="A2449" s="996" t="str">
        <f>CONCATENATE(Programme!D2450,Programme!E2450,Programme!F2450,Programme!G2450,Programme!H2450,Programme!I2450,Programme!J2450)</f>
        <v>&lt;ValeurCellule&gt;</v>
      </c>
    </row>
    <row r="2450" spans="1:1" x14ac:dyDescent="0.2">
      <c r="A2450" s="996" t="str">
        <f>CONCATENATE(Programme!D2451,Programme!E2451,Programme!F2451,Programme!G2451,Programme!H2451,Programme!I2451,Programme!J2451)</f>
        <v>&lt;cellule&gt;</v>
      </c>
    </row>
    <row r="2451" spans="1:1" x14ac:dyDescent="0.2">
      <c r="A2451" s="996" t="str">
        <f>CONCATENATE(Programme!D2452,Programme!E2452,Programme!F2452,Programme!G2452,Programme!H2452,Programme!I2452,Programme!J2452)</f>
        <v>&lt;codeEdi&gt;11329&lt;/codeEdi&gt;</v>
      </c>
    </row>
    <row r="2452" spans="1:1" x14ac:dyDescent="0.2">
      <c r="A2452" s="996" t="str">
        <f>CONCATENATE(Programme!D2453,Programme!E2453,Programme!F2453,Programme!G2453,Programme!H2453,Programme!I2453,Programme!J2453)</f>
        <v>&lt;/cellule&gt;</v>
      </c>
    </row>
    <row r="2453" spans="1:1" x14ac:dyDescent="0.2">
      <c r="A2453" s="996" t="str">
        <f>CONCATENATE(Programme!D2454,Programme!E2454,Programme!F2454,Programme!G2454,Programme!H2454,Programme!I2454,Programme!J2454)</f>
        <v>&lt;valeur&gt;0&lt;/valeur&gt;</v>
      </c>
    </row>
    <row r="2454" spans="1:1" x14ac:dyDescent="0.2">
      <c r="A2454" s="996" t="str">
        <f>CONCATENATE(Programme!D2455,Programme!E2455,Programme!F2455,Programme!G2455,Programme!H2455,Programme!I2455,Programme!J2455)</f>
        <v>&lt;/ValeurCellule&gt;</v>
      </c>
    </row>
    <row r="2455" spans="1:1" x14ac:dyDescent="0.2">
      <c r="A2455" s="996" t="str">
        <f>CONCATENATE(Programme!D2456,Programme!E2456,Programme!F2456,Programme!G2456,Programme!H2456,Programme!I2456,Programme!J2456)</f>
        <v>&lt;ValeurCellule&gt;</v>
      </c>
    </row>
    <row r="2456" spans="1:1" x14ac:dyDescent="0.2">
      <c r="A2456" s="996" t="str">
        <f>CONCATENATE(Programme!D2457,Programme!E2457,Programme!F2457,Programme!G2457,Programme!H2457,Programme!I2457,Programme!J2457)</f>
        <v>&lt;cellule&gt;</v>
      </c>
    </row>
    <row r="2457" spans="1:1" x14ac:dyDescent="0.2">
      <c r="A2457" s="996" t="str">
        <f>CONCATENATE(Programme!D2458,Programme!E2458,Programme!F2458,Programme!G2458,Programme!H2458,Programme!I2458,Programme!J2458)</f>
        <v>&lt;codeEdi&gt;11334&lt;/codeEdi&gt;</v>
      </c>
    </row>
    <row r="2458" spans="1:1" x14ac:dyDescent="0.2">
      <c r="A2458" s="996" t="str">
        <f>CONCATENATE(Programme!D2459,Programme!E2459,Programme!F2459,Programme!G2459,Programme!H2459,Programme!I2459,Programme!J2459)</f>
        <v>&lt;/cellule&gt;</v>
      </c>
    </row>
    <row r="2459" spans="1:1" x14ac:dyDescent="0.2">
      <c r="A2459" s="996" t="str">
        <f>CONCATENATE(Programme!D2460,Programme!E2460,Programme!F2460,Programme!G2460,Programme!H2460,Programme!I2460,Programme!J2460)</f>
        <v>&lt;valeur&gt;0&lt;/valeur&gt;</v>
      </c>
    </row>
    <row r="2460" spans="1:1" x14ac:dyDescent="0.2">
      <c r="A2460" s="996" t="str">
        <f>CONCATENATE(Programme!D2461,Programme!E2461,Programme!F2461,Programme!G2461,Programme!H2461,Programme!I2461,Programme!J2461)</f>
        <v>&lt;/ValeurCellule&gt;</v>
      </c>
    </row>
    <row r="2461" spans="1:1" x14ac:dyDescent="0.2">
      <c r="A2461" s="996" t="str">
        <f>CONCATENATE(Programme!D2462,Programme!E2462,Programme!F2462,Programme!G2462,Programme!H2462,Programme!I2462,Programme!J2462)</f>
        <v>&lt;ValeurCellule&gt;</v>
      </c>
    </row>
    <row r="2462" spans="1:1" x14ac:dyDescent="0.2">
      <c r="A2462" s="996" t="str">
        <f>CONCATENATE(Programme!D2463,Programme!E2463,Programme!F2463,Programme!G2463,Programme!H2463,Programme!I2463,Programme!J2463)</f>
        <v>&lt;cellule&gt;</v>
      </c>
    </row>
    <row r="2463" spans="1:1" x14ac:dyDescent="0.2">
      <c r="A2463" s="996" t="str">
        <f>CONCATENATE(Programme!D2464,Programme!E2464,Programme!F2464,Programme!G2464,Programme!H2464,Programme!I2464,Programme!J2464)</f>
        <v>&lt;codeEdi&gt;11299&lt;/codeEdi&gt;</v>
      </c>
    </row>
    <row r="2464" spans="1:1" x14ac:dyDescent="0.2">
      <c r="A2464" s="996" t="str">
        <f>CONCATENATE(Programme!D2465,Programme!E2465,Programme!F2465,Programme!G2465,Programme!H2465,Programme!I2465,Programme!J2465)</f>
        <v>&lt;/cellule&gt;</v>
      </c>
    </row>
    <row r="2465" spans="1:1" x14ac:dyDescent="0.2">
      <c r="A2465" s="996" t="str">
        <f>CONCATENATE(Programme!D2466,Programme!E2466,Programme!F2466,Programme!G2466,Programme!H2466,Programme!I2466,Programme!J2466)</f>
        <v>&lt;valeur&gt;0&lt;/valeur&gt;</v>
      </c>
    </row>
    <row r="2466" spans="1:1" x14ac:dyDescent="0.2">
      <c r="A2466" s="996" t="str">
        <f>CONCATENATE(Programme!D2467,Programme!E2467,Programme!F2467,Programme!G2467,Programme!H2467,Programme!I2467,Programme!J2467)</f>
        <v>&lt;/ValeurCellule&gt;</v>
      </c>
    </row>
    <row r="2467" spans="1:1" x14ac:dyDescent="0.2">
      <c r="A2467" s="996" t="str">
        <f>CONCATENATE(Programme!D2468,Programme!E2468,Programme!F2468,Programme!G2468,Programme!H2468,Programme!I2468,Programme!J2468)</f>
        <v>&lt;ValeurCellule&gt;</v>
      </c>
    </row>
    <row r="2468" spans="1:1" x14ac:dyDescent="0.2">
      <c r="A2468" s="996" t="str">
        <f>CONCATENATE(Programme!D2469,Programme!E2469,Programme!F2469,Programme!G2469,Programme!H2469,Programme!I2469,Programme!J2469)</f>
        <v>&lt;cellule&gt;</v>
      </c>
    </row>
    <row r="2469" spans="1:1" x14ac:dyDescent="0.2">
      <c r="A2469" s="996" t="str">
        <f>CONCATENATE(Programme!D2470,Programme!E2470,Programme!F2470,Programme!G2470,Programme!H2470,Programme!I2470,Programme!J2470)</f>
        <v>&lt;codeEdi&gt;11304&lt;/codeEdi&gt;</v>
      </c>
    </row>
    <row r="2470" spans="1:1" x14ac:dyDescent="0.2">
      <c r="A2470" s="996" t="str">
        <f>CONCATENATE(Programme!D2471,Programme!E2471,Programme!F2471,Programme!G2471,Programme!H2471,Programme!I2471,Programme!J2471)</f>
        <v>&lt;/cellule&gt;</v>
      </c>
    </row>
    <row r="2471" spans="1:1" x14ac:dyDescent="0.2">
      <c r="A2471" s="996" t="str">
        <f>CONCATENATE(Programme!D2472,Programme!E2472,Programme!F2472,Programme!G2472,Programme!H2472,Programme!I2472,Programme!J2472)</f>
        <v>&lt;valeur&gt;0&lt;/valeur&gt;</v>
      </c>
    </row>
    <row r="2472" spans="1:1" x14ac:dyDescent="0.2">
      <c r="A2472" s="996" t="str">
        <f>CONCATENATE(Programme!D2473,Programme!E2473,Programme!F2473,Programme!G2473,Programme!H2473,Programme!I2473,Programme!J2473)</f>
        <v>&lt;/ValeurCellule&gt;</v>
      </c>
    </row>
    <row r="2473" spans="1:1" x14ac:dyDescent="0.2">
      <c r="A2473" s="996" t="str">
        <f>CONCATENATE(Programme!D2474,Programme!E2474,Programme!F2474,Programme!G2474,Programme!H2474,Programme!I2474,Programme!J2474)</f>
        <v>&lt;ValeurCellule&gt;</v>
      </c>
    </row>
    <row r="2474" spans="1:1" x14ac:dyDescent="0.2">
      <c r="A2474" s="996" t="str">
        <f>CONCATENATE(Programme!D2475,Programme!E2475,Programme!F2475,Programme!G2475,Programme!H2475,Programme!I2475,Programme!J2475)</f>
        <v>&lt;cellule&gt;</v>
      </c>
    </row>
    <row r="2475" spans="1:1" x14ac:dyDescent="0.2">
      <c r="A2475" s="996" t="str">
        <f>CONCATENATE(Programme!D2476,Programme!E2476,Programme!F2476,Programme!G2476,Programme!H2476,Programme!I2476,Programme!J2476)</f>
        <v>&lt;codeEdi&gt;11309&lt;/codeEdi&gt;</v>
      </c>
    </row>
    <row r="2476" spans="1:1" x14ac:dyDescent="0.2">
      <c r="A2476" s="996" t="str">
        <f>CONCATENATE(Programme!D2477,Programme!E2477,Programme!F2477,Programme!G2477,Programme!H2477,Programme!I2477,Programme!J2477)</f>
        <v>&lt;/cellule&gt;</v>
      </c>
    </row>
    <row r="2477" spans="1:1" x14ac:dyDescent="0.2">
      <c r="A2477" s="996" t="str">
        <f>CONCATENATE(Programme!D2478,Programme!E2478,Programme!F2478,Programme!G2478,Programme!H2478,Programme!I2478,Programme!J2478)</f>
        <v>&lt;valeur&gt;0&lt;/valeur&gt;</v>
      </c>
    </row>
    <row r="2478" spans="1:1" x14ac:dyDescent="0.2">
      <c r="A2478" s="996" t="str">
        <f>CONCATENATE(Programme!D2479,Programme!E2479,Programme!F2479,Programme!G2479,Programme!H2479,Programme!I2479,Programme!J2479)</f>
        <v>&lt;/ValeurCellule&gt;</v>
      </c>
    </row>
    <row r="2479" spans="1:1" x14ac:dyDescent="0.2">
      <c r="A2479" s="996" t="str">
        <f>CONCATENATE(Programme!D2480,Programme!E2480,Programme!F2480,Programme!G2480,Programme!H2480,Programme!I2480,Programme!J2480)</f>
        <v>&lt;ValeurCellule&gt;</v>
      </c>
    </row>
    <row r="2480" spans="1:1" x14ac:dyDescent="0.2">
      <c r="A2480" s="996" t="str">
        <f>CONCATENATE(Programme!D2481,Programme!E2481,Programme!F2481,Programme!G2481,Programme!H2481,Programme!I2481,Programme!J2481)</f>
        <v>&lt;cellule&gt;</v>
      </c>
    </row>
    <row r="2481" spans="1:1" x14ac:dyDescent="0.2">
      <c r="A2481" s="996" t="str">
        <f>CONCATENATE(Programme!D2482,Programme!E2482,Programme!F2482,Programme!G2482,Programme!H2482,Programme!I2482,Programme!J2482)</f>
        <v>&lt;codeEdi&gt;11314&lt;/codeEdi&gt;</v>
      </c>
    </row>
    <row r="2482" spans="1:1" x14ac:dyDescent="0.2">
      <c r="A2482" s="996" t="str">
        <f>CONCATENATE(Programme!D2483,Programme!E2483,Programme!F2483,Programme!G2483,Programme!H2483,Programme!I2483,Programme!J2483)</f>
        <v>&lt;/cellule&gt;</v>
      </c>
    </row>
    <row r="2483" spans="1:1" x14ac:dyDescent="0.2">
      <c r="A2483" s="996" t="str">
        <f>CONCATENATE(Programme!D2484,Programme!E2484,Programme!F2484,Programme!G2484,Programme!H2484,Programme!I2484,Programme!J2484)</f>
        <v>&lt;valeur&gt;0&lt;/valeur&gt;</v>
      </c>
    </row>
    <row r="2484" spans="1:1" x14ac:dyDescent="0.2">
      <c r="A2484" s="996" t="str">
        <f>CONCATENATE(Programme!D2485,Programme!E2485,Programme!F2485,Programme!G2485,Programme!H2485,Programme!I2485,Programme!J2485)</f>
        <v>&lt;/ValeurCellule&gt;</v>
      </c>
    </row>
    <row r="2485" spans="1:1" x14ac:dyDescent="0.2">
      <c r="A2485" s="996" t="str">
        <f>CONCATENATE(Programme!D2486,Programme!E2486,Programme!F2486,Programme!G2486,Programme!H2486,Programme!I2486,Programme!J2486)</f>
        <v>&lt;ValeurCellule&gt;</v>
      </c>
    </row>
    <row r="2486" spans="1:1" x14ac:dyDescent="0.2">
      <c r="A2486" s="996" t="str">
        <f>CONCATENATE(Programme!D2487,Programme!E2487,Programme!F2487,Programme!G2487,Programme!H2487,Programme!I2487,Programme!J2487)</f>
        <v>&lt;cellule&gt;</v>
      </c>
    </row>
    <row r="2487" spans="1:1" x14ac:dyDescent="0.2">
      <c r="A2487" s="996" t="str">
        <f>CONCATENATE(Programme!D2488,Programme!E2488,Programme!F2488,Programme!G2488,Programme!H2488,Programme!I2488,Programme!J2488)</f>
        <v>&lt;codeEdi&gt;11319&lt;/codeEdi&gt;</v>
      </c>
    </row>
    <row r="2488" spans="1:1" x14ac:dyDescent="0.2">
      <c r="A2488" s="996" t="str">
        <f>CONCATENATE(Programme!D2489,Programme!E2489,Programme!F2489,Programme!G2489,Programme!H2489,Programme!I2489,Programme!J2489)</f>
        <v>&lt;/cellule&gt;</v>
      </c>
    </row>
    <row r="2489" spans="1:1" x14ac:dyDescent="0.2">
      <c r="A2489" s="996" t="str">
        <f>CONCATENATE(Programme!D2490,Programme!E2490,Programme!F2490,Programme!G2490,Programme!H2490,Programme!I2490,Programme!J2490)</f>
        <v>&lt;valeur&gt;0&lt;/valeur&gt;</v>
      </c>
    </row>
    <row r="2490" spans="1:1" x14ac:dyDescent="0.2">
      <c r="A2490" s="996" t="str">
        <f>CONCATENATE(Programme!D2491,Programme!E2491,Programme!F2491,Programme!G2491,Programme!H2491,Programme!I2491,Programme!J2491)</f>
        <v>&lt;/ValeurCellule&gt;</v>
      </c>
    </row>
    <row r="2491" spans="1:1" x14ac:dyDescent="0.2">
      <c r="A2491" s="996" t="str">
        <f>CONCATENATE(Programme!D2492,Programme!E2492,Programme!F2492,Programme!G2492,Programme!H2492,Programme!I2492,Programme!J2492)</f>
        <v>&lt;ValeurCellule&gt;</v>
      </c>
    </row>
    <row r="2492" spans="1:1" x14ac:dyDescent="0.2">
      <c r="A2492" s="996" t="str">
        <f>CONCATENATE(Programme!D2493,Programme!E2493,Programme!F2493,Programme!G2493,Programme!H2493,Programme!I2493,Programme!J2493)</f>
        <v>&lt;cellule&gt;</v>
      </c>
    </row>
    <row r="2493" spans="1:1" x14ac:dyDescent="0.2">
      <c r="A2493" s="996" t="str">
        <f>CONCATENATE(Programme!D2494,Programme!E2494,Programme!F2494,Programme!G2494,Programme!H2494,Programme!I2494,Programme!J2494)</f>
        <v>&lt;codeEdi&gt;11324&lt;/codeEdi&gt;</v>
      </c>
    </row>
    <row r="2494" spans="1:1" x14ac:dyDescent="0.2">
      <c r="A2494" s="996" t="str">
        <f>CONCATENATE(Programme!D2495,Programme!E2495,Programme!F2495,Programme!G2495,Programme!H2495,Programme!I2495,Programme!J2495)</f>
        <v>&lt;/cellule&gt;</v>
      </c>
    </row>
    <row r="2495" spans="1:1" x14ac:dyDescent="0.2">
      <c r="A2495" s="996" t="str">
        <f>CONCATENATE(Programme!D2496,Programme!E2496,Programme!F2496,Programme!G2496,Programme!H2496,Programme!I2496,Programme!J2496)</f>
        <v>&lt;valeur&gt;0&lt;/valeur&gt;</v>
      </c>
    </row>
    <row r="2496" spans="1:1" x14ac:dyDescent="0.2">
      <c r="A2496" s="996" t="str">
        <f>CONCATENATE(Programme!D2497,Programme!E2497,Programme!F2497,Programme!G2497,Programme!H2497,Programme!I2497,Programme!J2497)</f>
        <v>&lt;/ValeurCellule&gt;</v>
      </c>
    </row>
    <row r="2497" spans="1:1" x14ac:dyDescent="0.2">
      <c r="A2497" s="996" t="str">
        <f>CONCATENATE(Programme!D2498,Programme!E2498,Programme!F2498,Programme!G2498,Programme!H2498,Programme!I2498,Programme!J2498)</f>
        <v>&lt;ValeurCellule&gt;</v>
      </c>
    </row>
    <row r="2498" spans="1:1" x14ac:dyDescent="0.2">
      <c r="A2498" s="996" t="str">
        <f>CONCATENATE(Programme!D2499,Programme!E2499,Programme!F2499,Programme!G2499,Programme!H2499,Programme!I2499,Programme!J2499)</f>
        <v>&lt;cellule&gt;</v>
      </c>
    </row>
    <row r="2499" spans="1:1" x14ac:dyDescent="0.2">
      <c r="A2499" s="996" t="str">
        <f>CONCATENATE(Programme!D2500,Programme!E2500,Programme!F2500,Programme!G2500,Programme!H2500,Programme!I2500,Programme!J2500)</f>
        <v>&lt;codeEdi&gt;11336&lt;/codeEdi&gt;</v>
      </c>
    </row>
    <row r="2500" spans="1:1" x14ac:dyDescent="0.2">
      <c r="A2500" s="996" t="str">
        <f>CONCATENATE(Programme!D2501,Programme!E2501,Programme!F2501,Programme!G2501,Programme!H2501,Programme!I2501,Programme!J2501)</f>
        <v>&lt;/cellule&gt;</v>
      </c>
    </row>
    <row r="2501" spans="1:1" x14ac:dyDescent="0.2">
      <c r="A2501" s="996" t="str">
        <f>CONCATENATE(Programme!D2502,Programme!E2502,Programme!F2502,Programme!G2502,Programme!H2502,Programme!I2502,Programme!J2502)</f>
        <v>&lt;valeur&gt;0&lt;/valeur&gt;</v>
      </c>
    </row>
    <row r="2502" spans="1:1" x14ac:dyDescent="0.2">
      <c r="A2502" s="996" t="str">
        <f>CONCATENATE(Programme!D2503,Programme!E2503,Programme!F2503,Programme!G2503,Programme!H2503,Programme!I2503,Programme!J2503)</f>
        <v>&lt;/ValeurCellule&gt;</v>
      </c>
    </row>
    <row r="2503" spans="1:1" x14ac:dyDescent="0.2">
      <c r="A2503" s="996" t="str">
        <f>CONCATENATE(Programme!D2504,Programme!E2504,Programme!F2504,Programme!G2504,Programme!H2504,Programme!I2504,Programme!J2504)</f>
        <v>&lt;ValeurCellule&gt;</v>
      </c>
    </row>
    <row r="2504" spans="1:1" x14ac:dyDescent="0.2">
      <c r="A2504" s="996" t="str">
        <f>CONCATENATE(Programme!D2505,Programme!E2505,Programme!F2505,Programme!G2505,Programme!H2505,Programme!I2505,Programme!J2505)</f>
        <v>&lt;cellule&gt;</v>
      </c>
    </row>
    <row r="2505" spans="1:1" x14ac:dyDescent="0.2">
      <c r="A2505" s="996" t="str">
        <f>CONCATENATE(Programme!D2506,Programme!E2506,Programme!F2506,Programme!G2506,Programme!H2506,Programme!I2506,Programme!J2506)</f>
        <v>&lt;codeEdi&gt;11337&lt;/codeEdi&gt;</v>
      </c>
    </row>
    <row r="2506" spans="1:1" x14ac:dyDescent="0.2">
      <c r="A2506" s="996" t="str">
        <f>CONCATENATE(Programme!D2507,Programme!E2507,Programme!F2507,Programme!G2507,Programme!H2507,Programme!I2507,Programme!J2507)</f>
        <v>&lt;/cellule&gt;</v>
      </c>
    </row>
    <row r="2507" spans="1:1" x14ac:dyDescent="0.2">
      <c r="A2507" s="996" t="str">
        <f>CONCATENATE(Programme!D2508,Programme!E2508,Programme!F2508,Programme!G2508,Programme!H2508,Programme!I2508,Programme!J2508)</f>
        <v>&lt;valeur&gt;0&lt;/valeur&gt;</v>
      </c>
    </row>
    <row r="2508" spans="1:1" x14ac:dyDescent="0.2">
      <c r="A2508" s="996" t="str">
        <f>CONCATENATE(Programme!D2509,Programme!E2509,Programme!F2509,Programme!G2509,Programme!H2509,Programme!I2509,Programme!J2509)</f>
        <v>&lt;/ValeurCellule&gt;</v>
      </c>
    </row>
    <row r="2509" spans="1:1" x14ac:dyDescent="0.2">
      <c r="A2509" s="996" t="str">
        <f>CONCATENATE(Programme!D2510,Programme!E2510,Programme!F2510,Programme!G2510,Programme!H2510,Programme!I2510,Programme!J2510)</f>
        <v>&lt;ValeurCellule&gt;</v>
      </c>
    </row>
    <row r="2510" spans="1:1" x14ac:dyDescent="0.2">
      <c r="A2510" s="996" t="str">
        <f>CONCATENATE(Programme!D2511,Programme!E2511,Programme!F2511,Programme!G2511,Programme!H2511,Programme!I2511,Programme!J2511)</f>
        <v>&lt;cellule&gt;</v>
      </c>
    </row>
    <row r="2511" spans="1:1" x14ac:dyDescent="0.2">
      <c r="A2511" s="996" t="str">
        <f>CONCATENATE(Programme!D2512,Programme!E2512,Programme!F2512,Programme!G2512,Programme!H2512,Programme!I2512,Programme!J2512)</f>
        <v>&lt;codeEdi&gt;11338&lt;/codeEdi&gt;</v>
      </c>
    </row>
    <row r="2512" spans="1:1" x14ac:dyDescent="0.2">
      <c r="A2512" s="996" t="str">
        <f>CONCATENATE(Programme!D2513,Programme!E2513,Programme!F2513,Programme!G2513,Programme!H2513,Programme!I2513,Programme!J2513)</f>
        <v>&lt;/cellule&gt;</v>
      </c>
    </row>
    <row r="2513" spans="1:1" x14ac:dyDescent="0.2">
      <c r="A2513" s="996" t="str">
        <f>CONCATENATE(Programme!D2514,Programme!E2514,Programme!F2514,Programme!G2514,Programme!H2514,Programme!I2514,Programme!J2514)</f>
        <v>&lt;valeur&gt;0&lt;/valeur&gt;</v>
      </c>
    </row>
    <row r="2514" spans="1:1" x14ac:dyDescent="0.2">
      <c r="A2514" s="996" t="str">
        <f>CONCATENATE(Programme!D2515,Programme!E2515,Programme!F2515,Programme!G2515,Programme!H2515,Programme!I2515,Programme!J2515)</f>
        <v>&lt;/ValeurCellule&gt;</v>
      </c>
    </row>
    <row r="2515" spans="1:1" x14ac:dyDescent="0.2">
      <c r="A2515" s="996" t="str">
        <f>CONCATENATE(Programme!D2516,Programme!E2516,Programme!F2516,Programme!G2516,Programme!H2516,Programme!I2516,Programme!J2516)</f>
        <v>&lt;ValeurCellule&gt;</v>
      </c>
    </row>
    <row r="2516" spans="1:1" x14ac:dyDescent="0.2">
      <c r="A2516" s="996" t="str">
        <f>CONCATENATE(Programme!D2517,Programme!E2517,Programme!F2517,Programme!G2517,Programme!H2517,Programme!I2517,Programme!J2517)</f>
        <v>&lt;cellule&gt;</v>
      </c>
    </row>
    <row r="2517" spans="1:1" x14ac:dyDescent="0.2">
      <c r="A2517" s="996" t="str">
        <f>CONCATENATE(Programme!D2518,Programme!E2518,Programme!F2518,Programme!G2518,Programme!H2518,Programme!I2518,Programme!J2518)</f>
        <v>&lt;codeEdi&gt;11339&lt;/codeEdi&gt;</v>
      </c>
    </row>
    <row r="2518" spans="1:1" x14ac:dyDescent="0.2">
      <c r="A2518" s="996" t="str">
        <f>CONCATENATE(Programme!D2519,Programme!E2519,Programme!F2519,Programme!G2519,Programme!H2519,Programme!I2519,Programme!J2519)</f>
        <v>&lt;/cellule&gt;</v>
      </c>
    </row>
    <row r="2519" spans="1:1" x14ac:dyDescent="0.2">
      <c r="A2519" s="996" t="str">
        <f>CONCATENATE(Programme!D2520,Programme!E2520,Programme!F2520,Programme!G2520,Programme!H2520,Programme!I2520,Programme!J2520)</f>
        <v>&lt;valeur&gt;0&lt;/valeur&gt;</v>
      </c>
    </row>
    <row r="2520" spans="1:1" x14ac:dyDescent="0.2">
      <c r="A2520" s="996" t="str">
        <f>CONCATENATE(Programme!D2521,Programme!E2521,Programme!F2521,Programme!G2521,Programme!H2521,Programme!I2521,Programme!J2521)</f>
        <v>&lt;/ValeurCellule&gt;</v>
      </c>
    </row>
    <row r="2521" spans="1:1" x14ac:dyDescent="0.2">
      <c r="A2521" s="996" t="str">
        <f>CONCATENATE(Programme!D2522,Programme!E2522,Programme!F2522,Programme!G2522,Programme!H2522,Programme!I2522,Programme!J2522)</f>
        <v>&lt;ValeurCellule&gt;</v>
      </c>
    </row>
    <row r="2522" spans="1:1" x14ac:dyDescent="0.2">
      <c r="A2522" s="996" t="str">
        <f>CONCATENATE(Programme!D2523,Programme!E2523,Programme!F2523,Programme!G2523,Programme!H2523,Programme!I2523,Programme!J2523)</f>
        <v>&lt;cellule&gt;</v>
      </c>
    </row>
    <row r="2523" spans="1:1" x14ac:dyDescent="0.2">
      <c r="A2523" s="996" t="str">
        <f>CONCATENATE(Programme!D2524,Programme!E2524,Programme!F2524,Programme!G2524,Programme!H2524,Programme!I2524,Programme!J2524)</f>
        <v>&lt;codeEdi&gt;11341&lt;/codeEdi&gt;</v>
      </c>
    </row>
    <row r="2524" spans="1:1" x14ac:dyDescent="0.2">
      <c r="A2524" s="996" t="str">
        <f>CONCATENATE(Programme!D2525,Programme!E2525,Programme!F2525,Programme!G2525,Programme!H2525,Programme!I2525,Programme!J2525)</f>
        <v>&lt;/cellule&gt;</v>
      </c>
    </row>
    <row r="2525" spans="1:1" x14ac:dyDescent="0.2">
      <c r="A2525" s="996" t="str">
        <f>CONCATENATE(Programme!D2526,Programme!E2526,Programme!F2526,Programme!G2526,Programme!H2526,Programme!I2526,Programme!J2526)</f>
        <v>&lt;valeur&gt;0&lt;/valeur&gt;</v>
      </c>
    </row>
    <row r="2526" spans="1:1" x14ac:dyDescent="0.2">
      <c r="A2526" s="996" t="str">
        <f>CONCATENATE(Programme!D2527,Programme!E2527,Programme!F2527,Programme!G2527,Programme!H2527,Programme!I2527,Programme!J2527)</f>
        <v>&lt;/ValeurCellule&gt;</v>
      </c>
    </row>
    <row r="2527" spans="1:1" x14ac:dyDescent="0.2">
      <c r="A2527" s="996" t="str">
        <f>CONCATENATE(Programme!D2528,Programme!E2528,Programme!F2528,Programme!G2528,Programme!H2528,Programme!I2528,Programme!J2528)</f>
        <v>&lt;ValeurCellule&gt;</v>
      </c>
    </row>
    <row r="2528" spans="1:1" x14ac:dyDescent="0.2">
      <c r="A2528" s="996" t="str">
        <f>CONCATENATE(Programme!D2529,Programme!E2529,Programme!F2529,Programme!G2529,Programme!H2529,Programme!I2529,Programme!J2529)</f>
        <v>&lt;cellule&gt;</v>
      </c>
    </row>
    <row r="2529" spans="1:1" x14ac:dyDescent="0.2">
      <c r="A2529" s="996" t="str">
        <f>CONCATENATE(Programme!D2530,Programme!E2530,Programme!F2530,Programme!G2530,Programme!H2530,Programme!I2530,Programme!J2530)</f>
        <v>&lt;codeEdi&gt;11346&lt;/codeEdi&gt;</v>
      </c>
    </row>
    <row r="2530" spans="1:1" x14ac:dyDescent="0.2">
      <c r="A2530" s="996" t="str">
        <f>CONCATENATE(Programme!D2531,Programme!E2531,Programme!F2531,Programme!G2531,Programme!H2531,Programme!I2531,Programme!J2531)</f>
        <v>&lt;/cellule&gt;</v>
      </c>
    </row>
    <row r="2531" spans="1:1" x14ac:dyDescent="0.2">
      <c r="A2531" s="996" t="str">
        <f>CONCATENATE(Programme!D2532,Programme!E2532,Programme!F2532,Programme!G2532,Programme!H2532,Programme!I2532,Programme!J2532)</f>
        <v>&lt;valeur&gt;0&lt;/valeur&gt;</v>
      </c>
    </row>
    <row r="2532" spans="1:1" x14ac:dyDescent="0.2">
      <c r="A2532" s="996" t="str">
        <f>CONCATENATE(Programme!D2533,Programme!E2533,Programme!F2533,Programme!G2533,Programme!H2533,Programme!I2533,Programme!J2533)</f>
        <v>&lt;/ValeurCellule&gt;</v>
      </c>
    </row>
    <row r="2533" spans="1:1" x14ac:dyDescent="0.2">
      <c r="A2533" s="996" t="str">
        <f>CONCATENATE(Programme!D2534,Programme!E2534,Programme!F2534,Programme!G2534,Programme!H2534,Programme!I2534,Programme!J2534)</f>
        <v>&lt;ValeurCellule&gt;</v>
      </c>
    </row>
    <row r="2534" spans="1:1" x14ac:dyDescent="0.2">
      <c r="A2534" s="996" t="str">
        <f>CONCATENATE(Programme!D2535,Programme!E2535,Programme!F2535,Programme!G2535,Programme!H2535,Programme!I2535,Programme!J2535)</f>
        <v>&lt;cellule&gt;</v>
      </c>
    </row>
    <row r="2535" spans="1:1" x14ac:dyDescent="0.2">
      <c r="A2535" s="996" t="str">
        <f>CONCATENATE(Programme!D2536,Programme!E2536,Programme!F2536,Programme!G2536,Programme!H2536,Programme!I2536,Programme!J2536)</f>
        <v>&lt;codeEdi&gt;11351&lt;/codeEdi&gt;</v>
      </c>
    </row>
    <row r="2536" spans="1:1" x14ac:dyDescent="0.2">
      <c r="A2536" s="996" t="str">
        <f>CONCATENATE(Programme!D2537,Programme!E2537,Programme!F2537,Programme!G2537,Programme!H2537,Programme!I2537,Programme!J2537)</f>
        <v>&lt;/cellule&gt;</v>
      </c>
    </row>
    <row r="2537" spans="1:1" x14ac:dyDescent="0.2">
      <c r="A2537" s="996" t="str">
        <f>CONCATENATE(Programme!D2538,Programme!E2538,Programme!F2538,Programme!G2538,Programme!H2538,Programme!I2538,Programme!J2538)</f>
        <v>&lt;valeur&gt;0&lt;/valeur&gt;</v>
      </c>
    </row>
    <row r="2538" spans="1:1" x14ac:dyDescent="0.2">
      <c r="A2538" s="996" t="str">
        <f>CONCATENATE(Programme!D2539,Programme!E2539,Programme!F2539,Programme!G2539,Programme!H2539,Programme!I2539,Programme!J2539)</f>
        <v>&lt;/ValeurCellule&gt;</v>
      </c>
    </row>
    <row r="2539" spans="1:1" x14ac:dyDescent="0.2">
      <c r="A2539" s="996" t="str">
        <f>CONCATENATE(Programme!D2540,Programme!E2540,Programme!F2540,Programme!G2540,Programme!H2540,Programme!I2540,Programme!J2540)</f>
        <v>&lt;ValeurCellule&gt;</v>
      </c>
    </row>
    <row r="2540" spans="1:1" x14ac:dyDescent="0.2">
      <c r="A2540" s="996" t="str">
        <f>CONCATENATE(Programme!D2541,Programme!E2541,Programme!F2541,Programme!G2541,Programme!H2541,Programme!I2541,Programme!J2541)</f>
        <v>&lt;cellule&gt;</v>
      </c>
    </row>
    <row r="2541" spans="1:1" x14ac:dyDescent="0.2">
      <c r="A2541" s="996" t="str">
        <f>CONCATENATE(Programme!D2542,Programme!E2542,Programme!F2542,Programme!G2542,Programme!H2542,Programme!I2542,Programme!J2542)</f>
        <v>&lt;codeEdi&gt;11396&lt;/codeEdi&gt;</v>
      </c>
    </row>
    <row r="2542" spans="1:1" x14ac:dyDescent="0.2">
      <c r="A2542" s="996" t="str">
        <f>CONCATENATE(Programme!D2543,Programme!E2543,Programme!F2543,Programme!G2543,Programme!H2543,Programme!I2543,Programme!J2543)</f>
        <v>&lt;/cellule&gt;</v>
      </c>
    </row>
    <row r="2543" spans="1:1" x14ac:dyDescent="0.2">
      <c r="A2543" s="996" t="str">
        <f>CONCATENATE(Programme!D2544,Programme!E2544,Programme!F2544,Programme!G2544,Programme!H2544,Programme!I2544,Programme!J2544)</f>
        <v>&lt;valeur&gt;0&lt;/valeur&gt;</v>
      </c>
    </row>
    <row r="2544" spans="1:1" x14ac:dyDescent="0.2">
      <c r="A2544" s="996" t="str">
        <f>CONCATENATE(Programme!D2545,Programme!E2545,Programme!F2545,Programme!G2545,Programme!H2545,Programme!I2545,Programme!J2545)</f>
        <v>&lt;/ValeurCellule&gt;</v>
      </c>
    </row>
    <row r="2545" spans="1:1" x14ac:dyDescent="0.2">
      <c r="A2545" s="996" t="str">
        <f>CONCATENATE(Programme!D2546,Programme!E2546,Programme!F2546,Programme!G2546,Programme!H2546,Programme!I2546,Programme!J2546)</f>
        <v>&lt;ValeurCellule&gt;</v>
      </c>
    </row>
    <row r="2546" spans="1:1" x14ac:dyDescent="0.2">
      <c r="A2546" s="996" t="str">
        <f>CONCATENATE(Programme!D2547,Programme!E2547,Programme!F2547,Programme!G2547,Programme!H2547,Programme!I2547,Programme!J2547)</f>
        <v>&lt;cellule&gt;</v>
      </c>
    </row>
    <row r="2547" spans="1:1" x14ac:dyDescent="0.2">
      <c r="A2547" s="996" t="str">
        <f>CONCATENATE(Programme!D2548,Programme!E2548,Programme!F2548,Programme!G2548,Programme!H2548,Programme!I2548,Programme!J2548)</f>
        <v>&lt;codeEdi&gt;11401&lt;/codeEdi&gt;</v>
      </c>
    </row>
    <row r="2548" spans="1:1" x14ac:dyDescent="0.2">
      <c r="A2548" s="996" t="str">
        <f>CONCATENATE(Programme!D2549,Programme!E2549,Programme!F2549,Programme!G2549,Programme!H2549,Programme!I2549,Programme!J2549)</f>
        <v>&lt;/cellule&gt;</v>
      </c>
    </row>
    <row r="2549" spans="1:1" x14ac:dyDescent="0.2">
      <c r="A2549" s="996" t="str">
        <f>CONCATENATE(Programme!D2550,Programme!E2550,Programme!F2550,Programme!G2550,Programme!H2550,Programme!I2550,Programme!J2550)</f>
        <v>&lt;valeur&gt;0&lt;/valeur&gt;</v>
      </c>
    </row>
    <row r="2550" spans="1:1" x14ac:dyDescent="0.2">
      <c r="A2550" s="996" t="str">
        <f>CONCATENATE(Programme!D2551,Programme!E2551,Programme!F2551,Programme!G2551,Programme!H2551,Programme!I2551,Programme!J2551)</f>
        <v>&lt;/ValeurCellule&gt;</v>
      </c>
    </row>
    <row r="2551" spans="1:1" x14ac:dyDescent="0.2">
      <c r="A2551" s="996" t="str">
        <f>CONCATENATE(Programme!D2552,Programme!E2552,Programme!F2552,Programme!G2552,Programme!H2552,Programme!I2552,Programme!J2552)</f>
        <v>&lt;ValeurCellule&gt;</v>
      </c>
    </row>
    <row r="2552" spans="1:1" x14ac:dyDescent="0.2">
      <c r="A2552" s="996" t="str">
        <f>CONCATENATE(Programme!D2553,Programme!E2553,Programme!F2553,Programme!G2553,Programme!H2553,Programme!I2553,Programme!J2553)</f>
        <v>&lt;cellule&gt;</v>
      </c>
    </row>
    <row r="2553" spans="1:1" x14ac:dyDescent="0.2">
      <c r="A2553" s="996" t="str">
        <f>CONCATENATE(Programme!D2554,Programme!E2554,Programme!F2554,Programme!G2554,Programme!H2554,Programme!I2554,Programme!J2554)</f>
        <v>&lt;codeEdi&gt;11406&lt;/codeEdi&gt;</v>
      </c>
    </row>
    <row r="2554" spans="1:1" x14ac:dyDescent="0.2">
      <c r="A2554" s="996" t="str">
        <f>CONCATENATE(Programme!D2555,Programme!E2555,Programme!F2555,Programme!G2555,Programme!H2555,Programme!I2555,Programme!J2555)</f>
        <v>&lt;/cellule&gt;</v>
      </c>
    </row>
    <row r="2555" spans="1:1" x14ac:dyDescent="0.2">
      <c r="A2555" s="996" t="str">
        <f>CONCATENATE(Programme!D2556,Programme!E2556,Programme!F2556,Programme!G2556,Programme!H2556,Programme!I2556,Programme!J2556)</f>
        <v>&lt;valeur&gt;0&lt;/valeur&gt;</v>
      </c>
    </row>
    <row r="2556" spans="1:1" x14ac:dyDescent="0.2">
      <c r="A2556" s="996" t="str">
        <f>CONCATENATE(Programme!D2557,Programme!E2557,Programme!F2557,Programme!G2557,Programme!H2557,Programme!I2557,Programme!J2557)</f>
        <v>&lt;/ValeurCellule&gt;</v>
      </c>
    </row>
    <row r="2557" spans="1:1" x14ac:dyDescent="0.2">
      <c r="A2557" s="996" t="str">
        <f>CONCATENATE(Programme!D2558,Programme!E2558,Programme!F2558,Programme!G2558,Programme!H2558,Programme!I2558,Programme!J2558)</f>
        <v>&lt;ValeurCellule&gt;</v>
      </c>
    </row>
    <row r="2558" spans="1:1" x14ac:dyDescent="0.2">
      <c r="A2558" s="996" t="str">
        <f>CONCATENATE(Programme!D2559,Programme!E2559,Programme!F2559,Programme!G2559,Programme!H2559,Programme!I2559,Programme!J2559)</f>
        <v>&lt;cellule&gt;</v>
      </c>
    </row>
    <row r="2559" spans="1:1" x14ac:dyDescent="0.2">
      <c r="A2559" s="996" t="str">
        <f>CONCATENATE(Programme!D2560,Programme!E2560,Programme!F2560,Programme!G2560,Programme!H2560,Programme!I2560,Programme!J2560)</f>
        <v>&lt;codeEdi&gt;11356&lt;/codeEdi&gt;</v>
      </c>
    </row>
    <row r="2560" spans="1:1" x14ac:dyDescent="0.2">
      <c r="A2560" s="996" t="str">
        <f>CONCATENATE(Programme!D2561,Programme!E2561,Programme!F2561,Programme!G2561,Programme!H2561,Programme!I2561,Programme!J2561)</f>
        <v>&lt;/cellule&gt;</v>
      </c>
    </row>
    <row r="2561" spans="1:1" x14ac:dyDescent="0.2">
      <c r="A2561" s="996" t="str">
        <f>CONCATENATE(Programme!D2562,Programme!E2562,Programme!F2562,Programme!G2562,Programme!H2562,Programme!I2562,Programme!J2562)</f>
        <v>&lt;valeur&gt;0&lt;/valeur&gt;</v>
      </c>
    </row>
    <row r="2562" spans="1:1" x14ac:dyDescent="0.2">
      <c r="A2562" s="996" t="str">
        <f>CONCATENATE(Programme!D2563,Programme!E2563,Programme!F2563,Programme!G2563,Programme!H2563,Programme!I2563,Programme!J2563)</f>
        <v>&lt;/ValeurCellule&gt;</v>
      </c>
    </row>
    <row r="2563" spans="1:1" x14ac:dyDescent="0.2">
      <c r="A2563" s="996" t="str">
        <f>CONCATENATE(Programme!D2564,Programme!E2564,Programme!F2564,Programme!G2564,Programme!H2564,Programme!I2564,Programme!J2564)</f>
        <v>&lt;ValeurCellule&gt;</v>
      </c>
    </row>
    <row r="2564" spans="1:1" x14ac:dyDescent="0.2">
      <c r="A2564" s="996" t="str">
        <f>CONCATENATE(Programme!D2565,Programme!E2565,Programme!F2565,Programme!G2565,Programme!H2565,Programme!I2565,Programme!J2565)</f>
        <v>&lt;cellule&gt;</v>
      </c>
    </row>
    <row r="2565" spans="1:1" x14ac:dyDescent="0.2">
      <c r="A2565" s="996" t="str">
        <f>CONCATENATE(Programme!D2566,Programme!E2566,Programme!F2566,Programme!G2566,Programme!H2566,Programme!I2566,Programme!J2566)</f>
        <v>&lt;codeEdi&gt;11361&lt;/codeEdi&gt;</v>
      </c>
    </row>
    <row r="2566" spans="1:1" x14ac:dyDescent="0.2">
      <c r="A2566" s="996" t="str">
        <f>CONCATENATE(Programme!D2567,Programme!E2567,Programme!F2567,Programme!G2567,Programme!H2567,Programme!I2567,Programme!J2567)</f>
        <v>&lt;/cellule&gt;</v>
      </c>
    </row>
    <row r="2567" spans="1:1" x14ac:dyDescent="0.2">
      <c r="A2567" s="996" t="str">
        <f>CONCATENATE(Programme!D2568,Programme!E2568,Programme!F2568,Programme!G2568,Programme!H2568,Programme!I2568,Programme!J2568)</f>
        <v>&lt;valeur&gt;0&lt;/valeur&gt;</v>
      </c>
    </row>
    <row r="2568" spans="1:1" x14ac:dyDescent="0.2">
      <c r="A2568" s="996" t="str">
        <f>CONCATENATE(Programme!D2569,Programme!E2569,Programme!F2569,Programme!G2569,Programme!H2569,Programme!I2569,Programme!J2569)</f>
        <v>&lt;/ValeurCellule&gt;</v>
      </c>
    </row>
    <row r="2569" spans="1:1" x14ac:dyDescent="0.2">
      <c r="A2569" s="996" t="str">
        <f>CONCATENATE(Programme!D2570,Programme!E2570,Programme!F2570,Programme!G2570,Programme!H2570,Programme!I2570,Programme!J2570)</f>
        <v>&lt;ValeurCellule&gt;</v>
      </c>
    </row>
    <row r="2570" spans="1:1" x14ac:dyDescent="0.2">
      <c r="A2570" s="996" t="str">
        <f>CONCATENATE(Programme!D2571,Programme!E2571,Programme!F2571,Programme!G2571,Programme!H2571,Programme!I2571,Programme!J2571)</f>
        <v>&lt;cellule&gt;</v>
      </c>
    </row>
    <row r="2571" spans="1:1" x14ac:dyDescent="0.2">
      <c r="A2571" s="996" t="str">
        <f>CONCATENATE(Programme!D2572,Programme!E2572,Programme!F2572,Programme!G2572,Programme!H2572,Programme!I2572,Programme!J2572)</f>
        <v>&lt;codeEdi&gt;11366&lt;/codeEdi&gt;</v>
      </c>
    </row>
    <row r="2572" spans="1:1" x14ac:dyDescent="0.2">
      <c r="A2572" s="996" t="str">
        <f>CONCATENATE(Programme!D2573,Programme!E2573,Programme!F2573,Programme!G2573,Programme!H2573,Programme!I2573,Programme!J2573)</f>
        <v>&lt;/cellule&gt;</v>
      </c>
    </row>
    <row r="2573" spans="1:1" x14ac:dyDescent="0.2">
      <c r="A2573" s="996" t="str">
        <f>CONCATENATE(Programme!D2574,Programme!E2574,Programme!F2574,Programme!G2574,Programme!H2574,Programme!I2574,Programme!J2574)</f>
        <v>&lt;valeur&gt;0&lt;/valeur&gt;</v>
      </c>
    </row>
    <row r="2574" spans="1:1" x14ac:dyDescent="0.2">
      <c r="A2574" s="996" t="str">
        <f>CONCATENATE(Programme!D2575,Programme!E2575,Programme!F2575,Programme!G2575,Programme!H2575,Programme!I2575,Programme!J2575)</f>
        <v>&lt;/ValeurCellule&gt;</v>
      </c>
    </row>
    <row r="2575" spans="1:1" x14ac:dyDescent="0.2">
      <c r="A2575" s="996" t="str">
        <f>CONCATENATE(Programme!D2576,Programme!E2576,Programme!F2576,Programme!G2576,Programme!H2576,Programme!I2576,Programme!J2576)</f>
        <v>&lt;ValeurCellule&gt;</v>
      </c>
    </row>
    <row r="2576" spans="1:1" x14ac:dyDescent="0.2">
      <c r="A2576" s="996" t="str">
        <f>CONCATENATE(Programme!D2577,Programme!E2577,Programme!F2577,Programme!G2577,Programme!H2577,Programme!I2577,Programme!J2577)</f>
        <v>&lt;cellule&gt;</v>
      </c>
    </row>
    <row r="2577" spans="1:1" x14ac:dyDescent="0.2">
      <c r="A2577" s="996" t="str">
        <f>CONCATENATE(Programme!D2578,Programme!E2578,Programme!F2578,Programme!G2578,Programme!H2578,Programme!I2578,Programme!J2578)</f>
        <v>&lt;codeEdi&gt;11371&lt;/codeEdi&gt;</v>
      </c>
    </row>
    <row r="2578" spans="1:1" x14ac:dyDescent="0.2">
      <c r="A2578" s="996" t="str">
        <f>CONCATENATE(Programme!D2579,Programme!E2579,Programme!F2579,Programme!G2579,Programme!H2579,Programme!I2579,Programme!J2579)</f>
        <v>&lt;/cellule&gt;</v>
      </c>
    </row>
    <row r="2579" spans="1:1" x14ac:dyDescent="0.2">
      <c r="A2579" s="996" t="str">
        <f>CONCATENATE(Programme!D2580,Programme!E2580,Programme!F2580,Programme!G2580,Programme!H2580,Programme!I2580,Programme!J2580)</f>
        <v>&lt;valeur&gt;0&lt;/valeur&gt;</v>
      </c>
    </row>
    <row r="2580" spans="1:1" x14ac:dyDescent="0.2">
      <c r="A2580" s="996" t="str">
        <f>CONCATENATE(Programme!D2581,Programme!E2581,Programme!F2581,Programme!G2581,Programme!H2581,Programme!I2581,Programme!J2581)</f>
        <v>&lt;/ValeurCellule&gt;</v>
      </c>
    </row>
    <row r="2581" spans="1:1" x14ac:dyDescent="0.2">
      <c r="A2581" s="996" t="str">
        <f>CONCATENATE(Programme!D2582,Programme!E2582,Programme!F2582,Programme!G2582,Programme!H2582,Programme!I2582,Programme!J2582)</f>
        <v>&lt;ValeurCellule&gt;</v>
      </c>
    </row>
    <row r="2582" spans="1:1" x14ac:dyDescent="0.2">
      <c r="A2582" s="996" t="str">
        <f>CONCATENATE(Programme!D2583,Programme!E2583,Programme!F2583,Programme!G2583,Programme!H2583,Programme!I2583,Programme!J2583)</f>
        <v>&lt;cellule&gt;</v>
      </c>
    </row>
    <row r="2583" spans="1:1" x14ac:dyDescent="0.2">
      <c r="A2583" s="996" t="str">
        <f>CONCATENATE(Programme!D2584,Programme!E2584,Programme!F2584,Programme!G2584,Programme!H2584,Programme!I2584,Programme!J2584)</f>
        <v>&lt;codeEdi&gt;11376&lt;/codeEdi&gt;</v>
      </c>
    </row>
    <row r="2584" spans="1:1" x14ac:dyDescent="0.2">
      <c r="A2584" s="996" t="str">
        <f>CONCATENATE(Programme!D2585,Programme!E2585,Programme!F2585,Programme!G2585,Programme!H2585,Programme!I2585,Programme!J2585)</f>
        <v>&lt;/cellule&gt;</v>
      </c>
    </row>
    <row r="2585" spans="1:1" x14ac:dyDescent="0.2">
      <c r="A2585" s="996" t="str">
        <f>CONCATENATE(Programme!D2586,Programme!E2586,Programme!F2586,Programme!G2586,Programme!H2586,Programme!I2586,Programme!J2586)</f>
        <v>&lt;valeur&gt;0&lt;/valeur&gt;</v>
      </c>
    </row>
    <row r="2586" spans="1:1" x14ac:dyDescent="0.2">
      <c r="A2586" s="996" t="str">
        <f>CONCATENATE(Programme!D2587,Programme!E2587,Programme!F2587,Programme!G2587,Programme!H2587,Programme!I2587,Programme!J2587)</f>
        <v>&lt;/ValeurCellule&gt;</v>
      </c>
    </row>
    <row r="2587" spans="1:1" x14ac:dyDescent="0.2">
      <c r="A2587" s="996" t="str">
        <f>CONCATENATE(Programme!D2588,Programme!E2588,Programme!F2588,Programme!G2588,Programme!H2588,Programme!I2588,Programme!J2588)</f>
        <v>&lt;ValeurCellule&gt;</v>
      </c>
    </row>
    <row r="2588" spans="1:1" x14ac:dyDescent="0.2">
      <c r="A2588" s="996" t="str">
        <f>CONCATENATE(Programme!D2589,Programme!E2589,Programme!F2589,Programme!G2589,Programme!H2589,Programme!I2589,Programme!J2589)</f>
        <v>&lt;cellule&gt;</v>
      </c>
    </row>
    <row r="2589" spans="1:1" x14ac:dyDescent="0.2">
      <c r="A2589" s="996" t="str">
        <f>CONCATENATE(Programme!D2590,Programme!E2590,Programme!F2590,Programme!G2590,Programme!H2590,Programme!I2590,Programme!J2590)</f>
        <v>&lt;codeEdi&gt;11381&lt;/codeEdi&gt;</v>
      </c>
    </row>
    <row r="2590" spans="1:1" x14ac:dyDescent="0.2">
      <c r="A2590" s="996" t="str">
        <f>CONCATENATE(Programme!D2591,Programme!E2591,Programme!F2591,Programme!G2591,Programme!H2591,Programme!I2591,Programme!J2591)</f>
        <v>&lt;/cellule&gt;</v>
      </c>
    </row>
    <row r="2591" spans="1:1" x14ac:dyDescent="0.2">
      <c r="A2591" s="996" t="str">
        <f>CONCATENATE(Programme!D2592,Programme!E2592,Programme!F2592,Programme!G2592,Programme!H2592,Programme!I2592,Programme!J2592)</f>
        <v>&lt;valeur&gt;0&lt;/valeur&gt;</v>
      </c>
    </row>
    <row r="2592" spans="1:1" x14ac:dyDescent="0.2">
      <c r="A2592" s="996" t="str">
        <f>CONCATENATE(Programme!D2593,Programme!E2593,Programme!F2593,Programme!G2593,Programme!H2593,Programme!I2593,Programme!J2593)</f>
        <v>&lt;/ValeurCellule&gt;</v>
      </c>
    </row>
    <row r="2593" spans="1:1" x14ac:dyDescent="0.2">
      <c r="A2593" s="996" t="str">
        <f>CONCATENATE(Programme!D2594,Programme!E2594,Programme!F2594,Programme!G2594,Programme!H2594,Programme!I2594,Programme!J2594)</f>
        <v>&lt;ValeurCellule&gt;</v>
      </c>
    </row>
    <row r="2594" spans="1:1" x14ac:dyDescent="0.2">
      <c r="A2594" s="996" t="str">
        <f>CONCATENATE(Programme!D2595,Programme!E2595,Programme!F2595,Programme!G2595,Programme!H2595,Programme!I2595,Programme!J2595)</f>
        <v>&lt;cellule&gt;</v>
      </c>
    </row>
    <row r="2595" spans="1:1" x14ac:dyDescent="0.2">
      <c r="A2595" s="996" t="str">
        <f>CONCATENATE(Programme!D2596,Programme!E2596,Programme!F2596,Programme!G2596,Programme!H2596,Programme!I2596,Programme!J2596)</f>
        <v>&lt;codeEdi&gt;11386&lt;/codeEdi&gt;</v>
      </c>
    </row>
    <row r="2596" spans="1:1" x14ac:dyDescent="0.2">
      <c r="A2596" s="996" t="str">
        <f>CONCATENATE(Programme!D2597,Programme!E2597,Programme!F2597,Programme!G2597,Programme!H2597,Programme!I2597,Programme!J2597)</f>
        <v>&lt;/cellule&gt;</v>
      </c>
    </row>
    <row r="2597" spans="1:1" x14ac:dyDescent="0.2">
      <c r="A2597" s="996" t="str">
        <f>CONCATENATE(Programme!D2598,Programme!E2598,Programme!F2598,Programme!G2598,Programme!H2598,Programme!I2598,Programme!J2598)</f>
        <v>&lt;valeur&gt;0&lt;/valeur&gt;</v>
      </c>
    </row>
    <row r="2598" spans="1:1" x14ac:dyDescent="0.2">
      <c r="A2598" s="996" t="str">
        <f>CONCATENATE(Programme!D2599,Programme!E2599,Programme!F2599,Programme!G2599,Programme!H2599,Programme!I2599,Programme!J2599)</f>
        <v>&lt;/ValeurCellule&gt;</v>
      </c>
    </row>
    <row r="2599" spans="1:1" x14ac:dyDescent="0.2">
      <c r="A2599" s="996" t="str">
        <f>CONCATENATE(Programme!D2600,Programme!E2600,Programme!F2600,Programme!G2600,Programme!H2600,Programme!I2600,Programme!J2600)</f>
        <v>&lt;ValeurCellule&gt;</v>
      </c>
    </row>
    <row r="2600" spans="1:1" x14ac:dyDescent="0.2">
      <c r="A2600" s="996" t="str">
        <f>CONCATENATE(Programme!D2601,Programme!E2601,Programme!F2601,Programme!G2601,Programme!H2601,Programme!I2601,Programme!J2601)</f>
        <v>&lt;cellule&gt;</v>
      </c>
    </row>
    <row r="2601" spans="1:1" x14ac:dyDescent="0.2">
      <c r="A2601" s="996" t="str">
        <f>CONCATENATE(Programme!D2602,Programme!E2602,Programme!F2602,Programme!G2602,Programme!H2602,Programme!I2602,Programme!J2602)</f>
        <v>&lt;codeEdi&gt;11391&lt;/codeEdi&gt;</v>
      </c>
    </row>
    <row r="2602" spans="1:1" x14ac:dyDescent="0.2">
      <c r="A2602" s="996" t="str">
        <f>CONCATENATE(Programme!D2603,Programme!E2603,Programme!F2603,Programme!G2603,Programme!H2603,Programme!I2603,Programme!J2603)</f>
        <v>&lt;/cellule&gt;</v>
      </c>
    </row>
    <row r="2603" spans="1:1" x14ac:dyDescent="0.2">
      <c r="A2603" s="996" t="str">
        <f>CONCATENATE(Programme!D2604,Programme!E2604,Programme!F2604,Programme!G2604,Programme!H2604,Programme!I2604,Programme!J2604)</f>
        <v>&lt;valeur&gt;0&lt;/valeur&gt;</v>
      </c>
    </row>
    <row r="2604" spans="1:1" x14ac:dyDescent="0.2">
      <c r="A2604" s="996" t="str">
        <f>CONCATENATE(Programme!D2605,Programme!E2605,Programme!F2605,Programme!G2605,Programme!H2605,Programme!I2605,Programme!J2605)</f>
        <v>&lt;/ValeurCellule&gt;</v>
      </c>
    </row>
    <row r="2605" spans="1:1" x14ac:dyDescent="0.2">
      <c r="A2605" s="996" t="str">
        <f>CONCATENATE(Programme!D2606,Programme!E2606,Programme!F2606,Programme!G2606,Programme!H2606,Programme!I2606,Programme!J2606)</f>
        <v>&lt;ValeurCellule&gt;</v>
      </c>
    </row>
    <row r="2606" spans="1:1" x14ac:dyDescent="0.2">
      <c r="A2606" s="996" t="str">
        <f>CONCATENATE(Programme!D2607,Programme!E2607,Programme!F2607,Programme!G2607,Programme!H2607,Programme!I2607,Programme!J2607)</f>
        <v>&lt;cellule&gt;</v>
      </c>
    </row>
    <row r="2607" spans="1:1" x14ac:dyDescent="0.2">
      <c r="A2607" s="996" t="str">
        <f>CONCATENATE(Programme!D2608,Programme!E2608,Programme!F2608,Programme!G2608,Programme!H2608,Programme!I2608,Programme!J2608)</f>
        <v>&lt;codeEdi&gt;11342&lt;/codeEdi&gt;</v>
      </c>
    </row>
    <row r="2608" spans="1:1" x14ac:dyDescent="0.2">
      <c r="A2608" s="996" t="str">
        <f>CONCATENATE(Programme!D2609,Programme!E2609,Programme!F2609,Programme!G2609,Programme!H2609,Programme!I2609,Programme!J2609)</f>
        <v>&lt;/cellule&gt;</v>
      </c>
    </row>
    <row r="2609" spans="1:1" x14ac:dyDescent="0.2">
      <c r="A2609" s="996" t="str">
        <f>CONCATENATE(Programme!D2610,Programme!E2610,Programme!F2610,Programme!G2610,Programme!H2610,Programme!I2610,Programme!J2610)</f>
        <v>&lt;valeur&gt;0&lt;/valeur&gt;</v>
      </c>
    </row>
    <row r="2610" spans="1:1" x14ac:dyDescent="0.2">
      <c r="A2610" s="996" t="str">
        <f>CONCATENATE(Programme!D2611,Programme!E2611,Programme!F2611,Programme!G2611,Programme!H2611,Programme!I2611,Programme!J2611)</f>
        <v>&lt;/ValeurCellule&gt;</v>
      </c>
    </row>
    <row r="2611" spans="1:1" x14ac:dyDescent="0.2">
      <c r="A2611" s="996" t="str">
        <f>CONCATENATE(Programme!D2612,Programme!E2612,Programme!F2612,Programme!G2612,Programme!H2612,Programme!I2612,Programme!J2612)</f>
        <v>&lt;ValeurCellule&gt;</v>
      </c>
    </row>
    <row r="2612" spans="1:1" x14ac:dyDescent="0.2">
      <c r="A2612" s="996" t="str">
        <f>CONCATENATE(Programme!D2613,Programme!E2613,Programme!F2613,Programme!G2613,Programme!H2613,Programme!I2613,Programme!J2613)</f>
        <v>&lt;cellule&gt;</v>
      </c>
    </row>
    <row r="2613" spans="1:1" x14ac:dyDescent="0.2">
      <c r="A2613" s="996" t="str">
        <f>CONCATENATE(Programme!D2614,Programme!E2614,Programme!F2614,Programme!G2614,Programme!H2614,Programme!I2614,Programme!J2614)</f>
        <v>&lt;codeEdi&gt;11347&lt;/codeEdi&gt;</v>
      </c>
    </row>
    <row r="2614" spans="1:1" x14ac:dyDescent="0.2">
      <c r="A2614" s="996" t="str">
        <f>CONCATENATE(Programme!D2615,Programme!E2615,Programme!F2615,Programme!G2615,Programme!H2615,Programme!I2615,Programme!J2615)</f>
        <v>&lt;/cellule&gt;</v>
      </c>
    </row>
    <row r="2615" spans="1:1" x14ac:dyDescent="0.2">
      <c r="A2615" s="996" t="str">
        <f>CONCATENATE(Programme!D2616,Programme!E2616,Programme!F2616,Programme!G2616,Programme!H2616,Programme!I2616,Programme!J2616)</f>
        <v>&lt;valeur&gt;0&lt;/valeur&gt;</v>
      </c>
    </row>
    <row r="2616" spans="1:1" x14ac:dyDescent="0.2">
      <c r="A2616" s="996" t="str">
        <f>CONCATENATE(Programme!D2617,Programme!E2617,Programme!F2617,Programme!G2617,Programme!H2617,Programme!I2617,Programme!J2617)</f>
        <v>&lt;/ValeurCellule&gt;</v>
      </c>
    </row>
    <row r="2617" spans="1:1" x14ac:dyDescent="0.2">
      <c r="A2617" s="996" t="str">
        <f>CONCATENATE(Programme!D2618,Programme!E2618,Programme!F2618,Programme!G2618,Programme!H2618,Programme!I2618,Programme!J2618)</f>
        <v>&lt;ValeurCellule&gt;</v>
      </c>
    </row>
    <row r="2618" spans="1:1" x14ac:dyDescent="0.2">
      <c r="A2618" s="996" t="str">
        <f>CONCATENATE(Programme!D2619,Programme!E2619,Programme!F2619,Programme!G2619,Programme!H2619,Programme!I2619,Programme!J2619)</f>
        <v>&lt;cellule&gt;</v>
      </c>
    </row>
    <row r="2619" spans="1:1" x14ac:dyDescent="0.2">
      <c r="A2619" s="996" t="str">
        <f>CONCATENATE(Programme!D2620,Programme!E2620,Programme!F2620,Programme!G2620,Programme!H2620,Programme!I2620,Programme!J2620)</f>
        <v>&lt;codeEdi&gt;11352&lt;/codeEdi&gt;</v>
      </c>
    </row>
    <row r="2620" spans="1:1" x14ac:dyDescent="0.2">
      <c r="A2620" s="996" t="str">
        <f>CONCATENATE(Programme!D2621,Programme!E2621,Programme!F2621,Programme!G2621,Programme!H2621,Programme!I2621,Programme!J2621)</f>
        <v>&lt;/cellule&gt;</v>
      </c>
    </row>
    <row r="2621" spans="1:1" x14ac:dyDescent="0.2">
      <c r="A2621" s="996" t="str">
        <f>CONCATENATE(Programme!D2622,Programme!E2622,Programme!F2622,Programme!G2622,Programme!H2622,Programme!I2622,Programme!J2622)</f>
        <v>&lt;valeur&gt;0&lt;/valeur&gt;</v>
      </c>
    </row>
    <row r="2622" spans="1:1" x14ac:dyDescent="0.2">
      <c r="A2622" s="996" t="str">
        <f>CONCATENATE(Programme!D2623,Programme!E2623,Programme!F2623,Programme!G2623,Programme!H2623,Programme!I2623,Programme!J2623)</f>
        <v>&lt;/ValeurCellule&gt;</v>
      </c>
    </row>
    <row r="2623" spans="1:1" x14ac:dyDescent="0.2">
      <c r="A2623" s="996" t="str">
        <f>CONCATENATE(Programme!D2624,Programme!E2624,Programme!F2624,Programme!G2624,Programme!H2624,Programme!I2624,Programme!J2624)</f>
        <v>&lt;ValeurCellule&gt;</v>
      </c>
    </row>
    <row r="2624" spans="1:1" x14ac:dyDescent="0.2">
      <c r="A2624" s="996" t="str">
        <f>CONCATENATE(Programme!D2625,Programme!E2625,Programme!F2625,Programme!G2625,Programme!H2625,Programme!I2625,Programme!J2625)</f>
        <v>&lt;cellule&gt;</v>
      </c>
    </row>
    <row r="2625" spans="1:1" x14ac:dyDescent="0.2">
      <c r="A2625" s="996" t="str">
        <f>CONCATENATE(Programme!D2626,Programme!E2626,Programme!F2626,Programme!G2626,Programme!H2626,Programme!I2626,Programme!J2626)</f>
        <v>&lt;codeEdi&gt;11392&lt;/codeEdi&gt;</v>
      </c>
    </row>
    <row r="2626" spans="1:1" x14ac:dyDescent="0.2">
      <c r="A2626" s="996" t="str">
        <f>CONCATENATE(Programme!D2627,Programme!E2627,Programme!F2627,Programme!G2627,Programme!H2627,Programme!I2627,Programme!J2627)</f>
        <v>&lt;/cellule&gt;</v>
      </c>
    </row>
    <row r="2627" spans="1:1" x14ac:dyDescent="0.2">
      <c r="A2627" s="996" t="str">
        <f>CONCATENATE(Programme!D2628,Programme!E2628,Programme!F2628,Programme!G2628,Programme!H2628,Programme!I2628,Programme!J2628)</f>
        <v>&lt;valeur&gt;0&lt;/valeur&gt;</v>
      </c>
    </row>
    <row r="2628" spans="1:1" x14ac:dyDescent="0.2">
      <c r="A2628" s="996" t="str">
        <f>CONCATENATE(Programme!D2629,Programme!E2629,Programme!F2629,Programme!G2629,Programme!H2629,Programme!I2629,Programme!J2629)</f>
        <v>&lt;/ValeurCellule&gt;</v>
      </c>
    </row>
    <row r="2629" spans="1:1" x14ac:dyDescent="0.2">
      <c r="A2629" s="996" t="str">
        <f>CONCATENATE(Programme!D2630,Programme!E2630,Programme!F2630,Programme!G2630,Programme!H2630,Programme!I2630,Programme!J2630)</f>
        <v>&lt;ValeurCellule&gt;</v>
      </c>
    </row>
    <row r="2630" spans="1:1" x14ac:dyDescent="0.2">
      <c r="A2630" s="996" t="str">
        <f>CONCATENATE(Programme!D2631,Programme!E2631,Programme!F2631,Programme!G2631,Programme!H2631,Programme!I2631,Programme!J2631)</f>
        <v>&lt;cellule&gt;</v>
      </c>
    </row>
    <row r="2631" spans="1:1" x14ac:dyDescent="0.2">
      <c r="A2631" s="996" t="str">
        <f>CONCATENATE(Programme!D2632,Programme!E2632,Programme!F2632,Programme!G2632,Programme!H2632,Programme!I2632,Programme!J2632)</f>
        <v>&lt;codeEdi&gt;11397&lt;/codeEdi&gt;</v>
      </c>
    </row>
    <row r="2632" spans="1:1" x14ac:dyDescent="0.2">
      <c r="A2632" s="996" t="str">
        <f>CONCATENATE(Programme!D2633,Programme!E2633,Programme!F2633,Programme!G2633,Programme!H2633,Programme!I2633,Programme!J2633)</f>
        <v>&lt;/cellule&gt;</v>
      </c>
    </row>
    <row r="2633" spans="1:1" x14ac:dyDescent="0.2">
      <c r="A2633" s="996" t="str">
        <f>CONCATENATE(Programme!D2634,Programme!E2634,Programme!F2634,Programme!G2634,Programme!H2634,Programme!I2634,Programme!J2634)</f>
        <v>&lt;valeur&gt;0&lt;/valeur&gt;</v>
      </c>
    </row>
    <row r="2634" spans="1:1" x14ac:dyDescent="0.2">
      <c r="A2634" s="996" t="str">
        <f>CONCATENATE(Programme!D2635,Programme!E2635,Programme!F2635,Programme!G2635,Programme!H2635,Programme!I2635,Programme!J2635)</f>
        <v>&lt;/ValeurCellule&gt;</v>
      </c>
    </row>
    <row r="2635" spans="1:1" x14ac:dyDescent="0.2">
      <c r="A2635" s="996" t="str">
        <f>CONCATENATE(Programme!D2636,Programme!E2636,Programme!F2636,Programme!G2636,Programme!H2636,Programme!I2636,Programme!J2636)</f>
        <v>&lt;ValeurCellule&gt;</v>
      </c>
    </row>
    <row r="2636" spans="1:1" x14ac:dyDescent="0.2">
      <c r="A2636" s="996" t="str">
        <f>CONCATENATE(Programme!D2637,Programme!E2637,Programme!F2637,Programme!G2637,Programme!H2637,Programme!I2637,Programme!J2637)</f>
        <v>&lt;cellule&gt;</v>
      </c>
    </row>
    <row r="2637" spans="1:1" x14ac:dyDescent="0.2">
      <c r="A2637" s="996" t="str">
        <f>CONCATENATE(Programme!D2638,Programme!E2638,Programme!F2638,Programme!G2638,Programme!H2638,Programme!I2638,Programme!J2638)</f>
        <v>&lt;codeEdi&gt;11402&lt;/codeEdi&gt;</v>
      </c>
    </row>
    <row r="2638" spans="1:1" x14ac:dyDescent="0.2">
      <c r="A2638" s="996" t="str">
        <f>CONCATENATE(Programme!D2639,Programme!E2639,Programme!F2639,Programme!G2639,Programme!H2639,Programme!I2639,Programme!J2639)</f>
        <v>&lt;/cellule&gt;</v>
      </c>
    </row>
    <row r="2639" spans="1:1" x14ac:dyDescent="0.2">
      <c r="A2639" s="996" t="str">
        <f>CONCATENATE(Programme!D2640,Programme!E2640,Programme!F2640,Programme!G2640,Programme!H2640,Programme!I2640,Programme!J2640)</f>
        <v>&lt;valeur&gt;0&lt;/valeur&gt;</v>
      </c>
    </row>
    <row r="2640" spans="1:1" x14ac:dyDescent="0.2">
      <c r="A2640" s="996" t="str">
        <f>CONCATENATE(Programme!D2641,Programme!E2641,Programme!F2641,Programme!G2641,Programme!H2641,Programme!I2641,Programme!J2641)</f>
        <v>&lt;/ValeurCellule&gt;</v>
      </c>
    </row>
    <row r="2641" spans="1:1" x14ac:dyDescent="0.2">
      <c r="A2641" s="996" t="str">
        <f>CONCATENATE(Programme!D2642,Programme!E2642,Programme!F2642,Programme!G2642,Programme!H2642,Programme!I2642,Programme!J2642)</f>
        <v>&lt;ValeurCellule&gt;</v>
      </c>
    </row>
    <row r="2642" spans="1:1" x14ac:dyDescent="0.2">
      <c r="A2642" s="996" t="str">
        <f>CONCATENATE(Programme!D2643,Programme!E2643,Programme!F2643,Programme!G2643,Programme!H2643,Programme!I2643,Programme!J2643)</f>
        <v>&lt;cellule&gt;</v>
      </c>
    </row>
    <row r="2643" spans="1:1" x14ac:dyDescent="0.2">
      <c r="A2643" s="996" t="str">
        <f>CONCATENATE(Programme!D2644,Programme!E2644,Programme!F2644,Programme!G2644,Programme!H2644,Programme!I2644,Programme!J2644)</f>
        <v>&lt;codeEdi&gt;11407&lt;/codeEdi&gt;</v>
      </c>
    </row>
    <row r="2644" spans="1:1" x14ac:dyDescent="0.2">
      <c r="A2644" s="996" t="str">
        <f>CONCATENATE(Programme!D2645,Programme!E2645,Programme!F2645,Programme!G2645,Programme!H2645,Programme!I2645,Programme!J2645)</f>
        <v>&lt;/cellule&gt;</v>
      </c>
    </row>
    <row r="2645" spans="1:1" x14ac:dyDescent="0.2">
      <c r="A2645" s="996" t="str">
        <f>CONCATENATE(Programme!D2646,Programme!E2646,Programme!F2646,Programme!G2646,Programme!H2646,Programme!I2646,Programme!J2646)</f>
        <v>&lt;valeur&gt;0&lt;/valeur&gt;</v>
      </c>
    </row>
    <row r="2646" spans="1:1" x14ac:dyDescent="0.2">
      <c r="A2646" s="996" t="str">
        <f>CONCATENATE(Programme!D2647,Programme!E2647,Programme!F2647,Programme!G2647,Programme!H2647,Programme!I2647,Programme!J2647)</f>
        <v>&lt;/ValeurCellule&gt;</v>
      </c>
    </row>
    <row r="2647" spans="1:1" x14ac:dyDescent="0.2">
      <c r="A2647" s="996" t="str">
        <f>CONCATENATE(Programme!D2648,Programme!E2648,Programme!F2648,Programme!G2648,Programme!H2648,Programme!I2648,Programme!J2648)</f>
        <v>&lt;ValeurCellule&gt;</v>
      </c>
    </row>
    <row r="2648" spans="1:1" x14ac:dyDescent="0.2">
      <c r="A2648" s="996" t="str">
        <f>CONCATENATE(Programme!D2649,Programme!E2649,Programme!F2649,Programme!G2649,Programme!H2649,Programme!I2649,Programme!J2649)</f>
        <v>&lt;cellule&gt;</v>
      </c>
    </row>
    <row r="2649" spans="1:1" x14ac:dyDescent="0.2">
      <c r="A2649" s="996" t="str">
        <f>CONCATENATE(Programme!D2650,Programme!E2650,Programme!F2650,Programme!G2650,Programme!H2650,Programme!I2650,Programme!J2650)</f>
        <v>&lt;codeEdi&gt;11357&lt;/codeEdi&gt;</v>
      </c>
    </row>
    <row r="2650" spans="1:1" x14ac:dyDescent="0.2">
      <c r="A2650" s="996" t="str">
        <f>CONCATENATE(Programme!D2651,Programme!E2651,Programme!F2651,Programme!G2651,Programme!H2651,Programme!I2651,Programme!J2651)</f>
        <v>&lt;/cellule&gt;</v>
      </c>
    </row>
    <row r="2651" spans="1:1" x14ac:dyDescent="0.2">
      <c r="A2651" s="996" t="str">
        <f>CONCATENATE(Programme!D2652,Programme!E2652,Programme!F2652,Programme!G2652,Programme!H2652,Programme!I2652,Programme!J2652)</f>
        <v>&lt;valeur&gt;0&lt;/valeur&gt;</v>
      </c>
    </row>
    <row r="2652" spans="1:1" x14ac:dyDescent="0.2">
      <c r="A2652" s="996" t="str">
        <f>CONCATENATE(Programme!D2653,Programme!E2653,Programme!F2653,Programme!G2653,Programme!H2653,Programme!I2653,Programme!J2653)</f>
        <v>&lt;/ValeurCellule&gt;</v>
      </c>
    </row>
    <row r="2653" spans="1:1" x14ac:dyDescent="0.2">
      <c r="A2653" s="996" t="str">
        <f>CONCATENATE(Programme!D2654,Programme!E2654,Programme!F2654,Programme!G2654,Programme!H2654,Programme!I2654,Programme!J2654)</f>
        <v>&lt;ValeurCellule&gt;</v>
      </c>
    </row>
    <row r="2654" spans="1:1" x14ac:dyDescent="0.2">
      <c r="A2654" s="996" t="str">
        <f>CONCATENATE(Programme!D2655,Programme!E2655,Programme!F2655,Programme!G2655,Programme!H2655,Programme!I2655,Programme!J2655)</f>
        <v>&lt;cellule&gt;</v>
      </c>
    </row>
    <row r="2655" spans="1:1" x14ac:dyDescent="0.2">
      <c r="A2655" s="996" t="str">
        <f>CONCATENATE(Programme!D2656,Programme!E2656,Programme!F2656,Programme!G2656,Programme!H2656,Programme!I2656,Programme!J2656)</f>
        <v>&lt;codeEdi&gt;11362&lt;/codeEdi&gt;</v>
      </c>
    </row>
    <row r="2656" spans="1:1" x14ac:dyDescent="0.2">
      <c r="A2656" s="996" t="str">
        <f>CONCATENATE(Programme!D2657,Programme!E2657,Programme!F2657,Programme!G2657,Programme!H2657,Programme!I2657,Programme!J2657)</f>
        <v>&lt;/cellule&gt;</v>
      </c>
    </row>
    <row r="2657" spans="1:1" x14ac:dyDescent="0.2">
      <c r="A2657" s="996" t="str">
        <f>CONCATENATE(Programme!D2658,Programme!E2658,Programme!F2658,Programme!G2658,Programme!H2658,Programme!I2658,Programme!J2658)</f>
        <v>&lt;valeur&gt;0&lt;/valeur&gt;</v>
      </c>
    </row>
    <row r="2658" spans="1:1" x14ac:dyDescent="0.2">
      <c r="A2658" s="996" t="str">
        <f>CONCATENATE(Programme!D2659,Programme!E2659,Programme!F2659,Programme!G2659,Programme!H2659,Programme!I2659,Programme!J2659)</f>
        <v>&lt;/ValeurCellule&gt;</v>
      </c>
    </row>
    <row r="2659" spans="1:1" x14ac:dyDescent="0.2">
      <c r="A2659" s="996" t="str">
        <f>CONCATENATE(Programme!D2660,Programme!E2660,Programme!F2660,Programme!G2660,Programme!H2660,Programme!I2660,Programme!J2660)</f>
        <v>&lt;ValeurCellule&gt;</v>
      </c>
    </row>
    <row r="2660" spans="1:1" x14ac:dyDescent="0.2">
      <c r="A2660" s="996" t="str">
        <f>CONCATENATE(Programme!D2661,Programme!E2661,Programme!F2661,Programme!G2661,Programme!H2661,Programme!I2661,Programme!J2661)</f>
        <v>&lt;cellule&gt;</v>
      </c>
    </row>
    <row r="2661" spans="1:1" x14ac:dyDescent="0.2">
      <c r="A2661" s="996" t="str">
        <f>CONCATENATE(Programme!D2662,Programme!E2662,Programme!F2662,Programme!G2662,Programme!H2662,Programme!I2662,Programme!J2662)</f>
        <v>&lt;codeEdi&gt;11367&lt;/codeEdi&gt;</v>
      </c>
    </row>
    <row r="2662" spans="1:1" x14ac:dyDescent="0.2">
      <c r="A2662" s="996" t="str">
        <f>CONCATENATE(Programme!D2663,Programme!E2663,Programme!F2663,Programme!G2663,Programme!H2663,Programme!I2663,Programme!J2663)</f>
        <v>&lt;/cellule&gt;</v>
      </c>
    </row>
    <row r="2663" spans="1:1" x14ac:dyDescent="0.2">
      <c r="A2663" s="996" t="str">
        <f>CONCATENATE(Programme!D2664,Programme!E2664,Programme!F2664,Programme!G2664,Programme!H2664,Programme!I2664,Programme!J2664)</f>
        <v>&lt;valeur&gt;0&lt;/valeur&gt;</v>
      </c>
    </row>
    <row r="2664" spans="1:1" x14ac:dyDescent="0.2">
      <c r="A2664" s="996" t="str">
        <f>CONCATENATE(Programme!D2665,Programme!E2665,Programme!F2665,Programme!G2665,Programme!H2665,Programme!I2665,Programme!J2665)</f>
        <v>&lt;/ValeurCellule&gt;</v>
      </c>
    </row>
    <row r="2665" spans="1:1" x14ac:dyDescent="0.2">
      <c r="A2665" s="996" t="str">
        <f>CONCATENATE(Programme!D2666,Programme!E2666,Programme!F2666,Programme!G2666,Programme!H2666,Programme!I2666,Programme!J2666)</f>
        <v>&lt;ValeurCellule&gt;</v>
      </c>
    </row>
    <row r="2666" spans="1:1" x14ac:dyDescent="0.2">
      <c r="A2666" s="996" t="str">
        <f>CONCATENATE(Programme!D2667,Programme!E2667,Programme!F2667,Programme!G2667,Programme!H2667,Programme!I2667,Programme!J2667)</f>
        <v>&lt;cellule&gt;</v>
      </c>
    </row>
    <row r="2667" spans="1:1" x14ac:dyDescent="0.2">
      <c r="A2667" s="996" t="str">
        <f>CONCATENATE(Programme!D2668,Programme!E2668,Programme!F2668,Programme!G2668,Programme!H2668,Programme!I2668,Programme!J2668)</f>
        <v>&lt;codeEdi&gt;11372&lt;/codeEdi&gt;</v>
      </c>
    </row>
    <row r="2668" spans="1:1" x14ac:dyDescent="0.2">
      <c r="A2668" s="996" t="str">
        <f>CONCATENATE(Programme!D2669,Programme!E2669,Programme!F2669,Programme!G2669,Programme!H2669,Programme!I2669,Programme!J2669)</f>
        <v>&lt;/cellule&gt;</v>
      </c>
    </row>
    <row r="2669" spans="1:1" x14ac:dyDescent="0.2">
      <c r="A2669" s="996" t="str">
        <f>CONCATENATE(Programme!D2670,Programme!E2670,Programme!F2670,Programme!G2670,Programme!H2670,Programme!I2670,Programme!J2670)</f>
        <v>&lt;valeur&gt;0&lt;/valeur&gt;</v>
      </c>
    </row>
    <row r="2670" spans="1:1" x14ac:dyDescent="0.2">
      <c r="A2670" s="996" t="str">
        <f>CONCATENATE(Programme!D2671,Programme!E2671,Programme!F2671,Programme!G2671,Programme!H2671,Programme!I2671,Programme!J2671)</f>
        <v>&lt;/ValeurCellule&gt;</v>
      </c>
    </row>
    <row r="2671" spans="1:1" x14ac:dyDescent="0.2">
      <c r="A2671" s="996" t="str">
        <f>CONCATENATE(Programme!D2672,Programme!E2672,Programme!F2672,Programme!G2672,Programme!H2672,Programme!I2672,Programme!J2672)</f>
        <v>&lt;ValeurCellule&gt;</v>
      </c>
    </row>
    <row r="2672" spans="1:1" x14ac:dyDescent="0.2">
      <c r="A2672" s="996" t="str">
        <f>CONCATENATE(Programme!D2673,Programme!E2673,Programme!F2673,Programme!G2673,Programme!H2673,Programme!I2673,Programme!J2673)</f>
        <v>&lt;cellule&gt;</v>
      </c>
    </row>
    <row r="2673" spans="1:1" x14ac:dyDescent="0.2">
      <c r="A2673" s="996" t="str">
        <f>CONCATENATE(Programme!D2674,Programme!E2674,Programme!F2674,Programme!G2674,Programme!H2674,Programme!I2674,Programme!J2674)</f>
        <v>&lt;codeEdi&gt;11377&lt;/codeEdi&gt;</v>
      </c>
    </row>
    <row r="2674" spans="1:1" x14ac:dyDescent="0.2">
      <c r="A2674" s="996" t="str">
        <f>CONCATENATE(Programme!D2675,Programme!E2675,Programme!F2675,Programme!G2675,Programme!H2675,Programme!I2675,Programme!J2675)</f>
        <v>&lt;/cellule&gt;</v>
      </c>
    </row>
    <row r="2675" spans="1:1" x14ac:dyDescent="0.2">
      <c r="A2675" s="996" t="str">
        <f>CONCATENATE(Programme!D2676,Programme!E2676,Programme!F2676,Programme!G2676,Programme!H2676,Programme!I2676,Programme!J2676)</f>
        <v>&lt;valeur&gt;0&lt;/valeur&gt;</v>
      </c>
    </row>
    <row r="2676" spans="1:1" x14ac:dyDescent="0.2">
      <c r="A2676" s="996" t="str">
        <f>CONCATENATE(Programme!D2677,Programme!E2677,Programme!F2677,Programme!G2677,Programme!H2677,Programme!I2677,Programme!J2677)</f>
        <v>&lt;/ValeurCellule&gt;</v>
      </c>
    </row>
    <row r="2677" spans="1:1" x14ac:dyDescent="0.2">
      <c r="A2677" s="996" t="str">
        <f>CONCATENATE(Programme!D2678,Programme!E2678,Programme!F2678,Programme!G2678,Programme!H2678,Programme!I2678,Programme!J2678)</f>
        <v>&lt;ValeurCellule&gt;</v>
      </c>
    </row>
    <row r="2678" spans="1:1" x14ac:dyDescent="0.2">
      <c r="A2678" s="996" t="str">
        <f>CONCATENATE(Programme!D2679,Programme!E2679,Programme!F2679,Programme!G2679,Programme!H2679,Programme!I2679,Programme!J2679)</f>
        <v>&lt;cellule&gt;</v>
      </c>
    </row>
    <row r="2679" spans="1:1" x14ac:dyDescent="0.2">
      <c r="A2679" s="996" t="str">
        <f>CONCATENATE(Programme!D2680,Programme!E2680,Programme!F2680,Programme!G2680,Programme!H2680,Programme!I2680,Programme!J2680)</f>
        <v>&lt;codeEdi&gt;11382&lt;/codeEdi&gt;</v>
      </c>
    </row>
    <row r="2680" spans="1:1" x14ac:dyDescent="0.2">
      <c r="A2680" s="996" t="str">
        <f>CONCATENATE(Programme!D2681,Programme!E2681,Programme!F2681,Programme!G2681,Programme!H2681,Programme!I2681,Programme!J2681)</f>
        <v>&lt;/cellule&gt;</v>
      </c>
    </row>
    <row r="2681" spans="1:1" x14ac:dyDescent="0.2">
      <c r="A2681" s="996" t="str">
        <f>CONCATENATE(Programme!D2682,Programme!E2682,Programme!F2682,Programme!G2682,Programme!H2682,Programme!I2682,Programme!J2682)</f>
        <v>&lt;valeur&gt;0&lt;/valeur&gt;</v>
      </c>
    </row>
    <row r="2682" spans="1:1" x14ac:dyDescent="0.2">
      <c r="A2682" s="996" t="str">
        <f>CONCATENATE(Programme!D2683,Programme!E2683,Programme!F2683,Programme!G2683,Programme!H2683,Programme!I2683,Programme!J2683)</f>
        <v>&lt;/ValeurCellule&gt;</v>
      </c>
    </row>
    <row r="2683" spans="1:1" x14ac:dyDescent="0.2">
      <c r="A2683" s="996" t="str">
        <f>CONCATENATE(Programme!D2684,Programme!E2684,Programme!F2684,Programme!G2684,Programme!H2684,Programme!I2684,Programme!J2684)</f>
        <v>&lt;ValeurCellule&gt;</v>
      </c>
    </row>
    <row r="2684" spans="1:1" x14ac:dyDescent="0.2">
      <c r="A2684" s="996" t="str">
        <f>CONCATENATE(Programme!D2685,Programme!E2685,Programme!F2685,Programme!G2685,Programme!H2685,Programme!I2685,Programme!J2685)</f>
        <v>&lt;cellule&gt;</v>
      </c>
    </row>
    <row r="2685" spans="1:1" x14ac:dyDescent="0.2">
      <c r="A2685" s="996" t="str">
        <f>CONCATENATE(Programme!D2686,Programme!E2686,Programme!F2686,Programme!G2686,Programme!H2686,Programme!I2686,Programme!J2686)</f>
        <v>&lt;codeEdi&gt;11387&lt;/codeEdi&gt;</v>
      </c>
    </row>
    <row r="2686" spans="1:1" x14ac:dyDescent="0.2">
      <c r="A2686" s="996" t="str">
        <f>CONCATENATE(Programme!D2687,Programme!E2687,Programme!F2687,Programme!G2687,Programme!H2687,Programme!I2687,Programme!J2687)</f>
        <v>&lt;/cellule&gt;</v>
      </c>
    </row>
    <row r="2687" spans="1:1" x14ac:dyDescent="0.2">
      <c r="A2687" s="996" t="str">
        <f>CONCATENATE(Programme!D2688,Programme!E2688,Programme!F2688,Programme!G2688,Programme!H2688,Programme!I2688,Programme!J2688)</f>
        <v>&lt;valeur&gt;0&lt;/valeur&gt;</v>
      </c>
    </row>
    <row r="2688" spans="1:1" x14ac:dyDescent="0.2">
      <c r="A2688" s="996" t="str">
        <f>CONCATENATE(Programme!D2689,Programme!E2689,Programme!F2689,Programme!G2689,Programme!H2689,Programme!I2689,Programme!J2689)</f>
        <v>&lt;/ValeurCellule&gt;</v>
      </c>
    </row>
    <row r="2689" spans="1:1" x14ac:dyDescent="0.2">
      <c r="A2689" s="996" t="str">
        <f>CONCATENATE(Programme!D2690,Programme!E2690,Programme!F2690,Programme!G2690,Programme!H2690,Programme!I2690,Programme!J2690)</f>
        <v>&lt;ValeurCellule&gt;</v>
      </c>
    </row>
    <row r="2690" spans="1:1" x14ac:dyDescent="0.2">
      <c r="A2690" s="996" t="str">
        <f>CONCATENATE(Programme!D2691,Programme!E2691,Programme!F2691,Programme!G2691,Programme!H2691,Programme!I2691,Programme!J2691)</f>
        <v>&lt;cellule&gt;</v>
      </c>
    </row>
    <row r="2691" spans="1:1" x14ac:dyDescent="0.2">
      <c r="A2691" s="996" t="str">
        <f>CONCATENATE(Programme!D2692,Programme!E2692,Programme!F2692,Programme!G2692,Programme!H2692,Programme!I2692,Programme!J2692)</f>
        <v>&lt;codeEdi&gt;11343&lt;/codeEdi&gt;</v>
      </c>
    </row>
    <row r="2692" spans="1:1" x14ac:dyDescent="0.2">
      <c r="A2692" s="996" t="str">
        <f>CONCATENATE(Programme!D2693,Programme!E2693,Programme!F2693,Programme!G2693,Programme!H2693,Programme!I2693,Programme!J2693)</f>
        <v>&lt;/cellule&gt;</v>
      </c>
    </row>
    <row r="2693" spans="1:1" x14ac:dyDescent="0.2">
      <c r="A2693" s="996" t="str">
        <f>CONCATENATE(Programme!D2694,Programme!E2694,Programme!F2694,Programme!G2694,Programme!H2694,Programme!I2694,Programme!J2694)</f>
        <v>&lt;valeur&gt;0&lt;/valeur&gt;</v>
      </c>
    </row>
    <row r="2694" spans="1:1" x14ac:dyDescent="0.2">
      <c r="A2694" s="996" t="str">
        <f>CONCATENATE(Programme!D2695,Programme!E2695,Programme!F2695,Programme!G2695,Programme!H2695,Programme!I2695,Programme!J2695)</f>
        <v>&lt;/ValeurCellule&gt;</v>
      </c>
    </row>
    <row r="2695" spans="1:1" x14ac:dyDescent="0.2">
      <c r="A2695" s="996" t="str">
        <f>CONCATENATE(Programme!D2696,Programme!E2696,Programme!F2696,Programme!G2696,Programme!H2696,Programme!I2696,Programme!J2696)</f>
        <v>&lt;ValeurCellule&gt;</v>
      </c>
    </row>
    <row r="2696" spans="1:1" x14ac:dyDescent="0.2">
      <c r="A2696" s="996" t="str">
        <f>CONCATENATE(Programme!D2697,Programme!E2697,Programme!F2697,Programme!G2697,Programme!H2697,Programme!I2697,Programme!J2697)</f>
        <v>&lt;cellule&gt;</v>
      </c>
    </row>
    <row r="2697" spans="1:1" x14ac:dyDescent="0.2">
      <c r="A2697" s="996" t="str">
        <f>CONCATENATE(Programme!D2698,Programme!E2698,Programme!F2698,Programme!G2698,Programme!H2698,Programme!I2698,Programme!J2698)</f>
        <v>&lt;codeEdi&gt;11348&lt;/codeEdi&gt;</v>
      </c>
    </row>
    <row r="2698" spans="1:1" x14ac:dyDescent="0.2">
      <c r="A2698" s="996" t="str">
        <f>CONCATENATE(Programme!D2699,Programme!E2699,Programme!F2699,Programme!G2699,Programme!H2699,Programme!I2699,Programme!J2699)</f>
        <v>&lt;/cellule&gt;</v>
      </c>
    </row>
    <row r="2699" spans="1:1" x14ac:dyDescent="0.2">
      <c r="A2699" s="996" t="str">
        <f>CONCATENATE(Programme!D2700,Programme!E2700,Programme!F2700,Programme!G2700,Programme!H2700,Programme!I2700,Programme!J2700)</f>
        <v>&lt;valeur&gt;0&lt;/valeur&gt;</v>
      </c>
    </row>
    <row r="2700" spans="1:1" x14ac:dyDescent="0.2">
      <c r="A2700" s="996" t="str">
        <f>CONCATENATE(Programme!D2701,Programme!E2701,Programme!F2701,Programme!G2701,Programme!H2701,Programme!I2701,Programme!J2701)</f>
        <v>&lt;/ValeurCellule&gt;</v>
      </c>
    </row>
    <row r="2701" spans="1:1" x14ac:dyDescent="0.2">
      <c r="A2701" s="996" t="str">
        <f>CONCATENATE(Programme!D2702,Programme!E2702,Programme!F2702,Programme!G2702,Programme!H2702,Programme!I2702,Programme!J2702)</f>
        <v>&lt;ValeurCellule&gt;</v>
      </c>
    </row>
    <row r="2702" spans="1:1" x14ac:dyDescent="0.2">
      <c r="A2702" s="996" t="str">
        <f>CONCATENATE(Programme!D2703,Programme!E2703,Programme!F2703,Programme!G2703,Programme!H2703,Programme!I2703,Programme!J2703)</f>
        <v>&lt;cellule&gt;</v>
      </c>
    </row>
    <row r="2703" spans="1:1" x14ac:dyDescent="0.2">
      <c r="A2703" s="996" t="str">
        <f>CONCATENATE(Programme!D2704,Programme!E2704,Programme!F2704,Programme!G2704,Programme!H2704,Programme!I2704,Programme!J2704)</f>
        <v>&lt;codeEdi&gt;11353&lt;/codeEdi&gt;</v>
      </c>
    </row>
    <row r="2704" spans="1:1" x14ac:dyDescent="0.2">
      <c r="A2704" s="996" t="str">
        <f>CONCATENATE(Programme!D2705,Programme!E2705,Programme!F2705,Programme!G2705,Programme!H2705,Programme!I2705,Programme!J2705)</f>
        <v>&lt;/cellule&gt;</v>
      </c>
    </row>
    <row r="2705" spans="1:1" x14ac:dyDescent="0.2">
      <c r="A2705" s="996" t="str">
        <f>CONCATENATE(Programme!D2706,Programme!E2706,Programme!F2706,Programme!G2706,Programme!H2706,Programme!I2706,Programme!J2706)</f>
        <v>&lt;valeur&gt;0&lt;/valeur&gt;</v>
      </c>
    </row>
    <row r="2706" spans="1:1" x14ac:dyDescent="0.2">
      <c r="A2706" s="996" t="str">
        <f>CONCATENATE(Programme!D2707,Programme!E2707,Programme!F2707,Programme!G2707,Programme!H2707,Programme!I2707,Programme!J2707)</f>
        <v>&lt;/ValeurCellule&gt;</v>
      </c>
    </row>
    <row r="2707" spans="1:1" x14ac:dyDescent="0.2">
      <c r="A2707" s="996" t="str">
        <f>CONCATENATE(Programme!D2708,Programme!E2708,Programme!F2708,Programme!G2708,Programme!H2708,Programme!I2708,Programme!J2708)</f>
        <v>&lt;ValeurCellule&gt;</v>
      </c>
    </row>
    <row r="2708" spans="1:1" x14ac:dyDescent="0.2">
      <c r="A2708" s="996" t="str">
        <f>CONCATENATE(Programme!D2709,Programme!E2709,Programme!F2709,Programme!G2709,Programme!H2709,Programme!I2709,Programme!J2709)</f>
        <v>&lt;cellule&gt;</v>
      </c>
    </row>
    <row r="2709" spans="1:1" x14ac:dyDescent="0.2">
      <c r="A2709" s="996" t="str">
        <f>CONCATENATE(Programme!D2710,Programme!E2710,Programme!F2710,Programme!G2710,Programme!H2710,Programme!I2710,Programme!J2710)</f>
        <v>&lt;codeEdi&gt;11393&lt;/codeEdi&gt;</v>
      </c>
    </row>
    <row r="2710" spans="1:1" x14ac:dyDescent="0.2">
      <c r="A2710" s="996" t="str">
        <f>CONCATENATE(Programme!D2711,Programme!E2711,Programme!F2711,Programme!G2711,Programme!H2711,Programme!I2711,Programme!J2711)</f>
        <v>&lt;/cellule&gt;</v>
      </c>
    </row>
    <row r="2711" spans="1:1" x14ac:dyDescent="0.2">
      <c r="A2711" s="996" t="str">
        <f>CONCATENATE(Programme!D2712,Programme!E2712,Programme!F2712,Programme!G2712,Programme!H2712,Programme!I2712,Programme!J2712)</f>
        <v>&lt;valeur&gt;0&lt;/valeur&gt;</v>
      </c>
    </row>
    <row r="2712" spans="1:1" x14ac:dyDescent="0.2">
      <c r="A2712" s="996" t="str">
        <f>CONCATENATE(Programme!D2713,Programme!E2713,Programme!F2713,Programme!G2713,Programme!H2713,Programme!I2713,Programme!J2713)</f>
        <v>&lt;/ValeurCellule&gt;</v>
      </c>
    </row>
    <row r="2713" spans="1:1" x14ac:dyDescent="0.2">
      <c r="A2713" s="996" t="str">
        <f>CONCATENATE(Programme!D2714,Programme!E2714,Programme!F2714,Programme!G2714,Programme!H2714,Programme!I2714,Programme!J2714)</f>
        <v>&lt;ValeurCellule&gt;</v>
      </c>
    </row>
    <row r="2714" spans="1:1" x14ac:dyDescent="0.2">
      <c r="A2714" s="996" t="str">
        <f>CONCATENATE(Programme!D2715,Programme!E2715,Programme!F2715,Programme!G2715,Programme!H2715,Programme!I2715,Programme!J2715)</f>
        <v>&lt;cellule&gt;</v>
      </c>
    </row>
    <row r="2715" spans="1:1" x14ac:dyDescent="0.2">
      <c r="A2715" s="996" t="str">
        <f>CONCATENATE(Programme!D2716,Programme!E2716,Programme!F2716,Programme!G2716,Programme!H2716,Programme!I2716,Programme!J2716)</f>
        <v>&lt;codeEdi&gt;11398&lt;/codeEdi&gt;</v>
      </c>
    </row>
    <row r="2716" spans="1:1" x14ac:dyDescent="0.2">
      <c r="A2716" s="996" t="str">
        <f>CONCATENATE(Programme!D2717,Programme!E2717,Programme!F2717,Programme!G2717,Programme!H2717,Programme!I2717,Programme!J2717)</f>
        <v>&lt;/cellule&gt;</v>
      </c>
    </row>
    <row r="2717" spans="1:1" x14ac:dyDescent="0.2">
      <c r="A2717" s="996" t="str">
        <f>CONCATENATE(Programme!D2718,Programme!E2718,Programme!F2718,Programme!G2718,Programme!H2718,Programme!I2718,Programme!J2718)</f>
        <v>&lt;valeur&gt;0&lt;/valeur&gt;</v>
      </c>
    </row>
    <row r="2718" spans="1:1" x14ac:dyDescent="0.2">
      <c r="A2718" s="996" t="str">
        <f>CONCATENATE(Programme!D2719,Programme!E2719,Programme!F2719,Programme!G2719,Programme!H2719,Programme!I2719,Programme!J2719)</f>
        <v>&lt;/ValeurCellule&gt;</v>
      </c>
    </row>
    <row r="2719" spans="1:1" x14ac:dyDescent="0.2">
      <c r="A2719" s="996" t="str">
        <f>CONCATENATE(Programme!D2720,Programme!E2720,Programme!F2720,Programme!G2720,Programme!H2720,Programme!I2720,Programme!J2720)</f>
        <v>&lt;ValeurCellule&gt;</v>
      </c>
    </row>
    <row r="2720" spans="1:1" x14ac:dyDescent="0.2">
      <c r="A2720" s="996" t="str">
        <f>CONCATENATE(Programme!D2721,Programme!E2721,Programme!F2721,Programme!G2721,Programme!H2721,Programme!I2721,Programme!J2721)</f>
        <v>&lt;cellule&gt;</v>
      </c>
    </row>
    <row r="2721" spans="1:1" x14ac:dyDescent="0.2">
      <c r="A2721" s="996" t="str">
        <f>CONCATENATE(Programme!D2722,Programme!E2722,Programme!F2722,Programme!G2722,Programme!H2722,Programme!I2722,Programme!J2722)</f>
        <v>&lt;codeEdi&gt;11403&lt;/codeEdi&gt;</v>
      </c>
    </row>
    <row r="2722" spans="1:1" x14ac:dyDescent="0.2">
      <c r="A2722" s="996" t="str">
        <f>CONCATENATE(Programme!D2723,Programme!E2723,Programme!F2723,Programme!G2723,Programme!H2723,Programme!I2723,Programme!J2723)</f>
        <v>&lt;/cellule&gt;</v>
      </c>
    </row>
    <row r="2723" spans="1:1" x14ac:dyDescent="0.2">
      <c r="A2723" s="996" t="str">
        <f>CONCATENATE(Programme!D2724,Programme!E2724,Programme!F2724,Programme!G2724,Programme!H2724,Programme!I2724,Programme!J2724)</f>
        <v>&lt;valeur&gt;0&lt;/valeur&gt;</v>
      </c>
    </row>
    <row r="2724" spans="1:1" x14ac:dyDescent="0.2">
      <c r="A2724" s="996" t="str">
        <f>CONCATENATE(Programme!D2725,Programme!E2725,Programme!F2725,Programme!G2725,Programme!H2725,Programme!I2725,Programme!J2725)</f>
        <v>&lt;/ValeurCellule&gt;</v>
      </c>
    </row>
    <row r="2725" spans="1:1" x14ac:dyDescent="0.2">
      <c r="A2725" s="996" t="str">
        <f>CONCATENATE(Programme!D2726,Programme!E2726,Programme!F2726,Programme!G2726,Programme!H2726,Programme!I2726,Programme!J2726)</f>
        <v>&lt;ValeurCellule&gt;</v>
      </c>
    </row>
    <row r="2726" spans="1:1" x14ac:dyDescent="0.2">
      <c r="A2726" s="996" t="str">
        <f>CONCATENATE(Programme!D2727,Programme!E2727,Programme!F2727,Programme!G2727,Programme!H2727,Programme!I2727,Programme!J2727)</f>
        <v>&lt;cellule&gt;</v>
      </c>
    </row>
    <row r="2727" spans="1:1" x14ac:dyDescent="0.2">
      <c r="A2727" s="996" t="str">
        <f>CONCATENATE(Programme!D2728,Programme!E2728,Programme!F2728,Programme!G2728,Programme!H2728,Programme!I2728,Programme!J2728)</f>
        <v>&lt;codeEdi&gt;11408&lt;/codeEdi&gt;</v>
      </c>
    </row>
    <row r="2728" spans="1:1" x14ac:dyDescent="0.2">
      <c r="A2728" s="996" t="str">
        <f>CONCATENATE(Programme!D2729,Programme!E2729,Programme!F2729,Programme!G2729,Programme!H2729,Programme!I2729,Programme!J2729)</f>
        <v>&lt;/cellule&gt;</v>
      </c>
    </row>
    <row r="2729" spans="1:1" x14ac:dyDescent="0.2">
      <c r="A2729" s="996" t="str">
        <f>CONCATENATE(Programme!D2730,Programme!E2730,Programme!F2730,Programme!G2730,Programme!H2730,Programme!I2730,Programme!J2730)</f>
        <v>&lt;valeur&gt;0&lt;/valeur&gt;</v>
      </c>
    </row>
    <row r="2730" spans="1:1" x14ac:dyDescent="0.2">
      <c r="A2730" s="996" t="str">
        <f>CONCATENATE(Programme!D2731,Programme!E2731,Programme!F2731,Programme!G2731,Programme!H2731,Programme!I2731,Programme!J2731)</f>
        <v>&lt;/ValeurCellule&gt;</v>
      </c>
    </row>
    <row r="2731" spans="1:1" x14ac:dyDescent="0.2">
      <c r="A2731" s="996" t="str">
        <f>CONCATENATE(Programme!D2732,Programme!E2732,Programme!F2732,Programme!G2732,Programme!H2732,Programme!I2732,Programme!J2732)</f>
        <v>&lt;ValeurCellule&gt;</v>
      </c>
    </row>
    <row r="2732" spans="1:1" x14ac:dyDescent="0.2">
      <c r="A2732" s="996" t="str">
        <f>CONCATENATE(Programme!D2733,Programme!E2733,Programme!F2733,Programme!G2733,Programme!H2733,Programme!I2733,Programme!J2733)</f>
        <v>&lt;cellule&gt;</v>
      </c>
    </row>
    <row r="2733" spans="1:1" x14ac:dyDescent="0.2">
      <c r="A2733" s="996" t="str">
        <f>CONCATENATE(Programme!D2734,Programme!E2734,Programme!F2734,Programme!G2734,Programme!H2734,Programme!I2734,Programme!J2734)</f>
        <v>&lt;codeEdi&gt;11358&lt;/codeEdi&gt;</v>
      </c>
    </row>
    <row r="2734" spans="1:1" x14ac:dyDescent="0.2">
      <c r="A2734" s="996" t="str">
        <f>CONCATENATE(Programme!D2735,Programme!E2735,Programme!F2735,Programme!G2735,Programme!H2735,Programme!I2735,Programme!J2735)</f>
        <v>&lt;/cellule&gt;</v>
      </c>
    </row>
    <row r="2735" spans="1:1" x14ac:dyDescent="0.2">
      <c r="A2735" s="996" t="str">
        <f>CONCATENATE(Programme!D2736,Programme!E2736,Programme!F2736,Programme!G2736,Programme!H2736,Programme!I2736,Programme!J2736)</f>
        <v>&lt;valeur&gt;0&lt;/valeur&gt;</v>
      </c>
    </row>
    <row r="2736" spans="1:1" x14ac:dyDescent="0.2">
      <c r="A2736" s="996" t="str">
        <f>CONCATENATE(Programme!D2737,Programme!E2737,Programme!F2737,Programme!G2737,Programme!H2737,Programme!I2737,Programme!J2737)</f>
        <v>&lt;/ValeurCellule&gt;</v>
      </c>
    </row>
    <row r="2737" spans="1:1" x14ac:dyDescent="0.2">
      <c r="A2737" s="996" t="str">
        <f>CONCATENATE(Programme!D2738,Programme!E2738,Programme!F2738,Programme!G2738,Programme!H2738,Programme!I2738,Programme!J2738)</f>
        <v>&lt;ValeurCellule&gt;</v>
      </c>
    </row>
    <row r="2738" spans="1:1" x14ac:dyDescent="0.2">
      <c r="A2738" s="996" t="str">
        <f>CONCATENATE(Programme!D2739,Programme!E2739,Programme!F2739,Programme!G2739,Programme!H2739,Programme!I2739,Programme!J2739)</f>
        <v>&lt;cellule&gt;</v>
      </c>
    </row>
    <row r="2739" spans="1:1" x14ac:dyDescent="0.2">
      <c r="A2739" s="996" t="str">
        <f>CONCATENATE(Programme!D2740,Programme!E2740,Programme!F2740,Programme!G2740,Programme!H2740,Programme!I2740,Programme!J2740)</f>
        <v>&lt;codeEdi&gt;11363&lt;/codeEdi&gt;</v>
      </c>
    </row>
    <row r="2740" spans="1:1" x14ac:dyDescent="0.2">
      <c r="A2740" s="996" t="str">
        <f>CONCATENATE(Programme!D2741,Programme!E2741,Programme!F2741,Programme!G2741,Programme!H2741,Programme!I2741,Programme!J2741)</f>
        <v>&lt;/cellule&gt;</v>
      </c>
    </row>
    <row r="2741" spans="1:1" x14ac:dyDescent="0.2">
      <c r="A2741" s="996" t="str">
        <f>CONCATENATE(Programme!D2742,Programme!E2742,Programme!F2742,Programme!G2742,Programme!H2742,Programme!I2742,Programme!J2742)</f>
        <v>&lt;valeur&gt;0&lt;/valeur&gt;</v>
      </c>
    </row>
    <row r="2742" spans="1:1" x14ac:dyDescent="0.2">
      <c r="A2742" s="996" t="str">
        <f>CONCATENATE(Programme!D2743,Programme!E2743,Programme!F2743,Programme!G2743,Programme!H2743,Programme!I2743,Programme!J2743)</f>
        <v>&lt;/ValeurCellule&gt;</v>
      </c>
    </row>
    <row r="2743" spans="1:1" x14ac:dyDescent="0.2">
      <c r="A2743" s="996" t="str">
        <f>CONCATENATE(Programme!D2744,Programme!E2744,Programme!F2744,Programme!G2744,Programme!H2744,Programme!I2744,Programme!J2744)</f>
        <v>&lt;ValeurCellule&gt;</v>
      </c>
    </row>
    <row r="2744" spans="1:1" x14ac:dyDescent="0.2">
      <c r="A2744" s="996" t="str">
        <f>CONCATENATE(Programme!D2745,Programme!E2745,Programme!F2745,Programme!G2745,Programme!H2745,Programme!I2745,Programme!J2745)</f>
        <v>&lt;cellule&gt;</v>
      </c>
    </row>
    <row r="2745" spans="1:1" x14ac:dyDescent="0.2">
      <c r="A2745" s="996" t="str">
        <f>CONCATENATE(Programme!D2746,Programme!E2746,Programme!F2746,Programme!G2746,Programme!H2746,Programme!I2746,Programme!J2746)</f>
        <v>&lt;codeEdi&gt;11368&lt;/codeEdi&gt;</v>
      </c>
    </row>
    <row r="2746" spans="1:1" x14ac:dyDescent="0.2">
      <c r="A2746" s="996" t="str">
        <f>CONCATENATE(Programme!D2747,Programme!E2747,Programme!F2747,Programme!G2747,Programme!H2747,Programme!I2747,Programme!J2747)</f>
        <v>&lt;/cellule&gt;</v>
      </c>
    </row>
    <row r="2747" spans="1:1" x14ac:dyDescent="0.2">
      <c r="A2747" s="996" t="str">
        <f>CONCATENATE(Programme!D2748,Programme!E2748,Programme!F2748,Programme!G2748,Programme!H2748,Programme!I2748,Programme!J2748)</f>
        <v>&lt;valeur&gt;0&lt;/valeur&gt;</v>
      </c>
    </row>
    <row r="2748" spans="1:1" x14ac:dyDescent="0.2">
      <c r="A2748" s="996" t="str">
        <f>CONCATENATE(Programme!D2749,Programme!E2749,Programme!F2749,Programme!G2749,Programme!H2749,Programme!I2749,Programme!J2749)</f>
        <v>&lt;/ValeurCellule&gt;</v>
      </c>
    </row>
    <row r="2749" spans="1:1" x14ac:dyDescent="0.2">
      <c r="A2749" s="996" t="str">
        <f>CONCATENATE(Programme!D2750,Programme!E2750,Programme!F2750,Programme!G2750,Programme!H2750,Programme!I2750,Programme!J2750)</f>
        <v>&lt;ValeurCellule&gt;</v>
      </c>
    </row>
    <row r="2750" spans="1:1" x14ac:dyDescent="0.2">
      <c r="A2750" s="996" t="str">
        <f>CONCATENATE(Programme!D2751,Programme!E2751,Programme!F2751,Programme!G2751,Programme!H2751,Programme!I2751,Programme!J2751)</f>
        <v>&lt;cellule&gt;</v>
      </c>
    </row>
    <row r="2751" spans="1:1" x14ac:dyDescent="0.2">
      <c r="A2751" s="996" t="str">
        <f>CONCATENATE(Programme!D2752,Programme!E2752,Programme!F2752,Programme!G2752,Programme!H2752,Programme!I2752,Programme!J2752)</f>
        <v>&lt;codeEdi&gt;11373&lt;/codeEdi&gt;</v>
      </c>
    </row>
    <row r="2752" spans="1:1" x14ac:dyDescent="0.2">
      <c r="A2752" s="996" t="str">
        <f>CONCATENATE(Programme!D2753,Programme!E2753,Programme!F2753,Programme!G2753,Programme!H2753,Programme!I2753,Programme!J2753)</f>
        <v>&lt;/cellule&gt;</v>
      </c>
    </row>
    <row r="2753" spans="1:1" x14ac:dyDescent="0.2">
      <c r="A2753" s="996" t="str">
        <f>CONCATENATE(Programme!D2754,Programme!E2754,Programme!F2754,Programme!G2754,Programme!H2754,Programme!I2754,Programme!J2754)</f>
        <v>&lt;valeur&gt;0&lt;/valeur&gt;</v>
      </c>
    </row>
    <row r="2754" spans="1:1" x14ac:dyDescent="0.2">
      <c r="A2754" s="996" t="str">
        <f>CONCATENATE(Programme!D2755,Programme!E2755,Programme!F2755,Programme!G2755,Programme!H2755,Programme!I2755,Programme!J2755)</f>
        <v>&lt;/ValeurCellule&gt;</v>
      </c>
    </row>
    <row r="2755" spans="1:1" x14ac:dyDescent="0.2">
      <c r="A2755" s="996" t="str">
        <f>CONCATENATE(Programme!D2756,Programme!E2756,Programme!F2756,Programme!G2756,Programme!H2756,Programme!I2756,Programme!J2756)</f>
        <v>&lt;ValeurCellule&gt;</v>
      </c>
    </row>
    <row r="2756" spans="1:1" x14ac:dyDescent="0.2">
      <c r="A2756" s="996" t="str">
        <f>CONCATENATE(Programme!D2757,Programme!E2757,Programme!F2757,Programme!G2757,Programme!H2757,Programme!I2757,Programme!J2757)</f>
        <v>&lt;cellule&gt;</v>
      </c>
    </row>
    <row r="2757" spans="1:1" x14ac:dyDescent="0.2">
      <c r="A2757" s="996" t="str">
        <f>CONCATENATE(Programme!D2758,Programme!E2758,Programme!F2758,Programme!G2758,Programme!H2758,Programme!I2758,Programme!J2758)</f>
        <v>&lt;codeEdi&gt;11378&lt;/codeEdi&gt;</v>
      </c>
    </row>
    <row r="2758" spans="1:1" x14ac:dyDescent="0.2">
      <c r="A2758" s="996" t="str">
        <f>CONCATENATE(Programme!D2759,Programme!E2759,Programme!F2759,Programme!G2759,Programme!H2759,Programme!I2759,Programme!J2759)</f>
        <v>&lt;/cellule&gt;</v>
      </c>
    </row>
    <row r="2759" spans="1:1" x14ac:dyDescent="0.2">
      <c r="A2759" s="996" t="str">
        <f>CONCATENATE(Programme!D2760,Programme!E2760,Programme!F2760,Programme!G2760,Programme!H2760,Programme!I2760,Programme!J2760)</f>
        <v>&lt;valeur&gt;0&lt;/valeur&gt;</v>
      </c>
    </row>
    <row r="2760" spans="1:1" x14ac:dyDescent="0.2">
      <c r="A2760" s="996" t="str">
        <f>CONCATENATE(Programme!D2761,Programme!E2761,Programme!F2761,Programme!G2761,Programme!H2761,Programme!I2761,Programme!J2761)</f>
        <v>&lt;/ValeurCellule&gt;</v>
      </c>
    </row>
    <row r="2761" spans="1:1" x14ac:dyDescent="0.2">
      <c r="A2761" s="996" t="str">
        <f>CONCATENATE(Programme!D2762,Programme!E2762,Programme!F2762,Programme!G2762,Programme!H2762,Programme!I2762,Programme!J2762)</f>
        <v>&lt;ValeurCellule&gt;</v>
      </c>
    </row>
    <row r="2762" spans="1:1" x14ac:dyDescent="0.2">
      <c r="A2762" s="996" t="str">
        <f>CONCATENATE(Programme!D2763,Programme!E2763,Programme!F2763,Programme!G2763,Programme!H2763,Programme!I2763,Programme!J2763)</f>
        <v>&lt;cellule&gt;</v>
      </c>
    </row>
    <row r="2763" spans="1:1" x14ac:dyDescent="0.2">
      <c r="A2763" s="996" t="str">
        <f>CONCATENATE(Programme!D2764,Programme!E2764,Programme!F2764,Programme!G2764,Programme!H2764,Programme!I2764,Programme!J2764)</f>
        <v>&lt;codeEdi&gt;11383&lt;/codeEdi&gt;</v>
      </c>
    </row>
    <row r="2764" spans="1:1" x14ac:dyDescent="0.2">
      <c r="A2764" s="996" t="str">
        <f>CONCATENATE(Programme!D2765,Programme!E2765,Programme!F2765,Programme!G2765,Programme!H2765,Programme!I2765,Programme!J2765)</f>
        <v>&lt;/cellule&gt;</v>
      </c>
    </row>
    <row r="2765" spans="1:1" x14ac:dyDescent="0.2">
      <c r="A2765" s="996" t="str">
        <f>CONCATENATE(Programme!D2766,Programme!E2766,Programme!F2766,Programme!G2766,Programme!H2766,Programme!I2766,Programme!J2766)</f>
        <v>&lt;valeur&gt;0&lt;/valeur&gt;</v>
      </c>
    </row>
    <row r="2766" spans="1:1" x14ac:dyDescent="0.2">
      <c r="A2766" s="996" t="str">
        <f>CONCATENATE(Programme!D2767,Programme!E2767,Programme!F2767,Programme!G2767,Programme!H2767,Programme!I2767,Programme!J2767)</f>
        <v>&lt;/ValeurCellule&gt;</v>
      </c>
    </row>
    <row r="2767" spans="1:1" x14ac:dyDescent="0.2">
      <c r="A2767" s="996" t="str">
        <f>CONCATENATE(Programme!D2768,Programme!E2768,Programme!F2768,Programme!G2768,Programme!H2768,Programme!I2768,Programme!J2768)</f>
        <v>&lt;ValeurCellule&gt;</v>
      </c>
    </row>
    <row r="2768" spans="1:1" x14ac:dyDescent="0.2">
      <c r="A2768" s="996" t="str">
        <f>CONCATENATE(Programme!D2769,Programme!E2769,Programme!F2769,Programme!G2769,Programme!H2769,Programme!I2769,Programme!J2769)</f>
        <v>&lt;cellule&gt;</v>
      </c>
    </row>
    <row r="2769" spans="1:1" x14ac:dyDescent="0.2">
      <c r="A2769" s="996" t="str">
        <f>CONCATENATE(Programme!D2770,Programme!E2770,Programme!F2770,Programme!G2770,Programme!H2770,Programme!I2770,Programme!J2770)</f>
        <v>&lt;codeEdi&gt;11388&lt;/codeEdi&gt;</v>
      </c>
    </row>
    <row r="2770" spans="1:1" x14ac:dyDescent="0.2">
      <c r="A2770" s="996" t="str">
        <f>CONCATENATE(Programme!D2771,Programme!E2771,Programme!F2771,Programme!G2771,Programme!H2771,Programme!I2771,Programme!J2771)</f>
        <v>&lt;/cellule&gt;</v>
      </c>
    </row>
    <row r="2771" spans="1:1" x14ac:dyDescent="0.2">
      <c r="A2771" s="996" t="str">
        <f>CONCATENATE(Programme!D2772,Programme!E2772,Programme!F2772,Programme!G2772,Programme!H2772,Programme!I2772,Programme!J2772)</f>
        <v>&lt;valeur&gt;0&lt;/valeur&gt;</v>
      </c>
    </row>
    <row r="2772" spans="1:1" x14ac:dyDescent="0.2">
      <c r="A2772" s="996" t="str">
        <f>CONCATENATE(Programme!D2773,Programme!E2773,Programme!F2773,Programme!G2773,Programme!H2773,Programme!I2773,Programme!J2773)</f>
        <v>&lt;/ValeurCellule&gt;</v>
      </c>
    </row>
    <row r="2773" spans="1:1" x14ac:dyDescent="0.2">
      <c r="A2773" s="996" t="str">
        <f>CONCATENATE(Programme!D2774,Programme!E2774,Programme!F2774,Programme!G2774,Programme!H2774,Programme!I2774,Programme!J2774)</f>
        <v>&lt;ValeurCellule&gt;</v>
      </c>
    </row>
    <row r="2774" spans="1:1" x14ac:dyDescent="0.2">
      <c r="A2774" s="996" t="str">
        <f>CONCATENATE(Programme!D2775,Programme!E2775,Programme!F2775,Programme!G2775,Programme!H2775,Programme!I2775,Programme!J2775)</f>
        <v>&lt;cellule&gt;</v>
      </c>
    </row>
    <row r="2775" spans="1:1" x14ac:dyDescent="0.2">
      <c r="A2775" s="996" t="str">
        <f>CONCATENATE(Programme!D2776,Programme!E2776,Programme!F2776,Programme!G2776,Programme!H2776,Programme!I2776,Programme!J2776)</f>
        <v>&lt;codeEdi&gt;11344&lt;/codeEdi&gt;</v>
      </c>
    </row>
    <row r="2776" spans="1:1" x14ac:dyDescent="0.2">
      <c r="A2776" s="996" t="str">
        <f>CONCATENATE(Programme!D2777,Programme!E2777,Programme!F2777,Programme!G2777,Programme!H2777,Programme!I2777,Programme!J2777)</f>
        <v>&lt;/cellule&gt;</v>
      </c>
    </row>
    <row r="2777" spans="1:1" x14ac:dyDescent="0.2">
      <c r="A2777" s="996" t="str">
        <f>CONCATENATE(Programme!D2778,Programme!E2778,Programme!F2778,Programme!G2778,Programme!H2778,Programme!I2778,Programme!J2778)</f>
        <v>&lt;valeur&gt;0&lt;/valeur&gt;</v>
      </c>
    </row>
    <row r="2778" spans="1:1" x14ac:dyDescent="0.2">
      <c r="A2778" s="996" t="str">
        <f>CONCATENATE(Programme!D2779,Programme!E2779,Programme!F2779,Programme!G2779,Programme!H2779,Programme!I2779,Programme!J2779)</f>
        <v>&lt;/ValeurCellule&gt;</v>
      </c>
    </row>
    <row r="2779" spans="1:1" x14ac:dyDescent="0.2">
      <c r="A2779" s="996" t="str">
        <f>CONCATENATE(Programme!D2780,Programme!E2780,Programme!F2780,Programme!G2780,Programme!H2780,Programme!I2780,Programme!J2780)</f>
        <v>&lt;ValeurCellule&gt;</v>
      </c>
    </row>
    <row r="2780" spans="1:1" x14ac:dyDescent="0.2">
      <c r="A2780" s="996" t="str">
        <f>CONCATENATE(Programme!D2781,Programme!E2781,Programme!F2781,Programme!G2781,Programme!H2781,Programme!I2781,Programme!J2781)</f>
        <v>&lt;cellule&gt;</v>
      </c>
    </row>
    <row r="2781" spans="1:1" x14ac:dyDescent="0.2">
      <c r="A2781" s="996" t="str">
        <f>CONCATENATE(Programme!D2782,Programme!E2782,Programme!F2782,Programme!G2782,Programme!H2782,Programme!I2782,Programme!J2782)</f>
        <v>&lt;codeEdi&gt;11349&lt;/codeEdi&gt;</v>
      </c>
    </row>
    <row r="2782" spans="1:1" x14ac:dyDescent="0.2">
      <c r="A2782" s="996" t="str">
        <f>CONCATENATE(Programme!D2783,Programme!E2783,Programme!F2783,Programme!G2783,Programme!H2783,Programme!I2783,Programme!J2783)</f>
        <v>&lt;/cellule&gt;</v>
      </c>
    </row>
    <row r="2783" spans="1:1" x14ac:dyDescent="0.2">
      <c r="A2783" s="996" t="str">
        <f>CONCATENATE(Programme!D2784,Programme!E2784,Programme!F2784,Programme!G2784,Programme!H2784,Programme!I2784,Programme!J2784)</f>
        <v>&lt;valeur&gt;0&lt;/valeur&gt;</v>
      </c>
    </row>
    <row r="2784" spans="1:1" x14ac:dyDescent="0.2">
      <c r="A2784" s="996" t="str">
        <f>CONCATENATE(Programme!D2785,Programme!E2785,Programme!F2785,Programme!G2785,Programme!H2785,Programme!I2785,Programme!J2785)</f>
        <v>&lt;/ValeurCellule&gt;</v>
      </c>
    </row>
    <row r="2785" spans="1:1" x14ac:dyDescent="0.2">
      <c r="A2785" s="996" t="str">
        <f>CONCATENATE(Programme!D2786,Programme!E2786,Programme!F2786,Programme!G2786,Programme!H2786,Programme!I2786,Programme!J2786)</f>
        <v>&lt;ValeurCellule&gt;</v>
      </c>
    </row>
    <row r="2786" spans="1:1" x14ac:dyDescent="0.2">
      <c r="A2786" s="996" t="str">
        <f>CONCATENATE(Programme!D2787,Programme!E2787,Programme!F2787,Programme!G2787,Programme!H2787,Programme!I2787,Programme!J2787)</f>
        <v>&lt;cellule&gt;</v>
      </c>
    </row>
    <row r="2787" spans="1:1" x14ac:dyDescent="0.2">
      <c r="A2787" s="996" t="str">
        <f>CONCATENATE(Programme!D2788,Programme!E2788,Programme!F2788,Programme!G2788,Programme!H2788,Programme!I2788,Programme!J2788)</f>
        <v>&lt;codeEdi&gt;11354&lt;/codeEdi&gt;</v>
      </c>
    </row>
    <row r="2788" spans="1:1" x14ac:dyDescent="0.2">
      <c r="A2788" s="996" t="str">
        <f>CONCATENATE(Programme!D2789,Programme!E2789,Programme!F2789,Programme!G2789,Programme!H2789,Programme!I2789,Programme!J2789)</f>
        <v>&lt;/cellule&gt;</v>
      </c>
    </row>
    <row r="2789" spans="1:1" x14ac:dyDescent="0.2">
      <c r="A2789" s="996" t="str">
        <f>CONCATENATE(Programme!D2790,Programme!E2790,Programme!F2790,Programme!G2790,Programme!H2790,Programme!I2790,Programme!J2790)</f>
        <v>&lt;valeur&gt;0&lt;/valeur&gt;</v>
      </c>
    </row>
    <row r="2790" spans="1:1" x14ac:dyDescent="0.2">
      <c r="A2790" s="996" t="str">
        <f>CONCATENATE(Programme!D2791,Programme!E2791,Programme!F2791,Programme!G2791,Programme!H2791,Programme!I2791,Programme!J2791)</f>
        <v>&lt;/ValeurCellule&gt;</v>
      </c>
    </row>
    <row r="2791" spans="1:1" x14ac:dyDescent="0.2">
      <c r="A2791" s="996" t="str">
        <f>CONCATENATE(Programme!D2792,Programme!E2792,Programme!F2792,Programme!G2792,Programme!H2792,Programme!I2792,Programme!J2792)</f>
        <v>&lt;ValeurCellule&gt;</v>
      </c>
    </row>
    <row r="2792" spans="1:1" x14ac:dyDescent="0.2">
      <c r="A2792" s="996" t="str">
        <f>CONCATENATE(Programme!D2793,Programme!E2793,Programme!F2793,Programme!G2793,Programme!H2793,Programme!I2793,Programme!J2793)</f>
        <v>&lt;cellule&gt;</v>
      </c>
    </row>
    <row r="2793" spans="1:1" x14ac:dyDescent="0.2">
      <c r="A2793" s="996" t="str">
        <f>CONCATENATE(Programme!D2794,Programme!E2794,Programme!F2794,Programme!G2794,Programme!H2794,Programme!I2794,Programme!J2794)</f>
        <v>&lt;codeEdi&gt;11394&lt;/codeEdi&gt;</v>
      </c>
    </row>
    <row r="2794" spans="1:1" x14ac:dyDescent="0.2">
      <c r="A2794" s="996" t="str">
        <f>CONCATENATE(Programme!D2795,Programme!E2795,Programme!F2795,Programme!G2795,Programme!H2795,Programme!I2795,Programme!J2795)</f>
        <v>&lt;/cellule&gt;</v>
      </c>
    </row>
    <row r="2795" spans="1:1" x14ac:dyDescent="0.2">
      <c r="A2795" s="996" t="str">
        <f>CONCATENATE(Programme!D2796,Programme!E2796,Programme!F2796,Programme!G2796,Programme!H2796,Programme!I2796,Programme!J2796)</f>
        <v>&lt;valeur&gt;0&lt;/valeur&gt;</v>
      </c>
    </row>
    <row r="2796" spans="1:1" x14ac:dyDescent="0.2">
      <c r="A2796" s="996" t="str">
        <f>CONCATENATE(Programme!D2797,Programme!E2797,Programme!F2797,Programme!G2797,Programme!H2797,Programme!I2797,Programme!J2797)</f>
        <v>&lt;/ValeurCellule&gt;</v>
      </c>
    </row>
    <row r="2797" spans="1:1" x14ac:dyDescent="0.2">
      <c r="A2797" s="996" t="str">
        <f>CONCATENATE(Programme!D2798,Programme!E2798,Programme!F2798,Programme!G2798,Programme!H2798,Programme!I2798,Programme!J2798)</f>
        <v>&lt;ValeurCellule&gt;</v>
      </c>
    </row>
    <row r="2798" spans="1:1" x14ac:dyDescent="0.2">
      <c r="A2798" s="996" t="str">
        <f>CONCATENATE(Programme!D2799,Programme!E2799,Programme!F2799,Programme!G2799,Programme!H2799,Programme!I2799,Programme!J2799)</f>
        <v>&lt;cellule&gt;</v>
      </c>
    </row>
    <row r="2799" spans="1:1" x14ac:dyDescent="0.2">
      <c r="A2799" s="996" t="str">
        <f>CONCATENATE(Programme!D2800,Programme!E2800,Programme!F2800,Programme!G2800,Programme!H2800,Programme!I2800,Programme!J2800)</f>
        <v>&lt;codeEdi&gt;11399&lt;/codeEdi&gt;</v>
      </c>
    </row>
    <row r="2800" spans="1:1" x14ac:dyDescent="0.2">
      <c r="A2800" s="996" t="str">
        <f>CONCATENATE(Programme!D2801,Programme!E2801,Programme!F2801,Programme!G2801,Programme!H2801,Programme!I2801,Programme!J2801)</f>
        <v>&lt;/cellule&gt;</v>
      </c>
    </row>
    <row r="2801" spans="1:1" x14ac:dyDescent="0.2">
      <c r="A2801" s="996" t="str">
        <f>CONCATENATE(Programme!D2802,Programme!E2802,Programme!F2802,Programme!G2802,Programme!H2802,Programme!I2802,Programme!J2802)</f>
        <v>&lt;valeur&gt;0&lt;/valeur&gt;</v>
      </c>
    </row>
    <row r="2802" spans="1:1" x14ac:dyDescent="0.2">
      <c r="A2802" s="996" t="str">
        <f>CONCATENATE(Programme!D2803,Programme!E2803,Programme!F2803,Programme!G2803,Programme!H2803,Programme!I2803,Programme!J2803)</f>
        <v>&lt;/ValeurCellule&gt;</v>
      </c>
    </row>
    <row r="2803" spans="1:1" x14ac:dyDescent="0.2">
      <c r="A2803" s="996" t="str">
        <f>CONCATENATE(Programme!D2804,Programme!E2804,Programme!F2804,Programme!G2804,Programme!H2804,Programme!I2804,Programme!J2804)</f>
        <v>&lt;ValeurCellule&gt;</v>
      </c>
    </row>
    <row r="2804" spans="1:1" x14ac:dyDescent="0.2">
      <c r="A2804" s="996" t="str">
        <f>CONCATENATE(Programme!D2805,Programme!E2805,Programme!F2805,Programme!G2805,Programme!H2805,Programme!I2805,Programme!J2805)</f>
        <v>&lt;cellule&gt;</v>
      </c>
    </row>
    <row r="2805" spans="1:1" x14ac:dyDescent="0.2">
      <c r="A2805" s="996" t="str">
        <f>CONCATENATE(Programme!D2806,Programme!E2806,Programme!F2806,Programme!G2806,Programme!H2806,Programme!I2806,Programme!J2806)</f>
        <v>&lt;codeEdi&gt;11404&lt;/codeEdi&gt;</v>
      </c>
    </row>
    <row r="2806" spans="1:1" x14ac:dyDescent="0.2">
      <c r="A2806" s="996" t="str">
        <f>CONCATENATE(Programme!D2807,Programme!E2807,Programme!F2807,Programme!G2807,Programme!H2807,Programme!I2807,Programme!J2807)</f>
        <v>&lt;/cellule&gt;</v>
      </c>
    </row>
    <row r="2807" spans="1:1" x14ac:dyDescent="0.2">
      <c r="A2807" s="996" t="str">
        <f>CONCATENATE(Programme!D2808,Programme!E2808,Programme!F2808,Programme!G2808,Programme!H2808,Programme!I2808,Programme!J2808)</f>
        <v>&lt;valeur&gt;0&lt;/valeur&gt;</v>
      </c>
    </row>
    <row r="2808" spans="1:1" x14ac:dyDescent="0.2">
      <c r="A2808" s="996" t="str">
        <f>CONCATENATE(Programme!D2809,Programme!E2809,Programme!F2809,Programme!G2809,Programme!H2809,Programme!I2809,Programme!J2809)</f>
        <v>&lt;/ValeurCellule&gt;</v>
      </c>
    </row>
    <row r="2809" spans="1:1" x14ac:dyDescent="0.2">
      <c r="A2809" s="996" t="str">
        <f>CONCATENATE(Programme!D2810,Programme!E2810,Programme!F2810,Programme!G2810,Programme!H2810,Programme!I2810,Programme!J2810)</f>
        <v>&lt;ValeurCellule&gt;</v>
      </c>
    </row>
    <row r="2810" spans="1:1" x14ac:dyDescent="0.2">
      <c r="A2810" s="996" t="str">
        <f>CONCATENATE(Programme!D2811,Programme!E2811,Programme!F2811,Programme!G2811,Programme!H2811,Programme!I2811,Programme!J2811)</f>
        <v>&lt;cellule&gt;</v>
      </c>
    </row>
    <row r="2811" spans="1:1" x14ac:dyDescent="0.2">
      <c r="A2811" s="996" t="str">
        <f>CONCATENATE(Programme!D2812,Programme!E2812,Programme!F2812,Programme!G2812,Programme!H2812,Programme!I2812,Programme!J2812)</f>
        <v>&lt;codeEdi&gt;11409&lt;/codeEdi&gt;</v>
      </c>
    </row>
    <row r="2812" spans="1:1" x14ac:dyDescent="0.2">
      <c r="A2812" s="996" t="str">
        <f>CONCATENATE(Programme!D2813,Programme!E2813,Programme!F2813,Programme!G2813,Programme!H2813,Programme!I2813,Programme!J2813)</f>
        <v>&lt;/cellule&gt;</v>
      </c>
    </row>
    <row r="2813" spans="1:1" x14ac:dyDescent="0.2">
      <c r="A2813" s="996" t="str">
        <f>CONCATENATE(Programme!D2814,Programme!E2814,Programme!F2814,Programme!G2814,Programme!H2814,Programme!I2814,Programme!J2814)</f>
        <v>&lt;valeur&gt;0&lt;/valeur&gt;</v>
      </c>
    </row>
    <row r="2814" spans="1:1" x14ac:dyDescent="0.2">
      <c r="A2814" s="996" t="str">
        <f>CONCATENATE(Programme!D2815,Programme!E2815,Programme!F2815,Programme!G2815,Programme!H2815,Programme!I2815,Programme!J2815)</f>
        <v>&lt;/ValeurCellule&gt;</v>
      </c>
    </row>
    <row r="2815" spans="1:1" x14ac:dyDescent="0.2">
      <c r="A2815" s="996" t="str">
        <f>CONCATENATE(Programme!D2816,Programme!E2816,Programme!F2816,Programme!G2816,Programme!H2816,Programme!I2816,Programme!J2816)</f>
        <v>&lt;ValeurCellule&gt;</v>
      </c>
    </row>
    <row r="2816" spans="1:1" x14ac:dyDescent="0.2">
      <c r="A2816" s="996" t="str">
        <f>CONCATENATE(Programme!D2817,Programme!E2817,Programme!F2817,Programme!G2817,Programme!H2817,Programme!I2817,Programme!J2817)</f>
        <v>&lt;cellule&gt;</v>
      </c>
    </row>
    <row r="2817" spans="1:1" x14ac:dyDescent="0.2">
      <c r="A2817" s="996" t="str">
        <f>CONCATENATE(Programme!D2818,Programme!E2818,Programme!F2818,Programme!G2818,Programme!H2818,Programme!I2818,Programme!J2818)</f>
        <v>&lt;codeEdi&gt;11359&lt;/codeEdi&gt;</v>
      </c>
    </row>
    <row r="2818" spans="1:1" x14ac:dyDescent="0.2">
      <c r="A2818" s="996" t="str">
        <f>CONCATENATE(Programme!D2819,Programme!E2819,Programme!F2819,Programme!G2819,Programme!H2819,Programme!I2819,Programme!J2819)</f>
        <v>&lt;/cellule&gt;</v>
      </c>
    </row>
    <row r="2819" spans="1:1" x14ac:dyDescent="0.2">
      <c r="A2819" s="996" t="str">
        <f>CONCATENATE(Programme!D2820,Programme!E2820,Programme!F2820,Programme!G2820,Programme!H2820,Programme!I2820,Programme!J2820)</f>
        <v>&lt;valeur&gt;0&lt;/valeur&gt;</v>
      </c>
    </row>
    <row r="2820" spans="1:1" x14ac:dyDescent="0.2">
      <c r="A2820" s="996" t="str">
        <f>CONCATENATE(Programme!D2821,Programme!E2821,Programme!F2821,Programme!G2821,Programme!H2821,Programme!I2821,Programme!J2821)</f>
        <v>&lt;/ValeurCellule&gt;</v>
      </c>
    </row>
    <row r="2821" spans="1:1" x14ac:dyDescent="0.2">
      <c r="A2821" s="996" t="str">
        <f>CONCATENATE(Programme!D2822,Programme!E2822,Programme!F2822,Programme!G2822,Programme!H2822,Programme!I2822,Programme!J2822)</f>
        <v>&lt;ValeurCellule&gt;</v>
      </c>
    </row>
    <row r="2822" spans="1:1" x14ac:dyDescent="0.2">
      <c r="A2822" s="996" t="str">
        <f>CONCATENATE(Programme!D2823,Programme!E2823,Programme!F2823,Programme!G2823,Programme!H2823,Programme!I2823,Programme!J2823)</f>
        <v>&lt;cellule&gt;</v>
      </c>
    </row>
    <row r="2823" spans="1:1" x14ac:dyDescent="0.2">
      <c r="A2823" s="996" t="str">
        <f>CONCATENATE(Programme!D2824,Programme!E2824,Programme!F2824,Programme!G2824,Programme!H2824,Programme!I2824,Programme!J2824)</f>
        <v>&lt;codeEdi&gt;11364&lt;/codeEdi&gt;</v>
      </c>
    </row>
    <row r="2824" spans="1:1" x14ac:dyDescent="0.2">
      <c r="A2824" s="996" t="str">
        <f>CONCATENATE(Programme!D2825,Programme!E2825,Programme!F2825,Programme!G2825,Programme!H2825,Programme!I2825,Programme!J2825)</f>
        <v>&lt;/cellule&gt;</v>
      </c>
    </row>
    <row r="2825" spans="1:1" x14ac:dyDescent="0.2">
      <c r="A2825" s="996" t="str">
        <f>CONCATENATE(Programme!D2826,Programme!E2826,Programme!F2826,Programme!G2826,Programme!H2826,Programme!I2826,Programme!J2826)</f>
        <v>&lt;valeur&gt;0&lt;/valeur&gt;</v>
      </c>
    </row>
    <row r="2826" spans="1:1" x14ac:dyDescent="0.2">
      <c r="A2826" s="996" t="str">
        <f>CONCATENATE(Programme!D2827,Programme!E2827,Programme!F2827,Programme!G2827,Programme!H2827,Programme!I2827,Programme!J2827)</f>
        <v>&lt;/ValeurCellule&gt;</v>
      </c>
    </row>
    <row r="2827" spans="1:1" x14ac:dyDescent="0.2">
      <c r="A2827" s="996" t="str">
        <f>CONCATENATE(Programme!D2828,Programme!E2828,Programme!F2828,Programme!G2828,Programme!H2828,Programme!I2828,Programme!J2828)</f>
        <v>&lt;ValeurCellule&gt;</v>
      </c>
    </row>
    <row r="2828" spans="1:1" x14ac:dyDescent="0.2">
      <c r="A2828" s="996" t="str">
        <f>CONCATENATE(Programme!D2829,Programme!E2829,Programme!F2829,Programme!G2829,Programme!H2829,Programme!I2829,Programme!J2829)</f>
        <v>&lt;cellule&gt;</v>
      </c>
    </row>
    <row r="2829" spans="1:1" x14ac:dyDescent="0.2">
      <c r="A2829" s="996" t="str">
        <f>CONCATENATE(Programme!D2830,Programme!E2830,Programme!F2830,Programme!G2830,Programme!H2830,Programme!I2830,Programme!J2830)</f>
        <v>&lt;codeEdi&gt;11369&lt;/codeEdi&gt;</v>
      </c>
    </row>
    <row r="2830" spans="1:1" x14ac:dyDescent="0.2">
      <c r="A2830" s="996" t="str">
        <f>CONCATENATE(Programme!D2831,Programme!E2831,Programme!F2831,Programme!G2831,Programme!H2831,Programme!I2831,Programme!J2831)</f>
        <v>&lt;/cellule&gt;</v>
      </c>
    </row>
    <row r="2831" spans="1:1" x14ac:dyDescent="0.2">
      <c r="A2831" s="996" t="str">
        <f>CONCATENATE(Programme!D2832,Programme!E2832,Programme!F2832,Programme!G2832,Programme!H2832,Programme!I2832,Programme!J2832)</f>
        <v>&lt;valeur&gt;0&lt;/valeur&gt;</v>
      </c>
    </row>
    <row r="2832" spans="1:1" x14ac:dyDescent="0.2">
      <c r="A2832" s="996" t="str">
        <f>CONCATENATE(Programme!D2833,Programme!E2833,Programme!F2833,Programme!G2833,Programme!H2833,Programme!I2833,Programme!J2833)</f>
        <v>&lt;/ValeurCellule&gt;</v>
      </c>
    </row>
    <row r="2833" spans="1:1" x14ac:dyDescent="0.2">
      <c r="A2833" s="996" t="str">
        <f>CONCATENATE(Programme!D2834,Programme!E2834,Programme!F2834,Programme!G2834,Programme!H2834,Programme!I2834,Programme!J2834)</f>
        <v>&lt;ValeurCellule&gt;</v>
      </c>
    </row>
    <row r="2834" spans="1:1" x14ac:dyDescent="0.2">
      <c r="A2834" s="996" t="str">
        <f>CONCATENATE(Programme!D2835,Programme!E2835,Programme!F2835,Programme!G2835,Programme!H2835,Programme!I2835,Programme!J2835)</f>
        <v>&lt;cellule&gt;</v>
      </c>
    </row>
    <row r="2835" spans="1:1" x14ac:dyDescent="0.2">
      <c r="A2835" s="996" t="str">
        <f>CONCATENATE(Programme!D2836,Programme!E2836,Programme!F2836,Programme!G2836,Programme!H2836,Programme!I2836,Programme!J2836)</f>
        <v>&lt;codeEdi&gt;11374&lt;/codeEdi&gt;</v>
      </c>
    </row>
    <row r="2836" spans="1:1" x14ac:dyDescent="0.2">
      <c r="A2836" s="996" t="str">
        <f>CONCATENATE(Programme!D2837,Programme!E2837,Programme!F2837,Programme!G2837,Programme!H2837,Programme!I2837,Programme!J2837)</f>
        <v>&lt;/cellule&gt;</v>
      </c>
    </row>
    <row r="2837" spans="1:1" x14ac:dyDescent="0.2">
      <c r="A2837" s="996" t="str">
        <f>CONCATENATE(Programme!D2838,Programme!E2838,Programme!F2838,Programme!G2838,Programme!H2838,Programme!I2838,Programme!J2838)</f>
        <v>&lt;valeur&gt;0&lt;/valeur&gt;</v>
      </c>
    </row>
    <row r="2838" spans="1:1" x14ac:dyDescent="0.2">
      <c r="A2838" s="996" t="str">
        <f>CONCATENATE(Programme!D2839,Programme!E2839,Programme!F2839,Programme!G2839,Programme!H2839,Programme!I2839,Programme!J2839)</f>
        <v>&lt;/ValeurCellule&gt;</v>
      </c>
    </row>
    <row r="2839" spans="1:1" x14ac:dyDescent="0.2">
      <c r="A2839" s="996" t="str">
        <f>CONCATENATE(Programme!D2840,Programme!E2840,Programme!F2840,Programme!G2840,Programme!H2840,Programme!I2840,Programme!J2840)</f>
        <v>&lt;ValeurCellule&gt;</v>
      </c>
    </row>
    <row r="2840" spans="1:1" x14ac:dyDescent="0.2">
      <c r="A2840" s="996" t="str">
        <f>CONCATENATE(Programme!D2841,Programme!E2841,Programme!F2841,Programme!G2841,Programme!H2841,Programme!I2841,Programme!J2841)</f>
        <v>&lt;cellule&gt;</v>
      </c>
    </row>
    <row r="2841" spans="1:1" x14ac:dyDescent="0.2">
      <c r="A2841" s="996" t="str">
        <f>CONCATENATE(Programme!D2842,Programme!E2842,Programme!F2842,Programme!G2842,Programme!H2842,Programme!I2842,Programme!J2842)</f>
        <v>&lt;codeEdi&gt;11379&lt;/codeEdi&gt;</v>
      </c>
    </row>
    <row r="2842" spans="1:1" x14ac:dyDescent="0.2">
      <c r="A2842" s="996" t="str">
        <f>CONCATENATE(Programme!D2843,Programme!E2843,Programme!F2843,Programme!G2843,Programme!H2843,Programme!I2843,Programme!J2843)</f>
        <v>&lt;/cellule&gt;</v>
      </c>
    </row>
    <row r="2843" spans="1:1" x14ac:dyDescent="0.2">
      <c r="A2843" s="996" t="str">
        <f>CONCATENATE(Programme!D2844,Programme!E2844,Programme!F2844,Programme!G2844,Programme!H2844,Programme!I2844,Programme!J2844)</f>
        <v>&lt;valeur&gt;0&lt;/valeur&gt;</v>
      </c>
    </row>
    <row r="2844" spans="1:1" x14ac:dyDescent="0.2">
      <c r="A2844" s="996" t="str">
        <f>CONCATENATE(Programme!D2845,Programme!E2845,Programme!F2845,Programme!G2845,Programme!H2845,Programme!I2845,Programme!J2845)</f>
        <v>&lt;/ValeurCellule&gt;</v>
      </c>
    </row>
    <row r="2845" spans="1:1" x14ac:dyDescent="0.2">
      <c r="A2845" s="996" t="str">
        <f>CONCATENATE(Programme!D2846,Programme!E2846,Programme!F2846,Programme!G2846,Programme!H2846,Programme!I2846,Programme!J2846)</f>
        <v>&lt;ValeurCellule&gt;</v>
      </c>
    </row>
    <row r="2846" spans="1:1" x14ac:dyDescent="0.2">
      <c r="A2846" s="996" t="str">
        <f>CONCATENATE(Programme!D2847,Programme!E2847,Programme!F2847,Programme!G2847,Programme!H2847,Programme!I2847,Programme!J2847)</f>
        <v>&lt;cellule&gt;</v>
      </c>
    </row>
    <row r="2847" spans="1:1" x14ac:dyDescent="0.2">
      <c r="A2847" s="996" t="str">
        <f>CONCATENATE(Programme!D2848,Programme!E2848,Programme!F2848,Programme!G2848,Programme!H2848,Programme!I2848,Programme!J2848)</f>
        <v>&lt;codeEdi&gt;11384&lt;/codeEdi&gt;</v>
      </c>
    </row>
    <row r="2848" spans="1:1" x14ac:dyDescent="0.2">
      <c r="A2848" s="996" t="str">
        <f>CONCATENATE(Programme!D2849,Programme!E2849,Programme!F2849,Programme!G2849,Programme!H2849,Programme!I2849,Programme!J2849)</f>
        <v>&lt;/cellule&gt;</v>
      </c>
    </row>
    <row r="2849" spans="1:1" x14ac:dyDescent="0.2">
      <c r="A2849" s="996" t="str">
        <f>CONCATENATE(Programme!D2850,Programme!E2850,Programme!F2850,Programme!G2850,Programme!H2850,Programme!I2850,Programme!J2850)</f>
        <v>&lt;valeur&gt;0&lt;/valeur&gt;</v>
      </c>
    </row>
    <row r="2850" spans="1:1" x14ac:dyDescent="0.2">
      <c r="A2850" s="996" t="str">
        <f>CONCATENATE(Programme!D2851,Programme!E2851,Programme!F2851,Programme!G2851,Programme!H2851,Programme!I2851,Programme!J2851)</f>
        <v>&lt;/ValeurCellule&gt;</v>
      </c>
    </row>
    <row r="2851" spans="1:1" x14ac:dyDescent="0.2">
      <c r="A2851" s="996" t="str">
        <f>CONCATENATE(Programme!D2852,Programme!E2852,Programme!F2852,Programme!G2852,Programme!H2852,Programme!I2852,Programme!J2852)</f>
        <v>&lt;ValeurCellule&gt;</v>
      </c>
    </row>
    <row r="2852" spans="1:1" x14ac:dyDescent="0.2">
      <c r="A2852" s="996" t="str">
        <f>CONCATENATE(Programme!D2853,Programme!E2853,Programme!F2853,Programme!G2853,Programme!H2853,Programme!I2853,Programme!J2853)</f>
        <v>&lt;cellule&gt;</v>
      </c>
    </row>
    <row r="2853" spans="1:1" x14ac:dyDescent="0.2">
      <c r="A2853" s="996" t="str">
        <f>CONCATENATE(Programme!D2854,Programme!E2854,Programme!F2854,Programme!G2854,Programme!H2854,Programme!I2854,Programme!J2854)</f>
        <v>&lt;codeEdi&gt;11389&lt;/codeEdi&gt;</v>
      </c>
    </row>
    <row r="2854" spans="1:1" x14ac:dyDescent="0.2">
      <c r="A2854" s="996" t="str">
        <f>CONCATENATE(Programme!D2855,Programme!E2855,Programme!F2855,Programme!G2855,Programme!H2855,Programme!I2855,Programme!J2855)</f>
        <v>&lt;/cellule&gt;</v>
      </c>
    </row>
    <row r="2855" spans="1:1" x14ac:dyDescent="0.2">
      <c r="A2855" s="996" t="str">
        <f>CONCATENATE(Programme!D2856,Programme!E2856,Programme!F2856,Programme!G2856,Programme!H2856,Programme!I2856,Programme!J2856)</f>
        <v>&lt;valeur&gt;0&lt;/valeur&gt;</v>
      </c>
    </row>
    <row r="2856" spans="1:1" x14ac:dyDescent="0.2">
      <c r="A2856" s="996" t="str">
        <f>CONCATENATE(Programme!D2857,Programme!E2857,Programme!F2857,Programme!G2857,Programme!H2857,Programme!I2857,Programme!J2857)</f>
        <v>&lt;/ValeurCellule&gt;</v>
      </c>
    </row>
    <row r="2857" spans="1:1" x14ac:dyDescent="0.2">
      <c r="A2857" s="996" t="str">
        <f>CONCATENATE(Programme!D2858,Programme!E2858,Programme!F2858,Programme!G2858,Programme!H2858,Programme!I2858,Programme!J2858)</f>
        <v>&lt;ValeurCellule&gt;</v>
      </c>
    </row>
    <row r="2858" spans="1:1" x14ac:dyDescent="0.2">
      <c r="A2858" s="996" t="str">
        <f>CONCATENATE(Programme!D2859,Programme!E2859,Programme!F2859,Programme!G2859,Programme!H2859,Programme!I2859,Programme!J2859)</f>
        <v>&lt;cellule&gt;</v>
      </c>
    </row>
    <row r="2859" spans="1:1" x14ac:dyDescent="0.2">
      <c r="A2859" s="996" t="str">
        <f>CONCATENATE(Programme!D2860,Programme!E2860,Programme!F2860,Programme!G2860,Programme!H2860,Programme!I2860,Programme!J2860)</f>
        <v>&lt;codeEdi&gt;11411&lt;/codeEdi&gt;</v>
      </c>
    </row>
    <row r="2860" spans="1:1" x14ac:dyDescent="0.2">
      <c r="A2860" s="996" t="str">
        <f>CONCATENATE(Programme!D2861,Programme!E2861,Programme!F2861,Programme!G2861,Programme!H2861,Programme!I2861,Programme!J2861)</f>
        <v>&lt;/cellule&gt;</v>
      </c>
    </row>
    <row r="2861" spans="1:1" x14ac:dyDescent="0.2">
      <c r="A2861" s="996" t="str">
        <f>CONCATENATE(Programme!D2862,Programme!E2862,Programme!F2862,Programme!G2862,Programme!H2862,Programme!I2862,Programme!J2862)</f>
        <v>&lt;valeur&gt;0&lt;/valeur&gt;</v>
      </c>
    </row>
    <row r="2862" spans="1:1" x14ac:dyDescent="0.2">
      <c r="A2862" s="996" t="str">
        <f>CONCATENATE(Programme!D2863,Programme!E2863,Programme!F2863,Programme!G2863,Programme!H2863,Programme!I2863,Programme!J2863)</f>
        <v>&lt;/ValeurCellule&gt;</v>
      </c>
    </row>
    <row r="2863" spans="1:1" x14ac:dyDescent="0.2">
      <c r="A2863" s="996" t="str">
        <f>CONCATENATE(Programme!D2864,Programme!E2864,Programme!F2864,Programme!G2864,Programme!H2864,Programme!I2864,Programme!J2864)</f>
        <v>&lt;ValeurCellule&gt;</v>
      </c>
    </row>
    <row r="2864" spans="1:1" x14ac:dyDescent="0.2">
      <c r="A2864" s="996" t="str">
        <f>CONCATENATE(Programme!D2865,Programme!E2865,Programme!F2865,Programme!G2865,Programme!H2865,Programme!I2865,Programme!J2865)</f>
        <v>&lt;cellule&gt;</v>
      </c>
    </row>
    <row r="2865" spans="1:1" x14ac:dyDescent="0.2">
      <c r="A2865" s="996" t="str">
        <f>CONCATENATE(Programme!D2866,Programme!E2866,Programme!F2866,Programme!G2866,Programme!H2866,Programme!I2866,Programme!J2866)</f>
        <v>&lt;codeEdi&gt;11412&lt;/codeEdi&gt;</v>
      </c>
    </row>
    <row r="2866" spans="1:1" x14ac:dyDescent="0.2">
      <c r="A2866" s="996" t="str">
        <f>CONCATENATE(Programme!D2867,Programme!E2867,Programme!F2867,Programme!G2867,Programme!H2867,Programme!I2867,Programme!J2867)</f>
        <v>&lt;/cellule&gt;</v>
      </c>
    </row>
    <row r="2867" spans="1:1" x14ac:dyDescent="0.2">
      <c r="A2867" s="996" t="str">
        <f>CONCATENATE(Programme!D2868,Programme!E2868,Programme!F2868,Programme!G2868,Programme!H2868,Programme!I2868,Programme!J2868)</f>
        <v>&lt;valeur&gt;0&lt;/valeur&gt;</v>
      </c>
    </row>
    <row r="2868" spans="1:1" x14ac:dyDescent="0.2">
      <c r="A2868" s="996" t="str">
        <f>CONCATENATE(Programme!D2869,Programme!E2869,Programme!F2869,Programme!G2869,Programme!H2869,Programme!I2869,Programme!J2869)</f>
        <v>&lt;/ValeurCellule&gt;</v>
      </c>
    </row>
    <row r="2869" spans="1:1" x14ac:dyDescent="0.2">
      <c r="A2869" s="996" t="str">
        <f>CONCATENATE(Programme!D2870,Programme!E2870,Programme!F2870,Programme!G2870,Programme!H2870,Programme!I2870,Programme!J2870)</f>
        <v>&lt;ValeurCellule&gt;</v>
      </c>
    </row>
    <row r="2870" spans="1:1" x14ac:dyDescent="0.2">
      <c r="A2870" s="996" t="str">
        <f>CONCATENATE(Programme!D2871,Programme!E2871,Programme!F2871,Programme!G2871,Programme!H2871,Programme!I2871,Programme!J2871)</f>
        <v>&lt;cellule&gt;</v>
      </c>
    </row>
    <row r="2871" spans="1:1" x14ac:dyDescent="0.2">
      <c r="A2871" s="996" t="str">
        <f>CONCATENATE(Programme!D2872,Programme!E2872,Programme!F2872,Programme!G2872,Programme!H2872,Programme!I2872,Programme!J2872)</f>
        <v>&lt;codeEdi&gt;11413&lt;/codeEdi&gt;</v>
      </c>
    </row>
    <row r="2872" spans="1:1" x14ac:dyDescent="0.2">
      <c r="A2872" s="996" t="str">
        <f>CONCATENATE(Programme!D2873,Programme!E2873,Programme!F2873,Programme!G2873,Programme!H2873,Programme!I2873,Programme!J2873)</f>
        <v>&lt;/cellule&gt;</v>
      </c>
    </row>
    <row r="2873" spans="1:1" x14ac:dyDescent="0.2">
      <c r="A2873" s="996" t="str">
        <f>CONCATENATE(Programme!D2874,Programme!E2874,Programme!F2874,Programme!G2874,Programme!H2874,Programme!I2874,Programme!J2874)</f>
        <v>&lt;valeur&gt;0&lt;/valeur&gt;</v>
      </c>
    </row>
    <row r="2874" spans="1:1" x14ac:dyDescent="0.2">
      <c r="A2874" s="996" t="str">
        <f>CONCATENATE(Programme!D2875,Programme!E2875,Programme!F2875,Programme!G2875,Programme!H2875,Programme!I2875,Programme!J2875)</f>
        <v>&lt;/ValeurCellule&gt;</v>
      </c>
    </row>
    <row r="2875" spans="1:1" x14ac:dyDescent="0.2">
      <c r="A2875" s="996" t="str">
        <f>CONCATENATE(Programme!D2876,Programme!E2876,Programme!F2876,Programme!G2876,Programme!H2876,Programme!I2876,Programme!J2876)</f>
        <v>&lt;ValeurCellule&gt;</v>
      </c>
    </row>
    <row r="2876" spans="1:1" x14ac:dyDescent="0.2">
      <c r="A2876" s="996" t="str">
        <f>CONCATENATE(Programme!D2877,Programme!E2877,Programme!F2877,Programme!G2877,Programme!H2877,Programme!I2877,Programme!J2877)</f>
        <v>&lt;cellule&gt;</v>
      </c>
    </row>
    <row r="2877" spans="1:1" x14ac:dyDescent="0.2">
      <c r="A2877" s="996" t="str">
        <f>CONCATENATE(Programme!D2878,Programme!E2878,Programme!F2878,Programme!G2878,Programme!H2878,Programme!I2878,Programme!J2878)</f>
        <v>&lt;codeEdi&gt;11414&lt;/codeEdi&gt;</v>
      </c>
    </row>
    <row r="2878" spans="1:1" x14ac:dyDescent="0.2">
      <c r="A2878" s="996" t="str">
        <f>CONCATENATE(Programme!D2879,Programme!E2879,Programme!F2879,Programme!G2879,Programme!H2879,Programme!I2879,Programme!J2879)</f>
        <v>&lt;/cellule&gt;</v>
      </c>
    </row>
    <row r="2879" spans="1:1" x14ac:dyDescent="0.2">
      <c r="A2879" s="996" t="str">
        <f>CONCATENATE(Programme!D2880,Programme!E2880,Programme!F2880,Programme!G2880,Programme!H2880,Programme!I2880,Programme!J2880)</f>
        <v>&lt;valeur&gt;0&lt;/valeur&gt;</v>
      </c>
    </row>
    <row r="2880" spans="1:1" x14ac:dyDescent="0.2">
      <c r="A2880" s="996" t="str">
        <f>CONCATENATE(Programme!D2881,Programme!E2881,Programme!F2881,Programme!G2881,Programme!H2881,Programme!I2881,Programme!J2881)</f>
        <v>&lt;/ValeurCellule&gt;</v>
      </c>
    </row>
    <row r="2881" spans="1:1" x14ac:dyDescent="0.2">
      <c r="A2881" s="996" t="str">
        <f>CONCATENATE(Programme!D2882,Programme!E2882,Programme!F2882,Programme!G2882,Programme!H2882,Programme!I2882,Programme!J2882)</f>
        <v>&lt;ValeurCellule&gt;</v>
      </c>
    </row>
    <row r="2882" spans="1:1" x14ac:dyDescent="0.2">
      <c r="A2882" s="996" t="str">
        <f>CONCATENATE(Programme!D2883,Programme!E2883,Programme!F2883,Programme!G2883,Programme!H2883,Programme!I2883,Programme!J2883)</f>
        <v>&lt;cellule&gt;</v>
      </c>
    </row>
    <row r="2883" spans="1:1" x14ac:dyDescent="0.2">
      <c r="A2883" s="996" t="str">
        <f>CONCATENATE(Programme!D2884,Programme!E2884,Programme!F2884,Programme!G2884,Programme!H2884,Programme!I2884,Programme!J2884)</f>
        <v>&lt;codeEdi&gt;11416&lt;/codeEdi&gt;</v>
      </c>
    </row>
    <row r="2884" spans="1:1" x14ac:dyDescent="0.2">
      <c r="A2884" s="996" t="str">
        <f>CONCATENATE(Programme!D2885,Programme!E2885,Programme!F2885,Programme!G2885,Programme!H2885,Programme!I2885,Programme!J2885)</f>
        <v>&lt;/cellule&gt;</v>
      </c>
    </row>
    <row r="2885" spans="1:1" x14ac:dyDescent="0.2">
      <c r="A2885" s="996" t="str">
        <f>CONCATENATE(Programme!D2886,Programme!E2886,Programme!F2886,Programme!G2886,Programme!H2886,Programme!I2886,Programme!J2886)</f>
        <v>&lt;valeur&gt;0&lt;/valeur&gt;</v>
      </c>
    </row>
    <row r="2886" spans="1:1" x14ac:dyDescent="0.2">
      <c r="A2886" s="996" t="str">
        <f>CONCATENATE(Programme!D2887,Programme!E2887,Programme!F2887,Programme!G2887,Programme!H2887,Programme!I2887,Programme!J2887)</f>
        <v>&lt;/ValeurCellule&gt;</v>
      </c>
    </row>
    <row r="2887" spans="1:1" x14ac:dyDescent="0.2">
      <c r="A2887" s="996" t="str">
        <f>CONCATENATE(Programme!D2888,Programme!E2888,Programme!F2888,Programme!G2888,Programme!H2888,Programme!I2888,Programme!J2888)</f>
        <v>&lt;ValeurCellule&gt;</v>
      </c>
    </row>
    <row r="2888" spans="1:1" x14ac:dyDescent="0.2">
      <c r="A2888" s="996" t="str">
        <f>CONCATENATE(Programme!D2889,Programme!E2889,Programme!F2889,Programme!G2889,Programme!H2889,Programme!I2889,Programme!J2889)</f>
        <v>&lt;cellule&gt;</v>
      </c>
    </row>
    <row r="2889" spans="1:1" x14ac:dyDescent="0.2">
      <c r="A2889" s="996" t="str">
        <f>CONCATENATE(Programme!D2890,Programme!E2890,Programme!F2890,Programme!G2890,Programme!H2890,Programme!I2890,Programme!J2890)</f>
        <v>&lt;codeEdi&gt;11417&lt;/codeEdi&gt;</v>
      </c>
    </row>
    <row r="2890" spans="1:1" x14ac:dyDescent="0.2">
      <c r="A2890" s="996" t="str">
        <f>CONCATENATE(Programme!D2891,Programme!E2891,Programme!F2891,Programme!G2891,Programme!H2891,Programme!I2891,Programme!J2891)</f>
        <v>&lt;/cellule&gt;</v>
      </c>
    </row>
    <row r="2891" spans="1:1" x14ac:dyDescent="0.2">
      <c r="A2891" s="996" t="str">
        <f>CONCATENATE(Programme!D2892,Programme!E2892,Programme!F2892,Programme!G2892,Programme!H2892,Programme!I2892,Programme!J2892)</f>
        <v>&lt;valeur&gt;0&lt;/valeur&gt;</v>
      </c>
    </row>
    <row r="2892" spans="1:1" x14ac:dyDescent="0.2">
      <c r="A2892" s="996" t="str">
        <f>CONCATENATE(Programme!D2893,Programme!E2893,Programme!F2893,Programme!G2893,Programme!H2893,Programme!I2893,Programme!J2893)</f>
        <v>&lt;/ValeurCellule&gt;</v>
      </c>
    </row>
    <row r="2893" spans="1:1" x14ac:dyDescent="0.2">
      <c r="A2893" s="996" t="str">
        <f>CONCATENATE(Programme!D2894,Programme!E2894,Programme!F2894,Programme!G2894,Programme!H2894,Programme!I2894,Programme!J2894)</f>
        <v>&lt;ValeurCellule&gt;</v>
      </c>
    </row>
    <row r="2894" spans="1:1" x14ac:dyDescent="0.2">
      <c r="A2894" s="996" t="str">
        <f>CONCATENATE(Programme!D2895,Programme!E2895,Programme!F2895,Programme!G2895,Programme!H2895,Programme!I2895,Programme!J2895)</f>
        <v>&lt;cellule&gt;</v>
      </c>
    </row>
    <row r="2895" spans="1:1" x14ac:dyDescent="0.2">
      <c r="A2895" s="996" t="str">
        <f>CONCATENATE(Programme!D2896,Programme!E2896,Programme!F2896,Programme!G2896,Programme!H2896,Programme!I2896,Programme!J2896)</f>
        <v>&lt;codeEdi&gt;11418&lt;/codeEdi&gt;</v>
      </c>
    </row>
    <row r="2896" spans="1:1" x14ac:dyDescent="0.2">
      <c r="A2896" s="996" t="str">
        <f>CONCATENATE(Programme!D2897,Programme!E2897,Programme!F2897,Programme!G2897,Programme!H2897,Programme!I2897,Programme!J2897)</f>
        <v>&lt;/cellule&gt;</v>
      </c>
    </row>
    <row r="2897" spans="1:1" x14ac:dyDescent="0.2">
      <c r="A2897" s="996" t="str">
        <f>CONCATENATE(Programme!D2898,Programme!E2898,Programme!F2898,Programme!G2898,Programme!H2898,Programme!I2898,Programme!J2898)</f>
        <v>&lt;valeur&gt;0&lt;/valeur&gt;</v>
      </c>
    </row>
    <row r="2898" spans="1:1" x14ac:dyDescent="0.2">
      <c r="A2898" s="996" t="str">
        <f>CONCATENATE(Programme!D2899,Programme!E2899,Programme!F2899,Programme!G2899,Programme!H2899,Programme!I2899,Programme!J2899)</f>
        <v>&lt;/ValeurCellule&gt;</v>
      </c>
    </row>
    <row r="2899" spans="1:1" x14ac:dyDescent="0.2">
      <c r="A2899" s="996" t="str">
        <f>CONCATENATE(Programme!D2900,Programme!E2900,Programme!F2900,Programme!G2900,Programme!H2900,Programme!I2900,Programme!J2900)</f>
        <v>&lt;ValeurCellule&gt;</v>
      </c>
    </row>
    <row r="2900" spans="1:1" x14ac:dyDescent="0.2">
      <c r="A2900" s="996" t="str">
        <f>CONCATENATE(Programme!D2901,Programme!E2901,Programme!F2901,Programme!G2901,Programme!H2901,Programme!I2901,Programme!J2901)</f>
        <v>&lt;cellule&gt;</v>
      </c>
    </row>
    <row r="2901" spans="1:1" x14ac:dyDescent="0.2">
      <c r="A2901" s="996" t="str">
        <f>CONCATENATE(Programme!D2902,Programme!E2902,Programme!F2902,Programme!G2902,Programme!H2902,Programme!I2902,Programme!J2902)</f>
        <v>&lt;codeEdi&gt;11419&lt;/codeEdi&gt;</v>
      </c>
    </row>
    <row r="2902" spans="1:1" x14ac:dyDescent="0.2">
      <c r="A2902" s="996" t="str">
        <f>CONCATENATE(Programme!D2903,Programme!E2903,Programme!F2903,Programme!G2903,Programme!H2903,Programme!I2903,Programme!J2903)</f>
        <v>&lt;/cellule&gt;</v>
      </c>
    </row>
    <row r="2903" spans="1:1" x14ac:dyDescent="0.2">
      <c r="A2903" s="996" t="str">
        <f>CONCATENATE(Programme!D2904,Programme!E2904,Programme!F2904,Programme!G2904,Programme!H2904,Programme!I2904,Programme!J2904)</f>
        <v>&lt;valeur&gt;0&lt;/valeur&gt;</v>
      </c>
    </row>
    <row r="2904" spans="1:1" x14ac:dyDescent="0.2">
      <c r="A2904" s="996" t="str">
        <f>CONCATENATE(Programme!D2905,Programme!E2905,Programme!F2905,Programme!G2905,Programme!H2905,Programme!I2905,Programme!J2905)</f>
        <v>&lt;/ValeurCellule&gt;</v>
      </c>
    </row>
    <row r="2905" spans="1:1" x14ac:dyDescent="0.2">
      <c r="A2905" s="996" t="str">
        <f>CONCATENATE(Programme!D2906,Programme!E2906,Programme!F2906,Programme!G2906,Programme!H2906,Programme!I2906,Programme!J2906)</f>
        <v>&lt;ValeurCellule&gt;</v>
      </c>
    </row>
    <row r="2906" spans="1:1" x14ac:dyDescent="0.2">
      <c r="A2906" s="996" t="str">
        <f>CONCATENATE(Programme!D2907,Programme!E2907,Programme!F2907,Programme!G2907,Programme!H2907,Programme!I2907,Programme!J2907)</f>
        <v>&lt;cellule&gt;</v>
      </c>
    </row>
    <row r="2907" spans="1:1" x14ac:dyDescent="0.2">
      <c r="A2907" s="996" t="str">
        <f>CONCATENATE(Programme!D2908,Programme!E2908,Programme!F2908,Programme!G2908,Programme!H2908,Programme!I2908,Programme!J2908)</f>
        <v>&lt;codeEdi&gt;11421&lt;/codeEdi&gt;</v>
      </c>
    </row>
    <row r="2908" spans="1:1" x14ac:dyDescent="0.2">
      <c r="A2908" s="996" t="str">
        <f>CONCATENATE(Programme!D2909,Programme!E2909,Programme!F2909,Programme!G2909,Programme!H2909,Programme!I2909,Programme!J2909)</f>
        <v>&lt;/cellule&gt;</v>
      </c>
    </row>
    <row r="2909" spans="1:1" x14ac:dyDescent="0.2">
      <c r="A2909" s="996" t="str">
        <f>CONCATENATE(Programme!D2910,Programme!E2910,Programme!F2910,Programme!G2910,Programme!H2910,Programme!I2910,Programme!J2910)</f>
        <v>&lt;valeur&gt;0&lt;/valeur&gt;</v>
      </c>
    </row>
    <row r="2910" spans="1:1" x14ac:dyDescent="0.2">
      <c r="A2910" s="996" t="str">
        <f>CONCATENATE(Programme!D2911,Programme!E2911,Programme!F2911,Programme!G2911,Programme!H2911,Programme!I2911,Programme!J2911)</f>
        <v>&lt;/ValeurCellule&gt;</v>
      </c>
    </row>
    <row r="2911" spans="1:1" x14ac:dyDescent="0.2">
      <c r="A2911" s="996" t="str">
        <f>CONCATENATE(Programme!D2912,Programme!E2912,Programme!F2912,Programme!G2912,Programme!H2912,Programme!I2912,Programme!J2912)</f>
        <v>&lt;ValeurCellule&gt;</v>
      </c>
    </row>
    <row r="2912" spans="1:1" x14ac:dyDescent="0.2">
      <c r="A2912" s="996" t="str">
        <f>CONCATENATE(Programme!D2913,Programme!E2913,Programme!F2913,Programme!G2913,Programme!H2913,Programme!I2913,Programme!J2913)</f>
        <v>&lt;cellule&gt;</v>
      </c>
    </row>
    <row r="2913" spans="1:1" x14ac:dyDescent="0.2">
      <c r="A2913" s="996" t="str">
        <f>CONCATENATE(Programme!D2914,Programme!E2914,Programme!F2914,Programme!G2914,Programme!H2914,Programme!I2914,Programme!J2914)</f>
        <v>&lt;codeEdi&gt;11422&lt;/codeEdi&gt;</v>
      </c>
    </row>
    <row r="2914" spans="1:1" x14ac:dyDescent="0.2">
      <c r="A2914" s="996" t="str">
        <f>CONCATENATE(Programme!D2915,Programme!E2915,Programme!F2915,Programme!G2915,Programme!H2915,Programme!I2915,Programme!J2915)</f>
        <v>&lt;/cellule&gt;</v>
      </c>
    </row>
    <row r="2915" spans="1:1" x14ac:dyDescent="0.2">
      <c r="A2915" s="996" t="str">
        <f>CONCATENATE(Programme!D2916,Programme!E2916,Programme!F2916,Programme!G2916,Programme!H2916,Programme!I2916,Programme!J2916)</f>
        <v>&lt;valeur&gt;0&lt;/valeur&gt;</v>
      </c>
    </row>
    <row r="2916" spans="1:1" x14ac:dyDescent="0.2">
      <c r="A2916" s="996" t="str">
        <f>CONCATENATE(Programme!D2917,Programme!E2917,Programme!F2917,Programme!G2917,Programme!H2917,Programme!I2917,Programme!J2917)</f>
        <v>&lt;/ValeurCellule&gt;</v>
      </c>
    </row>
    <row r="2917" spans="1:1" x14ac:dyDescent="0.2">
      <c r="A2917" s="996" t="str">
        <f>CONCATENATE(Programme!D2918,Programme!E2918,Programme!F2918,Programme!G2918,Programme!H2918,Programme!I2918,Programme!J2918)</f>
        <v>&lt;ValeurCellule&gt;</v>
      </c>
    </row>
    <row r="2918" spans="1:1" x14ac:dyDescent="0.2">
      <c r="A2918" s="996" t="str">
        <f>CONCATENATE(Programme!D2919,Programme!E2919,Programme!F2919,Programme!G2919,Programme!H2919,Programme!I2919,Programme!J2919)</f>
        <v>&lt;cellule&gt;</v>
      </c>
    </row>
    <row r="2919" spans="1:1" x14ac:dyDescent="0.2">
      <c r="A2919" s="996" t="str">
        <f>CONCATENATE(Programme!D2920,Programme!E2920,Programme!F2920,Programme!G2920,Programme!H2920,Programme!I2920,Programme!J2920)</f>
        <v>&lt;codeEdi&gt;11423&lt;/codeEdi&gt;</v>
      </c>
    </row>
    <row r="2920" spans="1:1" x14ac:dyDescent="0.2">
      <c r="A2920" s="996" t="str">
        <f>CONCATENATE(Programme!D2921,Programme!E2921,Programme!F2921,Programme!G2921,Programme!H2921,Programme!I2921,Programme!J2921)</f>
        <v>&lt;/cellule&gt;</v>
      </c>
    </row>
    <row r="2921" spans="1:1" x14ac:dyDescent="0.2">
      <c r="A2921" s="996" t="str">
        <f>CONCATENATE(Programme!D2922,Programme!E2922,Programme!F2922,Programme!G2922,Programme!H2922,Programme!I2922,Programme!J2922)</f>
        <v>&lt;valeur&gt;0&lt;/valeur&gt;</v>
      </c>
    </row>
    <row r="2922" spans="1:1" x14ac:dyDescent="0.2">
      <c r="A2922" s="996" t="str">
        <f>CONCATENATE(Programme!D2923,Programme!E2923,Programme!F2923,Programme!G2923,Programme!H2923,Programme!I2923,Programme!J2923)</f>
        <v>&lt;/ValeurCellule&gt;</v>
      </c>
    </row>
    <row r="2923" spans="1:1" x14ac:dyDescent="0.2">
      <c r="A2923" s="996" t="str">
        <f>CONCATENATE(Programme!D2924,Programme!E2924,Programme!F2924,Programme!G2924,Programme!H2924,Programme!I2924,Programme!J2924)</f>
        <v>&lt;ValeurCellule&gt;</v>
      </c>
    </row>
    <row r="2924" spans="1:1" x14ac:dyDescent="0.2">
      <c r="A2924" s="996" t="str">
        <f>CONCATENATE(Programme!D2925,Programme!E2925,Programme!F2925,Programme!G2925,Programme!H2925,Programme!I2925,Programme!J2925)</f>
        <v>&lt;cellule&gt;</v>
      </c>
    </row>
    <row r="2925" spans="1:1" x14ac:dyDescent="0.2">
      <c r="A2925" s="996" t="str">
        <f>CONCATENATE(Programme!D2926,Programme!E2926,Programme!F2926,Programme!G2926,Programme!H2926,Programme!I2926,Programme!J2926)</f>
        <v>&lt;codeEdi&gt;11424&lt;/codeEdi&gt;</v>
      </c>
    </row>
    <row r="2926" spans="1:1" x14ac:dyDescent="0.2">
      <c r="A2926" s="996" t="str">
        <f>CONCATENATE(Programme!D2927,Programme!E2927,Programme!F2927,Programme!G2927,Programme!H2927,Programme!I2927,Programme!J2927)</f>
        <v>&lt;/cellule&gt;</v>
      </c>
    </row>
    <row r="2927" spans="1:1" x14ac:dyDescent="0.2">
      <c r="A2927" s="996" t="str">
        <f>CONCATENATE(Programme!D2928,Programme!E2928,Programme!F2928,Programme!G2928,Programme!H2928,Programme!I2928,Programme!J2928)</f>
        <v>&lt;valeur&gt;0&lt;/valeur&gt;</v>
      </c>
    </row>
    <row r="2928" spans="1:1" x14ac:dyDescent="0.2">
      <c r="A2928" s="996" t="str">
        <f>CONCATENATE(Programme!D2929,Programme!E2929,Programme!F2929,Programme!G2929,Programme!H2929,Programme!I2929,Programme!J2929)</f>
        <v>&lt;/ValeurCellule&gt;</v>
      </c>
    </row>
    <row r="2929" spans="1:1" x14ac:dyDescent="0.2">
      <c r="A2929" s="996" t="str">
        <f>CONCATENATE(Programme!D2930,Programme!E2930,Programme!F2930,Programme!G2930,Programme!H2930,Programme!I2930,Programme!J2930)</f>
        <v>&lt;ValeurCellule&gt;</v>
      </c>
    </row>
    <row r="2930" spans="1:1" x14ac:dyDescent="0.2">
      <c r="A2930" s="996" t="str">
        <f>CONCATENATE(Programme!D2931,Programme!E2931,Programme!F2931,Programme!G2931,Programme!H2931,Programme!I2931,Programme!J2931)</f>
        <v>&lt;cellule&gt;</v>
      </c>
    </row>
    <row r="2931" spans="1:1" x14ac:dyDescent="0.2">
      <c r="A2931" s="996" t="str">
        <f>CONCATENATE(Programme!D2932,Programme!E2932,Programme!F2932,Programme!G2932,Programme!H2932,Programme!I2932,Programme!J2932)</f>
        <v>&lt;codeEdi&gt;11426&lt;/codeEdi&gt;</v>
      </c>
    </row>
    <row r="2932" spans="1:1" x14ac:dyDescent="0.2">
      <c r="A2932" s="996" t="str">
        <f>CONCATENATE(Programme!D2933,Programme!E2933,Programme!F2933,Programme!G2933,Programme!H2933,Programme!I2933,Programme!J2933)</f>
        <v>&lt;/cellule&gt;</v>
      </c>
    </row>
    <row r="2933" spans="1:1" x14ac:dyDescent="0.2">
      <c r="A2933" s="996" t="str">
        <f>CONCATENATE(Programme!D2934,Programme!E2934,Programme!F2934,Programme!G2934,Programme!H2934,Programme!I2934,Programme!J2934)</f>
        <v>&lt;valeur&gt;0&lt;/valeur&gt;</v>
      </c>
    </row>
    <row r="2934" spans="1:1" x14ac:dyDescent="0.2">
      <c r="A2934" s="996" t="str">
        <f>CONCATENATE(Programme!D2935,Programme!E2935,Programme!F2935,Programme!G2935,Programme!H2935,Programme!I2935,Programme!J2935)</f>
        <v>&lt;/ValeurCellule&gt;</v>
      </c>
    </row>
    <row r="2935" spans="1:1" x14ac:dyDescent="0.2">
      <c r="A2935" s="996" t="str">
        <f>CONCATENATE(Programme!D2936,Programme!E2936,Programme!F2936,Programme!G2936,Programme!H2936,Programme!I2936,Programme!J2936)</f>
        <v>&lt;ValeurCellule&gt;</v>
      </c>
    </row>
    <row r="2936" spans="1:1" x14ac:dyDescent="0.2">
      <c r="A2936" s="996" t="str">
        <f>CONCATENATE(Programme!D2937,Programme!E2937,Programme!F2937,Programme!G2937,Programme!H2937,Programme!I2937,Programme!J2937)</f>
        <v>&lt;cellule&gt;</v>
      </c>
    </row>
    <row r="2937" spans="1:1" x14ac:dyDescent="0.2">
      <c r="A2937" s="996" t="str">
        <f>CONCATENATE(Programme!D2938,Programme!E2938,Programme!F2938,Programme!G2938,Programme!H2938,Programme!I2938,Programme!J2938)</f>
        <v>&lt;codeEdi&gt;11427&lt;/codeEdi&gt;</v>
      </c>
    </row>
    <row r="2938" spans="1:1" x14ac:dyDescent="0.2">
      <c r="A2938" s="996" t="str">
        <f>CONCATENATE(Programme!D2939,Programme!E2939,Programme!F2939,Programme!G2939,Programme!H2939,Programme!I2939,Programme!J2939)</f>
        <v>&lt;/cellule&gt;</v>
      </c>
    </row>
    <row r="2939" spans="1:1" x14ac:dyDescent="0.2">
      <c r="A2939" s="996" t="str">
        <f>CONCATENATE(Programme!D2940,Programme!E2940,Programme!F2940,Programme!G2940,Programme!H2940,Programme!I2940,Programme!J2940)</f>
        <v>&lt;valeur&gt;0&lt;/valeur&gt;</v>
      </c>
    </row>
    <row r="2940" spans="1:1" x14ac:dyDescent="0.2">
      <c r="A2940" s="996" t="str">
        <f>CONCATENATE(Programme!D2941,Programme!E2941,Programme!F2941,Programme!G2941,Programme!H2941,Programme!I2941,Programme!J2941)</f>
        <v>&lt;/ValeurCellule&gt;</v>
      </c>
    </row>
    <row r="2941" spans="1:1" x14ac:dyDescent="0.2">
      <c r="A2941" s="996" t="str">
        <f>CONCATENATE(Programme!D2942,Programme!E2942,Programme!F2942,Programme!G2942,Programme!H2942,Programme!I2942,Programme!J2942)</f>
        <v>&lt;ValeurCellule&gt;</v>
      </c>
    </row>
    <row r="2942" spans="1:1" x14ac:dyDescent="0.2">
      <c r="A2942" s="996" t="str">
        <f>CONCATENATE(Programme!D2943,Programme!E2943,Programme!F2943,Programme!G2943,Programme!H2943,Programme!I2943,Programme!J2943)</f>
        <v>&lt;cellule&gt;</v>
      </c>
    </row>
    <row r="2943" spans="1:1" x14ac:dyDescent="0.2">
      <c r="A2943" s="996" t="str">
        <f>CONCATENATE(Programme!D2944,Programme!E2944,Programme!F2944,Programme!G2944,Programme!H2944,Programme!I2944,Programme!J2944)</f>
        <v>&lt;codeEdi&gt;11428&lt;/codeEdi&gt;</v>
      </c>
    </row>
    <row r="2944" spans="1:1" x14ac:dyDescent="0.2">
      <c r="A2944" s="996" t="str">
        <f>CONCATENATE(Programme!D2945,Programme!E2945,Programme!F2945,Programme!G2945,Programme!H2945,Programme!I2945,Programme!J2945)</f>
        <v>&lt;/cellule&gt;</v>
      </c>
    </row>
    <row r="2945" spans="1:1" x14ac:dyDescent="0.2">
      <c r="A2945" s="996" t="str">
        <f>CONCATENATE(Programme!D2946,Programme!E2946,Programme!F2946,Programme!G2946,Programme!H2946,Programme!I2946,Programme!J2946)</f>
        <v>&lt;valeur&gt;0&lt;/valeur&gt;</v>
      </c>
    </row>
    <row r="2946" spans="1:1" x14ac:dyDescent="0.2">
      <c r="A2946" s="996" t="str">
        <f>CONCATENATE(Programme!D2947,Programme!E2947,Programme!F2947,Programme!G2947,Programme!H2947,Programme!I2947,Programme!J2947)</f>
        <v>&lt;/ValeurCellule&gt;</v>
      </c>
    </row>
    <row r="2947" spans="1:1" x14ac:dyDescent="0.2">
      <c r="A2947" s="996" t="str">
        <f>CONCATENATE(Programme!D2948,Programme!E2948,Programme!F2948,Programme!G2948,Programme!H2948,Programme!I2948,Programme!J2948)</f>
        <v>&lt;ValeurCellule&gt;</v>
      </c>
    </row>
    <row r="2948" spans="1:1" x14ac:dyDescent="0.2">
      <c r="A2948" s="996" t="str">
        <f>CONCATENATE(Programme!D2949,Programme!E2949,Programme!F2949,Programme!G2949,Programme!H2949,Programme!I2949,Programme!J2949)</f>
        <v>&lt;cellule&gt;</v>
      </c>
    </row>
    <row r="2949" spans="1:1" x14ac:dyDescent="0.2">
      <c r="A2949" s="996" t="str">
        <f>CONCATENATE(Programme!D2950,Programme!E2950,Programme!F2950,Programme!G2950,Programme!H2950,Programme!I2950,Programme!J2950)</f>
        <v>&lt;codeEdi&gt;11429&lt;/codeEdi&gt;</v>
      </c>
    </row>
    <row r="2950" spans="1:1" x14ac:dyDescent="0.2">
      <c r="A2950" s="996" t="str">
        <f>CONCATENATE(Programme!D2951,Programme!E2951,Programme!F2951,Programme!G2951,Programme!H2951,Programme!I2951,Programme!J2951)</f>
        <v>&lt;/cellule&gt;</v>
      </c>
    </row>
    <row r="2951" spans="1:1" x14ac:dyDescent="0.2">
      <c r="A2951" s="996" t="str">
        <f>CONCATENATE(Programme!D2952,Programme!E2952,Programme!F2952,Programme!G2952,Programme!H2952,Programme!I2952,Programme!J2952)</f>
        <v>&lt;valeur&gt;0&lt;/valeur&gt;</v>
      </c>
    </row>
    <row r="2952" spans="1:1" x14ac:dyDescent="0.2">
      <c r="A2952" s="996" t="str">
        <f>CONCATENATE(Programme!D2953,Programme!E2953,Programme!F2953,Programme!G2953,Programme!H2953,Programme!I2953,Programme!J2953)</f>
        <v>&lt;/ValeurCellule&gt;</v>
      </c>
    </row>
    <row r="2953" spans="1:1" x14ac:dyDescent="0.2">
      <c r="A2953" s="996" t="str">
        <f>CONCATENATE(Programme!D2954,Programme!E2954,Programme!F2954,Programme!G2954,Programme!H2954,Programme!I2954,Programme!J2954)</f>
        <v>&lt;ValeurCellule&gt;</v>
      </c>
    </row>
    <row r="2954" spans="1:1" x14ac:dyDescent="0.2">
      <c r="A2954" s="996" t="str">
        <f>CONCATENATE(Programme!D2955,Programme!E2955,Programme!F2955,Programme!G2955,Programme!H2955,Programme!I2955,Programme!J2955)</f>
        <v>&lt;cellule&gt;</v>
      </c>
    </row>
    <row r="2955" spans="1:1" x14ac:dyDescent="0.2">
      <c r="A2955" s="996" t="str">
        <f>CONCATENATE(Programme!D2956,Programme!E2956,Programme!F2956,Programme!G2956,Programme!H2956,Programme!I2956,Programme!J2956)</f>
        <v>&lt;codeEdi&gt;11431&lt;/codeEdi&gt;</v>
      </c>
    </row>
    <row r="2956" spans="1:1" x14ac:dyDescent="0.2">
      <c r="A2956" s="996" t="str">
        <f>CONCATENATE(Programme!D2957,Programme!E2957,Programme!F2957,Programme!G2957,Programme!H2957,Programme!I2957,Programme!J2957)</f>
        <v>&lt;/cellule&gt;</v>
      </c>
    </row>
    <row r="2957" spans="1:1" x14ac:dyDescent="0.2">
      <c r="A2957" s="996" t="str">
        <f>CONCATENATE(Programme!D2958,Programme!E2958,Programme!F2958,Programme!G2958,Programme!H2958,Programme!I2958,Programme!J2958)</f>
        <v>&lt;valeur&gt;0&lt;/valeur&gt;</v>
      </c>
    </row>
    <row r="2958" spans="1:1" x14ac:dyDescent="0.2">
      <c r="A2958" s="996" t="str">
        <f>CONCATENATE(Programme!D2959,Programme!E2959,Programme!F2959,Programme!G2959,Programme!H2959,Programme!I2959,Programme!J2959)</f>
        <v>&lt;/ValeurCellule&gt;</v>
      </c>
    </row>
    <row r="2959" spans="1:1" x14ac:dyDescent="0.2">
      <c r="A2959" s="996" t="str">
        <f>CONCATENATE(Programme!D2960,Programme!E2960,Programme!F2960,Programme!G2960,Programme!H2960,Programme!I2960,Programme!J2960)</f>
        <v>&lt;ValeurCellule&gt;</v>
      </c>
    </row>
    <row r="2960" spans="1:1" x14ac:dyDescent="0.2">
      <c r="A2960" s="996" t="str">
        <f>CONCATENATE(Programme!D2961,Programme!E2961,Programme!F2961,Programme!G2961,Programme!H2961,Programme!I2961,Programme!J2961)</f>
        <v>&lt;cellule&gt;</v>
      </c>
    </row>
    <row r="2961" spans="1:1" x14ac:dyDescent="0.2">
      <c r="A2961" s="996" t="str">
        <f>CONCATENATE(Programme!D2962,Programme!E2962,Programme!F2962,Programme!G2962,Programme!H2962,Programme!I2962,Programme!J2962)</f>
        <v>&lt;codeEdi&gt;11432&lt;/codeEdi&gt;</v>
      </c>
    </row>
    <row r="2962" spans="1:1" x14ac:dyDescent="0.2">
      <c r="A2962" s="996" t="str">
        <f>CONCATENATE(Programme!D2963,Programme!E2963,Programme!F2963,Programme!G2963,Programme!H2963,Programme!I2963,Programme!J2963)</f>
        <v>&lt;/cellule&gt;</v>
      </c>
    </row>
    <row r="2963" spans="1:1" x14ac:dyDescent="0.2">
      <c r="A2963" s="996" t="str">
        <f>CONCATENATE(Programme!D2964,Programme!E2964,Programme!F2964,Programme!G2964,Programme!H2964,Programme!I2964,Programme!J2964)</f>
        <v>&lt;valeur&gt;0&lt;/valeur&gt;</v>
      </c>
    </row>
    <row r="2964" spans="1:1" x14ac:dyDescent="0.2">
      <c r="A2964" s="996" t="str">
        <f>CONCATENATE(Programme!D2965,Programme!E2965,Programme!F2965,Programme!G2965,Programme!H2965,Programme!I2965,Programme!J2965)</f>
        <v>&lt;/ValeurCellule&gt;</v>
      </c>
    </row>
    <row r="2965" spans="1:1" x14ac:dyDescent="0.2">
      <c r="A2965" s="996" t="str">
        <f>CONCATENATE(Programme!D2966,Programme!E2966,Programme!F2966,Programme!G2966,Programme!H2966,Programme!I2966,Programme!J2966)</f>
        <v>&lt;ValeurCellule&gt;</v>
      </c>
    </row>
    <row r="2966" spans="1:1" x14ac:dyDescent="0.2">
      <c r="A2966" s="996" t="str">
        <f>CONCATENATE(Programme!D2967,Programme!E2967,Programme!F2967,Programme!G2967,Programme!H2967,Programme!I2967,Programme!J2967)</f>
        <v>&lt;cellule&gt;</v>
      </c>
    </row>
    <row r="2967" spans="1:1" x14ac:dyDescent="0.2">
      <c r="A2967" s="996" t="str">
        <f>CONCATENATE(Programme!D2968,Programme!E2968,Programme!F2968,Programme!G2968,Programme!H2968,Programme!I2968,Programme!J2968)</f>
        <v>&lt;codeEdi&gt;11433&lt;/codeEdi&gt;</v>
      </c>
    </row>
    <row r="2968" spans="1:1" x14ac:dyDescent="0.2">
      <c r="A2968" s="996" t="str">
        <f>CONCATENATE(Programme!D2969,Programme!E2969,Programme!F2969,Programme!G2969,Programme!H2969,Programme!I2969,Programme!J2969)</f>
        <v>&lt;/cellule&gt;</v>
      </c>
    </row>
    <row r="2969" spans="1:1" x14ac:dyDescent="0.2">
      <c r="A2969" s="996" t="str">
        <f>CONCATENATE(Programme!D2970,Programme!E2970,Programme!F2970,Programme!G2970,Programme!H2970,Programme!I2970,Programme!J2970)</f>
        <v>&lt;valeur&gt;0&lt;/valeur&gt;</v>
      </c>
    </row>
    <row r="2970" spans="1:1" x14ac:dyDescent="0.2">
      <c r="A2970" s="996" t="str">
        <f>CONCATENATE(Programme!D2971,Programme!E2971,Programme!F2971,Programme!G2971,Programme!H2971,Programme!I2971,Programme!J2971)</f>
        <v>&lt;/ValeurCellule&gt;</v>
      </c>
    </row>
    <row r="2971" spans="1:1" x14ac:dyDescent="0.2">
      <c r="A2971" s="996" t="str">
        <f>CONCATENATE(Programme!D2972,Programme!E2972,Programme!F2972,Programme!G2972,Programme!H2972,Programme!I2972,Programme!J2972)</f>
        <v>&lt;ValeurCellule&gt;</v>
      </c>
    </row>
    <row r="2972" spans="1:1" x14ac:dyDescent="0.2">
      <c r="A2972" s="996" t="str">
        <f>CONCATENATE(Programme!D2973,Programme!E2973,Programme!F2973,Programme!G2973,Programme!H2973,Programme!I2973,Programme!J2973)</f>
        <v>&lt;cellule&gt;</v>
      </c>
    </row>
    <row r="2973" spans="1:1" x14ac:dyDescent="0.2">
      <c r="A2973" s="996" t="str">
        <f>CONCATENATE(Programme!D2974,Programme!E2974,Programme!F2974,Programme!G2974,Programme!H2974,Programme!I2974,Programme!J2974)</f>
        <v>&lt;codeEdi&gt;11434&lt;/codeEdi&gt;</v>
      </c>
    </row>
    <row r="2974" spans="1:1" x14ac:dyDescent="0.2">
      <c r="A2974" s="996" t="str">
        <f>CONCATENATE(Programme!D2975,Programme!E2975,Programme!F2975,Programme!G2975,Programme!H2975,Programme!I2975,Programme!J2975)</f>
        <v>&lt;/cellule&gt;</v>
      </c>
    </row>
    <row r="2975" spans="1:1" x14ac:dyDescent="0.2">
      <c r="A2975" s="996" t="str">
        <f>CONCATENATE(Programme!D2976,Programme!E2976,Programme!F2976,Programme!G2976,Programme!H2976,Programme!I2976,Programme!J2976)</f>
        <v>&lt;valeur&gt;0&lt;/valeur&gt;</v>
      </c>
    </row>
    <row r="2976" spans="1:1" x14ac:dyDescent="0.2">
      <c r="A2976" s="996" t="str">
        <f>CONCATENATE(Programme!D2977,Programme!E2977,Programme!F2977,Programme!G2977,Programme!H2977,Programme!I2977,Programme!J2977)</f>
        <v>&lt;/ValeurCellule&gt;</v>
      </c>
    </row>
    <row r="2977" spans="1:1" x14ac:dyDescent="0.2">
      <c r="A2977" s="996" t="str">
        <f>CONCATENATE(Programme!D2978,Programme!E2978,Programme!F2978,Programme!G2978,Programme!H2978,Programme!I2978,Programme!J2978)</f>
        <v>&lt;ValeurCellule&gt;</v>
      </c>
    </row>
    <row r="2978" spans="1:1" x14ac:dyDescent="0.2">
      <c r="A2978" s="996" t="str">
        <f>CONCATENATE(Programme!D2979,Programme!E2979,Programme!F2979,Programme!G2979,Programme!H2979,Programme!I2979,Programme!J2979)</f>
        <v>&lt;cellule&gt;</v>
      </c>
    </row>
    <row r="2979" spans="1:1" x14ac:dyDescent="0.2">
      <c r="A2979" s="996" t="str">
        <f>CONCATENATE(Programme!D2980,Programme!E2980,Programme!F2980,Programme!G2980,Programme!H2980,Programme!I2980,Programme!J2980)</f>
        <v>&lt;codeEdi&gt;11436&lt;/codeEdi&gt;</v>
      </c>
    </row>
    <row r="2980" spans="1:1" x14ac:dyDescent="0.2">
      <c r="A2980" s="996" t="str">
        <f>CONCATENATE(Programme!D2981,Programme!E2981,Programme!F2981,Programme!G2981,Programme!H2981,Programme!I2981,Programme!J2981)</f>
        <v>&lt;/cellule&gt;</v>
      </c>
    </row>
    <row r="2981" spans="1:1" x14ac:dyDescent="0.2">
      <c r="A2981" s="996" t="str">
        <f>CONCATENATE(Programme!D2982,Programme!E2982,Programme!F2982,Programme!G2982,Programme!H2982,Programme!I2982,Programme!J2982)</f>
        <v>&lt;valeur&gt;0&lt;/valeur&gt;</v>
      </c>
    </row>
    <row r="2982" spans="1:1" x14ac:dyDescent="0.2">
      <c r="A2982" s="996" t="str">
        <f>CONCATENATE(Programme!D2983,Programme!E2983,Programme!F2983,Programme!G2983,Programme!H2983,Programme!I2983,Programme!J2983)</f>
        <v>&lt;/ValeurCellule&gt;</v>
      </c>
    </row>
    <row r="2983" spans="1:1" x14ac:dyDescent="0.2">
      <c r="A2983" s="996" t="str">
        <f>CONCATENATE(Programme!D2984,Programme!E2984,Programme!F2984,Programme!G2984,Programme!H2984,Programme!I2984,Programme!J2984)</f>
        <v>&lt;ValeurCellule&gt;</v>
      </c>
    </row>
    <row r="2984" spans="1:1" x14ac:dyDescent="0.2">
      <c r="A2984" s="996" t="str">
        <f>CONCATENATE(Programme!D2985,Programme!E2985,Programme!F2985,Programme!G2985,Programme!H2985,Programme!I2985,Programme!J2985)</f>
        <v>&lt;cellule&gt;</v>
      </c>
    </row>
    <row r="2985" spans="1:1" x14ac:dyDescent="0.2">
      <c r="A2985" s="996" t="str">
        <f>CONCATENATE(Programme!D2986,Programme!E2986,Programme!F2986,Programme!G2986,Programme!H2986,Programme!I2986,Programme!J2986)</f>
        <v>&lt;codeEdi&gt;11437&lt;/codeEdi&gt;</v>
      </c>
    </row>
    <row r="2986" spans="1:1" x14ac:dyDescent="0.2">
      <c r="A2986" s="996" t="str">
        <f>CONCATENATE(Programme!D2987,Programme!E2987,Programme!F2987,Programme!G2987,Programme!H2987,Programme!I2987,Programme!J2987)</f>
        <v>&lt;/cellule&gt;</v>
      </c>
    </row>
    <row r="2987" spans="1:1" x14ac:dyDescent="0.2">
      <c r="A2987" s="996" t="str">
        <f>CONCATENATE(Programme!D2988,Programme!E2988,Programme!F2988,Programme!G2988,Programme!H2988,Programme!I2988,Programme!J2988)</f>
        <v>&lt;valeur&gt;0&lt;/valeur&gt;</v>
      </c>
    </row>
    <row r="2988" spans="1:1" x14ac:dyDescent="0.2">
      <c r="A2988" s="996" t="str">
        <f>CONCATENATE(Programme!D2989,Programme!E2989,Programme!F2989,Programme!G2989,Programme!H2989,Programme!I2989,Programme!J2989)</f>
        <v>&lt;/ValeurCellule&gt;</v>
      </c>
    </row>
    <row r="2989" spans="1:1" x14ac:dyDescent="0.2">
      <c r="A2989" s="996" t="str">
        <f>CONCATENATE(Programme!D2990,Programme!E2990,Programme!F2990,Programme!G2990,Programme!H2990,Programme!I2990,Programme!J2990)</f>
        <v>&lt;ValeurCellule&gt;</v>
      </c>
    </row>
    <row r="2990" spans="1:1" x14ac:dyDescent="0.2">
      <c r="A2990" s="996" t="str">
        <f>CONCATENATE(Programme!D2991,Programme!E2991,Programme!F2991,Programme!G2991,Programme!H2991,Programme!I2991,Programme!J2991)</f>
        <v>&lt;cellule&gt;</v>
      </c>
    </row>
    <row r="2991" spans="1:1" x14ac:dyDescent="0.2">
      <c r="A2991" s="996" t="str">
        <f>CONCATENATE(Programme!D2992,Programme!E2992,Programme!F2992,Programme!G2992,Programme!H2992,Programme!I2992,Programme!J2992)</f>
        <v>&lt;codeEdi&gt;11438&lt;/codeEdi&gt;</v>
      </c>
    </row>
    <row r="2992" spans="1:1" x14ac:dyDescent="0.2">
      <c r="A2992" s="996" t="str">
        <f>CONCATENATE(Programme!D2993,Programme!E2993,Programme!F2993,Programme!G2993,Programme!H2993,Programme!I2993,Programme!J2993)</f>
        <v>&lt;/cellule&gt;</v>
      </c>
    </row>
    <row r="2993" spans="1:1" x14ac:dyDescent="0.2">
      <c r="A2993" s="996" t="str">
        <f>CONCATENATE(Programme!D2994,Programme!E2994,Programme!F2994,Programme!G2994,Programme!H2994,Programme!I2994,Programme!J2994)</f>
        <v>&lt;valeur&gt;0&lt;/valeur&gt;</v>
      </c>
    </row>
    <row r="2994" spans="1:1" x14ac:dyDescent="0.2">
      <c r="A2994" s="996" t="str">
        <f>CONCATENATE(Programme!D2995,Programme!E2995,Programme!F2995,Programme!G2995,Programme!H2995,Programme!I2995,Programme!J2995)</f>
        <v>&lt;/ValeurCellule&gt;</v>
      </c>
    </row>
    <row r="2995" spans="1:1" x14ac:dyDescent="0.2">
      <c r="A2995" s="996" t="str">
        <f>CONCATENATE(Programme!D2996,Programme!E2996,Programme!F2996,Programme!G2996,Programme!H2996,Programme!I2996,Programme!J2996)</f>
        <v>&lt;ValeurCellule&gt;</v>
      </c>
    </row>
    <row r="2996" spans="1:1" x14ac:dyDescent="0.2">
      <c r="A2996" s="996" t="str">
        <f>CONCATENATE(Programme!D2997,Programme!E2997,Programme!F2997,Programme!G2997,Programme!H2997,Programme!I2997,Programme!J2997)</f>
        <v>&lt;cellule&gt;</v>
      </c>
    </row>
    <row r="2997" spans="1:1" x14ac:dyDescent="0.2">
      <c r="A2997" s="996" t="str">
        <f>CONCATENATE(Programme!D2998,Programme!E2998,Programme!F2998,Programme!G2998,Programme!H2998,Programme!I2998,Programme!J2998)</f>
        <v>&lt;codeEdi&gt;11439&lt;/codeEdi&gt;</v>
      </c>
    </row>
    <row r="2998" spans="1:1" x14ac:dyDescent="0.2">
      <c r="A2998" s="996" t="str">
        <f>CONCATENATE(Programme!D2999,Programme!E2999,Programme!F2999,Programme!G2999,Programme!H2999,Programme!I2999,Programme!J2999)</f>
        <v>&lt;/cellule&gt;</v>
      </c>
    </row>
    <row r="2999" spans="1:1" x14ac:dyDescent="0.2">
      <c r="A2999" s="996" t="str">
        <f>CONCATENATE(Programme!D3000,Programme!E3000,Programme!F3000,Programme!G3000,Programme!H3000,Programme!I3000,Programme!J3000)</f>
        <v>&lt;valeur&gt;0&lt;/valeur&gt;</v>
      </c>
    </row>
    <row r="3000" spans="1:1" x14ac:dyDescent="0.2">
      <c r="A3000" s="996" t="str">
        <f>CONCATENATE(Programme!D3001,Programme!E3001,Programme!F3001,Programme!G3001,Programme!H3001,Programme!I3001,Programme!J3001)</f>
        <v>&lt;/ValeurCellule&gt;</v>
      </c>
    </row>
    <row r="3001" spans="1:1" x14ac:dyDescent="0.2">
      <c r="A3001" s="996" t="str">
        <f>CONCATENATE(Programme!D3002,Programme!E3002,Programme!F3002,Programme!G3002,Programme!H3002,Programme!I3002,Programme!J3002)</f>
        <v>&lt;/groupeValeurs&gt;</v>
      </c>
    </row>
    <row r="3002" spans="1:1" x14ac:dyDescent="0.2">
      <c r="A3002" s="996" t="str">
        <f>CONCATENATE(Programme!D3003,Programme!E3003,Programme!F3003,Programme!G3003,Programme!H3003,Programme!I3003,Programme!J3003)</f>
        <v>&lt;extraFieldvaleurs&gt;</v>
      </c>
    </row>
    <row r="3003" spans="1:1" x14ac:dyDescent="0.2">
      <c r="A3003" s="996" t="str">
        <f>CONCATENATE(Programme!D3004,Programme!E3004,Programme!F3004,Programme!G3004,Programme!H3004,Programme!I3004,Programme!J3004)</f>
        <v>&lt;/extraFieldvaleurs&gt;</v>
      </c>
    </row>
    <row r="3004" spans="1:1" x14ac:dyDescent="0.2">
      <c r="A3004" s="996" t="str">
        <f>CONCATENATE(Programme!D3005,Programme!E3005,Programme!F3005,Programme!G3005,Programme!H3005,Programme!I3005,Programme!J3005)</f>
        <v>&lt;/ValeursTableau&gt;</v>
      </c>
    </row>
    <row r="3005" spans="1:1" x14ac:dyDescent="0.2">
      <c r="A3005" s="996" t="str">
        <f>CONCATENATE(Programme!D3006,Programme!E3006,Programme!F3006,Programme!G3006,Programme!H3006,Programme!I3006,Programme!J3006)</f>
        <v>&lt;ValeursTableau&gt;</v>
      </c>
    </row>
    <row r="3006" spans="1:1" x14ac:dyDescent="0.2">
      <c r="A3006" s="996" t="str">
        <f>CONCATENATE(Programme!D3007,Programme!E3007,Programme!F3007,Programme!G3007,Programme!H3007,Programme!I3007,Programme!J3007)</f>
        <v>&lt;tableau&gt;&lt;id&gt;7&lt;/id&gt;&lt;/tableau&gt;</v>
      </c>
    </row>
    <row r="3007" spans="1:1" x14ac:dyDescent="0.2">
      <c r="A3007" s="996" t="str">
        <f>CONCATENATE(Programme!D3008,Programme!E3008,Programme!F3008,Programme!G3008,Programme!H3008,Programme!I3008,Programme!J3008)</f>
        <v>&lt;groupeValeurs&gt;</v>
      </c>
    </row>
    <row r="3008" spans="1:1" x14ac:dyDescent="0.2">
      <c r="A3008" s="996" t="str">
        <f>CONCATENATE(Programme!D3009,Programme!E3009,Programme!F3009,Programme!G3009,Programme!H3009,Programme!I3009,Programme!J3009)</f>
        <v>&lt;ValeurCellule&gt;</v>
      </c>
    </row>
    <row r="3009" spans="1:1" x14ac:dyDescent="0.2">
      <c r="A3009" s="996" t="str">
        <f>CONCATENATE(Programme!D3010,Programme!E3010,Programme!F3010,Programme!G3010,Programme!H3010,Programme!I3010,Programme!J3010)</f>
        <v>&lt;cellule&gt;</v>
      </c>
    </row>
    <row r="3010" spans="1:1" x14ac:dyDescent="0.2">
      <c r="A3010" s="996" t="str">
        <f>CONCATENATE(Programme!D3011,Programme!E3011,Programme!F3011,Programme!G3011,Programme!H3011,Programme!I3011,Programme!J3011)</f>
        <v>&lt;codeEdi&gt;817&lt;/codeEdi&gt;</v>
      </c>
    </row>
    <row r="3011" spans="1:1" x14ac:dyDescent="0.2">
      <c r="A3011" s="996" t="str">
        <f>CONCATENATE(Programme!D3012,Programme!E3012,Programme!F3012,Programme!G3012,Programme!H3012,Programme!I3012,Programme!J3012)</f>
        <v>&lt;/cellule&gt;</v>
      </c>
    </row>
    <row r="3012" spans="1:1" x14ac:dyDescent="0.2">
      <c r="A3012" s="996" t="str">
        <f>CONCATENATE(Programme!D3013,Programme!E3013,Programme!F3013,Programme!G3013,Programme!H3013,Programme!I3013,Programme!J3013)</f>
        <v>&lt;valeur&gt;0&lt;/valeur&gt;</v>
      </c>
    </row>
    <row r="3013" spans="1:1" x14ac:dyDescent="0.2">
      <c r="A3013" s="996" t="str">
        <f>CONCATENATE(Programme!D3014,Programme!E3014,Programme!F3014,Programme!G3014,Programme!H3014,Programme!I3014,Programme!J3014)</f>
        <v>&lt;/ValeurCellule&gt;</v>
      </c>
    </row>
    <row r="3014" spans="1:1" x14ac:dyDescent="0.2">
      <c r="A3014" s="996" t="str">
        <f>CONCATENATE(Programme!D3015,Programme!E3015,Programme!F3015,Programme!G3015,Programme!H3015,Programme!I3015,Programme!J3015)</f>
        <v>&lt;ValeurCellule&gt;</v>
      </c>
    </row>
    <row r="3015" spans="1:1" x14ac:dyDescent="0.2">
      <c r="A3015" s="996" t="str">
        <f>CONCATENATE(Programme!D3016,Programme!E3016,Programme!F3016,Programme!G3016,Programme!H3016,Programme!I3016,Programme!J3016)</f>
        <v>&lt;cellule&gt;</v>
      </c>
    </row>
    <row r="3016" spans="1:1" x14ac:dyDescent="0.2">
      <c r="A3016" s="996" t="str">
        <f>CONCATENATE(Programme!D3017,Programme!E3017,Programme!F3017,Programme!G3017,Programme!H3017,Programme!I3017,Programme!J3017)</f>
        <v>&lt;codeEdi&gt;818&lt;/codeEdi&gt;</v>
      </c>
    </row>
    <row r="3017" spans="1:1" x14ac:dyDescent="0.2">
      <c r="A3017" s="996" t="str">
        <f>CONCATENATE(Programme!D3018,Programme!E3018,Programme!F3018,Programme!G3018,Programme!H3018,Programme!I3018,Programme!J3018)</f>
        <v>&lt;/cellule&gt;</v>
      </c>
    </row>
    <row r="3018" spans="1:1" x14ac:dyDescent="0.2">
      <c r="A3018" s="996" t="str">
        <f>CONCATENATE(Programme!D3019,Programme!E3019,Programme!F3019,Programme!G3019,Programme!H3019,Programme!I3019,Programme!J3019)</f>
        <v>&lt;valeur&gt;&lt;/valeur&gt;</v>
      </c>
    </row>
    <row r="3019" spans="1:1" x14ac:dyDescent="0.2">
      <c r="A3019" s="996" t="str">
        <f>CONCATENATE(Programme!D3020,Programme!E3020,Programme!F3020,Programme!G3020,Programme!H3020,Programme!I3020,Programme!J3020)</f>
        <v>&lt;/ValeurCellule&gt;</v>
      </c>
    </row>
    <row r="3020" spans="1:1" x14ac:dyDescent="0.2">
      <c r="A3020" s="996" t="str">
        <f>CONCATENATE(Programme!D3021,Programme!E3021,Programme!F3021,Programme!G3021,Programme!H3021,Programme!I3021,Programme!J3021)</f>
        <v>&lt;ValeurCellule&gt;</v>
      </c>
    </row>
    <row r="3021" spans="1:1" x14ac:dyDescent="0.2">
      <c r="A3021" s="996" t="str">
        <f>CONCATENATE(Programme!D3022,Programme!E3022,Programme!F3022,Programme!G3022,Programme!H3022,Programme!I3022,Programme!J3022)</f>
        <v>&lt;cellule&gt;</v>
      </c>
    </row>
    <row r="3022" spans="1:1" x14ac:dyDescent="0.2">
      <c r="A3022" s="996" t="str">
        <f>CONCATENATE(Programme!D3023,Programme!E3023,Programme!F3023,Programme!G3023,Programme!H3023,Programme!I3023,Programme!J3023)</f>
        <v>&lt;codeEdi&gt;819&lt;/codeEdi&gt;</v>
      </c>
    </row>
    <row r="3023" spans="1:1" x14ac:dyDescent="0.2">
      <c r="A3023" s="996" t="str">
        <f>CONCATENATE(Programme!D3024,Programme!E3024,Programme!F3024,Programme!G3024,Programme!H3024,Programme!I3024,Programme!J3024)</f>
        <v>&lt;/cellule&gt;</v>
      </c>
    </row>
    <row r="3024" spans="1:1" x14ac:dyDescent="0.2">
      <c r="A3024" s="996" t="str">
        <f>CONCATENATE(Programme!D3025,Programme!E3025,Programme!F3025,Programme!G3025,Programme!H3025,Programme!I3025,Programme!J3025)</f>
        <v>&lt;valeur&gt;&lt;/valeur&gt;</v>
      </c>
    </row>
    <row r="3025" spans="1:1" x14ac:dyDescent="0.2">
      <c r="A3025" s="996" t="str">
        <f>CONCATENATE(Programme!D3026,Programme!E3026,Programme!F3026,Programme!G3026,Programme!H3026,Programme!I3026,Programme!J3026)</f>
        <v>&lt;/ValeurCellule&gt;</v>
      </c>
    </row>
    <row r="3026" spans="1:1" x14ac:dyDescent="0.2">
      <c r="A3026" s="996" t="str">
        <f>CONCATENATE(Programme!D3027,Programme!E3027,Programme!F3027,Programme!G3027,Programme!H3027,Programme!I3027,Programme!J3027)</f>
        <v>&lt;ValeurCellule&gt;</v>
      </c>
    </row>
    <row r="3027" spans="1:1" x14ac:dyDescent="0.2">
      <c r="A3027" s="996" t="str">
        <f>CONCATENATE(Programme!D3028,Programme!E3028,Programme!F3028,Programme!G3028,Programme!H3028,Programme!I3028,Programme!J3028)</f>
        <v>&lt;cellule&gt;</v>
      </c>
    </row>
    <row r="3028" spans="1:1" x14ac:dyDescent="0.2">
      <c r="A3028" s="996" t="str">
        <f>CONCATENATE(Programme!D3029,Programme!E3029,Programme!F3029,Programme!G3029,Programme!H3029,Programme!I3029,Programme!J3029)</f>
        <v>&lt;codeEdi&gt;820&lt;/codeEdi&gt;</v>
      </c>
    </row>
    <row r="3029" spans="1:1" x14ac:dyDescent="0.2">
      <c r="A3029" s="996" t="str">
        <f>CONCATENATE(Programme!D3030,Programme!E3030,Programme!F3030,Programme!G3030,Programme!H3030,Programme!I3030,Programme!J3030)</f>
        <v>&lt;/cellule&gt;</v>
      </c>
    </row>
    <row r="3030" spans="1:1" x14ac:dyDescent="0.2">
      <c r="A3030" s="996" t="str">
        <f>CONCATENATE(Programme!D3031,Programme!E3031,Programme!F3031,Programme!G3031,Programme!H3031,Programme!I3031,Programme!J3031)</f>
        <v>&lt;valeur&gt;0&lt;/valeur&gt;</v>
      </c>
    </row>
    <row r="3031" spans="1:1" x14ac:dyDescent="0.2">
      <c r="A3031" s="996" t="str">
        <f>CONCATENATE(Programme!D3032,Programme!E3032,Programme!F3032,Programme!G3032,Programme!H3032,Programme!I3032,Programme!J3032)</f>
        <v>&lt;/ValeurCellule&gt;</v>
      </c>
    </row>
    <row r="3032" spans="1:1" x14ac:dyDescent="0.2">
      <c r="A3032" s="996" t="str">
        <f>CONCATENATE(Programme!D3033,Programme!E3033,Programme!F3033,Programme!G3033,Programme!H3033,Programme!I3033,Programme!J3033)</f>
        <v>&lt;ValeurCellule&gt;</v>
      </c>
    </row>
    <row r="3033" spans="1:1" x14ac:dyDescent="0.2">
      <c r="A3033" s="996" t="str">
        <f>CONCATENATE(Programme!D3034,Programme!E3034,Programme!F3034,Programme!G3034,Programme!H3034,Programme!I3034,Programme!J3034)</f>
        <v>&lt;cellule&gt;&lt;codeEdi&gt;821&lt;/codeEdi&gt;&lt;/cellule&gt;</v>
      </c>
    </row>
    <row r="3034" spans="1:1" x14ac:dyDescent="0.2">
      <c r="A3034" s="996" t="str">
        <f>CONCATENATE(Programme!D3035,Programme!E3035,Programme!F3035,Programme!G3035,Programme!H3035,Programme!I3035,Programme!J3035)</f>
        <v>&lt;valeur&gt;&lt;/valeur&gt;</v>
      </c>
    </row>
    <row r="3035" spans="1:1" x14ac:dyDescent="0.2">
      <c r="A3035" s="996" t="str">
        <f>CONCATENATE(Programme!D3036,Programme!E3036,Programme!F3036,Programme!G3036,Programme!H3036,Programme!I3036,Programme!J3036)</f>
        <v>&lt;numeroLigne&gt;1&lt;/numeroLigne&gt;</v>
      </c>
    </row>
    <row r="3036" spans="1:1" x14ac:dyDescent="0.2">
      <c r="A3036" s="996" t="str">
        <f>CONCATENATE(Programme!D3037,Programme!E3037,Programme!F3037,Programme!G3037,Programme!H3037,Programme!I3037,Programme!J3037)</f>
        <v>&lt;/ValeurCellule&gt;</v>
      </c>
    </row>
    <row r="3037" spans="1:1" x14ac:dyDescent="0.2">
      <c r="A3037" s="996" t="str">
        <f>CONCATENATE(Programme!D3038,Programme!E3038,Programme!F3038,Programme!G3038,Programme!H3038,Programme!I3038,Programme!J3038)</f>
        <v>&lt;ValeurCellule&gt;</v>
      </c>
    </row>
    <row r="3038" spans="1:1" x14ac:dyDescent="0.2">
      <c r="A3038" s="996" t="str">
        <f>CONCATENATE(Programme!D3039,Programme!E3039,Programme!F3039,Programme!G3039,Programme!H3039,Programme!I3039,Programme!J3039)</f>
        <v>&lt;cellule&gt;&lt;codeEdi&gt;822&lt;/codeEdi&gt;&lt;/cellule&gt;</v>
      </c>
    </row>
    <row r="3039" spans="1:1" x14ac:dyDescent="0.2">
      <c r="A3039" s="996" t="str">
        <f>CONCATENATE(Programme!D3040,Programme!E3040,Programme!F3040,Programme!G3040,Programme!H3040,Programme!I3040,Programme!J3040)</f>
        <v>&lt;valeur&gt;&lt;/valeur&gt;</v>
      </c>
    </row>
    <row r="3040" spans="1:1" x14ac:dyDescent="0.2">
      <c r="A3040" s="996" t="str">
        <f>CONCATENATE(Programme!D3041,Programme!E3041,Programme!F3041,Programme!G3041,Programme!H3041,Programme!I3041,Programme!J3041)</f>
        <v>&lt;numeroLigne&gt;1&lt;/numeroLigne&gt;</v>
      </c>
    </row>
    <row r="3041" spans="1:1" x14ac:dyDescent="0.2">
      <c r="A3041" s="996" t="str">
        <f>CONCATENATE(Programme!D3042,Programme!E3042,Programme!F3042,Programme!G3042,Programme!H3042,Programme!I3042,Programme!J3042)</f>
        <v>&lt;/ValeurCellule&gt;</v>
      </c>
    </row>
    <row r="3042" spans="1:1" x14ac:dyDescent="0.2">
      <c r="A3042" s="996" t="str">
        <f>CONCATENATE(Programme!D3043,Programme!E3043,Programme!F3043,Programme!G3043,Programme!H3043,Programme!I3043,Programme!J3043)</f>
        <v>&lt;ValeurCellule&gt;</v>
      </c>
    </row>
    <row r="3043" spans="1:1" x14ac:dyDescent="0.2">
      <c r="A3043" s="996" t="str">
        <f>CONCATENATE(Programme!D3044,Programme!E3044,Programme!F3044,Programme!G3044,Programme!H3044,Programme!I3044,Programme!J3044)</f>
        <v>&lt;cellule&gt;&lt;codeEdi&gt;823&lt;/codeEdi&gt;&lt;/cellule&gt;</v>
      </c>
    </row>
    <row r="3044" spans="1:1" x14ac:dyDescent="0.2">
      <c r="A3044" s="996" t="str">
        <f>CONCATENATE(Programme!D3045,Programme!E3045,Programme!F3045,Programme!G3045,Programme!H3045,Programme!I3045,Programme!J3045)</f>
        <v>&lt;valeur&gt;0&lt;/valeur&gt;</v>
      </c>
    </row>
    <row r="3045" spans="1:1" x14ac:dyDescent="0.2">
      <c r="A3045" s="996" t="str">
        <f>CONCATENATE(Programme!D3046,Programme!E3046,Programme!F3046,Programme!G3046,Programme!H3046,Programme!I3046,Programme!J3046)</f>
        <v>&lt;numeroLigne&gt;1&lt;/numeroLigne&gt;</v>
      </c>
    </row>
    <row r="3046" spans="1:1" x14ac:dyDescent="0.2">
      <c r="A3046" s="996" t="str">
        <f>CONCATENATE(Programme!D3047,Programme!E3047,Programme!F3047,Programme!G3047,Programme!H3047,Programme!I3047,Programme!J3047)</f>
        <v>&lt;/ValeurCellule&gt;</v>
      </c>
    </row>
    <row r="3047" spans="1:1" x14ac:dyDescent="0.2">
      <c r="A3047" s="996" t="str">
        <f>CONCATENATE(Programme!D3048,Programme!E3048,Programme!F3048,Programme!G3048,Programme!H3048,Programme!I3048,Programme!J3048)</f>
        <v>&lt;ValeurCellule&gt;</v>
      </c>
    </row>
    <row r="3048" spans="1:1" x14ac:dyDescent="0.2">
      <c r="A3048" s="996" t="str">
        <f>CONCATENATE(Programme!D3049,Programme!E3049,Programme!F3049,Programme!G3049,Programme!H3049,Programme!I3049,Programme!J3049)</f>
        <v>&lt;cellule&gt;&lt;codeEdi&gt;821&lt;/codeEdi&gt;&lt;/cellule&gt;</v>
      </c>
    </row>
    <row r="3049" spans="1:1" x14ac:dyDescent="0.2">
      <c r="A3049" s="996" t="str">
        <f>CONCATENATE(Programme!D3050,Programme!E3050,Programme!F3050,Programme!G3050,Programme!H3050,Programme!I3050,Programme!J3050)</f>
        <v>&lt;valeur&gt;&lt;/valeur&gt;</v>
      </c>
    </row>
    <row r="3050" spans="1:1" x14ac:dyDescent="0.2">
      <c r="A3050" s="996" t="str">
        <f>CONCATENATE(Programme!D3051,Programme!E3051,Programme!F3051,Programme!G3051,Programme!H3051,Programme!I3051,Programme!J3051)</f>
        <v>&lt;numeroLigne&gt;2&lt;/numeroLigne&gt;</v>
      </c>
    </row>
    <row r="3051" spans="1:1" x14ac:dyDescent="0.2">
      <c r="A3051" s="996" t="str">
        <f>CONCATENATE(Programme!D3052,Programme!E3052,Programme!F3052,Programme!G3052,Programme!H3052,Programme!I3052,Programme!J3052)</f>
        <v>&lt;/ValeurCellule&gt;</v>
      </c>
    </row>
    <row r="3052" spans="1:1" x14ac:dyDescent="0.2">
      <c r="A3052" s="996" t="str">
        <f>CONCATENATE(Programme!D3053,Programme!E3053,Programme!F3053,Programme!G3053,Programme!H3053,Programme!I3053,Programme!J3053)</f>
        <v>&lt;ValeurCellule&gt;</v>
      </c>
    </row>
    <row r="3053" spans="1:1" x14ac:dyDescent="0.2">
      <c r="A3053" s="996" t="str">
        <f>CONCATENATE(Programme!D3054,Programme!E3054,Programme!F3054,Programme!G3054,Programme!H3054,Programme!I3054,Programme!J3054)</f>
        <v>&lt;cellule&gt;&lt;codeEdi&gt;822&lt;/codeEdi&gt;&lt;/cellule&gt;</v>
      </c>
    </row>
    <row r="3054" spans="1:1" x14ac:dyDescent="0.2">
      <c r="A3054" s="996" t="str">
        <f>CONCATENATE(Programme!D3055,Programme!E3055,Programme!F3055,Programme!G3055,Programme!H3055,Programme!I3055,Programme!J3055)</f>
        <v>&lt;valeur&gt;&lt;/valeur&gt;</v>
      </c>
    </row>
    <row r="3055" spans="1:1" x14ac:dyDescent="0.2">
      <c r="A3055" s="996" t="str">
        <f>CONCATENATE(Programme!D3056,Programme!E3056,Programme!F3056,Programme!G3056,Programme!H3056,Programme!I3056,Programme!J3056)</f>
        <v>&lt;numeroLigne&gt;2&lt;/numeroLigne&gt;</v>
      </c>
    </row>
    <row r="3056" spans="1:1" x14ac:dyDescent="0.2">
      <c r="A3056" s="996" t="str">
        <f>CONCATENATE(Programme!D3057,Programme!E3057,Programme!F3057,Programme!G3057,Programme!H3057,Programme!I3057,Programme!J3057)</f>
        <v>&lt;/ValeurCellule&gt;</v>
      </c>
    </row>
    <row r="3057" spans="1:1" x14ac:dyDescent="0.2">
      <c r="A3057" s="996" t="str">
        <f>CONCATENATE(Programme!D3058,Programme!E3058,Programme!F3058,Programme!G3058,Programme!H3058,Programme!I3058,Programme!J3058)</f>
        <v>&lt;ValeurCellule&gt;</v>
      </c>
    </row>
    <row r="3058" spans="1:1" x14ac:dyDescent="0.2">
      <c r="A3058" s="996" t="str">
        <f>CONCATENATE(Programme!D3059,Programme!E3059,Programme!F3059,Programme!G3059,Programme!H3059,Programme!I3059,Programme!J3059)</f>
        <v>&lt;cellule&gt;&lt;codeEdi&gt;823&lt;/codeEdi&gt;&lt;/cellule&gt;</v>
      </c>
    </row>
    <row r="3059" spans="1:1" x14ac:dyDescent="0.2">
      <c r="A3059" s="996" t="str">
        <f>CONCATENATE(Programme!D3060,Programme!E3060,Programme!F3060,Programme!G3060,Programme!H3060,Programme!I3060,Programme!J3060)</f>
        <v>&lt;valeur&gt;0&lt;/valeur&gt;</v>
      </c>
    </row>
    <row r="3060" spans="1:1" x14ac:dyDescent="0.2">
      <c r="A3060" s="996" t="str">
        <f>CONCATENATE(Programme!D3061,Programme!E3061,Programme!F3061,Programme!G3061,Programme!H3061,Programme!I3061,Programme!J3061)</f>
        <v>&lt;numeroLigne&gt;2&lt;/numeroLigne&gt;</v>
      </c>
    </row>
    <row r="3061" spans="1:1" x14ac:dyDescent="0.2">
      <c r="A3061" s="996" t="str">
        <f>CONCATENATE(Programme!D3062,Programme!E3062,Programme!F3062,Programme!G3062,Programme!H3062,Programme!I3062,Programme!J3062)</f>
        <v>&lt;/ValeurCellule&gt;</v>
      </c>
    </row>
    <row r="3062" spans="1:1" x14ac:dyDescent="0.2">
      <c r="A3062" s="996" t="str">
        <f>CONCATENATE(Programme!D3063,Programme!E3063,Programme!F3063,Programme!G3063,Programme!H3063,Programme!I3063,Programme!J3063)</f>
        <v>&lt;ValeurCellule&gt;</v>
      </c>
    </row>
    <row r="3063" spans="1:1" x14ac:dyDescent="0.2">
      <c r="A3063" s="996" t="str">
        <f>CONCATENATE(Programme!D3064,Programme!E3064,Programme!F3064,Programme!G3064,Programme!H3064,Programme!I3064,Programme!J3064)</f>
        <v>&lt;cellule&gt;&lt;codeEdi&gt;821&lt;/codeEdi&gt;&lt;/cellule&gt;</v>
      </c>
    </row>
    <row r="3064" spans="1:1" x14ac:dyDescent="0.2">
      <c r="A3064" s="996" t="str">
        <f>CONCATENATE(Programme!D3065,Programme!E3065,Programme!F3065,Programme!G3065,Programme!H3065,Programme!I3065,Programme!J3065)</f>
        <v>&lt;valeur&gt;&lt;/valeur&gt;</v>
      </c>
    </row>
    <row r="3065" spans="1:1" x14ac:dyDescent="0.2">
      <c r="A3065" s="996" t="str">
        <f>CONCATENATE(Programme!D3066,Programme!E3066,Programme!F3066,Programme!G3066,Programme!H3066,Programme!I3066,Programme!J3066)</f>
        <v>&lt;numeroLigne&gt;3&lt;/numeroLigne&gt;</v>
      </c>
    </row>
    <row r="3066" spans="1:1" x14ac:dyDescent="0.2">
      <c r="A3066" s="996" t="str">
        <f>CONCATENATE(Programme!D3067,Programme!E3067,Programme!F3067,Programme!G3067,Programme!H3067,Programme!I3067,Programme!J3067)</f>
        <v>&lt;/ValeurCellule&gt;</v>
      </c>
    </row>
    <row r="3067" spans="1:1" x14ac:dyDescent="0.2">
      <c r="A3067" s="996" t="str">
        <f>CONCATENATE(Programme!D3068,Programme!E3068,Programme!F3068,Programme!G3068,Programme!H3068,Programme!I3068,Programme!J3068)</f>
        <v>&lt;ValeurCellule&gt;</v>
      </c>
    </row>
    <row r="3068" spans="1:1" x14ac:dyDescent="0.2">
      <c r="A3068" s="996" t="str">
        <f>CONCATENATE(Programme!D3069,Programme!E3069,Programme!F3069,Programme!G3069,Programme!H3069,Programme!I3069,Programme!J3069)</f>
        <v>&lt;cellule&gt;&lt;codeEdi&gt;822&lt;/codeEdi&gt;&lt;/cellule&gt;</v>
      </c>
    </row>
    <row r="3069" spans="1:1" x14ac:dyDescent="0.2">
      <c r="A3069" s="996" t="str">
        <f>CONCATENATE(Programme!D3070,Programme!E3070,Programme!F3070,Programme!G3070,Programme!H3070,Programme!I3070,Programme!J3070)</f>
        <v>&lt;valeur&gt;0&lt;/valeur&gt;</v>
      </c>
    </row>
    <row r="3070" spans="1:1" x14ac:dyDescent="0.2">
      <c r="A3070" s="996" t="str">
        <f>CONCATENATE(Programme!D3071,Programme!E3071,Programme!F3071,Programme!G3071,Programme!H3071,Programme!I3071,Programme!J3071)</f>
        <v>&lt;numeroLigne&gt;3&lt;/numeroLigne&gt;</v>
      </c>
    </row>
    <row r="3071" spans="1:1" x14ac:dyDescent="0.2">
      <c r="A3071" s="996" t="str">
        <f>CONCATENATE(Programme!D3072,Programme!E3072,Programme!F3072,Programme!G3072,Programme!H3072,Programme!I3072,Programme!J3072)</f>
        <v>&lt;/ValeurCellule&gt;</v>
      </c>
    </row>
    <row r="3072" spans="1:1" x14ac:dyDescent="0.2">
      <c r="A3072" s="996" t="str">
        <f>CONCATENATE(Programme!D3073,Programme!E3073,Programme!F3073,Programme!G3073,Programme!H3073,Programme!I3073,Programme!J3073)</f>
        <v>&lt;ValeurCellule&gt;</v>
      </c>
    </row>
    <row r="3073" spans="1:1" x14ac:dyDescent="0.2">
      <c r="A3073" s="996" t="str">
        <f>CONCATENATE(Programme!D3074,Programme!E3074,Programme!F3074,Programme!G3074,Programme!H3074,Programme!I3074,Programme!J3074)</f>
        <v>&lt;cellule&gt;&lt;codeEdi&gt;823&lt;/codeEdi&gt;&lt;/cellule&gt;</v>
      </c>
    </row>
    <row r="3074" spans="1:1" x14ac:dyDescent="0.2">
      <c r="A3074" s="996" t="str">
        <f>CONCATENATE(Programme!D3075,Programme!E3075,Programme!F3075,Programme!G3075,Programme!H3075,Programme!I3075,Programme!J3075)</f>
        <v>&lt;valeur&gt;0&lt;/valeur&gt;</v>
      </c>
    </row>
    <row r="3075" spans="1:1" x14ac:dyDescent="0.2">
      <c r="A3075" s="996" t="str">
        <f>CONCATENATE(Programme!D3076,Programme!E3076,Programme!F3076,Programme!G3076,Programme!H3076,Programme!I3076,Programme!J3076)</f>
        <v>&lt;numeroLigne&gt;3&lt;/numeroLigne&gt;</v>
      </c>
    </row>
    <row r="3076" spans="1:1" x14ac:dyDescent="0.2">
      <c r="A3076" s="996" t="str">
        <f>CONCATENATE(Programme!D3077,Programme!E3077,Programme!F3077,Programme!G3077,Programme!H3077,Programme!I3077,Programme!J3077)</f>
        <v>&lt;/ValeurCellule&gt;</v>
      </c>
    </row>
    <row r="3077" spans="1:1" x14ac:dyDescent="0.2">
      <c r="A3077" s="996" t="str">
        <f>CONCATENATE(Programme!D3078,Programme!E3078,Programme!F3078,Programme!G3078,Programme!H3078,Programme!I3078,Programme!J3078)</f>
        <v>&lt;ValeurCellule&gt;</v>
      </c>
    </row>
    <row r="3078" spans="1:1" x14ac:dyDescent="0.2">
      <c r="A3078" s="996" t="str">
        <f>CONCATENATE(Programme!D3079,Programme!E3079,Programme!F3079,Programme!G3079,Programme!H3079,Programme!I3079,Programme!J3079)</f>
        <v>&lt;cellule&gt;&lt;codeEdi&gt;821&lt;/codeEdi&gt;&lt;/cellule&gt;</v>
      </c>
    </row>
    <row r="3079" spans="1:1" x14ac:dyDescent="0.2">
      <c r="A3079" s="996" t="str">
        <f>CONCATENATE(Programme!D3080,Programme!E3080,Programme!F3080,Programme!G3080,Programme!H3080,Programme!I3080,Programme!J3080)</f>
        <v>&lt;valeur&gt;&lt;/valeur&gt;</v>
      </c>
    </row>
    <row r="3080" spans="1:1" x14ac:dyDescent="0.2">
      <c r="A3080" s="996" t="str">
        <f>CONCATENATE(Programme!D3081,Programme!E3081,Programme!F3081,Programme!G3081,Programme!H3081,Programme!I3081,Programme!J3081)</f>
        <v>&lt;numeroLigne&gt;4&lt;/numeroLigne&gt;</v>
      </c>
    </row>
    <row r="3081" spans="1:1" x14ac:dyDescent="0.2">
      <c r="A3081" s="996" t="str">
        <f>CONCATENATE(Programme!D3082,Programme!E3082,Programme!F3082,Programme!G3082,Programme!H3082,Programme!I3082,Programme!J3082)</f>
        <v>&lt;/ValeurCellule&gt;</v>
      </c>
    </row>
    <row r="3082" spans="1:1" x14ac:dyDescent="0.2">
      <c r="A3082" s="996" t="str">
        <f>CONCATENATE(Programme!D3083,Programme!E3083,Programme!F3083,Programme!G3083,Programme!H3083,Programme!I3083,Programme!J3083)</f>
        <v>&lt;ValeurCellule&gt;</v>
      </c>
    </row>
    <row r="3083" spans="1:1" x14ac:dyDescent="0.2">
      <c r="A3083" s="996" t="str">
        <f>CONCATENATE(Programme!D3084,Programme!E3084,Programme!F3084,Programme!G3084,Programme!H3084,Programme!I3084,Programme!J3084)</f>
        <v>&lt;cellule&gt;&lt;codeEdi&gt;822&lt;/codeEdi&gt;&lt;/cellule&gt;</v>
      </c>
    </row>
    <row r="3084" spans="1:1" x14ac:dyDescent="0.2">
      <c r="A3084" s="996" t="str">
        <f>CONCATENATE(Programme!D3085,Programme!E3085,Programme!F3085,Programme!G3085,Programme!H3085,Programme!I3085,Programme!J3085)</f>
        <v>&lt;valeur&gt;0&lt;/valeur&gt;</v>
      </c>
    </row>
    <row r="3085" spans="1:1" x14ac:dyDescent="0.2">
      <c r="A3085" s="996" t="str">
        <f>CONCATENATE(Programme!D3086,Programme!E3086,Programme!F3086,Programme!G3086,Programme!H3086,Programme!I3086,Programme!J3086)</f>
        <v>&lt;numeroLigne&gt;4&lt;/numeroLigne&gt;</v>
      </c>
    </row>
    <row r="3086" spans="1:1" x14ac:dyDescent="0.2">
      <c r="A3086" s="996" t="str">
        <f>CONCATENATE(Programme!D3087,Programme!E3087,Programme!F3087,Programme!G3087,Programme!H3087,Programme!I3087,Programme!J3087)</f>
        <v>&lt;/ValeurCellule&gt;</v>
      </c>
    </row>
    <row r="3087" spans="1:1" x14ac:dyDescent="0.2">
      <c r="A3087" s="996" t="str">
        <f>CONCATENATE(Programme!D3088,Programme!E3088,Programme!F3088,Programme!G3088,Programme!H3088,Programme!I3088,Programme!J3088)</f>
        <v>&lt;ValeurCellule&gt;</v>
      </c>
    </row>
    <row r="3088" spans="1:1" x14ac:dyDescent="0.2">
      <c r="A3088" s="996" t="str">
        <f>CONCATENATE(Programme!D3089,Programme!E3089,Programme!F3089,Programme!G3089,Programme!H3089,Programme!I3089,Programme!J3089)</f>
        <v>&lt;cellule&gt;&lt;codeEdi&gt;823&lt;/codeEdi&gt;&lt;/cellule&gt;</v>
      </c>
    </row>
    <row r="3089" spans="1:1" x14ac:dyDescent="0.2">
      <c r="A3089" s="996" t="str">
        <f>CONCATENATE(Programme!D3090,Programme!E3090,Programme!F3090,Programme!G3090,Programme!H3090,Programme!I3090,Programme!J3090)</f>
        <v>&lt;valeur&gt;0&lt;/valeur&gt;</v>
      </c>
    </row>
    <row r="3090" spans="1:1" x14ac:dyDescent="0.2">
      <c r="A3090" s="996" t="str">
        <f>CONCATENATE(Programme!D3091,Programme!E3091,Programme!F3091,Programme!G3091,Programme!H3091,Programme!I3091,Programme!J3091)</f>
        <v>&lt;numeroLigne&gt;4&lt;/numeroLigne&gt;</v>
      </c>
    </row>
    <row r="3091" spans="1:1" x14ac:dyDescent="0.2">
      <c r="A3091" s="996" t="str">
        <f>CONCATENATE(Programme!D3092,Programme!E3092,Programme!F3092,Programme!G3092,Programme!H3092,Programme!I3092,Programme!J3092)</f>
        <v>&lt;/ValeurCellule&gt;</v>
      </c>
    </row>
    <row r="3092" spans="1:1" x14ac:dyDescent="0.2">
      <c r="A3092" s="996" t="str">
        <f>CONCATENATE(Programme!D3093,Programme!E3093,Programme!F3093,Programme!G3093,Programme!H3093,Programme!I3093,Programme!J3093)</f>
        <v>&lt;ValeurCellule&gt;</v>
      </c>
    </row>
    <row r="3093" spans="1:1" x14ac:dyDescent="0.2">
      <c r="A3093" s="996" t="str">
        <f>CONCATENATE(Programme!D3094,Programme!E3094,Programme!F3094,Programme!G3094,Programme!H3094,Programme!I3094,Programme!J3094)</f>
        <v>&lt;cellule&gt;&lt;codeEdi&gt;821&lt;/codeEdi&gt;&lt;/cellule&gt;</v>
      </c>
    </row>
    <row r="3094" spans="1:1" x14ac:dyDescent="0.2">
      <c r="A3094" s="996" t="str">
        <f>CONCATENATE(Programme!D3095,Programme!E3095,Programme!F3095,Programme!G3095,Programme!H3095,Programme!I3095,Programme!J3095)</f>
        <v>&lt;valeur&gt;&lt;/valeur&gt;</v>
      </c>
    </row>
    <row r="3095" spans="1:1" x14ac:dyDescent="0.2">
      <c r="A3095" s="996" t="str">
        <f>CONCATENATE(Programme!D3096,Programme!E3096,Programme!F3096,Programme!G3096,Programme!H3096,Programme!I3096,Programme!J3096)</f>
        <v>&lt;numeroLigne&gt;5&lt;/numeroLigne&gt;</v>
      </c>
    </row>
    <row r="3096" spans="1:1" x14ac:dyDescent="0.2">
      <c r="A3096" s="996" t="str">
        <f>CONCATENATE(Programme!D3097,Programme!E3097,Programme!F3097,Programme!G3097,Programme!H3097,Programme!I3097,Programme!J3097)</f>
        <v>&lt;/ValeurCellule&gt;</v>
      </c>
    </row>
    <row r="3097" spans="1:1" x14ac:dyDescent="0.2">
      <c r="A3097" s="996" t="str">
        <f>CONCATENATE(Programme!D3098,Programme!E3098,Programme!F3098,Programme!G3098,Programme!H3098,Programme!I3098,Programme!J3098)</f>
        <v>&lt;ValeurCellule&gt;</v>
      </c>
    </row>
    <row r="3098" spans="1:1" x14ac:dyDescent="0.2">
      <c r="A3098" s="996" t="str">
        <f>CONCATENATE(Programme!D3099,Programme!E3099,Programme!F3099,Programme!G3099,Programme!H3099,Programme!I3099,Programme!J3099)</f>
        <v>&lt;cellule&gt;&lt;codeEdi&gt;822&lt;/codeEdi&gt;&lt;/cellule&gt;</v>
      </c>
    </row>
    <row r="3099" spans="1:1" x14ac:dyDescent="0.2">
      <c r="A3099" s="996" t="str">
        <f>CONCATENATE(Programme!D3100,Programme!E3100,Programme!F3100,Programme!G3100,Programme!H3100,Programme!I3100,Programme!J3100)</f>
        <v>&lt;valeur&gt;0&lt;/valeur&gt;</v>
      </c>
    </row>
    <row r="3100" spans="1:1" x14ac:dyDescent="0.2">
      <c r="A3100" s="996" t="str">
        <f>CONCATENATE(Programme!D3101,Programme!E3101,Programme!F3101,Programme!G3101,Programme!H3101,Programme!I3101,Programme!J3101)</f>
        <v>&lt;numeroLigne&gt;5&lt;/numeroLigne&gt;</v>
      </c>
    </row>
    <row r="3101" spans="1:1" x14ac:dyDescent="0.2">
      <c r="A3101" s="996" t="str">
        <f>CONCATENATE(Programme!D3102,Programme!E3102,Programme!F3102,Programme!G3102,Programme!H3102,Programme!I3102,Programme!J3102)</f>
        <v>&lt;/ValeurCellule&gt;</v>
      </c>
    </row>
    <row r="3102" spans="1:1" x14ac:dyDescent="0.2">
      <c r="A3102" s="996" t="str">
        <f>CONCATENATE(Programme!D3103,Programme!E3103,Programme!F3103,Programme!G3103,Programme!H3103,Programme!I3103,Programme!J3103)</f>
        <v>&lt;ValeurCellule&gt;</v>
      </c>
    </row>
    <row r="3103" spans="1:1" x14ac:dyDescent="0.2">
      <c r="A3103" s="996" t="str">
        <f>CONCATENATE(Programme!D3104,Programme!E3104,Programme!F3104,Programme!G3104,Programme!H3104,Programme!I3104,Programme!J3104)</f>
        <v>&lt;cellule&gt;&lt;codeEdi&gt;823&lt;/codeEdi&gt;&lt;/cellule&gt;</v>
      </c>
    </row>
    <row r="3104" spans="1:1" x14ac:dyDescent="0.2">
      <c r="A3104" s="996" t="str">
        <f>CONCATENATE(Programme!D3105,Programme!E3105,Programme!F3105,Programme!G3105,Programme!H3105,Programme!I3105,Programme!J3105)</f>
        <v>&lt;valeur&gt;0&lt;/valeur&gt;</v>
      </c>
    </row>
    <row r="3105" spans="1:1" x14ac:dyDescent="0.2">
      <c r="A3105" s="996" t="str">
        <f>CONCATENATE(Programme!D3106,Programme!E3106,Programme!F3106,Programme!G3106,Programme!H3106,Programme!I3106,Programme!J3106)</f>
        <v>&lt;numeroLigne&gt;5&lt;/numeroLigne&gt;</v>
      </c>
    </row>
    <row r="3106" spans="1:1" x14ac:dyDescent="0.2">
      <c r="A3106" s="996" t="str">
        <f>CONCATENATE(Programme!D3107,Programme!E3107,Programme!F3107,Programme!G3107,Programme!H3107,Programme!I3107,Programme!J3107)</f>
        <v>&lt;/ValeurCellule&gt;</v>
      </c>
    </row>
    <row r="3107" spans="1:1" x14ac:dyDescent="0.2">
      <c r="A3107" s="996" t="str">
        <f>CONCATENATE(Programme!D3108,Programme!E3108,Programme!F3108,Programme!G3108,Programme!H3108,Programme!I3108,Programme!J3108)</f>
        <v>&lt;ValeurCellule&gt;</v>
      </c>
    </row>
    <row r="3108" spans="1:1" x14ac:dyDescent="0.2">
      <c r="A3108" s="996" t="str">
        <f>CONCATENATE(Programme!D3109,Programme!E3109,Programme!F3109,Programme!G3109,Programme!H3109,Programme!I3109,Programme!J3109)</f>
        <v>&lt;cellule&gt;&lt;codeEdi&gt;821&lt;/codeEdi&gt;&lt;/cellule&gt;</v>
      </c>
    </row>
    <row r="3109" spans="1:1" x14ac:dyDescent="0.2">
      <c r="A3109" s="996" t="str">
        <f>CONCATENATE(Programme!D3110,Programme!E3110,Programme!F3110,Programme!G3110,Programme!H3110,Programme!I3110,Programme!J3110)</f>
        <v>&lt;valeur&gt;&lt;/valeur&gt;</v>
      </c>
    </row>
    <row r="3110" spans="1:1" x14ac:dyDescent="0.2">
      <c r="A3110" s="996" t="str">
        <f>CONCATENATE(Programme!D3111,Programme!E3111,Programme!F3111,Programme!G3111,Programme!H3111,Programme!I3111,Programme!J3111)</f>
        <v>&lt;numeroLigne&gt;6&lt;/numeroLigne&gt;</v>
      </c>
    </row>
    <row r="3111" spans="1:1" x14ac:dyDescent="0.2">
      <c r="A3111" s="996" t="str">
        <f>CONCATENATE(Programme!D3112,Programme!E3112,Programme!F3112,Programme!G3112,Programme!H3112,Programme!I3112,Programme!J3112)</f>
        <v>&lt;/ValeurCellule&gt;</v>
      </c>
    </row>
    <row r="3112" spans="1:1" x14ac:dyDescent="0.2">
      <c r="A3112" s="996" t="str">
        <f>CONCATENATE(Programme!D3113,Programme!E3113,Programme!F3113,Programme!G3113,Programme!H3113,Programme!I3113,Programme!J3113)</f>
        <v>&lt;ValeurCellule&gt;</v>
      </c>
    </row>
    <row r="3113" spans="1:1" x14ac:dyDescent="0.2">
      <c r="A3113" s="996" t="str">
        <f>CONCATENATE(Programme!D3114,Programme!E3114,Programme!F3114,Programme!G3114,Programme!H3114,Programme!I3114,Programme!J3114)</f>
        <v>&lt;cellule&gt;&lt;codeEdi&gt;822&lt;/codeEdi&gt;&lt;/cellule&gt;</v>
      </c>
    </row>
    <row r="3114" spans="1:1" x14ac:dyDescent="0.2">
      <c r="A3114" s="996" t="str">
        <f>CONCATENATE(Programme!D3115,Programme!E3115,Programme!F3115,Programme!G3115,Programme!H3115,Programme!I3115,Programme!J3115)</f>
        <v>&lt;valeur&gt;0&lt;/valeur&gt;</v>
      </c>
    </row>
    <row r="3115" spans="1:1" x14ac:dyDescent="0.2">
      <c r="A3115" s="996" t="str">
        <f>CONCATENATE(Programme!D3116,Programme!E3116,Programme!F3116,Programme!G3116,Programme!H3116,Programme!I3116,Programme!J3116)</f>
        <v>&lt;numeroLigne&gt;6&lt;/numeroLigne&gt;</v>
      </c>
    </row>
    <row r="3116" spans="1:1" x14ac:dyDescent="0.2">
      <c r="A3116" s="996" t="str">
        <f>CONCATENATE(Programme!D3117,Programme!E3117,Programme!F3117,Programme!G3117,Programme!H3117,Programme!I3117,Programme!J3117)</f>
        <v>&lt;/ValeurCellule&gt;</v>
      </c>
    </row>
    <row r="3117" spans="1:1" x14ac:dyDescent="0.2">
      <c r="A3117" s="996" t="str">
        <f>CONCATENATE(Programme!D3118,Programme!E3118,Programme!F3118,Programme!G3118,Programme!H3118,Programme!I3118,Programme!J3118)</f>
        <v>&lt;ValeurCellule&gt;</v>
      </c>
    </row>
    <row r="3118" spans="1:1" x14ac:dyDescent="0.2">
      <c r="A3118" s="996" t="str">
        <f>CONCATENATE(Programme!D3119,Programme!E3119,Programme!F3119,Programme!G3119,Programme!H3119,Programme!I3119,Programme!J3119)</f>
        <v>&lt;cellule&gt;&lt;codeEdi&gt;823&lt;/codeEdi&gt;&lt;/cellule&gt;</v>
      </c>
    </row>
    <row r="3119" spans="1:1" x14ac:dyDescent="0.2">
      <c r="A3119" s="996" t="str">
        <f>CONCATENATE(Programme!D3120,Programme!E3120,Programme!F3120,Programme!G3120,Programme!H3120,Programme!I3120,Programme!J3120)</f>
        <v>&lt;valeur&gt;0&lt;/valeur&gt;</v>
      </c>
    </row>
    <row r="3120" spans="1:1" x14ac:dyDescent="0.2">
      <c r="A3120" s="996" t="str">
        <f>CONCATENATE(Programme!D3121,Programme!E3121,Programme!F3121,Programme!G3121,Programme!H3121,Programme!I3121,Programme!J3121)</f>
        <v>&lt;numeroLigne&gt;6&lt;/numeroLigne&gt;</v>
      </c>
    </row>
    <row r="3121" spans="1:1" x14ac:dyDescent="0.2">
      <c r="A3121" s="996" t="str">
        <f>CONCATENATE(Programme!D3122,Programme!E3122,Programme!F3122,Programme!G3122,Programme!H3122,Programme!I3122,Programme!J3122)</f>
        <v>&lt;/ValeurCellule&gt;</v>
      </c>
    </row>
    <row r="3122" spans="1:1" x14ac:dyDescent="0.2">
      <c r="A3122" s="996" t="str">
        <f>CONCATENATE(Programme!D3123,Programme!E3123,Programme!F3123,Programme!G3123,Programme!H3123,Programme!I3123,Programme!J3123)</f>
        <v>&lt;ValeurCellule&gt;</v>
      </c>
    </row>
    <row r="3123" spans="1:1" x14ac:dyDescent="0.2">
      <c r="A3123" s="996" t="str">
        <f>CONCATENATE(Programme!D3124,Programme!E3124,Programme!F3124,Programme!G3124,Programme!H3124,Programme!I3124,Programme!J3124)</f>
        <v>&lt;cellule&gt;&lt;codeEdi&gt;824&lt;/codeEdi&gt;&lt;/cellule&gt;</v>
      </c>
    </row>
    <row r="3124" spans="1:1" x14ac:dyDescent="0.2">
      <c r="A3124" s="996" t="str">
        <f>CONCATENATE(Programme!D3125,Programme!E3125,Programme!F3125,Programme!G3125,Programme!H3125,Programme!I3125,Programme!J3125)</f>
        <v>&lt;valeur&gt;Impôt sur les sociétés&lt;/valeur&gt;</v>
      </c>
    </row>
    <row r="3125" spans="1:1" x14ac:dyDescent="0.2">
      <c r="A3125" s="996" t="str">
        <f>CONCATENATE(Programme!D3126,Programme!E3126,Programme!F3126,Programme!G3126,Programme!H3126,Programme!I3126,Programme!J3126)</f>
        <v>&lt;numeroLigne&gt;1&lt;/numeroLigne&gt;</v>
      </c>
    </row>
    <row r="3126" spans="1:1" x14ac:dyDescent="0.2">
      <c r="A3126" s="996" t="str">
        <f>CONCATENATE(Programme!D3127,Programme!E3127,Programme!F3127,Programme!G3127,Programme!H3127,Programme!I3127,Programme!J3127)</f>
        <v>&lt;/ValeurCellule&gt;</v>
      </c>
    </row>
    <row r="3127" spans="1:1" x14ac:dyDescent="0.2">
      <c r="A3127" s="996" t="str">
        <f>CONCATENATE(Programme!D3128,Programme!E3128,Programme!F3128,Programme!G3128,Programme!H3128,Programme!I3128,Programme!J3128)</f>
        <v>&lt;ValeurCellule&gt;</v>
      </c>
    </row>
    <row r="3128" spans="1:1" x14ac:dyDescent="0.2">
      <c r="A3128" s="996" t="str">
        <f>CONCATENATE(Programme!D3129,Programme!E3129,Programme!F3129,Programme!G3129,Programme!H3129,Programme!I3129,Programme!J3129)</f>
        <v>&lt;cellule&gt;&lt;codeEdi&gt;825&lt;/codeEdi&gt;&lt;/cellule&gt;</v>
      </c>
    </row>
    <row r="3129" spans="1:1" x14ac:dyDescent="0.2">
      <c r="A3129" s="996" t="str">
        <f>CONCATENATE(Programme!D3130,Programme!E3130,Programme!F3130,Programme!G3130,Programme!H3130,Programme!I3130,Programme!J3130)</f>
        <v>&lt;valeur&gt;0&lt;/valeur&gt;</v>
      </c>
    </row>
    <row r="3130" spans="1:1" x14ac:dyDescent="0.2">
      <c r="A3130" s="996" t="str">
        <f>CONCATENATE(Programme!D3131,Programme!E3131,Programme!F3131,Programme!G3131,Programme!H3131,Programme!I3131,Programme!J3131)</f>
        <v>&lt;numeroLigne&gt;1&lt;/numeroLigne&gt;</v>
      </c>
    </row>
    <row r="3131" spans="1:1" x14ac:dyDescent="0.2">
      <c r="A3131" s="996" t="str">
        <f>CONCATENATE(Programme!D3132,Programme!E3132,Programme!F3132,Programme!G3132,Programme!H3132,Programme!I3132,Programme!J3132)</f>
        <v>&lt;/ValeurCellule&gt;</v>
      </c>
    </row>
    <row r="3132" spans="1:1" x14ac:dyDescent="0.2">
      <c r="A3132" s="996" t="str">
        <f>CONCATENATE(Programme!D3133,Programme!E3133,Programme!F3133,Programme!G3133,Programme!H3133,Programme!I3133,Programme!J3133)</f>
        <v>&lt;ValeurCellule&gt;</v>
      </c>
    </row>
    <row r="3133" spans="1:1" x14ac:dyDescent="0.2">
      <c r="A3133" s="996" t="str">
        <f>CONCATENATE(Programme!D3134,Programme!E3134,Programme!F3134,Programme!G3134,Programme!H3134,Programme!I3134,Programme!J3134)</f>
        <v>&lt;cellule&gt;&lt;codeEdi&gt;826&lt;/codeEdi&gt;&lt;/cellule&gt;</v>
      </c>
    </row>
    <row r="3134" spans="1:1" x14ac:dyDescent="0.2">
      <c r="A3134" s="996" t="str">
        <f>CONCATENATE(Programme!D3135,Programme!E3135,Programme!F3135,Programme!G3135,Programme!H3135,Programme!I3135,Programme!J3135)</f>
        <v>&lt;valeur&gt;0&lt;/valeur&gt;</v>
      </c>
    </row>
    <row r="3135" spans="1:1" x14ac:dyDescent="0.2">
      <c r="A3135" s="996" t="str">
        <f>CONCATENATE(Programme!D3136,Programme!E3136,Programme!F3136,Programme!G3136,Programme!H3136,Programme!I3136,Programme!J3136)</f>
        <v>&lt;numeroLigne&gt;1&lt;/numeroLigne&gt;</v>
      </c>
    </row>
    <row r="3136" spans="1:1" x14ac:dyDescent="0.2">
      <c r="A3136" s="996" t="str">
        <f>CONCATENATE(Programme!D3137,Programme!E3137,Programme!F3137,Programme!G3137,Programme!H3137,Programme!I3137,Programme!J3137)</f>
        <v>&lt;/ValeurCellule&gt;</v>
      </c>
    </row>
    <row r="3137" spans="1:1" x14ac:dyDescent="0.2">
      <c r="A3137" s="996" t="str">
        <f>CONCATENATE(Programme!D3138,Programme!E3138,Programme!F3138,Programme!G3138,Programme!H3138,Programme!I3138,Programme!J3138)</f>
        <v>&lt;ValeurCellule&gt;</v>
      </c>
    </row>
    <row r="3138" spans="1:1" x14ac:dyDescent="0.2">
      <c r="A3138" s="996" t="str">
        <f>CONCATENATE(Programme!D3139,Programme!E3139,Programme!F3139,Programme!G3139,Programme!H3139,Programme!I3139,Programme!J3139)</f>
        <v>&lt;cellule&gt;&lt;codeEdi&gt;824&lt;/codeEdi&gt;&lt;/cellule&gt;</v>
      </c>
    </row>
    <row r="3139" spans="1:1" x14ac:dyDescent="0.2">
      <c r="A3139" s="996" t="str">
        <f>CONCATENATE(Programme!D3140,Programme!E3140,Programme!F3140,Programme!G3140,Programme!H3140,Programme!I3140,Programme!J3140)</f>
        <v>&lt;valeur&gt;Pénalités&lt;/valeur&gt;</v>
      </c>
    </row>
    <row r="3140" spans="1:1" x14ac:dyDescent="0.2">
      <c r="A3140" s="996" t="str">
        <f>CONCATENATE(Programme!D3141,Programme!E3141,Programme!F3141,Programme!G3141,Programme!H3141,Programme!I3141,Programme!J3141)</f>
        <v>&lt;numeroLigne&gt;2&lt;/numeroLigne&gt;</v>
      </c>
    </row>
    <row r="3141" spans="1:1" x14ac:dyDescent="0.2">
      <c r="A3141" s="996" t="str">
        <f>CONCATENATE(Programme!D3142,Programme!E3142,Programme!F3142,Programme!G3142,Programme!H3142,Programme!I3142,Programme!J3142)</f>
        <v>&lt;/ValeurCellule&gt;</v>
      </c>
    </row>
    <row r="3142" spans="1:1" x14ac:dyDescent="0.2">
      <c r="A3142" s="996" t="str">
        <f>CONCATENATE(Programme!D3143,Programme!E3143,Programme!F3143,Programme!G3143,Programme!H3143,Programme!I3143,Programme!J3143)</f>
        <v>&lt;ValeurCellule&gt;</v>
      </c>
    </row>
    <row r="3143" spans="1:1" x14ac:dyDescent="0.2">
      <c r="A3143" s="996" t="str">
        <f>CONCATENATE(Programme!D3144,Programme!E3144,Programme!F3144,Programme!G3144,Programme!H3144,Programme!I3144,Programme!J3144)</f>
        <v>&lt;cellule&gt;&lt;codeEdi&gt;825&lt;/codeEdi&gt;&lt;/cellule&gt;</v>
      </c>
    </row>
    <row r="3144" spans="1:1" x14ac:dyDescent="0.2">
      <c r="A3144" s="996" t="str">
        <f>CONCATENATE(Programme!D3145,Programme!E3145,Programme!F3145,Programme!G3145,Programme!H3145,Programme!I3145,Programme!J3145)</f>
        <v>&lt;valeur&gt;&lt;/valeur&gt;</v>
      </c>
    </row>
    <row r="3145" spans="1:1" x14ac:dyDescent="0.2">
      <c r="A3145" s="996" t="str">
        <f>CONCATENATE(Programme!D3146,Programme!E3146,Programme!F3146,Programme!G3146,Programme!H3146,Programme!I3146,Programme!J3146)</f>
        <v>&lt;numeroLigne&gt;2&lt;/numeroLigne&gt;</v>
      </c>
    </row>
    <row r="3146" spans="1:1" x14ac:dyDescent="0.2">
      <c r="A3146" s="996" t="str">
        <f>CONCATENATE(Programme!D3147,Programme!E3147,Programme!F3147,Programme!G3147,Programme!H3147,Programme!I3147,Programme!J3147)</f>
        <v>&lt;/ValeurCellule&gt;</v>
      </c>
    </row>
    <row r="3147" spans="1:1" x14ac:dyDescent="0.2">
      <c r="A3147" s="996" t="str">
        <f>CONCATENATE(Programme!D3148,Programme!E3148,Programme!F3148,Programme!G3148,Programme!H3148,Programme!I3148,Programme!J3148)</f>
        <v>&lt;ValeurCellule&gt;</v>
      </c>
    </row>
    <row r="3148" spans="1:1" x14ac:dyDescent="0.2">
      <c r="A3148" s="996" t="str">
        <f>CONCATENATE(Programme!D3149,Programme!E3149,Programme!F3149,Programme!G3149,Programme!H3149,Programme!I3149,Programme!J3149)</f>
        <v>&lt;cellule&gt;&lt;codeEdi&gt;826&lt;/codeEdi&gt;&lt;/cellule&gt;</v>
      </c>
    </row>
    <row r="3149" spans="1:1" x14ac:dyDescent="0.2">
      <c r="A3149" s="996" t="str">
        <f>CONCATENATE(Programme!D3150,Programme!E3150,Programme!F3150,Programme!G3150,Programme!H3150,Programme!I3150,Programme!J3150)</f>
        <v>&lt;valeur&gt;0&lt;/valeur&gt;</v>
      </c>
    </row>
    <row r="3150" spans="1:1" x14ac:dyDescent="0.2">
      <c r="A3150" s="996" t="str">
        <f>CONCATENATE(Programme!D3151,Programme!E3151,Programme!F3151,Programme!G3151,Programme!H3151,Programme!I3151,Programme!J3151)</f>
        <v>&lt;numeroLigne&gt;2&lt;/numeroLigne&gt;</v>
      </c>
    </row>
    <row r="3151" spans="1:1" x14ac:dyDescent="0.2">
      <c r="A3151" s="996" t="str">
        <f>CONCATENATE(Programme!D3152,Programme!E3152,Programme!F3152,Programme!G3152,Programme!H3152,Programme!I3152,Programme!J3152)</f>
        <v>&lt;/ValeurCellule&gt;</v>
      </c>
    </row>
    <row r="3152" spans="1:1" x14ac:dyDescent="0.2">
      <c r="A3152" s="996" t="str">
        <f>CONCATENATE(Programme!D3153,Programme!E3153,Programme!F3153,Programme!G3153,Programme!H3153,Programme!I3153,Programme!J3153)</f>
        <v>&lt;ValeurCellule&gt;</v>
      </c>
    </row>
    <row r="3153" spans="1:1" x14ac:dyDescent="0.2">
      <c r="A3153" s="996" t="str">
        <f>CONCATENATE(Programme!D3154,Programme!E3154,Programme!F3154,Programme!G3154,Programme!H3154,Programme!I3154,Programme!J3154)</f>
        <v>&lt;cellule&gt;&lt;codeEdi&gt;824&lt;/codeEdi&gt;&lt;/cellule&gt;</v>
      </c>
    </row>
    <row r="3154" spans="1:1" x14ac:dyDescent="0.2">
      <c r="A3154" s="996" t="str">
        <f>CONCATENATE(Programme!D3155,Programme!E3155,Programme!F3155,Programme!G3155,Programme!H3155,Programme!I3155,Programme!J3155)</f>
        <v>&lt;valeur&gt;Autres charges non courantes&lt;/valeur&gt;</v>
      </c>
    </row>
    <row r="3155" spans="1:1" x14ac:dyDescent="0.2">
      <c r="A3155" s="996" t="str">
        <f>CONCATENATE(Programme!D3156,Programme!E3156,Programme!F3156,Programme!G3156,Programme!H3156,Programme!I3156,Programme!J3156)</f>
        <v>&lt;numeroLigne&gt;3&lt;/numeroLigne&gt;</v>
      </c>
    </row>
    <row r="3156" spans="1:1" x14ac:dyDescent="0.2">
      <c r="A3156" s="996" t="str">
        <f>CONCATENATE(Programme!D3157,Programme!E3157,Programme!F3157,Programme!G3157,Programme!H3157,Programme!I3157,Programme!J3157)</f>
        <v>&lt;/ValeurCellule&gt;</v>
      </c>
    </row>
    <row r="3157" spans="1:1" x14ac:dyDescent="0.2">
      <c r="A3157" s="996" t="str">
        <f>CONCATENATE(Programme!D3158,Programme!E3158,Programme!F3158,Programme!G3158,Programme!H3158,Programme!I3158,Programme!J3158)</f>
        <v>&lt;ValeurCellule&gt;</v>
      </c>
    </row>
    <row r="3158" spans="1:1" x14ac:dyDescent="0.2">
      <c r="A3158" s="996" t="str">
        <f>CONCATENATE(Programme!D3159,Programme!E3159,Programme!F3159,Programme!G3159,Programme!H3159,Programme!I3159,Programme!J3159)</f>
        <v>&lt;cellule&gt;&lt;codeEdi&gt;825&lt;/codeEdi&gt;&lt;/cellule&gt;</v>
      </c>
    </row>
    <row r="3159" spans="1:1" x14ac:dyDescent="0.2">
      <c r="A3159" s="996" t="str">
        <f>CONCATENATE(Programme!D3160,Programme!E3160,Programme!F3160,Programme!G3160,Programme!H3160,Programme!I3160,Programme!J3160)</f>
        <v>&lt;valeur&gt;&lt;/valeur&gt;</v>
      </c>
    </row>
    <row r="3160" spans="1:1" x14ac:dyDescent="0.2">
      <c r="A3160" s="996" t="str">
        <f>CONCATENATE(Programme!D3161,Programme!E3161,Programme!F3161,Programme!G3161,Programme!H3161,Programme!I3161,Programme!J3161)</f>
        <v>&lt;numeroLigne&gt;3&lt;/numeroLigne&gt;</v>
      </c>
    </row>
    <row r="3161" spans="1:1" x14ac:dyDescent="0.2">
      <c r="A3161" s="996" t="str">
        <f>CONCATENATE(Programme!D3162,Programme!E3162,Programme!F3162,Programme!G3162,Programme!H3162,Programme!I3162,Programme!J3162)</f>
        <v>&lt;/ValeurCellule&gt;</v>
      </c>
    </row>
    <row r="3162" spans="1:1" x14ac:dyDescent="0.2">
      <c r="A3162" s="996" t="str">
        <f>CONCATENATE(Programme!D3163,Programme!E3163,Programme!F3163,Programme!G3163,Programme!H3163,Programme!I3163,Programme!J3163)</f>
        <v>&lt;ValeurCellule&gt;</v>
      </c>
    </row>
    <row r="3163" spans="1:1" x14ac:dyDescent="0.2">
      <c r="A3163" s="996" t="str">
        <f>CONCATENATE(Programme!D3164,Programme!E3164,Programme!F3164,Programme!G3164,Programme!H3164,Programme!I3164,Programme!J3164)</f>
        <v>&lt;cellule&gt;&lt;codeEdi&gt;826&lt;/codeEdi&gt;&lt;/cellule&gt;</v>
      </c>
    </row>
    <row r="3164" spans="1:1" x14ac:dyDescent="0.2">
      <c r="A3164" s="996" t="str">
        <f>CONCATENATE(Programme!D3165,Programme!E3165,Programme!F3165,Programme!G3165,Programme!H3165,Programme!I3165,Programme!J3165)</f>
        <v>&lt;valeur&gt;0&lt;/valeur&gt;</v>
      </c>
    </row>
    <row r="3165" spans="1:1" x14ac:dyDescent="0.2">
      <c r="A3165" s="996" t="str">
        <f>CONCATENATE(Programme!D3166,Programme!E3166,Programme!F3166,Programme!G3166,Programme!H3166,Programme!I3166,Programme!J3166)</f>
        <v>&lt;numeroLigne&gt;3&lt;/numeroLigne&gt;</v>
      </c>
    </row>
    <row r="3166" spans="1:1" x14ac:dyDescent="0.2">
      <c r="A3166" s="996" t="str">
        <f>CONCATENATE(Programme!D3167,Programme!E3167,Programme!F3167,Programme!G3167,Programme!H3167,Programme!I3167,Programme!J3167)</f>
        <v>&lt;/ValeurCellule&gt;</v>
      </c>
    </row>
    <row r="3167" spans="1:1" x14ac:dyDescent="0.2">
      <c r="A3167" s="996" t="str">
        <f>CONCATENATE(Programme!D3168,Programme!E3168,Programme!F3168,Programme!G3168,Programme!H3168,Programme!I3168,Programme!J3168)</f>
        <v>&lt;ValeurCellule&gt;</v>
      </c>
    </row>
    <row r="3168" spans="1:1" x14ac:dyDescent="0.2">
      <c r="A3168" s="996" t="str">
        <f>CONCATENATE(Programme!D3169,Programme!E3169,Programme!F3169,Programme!G3169,Programme!H3169,Programme!I3169,Programme!J3169)</f>
        <v>&lt;cellule&gt;&lt;codeEdi&gt;824&lt;/codeEdi&gt;&lt;/cellule&gt;</v>
      </c>
    </row>
    <row r="3169" spans="1:1" x14ac:dyDescent="0.2">
      <c r="A3169" s="996" t="str">
        <f>CONCATENATE(Programme!D3170,Programme!E3170,Programme!F3170,Programme!G3170,Programme!H3170,Programme!I3170,Programme!J3170)</f>
        <v>&lt;valeur&gt;&lt;/valeur&gt;</v>
      </c>
    </row>
    <row r="3170" spans="1:1" x14ac:dyDescent="0.2">
      <c r="A3170" s="996" t="str">
        <f>CONCATENATE(Programme!D3171,Programme!E3171,Programme!F3171,Programme!G3171,Programme!H3171,Programme!I3171,Programme!J3171)</f>
        <v>&lt;numeroLigne&gt;4&lt;/numeroLigne&gt;</v>
      </c>
    </row>
    <row r="3171" spans="1:1" x14ac:dyDescent="0.2">
      <c r="A3171" s="996" t="str">
        <f>CONCATENATE(Programme!D3172,Programme!E3172,Programme!F3172,Programme!G3172,Programme!H3172,Programme!I3172,Programme!J3172)</f>
        <v>&lt;/ValeurCellule&gt;</v>
      </c>
    </row>
    <row r="3172" spans="1:1" x14ac:dyDescent="0.2">
      <c r="A3172" s="996" t="str">
        <f>CONCATENATE(Programme!D3173,Programme!E3173,Programme!F3173,Programme!G3173,Programme!H3173,Programme!I3173,Programme!J3173)</f>
        <v>&lt;ValeurCellule&gt;</v>
      </c>
    </row>
    <row r="3173" spans="1:1" x14ac:dyDescent="0.2">
      <c r="A3173" s="996" t="str">
        <f>CONCATENATE(Programme!D3174,Programme!E3174,Programme!F3174,Programme!G3174,Programme!H3174,Programme!I3174,Programme!J3174)</f>
        <v>&lt;cellule&gt;&lt;codeEdi&gt;825&lt;/codeEdi&gt;&lt;/cellule&gt;</v>
      </c>
    </row>
    <row r="3174" spans="1:1" x14ac:dyDescent="0.2">
      <c r="A3174" s="996" t="str">
        <f>CONCATENATE(Programme!D3175,Programme!E3175,Programme!F3175,Programme!G3175,Programme!H3175,Programme!I3175,Programme!J3175)</f>
        <v>&lt;valeur&gt;0&lt;/valeur&gt;</v>
      </c>
    </row>
    <row r="3175" spans="1:1" x14ac:dyDescent="0.2">
      <c r="A3175" s="996" t="str">
        <f>CONCATENATE(Programme!D3176,Programme!E3176,Programme!F3176,Programme!G3176,Programme!H3176,Programme!I3176,Programme!J3176)</f>
        <v>&lt;numeroLigne&gt;4&lt;/numeroLigne&gt;</v>
      </c>
    </row>
    <row r="3176" spans="1:1" x14ac:dyDescent="0.2">
      <c r="A3176" s="996" t="str">
        <f>CONCATENATE(Programme!D3177,Programme!E3177,Programme!F3177,Programme!G3177,Programme!H3177,Programme!I3177,Programme!J3177)</f>
        <v>&lt;/ValeurCellule&gt;</v>
      </c>
    </row>
    <row r="3177" spans="1:1" x14ac:dyDescent="0.2">
      <c r="A3177" s="996" t="str">
        <f>CONCATENATE(Programme!D3178,Programme!E3178,Programme!F3178,Programme!G3178,Programme!H3178,Programme!I3178,Programme!J3178)</f>
        <v>&lt;ValeurCellule&gt;</v>
      </c>
    </row>
    <row r="3178" spans="1:1" x14ac:dyDescent="0.2">
      <c r="A3178" s="996" t="str">
        <f>CONCATENATE(Programme!D3179,Programme!E3179,Programme!F3179,Programme!G3179,Programme!H3179,Programme!I3179,Programme!J3179)</f>
        <v>&lt;cellule&gt;&lt;codeEdi&gt;826&lt;/codeEdi&gt;&lt;/cellule&gt;</v>
      </c>
    </row>
    <row r="3179" spans="1:1" x14ac:dyDescent="0.2">
      <c r="A3179" s="996" t="str">
        <f>CONCATENATE(Programme!D3180,Programme!E3180,Programme!F3180,Programme!G3180,Programme!H3180,Programme!I3180,Programme!J3180)</f>
        <v>&lt;valeur&gt;0&lt;/valeur&gt;</v>
      </c>
    </row>
    <row r="3180" spans="1:1" x14ac:dyDescent="0.2">
      <c r="A3180" s="996" t="str">
        <f>CONCATENATE(Programme!D3181,Programme!E3181,Programme!F3181,Programme!G3181,Programme!H3181,Programme!I3181,Programme!J3181)</f>
        <v>&lt;numeroLigne&gt;4&lt;/numeroLigne&gt;</v>
      </c>
    </row>
    <row r="3181" spans="1:1" x14ac:dyDescent="0.2">
      <c r="A3181" s="996" t="str">
        <f>CONCATENATE(Programme!D3182,Programme!E3182,Programme!F3182,Programme!G3182,Programme!H3182,Programme!I3182,Programme!J3182)</f>
        <v>&lt;/ValeurCellule&gt;</v>
      </c>
    </row>
    <row r="3182" spans="1:1" x14ac:dyDescent="0.2">
      <c r="A3182" s="996" t="str">
        <f>CONCATENATE(Programme!D3183,Programme!E3183,Programme!F3183,Programme!G3183,Programme!H3183,Programme!I3183,Programme!J3183)</f>
        <v>&lt;ValeurCellule&gt;</v>
      </c>
    </row>
    <row r="3183" spans="1:1" x14ac:dyDescent="0.2">
      <c r="A3183" s="996" t="str">
        <f>CONCATENATE(Programme!D3184,Programme!E3184,Programme!F3184,Programme!G3184,Programme!H3184,Programme!I3184,Programme!J3184)</f>
        <v>&lt;cellule&gt;&lt;codeEdi&gt;824&lt;/codeEdi&gt;&lt;/cellule&gt;</v>
      </c>
    </row>
    <row r="3184" spans="1:1" x14ac:dyDescent="0.2">
      <c r="A3184" s="996" t="str">
        <f>CONCATENATE(Programme!D3185,Programme!E3185,Programme!F3185,Programme!G3185,Programme!H3185,Programme!I3185,Programme!J3185)</f>
        <v>&lt;valeur&gt;&lt;/valeur&gt;</v>
      </c>
    </row>
    <row r="3185" spans="1:1" x14ac:dyDescent="0.2">
      <c r="A3185" s="996" t="str">
        <f>CONCATENATE(Programme!D3186,Programme!E3186,Programme!F3186,Programme!G3186,Programme!H3186,Programme!I3186,Programme!J3186)</f>
        <v>&lt;numeroLigne&gt;5&lt;/numeroLigne&gt;</v>
      </c>
    </row>
    <row r="3186" spans="1:1" x14ac:dyDescent="0.2">
      <c r="A3186" s="996" t="str">
        <f>CONCATENATE(Programme!D3187,Programme!E3187,Programme!F3187,Programme!G3187,Programme!H3187,Programme!I3187,Programme!J3187)</f>
        <v>&lt;/ValeurCellule&gt;</v>
      </c>
    </row>
    <row r="3187" spans="1:1" x14ac:dyDescent="0.2">
      <c r="A3187" s="996" t="str">
        <f>CONCATENATE(Programme!D3188,Programme!E3188,Programme!F3188,Programme!G3188,Programme!H3188,Programme!I3188,Programme!J3188)</f>
        <v>&lt;ValeurCellule&gt;</v>
      </c>
    </row>
    <row r="3188" spans="1:1" x14ac:dyDescent="0.2">
      <c r="A3188" s="996" t="str">
        <f>CONCATENATE(Programme!D3189,Programme!E3189,Programme!F3189,Programme!G3189,Programme!H3189,Programme!I3189,Programme!J3189)</f>
        <v>&lt;cellule&gt;&lt;codeEdi&gt;825&lt;/codeEdi&gt;&lt;/cellule&gt;</v>
      </c>
    </row>
    <row r="3189" spans="1:1" x14ac:dyDescent="0.2">
      <c r="A3189" s="996" t="str">
        <f>CONCATENATE(Programme!D3190,Programme!E3190,Programme!F3190,Programme!G3190,Programme!H3190,Programme!I3190,Programme!J3190)</f>
        <v>&lt;valeur&gt;0&lt;/valeur&gt;</v>
      </c>
    </row>
    <row r="3190" spans="1:1" x14ac:dyDescent="0.2">
      <c r="A3190" s="996" t="str">
        <f>CONCATENATE(Programme!D3191,Programme!E3191,Programme!F3191,Programme!G3191,Programme!H3191,Programme!I3191,Programme!J3191)</f>
        <v>&lt;numeroLigne&gt;5&lt;/numeroLigne&gt;</v>
      </c>
    </row>
    <row r="3191" spans="1:1" x14ac:dyDescent="0.2">
      <c r="A3191" s="996" t="str">
        <f>CONCATENATE(Programme!D3192,Programme!E3192,Programme!F3192,Programme!G3192,Programme!H3192,Programme!I3192,Programme!J3192)</f>
        <v>&lt;/ValeurCellule&gt;</v>
      </c>
    </row>
    <row r="3192" spans="1:1" x14ac:dyDescent="0.2">
      <c r="A3192" s="996" t="str">
        <f>CONCATENATE(Programme!D3193,Programme!E3193,Programme!F3193,Programme!G3193,Programme!H3193,Programme!I3193,Programme!J3193)</f>
        <v>&lt;ValeurCellule&gt;</v>
      </c>
    </row>
    <row r="3193" spans="1:1" x14ac:dyDescent="0.2">
      <c r="A3193" s="996" t="str">
        <f>CONCATENATE(Programme!D3194,Programme!E3194,Programme!F3194,Programme!G3194,Programme!H3194,Programme!I3194,Programme!J3194)</f>
        <v>&lt;cellule&gt;&lt;codeEdi&gt;826&lt;/codeEdi&gt;&lt;/cellule&gt;</v>
      </c>
    </row>
    <row r="3194" spans="1:1" x14ac:dyDescent="0.2">
      <c r="A3194" s="996" t="str">
        <f>CONCATENATE(Programme!D3195,Programme!E3195,Programme!F3195,Programme!G3195,Programme!H3195,Programme!I3195,Programme!J3195)</f>
        <v>&lt;valeur&gt;0&lt;/valeur&gt;</v>
      </c>
    </row>
    <row r="3195" spans="1:1" x14ac:dyDescent="0.2">
      <c r="A3195" s="996" t="str">
        <f>CONCATENATE(Programme!D3196,Programme!E3196,Programme!F3196,Programme!G3196,Programme!H3196,Programme!I3196,Programme!J3196)</f>
        <v>&lt;numeroLigne&gt;5&lt;/numeroLigne&gt;</v>
      </c>
    </row>
    <row r="3196" spans="1:1" x14ac:dyDescent="0.2">
      <c r="A3196" s="996" t="str">
        <f>CONCATENATE(Programme!D3197,Programme!E3197,Programme!F3197,Programme!G3197,Programme!H3197,Programme!I3197,Programme!J3197)</f>
        <v>&lt;/ValeurCellule&gt;</v>
      </c>
    </row>
    <row r="3197" spans="1:1" x14ac:dyDescent="0.2">
      <c r="A3197" s="996" t="str">
        <f>CONCATENATE(Programme!D3198,Programme!E3198,Programme!F3198,Programme!G3198,Programme!H3198,Programme!I3198,Programme!J3198)</f>
        <v>&lt;ValeurCellule&gt;</v>
      </c>
    </row>
    <row r="3198" spans="1:1" x14ac:dyDescent="0.2">
      <c r="A3198" s="996" t="str">
        <f>CONCATENATE(Programme!D3199,Programme!E3199,Programme!F3199,Programme!G3199,Programme!H3199,Programme!I3199,Programme!J3199)</f>
        <v>&lt;cellule&gt;&lt;codeEdi&gt;824&lt;/codeEdi&gt;&lt;/cellule&gt;</v>
      </c>
    </row>
    <row r="3199" spans="1:1" x14ac:dyDescent="0.2">
      <c r="A3199" s="996" t="str">
        <f>CONCATENATE(Programme!D3200,Programme!E3200,Programme!F3200,Programme!G3200,Programme!H3200,Programme!I3200,Programme!J3200)</f>
        <v>&lt;valeur&gt;&lt;/valeur&gt;</v>
      </c>
    </row>
    <row r="3200" spans="1:1" x14ac:dyDescent="0.2">
      <c r="A3200" s="996" t="str">
        <f>CONCATENATE(Programme!D3201,Programme!E3201,Programme!F3201,Programme!G3201,Programme!H3201,Programme!I3201,Programme!J3201)</f>
        <v>&lt;numeroLigne&gt;6&lt;/numeroLigne&gt;</v>
      </c>
    </row>
    <row r="3201" spans="1:1" x14ac:dyDescent="0.2">
      <c r="A3201" s="996" t="str">
        <f>CONCATENATE(Programme!D3202,Programme!E3202,Programme!F3202,Programme!G3202,Programme!H3202,Programme!I3202,Programme!J3202)</f>
        <v>&lt;/ValeurCellule&gt;</v>
      </c>
    </row>
    <row r="3202" spans="1:1" x14ac:dyDescent="0.2">
      <c r="A3202" s="996" t="str">
        <f>CONCATENATE(Programme!D3203,Programme!E3203,Programme!F3203,Programme!G3203,Programme!H3203,Programme!I3203,Programme!J3203)</f>
        <v>&lt;ValeurCellule&gt;</v>
      </c>
    </row>
    <row r="3203" spans="1:1" x14ac:dyDescent="0.2">
      <c r="A3203" s="996" t="str">
        <f>CONCATENATE(Programme!D3204,Programme!E3204,Programme!F3204,Programme!G3204,Programme!H3204,Programme!I3204,Programme!J3204)</f>
        <v>&lt;cellule&gt;&lt;codeEdi&gt;825&lt;/codeEdi&gt;&lt;/cellule&gt;</v>
      </c>
    </row>
    <row r="3204" spans="1:1" x14ac:dyDescent="0.2">
      <c r="A3204" s="996" t="str">
        <f>CONCATENATE(Programme!D3205,Programme!E3205,Programme!F3205,Programme!G3205,Programme!H3205,Programme!I3205,Programme!J3205)</f>
        <v>&lt;valeur&gt;0&lt;/valeur&gt;</v>
      </c>
    </row>
    <row r="3205" spans="1:1" x14ac:dyDescent="0.2">
      <c r="A3205" s="996" t="str">
        <f>CONCATENATE(Programme!D3206,Programme!E3206,Programme!F3206,Programme!G3206,Programme!H3206,Programme!I3206,Programme!J3206)</f>
        <v>&lt;numeroLigne&gt;6&lt;/numeroLigne&gt;</v>
      </c>
    </row>
    <row r="3206" spans="1:1" x14ac:dyDescent="0.2">
      <c r="A3206" s="996" t="str">
        <f>CONCATENATE(Programme!D3207,Programme!E3207,Programme!F3207,Programme!G3207,Programme!H3207,Programme!I3207,Programme!J3207)</f>
        <v>&lt;/ValeurCellule&gt;</v>
      </c>
    </row>
    <row r="3207" spans="1:1" x14ac:dyDescent="0.2">
      <c r="A3207" s="996" t="str">
        <f>CONCATENATE(Programme!D3208,Programme!E3208,Programme!F3208,Programme!G3208,Programme!H3208,Programme!I3208,Programme!J3208)</f>
        <v>&lt;ValeurCellule&gt;</v>
      </c>
    </row>
    <row r="3208" spans="1:1" x14ac:dyDescent="0.2">
      <c r="A3208" s="996" t="str">
        <f>CONCATENATE(Programme!D3209,Programme!E3209,Programme!F3209,Programme!G3209,Programme!H3209,Programme!I3209,Programme!J3209)</f>
        <v>&lt;cellule&gt;&lt;codeEdi&gt;826&lt;/codeEdi&gt;&lt;/cellule&gt;</v>
      </c>
    </row>
    <row r="3209" spans="1:1" x14ac:dyDescent="0.2">
      <c r="A3209" s="996" t="str">
        <f>CONCATENATE(Programme!D3210,Programme!E3210,Programme!F3210,Programme!G3210,Programme!H3210,Programme!I3210,Programme!J3210)</f>
        <v>&lt;valeur&gt;0&lt;/valeur&gt;</v>
      </c>
    </row>
    <row r="3210" spans="1:1" x14ac:dyDescent="0.2">
      <c r="A3210" s="996" t="str">
        <f>CONCATENATE(Programme!D3211,Programme!E3211,Programme!F3211,Programme!G3211,Programme!H3211,Programme!I3211,Programme!J3211)</f>
        <v>&lt;numeroLigne&gt;6&lt;/numeroLigne&gt;</v>
      </c>
    </row>
    <row r="3211" spans="1:1" x14ac:dyDescent="0.2">
      <c r="A3211" s="996" t="str">
        <f>CONCATENATE(Programme!D3212,Programme!E3212,Programme!F3212,Programme!G3212,Programme!H3212,Programme!I3212,Programme!J3212)</f>
        <v>&lt;/ValeurCellule&gt;</v>
      </c>
    </row>
    <row r="3212" spans="1:1" x14ac:dyDescent="0.2">
      <c r="A3212" s="996" t="str">
        <f>CONCATENATE(Programme!D3213,Programme!E3213,Programme!F3213,Programme!G3213,Programme!H3213,Programme!I3213,Programme!J3213)</f>
        <v>&lt;ValeurCellule&gt;</v>
      </c>
    </row>
    <row r="3213" spans="1:1" x14ac:dyDescent="0.2">
      <c r="A3213" s="996" t="str">
        <f>CONCATENATE(Programme!D3214,Programme!E3214,Programme!F3214,Programme!G3214,Programme!H3214,Programme!I3214,Programme!J3214)</f>
        <v>&lt;cellule&gt;&lt;codeEdi&gt;827&lt;/codeEdi&gt;&lt;/cellule&gt;</v>
      </c>
    </row>
    <row r="3214" spans="1:1" x14ac:dyDescent="0.2">
      <c r="A3214" s="996" t="str">
        <f>CONCATENATE(Programme!D3215,Programme!E3215,Programme!F3215,Programme!G3215,Programme!H3215,Programme!I3215,Programme!J3215)</f>
        <v>&lt;valeur&gt;Abattement sur dividendes&lt;/valeur&gt;</v>
      </c>
    </row>
    <row r="3215" spans="1:1" x14ac:dyDescent="0.2">
      <c r="A3215" s="996" t="str">
        <f>CONCATENATE(Programme!D3216,Programme!E3216,Programme!F3216,Programme!G3216,Programme!H3216,Programme!I3216,Programme!J3216)</f>
        <v>&lt;numeroLigne&gt;1&lt;/numeroLigne&gt;</v>
      </c>
    </row>
    <row r="3216" spans="1:1" x14ac:dyDescent="0.2">
      <c r="A3216" s="996" t="str">
        <f>CONCATENATE(Programme!D3217,Programme!E3217,Programme!F3217,Programme!G3217,Programme!H3217,Programme!I3217,Programme!J3217)</f>
        <v>&lt;/ValeurCellule&gt;</v>
      </c>
    </row>
    <row r="3217" spans="1:1" x14ac:dyDescent="0.2">
      <c r="A3217" s="996" t="str">
        <f>CONCATENATE(Programme!D3218,Programme!E3218,Programme!F3218,Programme!G3218,Programme!H3218,Programme!I3218,Programme!J3218)</f>
        <v>&lt;ValeurCellule&gt;</v>
      </c>
    </row>
    <row r="3218" spans="1:1" x14ac:dyDescent="0.2">
      <c r="A3218" s="996" t="str">
        <f>CONCATENATE(Programme!D3219,Programme!E3219,Programme!F3219,Programme!G3219,Programme!H3219,Programme!I3219,Programme!J3219)</f>
        <v>&lt;cellule&gt;&lt;codeEdi&gt;828&lt;/codeEdi&gt;&lt;/cellule&gt;</v>
      </c>
    </row>
    <row r="3219" spans="1:1" x14ac:dyDescent="0.2">
      <c r="A3219" s="996" t="str">
        <f>CONCATENATE(Programme!D3220,Programme!E3220,Programme!F3220,Programme!G3220,Programme!H3220,Programme!I3220,Programme!J3220)</f>
        <v>&lt;valeur&gt;0&lt;/valeur&gt;</v>
      </c>
    </row>
    <row r="3220" spans="1:1" x14ac:dyDescent="0.2">
      <c r="A3220" s="996" t="str">
        <f>CONCATENATE(Programme!D3221,Programme!E3221,Programme!F3221,Programme!G3221,Programme!H3221,Programme!I3221,Programme!J3221)</f>
        <v>&lt;numeroLigne&gt;1&lt;/numeroLigne&gt;</v>
      </c>
    </row>
    <row r="3221" spans="1:1" x14ac:dyDescent="0.2">
      <c r="A3221" s="996" t="str">
        <f>CONCATENATE(Programme!D3222,Programme!E3222,Programme!F3222,Programme!G3222,Programme!H3222,Programme!I3222,Programme!J3222)</f>
        <v>&lt;/ValeurCellule&gt;</v>
      </c>
    </row>
    <row r="3222" spans="1:1" x14ac:dyDescent="0.2">
      <c r="A3222" s="996" t="str">
        <f>CONCATENATE(Programme!D3223,Programme!E3223,Programme!F3223,Programme!G3223,Programme!H3223,Programme!I3223,Programme!J3223)</f>
        <v>&lt;ValeurCellule&gt;</v>
      </c>
    </row>
    <row r="3223" spans="1:1" x14ac:dyDescent="0.2">
      <c r="A3223" s="996" t="str">
        <f>CONCATENATE(Programme!D3224,Programme!E3224,Programme!F3224,Programme!G3224,Programme!H3224,Programme!I3224,Programme!J3224)</f>
        <v>&lt;cellule&gt;&lt;codeEdi&gt;830&lt;/codeEdi&gt;&lt;/cellule&gt;</v>
      </c>
    </row>
    <row r="3224" spans="1:1" x14ac:dyDescent="0.2">
      <c r="A3224" s="996" t="str">
        <f>CONCATENATE(Programme!D3225,Programme!E3225,Programme!F3225,Programme!G3225,Programme!H3225,Programme!I3225,Programme!J3225)</f>
        <v>&lt;valeur&gt;0&lt;/valeur&gt;</v>
      </c>
    </row>
    <row r="3225" spans="1:1" x14ac:dyDescent="0.2">
      <c r="A3225" s="996" t="str">
        <f>CONCATENATE(Programme!D3226,Programme!E3226,Programme!F3226,Programme!G3226,Programme!H3226,Programme!I3226,Programme!J3226)</f>
        <v>&lt;numeroLigne&gt;1&lt;/numeroLigne&gt;</v>
      </c>
    </row>
    <row r="3226" spans="1:1" x14ac:dyDescent="0.2">
      <c r="A3226" s="996" t="str">
        <f>CONCATENATE(Programme!D3227,Programme!E3227,Programme!F3227,Programme!G3227,Programme!H3227,Programme!I3227,Programme!J3227)</f>
        <v>&lt;/ValeurCellule&gt;</v>
      </c>
    </row>
    <row r="3227" spans="1:1" x14ac:dyDescent="0.2">
      <c r="A3227" s="996" t="str">
        <f>CONCATENATE(Programme!D3228,Programme!E3228,Programme!F3228,Programme!G3228,Programme!H3228,Programme!I3228,Programme!J3228)</f>
        <v>&lt;ValeurCellule&gt;</v>
      </c>
    </row>
    <row r="3228" spans="1:1" x14ac:dyDescent="0.2">
      <c r="A3228" s="996" t="str">
        <f>CONCATENATE(Programme!D3229,Programme!E3229,Programme!F3229,Programme!G3229,Programme!H3229,Programme!I3229,Programme!J3229)</f>
        <v>&lt;cellule&gt;&lt;codeEdi&gt;827&lt;/codeEdi&gt;&lt;/cellule&gt;</v>
      </c>
    </row>
    <row r="3229" spans="1:1" x14ac:dyDescent="0.2">
      <c r="A3229" s="996" t="str">
        <f>CONCATENATE(Programme!D3230,Programme!E3230,Programme!F3230,Programme!G3230,Programme!H3230,Programme!I3230,Programme!J3230)</f>
        <v>&lt;valeur&gt;Abattement sur cession de titres&lt;/valeur&gt;</v>
      </c>
    </row>
    <row r="3230" spans="1:1" x14ac:dyDescent="0.2">
      <c r="A3230" s="996" t="str">
        <f>CONCATENATE(Programme!D3231,Programme!E3231,Programme!F3231,Programme!G3231,Programme!H3231,Programme!I3231,Programme!J3231)</f>
        <v>&lt;numeroLigne&gt;2&lt;/numeroLigne&gt;</v>
      </c>
    </row>
    <row r="3231" spans="1:1" x14ac:dyDescent="0.2">
      <c r="A3231" s="996" t="str">
        <f>CONCATENATE(Programme!D3232,Programme!E3232,Programme!F3232,Programme!G3232,Programme!H3232,Programme!I3232,Programme!J3232)</f>
        <v>&lt;/ValeurCellule&gt;</v>
      </c>
    </row>
    <row r="3232" spans="1:1" x14ac:dyDescent="0.2">
      <c r="A3232" s="996" t="str">
        <f>CONCATENATE(Programme!D3233,Programme!E3233,Programme!F3233,Programme!G3233,Programme!H3233,Programme!I3233,Programme!J3233)</f>
        <v>&lt;ValeurCellule&gt;</v>
      </c>
    </row>
    <row r="3233" spans="1:1" x14ac:dyDescent="0.2">
      <c r="A3233" s="996" t="str">
        <f>CONCATENATE(Programme!D3234,Programme!E3234,Programme!F3234,Programme!G3234,Programme!H3234,Programme!I3234,Programme!J3234)</f>
        <v>&lt;cellule&gt;&lt;codeEdi&gt;828&lt;/codeEdi&gt;&lt;/cellule&gt;</v>
      </c>
    </row>
    <row r="3234" spans="1:1" x14ac:dyDescent="0.2">
      <c r="A3234" s="996" t="str">
        <f>CONCATENATE(Programme!D3235,Programme!E3235,Programme!F3235,Programme!G3235,Programme!H3235,Programme!I3235,Programme!J3235)</f>
        <v>&lt;valeur&gt;0&lt;/valeur&gt;</v>
      </c>
    </row>
    <row r="3235" spans="1:1" x14ac:dyDescent="0.2">
      <c r="A3235" s="996" t="str">
        <f>CONCATENATE(Programme!D3236,Programme!E3236,Programme!F3236,Programme!G3236,Programme!H3236,Programme!I3236,Programme!J3236)</f>
        <v>&lt;numeroLigne&gt;2&lt;/numeroLigne&gt;</v>
      </c>
    </row>
    <row r="3236" spans="1:1" x14ac:dyDescent="0.2">
      <c r="A3236" s="996" t="str">
        <f>CONCATENATE(Programme!D3237,Programme!E3237,Programme!F3237,Programme!G3237,Programme!H3237,Programme!I3237,Programme!J3237)</f>
        <v>&lt;/ValeurCellule&gt;</v>
      </c>
    </row>
    <row r="3237" spans="1:1" x14ac:dyDescent="0.2">
      <c r="A3237" s="996" t="str">
        <f>CONCATENATE(Programme!D3238,Programme!E3238,Programme!F3238,Programme!G3238,Programme!H3238,Programme!I3238,Programme!J3238)</f>
        <v>&lt;ValeurCellule&gt;</v>
      </c>
    </row>
    <row r="3238" spans="1:1" x14ac:dyDescent="0.2">
      <c r="A3238" s="996" t="str">
        <f>CONCATENATE(Programme!D3239,Programme!E3239,Programme!F3239,Programme!G3239,Programme!H3239,Programme!I3239,Programme!J3239)</f>
        <v>&lt;cellule&gt;&lt;codeEdi&gt;830&lt;/codeEdi&gt;&lt;/cellule&gt;</v>
      </c>
    </row>
    <row r="3239" spans="1:1" x14ac:dyDescent="0.2">
      <c r="A3239" s="996" t="str">
        <f>CONCATENATE(Programme!D3240,Programme!E3240,Programme!F3240,Programme!G3240,Programme!H3240,Programme!I3240,Programme!J3240)</f>
        <v>&lt;valeur&gt;0&lt;/valeur&gt;</v>
      </c>
    </row>
    <row r="3240" spans="1:1" x14ac:dyDescent="0.2">
      <c r="A3240" s="996" t="str">
        <f>CONCATENATE(Programme!D3241,Programme!E3241,Programme!F3241,Programme!G3241,Programme!H3241,Programme!I3241,Programme!J3241)</f>
        <v>&lt;numeroLigne&gt;2&lt;/numeroLigne&gt;</v>
      </c>
    </row>
    <row r="3241" spans="1:1" x14ac:dyDescent="0.2">
      <c r="A3241" s="996" t="str">
        <f>CONCATENATE(Programme!D3242,Programme!E3242,Programme!F3242,Programme!G3242,Programme!H3242,Programme!I3242,Programme!J3242)</f>
        <v>&lt;/ValeurCellule&gt;</v>
      </c>
    </row>
    <row r="3242" spans="1:1" x14ac:dyDescent="0.2">
      <c r="A3242" s="996" t="str">
        <f>CONCATENATE(Programme!D3243,Programme!E3243,Programme!F3243,Programme!G3243,Programme!H3243,Programme!I3243,Programme!J3243)</f>
        <v>&lt;ValeurCellule&gt;</v>
      </c>
    </row>
    <row r="3243" spans="1:1" x14ac:dyDescent="0.2">
      <c r="A3243" s="996" t="str">
        <f>CONCATENATE(Programme!D3244,Programme!E3244,Programme!F3244,Programme!G3244,Programme!H3244,Programme!I3244,Programme!J3244)</f>
        <v>&lt;cellule&gt;&lt;codeEdi&gt;827&lt;/codeEdi&gt;&lt;/cellule&gt;</v>
      </c>
    </row>
    <row r="3244" spans="1:1" x14ac:dyDescent="0.2">
      <c r="A3244" s="996" t="str">
        <f>CONCATENATE(Programme!D3245,Programme!E3245,Programme!F3245,Programme!G3245,Programme!H3245,Programme!I3245,Programme!J3245)</f>
        <v>&lt;valeur&gt;&lt;/valeur&gt;</v>
      </c>
    </row>
    <row r="3245" spans="1:1" x14ac:dyDescent="0.2">
      <c r="A3245" s="996" t="str">
        <f>CONCATENATE(Programme!D3246,Programme!E3246,Programme!F3246,Programme!G3246,Programme!H3246,Programme!I3246,Programme!J3246)</f>
        <v>&lt;numeroLigne&gt;3&lt;/numeroLigne&gt;</v>
      </c>
    </row>
    <row r="3246" spans="1:1" x14ac:dyDescent="0.2">
      <c r="A3246" s="996" t="str">
        <f>CONCATENATE(Programme!D3247,Programme!E3247,Programme!F3247,Programme!G3247,Programme!H3247,Programme!I3247,Programme!J3247)</f>
        <v>&lt;/ValeurCellule&gt;</v>
      </c>
    </row>
    <row r="3247" spans="1:1" x14ac:dyDescent="0.2">
      <c r="A3247" s="996" t="str">
        <f>CONCATENATE(Programme!D3248,Programme!E3248,Programme!F3248,Programme!G3248,Programme!H3248,Programme!I3248,Programme!J3248)</f>
        <v>&lt;ValeurCellule&gt;</v>
      </c>
    </row>
    <row r="3248" spans="1:1" x14ac:dyDescent="0.2">
      <c r="A3248" s="996" t="str">
        <f>CONCATENATE(Programme!D3249,Programme!E3249,Programme!F3249,Programme!G3249,Programme!H3249,Programme!I3249,Programme!J3249)</f>
        <v>&lt;cellule&gt;&lt;codeEdi&gt;828&lt;/codeEdi&gt;&lt;/cellule&gt;</v>
      </c>
    </row>
    <row r="3249" spans="1:1" x14ac:dyDescent="0.2">
      <c r="A3249" s="996" t="str">
        <f>CONCATENATE(Programme!D3250,Programme!E3250,Programme!F3250,Programme!G3250,Programme!H3250,Programme!I3250,Programme!J3250)</f>
        <v>&lt;valeur&gt;0&lt;/valeur&gt;</v>
      </c>
    </row>
    <row r="3250" spans="1:1" x14ac:dyDescent="0.2">
      <c r="A3250" s="996" t="str">
        <f>CONCATENATE(Programme!D3251,Programme!E3251,Programme!F3251,Programme!G3251,Programme!H3251,Programme!I3251,Programme!J3251)</f>
        <v>&lt;numeroLigne&gt;3&lt;/numeroLigne&gt;</v>
      </c>
    </row>
    <row r="3251" spans="1:1" x14ac:dyDescent="0.2">
      <c r="A3251" s="996" t="str">
        <f>CONCATENATE(Programme!D3252,Programme!E3252,Programme!F3252,Programme!G3252,Programme!H3252,Programme!I3252,Programme!J3252)</f>
        <v>&lt;/ValeurCellule&gt;</v>
      </c>
    </row>
    <row r="3252" spans="1:1" x14ac:dyDescent="0.2">
      <c r="A3252" s="996" t="str">
        <f>CONCATENATE(Programme!D3253,Programme!E3253,Programme!F3253,Programme!G3253,Programme!H3253,Programme!I3253,Programme!J3253)</f>
        <v>&lt;ValeurCellule&gt;</v>
      </c>
    </row>
    <row r="3253" spans="1:1" x14ac:dyDescent="0.2">
      <c r="A3253" s="996" t="str">
        <f>CONCATENATE(Programme!D3254,Programme!E3254,Programme!F3254,Programme!G3254,Programme!H3254,Programme!I3254,Programme!J3254)</f>
        <v>&lt;cellule&gt;&lt;codeEdi&gt;830&lt;/codeEdi&gt;&lt;/cellule&gt;</v>
      </c>
    </row>
    <row r="3254" spans="1:1" x14ac:dyDescent="0.2">
      <c r="A3254" s="996" t="str">
        <f>CONCATENATE(Programme!D3255,Programme!E3255,Programme!F3255,Programme!G3255,Programme!H3255,Programme!I3255,Programme!J3255)</f>
        <v>&lt;valeur&gt;0&lt;/valeur&gt;</v>
      </c>
    </row>
    <row r="3255" spans="1:1" x14ac:dyDescent="0.2">
      <c r="A3255" s="996" t="str">
        <f>CONCATENATE(Programme!D3256,Programme!E3256,Programme!F3256,Programme!G3256,Programme!H3256,Programme!I3256,Programme!J3256)</f>
        <v>&lt;numeroLigne&gt;3&lt;/numeroLigne&gt;</v>
      </c>
    </row>
    <row r="3256" spans="1:1" x14ac:dyDescent="0.2">
      <c r="A3256" s="996" t="str">
        <f>CONCATENATE(Programme!D3257,Programme!E3257,Programme!F3257,Programme!G3257,Programme!H3257,Programme!I3257,Programme!J3257)</f>
        <v>&lt;/ValeurCellule&gt;</v>
      </c>
    </row>
    <row r="3257" spans="1:1" x14ac:dyDescent="0.2">
      <c r="A3257" s="996" t="str">
        <f>CONCATENATE(Programme!D3258,Programme!E3258,Programme!F3258,Programme!G3258,Programme!H3258,Programme!I3258,Programme!J3258)</f>
        <v>&lt;ValeurCellule&gt;</v>
      </c>
    </row>
    <row r="3258" spans="1:1" x14ac:dyDescent="0.2">
      <c r="A3258" s="996" t="str">
        <f>CONCATENATE(Programme!D3259,Programme!E3259,Programme!F3259,Programme!G3259,Programme!H3259,Programme!I3259,Programme!J3259)</f>
        <v>&lt;cellule&gt;&lt;codeEdi&gt;827&lt;/codeEdi&gt;&lt;/cellule&gt;</v>
      </c>
    </row>
    <row r="3259" spans="1:1" x14ac:dyDescent="0.2">
      <c r="A3259" s="996" t="str">
        <f>CONCATENATE(Programme!D3260,Programme!E3260,Programme!F3260,Programme!G3260,Programme!H3260,Programme!I3260,Programme!J3260)</f>
        <v>&lt;valeur&gt;&lt;/valeur&gt;</v>
      </c>
    </row>
    <row r="3260" spans="1:1" x14ac:dyDescent="0.2">
      <c r="A3260" s="996" t="str">
        <f>CONCATENATE(Programme!D3261,Programme!E3261,Programme!F3261,Programme!G3261,Programme!H3261,Programme!I3261,Programme!J3261)</f>
        <v>&lt;numeroLigne&gt;4&lt;/numeroLigne&gt;</v>
      </c>
    </row>
    <row r="3261" spans="1:1" x14ac:dyDescent="0.2">
      <c r="A3261" s="996" t="str">
        <f>CONCATENATE(Programme!D3262,Programme!E3262,Programme!F3262,Programme!G3262,Programme!H3262,Programme!I3262,Programme!J3262)</f>
        <v>&lt;/ValeurCellule&gt;</v>
      </c>
    </row>
    <row r="3262" spans="1:1" x14ac:dyDescent="0.2">
      <c r="A3262" s="996" t="str">
        <f>CONCATENATE(Programme!D3263,Programme!E3263,Programme!F3263,Programme!G3263,Programme!H3263,Programme!I3263,Programme!J3263)</f>
        <v>&lt;ValeurCellule&gt;</v>
      </c>
    </row>
    <row r="3263" spans="1:1" x14ac:dyDescent="0.2">
      <c r="A3263" s="996" t="str">
        <f>CONCATENATE(Programme!D3264,Programme!E3264,Programme!F3264,Programme!G3264,Programme!H3264,Programme!I3264,Programme!J3264)</f>
        <v>&lt;cellule&gt;&lt;codeEdi&gt;828&lt;/codeEdi&gt;&lt;/cellule&gt;</v>
      </c>
    </row>
    <row r="3264" spans="1:1" x14ac:dyDescent="0.2">
      <c r="A3264" s="996" t="str">
        <f>CONCATENATE(Programme!D3265,Programme!E3265,Programme!F3265,Programme!G3265,Programme!H3265,Programme!I3265,Programme!J3265)</f>
        <v>&lt;valeur&gt;0&lt;/valeur&gt;</v>
      </c>
    </row>
    <row r="3265" spans="1:1" x14ac:dyDescent="0.2">
      <c r="A3265" s="996" t="str">
        <f>CONCATENATE(Programme!D3266,Programme!E3266,Programme!F3266,Programme!G3266,Programme!H3266,Programme!I3266,Programme!J3266)</f>
        <v>&lt;numeroLigne&gt;4&lt;/numeroLigne&gt;</v>
      </c>
    </row>
    <row r="3266" spans="1:1" x14ac:dyDescent="0.2">
      <c r="A3266" s="996" t="str">
        <f>CONCATENATE(Programme!D3267,Programme!E3267,Programme!F3267,Programme!G3267,Programme!H3267,Programme!I3267,Programme!J3267)</f>
        <v>&lt;/ValeurCellule&gt;</v>
      </c>
    </row>
    <row r="3267" spans="1:1" x14ac:dyDescent="0.2">
      <c r="A3267" s="996" t="str">
        <f>CONCATENATE(Programme!D3268,Programme!E3268,Programme!F3268,Programme!G3268,Programme!H3268,Programme!I3268,Programme!J3268)</f>
        <v>&lt;ValeurCellule&gt;</v>
      </c>
    </row>
    <row r="3268" spans="1:1" x14ac:dyDescent="0.2">
      <c r="A3268" s="996" t="str">
        <f>CONCATENATE(Programme!D3269,Programme!E3269,Programme!F3269,Programme!G3269,Programme!H3269,Programme!I3269,Programme!J3269)</f>
        <v>&lt;cellule&gt;&lt;codeEdi&gt;830&lt;/codeEdi&gt;&lt;/cellule&gt;</v>
      </c>
    </row>
    <row r="3269" spans="1:1" x14ac:dyDescent="0.2">
      <c r="A3269" s="996" t="str">
        <f>CONCATENATE(Programme!D3270,Programme!E3270,Programme!F3270,Programme!G3270,Programme!H3270,Programme!I3270,Programme!J3270)</f>
        <v>&lt;valeur&gt;0&lt;/valeur&gt;</v>
      </c>
    </row>
    <row r="3270" spans="1:1" x14ac:dyDescent="0.2">
      <c r="A3270" s="996" t="str">
        <f>CONCATENATE(Programme!D3271,Programme!E3271,Programme!F3271,Programme!G3271,Programme!H3271,Programme!I3271,Programme!J3271)</f>
        <v>&lt;numeroLigne&gt;4&lt;/numeroLigne&gt;</v>
      </c>
    </row>
    <row r="3271" spans="1:1" x14ac:dyDescent="0.2">
      <c r="A3271" s="996" t="str">
        <f>CONCATENATE(Programme!D3272,Programme!E3272,Programme!F3272,Programme!G3272,Programme!H3272,Programme!I3272,Programme!J3272)</f>
        <v>&lt;/ValeurCellule&gt;</v>
      </c>
    </row>
    <row r="3272" spans="1:1" x14ac:dyDescent="0.2">
      <c r="A3272" s="996" t="str">
        <f>CONCATENATE(Programme!D3273,Programme!E3273,Programme!F3273,Programme!G3273,Programme!H3273,Programme!I3273,Programme!J3273)</f>
        <v>&lt;ValeurCellule&gt;</v>
      </c>
    </row>
    <row r="3273" spans="1:1" x14ac:dyDescent="0.2">
      <c r="A3273" s="996" t="str">
        <f>CONCATENATE(Programme!D3274,Programme!E3274,Programme!F3274,Programme!G3274,Programme!H3274,Programme!I3274,Programme!J3274)</f>
        <v>&lt;cellule&gt;&lt;codeEdi&gt;827&lt;/codeEdi&gt;&lt;/cellule&gt;</v>
      </c>
    </row>
    <row r="3274" spans="1:1" x14ac:dyDescent="0.2">
      <c r="A3274" s="996" t="str">
        <f>CONCATENATE(Programme!D3275,Programme!E3275,Programme!F3275,Programme!G3275,Programme!H3275,Programme!I3275,Programme!J3275)</f>
        <v>&lt;valeur&gt;&lt;/valeur&gt;</v>
      </c>
    </row>
    <row r="3275" spans="1:1" x14ac:dyDescent="0.2">
      <c r="A3275" s="996" t="str">
        <f>CONCATENATE(Programme!D3276,Programme!E3276,Programme!F3276,Programme!G3276,Programme!H3276,Programme!I3276,Programme!J3276)</f>
        <v>&lt;numeroLigne&gt;5&lt;/numeroLigne&gt;</v>
      </c>
    </row>
    <row r="3276" spans="1:1" x14ac:dyDescent="0.2">
      <c r="A3276" s="996" t="str">
        <f>CONCATENATE(Programme!D3277,Programme!E3277,Programme!F3277,Programme!G3277,Programme!H3277,Programme!I3277,Programme!J3277)</f>
        <v>&lt;/ValeurCellule&gt;</v>
      </c>
    </row>
    <row r="3277" spans="1:1" x14ac:dyDescent="0.2">
      <c r="A3277" s="996" t="str">
        <f>CONCATENATE(Programme!D3278,Programme!E3278,Programme!F3278,Programme!G3278,Programme!H3278,Programme!I3278,Programme!J3278)</f>
        <v>&lt;ValeurCellule&gt;</v>
      </c>
    </row>
    <row r="3278" spans="1:1" x14ac:dyDescent="0.2">
      <c r="A3278" s="996" t="str">
        <f>CONCATENATE(Programme!D3279,Programme!E3279,Programme!F3279,Programme!G3279,Programme!H3279,Programme!I3279,Programme!J3279)</f>
        <v>&lt;cellule&gt;&lt;codeEdi&gt;828&lt;/codeEdi&gt;&lt;/cellule&gt;</v>
      </c>
    </row>
    <row r="3279" spans="1:1" x14ac:dyDescent="0.2">
      <c r="A3279" s="996" t="str">
        <f>CONCATENATE(Programme!D3280,Programme!E3280,Programme!F3280,Programme!G3280,Programme!H3280,Programme!I3280,Programme!J3280)</f>
        <v>&lt;valeur&gt;0&lt;/valeur&gt;</v>
      </c>
    </row>
    <row r="3280" spans="1:1" x14ac:dyDescent="0.2">
      <c r="A3280" s="996" t="str">
        <f>CONCATENATE(Programme!D3281,Programme!E3281,Programme!F3281,Programme!G3281,Programme!H3281,Programme!I3281,Programme!J3281)</f>
        <v>&lt;numeroLigne&gt;5&lt;/numeroLigne&gt;</v>
      </c>
    </row>
    <row r="3281" spans="1:1" x14ac:dyDescent="0.2">
      <c r="A3281" s="996" t="str">
        <f>CONCATENATE(Programme!D3282,Programme!E3282,Programme!F3282,Programme!G3282,Programme!H3282,Programme!I3282,Programme!J3282)</f>
        <v>&lt;/ValeurCellule&gt;</v>
      </c>
    </row>
    <row r="3282" spans="1:1" x14ac:dyDescent="0.2">
      <c r="A3282" s="996" t="str">
        <f>CONCATENATE(Programme!D3283,Programme!E3283,Programme!F3283,Programme!G3283,Programme!H3283,Programme!I3283,Programme!J3283)</f>
        <v>&lt;ValeurCellule&gt;</v>
      </c>
    </row>
    <row r="3283" spans="1:1" x14ac:dyDescent="0.2">
      <c r="A3283" s="996" t="str">
        <f>CONCATENATE(Programme!D3284,Programme!E3284,Programme!F3284,Programme!G3284,Programme!H3284,Programme!I3284,Programme!J3284)</f>
        <v>&lt;cellule&gt;&lt;codeEdi&gt;830&lt;/codeEdi&gt;&lt;/cellule&gt;</v>
      </c>
    </row>
    <row r="3284" spans="1:1" x14ac:dyDescent="0.2">
      <c r="A3284" s="996" t="str">
        <f>CONCATENATE(Programme!D3285,Programme!E3285,Programme!F3285,Programme!G3285,Programme!H3285,Programme!I3285,Programme!J3285)</f>
        <v>&lt;valeur&gt;0&lt;/valeur&gt;</v>
      </c>
    </row>
    <row r="3285" spans="1:1" x14ac:dyDescent="0.2">
      <c r="A3285" s="996" t="str">
        <f>CONCATENATE(Programme!D3286,Programme!E3286,Programme!F3286,Programme!G3286,Programme!H3286,Programme!I3286,Programme!J3286)</f>
        <v>&lt;numeroLigne&gt;5&lt;/numeroLigne&gt;</v>
      </c>
    </row>
    <row r="3286" spans="1:1" x14ac:dyDescent="0.2">
      <c r="A3286" s="996" t="str">
        <f>CONCATENATE(Programme!D3287,Programme!E3287,Programme!F3287,Programme!G3287,Programme!H3287,Programme!I3287,Programme!J3287)</f>
        <v>&lt;/ValeurCellule&gt;</v>
      </c>
    </row>
    <row r="3287" spans="1:1" x14ac:dyDescent="0.2">
      <c r="A3287" s="996" t="str">
        <f>CONCATENATE(Programme!D3288,Programme!E3288,Programme!F3288,Programme!G3288,Programme!H3288,Programme!I3288,Programme!J3288)</f>
        <v>&lt;ValeurCellule&gt;</v>
      </c>
    </row>
    <row r="3288" spans="1:1" x14ac:dyDescent="0.2">
      <c r="A3288" s="996" t="str">
        <f>CONCATENATE(Programme!D3289,Programme!E3289,Programme!F3289,Programme!G3289,Programme!H3289,Programme!I3289,Programme!J3289)</f>
        <v>&lt;cellule&gt;&lt;codeEdi&gt;827&lt;/codeEdi&gt;&lt;/cellule&gt;</v>
      </c>
    </row>
    <row r="3289" spans="1:1" x14ac:dyDescent="0.2">
      <c r="A3289" s="996" t="str">
        <f>CONCATENATE(Programme!D3290,Programme!E3290,Programme!F3290,Programme!G3290,Programme!H3290,Programme!I3290,Programme!J3290)</f>
        <v>&lt;valeur&gt;&lt;/valeur&gt;</v>
      </c>
    </row>
    <row r="3290" spans="1:1" x14ac:dyDescent="0.2">
      <c r="A3290" s="996" t="str">
        <f>CONCATENATE(Programme!D3291,Programme!E3291,Programme!F3291,Programme!G3291,Programme!H3291,Programme!I3291,Programme!J3291)</f>
        <v>&lt;numeroLigne&gt;6&lt;/numeroLigne&gt;</v>
      </c>
    </row>
    <row r="3291" spans="1:1" x14ac:dyDescent="0.2">
      <c r="A3291" s="996" t="str">
        <f>CONCATENATE(Programme!D3292,Programme!E3292,Programme!F3292,Programme!G3292,Programme!H3292,Programme!I3292,Programme!J3292)</f>
        <v>&lt;/ValeurCellule&gt;</v>
      </c>
    </row>
    <row r="3292" spans="1:1" x14ac:dyDescent="0.2">
      <c r="A3292" s="996" t="str">
        <f>CONCATENATE(Programme!D3293,Programme!E3293,Programme!F3293,Programme!G3293,Programme!H3293,Programme!I3293,Programme!J3293)</f>
        <v>&lt;ValeurCellule&gt;</v>
      </c>
    </row>
    <row r="3293" spans="1:1" x14ac:dyDescent="0.2">
      <c r="A3293" s="996" t="str">
        <f>CONCATENATE(Programme!D3294,Programme!E3294,Programme!F3294,Programme!G3294,Programme!H3294,Programme!I3294,Programme!J3294)</f>
        <v>&lt;cellule&gt;&lt;codeEdi&gt;828&lt;/codeEdi&gt;&lt;/cellule&gt;</v>
      </c>
    </row>
    <row r="3294" spans="1:1" x14ac:dyDescent="0.2">
      <c r="A3294" s="996" t="str">
        <f>CONCATENATE(Programme!D3295,Programme!E3295,Programme!F3295,Programme!G3295,Programme!H3295,Programme!I3295,Programme!J3295)</f>
        <v>&lt;valeur&gt;0&lt;/valeur&gt;</v>
      </c>
    </row>
    <row r="3295" spans="1:1" x14ac:dyDescent="0.2">
      <c r="A3295" s="996" t="str">
        <f>CONCATENATE(Programme!D3296,Programme!E3296,Programme!F3296,Programme!G3296,Programme!H3296,Programme!I3296,Programme!J3296)</f>
        <v>&lt;numeroLigne&gt;6&lt;/numeroLigne&gt;</v>
      </c>
    </row>
    <row r="3296" spans="1:1" x14ac:dyDescent="0.2">
      <c r="A3296" s="996" t="str">
        <f>CONCATENATE(Programme!D3297,Programme!E3297,Programme!F3297,Programme!G3297,Programme!H3297,Programme!I3297,Programme!J3297)</f>
        <v>&lt;/ValeurCellule&gt;</v>
      </c>
    </row>
    <row r="3297" spans="1:1" x14ac:dyDescent="0.2">
      <c r="A3297" s="996" t="str">
        <f>CONCATENATE(Programme!D3298,Programme!E3298,Programme!F3298,Programme!G3298,Programme!H3298,Programme!I3298,Programme!J3298)</f>
        <v>&lt;ValeurCellule&gt;</v>
      </c>
    </row>
    <row r="3298" spans="1:1" x14ac:dyDescent="0.2">
      <c r="A3298" s="996" t="str">
        <f>CONCATENATE(Programme!D3299,Programme!E3299,Programme!F3299,Programme!G3299,Programme!H3299,Programme!I3299,Programme!J3299)</f>
        <v>&lt;cellule&gt;&lt;codeEdi&gt;830&lt;/codeEdi&gt;&lt;/cellule&gt;</v>
      </c>
    </row>
    <row r="3299" spans="1:1" x14ac:dyDescent="0.2">
      <c r="A3299" s="996" t="str">
        <f>CONCATENATE(Programme!D3300,Programme!E3300,Programme!F3300,Programme!G3300,Programme!H3300,Programme!I3300,Programme!J3300)</f>
        <v>&lt;valeur&gt;0&lt;/valeur&gt;</v>
      </c>
    </row>
    <row r="3300" spans="1:1" x14ac:dyDescent="0.2">
      <c r="A3300" s="996" t="str">
        <f>CONCATENATE(Programme!D3301,Programme!E3301,Programme!F3301,Programme!G3301,Programme!H3301,Programme!I3301,Programme!J3301)</f>
        <v>&lt;numeroLigne&gt;6&lt;/numeroLigne&gt;</v>
      </c>
    </row>
    <row r="3301" spans="1:1" x14ac:dyDescent="0.2">
      <c r="A3301" s="996" t="str">
        <f>CONCATENATE(Programme!D3302,Programme!E3302,Programme!F3302,Programme!G3302,Programme!H3302,Programme!I3302,Programme!J3302)</f>
        <v>&lt;/ValeurCellule&gt;</v>
      </c>
    </row>
    <row r="3302" spans="1:1" x14ac:dyDescent="0.2">
      <c r="A3302" s="996" t="str">
        <f>CONCATENATE(Programme!D3303,Programme!E3303,Programme!F3303,Programme!G3303,Programme!H3303,Programme!I3303,Programme!J3303)</f>
        <v>&lt;ValeurCellule&gt;</v>
      </c>
    </row>
    <row r="3303" spans="1:1" x14ac:dyDescent="0.2">
      <c r="A3303" s="996" t="str">
        <f>CONCATENATE(Programme!D3304,Programme!E3304,Programme!F3304,Programme!G3304,Programme!H3304,Programme!I3304,Programme!J3304)</f>
        <v>&lt;cellule&gt;&lt;codeEdi&gt;829&lt;/codeEdi&gt;&lt;/cellule&gt;</v>
      </c>
    </row>
    <row r="3304" spans="1:1" x14ac:dyDescent="0.2">
      <c r="A3304" s="996" t="str">
        <f>CONCATENATE(Programme!D3305,Programme!E3305,Programme!F3305,Programme!G3305,Programme!H3305,Programme!I3305,Programme!J3305)</f>
        <v>&lt;valeur&gt;Reprise sur autres Provisions&lt;/valeur&gt;</v>
      </c>
    </row>
    <row r="3305" spans="1:1" x14ac:dyDescent="0.2">
      <c r="A3305" s="996" t="str">
        <f>CONCATENATE(Programme!D3306,Programme!E3306,Programme!F3306,Programme!G3306,Programme!H3306,Programme!I3306,Programme!J3306)</f>
        <v>&lt;numeroLigne&gt;1&lt;/numeroLigne&gt;</v>
      </c>
    </row>
    <row r="3306" spans="1:1" x14ac:dyDescent="0.2">
      <c r="A3306" s="996" t="str">
        <f>CONCATENATE(Programme!D3307,Programme!E3307,Programme!F3307,Programme!G3307,Programme!H3307,Programme!I3307,Programme!J3307)</f>
        <v>&lt;/ValeurCellule&gt;</v>
      </c>
    </row>
    <row r="3307" spans="1:1" x14ac:dyDescent="0.2">
      <c r="A3307" s="996" t="str">
        <f>CONCATENATE(Programme!D3308,Programme!E3308,Programme!F3308,Programme!G3308,Programme!H3308,Programme!I3308,Programme!J3308)</f>
        <v>&lt;ValeurCellule&gt;</v>
      </c>
    </row>
    <row r="3308" spans="1:1" x14ac:dyDescent="0.2">
      <c r="A3308" s="996" t="str">
        <f>CONCATENATE(Programme!D3309,Programme!E3309,Programme!F3309,Programme!G3309,Programme!H3309,Programme!I3309,Programme!J3309)</f>
        <v>&lt;cellule&gt;&lt;codeEdi&gt;831&lt;/codeEdi&gt;&lt;/cellule&gt;</v>
      </c>
    </row>
    <row r="3309" spans="1:1" x14ac:dyDescent="0.2">
      <c r="A3309" s="996" t="str">
        <f>CONCATENATE(Programme!D3310,Programme!E3310,Programme!F3310,Programme!G3310,Programme!H3310,Programme!I3310,Programme!J3310)</f>
        <v>&lt;valeur&gt;0&lt;/valeur&gt;</v>
      </c>
    </row>
    <row r="3310" spans="1:1" x14ac:dyDescent="0.2">
      <c r="A3310" s="996" t="str">
        <f>CONCATENATE(Programme!D3311,Programme!E3311,Programme!F3311,Programme!G3311,Programme!H3311,Programme!I3311,Programme!J3311)</f>
        <v>&lt;numeroLigne&gt;1&lt;/numeroLigne&gt;</v>
      </c>
    </row>
    <row r="3311" spans="1:1" x14ac:dyDescent="0.2">
      <c r="A3311" s="996" t="str">
        <f>CONCATENATE(Programme!D3312,Programme!E3312,Programme!F3312,Programme!G3312,Programme!H3312,Programme!I3312,Programme!J3312)</f>
        <v>&lt;/ValeurCellule&gt;</v>
      </c>
    </row>
    <row r="3312" spans="1:1" x14ac:dyDescent="0.2">
      <c r="A3312" s="996" t="str">
        <f>CONCATENATE(Programme!D3313,Programme!E3313,Programme!F3313,Programme!G3313,Programme!H3313,Programme!I3313,Programme!J3313)</f>
        <v>&lt;ValeurCellule&gt;</v>
      </c>
    </row>
    <row r="3313" spans="1:1" x14ac:dyDescent="0.2">
      <c r="A3313" s="996" t="str">
        <f>CONCATENATE(Programme!D3314,Programme!E3314,Programme!F3314,Programme!G3314,Programme!H3314,Programme!I3314,Programme!J3314)</f>
        <v>&lt;cellule&gt;&lt;codeEdi&gt;7830&lt;/codeEdi&gt;&lt;/cellule&gt;</v>
      </c>
    </row>
    <row r="3314" spans="1:1" x14ac:dyDescent="0.2">
      <c r="A3314" s="996" t="str">
        <f>CONCATENATE(Programme!D3315,Programme!E3315,Programme!F3315,Programme!G3315,Programme!H3315,Programme!I3315,Programme!J3315)</f>
        <v>&lt;valeur&gt;0&lt;/valeur&gt;</v>
      </c>
    </row>
    <row r="3315" spans="1:1" x14ac:dyDescent="0.2">
      <c r="A3315" s="996" t="str">
        <f>CONCATENATE(Programme!D3316,Programme!E3316,Programme!F3316,Programme!G3316,Programme!H3316,Programme!I3316,Programme!J3316)</f>
        <v>&lt;numeroLigne&gt;1&lt;/numeroLigne&gt;</v>
      </c>
    </row>
    <row r="3316" spans="1:1" x14ac:dyDescent="0.2">
      <c r="A3316" s="996" t="str">
        <f>CONCATENATE(Programme!D3317,Programme!E3317,Programme!F3317,Programme!G3317,Programme!H3317,Programme!I3317,Programme!J3317)</f>
        <v>&lt;/ValeurCellule&gt;</v>
      </c>
    </row>
    <row r="3317" spans="1:1" x14ac:dyDescent="0.2">
      <c r="A3317" s="996" t="str">
        <f>CONCATENATE(Programme!D3318,Programme!E3318,Programme!F3318,Programme!G3318,Programme!H3318,Programme!I3318,Programme!J3318)</f>
        <v>&lt;ValeurCellule&gt;</v>
      </c>
    </row>
    <row r="3318" spans="1:1" x14ac:dyDescent="0.2">
      <c r="A3318" s="996" t="str">
        <f>CONCATENATE(Programme!D3319,Programme!E3319,Programme!F3319,Programme!G3319,Programme!H3319,Programme!I3319,Programme!J3319)</f>
        <v>&lt;cellule&gt;&lt;codeEdi&gt;829&lt;/codeEdi&gt;&lt;/cellule&gt;</v>
      </c>
    </row>
    <row r="3319" spans="1:1" x14ac:dyDescent="0.2">
      <c r="A3319" s="996" t="str">
        <f>CONCATENATE(Programme!D3320,Programme!E3320,Programme!F3320,Programme!G3320,Programme!H3320,Programme!I3320,Programme!J3320)</f>
        <v>&lt;valeur&gt;&lt;/valeur&gt;</v>
      </c>
    </row>
    <row r="3320" spans="1:1" x14ac:dyDescent="0.2">
      <c r="A3320" s="996" t="str">
        <f>CONCATENATE(Programme!D3321,Programme!E3321,Programme!F3321,Programme!G3321,Programme!H3321,Programme!I3321,Programme!J3321)</f>
        <v>&lt;numeroLigne&gt;2&lt;/numeroLigne&gt;</v>
      </c>
    </row>
    <row r="3321" spans="1:1" x14ac:dyDescent="0.2">
      <c r="A3321" s="996" t="str">
        <f>CONCATENATE(Programme!D3322,Programme!E3322,Programme!F3322,Programme!G3322,Programme!H3322,Programme!I3322,Programme!J3322)</f>
        <v>&lt;/ValeurCellule&gt;</v>
      </c>
    </row>
    <row r="3322" spans="1:1" x14ac:dyDescent="0.2">
      <c r="A3322" s="996" t="str">
        <f>CONCATENATE(Programme!D3323,Programme!E3323,Programme!F3323,Programme!G3323,Programme!H3323,Programme!I3323,Programme!J3323)</f>
        <v>&lt;ValeurCellule&gt;</v>
      </c>
    </row>
    <row r="3323" spans="1:1" x14ac:dyDescent="0.2">
      <c r="A3323" s="996" t="str">
        <f>CONCATENATE(Programme!D3324,Programme!E3324,Programme!F3324,Programme!G3324,Programme!H3324,Programme!I3324,Programme!J3324)</f>
        <v>&lt;cellule&gt;&lt;codeEdi&gt;831&lt;/codeEdi&gt;&lt;/cellule&gt;</v>
      </c>
    </row>
    <row r="3324" spans="1:1" x14ac:dyDescent="0.2">
      <c r="A3324" s="996" t="str">
        <f>CONCATENATE(Programme!D3325,Programme!E3325,Programme!F3325,Programme!G3325,Programme!H3325,Programme!I3325,Programme!J3325)</f>
        <v>&lt;valeur&gt;0&lt;/valeur&gt;</v>
      </c>
    </row>
    <row r="3325" spans="1:1" x14ac:dyDescent="0.2">
      <c r="A3325" s="996" t="str">
        <f>CONCATENATE(Programme!D3326,Programme!E3326,Programme!F3326,Programme!G3326,Programme!H3326,Programme!I3326,Programme!J3326)</f>
        <v>&lt;numeroLigne&gt;2&lt;/numeroLigne&gt;</v>
      </c>
    </row>
    <row r="3326" spans="1:1" x14ac:dyDescent="0.2">
      <c r="A3326" s="996" t="str">
        <f>CONCATENATE(Programme!D3327,Programme!E3327,Programme!F3327,Programme!G3327,Programme!H3327,Programme!I3327,Programme!J3327)</f>
        <v>&lt;/ValeurCellule&gt;</v>
      </c>
    </row>
    <row r="3327" spans="1:1" x14ac:dyDescent="0.2">
      <c r="A3327" s="996" t="str">
        <f>CONCATENATE(Programme!D3328,Programme!E3328,Programme!F3328,Programme!G3328,Programme!H3328,Programme!I3328,Programme!J3328)</f>
        <v>&lt;ValeurCellule&gt;</v>
      </c>
    </row>
    <row r="3328" spans="1:1" x14ac:dyDescent="0.2">
      <c r="A3328" s="996" t="str">
        <f>CONCATENATE(Programme!D3329,Programme!E3329,Programme!F3329,Programme!G3329,Programme!H3329,Programme!I3329,Programme!J3329)</f>
        <v>&lt;cellule&gt;&lt;codeEdi&gt;7830&lt;/codeEdi&gt;&lt;/cellule&gt;</v>
      </c>
    </row>
    <row r="3329" spans="1:1" x14ac:dyDescent="0.2">
      <c r="A3329" s="996" t="str">
        <f>CONCATENATE(Programme!D3330,Programme!E3330,Programme!F3330,Programme!G3330,Programme!H3330,Programme!I3330,Programme!J3330)</f>
        <v>&lt;valeur&gt;0&lt;/valeur&gt;</v>
      </c>
    </row>
    <row r="3330" spans="1:1" x14ac:dyDescent="0.2">
      <c r="A3330" s="996" t="str">
        <f>CONCATENATE(Programme!D3331,Programme!E3331,Programme!F3331,Programme!G3331,Programme!H3331,Programme!I3331,Programme!J3331)</f>
        <v>&lt;numeroLigne&gt;2&lt;/numeroLigne&gt;</v>
      </c>
    </row>
    <row r="3331" spans="1:1" x14ac:dyDescent="0.2">
      <c r="A3331" s="996" t="str">
        <f>CONCATENATE(Programme!D3332,Programme!E3332,Programme!F3332,Programme!G3332,Programme!H3332,Programme!I3332,Programme!J3332)</f>
        <v>&lt;/ValeurCellule&gt;</v>
      </c>
    </row>
    <row r="3332" spans="1:1" x14ac:dyDescent="0.2">
      <c r="A3332" s="996" t="str">
        <f>CONCATENATE(Programme!D3333,Programme!E3333,Programme!F3333,Programme!G3333,Programme!H3333,Programme!I3333,Programme!J3333)</f>
        <v>&lt;ValeurCellule&gt;</v>
      </c>
    </row>
    <row r="3333" spans="1:1" x14ac:dyDescent="0.2">
      <c r="A3333" s="996" t="str">
        <f>CONCATENATE(Programme!D3334,Programme!E3334,Programme!F3334,Programme!G3334,Programme!H3334,Programme!I3334,Programme!J3334)</f>
        <v>&lt;cellule&gt;&lt;codeEdi&gt;829&lt;/codeEdi&gt;&lt;/cellule&gt;</v>
      </c>
    </row>
    <row r="3334" spans="1:1" x14ac:dyDescent="0.2">
      <c r="A3334" s="996" t="str">
        <f>CONCATENATE(Programme!D3335,Programme!E3335,Programme!F3335,Programme!G3335,Programme!H3335,Programme!I3335,Programme!J3335)</f>
        <v>&lt;valeur&gt;&lt;/valeur&gt;</v>
      </c>
    </row>
    <row r="3335" spans="1:1" x14ac:dyDescent="0.2">
      <c r="A3335" s="996" t="str">
        <f>CONCATENATE(Programme!D3336,Programme!E3336,Programme!F3336,Programme!G3336,Programme!H3336,Programme!I3336,Programme!J3336)</f>
        <v>&lt;numeroLigne&gt;3&lt;/numeroLigne&gt;</v>
      </c>
    </row>
    <row r="3336" spans="1:1" x14ac:dyDescent="0.2">
      <c r="A3336" s="996" t="str">
        <f>CONCATENATE(Programme!D3337,Programme!E3337,Programme!F3337,Programme!G3337,Programme!H3337,Programme!I3337,Programme!J3337)</f>
        <v>&lt;/ValeurCellule&gt;</v>
      </c>
    </row>
    <row r="3337" spans="1:1" x14ac:dyDescent="0.2">
      <c r="A3337" s="996" t="str">
        <f>CONCATENATE(Programme!D3338,Programme!E3338,Programme!F3338,Programme!G3338,Programme!H3338,Programme!I3338,Programme!J3338)</f>
        <v>&lt;ValeurCellule&gt;</v>
      </c>
    </row>
    <row r="3338" spans="1:1" x14ac:dyDescent="0.2">
      <c r="A3338" s="996" t="str">
        <f>CONCATENATE(Programme!D3339,Programme!E3339,Programme!F3339,Programme!G3339,Programme!H3339,Programme!I3339,Programme!J3339)</f>
        <v>&lt;cellule&gt;&lt;codeEdi&gt;831&lt;/codeEdi&gt;&lt;/cellule&gt;</v>
      </c>
    </row>
    <row r="3339" spans="1:1" x14ac:dyDescent="0.2">
      <c r="A3339" s="996" t="str">
        <f>CONCATENATE(Programme!D3340,Programme!E3340,Programme!F3340,Programme!G3340,Programme!H3340,Programme!I3340,Programme!J3340)</f>
        <v>&lt;valeur&gt;0&lt;/valeur&gt;</v>
      </c>
    </row>
    <row r="3340" spans="1:1" x14ac:dyDescent="0.2">
      <c r="A3340" s="996" t="str">
        <f>CONCATENATE(Programme!D3341,Programme!E3341,Programme!F3341,Programme!G3341,Programme!H3341,Programme!I3341,Programme!J3341)</f>
        <v>&lt;numeroLigne&gt;3&lt;/numeroLigne&gt;</v>
      </c>
    </row>
    <row r="3341" spans="1:1" x14ac:dyDescent="0.2">
      <c r="A3341" s="996" t="str">
        <f>CONCATENATE(Programme!D3342,Programme!E3342,Programme!F3342,Programme!G3342,Programme!H3342,Programme!I3342,Programme!J3342)</f>
        <v>&lt;/ValeurCellule&gt;</v>
      </c>
    </row>
    <row r="3342" spans="1:1" x14ac:dyDescent="0.2">
      <c r="A3342" s="996" t="str">
        <f>CONCATENATE(Programme!D3343,Programme!E3343,Programme!F3343,Programme!G3343,Programme!H3343,Programme!I3343,Programme!J3343)</f>
        <v>&lt;ValeurCellule&gt;</v>
      </c>
    </row>
    <row r="3343" spans="1:1" x14ac:dyDescent="0.2">
      <c r="A3343" s="996" t="str">
        <f>CONCATENATE(Programme!D3344,Programme!E3344,Programme!F3344,Programme!G3344,Programme!H3344,Programme!I3344,Programme!J3344)</f>
        <v>&lt;cellule&gt;&lt;codeEdi&gt;7830&lt;/codeEdi&gt;&lt;/cellule&gt;</v>
      </c>
    </row>
    <row r="3344" spans="1:1" x14ac:dyDescent="0.2">
      <c r="A3344" s="996" t="str">
        <f>CONCATENATE(Programme!D3345,Programme!E3345,Programme!F3345,Programme!G3345,Programme!H3345,Programme!I3345,Programme!J3345)</f>
        <v>&lt;valeur&gt;0&lt;/valeur&gt;</v>
      </c>
    </row>
    <row r="3345" spans="1:1" x14ac:dyDescent="0.2">
      <c r="A3345" s="996" t="str">
        <f>CONCATENATE(Programme!D3346,Programme!E3346,Programme!F3346,Programme!G3346,Programme!H3346,Programme!I3346,Programme!J3346)</f>
        <v>&lt;numeroLigne&gt;3&lt;/numeroLigne&gt;</v>
      </c>
    </row>
    <row r="3346" spans="1:1" x14ac:dyDescent="0.2">
      <c r="A3346" s="996" t="str">
        <f>CONCATENATE(Programme!D3347,Programme!E3347,Programme!F3347,Programme!G3347,Programme!H3347,Programme!I3347,Programme!J3347)</f>
        <v>&lt;/ValeurCellule&gt;</v>
      </c>
    </row>
    <row r="3347" spans="1:1" x14ac:dyDescent="0.2">
      <c r="A3347" s="996" t="str">
        <f>CONCATENATE(Programme!D3348,Programme!E3348,Programme!F3348,Programme!G3348,Programme!H3348,Programme!I3348,Programme!J3348)</f>
        <v>&lt;ValeurCellule&gt;</v>
      </c>
    </row>
    <row r="3348" spans="1:1" x14ac:dyDescent="0.2">
      <c r="A3348" s="996" t="str">
        <f>CONCATENATE(Programme!D3349,Programme!E3349,Programme!F3349,Programme!G3349,Programme!H3349,Programme!I3349,Programme!J3349)</f>
        <v>&lt;cellule&gt;&lt;codeEdi&gt;829&lt;/codeEdi&gt;&lt;/cellule&gt;</v>
      </c>
    </row>
    <row r="3349" spans="1:1" x14ac:dyDescent="0.2">
      <c r="A3349" s="996" t="str">
        <f>CONCATENATE(Programme!D3350,Programme!E3350,Programme!F3350,Programme!G3350,Programme!H3350,Programme!I3350,Programme!J3350)</f>
        <v>&lt;valeur&gt;&lt;/valeur&gt;</v>
      </c>
    </row>
    <row r="3350" spans="1:1" x14ac:dyDescent="0.2">
      <c r="A3350" s="996" t="str">
        <f>CONCATENATE(Programme!D3351,Programme!E3351,Programme!F3351,Programme!G3351,Programme!H3351,Programme!I3351,Programme!J3351)</f>
        <v>&lt;numeroLigne&gt;4&lt;/numeroLigne&gt;</v>
      </c>
    </row>
    <row r="3351" spans="1:1" x14ac:dyDescent="0.2">
      <c r="A3351" s="996" t="str">
        <f>CONCATENATE(Programme!D3352,Programme!E3352,Programme!F3352,Programme!G3352,Programme!H3352,Programme!I3352,Programme!J3352)</f>
        <v>&lt;/ValeurCellule&gt;</v>
      </c>
    </row>
    <row r="3352" spans="1:1" x14ac:dyDescent="0.2">
      <c r="A3352" s="996" t="str">
        <f>CONCATENATE(Programme!D3353,Programme!E3353,Programme!F3353,Programme!G3353,Programme!H3353,Programme!I3353,Programme!J3353)</f>
        <v>&lt;ValeurCellule&gt;</v>
      </c>
    </row>
    <row r="3353" spans="1:1" x14ac:dyDescent="0.2">
      <c r="A3353" s="996" t="str">
        <f>CONCATENATE(Programme!D3354,Programme!E3354,Programme!F3354,Programme!G3354,Programme!H3354,Programme!I3354,Programme!J3354)</f>
        <v>&lt;cellule&gt;&lt;codeEdi&gt;831&lt;/codeEdi&gt;&lt;/cellule&gt;</v>
      </c>
    </row>
    <row r="3354" spans="1:1" x14ac:dyDescent="0.2">
      <c r="A3354" s="996" t="str">
        <f>CONCATENATE(Programme!D3355,Programme!E3355,Programme!F3355,Programme!G3355,Programme!H3355,Programme!I3355,Programme!J3355)</f>
        <v>&lt;valeur&gt;0&lt;/valeur&gt;</v>
      </c>
    </row>
    <row r="3355" spans="1:1" x14ac:dyDescent="0.2">
      <c r="A3355" s="996" t="str">
        <f>CONCATENATE(Programme!D3356,Programme!E3356,Programme!F3356,Programme!G3356,Programme!H3356,Programme!I3356,Programme!J3356)</f>
        <v>&lt;numeroLigne&gt;4&lt;/numeroLigne&gt;</v>
      </c>
    </row>
    <row r="3356" spans="1:1" x14ac:dyDescent="0.2">
      <c r="A3356" s="996" t="str">
        <f>CONCATENATE(Programme!D3357,Programme!E3357,Programme!F3357,Programme!G3357,Programme!H3357,Programme!I3357,Programme!J3357)</f>
        <v>&lt;/ValeurCellule&gt;</v>
      </c>
    </row>
    <row r="3357" spans="1:1" x14ac:dyDescent="0.2">
      <c r="A3357" s="996" t="str">
        <f>CONCATENATE(Programme!D3358,Programme!E3358,Programme!F3358,Programme!G3358,Programme!H3358,Programme!I3358,Programme!J3358)</f>
        <v>&lt;ValeurCellule&gt;</v>
      </c>
    </row>
    <row r="3358" spans="1:1" x14ac:dyDescent="0.2">
      <c r="A3358" s="996" t="str">
        <f>CONCATENATE(Programme!D3359,Programme!E3359,Programme!F3359,Programme!G3359,Programme!H3359,Programme!I3359,Programme!J3359)</f>
        <v>&lt;cellule&gt;&lt;codeEdi&gt;7830&lt;/codeEdi&gt;&lt;/cellule&gt;</v>
      </c>
    </row>
    <row r="3359" spans="1:1" x14ac:dyDescent="0.2">
      <c r="A3359" s="996" t="str">
        <f>CONCATENATE(Programme!D3360,Programme!E3360,Programme!F3360,Programme!G3360,Programme!H3360,Programme!I3360,Programme!J3360)</f>
        <v>&lt;valeur&gt;0&lt;/valeur&gt;</v>
      </c>
    </row>
    <row r="3360" spans="1:1" x14ac:dyDescent="0.2">
      <c r="A3360" s="996" t="str">
        <f>CONCATENATE(Programme!D3361,Programme!E3361,Programme!F3361,Programme!G3361,Programme!H3361,Programme!I3361,Programme!J3361)</f>
        <v>&lt;numeroLigne&gt;4&lt;/numeroLigne&gt;</v>
      </c>
    </row>
    <row r="3361" spans="1:1" x14ac:dyDescent="0.2">
      <c r="A3361" s="996" t="str">
        <f>CONCATENATE(Programme!D3362,Programme!E3362,Programme!F3362,Programme!G3362,Programme!H3362,Programme!I3362,Programme!J3362)</f>
        <v>&lt;/ValeurCellule&gt;</v>
      </c>
    </row>
    <row r="3362" spans="1:1" x14ac:dyDescent="0.2">
      <c r="A3362" s="996" t="str">
        <f>CONCATENATE(Programme!D3363,Programme!E3363,Programme!F3363,Programme!G3363,Programme!H3363,Programme!I3363,Programme!J3363)</f>
        <v>&lt;ValeurCellule&gt;</v>
      </c>
    </row>
    <row r="3363" spans="1:1" x14ac:dyDescent="0.2">
      <c r="A3363" s="996" t="str">
        <f>CONCATENATE(Programme!D3364,Programme!E3364,Programme!F3364,Programme!G3364,Programme!H3364,Programme!I3364,Programme!J3364)</f>
        <v>&lt;cellule&gt;&lt;codeEdi&gt;829&lt;/codeEdi&gt;&lt;/cellule&gt;</v>
      </c>
    </row>
    <row r="3364" spans="1:1" x14ac:dyDescent="0.2">
      <c r="A3364" s="996" t="str">
        <f>CONCATENATE(Programme!D3365,Programme!E3365,Programme!F3365,Programme!G3365,Programme!H3365,Programme!I3365,Programme!J3365)</f>
        <v>&lt;valeur&gt;&lt;/valeur&gt;</v>
      </c>
    </row>
    <row r="3365" spans="1:1" x14ac:dyDescent="0.2">
      <c r="A3365" s="996" t="str">
        <f>CONCATENATE(Programme!D3366,Programme!E3366,Programme!F3366,Programme!G3366,Programme!H3366,Programme!I3366,Programme!J3366)</f>
        <v>&lt;numeroLigne&gt;5&lt;/numeroLigne&gt;</v>
      </c>
    </row>
    <row r="3366" spans="1:1" x14ac:dyDescent="0.2">
      <c r="A3366" s="996" t="str">
        <f>CONCATENATE(Programme!D3367,Programme!E3367,Programme!F3367,Programme!G3367,Programme!H3367,Programme!I3367,Programme!J3367)</f>
        <v>&lt;/ValeurCellule&gt;</v>
      </c>
    </row>
    <row r="3367" spans="1:1" x14ac:dyDescent="0.2">
      <c r="A3367" s="996" t="str">
        <f>CONCATENATE(Programme!D3368,Programme!E3368,Programme!F3368,Programme!G3368,Programme!H3368,Programme!I3368,Programme!J3368)</f>
        <v>&lt;ValeurCellule&gt;</v>
      </c>
    </row>
    <row r="3368" spans="1:1" x14ac:dyDescent="0.2">
      <c r="A3368" s="996" t="str">
        <f>CONCATENATE(Programme!D3369,Programme!E3369,Programme!F3369,Programme!G3369,Programme!H3369,Programme!I3369,Programme!J3369)</f>
        <v>&lt;cellule&gt;&lt;codeEdi&gt;831&lt;/codeEdi&gt;&lt;/cellule&gt;</v>
      </c>
    </row>
    <row r="3369" spans="1:1" x14ac:dyDescent="0.2">
      <c r="A3369" s="996" t="str">
        <f>CONCATENATE(Programme!D3370,Programme!E3370,Programme!F3370,Programme!G3370,Programme!H3370,Programme!I3370,Programme!J3370)</f>
        <v>&lt;valeur&gt;0&lt;/valeur&gt;</v>
      </c>
    </row>
    <row r="3370" spans="1:1" x14ac:dyDescent="0.2">
      <c r="A3370" s="996" t="str">
        <f>CONCATENATE(Programme!D3371,Programme!E3371,Programme!F3371,Programme!G3371,Programme!H3371,Programme!I3371,Programme!J3371)</f>
        <v>&lt;numeroLigne&gt;5&lt;/numeroLigne&gt;</v>
      </c>
    </row>
    <row r="3371" spans="1:1" x14ac:dyDescent="0.2">
      <c r="A3371" s="996" t="str">
        <f>CONCATENATE(Programme!D3372,Programme!E3372,Programme!F3372,Programme!G3372,Programme!H3372,Programme!I3372,Programme!J3372)</f>
        <v>&lt;/ValeurCellule&gt;</v>
      </c>
    </row>
    <row r="3372" spans="1:1" x14ac:dyDescent="0.2">
      <c r="A3372" s="996" t="str">
        <f>CONCATENATE(Programme!D3373,Programme!E3373,Programme!F3373,Programme!G3373,Programme!H3373,Programme!I3373,Programme!J3373)</f>
        <v>&lt;ValeurCellule&gt;</v>
      </c>
    </row>
    <row r="3373" spans="1:1" x14ac:dyDescent="0.2">
      <c r="A3373" s="996" t="str">
        <f>CONCATENATE(Programme!D3374,Programme!E3374,Programme!F3374,Programme!G3374,Programme!H3374,Programme!I3374,Programme!J3374)</f>
        <v>&lt;cellule&gt;&lt;codeEdi&gt;7830&lt;/codeEdi&gt;&lt;/cellule&gt;</v>
      </c>
    </row>
    <row r="3374" spans="1:1" x14ac:dyDescent="0.2">
      <c r="A3374" s="996" t="str">
        <f>CONCATENATE(Programme!D3375,Programme!E3375,Programme!F3375,Programme!G3375,Programme!H3375,Programme!I3375,Programme!J3375)</f>
        <v>&lt;valeur&gt;0&lt;/valeur&gt;</v>
      </c>
    </row>
    <row r="3375" spans="1:1" x14ac:dyDescent="0.2">
      <c r="A3375" s="996" t="str">
        <f>CONCATENATE(Programme!D3376,Programme!E3376,Programme!F3376,Programme!G3376,Programme!H3376,Programme!I3376,Programme!J3376)</f>
        <v>&lt;numeroLigne&gt;5&lt;/numeroLigne&gt;</v>
      </c>
    </row>
    <row r="3376" spans="1:1" x14ac:dyDescent="0.2">
      <c r="A3376" s="996" t="str">
        <f>CONCATENATE(Programme!D3377,Programme!E3377,Programme!F3377,Programme!G3377,Programme!H3377,Programme!I3377,Programme!J3377)</f>
        <v>&lt;/ValeurCellule&gt;</v>
      </c>
    </row>
    <row r="3377" spans="1:1" x14ac:dyDescent="0.2">
      <c r="A3377" s="996" t="str">
        <f>CONCATENATE(Programme!D3378,Programme!E3378,Programme!F3378,Programme!G3378,Programme!H3378,Programme!I3378,Programme!J3378)</f>
        <v>&lt;ValeurCellule&gt;</v>
      </c>
    </row>
    <row r="3378" spans="1:1" x14ac:dyDescent="0.2">
      <c r="A3378" s="996" t="str">
        <f>CONCATENATE(Programme!D3379,Programme!E3379,Programme!F3379,Programme!G3379,Programme!H3379,Programme!I3379,Programme!J3379)</f>
        <v>&lt;cellule&gt;&lt;codeEdi&gt;829&lt;/codeEdi&gt;&lt;/cellule&gt;</v>
      </c>
    </row>
    <row r="3379" spans="1:1" x14ac:dyDescent="0.2">
      <c r="A3379" s="996" t="str">
        <f>CONCATENATE(Programme!D3380,Programme!E3380,Programme!F3380,Programme!G3380,Programme!H3380,Programme!I3380,Programme!J3380)</f>
        <v>&lt;valeur&gt;&lt;/valeur&gt;</v>
      </c>
    </row>
    <row r="3380" spans="1:1" x14ac:dyDescent="0.2">
      <c r="A3380" s="996" t="str">
        <f>CONCATENATE(Programme!D3381,Programme!E3381,Programme!F3381,Programme!G3381,Programme!H3381,Programme!I3381,Programme!J3381)</f>
        <v>&lt;numeroLigne&gt;6&lt;/numeroLigne&gt;</v>
      </c>
    </row>
    <row r="3381" spans="1:1" x14ac:dyDescent="0.2">
      <c r="A3381" s="996" t="str">
        <f>CONCATENATE(Programme!D3382,Programme!E3382,Programme!F3382,Programme!G3382,Programme!H3382,Programme!I3382,Programme!J3382)</f>
        <v>&lt;/ValeurCellule&gt;</v>
      </c>
    </row>
    <row r="3382" spans="1:1" x14ac:dyDescent="0.2">
      <c r="A3382" s="996" t="str">
        <f>CONCATENATE(Programme!D3383,Programme!E3383,Programme!F3383,Programme!G3383,Programme!H3383,Programme!I3383,Programme!J3383)</f>
        <v>&lt;ValeurCellule&gt;</v>
      </c>
    </row>
    <row r="3383" spans="1:1" x14ac:dyDescent="0.2">
      <c r="A3383" s="996" t="str">
        <f>CONCATENATE(Programme!D3384,Programme!E3384,Programme!F3384,Programme!G3384,Programme!H3384,Programme!I3384,Programme!J3384)</f>
        <v>&lt;cellule&gt;&lt;codeEdi&gt;831&lt;/codeEdi&gt;&lt;/cellule&gt;</v>
      </c>
    </row>
    <row r="3384" spans="1:1" x14ac:dyDescent="0.2">
      <c r="A3384" s="996" t="str">
        <f>CONCATENATE(Programme!D3385,Programme!E3385,Programme!F3385,Programme!G3385,Programme!H3385,Programme!I3385,Programme!J3385)</f>
        <v>&lt;valeur&gt;0&lt;/valeur&gt;</v>
      </c>
    </row>
    <row r="3385" spans="1:1" x14ac:dyDescent="0.2">
      <c r="A3385" s="996" t="str">
        <f>CONCATENATE(Programme!D3386,Programme!E3386,Programme!F3386,Programme!G3386,Programme!H3386,Programme!I3386,Programme!J3386)</f>
        <v>&lt;numeroLigne&gt;6&lt;/numeroLigne&gt;</v>
      </c>
    </row>
    <row r="3386" spans="1:1" x14ac:dyDescent="0.2">
      <c r="A3386" s="996" t="str">
        <f>CONCATENATE(Programme!D3387,Programme!E3387,Programme!F3387,Programme!G3387,Programme!H3387,Programme!I3387,Programme!J3387)</f>
        <v>&lt;/ValeurCellule&gt;</v>
      </c>
    </row>
    <row r="3387" spans="1:1" x14ac:dyDescent="0.2">
      <c r="A3387" s="996" t="str">
        <f>CONCATENATE(Programme!D3388,Programme!E3388,Programme!F3388,Programme!G3388,Programme!H3388,Programme!I3388,Programme!J3388)</f>
        <v>&lt;ValeurCellule&gt;</v>
      </c>
    </row>
    <row r="3388" spans="1:1" x14ac:dyDescent="0.2">
      <c r="A3388" s="996" t="str">
        <f>CONCATENATE(Programme!D3389,Programme!E3389,Programme!F3389,Programme!G3389,Programme!H3389,Programme!I3389,Programme!J3389)</f>
        <v>&lt;cellule&gt;&lt;codeEdi&gt;7830&lt;/codeEdi&gt;&lt;/cellule&gt;</v>
      </c>
    </row>
    <row r="3389" spans="1:1" x14ac:dyDescent="0.2">
      <c r="A3389" s="996" t="str">
        <f>CONCATENATE(Programme!D3390,Programme!E3390,Programme!F3390,Programme!G3390,Programme!H3390,Programme!I3390,Programme!J3390)</f>
        <v>&lt;valeur&gt;0&lt;/valeur&gt;</v>
      </c>
    </row>
    <row r="3390" spans="1:1" x14ac:dyDescent="0.2">
      <c r="A3390" s="996" t="str">
        <f>CONCATENATE(Programme!D3391,Programme!E3391,Programme!F3391,Programme!G3391,Programme!H3391,Programme!I3391,Programme!J3391)</f>
        <v>&lt;numeroLigne&gt;6&lt;/numeroLigne&gt;</v>
      </c>
    </row>
    <row r="3391" spans="1:1" x14ac:dyDescent="0.2">
      <c r="A3391" s="996" t="str">
        <f>CONCATENATE(Programme!D3392,Programme!E3392,Programme!F3392,Programme!G3392,Programme!H3392,Programme!I3392,Programme!J3392)</f>
        <v>&lt;/ValeurCellule&gt;</v>
      </c>
    </row>
    <row r="3392" spans="1:1" x14ac:dyDescent="0.2">
      <c r="A3392" s="996" t="str">
        <f>CONCATENATE(Programme!D3393,Programme!E3393,Programme!F3393,Programme!G3393,Programme!H3393,Programme!I3393,Programme!J3393)</f>
        <v>&lt;ValeurCellule&gt;</v>
      </c>
    </row>
    <row r="3393" spans="1:1" x14ac:dyDescent="0.2">
      <c r="A3393" s="996" t="str">
        <f>CONCATENATE(Programme!D3394,Programme!E3394,Programme!F3394,Programme!G3394,Programme!H3394,Programme!I3394,Programme!J3394)</f>
        <v>&lt;cellule&gt;</v>
      </c>
    </row>
    <row r="3394" spans="1:1" x14ac:dyDescent="0.2">
      <c r="A3394" s="996" t="str">
        <f>CONCATENATE(Programme!D3395,Programme!E3395,Programme!F3395,Programme!G3395,Programme!H3395,Programme!I3395,Programme!J3395)</f>
        <v>&lt;codeEdi&gt;833&lt;/codeEdi&gt;</v>
      </c>
    </row>
    <row r="3395" spans="1:1" x14ac:dyDescent="0.2">
      <c r="A3395" s="996" t="str">
        <f>CONCATENATE(Programme!D3396,Programme!E3396,Programme!F3396,Programme!G3396,Programme!H3396,Programme!I3396,Programme!J3396)</f>
        <v>&lt;/cellule&gt;</v>
      </c>
    </row>
    <row r="3396" spans="1:1" x14ac:dyDescent="0.2">
      <c r="A3396" s="996" t="str">
        <f>CONCATENATE(Programme!D3397,Programme!E3397,Programme!F3397,Programme!G3397,Programme!H3397,Programme!I3397,Programme!J3397)</f>
        <v>&lt;valeur&gt;0&lt;/valeur&gt;</v>
      </c>
    </row>
    <row r="3397" spans="1:1" x14ac:dyDescent="0.2">
      <c r="A3397" s="996" t="str">
        <f>CONCATENATE(Programme!D3398,Programme!E3398,Programme!F3398,Programme!G3398,Programme!H3398,Programme!I3398,Programme!J3398)</f>
        <v>&lt;/ValeurCellule&gt;</v>
      </c>
    </row>
    <row r="3398" spans="1:1" x14ac:dyDescent="0.2">
      <c r="A3398" s="996" t="str">
        <f>CONCATENATE(Programme!D3399,Programme!E3399,Programme!F3399,Programme!G3399,Programme!H3399,Programme!I3399,Programme!J3399)</f>
        <v>&lt;ValeurCellule&gt;</v>
      </c>
    </row>
    <row r="3399" spans="1:1" x14ac:dyDescent="0.2">
      <c r="A3399" s="996" t="str">
        <f>CONCATENATE(Programme!D3400,Programme!E3400,Programme!F3400,Programme!G3400,Programme!H3400,Programme!I3400,Programme!J3400)</f>
        <v>&lt;cellule&gt;</v>
      </c>
    </row>
    <row r="3400" spans="1:1" x14ac:dyDescent="0.2">
      <c r="A3400" s="996" t="str">
        <f>CONCATENATE(Programme!D3401,Programme!E3401,Programme!F3401,Programme!G3401,Programme!H3401,Programme!I3401,Programme!J3401)</f>
        <v>&lt;codeEdi&gt;834&lt;/codeEdi&gt;</v>
      </c>
    </row>
    <row r="3401" spans="1:1" x14ac:dyDescent="0.2">
      <c r="A3401" s="996" t="str">
        <f>CONCATENATE(Programme!D3402,Programme!E3402,Programme!F3402,Programme!G3402,Programme!H3402,Programme!I3402,Programme!J3402)</f>
        <v>&lt;/cellule&gt;</v>
      </c>
    </row>
    <row r="3402" spans="1:1" x14ac:dyDescent="0.2">
      <c r="A3402" s="996" t="str">
        <f>CONCATENATE(Programme!D3403,Programme!E3403,Programme!F3403,Programme!G3403,Programme!H3403,Programme!I3403,Programme!J3403)</f>
        <v>&lt;valeur&gt;0&lt;/valeur&gt;</v>
      </c>
    </row>
    <row r="3403" spans="1:1" x14ac:dyDescent="0.2">
      <c r="A3403" s="996" t="str">
        <f>CONCATENATE(Programme!D3404,Programme!E3404,Programme!F3404,Programme!G3404,Programme!H3404,Programme!I3404,Programme!J3404)</f>
        <v>&lt;/ValeurCellule&gt;</v>
      </c>
    </row>
    <row r="3404" spans="1:1" x14ac:dyDescent="0.2">
      <c r="A3404" s="996" t="str">
        <f>CONCATENATE(Programme!D3405,Programme!E3405,Programme!F3405,Programme!G3405,Programme!H3405,Programme!I3405,Programme!J3405)</f>
        <v>&lt;ValeurCellule&gt;</v>
      </c>
    </row>
    <row r="3405" spans="1:1" x14ac:dyDescent="0.2">
      <c r="A3405" s="996" t="str">
        <f>CONCATENATE(Programme!D3406,Programme!E3406,Programme!F3406,Programme!G3406,Programme!H3406,Programme!I3406,Programme!J3406)</f>
        <v>&lt;cellule&gt;</v>
      </c>
    </row>
    <row r="3406" spans="1:1" x14ac:dyDescent="0.2">
      <c r="A3406" s="996" t="str">
        <f>CONCATENATE(Programme!D3407,Programme!E3407,Programme!F3407,Programme!G3407,Programme!H3407,Programme!I3407,Programme!J3407)</f>
        <v>&lt;codeEdi&gt;837&lt;/codeEdi&gt;</v>
      </c>
    </row>
    <row r="3407" spans="1:1" x14ac:dyDescent="0.2">
      <c r="A3407" s="996" t="str">
        <f>CONCATENATE(Programme!D3408,Programme!E3408,Programme!F3408,Programme!G3408,Programme!H3408,Programme!I3408,Programme!J3408)</f>
        <v>&lt;/cellule&gt;</v>
      </c>
    </row>
    <row r="3408" spans="1:1" x14ac:dyDescent="0.2">
      <c r="A3408" s="996" t="str">
        <f>CONCATENATE(Programme!D3409,Programme!E3409,Programme!F3409,Programme!G3409,Programme!H3409,Programme!I3409,Programme!J3409)</f>
        <v>&lt;valeur&gt;0&lt;/valeur&gt;</v>
      </c>
    </row>
    <row r="3409" spans="1:1" x14ac:dyDescent="0.2">
      <c r="A3409" s="996" t="str">
        <f>CONCATENATE(Programme!D3410,Programme!E3410,Programme!F3410,Programme!G3410,Programme!H3410,Programme!I3410,Programme!J3410)</f>
        <v>&lt;/ValeurCellule&gt;</v>
      </c>
    </row>
    <row r="3410" spans="1:1" x14ac:dyDescent="0.2">
      <c r="A3410" s="996" t="str">
        <f>CONCATENATE(Programme!D3411,Programme!E3411,Programme!F3411,Programme!G3411,Programme!H3411,Programme!I3411,Programme!J3411)</f>
        <v>&lt;ValeurCellule&gt;</v>
      </c>
    </row>
    <row r="3411" spans="1:1" x14ac:dyDescent="0.2">
      <c r="A3411" s="996" t="str">
        <f>CONCATENATE(Programme!D3412,Programme!E3412,Programme!F3412,Programme!G3412,Programme!H3412,Programme!I3412,Programme!J3412)</f>
        <v>&lt;cellule&gt;</v>
      </c>
    </row>
    <row r="3412" spans="1:1" x14ac:dyDescent="0.2">
      <c r="A3412" s="996" t="str">
        <f>CONCATENATE(Programme!D3413,Programme!E3413,Programme!F3413,Programme!G3413,Programme!H3413,Programme!I3413,Programme!J3413)</f>
        <v>&lt;codeEdi&gt;838&lt;/codeEdi&gt;</v>
      </c>
    </row>
    <row r="3413" spans="1:1" x14ac:dyDescent="0.2">
      <c r="A3413" s="996" t="str">
        <f>CONCATENATE(Programme!D3414,Programme!E3414,Programme!F3414,Programme!G3414,Programme!H3414,Programme!I3414,Programme!J3414)</f>
        <v>&lt;/cellule&gt;</v>
      </c>
    </row>
    <row r="3414" spans="1:1" x14ac:dyDescent="0.2">
      <c r="A3414" s="996" t="str">
        <f>CONCATENATE(Programme!D3415,Programme!E3415,Programme!F3415,Programme!G3415,Programme!H3415,Programme!I3415,Programme!J3415)</f>
        <v>&lt;valeur&gt;&lt;/valeur&gt;</v>
      </c>
    </row>
    <row r="3415" spans="1:1" x14ac:dyDescent="0.2">
      <c r="A3415" s="996" t="str">
        <f>CONCATENATE(Programme!D3416,Programme!E3416,Programme!F3416,Programme!G3416,Programme!H3416,Programme!I3416,Programme!J3416)</f>
        <v>&lt;/ValeurCellule&gt;</v>
      </c>
    </row>
    <row r="3416" spans="1:1" x14ac:dyDescent="0.2">
      <c r="A3416" s="996" t="str">
        <f>CONCATENATE(Programme!D3417,Programme!E3417,Programme!F3417,Programme!G3417,Programme!H3417,Programme!I3417,Programme!J3417)</f>
        <v>&lt;ValeurCellule&gt;</v>
      </c>
    </row>
    <row r="3417" spans="1:1" x14ac:dyDescent="0.2">
      <c r="A3417" s="996" t="str">
        <f>CONCATENATE(Programme!D3418,Programme!E3418,Programme!F3418,Programme!G3418,Programme!H3418,Programme!I3418,Programme!J3418)</f>
        <v>&lt;cellule&gt;</v>
      </c>
    </row>
    <row r="3418" spans="1:1" x14ac:dyDescent="0.2">
      <c r="A3418" s="996" t="str">
        <f>CONCATENATE(Programme!D3419,Programme!E3419,Programme!F3419,Programme!G3419,Programme!H3419,Programme!I3419,Programme!J3419)</f>
        <v>&lt;codeEdi&gt;839&lt;/codeEdi&gt;</v>
      </c>
    </row>
    <row r="3419" spans="1:1" x14ac:dyDescent="0.2">
      <c r="A3419" s="996" t="str">
        <f>CONCATENATE(Programme!D3420,Programme!E3420,Programme!F3420,Programme!G3420,Programme!H3420,Programme!I3420,Programme!J3420)</f>
        <v>&lt;/cellule&gt;</v>
      </c>
    </row>
    <row r="3420" spans="1:1" x14ac:dyDescent="0.2">
      <c r="A3420" s="996" t="str">
        <f>CONCATENATE(Programme!D3421,Programme!E3421,Programme!F3421,Programme!G3421,Programme!H3421,Programme!I3421,Programme!J3421)</f>
        <v>&lt;valeur&gt;&lt;/valeur&gt;</v>
      </c>
    </row>
    <row r="3421" spans="1:1" x14ac:dyDescent="0.2">
      <c r="A3421" s="996" t="str">
        <f>CONCATENATE(Programme!D3422,Programme!E3422,Programme!F3422,Programme!G3422,Programme!H3422,Programme!I3422,Programme!J3422)</f>
        <v>&lt;/ValeurCellule&gt;</v>
      </c>
    </row>
    <row r="3422" spans="1:1" x14ac:dyDescent="0.2">
      <c r="A3422" s="996" t="str">
        <f>CONCATENATE(Programme!D3423,Programme!E3423,Programme!F3423,Programme!G3423,Programme!H3423,Programme!I3423,Programme!J3423)</f>
        <v>&lt;ValeurCellule&gt;</v>
      </c>
    </row>
    <row r="3423" spans="1:1" x14ac:dyDescent="0.2">
      <c r="A3423" s="996" t="str">
        <f>CONCATENATE(Programme!D3424,Programme!E3424,Programme!F3424,Programme!G3424,Programme!H3424,Programme!I3424,Programme!J3424)</f>
        <v>&lt;cellule&gt;</v>
      </c>
    </row>
    <row r="3424" spans="1:1" x14ac:dyDescent="0.2">
      <c r="A3424" s="996" t="str">
        <f>CONCATENATE(Programme!D3425,Programme!E3425,Programme!F3425,Programme!G3425,Programme!H3425,Programme!I3425,Programme!J3425)</f>
        <v>&lt;codeEdi&gt;840&lt;/codeEdi&gt;</v>
      </c>
    </row>
    <row r="3425" spans="1:1" x14ac:dyDescent="0.2">
      <c r="A3425" s="996" t="str">
        <f>CONCATENATE(Programme!D3426,Programme!E3426,Programme!F3426,Programme!G3426,Programme!H3426,Programme!I3426,Programme!J3426)</f>
        <v>&lt;/cellule&gt;</v>
      </c>
    </row>
    <row r="3426" spans="1:1" x14ac:dyDescent="0.2">
      <c r="A3426" s="996" t="str">
        <f>CONCATENATE(Programme!D3427,Programme!E3427,Programme!F3427,Programme!G3427,Programme!H3427,Programme!I3427,Programme!J3427)</f>
        <v>&lt;valeur&gt;0&lt;/valeur&gt;</v>
      </c>
    </row>
    <row r="3427" spans="1:1" x14ac:dyDescent="0.2">
      <c r="A3427" s="996" t="str">
        <f>CONCATENATE(Programme!D3428,Programme!E3428,Programme!F3428,Programme!G3428,Programme!H3428,Programme!I3428,Programme!J3428)</f>
        <v>&lt;/ValeurCellule&gt;</v>
      </c>
    </row>
    <row r="3428" spans="1:1" x14ac:dyDescent="0.2">
      <c r="A3428" s="996" t="str">
        <f>CONCATENATE(Programme!D3429,Programme!E3429,Programme!F3429,Programme!G3429,Programme!H3429,Programme!I3429,Programme!J3429)</f>
        <v>&lt;ValeurCellule&gt;</v>
      </c>
    </row>
    <row r="3429" spans="1:1" x14ac:dyDescent="0.2">
      <c r="A3429" s="996" t="str">
        <f>CONCATENATE(Programme!D3430,Programme!E3430,Programme!F3430,Programme!G3430,Programme!H3430,Programme!I3430,Programme!J3430)</f>
        <v>&lt;cellule&gt;</v>
      </c>
    </row>
    <row r="3430" spans="1:1" x14ac:dyDescent="0.2">
      <c r="A3430" s="996" t="str">
        <f>CONCATENATE(Programme!D3431,Programme!E3431,Programme!F3431,Programme!G3431,Programme!H3431,Programme!I3431,Programme!J3431)</f>
        <v>&lt;codeEdi&gt;845&lt;/codeEdi&gt;</v>
      </c>
    </row>
    <row r="3431" spans="1:1" x14ac:dyDescent="0.2">
      <c r="A3431" s="996" t="str">
        <f>CONCATENATE(Programme!D3432,Programme!E3432,Programme!F3432,Programme!G3432,Programme!H3432,Programme!I3432,Programme!J3432)</f>
        <v>&lt;/cellule&gt;</v>
      </c>
    </row>
    <row r="3432" spans="1:1" x14ac:dyDescent="0.2">
      <c r="A3432" s="996" t="str">
        <f>CONCATENATE(Programme!D3433,Programme!E3433,Programme!F3433,Programme!G3433,Programme!H3433,Programme!I3433,Programme!J3433)</f>
        <v>&lt;valeur&gt;&lt;/valeur&gt;</v>
      </c>
    </row>
    <row r="3433" spans="1:1" x14ac:dyDescent="0.2">
      <c r="A3433" s="996" t="str">
        <f>CONCATENATE(Programme!D3434,Programme!E3434,Programme!F3434,Programme!G3434,Programme!H3434,Programme!I3434,Programme!J3434)</f>
        <v>&lt;/ValeurCellule&gt;</v>
      </c>
    </row>
    <row r="3434" spans="1:1" x14ac:dyDescent="0.2">
      <c r="A3434" s="996" t="str">
        <f>CONCATENATE(Programme!D3435,Programme!E3435,Programme!F3435,Programme!G3435,Programme!H3435,Programme!I3435,Programme!J3435)</f>
        <v>&lt;ValeurCellule&gt;</v>
      </c>
    </row>
    <row r="3435" spans="1:1" x14ac:dyDescent="0.2">
      <c r="A3435" s="996" t="str">
        <f>CONCATENATE(Programme!D3436,Programme!E3436,Programme!F3436,Programme!G3436,Programme!H3436,Programme!I3436,Programme!J3436)</f>
        <v>&lt;cellule&gt;</v>
      </c>
    </row>
    <row r="3436" spans="1:1" x14ac:dyDescent="0.2">
      <c r="A3436" s="996" t="str">
        <f>CONCATENATE(Programme!D3437,Programme!E3437,Programme!F3437,Programme!G3437,Programme!H3437,Programme!I3437,Programme!J3437)</f>
        <v>&lt;codeEdi&gt;846&lt;/codeEdi&gt;</v>
      </c>
    </row>
    <row r="3437" spans="1:1" x14ac:dyDescent="0.2">
      <c r="A3437" s="996" t="str">
        <f>CONCATENATE(Programme!D3438,Programme!E3438,Programme!F3438,Programme!G3438,Programme!H3438,Programme!I3438,Programme!J3438)</f>
        <v>&lt;/cellule&gt;</v>
      </c>
    </row>
    <row r="3438" spans="1:1" x14ac:dyDescent="0.2">
      <c r="A3438" s="996" t="str">
        <f>CONCATENATE(Programme!D3439,Programme!E3439,Programme!F3439,Programme!G3439,Programme!H3439,Programme!I3439,Programme!J3439)</f>
        <v>&lt;valeur&gt;&lt;/valeur&gt;</v>
      </c>
    </row>
    <row r="3439" spans="1:1" x14ac:dyDescent="0.2">
      <c r="A3439" s="996" t="str">
        <f>CONCATENATE(Programme!D3440,Programme!E3440,Programme!F3440,Programme!G3440,Programme!H3440,Programme!I3440,Programme!J3440)</f>
        <v>&lt;/ValeurCellule&gt;</v>
      </c>
    </row>
    <row r="3440" spans="1:1" x14ac:dyDescent="0.2">
      <c r="A3440" s="996" t="str">
        <f>CONCATENATE(Programme!D3441,Programme!E3441,Programme!F3441,Programme!G3441,Programme!H3441,Programme!I3441,Programme!J3441)</f>
        <v>&lt;ValeurCellule&gt;</v>
      </c>
    </row>
    <row r="3441" spans="1:1" x14ac:dyDescent="0.2">
      <c r="A3441" s="996" t="str">
        <f>CONCATENATE(Programme!D3442,Programme!E3442,Programme!F3442,Programme!G3442,Programme!H3442,Programme!I3442,Programme!J3442)</f>
        <v>&lt;cellule&gt;</v>
      </c>
    </row>
    <row r="3442" spans="1:1" x14ac:dyDescent="0.2">
      <c r="A3442" s="996" t="str">
        <f>CONCATENATE(Programme!D3443,Programme!E3443,Programme!F3443,Programme!G3443,Programme!H3443,Programme!I3443,Programme!J3443)</f>
        <v>&lt;codeEdi&gt;847&lt;/codeEdi&gt;</v>
      </c>
    </row>
    <row r="3443" spans="1:1" x14ac:dyDescent="0.2">
      <c r="A3443" s="996" t="str">
        <f>CONCATENATE(Programme!D3444,Programme!E3444,Programme!F3444,Programme!G3444,Programme!H3444,Programme!I3444,Programme!J3444)</f>
        <v>&lt;/cellule&gt;</v>
      </c>
    </row>
    <row r="3444" spans="1:1" x14ac:dyDescent="0.2">
      <c r="A3444" s="996" t="str">
        <f>CONCATENATE(Programme!D3445,Programme!E3445,Programme!F3445,Programme!G3445,Programme!H3445,Programme!I3445,Programme!J3445)</f>
        <v>&lt;valeur&gt;&lt;/valeur&gt;</v>
      </c>
    </row>
    <row r="3445" spans="1:1" x14ac:dyDescent="0.2">
      <c r="A3445" s="996" t="str">
        <f>CONCATENATE(Programme!D3446,Programme!E3446,Programme!F3446,Programme!G3446,Programme!H3446,Programme!I3446,Programme!J3446)</f>
        <v>&lt;/ValeurCellule&gt;</v>
      </c>
    </row>
    <row r="3446" spans="1:1" x14ac:dyDescent="0.2">
      <c r="A3446" s="996" t="str">
        <f>CONCATENATE(Programme!D3447,Programme!E3447,Programme!F3447,Programme!G3447,Programme!H3447,Programme!I3447,Programme!J3447)</f>
        <v>&lt;ValeurCellule&gt;</v>
      </c>
    </row>
    <row r="3447" spans="1:1" x14ac:dyDescent="0.2">
      <c r="A3447" s="996" t="str">
        <f>CONCATENATE(Programme!D3448,Programme!E3448,Programme!F3448,Programme!G3448,Programme!H3448,Programme!I3448,Programme!J3448)</f>
        <v>&lt;cellule&gt;</v>
      </c>
    </row>
    <row r="3448" spans="1:1" x14ac:dyDescent="0.2">
      <c r="A3448" s="996" t="str">
        <f>CONCATENATE(Programme!D3449,Programme!E3449,Programme!F3449,Programme!G3449,Programme!H3449,Programme!I3449,Programme!J3449)</f>
        <v>&lt;codeEdi&gt;848&lt;/codeEdi&gt;</v>
      </c>
    </row>
    <row r="3449" spans="1:1" x14ac:dyDescent="0.2">
      <c r="A3449" s="996" t="str">
        <f>CONCATENATE(Programme!D3450,Programme!E3450,Programme!F3450,Programme!G3450,Programme!H3450,Programme!I3450,Programme!J3450)</f>
        <v>&lt;/cellule&gt;</v>
      </c>
    </row>
    <row r="3450" spans="1:1" x14ac:dyDescent="0.2">
      <c r="A3450" s="996" t="str">
        <f>CONCATENATE(Programme!D3451,Programme!E3451,Programme!F3451,Programme!G3451,Programme!H3451,Programme!I3451,Programme!J3451)</f>
        <v>&lt;valeur&gt;&lt;/valeur&gt;</v>
      </c>
    </row>
    <row r="3451" spans="1:1" x14ac:dyDescent="0.2">
      <c r="A3451" s="996" t="str">
        <f>CONCATENATE(Programme!D3452,Programme!E3452,Programme!F3452,Programme!G3452,Programme!H3452,Programme!I3452,Programme!J3452)</f>
        <v>&lt;/ValeurCellule&gt;</v>
      </c>
    </row>
    <row r="3452" spans="1:1" x14ac:dyDescent="0.2">
      <c r="A3452" s="996" t="str">
        <f>CONCATENATE(Programme!D3453,Programme!E3453,Programme!F3453,Programme!G3453,Programme!H3453,Programme!I3453,Programme!J3453)</f>
        <v>&lt;ValeurCellule&gt;</v>
      </c>
    </row>
    <row r="3453" spans="1:1" x14ac:dyDescent="0.2">
      <c r="A3453" s="996" t="str">
        <f>CONCATENATE(Programme!D3454,Programme!E3454,Programme!F3454,Programme!G3454,Programme!H3454,Programme!I3454,Programme!J3454)</f>
        <v>&lt;cellule&gt;</v>
      </c>
    </row>
    <row r="3454" spans="1:1" x14ac:dyDescent="0.2">
      <c r="A3454" s="996" t="str">
        <f>CONCATENATE(Programme!D3455,Programme!E3455,Programme!F3455,Programme!G3455,Programme!H3455,Programme!I3455,Programme!J3455)</f>
        <v>&lt;codeEdi&gt;849&lt;/codeEdi&gt;</v>
      </c>
    </row>
    <row r="3455" spans="1:1" x14ac:dyDescent="0.2">
      <c r="A3455" s="996" t="str">
        <f>CONCATENATE(Programme!D3456,Programme!E3456,Programme!F3456,Programme!G3456,Programme!H3456,Programme!I3456,Programme!J3456)</f>
        <v>&lt;/cellule&gt;</v>
      </c>
    </row>
    <row r="3456" spans="1:1" x14ac:dyDescent="0.2">
      <c r="A3456" s="996" t="str">
        <f>CONCATENATE(Programme!D3457,Programme!E3457,Programme!F3457,Programme!G3457,Programme!H3457,Programme!I3457,Programme!J3457)</f>
        <v>&lt;valeur&gt;&lt;/valeur&gt;</v>
      </c>
    </row>
    <row r="3457" spans="1:1" x14ac:dyDescent="0.2">
      <c r="A3457" s="996" t="str">
        <f>CONCATENATE(Programme!D3458,Programme!E3458,Programme!F3458,Programme!G3458,Programme!H3458,Programme!I3458,Programme!J3458)</f>
        <v>&lt;/ValeurCellule&gt;</v>
      </c>
    </row>
    <row r="3458" spans="1:1" x14ac:dyDescent="0.2">
      <c r="A3458" s="996" t="str">
        <f>CONCATENATE(Programme!D3459,Programme!E3459,Programme!F3459,Programme!G3459,Programme!H3459,Programme!I3459,Programme!J3459)</f>
        <v>&lt;ValeurCellule&gt;</v>
      </c>
    </row>
    <row r="3459" spans="1:1" x14ac:dyDescent="0.2">
      <c r="A3459" s="996" t="str">
        <f>CONCATENATE(Programme!D3460,Programme!E3460,Programme!F3460,Programme!G3460,Programme!H3460,Programme!I3460,Programme!J3460)</f>
        <v>&lt;cellule&gt;</v>
      </c>
    </row>
    <row r="3460" spans="1:1" x14ac:dyDescent="0.2">
      <c r="A3460" s="996" t="str">
        <f>CONCATENATE(Programme!D3461,Programme!E3461,Programme!F3461,Programme!G3461,Programme!H3461,Programme!I3461,Programme!J3461)</f>
        <v>&lt;codeEdi&gt;850&lt;/codeEdi&gt;</v>
      </c>
    </row>
    <row r="3461" spans="1:1" x14ac:dyDescent="0.2">
      <c r="A3461" s="996" t="str">
        <f>CONCATENATE(Programme!D3462,Programme!E3462,Programme!F3462,Programme!G3462,Programme!H3462,Programme!I3462,Programme!J3462)</f>
        <v>&lt;/cellule&gt;</v>
      </c>
    </row>
    <row r="3462" spans="1:1" x14ac:dyDescent="0.2">
      <c r="A3462" s="996" t="str">
        <f>CONCATENATE(Programme!D3463,Programme!E3463,Programme!F3463,Programme!G3463,Programme!H3463,Programme!I3463,Programme!J3463)</f>
        <v>&lt;valeur&gt;&lt;/valeur&gt;</v>
      </c>
    </row>
    <row r="3463" spans="1:1" x14ac:dyDescent="0.2">
      <c r="A3463" s="996" t="str">
        <f>CONCATENATE(Programme!D3464,Programme!E3464,Programme!F3464,Programme!G3464,Programme!H3464,Programme!I3464,Programme!J3464)</f>
        <v>&lt;/ValeurCellule&gt;</v>
      </c>
    </row>
    <row r="3464" spans="1:1" x14ac:dyDescent="0.2">
      <c r="A3464" s="996" t="str">
        <f>CONCATENATE(Programme!D3465,Programme!E3465,Programme!F3465,Programme!G3465,Programme!H3465,Programme!I3465,Programme!J3465)</f>
        <v>&lt;ValeurCellule&gt;</v>
      </c>
    </row>
    <row r="3465" spans="1:1" x14ac:dyDescent="0.2">
      <c r="A3465" s="996" t="str">
        <f>CONCATENATE(Programme!D3466,Programme!E3466,Programme!F3466,Programme!G3466,Programme!H3466,Programme!I3466,Programme!J3466)</f>
        <v>&lt;cellule&gt;</v>
      </c>
    </row>
    <row r="3466" spans="1:1" x14ac:dyDescent="0.2">
      <c r="A3466" s="996" t="str">
        <f>CONCATENATE(Programme!D3467,Programme!E3467,Programme!F3467,Programme!G3467,Programme!H3467,Programme!I3467,Programme!J3467)</f>
        <v>&lt;codeEdi&gt;851&lt;/codeEdi&gt;</v>
      </c>
    </row>
    <row r="3467" spans="1:1" x14ac:dyDescent="0.2">
      <c r="A3467" s="996" t="str">
        <f>CONCATENATE(Programme!D3468,Programme!E3468,Programme!F3468,Programme!G3468,Programme!H3468,Programme!I3468,Programme!J3468)</f>
        <v>&lt;/cellule&gt;</v>
      </c>
    </row>
    <row r="3468" spans="1:1" x14ac:dyDescent="0.2">
      <c r="A3468" s="996" t="str">
        <f>CONCATENATE(Programme!D3469,Programme!E3469,Programme!F3469,Programme!G3469,Programme!H3469,Programme!I3469,Programme!J3469)</f>
        <v>&lt;valeur&gt;&lt;/valeur&gt;</v>
      </c>
    </row>
    <row r="3469" spans="1:1" x14ac:dyDescent="0.2">
      <c r="A3469" s="996" t="str">
        <f>CONCATENATE(Programme!D3470,Programme!E3470,Programme!F3470,Programme!G3470,Programme!H3470,Programme!I3470,Programme!J3470)</f>
        <v>&lt;/ValeurCellule&gt;</v>
      </c>
    </row>
    <row r="3470" spans="1:1" x14ac:dyDescent="0.2">
      <c r="A3470" s="996" t="str">
        <f>CONCATENATE(Programme!D3471,Programme!E3471,Programme!F3471,Programme!G3471,Programme!H3471,Programme!I3471,Programme!J3471)</f>
        <v>&lt;ValeurCellule&gt;</v>
      </c>
    </row>
    <row r="3471" spans="1:1" x14ac:dyDescent="0.2">
      <c r="A3471" s="996" t="str">
        <f>CONCATENATE(Programme!D3472,Programme!E3472,Programme!F3472,Programme!G3472,Programme!H3472,Programme!I3472,Programme!J3472)</f>
        <v>&lt;cellule&gt;</v>
      </c>
    </row>
    <row r="3472" spans="1:1" x14ac:dyDescent="0.2">
      <c r="A3472" s="996" t="str">
        <f>CONCATENATE(Programme!D3473,Programme!E3473,Programme!F3473,Programme!G3473,Programme!H3473,Programme!I3473,Programme!J3473)</f>
        <v>&lt;codeEdi&gt;852&lt;/codeEdi&gt;</v>
      </c>
    </row>
    <row r="3473" spans="1:1" x14ac:dyDescent="0.2">
      <c r="A3473" s="996" t="str">
        <f>CONCATENATE(Programme!D3474,Programme!E3474,Programme!F3474,Programme!G3474,Programme!H3474,Programme!I3474,Programme!J3474)</f>
        <v>&lt;/cellule&gt;</v>
      </c>
    </row>
    <row r="3474" spans="1:1" x14ac:dyDescent="0.2">
      <c r="A3474" s="996" t="str">
        <f>CONCATENATE(Programme!D3475,Programme!E3475,Programme!F3475,Programme!G3475,Programme!H3475,Programme!I3475,Programme!J3475)</f>
        <v>&lt;valeur&gt;&lt;/valeur&gt;</v>
      </c>
    </row>
    <row r="3475" spans="1:1" x14ac:dyDescent="0.2">
      <c r="A3475" s="996" t="str">
        <f>CONCATENATE(Programme!D3476,Programme!E3476,Programme!F3476,Programme!G3476,Programme!H3476,Programme!I3476,Programme!J3476)</f>
        <v>&lt;/ValeurCellule&gt;</v>
      </c>
    </row>
    <row r="3476" spans="1:1" x14ac:dyDescent="0.2">
      <c r="A3476" s="996" t="str">
        <f>CONCATENATE(Programme!D3477,Programme!E3477,Programme!F3477,Programme!G3477,Programme!H3477,Programme!I3477,Programme!J3477)</f>
        <v>&lt;ValeurCellule&gt;</v>
      </c>
    </row>
    <row r="3477" spans="1:1" x14ac:dyDescent="0.2">
      <c r="A3477" s="996" t="str">
        <f>CONCATENATE(Programme!D3478,Programme!E3478,Programme!F3478,Programme!G3478,Programme!H3478,Programme!I3478,Programme!J3478)</f>
        <v>&lt;cellule&gt;</v>
      </c>
    </row>
    <row r="3478" spans="1:1" x14ac:dyDescent="0.2">
      <c r="A3478" s="996" t="str">
        <f>CONCATENATE(Programme!D3479,Programme!E3479,Programme!F3479,Programme!G3479,Programme!H3479,Programme!I3479,Programme!J3479)</f>
        <v>&lt;codeEdi&gt;6872&lt;/codeEdi&gt;</v>
      </c>
    </row>
    <row r="3479" spans="1:1" x14ac:dyDescent="0.2">
      <c r="A3479" s="996" t="str">
        <f>CONCATENATE(Programme!D3480,Programme!E3480,Programme!F3480,Programme!G3480,Programme!H3480,Programme!I3480,Programme!J3480)</f>
        <v>&lt;/cellule&gt;</v>
      </c>
    </row>
    <row r="3480" spans="1:1" x14ac:dyDescent="0.2">
      <c r="A3480" s="996" t="str">
        <f>CONCATENATE(Programme!D3481,Programme!E3481,Programme!F3481,Programme!G3481,Programme!H3481,Programme!I3481,Programme!J3481)</f>
        <v>&lt;valeur&gt;0&lt;/valeur&gt;</v>
      </c>
    </row>
    <row r="3481" spans="1:1" x14ac:dyDescent="0.2">
      <c r="A3481" s="996" t="str">
        <f>CONCATENATE(Programme!D3482,Programme!E3482,Programme!F3482,Programme!G3482,Programme!H3482,Programme!I3482,Programme!J3482)</f>
        <v>&lt;/ValeurCellule&gt;</v>
      </c>
    </row>
    <row r="3482" spans="1:1" x14ac:dyDescent="0.2">
      <c r="A3482" s="996" t="str">
        <f>CONCATENATE(Programme!D3483,Programme!E3483,Programme!F3483,Programme!G3483,Programme!H3483,Programme!I3483,Programme!J3483)</f>
        <v>&lt;ValeurCellule&gt;</v>
      </c>
    </row>
    <row r="3483" spans="1:1" x14ac:dyDescent="0.2">
      <c r="A3483" s="996" t="str">
        <f>CONCATENATE(Programme!D3484,Programme!E3484,Programme!F3484,Programme!G3484,Programme!H3484,Programme!I3484,Programme!J3484)</f>
        <v>&lt;cellule&gt;</v>
      </c>
    </row>
    <row r="3484" spans="1:1" x14ac:dyDescent="0.2">
      <c r="A3484" s="996" t="str">
        <f>CONCATENATE(Programme!D3485,Programme!E3485,Programme!F3485,Programme!G3485,Programme!H3485,Programme!I3485,Programme!J3485)</f>
        <v>&lt;codeEdi&gt;6873&lt;/codeEdi&gt;</v>
      </c>
    </row>
    <row r="3485" spans="1:1" x14ac:dyDescent="0.2">
      <c r="A3485" s="996" t="str">
        <f>CONCATENATE(Programme!D3486,Programme!E3486,Programme!F3486,Programme!G3486,Programme!H3486,Programme!I3486,Programme!J3486)</f>
        <v>&lt;/cellule&gt;</v>
      </c>
    </row>
    <row r="3486" spans="1:1" x14ac:dyDescent="0.2">
      <c r="A3486" s="996" t="str">
        <f>CONCATENATE(Programme!D3487,Programme!E3487,Programme!F3487,Programme!G3487,Programme!H3487,Programme!I3487,Programme!J3487)</f>
        <v>&lt;valeur&gt;&lt;/valeur&gt;</v>
      </c>
    </row>
    <row r="3487" spans="1:1" x14ac:dyDescent="0.2">
      <c r="A3487" s="996" t="str">
        <f>CONCATENATE(Programme!D3488,Programme!E3488,Programme!F3488,Programme!G3488,Programme!H3488,Programme!I3488,Programme!J3488)</f>
        <v>&lt;/ValeurCellule&gt;</v>
      </c>
    </row>
    <row r="3488" spans="1:1" x14ac:dyDescent="0.2">
      <c r="A3488" s="996" t="str">
        <f>CONCATENATE(Programme!D3489,Programme!E3489,Programme!F3489,Programme!G3489,Programme!H3489,Programme!I3489,Programme!J3489)</f>
        <v>&lt;ValeurCellule&gt;</v>
      </c>
    </row>
    <row r="3489" spans="1:1" x14ac:dyDescent="0.2">
      <c r="A3489" s="996" t="str">
        <f>CONCATENATE(Programme!D3490,Programme!E3490,Programme!F3490,Programme!G3490,Programme!H3490,Programme!I3490,Programme!J3490)</f>
        <v>&lt;cellule&gt;</v>
      </c>
    </row>
    <row r="3490" spans="1:1" x14ac:dyDescent="0.2">
      <c r="A3490" s="996" t="str">
        <f>CONCATENATE(Programme!D3491,Programme!E3491,Programme!F3491,Programme!G3491,Programme!H3491,Programme!I3491,Programme!J3491)</f>
        <v>&lt;codeEdi&gt;6874&lt;/codeEdi&gt;</v>
      </c>
    </row>
    <row r="3491" spans="1:1" x14ac:dyDescent="0.2">
      <c r="A3491" s="996" t="str">
        <f>CONCATENATE(Programme!D3492,Programme!E3492,Programme!F3492,Programme!G3492,Programme!H3492,Programme!I3492,Programme!J3492)</f>
        <v>&lt;/cellule&gt;</v>
      </c>
    </row>
    <row r="3492" spans="1:1" x14ac:dyDescent="0.2">
      <c r="A3492" s="996" t="str">
        <f>CONCATENATE(Programme!D3493,Programme!E3493,Programme!F3493,Programme!G3493,Programme!H3493,Programme!I3493,Programme!J3493)</f>
        <v>&lt;valeur&gt;&lt;/valeur&gt;</v>
      </c>
    </row>
    <row r="3493" spans="1:1" x14ac:dyDescent="0.2">
      <c r="A3493" s="996" t="str">
        <f>CONCATENATE(Programme!D3494,Programme!E3494,Programme!F3494,Programme!G3494,Programme!H3494,Programme!I3494,Programme!J3494)</f>
        <v>&lt;/ValeurCellule&gt;</v>
      </c>
    </row>
    <row r="3494" spans="1:1" x14ac:dyDescent="0.2">
      <c r="A3494" s="996" t="str">
        <f>CONCATENATE(Programme!D3495,Programme!E3495,Programme!F3495,Programme!G3495,Programme!H3495,Programme!I3495,Programme!J3495)</f>
        <v>&lt;ValeurCellule&gt;</v>
      </c>
    </row>
    <row r="3495" spans="1:1" x14ac:dyDescent="0.2">
      <c r="A3495" s="996" t="str">
        <f>CONCATENATE(Programme!D3496,Programme!E3496,Programme!F3496,Programme!G3496,Programme!H3496,Programme!I3496,Programme!J3496)</f>
        <v>&lt;cellule&gt;</v>
      </c>
    </row>
    <row r="3496" spans="1:1" x14ac:dyDescent="0.2">
      <c r="A3496" s="996" t="str">
        <f>CONCATENATE(Programme!D3497,Programme!E3497,Programme!F3497,Programme!G3497,Programme!H3497,Programme!I3497,Programme!J3497)</f>
        <v>&lt;codeEdi&gt;6875&lt;/codeEdi&gt;</v>
      </c>
    </row>
    <row r="3497" spans="1:1" x14ac:dyDescent="0.2">
      <c r="A3497" s="996" t="str">
        <f>CONCATENATE(Programme!D3498,Programme!E3498,Programme!F3498,Programme!G3498,Programme!H3498,Programme!I3498,Programme!J3498)</f>
        <v>&lt;/cellule&gt;</v>
      </c>
    </row>
    <row r="3498" spans="1:1" x14ac:dyDescent="0.2">
      <c r="A3498" s="996" t="str">
        <f>CONCATENATE(Programme!D3499,Programme!E3499,Programme!F3499,Programme!G3499,Programme!H3499,Programme!I3499,Programme!J3499)</f>
        <v>&lt;valeur&gt;&lt;/valeur&gt;</v>
      </c>
    </row>
    <row r="3499" spans="1:1" x14ac:dyDescent="0.2">
      <c r="A3499" s="996" t="str">
        <f>CONCATENATE(Programme!D3500,Programme!E3500,Programme!F3500,Programme!G3500,Programme!H3500,Programme!I3500,Programme!J3500)</f>
        <v>&lt;/ValeurCellule&gt;</v>
      </c>
    </row>
    <row r="3500" spans="1:1" x14ac:dyDescent="0.2">
      <c r="A3500" s="996" t="str">
        <f>CONCATENATE(Programme!D3501,Programme!E3501,Programme!F3501,Programme!G3501,Programme!H3501,Programme!I3501,Programme!J3501)</f>
        <v>&lt;ValeurCellule&gt;</v>
      </c>
    </row>
    <row r="3501" spans="1:1" x14ac:dyDescent="0.2">
      <c r="A3501" s="996" t="str">
        <f>CONCATENATE(Programme!D3502,Programme!E3502,Programme!F3502,Programme!G3502,Programme!H3502,Programme!I3502,Programme!J3502)</f>
        <v>&lt;cellule&gt;</v>
      </c>
    </row>
    <row r="3502" spans="1:1" x14ac:dyDescent="0.2">
      <c r="A3502" s="996" t="str">
        <f>CONCATENATE(Programme!D3503,Programme!E3503,Programme!F3503,Programme!G3503,Programme!H3503,Programme!I3503,Programme!J3503)</f>
        <v>&lt;codeEdi&gt;854&lt;/codeEdi&gt;</v>
      </c>
    </row>
    <row r="3503" spans="1:1" x14ac:dyDescent="0.2">
      <c r="A3503" s="996" t="str">
        <f>CONCATENATE(Programme!D3504,Programme!E3504,Programme!F3504,Programme!G3504,Programme!H3504,Programme!I3504,Programme!J3504)</f>
        <v>&lt;/cellule&gt;</v>
      </c>
    </row>
    <row r="3504" spans="1:1" x14ac:dyDescent="0.2">
      <c r="A3504" s="996" t="str">
        <f>CONCATENATE(Programme!D3505,Programme!E3505,Programme!F3505,Programme!G3505,Programme!H3505,Programme!I3505,Programme!J3505)</f>
        <v>&lt;valeur&gt;&lt;/valeur&gt;</v>
      </c>
    </row>
    <row r="3505" spans="1:1" x14ac:dyDescent="0.2">
      <c r="A3505" s="996" t="str">
        <f>CONCATENATE(Programme!D3506,Programme!E3506,Programme!F3506,Programme!G3506,Programme!H3506,Programme!I3506,Programme!J3506)</f>
        <v>&lt;/ValeurCellule&gt;</v>
      </c>
    </row>
    <row r="3506" spans="1:1" x14ac:dyDescent="0.2">
      <c r="A3506" s="996" t="str">
        <f>CONCATENATE(Programme!D3507,Programme!E3507,Programme!F3507,Programme!G3507,Programme!H3507,Programme!I3507,Programme!J3507)</f>
        <v>&lt;ValeurCellule&gt;</v>
      </c>
    </row>
    <row r="3507" spans="1:1" x14ac:dyDescent="0.2">
      <c r="A3507" s="996" t="str">
        <f>CONCATENATE(Programme!D3508,Programme!E3508,Programme!F3508,Programme!G3508,Programme!H3508,Programme!I3508,Programme!J3508)</f>
        <v>&lt;cellule&gt;</v>
      </c>
    </row>
    <row r="3508" spans="1:1" x14ac:dyDescent="0.2">
      <c r="A3508" s="996" t="str">
        <f>CONCATENATE(Programme!D3509,Programme!E3509,Programme!F3509,Programme!G3509,Programme!H3509,Programme!I3509,Programme!J3509)</f>
        <v>&lt;codeEdi&gt;855&lt;/codeEdi&gt;</v>
      </c>
    </row>
    <row r="3509" spans="1:1" x14ac:dyDescent="0.2">
      <c r="A3509" s="996" t="str">
        <f>CONCATENATE(Programme!D3510,Programme!E3510,Programme!F3510,Programme!G3510,Programme!H3510,Programme!I3510,Programme!J3510)</f>
        <v>&lt;/cellule&gt;</v>
      </c>
    </row>
    <row r="3510" spans="1:1" x14ac:dyDescent="0.2">
      <c r="A3510" s="996" t="str">
        <f>CONCATENATE(Programme!D3511,Programme!E3511,Programme!F3511,Programme!G3511,Programme!H3511,Programme!I3511,Programme!J3511)</f>
        <v>&lt;valeur&gt;&lt;/valeur&gt;</v>
      </c>
    </row>
    <row r="3511" spans="1:1" x14ac:dyDescent="0.2">
      <c r="A3511" s="996" t="str">
        <f>CONCATENATE(Programme!D3512,Programme!E3512,Programme!F3512,Programme!G3512,Programme!H3512,Programme!I3512,Programme!J3512)</f>
        <v>&lt;/ValeurCellule&gt;</v>
      </c>
    </row>
    <row r="3512" spans="1:1" x14ac:dyDescent="0.2">
      <c r="A3512" s="996" t="str">
        <f>CONCATENATE(Programme!D3513,Programme!E3513,Programme!F3513,Programme!G3513,Programme!H3513,Programme!I3513,Programme!J3513)</f>
        <v>&lt;ValeurCellule&gt;</v>
      </c>
    </row>
    <row r="3513" spans="1:1" x14ac:dyDescent="0.2">
      <c r="A3513" s="996" t="str">
        <f>CONCATENATE(Programme!D3514,Programme!E3514,Programme!F3514,Programme!G3514,Programme!H3514,Programme!I3514,Programme!J3514)</f>
        <v>&lt;cellule&gt;</v>
      </c>
    </row>
    <row r="3514" spans="1:1" x14ac:dyDescent="0.2">
      <c r="A3514" s="996" t="str">
        <f>CONCATENATE(Programme!D3515,Programme!E3515,Programme!F3515,Programme!G3515,Programme!H3515,Programme!I3515,Programme!J3515)</f>
        <v>&lt;codeEdi&gt;860&lt;/codeEdi&gt;</v>
      </c>
    </row>
    <row r="3515" spans="1:1" x14ac:dyDescent="0.2">
      <c r="A3515" s="996" t="str">
        <f>CONCATENATE(Programme!D3516,Programme!E3516,Programme!F3516,Programme!G3516,Programme!H3516,Programme!I3516,Programme!J3516)</f>
        <v>&lt;/cellule&gt;</v>
      </c>
    </row>
    <row r="3516" spans="1:1" x14ac:dyDescent="0.2">
      <c r="A3516" s="996" t="str">
        <f>CONCATENATE(Programme!D3517,Programme!E3517,Programme!F3517,Programme!G3517,Programme!H3517,Programme!I3517,Programme!J3517)</f>
        <v>&lt;valeur&gt;0&lt;/valeur&gt;</v>
      </c>
    </row>
    <row r="3517" spans="1:1" x14ac:dyDescent="0.2">
      <c r="A3517" s="996" t="str">
        <f>CONCATENATE(Programme!D3518,Programme!E3518,Programme!F3518,Programme!G3518,Programme!H3518,Programme!I3518,Programme!J3518)</f>
        <v>&lt;/ValeurCellule&gt;</v>
      </c>
    </row>
    <row r="3518" spans="1:1" x14ac:dyDescent="0.2">
      <c r="A3518" s="996" t="str">
        <f>CONCATENATE(Programme!D3519,Programme!E3519,Programme!F3519,Programme!G3519,Programme!H3519,Programme!I3519,Programme!J3519)</f>
        <v>&lt;ValeurCellule&gt;</v>
      </c>
    </row>
    <row r="3519" spans="1:1" x14ac:dyDescent="0.2">
      <c r="A3519" s="996" t="str">
        <f>CONCATENATE(Programme!D3520,Programme!E3520,Programme!F3520,Programme!G3520,Programme!H3520,Programme!I3520,Programme!J3520)</f>
        <v>&lt;cellule&gt;</v>
      </c>
    </row>
    <row r="3520" spans="1:1" x14ac:dyDescent="0.2">
      <c r="A3520" s="996" t="str">
        <f>CONCATENATE(Programme!D3521,Programme!E3521,Programme!F3521,Programme!G3521,Programme!H3521,Programme!I3521,Programme!J3521)</f>
        <v>&lt;codeEdi&gt;861&lt;/codeEdi&gt;</v>
      </c>
    </row>
    <row r="3521" spans="1:1" x14ac:dyDescent="0.2">
      <c r="A3521" s="996" t="str">
        <f>CONCATENATE(Programme!D3522,Programme!E3522,Programme!F3522,Programme!G3522,Programme!H3522,Programme!I3522,Programme!J3522)</f>
        <v>&lt;/cellule&gt;</v>
      </c>
    </row>
    <row r="3522" spans="1:1" x14ac:dyDescent="0.2">
      <c r="A3522" s="996" t="str">
        <f>CONCATENATE(Programme!D3523,Programme!E3523,Programme!F3523,Programme!G3523,Programme!H3523,Programme!I3523,Programme!J3523)</f>
        <v>&lt;valeur&gt;0&lt;/valeur&gt;</v>
      </c>
    </row>
    <row r="3523" spans="1:1" x14ac:dyDescent="0.2">
      <c r="A3523" s="996" t="str">
        <f>CONCATENATE(Programme!D3524,Programme!E3524,Programme!F3524,Programme!G3524,Programme!H3524,Programme!I3524,Programme!J3524)</f>
        <v>&lt;/ValeurCellule&gt;</v>
      </c>
    </row>
    <row r="3524" spans="1:1" x14ac:dyDescent="0.2">
      <c r="A3524" s="996" t="str">
        <f>CONCATENATE(Programme!D3525,Programme!E3525,Programme!F3525,Programme!G3525,Programme!H3525,Programme!I3525,Programme!J3525)</f>
        <v>&lt;ValeurCellule&gt;</v>
      </c>
    </row>
    <row r="3525" spans="1:1" x14ac:dyDescent="0.2">
      <c r="A3525" s="996" t="str">
        <f>CONCATENATE(Programme!D3526,Programme!E3526,Programme!F3526,Programme!G3526,Programme!H3526,Programme!I3526,Programme!J3526)</f>
        <v>&lt;cellule&gt;</v>
      </c>
    </row>
    <row r="3526" spans="1:1" x14ac:dyDescent="0.2">
      <c r="A3526" s="996" t="str">
        <f>CONCATENATE(Programme!D3527,Programme!E3527,Programme!F3527,Programme!G3527,Programme!H3527,Programme!I3527,Programme!J3527)</f>
        <v>&lt;codeEdi&gt;862&lt;/codeEdi&gt;</v>
      </c>
    </row>
    <row r="3527" spans="1:1" x14ac:dyDescent="0.2">
      <c r="A3527" s="996" t="str">
        <f>CONCATENATE(Programme!D3528,Programme!E3528,Programme!F3528,Programme!G3528,Programme!H3528,Programme!I3528,Programme!J3528)</f>
        <v>&lt;/cellule&gt;</v>
      </c>
    </row>
    <row r="3528" spans="1:1" x14ac:dyDescent="0.2">
      <c r="A3528" s="996" t="str">
        <f>CONCATENATE(Programme!D3529,Programme!E3529,Programme!F3529,Programme!G3529,Programme!H3529,Programme!I3529,Programme!J3529)</f>
        <v>&lt;valeur&gt;0&lt;/valeur&gt;</v>
      </c>
    </row>
    <row r="3529" spans="1:1" x14ac:dyDescent="0.2">
      <c r="A3529" s="996" t="str">
        <f>CONCATENATE(Programme!D3530,Programme!E3530,Programme!F3530,Programme!G3530,Programme!H3530,Programme!I3530,Programme!J3530)</f>
        <v>&lt;/ValeurCellule&gt;</v>
      </c>
    </row>
    <row r="3530" spans="1:1" x14ac:dyDescent="0.2">
      <c r="A3530" s="996" t="str">
        <f>CONCATENATE(Programme!D3531,Programme!E3531,Programme!F3531,Programme!G3531,Programme!H3531,Programme!I3531,Programme!J3531)</f>
        <v>&lt;ValeurCellule&gt;</v>
      </c>
    </row>
    <row r="3531" spans="1:1" x14ac:dyDescent="0.2">
      <c r="A3531" s="996" t="str">
        <f>CONCATENATE(Programme!D3532,Programme!E3532,Programme!F3532,Programme!G3532,Programme!H3532,Programme!I3532,Programme!J3532)</f>
        <v>&lt;cellule&gt;</v>
      </c>
    </row>
    <row r="3532" spans="1:1" x14ac:dyDescent="0.2">
      <c r="A3532" s="996" t="str">
        <f>CONCATENATE(Programme!D3533,Programme!E3533,Programme!F3533,Programme!G3533,Programme!H3533,Programme!I3533,Programme!J3533)</f>
        <v>&lt;codeEdi&gt;863&lt;/codeEdi&gt;</v>
      </c>
    </row>
    <row r="3533" spans="1:1" x14ac:dyDescent="0.2">
      <c r="A3533" s="996" t="str">
        <f>CONCATENATE(Programme!D3534,Programme!E3534,Programme!F3534,Programme!G3534,Programme!H3534,Programme!I3534,Programme!J3534)</f>
        <v>&lt;/cellule&gt;</v>
      </c>
    </row>
    <row r="3534" spans="1:1" x14ac:dyDescent="0.2">
      <c r="A3534" s="996" t="str">
        <f>CONCATENATE(Programme!D3535,Programme!E3535,Programme!F3535,Programme!G3535,Programme!H3535,Programme!I3535,Programme!J3535)</f>
        <v>&lt;valeur&gt;0&lt;/valeur&gt;</v>
      </c>
    </row>
    <row r="3535" spans="1:1" x14ac:dyDescent="0.2">
      <c r="A3535" s="996" t="str">
        <f>CONCATENATE(Programme!D3536,Programme!E3536,Programme!F3536,Programme!G3536,Programme!H3536,Programme!I3536,Programme!J3536)</f>
        <v>&lt;/ValeurCellule&gt;</v>
      </c>
    </row>
    <row r="3536" spans="1:1" x14ac:dyDescent="0.2">
      <c r="A3536" s="996" t="str">
        <f>CONCATENATE(Programme!D3537,Programme!E3537,Programme!F3537,Programme!G3537,Programme!H3537,Programme!I3537,Programme!J3537)</f>
        <v>&lt;ValeurCellule&gt;</v>
      </c>
    </row>
    <row r="3537" spans="1:1" x14ac:dyDescent="0.2">
      <c r="A3537" s="996" t="str">
        <f>CONCATENATE(Programme!D3538,Programme!E3538,Programme!F3538,Programme!G3538,Programme!H3538,Programme!I3538,Programme!J3538)</f>
        <v>&lt;cellule&gt;</v>
      </c>
    </row>
    <row r="3538" spans="1:1" x14ac:dyDescent="0.2">
      <c r="A3538" s="996" t="str">
        <f>CONCATENATE(Programme!D3539,Programme!E3539,Programme!F3539,Programme!G3539,Programme!H3539,Programme!I3539,Programme!J3539)</f>
        <v>&lt;codeEdi&gt;864&lt;/codeEdi&gt;</v>
      </c>
    </row>
    <row r="3539" spans="1:1" x14ac:dyDescent="0.2">
      <c r="A3539" s="996" t="str">
        <f>CONCATENATE(Programme!D3540,Programme!E3540,Programme!F3540,Programme!G3540,Programme!H3540,Programme!I3540,Programme!J3540)</f>
        <v>&lt;/cellule&gt;</v>
      </c>
    </row>
    <row r="3540" spans="1:1" x14ac:dyDescent="0.2">
      <c r="A3540" s="996" t="str">
        <f>CONCATENATE(Programme!D3541,Programme!E3541,Programme!F3541,Programme!G3541,Programme!H3541,Programme!I3541,Programme!J3541)</f>
        <v>&lt;valeur&gt;&lt;/valeur&gt;</v>
      </c>
    </row>
    <row r="3541" spans="1:1" x14ac:dyDescent="0.2">
      <c r="A3541" s="996" t="str">
        <f>CONCATENATE(Programme!D3542,Programme!E3542,Programme!F3542,Programme!G3542,Programme!H3542,Programme!I3542,Programme!J3542)</f>
        <v>&lt;/ValeurCellule&gt;</v>
      </c>
    </row>
    <row r="3542" spans="1:1" x14ac:dyDescent="0.2">
      <c r="A3542" s="996" t="str">
        <f>CONCATENATE(Programme!D3543,Programme!E3543,Programme!F3543,Programme!G3543,Programme!H3543,Programme!I3543,Programme!J3543)</f>
        <v>&lt;ValeurCellule&gt;</v>
      </c>
    </row>
    <row r="3543" spans="1:1" x14ac:dyDescent="0.2">
      <c r="A3543" s="996" t="str">
        <f>CONCATENATE(Programme!D3544,Programme!E3544,Programme!F3544,Programme!G3544,Programme!H3544,Programme!I3544,Programme!J3544)</f>
        <v>&lt;cellule&gt;</v>
      </c>
    </row>
    <row r="3544" spans="1:1" x14ac:dyDescent="0.2">
      <c r="A3544" s="996" t="str">
        <f>CONCATENATE(Programme!D3545,Programme!E3545,Programme!F3545,Programme!G3545,Programme!H3545,Programme!I3545,Programme!J3545)</f>
        <v>&lt;codeEdi&gt;865&lt;/codeEdi&gt;</v>
      </c>
    </row>
    <row r="3545" spans="1:1" x14ac:dyDescent="0.2">
      <c r="A3545" s="996" t="str">
        <f>CONCATENATE(Programme!D3546,Programme!E3546,Programme!F3546,Programme!G3546,Programme!H3546,Programme!I3546,Programme!J3546)</f>
        <v>&lt;/cellule&gt;</v>
      </c>
    </row>
    <row r="3546" spans="1:1" x14ac:dyDescent="0.2">
      <c r="A3546" s="996" t="str">
        <f>CONCATENATE(Programme!D3547,Programme!E3547,Programme!F3547,Programme!G3547,Programme!H3547,Programme!I3547,Programme!J3547)</f>
        <v>&lt;valeur&gt;&lt;/valeur&gt;</v>
      </c>
    </row>
    <row r="3547" spans="1:1" x14ac:dyDescent="0.2">
      <c r="A3547" s="996" t="str">
        <f>CONCATENATE(Programme!D3548,Programme!E3548,Programme!F3548,Programme!G3548,Programme!H3548,Programme!I3548,Programme!J3548)</f>
        <v>&lt;/ValeurCellule&gt;</v>
      </c>
    </row>
    <row r="3548" spans="1:1" x14ac:dyDescent="0.2">
      <c r="A3548" s="996" t="str">
        <f>CONCATENATE(Programme!D3549,Programme!E3549,Programme!F3549,Programme!G3549,Programme!H3549,Programme!I3549,Programme!J3549)</f>
        <v>&lt;ValeurCellule&gt;</v>
      </c>
    </row>
    <row r="3549" spans="1:1" x14ac:dyDescent="0.2">
      <c r="A3549" s="996" t="str">
        <f>CONCATENATE(Programme!D3550,Programme!E3550,Programme!F3550,Programme!G3550,Programme!H3550,Programme!I3550,Programme!J3550)</f>
        <v>&lt;cellule&gt;</v>
      </c>
    </row>
    <row r="3550" spans="1:1" x14ac:dyDescent="0.2">
      <c r="A3550" s="996" t="str">
        <f>CONCATENATE(Programme!D3551,Programme!E3551,Programme!F3551,Programme!G3551,Programme!H3551,Programme!I3551,Programme!J3551)</f>
        <v>&lt;codeEdi&gt;866&lt;/codeEdi&gt;</v>
      </c>
    </row>
    <row r="3551" spans="1:1" x14ac:dyDescent="0.2">
      <c r="A3551" s="996" t="str">
        <f>CONCATENATE(Programme!D3552,Programme!E3552,Programme!F3552,Programme!G3552,Programme!H3552,Programme!I3552,Programme!J3552)</f>
        <v>&lt;/cellule&gt;</v>
      </c>
    </row>
    <row r="3552" spans="1:1" x14ac:dyDescent="0.2">
      <c r="A3552" s="996" t="str">
        <f>CONCATENATE(Programme!D3553,Programme!E3553,Programme!F3553,Programme!G3553,Programme!H3553,Programme!I3553,Programme!J3553)</f>
        <v>&lt;valeur&gt;&lt;/valeur&gt;</v>
      </c>
    </row>
    <row r="3553" spans="1:1" x14ac:dyDescent="0.2">
      <c r="A3553" s="996" t="str">
        <f>CONCATENATE(Programme!D3554,Programme!E3554,Programme!F3554,Programme!G3554,Programme!H3554,Programme!I3554,Programme!J3554)</f>
        <v>&lt;/ValeurCellule&gt;</v>
      </c>
    </row>
    <row r="3554" spans="1:1" x14ac:dyDescent="0.2">
      <c r="A3554" s="996" t="str">
        <f>CONCATENATE(Programme!D3555,Programme!E3555,Programme!F3555,Programme!G3555,Programme!H3555,Programme!I3555,Programme!J3555)</f>
        <v>&lt;ValeurCellule&gt;</v>
      </c>
    </row>
    <row r="3555" spans="1:1" x14ac:dyDescent="0.2">
      <c r="A3555" s="996" t="str">
        <f>CONCATENATE(Programme!D3556,Programme!E3556,Programme!F3556,Programme!G3556,Programme!H3556,Programme!I3556,Programme!J3556)</f>
        <v>&lt;cellule&gt;</v>
      </c>
    </row>
    <row r="3556" spans="1:1" x14ac:dyDescent="0.2">
      <c r="A3556" s="996" t="str">
        <f>CONCATENATE(Programme!D3557,Programme!E3557,Programme!F3557,Programme!G3557,Programme!H3557,Programme!I3557,Programme!J3557)</f>
        <v>&lt;codeEdi&gt;867&lt;/codeEdi&gt;</v>
      </c>
    </row>
    <row r="3557" spans="1:1" x14ac:dyDescent="0.2">
      <c r="A3557" s="996" t="str">
        <f>CONCATENATE(Programme!D3558,Programme!E3558,Programme!F3558,Programme!G3558,Programme!H3558,Programme!I3558,Programme!J3558)</f>
        <v>&lt;/cellule&gt;</v>
      </c>
    </row>
    <row r="3558" spans="1:1" x14ac:dyDescent="0.2">
      <c r="A3558" s="996" t="str">
        <f>CONCATENATE(Programme!D3559,Programme!E3559,Programme!F3559,Programme!G3559,Programme!H3559,Programme!I3559,Programme!J3559)</f>
        <v>&lt;valeur&gt;&lt;/valeur&gt;</v>
      </c>
    </row>
    <row r="3559" spans="1:1" x14ac:dyDescent="0.2">
      <c r="A3559" s="996" t="str">
        <f>CONCATENATE(Programme!D3560,Programme!E3560,Programme!F3560,Programme!G3560,Programme!H3560,Programme!I3560,Programme!J3560)</f>
        <v>&lt;/ValeurCellule&gt;</v>
      </c>
    </row>
    <row r="3560" spans="1:1" x14ac:dyDescent="0.2">
      <c r="A3560" s="996" t="str">
        <f>CONCATENATE(Programme!D3561,Programme!E3561,Programme!F3561,Programme!G3561,Programme!H3561,Programme!I3561,Programme!J3561)</f>
        <v>&lt;/groupeValeurs&gt;</v>
      </c>
    </row>
    <row r="3561" spans="1:1" x14ac:dyDescent="0.2">
      <c r="A3561" s="996" t="str">
        <f>CONCATENATE(Programme!D3562,Programme!E3562,Programme!F3562,Programme!G3562,Programme!H3562,Programme!I3562,Programme!J3562)</f>
        <v>&lt;extraFieldvaleurs&gt;</v>
      </c>
    </row>
    <row r="3562" spans="1:1" x14ac:dyDescent="0.2">
      <c r="A3562" s="996" t="str">
        <f>CONCATENATE(Programme!D3563,Programme!E3563,Programme!F3563,Programme!G3563,Programme!H3563,Programme!I3563,Programme!J3563)</f>
        <v>&lt;/extraFieldvaleurs&gt;</v>
      </c>
    </row>
    <row r="3563" spans="1:1" x14ac:dyDescent="0.2">
      <c r="A3563" s="996" t="str">
        <f>CONCATENATE(Programme!D3564,Programme!E3564,Programme!F3564,Programme!G3564,Programme!H3564,Programme!I3564,Programme!J3564)</f>
        <v>&lt;/ValeursTableau&gt;</v>
      </c>
    </row>
    <row r="3564" spans="1:1" x14ac:dyDescent="0.2">
      <c r="A3564" s="996" t="str">
        <f>CONCATENATE(Programme!D3565,Programme!E3565,Programme!F3565,Programme!G3565,Programme!H3565,Programme!I3565,Programme!J3565)</f>
        <v>&lt;ValeursTableau&gt;</v>
      </c>
    </row>
    <row r="3565" spans="1:1" x14ac:dyDescent="0.2">
      <c r="A3565" s="996" t="str">
        <f>CONCATENATE(Programme!D3566,Programme!E3566,Programme!F3566,Programme!G3566,Programme!H3566,Programme!I3566,Programme!J3566)</f>
        <v>&lt;tableau&gt;&lt;id&gt;11&lt;/id&gt;&lt;/tableau&gt;</v>
      </c>
    </row>
    <row r="3566" spans="1:1" x14ac:dyDescent="0.2">
      <c r="A3566" s="996" t="str">
        <f>CONCATENATE(Programme!D3567,Programme!E3567,Programme!F3567,Programme!G3567,Programme!H3567,Programme!I3567,Programme!J3567)</f>
        <v>&lt;groupeValeurs&gt;</v>
      </c>
    </row>
    <row r="3567" spans="1:1" x14ac:dyDescent="0.2">
      <c r="A3567" s="996" t="str">
        <f>CONCATENATE(Programme!D3568,Programme!E3568,Programme!F3568,Programme!G3568,Programme!H3568,Programme!I3568,Programme!J3568)</f>
        <v>&lt;ValeurCellule&gt;</v>
      </c>
    </row>
    <row r="3568" spans="1:1" x14ac:dyDescent="0.2">
      <c r="A3568" s="996" t="str">
        <f>CONCATENATE(Programme!D3569,Programme!E3569,Programme!F3569,Programme!G3569,Programme!H3569,Programme!I3569,Programme!J3569)</f>
        <v>&lt;cellule&gt;</v>
      </c>
    </row>
    <row r="3569" spans="1:1" x14ac:dyDescent="0.2">
      <c r="A3569" s="996" t="str">
        <f>CONCATENATE(Programme!D3570,Programme!E3570,Programme!F3570,Programme!G3570,Programme!H3570,Programme!I3570,Programme!J3570)</f>
        <v>&lt;codeEdi&gt;966&lt;/codeEdi&gt;</v>
      </c>
    </row>
    <row r="3570" spans="1:1" x14ac:dyDescent="0.2">
      <c r="A3570" s="996" t="str">
        <f>CONCATENATE(Programme!D3571,Programme!E3571,Programme!F3571,Programme!G3571,Programme!H3571,Programme!I3571,Programme!J3571)</f>
        <v>&lt;/cellule&gt;</v>
      </c>
    </row>
    <row r="3571" spans="1:1" x14ac:dyDescent="0.2">
      <c r="A3571" s="996" t="str">
        <f>CONCATENATE(Programme!D3572,Programme!E3572,Programme!F3572,Programme!G3572,Programme!H3572,Programme!I3572,Programme!J3572)</f>
        <v>&lt;valeur&gt;0&lt;/valeur&gt;</v>
      </c>
    </row>
    <row r="3572" spans="1:1" x14ac:dyDescent="0.2">
      <c r="A3572" s="996" t="str">
        <f>CONCATENATE(Programme!D3573,Programme!E3573,Programme!F3573,Programme!G3573,Programme!H3573,Programme!I3573,Programme!J3573)</f>
        <v>&lt;/ValeurCellule&gt;</v>
      </c>
    </row>
    <row r="3573" spans="1:1" x14ac:dyDescent="0.2">
      <c r="A3573" s="996" t="str">
        <f>CONCATENATE(Programme!D3574,Programme!E3574,Programme!F3574,Programme!G3574,Programme!H3574,Programme!I3574,Programme!J3574)</f>
        <v>&lt;ValeurCellule&gt;</v>
      </c>
    </row>
    <row r="3574" spans="1:1" x14ac:dyDescent="0.2">
      <c r="A3574" s="996" t="str">
        <f>CONCATENATE(Programme!D3575,Programme!E3575,Programme!F3575,Programme!G3575,Programme!H3575,Programme!I3575,Programme!J3575)</f>
        <v>&lt;cellule&gt;</v>
      </c>
    </row>
    <row r="3575" spans="1:1" x14ac:dyDescent="0.2">
      <c r="A3575" s="996" t="str">
        <f>CONCATENATE(Programme!D3576,Programme!E3576,Programme!F3576,Programme!G3576,Programme!H3576,Programme!I3576,Programme!J3576)</f>
        <v>&lt;codeEdi&gt;967&lt;/codeEdi&gt;</v>
      </c>
    </row>
    <row r="3576" spans="1:1" x14ac:dyDescent="0.2">
      <c r="A3576" s="996" t="str">
        <f>CONCATENATE(Programme!D3577,Programme!E3577,Programme!F3577,Programme!G3577,Programme!H3577,Programme!I3577,Programme!J3577)</f>
        <v>&lt;/cellule&gt;</v>
      </c>
    </row>
    <row r="3577" spans="1:1" x14ac:dyDescent="0.2">
      <c r="A3577" s="996" t="str">
        <f>CONCATENATE(Programme!D3578,Programme!E3578,Programme!F3578,Programme!G3578,Programme!H3578,Programme!I3578,Programme!J3578)</f>
        <v>&lt;valeur&gt;0&lt;/valeur&gt;</v>
      </c>
    </row>
    <row r="3578" spans="1:1" x14ac:dyDescent="0.2">
      <c r="A3578" s="996" t="str">
        <f>CONCATENATE(Programme!D3579,Programme!E3579,Programme!F3579,Programme!G3579,Programme!H3579,Programme!I3579,Programme!J3579)</f>
        <v>&lt;/ValeurCellule&gt;</v>
      </c>
    </row>
    <row r="3579" spans="1:1" x14ac:dyDescent="0.2">
      <c r="A3579" s="996" t="str">
        <f>CONCATENATE(Programme!D3580,Programme!E3580,Programme!F3580,Programme!G3580,Programme!H3580,Programme!I3580,Programme!J3580)</f>
        <v>&lt;ValeurCellule&gt;</v>
      </c>
    </row>
    <row r="3580" spans="1:1" x14ac:dyDescent="0.2">
      <c r="A3580" s="996" t="str">
        <f>CONCATENATE(Programme!D3581,Programme!E3581,Programme!F3581,Programme!G3581,Programme!H3581,Programme!I3581,Programme!J3581)</f>
        <v>&lt;cellule&gt;</v>
      </c>
    </row>
    <row r="3581" spans="1:1" x14ac:dyDescent="0.2">
      <c r="A3581" s="996" t="str">
        <f>CONCATENATE(Programme!D3582,Programme!E3582,Programme!F3582,Programme!G3582,Programme!H3582,Programme!I3582,Programme!J3582)</f>
        <v>&lt;codeEdi&gt;968&lt;/codeEdi&gt;</v>
      </c>
    </row>
    <row r="3582" spans="1:1" x14ac:dyDescent="0.2">
      <c r="A3582" s="996" t="str">
        <f>CONCATENATE(Programme!D3583,Programme!E3583,Programme!F3583,Programme!G3583,Programme!H3583,Programme!I3583,Programme!J3583)</f>
        <v>&lt;/cellule&gt;</v>
      </c>
    </row>
    <row r="3583" spans="1:1" x14ac:dyDescent="0.2">
      <c r="A3583" s="996" t="str">
        <f>CONCATENATE(Programme!D3584,Programme!E3584,Programme!F3584,Programme!G3584,Programme!H3584,Programme!I3584,Programme!J3584)</f>
        <v>&lt;valeur&gt;0&lt;/valeur&gt;</v>
      </c>
    </row>
    <row r="3584" spans="1:1" x14ac:dyDescent="0.2">
      <c r="A3584" s="996" t="str">
        <f>CONCATENATE(Programme!D3585,Programme!E3585,Programme!F3585,Programme!G3585,Programme!H3585,Programme!I3585,Programme!J3585)</f>
        <v>&lt;/ValeurCellule&gt;</v>
      </c>
    </row>
    <row r="3585" spans="1:1" x14ac:dyDescent="0.2">
      <c r="A3585" s="996" t="str">
        <f>CONCATENATE(Programme!D3586,Programme!E3586,Programme!F3586,Programme!G3586,Programme!H3586,Programme!I3586,Programme!J3586)</f>
        <v>&lt;ValeurCellule&gt;</v>
      </c>
    </row>
    <row r="3586" spans="1:1" x14ac:dyDescent="0.2">
      <c r="A3586" s="996" t="str">
        <f>CONCATENATE(Programme!D3587,Programme!E3587,Programme!F3587,Programme!G3587,Programme!H3587,Programme!I3587,Programme!J3587)</f>
        <v>&lt;cellule&gt;</v>
      </c>
    </row>
    <row r="3587" spans="1:1" x14ac:dyDescent="0.2">
      <c r="A3587" s="996" t="str">
        <f>CONCATENATE(Programme!D3588,Programme!E3588,Programme!F3588,Programme!G3588,Programme!H3588,Programme!I3588,Programme!J3588)</f>
        <v>&lt;codeEdi&gt;10064&lt;/codeEdi&gt;</v>
      </c>
    </row>
    <row r="3588" spans="1:1" x14ac:dyDescent="0.2">
      <c r="A3588" s="996" t="str">
        <f>CONCATENATE(Programme!D3589,Programme!E3589,Programme!F3589,Programme!G3589,Programme!H3589,Programme!I3589,Programme!J3589)</f>
        <v>&lt;/cellule&gt;</v>
      </c>
    </row>
    <row r="3589" spans="1:1" x14ac:dyDescent="0.2">
      <c r="A3589" s="996" t="str">
        <f>CONCATENATE(Programme!D3590,Programme!E3590,Programme!F3590,Programme!G3590,Programme!H3590,Programme!I3590,Programme!J3590)</f>
        <v>&lt;valeur&gt;0&lt;/valeur&gt;</v>
      </c>
    </row>
    <row r="3590" spans="1:1" x14ac:dyDescent="0.2">
      <c r="A3590" s="996" t="str">
        <f>CONCATENATE(Programme!D3591,Programme!E3591,Programme!F3591,Programme!G3591,Programme!H3591,Programme!I3591,Programme!J3591)</f>
        <v>&lt;/ValeurCellule&gt;</v>
      </c>
    </row>
    <row r="3591" spans="1:1" x14ac:dyDescent="0.2">
      <c r="A3591" s="996" t="str">
        <f>CONCATENATE(Programme!D3592,Programme!E3592,Programme!F3592,Programme!G3592,Programme!H3592,Programme!I3592,Programme!J3592)</f>
        <v>&lt;ValeurCellule&gt;</v>
      </c>
    </row>
    <row r="3592" spans="1:1" x14ac:dyDescent="0.2">
      <c r="A3592" s="996" t="str">
        <f>CONCATENATE(Programme!D3593,Programme!E3593,Programme!F3593,Programme!G3593,Programme!H3593,Programme!I3593,Programme!J3593)</f>
        <v>&lt;cellule&gt;</v>
      </c>
    </row>
    <row r="3593" spans="1:1" x14ac:dyDescent="0.2">
      <c r="A3593" s="996" t="str">
        <f>CONCATENATE(Programme!D3594,Programme!E3594,Programme!F3594,Programme!G3594,Programme!H3594,Programme!I3594,Programme!J3594)</f>
        <v>&lt;codeEdi&gt;980&lt;/codeEdi&gt;</v>
      </c>
    </row>
    <row r="3594" spans="1:1" x14ac:dyDescent="0.2">
      <c r="A3594" s="996" t="str">
        <f>CONCATENATE(Programme!D3595,Programme!E3595,Programme!F3595,Programme!G3595,Programme!H3595,Programme!I3595,Programme!J3595)</f>
        <v>&lt;/cellule&gt;</v>
      </c>
    </row>
    <row r="3595" spans="1:1" x14ac:dyDescent="0.2">
      <c r="A3595" s="996" t="str">
        <f>CONCATENATE(Programme!D3596,Programme!E3596,Programme!F3596,Programme!G3596,Programme!H3596,Programme!I3596,Programme!J3596)</f>
        <v>&lt;valeur&gt;0&lt;/valeur&gt;</v>
      </c>
    </row>
    <row r="3596" spans="1:1" x14ac:dyDescent="0.2">
      <c r="A3596" s="996" t="str">
        <f>CONCATENATE(Programme!D3597,Programme!E3597,Programme!F3597,Programme!G3597,Programme!H3597,Programme!I3597,Programme!J3597)</f>
        <v>&lt;/ValeurCellule&gt;</v>
      </c>
    </row>
    <row r="3597" spans="1:1" x14ac:dyDescent="0.2">
      <c r="A3597" s="996" t="str">
        <f>CONCATENATE(Programme!D3598,Programme!E3598,Programme!F3598,Programme!G3598,Programme!H3598,Programme!I3598,Programme!J3598)</f>
        <v>&lt;ValeurCellule&gt;</v>
      </c>
    </row>
    <row r="3598" spans="1:1" x14ac:dyDescent="0.2">
      <c r="A3598" s="996" t="str">
        <f>CONCATENATE(Programme!D3599,Programme!E3599,Programme!F3599,Programme!G3599,Programme!H3599,Programme!I3599,Programme!J3599)</f>
        <v>&lt;cellule&gt;</v>
      </c>
    </row>
    <row r="3599" spans="1:1" x14ac:dyDescent="0.2">
      <c r="A3599" s="996" t="str">
        <f>CONCATENATE(Programme!D3600,Programme!E3600,Programme!F3600,Programme!G3600,Programme!H3600,Programme!I3600,Programme!J3600)</f>
        <v>&lt;codeEdi&gt;981&lt;/codeEdi&gt;</v>
      </c>
    </row>
    <row r="3600" spans="1:1" x14ac:dyDescent="0.2">
      <c r="A3600" s="996" t="str">
        <f>CONCATENATE(Programme!D3601,Programme!E3601,Programme!F3601,Programme!G3601,Programme!H3601,Programme!I3601,Programme!J3601)</f>
        <v>&lt;/cellule&gt;</v>
      </c>
    </row>
    <row r="3601" spans="1:1" x14ac:dyDescent="0.2">
      <c r="A3601" s="996" t="str">
        <f>CONCATENATE(Programme!D3602,Programme!E3602,Programme!F3602,Programme!G3602,Programme!H3602,Programme!I3602,Programme!J3602)</f>
        <v>&lt;valeur&gt;0&lt;/valeur&gt;</v>
      </c>
    </row>
    <row r="3602" spans="1:1" x14ac:dyDescent="0.2">
      <c r="A3602" s="996" t="str">
        <f>CONCATENATE(Programme!D3603,Programme!E3603,Programme!F3603,Programme!G3603,Programme!H3603,Programme!I3603,Programme!J3603)</f>
        <v>&lt;/ValeurCellule&gt;</v>
      </c>
    </row>
    <row r="3603" spans="1:1" x14ac:dyDescent="0.2">
      <c r="A3603" s="996" t="str">
        <f>CONCATENATE(Programme!D3604,Programme!E3604,Programme!F3604,Programme!G3604,Programme!H3604,Programme!I3604,Programme!J3604)</f>
        <v>&lt;ValeurCellule&gt;</v>
      </c>
    </row>
    <row r="3604" spans="1:1" x14ac:dyDescent="0.2">
      <c r="A3604" s="996" t="str">
        <f>CONCATENATE(Programme!D3605,Programme!E3605,Programme!F3605,Programme!G3605,Programme!H3605,Programme!I3605,Programme!J3605)</f>
        <v>&lt;cellule&gt;</v>
      </c>
    </row>
    <row r="3605" spans="1:1" x14ac:dyDescent="0.2">
      <c r="A3605" s="996" t="str">
        <f>CONCATENATE(Programme!D3606,Programme!E3606,Programme!F3606,Programme!G3606,Programme!H3606,Programme!I3606,Programme!J3606)</f>
        <v>&lt;codeEdi&gt;982&lt;/codeEdi&gt;</v>
      </c>
    </row>
    <row r="3606" spans="1:1" x14ac:dyDescent="0.2">
      <c r="A3606" s="996" t="str">
        <f>CONCATENATE(Programme!D3607,Programme!E3607,Programme!F3607,Programme!G3607,Programme!H3607,Programme!I3607,Programme!J3607)</f>
        <v>&lt;/cellule&gt;</v>
      </c>
    </row>
    <row r="3607" spans="1:1" x14ac:dyDescent="0.2">
      <c r="A3607" s="996" t="str">
        <f>CONCATENATE(Programme!D3608,Programme!E3608,Programme!F3608,Programme!G3608,Programme!H3608,Programme!I3608,Programme!J3608)</f>
        <v>&lt;valeur&gt;0&lt;/valeur&gt;</v>
      </c>
    </row>
    <row r="3608" spans="1:1" x14ac:dyDescent="0.2">
      <c r="A3608" s="996" t="str">
        <f>CONCATENATE(Programme!D3609,Programme!E3609,Programme!F3609,Programme!G3609,Programme!H3609,Programme!I3609,Programme!J3609)</f>
        <v>&lt;/ValeurCellule&gt;</v>
      </c>
    </row>
    <row r="3609" spans="1:1" x14ac:dyDescent="0.2">
      <c r="A3609" s="996" t="str">
        <f>CONCATENATE(Programme!D3610,Programme!E3610,Programme!F3610,Programme!G3610,Programme!H3610,Programme!I3610,Programme!J3610)</f>
        <v>&lt;ValeurCellule&gt;</v>
      </c>
    </row>
    <row r="3610" spans="1:1" x14ac:dyDescent="0.2">
      <c r="A3610" s="996" t="str">
        <f>CONCATENATE(Programme!D3611,Programme!E3611,Programme!F3611,Programme!G3611,Programme!H3611,Programme!I3611,Programme!J3611)</f>
        <v>&lt;cellule&gt;</v>
      </c>
    </row>
    <row r="3611" spans="1:1" x14ac:dyDescent="0.2">
      <c r="A3611" s="996" t="str">
        <f>CONCATENATE(Programme!D3612,Programme!E3612,Programme!F3612,Programme!G3612,Programme!H3612,Programme!I3612,Programme!J3612)</f>
        <v>&lt;codeEdi&gt;10065&lt;/codeEdi&gt;</v>
      </c>
    </row>
    <row r="3612" spans="1:1" x14ac:dyDescent="0.2">
      <c r="A3612" s="996" t="str">
        <f>CONCATENATE(Programme!D3613,Programme!E3613,Programme!F3613,Programme!G3613,Programme!H3613,Programme!I3613,Programme!J3613)</f>
        <v>&lt;/cellule&gt;</v>
      </c>
    </row>
    <row r="3613" spans="1:1" x14ac:dyDescent="0.2">
      <c r="A3613" s="996" t="str">
        <f>CONCATENATE(Programme!D3614,Programme!E3614,Programme!F3614,Programme!G3614,Programme!H3614,Programme!I3614,Programme!J3614)</f>
        <v>&lt;valeur&gt;0&lt;/valeur&gt;</v>
      </c>
    </row>
    <row r="3614" spans="1:1" x14ac:dyDescent="0.2">
      <c r="A3614" s="996" t="str">
        <f>CONCATENATE(Programme!D3615,Programme!E3615,Programme!F3615,Programme!G3615,Programme!H3615,Programme!I3615,Programme!J3615)</f>
        <v>&lt;/ValeurCellule&gt;</v>
      </c>
    </row>
    <row r="3615" spans="1:1" x14ac:dyDescent="0.2">
      <c r="A3615" s="996" t="str">
        <f>CONCATENATE(Programme!D3616,Programme!E3616,Programme!F3616,Programme!G3616,Programme!H3616,Programme!I3616,Programme!J3616)</f>
        <v>&lt;ValeurCellule&gt;</v>
      </c>
    </row>
    <row r="3616" spans="1:1" x14ac:dyDescent="0.2">
      <c r="A3616" s="996" t="str">
        <f>CONCATENATE(Programme!D3617,Programme!E3617,Programme!F3617,Programme!G3617,Programme!H3617,Programme!I3617,Programme!J3617)</f>
        <v>&lt;cellule&gt;</v>
      </c>
    </row>
    <row r="3617" spans="1:1" x14ac:dyDescent="0.2">
      <c r="A3617" s="996" t="str">
        <f>CONCATENATE(Programme!D3618,Programme!E3618,Programme!F3618,Programme!G3618,Programme!H3618,Programme!I3618,Programme!J3618)</f>
        <v>&lt;codeEdi&gt;994&lt;/codeEdi&gt;</v>
      </c>
    </row>
    <row r="3618" spans="1:1" x14ac:dyDescent="0.2">
      <c r="A3618" s="996" t="str">
        <f>CONCATENATE(Programme!D3619,Programme!E3619,Programme!F3619,Programme!G3619,Programme!H3619,Programme!I3619,Programme!J3619)</f>
        <v>&lt;/cellule&gt;</v>
      </c>
    </row>
    <row r="3619" spans="1:1" x14ac:dyDescent="0.2">
      <c r="A3619" s="996" t="str">
        <f>CONCATENATE(Programme!D3620,Programme!E3620,Programme!F3620,Programme!G3620,Programme!H3620,Programme!I3620,Programme!J3620)</f>
        <v>&lt;valeur&gt;0&lt;/valeur&gt;</v>
      </c>
    </row>
    <row r="3620" spans="1:1" x14ac:dyDescent="0.2">
      <c r="A3620" s="996" t="str">
        <f>CONCATENATE(Programme!D3621,Programme!E3621,Programme!F3621,Programme!G3621,Programme!H3621,Programme!I3621,Programme!J3621)</f>
        <v>&lt;/ValeurCellule&gt;</v>
      </c>
    </row>
    <row r="3621" spans="1:1" x14ac:dyDescent="0.2">
      <c r="A3621" s="996" t="str">
        <f>CONCATENATE(Programme!D3622,Programme!E3622,Programme!F3622,Programme!G3622,Programme!H3622,Programme!I3622,Programme!J3622)</f>
        <v>&lt;ValeurCellule&gt;</v>
      </c>
    </row>
    <row r="3622" spans="1:1" x14ac:dyDescent="0.2">
      <c r="A3622" s="996" t="str">
        <f>CONCATENATE(Programme!D3623,Programme!E3623,Programme!F3623,Programme!G3623,Programme!H3623,Programme!I3623,Programme!J3623)</f>
        <v>&lt;cellule&gt;</v>
      </c>
    </row>
    <row r="3623" spans="1:1" x14ac:dyDescent="0.2">
      <c r="A3623" s="996" t="str">
        <f>CONCATENATE(Programme!D3624,Programme!E3624,Programme!F3624,Programme!G3624,Programme!H3624,Programme!I3624,Programme!J3624)</f>
        <v>&lt;codeEdi&gt;995&lt;/codeEdi&gt;</v>
      </c>
    </row>
    <row r="3624" spans="1:1" x14ac:dyDescent="0.2">
      <c r="A3624" s="996" t="str">
        <f>CONCATENATE(Programme!D3625,Programme!E3625,Programme!F3625,Programme!G3625,Programme!H3625,Programme!I3625,Programme!J3625)</f>
        <v>&lt;/cellule&gt;</v>
      </c>
    </row>
    <row r="3625" spans="1:1" x14ac:dyDescent="0.2">
      <c r="A3625" s="996" t="str">
        <f>CONCATENATE(Programme!D3626,Programme!E3626,Programme!F3626,Programme!G3626,Programme!H3626,Programme!I3626,Programme!J3626)</f>
        <v>&lt;valeur&gt;0&lt;/valeur&gt;</v>
      </c>
    </row>
    <row r="3626" spans="1:1" x14ac:dyDescent="0.2">
      <c r="A3626" s="996" t="str">
        <f>CONCATENATE(Programme!D3627,Programme!E3627,Programme!F3627,Programme!G3627,Programme!H3627,Programme!I3627,Programme!J3627)</f>
        <v>&lt;/ValeurCellule&gt;</v>
      </c>
    </row>
    <row r="3627" spans="1:1" x14ac:dyDescent="0.2">
      <c r="A3627" s="996" t="str">
        <f>CONCATENATE(Programme!D3628,Programme!E3628,Programme!F3628,Programme!G3628,Programme!H3628,Programme!I3628,Programme!J3628)</f>
        <v>&lt;ValeurCellule&gt;</v>
      </c>
    </row>
    <row r="3628" spans="1:1" x14ac:dyDescent="0.2">
      <c r="A3628" s="996" t="str">
        <f>CONCATENATE(Programme!D3629,Programme!E3629,Programme!F3629,Programme!G3629,Programme!H3629,Programme!I3629,Programme!J3629)</f>
        <v>&lt;cellule&gt;</v>
      </c>
    </row>
    <row r="3629" spans="1:1" x14ac:dyDescent="0.2">
      <c r="A3629" s="996" t="str">
        <f>CONCATENATE(Programme!D3630,Programme!E3630,Programme!F3630,Programme!G3630,Programme!H3630,Programme!I3630,Programme!J3630)</f>
        <v>&lt;codeEdi&gt;996&lt;/codeEdi&gt;</v>
      </c>
    </row>
    <row r="3630" spans="1:1" x14ac:dyDescent="0.2">
      <c r="A3630" s="996" t="str">
        <f>CONCATENATE(Programme!D3631,Programme!E3631,Programme!F3631,Programme!G3631,Programme!H3631,Programme!I3631,Programme!J3631)</f>
        <v>&lt;/cellule&gt;</v>
      </c>
    </row>
    <row r="3631" spans="1:1" x14ac:dyDescent="0.2">
      <c r="A3631" s="996" t="str">
        <f>CONCATENATE(Programme!D3632,Programme!E3632,Programme!F3632,Programme!G3632,Programme!H3632,Programme!I3632,Programme!J3632)</f>
        <v>&lt;valeur&gt;0&lt;/valeur&gt;</v>
      </c>
    </row>
    <row r="3632" spans="1:1" x14ac:dyDescent="0.2">
      <c r="A3632" s="996" t="str">
        <f>CONCATENATE(Programme!D3633,Programme!E3633,Programme!F3633,Programme!G3633,Programme!H3633,Programme!I3633,Programme!J3633)</f>
        <v>&lt;/ValeurCellule&gt;</v>
      </c>
    </row>
    <row r="3633" spans="1:1" x14ac:dyDescent="0.2">
      <c r="A3633" s="996" t="str">
        <f>CONCATENATE(Programme!D3634,Programme!E3634,Programme!F3634,Programme!G3634,Programme!H3634,Programme!I3634,Programme!J3634)</f>
        <v>&lt;ValeurCellule&gt;</v>
      </c>
    </row>
    <row r="3634" spans="1:1" x14ac:dyDescent="0.2">
      <c r="A3634" s="996" t="str">
        <f>CONCATENATE(Programme!D3635,Programme!E3635,Programme!F3635,Programme!G3635,Programme!H3635,Programme!I3635,Programme!J3635)</f>
        <v>&lt;cellule&gt;</v>
      </c>
    </row>
    <row r="3635" spans="1:1" x14ac:dyDescent="0.2">
      <c r="A3635" s="996" t="str">
        <f>CONCATENATE(Programme!D3636,Programme!E3636,Programme!F3636,Programme!G3636,Programme!H3636,Programme!I3636,Programme!J3636)</f>
        <v>&lt;codeEdi&gt;10066&lt;/codeEdi&gt;</v>
      </c>
    </row>
    <row r="3636" spans="1:1" x14ac:dyDescent="0.2">
      <c r="A3636" s="996" t="str">
        <f>CONCATENATE(Programme!D3637,Programme!E3637,Programme!F3637,Programme!G3637,Programme!H3637,Programme!I3637,Programme!J3637)</f>
        <v>&lt;/cellule&gt;</v>
      </c>
    </row>
    <row r="3637" spans="1:1" x14ac:dyDescent="0.2">
      <c r="A3637" s="996" t="str">
        <f>CONCATENATE(Programme!D3638,Programme!E3638,Programme!F3638,Programme!G3638,Programme!H3638,Programme!I3638,Programme!J3638)</f>
        <v>&lt;valeur&gt;0&lt;/valeur&gt;</v>
      </c>
    </row>
    <row r="3638" spans="1:1" x14ac:dyDescent="0.2">
      <c r="A3638" s="996" t="str">
        <f>CONCATENATE(Programme!D3639,Programme!E3639,Programme!F3639,Programme!G3639,Programme!H3639,Programme!I3639,Programme!J3639)</f>
        <v>&lt;/ValeurCellule&gt;</v>
      </c>
    </row>
    <row r="3639" spans="1:1" x14ac:dyDescent="0.2">
      <c r="A3639" s="996" t="str">
        <f>CONCATENATE(Programme!D3640,Programme!E3640,Programme!F3640,Programme!G3640,Programme!H3640,Programme!I3640,Programme!J3640)</f>
        <v>&lt;ValeurCellule&gt;</v>
      </c>
    </row>
    <row r="3640" spans="1:1" x14ac:dyDescent="0.2">
      <c r="A3640" s="996" t="str">
        <f>CONCATENATE(Programme!D3641,Programme!E3641,Programme!F3641,Programme!G3641,Programme!H3641,Programme!I3641,Programme!J3641)</f>
        <v>&lt;cellule&gt;</v>
      </c>
    </row>
    <row r="3641" spans="1:1" x14ac:dyDescent="0.2">
      <c r="A3641" s="996" t="str">
        <f>CONCATENATE(Programme!D3642,Programme!E3642,Programme!F3642,Programme!G3642,Programme!H3642,Programme!I3642,Programme!J3642)</f>
        <v>&lt;codeEdi&gt;1008&lt;/codeEdi&gt;</v>
      </c>
    </row>
    <row r="3642" spans="1:1" x14ac:dyDescent="0.2">
      <c r="A3642" s="996" t="str">
        <f>CONCATENATE(Programme!D3643,Programme!E3643,Programme!F3643,Programme!G3643,Programme!H3643,Programme!I3643,Programme!J3643)</f>
        <v>&lt;/cellule&gt;</v>
      </c>
    </row>
    <row r="3643" spans="1:1" x14ac:dyDescent="0.2">
      <c r="A3643" s="996" t="str">
        <f>CONCATENATE(Programme!D3644,Programme!E3644,Programme!F3644,Programme!G3644,Programme!H3644,Programme!I3644,Programme!J3644)</f>
        <v>&lt;valeur&gt;0&lt;/valeur&gt;</v>
      </c>
    </row>
    <row r="3644" spans="1:1" x14ac:dyDescent="0.2">
      <c r="A3644" s="996" t="str">
        <f>CONCATENATE(Programme!D3645,Programme!E3645,Programme!F3645,Programme!G3645,Programme!H3645,Programme!I3645,Programme!J3645)</f>
        <v>&lt;/ValeurCellule&gt;</v>
      </c>
    </row>
    <row r="3645" spans="1:1" x14ac:dyDescent="0.2">
      <c r="A3645" s="996" t="str">
        <f>CONCATENATE(Programme!D3646,Programme!E3646,Programme!F3646,Programme!G3646,Programme!H3646,Programme!I3646,Programme!J3646)</f>
        <v>&lt;ValeurCellule&gt;</v>
      </c>
    </row>
    <row r="3646" spans="1:1" x14ac:dyDescent="0.2">
      <c r="A3646" s="996" t="str">
        <f>CONCATENATE(Programme!D3647,Programme!E3647,Programme!F3647,Programme!G3647,Programme!H3647,Programme!I3647,Programme!J3647)</f>
        <v>&lt;cellule&gt;</v>
      </c>
    </row>
    <row r="3647" spans="1:1" x14ac:dyDescent="0.2">
      <c r="A3647" s="996" t="str">
        <f>CONCATENATE(Programme!D3648,Programme!E3648,Programme!F3648,Programme!G3648,Programme!H3648,Programme!I3648,Programme!J3648)</f>
        <v>&lt;codeEdi&gt;1009&lt;/codeEdi&gt;</v>
      </c>
    </row>
    <row r="3648" spans="1:1" x14ac:dyDescent="0.2">
      <c r="A3648" s="996" t="str">
        <f>CONCATENATE(Programme!D3649,Programme!E3649,Programme!F3649,Programme!G3649,Programme!H3649,Programme!I3649,Programme!J3649)</f>
        <v>&lt;/cellule&gt;</v>
      </c>
    </row>
    <row r="3649" spans="1:1" x14ac:dyDescent="0.2">
      <c r="A3649" s="996" t="str">
        <f>CONCATENATE(Programme!D3650,Programme!E3650,Programme!F3650,Programme!G3650,Programme!H3650,Programme!I3650,Programme!J3650)</f>
        <v>&lt;valeur&gt;0&lt;/valeur&gt;</v>
      </c>
    </row>
    <row r="3650" spans="1:1" x14ac:dyDescent="0.2">
      <c r="A3650" s="996" t="str">
        <f>CONCATENATE(Programme!D3651,Programme!E3651,Programme!F3651,Programme!G3651,Programme!H3651,Programme!I3651,Programme!J3651)</f>
        <v>&lt;/ValeurCellule&gt;</v>
      </c>
    </row>
    <row r="3651" spans="1:1" x14ac:dyDescent="0.2">
      <c r="A3651" s="996" t="str">
        <f>CONCATENATE(Programme!D3652,Programme!E3652,Programme!F3652,Programme!G3652,Programme!H3652,Programme!I3652,Programme!J3652)</f>
        <v>&lt;ValeurCellule&gt;</v>
      </c>
    </row>
    <row r="3652" spans="1:1" x14ac:dyDescent="0.2">
      <c r="A3652" s="996" t="str">
        <f>CONCATENATE(Programme!D3653,Programme!E3653,Programme!F3653,Programme!G3653,Programme!H3653,Programme!I3653,Programme!J3653)</f>
        <v>&lt;cellule&gt;</v>
      </c>
    </row>
    <row r="3653" spans="1:1" x14ac:dyDescent="0.2">
      <c r="A3653" s="996" t="str">
        <f>CONCATENATE(Programme!D3654,Programme!E3654,Programme!F3654,Programme!G3654,Programme!H3654,Programme!I3654,Programme!J3654)</f>
        <v>&lt;codeEdi&gt;1010&lt;/codeEdi&gt;</v>
      </c>
    </row>
    <row r="3654" spans="1:1" x14ac:dyDescent="0.2">
      <c r="A3654" s="996" t="str">
        <f>CONCATENATE(Programme!D3655,Programme!E3655,Programme!F3655,Programme!G3655,Programme!H3655,Programme!I3655,Programme!J3655)</f>
        <v>&lt;/cellule&gt;</v>
      </c>
    </row>
    <row r="3655" spans="1:1" x14ac:dyDescent="0.2">
      <c r="A3655" s="996" t="str">
        <f>CONCATENATE(Programme!D3656,Programme!E3656,Programme!F3656,Programme!G3656,Programme!H3656,Programme!I3656,Programme!J3656)</f>
        <v>&lt;valeur&gt;0&lt;/valeur&gt;</v>
      </c>
    </row>
    <row r="3656" spans="1:1" x14ac:dyDescent="0.2">
      <c r="A3656" s="996" t="str">
        <f>CONCATENATE(Programme!D3657,Programme!E3657,Programme!F3657,Programme!G3657,Programme!H3657,Programme!I3657,Programme!J3657)</f>
        <v>&lt;/ValeurCellule&gt;</v>
      </c>
    </row>
    <row r="3657" spans="1:1" x14ac:dyDescent="0.2">
      <c r="A3657" s="996" t="str">
        <f>CONCATENATE(Programme!D3658,Programme!E3658,Programme!F3658,Programme!G3658,Programme!H3658,Programme!I3658,Programme!J3658)</f>
        <v>&lt;ValeurCellule&gt;</v>
      </c>
    </row>
    <row r="3658" spans="1:1" x14ac:dyDescent="0.2">
      <c r="A3658" s="996" t="str">
        <f>CONCATENATE(Programme!D3659,Programme!E3659,Programme!F3659,Programme!G3659,Programme!H3659,Programme!I3659,Programme!J3659)</f>
        <v>&lt;cellule&gt;</v>
      </c>
    </row>
    <row r="3659" spans="1:1" x14ac:dyDescent="0.2">
      <c r="A3659" s="996" t="str">
        <f>CONCATENATE(Programme!D3660,Programme!E3660,Programme!F3660,Programme!G3660,Programme!H3660,Programme!I3660,Programme!J3660)</f>
        <v>&lt;codeEdi&gt;10067&lt;/codeEdi&gt;</v>
      </c>
    </row>
    <row r="3660" spans="1:1" x14ac:dyDescent="0.2">
      <c r="A3660" s="996" t="str">
        <f>CONCATENATE(Programme!D3661,Programme!E3661,Programme!F3661,Programme!G3661,Programme!H3661,Programme!I3661,Programme!J3661)</f>
        <v>&lt;/cellule&gt;</v>
      </c>
    </row>
    <row r="3661" spans="1:1" x14ac:dyDescent="0.2">
      <c r="A3661" s="996" t="str">
        <f>CONCATENATE(Programme!D3662,Programme!E3662,Programme!F3662,Programme!G3662,Programme!H3662,Programme!I3662,Programme!J3662)</f>
        <v>&lt;valeur&gt;0&lt;/valeur&gt;</v>
      </c>
    </row>
    <row r="3662" spans="1:1" x14ac:dyDescent="0.2">
      <c r="A3662" s="996" t="str">
        <f>CONCATENATE(Programme!D3663,Programme!E3663,Programme!F3663,Programme!G3663,Programme!H3663,Programme!I3663,Programme!J3663)</f>
        <v>&lt;/ValeurCellule&gt;</v>
      </c>
    </row>
    <row r="3663" spans="1:1" x14ac:dyDescent="0.2">
      <c r="A3663" s="996" t="str">
        <f>CONCATENATE(Programme!D3664,Programme!E3664,Programme!F3664,Programme!G3664,Programme!H3664,Programme!I3664,Programme!J3664)</f>
        <v>&lt;ValeurCellule&gt;</v>
      </c>
    </row>
    <row r="3664" spans="1:1" x14ac:dyDescent="0.2">
      <c r="A3664" s="996" t="str">
        <f>CONCATENATE(Programme!D3665,Programme!E3665,Programme!F3665,Programme!G3665,Programme!H3665,Programme!I3665,Programme!J3665)</f>
        <v>&lt;cellule&gt;</v>
      </c>
    </row>
    <row r="3665" spans="1:1" x14ac:dyDescent="0.2">
      <c r="A3665" s="996" t="str">
        <f>CONCATENATE(Programme!D3666,Programme!E3666,Programme!F3666,Programme!G3666,Programme!H3666,Programme!I3666,Programme!J3666)</f>
        <v>&lt;codeEdi&gt;1022&lt;/codeEdi&gt;</v>
      </c>
    </row>
    <row r="3666" spans="1:1" x14ac:dyDescent="0.2">
      <c r="A3666" s="996" t="str">
        <f>CONCATENATE(Programme!D3667,Programme!E3667,Programme!F3667,Programme!G3667,Programme!H3667,Programme!I3667,Programme!J3667)</f>
        <v>&lt;/cellule&gt;</v>
      </c>
    </row>
    <row r="3667" spans="1:1" x14ac:dyDescent="0.2">
      <c r="A3667" s="996" t="str">
        <f>CONCATENATE(Programme!D3668,Programme!E3668,Programme!F3668,Programme!G3668,Programme!H3668,Programme!I3668,Programme!J3668)</f>
        <v>&lt;valeur&gt;0&lt;/valeur&gt;</v>
      </c>
    </row>
    <row r="3668" spans="1:1" x14ac:dyDescent="0.2">
      <c r="A3668" s="996" t="str">
        <f>CONCATENATE(Programme!D3669,Programme!E3669,Programme!F3669,Programme!G3669,Programme!H3669,Programme!I3669,Programme!J3669)</f>
        <v>&lt;/ValeurCellule&gt;</v>
      </c>
    </row>
    <row r="3669" spans="1:1" x14ac:dyDescent="0.2">
      <c r="A3669" s="996" t="str">
        <f>CONCATENATE(Programme!D3670,Programme!E3670,Programme!F3670,Programme!G3670,Programme!H3670,Programme!I3670,Programme!J3670)</f>
        <v>&lt;ValeurCellule&gt;</v>
      </c>
    </row>
    <row r="3670" spans="1:1" x14ac:dyDescent="0.2">
      <c r="A3670" s="996" t="str">
        <f>CONCATENATE(Programme!D3671,Programme!E3671,Programme!F3671,Programme!G3671,Programme!H3671,Programme!I3671,Programme!J3671)</f>
        <v>&lt;cellule&gt;</v>
      </c>
    </row>
    <row r="3671" spans="1:1" x14ac:dyDescent="0.2">
      <c r="A3671" s="996" t="str">
        <f>CONCATENATE(Programme!D3672,Programme!E3672,Programme!F3672,Programme!G3672,Programme!H3672,Programme!I3672,Programme!J3672)</f>
        <v>&lt;codeEdi&gt;1023&lt;/codeEdi&gt;</v>
      </c>
    </row>
    <row r="3672" spans="1:1" x14ac:dyDescent="0.2">
      <c r="A3672" s="996" t="str">
        <f>CONCATENATE(Programme!D3673,Programme!E3673,Programme!F3673,Programme!G3673,Programme!H3673,Programme!I3673,Programme!J3673)</f>
        <v>&lt;/cellule&gt;</v>
      </c>
    </row>
    <row r="3673" spans="1:1" x14ac:dyDescent="0.2">
      <c r="A3673" s="996" t="str">
        <f>CONCATENATE(Programme!D3674,Programme!E3674,Programme!F3674,Programme!G3674,Programme!H3674,Programme!I3674,Programme!J3674)</f>
        <v>&lt;valeur&gt;0&lt;/valeur&gt;</v>
      </c>
    </row>
    <row r="3674" spans="1:1" x14ac:dyDescent="0.2">
      <c r="A3674" s="996" t="str">
        <f>CONCATENATE(Programme!D3675,Programme!E3675,Programme!F3675,Programme!G3675,Programme!H3675,Programme!I3675,Programme!J3675)</f>
        <v>&lt;/ValeurCellule&gt;</v>
      </c>
    </row>
    <row r="3675" spans="1:1" x14ac:dyDescent="0.2">
      <c r="A3675" s="996" t="str">
        <f>CONCATENATE(Programme!D3676,Programme!E3676,Programme!F3676,Programme!G3676,Programme!H3676,Programme!I3676,Programme!J3676)</f>
        <v>&lt;ValeurCellule&gt;</v>
      </c>
    </row>
    <row r="3676" spans="1:1" x14ac:dyDescent="0.2">
      <c r="A3676" s="996" t="str">
        <f>CONCATENATE(Programme!D3677,Programme!E3677,Programme!F3677,Programme!G3677,Programme!H3677,Programme!I3677,Programme!J3677)</f>
        <v>&lt;cellule&gt;</v>
      </c>
    </row>
    <row r="3677" spans="1:1" x14ac:dyDescent="0.2">
      <c r="A3677" s="996" t="str">
        <f>CONCATENATE(Programme!D3678,Programme!E3678,Programme!F3678,Programme!G3678,Programme!H3678,Programme!I3678,Programme!J3678)</f>
        <v>&lt;codeEdi&gt;1024&lt;/codeEdi&gt;</v>
      </c>
    </row>
    <row r="3678" spans="1:1" x14ac:dyDescent="0.2">
      <c r="A3678" s="996" t="str">
        <f>CONCATENATE(Programme!D3679,Programme!E3679,Programme!F3679,Programme!G3679,Programme!H3679,Programme!I3679,Programme!J3679)</f>
        <v>&lt;/cellule&gt;</v>
      </c>
    </row>
    <row r="3679" spans="1:1" x14ac:dyDescent="0.2">
      <c r="A3679" s="996" t="str">
        <f>CONCATENATE(Programme!D3680,Programme!E3680,Programme!F3680,Programme!G3680,Programme!H3680,Programme!I3680,Programme!J3680)</f>
        <v>&lt;valeur&gt;0&lt;/valeur&gt;</v>
      </c>
    </row>
    <row r="3680" spans="1:1" x14ac:dyDescent="0.2">
      <c r="A3680" s="996" t="str">
        <f>CONCATENATE(Programme!D3681,Programme!E3681,Programme!F3681,Programme!G3681,Programme!H3681,Programme!I3681,Programme!J3681)</f>
        <v>&lt;/ValeurCellule&gt;</v>
      </c>
    </row>
    <row r="3681" spans="1:1" x14ac:dyDescent="0.2">
      <c r="A3681" s="996" t="str">
        <f>CONCATENATE(Programme!D3682,Programme!E3682,Programme!F3682,Programme!G3682,Programme!H3682,Programme!I3682,Programme!J3682)</f>
        <v>&lt;ValeurCellule&gt;</v>
      </c>
    </row>
    <row r="3682" spans="1:1" x14ac:dyDescent="0.2">
      <c r="A3682" s="996" t="str">
        <f>CONCATENATE(Programme!D3683,Programme!E3683,Programme!F3683,Programme!G3683,Programme!H3683,Programme!I3683,Programme!J3683)</f>
        <v>&lt;cellule&gt;</v>
      </c>
    </row>
    <row r="3683" spans="1:1" x14ac:dyDescent="0.2">
      <c r="A3683" s="996" t="str">
        <f>CONCATENATE(Programme!D3684,Programme!E3684,Programme!F3684,Programme!G3684,Programme!H3684,Programme!I3684,Programme!J3684)</f>
        <v>&lt;codeEdi&gt;10068&lt;/codeEdi&gt;</v>
      </c>
    </row>
    <row r="3684" spans="1:1" x14ac:dyDescent="0.2">
      <c r="A3684" s="996" t="str">
        <f>CONCATENATE(Programme!D3685,Programme!E3685,Programme!F3685,Programme!G3685,Programme!H3685,Programme!I3685,Programme!J3685)</f>
        <v>&lt;/cellule&gt;</v>
      </c>
    </row>
    <row r="3685" spans="1:1" x14ac:dyDescent="0.2">
      <c r="A3685" s="996" t="str">
        <f>CONCATENATE(Programme!D3686,Programme!E3686,Programme!F3686,Programme!G3686,Programme!H3686,Programme!I3686,Programme!J3686)</f>
        <v>&lt;valeur&gt;0&lt;/valeur&gt;</v>
      </c>
    </row>
    <row r="3686" spans="1:1" x14ac:dyDescent="0.2">
      <c r="A3686" s="996" t="str">
        <f>CONCATENATE(Programme!D3687,Programme!E3687,Programme!F3687,Programme!G3687,Programme!H3687,Programme!I3687,Programme!J3687)</f>
        <v>&lt;/ValeurCellule&gt;</v>
      </c>
    </row>
    <row r="3687" spans="1:1" x14ac:dyDescent="0.2">
      <c r="A3687" s="996" t="str">
        <f>CONCATENATE(Programme!D3688,Programme!E3688,Programme!F3688,Programme!G3688,Programme!H3688,Programme!I3688,Programme!J3688)</f>
        <v>&lt;ValeurCellule&gt;</v>
      </c>
    </row>
    <row r="3688" spans="1:1" x14ac:dyDescent="0.2">
      <c r="A3688" s="996" t="str">
        <f>CONCATENATE(Programme!D3689,Programme!E3689,Programme!F3689,Programme!G3689,Programme!H3689,Programme!I3689,Programme!J3689)</f>
        <v>&lt;cellule&gt;</v>
      </c>
    </row>
    <row r="3689" spans="1:1" x14ac:dyDescent="0.2">
      <c r="A3689" s="996" t="str">
        <f>CONCATENATE(Programme!D3690,Programme!E3690,Programme!F3690,Programme!G3690,Programme!H3690,Programme!I3690,Programme!J3690)</f>
        <v>&lt;codeEdi&gt;1036&lt;/codeEdi&gt;</v>
      </c>
    </row>
    <row r="3690" spans="1:1" x14ac:dyDescent="0.2">
      <c r="A3690" s="996" t="str">
        <f>CONCATENATE(Programme!D3691,Programme!E3691,Programme!F3691,Programme!G3691,Programme!H3691,Programme!I3691,Programme!J3691)</f>
        <v>&lt;/cellule&gt;</v>
      </c>
    </row>
    <row r="3691" spans="1:1" x14ac:dyDescent="0.2">
      <c r="A3691" s="996" t="str">
        <f>CONCATENATE(Programme!D3692,Programme!E3692,Programme!F3692,Programme!G3692,Programme!H3692,Programme!I3692,Programme!J3692)</f>
        <v>&lt;valeur&gt;0&lt;/valeur&gt;</v>
      </c>
    </row>
    <row r="3692" spans="1:1" x14ac:dyDescent="0.2">
      <c r="A3692" s="996" t="str">
        <f>CONCATENATE(Programme!D3693,Programme!E3693,Programme!F3693,Programme!G3693,Programme!H3693,Programme!I3693,Programme!J3693)</f>
        <v>&lt;/ValeurCellule&gt;</v>
      </c>
    </row>
    <row r="3693" spans="1:1" x14ac:dyDescent="0.2">
      <c r="A3693" s="996" t="str">
        <f>CONCATENATE(Programme!D3694,Programme!E3694,Programme!F3694,Programme!G3694,Programme!H3694,Programme!I3694,Programme!J3694)</f>
        <v>&lt;ValeurCellule&gt;</v>
      </c>
    </row>
    <row r="3694" spans="1:1" x14ac:dyDescent="0.2">
      <c r="A3694" s="996" t="str">
        <f>CONCATENATE(Programme!D3695,Programme!E3695,Programme!F3695,Programme!G3695,Programme!H3695,Programme!I3695,Programme!J3695)</f>
        <v>&lt;cellule&gt;</v>
      </c>
    </row>
    <row r="3695" spans="1:1" x14ac:dyDescent="0.2">
      <c r="A3695" s="996" t="str">
        <f>CONCATENATE(Programme!D3696,Programme!E3696,Programme!F3696,Programme!G3696,Programme!H3696,Programme!I3696,Programme!J3696)</f>
        <v>&lt;codeEdi&gt;1037&lt;/codeEdi&gt;</v>
      </c>
    </row>
    <row r="3696" spans="1:1" x14ac:dyDescent="0.2">
      <c r="A3696" s="996" t="str">
        <f>CONCATENATE(Programme!D3697,Programme!E3697,Programme!F3697,Programme!G3697,Programme!H3697,Programme!I3697,Programme!J3697)</f>
        <v>&lt;/cellule&gt;</v>
      </c>
    </row>
    <row r="3697" spans="1:1" x14ac:dyDescent="0.2">
      <c r="A3697" s="996" t="str">
        <f>CONCATENATE(Programme!D3698,Programme!E3698,Programme!F3698,Programme!G3698,Programme!H3698,Programme!I3698,Programme!J3698)</f>
        <v>&lt;valeur&gt;0&lt;/valeur&gt;</v>
      </c>
    </row>
    <row r="3698" spans="1:1" x14ac:dyDescent="0.2">
      <c r="A3698" s="996" t="str">
        <f>CONCATENATE(Programme!D3699,Programme!E3699,Programme!F3699,Programme!G3699,Programme!H3699,Programme!I3699,Programme!J3699)</f>
        <v>&lt;/ValeurCellule&gt;</v>
      </c>
    </row>
    <row r="3699" spans="1:1" x14ac:dyDescent="0.2">
      <c r="A3699" s="996" t="str">
        <f>CONCATENATE(Programme!D3700,Programme!E3700,Programme!F3700,Programme!G3700,Programme!H3700,Programme!I3700,Programme!J3700)</f>
        <v>&lt;ValeurCellule&gt;</v>
      </c>
    </row>
    <row r="3700" spans="1:1" x14ac:dyDescent="0.2">
      <c r="A3700" s="996" t="str">
        <f>CONCATENATE(Programme!D3701,Programme!E3701,Programme!F3701,Programme!G3701,Programme!H3701,Programme!I3701,Programme!J3701)</f>
        <v>&lt;cellule&gt;</v>
      </c>
    </row>
    <row r="3701" spans="1:1" x14ac:dyDescent="0.2">
      <c r="A3701" s="996" t="str">
        <f>CONCATENATE(Programme!D3702,Programme!E3702,Programme!F3702,Programme!G3702,Programme!H3702,Programme!I3702,Programme!J3702)</f>
        <v>&lt;codeEdi&gt;1038&lt;/codeEdi&gt;</v>
      </c>
    </row>
    <row r="3702" spans="1:1" x14ac:dyDescent="0.2">
      <c r="A3702" s="996" t="str">
        <f>CONCATENATE(Programme!D3703,Programme!E3703,Programme!F3703,Programme!G3703,Programme!H3703,Programme!I3703,Programme!J3703)</f>
        <v>&lt;/cellule&gt;</v>
      </c>
    </row>
    <row r="3703" spans="1:1" x14ac:dyDescent="0.2">
      <c r="A3703" s="996" t="str">
        <f>CONCATENATE(Programme!D3704,Programme!E3704,Programme!F3704,Programme!G3704,Programme!H3704,Programme!I3704,Programme!J3704)</f>
        <v>&lt;valeur&gt;0&lt;/valeur&gt;</v>
      </c>
    </row>
    <row r="3704" spans="1:1" x14ac:dyDescent="0.2">
      <c r="A3704" s="996" t="str">
        <f>CONCATENATE(Programme!D3705,Programme!E3705,Programme!F3705,Programme!G3705,Programme!H3705,Programme!I3705,Programme!J3705)</f>
        <v>&lt;/ValeurCellule&gt;</v>
      </c>
    </row>
    <row r="3705" spans="1:1" x14ac:dyDescent="0.2">
      <c r="A3705" s="996" t="str">
        <f>CONCATENATE(Programme!D3706,Programme!E3706,Programme!F3706,Programme!G3706,Programme!H3706,Programme!I3706,Programme!J3706)</f>
        <v>&lt;ValeurCellule&gt;</v>
      </c>
    </row>
    <row r="3706" spans="1:1" x14ac:dyDescent="0.2">
      <c r="A3706" s="996" t="str">
        <f>CONCATENATE(Programme!D3707,Programme!E3707,Programme!F3707,Programme!G3707,Programme!H3707,Programme!I3707,Programme!J3707)</f>
        <v>&lt;cellule&gt;</v>
      </c>
    </row>
    <row r="3707" spans="1:1" x14ac:dyDescent="0.2">
      <c r="A3707" s="996" t="str">
        <f>CONCATENATE(Programme!D3708,Programme!E3708,Programme!F3708,Programme!G3708,Programme!H3708,Programme!I3708,Programme!J3708)</f>
        <v>&lt;codeEdi&gt;10069&lt;/codeEdi&gt;</v>
      </c>
    </row>
    <row r="3708" spans="1:1" x14ac:dyDescent="0.2">
      <c r="A3708" s="996" t="str">
        <f>CONCATENATE(Programme!D3709,Programme!E3709,Programme!F3709,Programme!G3709,Programme!H3709,Programme!I3709,Programme!J3709)</f>
        <v>&lt;/cellule&gt;</v>
      </c>
    </row>
    <row r="3709" spans="1:1" x14ac:dyDescent="0.2">
      <c r="A3709" s="996" t="str">
        <f>CONCATENATE(Programme!D3710,Programme!E3710,Programme!F3710,Programme!G3710,Programme!H3710,Programme!I3710,Programme!J3710)</f>
        <v>&lt;valeur&gt;0&lt;/valeur&gt;</v>
      </c>
    </row>
    <row r="3710" spans="1:1" x14ac:dyDescent="0.2">
      <c r="A3710" s="996" t="str">
        <f>CONCATENATE(Programme!D3711,Programme!E3711,Programme!F3711,Programme!G3711,Programme!H3711,Programme!I3711,Programme!J3711)</f>
        <v>&lt;/ValeurCellule&gt;</v>
      </c>
    </row>
    <row r="3711" spans="1:1" x14ac:dyDescent="0.2">
      <c r="A3711" s="996" t="str">
        <f>CONCATENATE(Programme!D3712,Programme!E3712,Programme!F3712,Programme!G3712,Programme!H3712,Programme!I3712,Programme!J3712)</f>
        <v>&lt;ValeurCellule&gt;</v>
      </c>
    </row>
    <row r="3712" spans="1:1" x14ac:dyDescent="0.2">
      <c r="A3712" s="996" t="str">
        <f>CONCATENATE(Programme!D3713,Programme!E3713,Programme!F3713,Programme!G3713,Programme!H3713,Programme!I3713,Programme!J3713)</f>
        <v>&lt;cellule&gt;</v>
      </c>
    </row>
    <row r="3713" spans="1:1" x14ac:dyDescent="0.2">
      <c r="A3713" s="996" t="str">
        <f>CONCATENATE(Programme!D3714,Programme!E3714,Programme!F3714,Programme!G3714,Programme!H3714,Programme!I3714,Programme!J3714)</f>
        <v>&lt;codeEdi&gt;1050&lt;/codeEdi&gt;</v>
      </c>
    </row>
    <row r="3714" spans="1:1" x14ac:dyDescent="0.2">
      <c r="A3714" s="996" t="str">
        <f>CONCATENATE(Programme!D3715,Programme!E3715,Programme!F3715,Programme!G3715,Programme!H3715,Programme!I3715,Programme!J3715)</f>
        <v>&lt;/cellule&gt;</v>
      </c>
    </row>
    <row r="3715" spans="1:1" x14ac:dyDescent="0.2">
      <c r="A3715" s="996" t="str">
        <f>CONCATENATE(Programme!D3716,Programme!E3716,Programme!F3716,Programme!G3716,Programme!H3716,Programme!I3716,Programme!J3716)</f>
        <v>&lt;valeur&gt;0&lt;/valeur&gt;</v>
      </c>
    </row>
    <row r="3716" spans="1:1" x14ac:dyDescent="0.2">
      <c r="A3716" s="996" t="str">
        <f>CONCATENATE(Programme!D3717,Programme!E3717,Programme!F3717,Programme!G3717,Programme!H3717,Programme!I3717,Programme!J3717)</f>
        <v>&lt;/ValeurCellule&gt;</v>
      </c>
    </row>
    <row r="3717" spans="1:1" x14ac:dyDescent="0.2">
      <c r="A3717" s="996" t="str">
        <f>CONCATENATE(Programme!D3718,Programme!E3718,Programme!F3718,Programme!G3718,Programme!H3718,Programme!I3718,Programme!J3718)</f>
        <v>&lt;ValeurCellule&gt;</v>
      </c>
    </row>
    <row r="3718" spans="1:1" x14ac:dyDescent="0.2">
      <c r="A3718" s="996" t="str">
        <f>CONCATENATE(Programme!D3719,Programme!E3719,Programme!F3719,Programme!G3719,Programme!H3719,Programme!I3719,Programme!J3719)</f>
        <v>&lt;cellule&gt;</v>
      </c>
    </row>
    <row r="3719" spans="1:1" x14ac:dyDescent="0.2">
      <c r="A3719" s="996" t="str">
        <f>CONCATENATE(Programme!D3720,Programme!E3720,Programme!F3720,Programme!G3720,Programme!H3720,Programme!I3720,Programme!J3720)</f>
        <v>&lt;codeEdi&gt;1051&lt;/codeEdi&gt;</v>
      </c>
    </row>
    <row r="3720" spans="1:1" x14ac:dyDescent="0.2">
      <c r="A3720" s="996" t="str">
        <f>CONCATENATE(Programme!D3721,Programme!E3721,Programme!F3721,Programme!G3721,Programme!H3721,Programme!I3721,Programme!J3721)</f>
        <v>&lt;/cellule&gt;</v>
      </c>
    </row>
    <row r="3721" spans="1:1" x14ac:dyDescent="0.2">
      <c r="A3721" s="996" t="str">
        <f>CONCATENATE(Programme!D3722,Programme!E3722,Programme!F3722,Programme!G3722,Programme!H3722,Programme!I3722,Programme!J3722)</f>
        <v>&lt;valeur&gt;0&lt;/valeur&gt;</v>
      </c>
    </row>
    <row r="3722" spans="1:1" x14ac:dyDescent="0.2">
      <c r="A3722" s="996" t="str">
        <f>CONCATENATE(Programme!D3723,Programme!E3723,Programme!F3723,Programme!G3723,Programme!H3723,Programme!I3723,Programme!J3723)</f>
        <v>&lt;/ValeurCellule&gt;</v>
      </c>
    </row>
    <row r="3723" spans="1:1" x14ac:dyDescent="0.2">
      <c r="A3723" s="996" t="str">
        <f>CONCATENATE(Programme!D3724,Programme!E3724,Programme!F3724,Programme!G3724,Programme!H3724,Programme!I3724,Programme!J3724)</f>
        <v>&lt;ValeurCellule&gt;</v>
      </c>
    </row>
    <row r="3724" spans="1:1" x14ac:dyDescent="0.2">
      <c r="A3724" s="996" t="str">
        <f>CONCATENATE(Programme!D3725,Programme!E3725,Programme!F3725,Programme!G3725,Programme!H3725,Programme!I3725,Programme!J3725)</f>
        <v>&lt;cellule&gt;</v>
      </c>
    </row>
    <row r="3725" spans="1:1" x14ac:dyDescent="0.2">
      <c r="A3725" s="996" t="str">
        <f>CONCATENATE(Programme!D3726,Programme!E3726,Programme!F3726,Programme!G3726,Programme!H3726,Programme!I3726,Programme!J3726)</f>
        <v>&lt;codeEdi&gt;1052&lt;/codeEdi&gt;</v>
      </c>
    </row>
    <row r="3726" spans="1:1" x14ac:dyDescent="0.2">
      <c r="A3726" s="996" t="str">
        <f>CONCATENATE(Programme!D3727,Programme!E3727,Programme!F3727,Programme!G3727,Programme!H3727,Programme!I3727,Programme!J3727)</f>
        <v>&lt;/cellule&gt;</v>
      </c>
    </row>
    <row r="3727" spans="1:1" x14ac:dyDescent="0.2">
      <c r="A3727" s="996" t="str">
        <f>CONCATENATE(Programme!D3728,Programme!E3728,Programme!F3728,Programme!G3728,Programme!H3728,Programme!I3728,Programme!J3728)</f>
        <v>&lt;valeur&gt;0&lt;/valeur&gt;</v>
      </c>
    </row>
    <row r="3728" spans="1:1" x14ac:dyDescent="0.2">
      <c r="A3728" s="996" t="str">
        <f>CONCATENATE(Programme!D3729,Programme!E3729,Programme!F3729,Programme!G3729,Programme!H3729,Programme!I3729,Programme!J3729)</f>
        <v>&lt;/ValeurCellule&gt;</v>
      </c>
    </row>
    <row r="3729" spans="1:1" x14ac:dyDescent="0.2">
      <c r="A3729" s="996" t="str">
        <f>CONCATENATE(Programme!D3730,Programme!E3730,Programme!F3730,Programme!G3730,Programme!H3730,Programme!I3730,Programme!J3730)</f>
        <v>&lt;ValeurCellule&gt;</v>
      </c>
    </row>
    <row r="3730" spans="1:1" x14ac:dyDescent="0.2">
      <c r="A3730" s="996" t="str">
        <f>CONCATENATE(Programme!D3731,Programme!E3731,Programme!F3731,Programme!G3731,Programme!H3731,Programme!I3731,Programme!J3731)</f>
        <v>&lt;cellule&gt;</v>
      </c>
    </row>
    <row r="3731" spans="1:1" x14ac:dyDescent="0.2">
      <c r="A3731" s="996" t="str">
        <f>CONCATENATE(Programme!D3732,Programme!E3732,Programme!F3732,Programme!G3732,Programme!H3732,Programme!I3732,Programme!J3732)</f>
        <v>&lt;codeEdi&gt;10070&lt;/codeEdi&gt;</v>
      </c>
    </row>
    <row r="3732" spans="1:1" x14ac:dyDescent="0.2">
      <c r="A3732" s="996" t="str">
        <f>CONCATENATE(Programme!D3733,Programme!E3733,Programme!F3733,Programme!G3733,Programme!H3733,Programme!I3733,Programme!J3733)</f>
        <v>&lt;/cellule&gt;</v>
      </c>
    </row>
    <row r="3733" spans="1:1" x14ac:dyDescent="0.2">
      <c r="A3733" s="996" t="str">
        <f>CONCATENATE(Programme!D3734,Programme!E3734,Programme!F3734,Programme!G3734,Programme!H3734,Programme!I3734,Programme!J3734)</f>
        <v>&lt;valeur&gt;0&lt;/valeur&gt;</v>
      </c>
    </row>
    <row r="3734" spans="1:1" x14ac:dyDescent="0.2">
      <c r="A3734" s="996" t="str">
        <f>CONCATENATE(Programme!D3735,Programme!E3735,Programme!F3735,Programme!G3735,Programme!H3735,Programme!I3735,Programme!J3735)</f>
        <v>&lt;/ValeurCellule&gt;</v>
      </c>
    </row>
    <row r="3735" spans="1:1" x14ac:dyDescent="0.2">
      <c r="A3735" s="996" t="str">
        <f>CONCATENATE(Programme!D3736,Programme!E3736,Programme!F3736,Programme!G3736,Programme!H3736,Programme!I3736,Programme!J3736)</f>
        <v>&lt;ValeurCellule&gt;</v>
      </c>
    </row>
    <row r="3736" spans="1:1" x14ac:dyDescent="0.2">
      <c r="A3736" s="996" t="str">
        <f>CONCATENATE(Programme!D3737,Programme!E3737,Programme!F3737,Programme!G3737,Programme!H3737,Programme!I3737,Programme!J3737)</f>
        <v>&lt;cellule&gt;</v>
      </c>
    </row>
    <row r="3737" spans="1:1" x14ac:dyDescent="0.2">
      <c r="A3737" s="996" t="str">
        <f>CONCATENATE(Programme!D3738,Programme!E3738,Programme!F3738,Programme!G3738,Programme!H3738,Programme!I3738,Programme!J3738)</f>
        <v>&lt;codeEdi&gt;1064&lt;/codeEdi&gt;</v>
      </c>
    </row>
    <row r="3738" spans="1:1" x14ac:dyDescent="0.2">
      <c r="A3738" s="996" t="str">
        <f>CONCATENATE(Programme!D3739,Programme!E3739,Programme!F3739,Programme!G3739,Programme!H3739,Programme!I3739,Programme!J3739)</f>
        <v>&lt;/cellule&gt;</v>
      </c>
    </row>
    <row r="3739" spans="1:1" x14ac:dyDescent="0.2">
      <c r="A3739" s="996" t="str">
        <f>CONCATENATE(Programme!D3740,Programme!E3740,Programme!F3740,Programme!G3740,Programme!H3740,Programme!I3740,Programme!J3740)</f>
        <v>&lt;valeur&gt;0&lt;/valeur&gt;</v>
      </c>
    </row>
    <row r="3740" spans="1:1" x14ac:dyDescent="0.2">
      <c r="A3740" s="996" t="str">
        <f>CONCATENATE(Programme!D3741,Programme!E3741,Programme!F3741,Programme!G3741,Programme!H3741,Programme!I3741,Programme!J3741)</f>
        <v>&lt;/ValeurCellule&gt;</v>
      </c>
    </row>
    <row r="3741" spans="1:1" x14ac:dyDescent="0.2">
      <c r="A3741" s="996" t="str">
        <f>CONCATENATE(Programme!D3742,Programme!E3742,Programme!F3742,Programme!G3742,Programme!H3742,Programme!I3742,Programme!J3742)</f>
        <v>&lt;ValeurCellule&gt;</v>
      </c>
    </row>
    <row r="3742" spans="1:1" x14ac:dyDescent="0.2">
      <c r="A3742" s="996" t="str">
        <f>CONCATENATE(Programme!D3743,Programme!E3743,Programme!F3743,Programme!G3743,Programme!H3743,Programme!I3743,Programme!J3743)</f>
        <v>&lt;cellule&gt;</v>
      </c>
    </row>
    <row r="3743" spans="1:1" x14ac:dyDescent="0.2">
      <c r="A3743" s="996" t="str">
        <f>CONCATENATE(Programme!D3744,Programme!E3744,Programme!F3744,Programme!G3744,Programme!H3744,Programme!I3744,Programme!J3744)</f>
        <v>&lt;codeEdi&gt;1065&lt;/codeEdi&gt;</v>
      </c>
    </row>
    <row r="3744" spans="1:1" x14ac:dyDescent="0.2">
      <c r="A3744" s="996" t="str">
        <f>CONCATENATE(Programme!D3745,Programme!E3745,Programme!F3745,Programme!G3745,Programme!H3745,Programme!I3745,Programme!J3745)</f>
        <v>&lt;/cellule&gt;</v>
      </c>
    </row>
    <row r="3745" spans="1:1" x14ac:dyDescent="0.2">
      <c r="A3745" s="996" t="str">
        <f>CONCATENATE(Programme!D3746,Programme!E3746,Programme!F3746,Programme!G3746,Programme!H3746,Programme!I3746,Programme!J3746)</f>
        <v>&lt;valeur&gt;0&lt;/valeur&gt;</v>
      </c>
    </row>
    <row r="3746" spans="1:1" x14ac:dyDescent="0.2">
      <c r="A3746" s="996" t="str">
        <f>CONCATENATE(Programme!D3747,Programme!E3747,Programme!F3747,Programme!G3747,Programme!H3747,Programme!I3747,Programme!J3747)</f>
        <v>&lt;/ValeurCellule&gt;</v>
      </c>
    </row>
    <row r="3747" spans="1:1" x14ac:dyDescent="0.2">
      <c r="A3747" s="996" t="str">
        <f>CONCATENATE(Programme!D3748,Programme!E3748,Programme!F3748,Programme!G3748,Programme!H3748,Programme!I3748,Programme!J3748)</f>
        <v>&lt;ValeurCellule&gt;</v>
      </c>
    </row>
    <row r="3748" spans="1:1" x14ac:dyDescent="0.2">
      <c r="A3748" s="996" t="str">
        <f>CONCATENATE(Programme!D3749,Programme!E3749,Programme!F3749,Programme!G3749,Programme!H3749,Programme!I3749,Programme!J3749)</f>
        <v>&lt;cellule&gt;</v>
      </c>
    </row>
    <row r="3749" spans="1:1" x14ac:dyDescent="0.2">
      <c r="A3749" s="996" t="str">
        <f>CONCATENATE(Programme!D3750,Programme!E3750,Programme!F3750,Programme!G3750,Programme!H3750,Programme!I3750,Programme!J3750)</f>
        <v>&lt;codeEdi&gt;1066&lt;/codeEdi&gt;</v>
      </c>
    </row>
    <row r="3750" spans="1:1" x14ac:dyDescent="0.2">
      <c r="A3750" s="996" t="str">
        <f>CONCATENATE(Programme!D3751,Programme!E3751,Programme!F3751,Programme!G3751,Programme!H3751,Programme!I3751,Programme!J3751)</f>
        <v>&lt;/cellule&gt;</v>
      </c>
    </row>
    <row r="3751" spans="1:1" x14ac:dyDescent="0.2">
      <c r="A3751" s="996" t="str">
        <f>CONCATENATE(Programme!D3752,Programme!E3752,Programme!F3752,Programme!G3752,Programme!H3752,Programme!I3752,Programme!J3752)</f>
        <v>&lt;valeur&gt;0&lt;/valeur&gt;</v>
      </c>
    </row>
    <row r="3752" spans="1:1" x14ac:dyDescent="0.2">
      <c r="A3752" s="996" t="str">
        <f>CONCATENATE(Programme!D3753,Programme!E3753,Programme!F3753,Programme!G3753,Programme!H3753,Programme!I3753,Programme!J3753)</f>
        <v>&lt;/ValeurCellule&gt;</v>
      </c>
    </row>
    <row r="3753" spans="1:1" x14ac:dyDescent="0.2">
      <c r="A3753" s="996" t="str">
        <f>CONCATENATE(Programme!D3754,Programme!E3754,Programme!F3754,Programme!G3754,Programme!H3754,Programme!I3754,Programme!J3754)</f>
        <v>&lt;ValeurCellule&gt;</v>
      </c>
    </row>
    <row r="3754" spans="1:1" x14ac:dyDescent="0.2">
      <c r="A3754" s="996" t="str">
        <f>CONCATENATE(Programme!D3755,Programme!E3755,Programme!F3755,Programme!G3755,Programme!H3755,Programme!I3755,Programme!J3755)</f>
        <v>&lt;cellule&gt;</v>
      </c>
    </row>
    <row r="3755" spans="1:1" x14ac:dyDescent="0.2">
      <c r="A3755" s="996" t="str">
        <f>CONCATENATE(Programme!D3756,Programme!E3756,Programme!F3756,Programme!G3756,Programme!H3756,Programme!I3756,Programme!J3756)</f>
        <v>&lt;codeEdi&gt;10071&lt;/codeEdi&gt;</v>
      </c>
    </row>
    <row r="3756" spans="1:1" x14ac:dyDescent="0.2">
      <c r="A3756" s="996" t="str">
        <f>CONCATENATE(Programme!D3757,Programme!E3757,Programme!F3757,Programme!G3757,Programme!H3757,Programme!I3757,Programme!J3757)</f>
        <v>&lt;/cellule&gt;</v>
      </c>
    </row>
    <row r="3757" spans="1:1" x14ac:dyDescent="0.2">
      <c r="A3757" s="996" t="str">
        <f>CONCATENATE(Programme!D3758,Programme!E3758,Programme!F3758,Programme!G3758,Programme!H3758,Programme!I3758,Programme!J3758)</f>
        <v>&lt;valeur&gt;0&lt;/valeur&gt;</v>
      </c>
    </row>
    <row r="3758" spans="1:1" x14ac:dyDescent="0.2">
      <c r="A3758" s="996" t="str">
        <f>CONCATENATE(Programme!D3759,Programme!E3759,Programme!F3759,Programme!G3759,Programme!H3759,Programme!I3759,Programme!J3759)</f>
        <v>&lt;/ValeurCellule&gt;</v>
      </c>
    </row>
    <row r="3759" spans="1:1" x14ac:dyDescent="0.2">
      <c r="A3759" s="996" t="str">
        <f>CONCATENATE(Programme!D3760,Programme!E3760,Programme!F3760,Programme!G3760,Programme!H3760,Programme!I3760,Programme!J3760)</f>
        <v>&lt;ValeurCellule&gt;</v>
      </c>
    </row>
    <row r="3760" spans="1:1" x14ac:dyDescent="0.2">
      <c r="A3760" s="996" t="str">
        <f>CONCATENATE(Programme!D3761,Programme!E3761,Programme!F3761,Programme!G3761,Programme!H3761,Programme!I3761,Programme!J3761)</f>
        <v>&lt;cellule&gt;&lt;codeEdi&gt;13506&lt;/codeEdi&gt;&lt;/cellule&gt;</v>
      </c>
    </row>
    <row r="3761" spans="1:1" x14ac:dyDescent="0.2">
      <c r="A3761" s="996" t="str">
        <f>CONCATENATE(Programme!D3762,Programme!E3762,Programme!F3762,Programme!G3762,Programme!H3762,Programme!I3762,Programme!J3762)</f>
        <v>&lt;valeur&gt;0&lt;/valeur&gt;</v>
      </c>
    </row>
    <row r="3762" spans="1:1" x14ac:dyDescent="0.2">
      <c r="A3762" s="996" t="str">
        <f>CONCATENATE(Programme!D3763,Programme!E3763,Programme!F3763,Programme!G3763,Programme!H3763,Programme!I3763,Programme!J3763)</f>
        <v>&lt;numeroLigne&gt;1&lt;/numeroLigne&gt;</v>
      </c>
    </row>
    <row r="3763" spans="1:1" x14ac:dyDescent="0.2">
      <c r="A3763" s="996" t="str">
        <f>CONCATENATE(Programme!D3764,Programme!E3764,Programme!F3764,Programme!G3764,Programme!H3764,Programme!I3764,Programme!J3764)</f>
        <v>&lt;/ValeurCellule&gt;</v>
      </c>
    </row>
    <row r="3764" spans="1:1" x14ac:dyDescent="0.2">
      <c r="A3764" s="996" t="str">
        <f>CONCATENATE(Programme!D3765,Programme!E3765,Programme!F3765,Programme!G3765,Programme!H3765,Programme!I3765,Programme!J3765)</f>
        <v>&lt;ValeurCellule&gt;</v>
      </c>
    </row>
    <row r="3765" spans="1:1" x14ac:dyDescent="0.2">
      <c r="A3765" s="996" t="str">
        <f>CONCATENATE(Programme!D3766,Programme!E3766,Programme!F3766,Programme!G3766,Programme!H3766,Programme!I3766,Programme!J3766)</f>
        <v>&lt;cellule&gt;&lt;codeEdi&gt;13507&lt;/codeEdi&gt;&lt;/cellule&gt;</v>
      </c>
    </row>
    <row r="3766" spans="1:1" x14ac:dyDescent="0.2">
      <c r="A3766" s="996" t="str">
        <f>CONCATENATE(Programme!D3767,Programme!E3767,Programme!F3767,Programme!G3767,Programme!H3767,Programme!I3767,Programme!J3767)</f>
        <v>&lt;valeur&gt;0&lt;/valeur&gt;</v>
      </c>
    </row>
    <row r="3767" spans="1:1" x14ac:dyDescent="0.2">
      <c r="A3767" s="996" t="str">
        <f>CONCATENATE(Programme!D3768,Programme!E3768,Programme!F3768,Programme!G3768,Programme!H3768,Programme!I3768,Programme!J3768)</f>
        <v>&lt;numeroLigne&gt;1&lt;/numeroLigne&gt;</v>
      </c>
    </row>
    <row r="3768" spans="1:1" x14ac:dyDescent="0.2">
      <c r="A3768" s="996" t="str">
        <f>CONCATENATE(Programme!D3769,Programme!E3769,Programme!F3769,Programme!G3769,Programme!H3769,Programme!I3769,Programme!J3769)</f>
        <v>&lt;/ValeurCellule&gt;</v>
      </c>
    </row>
    <row r="3769" spans="1:1" x14ac:dyDescent="0.2">
      <c r="A3769" s="996" t="str">
        <f>CONCATENATE(Programme!D3770,Programme!E3770,Programme!F3770,Programme!G3770,Programme!H3770,Programme!I3770,Programme!J3770)</f>
        <v>&lt;ValeurCellule&gt;</v>
      </c>
    </row>
    <row r="3770" spans="1:1" x14ac:dyDescent="0.2">
      <c r="A3770" s="996" t="str">
        <f>CONCATENATE(Programme!D3771,Programme!E3771,Programme!F3771,Programme!G3771,Programme!H3771,Programme!I3771,Programme!J3771)</f>
        <v>&lt;cellule&gt;&lt;codeEdi&gt;13508&lt;/codeEdi&gt;&lt;/cellule&gt;</v>
      </c>
    </row>
    <row r="3771" spans="1:1" x14ac:dyDescent="0.2">
      <c r="A3771" s="996" t="str">
        <f>CONCATENATE(Programme!D3772,Programme!E3772,Programme!F3772,Programme!G3772,Programme!H3772,Programme!I3772,Programme!J3772)</f>
        <v>&lt;valeur&gt;0&lt;/valeur&gt;</v>
      </c>
    </row>
    <row r="3772" spans="1:1" x14ac:dyDescent="0.2">
      <c r="A3772" s="996" t="str">
        <f>CONCATENATE(Programme!D3773,Programme!E3773,Programme!F3773,Programme!G3773,Programme!H3773,Programme!I3773,Programme!J3773)</f>
        <v>&lt;numeroLigne&gt;1&lt;/numeroLigne&gt;</v>
      </c>
    </row>
    <row r="3773" spans="1:1" x14ac:dyDescent="0.2">
      <c r="A3773" s="996" t="str">
        <f>CONCATENATE(Programme!D3774,Programme!E3774,Programme!F3774,Programme!G3774,Programme!H3774,Programme!I3774,Programme!J3774)</f>
        <v>&lt;/ValeurCellule&gt;</v>
      </c>
    </row>
    <row r="3774" spans="1:1" x14ac:dyDescent="0.2">
      <c r="A3774" s="996" t="str">
        <f>CONCATENATE(Programme!D3775,Programme!E3775,Programme!F3775,Programme!G3775,Programme!H3775,Programme!I3775,Programme!J3775)</f>
        <v>&lt;ValeurCellule&gt;</v>
      </c>
    </row>
    <row r="3775" spans="1:1" x14ac:dyDescent="0.2">
      <c r="A3775" s="996" t="str">
        <f>CONCATENATE(Programme!D3776,Programme!E3776,Programme!F3776,Programme!G3776,Programme!H3776,Programme!I3776,Programme!J3776)</f>
        <v>&lt;cellule&gt;&lt;codeEdi&gt;13509&lt;/codeEdi&gt;&lt;/cellule&gt;</v>
      </c>
    </row>
    <row r="3776" spans="1:1" x14ac:dyDescent="0.2">
      <c r="A3776" s="996" t="str">
        <f>CONCATENATE(Programme!D3777,Programme!E3777,Programme!F3777,Programme!G3777,Programme!H3777,Programme!I3777,Programme!J3777)</f>
        <v>&lt;valeur&gt;0&lt;/valeur&gt;</v>
      </c>
    </row>
    <row r="3777" spans="1:1" x14ac:dyDescent="0.2">
      <c r="A3777" s="996" t="str">
        <f>CONCATENATE(Programme!D3778,Programme!E3778,Programme!F3778,Programme!G3778,Programme!H3778,Programme!I3778,Programme!J3778)</f>
        <v>&lt;numeroLigne&gt;1&lt;/numeroLigne&gt;</v>
      </c>
    </row>
    <row r="3778" spans="1:1" x14ac:dyDescent="0.2">
      <c r="A3778" s="996" t="str">
        <f>CONCATENATE(Programme!D3779,Programme!E3779,Programme!F3779,Programme!G3779,Programme!H3779,Programme!I3779,Programme!J3779)</f>
        <v>&lt;/ValeurCellule&gt;</v>
      </c>
    </row>
    <row r="3779" spans="1:1" x14ac:dyDescent="0.2">
      <c r="A3779" s="996" t="str">
        <f>CONCATENATE(Programme!D3780,Programme!E3780,Programme!F3780,Programme!G3780,Programme!H3780,Programme!I3780,Programme!J3780)</f>
        <v>&lt;ValeurCellule&gt;</v>
      </c>
    </row>
    <row r="3780" spans="1:1" x14ac:dyDescent="0.2">
      <c r="A3780" s="996" t="str">
        <f>CONCATENATE(Programme!D3781,Programme!E3781,Programme!F3781,Programme!G3781,Programme!H3781,Programme!I3781,Programme!J3781)</f>
        <v>&lt;cellule&gt;&lt;codeEdi&gt;13510&lt;/codeEdi&gt;&lt;/cellule&gt;</v>
      </c>
    </row>
    <row r="3781" spans="1:1" x14ac:dyDescent="0.2">
      <c r="A3781" s="996" t="str">
        <f>CONCATENATE(Programme!D3782,Programme!E3782,Programme!F3782,Programme!G3782,Programme!H3782,Programme!I3782,Programme!J3782)</f>
        <v>&lt;valeur&gt;0&lt;/valeur&gt;</v>
      </c>
    </row>
    <row r="3782" spans="1:1" x14ac:dyDescent="0.2">
      <c r="A3782" s="996" t="str">
        <f>CONCATENATE(Programme!D3783,Programme!E3783,Programme!F3783,Programme!G3783,Programme!H3783,Programme!I3783,Programme!J3783)</f>
        <v>&lt;numeroLigne&gt;1&lt;/numeroLigne&gt;</v>
      </c>
    </row>
    <row r="3783" spans="1:1" x14ac:dyDescent="0.2">
      <c r="A3783" s="996" t="str">
        <f>CONCATENATE(Programme!D3784,Programme!E3784,Programme!F3784,Programme!G3784,Programme!H3784,Programme!I3784,Programme!J3784)</f>
        <v>&lt;/ValeurCellule&gt;</v>
      </c>
    </row>
    <row r="3784" spans="1:1" x14ac:dyDescent="0.2">
      <c r="A3784" s="996" t="str">
        <f>CONCATENATE(Programme!D3785,Programme!E3785,Programme!F3785,Programme!G3785,Programme!H3785,Programme!I3785,Programme!J3785)</f>
        <v>&lt;ValeurCellule&gt;</v>
      </c>
    </row>
    <row r="3785" spans="1:1" x14ac:dyDescent="0.2">
      <c r="A3785" s="996" t="str">
        <f>CONCATENATE(Programme!D3786,Programme!E3786,Programme!F3786,Programme!G3786,Programme!H3786,Programme!I3786,Programme!J3786)</f>
        <v>&lt;cellule&gt;&lt;codeEdi&gt;13511&lt;/codeEdi&gt;&lt;/cellule&gt;</v>
      </c>
    </row>
    <row r="3786" spans="1:1" x14ac:dyDescent="0.2">
      <c r="A3786" s="996" t="str">
        <f>CONCATENATE(Programme!D3787,Programme!E3787,Programme!F3787,Programme!G3787,Programme!H3787,Programme!I3787,Programme!J3787)</f>
        <v>&lt;valeur&gt;0&lt;/valeur&gt;</v>
      </c>
    </row>
    <row r="3787" spans="1:1" x14ac:dyDescent="0.2">
      <c r="A3787" s="996" t="str">
        <f>CONCATENATE(Programme!D3788,Programme!E3788,Programme!F3788,Programme!G3788,Programme!H3788,Programme!I3788,Programme!J3788)</f>
        <v>&lt;numeroLigne&gt;1&lt;/numeroLigne&gt;</v>
      </c>
    </row>
    <row r="3788" spans="1:1" x14ac:dyDescent="0.2">
      <c r="A3788" s="996" t="str">
        <f>CONCATENATE(Programme!D3789,Programme!E3789,Programme!F3789,Programme!G3789,Programme!H3789,Programme!I3789,Programme!J3789)</f>
        <v>&lt;/ValeurCellule&gt;</v>
      </c>
    </row>
    <row r="3789" spans="1:1" x14ac:dyDescent="0.2">
      <c r="A3789" s="996" t="str">
        <f>CONCATENATE(Programme!D3790,Programme!E3790,Programme!F3790,Programme!G3790,Programme!H3790,Programme!I3790,Programme!J3790)</f>
        <v>&lt;ValeurCellule&gt;</v>
      </c>
    </row>
    <row r="3790" spans="1:1" x14ac:dyDescent="0.2">
      <c r="A3790" s="996" t="str">
        <f>CONCATENATE(Programme!D3791,Programme!E3791,Programme!F3791,Programme!G3791,Programme!H3791,Programme!I3791,Programme!J3791)</f>
        <v>&lt;cellule&gt;&lt;codeEdi&gt;13512&lt;/codeEdi&gt;&lt;/cellule&gt;</v>
      </c>
    </row>
    <row r="3791" spans="1:1" x14ac:dyDescent="0.2">
      <c r="A3791" s="996" t="str">
        <f>CONCATENATE(Programme!D3792,Programme!E3792,Programme!F3792,Programme!G3792,Programme!H3792,Programme!I3792,Programme!J3792)</f>
        <v>&lt;valeur&gt;0&lt;/valeur&gt;</v>
      </c>
    </row>
    <row r="3792" spans="1:1" x14ac:dyDescent="0.2">
      <c r="A3792" s="996" t="str">
        <f>CONCATENATE(Programme!D3793,Programme!E3793,Programme!F3793,Programme!G3793,Programme!H3793,Programme!I3793,Programme!J3793)</f>
        <v>&lt;numeroLigne&gt;1&lt;/numeroLigne&gt;</v>
      </c>
    </row>
    <row r="3793" spans="1:1" x14ac:dyDescent="0.2">
      <c r="A3793" s="996" t="str">
        <f>CONCATENATE(Programme!D3794,Programme!E3794,Programme!F3794,Programme!G3794,Programme!H3794,Programme!I3794,Programme!J3794)</f>
        <v>&lt;/ValeurCellule&gt;</v>
      </c>
    </row>
    <row r="3794" spans="1:1" x14ac:dyDescent="0.2">
      <c r="A3794" s="996" t="str">
        <f>CONCATENATE(Programme!D3795,Programme!E3795,Programme!F3795,Programme!G3795,Programme!H3795,Programme!I3795,Programme!J3795)</f>
        <v>&lt;ValeurCellule&gt;</v>
      </c>
    </row>
    <row r="3795" spans="1:1" x14ac:dyDescent="0.2">
      <c r="A3795" s="996" t="str">
        <f>CONCATENATE(Programme!D3796,Programme!E3796,Programme!F3796,Programme!G3796,Programme!H3796,Programme!I3796,Programme!J3796)</f>
        <v>&lt;cellule&gt;&lt;codeEdi&gt;13513&lt;/codeEdi&gt;&lt;/cellule&gt;</v>
      </c>
    </row>
    <row r="3796" spans="1:1" x14ac:dyDescent="0.2">
      <c r="A3796" s="996" t="str">
        <f>CONCATENATE(Programme!D3797,Programme!E3797,Programme!F3797,Programme!G3797,Programme!H3797,Programme!I3797,Programme!J3797)</f>
        <v>&lt;valeur&gt;0&lt;/valeur&gt;</v>
      </c>
    </row>
    <row r="3797" spans="1:1" x14ac:dyDescent="0.2">
      <c r="A3797" s="996" t="str">
        <f>CONCATENATE(Programme!D3798,Programme!E3798,Programme!F3798,Programme!G3798,Programme!H3798,Programme!I3798,Programme!J3798)</f>
        <v>&lt;numeroLigne&gt;1&lt;/numeroLigne&gt;</v>
      </c>
    </row>
    <row r="3798" spans="1:1" x14ac:dyDescent="0.2">
      <c r="A3798" s="996" t="str">
        <f>CONCATENATE(Programme!D3799,Programme!E3799,Programme!F3799,Programme!G3799,Programme!H3799,Programme!I3799,Programme!J3799)</f>
        <v>&lt;/ValeurCellule&gt;</v>
      </c>
    </row>
    <row r="3799" spans="1:1" x14ac:dyDescent="0.2">
      <c r="A3799" s="996" t="str">
        <f>CONCATENATE(Programme!D3800,Programme!E3800,Programme!F3800,Programme!G3800,Programme!H3800,Programme!I3800,Programme!J3800)</f>
        <v>&lt;ValeurCellule&gt;</v>
      </c>
    </row>
    <row r="3800" spans="1:1" x14ac:dyDescent="0.2">
      <c r="A3800" s="996" t="str">
        <f>CONCATENATE(Programme!D3801,Programme!E3801,Programme!F3801,Programme!G3801,Programme!H3801,Programme!I3801,Programme!J3801)</f>
        <v>&lt;cellule&gt;</v>
      </c>
    </row>
    <row r="3801" spans="1:1" x14ac:dyDescent="0.2">
      <c r="A3801" s="996" t="str">
        <f>CONCATENATE(Programme!D3802,Programme!E3802,Programme!F3802,Programme!G3802,Programme!H3802,Programme!I3802,Programme!J3802)</f>
        <v>&lt;codeEdi&gt;969&lt;/codeEdi&gt;</v>
      </c>
    </row>
    <row r="3802" spans="1:1" x14ac:dyDescent="0.2">
      <c r="A3802" s="996" t="str">
        <f>CONCATENATE(Programme!D3803,Programme!E3803,Programme!F3803,Programme!G3803,Programme!H3803,Programme!I3803,Programme!J3803)</f>
        <v>&lt;/cellule&gt;</v>
      </c>
    </row>
    <row r="3803" spans="1:1" x14ac:dyDescent="0.2">
      <c r="A3803" s="996" t="str">
        <f>CONCATENATE(Programme!D3804,Programme!E3804,Programme!F3804,Programme!G3804,Programme!H3804,Programme!I3804,Programme!J3804)</f>
        <v>&lt;valeur&gt;0&lt;/valeur&gt;</v>
      </c>
    </row>
    <row r="3804" spans="1:1" x14ac:dyDescent="0.2">
      <c r="A3804" s="996" t="str">
        <f>CONCATENATE(Programme!D3805,Programme!E3805,Programme!F3805,Programme!G3805,Programme!H3805,Programme!I3805,Programme!J3805)</f>
        <v>&lt;/ValeurCellule&gt;</v>
      </c>
    </row>
    <row r="3805" spans="1:1" x14ac:dyDescent="0.2">
      <c r="A3805" s="996" t="str">
        <f>CONCATENATE(Programme!D3806,Programme!E3806,Programme!F3806,Programme!G3806,Programme!H3806,Programme!I3806,Programme!J3806)</f>
        <v>&lt;ValeurCellule&gt;</v>
      </c>
    </row>
    <row r="3806" spans="1:1" x14ac:dyDescent="0.2">
      <c r="A3806" s="996" t="str">
        <f>CONCATENATE(Programme!D3807,Programme!E3807,Programme!F3807,Programme!G3807,Programme!H3807,Programme!I3807,Programme!J3807)</f>
        <v>&lt;cellule&gt;</v>
      </c>
    </row>
    <row r="3807" spans="1:1" x14ac:dyDescent="0.2">
      <c r="A3807" s="996" t="str">
        <f>CONCATENATE(Programme!D3808,Programme!E3808,Programme!F3808,Programme!G3808,Programme!H3808,Programme!I3808,Programme!J3808)</f>
        <v>&lt;codeEdi&gt;970&lt;/codeEdi&gt;</v>
      </c>
    </row>
    <row r="3808" spans="1:1" x14ac:dyDescent="0.2">
      <c r="A3808" s="996" t="str">
        <f>CONCATENATE(Programme!D3809,Programme!E3809,Programme!F3809,Programme!G3809,Programme!H3809,Programme!I3809,Programme!J3809)</f>
        <v>&lt;/cellule&gt;</v>
      </c>
    </row>
    <row r="3809" spans="1:1" x14ac:dyDescent="0.2">
      <c r="A3809" s="996" t="str">
        <f>CONCATENATE(Programme!D3810,Programme!E3810,Programme!F3810,Programme!G3810,Programme!H3810,Programme!I3810,Programme!J3810)</f>
        <v>&lt;valeur&gt;0&lt;/valeur&gt;</v>
      </c>
    </row>
    <row r="3810" spans="1:1" x14ac:dyDescent="0.2">
      <c r="A3810" s="996" t="str">
        <f>CONCATENATE(Programme!D3811,Programme!E3811,Programme!F3811,Programme!G3811,Programme!H3811,Programme!I3811,Programme!J3811)</f>
        <v>&lt;/ValeurCellule&gt;</v>
      </c>
    </row>
    <row r="3811" spans="1:1" x14ac:dyDescent="0.2">
      <c r="A3811" s="996" t="str">
        <f>CONCATENATE(Programme!D3812,Programme!E3812,Programme!F3812,Programme!G3812,Programme!H3812,Programme!I3812,Programme!J3812)</f>
        <v>&lt;ValeurCellule&gt;</v>
      </c>
    </row>
    <row r="3812" spans="1:1" x14ac:dyDescent="0.2">
      <c r="A3812" s="996" t="str">
        <f>CONCATENATE(Programme!D3813,Programme!E3813,Programme!F3813,Programme!G3813,Programme!H3813,Programme!I3813,Programme!J3813)</f>
        <v>&lt;cellule&gt;</v>
      </c>
    </row>
    <row r="3813" spans="1:1" x14ac:dyDescent="0.2">
      <c r="A3813" s="996" t="str">
        <f>CONCATENATE(Programme!D3814,Programme!E3814,Programme!F3814,Programme!G3814,Programme!H3814,Programme!I3814,Programme!J3814)</f>
        <v>&lt;codeEdi&gt;971&lt;/codeEdi&gt;</v>
      </c>
    </row>
    <row r="3814" spans="1:1" x14ac:dyDescent="0.2">
      <c r="A3814" s="996" t="str">
        <f>CONCATENATE(Programme!D3815,Programme!E3815,Programme!F3815,Programme!G3815,Programme!H3815,Programme!I3815,Programme!J3815)</f>
        <v>&lt;/cellule&gt;</v>
      </c>
    </row>
    <row r="3815" spans="1:1" x14ac:dyDescent="0.2">
      <c r="A3815" s="996" t="str">
        <f>CONCATENATE(Programme!D3816,Programme!E3816,Programme!F3816,Programme!G3816,Programme!H3816,Programme!I3816,Programme!J3816)</f>
        <v>&lt;valeur&gt;0&lt;/valeur&gt;</v>
      </c>
    </row>
    <row r="3816" spans="1:1" x14ac:dyDescent="0.2">
      <c r="A3816" s="996" t="str">
        <f>CONCATENATE(Programme!D3817,Programme!E3817,Programme!F3817,Programme!G3817,Programme!H3817,Programme!I3817,Programme!J3817)</f>
        <v>&lt;/ValeurCellule&gt;</v>
      </c>
    </row>
    <row r="3817" spans="1:1" x14ac:dyDescent="0.2">
      <c r="A3817" s="996" t="str">
        <f>CONCATENATE(Programme!D3818,Programme!E3818,Programme!F3818,Programme!G3818,Programme!H3818,Programme!I3818,Programme!J3818)</f>
        <v>&lt;ValeurCellule&gt;</v>
      </c>
    </row>
    <row r="3818" spans="1:1" x14ac:dyDescent="0.2">
      <c r="A3818" s="996" t="str">
        <f>CONCATENATE(Programme!D3819,Programme!E3819,Programme!F3819,Programme!G3819,Programme!H3819,Programme!I3819,Programme!J3819)</f>
        <v>&lt;cellule&gt;</v>
      </c>
    </row>
    <row r="3819" spans="1:1" x14ac:dyDescent="0.2">
      <c r="A3819" s="996" t="str">
        <f>CONCATENATE(Programme!D3820,Programme!E3820,Programme!F3820,Programme!G3820,Programme!H3820,Programme!I3820,Programme!J3820)</f>
        <v>&lt;codeEdi&gt;972&lt;/codeEdi&gt;</v>
      </c>
    </row>
    <row r="3820" spans="1:1" x14ac:dyDescent="0.2">
      <c r="A3820" s="996" t="str">
        <f>CONCATENATE(Programme!D3821,Programme!E3821,Programme!F3821,Programme!G3821,Programme!H3821,Programme!I3821,Programme!J3821)</f>
        <v>&lt;/cellule&gt;</v>
      </c>
    </row>
    <row r="3821" spans="1:1" x14ac:dyDescent="0.2">
      <c r="A3821" s="996" t="str">
        <f>CONCATENATE(Programme!D3822,Programme!E3822,Programme!F3822,Programme!G3822,Programme!H3822,Programme!I3822,Programme!J3822)</f>
        <v>&lt;valeur&gt;0&lt;/valeur&gt;</v>
      </c>
    </row>
    <row r="3822" spans="1:1" x14ac:dyDescent="0.2">
      <c r="A3822" s="996" t="str">
        <f>CONCATENATE(Programme!D3823,Programme!E3823,Programme!F3823,Programme!G3823,Programme!H3823,Programme!I3823,Programme!J3823)</f>
        <v>&lt;/ValeurCellule&gt;</v>
      </c>
    </row>
    <row r="3823" spans="1:1" x14ac:dyDescent="0.2">
      <c r="A3823" s="996" t="str">
        <f>CONCATENATE(Programme!D3824,Programme!E3824,Programme!F3824,Programme!G3824,Programme!H3824,Programme!I3824,Programme!J3824)</f>
        <v>&lt;ValeurCellule&gt;</v>
      </c>
    </row>
    <row r="3824" spans="1:1" x14ac:dyDescent="0.2">
      <c r="A3824" s="996" t="str">
        <f>CONCATENATE(Programme!D3825,Programme!E3825,Programme!F3825,Programme!G3825,Programme!H3825,Programme!I3825,Programme!J3825)</f>
        <v>&lt;cellule&gt;</v>
      </c>
    </row>
    <row r="3825" spans="1:1" x14ac:dyDescent="0.2">
      <c r="A3825" s="996" t="str">
        <f>CONCATENATE(Programme!D3826,Programme!E3826,Programme!F3826,Programme!G3826,Programme!H3826,Programme!I3826,Programme!J3826)</f>
        <v>&lt;codeEdi&gt;10073&lt;/codeEdi&gt;</v>
      </c>
    </row>
    <row r="3826" spans="1:1" x14ac:dyDescent="0.2">
      <c r="A3826" s="996" t="str">
        <f>CONCATENATE(Programme!D3827,Programme!E3827,Programme!F3827,Programme!G3827,Programme!H3827,Programme!I3827,Programme!J3827)</f>
        <v>&lt;/cellule&gt;</v>
      </c>
    </row>
    <row r="3827" spans="1:1" x14ac:dyDescent="0.2">
      <c r="A3827" s="996" t="str">
        <f>CONCATENATE(Programme!D3828,Programme!E3828,Programme!F3828,Programme!G3828,Programme!H3828,Programme!I3828,Programme!J3828)</f>
        <v>&lt;valeur&gt;0&lt;/valeur&gt;</v>
      </c>
    </row>
    <row r="3828" spans="1:1" x14ac:dyDescent="0.2">
      <c r="A3828" s="996" t="str">
        <f>CONCATENATE(Programme!D3829,Programme!E3829,Programme!F3829,Programme!G3829,Programme!H3829,Programme!I3829,Programme!J3829)</f>
        <v>&lt;/ValeurCellule&gt;</v>
      </c>
    </row>
    <row r="3829" spans="1:1" x14ac:dyDescent="0.2">
      <c r="A3829" s="996" t="str">
        <f>CONCATENATE(Programme!D3830,Programme!E3830,Programme!F3830,Programme!G3830,Programme!H3830,Programme!I3830,Programme!J3830)</f>
        <v>&lt;ValeurCellule&gt;</v>
      </c>
    </row>
    <row r="3830" spans="1:1" x14ac:dyDescent="0.2">
      <c r="A3830" s="996" t="str">
        <f>CONCATENATE(Programme!D3831,Programme!E3831,Programme!F3831,Programme!G3831,Programme!H3831,Programme!I3831,Programme!J3831)</f>
        <v>&lt;cellule&gt;</v>
      </c>
    </row>
    <row r="3831" spans="1:1" x14ac:dyDescent="0.2">
      <c r="A3831" s="996" t="str">
        <f>CONCATENATE(Programme!D3832,Programme!E3832,Programme!F3832,Programme!G3832,Programme!H3832,Programme!I3832,Programme!J3832)</f>
        <v>&lt;codeEdi&gt;983&lt;/codeEdi&gt;</v>
      </c>
    </row>
    <row r="3832" spans="1:1" x14ac:dyDescent="0.2">
      <c r="A3832" s="996" t="str">
        <f>CONCATENATE(Programme!D3833,Programme!E3833,Programme!F3833,Programme!G3833,Programme!H3833,Programme!I3833,Programme!J3833)</f>
        <v>&lt;/cellule&gt;</v>
      </c>
    </row>
    <row r="3833" spans="1:1" x14ac:dyDescent="0.2">
      <c r="A3833" s="996" t="str">
        <f>CONCATENATE(Programme!D3834,Programme!E3834,Programme!F3834,Programme!G3834,Programme!H3834,Programme!I3834,Programme!J3834)</f>
        <v>&lt;valeur&gt;0&lt;/valeur&gt;</v>
      </c>
    </row>
    <row r="3834" spans="1:1" x14ac:dyDescent="0.2">
      <c r="A3834" s="996" t="str">
        <f>CONCATENATE(Programme!D3835,Programme!E3835,Programme!F3835,Programme!G3835,Programme!H3835,Programme!I3835,Programme!J3835)</f>
        <v>&lt;/ValeurCellule&gt;</v>
      </c>
    </row>
    <row r="3835" spans="1:1" x14ac:dyDescent="0.2">
      <c r="A3835" s="996" t="str">
        <f>CONCATENATE(Programme!D3836,Programme!E3836,Programme!F3836,Programme!G3836,Programme!H3836,Programme!I3836,Programme!J3836)</f>
        <v>&lt;ValeurCellule&gt;</v>
      </c>
    </row>
    <row r="3836" spans="1:1" x14ac:dyDescent="0.2">
      <c r="A3836" s="996" t="str">
        <f>CONCATENATE(Programme!D3837,Programme!E3837,Programme!F3837,Programme!G3837,Programme!H3837,Programme!I3837,Programme!J3837)</f>
        <v>&lt;cellule&gt;</v>
      </c>
    </row>
    <row r="3837" spans="1:1" x14ac:dyDescent="0.2">
      <c r="A3837" s="996" t="str">
        <f>CONCATENATE(Programme!D3838,Programme!E3838,Programme!F3838,Programme!G3838,Programme!H3838,Programme!I3838,Programme!J3838)</f>
        <v>&lt;codeEdi&gt;984&lt;/codeEdi&gt;</v>
      </c>
    </row>
    <row r="3838" spans="1:1" x14ac:dyDescent="0.2">
      <c r="A3838" s="996" t="str">
        <f>CONCATENATE(Programme!D3839,Programme!E3839,Programme!F3839,Programme!G3839,Programme!H3839,Programme!I3839,Programme!J3839)</f>
        <v>&lt;/cellule&gt;</v>
      </c>
    </row>
    <row r="3839" spans="1:1" x14ac:dyDescent="0.2">
      <c r="A3839" s="996" t="str">
        <f>CONCATENATE(Programme!D3840,Programme!E3840,Programme!F3840,Programme!G3840,Programme!H3840,Programme!I3840,Programme!J3840)</f>
        <v>&lt;valeur&gt;0&lt;/valeur&gt;</v>
      </c>
    </row>
    <row r="3840" spans="1:1" x14ac:dyDescent="0.2">
      <c r="A3840" s="996" t="str">
        <f>CONCATENATE(Programme!D3841,Programme!E3841,Programme!F3841,Programme!G3841,Programme!H3841,Programme!I3841,Programme!J3841)</f>
        <v>&lt;/ValeurCellule&gt;</v>
      </c>
    </row>
    <row r="3841" spans="1:1" x14ac:dyDescent="0.2">
      <c r="A3841" s="996" t="str">
        <f>CONCATENATE(Programme!D3842,Programme!E3842,Programme!F3842,Programme!G3842,Programme!H3842,Programme!I3842,Programme!J3842)</f>
        <v>&lt;ValeurCellule&gt;</v>
      </c>
    </row>
    <row r="3842" spans="1:1" x14ac:dyDescent="0.2">
      <c r="A3842" s="996" t="str">
        <f>CONCATENATE(Programme!D3843,Programme!E3843,Programme!F3843,Programme!G3843,Programme!H3843,Programme!I3843,Programme!J3843)</f>
        <v>&lt;cellule&gt;</v>
      </c>
    </row>
    <row r="3843" spans="1:1" x14ac:dyDescent="0.2">
      <c r="A3843" s="996" t="str">
        <f>CONCATENATE(Programme!D3844,Programme!E3844,Programme!F3844,Programme!G3844,Programme!H3844,Programme!I3844,Programme!J3844)</f>
        <v>&lt;codeEdi&gt;985&lt;/codeEdi&gt;</v>
      </c>
    </row>
    <row r="3844" spans="1:1" x14ac:dyDescent="0.2">
      <c r="A3844" s="996" t="str">
        <f>CONCATENATE(Programme!D3845,Programme!E3845,Programme!F3845,Programme!G3845,Programme!H3845,Programme!I3845,Programme!J3845)</f>
        <v>&lt;/cellule&gt;</v>
      </c>
    </row>
    <row r="3845" spans="1:1" x14ac:dyDescent="0.2">
      <c r="A3845" s="996" t="str">
        <f>CONCATENATE(Programme!D3846,Programme!E3846,Programme!F3846,Programme!G3846,Programme!H3846,Programme!I3846,Programme!J3846)</f>
        <v>&lt;valeur&gt;0&lt;/valeur&gt;</v>
      </c>
    </row>
    <row r="3846" spans="1:1" x14ac:dyDescent="0.2">
      <c r="A3846" s="996" t="str">
        <f>CONCATENATE(Programme!D3847,Programme!E3847,Programme!F3847,Programme!G3847,Programme!H3847,Programme!I3847,Programme!J3847)</f>
        <v>&lt;/ValeurCellule&gt;</v>
      </c>
    </row>
    <row r="3847" spans="1:1" x14ac:dyDescent="0.2">
      <c r="A3847" s="996" t="str">
        <f>CONCATENATE(Programme!D3848,Programme!E3848,Programme!F3848,Programme!G3848,Programme!H3848,Programme!I3848,Programme!J3848)</f>
        <v>&lt;ValeurCellule&gt;</v>
      </c>
    </row>
    <row r="3848" spans="1:1" x14ac:dyDescent="0.2">
      <c r="A3848" s="996" t="str">
        <f>CONCATENATE(Programme!D3849,Programme!E3849,Programme!F3849,Programme!G3849,Programme!H3849,Programme!I3849,Programme!J3849)</f>
        <v>&lt;cellule&gt;</v>
      </c>
    </row>
    <row r="3849" spans="1:1" x14ac:dyDescent="0.2">
      <c r="A3849" s="996" t="str">
        <f>CONCATENATE(Programme!D3850,Programme!E3850,Programme!F3850,Programme!G3850,Programme!H3850,Programme!I3850,Programme!J3850)</f>
        <v>&lt;codeEdi&gt;986&lt;/codeEdi&gt;</v>
      </c>
    </row>
    <row r="3850" spans="1:1" x14ac:dyDescent="0.2">
      <c r="A3850" s="996" t="str">
        <f>CONCATENATE(Programme!D3851,Programme!E3851,Programme!F3851,Programme!G3851,Programme!H3851,Programme!I3851,Programme!J3851)</f>
        <v>&lt;/cellule&gt;</v>
      </c>
    </row>
    <row r="3851" spans="1:1" x14ac:dyDescent="0.2">
      <c r="A3851" s="996" t="str">
        <f>CONCATENATE(Programme!D3852,Programme!E3852,Programme!F3852,Programme!G3852,Programme!H3852,Programme!I3852,Programme!J3852)</f>
        <v>&lt;valeur&gt;0&lt;/valeur&gt;</v>
      </c>
    </row>
    <row r="3852" spans="1:1" x14ac:dyDescent="0.2">
      <c r="A3852" s="996" t="str">
        <f>CONCATENATE(Programme!D3853,Programme!E3853,Programme!F3853,Programme!G3853,Programme!H3853,Programme!I3853,Programme!J3853)</f>
        <v>&lt;/ValeurCellule&gt;</v>
      </c>
    </row>
    <row r="3853" spans="1:1" x14ac:dyDescent="0.2">
      <c r="A3853" s="996" t="str">
        <f>CONCATENATE(Programme!D3854,Programme!E3854,Programme!F3854,Programme!G3854,Programme!H3854,Programme!I3854,Programme!J3854)</f>
        <v>&lt;ValeurCellule&gt;</v>
      </c>
    </row>
    <row r="3854" spans="1:1" x14ac:dyDescent="0.2">
      <c r="A3854" s="996" t="str">
        <f>CONCATENATE(Programme!D3855,Programme!E3855,Programme!F3855,Programme!G3855,Programme!H3855,Programme!I3855,Programme!J3855)</f>
        <v>&lt;cellule&gt;</v>
      </c>
    </row>
    <row r="3855" spans="1:1" x14ac:dyDescent="0.2">
      <c r="A3855" s="996" t="str">
        <f>CONCATENATE(Programme!D3856,Programme!E3856,Programme!F3856,Programme!G3856,Programme!H3856,Programme!I3856,Programme!J3856)</f>
        <v>&lt;codeEdi&gt;10074&lt;/codeEdi&gt;</v>
      </c>
    </row>
    <row r="3856" spans="1:1" x14ac:dyDescent="0.2">
      <c r="A3856" s="996" t="str">
        <f>CONCATENATE(Programme!D3857,Programme!E3857,Programme!F3857,Programme!G3857,Programme!H3857,Programme!I3857,Programme!J3857)</f>
        <v>&lt;/cellule&gt;</v>
      </c>
    </row>
    <row r="3857" spans="1:1" x14ac:dyDescent="0.2">
      <c r="A3857" s="996" t="str">
        <f>CONCATENATE(Programme!D3858,Programme!E3858,Programme!F3858,Programme!G3858,Programme!H3858,Programme!I3858,Programme!J3858)</f>
        <v>&lt;valeur&gt;0&lt;/valeur&gt;</v>
      </c>
    </row>
    <row r="3858" spans="1:1" x14ac:dyDescent="0.2">
      <c r="A3858" s="996" t="str">
        <f>CONCATENATE(Programme!D3859,Programme!E3859,Programme!F3859,Programme!G3859,Programme!H3859,Programme!I3859,Programme!J3859)</f>
        <v>&lt;/ValeurCellule&gt;</v>
      </c>
    </row>
    <row r="3859" spans="1:1" x14ac:dyDescent="0.2">
      <c r="A3859" s="996" t="str">
        <f>CONCATENATE(Programme!D3860,Programme!E3860,Programme!F3860,Programme!G3860,Programme!H3860,Programme!I3860,Programme!J3860)</f>
        <v>&lt;ValeurCellule&gt;</v>
      </c>
    </row>
    <row r="3860" spans="1:1" x14ac:dyDescent="0.2">
      <c r="A3860" s="996" t="str">
        <f>CONCATENATE(Programme!D3861,Programme!E3861,Programme!F3861,Programme!G3861,Programme!H3861,Programme!I3861,Programme!J3861)</f>
        <v>&lt;cellule&gt;</v>
      </c>
    </row>
    <row r="3861" spans="1:1" x14ac:dyDescent="0.2">
      <c r="A3861" s="996" t="str">
        <f>CONCATENATE(Programme!D3862,Programme!E3862,Programme!F3862,Programme!G3862,Programme!H3862,Programme!I3862,Programme!J3862)</f>
        <v>&lt;codeEdi&gt;997&lt;/codeEdi&gt;</v>
      </c>
    </row>
    <row r="3862" spans="1:1" x14ac:dyDescent="0.2">
      <c r="A3862" s="996" t="str">
        <f>CONCATENATE(Programme!D3863,Programme!E3863,Programme!F3863,Programme!G3863,Programme!H3863,Programme!I3863,Programme!J3863)</f>
        <v>&lt;/cellule&gt;</v>
      </c>
    </row>
    <row r="3863" spans="1:1" x14ac:dyDescent="0.2">
      <c r="A3863" s="996" t="str">
        <f>CONCATENATE(Programme!D3864,Programme!E3864,Programme!F3864,Programme!G3864,Programme!H3864,Programme!I3864,Programme!J3864)</f>
        <v>&lt;valeur&gt;0&lt;/valeur&gt;</v>
      </c>
    </row>
    <row r="3864" spans="1:1" x14ac:dyDescent="0.2">
      <c r="A3864" s="996" t="str">
        <f>CONCATENATE(Programme!D3865,Programme!E3865,Programme!F3865,Programme!G3865,Programme!H3865,Programme!I3865,Programme!J3865)</f>
        <v>&lt;/ValeurCellule&gt;</v>
      </c>
    </row>
    <row r="3865" spans="1:1" x14ac:dyDescent="0.2">
      <c r="A3865" s="996" t="str">
        <f>CONCATENATE(Programme!D3866,Programme!E3866,Programme!F3866,Programme!G3866,Programme!H3866,Programme!I3866,Programme!J3866)</f>
        <v>&lt;ValeurCellule&gt;</v>
      </c>
    </row>
    <row r="3866" spans="1:1" x14ac:dyDescent="0.2">
      <c r="A3866" s="996" t="str">
        <f>CONCATENATE(Programme!D3867,Programme!E3867,Programme!F3867,Programme!G3867,Programme!H3867,Programme!I3867,Programme!J3867)</f>
        <v>&lt;cellule&gt;</v>
      </c>
    </row>
    <row r="3867" spans="1:1" x14ac:dyDescent="0.2">
      <c r="A3867" s="996" t="str">
        <f>CONCATENATE(Programme!D3868,Programme!E3868,Programme!F3868,Programme!G3868,Programme!H3868,Programme!I3868,Programme!J3868)</f>
        <v>&lt;codeEdi&gt;998&lt;/codeEdi&gt;</v>
      </c>
    </row>
    <row r="3868" spans="1:1" x14ac:dyDescent="0.2">
      <c r="A3868" s="996" t="str">
        <f>CONCATENATE(Programme!D3869,Programme!E3869,Programme!F3869,Programme!G3869,Programme!H3869,Programme!I3869,Programme!J3869)</f>
        <v>&lt;/cellule&gt;</v>
      </c>
    </row>
    <row r="3869" spans="1:1" x14ac:dyDescent="0.2">
      <c r="A3869" s="996" t="str">
        <f>CONCATENATE(Programme!D3870,Programme!E3870,Programme!F3870,Programme!G3870,Programme!H3870,Programme!I3870,Programme!J3870)</f>
        <v>&lt;valeur&gt;0&lt;/valeur&gt;</v>
      </c>
    </row>
    <row r="3870" spans="1:1" x14ac:dyDescent="0.2">
      <c r="A3870" s="996" t="str">
        <f>CONCATENATE(Programme!D3871,Programme!E3871,Programme!F3871,Programme!G3871,Programme!H3871,Programme!I3871,Programme!J3871)</f>
        <v>&lt;/ValeurCellule&gt;</v>
      </c>
    </row>
    <row r="3871" spans="1:1" x14ac:dyDescent="0.2">
      <c r="A3871" s="996" t="str">
        <f>CONCATENATE(Programme!D3872,Programme!E3872,Programme!F3872,Programme!G3872,Programme!H3872,Programme!I3872,Programme!J3872)</f>
        <v>&lt;ValeurCellule&gt;</v>
      </c>
    </row>
    <row r="3872" spans="1:1" x14ac:dyDescent="0.2">
      <c r="A3872" s="996" t="str">
        <f>CONCATENATE(Programme!D3873,Programme!E3873,Programme!F3873,Programme!G3873,Programme!H3873,Programme!I3873,Programme!J3873)</f>
        <v>&lt;cellule&gt;</v>
      </c>
    </row>
    <row r="3873" spans="1:1" x14ac:dyDescent="0.2">
      <c r="A3873" s="996" t="str">
        <f>CONCATENATE(Programme!D3874,Programme!E3874,Programme!F3874,Programme!G3874,Programme!H3874,Programme!I3874,Programme!J3874)</f>
        <v>&lt;codeEdi&gt;999&lt;/codeEdi&gt;</v>
      </c>
    </row>
    <row r="3874" spans="1:1" x14ac:dyDescent="0.2">
      <c r="A3874" s="996" t="str">
        <f>CONCATENATE(Programme!D3875,Programme!E3875,Programme!F3875,Programme!G3875,Programme!H3875,Programme!I3875,Programme!J3875)</f>
        <v>&lt;/cellule&gt;</v>
      </c>
    </row>
    <row r="3875" spans="1:1" x14ac:dyDescent="0.2">
      <c r="A3875" s="996" t="str">
        <f>CONCATENATE(Programme!D3876,Programme!E3876,Programme!F3876,Programme!G3876,Programme!H3876,Programme!I3876,Programme!J3876)</f>
        <v>&lt;valeur&gt;0&lt;/valeur&gt;</v>
      </c>
    </row>
    <row r="3876" spans="1:1" x14ac:dyDescent="0.2">
      <c r="A3876" s="996" t="str">
        <f>CONCATENATE(Programme!D3877,Programme!E3877,Programme!F3877,Programme!G3877,Programme!H3877,Programme!I3877,Programme!J3877)</f>
        <v>&lt;/ValeurCellule&gt;</v>
      </c>
    </row>
    <row r="3877" spans="1:1" x14ac:dyDescent="0.2">
      <c r="A3877" s="996" t="str">
        <f>CONCATENATE(Programme!D3878,Programme!E3878,Programme!F3878,Programme!G3878,Programme!H3878,Programme!I3878,Programme!J3878)</f>
        <v>&lt;ValeurCellule&gt;</v>
      </c>
    </row>
    <row r="3878" spans="1:1" x14ac:dyDescent="0.2">
      <c r="A3878" s="996" t="str">
        <f>CONCATENATE(Programme!D3879,Programme!E3879,Programme!F3879,Programme!G3879,Programme!H3879,Programme!I3879,Programme!J3879)</f>
        <v>&lt;cellule&gt;</v>
      </c>
    </row>
    <row r="3879" spans="1:1" x14ac:dyDescent="0.2">
      <c r="A3879" s="996" t="str">
        <f>CONCATENATE(Programme!D3880,Programme!E3880,Programme!F3880,Programme!G3880,Programme!H3880,Programme!I3880,Programme!J3880)</f>
        <v>&lt;codeEdi&gt;1000&lt;/codeEdi&gt;</v>
      </c>
    </row>
    <row r="3880" spans="1:1" x14ac:dyDescent="0.2">
      <c r="A3880" s="996" t="str">
        <f>CONCATENATE(Programme!D3881,Programme!E3881,Programme!F3881,Programme!G3881,Programme!H3881,Programme!I3881,Programme!J3881)</f>
        <v>&lt;/cellule&gt;</v>
      </c>
    </row>
    <row r="3881" spans="1:1" x14ac:dyDescent="0.2">
      <c r="A3881" s="996" t="str">
        <f>CONCATENATE(Programme!D3882,Programme!E3882,Programme!F3882,Programme!G3882,Programme!H3882,Programme!I3882,Programme!J3882)</f>
        <v>&lt;valeur&gt;0&lt;/valeur&gt;</v>
      </c>
    </row>
    <row r="3882" spans="1:1" x14ac:dyDescent="0.2">
      <c r="A3882" s="996" t="str">
        <f>CONCATENATE(Programme!D3883,Programme!E3883,Programme!F3883,Programme!G3883,Programme!H3883,Programme!I3883,Programme!J3883)</f>
        <v>&lt;/ValeurCellule&gt;</v>
      </c>
    </row>
    <row r="3883" spans="1:1" x14ac:dyDescent="0.2">
      <c r="A3883" s="996" t="str">
        <f>CONCATENATE(Programme!D3884,Programme!E3884,Programme!F3884,Programme!G3884,Programme!H3884,Programme!I3884,Programme!J3884)</f>
        <v>&lt;ValeurCellule&gt;</v>
      </c>
    </row>
    <row r="3884" spans="1:1" x14ac:dyDescent="0.2">
      <c r="A3884" s="996" t="str">
        <f>CONCATENATE(Programme!D3885,Programme!E3885,Programme!F3885,Programme!G3885,Programme!H3885,Programme!I3885,Programme!J3885)</f>
        <v>&lt;cellule&gt;</v>
      </c>
    </row>
    <row r="3885" spans="1:1" x14ac:dyDescent="0.2">
      <c r="A3885" s="996" t="str">
        <f>CONCATENATE(Programme!D3886,Programme!E3886,Programme!F3886,Programme!G3886,Programme!H3886,Programme!I3886,Programme!J3886)</f>
        <v>&lt;codeEdi&gt;10075&lt;/codeEdi&gt;</v>
      </c>
    </row>
    <row r="3886" spans="1:1" x14ac:dyDescent="0.2">
      <c r="A3886" s="996" t="str">
        <f>CONCATENATE(Programme!D3887,Programme!E3887,Programme!F3887,Programme!G3887,Programme!H3887,Programme!I3887,Programme!J3887)</f>
        <v>&lt;/cellule&gt;</v>
      </c>
    </row>
    <row r="3887" spans="1:1" x14ac:dyDescent="0.2">
      <c r="A3887" s="996" t="str">
        <f>CONCATENATE(Programme!D3888,Programme!E3888,Programme!F3888,Programme!G3888,Programme!H3888,Programme!I3888,Programme!J3888)</f>
        <v>&lt;valeur&gt;0&lt;/valeur&gt;</v>
      </c>
    </row>
    <row r="3888" spans="1:1" x14ac:dyDescent="0.2">
      <c r="A3888" s="996" t="str">
        <f>CONCATENATE(Programme!D3889,Programme!E3889,Programme!F3889,Programme!G3889,Programme!H3889,Programme!I3889,Programme!J3889)</f>
        <v>&lt;/ValeurCellule&gt;</v>
      </c>
    </row>
    <row r="3889" spans="1:1" x14ac:dyDescent="0.2">
      <c r="A3889" s="996" t="str">
        <f>CONCATENATE(Programme!D3890,Programme!E3890,Programme!F3890,Programme!G3890,Programme!H3890,Programme!I3890,Programme!J3890)</f>
        <v>&lt;ValeurCellule&gt;</v>
      </c>
    </row>
    <row r="3890" spans="1:1" x14ac:dyDescent="0.2">
      <c r="A3890" s="996" t="str">
        <f>CONCATENATE(Programme!D3891,Programme!E3891,Programme!F3891,Programme!G3891,Programme!H3891,Programme!I3891,Programme!J3891)</f>
        <v>&lt;cellule&gt;</v>
      </c>
    </row>
    <row r="3891" spans="1:1" x14ac:dyDescent="0.2">
      <c r="A3891" s="996" t="str">
        <f>CONCATENATE(Programme!D3892,Programme!E3892,Programme!F3892,Programme!G3892,Programme!H3892,Programme!I3892,Programme!J3892)</f>
        <v>&lt;codeEdi&gt;1011&lt;/codeEdi&gt;</v>
      </c>
    </row>
    <row r="3892" spans="1:1" x14ac:dyDescent="0.2">
      <c r="A3892" s="996" t="str">
        <f>CONCATENATE(Programme!D3893,Programme!E3893,Programme!F3893,Programme!G3893,Programme!H3893,Programme!I3893,Programme!J3893)</f>
        <v>&lt;/cellule&gt;</v>
      </c>
    </row>
    <row r="3893" spans="1:1" x14ac:dyDescent="0.2">
      <c r="A3893" s="996" t="str">
        <f>CONCATENATE(Programme!D3894,Programme!E3894,Programme!F3894,Programme!G3894,Programme!H3894,Programme!I3894,Programme!J3894)</f>
        <v>&lt;valeur&gt;0&lt;/valeur&gt;</v>
      </c>
    </row>
    <row r="3894" spans="1:1" x14ac:dyDescent="0.2">
      <c r="A3894" s="996" t="str">
        <f>CONCATENATE(Programme!D3895,Programme!E3895,Programme!F3895,Programme!G3895,Programme!H3895,Programme!I3895,Programme!J3895)</f>
        <v>&lt;/ValeurCellule&gt;</v>
      </c>
    </row>
    <row r="3895" spans="1:1" x14ac:dyDescent="0.2">
      <c r="A3895" s="996" t="str">
        <f>CONCATENATE(Programme!D3896,Programme!E3896,Programme!F3896,Programme!G3896,Programme!H3896,Programme!I3896,Programme!J3896)</f>
        <v>&lt;ValeurCellule&gt;</v>
      </c>
    </row>
    <row r="3896" spans="1:1" x14ac:dyDescent="0.2">
      <c r="A3896" s="996" t="str">
        <f>CONCATENATE(Programme!D3897,Programme!E3897,Programme!F3897,Programme!G3897,Programme!H3897,Programme!I3897,Programme!J3897)</f>
        <v>&lt;cellule&gt;</v>
      </c>
    </row>
    <row r="3897" spans="1:1" x14ac:dyDescent="0.2">
      <c r="A3897" s="996" t="str">
        <f>CONCATENATE(Programme!D3898,Programme!E3898,Programme!F3898,Programme!G3898,Programme!H3898,Programme!I3898,Programme!J3898)</f>
        <v>&lt;codeEdi&gt;1012&lt;/codeEdi&gt;</v>
      </c>
    </row>
    <row r="3898" spans="1:1" x14ac:dyDescent="0.2">
      <c r="A3898" s="996" t="str">
        <f>CONCATENATE(Programme!D3899,Programme!E3899,Programme!F3899,Programme!G3899,Programme!H3899,Programme!I3899,Programme!J3899)</f>
        <v>&lt;/cellule&gt;</v>
      </c>
    </row>
    <row r="3899" spans="1:1" x14ac:dyDescent="0.2">
      <c r="A3899" s="996" t="str">
        <f>CONCATENATE(Programme!D3900,Programme!E3900,Programme!F3900,Programme!G3900,Programme!H3900,Programme!I3900,Programme!J3900)</f>
        <v>&lt;valeur&gt;0&lt;/valeur&gt;</v>
      </c>
    </row>
    <row r="3900" spans="1:1" x14ac:dyDescent="0.2">
      <c r="A3900" s="996" t="str">
        <f>CONCATENATE(Programme!D3901,Programme!E3901,Programme!F3901,Programme!G3901,Programme!H3901,Programme!I3901,Programme!J3901)</f>
        <v>&lt;/ValeurCellule&gt;</v>
      </c>
    </row>
    <row r="3901" spans="1:1" x14ac:dyDescent="0.2">
      <c r="A3901" s="996" t="str">
        <f>CONCATENATE(Programme!D3902,Programme!E3902,Programme!F3902,Programme!G3902,Programme!H3902,Programme!I3902,Programme!J3902)</f>
        <v>&lt;ValeurCellule&gt;</v>
      </c>
    </row>
    <row r="3902" spans="1:1" x14ac:dyDescent="0.2">
      <c r="A3902" s="996" t="str">
        <f>CONCATENATE(Programme!D3903,Programme!E3903,Programme!F3903,Programme!G3903,Programme!H3903,Programme!I3903,Programme!J3903)</f>
        <v>&lt;cellule&gt;</v>
      </c>
    </row>
    <row r="3903" spans="1:1" x14ac:dyDescent="0.2">
      <c r="A3903" s="996" t="str">
        <f>CONCATENATE(Programme!D3904,Programme!E3904,Programme!F3904,Programme!G3904,Programme!H3904,Programme!I3904,Programme!J3904)</f>
        <v>&lt;codeEdi&gt;1013&lt;/codeEdi&gt;</v>
      </c>
    </row>
    <row r="3904" spans="1:1" x14ac:dyDescent="0.2">
      <c r="A3904" s="996" t="str">
        <f>CONCATENATE(Programme!D3905,Programme!E3905,Programme!F3905,Programme!G3905,Programme!H3905,Programme!I3905,Programme!J3905)</f>
        <v>&lt;/cellule&gt;</v>
      </c>
    </row>
    <row r="3905" spans="1:1" x14ac:dyDescent="0.2">
      <c r="A3905" s="996" t="str">
        <f>CONCATENATE(Programme!D3906,Programme!E3906,Programme!F3906,Programme!G3906,Programme!H3906,Programme!I3906,Programme!J3906)</f>
        <v>&lt;valeur&gt;0&lt;/valeur&gt;</v>
      </c>
    </row>
    <row r="3906" spans="1:1" x14ac:dyDescent="0.2">
      <c r="A3906" s="996" t="str">
        <f>CONCATENATE(Programme!D3907,Programme!E3907,Programme!F3907,Programme!G3907,Programme!H3907,Programme!I3907,Programme!J3907)</f>
        <v>&lt;/ValeurCellule&gt;</v>
      </c>
    </row>
    <row r="3907" spans="1:1" x14ac:dyDescent="0.2">
      <c r="A3907" s="996" t="str">
        <f>CONCATENATE(Programme!D3908,Programme!E3908,Programme!F3908,Programme!G3908,Programme!H3908,Programme!I3908,Programme!J3908)</f>
        <v>&lt;ValeurCellule&gt;</v>
      </c>
    </row>
    <row r="3908" spans="1:1" x14ac:dyDescent="0.2">
      <c r="A3908" s="996" t="str">
        <f>CONCATENATE(Programme!D3909,Programme!E3909,Programme!F3909,Programme!G3909,Programme!H3909,Programme!I3909,Programme!J3909)</f>
        <v>&lt;cellule&gt;</v>
      </c>
    </row>
    <row r="3909" spans="1:1" x14ac:dyDescent="0.2">
      <c r="A3909" s="996" t="str">
        <f>CONCATENATE(Programme!D3910,Programme!E3910,Programme!F3910,Programme!G3910,Programme!H3910,Programme!I3910,Programme!J3910)</f>
        <v>&lt;codeEdi&gt;1014&lt;/codeEdi&gt;</v>
      </c>
    </row>
    <row r="3910" spans="1:1" x14ac:dyDescent="0.2">
      <c r="A3910" s="996" t="str">
        <f>CONCATENATE(Programme!D3911,Programme!E3911,Programme!F3911,Programme!G3911,Programme!H3911,Programme!I3911,Programme!J3911)</f>
        <v>&lt;/cellule&gt;</v>
      </c>
    </row>
    <row r="3911" spans="1:1" x14ac:dyDescent="0.2">
      <c r="A3911" s="996" t="str">
        <f>CONCATENATE(Programme!D3912,Programme!E3912,Programme!F3912,Programme!G3912,Programme!H3912,Programme!I3912,Programme!J3912)</f>
        <v>&lt;valeur&gt;0&lt;/valeur&gt;</v>
      </c>
    </row>
    <row r="3912" spans="1:1" x14ac:dyDescent="0.2">
      <c r="A3912" s="996" t="str">
        <f>CONCATENATE(Programme!D3913,Programme!E3913,Programme!F3913,Programme!G3913,Programme!H3913,Programme!I3913,Programme!J3913)</f>
        <v>&lt;/ValeurCellule&gt;</v>
      </c>
    </row>
    <row r="3913" spans="1:1" x14ac:dyDescent="0.2">
      <c r="A3913" s="996" t="str">
        <f>CONCATENATE(Programme!D3914,Programme!E3914,Programme!F3914,Programme!G3914,Programme!H3914,Programme!I3914,Programme!J3914)</f>
        <v>&lt;ValeurCellule&gt;</v>
      </c>
    </row>
    <row r="3914" spans="1:1" x14ac:dyDescent="0.2">
      <c r="A3914" s="996" t="str">
        <f>CONCATENATE(Programme!D3915,Programme!E3915,Programme!F3915,Programme!G3915,Programme!H3915,Programme!I3915,Programme!J3915)</f>
        <v>&lt;cellule&gt;</v>
      </c>
    </row>
    <row r="3915" spans="1:1" x14ac:dyDescent="0.2">
      <c r="A3915" s="996" t="str">
        <f>CONCATENATE(Programme!D3916,Programme!E3916,Programme!F3916,Programme!G3916,Programme!H3916,Programme!I3916,Programme!J3916)</f>
        <v>&lt;codeEdi&gt;10076&lt;/codeEdi&gt;</v>
      </c>
    </row>
    <row r="3916" spans="1:1" x14ac:dyDescent="0.2">
      <c r="A3916" s="996" t="str">
        <f>CONCATENATE(Programme!D3917,Programme!E3917,Programme!F3917,Programme!G3917,Programme!H3917,Programme!I3917,Programme!J3917)</f>
        <v>&lt;/cellule&gt;</v>
      </c>
    </row>
    <row r="3917" spans="1:1" x14ac:dyDescent="0.2">
      <c r="A3917" s="996" t="str">
        <f>CONCATENATE(Programme!D3918,Programme!E3918,Programme!F3918,Programme!G3918,Programme!H3918,Programme!I3918,Programme!J3918)</f>
        <v>&lt;valeur&gt;0&lt;/valeur&gt;</v>
      </c>
    </row>
    <row r="3918" spans="1:1" x14ac:dyDescent="0.2">
      <c r="A3918" s="996" t="str">
        <f>CONCATENATE(Programme!D3919,Programme!E3919,Programme!F3919,Programme!G3919,Programme!H3919,Programme!I3919,Programme!J3919)</f>
        <v>&lt;/ValeurCellule&gt;</v>
      </c>
    </row>
    <row r="3919" spans="1:1" x14ac:dyDescent="0.2">
      <c r="A3919" s="996" t="str">
        <f>CONCATENATE(Programme!D3920,Programme!E3920,Programme!F3920,Programme!G3920,Programme!H3920,Programme!I3920,Programme!J3920)</f>
        <v>&lt;ValeurCellule&gt;</v>
      </c>
    </row>
    <row r="3920" spans="1:1" x14ac:dyDescent="0.2">
      <c r="A3920" s="996" t="str">
        <f>CONCATENATE(Programme!D3921,Programme!E3921,Programme!F3921,Programme!G3921,Programme!H3921,Programme!I3921,Programme!J3921)</f>
        <v>&lt;cellule&gt;</v>
      </c>
    </row>
    <row r="3921" spans="1:1" x14ac:dyDescent="0.2">
      <c r="A3921" s="996" t="str">
        <f>CONCATENATE(Programme!D3922,Programme!E3922,Programme!F3922,Programme!G3922,Programme!H3922,Programme!I3922,Programme!J3922)</f>
        <v>&lt;codeEdi&gt;1025&lt;/codeEdi&gt;</v>
      </c>
    </row>
    <row r="3922" spans="1:1" x14ac:dyDescent="0.2">
      <c r="A3922" s="996" t="str">
        <f>CONCATENATE(Programme!D3923,Programme!E3923,Programme!F3923,Programme!G3923,Programme!H3923,Programme!I3923,Programme!J3923)</f>
        <v>&lt;/cellule&gt;</v>
      </c>
    </row>
    <row r="3923" spans="1:1" x14ac:dyDescent="0.2">
      <c r="A3923" s="996" t="str">
        <f>CONCATENATE(Programme!D3924,Programme!E3924,Programme!F3924,Programme!G3924,Programme!H3924,Programme!I3924,Programme!J3924)</f>
        <v>&lt;valeur&gt;0&lt;/valeur&gt;</v>
      </c>
    </row>
    <row r="3924" spans="1:1" x14ac:dyDescent="0.2">
      <c r="A3924" s="996" t="str">
        <f>CONCATENATE(Programme!D3925,Programme!E3925,Programme!F3925,Programme!G3925,Programme!H3925,Programme!I3925,Programme!J3925)</f>
        <v>&lt;/ValeurCellule&gt;</v>
      </c>
    </row>
    <row r="3925" spans="1:1" x14ac:dyDescent="0.2">
      <c r="A3925" s="996" t="str">
        <f>CONCATENATE(Programme!D3926,Programme!E3926,Programme!F3926,Programme!G3926,Programme!H3926,Programme!I3926,Programme!J3926)</f>
        <v>&lt;ValeurCellule&gt;</v>
      </c>
    </row>
    <row r="3926" spans="1:1" x14ac:dyDescent="0.2">
      <c r="A3926" s="996" t="str">
        <f>CONCATENATE(Programme!D3927,Programme!E3927,Programme!F3927,Programme!G3927,Programme!H3927,Programme!I3927,Programme!J3927)</f>
        <v>&lt;cellule&gt;</v>
      </c>
    </row>
    <row r="3927" spans="1:1" x14ac:dyDescent="0.2">
      <c r="A3927" s="996" t="str">
        <f>CONCATENATE(Programme!D3928,Programme!E3928,Programme!F3928,Programme!G3928,Programme!H3928,Programme!I3928,Programme!J3928)</f>
        <v>&lt;codeEdi&gt;1026&lt;/codeEdi&gt;</v>
      </c>
    </row>
    <row r="3928" spans="1:1" x14ac:dyDescent="0.2">
      <c r="A3928" s="996" t="str">
        <f>CONCATENATE(Programme!D3929,Programme!E3929,Programme!F3929,Programme!G3929,Programme!H3929,Programme!I3929,Programme!J3929)</f>
        <v>&lt;/cellule&gt;</v>
      </c>
    </row>
    <row r="3929" spans="1:1" x14ac:dyDescent="0.2">
      <c r="A3929" s="996" t="str">
        <f>CONCATENATE(Programme!D3930,Programme!E3930,Programme!F3930,Programme!G3930,Programme!H3930,Programme!I3930,Programme!J3930)</f>
        <v>&lt;valeur&gt;0&lt;/valeur&gt;</v>
      </c>
    </row>
    <row r="3930" spans="1:1" x14ac:dyDescent="0.2">
      <c r="A3930" s="996" t="str">
        <f>CONCATENATE(Programme!D3931,Programme!E3931,Programme!F3931,Programme!G3931,Programme!H3931,Programme!I3931,Programme!J3931)</f>
        <v>&lt;/ValeurCellule&gt;</v>
      </c>
    </row>
    <row r="3931" spans="1:1" x14ac:dyDescent="0.2">
      <c r="A3931" s="996" t="str">
        <f>CONCATENATE(Programme!D3932,Programme!E3932,Programme!F3932,Programme!G3932,Programme!H3932,Programme!I3932,Programme!J3932)</f>
        <v>&lt;ValeurCellule&gt;</v>
      </c>
    </row>
    <row r="3932" spans="1:1" x14ac:dyDescent="0.2">
      <c r="A3932" s="996" t="str">
        <f>CONCATENATE(Programme!D3933,Programme!E3933,Programme!F3933,Programme!G3933,Programme!H3933,Programme!I3933,Programme!J3933)</f>
        <v>&lt;cellule&gt;</v>
      </c>
    </row>
    <row r="3933" spans="1:1" x14ac:dyDescent="0.2">
      <c r="A3933" s="996" t="str">
        <f>CONCATENATE(Programme!D3934,Programme!E3934,Programme!F3934,Programme!G3934,Programme!H3934,Programme!I3934,Programme!J3934)</f>
        <v>&lt;codeEdi&gt;1027&lt;/codeEdi&gt;</v>
      </c>
    </row>
    <row r="3934" spans="1:1" x14ac:dyDescent="0.2">
      <c r="A3934" s="996" t="str">
        <f>CONCATENATE(Programme!D3935,Programme!E3935,Programme!F3935,Programme!G3935,Programme!H3935,Programme!I3935,Programme!J3935)</f>
        <v>&lt;/cellule&gt;</v>
      </c>
    </row>
    <row r="3935" spans="1:1" x14ac:dyDescent="0.2">
      <c r="A3935" s="996" t="str">
        <f>CONCATENATE(Programme!D3936,Programme!E3936,Programme!F3936,Programme!G3936,Programme!H3936,Programme!I3936,Programme!J3936)</f>
        <v>&lt;valeur&gt;0&lt;/valeur&gt;</v>
      </c>
    </row>
    <row r="3936" spans="1:1" x14ac:dyDescent="0.2">
      <c r="A3936" s="996" t="str">
        <f>CONCATENATE(Programme!D3937,Programme!E3937,Programme!F3937,Programme!G3937,Programme!H3937,Programme!I3937,Programme!J3937)</f>
        <v>&lt;/ValeurCellule&gt;</v>
      </c>
    </row>
    <row r="3937" spans="1:1" x14ac:dyDescent="0.2">
      <c r="A3937" s="996" t="str">
        <f>CONCATENATE(Programme!D3938,Programme!E3938,Programme!F3938,Programme!G3938,Programme!H3938,Programme!I3938,Programme!J3938)</f>
        <v>&lt;ValeurCellule&gt;</v>
      </c>
    </row>
    <row r="3938" spans="1:1" x14ac:dyDescent="0.2">
      <c r="A3938" s="996" t="str">
        <f>CONCATENATE(Programme!D3939,Programme!E3939,Programme!F3939,Programme!G3939,Programme!H3939,Programme!I3939,Programme!J3939)</f>
        <v>&lt;cellule&gt;</v>
      </c>
    </row>
    <row r="3939" spans="1:1" x14ac:dyDescent="0.2">
      <c r="A3939" s="996" t="str">
        <f>CONCATENATE(Programme!D3940,Programme!E3940,Programme!F3940,Programme!G3940,Programme!H3940,Programme!I3940,Programme!J3940)</f>
        <v>&lt;codeEdi&gt;1028&lt;/codeEdi&gt;</v>
      </c>
    </row>
    <row r="3940" spans="1:1" x14ac:dyDescent="0.2">
      <c r="A3940" s="996" t="str">
        <f>CONCATENATE(Programme!D3941,Programme!E3941,Programme!F3941,Programme!G3941,Programme!H3941,Programme!I3941,Programme!J3941)</f>
        <v>&lt;/cellule&gt;</v>
      </c>
    </row>
    <row r="3941" spans="1:1" x14ac:dyDescent="0.2">
      <c r="A3941" s="996" t="str">
        <f>CONCATENATE(Programme!D3942,Programme!E3942,Programme!F3942,Programme!G3942,Programme!H3942,Programme!I3942,Programme!J3942)</f>
        <v>&lt;valeur&gt;0&lt;/valeur&gt;</v>
      </c>
    </row>
    <row r="3942" spans="1:1" x14ac:dyDescent="0.2">
      <c r="A3942" s="996" t="str">
        <f>CONCATENATE(Programme!D3943,Programme!E3943,Programme!F3943,Programme!G3943,Programme!H3943,Programme!I3943,Programme!J3943)</f>
        <v>&lt;/ValeurCellule&gt;</v>
      </c>
    </row>
    <row r="3943" spans="1:1" x14ac:dyDescent="0.2">
      <c r="A3943" s="996" t="str">
        <f>CONCATENATE(Programme!D3944,Programme!E3944,Programme!F3944,Programme!G3944,Programme!H3944,Programme!I3944,Programme!J3944)</f>
        <v>&lt;ValeurCellule&gt;</v>
      </c>
    </row>
    <row r="3944" spans="1:1" x14ac:dyDescent="0.2">
      <c r="A3944" s="996" t="str">
        <f>CONCATENATE(Programme!D3945,Programme!E3945,Programme!F3945,Programme!G3945,Programme!H3945,Programme!I3945,Programme!J3945)</f>
        <v>&lt;cellule&gt;</v>
      </c>
    </row>
    <row r="3945" spans="1:1" x14ac:dyDescent="0.2">
      <c r="A3945" s="996" t="str">
        <f>CONCATENATE(Programme!D3946,Programme!E3946,Programme!F3946,Programme!G3946,Programme!H3946,Programme!I3946,Programme!J3946)</f>
        <v>&lt;codeEdi&gt;10077&lt;/codeEdi&gt;</v>
      </c>
    </row>
    <row r="3946" spans="1:1" x14ac:dyDescent="0.2">
      <c r="A3946" s="996" t="str">
        <f>CONCATENATE(Programme!D3947,Programme!E3947,Programme!F3947,Programme!G3947,Programme!H3947,Programme!I3947,Programme!J3947)</f>
        <v>&lt;/cellule&gt;</v>
      </c>
    </row>
    <row r="3947" spans="1:1" x14ac:dyDescent="0.2">
      <c r="A3947" s="996" t="str">
        <f>CONCATENATE(Programme!D3948,Programme!E3948,Programme!F3948,Programme!G3948,Programme!H3948,Programme!I3948,Programme!J3948)</f>
        <v>&lt;valeur&gt;0&lt;/valeur&gt;</v>
      </c>
    </row>
    <row r="3948" spans="1:1" x14ac:dyDescent="0.2">
      <c r="A3948" s="996" t="str">
        <f>CONCATENATE(Programme!D3949,Programme!E3949,Programme!F3949,Programme!G3949,Programme!H3949,Programme!I3949,Programme!J3949)</f>
        <v>&lt;/ValeurCellule&gt;</v>
      </c>
    </row>
    <row r="3949" spans="1:1" x14ac:dyDescent="0.2">
      <c r="A3949" s="996" t="str">
        <f>CONCATENATE(Programme!D3950,Programme!E3950,Programme!F3950,Programme!G3950,Programme!H3950,Programme!I3950,Programme!J3950)</f>
        <v>&lt;ValeurCellule&gt;</v>
      </c>
    </row>
    <row r="3950" spans="1:1" x14ac:dyDescent="0.2">
      <c r="A3950" s="996" t="str">
        <f>CONCATENATE(Programme!D3951,Programme!E3951,Programme!F3951,Programme!G3951,Programme!H3951,Programme!I3951,Programme!J3951)</f>
        <v>&lt;cellule&gt;</v>
      </c>
    </row>
    <row r="3951" spans="1:1" x14ac:dyDescent="0.2">
      <c r="A3951" s="996" t="str">
        <f>CONCATENATE(Programme!D3952,Programme!E3952,Programme!F3952,Programme!G3952,Programme!H3952,Programme!I3952,Programme!J3952)</f>
        <v>&lt;codeEdi&gt;1039&lt;/codeEdi&gt;</v>
      </c>
    </row>
    <row r="3952" spans="1:1" x14ac:dyDescent="0.2">
      <c r="A3952" s="996" t="str">
        <f>CONCATENATE(Programme!D3953,Programme!E3953,Programme!F3953,Programme!G3953,Programme!H3953,Programme!I3953,Programme!J3953)</f>
        <v>&lt;/cellule&gt;</v>
      </c>
    </row>
    <row r="3953" spans="1:1" x14ac:dyDescent="0.2">
      <c r="A3953" s="996" t="str">
        <f>CONCATENATE(Programme!D3954,Programme!E3954,Programme!F3954,Programme!G3954,Programme!H3954,Programme!I3954,Programme!J3954)</f>
        <v>&lt;valeur&gt;0&lt;/valeur&gt;</v>
      </c>
    </row>
    <row r="3954" spans="1:1" x14ac:dyDescent="0.2">
      <c r="A3954" s="996" t="str">
        <f>CONCATENATE(Programme!D3955,Programme!E3955,Programme!F3955,Programme!G3955,Programme!H3955,Programme!I3955,Programme!J3955)</f>
        <v>&lt;/ValeurCellule&gt;</v>
      </c>
    </row>
    <row r="3955" spans="1:1" x14ac:dyDescent="0.2">
      <c r="A3955" s="996" t="str">
        <f>CONCATENATE(Programme!D3956,Programme!E3956,Programme!F3956,Programme!G3956,Programme!H3956,Programme!I3956,Programme!J3956)</f>
        <v>&lt;ValeurCellule&gt;</v>
      </c>
    </row>
    <row r="3956" spans="1:1" x14ac:dyDescent="0.2">
      <c r="A3956" s="996" t="str">
        <f>CONCATENATE(Programme!D3957,Programme!E3957,Programme!F3957,Programme!G3957,Programme!H3957,Programme!I3957,Programme!J3957)</f>
        <v>&lt;cellule&gt;</v>
      </c>
    </row>
    <row r="3957" spans="1:1" x14ac:dyDescent="0.2">
      <c r="A3957" s="996" t="str">
        <f>CONCATENATE(Programme!D3958,Programme!E3958,Programme!F3958,Programme!G3958,Programme!H3958,Programme!I3958,Programme!J3958)</f>
        <v>&lt;codeEdi&gt;1040&lt;/codeEdi&gt;</v>
      </c>
    </row>
    <row r="3958" spans="1:1" x14ac:dyDescent="0.2">
      <c r="A3958" s="996" t="str">
        <f>CONCATENATE(Programme!D3959,Programme!E3959,Programme!F3959,Programme!G3959,Programme!H3959,Programme!I3959,Programme!J3959)</f>
        <v>&lt;/cellule&gt;</v>
      </c>
    </row>
    <row r="3959" spans="1:1" x14ac:dyDescent="0.2">
      <c r="A3959" s="996" t="str">
        <f>CONCATENATE(Programme!D3960,Programme!E3960,Programme!F3960,Programme!G3960,Programme!H3960,Programme!I3960,Programme!J3960)</f>
        <v>&lt;valeur&gt;0&lt;/valeur&gt;</v>
      </c>
    </row>
    <row r="3960" spans="1:1" x14ac:dyDescent="0.2">
      <c r="A3960" s="996" t="str">
        <f>CONCATENATE(Programme!D3961,Programme!E3961,Programme!F3961,Programme!G3961,Programme!H3961,Programme!I3961,Programme!J3961)</f>
        <v>&lt;/ValeurCellule&gt;</v>
      </c>
    </row>
    <row r="3961" spans="1:1" x14ac:dyDescent="0.2">
      <c r="A3961" s="996" t="str">
        <f>CONCATENATE(Programme!D3962,Programme!E3962,Programme!F3962,Programme!G3962,Programme!H3962,Programme!I3962,Programme!J3962)</f>
        <v>&lt;ValeurCellule&gt;</v>
      </c>
    </row>
    <row r="3962" spans="1:1" x14ac:dyDescent="0.2">
      <c r="A3962" s="996" t="str">
        <f>CONCATENATE(Programme!D3963,Programme!E3963,Programme!F3963,Programme!G3963,Programme!H3963,Programme!I3963,Programme!J3963)</f>
        <v>&lt;cellule&gt;</v>
      </c>
    </row>
    <row r="3963" spans="1:1" x14ac:dyDescent="0.2">
      <c r="A3963" s="996" t="str">
        <f>CONCATENATE(Programme!D3964,Programme!E3964,Programme!F3964,Programme!G3964,Programme!H3964,Programme!I3964,Programme!J3964)</f>
        <v>&lt;codeEdi&gt;1041&lt;/codeEdi&gt;</v>
      </c>
    </row>
    <row r="3964" spans="1:1" x14ac:dyDescent="0.2">
      <c r="A3964" s="996" t="str">
        <f>CONCATENATE(Programme!D3965,Programme!E3965,Programme!F3965,Programme!G3965,Programme!H3965,Programme!I3965,Programme!J3965)</f>
        <v>&lt;/cellule&gt;</v>
      </c>
    </row>
    <row r="3965" spans="1:1" x14ac:dyDescent="0.2">
      <c r="A3965" s="996" t="str">
        <f>CONCATENATE(Programme!D3966,Programme!E3966,Programme!F3966,Programme!G3966,Programme!H3966,Programme!I3966,Programme!J3966)</f>
        <v>&lt;valeur&gt;0&lt;/valeur&gt;</v>
      </c>
    </row>
    <row r="3966" spans="1:1" x14ac:dyDescent="0.2">
      <c r="A3966" s="996" t="str">
        <f>CONCATENATE(Programme!D3967,Programme!E3967,Programme!F3967,Programme!G3967,Programme!H3967,Programme!I3967,Programme!J3967)</f>
        <v>&lt;/ValeurCellule&gt;</v>
      </c>
    </row>
    <row r="3967" spans="1:1" x14ac:dyDescent="0.2">
      <c r="A3967" s="996" t="str">
        <f>CONCATENATE(Programme!D3968,Programme!E3968,Programme!F3968,Programme!G3968,Programme!H3968,Programme!I3968,Programme!J3968)</f>
        <v>&lt;ValeurCellule&gt;</v>
      </c>
    </row>
    <row r="3968" spans="1:1" x14ac:dyDescent="0.2">
      <c r="A3968" s="996" t="str">
        <f>CONCATENATE(Programme!D3969,Programme!E3969,Programme!F3969,Programme!G3969,Programme!H3969,Programme!I3969,Programme!J3969)</f>
        <v>&lt;cellule&gt;</v>
      </c>
    </row>
    <row r="3969" spans="1:1" x14ac:dyDescent="0.2">
      <c r="A3969" s="996" t="str">
        <f>CONCATENATE(Programme!D3970,Programme!E3970,Programme!F3970,Programme!G3970,Programme!H3970,Programme!I3970,Programme!J3970)</f>
        <v>&lt;codeEdi&gt;1042&lt;/codeEdi&gt;</v>
      </c>
    </row>
    <row r="3970" spans="1:1" x14ac:dyDescent="0.2">
      <c r="A3970" s="996" t="str">
        <f>CONCATENATE(Programme!D3971,Programme!E3971,Programme!F3971,Programme!G3971,Programme!H3971,Programme!I3971,Programme!J3971)</f>
        <v>&lt;/cellule&gt;</v>
      </c>
    </row>
    <row r="3971" spans="1:1" x14ac:dyDescent="0.2">
      <c r="A3971" s="996" t="str">
        <f>CONCATENATE(Programme!D3972,Programme!E3972,Programme!F3972,Programme!G3972,Programme!H3972,Programme!I3972,Programme!J3972)</f>
        <v>&lt;valeur&gt;0&lt;/valeur&gt;</v>
      </c>
    </row>
    <row r="3972" spans="1:1" x14ac:dyDescent="0.2">
      <c r="A3972" s="996" t="str">
        <f>CONCATENATE(Programme!D3973,Programme!E3973,Programme!F3973,Programme!G3973,Programme!H3973,Programme!I3973,Programme!J3973)</f>
        <v>&lt;/ValeurCellule&gt;</v>
      </c>
    </row>
    <row r="3973" spans="1:1" x14ac:dyDescent="0.2">
      <c r="A3973" s="996" t="str">
        <f>CONCATENATE(Programme!D3974,Programme!E3974,Programme!F3974,Programme!G3974,Programme!H3974,Programme!I3974,Programme!J3974)</f>
        <v>&lt;ValeurCellule&gt;</v>
      </c>
    </row>
    <row r="3974" spans="1:1" x14ac:dyDescent="0.2">
      <c r="A3974" s="996" t="str">
        <f>CONCATENATE(Programme!D3975,Programme!E3975,Programme!F3975,Programme!G3975,Programme!H3975,Programme!I3975,Programme!J3975)</f>
        <v>&lt;cellule&gt;</v>
      </c>
    </row>
    <row r="3975" spans="1:1" x14ac:dyDescent="0.2">
      <c r="A3975" s="996" t="str">
        <f>CONCATENATE(Programme!D3976,Programme!E3976,Programme!F3976,Programme!G3976,Programme!H3976,Programme!I3976,Programme!J3976)</f>
        <v>&lt;codeEdi&gt;10078&lt;/codeEdi&gt;</v>
      </c>
    </row>
    <row r="3976" spans="1:1" x14ac:dyDescent="0.2">
      <c r="A3976" s="996" t="str">
        <f>CONCATENATE(Programme!D3977,Programme!E3977,Programme!F3977,Programme!G3977,Programme!H3977,Programme!I3977,Programme!J3977)</f>
        <v>&lt;/cellule&gt;</v>
      </c>
    </row>
    <row r="3977" spans="1:1" x14ac:dyDescent="0.2">
      <c r="A3977" s="996" t="str">
        <f>CONCATENATE(Programme!D3978,Programme!E3978,Programme!F3978,Programme!G3978,Programme!H3978,Programme!I3978,Programme!J3978)</f>
        <v>&lt;valeur&gt;0&lt;/valeur&gt;</v>
      </c>
    </row>
    <row r="3978" spans="1:1" x14ac:dyDescent="0.2">
      <c r="A3978" s="996" t="str">
        <f>CONCATENATE(Programme!D3979,Programme!E3979,Programme!F3979,Programme!G3979,Programme!H3979,Programme!I3979,Programme!J3979)</f>
        <v>&lt;/ValeurCellule&gt;</v>
      </c>
    </row>
    <row r="3979" spans="1:1" x14ac:dyDescent="0.2">
      <c r="A3979" s="996" t="str">
        <f>CONCATENATE(Programme!D3980,Programme!E3980,Programme!F3980,Programme!G3980,Programme!H3980,Programme!I3980,Programme!J3980)</f>
        <v>&lt;ValeurCellule&gt;</v>
      </c>
    </row>
    <row r="3980" spans="1:1" x14ac:dyDescent="0.2">
      <c r="A3980" s="996" t="str">
        <f>CONCATENATE(Programme!D3981,Programme!E3981,Programme!F3981,Programme!G3981,Programme!H3981,Programme!I3981,Programme!J3981)</f>
        <v>&lt;cellule&gt;</v>
      </c>
    </row>
    <row r="3981" spans="1:1" x14ac:dyDescent="0.2">
      <c r="A3981" s="996" t="str">
        <f>CONCATENATE(Programme!D3982,Programme!E3982,Programme!F3982,Programme!G3982,Programme!H3982,Programme!I3982,Programme!J3982)</f>
        <v>&lt;codeEdi&gt;1053&lt;/codeEdi&gt;</v>
      </c>
    </row>
    <row r="3982" spans="1:1" x14ac:dyDescent="0.2">
      <c r="A3982" s="996" t="str">
        <f>CONCATENATE(Programme!D3983,Programme!E3983,Programme!F3983,Programme!G3983,Programme!H3983,Programme!I3983,Programme!J3983)</f>
        <v>&lt;/cellule&gt;</v>
      </c>
    </row>
    <row r="3983" spans="1:1" x14ac:dyDescent="0.2">
      <c r="A3983" s="996" t="str">
        <f>CONCATENATE(Programme!D3984,Programme!E3984,Programme!F3984,Programme!G3984,Programme!H3984,Programme!I3984,Programme!J3984)</f>
        <v>&lt;valeur&gt;0&lt;/valeur&gt;</v>
      </c>
    </row>
    <row r="3984" spans="1:1" x14ac:dyDescent="0.2">
      <c r="A3984" s="996" t="str">
        <f>CONCATENATE(Programme!D3985,Programme!E3985,Programme!F3985,Programme!G3985,Programme!H3985,Programme!I3985,Programme!J3985)</f>
        <v>&lt;/ValeurCellule&gt;</v>
      </c>
    </row>
    <row r="3985" spans="1:1" x14ac:dyDescent="0.2">
      <c r="A3985" s="996" t="str">
        <f>CONCATENATE(Programme!D3986,Programme!E3986,Programme!F3986,Programme!G3986,Programme!H3986,Programme!I3986,Programme!J3986)</f>
        <v>&lt;ValeurCellule&gt;</v>
      </c>
    </row>
    <row r="3986" spans="1:1" x14ac:dyDescent="0.2">
      <c r="A3986" s="996" t="str">
        <f>CONCATENATE(Programme!D3987,Programme!E3987,Programme!F3987,Programme!G3987,Programme!H3987,Programme!I3987,Programme!J3987)</f>
        <v>&lt;cellule&gt;</v>
      </c>
    </row>
    <row r="3987" spans="1:1" x14ac:dyDescent="0.2">
      <c r="A3987" s="996" t="str">
        <f>CONCATENATE(Programme!D3988,Programme!E3988,Programme!F3988,Programme!G3988,Programme!H3988,Programme!I3988,Programme!J3988)</f>
        <v>&lt;codeEdi&gt;1054&lt;/codeEdi&gt;</v>
      </c>
    </row>
    <row r="3988" spans="1:1" x14ac:dyDescent="0.2">
      <c r="A3988" s="996" t="str">
        <f>CONCATENATE(Programme!D3989,Programme!E3989,Programme!F3989,Programme!G3989,Programme!H3989,Programme!I3989,Programme!J3989)</f>
        <v>&lt;/cellule&gt;</v>
      </c>
    </row>
    <row r="3989" spans="1:1" x14ac:dyDescent="0.2">
      <c r="A3989" s="996" t="str">
        <f>CONCATENATE(Programme!D3990,Programme!E3990,Programme!F3990,Programme!G3990,Programme!H3990,Programme!I3990,Programme!J3990)</f>
        <v>&lt;valeur&gt;0&lt;/valeur&gt;</v>
      </c>
    </row>
    <row r="3990" spans="1:1" x14ac:dyDescent="0.2">
      <c r="A3990" s="996" t="str">
        <f>CONCATENATE(Programme!D3991,Programme!E3991,Programme!F3991,Programme!G3991,Programme!H3991,Programme!I3991,Programme!J3991)</f>
        <v>&lt;/ValeurCellule&gt;</v>
      </c>
    </row>
    <row r="3991" spans="1:1" x14ac:dyDescent="0.2">
      <c r="A3991" s="996" t="str">
        <f>CONCATENATE(Programme!D3992,Programme!E3992,Programme!F3992,Programme!G3992,Programme!H3992,Programme!I3992,Programme!J3992)</f>
        <v>&lt;ValeurCellule&gt;</v>
      </c>
    </row>
    <row r="3992" spans="1:1" x14ac:dyDescent="0.2">
      <c r="A3992" s="996" t="str">
        <f>CONCATENATE(Programme!D3993,Programme!E3993,Programme!F3993,Programme!G3993,Programme!H3993,Programme!I3993,Programme!J3993)</f>
        <v>&lt;cellule&gt;</v>
      </c>
    </row>
    <row r="3993" spans="1:1" x14ac:dyDescent="0.2">
      <c r="A3993" s="996" t="str">
        <f>CONCATENATE(Programme!D3994,Programme!E3994,Programme!F3994,Programme!G3994,Programme!H3994,Programme!I3994,Programme!J3994)</f>
        <v>&lt;codeEdi&gt;1055&lt;/codeEdi&gt;</v>
      </c>
    </row>
    <row r="3994" spans="1:1" x14ac:dyDescent="0.2">
      <c r="A3994" s="996" t="str">
        <f>CONCATENATE(Programme!D3995,Programme!E3995,Programme!F3995,Programme!G3995,Programme!H3995,Programme!I3995,Programme!J3995)</f>
        <v>&lt;/cellule&gt;</v>
      </c>
    </row>
    <row r="3995" spans="1:1" x14ac:dyDescent="0.2">
      <c r="A3995" s="996" t="str">
        <f>CONCATENATE(Programme!D3996,Programme!E3996,Programme!F3996,Programme!G3996,Programme!H3996,Programme!I3996,Programme!J3996)</f>
        <v>&lt;valeur&gt;0&lt;/valeur&gt;</v>
      </c>
    </row>
    <row r="3996" spans="1:1" x14ac:dyDescent="0.2">
      <c r="A3996" s="996" t="str">
        <f>CONCATENATE(Programme!D3997,Programme!E3997,Programme!F3997,Programme!G3997,Programme!H3997,Programme!I3997,Programme!J3997)</f>
        <v>&lt;/ValeurCellule&gt;</v>
      </c>
    </row>
    <row r="3997" spans="1:1" x14ac:dyDescent="0.2">
      <c r="A3997" s="996" t="str">
        <f>CONCATENATE(Programme!D3998,Programme!E3998,Programme!F3998,Programme!G3998,Programme!H3998,Programme!I3998,Programme!J3998)</f>
        <v>&lt;ValeurCellule&gt;</v>
      </c>
    </row>
    <row r="3998" spans="1:1" x14ac:dyDescent="0.2">
      <c r="A3998" s="996" t="str">
        <f>CONCATENATE(Programme!D3999,Programme!E3999,Programme!F3999,Programme!G3999,Programme!H3999,Programme!I3999,Programme!J3999)</f>
        <v>&lt;cellule&gt;</v>
      </c>
    </row>
    <row r="3999" spans="1:1" x14ac:dyDescent="0.2">
      <c r="A3999" s="996" t="str">
        <f>CONCATENATE(Programme!D4000,Programme!E4000,Programme!F4000,Programme!G4000,Programme!H4000,Programme!I4000,Programme!J4000)</f>
        <v>&lt;codeEdi&gt;1056&lt;/codeEdi&gt;</v>
      </c>
    </row>
    <row r="4000" spans="1:1" x14ac:dyDescent="0.2">
      <c r="A4000" s="996" t="str">
        <f>CONCATENATE(Programme!D4001,Programme!E4001,Programme!F4001,Programme!G4001,Programme!H4001,Programme!I4001,Programme!J4001)</f>
        <v>&lt;/cellule&gt;</v>
      </c>
    </row>
    <row r="4001" spans="1:1" x14ac:dyDescent="0.2">
      <c r="A4001" s="996" t="str">
        <f>CONCATENATE(Programme!D4002,Programme!E4002,Programme!F4002,Programme!G4002,Programme!H4002,Programme!I4002,Programme!J4002)</f>
        <v>&lt;valeur&gt;0&lt;/valeur&gt;</v>
      </c>
    </row>
    <row r="4002" spans="1:1" x14ac:dyDescent="0.2">
      <c r="A4002" s="996" t="str">
        <f>CONCATENATE(Programme!D4003,Programme!E4003,Programme!F4003,Programme!G4003,Programme!H4003,Programme!I4003,Programme!J4003)</f>
        <v>&lt;/ValeurCellule&gt;</v>
      </c>
    </row>
    <row r="4003" spans="1:1" x14ac:dyDescent="0.2">
      <c r="A4003" s="996" t="str">
        <f>CONCATENATE(Programme!D4004,Programme!E4004,Programme!F4004,Programme!G4004,Programme!H4004,Programme!I4004,Programme!J4004)</f>
        <v>&lt;ValeurCellule&gt;</v>
      </c>
    </row>
    <row r="4004" spans="1:1" x14ac:dyDescent="0.2">
      <c r="A4004" s="996" t="str">
        <f>CONCATENATE(Programme!D4005,Programme!E4005,Programme!F4005,Programme!G4005,Programme!H4005,Programme!I4005,Programme!J4005)</f>
        <v>&lt;cellule&gt;</v>
      </c>
    </row>
    <row r="4005" spans="1:1" x14ac:dyDescent="0.2">
      <c r="A4005" s="996" t="str">
        <f>CONCATENATE(Programme!D4006,Programme!E4006,Programme!F4006,Programme!G4006,Programme!H4006,Programme!I4006,Programme!J4006)</f>
        <v>&lt;codeEdi&gt;10079&lt;/codeEdi&gt;</v>
      </c>
    </row>
    <row r="4006" spans="1:1" x14ac:dyDescent="0.2">
      <c r="A4006" s="996" t="str">
        <f>CONCATENATE(Programme!D4007,Programme!E4007,Programme!F4007,Programme!G4007,Programme!H4007,Programme!I4007,Programme!J4007)</f>
        <v>&lt;/cellule&gt;</v>
      </c>
    </row>
    <row r="4007" spans="1:1" x14ac:dyDescent="0.2">
      <c r="A4007" s="996" t="str">
        <f>CONCATENATE(Programme!D4008,Programme!E4008,Programme!F4008,Programme!G4008,Programme!H4008,Programme!I4008,Programme!J4008)</f>
        <v>&lt;valeur&gt;0&lt;/valeur&gt;</v>
      </c>
    </row>
    <row r="4008" spans="1:1" x14ac:dyDescent="0.2">
      <c r="A4008" s="996" t="str">
        <f>CONCATENATE(Programme!D4009,Programme!E4009,Programme!F4009,Programme!G4009,Programme!H4009,Programme!I4009,Programme!J4009)</f>
        <v>&lt;/ValeurCellule&gt;</v>
      </c>
    </row>
    <row r="4009" spans="1:1" x14ac:dyDescent="0.2">
      <c r="A4009" s="996" t="str">
        <f>CONCATENATE(Programme!D4010,Programme!E4010,Programme!F4010,Programme!G4010,Programme!H4010,Programme!I4010,Programme!J4010)</f>
        <v>&lt;ValeurCellule&gt;</v>
      </c>
    </row>
    <row r="4010" spans="1:1" x14ac:dyDescent="0.2">
      <c r="A4010" s="996" t="str">
        <f>CONCATENATE(Programme!D4011,Programme!E4011,Programme!F4011,Programme!G4011,Programme!H4011,Programme!I4011,Programme!J4011)</f>
        <v>&lt;cellule&gt;</v>
      </c>
    </row>
    <row r="4011" spans="1:1" x14ac:dyDescent="0.2">
      <c r="A4011" s="996" t="str">
        <f>CONCATENATE(Programme!D4012,Programme!E4012,Programme!F4012,Programme!G4012,Programme!H4012,Programme!I4012,Programme!J4012)</f>
        <v>&lt;codeEdi&gt;1067&lt;/codeEdi&gt;</v>
      </c>
    </row>
    <row r="4012" spans="1:1" x14ac:dyDescent="0.2">
      <c r="A4012" s="996" t="str">
        <f>CONCATENATE(Programme!D4013,Programme!E4013,Programme!F4013,Programme!G4013,Programme!H4013,Programme!I4013,Programme!J4013)</f>
        <v>&lt;/cellule&gt;</v>
      </c>
    </row>
    <row r="4013" spans="1:1" x14ac:dyDescent="0.2">
      <c r="A4013" s="996" t="str">
        <f>CONCATENATE(Programme!D4014,Programme!E4014,Programme!F4014,Programme!G4014,Programme!H4014,Programme!I4014,Programme!J4014)</f>
        <v>&lt;valeur&gt;0&lt;/valeur&gt;</v>
      </c>
    </row>
    <row r="4014" spans="1:1" x14ac:dyDescent="0.2">
      <c r="A4014" s="996" t="str">
        <f>CONCATENATE(Programme!D4015,Programme!E4015,Programme!F4015,Programme!G4015,Programme!H4015,Programme!I4015,Programme!J4015)</f>
        <v>&lt;/ValeurCellule&gt;</v>
      </c>
    </row>
    <row r="4015" spans="1:1" x14ac:dyDescent="0.2">
      <c r="A4015" s="996" t="str">
        <f>CONCATENATE(Programme!D4016,Programme!E4016,Programme!F4016,Programme!G4016,Programme!H4016,Programme!I4016,Programme!J4016)</f>
        <v>&lt;ValeurCellule&gt;</v>
      </c>
    </row>
    <row r="4016" spans="1:1" x14ac:dyDescent="0.2">
      <c r="A4016" s="996" t="str">
        <f>CONCATENATE(Programme!D4017,Programme!E4017,Programme!F4017,Programme!G4017,Programme!H4017,Programme!I4017,Programme!J4017)</f>
        <v>&lt;cellule&gt;</v>
      </c>
    </row>
    <row r="4017" spans="1:1" x14ac:dyDescent="0.2">
      <c r="A4017" s="996" t="str">
        <f>CONCATENATE(Programme!D4018,Programme!E4018,Programme!F4018,Programme!G4018,Programme!H4018,Programme!I4018,Programme!J4018)</f>
        <v>&lt;codeEdi&gt;1068&lt;/codeEdi&gt;</v>
      </c>
    </row>
    <row r="4018" spans="1:1" x14ac:dyDescent="0.2">
      <c r="A4018" s="996" t="str">
        <f>CONCATENATE(Programme!D4019,Programme!E4019,Programme!F4019,Programme!G4019,Programme!H4019,Programme!I4019,Programme!J4019)</f>
        <v>&lt;/cellule&gt;</v>
      </c>
    </row>
    <row r="4019" spans="1:1" x14ac:dyDescent="0.2">
      <c r="A4019" s="996" t="str">
        <f>CONCATENATE(Programme!D4020,Programme!E4020,Programme!F4020,Programme!G4020,Programme!H4020,Programme!I4020,Programme!J4020)</f>
        <v>&lt;valeur&gt;0&lt;/valeur&gt;</v>
      </c>
    </row>
    <row r="4020" spans="1:1" x14ac:dyDescent="0.2">
      <c r="A4020" s="996" t="str">
        <f>CONCATENATE(Programme!D4021,Programme!E4021,Programme!F4021,Programme!G4021,Programme!H4021,Programme!I4021,Programme!J4021)</f>
        <v>&lt;/ValeurCellule&gt;</v>
      </c>
    </row>
    <row r="4021" spans="1:1" x14ac:dyDescent="0.2">
      <c r="A4021" s="996" t="str">
        <f>CONCATENATE(Programme!D4022,Programme!E4022,Programme!F4022,Programme!G4022,Programme!H4022,Programme!I4022,Programme!J4022)</f>
        <v>&lt;ValeurCellule&gt;</v>
      </c>
    </row>
    <row r="4022" spans="1:1" x14ac:dyDescent="0.2">
      <c r="A4022" s="996" t="str">
        <f>CONCATENATE(Programme!D4023,Programme!E4023,Programme!F4023,Programme!G4023,Programme!H4023,Programme!I4023,Programme!J4023)</f>
        <v>&lt;cellule&gt;</v>
      </c>
    </row>
    <row r="4023" spans="1:1" x14ac:dyDescent="0.2">
      <c r="A4023" s="996" t="str">
        <f>CONCATENATE(Programme!D4024,Programme!E4024,Programme!F4024,Programme!G4024,Programme!H4024,Programme!I4024,Programme!J4024)</f>
        <v>&lt;codeEdi&gt;1069&lt;/codeEdi&gt;</v>
      </c>
    </row>
    <row r="4024" spans="1:1" x14ac:dyDescent="0.2">
      <c r="A4024" s="996" t="str">
        <f>CONCATENATE(Programme!D4025,Programme!E4025,Programme!F4025,Programme!G4025,Programme!H4025,Programme!I4025,Programme!J4025)</f>
        <v>&lt;/cellule&gt;</v>
      </c>
    </row>
    <row r="4025" spans="1:1" x14ac:dyDescent="0.2">
      <c r="A4025" s="996" t="str">
        <f>CONCATENATE(Programme!D4026,Programme!E4026,Programme!F4026,Programme!G4026,Programme!H4026,Programme!I4026,Programme!J4026)</f>
        <v>&lt;valeur&gt;0&lt;/valeur&gt;</v>
      </c>
    </row>
    <row r="4026" spans="1:1" x14ac:dyDescent="0.2">
      <c r="A4026" s="996" t="str">
        <f>CONCATENATE(Programme!D4027,Programme!E4027,Programme!F4027,Programme!G4027,Programme!H4027,Programme!I4027,Programme!J4027)</f>
        <v>&lt;/ValeurCellule&gt;</v>
      </c>
    </row>
    <row r="4027" spans="1:1" x14ac:dyDescent="0.2">
      <c r="A4027" s="996" t="str">
        <f>CONCATENATE(Programme!D4028,Programme!E4028,Programme!F4028,Programme!G4028,Programme!H4028,Programme!I4028,Programme!J4028)</f>
        <v>&lt;ValeurCellule&gt;</v>
      </c>
    </row>
    <row r="4028" spans="1:1" x14ac:dyDescent="0.2">
      <c r="A4028" s="996" t="str">
        <f>CONCATENATE(Programme!D4029,Programme!E4029,Programme!F4029,Programme!G4029,Programme!H4029,Programme!I4029,Programme!J4029)</f>
        <v>&lt;cellule&gt;</v>
      </c>
    </row>
    <row r="4029" spans="1:1" x14ac:dyDescent="0.2">
      <c r="A4029" s="996" t="str">
        <f>CONCATENATE(Programme!D4030,Programme!E4030,Programme!F4030,Programme!G4030,Programme!H4030,Programme!I4030,Programme!J4030)</f>
        <v>&lt;codeEdi&gt;1070&lt;/codeEdi&gt;</v>
      </c>
    </row>
    <row r="4030" spans="1:1" x14ac:dyDescent="0.2">
      <c r="A4030" s="996" t="str">
        <f>CONCATENATE(Programme!D4031,Programme!E4031,Programme!F4031,Programme!G4031,Programme!H4031,Programme!I4031,Programme!J4031)</f>
        <v>&lt;/cellule&gt;</v>
      </c>
    </row>
    <row r="4031" spans="1:1" x14ac:dyDescent="0.2">
      <c r="A4031" s="996" t="str">
        <f>CONCATENATE(Programme!D4032,Programme!E4032,Programme!F4032,Programme!G4032,Programme!H4032,Programme!I4032,Programme!J4032)</f>
        <v>&lt;valeur&gt;0&lt;/valeur&gt;</v>
      </c>
    </row>
    <row r="4032" spans="1:1" x14ac:dyDescent="0.2">
      <c r="A4032" s="996" t="str">
        <f>CONCATENATE(Programme!D4033,Programme!E4033,Programme!F4033,Programme!G4033,Programme!H4033,Programme!I4033,Programme!J4033)</f>
        <v>&lt;/ValeurCellule&gt;</v>
      </c>
    </row>
    <row r="4033" spans="1:1" x14ac:dyDescent="0.2">
      <c r="A4033" s="996" t="str">
        <f>CONCATENATE(Programme!D4034,Programme!E4034,Programme!F4034,Programme!G4034,Programme!H4034,Programme!I4034,Programme!J4034)</f>
        <v>&lt;ValeurCellule&gt;</v>
      </c>
    </row>
    <row r="4034" spans="1:1" x14ac:dyDescent="0.2">
      <c r="A4034" s="996" t="str">
        <f>CONCATENATE(Programme!D4035,Programme!E4035,Programme!F4035,Programme!G4035,Programme!H4035,Programme!I4035,Programme!J4035)</f>
        <v>&lt;cellule&gt;</v>
      </c>
    </row>
    <row r="4035" spans="1:1" x14ac:dyDescent="0.2">
      <c r="A4035" s="996" t="str">
        <f>CONCATENATE(Programme!D4036,Programme!E4036,Programme!F4036,Programme!G4036,Programme!H4036,Programme!I4036,Programme!J4036)</f>
        <v>&lt;codeEdi&gt;10080&lt;/codeEdi&gt;</v>
      </c>
    </row>
    <row r="4036" spans="1:1" x14ac:dyDescent="0.2">
      <c r="A4036" s="996" t="str">
        <f>CONCATENATE(Programme!D4037,Programme!E4037,Programme!F4037,Programme!G4037,Programme!H4037,Programme!I4037,Programme!J4037)</f>
        <v>&lt;/cellule&gt;</v>
      </c>
    </row>
    <row r="4037" spans="1:1" x14ac:dyDescent="0.2">
      <c r="A4037" s="996" t="str">
        <f>CONCATENATE(Programme!D4038,Programme!E4038,Programme!F4038,Programme!G4038,Programme!H4038,Programme!I4038,Programme!J4038)</f>
        <v>&lt;valeur&gt;0&lt;/valeur&gt;</v>
      </c>
    </row>
    <row r="4038" spans="1:1" x14ac:dyDescent="0.2">
      <c r="A4038" s="996" t="str">
        <f>CONCATENATE(Programme!D4039,Programme!E4039,Programme!F4039,Programme!G4039,Programme!H4039,Programme!I4039,Programme!J4039)</f>
        <v>&lt;/ValeurCellule&gt;</v>
      </c>
    </row>
    <row r="4039" spans="1:1" x14ac:dyDescent="0.2">
      <c r="A4039" s="996" t="str">
        <f>CONCATENATE(Programme!D4040,Programme!E4040,Programme!F4040,Programme!G4040,Programme!H4040,Programme!I4040,Programme!J4040)</f>
        <v>&lt;ValeurCellule&gt;</v>
      </c>
    </row>
    <row r="4040" spans="1:1" x14ac:dyDescent="0.2">
      <c r="A4040" s="996" t="str">
        <f>CONCATENATE(Programme!D4041,Programme!E4041,Programme!F4041,Programme!G4041,Programme!H4041,Programme!I4041,Programme!J4041)</f>
        <v>&lt;cellule&gt;</v>
      </c>
    </row>
    <row r="4041" spans="1:1" x14ac:dyDescent="0.2">
      <c r="A4041" s="996" t="str">
        <f>CONCATENATE(Programme!D4042,Programme!E4042,Programme!F4042,Programme!G4042,Programme!H4042,Programme!I4042,Programme!J4042)</f>
        <v>&lt;codeEdi&gt;973&lt;/codeEdi&gt;</v>
      </c>
    </row>
    <row r="4042" spans="1:1" x14ac:dyDescent="0.2">
      <c r="A4042" s="996" t="str">
        <f>CONCATENATE(Programme!D4043,Programme!E4043,Programme!F4043,Programme!G4043,Programme!H4043,Programme!I4043,Programme!J4043)</f>
        <v>&lt;/cellule&gt;</v>
      </c>
    </row>
    <row r="4043" spans="1:1" x14ac:dyDescent="0.2">
      <c r="A4043" s="996" t="str">
        <f>CONCATENATE(Programme!D4044,Programme!E4044,Programme!F4044,Programme!G4044,Programme!H4044,Programme!I4044,Programme!J4044)</f>
        <v>&lt;valeur&gt;0&lt;/valeur&gt;</v>
      </c>
    </row>
    <row r="4044" spans="1:1" x14ac:dyDescent="0.2">
      <c r="A4044" s="996" t="str">
        <f>CONCATENATE(Programme!D4045,Programme!E4045,Programme!F4045,Programme!G4045,Programme!H4045,Programme!I4045,Programme!J4045)</f>
        <v>&lt;/ValeurCellule&gt;</v>
      </c>
    </row>
    <row r="4045" spans="1:1" x14ac:dyDescent="0.2">
      <c r="A4045" s="996" t="str">
        <f>CONCATENATE(Programme!D4046,Programme!E4046,Programme!F4046,Programme!G4046,Programme!H4046,Programme!I4046,Programme!J4046)</f>
        <v>&lt;ValeurCellule&gt;</v>
      </c>
    </row>
    <row r="4046" spans="1:1" x14ac:dyDescent="0.2">
      <c r="A4046" s="996" t="str">
        <f>CONCATENATE(Programme!D4047,Programme!E4047,Programme!F4047,Programme!G4047,Programme!H4047,Programme!I4047,Programme!J4047)</f>
        <v>&lt;cellule&gt;</v>
      </c>
    </row>
    <row r="4047" spans="1:1" x14ac:dyDescent="0.2">
      <c r="A4047" s="996" t="str">
        <f>CONCATENATE(Programme!D4048,Programme!E4048,Programme!F4048,Programme!G4048,Programme!H4048,Programme!I4048,Programme!J4048)</f>
        <v>&lt;codeEdi&gt;974&lt;/codeEdi&gt;</v>
      </c>
    </row>
    <row r="4048" spans="1:1" x14ac:dyDescent="0.2">
      <c r="A4048" s="996" t="str">
        <f>CONCATENATE(Programme!D4049,Programme!E4049,Programme!F4049,Programme!G4049,Programme!H4049,Programme!I4049,Programme!J4049)</f>
        <v>&lt;/cellule&gt;</v>
      </c>
    </row>
    <row r="4049" spans="1:1" x14ac:dyDescent="0.2">
      <c r="A4049" s="996" t="str">
        <f>CONCATENATE(Programme!D4050,Programme!E4050,Programme!F4050,Programme!G4050,Programme!H4050,Programme!I4050,Programme!J4050)</f>
        <v>&lt;valeur&gt;0&lt;/valeur&gt;</v>
      </c>
    </row>
    <row r="4050" spans="1:1" x14ac:dyDescent="0.2">
      <c r="A4050" s="996" t="str">
        <f>CONCATENATE(Programme!D4051,Programme!E4051,Programme!F4051,Programme!G4051,Programme!H4051,Programme!I4051,Programme!J4051)</f>
        <v>&lt;/ValeurCellule&gt;</v>
      </c>
    </row>
    <row r="4051" spans="1:1" x14ac:dyDescent="0.2">
      <c r="A4051" s="996" t="str">
        <f>CONCATENATE(Programme!D4052,Programme!E4052,Programme!F4052,Programme!G4052,Programme!H4052,Programme!I4052,Programme!J4052)</f>
        <v>&lt;ValeurCellule&gt;</v>
      </c>
    </row>
    <row r="4052" spans="1:1" x14ac:dyDescent="0.2">
      <c r="A4052" s="996" t="str">
        <f>CONCATENATE(Programme!D4053,Programme!E4053,Programme!F4053,Programme!G4053,Programme!H4053,Programme!I4053,Programme!J4053)</f>
        <v>&lt;cellule&gt;</v>
      </c>
    </row>
    <row r="4053" spans="1:1" x14ac:dyDescent="0.2">
      <c r="A4053" s="996" t="str">
        <f>CONCATENATE(Programme!D4054,Programme!E4054,Programme!F4054,Programme!G4054,Programme!H4054,Programme!I4054,Programme!J4054)</f>
        <v>&lt;codeEdi&gt;975&lt;/codeEdi&gt;</v>
      </c>
    </row>
    <row r="4054" spans="1:1" x14ac:dyDescent="0.2">
      <c r="A4054" s="996" t="str">
        <f>CONCATENATE(Programme!D4055,Programme!E4055,Programme!F4055,Programme!G4055,Programme!H4055,Programme!I4055,Programme!J4055)</f>
        <v>&lt;/cellule&gt;</v>
      </c>
    </row>
    <row r="4055" spans="1:1" x14ac:dyDescent="0.2">
      <c r="A4055" s="996" t="str">
        <f>CONCATENATE(Programme!D4056,Programme!E4056,Programme!F4056,Programme!G4056,Programme!H4056,Programme!I4056,Programme!J4056)</f>
        <v>&lt;valeur&gt;0&lt;/valeur&gt;</v>
      </c>
    </row>
    <row r="4056" spans="1:1" x14ac:dyDescent="0.2">
      <c r="A4056" s="996" t="str">
        <f>CONCATENATE(Programme!D4057,Programme!E4057,Programme!F4057,Programme!G4057,Programme!H4057,Programme!I4057,Programme!J4057)</f>
        <v>&lt;/ValeurCellule&gt;</v>
      </c>
    </row>
    <row r="4057" spans="1:1" x14ac:dyDescent="0.2">
      <c r="A4057" s="996" t="str">
        <f>CONCATENATE(Programme!D4058,Programme!E4058,Programme!F4058,Programme!G4058,Programme!H4058,Programme!I4058,Programme!J4058)</f>
        <v>&lt;ValeurCellule&gt;</v>
      </c>
    </row>
    <row r="4058" spans="1:1" x14ac:dyDescent="0.2">
      <c r="A4058" s="996" t="str">
        <f>CONCATENATE(Programme!D4059,Programme!E4059,Programme!F4059,Programme!G4059,Programme!H4059,Programme!I4059,Programme!J4059)</f>
        <v>&lt;cellule&gt;</v>
      </c>
    </row>
    <row r="4059" spans="1:1" x14ac:dyDescent="0.2">
      <c r="A4059" s="996" t="str">
        <f>CONCATENATE(Programme!D4060,Programme!E4060,Programme!F4060,Programme!G4060,Programme!H4060,Programme!I4060,Programme!J4060)</f>
        <v>&lt;codeEdi&gt;976&lt;/codeEdi&gt;</v>
      </c>
    </row>
    <row r="4060" spans="1:1" x14ac:dyDescent="0.2">
      <c r="A4060" s="996" t="str">
        <f>CONCATENATE(Programme!D4061,Programme!E4061,Programme!F4061,Programme!G4061,Programme!H4061,Programme!I4061,Programme!J4061)</f>
        <v>&lt;/cellule&gt;</v>
      </c>
    </row>
    <row r="4061" spans="1:1" x14ac:dyDescent="0.2">
      <c r="A4061" s="996" t="str">
        <f>CONCATENATE(Programme!D4062,Programme!E4062,Programme!F4062,Programme!G4062,Programme!H4062,Programme!I4062,Programme!J4062)</f>
        <v>&lt;valeur&gt;0&lt;/valeur&gt;</v>
      </c>
    </row>
    <row r="4062" spans="1:1" x14ac:dyDescent="0.2">
      <c r="A4062" s="996" t="str">
        <f>CONCATENATE(Programme!D4063,Programme!E4063,Programme!F4063,Programme!G4063,Programme!H4063,Programme!I4063,Programme!J4063)</f>
        <v>&lt;/ValeurCellule&gt;</v>
      </c>
    </row>
    <row r="4063" spans="1:1" x14ac:dyDescent="0.2">
      <c r="A4063" s="996" t="str">
        <f>CONCATENATE(Programme!D4064,Programme!E4064,Programme!F4064,Programme!G4064,Programme!H4064,Programme!I4064,Programme!J4064)</f>
        <v>&lt;ValeurCellule&gt;</v>
      </c>
    </row>
    <row r="4064" spans="1:1" x14ac:dyDescent="0.2">
      <c r="A4064" s="996" t="str">
        <f>CONCATENATE(Programme!D4065,Programme!E4065,Programme!F4065,Programme!G4065,Programme!H4065,Programme!I4065,Programme!J4065)</f>
        <v>&lt;cellule&gt;</v>
      </c>
    </row>
    <row r="4065" spans="1:1" x14ac:dyDescent="0.2">
      <c r="A4065" s="996" t="str">
        <f>CONCATENATE(Programme!D4066,Programme!E4066,Programme!F4066,Programme!G4066,Programme!H4066,Programme!I4066,Programme!J4066)</f>
        <v>&lt;codeEdi&gt;977&lt;/codeEdi&gt;</v>
      </c>
    </row>
    <row r="4066" spans="1:1" x14ac:dyDescent="0.2">
      <c r="A4066" s="996" t="str">
        <f>CONCATENATE(Programme!D4067,Programme!E4067,Programme!F4067,Programme!G4067,Programme!H4067,Programme!I4067,Programme!J4067)</f>
        <v>&lt;/cellule&gt;</v>
      </c>
    </row>
    <row r="4067" spans="1:1" x14ac:dyDescent="0.2">
      <c r="A4067" s="996" t="str">
        <f>CONCATENATE(Programme!D4068,Programme!E4068,Programme!F4068,Programme!G4068,Programme!H4068,Programme!I4068,Programme!J4068)</f>
        <v>&lt;valeur&gt;0&lt;/valeur&gt;</v>
      </c>
    </row>
    <row r="4068" spans="1:1" x14ac:dyDescent="0.2">
      <c r="A4068" s="996" t="str">
        <f>CONCATENATE(Programme!D4069,Programme!E4069,Programme!F4069,Programme!G4069,Programme!H4069,Programme!I4069,Programme!J4069)</f>
        <v>&lt;/ValeurCellule&gt;</v>
      </c>
    </row>
    <row r="4069" spans="1:1" x14ac:dyDescent="0.2">
      <c r="A4069" s="996" t="str">
        <f>CONCATENATE(Programme!D4070,Programme!E4070,Programme!F4070,Programme!G4070,Programme!H4070,Programme!I4070,Programme!J4070)</f>
        <v>&lt;ValeurCellule&gt;</v>
      </c>
    </row>
    <row r="4070" spans="1:1" x14ac:dyDescent="0.2">
      <c r="A4070" s="996" t="str">
        <f>CONCATENATE(Programme!D4071,Programme!E4071,Programme!F4071,Programme!G4071,Programme!H4071,Programme!I4071,Programme!J4071)</f>
        <v>&lt;cellule&gt;</v>
      </c>
    </row>
    <row r="4071" spans="1:1" x14ac:dyDescent="0.2">
      <c r="A4071" s="996" t="str">
        <f>CONCATENATE(Programme!D4072,Programme!E4072,Programme!F4072,Programme!G4072,Programme!H4072,Programme!I4072,Programme!J4072)</f>
        <v>&lt;codeEdi&gt;978&lt;/codeEdi&gt;</v>
      </c>
    </row>
    <row r="4072" spans="1:1" x14ac:dyDescent="0.2">
      <c r="A4072" s="996" t="str">
        <f>CONCATENATE(Programme!D4073,Programme!E4073,Programme!F4073,Programme!G4073,Programme!H4073,Programme!I4073,Programme!J4073)</f>
        <v>&lt;/cellule&gt;</v>
      </c>
    </row>
    <row r="4073" spans="1:1" x14ac:dyDescent="0.2">
      <c r="A4073" s="996" t="str">
        <f>CONCATENATE(Programme!D4074,Programme!E4074,Programme!F4074,Programme!G4074,Programme!H4074,Programme!I4074,Programme!J4074)</f>
        <v>&lt;valeur&gt;0&lt;/valeur&gt;</v>
      </c>
    </row>
    <row r="4074" spans="1:1" x14ac:dyDescent="0.2">
      <c r="A4074" s="996" t="str">
        <f>CONCATENATE(Programme!D4075,Programme!E4075,Programme!F4075,Programme!G4075,Programme!H4075,Programme!I4075,Programme!J4075)</f>
        <v>&lt;/ValeurCellule&gt;</v>
      </c>
    </row>
    <row r="4075" spans="1:1" x14ac:dyDescent="0.2">
      <c r="A4075" s="996" t="str">
        <f>CONCATENATE(Programme!D4076,Programme!E4076,Programme!F4076,Programme!G4076,Programme!H4076,Programme!I4076,Programme!J4076)</f>
        <v>&lt;ValeurCellule&gt;</v>
      </c>
    </row>
    <row r="4076" spans="1:1" x14ac:dyDescent="0.2">
      <c r="A4076" s="996" t="str">
        <f>CONCATENATE(Programme!D4077,Programme!E4077,Programme!F4077,Programme!G4077,Programme!H4077,Programme!I4077,Programme!J4077)</f>
        <v>&lt;cellule&gt;</v>
      </c>
    </row>
    <row r="4077" spans="1:1" x14ac:dyDescent="0.2">
      <c r="A4077" s="996" t="str">
        <f>CONCATENATE(Programme!D4078,Programme!E4078,Programme!F4078,Programme!G4078,Programme!H4078,Programme!I4078,Programme!J4078)</f>
        <v>&lt;codeEdi&gt;979&lt;/codeEdi&gt;</v>
      </c>
    </row>
    <row r="4078" spans="1:1" x14ac:dyDescent="0.2">
      <c r="A4078" s="996" t="str">
        <f>CONCATENATE(Programme!D4079,Programme!E4079,Programme!F4079,Programme!G4079,Programme!H4079,Programme!I4079,Programme!J4079)</f>
        <v>&lt;/cellule&gt;</v>
      </c>
    </row>
    <row r="4079" spans="1:1" x14ac:dyDescent="0.2">
      <c r="A4079" s="996" t="str">
        <f>CONCATENATE(Programme!D4080,Programme!E4080,Programme!F4080,Programme!G4080,Programme!H4080,Programme!I4080,Programme!J4080)</f>
        <v>&lt;valeur&gt;0&lt;/valeur&gt;</v>
      </c>
    </row>
    <row r="4080" spans="1:1" x14ac:dyDescent="0.2">
      <c r="A4080" s="996" t="str">
        <f>CONCATENATE(Programme!D4081,Programme!E4081,Programme!F4081,Programme!G4081,Programme!H4081,Programme!I4081,Programme!J4081)</f>
        <v>&lt;/ValeurCellule&gt;</v>
      </c>
    </row>
    <row r="4081" spans="1:1" x14ac:dyDescent="0.2">
      <c r="A4081" s="996" t="str">
        <f>CONCATENATE(Programme!D4082,Programme!E4082,Programme!F4082,Programme!G4082,Programme!H4082,Programme!I4082,Programme!J4082)</f>
        <v>&lt;ValeurCellule&gt;</v>
      </c>
    </row>
    <row r="4082" spans="1:1" x14ac:dyDescent="0.2">
      <c r="A4082" s="996" t="str">
        <f>CONCATENATE(Programme!D4083,Programme!E4083,Programme!F4083,Programme!G4083,Programme!H4083,Programme!I4083,Programme!J4083)</f>
        <v>&lt;cellule&gt;</v>
      </c>
    </row>
    <row r="4083" spans="1:1" x14ac:dyDescent="0.2">
      <c r="A4083" s="996" t="str">
        <f>CONCATENATE(Programme!D4084,Programme!E4084,Programme!F4084,Programme!G4084,Programme!H4084,Programme!I4084,Programme!J4084)</f>
        <v>&lt;codeEdi&gt;10082&lt;/codeEdi&gt;</v>
      </c>
    </row>
    <row r="4084" spans="1:1" x14ac:dyDescent="0.2">
      <c r="A4084" s="996" t="str">
        <f>CONCATENATE(Programme!D4085,Programme!E4085,Programme!F4085,Programme!G4085,Programme!H4085,Programme!I4085,Programme!J4085)</f>
        <v>&lt;/cellule&gt;</v>
      </c>
    </row>
    <row r="4085" spans="1:1" x14ac:dyDescent="0.2">
      <c r="A4085" s="996" t="str">
        <f>CONCATENATE(Programme!D4086,Programme!E4086,Programme!F4086,Programme!G4086,Programme!H4086,Programme!I4086,Programme!J4086)</f>
        <v>&lt;valeur&gt;0&lt;/valeur&gt;</v>
      </c>
    </row>
    <row r="4086" spans="1:1" x14ac:dyDescent="0.2">
      <c r="A4086" s="996" t="str">
        <f>CONCATENATE(Programme!D4087,Programme!E4087,Programme!F4087,Programme!G4087,Programme!H4087,Programme!I4087,Programme!J4087)</f>
        <v>&lt;/ValeurCellule&gt;</v>
      </c>
    </row>
    <row r="4087" spans="1:1" x14ac:dyDescent="0.2">
      <c r="A4087" s="996" t="str">
        <f>CONCATENATE(Programme!D4088,Programme!E4088,Programme!F4088,Programme!G4088,Programme!H4088,Programme!I4088,Programme!J4088)</f>
        <v>&lt;ValeurCellule&gt;</v>
      </c>
    </row>
    <row r="4088" spans="1:1" x14ac:dyDescent="0.2">
      <c r="A4088" s="996" t="str">
        <f>CONCATENATE(Programme!D4089,Programme!E4089,Programme!F4089,Programme!G4089,Programme!H4089,Programme!I4089,Programme!J4089)</f>
        <v>&lt;cellule&gt;</v>
      </c>
    </row>
    <row r="4089" spans="1:1" x14ac:dyDescent="0.2">
      <c r="A4089" s="996" t="str">
        <f>CONCATENATE(Programme!D4090,Programme!E4090,Programme!F4090,Programme!G4090,Programme!H4090,Programme!I4090,Programme!J4090)</f>
        <v>&lt;codeEdi&gt;12597&lt;/codeEdi&gt;</v>
      </c>
    </row>
    <row r="4090" spans="1:1" x14ac:dyDescent="0.2">
      <c r="A4090" s="996" t="str">
        <f>CONCATENATE(Programme!D4091,Programme!E4091,Programme!F4091,Programme!G4091,Programme!H4091,Programme!I4091,Programme!J4091)</f>
        <v>&lt;/cellule&gt;</v>
      </c>
    </row>
    <row r="4091" spans="1:1" x14ac:dyDescent="0.2">
      <c r="A4091" s="996" t="str">
        <f>CONCATENATE(Programme!D4092,Programme!E4092,Programme!F4092,Programme!G4092,Programme!H4092,Programme!I4092,Programme!J4092)</f>
        <v>&lt;valeur&gt;&lt;/valeur&gt;</v>
      </c>
    </row>
    <row r="4092" spans="1:1" x14ac:dyDescent="0.2">
      <c r="A4092" s="996" t="str">
        <f>CONCATENATE(Programme!D4093,Programme!E4093,Programme!F4093,Programme!G4093,Programme!H4093,Programme!I4093,Programme!J4093)</f>
        <v>&lt;/ValeurCellule&gt;</v>
      </c>
    </row>
    <row r="4093" spans="1:1" x14ac:dyDescent="0.2">
      <c r="A4093" s="996" t="str">
        <f>CONCATENATE(Programme!D4094,Programme!E4094,Programme!F4094,Programme!G4094,Programme!H4094,Programme!I4094,Programme!J4094)</f>
        <v>&lt;ValeurCellule&gt;</v>
      </c>
    </row>
    <row r="4094" spans="1:1" x14ac:dyDescent="0.2">
      <c r="A4094" s="996" t="str">
        <f>CONCATENATE(Programme!D4095,Programme!E4095,Programme!F4095,Programme!G4095,Programme!H4095,Programme!I4095,Programme!J4095)</f>
        <v>&lt;cellule&gt;</v>
      </c>
    </row>
    <row r="4095" spans="1:1" x14ac:dyDescent="0.2">
      <c r="A4095" s="996" t="str">
        <f>CONCATENATE(Programme!D4096,Programme!E4096,Programme!F4096,Programme!G4096,Programme!H4096,Programme!I4096,Programme!J4096)</f>
        <v>&lt;codeEdi&gt;987&lt;/codeEdi&gt;</v>
      </c>
    </row>
    <row r="4096" spans="1:1" x14ac:dyDescent="0.2">
      <c r="A4096" s="996" t="str">
        <f>CONCATENATE(Programme!D4097,Programme!E4097,Programme!F4097,Programme!G4097,Programme!H4097,Programme!I4097,Programme!J4097)</f>
        <v>&lt;/cellule&gt;</v>
      </c>
    </row>
    <row r="4097" spans="1:1" x14ac:dyDescent="0.2">
      <c r="A4097" s="996" t="str">
        <f>CONCATENATE(Programme!D4098,Programme!E4098,Programme!F4098,Programme!G4098,Programme!H4098,Programme!I4098,Programme!J4098)</f>
        <v>&lt;valeur&gt;0&lt;/valeur&gt;</v>
      </c>
    </row>
    <row r="4098" spans="1:1" x14ac:dyDescent="0.2">
      <c r="A4098" s="996" t="str">
        <f>CONCATENATE(Programme!D4099,Programme!E4099,Programme!F4099,Programme!G4099,Programme!H4099,Programme!I4099,Programme!J4099)</f>
        <v>&lt;/ValeurCellule&gt;</v>
      </c>
    </row>
    <row r="4099" spans="1:1" x14ac:dyDescent="0.2">
      <c r="A4099" s="996" t="str">
        <f>CONCATENATE(Programme!D4100,Programme!E4100,Programme!F4100,Programme!G4100,Programme!H4100,Programme!I4100,Programme!J4100)</f>
        <v>&lt;ValeurCellule&gt;</v>
      </c>
    </row>
    <row r="4100" spans="1:1" x14ac:dyDescent="0.2">
      <c r="A4100" s="996" t="str">
        <f>CONCATENATE(Programme!D4101,Programme!E4101,Programme!F4101,Programme!G4101,Programme!H4101,Programme!I4101,Programme!J4101)</f>
        <v>&lt;cellule&gt;</v>
      </c>
    </row>
    <row r="4101" spans="1:1" x14ac:dyDescent="0.2">
      <c r="A4101" s="996" t="str">
        <f>CONCATENATE(Programme!D4102,Programme!E4102,Programme!F4102,Programme!G4102,Programme!H4102,Programme!I4102,Programme!J4102)</f>
        <v>&lt;codeEdi&gt;988&lt;/codeEdi&gt;</v>
      </c>
    </row>
    <row r="4102" spans="1:1" x14ac:dyDescent="0.2">
      <c r="A4102" s="996" t="str">
        <f>CONCATENATE(Programme!D4103,Programme!E4103,Programme!F4103,Programme!G4103,Programme!H4103,Programme!I4103,Programme!J4103)</f>
        <v>&lt;/cellule&gt;</v>
      </c>
    </row>
    <row r="4103" spans="1:1" x14ac:dyDescent="0.2">
      <c r="A4103" s="996" t="str">
        <f>CONCATENATE(Programme!D4104,Programme!E4104,Programme!F4104,Programme!G4104,Programme!H4104,Programme!I4104,Programme!J4104)</f>
        <v>&lt;valeur&gt;0&lt;/valeur&gt;</v>
      </c>
    </row>
    <row r="4104" spans="1:1" x14ac:dyDescent="0.2">
      <c r="A4104" s="996" t="str">
        <f>CONCATENATE(Programme!D4105,Programme!E4105,Programme!F4105,Programme!G4105,Programme!H4105,Programme!I4105,Programme!J4105)</f>
        <v>&lt;/ValeurCellule&gt;</v>
      </c>
    </row>
    <row r="4105" spans="1:1" x14ac:dyDescent="0.2">
      <c r="A4105" s="996" t="str">
        <f>CONCATENATE(Programme!D4106,Programme!E4106,Programme!F4106,Programme!G4106,Programme!H4106,Programme!I4106,Programme!J4106)</f>
        <v>&lt;ValeurCellule&gt;</v>
      </c>
    </row>
    <row r="4106" spans="1:1" x14ac:dyDescent="0.2">
      <c r="A4106" s="996" t="str">
        <f>CONCATENATE(Programme!D4107,Programme!E4107,Programme!F4107,Programme!G4107,Programme!H4107,Programme!I4107,Programme!J4107)</f>
        <v>&lt;cellule&gt;</v>
      </c>
    </row>
    <row r="4107" spans="1:1" x14ac:dyDescent="0.2">
      <c r="A4107" s="996" t="str">
        <f>CONCATENATE(Programme!D4108,Programme!E4108,Programme!F4108,Programme!G4108,Programme!H4108,Programme!I4108,Programme!J4108)</f>
        <v>&lt;codeEdi&gt;989&lt;/codeEdi&gt;</v>
      </c>
    </row>
    <row r="4108" spans="1:1" x14ac:dyDescent="0.2">
      <c r="A4108" s="996" t="str">
        <f>CONCATENATE(Programme!D4109,Programme!E4109,Programme!F4109,Programme!G4109,Programme!H4109,Programme!I4109,Programme!J4109)</f>
        <v>&lt;/cellule&gt;</v>
      </c>
    </row>
    <row r="4109" spans="1:1" x14ac:dyDescent="0.2">
      <c r="A4109" s="996" t="str">
        <f>CONCATENATE(Programme!D4110,Programme!E4110,Programme!F4110,Programme!G4110,Programme!H4110,Programme!I4110,Programme!J4110)</f>
        <v>&lt;valeur&gt;0&lt;/valeur&gt;</v>
      </c>
    </row>
    <row r="4110" spans="1:1" x14ac:dyDescent="0.2">
      <c r="A4110" s="996" t="str">
        <f>CONCATENATE(Programme!D4111,Programme!E4111,Programme!F4111,Programme!G4111,Programme!H4111,Programme!I4111,Programme!J4111)</f>
        <v>&lt;/ValeurCellule&gt;</v>
      </c>
    </row>
    <row r="4111" spans="1:1" x14ac:dyDescent="0.2">
      <c r="A4111" s="996" t="str">
        <f>CONCATENATE(Programme!D4112,Programme!E4112,Programme!F4112,Programme!G4112,Programme!H4112,Programme!I4112,Programme!J4112)</f>
        <v>&lt;ValeurCellule&gt;</v>
      </c>
    </row>
    <row r="4112" spans="1:1" x14ac:dyDescent="0.2">
      <c r="A4112" s="996" t="str">
        <f>CONCATENATE(Programme!D4113,Programme!E4113,Programme!F4113,Programme!G4113,Programme!H4113,Programme!I4113,Programme!J4113)</f>
        <v>&lt;cellule&gt;</v>
      </c>
    </row>
    <row r="4113" spans="1:1" x14ac:dyDescent="0.2">
      <c r="A4113" s="996" t="str">
        <f>CONCATENATE(Programme!D4114,Programme!E4114,Programme!F4114,Programme!G4114,Programme!H4114,Programme!I4114,Programme!J4114)</f>
        <v>&lt;codeEdi&gt;990&lt;/codeEdi&gt;</v>
      </c>
    </row>
    <row r="4114" spans="1:1" x14ac:dyDescent="0.2">
      <c r="A4114" s="996" t="str">
        <f>CONCATENATE(Programme!D4115,Programme!E4115,Programme!F4115,Programme!G4115,Programme!H4115,Programme!I4115,Programme!J4115)</f>
        <v>&lt;/cellule&gt;</v>
      </c>
    </row>
    <row r="4115" spans="1:1" x14ac:dyDescent="0.2">
      <c r="A4115" s="996" t="str">
        <f>CONCATENATE(Programme!D4116,Programme!E4116,Programme!F4116,Programme!G4116,Programme!H4116,Programme!I4116,Programme!J4116)</f>
        <v>&lt;valeur&gt;0&lt;/valeur&gt;</v>
      </c>
    </row>
    <row r="4116" spans="1:1" x14ac:dyDescent="0.2">
      <c r="A4116" s="996" t="str">
        <f>CONCATENATE(Programme!D4117,Programme!E4117,Programme!F4117,Programme!G4117,Programme!H4117,Programme!I4117,Programme!J4117)</f>
        <v>&lt;/ValeurCellule&gt;</v>
      </c>
    </row>
    <row r="4117" spans="1:1" x14ac:dyDescent="0.2">
      <c r="A4117" s="996" t="str">
        <f>CONCATENATE(Programme!D4118,Programme!E4118,Programme!F4118,Programme!G4118,Programme!H4118,Programme!I4118,Programme!J4118)</f>
        <v>&lt;ValeurCellule&gt;</v>
      </c>
    </row>
    <row r="4118" spans="1:1" x14ac:dyDescent="0.2">
      <c r="A4118" s="996" t="str">
        <f>CONCATENATE(Programme!D4119,Programme!E4119,Programme!F4119,Programme!G4119,Programme!H4119,Programme!I4119,Programme!J4119)</f>
        <v>&lt;cellule&gt;</v>
      </c>
    </row>
    <row r="4119" spans="1:1" x14ac:dyDescent="0.2">
      <c r="A4119" s="996" t="str">
        <f>CONCATENATE(Programme!D4120,Programme!E4120,Programme!F4120,Programme!G4120,Programme!H4120,Programme!I4120,Programme!J4120)</f>
        <v>&lt;codeEdi&gt;991&lt;/codeEdi&gt;</v>
      </c>
    </row>
    <row r="4120" spans="1:1" x14ac:dyDescent="0.2">
      <c r="A4120" s="996" t="str">
        <f>CONCATENATE(Programme!D4121,Programme!E4121,Programme!F4121,Programme!G4121,Programme!H4121,Programme!I4121,Programme!J4121)</f>
        <v>&lt;/cellule&gt;</v>
      </c>
    </row>
    <row r="4121" spans="1:1" x14ac:dyDescent="0.2">
      <c r="A4121" s="996" t="str">
        <f>CONCATENATE(Programme!D4122,Programme!E4122,Programme!F4122,Programme!G4122,Programme!H4122,Programme!I4122,Programme!J4122)</f>
        <v>&lt;valeur&gt;0&lt;/valeur&gt;</v>
      </c>
    </row>
    <row r="4122" spans="1:1" x14ac:dyDescent="0.2">
      <c r="A4122" s="996" t="str">
        <f>CONCATENATE(Programme!D4123,Programme!E4123,Programme!F4123,Programme!G4123,Programme!H4123,Programme!I4123,Programme!J4123)</f>
        <v>&lt;/ValeurCellule&gt;</v>
      </c>
    </row>
    <row r="4123" spans="1:1" x14ac:dyDescent="0.2">
      <c r="A4123" s="996" t="str">
        <f>CONCATENATE(Programme!D4124,Programme!E4124,Programme!F4124,Programme!G4124,Programme!H4124,Programme!I4124,Programme!J4124)</f>
        <v>&lt;ValeurCellule&gt;</v>
      </c>
    </row>
    <row r="4124" spans="1:1" x14ac:dyDescent="0.2">
      <c r="A4124" s="996" t="str">
        <f>CONCATENATE(Programme!D4125,Programme!E4125,Programme!F4125,Programme!G4125,Programme!H4125,Programme!I4125,Programme!J4125)</f>
        <v>&lt;cellule&gt;</v>
      </c>
    </row>
    <row r="4125" spans="1:1" x14ac:dyDescent="0.2">
      <c r="A4125" s="996" t="str">
        <f>CONCATENATE(Programme!D4126,Programme!E4126,Programme!F4126,Programme!G4126,Programme!H4126,Programme!I4126,Programme!J4126)</f>
        <v>&lt;codeEdi&gt;992&lt;/codeEdi&gt;</v>
      </c>
    </row>
    <row r="4126" spans="1:1" x14ac:dyDescent="0.2">
      <c r="A4126" s="996" t="str">
        <f>CONCATENATE(Programme!D4127,Programme!E4127,Programme!F4127,Programme!G4127,Programme!H4127,Programme!I4127,Programme!J4127)</f>
        <v>&lt;/cellule&gt;</v>
      </c>
    </row>
    <row r="4127" spans="1:1" x14ac:dyDescent="0.2">
      <c r="A4127" s="996" t="str">
        <f>CONCATENATE(Programme!D4128,Programme!E4128,Programme!F4128,Programme!G4128,Programme!H4128,Programme!I4128,Programme!J4128)</f>
        <v>&lt;valeur&gt;0&lt;/valeur&gt;</v>
      </c>
    </row>
    <row r="4128" spans="1:1" x14ac:dyDescent="0.2">
      <c r="A4128" s="996" t="str">
        <f>CONCATENATE(Programme!D4129,Programme!E4129,Programme!F4129,Programme!G4129,Programme!H4129,Programme!I4129,Programme!J4129)</f>
        <v>&lt;/ValeurCellule&gt;</v>
      </c>
    </row>
    <row r="4129" spans="1:1" x14ac:dyDescent="0.2">
      <c r="A4129" s="996" t="str">
        <f>CONCATENATE(Programme!D4130,Programme!E4130,Programme!F4130,Programme!G4130,Programme!H4130,Programme!I4130,Programme!J4130)</f>
        <v>&lt;ValeurCellule&gt;</v>
      </c>
    </row>
    <row r="4130" spans="1:1" x14ac:dyDescent="0.2">
      <c r="A4130" s="996" t="str">
        <f>CONCATENATE(Programme!D4131,Programme!E4131,Programme!F4131,Programme!G4131,Programme!H4131,Programme!I4131,Programme!J4131)</f>
        <v>&lt;cellule&gt;</v>
      </c>
    </row>
    <row r="4131" spans="1:1" x14ac:dyDescent="0.2">
      <c r="A4131" s="996" t="str">
        <f>CONCATENATE(Programme!D4132,Programme!E4132,Programme!F4132,Programme!G4132,Programme!H4132,Programme!I4132,Programme!J4132)</f>
        <v>&lt;codeEdi&gt;993&lt;/codeEdi&gt;</v>
      </c>
    </row>
    <row r="4132" spans="1:1" x14ac:dyDescent="0.2">
      <c r="A4132" s="996" t="str">
        <f>CONCATENATE(Programme!D4133,Programme!E4133,Programme!F4133,Programme!G4133,Programme!H4133,Programme!I4133,Programme!J4133)</f>
        <v>&lt;/cellule&gt;</v>
      </c>
    </row>
    <row r="4133" spans="1:1" x14ac:dyDescent="0.2">
      <c r="A4133" s="996" t="str">
        <f>CONCATENATE(Programme!D4134,Programme!E4134,Programme!F4134,Programme!G4134,Programme!H4134,Programme!I4134,Programme!J4134)</f>
        <v>&lt;valeur&gt;0&lt;/valeur&gt;</v>
      </c>
    </row>
    <row r="4134" spans="1:1" x14ac:dyDescent="0.2">
      <c r="A4134" s="996" t="str">
        <f>CONCATENATE(Programme!D4135,Programme!E4135,Programme!F4135,Programme!G4135,Programme!H4135,Programme!I4135,Programme!J4135)</f>
        <v>&lt;/ValeurCellule&gt;</v>
      </c>
    </row>
    <row r="4135" spans="1:1" x14ac:dyDescent="0.2">
      <c r="A4135" s="996" t="str">
        <f>CONCATENATE(Programme!D4136,Programme!E4136,Programme!F4136,Programme!G4136,Programme!H4136,Programme!I4136,Programme!J4136)</f>
        <v>&lt;ValeurCellule&gt;</v>
      </c>
    </row>
    <row r="4136" spans="1:1" x14ac:dyDescent="0.2">
      <c r="A4136" s="996" t="str">
        <f>CONCATENATE(Programme!D4137,Programme!E4137,Programme!F4137,Programme!G4137,Programme!H4137,Programme!I4137,Programme!J4137)</f>
        <v>&lt;cellule&gt;</v>
      </c>
    </row>
    <row r="4137" spans="1:1" x14ac:dyDescent="0.2">
      <c r="A4137" s="996" t="str">
        <f>CONCATENATE(Programme!D4138,Programme!E4138,Programme!F4138,Programme!G4138,Programme!H4138,Programme!I4138,Programme!J4138)</f>
        <v>&lt;codeEdi&gt;10083&lt;/codeEdi&gt;</v>
      </c>
    </row>
    <row r="4138" spans="1:1" x14ac:dyDescent="0.2">
      <c r="A4138" s="996" t="str">
        <f>CONCATENATE(Programme!D4139,Programme!E4139,Programme!F4139,Programme!G4139,Programme!H4139,Programme!I4139,Programme!J4139)</f>
        <v>&lt;/cellule&gt;</v>
      </c>
    </row>
    <row r="4139" spans="1:1" x14ac:dyDescent="0.2">
      <c r="A4139" s="996" t="str">
        <f>CONCATENATE(Programme!D4140,Programme!E4140,Programme!F4140,Programme!G4140,Programme!H4140,Programme!I4140,Programme!J4140)</f>
        <v>&lt;valeur&gt;0&lt;/valeur&gt;</v>
      </c>
    </row>
    <row r="4140" spans="1:1" x14ac:dyDescent="0.2">
      <c r="A4140" s="996" t="str">
        <f>CONCATENATE(Programme!D4141,Programme!E4141,Programme!F4141,Programme!G4141,Programme!H4141,Programme!I4141,Programme!J4141)</f>
        <v>&lt;/ValeurCellule&gt;</v>
      </c>
    </row>
    <row r="4141" spans="1:1" x14ac:dyDescent="0.2">
      <c r="A4141" s="996" t="str">
        <f>CONCATENATE(Programme!D4142,Programme!E4142,Programme!F4142,Programme!G4142,Programme!H4142,Programme!I4142,Programme!J4142)</f>
        <v>&lt;ValeurCellule&gt;</v>
      </c>
    </row>
    <row r="4142" spans="1:1" x14ac:dyDescent="0.2">
      <c r="A4142" s="996" t="str">
        <f>CONCATENATE(Programme!D4143,Programme!E4143,Programme!F4143,Programme!G4143,Programme!H4143,Programme!I4143,Programme!J4143)</f>
        <v>&lt;cellule&gt;</v>
      </c>
    </row>
    <row r="4143" spans="1:1" x14ac:dyDescent="0.2">
      <c r="A4143" s="996" t="str">
        <f>CONCATENATE(Programme!D4144,Programme!E4144,Programme!F4144,Programme!G4144,Programme!H4144,Programme!I4144,Programme!J4144)</f>
        <v>&lt;codeEdi&gt;12598&lt;/codeEdi&gt;</v>
      </c>
    </row>
    <row r="4144" spans="1:1" x14ac:dyDescent="0.2">
      <c r="A4144" s="996" t="str">
        <f>CONCATENATE(Programme!D4145,Programme!E4145,Programme!F4145,Programme!G4145,Programme!H4145,Programme!I4145,Programme!J4145)</f>
        <v>&lt;/cellule&gt;</v>
      </c>
    </row>
    <row r="4145" spans="1:1" x14ac:dyDescent="0.2">
      <c r="A4145" s="996" t="str">
        <f>CONCATENATE(Programme!D4146,Programme!E4146,Programme!F4146,Programme!G4146,Programme!H4146,Programme!I4146,Programme!J4146)</f>
        <v>&lt;valeur&gt;&lt;/valeur&gt;</v>
      </c>
    </row>
    <row r="4146" spans="1:1" x14ac:dyDescent="0.2">
      <c r="A4146" s="996" t="str">
        <f>CONCATENATE(Programme!D4147,Programme!E4147,Programme!F4147,Programme!G4147,Programme!H4147,Programme!I4147,Programme!J4147)</f>
        <v>&lt;/ValeurCellule&gt;</v>
      </c>
    </row>
    <row r="4147" spans="1:1" x14ac:dyDescent="0.2">
      <c r="A4147" s="996" t="str">
        <f>CONCATENATE(Programme!D4148,Programme!E4148,Programme!F4148,Programme!G4148,Programme!H4148,Programme!I4148,Programme!J4148)</f>
        <v>&lt;ValeurCellule&gt;</v>
      </c>
    </row>
    <row r="4148" spans="1:1" x14ac:dyDescent="0.2">
      <c r="A4148" s="996" t="str">
        <f>CONCATENATE(Programme!D4149,Programme!E4149,Programme!F4149,Programme!G4149,Programme!H4149,Programme!I4149,Programme!J4149)</f>
        <v>&lt;cellule&gt;</v>
      </c>
    </row>
    <row r="4149" spans="1:1" x14ac:dyDescent="0.2">
      <c r="A4149" s="996" t="str">
        <f>CONCATENATE(Programme!D4150,Programme!E4150,Programme!F4150,Programme!G4150,Programme!H4150,Programme!I4150,Programme!J4150)</f>
        <v>&lt;codeEdi&gt;1001&lt;/codeEdi&gt;</v>
      </c>
    </row>
    <row r="4150" spans="1:1" x14ac:dyDescent="0.2">
      <c r="A4150" s="996" t="str">
        <f>CONCATENATE(Programme!D4151,Programme!E4151,Programme!F4151,Programme!G4151,Programme!H4151,Programme!I4151,Programme!J4151)</f>
        <v>&lt;/cellule&gt;</v>
      </c>
    </row>
    <row r="4151" spans="1:1" x14ac:dyDescent="0.2">
      <c r="A4151" s="996" t="str">
        <f>CONCATENATE(Programme!D4152,Programme!E4152,Programme!F4152,Programme!G4152,Programme!H4152,Programme!I4152,Programme!J4152)</f>
        <v>&lt;valeur&gt;0&lt;/valeur&gt;</v>
      </c>
    </row>
    <row r="4152" spans="1:1" x14ac:dyDescent="0.2">
      <c r="A4152" s="996" t="str">
        <f>CONCATENATE(Programme!D4153,Programme!E4153,Programme!F4153,Programme!G4153,Programme!H4153,Programme!I4153,Programme!J4153)</f>
        <v>&lt;/ValeurCellule&gt;</v>
      </c>
    </row>
    <row r="4153" spans="1:1" x14ac:dyDescent="0.2">
      <c r="A4153" s="996" t="str">
        <f>CONCATENATE(Programme!D4154,Programme!E4154,Programme!F4154,Programme!G4154,Programme!H4154,Programme!I4154,Programme!J4154)</f>
        <v>&lt;ValeurCellule&gt;</v>
      </c>
    </row>
    <row r="4154" spans="1:1" x14ac:dyDescent="0.2">
      <c r="A4154" s="996" t="str">
        <f>CONCATENATE(Programme!D4155,Programme!E4155,Programme!F4155,Programme!G4155,Programme!H4155,Programme!I4155,Programme!J4155)</f>
        <v>&lt;cellule&gt;</v>
      </c>
    </row>
    <row r="4155" spans="1:1" x14ac:dyDescent="0.2">
      <c r="A4155" s="996" t="str">
        <f>CONCATENATE(Programme!D4156,Programme!E4156,Programme!F4156,Programme!G4156,Programme!H4156,Programme!I4156,Programme!J4156)</f>
        <v>&lt;codeEdi&gt;1002&lt;/codeEdi&gt;</v>
      </c>
    </row>
    <row r="4156" spans="1:1" x14ac:dyDescent="0.2">
      <c r="A4156" s="996" t="str">
        <f>CONCATENATE(Programme!D4157,Programme!E4157,Programme!F4157,Programme!G4157,Programme!H4157,Programme!I4157,Programme!J4157)</f>
        <v>&lt;/cellule&gt;</v>
      </c>
    </row>
    <row r="4157" spans="1:1" x14ac:dyDescent="0.2">
      <c r="A4157" s="996" t="str">
        <f>CONCATENATE(Programme!D4158,Programme!E4158,Programme!F4158,Programme!G4158,Programme!H4158,Programme!I4158,Programme!J4158)</f>
        <v>&lt;valeur&gt;0&lt;/valeur&gt;</v>
      </c>
    </row>
    <row r="4158" spans="1:1" x14ac:dyDescent="0.2">
      <c r="A4158" s="996" t="str">
        <f>CONCATENATE(Programme!D4159,Programme!E4159,Programme!F4159,Programme!G4159,Programme!H4159,Programme!I4159,Programme!J4159)</f>
        <v>&lt;/ValeurCellule&gt;</v>
      </c>
    </row>
    <row r="4159" spans="1:1" x14ac:dyDescent="0.2">
      <c r="A4159" s="996" t="str">
        <f>CONCATENATE(Programme!D4160,Programme!E4160,Programme!F4160,Programme!G4160,Programme!H4160,Programme!I4160,Programme!J4160)</f>
        <v>&lt;ValeurCellule&gt;</v>
      </c>
    </row>
    <row r="4160" spans="1:1" x14ac:dyDescent="0.2">
      <c r="A4160" s="996" t="str">
        <f>CONCATENATE(Programme!D4161,Programme!E4161,Programme!F4161,Programme!G4161,Programme!H4161,Programme!I4161,Programme!J4161)</f>
        <v>&lt;cellule&gt;</v>
      </c>
    </row>
    <row r="4161" spans="1:1" x14ac:dyDescent="0.2">
      <c r="A4161" s="996" t="str">
        <f>CONCATENATE(Programme!D4162,Programme!E4162,Programme!F4162,Programme!G4162,Programme!H4162,Programme!I4162,Programme!J4162)</f>
        <v>&lt;codeEdi&gt;1003&lt;/codeEdi&gt;</v>
      </c>
    </row>
    <row r="4162" spans="1:1" x14ac:dyDescent="0.2">
      <c r="A4162" s="996" t="str">
        <f>CONCATENATE(Programme!D4163,Programme!E4163,Programme!F4163,Programme!G4163,Programme!H4163,Programme!I4163,Programme!J4163)</f>
        <v>&lt;/cellule&gt;</v>
      </c>
    </row>
    <row r="4163" spans="1:1" x14ac:dyDescent="0.2">
      <c r="A4163" s="996" t="str">
        <f>CONCATENATE(Programme!D4164,Programme!E4164,Programme!F4164,Programme!G4164,Programme!H4164,Programme!I4164,Programme!J4164)</f>
        <v>&lt;valeur&gt;0&lt;/valeur&gt;</v>
      </c>
    </row>
    <row r="4164" spans="1:1" x14ac:dyDescent="0.2">
      <c r="A4164" s="996" t="str">
        <f>CONCATENATE(Programme!D4165,Programme!E4165,Programme!F4165,Programme!G4165,Programme!H4165,Programme!I4165,Programme!J4165)</f>
        <v>&lt;/ValeurCellule&gt;</v>
      </c>
    </row>
    <row r="4165" spans="1:1" x14ac:dyDescent="0.2">
      <c r="A4165" s="996" t="str">
        <f>CONCATENATE(Programme!D4166,Programme!E4166,Programme!F4166,Programme!G4166,Programme!H4166,Programme!I4166,Programme!J4166)</f>
        <v>&lt;ValeurCellule&gt;</v>
      </c>
    </row>
    <row r="4166" spans="1:1" x14ac:dyDescent="0.2">
      <c r="A4166" s="996" t="str">
        <f>CONCATENATE(Programme!D4167,Programme!E4167,Programme!F4167,Programme!G4167,Programme!H4167,Programme!I4167,Programme!J4167)</f>
        <v>&lt;cellule&gt;</v>
      </c>
    </row>
    <row r="4167" spans="1:1" x14ac:dyDescent="0.2">
      <c r="A4167" s="996" t="str">
        <f>CONCATENATE(Programme!D4168,Programme!E4168,Programme!F4168,Programme!G4168,Programme!H4168,Programme!I4168,Programme!J4168)</f>
        <v>&lt;codeEdi&gt;1004&lt;/codeEdi&gt;</v>
      </c>
    </row>
    <row r="4168" spans="1:1" x14ac:dyDescent="0.2">
      <c r="A4168" s="996" t="str">
        <f>CONCATENATE(Programme!D4169,Programme!E4169,Programme!F4169,Programme!G4169,Programme!H4169,Programme!I4169,Programme!J4169)</f>
        <v>&lt;/cellule&gt;</v>
      </c>
    </row>
    <row r="4169" spans="1:1" x14ac:dyDescent="0.2">
      <c r="A4169" s="996" t="str">
        <f>CONCATENATE(Programme!D4170,Programme!E4170,Programme!F4170,Programme!G4170,Programme!H4170,Programme!I4170,Programme!J4170)</f>
        <v>&lt;valeur&gt;0&lt;/valeur&gt;</v>
      </c>
    </row>
    <row r="4170" spans="1:1" x14ac:dyDescent="0.2">
      <c r="A4170" s="996" t="str">
        <f>CONCATENATE(Programme!D4171,Programme!E4171,Programme!F4171,Programme!G4171,Programme!H4171,Programme!I4171,Programme!J4171)</f>
        <v>&lt;/ValeurCellule&gt;</v>
      </c>
    </row>
    <row r="4171" spans="1:1" x14ac:dyDescent="0.2">
      <c r="A4171" s="996" t="str">
        <f>CONCATENATE(Programme!D4172,Programme!E4172,Programme!F4172,Programme!G4172,Programme!H4172,Programme!I4172,Programme!J4172)</f>
        <v>&lt;ValeurCellule&gt;</v>
      </c>
    </row>
    <row r="4172" spans="1:1" x14ac:dyDescent="0.2">
      <c r="A4172" s="996" t="str">
        <f>CONCATENATE(Programme!D4173,Programme!E4173,Programme!F4173,Programme!G4173,Programme!H4173,Programme!I4173,Programme!J4173)</f>
        <v>&lt;cellule&gt;</v>
      </c>
    </row>
    <row r="4173" spans="1:1" x14ac:dyDescent="0.2">
      <c r="A4173" s="996" t="str">
        <f>CONCATENATE(Programme!D4174,Programme!E4174,Programme!F4174,Programme!G4174,Programme!H4174,Programme!I4174,Programme!J4174)</f>
        <v>&lt;codeEdi&gt;1005&lt;/codeEdi&gt;</v>
      </c>
    </row>
    <row r="4174" spans="1:1" x14ac:dyDescent="0.2">
      <c r="A4174" s="996" t="str">
        <f>CONCATENATE(Programme!D4175,Programme!E4175,Programme!F4175,Programme!G4175,Programme!H4175,Programme!I4175,Programme!J4175)</f>
        <v>&lt;/cellule&gt;</v>
      </c>
    </row>
    <row r="4175" spans="1:1" x14ac:dyDescent="0.2">
      <c r="A4175" s="996" t="str">
        <f>CONCATENATE(Programme!D4176,Programme!E4176,Programme!F4176,Programme!G4176,Programme!H4176,Programme!I4176,Programme!J4176)</f>
        <v>&lt;valeur&gt;0&lt;/valeur&gt;</v>
      </c>
    </row>
    <row r="4176" spans="1:1" x14ac:dyDescent="0.2">
      <c r="A4176" s="996" t="str">
        <f>CONCATENATE(Programme!D4177,Programme!E4177,Programme!F4177,Programme!G4177,Programme!H4177,Programme!I4177,Programme!J4177)</f>
        <v>&lt;/ValeurCellule&gt;</v>
      </c>
    </row>
    <row r="4177" spans="1:1" x14ac:dyDescent="0.2">
      <c r="A4177" s="996" t="str">
        <f>CONCATENATE(Programme!D4178,Programme!E4178,Programme!F4178,Programme!G4178,Programme!H4178,Programme!I4178,Programme!J4178)</f>
        <v>&lt;ValeurCellule&gt;</v>
      </c>
    </row>
    <row r="4178" spans="1:1" x14ac:dyDescent="0.2">
      <c r="A4178" s="996" t="str">
        <f>CONCATENATE(Programme!D4179,Programme!E4179,Programme!F4179,Programme!G4179,Programme!H4179,Programme!I4179,Programme!J4179)</f>
        <v>&lt;cellule&gt;</v>
      </c>
    </row>
    <row r="4179" spans="1:1" x14ac:dyDescent="0.2">
      <c r="A4179" s="996" t="str">
        <f>CONCATENATE(Programme!D4180,Programme!E4180,Programme!F4180,Programme!G4180,Programme!H4180,Programme!I4180,Programme!J4180)</f>
        <v>&lt;codeEdi&gt;1006&lt;/codeEdi&gt;</v>
      </c>
    </row>
    <row r="4180" spans="1:1" x14ac:dyDescent="0.2">
      <c r="A4180" s="996" t="str">
        <f>CONCATENATE(Programme!D4181,Programme!E4181,Programme!F4181,Programme!G4181,Programme!H4181,Programme!I4181,Programme!J4181)</f>
        <v>&lt;/cellule&gt;</v>
      </c>
    </row>
    <row r="4181" spans="1:1" x14ac:dyDescent="0.2">
      <c r="A4181" s="996" t="str">
        <f>CONCATENATE(Programme!D4182,Programme!E4182,Programme!F4182,Programme!G4182,Programme!H4182,Programme!I4182,Programme!J4182)</f>
        <v>&lt;valeur&gt;0&lt;/valeur&gt;</v>
      </c>
    </row>
    <row r="4182" spans="1:1" x14ac:dyDescent="0.2">
      <c r="A4182" s="996" t="str">
        <f>CONCATENATE(Programme!D4183,Programme!E4183,Programme!F4183,Programme!G4183,Programme!H4183,Programme!I4183,Programme!J4183)</f>
        <v>&lt;/ValeurCellule&gt;</v>
      </c>
    </row>
    <row r="4183" spans="1:1" x14ac:dyDescent="0.2">
      <c r="A4183" s="996" t="str">
        <f>CONCATENATE(Programme!D4184,Programme!E4184,Programme!F4184,Programme!G4184,Programme!H4184,Programme!I4184,Programme!J4184)</f>
        <v>&lt;ValeurCellule&gt;</v>
      </c>
    </row>
    <row r="4184" spans="1:1" x14ac:dyDescent="0.2">
      <c r="A4184" s="996" t="str">
        <f>CONCATENATE(Programme!D4185,Programme!E4185,Programme!F4185,Programme!G4185,Programme!H4185,Programme!I4185,Programme!J4185)</f>
        <v>&lt;cellule&gt;</v>
      </c>
    </row>
    <row r="4185" spans="1:1" x14ac:dyDescent="0.2">
      <c r="A4185" s="996" t="str">
        <f>CONCATENATE(Programme!D4186,Programme!E4186,Programme!F4186,Programme!G4186,Programme!H4186,Programme!I4186,Programme!J4186)</f>
        <v>&lt;codeEdi&gt;1007&lt;/codeEdi&gt;</v>
      </c>
    </row>
    <row r="4186" spans="1:1" x14ac:dyDescent="0.2">
      <c r="A4186" s="996" t="str">
        <f>CONCATENATE(Programme!D4187,Programme!E4187,Programme!F4187,Programme!G4187,Programme!H4187,Programme!I4187,Programme!J4187)</f>
        <v>&lt;/cellule&gt;</v>
      </c>
    </row>
    <row r="4187" spans="1:1" x14ac:dyDescent="0.2">
      <c r="A4187" s="996" t="str">
        <f>CONCATENATE(Programme!D4188,Programme!E4188,Programme!F4188,Programme!G4188,Programme!H4188,Programme!I4188,Programme!J4188)</f>
        <v>&lt;valeur&gt;0&lt;/valeur&gt;</v>
      </c>
    </row>
    <row r="4188" spans="1:1" x14ac:dyDescent="0.2">
      <c r="A4188" s="996" t="str">
        <f>CONCATENATE(Programme!D4189,Programme!E4189,Programme!F4189,Programme!G4189,Programme!H4189,Programme!I4189,Programme!J4189)</f>
        <v>&lt;/ValeurCellule&gt;</v>
      </c>
    </row>
    <row r="4189" spans="1:1" x14ac:dyDescent="0.2">
      <c r="A4189" s="996" t="str">
        <f>CONCATENATE(Programme!D4190,Programme!E4190,Programme!F4190,Programme!G4190,Programme!H4190,Programme!I4190,Programme!J4190)</f>
        <v>&lt;ValeurCellule&gt;</v>
      </c>
    </row>
    <row r="4190" spans="1:1" x14ac:dyDescent="0.2">
      <c r="A4190" s="996" t="str">
        <f>CONCATENATE(Programme!D4191,Programme!E4191,Programme!F4191,Programme!G4191,Programme!H4191,Programme!I4191,Programme!J4191)</f>
        <v>&lt;cellule&gt;</v>
      </c>
    </row>
    <row r="4191" spans="1:1" x14ac:dyDescent="0.2">
      <c r="A4191" s="996" t="str">
        <f>CONCATENATE(Programme!D4192,Programme!E4192,Programme!F4192,Programme!G4192,Programme!H4192,Programme!I4192,Programme!J4192)</f>
        <v>&lt;codeEdi&gt;10084&lt;/codeEdi&gt;</v>
      </c>
    </row>
    <row r="4192" spans="1:1" x14ac:dyDescent="0.2">
      <c r="A4192" s="996" t="str">
        <f>CONCATENATE(Programme!D4193,Programme!E4193,Programme!F4193,Programme!G4193,Programme!H4193,Programme!I4193,Programme!J4193)</f>
        <v>&lt;/cellule&gt;</v>
      </c>
    </row>
    <row r="4193" spans="1:1" x14ac:dyDescent="0.2">
      <c r="A4193" s="996" t="str">
        <f>CONCATENATE(Programme!D4194,Programme!E4194,Programme!F4194,Programme!G4194,Programme!H4194,Programme!I4194,Programme!J4194)</f>
        <v>&lt;valeur&gt;0&lt;/valeur&gt;</v>
      </c>
    </row>
    <row r="4194" spans="1:1" x14ac:dyDescent="0.2">
      <c r="A4194" s="996" t="str">
        <f>CONCATENATE(Programme!D4195,Programme!E4195,Programme!F4195,Programme!G4195,Programme!H4195,Programme!I4195,Programme!J4195)</f>
        <v>&lt;/ValeurCellule&gt;</v>
      </c>
    </row>
    <row r="4195" spans="1:1" x14ac:dyDescent="0.2">
      <c r="A4195" s="996" t="str">
        <f>CONCATENATE(Programme!D4196,Programme!E4196,Programme!F4196,Programme!G4196,Programme!H4196,Programme!I4196,Programme!J4196)</f>
        <v>&lt;ValeurCellule&gt;</v>
      </c>
    </row>
    <row r="4196" spans="1:1" x14ac:dyDescent="0.2">
      <c r="A4196" s="996" t="str">
        <f>CONCATENATE(Programme!D4197,Programme!E4197,Programme!F4197,Programme!G4197,Programme!H4197,Programme!I4197,Programme!J4197)</f>
        <v>&lt;cellule&gt;</v>
      </c>
    </row>
    <row r="4197" spans="1:1" x14ac:dyDescent="0.2">
      <c r="A4197" s="996" t="str">
        <f>CONCATENATE(Programme!D4198,Programme!E4198,Programme!F4198,Programme!G4198,Programme!H4198,Programme!I4198,Programme!J4198)</f>
        <v>&lt;codeEdi&gt;12599&lt;/codeEdi&gt;</v>
      </c>
    </row>
    <row r="4198" spans="1:1" x14ac:dyDescent="0.2">
      <c r="A4198" s="996" t="str">
        <f>CONCATENATE(Programme!D4199,Programme!E4199,Programme!F4199,Programme!G4199,Programme!H4199,Programme!I4199,Programme!J4199)</f>
        <v>&lt;/cellule&gt;</v>
      </c>
    </row>
    <row r="4199" spans="1:1" x14ac:dyDescent="0.2">
      <c r="A4199" s="996" t="str">
        <f>CONCATENATE(Programme!D4200,Programme!E4200,Programme!F4200,Programme!G4200,Programme!H4200,Programme!I4200,Programme!J4200)</f>
        <v>&lt;valeur&gt;0&lt;/valeur&gt;</v>
      </c>
    </row>
    <row r="4200" spans="1:1" x14ac:dyDescent="0.2">
      <c r="A4200" s="996" t="str">
        <f>CONCATENATE(Programme!D4201,Programme!E4201,Programme!F4201,Programme!G4201,Programme!H4201,Programme!I4201,Programme!J4201)</f>
        <v>&lt;/ValeurCellule&gt;</v>
      </c>
    </row>
    <row r="4201" spans="1:1" x14ac:dyDescent="0.2">
      <c r="A4201" s="996" t="str">
        <f>CONCATENATE(Programme!D4202,Programme!E4202,Programme!F4202,Programme!G4202,Programme!H4202,Programme!I4202,Programme!J4202)</f>
        <v>&lt;ValeurCellule&gt;</v>
      </c>
    </row>
    <row r="4202" spans="1:1" x14ac:dyDescent="0.2">
      <c r="A4202" s="996" t="str">
        <f>CONCATENATE(Programme!D4203,Programme!E4203,Programme!F4203,Programme!G4203,Programme!H4203,Programme!I4203,Programme!J4203)</f>
        <v>&lt;cellule&gt;</v>
      </c>
    </row>
    <row r="4203" spans="1:1" x14ac:dyDescent="0.2">
      <c r="A4203" s="996" t="str">
        <f>CONCATENATE(Programme!D4204,Programme!E4204,Programme!F4204,Programme!G4204,Programme!H4204,Programme!I4204,Programme!J4204)</f>
        <v>&lt;codeEdi&gt;1015&lt;/codeEdi&gt;</v>
      </c>
    </row>
    <row r="4204" spans="1:1" x14ac:dyDescent="0.2">
      <c r="A4204" s="996" t="str">
        <f>CONCATENATE(Programme!D4205,Programme!E4205,Programme!F4205,Programme!G4205,Programme!H4205,Programme!I4205,Programme!J4205)</f>
        <v>&lt;/cellule&gt;</v>
      </c>
    </row>
    <row r="4205" spans="1:1" x14ac:dyDescent="0.2">
      <c r="A4205" s="996" t="str">
        <f>CONCATENATE(Programme!D4206,Programme!E4206,Programme!F4206,Programme!G4206,Programme!H4206,Programme!I4206,Programme!J4206)</f>
        <v>&lt;valeur&gt;0&lt;/valeur&gt;</v>
      </c>
    </row>
    <row r="4206" spans="1:1" x14ac:dyDescent="0.2">
      <c r="A4206" s="996" t="str">
        <f>CONCATENATE(Programme!D4207,Programme!E4207,Programme!F4207,Programme!G4207,Programme!H4207,Programme!I4207,Programme!J4207)</f>
        <v>&lt;/ValeurCellule&gt;</v>
      </c>
    </row>
    <row r="4207" spans="1:1" x14ac:dyDescent="0.2">
      <c r="A4207" s="996" t="str">
        <f>CONCATENATE(Programme!D4208,Programme!E4208,Programme!F4208,Programme!G4208,Programme!H4208,Programme!I4208,Programme!J4208)</f>
        <v>&lt;ValeurCellule&gt;</v>
      </c>
    </row>
    <row r="4208" spans="1:1" x14ac:dyDescent="0.2">
      <c r="A4208" s="996" t="str">
        <f>CONCATENATE(Programme!D4209,Programme!E4209,Programme!F4209,Programme!G4209,Programme!H4209,Programme!I4209,Programme!J4209)</f>
        <v>&lt;cellule&gt;</v>
      </c>
    </row>
    <row r="4209" spans="1:1" x14ac:dyDescent="0.2">
      <c r="A4209" s="996" t="str">
        <f>CONCATENATE(Programme!D4210,Programme!E4210,Programme!F4210,Programme!G4210,Programme!H4210,Programme!I4210,Programme!J4210)</f>
        <v>&lt;codeEdi&gt;1016&lt;/codeEdi&gt;</v>
      </c>
    </row>
    <row r="4210" spans="1:1" x14ac:dyDescent="0.2">
      <c r="A4210" s="996" t="str">
        <f>CONCATENATE(Programme!D4211,Programme!E4211,Programme!F4211,Programme!G4211,Programme!H4211,Programme!I4211,Programme!J4211)</f>
        <v>&lt;/cellule&gt;</v>
      </c>
    </row>
    <row r="4211" spans="1:1" x14ac:dyDescent="0.2">
      <c r="A4211" s="996" t="str">
        <f>CONCATENATE(Programme!D4212,Programme!E4212,Programme!F4212,Programme!G4212,Programme!H4212,Programme!I4212,Programme!J4212)</f>
        <v>&lt;valeur&gt;0&lt;/valeur&gt;</v>
      </c>
    </row>
    <row r="4212" spans="1:1" x14ac:dyDescent="0.2">
      <c r="A4212" s="996" t="str">
        <f>CONCATENATE(Programme!D4213,Programme!E4213,Programme!F4213,Programme!G4213,Programme!H4213,Programme!I4213,Programme!J4213)</f>
        <v>&lt;/ValeurCellule&gt;</v>
      </c>
    </row>
    <row r="4213" spans="1:1" x14ac:dyDescent="0.2">
      <c r="A4213" s="996" t="str">
        <f>CONCATENATE(Programme!D4214,Programme!E4214,Programme!F4214,Programme!G4214,Programme!H4214,Programme!I4214,Programme!J4214)</f>
        <v>&lt;ValeurCellule&gt;</v>
      </c>
    </row>
    <row r="4214" spans="1:1" x14ac:dyDescent="0.2">
      <c r="A4214" s="996" t="str">
        <f>CONCATENATE(Programme!D4215,Programme!E4215,Programme!F4215,Programme!G4215,Programme!H4215,Programme!I4215,Programme!J4215)</f>
        <v>&lt;cellule&gt;</v>
      </c>
    </row>
    <row r="4215" spans="1:1" x14ac:dyDescent="0.2">
      <c r="A4215" s="996" t="str">
        <f>CONCATENATE(Programme!D4216,Programme!E4216,Programme!F4216,Programme!G4216,Programme!H4216,Programme!I4216,Programme!J4216)</f>
        <v>&lt;codeEdi&gt;1017&lt;/codeEdi&gt;</v>
      </c>
    </row>
    <row r="4216" spans="1:1" x14ac:dyDescent="0.2">
      <c r="A4216" s="996" t="str">
        <f>CONCATENATE(Programme!D4217,Programme!E4217,Programme!F4217,Programme!G4217,Programme!H4217,Programme!I4217,Programme!J4217)</f>
        <v>&lt;/cellule&gt;</v>
      </c>
    </row>
    <row r="4217" spans="1:1" x14ac:dyDescent="0.2">
      <c r="A4217" s="996" t="str">
        <f>CONCATENATE(Programme!D4218,Programme!E4218,Programme!F4218,Programme!G4218,Programme!H4218,Programme!I4218,Programme!J4218)</f>
        <v>&lt;valeur&gt;0&lt;/valeur&gt;</v>
      </c>
    </row>
    <row r="4218" spans="1:1" x14ac:dyDescent="0.2">
      <c r="A4218" s="996" t="str">
        <f>CONCATENATE(Programme!D4219,Programme!E4219,Programme!F4219,Programme!G4219,Programme!H4219,Programme!I4219,Programme!J4219)</f>
        <v>&lt;/ValeurCellule&gt;</v>
      </c>
    </row>
    <row r="4219" spans="1:1" x14ac:dyDescent="0.2">
      <c r="A4219" s="996" t="str">
        <f>CONCATENATE(Programme!D4220,Programme!E4220,Programme!F4220,Programme!G4220,Programme!H4220,Programme!I4220,Programme!J4220)</f>
        <v>&lt;ValeurCellule&gt;</v>
      </c>
    </row>
    <row r="4220" spans="1:1" x14ac:dyDescent="0.2">
      <c r="A4220" s="996" t="str">
        <f>CONCATENATE(Programme!D4221,Programme!E4221,Programme!F4221,Programme!G4221,Programme!H4221,Programme!I4221,Programme!J4221)</f>
        <v>&lt;cellule&gt;</v>
      </c>
    </row>
    <row r="4221" spans="1:1" x14ac:dyDescent="0.2">
      <c r="A4221" s="996" t="str">
        <f>CONCATENATE(Programme!D4222,Programme!E4222,Programme!F4222,Programme!G4222,Programme!H4222,Programme!I4222,Programme!J4222)</f>
        <v>&lt;codeEdi&gt;1018&lt;/codeEdi&gt;</v>
      </c>
    </row>
    <row r="4222" spans="1:1" x14ac:dyDescent="0.2">
      <c r="A4222" s="996" t="str">
        <f>CONCATENATE(Programme!D4223,Programme!E4223,Programme!F4223,Programme!G4223,Programme!H4223,Programme!I4223,Programme!J4223)</f>
        <v>&lt;/cellule&gt;</v>
      </c>
    </row>
    <row r="4223" spans="1:1" x14ac:dyDescent="0.2">
      <c r="A4223" s="996" t="str">
        <f>CONCATENATE(Programme!D4224,Programme!E4224,Programme!F4224,Programme!G4224,Programme!H4224,Programme!I4224,Programme!J4224)</f>
        <v>&lt;valeur&gt;0&lt;/valeur&gt;</v>
      </c>
    </row>
    <row r="4224" spans="1:1" x14ac:dyDescent="0.2">
      <c r="A4224" s="996" t="str">
        <f>CONCATENATE(Programme!D4225,Programme!E4225,Programme!F4225,Programme!G4225,Programme!H4225,Programme!I4225,Programme!J4225)</f>
        <v>&lt;/ValeurCellule&gt;</v>
      </c>
    </row>
    <row r="4225" spans="1:1" x14ac:dyDescent="0.2">
      <c r="A4225" s="996" t="str">
        <f>CONCATENATE(Programme!D4226,Programme!E4226,Programme!F4226,Programme!G4226,Programme!H4226,Programme!I4226,Programme!J4226)</f>
        <v>&lt;ValeurCellule&gt;</v>
      </c>
    </row>
    <row r="4226" spans="1:1" x14ac:dyDescent="0.2">
      <c r="A4226" s="996" t="str">
        <f>CONCATENATE(Programme!D4227,Programme!E4227,Programme!F4227,Programme!G4227,Programme!H4227,Programme!I4227,Programme!J4227)</f>
        <v>&lt;cellule&gt;</v>
      </c>
    </row>
    <row r="4227" spans="1:1" x14ac:dyDescent="0.2">
      <c r="A4227" s="996" t="str">
        <f>CONCATENATE(Programme!D4228,Programme!E4228,Programme!F4228,Programme!G4228,Programme!H4228,Programme!I4228,Programme!J4228)</f>
        <v>&lt;codeEdi&gt;1019&lt;/codeEdi&gt;</v>
      </c>
    </row>
    <row r="4228" spans="1:1" x14ac:dyDescent="0.2">
      <c r="A4228" s="996" t="str">
        <f>CONCATENATE(Programme!D4229,Programme!E4229,Programme!F4229,Programme!G4229,Programme!H4229,Programme!I4229,Programme!J4229)</f>
        <v>&lt;/cellule&gt;</v>
      </c>
    </row>
    <row r="4229" spans="1:1" x14ac:dyDescent="0.2">
      <c r="A4229" s="996" t="str">
        <f>CONCATENATE(Programme!D4230,Programme!E4230,Programme!F4230,Programme!G4230,Programme!H4230,Programme!I4230,Programme!J4230)</f>
        <v>&lt;valeur&gt;0&lt;/valeur&gt;</v>
      </c>
    </row>
    <row r="4230" spans="1:1" x14ac:dyDescent="0.2">
      <c r="A4230" s="996" t="str">
        <f>CONCATENATE(Programme!D4231,Programme!E4231,Programme!F4231,Programme!G4231,Programme!H4231,Programme!I4231,Programme!J4231)</f>
        <v>&lt;/ValeurCellule&gt;</v>
      </c>
    </row>
    <row r="4231" spans="1:1" x14ac:dyDescent="0.2">
      <c r="A4231" s="996" t="str">
        <f>CONCATENATE(Programme!D4232,Programme!E4232,Programme!F4232,Programme!G4232,Programme!H4232,Programme!I4232,Programme!J4232)</f>
        <v>&lt;ValeurCellule&gt;</v>
      </c>
    </row>
    <row r="4232" spans="1:1" x14ac:dyDescent="0.2">
      <c r="A4232" s="996" t="str">
        <f>CONCATENATE(Programme!D4233,Programme!E4233,Programme!F4233,Programme!G4233,Programme!H4233,Programme!I4233,Programme!J4233)</f>
        <v>&lt;cellule&gt;</v>
      </c>
    </row>
    <row r="4233" spans="1:1" x14ac:dyDescent="0.2">
      <c r="A4233" s="996" t="str">
        <f>CONCATENATE(Programme!D4234,Programme!E4234,Programme!F4234,Programme!G4234,Programme!H4234,Programme!I4234,Programme!J4234)</f>
        <v>&lt;codeEdi&gt;1020&lt;/codeEdi&gt;</v>
      </c>
    </row>
    <row r="4234" spans="1:1" x14ac:dyDescent="0.2">
      <c r="A4234" s="996" t="str">
        <f>CONCATENATE(Programme!D4235,Programme!E4235,Programme!F4235,Programme!G4235,Programme!H4235,Programme!I4235,Programme!J4235)</f>
        <v>&lt;/cellule&gt;</v>
      </c>
    </row>
    <row r="4235" spans="1:1" x14ac:dyDescent="0.2">
      <c r="A4235" s="996" t="str">
        <f>CONCATENATE(Programme!D4236,Programme!E4236,Programme!F4236,Programme!G4236,Programme!H4236,Programme!I4236,Programme!J4236)</f>
        <v>&lt;valeur&gt;0&lt;/valeur&gt;</v>
      </c>
    </row>
    <row r="4236" spans="1:1" x14ac:dyDescent="0.2">
      <c r="A4236" s="996" t="str">
        <f>CONCATENATE(Programme!D4237,Programme!E4237,Programme!F4237,Programme!G4237,Programme!H4237,Programme!I4237,Programme!J4237)</f>
        <v>&lt;/ValeurCellule&gt;</v>
      </c>
    </row>
    <row r="4237" spans="1:1" x14ac:dyDescent="0.2">
      <c r="A4237" s="996" t="str">
        <f>CONCATENATE(Programme!D4238,Programme!E4238,Programme!F4238,Programme!G4238,Programme!H4238,Programme!I4238,Programme!J4238)</f>
        <v>&lt;ValeurCellule&gt;</v>
      </c>
    </row>
    <row r="4238" spans="1:1" x14ac:dyDescent="0.2">
      <c r="A4238" s="996" t="str">
        <f>CONCATENATE(Programme!D4239,Programme!E4239,Programme!F4239,Programme!G4239,Programme!H4239,Programme!I4239,Programme!J4239)</f>
        <v>&lt;cellule&gt;</v>
      </c>
    </row>
    <row r="4239" spans="1:1" x14ac:dyDescent="0.2">
      <c r="A4239" s="996" t="str">
        <f>CONCATENATE(Programme!D4240,Programme!E4240,Programme!F4240,Programme!G4240,Programme!H4240,Programme!I4240,Programme!J4240)</f>
        <v>&lt;codeEdi&gt;1021&lt;/codeEdi&gt;</v>
      </c>
    </row>
    <row r="4240" spans="1:1" x14ac:dyDescent="0.2">
      <c r="A4240" s="996" t="str">
        <f>CONCATENATE(Programme!D4241,Programme!E4241,Programme!F4241,Programme!G4241,Programme!H4241,Programme!I4241,Programme!J4241)</f>
        <v>&lt;/cellule&gt;</v>
      </c>
    </row>
    <row r="4241" spans="1:1" x14ac:dyDescent="0.2">
      <c r="A4241" s="996" t="str">
        <f>CONCATENATE(Programme!D4242,Programme!E4242,Programme!F4242,Programme!G4242,Programme!H4242,Programme!I4242,Programme!J4242)</f>
        <v>&lt;valeur&gt;0&lt;/valeur&gt;</v>
      </c>
    </row>
    <row r="4242" spans="1:1" x14ac:dyDescent="0.2">
      <c r="A4242" s="996" t="str">
        <f>CONCATENATE(Programme!D4243,Programme!E4243,Programme!F4243,Programme!G4243,Programme!H4243,Programme!I4243,Programme!J4243)</f>
        <v>&lt;/ValeurCellule&gt;</v>
      </c>
    </row>
    <row r="4243" spans="1:1" x14ac:dyDescent="0.2">
      <c r="A4243" s="996" t="str">
        <f>CONCATENATE(Programme!D4244,Programme!E4244,Programme!F4244,Programme!G4244,Programme!H4244,Programme!I4244,Programme!J4244)</f>
        <v>&lt;ValeurCellule&gt;</v>
      </c>
    </row>
    <row r="4244" spans="1:1" x14ac:dyDescent="0.2">
      <c r="A4244" s="996" t="str">
        <f>CONCATENATE(Programme!D4245,Programme!E4245,Programme!F4245,Programme!G4245,Programme!H4245,Programme!I4245,Programme!J4245)</f>
        <v>&lt;cellule&gt;</v>
      </c>
    </row>
    <row r="4245" spans="1:1" x14ac:dyDescent="0.2">
      <c r="A4245" s="996" t="str">
        <f>CONCATENATE(Programme!D4246,Programme!E4246,Programme!F4246,Programme!G4246,Programme!H4246,Programme!I4246,Programme!J4246)</f>
        <v>&lt;codeEdi&gt;10085&lt;/codeEdi&gt;</v>
      </c>
    </row>
    <row r="4246" spans="1:1" x14ac:dyDescent="0.2">
      <c r="A4246" s="996" t="str">
        <f>CONCATENATE(Programme!D4247,Programme!E4247,Programme!F4247,Programme!G4247,Programme!H4247,Programme!I4247,Programme!J4247)</f>
        <v>&lt;/cellule&gt;</v>
      </c>
    </row>
    <row r="4247" spans="1:1" x14ac:dyDescent="0.2">
      <c r="A4247" s="996" t="str">
        <f>CONCATENATE(Programme!D4248,Programme!E4248,Programme!F4248,Programme!G4248,Programme!H4248,Programme!I4248,Programme!J4248)</f>
        <v>&lt;valeur&gt;0&lt;/valeur&gt;</v>
      </c>
    </row>
    <row r="4248" spans="1:1" x14ac:dyDescent="0.2">
      <c r="A4248" s="996" t="str">
        <f>CONCATENATE(Programme!D4249,Programme!E4249,Programme!F4249,Programme!G4249,Programme!H4249,Programme!I4249,Programme!J4249)</f>
        <v>&lt;/ValeurCellule&gt;</v>
      </c>
    </row>
    <row r="4249" spans="1:1" x14ac:dyDescent="0.2">
      <c r="A4249" s="996" t="str">
        <f>CONCATENATE(Programme!D4250,Programme!E4250,Programme!F4250,Programme!G4250,Programme!H4250,Programme!I4250,Programme!J4250)</f>
        <v>&lt;ValeurCellule&gt;</v>
      </c>
    </row>
    <row r="4250" spans="1:1" x14ac:dyDescent="0.2">
      <c r="A4250" s="996" t="str">
        <f>CONCATENATE(Programme!D4251,Programme!E4251,Programme!F4251,Programme!G4251,Programme!H4251,Programme!I4251,Programme!J4251)</f>
        <v>&lt;cellule&gt;</v>
      </c>
    </row>
    <row r="4251" spans="1:1" x14ac:dyDescent="0.2">
      <c r="A4251" s="996" t="str">
        <f>CONCATENATE(Programme!D4252,Programme!E4252,Programme!F4252,Programme!G4252,Programme!H4252,Programme!I4252,Programme!J4252)</f>
        <v>&lt;codeEdi&gt;12600&lt;/codeEdi&gt;</v>
      </c>
    </row>
    <row r="4252" spans="1:1" x14ac:dyDescent="0.2">
      <c r="A4252" s="996" t="str">
        <f>CONCATENATE(Programme!D4253,Programme!E4253,Programme!F4253,Programme!G4253,Programme!H4253,Programme!I4253,Programme!J4253)</f>
        <v>&lt;/cellule&gt;</v>
      </c>
    </row>
    <row r="4253" spans="1:1" x14ac:dyDescent="0.2">
      <c r="A4253" s="996" t="str">
        <f>CONCATENATE(Programme!D4254,Programme!E4254,Programme!F4254,Programme!G4254,Programme!H4254,Programme!I4254,Programme!J4254)</f>
        <v>&lt;valeur&gt;0&lt;/valeur&gt;</v>
      </c>
    </row>
    <row r="4254" spans="1:1" x14ac:dyDescent="0.2">
      <c r="A4254" s="996" t="str">
        <f>CONCATENATE(Programme!D4255,Programme!E4255,Programme!F4255,Programme!G4255,Programme!H4255,Programme!I4255,Programme!J4255)</f>
        <v>&lt;/ValeurCellule&gt;</v>
      </c>
    </row>
    <row r="4255" spans="1:1" x14ac:dyDescent="0.2">
      <c r="A4255" s="996" t="str">
        <f>CONCATENATE(Programme!D4256,Programme!E4256,Programme!F4256,Programme!G4256,Programme!H4256,Programme!I4256,Programme!J4256)</f>
        <v>&lt;ValeurCellule&gt;</v>
      </c>
    </row>
    <row r="4256" spans="1:1" x14ac:dyDescent="0.2">
      <c r="A4256" s="996" t="str">
        <f>CONCATENATE(Programme!D4257,Programme!E4257,Programme!F4257,Programme!G4257,Programme!H4257,Programme!I4257,Programme!J4257)</f>
        <v>&lt;cellule&gt;</v>
      </c>
    </row>
    <row r="4257" spans="1:1" x14ac:dyDescent="0.2">
      <c r="A4257" s="996" t="str">
        <f>CONCATENATE(Programme!D4258,Programme!E4258,Programme!F4258,Programme!G4258,Programme!H4258,Programme!I4258,Programme!J4258)</f>
        <v>&lt;codeEdi&gt;1029&lt;/codeEdi&gt;</v>
      </c>
    </row>
    <row r="4258" spans="1:1" x14ac:dyDescent="0.2">
      <c r="A4258" s="996" t="str">
        <f>CONCATENATE(Programme!D4259,Programme!E4259,Programme!F4259,Programme!G4259,Programme!H4259,Programme!I4259,Programme!J4259)</f>
        <v>&lt;/cellule&gt;</v>
      </c>
    </row>
    <row r="4259" spans="1:1" x14ac:dyDescent="0.2">
      <c r="A4259" s="996" t="str">
        <f>CONCATENATE(Programme!D4260,Programme!E4260,Programme!F4260,Programme!G4260,Programme!H4260,Programme!I4260,Programme!J4260)</f>
        <v>&lt;valeur&gt;0&lt;/valeur&gt;</v>
      </c>
    </row>
    <row r="4260" spans="1:1" x14ac:dyDescent="0.2">
      <c r="A4260" s="996" t="str">
        <f>CONCATENATE(Programme!D4261,Programme!E4261,Programme!F4261,Programme!G4261,Programme!H4261,Programme!I4261,Programme!J4261)</f>
        <v>&lt;/ValeurCellule&gt;</v>
      </c>
    </row>
    <row r="4261" spans="1:1" x14ac:dyDescent="0.2">
      <c r="A4261" s="996" t="str">
        <f>CONCATENATE(Programme!D4262,Programme!E4262,Programme!F4262,Programme!G4262,Programme!H4262,Programme!I4262,Programme!J4262)</f>
        <v>&lt;ValeurCellule&gt;</v>
      </c>
    </row>
    <row r="4262" spans="1:1" x14ac:dyDescent="0.2">
      <c r="A4262" s="996" t="str">
        <f>CONCATENATE(Programme!D4263,Programme!E4263,Programme!F4263,Programme!G4263,Programme!H4263,Programme!I4263,Programme!J4263)</f>
        <v>&lt;cellule&gt;</v>
      </c>
    </row>
    <row r="4263" spans="1:1" x14ac:dyDescent="0.2">
      <c r="A4263" s="996" t="str">
        <f>CONCATENATE(Programme!D4264,Programme!E4264,Programme!F4264,Programme!G4264,Programme!H4264,Programme!I4264,Programme!J4264)</f>
        <v>&lt;codeEdi&gt;1030&lt;/codeEdi&gt;</v>
      </c>
    </row>
    <row r="4264" spans="1:1" x14ac:dyDescent="0.2">
      <c r="A4264" s="996" t="str">
        <f>CONCATENATE(Programme!D4265,Programme!E4265,Programme!F4265,Programme!G4265,Programme!H4265,Programme!I4265,Programme!J4265)</f>
        <v>&lt;/cellule&gt;</v>
      </c>
    </row>
    <row r="4265" spans="1:1" x14ac:dyDescent="0.2">
      <c r="A4265" s="996" t="str">
        <f>CONCATENATE(Programme!D4266,Programme!E4266,Programme!F4266,Programme!G4266,Programme!H4266,Programme!I4266,Programme!J4266)</f>
        <v>&lt;valeur&gt;0&lt;/valeur&gt;</v>
      </c>
    </row>
    <row r="4266" spans="1:1" x14ac:dyDescent="0.2">
      <c r="A4266" s="996" t="str">
        <f>CONCATENATE(Programme!D4267,Programme!E4267,Programme!F4267,Programme!G4267,Programme!H4267,Programme!I4267,Programme!J4267)</f>
        <v>&lt;/ValeurCellule&gt;</v>
      </c>
    </row>
    <row r="4267" spans="1:1" x14ac:dyDescent="0.2">
      <c r="A4267" s="996" t="str">
        <f>CONCATENATE(Programme!D4268,Programme!E4268,Programme!F4268,Programme!G4268,Programme!H4268,Programme!I4268,Programme!J4268)</f>
        <v>&lt;ValeurCellule&gt;</v>
      </c>
    </row>
    <row r="4268" spans="1:1" x14ac:dyDescent="0.2">
      <c r="A4268" s="996" t="str">
        <f>CONCATENATE(Programme!D4269,Programme!E4269,Programme!F4269,Programme!G4269,Programme!H4269,Programme!I4269,Programme!J4269)</f>
        <v>&lt;cellule&gt;</v>
      </c>
    </row>
    <row r="4269" spans="1:1" x14ac:dyDescent="0.2">
      <c r="A4269" s="996" t="str">
        <f>CONCATENATE(Programme!D4270,Programme!E4270,Programme!F4270,Programme!G4270,Programme!H4270,Programme!I4270,Programme!J4270)</f>
        <v>&lt;codeEdi&gt;1031&lt;/codeEdi&gt;</v>
      </c>
    </row>
    <row r="4270" spans="1:1" x14ac:dyDescent="0.2">
      <c r="A4270" s="996" t="str">
        <f>CONCATENATE(Programme!D4271,Programme!E4271,Programme!F4271,Programme!G4271,Programme!H4271,Programme!I4271,Programme!J4271)</f>
        <v>&lt;/cellule&gt;</v>
      </c>
    </row>
    <row r="4271" spans="1:1" x14ac:dyDescent="0.2">
      <c r="A4271" s="996" t="str">
        <f>CONCATENATE(Programme!D4272,Programme!E4272,Programme!F4272,Programme!G4272,Programme!H4272,Programme!I4272,Programme!J4272)</f>
        <v>&lt;valeur&gt;0&lt;/valeur&gt;</v>
      </c>
    </row>
    <row r="4272" spans="1:1" x14ac:dyDescent="0.2">
      <c r="A4272" s="996" t="str">
        <f>CONCATENATE(Programme!D4273,Programme!E4273,Programme!F4273,Programme!G4273,Programme!H4273,Programme!I4273,Programme!J4273)</f>
        <v>&lt;/ValeurCellule&gt;</v>
      </c>
    </row>
    <row r="4273" spans="1:1" x14ac:dyDescent="0.2">
      <c r="A4273" s="996" t="str">
        <f>CONCATENATE(Programme!D4274,Programme!E4274,Programme!F4274,Programme!G4274,Programme!H4274,Programme!I4274,Programme!J4274)</f>
        <v>&lt;ValeurCellule&gt;</v>
      </c>
    </row>
    <row r="4274" spans="1:1" x14ac:dyDescent="0.2">
      <c r="A4274" s="996" t="str">
        <f>CONCATENATE(Programme!D4275,Programme!E4275,Programme!F4275,Programme!G4275,Programme!H4275,Programme!I4275,Programme!J4275)</f>
        <v>&lt;cellule&gt;</v>
      </c>
    </row>
    <row r="4275" spans="1:1" x14ac:dyDescent="0.2">
      <c r="A4275" s="996" t="str">
        <f>CONCATENATE(Programme!D4276,Programme!E4276,Programme!F4276,Programme!G4276,Programme!H4276,Programme!I4276,Programme!J4276)</f>
        <v>&lt;codeEdi&gt;1032&lt;/codeEdi&gt;</v>
      </c>
    </row>
    <row r="4276" spans="1:1" x14ac:dyDescent="0.2">
      <c r="A4276" s="996" t="str">
        <f>CONCATENATE(Programme!D4277,Programme!E4277,Programme!F4277,Programme!G4277,Programme!H4277,Programme!I4277,Programme!J4277)</f>
        <v>&lt;/cellule&gt;</v>
      </c>
    </row>
    <row r="4277" spans="1:1" x14ac:dyDescent="0.2">
      <c r="A4277" s="996" t="str">
        <f>CONCATENATE(Programme!D4278,Programme!E4278,Programme!F4278,Programme!G4278,Programme!H4278,Programme!I4278,Programme!J4278)</f>
        <v>&lt;valeur&gt;0&lt;/valeur&gt;</v>
      </c>
    </row>
    <row r="4278" spans="1:1" x14ac:dyDescent="0.2">
      <c r="A4278" s="996" t="str">
        <f>CONCATENATE(Programme!D4279,Programme!E4279,Programme!F4279,Programme!G4279,Programme!H4279,Programme!I4279,Programme!J4279)</f>
        <v>&lt;/ValeurCellule&gt;</v>
      </c>
    </row>
    <row r="4279" spans="1:1" x14ac:dyDescent="0.2">
      <c r="A4279" s="996" t="str">
        <f>CONCATENATE(Programme!D4280,Programme!E4280,Programme!F4280,Programme!G4280,Programme!H4280,Programme!I4280,Programme!J4280)</f>
        <v>&lt;ValeurCellule&gt;</v>
      </c>
    </row>
    <row r="4280" spans="1:1" x14ac:dyDescent="0.2">
      <c r="A4280" s="996" t="str">
        <f>CONCATENATE(Programme!D4281,Programme!E4281,Programme!F4281,Programme!G4281,Programme!H4281,Programme!I4281,Programme!J4281)</f>
        <v>&lt;cellule&gt;</v>
      </c>
    </row>
    <row r="4281" spans="1:1" x14ac:dyDescent="0.2">
      <c r="A4281" s="996" t="str">
        <f>CONCATENATE(Programme!D4282,Programme!E4282,Programme!F4282,Programme!G4282,Programme!H4282,Programme!I4282,Programme!J4282)</f>
        <v>&lt;codeEdi&gt;1033&lt;/codeEdi&gt;</v>
      </c>
    </row>
    <row r="4282" spans="1:1" x14ac:dyDescent="0.2">
      <c r="A4282" s="996" t="str">
        <f>CONCATENATE(Programme!D4283,Programme!E4283,Programme!F4283,Programme!G4283,Programme!H4283,Programme!I4283,Programme!J4283)</f>
        <v>&lt;/cellule&gt;</v>
      </c>
    </row>
    <row r="4283" spans="1:1" x14ac:dyDescent="0.2">
      <c r="A4283" s="996" t="str">
        <f>CONCATENATE(Programme!D4284,Programme!E4284,Programme!F4284,Programme!G4284,Programme!H4284,Programme!I4284,Programme!J4284)</f>
        <v>&lt;valeur&gt;0&lt;/valeur&gt;</v>
      </c>
    </row>
    <row r="4284" spans="1:1" x14ac:dyDescent="0.2">
      <c r="A4284" s="996" t="str">
        <f>CONCATENATE(Programme!D4285,Programme!E4285,Programme!F4285,Programme!G4285,Programme!H4285,Programme!I4285,Programme!J4285)</f>
        <v>&lt;/ValeurCellule&gt;</v>
      </c>
    </row>
    <row r="4285" spans="1:1" x14ac:dyDescent="0.2">
      <c r="A4285" s="996" t="str">
        <f>CONCATENATE(Programme!D4286,Programme!E4286,Programme!F4286,Programme!G4286,Programme!H4286,Programme!I4286,Programme!J4286)</f>
        <v>&lt;ValeurCellule&gt;</v>
      </c>
    </row>
    <row r="4286" spans="1:1" x14ac:dyDescent="0.2">
      <c r="A4286" s="996" t="str">
        <f>CONCATENATE(Programme!D4287,Programme!E4287,Programme!F4287,Programme!G4287,Programme!H4287,Programme!I4287,Programme!J4287)</f>
        <v>&lt;cellule&gt;</v>
      </c>
    </row>
    <row r="4287" spans="1:1" x14ac:dyDescent="0.2">
      <c r="A4287" s="996" t="str">
        <f>CONCATENATE(Programme!D4288,Programme!E4288,Programme!F4288,Programme!G4288,Programme!H4288,Programme!I4288,Programme!J4288)</f>
        <v>&lt;codeEdi&gt;1034&lt;/codeEdi&gt;</v>
      </c>
    </row>
    <row r="4288" spans="1:1" x14ac:dyDescent="0.2">
      <c r="A4288" s="996" t="str">
        <f>CONCATENATE(Programme!D4289,Programme!E4289,Programme!F4289,Programme!G4289,Programme!H4289,Programme!I4289,Programme!J4289)</f>
        <v>&lt;/cellule&gt;</v>
      </c>
    </row>
    <row r="4289" spans="1:1" x14ac:dyDescent="0.2">
      <c r="A4289" s="996" t="str">
        <f>CONCATENATE(Programme!D4290,Programme!E4290,Programme!F4290,Programme!G4290,Programme!H4290,Programme!I4290,Programme!J4290)</f>
        <v>&lt;valeur&gt;0&lt;/valeur&gt;</v>
      </c>
    </row>
    <row r="4290" spans="1:1" x14ac:dyDescent="0.2">
      <c r="A4290" s="996" t="str">
        <f>CONCATENATE(Programme!D4291,Programme!E4291,Programme!F4291,Programme!G4291,Programme!H4291,Programme!I4291,Programme!J4291)</f>
        <v>&lt;/ValeurCellule&gt;</v>
      </c>
    </row>
    <row r="4291" spans="1:1" x14ac:dyDescent="0.2">
      <c r="A4291" s="996" t="str">
        <f>CONCATENATE(Programme!D4292,Programme!E4292,Programme!F4292,Programme!G4292,Programme!H4292,Programme!I4292,Programme!J4292)</f>
        <v>&lt;ValeurCellule&gt;</v>
      </c>
    </row>
    <row r="4292" spans="1:1" x14ac:dyDescent="0.2">
      <c r="A4292" s="996" t="str">
        <f>CONCATENATE(Programme!D4293,Programme!E4293,Programme!F4293,Programme!G4293,Programme!H4293,Programme!I4293,Programme!J4293)</f>
        <v>&lt;cellule&gt;</v>
      </c>
    </row>
    <row r="4293" spans="1:1" x14ac:dyDescent="0.2">
      <c r="A4293" s="996" t="str">
        <f>CONCATENATE(Programme!D4294,Programme!E4294,Programme!F4294,Programme!G4294,Programme!H4294,Programme!I4294,Programme!J4294)</f>
        <v>&lt;codeEdi&gt;1035&lt;/codeEdi&gt;</v>
      </c>
    </row>
    <row r="4294" spans="1:1" x14ac:dyDescent="0.2">
      <c r="A4294" s="996" t="str">
        <f>CONCATENATE(Programme!D4295,Programme!E4295,Programme!F4295,Programme!G4295,Programme!H4295,Programme!I4295,Programme!J4295)</f>
        <v>&lt;/cellule&gt;</v>
      </c>
    </row>
    <row r="4295" spans="1:1" x14ac:dyDescent="0.2">
      <c r="A4295" s="996" t="str">
        <f>CONCATENATE(Programme!D4296,Programme!E4296,Programme!F4296,Programme!G4296,Programme!H4296,Programme!I4296,Programme!J4296)</f>
        <v>&lt;valeur&gt;0&lt;/valeur&gt;</v>
      </c>
    </row>
    <row r="4296" spans="1:1" x14ac:dyDescent="0.2">
      <c r="A4296" s="996" t="str">
        <f>CONCATENATE(Programme!D4297,Programme!E4297,Programme!F4297,Programme!G4297,Programme!H4297,Programme!I4297,Programme!J4297)</f>
        <v>&lt;/ValeurCellule&gt;</v>
      </c>
    </row>
    <row r="4297" spans="1:1" x14ac:dyDescent="0.2">
      <c r="A4297" s="996" t="str">
        <f>CONCATENATE(Programme!D4298,Programme!E4298,Programme!F4298,Programme!G4298,Programme!H4298,Programme!I4298,Programme!J4298)</f>
        <v>&lt;ValeurCellule&gt;</v>
      </c>
    </row>
    <row r="4298" spans="1:1" x14ac:dyDescent="0.2">
      <c r="A4298" s="996" t="str">
        <f>CONCATENATE(Programme!D4299,Programme!E4299,Programme!F4299,Programme!G4299,Programme!H4299,Programme!I4299,Programme!J4299)</f>
        <v>&lt;cellule&gt;</v>
      </c>
    </row>
    <row r="4299" spans="1:1" x14ac:dyDescent="0.2">
      <c r="A4299" s="996" t="str">
        <f>CONCATENATE(Programme!D4300,Programme!E4300,Programme!F4300,Programme!G4300,Programme!H4300,Programme!I4300,Programme!J4300)</f>
        <v>&lt;codeEdi&gt;10086&lt;/codeEdi&gt;</v>
      </c>
    </row>
    <row r="4300" spans="1:1" x14ac:dyDescent="0.2">
      <c r="A4300" s="996" t="str">
        <f>CONCATENATE(Programme!D4301,Programme!E4301,Programme!F4301,Programme!G4301,Programme!H4301,Programme!I4301,Programme!J4301)</f>
        <v>&lt;/cellule&gt;</v>
      </c>
    </row>
    <row r="4301" spans="1:1" x14ac:dyDescent="0.2">
      <c r="A4301" s="996" t="str">
        <f>CONCATENATE(Programme!D4302,Programme!E4302,Programme!F4302,Programme!G4302,Programme!H4302,Programme!I4302,Programme!J4302)</f>
        <v>&lt;valeur&gt;0&lt;/valeur&gt;</v>
      </c>
    </row>
    <row r="4302" spans="1:1" x14ac:dyDescent="0.2">
      <c r="A4302" s="996" t="str">
        <f>CONCATENATE(Programme!D4303,Programme!E4303,Programme!F4303,Programme!G4303,Programme!H4303,Programme!I4303,Programme!J4303)</f>
        <v>&lt;/ValeurCellule&gt;</v>
      </c>
    </row>
    <row r="4303" spans="1:1" x14ac:dyDescent="0.2">
      <c r="A4303" s="996" t="str">
        <f>CONCATENATE(Programme!D4304,Programme!E4304,Programme!F4304,Programme!G4304,Programme!H4304,Programme!I4304,Programme!J4304)</f>
        <v>&lt;ValeurCellule&gt;</v>
      </c>
    </row>
    <row r="4304" spans="1:1" x14ac:dyDescent="0.2">
      <c r="A4304" s="996" t="str">
        <f>CONCATENATE(Programme!D4305,Programme!E4305,Programme!F4305,Programme!G4305,Programme!H4305,Programme!I4305,Programme!J4305)</f>
        <v>&lt;cellule&gt;</v>
      </c>
    </row>
    <row r="4305" spans="1:1" x14ac:dyDescent="0.2">
      <c r="A4305" s="996" t="str">
        <f>CONCATENATE(Programme!D4306,Programme!E4306,Programme!F4306,Programme!G4306,Programme!H4306,Programme!I4306,Programme!J4306)</f>
        <v>&lt;codeEdi&gt;12601&lt;/codeEdi&gt;</v>
      </c>
    </row>
    <row r="4306" spans="1:1" x14ac:dyDescent="0.2">
      <c r="A4306" s="996" t="str">
        <f>CONCATENATE(Programme!D4307,Programme!E4307,Programme!F4307,Programme!G4307,Programme!H4307,Programme!I4307,Programme!J4307)</f>
        <v>&lt;/cellule&gt;</v>
      </c>
    </row>
    <row r="4307" spans="1:1" x14ac:dyDescent="0.2">
      <c r="A4307" s="996" t="str">
        <f>CONCATENATE(Programme!D4308,Programme!E4308,Programme!F4308,Programme!G4308,Programme!H4308,Programme!I4308,Programme!J4308)</f>
        <v>&lt;valeur&gt;0&lt;/valeur&gt;</v>
      </c>
    </row>
    <row r="4308" spans="1:1" x14ac:dyDescent="0.2">
      <c r="A4308" s="996" t="str">
        <f>CONCATENATE(Programme!D4309,Programme!E4309,Programme!F4309,Programme!G4309,Programme!H4309,Programme!I4309,Programme!J4309)</f>
        <v>&lt;/ValeurCellule&gt;</v>
      </c>
    </row>
    <row r="4309" spans="1:1" x14ac:dyDescent="0.2">
      <c r="A4309" s="996" t="str">
        <f>CONCATENATE(Programme!D4310,Programme!E4310,Programme!F4310,Programme!G4310,Programme!H4310,Programme!I4310,Programme!J4310)</f>
        <v>&lt;ValeurCellule&gt;</v>
      </c>
    </row>
    <row r="4310" spans="1:1" x14ac:dyDescent="0.2">
      <c r="A4310" s="996" t="str">
        <f>CONCATENATE(Programme!D4311,Programme!E4311,Programme!F4311,Programme!G4311,Programme!H4311,Programme!I4311,Programme!J4311)</f>
        <v>&lt;cellule&gt;</v>
      </c>
    </row>
    <row r="4311" spans="1:1" x14ac:dyDescent="0.2">
      <c r="A4311" s="996" t="str">
        <f>CONCATENATE(Programme!D4312,Programme!E4312,Programme!F4312,Programme!G4312,Programme!H4312,Programme!I4312,Programme!J4312)</f>
        <v>&lt;codeEdi&gt;1043&lt;/codeEdi&gt;</v>
      </c>
    </row>
    <row r="4312" spans="1:1" x14ac:dyDescent="0.2">
      <c r="A4312" s="996" t="str">
        <f>CONCATENATE(Programme!D4313,Programme!E4313,Programme!F4313,Programme!G4313,Programme!H4313,Programme!I4313,Programme!J4313)</f>
        <v>&lt;/cellule&gt;</v>
      </c>
    </row>
    <row r="4313" spans="1:1" x14ac:dyDescent="0.2">
      <c r="A4313" s="996" t="str">
        <f>CONCATENATE(Programme!D4314,Programme!E4314,Programme!F4314,Programme!G4314,Programme!H4314,Programme!I4314,Programme!J4314)</f>
        <v>&lt;valeur&gt;0&lt;/valeur&gt;</v>
      </c>
    </row>
    <row r="4314" spans="1:1" x14ac:dyDescent="0.2">
      <c r="A4314" s="996" t="str">
        <f>CONCATENATE(Programme!D4315,Programme!E4315,Programme!F4315,Programme!G4315,Programme!H4315,Programme!I4315,Programme!J4315)</f>
        <v>&lt;/ValeurCellule&gt;</v>
      </c>
    </row>
    <row r="4315" spans="1:1" x14ac:dyDescent="0.2">
      <c r="A4315" s="996" t="str">
        <f>CONCATENATE(Programme!D4316,Programme!E4316,Programme!F4316,Programme!G4316,Programme!H4316,Programme!I4316,Programme!J4316)</f>
        <v>&lt;ValeurCellule&gt;</v>
      </c>
    </row>
    <row r="4316" spans="1:1" x14ac:dyDescent="0.2">
      <c r="A4316" s="996" t="str">
        <f>CONCATENATE(Programme!D4317,Programme!E4317,Programme!F4317,Programme!G4317,Programme!H4317,Programme!I4317,Programme!J4317)</f>
        <v>&lt;cellule&gt;</v>
      </c>
    </row>
    <row r="4317" spans="1:1" x14ac:dyDescent="0.2">
      <c r="A4317" s="996" t="str">
        <f>CONCATENATE(Programme!D4318,Programme!E4318,Programme!F4318,Programme!G4318,Programme!H4318,Programme!I4318,Programme!J4318)</f>
        <v>&lt;codeEdi&gt;1044&lt;/codeEdi&gt;</v>
      </c>
    </row>
    <row r="4318" spans="1:1" x14ac:dyDescent="0.2">
      <c r="A4318" s="996" t="str">
        <f>CONCATENATE(Programme!D4319,Programme!E4319,Programme!F4319,Programme!G4319,Programme!H4319,Programme!I4319,Programme!J4319)</f>
        <v>&lt;/cellule&gt;</v>
      </c>
    </row>
    <row r="4319" spans="1:1" x14ac:dyDescent="0.2">
      <c r="A4319" s="996" t="str">
        <f>CONCATENATE(Programme!D4320,Programme!E4320,Programme!F4320,Programme!G4320,Programme!H4320,Programme!I4320,Programme!J4320)</f>
        <v>&lt;valeur&gt;0&lt;/valeur&gt;</v>
      </c>
    </row>
    <row r="4320" spans="1:1" x14ac:dyDescent="0.2">
      <c r="A4320" s="996" t="str">
        <f>CONCATENATE(Programme!D4321,Programme!E4321,Programme!F4321,Programme!G4321,Programme!H4321,Programme!I4321,Programme!J4321)</f>
        <v>&lt;/ValeurCellule&gt;</v>
      </c>
    </row>
    <row r="4321" spans="1:1" x14ac:dyDescent="0.2">
      <c r="A4321" s="996" t="str">
        <f>CONCATENATE(Programme!D4322,Programme!E4322,Programme!F4322,Programme!G4322,Programme!H4322,Programme!I4322,Programme!J4322)</f>
        <v>&lt;ValeurCellule&gt;</v>
      </c>
    </row>
    <row r="4322" spans="1:1" x14ac:dyDescent="0.2">
      <c r="A4322" s="996" t="str">
        <f>CONCATENATE(Programme!D4323,Programme!E4323,Programme!F4323,Programme!G4323,Programme!H4323,Programme!I4323,Programme!J4323)</f>
        <v>&lt;cellule&gt;</v>
      </c>
    </row>
    <row r="4323" spans="1:1" x14ac:dyDescent="0.2">
      <c r="A4323" s="996" t="str">
        <f>CONCATENATE(Programme!D4324,Programme!E4324,Programme!F4324,Programme!G4324,Programme!H4324,Programme!I4324,Programme!J4324)</f>
        <v>&lt;codeEdi&gt;1045&lt;/codeEdi&gt;</v>
      </c>
    </row>
    <row r="4324" spans="1:1" x14ac:dyDescent="0.2">
      <c r="A4324" s="996" t="str">
        <f>CONCATENATE(Programme!D4325,Programme!E4325,Programme!F4325,Programme!G4325,Programme!H4325,Programme!I4325,Programme!J4325)</f>
        <v>&lt;/cellule&gt;</v>
      </c>
    </row>
    <row r="4325" spans="1:1" x14ac:dyDescent="0.2">
      <c r="A4325" s="996" t="str">
        <f>CONCATENATE(Programme!D4326,Programme!E4326,Programme!F4326,Programme!G4326,Programme!H4326,Programme!I4326,Programme!J4326)</f>
        <v>&lt;valeur&gt;0&lt;/valeur&gt;</v>
      </c>
    </row>
    <row r="4326" spans="1:1" x14ac:dyDescent="0.2">
      <c r="A4326" s="996" t="str">
        <f>CONCATENATE(Programme!D4327,Programme!E4327,Programme!F4327,Programme!G4327,Programme!H4327,Programme!I4327,Programme!J4327)</f>
        <v>&lt;/ValeurCellule&gt;</v>
      </c>
    </row>
    <row r="4327" spans="1:1" x14ac:dyDescent="0.2">
      <c r="A4327" s="996" t="str">
        <f>CONCATENATE(Programme!D4328,Programme!E4328,Programme!F4328,Programme!G4328,Programme!H4328,Programme!I4328,Programme!J4328)</f>
        <v>&lt;ValeurCellule&gt;</v>
      </c>
    </row>
    <row r="4328" spans="1:1" x14ac:dyDescent="0.2">
      <c r="A4328" s="996" t="str">
        <f>CONCATENATE(Programme!D4329,Programme!E4329,Programme!F4329,Programme!G4329,Programme!H4329,Programme!I4329,Programme!J4329)</f>
        <v>&lt;cellule&gt;</v>
      </c>
    </row>
    <row r="4329" spans="1:1" x14ac:dyDescent="0.2">
      <c r="A4329" s="996" t="str">
        <f>CONCATENATE(Programme!D4330,Programme!E4330,Programme!F4330,Programme!G4330,Programme!H4330,Programme!I4330,Programme!J4330)</f>
        <v>&lt;codeEdi&gt;1046&lt;/codeEdi&gt;</v>
      </c>
    </row>
    <row r="4330" spans="1:1" x14ac:dyDescent="0.2">
      <c r="A4330" s="996" t="str">
        <f>CONCATENATE(Programme!D4331,Programme!E4331,Programme!F4331,Programme!G4331,Programme!H4331,Programme!I4331,Programme!J4331)</f>
        <v>&lt;/cellule&gt;</v>
      </c>
    </row>
    <row r="4331" spans="1:1" x14ac:dyDescent="0.2">
      <c r="A4331" s="996" t="str">
        <f>CONCATENATE(Programme!D4332,Programme!E4332,Programme!F4332,Programme!G4332,Programme!H4332,Programme!I4332,Programme!J4332)</f>
        <v>&lt;valeur&gt;0&lt;/valeur&gt;</v>
      </c>
    </row>
    <row r="4332" spans="1:1" x14ac:dyDescent="0.2">
      <c r="A4332" s="996" t="str">
        <f>CONCATENATE(Programme!D4333,Programme!E4333,Programme!F4333,Programme!G4333,Programme!H4333,Programme!I4333,Programme!J4333)</f>
        <v>&lt;/ValeurCellule&gt;</v>
      </c>
    </row>
    <row r="4333" spans="1:1" x14ac:dyDescent="0.2">
      <c r="A4333" s="996" t="str">
        <f>CONCATENATE(Programme!D4334,Programme!E4334,Programme!F4334,Programme!G4334,Programme!H4334,Programme!I4334,Programme!J4334)</f>
        <v>&lt;ValeurCellule&gt;</v>
      </c>
    </row>
    <row r="4334" spans="1:1" x14ac:dyDescent="0.2">
      <c r="A4334" s="996" t="str">
        <f>CONCATENATE(Programme!D4335,Programme!E4335,Programme!F4335,Programme!G4335,Programme!H4335,Programme!I4335,Programme!J4335)</f>
        <v>&lt;cellule&gt;</v>
      </c>
    </row>
    <row r="4335" spans="1:1" x14ac:dyDescent="0.2">
      <c r="A4335" s="996" t="str">
        <f>CONCATENATE(Programme!D4336,Programme!E4336,Programme!F4336,Programme!G4336,Programme!H4336,Programme!I4336,Programme!J4336)</f>
        <v>&lt;codeEdi&gt;1047&lt;/codeEdi&gt;</v>
      </c>
    </row>
    <row r="4336" spans="1:1" x14ac:dyDescent="0.2">
      <c r="A4336" s="996" t="str">
        <f>CONCATENATE(Programme!D4337,Programme!E4337,Programme!F4337,Programme!G4337,Programme!H4337,Programme!I4337,Programme!J4337)</f>
        <v>&lt;/cellule&gt;</v>
      </c>
    </row>
    <row r="4337" spans="1:1" x14ac:dyDescent="0.2">
      <c r="A4337" s="996" t="str">
        <f>CONCATENATE(Programme!D4338,Programme!E4338,Programme!F4338,Programme!G4338,Programme!H4338,Programme!I4338,Programme!J4338)</f>
        <v>&lt;valeur&gt;0&lt;/valeur&gt;</v>
      </c>
    </row>
    <row r="4338" spans="1:1" x14ac:dyDescent="0.2">
      <c r="A4338" s="996" t="str">
        <f>CONCATENATE(Programme!D4339,Programme!E4339,Programme!F4339,Programme!G4339,Programme!H4339,Programme!I4339,Programme!J4339)</f>
        <v>&lt;/ValeurCellule&gt;</v>
      </c>
    </row>
    <row r="4339" spans="1:1" x14ac:dyDescent="0.2">
      <c r="A4339" s="996" t="str">
        <f>CONCATENATE(Programme!D4340,Programme!E4340,Programme!F4340,Programme!G4340,Programme!H4340,Programme!I4340,Programme!J4340)</f>
        <v>&lt;ValeurCellule&gt;</v>
      </c>
    </row>
    <row r="4340" spans="1:1" x14ac:dyDescent="0.2">
      <c r="A4340" s="996" t="str">
        <f>CONCATENATE(Programme!D4341,Programme!E4341,Programme!F4341,Programme!G4341,Programme!H4341,Programme!I4341,Programme!J4341)</f>
        <v>&lt;cellule&gt;</v>
      </c>
    </row>
    <row r="4341" spans="1:1" x14ac:dyDescent="0.2">
      <c r="A4341" s="996" t="str">
        <f>CONCATENATE(Programme!D4342,Programme!E4342,Programme!F4342,Programme!G4342,Programme!H4342,Programme!I4342,Programme!J4342)</f>
        <v>&lt;codeEdi&gt;1048&lt;/codeEdi&gt;</v>
      </c>
    </row>
    <row r="4342" spans="1:1" x14ac:dyDescent="0.2">
      <c r="A4342" s="996" t="str">
        <f>CONCATENATE(Programme!D4343,Programme!E4343,Programme!F4343,Programme!G4343,Programme!H4343,Programme!I4343,Programme!J4343)</f>
        <v>&lt;/cellule&gt;</v>
      </c>
    </row>
    <row r="4343" spans="1:1" x14ac:dyDescent="0.2">
      <c r="A4343" s="996" t="str">
        <f>CONCATENATE(Programme!D4344,Programme!E4344,Programme!F4344,Programme!G4344,Programme!H4344,Programme!I4344,Programme!J4344)</f>
        <v>&lt;valeur&gt;0&lt;/valeur&gt;</v>
      </c>
    </row>
    <row r="4344" spans="1:1" x14ac:dyDescent="0.2">
      <c r="A4344" s="996" t="str">
        <f>CONCATENATE(Programme!D4345,Programme!E4345,Programme!F4345,Programme!G4345,Programme!H4345,Programme!I4345,Programme!J4345)</f>
        <v>&lt;/ValeurCellule&gt;</v>
      </c>
    </row>
    <row r="4345" spans="1:1" x14ac:dyDescent="0.2">
      <c r="A4345" s="996" t="str">
        <f>CONCATENATE(Programme!D4346,Programme!E4346,Programme!F4346,Programme!G4346,Programme!H4346,Programme!I4346,Programme!J4346)</f>
        <v>&lt;ValeurCellule&gt;</v>
      </c>
    </row>
    <row r="4346" spans="1:1" x14ac:dyDescent="0.2">
      <c r="A4346" s="996" t="str">
        <f>CONCATENATE(Programme!D4347,Programme!E4347,Programme!F4347,Programme!G4347,Programme!H4347,Programme!I4347,Programme!J4347)</f>
        <v>&lt;cellule&gt;</v>
      </c>
    </row>
    <row r="4347" spans="1:1" x14ac:dyDescent="0.2">
      <c r="A4347" s="996" t="str">
        <f>CONCATENATE(Programme!D4348,Programme!E4348,Programme!F4348,Programme!G4348,Programme!H4348,Programme!I4348,Programme!J4348)</f>
        <v>&lt;codeEdi&gt;1049&lt;/codeEdi&gt;</v>
      </c>
    </row>
    <row r="4348" spans="1:1" x14ac:dyDescent="0.2">
      <c r="A4348" s="996" t="str">
        <f>CONCATENATE(Programme!D4349,Programme!E4349,Programme!F4349,Programme!G4349,Programme!H4349,Programme!I4349,Programme!J4349)</f>
        <v>&lt;/cellule&gt;</v>
      </c>
    </row>
    <row r="4349" spans="1:1" x14ac:dyDescent="0.2">
      <c r="A4349" s="996" t="str">
        <f>CONCATENATE(Programme!D4350,Programme!E4350,Programme!F4350,Programme!G4350,Programme!H4350,Programme!I4350,Programme!J4350)</f>
        <v>&lt;valeur&gt;0&lt;/valeur&gt;</v>
      </c>
    </row>
    <row r="4350" spans="1:1" x14ac:dyDescent="0.2">
      <c r="A4350" s="996" t="str">
        <f>CONCATENATE(Programme!D4351,Programme!E4351,Programme!F4351,Programme!G4351,Programme!H4351,Programme!I4351,Programme!J4351)</f>
        <v>&lt;/ValeurCellule&gt;</v>
      </c>
    </row>
    <row r="4351" spans="1:1" x14ac:dyDescent="0.2">
      <c r="A4351" s="996" t="str">
        <f>CONCATENATE(Programme!D4352,Programme!E4352,Programme!F4352,Programme!G4352,Programme!H4352,Programme!I4352,Programme!J4352)</f>
        <v>&lt;ValeurCellule&gt;</v>
      </c>
    </row>
    <row r="4352" spans="1:1" x14ac:dyDescent="0.2">
      <c r="A4352" s="996" t="str">
        <f>CONCATENATE(Programme!D4353,Programme!E4353,Programme!F4353,Programme!G4353,Programme!H4353,Programme!I4353,Programme!J4353)</f>
        <v>&lt;cellule&gt;</v>
      </c>
    </row>
    <row r="4353" spans="1:1" x14ac:dyDescent="0.2">
      <c r="A4353" s="996" t="str">
        <f>CONCATENATE(Programme!D4354,Programme!E4354,Programme!F4354,Programme!G4354,Programme!H4354,Programme!I4354,Programme!J4354)</f>
        <v>&lt;codeEdi&gt;10087&lt;/codeEdi&gt;</v>
      </c>
    </row>
    <row r="4354" spans="1:1" x14ac:dyDescent="0.2">
      <c r="A4354" s="996" t="str">
        <f>CONCATENATE(Programme!D4355,Programme!E4355,Programme!F4355,Programme!G4355,Programme!H4355,Programme!I4355,Programme!J4355)</f>
        <v>&lt;/cellule&gt;</v>
      </c>
    </row>
    <row r="4355" spans="1:1" x14ac:dyDescent="0.2">
      <c r="A4355" s="996" t="str">
        <f>CONCATENATE(Programme!D4356,Programme!E4356,Programme!F4356,Programme!G4356,Programme!H4356,Programme!I4356,Programme!J4356)</f>
        <v>&lt;valeur&gt;0&lt;/valeur&gt;</v>
      </c>
    </row>
    <row r="4356" spans="1:1" x14ac:dyDescent="0.2">
      <c r="A4356" s="996" t="str">
        <f>CONCATENATE(Programme!D4357,Programme!E4357,Programme!F4357,Programme!G4357,Programme!H4357,Programme!I4357,Programme!J4357)</f>
        <v>&lt;/ValeurCellule&gt;</v>
      </c>
    </row>
    <row r="4357" spans="1:1" x14ac:dyDescent="0.2">
      <c r="A4357" s="996" t="str">
        <f>CONCATENATE(Programme!D4358,Programme!E4358,Programme!F4358,Programme!G4358,Programme!H4358,Programme!I4358,Programme!J4358)</f>
        <v>&lt;ValeurCellule&gt;</v>
      </c>
    </row>
    <row r="4358" spans="1:1" x14ac:dyDescent="0.2">
      <c r="A4358" s="996" t="str">
        <f>CONCATENATE(Programme!D4359,Programme!E4359,Programme!F4359,Programme!G4359,Programme!H4359,Programme!I4359,Programme!J4359)</f>
        <v>&lt;cellule&gt;</v>
      </c>
    </row>
    <row r="4359" spans="1:1" x14ac:dyDescent="0.2">
      <c r="A4359" s="996" t="str">
        <f>CONCATENATE(Programme!D4360,Programme!E4360,Programme!F4360,Programme!G4360,Programme!H4360,Programme!I4360,Programme!J4360)</f>
        <v>&lt;codeEdi&gt;12602&lt;/codeEdi&gt;</v>
      </c>
    </row>
    <row r="4360" spans="1:1" x14ac:dyDescent="0.2">
      <c r="A4360" s="996" t="str">
        <f>CONCATENATE(Programme!D4361,Programme!E4361,Programme!F4361,Programme!G4361,Programme!H4361,Programme!I4361,Programme!J4361)</f>
        <v>&lt;/cellule&gt;</v>
      </c>
    </row>
    <row r="4361" spans="1:1" x14ac:dyDescent="0.2">
      <c r="A4361" s="996" t="str">
        <f>CONCATENATE(Programme!D4362,Programme!E4362,Programme!F4362,Programme!G4362,Programme!H4362,Programme!I4362,Programme!J4362)</f>
        <v>&lt;valeur&gt;0&lt;/valeur&gt;</v>
      </c>
    </row>
    <row r="4362" spans="1:1" x14ac:dyDescent="0.2">
      <c r="A4362" s="996" t="str">
        <f>CONCATENATE(Programme!D4363,Programme!E4363,Programme!F4363,Programme!G4363,Programme!H4363,Programme!I4363,Programme!J4363)</f>
        <v>&lt;/ValeurCellule&gt;</v>
      </c>
    </row>
    <row r="4363" spans="1:1" x14ac:dyDescent="0.2">
      <c r="A4363" s="996" t="str">
        <f>CONCATENATE(Programme!D4364,Programme!E4364,Programme!F4364,Programme!G4364,Programme!H4364,Programme!I4364,Programme!J4364)</f>
        <v>&lt;ValeurCellule&gt;</v>
      </c>
    </row>
    <row r="4364" spans="1:1" x14ac:dyDescent="0.2">
      <c r="A4364" s="996" t="str">
        <f>CONCATENATE(Programme!D4365,Programme!E4365,Programme!F4365,Programme!G4365,Programme!H4365,Programme!I4365,Programme!J4365)</f>
        <v>&lt;cellule&gt;</v>
      </c>
    </row>
    <row r="4365" spans="1:1" x14ac:dyDescent="0.2">
      <c r="A4365" s="996" t="str">
        <f>CONCATENATE(Programme!D4366,Programme!E4366,Programme!F4366,Programme!G4366,Programme!H4366,Programme!I4366,Programme!J4366)</f>
        <v>&lt;codeEdi&gt;1057&lt;/codeEdi&gt;</v>
      </c>
    </row>
    <row r="4366" spans="1:1" x14ac:dyDescent="0.2">
      <c r="A4366" s="996" t="str">
        <f>CONCATENATE(Programme!D4367,Programme!E4367,Programme!F4367,Programme!G4367,Programme!H4367,Programme!I4367,Programme!J4367)</f>
        <v>&lt;/cellule&gt;</v>
      </c>
    </row>
    <row r="4367" spans="1:1" x14ac:dyDescent="0.2">
      <c r="A4367" s="996" t="str">
        <f>CONCATENATE(Programme!D4368,Programme!E4368,Programme!F4368,Programme!G4368,Programme!H4368,Programme!I4368,Programme!J4368)</f>
        <v>&lt;valeur&gt;0&lt;/valeur&gt;</v>
      </c>
    </row>
    <row r="4368" spans="1:1" x14ac:dyDescent="0.2">
      <c r="A4368" s="996" t="str">
        <f>CONCATENATE(Programme!D4369,Programme!E4369,Programme!F4369,Programme!G4369,Programme!H4369,Programme!I4369,Programme!J4369)</f>
        <v>&lt;/ValeurCellule&gt;</v>
      </c>
    </row>
    <row r="4369" spans="1:1" x14ac:dyDescent="0.2">
      <c r="A4369" s="996" t="str">
        <f>CONCATENATE(Programme!D4370,Programme!E4370,Programme!F4370,Programme!G4370,Programme!H4370,Programme!I4370,Programme!J4370)</f>
        <v>&lt;ValeurCellule&gt;</v>
      </c>
    </row>
    <row r="4370" spans="1:1" x14ac:dyDescent="0.2">
      <c r="A4370" s="996" t="str">
        <f>CONCATENATE(Programme!D4371,Programme!E4371,Programme!F4371,Programme!G4371,Programme!H4371,Programme!I4371,Programme!J4371)</f>
        <v>&lt;cellule&gt;</v>
      </c>
    </row>
    <row r="4371" spans="1:1" x14ac:dyDescent="0.2">
      <c r="A4371" s="996" t="str">
        <f>CONCATENATE(Programme!D4372,Programme!E4372,Programme!F4372,Programme!G4372,Programme!H4372,Programme!I4372,Programme!J4372)</f>
        <v>&lt;codeEdi&gt;1058&lt;/codeEdi&gt;</v>
      </c>
    </row>
    <row r="4372" spans="1:1" x14ac:dyDescent="0.2">
      <c r="A4372" s="996" t="str">
        <f>CONCATENATE(Programme!D4373,Programme!E4373,Programme!F4373,Programme!G4373,Programme!H4373,Programme!I4373,Programme!J4373)</f>
        <v>&lt;/cellule&gt;</v>
      </c>
    </row>
    <row r="4373" spans="1:1" x14ac:dyDescent="0.2">
      <c r="A4373" s="996" t="str">
        <f>CONCATENATE(Programme!D4374,Programme!E4374,Programme!F4374,Programme!G4374,Programme!H4374,Programme!I4374,Programme!J4374)</f>
        <v>&lt;valeur&gt;0&lt;/valeur&gt;</v>
      </c>
    </row>
    <row r="4374" spans="1:1" x14ac:dyDescent="0.2">
      <c r="A4374" s="996" t="str">
        <f>CONCATENATE(Programme!D4375,Programme!E4375,Programme!F4375,Programme!G4375,Programme!H4375,Programme!I4375,Programme!J4375)</f>
        <v>&lt;/ValeurCellule&gt;</v>
      </c>
    </row>
    <row r="4375" spans="1:1" x14ac:dyDescent="0.2">
      <c r="A4375" s="996" t="str">
        <f>CONCATENATE(Programme!D4376,Programme!E4376,Programme!F4376,Programme!G4376,Programme!H4376,Programme!I4376,Programme!J4376)</f>
        <v>&lt;ValeurCellule&gt;</v>
      </c>
    </row>
    <row r="4376" spans="1:1" x14ac:dyDescent="0.2">
      <c r="A4376" s="996" t="str">
        <f>CONCATENATE(Programme!D4377,Programme!E4377,Programme!F4377,Programme!G4377,Programme!H4377,Programme!I4377,Programme!J4377)</f>
        <v>&lt;cellule&gt;</v>
      </c>
    </row>
    <row r="4377" spans="1:1" x14ac:dyDescent="0.2">
      <c r="A4377" s="996" t="str">
        <f>CONCATENATE(Programme!D4378,Programme!E4378,Programme!F4378,Programme!G4378,Programme!H4378,Programme!I4378,Programme!J4378)</f>
        <v>&lt;codeEdi&gt;1059&lt;/codeEdi&gt;</v>
      </c>
    </row>
    <row r="4378" spans="1:1" x14ac:dyDescent="0.2">
      <c r="A4378" s="996" t="str">
        <f>CONCATENATE(Programme!D4379,Programme!E4379,Programme!F4379,Programme!G4379,Programme!H4379,Programme!I4379,Programme!J4379)</f>
        <v>&lt;/cellule&gt;</v>
      </c>
    </row>
    <row r="4379" spans="1:1" x14ac:dyDescent="0.2">
      <c r="A4379" s="996" t="str">
        <f>CONCATENATE(Programme!D4380,Programme!E4380,Programme!F4380,Programme!G4380,Programme!H4380,Programme!I4380,Programme!J4380)</f>
        <v>&lt;valeur&gt;0&lt;/valeur&gt;</v>
      </c>
    </row>
    <row r="4380" spans="1:1" x14ac:dyDescent="0.2">
      <c r="A4380" s="996" t="str">
        <f>CONCATENATE(Programme!D4381,Programme!E4381,Programme!F4381,Programme!G4381,Programme!H4381,Programme!I4381,Programme!J4381)</f>
        <v>&lt;/ValeurCellule&gt;</v>
      </c>
    </row>
    <row r="4381" spans="1:1" x14ac:dyDescent="0.2">
      <c r="A4381" s="996" t="str">
        <f>CONCATENATE(Programme!D4382,Programme!E4382,Programme!F4382,Programme!G4382,Programme!H4382,Programme!I4382,Programme!J4382)</f>
        <v>&lt;ValeurCellule&gt;</v>
      </c>
    </row>
    <row r="4382" spans="1:1" x14ac:dyDescent="0.2">
      <c r="A4382" s="996" t="str">
        <f>CONCATENATE(Programme!D4383,Programme!E4383,Programme!F4383,Programme!G4383,Programme!H4383,Programme!I4383,Programme!J4383)</f>
        <v>&lt;cellule&gt;</v>
      </c>
    </row>
    <row r="4383" spans="1:1" x14ac:dyDescent="0.2">
      <c r="A4383" s="996" t="str">
        <f>CONCATENATE(Programme!D4384,Programme!E4384,Programme!F4384,Programme!G4384,Programme!H4384,Programme!I4384,Programme!J4384)</f>
        <v>&lt;codeEdi&gt;1060&lt;/codeEdi&gt;</v>
      </c>
    </row>
    <row r="4384" spans="1:1" x14ac:dyDescent="0.2">
      <c r="A4384" s="996" t="str">
        <f>CONCATENATE(Programme!D4385,Programme!E4385,Programme!F4385,Programme!G4385,Programme!H4385,Programme!I4385,Programme!J4385)</f>
        <v>&lt;/cellule&gt;</v>
      </c>
    </row>
    <row r="4385" spans="1:1" x14ac:dyDescent="0.2">
      <c r="A4385" s="996" t="str">
        <f>CONCATENATE(Programme!D4386,Programme!E4386,Programme!F4386,Programme!G4386,Programme!H4386,Programme!I4386,Programme!J4386)</f>
        <v>&lt;valeur&gt;0&lt;/valeur&gt;</v>
      </c>
    </row>
    <row r="4386" spans="1:1" x14ac:dyDescent="0.2">
      <c r="A4386" s="996" t="str">
        <f>CONCATENATE(Programme!D4387,Programme!E4387,Programme!F4387,Programme!G4387,Programme!H4387,Programme!I4387,Programme!J4387)</f>
        <v>&lt;/ValeurCellule&gt;</v>
      </c>
    </row>
    <row r="4387" spans="1:1" x14ac:dyDescent="0.2">
      <c r="A4387" s="996" t="str">
        <f>CONCATENATE(Programme!D4388,Programme!E4388,Programme!F4388,Programme!G4388,Programme!H4388,Programme!I4388,Programme!J4388)</f>
        <v>&lt;ValeurCellule&gt;</v>
      </c>
    </row>
    <row r="4388" spans="1:1" x14ac:dyDescent="0.2">
      <c r="A4388" s="996" t="str">
        <f>CONCATENATE(Programme!D4389,Programme!E4389,Programme!F4389,Programme!G4389,Programme!H4389,Programme!I4389,Programme!J4389)</f>
        <v>&lt;cellule&gt;</v>
      </c>
    </row>
    <row r="4389" spans="1:1" x14ac:dyDescent="0.2">
      <c r="A4389" s="996" t="str">
        <f>CONCATENATE(Programme!D4390,Programme!E4390,Programme!F4390,Programme!G4390,Programme!H4390,Programme!I4390,Programme!J4390)</f>
        <v>&lt;codeEdi&gt;1061&lt;/codeEdi&gt;</v>
      </c>
    </row>
    <row r="4390" spans="1:1" x14ac:dyDescent="0.2">
      <c r="A4390" s="996" t="str">
        <f>CONCATENATE(Programme!D4391,Programme!E4391,Programme!F4391,Programme!G4391,Programme!H4391,Programme!I4391,Programme!J4391)</f>
        <v>&lt;/cellule&gt;</v>
      </c>
    </row>
    <row r="4391" spans="1:1" x14ac:dyDescent="0.2">
      <c r="A4391" s="996" t="str">
        <f>CONCATENATE(Programme!D4392,Programme!E4392,Programme!F4392,Programme!G4392,Programme!H4392,Programme!I4392,Programme!J4392)</f>
        <v>&lt;valeur&gt;0&lt;/valeur&gt;</v>
      </c>
    </row>
    <row r="4392" spans="1:1" x14ac:dyDescent="0.2">
      <c r="A4392" s="996" t="str">
        <f>CONCATENATE(Programme!D4393,Programme!E4393,Programme!F4393,Programme!G4393,Programme!H4393,Programme!I4393,Programme!J4393)</f>
        <v>&lt;/ValeurCellule&gt;</v>
      </c>
    </row>
    <row r="4393" spans="1:1" x14ac:dyDescent="0.2">
      <c r="A4393" s="996" t="str">
        <f>CONCATENATE(Programme!D4394,Programme!E4394,Programme!F4394,Programme!G4394,Programme!H4394,Programme!I4394,Programme!J4394)</f>
        <v>&lt;ValeurCellule&gt;</v>
      </c>
    </row>
    <row r="4394" spans="1:1" x14ac:dyDescent="0.2">
      <c r="A4394" s="996" t="str">
        <f>CONCATENATE(Programme!D4395,Programme!E4395,Programme!F4395,Programme!G4395,Programme!H4395,Programme!I4395,Programme!J4395)</f>
        <v>&lt;cellule&gt;</v>
      </c>
    </row>
    <row r="4395" spans="1:1" x14ac:dyDescent="0.2">
      <c r="A4395" s="996" t="str">
        <f>CONCATENATE(Programme!D4396,Programme!E4396,Programme!F4396,Programme!G4396,Programme!H4396,Programme!I4396,Programme!J4396)</f>
        <v>&lt;codeEdi&gt;1062&lt;/codeEdi&gt;</v>
      </c>
    </row>
    <row r="4396" spans="1:1" x14ac:dyDescent="0.2">
      <c r="A4396" s="996" t="str">
        <f>CONCATENATE(Programme!D4397,Programme!E4397,Programme!F4397,Programme!G4397,Programme!H4397,Programme!I4397,Programme!J4397)</f>
        <v>&lt;/cellule&gt;</v>
      </c>
    </row>
    <row r="4397" spans="1:1" x14ac:dyDescent="0.2">
      <c r="A4397" s="996" t="str">
        <f>CONCATENATE(Programme!D4398,Programme!E4398,Programme!F4398,Programme!G4398,Programme!H4398,Programme!I4398,Programme!J4398)</f>
        <v>&lt;valeur&gt;0&lt;/valeur&gt;</v>
      </c>
    </row>
    <row r="4398" spans="1:1" x14ac:dyDescent="0.2">
      <c r="A4398" s="996" t="str">
        <f>CONCATENATE(Programme!D4399,Programme!E4399,Programme!F4399,Programme!G4399,Programme!H4399,Programme!I4399,Programme!J4399)</f>
        <v>&lt;/ValeurCellule&gt;</v>
      </c>
    </row>
    <row r="4399" spans="1:1" x14ac:dyDescent="0.2">
      <c r="A4399" s="996" t="str">
        <f>CONCATENATE(Programme!D4400,Programme!E4400,Programme!F4400,Programme!G4400,Programme!H4400,Programme!I4400,Programme!J4400)</f>
        <v>&lt;ValeurCellule&gt;</v>
      </c>
    </row>
    <row r="4400" spans="1:1" x14ac:dyDescent="0.2">
      <c r="A4400" s="996" t="str">
        <f>CONCATENATE(Programme!D4401,Programme!E4401,Programme!F4401,Programme!G4401,Programme!H4401,Programme!I4401,Programme!J4401)</f>
        <v>&lt;cellule&gt;</v>
      </c>
    </row>
    <row r="4401" spans="1:1" x14ac:dyDescent="0.2">
      <c r="A4401" s="996" t="str">
        <f>CONCATENATE(Programme!D4402,Programme!E4402,Programme!F4402,Programme!G4402,Programme!H4402,Programme!I4402,Programme!J4402)</f>
        <v>&lt;codeEdi&gt;1063&lt;/codeEdi&gt;</v>
      </c>
    </row>
    <row r="4402" spans="1:1" x14ac:dyDescent="0.2">
      <c r="A4402" s="996" t="str">
        <f>CONCATENATE(Programme!D4403,Programme!E4403,Programme!F4403,Programme!G4403,Programme!H4403,Programme!I4403,Programme!J4403)</f>
        <v>&lt;/cellule&gt;</v>
      </c>
    </row>
    <row r="4403" spans="1:1" x14ac:dyDescent="0.2">
      <c r="A4403" s="996" t="str">
        <f>CONCATENATE(Programme!D4404,Programme!E4404,Programme!F4404,Programme!G4404,Programme!H4404,Programme!I4404,Programme!J4404)</f>
        <v>&lt;valeur&gt;0&lt;/valeur&gt;</v>
      </c>
    </row>
    <row r="4404" spans="1:1" x14ac:dyDescent="0.2">
      <c r="A4404" s="996" t="str">
        <f>CONCATENATE(Programme!D4405,Programme!E4405,Programme!F4405,Programme!G4405,Programme!H4405,Programme!I4405,Programme!J4405)</f>
        <v>&lt;/ValeurCellule&gt;</v>
      </c>
    </row>
    <row r="4405" spans="1:1" x14ac:dyDescent="0.2">
      <c r="A4405" s="996" t="str">
        <f>CONCATENATE(Programme!D4406,Programme!E4406,Programme!F4406,Programme!G4406,Programme!H4406,Programme!I4406,Programme!J4406)</f>
        <v>&lt;ValeurCellule&gt;</v>
      </c>
    </row>
    <row r="4406" spans="1:1" x14ac:dyDescent="0.2">
      <c r="A4406" s="996" t="str">
        <f>CONCATENATE(Programme!D4407,Programme!E4407,Programme!F4407,Programme!G4407,Programme!H4407,Programme!I4407,Programme!J4407)</f>
        <v>&lt;cellule&gt;</v>
      </c>
    </row>
    <row r="4407" spans="1:1" x14ac:dyDescent="0.2">
      <c r="A4407" s="996" t="str">
        <f>CONCATENATE(Programme!D4408,Programme!E4408,Programme!F4408,Programme!G4408,Programme!H4408,Programme!I4408,Programme!J4408)</f>
        <v>&lt;codeEdi&gt;10088&lt;/codeEdi&gt;</v>
      </c>
    </row>
    <row r="4408" spans="1:1" x14ac:dyDescent="0.2">
      <c r="A4408" s="996" t="str">
        <f>CONCATENATE(Programme!D4409,Programme!E4409,Programme!F4409,Programme!G4409,Programme!H4409,Programme!I4409,Programme!J4409)</f>
        <v>&lt;/cellule&gt;</v>
      </c>
    </row>
    <row r="4409" spans="1:1" x14ac:dyDescent="0.2">
      <c r="A4409" s="996" t="str">
        <f>CONCATENATE(Programme!D4410,Programme!E4410,Programme!F4410,Programme!G4410,Programme!H4410,Programme!I4410,Programme!J4410)</f>
        <v>&lt;valeur&gt;0&lt;/valeur&gt;</v>
      </c>
    </row>
    <row r="4410" spans="1:1" x14ac:dyDescent="0.2">
      <c r="A4410" s="996" t="str">
        <f>CONCATENATE(Programme!D4411,Programme!E4411,Programme!F4411,Programme!G4411,Programme!H4411,Programme!I4411,Programme!J4411)</f>
        <v>&lt;/ValeurCellule&gt;</v>
      </c>
    </row>
    <row r="4411" spans="1:1" x14ac:dyDescent="0.2">
      <c r="A4411" s="996" t="str">
        <f>CONCATENATE(Programme!D4412,Programme!E4412,Programme!F4412,Programme!G4412,Programme!H4412,Programme!I4412,Programme!J4412)</f>
        <v>&lt;ValeurCellule&gt;</v>
      </c>
    </row>
    <row r="4412" spans="1:1" x14ac:dyDescent="0.2">
      <c r="A4412" s="996" t="str">
        <f>CONCATENATE(Programme!D4413,Programme!E4413,Programme!F4413,Programme!G4413,Programme!H4413,Programme!I4413,Programme!J4413)</f>
        <v>&lt;cellule&gt;</v>
      </c>
    </row>
    <row r="4413" spans="1:1" x14ac:dyDescent="0.2">
      <c r="A4413" s="996" t="str">
        <f>CONCATENATE(Programme!D4414,Programme!E4414,Programme!F4414,Programme!G4414,Programme!H4414,Programme!I4414,Programme!J4414)</f>
        <v>&lt;codeEdi&gt;12603&lt;/codeEdi&gt;</v>
      </c>
    </row>
    <row r="4414" spans="1:1" x14ac:dyDescent="0.2">
      <c r="A4414" s="996" t="str">
        <f>CONCATENATE(Programme!D4415,Programme!E4415,Programme!F4415,Programme!G4415,Programme!H4415,Programme!I4415,Programme!J4415)</f>
        <v>&lt;/cellule&gt;</v>
      </c>
    </row>
    <row r="4415" spans="1:1" x14ac:dyDescent="0.2">
      <c r="A4415" s="996" t="str">
        <f>CONCATENATE(Programme!D4416,Programme!E4416,Programme!F4416,Programme!G4416,Programme!H4416,Programme!I4416,Programme!J4416)</f>
        <v>&lt;valeur&gt;0&lt;/valeur&gt;</v>
      </c>
    </row>
    <row r="4416" spans="1:1" x14ac:dyDescent="0.2">
      <c r="A4416" s="996" t="str">
        <f>CONCATENATE(Programme!D4417,Programme!E4417,Programme!F4417,Programme!G4417,Programme!H4417,Programme!I4417,Programme!J4417)</f>
        <v>&lt;/ValeurCellule&gt;</v>
      </c>
    </row>
    <row r="4417" spans="1:1" x14ac:dyDescent="0.2">
      <c r="A4417" s="996" t="str">
        <f>CONCATENATE(Programme!D4418,Programme!E4418,Programme!F4418,Programme!G4418,Programme!H4418,Programme!I4418,Programme!J4418)</f>
        <v>&lt;ValeurCellule&gt;</v>
      </c>
    </row>
    <row r="4418" spans="1:1" x14ac:dyDescent="0.2">
      <c r="A4418" s="996" t="str">
        <f>CONCATENATE(Programme!D4419,Programme!E4419,Programme!F4419,Programme!G4419,Programme!H4419,Programme!I4419,Programme!J4419)</f>
        <v>&lt;cellule&gt;</v>
      </c>
    </row>
    <row r="4419" spans="1:1" x14ac:dyDescent="0.2">
      <c r="A4419" s="996" t="str">
        <f>CONCATENATE(Programme!D4420,Programme!E4420,Programme!F4420,Programme!G4420,Programme!H4420,Programme!I4420,Programme!J4420)</f>
        <v>&lt;codeEdi&gt;1071&lt;/codeEdi&gt;</v>
      </c>
    </row>
    <row r="4420" spans="1:1" x14ac:dyDescent="0.2">
      <c r="A4420" s="996" t="str">
        <f>CONCATENATE(Programme!D4421,Programme!E4421,Programme!F4421,Programme!G4421,Programme!H4421,Programme!I4421,Programme!J4421)</f>
        <v>&lt;/cellule&gt;</v>
      </c>
    </row>
    <row r="4421" spans="1:1" x14ac:dyDescent="0.2">
      <c r="A4421" s="996" t="str">
        <f>CONCATENATE(Programme!D4422,Programme!E4422,Programme!F4422,Programme!G4422,Programme!H4422,Programme!I4422,Programme!J4422)</f>
        <v>&lt;valeur&gt;0&lt;/valeur&gt;</v>
      </c>
    </row>
    <row r="4422" spans="1:1" x14ac:dyDescent="0.2">
      <c r="A4422" s="996" t="str">
        <f>CONCATENATE(Programme!D4423,Programme!E4423,Programme!F4423,Programme!G4423,Programme!H4423,Programme!I4423,Programme!J4423)</f>
        <v>&lt;/ValeurCellule&gt;</v>
      </c>
    </row>
    <row r="4423" spans="1:1" x14ac:dyDescent="0.2">
      <c r="A4423" s="996" t="str">
        <f>CONCATENATE(Programme!D4424,Programme!E4424,Programme!F4424,Programme!G4424,Programme!H4424,Programme!I4424,Programme!J4424)</f>
        <v>&lt;ValeurCellule&gt;</v>
      </c>
    </row>
    <row r="4424" spans="1:1" x14ac:dyDescent="0.2">
      <c r="A4424" s="996" t="str">
        <f>CONCATENATE(Programme!D4425,Programme!E4425,Programme!F4425,Programme!G4425,Programme!H4425,Programme!I4425,Programme!J4425)</f>
        <v>&lt;cellule&gt;</v>
      </c>
    </row>
    <row r="4425" spans="1:1" x14ac:dyDescent="0.2">
      <c r="A4425" s="996" t="str">
        <f>CONCATENATE(Programme!D4426,Programme!E4426,Programme!F4426,Programme!G4426,Programme!H4426,Programme!I4426,Programme!J4426)</f>
        <v>&lt;codeEdi&gt;1072&lt;/codeEdi&gt;</v>
      </c>
    </row>
    <row r="4426" spans="1:1" x14ac:dyDescent="0.2">
      <c r="A4426" s="996" t="str">
        <f>CONCATENATE(Programme!D4427,Programme!E4427,Programme!F4427,Programme!G4427,Programme!H4427,Programme!I4427,Programme!J4427)</f>
        <v>&lt;/cellule&gt;</v>
      </c>
    </row>
    <row r="4427" spans="1:1" x14ac:dyDescent="0.2">
      <c r="A4427" s="996" t="str">
        <f>CONCATENATE(Programme!D4428,Programme!E4428,Programme!F4428,Programme!G4428,Programme!H4428,Programme!I4428,Programme!J4428)</f>
        <v>&lt;valeur&gt;0&lt;/valeur&gt;</v>
      </c>
    </row>
    <row r="4428" spans="1:1" x14ac:dyDescent="0.2">
      <c r="A4428" s="996" t="str">
        <f>CONCATENATE(Programme!D4429,Programme!E4429,Programme!F4429,Programme!G4429,Programme!H4429,Programme!I4429,Programme!J4429)</f>
        <v>&lt;/ValeurCellule&gt;</v>
      </c>
    </row>
    <row r="4429" spans="1:1" x14ac:dyDescent="0.2">
      <c r="A4429" s="996" t="str">
        <f>CONCATENATE(Programme!D4430,Programme!E4430,Programme!F4430,Programme!G4430,Programme!H4430,Programme!I4430,Programme!J4430)</f>
        <v>&lt;ValeurCellule&gt;</v>
      </c>
    </row>
    <row r="4430" spans="1:1" x14ac:dyDescent="0.2">
      <c r="A4430" s="996" t="str">
        <f>CONCATENATE(Programme!D4431,Programme!E4431,Programme!F4431,Programme!G4431,Programme!H4431,Programme!I4431,Programme!J4431)</f>
        <v>&lt;cellule&gt;</v>
      </c>
    </row>
    <row r="4431" spans="1:1" x14ac:dyDescent="0.2">
      <c r="A4431" s="996" t="str">
        <f>CONCATENATE(Programme!D4432,Programme!E4432,Programme!F4432,Programme!G4432,Programme!H4432,Programme!I4432,Programme!J4432)</f>
        <v>&lt;codeEdi&gt;1073&lt;/codeEdi&gt;</v>
      </c>
    </row>
    <row r="4432" spans="1:1" x14ac:dyDescent="0.2">
      <c r="A4432" s="996" t="str">
        <f>CONCATENATE(Programme!D4433,Programme!E4433,Programme!F4433,Programme!G4433,Programme!H4433,Programme!I4433,Programme!J4433)</f>
        <v>&lt;/cellule&gt;</v>
      </c>
    </row>
    <row r="4433" spans="1:1" x14ac:dyDescent="0.2">
      <c r="A4433" s="996" t="str">
        <f>CONCATENATE(Programme!D4434,Programme!E4434,Programme!F4434,Programme!G4434,Programme!H4434,Programme!I4434,Programme!J4434)</f>
        <v>&lt;valeur&gt;0&lt;/valeur&gt;</v>
      </c>
    </row>
    <row r="4434" spans="1:1" x14ac:dyDescent="0.2">
      <c r="A4434" s="996" t="str">
        <f>CONCATENATE(Programme!D4435,Programme!E4435,Programme!F4435,Programme!G4435,Programme!H4435,Programme!I4435,Programme!J4435)</f>
        <v>&lt;/ValeurCellule&gt;</v>
      </c>
    </row>
    <row r="4435" spans="1:1" x14ac:dyDescent="0.2">
      <c r="A4435" s="996" t="str">
        <f>CONCATENATE(Programme!D4436,Programme!E4436,Programme!F4436,Programme!G4436,Programme!H4436,Programme!I4436,Programme!J4436)</f>
        <v>&lt;ValeurCellule&gt;</v>
      </c>
    </row>
    <row r="4436" spans="1:1" x14ac:dyDescent="0.2">
      <c r="A4436" s="996" t="str">
        <f>CONCATENATE(Programme!D4437,Programme!E4437,Programme!F4437,Programme!G4437,Programme!H4437,Programme!I4437,Programme!J4437)</f>
        <v>&lt;cellule&gt;</v>
      </c>
    </row>
    <row r="4437" spans="1:1" x14ac:dyDescent="0.2">
      <c r="A4437" s="996" t="str">
        <f>CONCATENATE(Programme!D4438,Programme!E4438,Programme!F4438,Programme!G4438,Programme!H4438,Programme!I4438,Programme!J4438)</f>
        <v>&lt;codeEdi&gt;1074&lt;/codeEdi&gt;</v>
      </c>
    </row>
    <row r="4438" spans="1:1" x14ac:dyDescent="0.2">
      <c r="A4438" s="996" t="str">
        <f>CONCATENATE(Programme!D4439,Programme!E4439,Programme!F4439,Programme!G4439,Programme!H4439,Programme!I4439,Programme!J4439)</f>
        <v>&lt;/cellule&gt;</v>
      </c>
    </row>
    <row r="4439" spans="1:1" x14ac:dyDescent="0.2">
      <c r="A4439" s="996" t="str">
        <f>CONCATENATE(Programme!D4440,Programme!E4440,Programme!F4440,Programme!G4440,Programme!H4440,Programme!I4440,Programme!J4440)</f>
        <v>&lt;valeur&gt;0&lt;/valeur&gt;</v>
      </c>
    </row>
    <row r="4440" spans="1:1" x14ac:dyDescent="0.2">
      <c r="A4440" s="996" t="str">
        <f>CONCATENATE(Programme!D4441,Programme!E4441,Programme!F4441,Programme!G4441,Programme!H4441,Programme!I4441,Programme!J4441)</f>
        <v>&lt;/ValeurCellule&gt;</v>
      </c>
    </row>
    <row r="4441" spans="1:1" x14ac:dyDescent="0.2">
      <c r="A4441" s="996" t="str">
        <f>CONCATENATE(Programme!D4442,Programme!E4442,Programme!F4442,Programme!G4442,Programme!H4442,Programme!I4442,Programme!J4442)</f>
        <v>&lt;ValeurCellule&gt;</v>
      </c>
    </row>
    <row r="4442" spans="1:1" x14ac:dyDescent="0.2">
      <c r="A4442" s="996" t="str">
        <f>CONCATENATE(Programme!D4443,Programme!E4443,Programme!F4443,Programme!G4443,Programme!H4443,Programme!I4443,Programme!J4443)</f>
        <v>&lt;cellule&gt;</v>
      </c>
    </row>
    <row r="4443" spans="1:1" x14ac:dyDescent="0.2">
      <c r="A4443" s="996" t="str">
        <f>CONCATENATE(Programme!D4444,Programme!E4444,Programme!F4444,Programme!G4444,Programme!H4444,Programme!I4444,Programme!J4444)</f>
        <v>&lt;codeEdi&gt;1075&lt;/codeEdi&gt;</v>
      </c>
    </row>
    <row r="4444" spans="1:1" x14ac:dyDescent="0.2">
      <c r="A4444" s="996" t="str">
        <f>CONCATENATE(Programme!D4445,Programme!E4445,Programme!F4445,Programme!G4445,Programme!H4445,Programme!I4445,Programme!J4445)</f>
        <v>&lt;/cellule&gt;</v>
      </c>
    </row>
    <row r="4445" spans="1:1" x14ac:dyDescent="0.2">
      <c r="A4445" s="996" t="str">
        <f>CONCATENATE(Programme!D4446,Programme!E4446,Programme!F4446,Programme!G4446,Programme!H4446,Programme!I4446,Programme!J4446)</f>
        <v>&lt;valeur&gt;0&lt;/valeur&gt;</v>
      </c>
    </row>
    <row r="4446" spans="1:1" x14ac:dyDescent="0.2">
      <c r="A4446" s="996" t="str">
        <f>CONCATENATE(Programme!D4447,Programme!E4447,Programme!F4447,Programme!G4447,Programme!H4447,Programme!I4447,Programme!J4447)</f>
        <v>&lt;/ValeurCellule&gt;</v>
      </c>
    </row>
    <row r="4447" spans="1:1" x14ac:dyDescent="0.2">
      <c r="A4447" s="996" t="str">
        <f>CONCATENATE(Programme!D4448,Programme!E4448,Programme!F4448,Programme!G4448,Programme!H4448,Programme!I4448,Programme!J4448)</f>
        <v>&lt;ValeurCellule&gt;</v>
      </c>
    </row>
    <row r="4448" spans="1:1" x14ac:dyDescent="0.2">
      <c r="A4448" s="996" t="str">
        <f>CONCATENATE(Programme!D4449,Programme!E4449,Programme!F4449,Programme!G4449,Programme!H4449,Programme!I4449,Programme!J4449)</f>
        <v>&lt;cellule&gt;</v>
      </c>
    </row>
    <row r="4449" spans="1:1" x14ac:dyDescent="0.2">
      <c r="A4449" s="996" t="str">
        <f>CONCATENATE(Programme!D4450,Programme!E4450,Programme!F4450,Programme!G4450,Programme!H4450,Programme!I4450,Programme!J4450)</f>
        <v>&lt;codeEdi&gt;1076&lt;/codeEdi&gt;</v>
      </c>
    </row>
    <row r="4450" spans="1:1" x14ac:dyDescent="0.2">
      <c r="A4450" s="996" t="str">
        <f>CONCATENATE(Programme!D4451,Programme!E4451,Programme!F4451,Programme!G4451,Programme!H4451,Programme!I4451,Programme!J4451)</f>
        <v>&lt;/cellule&gt;</v>
      </c>
    </row>
    <row r="4451" spans="1:1" x14ac:dyDescent="0.2">
      <c r="A4451" s="996" t="str">
        <f>CONCATENATE(Programme!D4452,Programme!E4452,Programme!F4452,Programme!G4452,Programme!H4452,Programme!I4452,Programme!J4452)</f>
        <v>&lt;valeur&gt;0&lt;/valeur&gt;</v>
      </c>
    </row>
    <row r="4452" spans="1:1" x14ac:dyDescent="0.2">
      <c r="A4452" s="996" t="str">
        <f>CONCATENATE(Programme!D4453,Programme!E4453,Programme!F4453,Programme!G4453,Programme!H4453,Programme!I4453,Programme!J4453)</f>
        <v>&lt;/ValeurCellule&gt;</v>
      </c>
    </row>
    <row r="4453" spans="1:1" x14ac:dyDescent="0.2">
      <c r="A4453" s="996" t="str">
        <f>CONCATENATE(Programme!D4454,Programme!E4454,Programme!F4454,Programme!G4454,Programme!H4454,Programme!I4454,Programme!J4454)</f>
        <v>&lt;ValeurCellule&gt;</v>
      </c>
    </row>
    <row r="4454" spans="1:1" x14ac:dyDescent="0.2">
      <c r="A4454" s="996" t="str">
        <f>CONCATENATE(Programme!D4455,Programme!E4455,Programme!F4455,Programme!G4455,Programme!H4455,Programme!I4455,Programme!J4455)</f>
        <v>&lt;cellule&gt;</v>
      </c>
    </row>
    <row r="4455" spans="1:1" x14ac:dyDescent="0.2">
      <c r="A4455" s="996" t="str">
        <f>CONCATENATE(Programme!D4456,Programme!E4456,Programme!F4456,Programme!G4456,Programme!H4456,Programme!I4456,Programme!J4456)</f>
        <v>&lt;codeEdi&gt;1077&lt;/codeEdi&gt;</v>
      </c>
    </row>
    <row r="4456" spans="1:1" x14ac:dyDescent="0.2">
      <c r="A4456" s="996" t="str">
        <f>CONCATENATE(Programme!D4457,Programme!E4457,Programme!F4457,Programme!G4457,Programme!H4457,Programme!I4457,Programme!J4457)</f>
        <v>&lt;/cellule&gt;</v>
      </c>
    </row>
    <row r="4457" spans="1:1" x14ac:dyDescent="0.2">
      <c r="A4457" s="996" t="str">
        <f>CONCATENATE(Programme!D4458,Programme!E4458,Programme!F4458,Programme!G4458,Programme!H4458,Programme!I4458,Programme!J4458)</f>
        <v>&lt;valeur&gt;0&lt;/valeur&gt;</v>
      </c>
    </row>
    <row r="4458" spans="1:1" x14ac:dyDescent="0.2">
      <c r="A4458" s="996" t="str">
        <f>CONCATENATE(Programme!D4459,Programme!E4459,Programme!F4459,Programme!G4459,Programme!H4459,Programme!I4459,Programme!J4459)</f>
        <v>&lt;/ValeurCellule&gt;</v>
      </c>
    </row>
    <row r="4459" spans="1:1" x14ac:dyDescent="0.2">
      <c r="A4459" s="996" t="str">
        <f>CONCATENATE(Programme!D4460,Programme!E4460,Programme!F4460,Programme!G4460,Programme!H4460,Programme!I4460,Programme!J4460)</f>
        <v>&lt;ValeurCellule&gt;</v>
      </c>
    </row>
    <row r="4460" spans="1:1" x14ac:dyDescent="0.2">
      <c r="A4460" s="996" t="str">
        <f>CONCATENATE(Programme!D4461,Programme!E4461,Programme!F4461,Programme!G4461,Programme!H4461,Programme!I4461,Programme!J4461)</f>
        <v>&lt;cellule&gt;</v>
      </c>
    </row>
    <row r="4461" spans="1:1" x14ac:dyDescent="0.2">
      <c r="A4461" s="996" t="str">
        <f>CONCATENATE(Programme!D4462,Programme!E4462,Programme!F4462,Programme!G4462,Programme!H4462,Programme!I4462,Programme!J4462)</f>
        <v>&lt;codeEdi&gt;10089&lt;/codeEdi&gt;</v>
      </c>
    </row>
    <row r="4462" spans="1:1" x14ac:dyDescent="0.2">
      <c r="A4462" s="996" t="str">
        <f>CONCATENATE(Programme!D4463,Programme!E4463,Programme!F4463,Programme!G4463,Programme!H4463,Programme!I4463,Programme!J4463)</f>
        <v>&lt;/cellule&gt;</v>
      </c>
    </row>
    <row r="4463" spans="1:1" x14ac:dyDescent="0.2">
      <c r="A4463" s="996" t="str">
        <f>CONCATENATE(Programme!D4464,Programme!E4464,Programme!F4464,Programme!G4464,Programme!H4464,Programme!I4464,Programme!J4464)</f>
        <v>&lt;valeur&gt;0&lt;/valeur&gt;</v>
      </c>
    </row>
    <row r="4464" spans="1:1" x14ac:dyDescent="0.2">
      <c r="A4464" s="996" t="str">
        <f>CONCATENATE(Programme!D4465,Programme!E4465,Programme!F4465,Programme!G4465,Programme!H4465,Programme!I4465,Programme!J4465)</f>
        <v>&lt;/ValeurCellule&gt;</v>
      </c>
    </row>
    <row r="4465" spans="1:1" x14ac:dyDescent="0.2">
      <c r="A4465" s="996" t="str">
        <f>CONCATENATE(Programme!D4466,Programme!E4466,Programme!F4466,Programme!G4466,Programme!H4466,Programme!I4466,Programme!J4466)</f>
        <v>&lt;ValeurCellule&gt;</v>
      </c>
    </row>
    <row r="4466" spans="1:1" x14ac:dyDescent="0.2">
      <c r="A4466" s="996" t="str">
        <f>CONCATENATE(Programme!D4467,Programme!E4467,Programme!F4467,Programme!G4467,Programme!H4467,Programme!I4467,Programme!J4467)</f>
        <v>&lt;cellule&gt;</v>
      </c>
    </row>
    <row r="4467" spans="1:1" x14ac:dyDescent="0.2">
      <c r="A4467" s="996" t="str">
        <f>CONCATENATE(Programme!D4468,Programme!E4468,Programme!F4468,Programme!G4468,Programme!H4468,Programme!I4468,Programme!J4468)</f>
        <v>&lt;codeEdi&gt;12604&lt;/codeEdi&gt;</v>
      </c>
    </row>
    <row r="4468" spans="1:1" x14ac:dyDescent="0.2">
      <c r="A4468" s="996" t="str">
        <f>CONCATENATE(Programme!D4469,Programme!E4469,Programme!F4469,Programme!G4469,Programme!H4469,Programme!I4469,Programme!J4469)</f>
        <v>&lt;/cellule&gt;</v>
      </c>
    </row>
    <row r="4469" spans="1:1" x14ac:dyDescent="0.2">
      <c r="A4469" s="996" t="str">
        <f>CONCATENATE(Programme!D4470,Programme!E4470,Programme!F4470,Programme!G4470,Programme!H4470,Programme!I4470,Programme!J4470)</f>
        <v>&lt;valeur&gt;&lt;/valeur&gt;</v>
      </c>
    </row>
    <row r="4470" spans="1:1" x14ac:dyDescent="0.2">
      <c r="A4470" s="996" t="str">
        <f>CONCATENATE(Programme!D4471,Programme!E4471,Programme!F4471,Programme!G4471,Programme!H4471,Programme!I4471,Programme!J4471)</f>
        <v>&lt;/ValeurCellule&gt;</v>
      </c>
    </row>
    <row r="4471" spans="1:1" x14ac:dyDescent="0.2">
      <c r="A4471" s="996" t="str">
        <f>CONCATENATE(Programme!D4472,Programme!E4472,Programme!F4472,Programme!G4472,Programme!H4472,Programme!I4472,Programme!J4472)</f>
        <v>&lt;/groupeValeurs&gt;</v>
      </c>
    </row>
    <row r="4472" spans="1:1" x14ac:dyDescent="0.2">
      <c r="A4472" s="996" t="str">
        <f>CONCATENATE(Programme!D4473,Programme!E4473,Programme!F4473,Programme!G4473,Programme!H4473,Programme!I4473,Programme!J4473)</f>
        <v>&lt;extraFieldvaleurs&gt;</v>
      </c>
    </row>
    <row r="4473" spans="1:1" x14ac:dyDescent="0.2">
      <c r="A4473" s="996" t="str">
        <f>CONCATENATE(Programme!D4474,Programme!E4474,Programme!F4474,Programme!G4474,Programme!H4474,Programme!I4474,Programme!J4474)</f>
        <v>&lt;/extraFieldvaleurs&gt;</v>
      </c>
    </row>
    <row r="4474" spans="1:1" x14ac:dyDescent="0.2">
      <c r="A4474" s="996" t="str">
        <f>CONCATENATE(Programme!D4475,Programme!E4475,Programme!F4475,Programme!G4475,Programme!H4475,Programme!I4475,Programme!J4475)</f>
        <v>&lt;/ValeursTableau&gt;</v>
      </c>
    </row>
    <row r="4475" spans="1:1" x14ac:dyDescent="0.2">
      <c r="A4475" s="996" t="str">
        <f>CONCATENATE(Programme!D4476,Programme!E4476,Programme!F4476,Programme!G4476,Programme!H4476,Programme!I4476,Programme!J4476)</f>
        <v>&lt;ValeursTableau&gt;</v>
      </c>
    </row>
    <row r="4476" spans="1:1" x14ac:dyDescent="0.2">
      <c r="A4476" s="996" t="str">
        <f>CONCATENATE(Programme!D4477,Programme!E4477,Programme!F4477,Programme!G4477,Programme!H4477,Programme!I4477,Programme!J4477)</f>
        <v>&lt;tableau&gt;&lt;id&gt;32&lt;/id&gt;&lt;/tableau&gt;</v>
      </c>
    </row>
    <row r="4477" spans="1:1" x14ac:dyDescent="0.2">
      <c r="A4477" s="996" t="str">
        <f>CONCATENATE(Programme!D4478,Programme!E4478,Programme!F4478,Programme!G4478,Programme!H4478,Programme!I4478,Programme!J4478)</f>
        <v>&lt;groupeValeurs&gt;</v>
      </c>
    </row>
    <row r="4478" spans="1:1" x14ac:dyDescent="0.2">
      <c r="A4478" s="996" t="str">
        <f>CONCATENATE(Programme!D4479,Programme!E4479,Programme!F4479,Programme!G4479,Programme!H4479,Programme!I4479,Programme!J4479)</f>
        <v>&lt;ValeurCellule&gt;</v>
      </c>
    </row>
    <row r="4479" spans="1:1" x14ac:dyDescent="0.2">
      <c r="A4479" s="996" t="str">
        <f>CONCATENATE(Programme!D4480,Programme!E4480,Programme!F4480,Programme!G4480,Programme!H4480,Programme!I4480,Programme!J4480)</f>
        <v>&lt;cellule&gt;</v>
      </c>
    </row>
    <row r="4480" spans="1:1" x14ac:dyDescent="0.2">
      <c r="A4480" s="996" t="str">
        <f>CONCATENATE(Programme!D4481,Programme!E4481,Programme!F4481,Programme!G4481,Programme!H4481,Programme!I4481,Programme!J4481)</f>
        <v>&lt;codeEdi&gt;1308&lt;/codeEdi&gt;</v>
      </c>
    </row>
    <row r="4481" spans="1:1" x14ac:dyDescent="0.2">
      <c r="A4481" s="996" t="str">
        <f>CONCATENATE(Programme!D4482,Programme!E4482,Programme!F4482,Programme!G4482,Programme!H4482,Programme!I4482,Programme!J4482)</f>
        <v>&lt;/cellule&gt;</v>
      </c>
    </row>
    <row r="4482" spans="1:1" x14ac:dyDescent="0.2">
      <c r="A4482" s="996" t="str">
        <f>CONCATENATE(Programme!D4483,Programme!E4483,Programme!F4483,Programme!G4483,Programme!H4483,Programme!I4483,Programme!J4483)</f>
        <v>&lt;valeur&gt;0&lt;/valeur&gt;</v>
      </c>
    </row>
    <row r="4483" spans="1:1" x14ac:dyDescent="0.2">
      <c r="A4483" s="996" t="str">
        <f>CONCATENATE(Programme!D4484,Programme!E4484,Programme!F4484,Programme!G4484,Programme!H4484,Programme!I4484,Programme!J4484)</f>
        <v>&lt;/ValeurCellule&gt;</v>
      </c>
    </row>
    <row r="4484" spans="1:1" x14ac:dyDescent="0.2">
      <c r="A4484" s="996" t="str">
        <f>CONCATENATE(Programme!D4485,Programme!E4485,Programme!F4485,Programme!G4485,Programme!H4485,Programme!I4485,Programme!J4485)</f>
        <v>&lt;ValeurCellule&gt;</v>
      </c>
    </row>
    <row r="4485" spans="1:1" x14ac:dyDescent="0.2">
      <c r="A4485" s="996" t="str">
        <f>CONCATENATE(Programme!D4486,Programme!E4486,Programme!F4486,Programme!G4486,Programme!H4486,Programme!I4486,Programme!J4486)</f>
        <v>&lt;cellule&gt;</v>
      </c>
    </row>
    <row r="4486" spans="1:1" x14ac:dyDescent="0.2">
      <c r="A4486" s="996" t="str">
        <f>CONCATENATE(Programme!D4487,Programme!E4487,Programme!F4487,Programme!G4487,Programme!H4487,Programme!I4487,Programme!J4487)</f>
        <v>&lt;codeEdi&gt;1309&lt;/codeEdi&gt;</v>
      </c>
    </row>
    <row r="4487" spans="1:1" x14ac:dyDescent="0.2">
      <c r="A4487" s="996" t="str">
        <f>CONCATENATE(Programme!D4488,Programme!E4488,Programme!F4488,Programme!G4488,Programme!H4488,Programme!I4488,Programme!J4488)</f>
        <v>&lt;/cellule&gt;</v>
      </c>
    </row>
    <row r="4488" spans="1:1" x14ac:dyDescent="0.2">
      <c r="A4488" s="996" t="str">
        <f>CONCATENATE(Programme!D4489,Programme!E4489,Programme!F4489,Programme!G4489,Programme!H4489,Programme!I4489,Programme!J4489)</f>
        <v>&lt;valeur&gt;0&lt;/valeur&gt;</v>
      </c>
    </row>
    <row r="4489" spans="1:1" x14ac:dyDescent="0.2">
      <c r="A4489" s="996" t="str">
        <f>CONCATENATE(Programme!D4490,Programme!E4490,Programme!F4490,Programme!G4490,Programme!H4490,Programme!I4490,Programme!J4490)</f>
        <v>&lt;/ValeurCellule&gt;</v>
      </c>
    </row>
    <row r="4490" spans="1:1" x14ac:dyDescent="0.2">
      <c r="A4490" s="996" t="str">
        <f>CONCATENATE(Programme!D4491,Programme!E4491,Programme!F4491,Programme!G4491,Programme!H4491,Programme!I4491,Programme!J4491)</f>
        <v>&lt;ValeurCellule&gt;</v>
      </c>
    </row>
    <row r="4491" spans="1:1" x14ac:dyDescent="0.2">
      <c r="A4491" s="996" t="str">
        <f>CONCATENATE(Programme!D4492,Programme!E4492,Programme!F4492,Programme!G4492,Programme!H4492,Programme!I4492,Programme!J4492)</f>
        <v>&lt;cellule&gt;</v>
      </c>
    </row>
    <row r="4492" spans="1:1" x14ac:dyDescent="0.2">
      <c r="A4492" s="996" t="str">
        <f>CONCATENATE(Programme!D4493,Programme!E4493,Programme!F4493,Programme!G4493,Programme!H4493,Programme!I4493,Programme!J4493)</f>
        <v>&lt;codeEdi&gt;1310&lt;/codeEdi&gt;</v>
      </c>
    </row>
    <row r="4493" spans="1:1" x14ac:dyDescent="0.2">
      <c r="A4493" s="996" t="str">
        <f>CONCATENATE(Programme!D4494,Programme!E4494,Programme!F4494,Programme!G4494,Programme!H4494,Programme!I4494,Programme!J4494)</f>
        <v>&lt;/cellule&gt;</v>
      </c>
    </row>
    <row r="4494" spans="1:1" x14ac:dyDescent="0.2">
      <c r="A4494" s="996" t="str">
        <f>CONCATENATE(Programme!D4495,Programme!E4495,Programme!F4495,Programme!G4495,Programme!H4495,Programme!I4495,Programme!J4495)</f>
        <v>&lt;valeur&gt;0&lt;/valeur&gt;</v>
      </c>
    </row>
    <row r="4495" spans="1:1" x14ac:dyDescent="0.2">
      <c r="A4495" s="996" t="str">
        <f>CONCATENATE(Programme!D4496,Programme!E4496,Programme!F4496,Programme!G4496,Programme!H4496,Programme!I4496,Programme!J4496)</f>
        <v>&lt;/ValeurCellule&gt;</v>
      </c>
    </row>
    <row r="4496" spans="1:1" x14ac:dyDescent="0.2">
      <c r="A4496" s="996" t="str">
        <f>CONCATENATE(Programme!D4497,Programme!E4497,Programme!F4497,Programme!G4497,Programme!H4497,Programme!I4497,Programme!J4497)</f>
        <v>&lt;ValeurCellule&gt;</v>
      </c>
    </row>
    <row r="4497" spans="1:1" x14ac:dyDescent="0.2">
      <c r="A4497" s="996" t="str">
        <f>CONCATENATE(Programme!D4498,Programme!E4498,Programme!F4498,Programme!G4498,Programme!H4498,Programme!I4498,Programme!J4498)</f>
        <v>&lt;cellule&gt;</v>
      </c>
    </row>
    <row r="4498" spans="1:1" x14ac:dyDescent="0.2">
      <c r="A4498" s="996" t="str">
        <f>CONCATENATE(Programme!D4499,Programme!E4499,Programme!F4499,Programme!G4499,Programme!H4499,Programme!I4499,Programme!J4499)</f>
        <v>&lt;codeEdi&gt;1311&lt;/codeEdi&gt;</v>
      </c>
    </row>
    <row r="4499" spans="1:1" x14ac:dyDescent="0.2">
      <c r="A4499" s="996" t="str">
        <f>CONCATENATE(Programme!D4500,Programme!E4500,Programme!F4500,Programme!G4500,Programme!H4500,Programme!I4500,Programme!J4500)</f>
        <v>&lt;/cellule&gt;</v>
      </c>
    </row>
    <row r="4500" spans="1:1" x14ac:dyDescent="0.2">
      <c r="A4500" s="996" t="str">
        <f>CONCATENATE(Programme!D4501,Programme!E4501,Programme!F4501,Programme!G4501,Programme!H4501,Programme!I4501,Programme!J4501)</f>
        <v>&lt;valeur&gt;0&lt;/valeur&gt;</v>
      </c>
    </row>
    <row r="4501" spans="1:1" x14ac:dyDescent="0.2">
      <c r="A4501" s="996" t="str">
        <f>CONCATENATE(Programme!D4502,Programme!E4502,Programme!F4502,Programme!G4502,Programme!H4502,Programme!I4502,Programme!J4502)</f>
        <v>&lt;/ValeurCellule&gt;</v>
      </c>
    </row>
    <row r="4502" spans="1:1" x14ac:dyDescent="0.2">
      <c r="A4502" s="996" t="str">
        <f>CONCATENATE(Programme!D4503,Programme!E4503,Programme!F4503,Programme!G4503,Programme!H4503,Programme!I4503,Programme!J4503)</f>
        <v>&lt;ValeurCellule&gt;</v>
      </c>
    </row>
    <row r="4503" spans="1:1" x14ac:dyDescent="0.2">
      <c r="A4503" s="996" t="str">
        <f>CONCATENATE(Programme!D4504,Programme!E4504,Programme!F4504,Programme!G4504,Programme!H4504,Programme!I4504,Programme!J4504)</f>
        <v>&lt;cellule&gt;</v>
      </c>
    </row>
    <row r="4504" spans="1:1" x14ac:dyDescent="0.2">
      <c r="A4504" s="996" t="str">
        <f>CONCATENATE(Programme!D4505,Programme!E4505,Programme!F4505,Programme!G4505,Programme!H4505,Programme!I4505,Programme!J4505)</f>
        <v>&lt;codeEdi&gt;1312&lt;/codeEdi&gt;</v>
      </c>
    </row>
    <row r="4505" spans="1:1" x14ac:dyDescent="0.2">
      <c r="A4505" s="996" t="str">
        <f>CONCATENATE(Programme!D4506,Programme!E4506,Programme!F4506,Programme!G4506,Programme!H4506,Programme!I4506,Programme!J4506)</f>
        <v>&lt;/cellule&gt;</v>
      </c>
    </row>
    <row r="4506" spans="1:1" x14ac:dyDescent="0.2">
      <c r="A4506" s="996" t="str">
        <f>CONCATENATE(Programme!D4507,Programme!E4507,Programme!F4507,Programme!G4507,Programme!H4507,Programme!I4507,Programme!J4507)</f>
        <v>&lt;valeur&gt;0&lt;/valeur&gt;</v>
      </c>
    </row>
    <row r="4507" spans="1:1" x14ac:dyDescent="0.2">
      <c r="A4507" s="996" t="str">
        <f>CONCATENATE(Programme!D4508,Programme!E4508,Programme!F4508,Programme!G4508,Programme!H4508,Programme!I4508,Programme!J4508)</f>
        <v>&lt;/ValeurCellule&gt;</v>
      </c>
    </row>
    <row r="4508" spans="1:1" x14ac:dyDescent="0.2">
      <c r="A4508" s="996" t="str">
        <f>CONCATENATE(Programme!D4509,Programme!E4509,Programme!F4509,Programme!G4509,Programme!H4509,Programme!I4509,Programme!J4509)</f>
        <v>&lt;ValeurCellule&gt;</v>
      </c>
    </row>
    <row r="4509" spans="1:1" x14ac:dyDescent="0.2">
      <c r="A4509" s="996" t="str">
        <f>CONCATENATE(Programme!D4510,Programme!E4510,Programme!F4510,Programme!G4510,Programme!H4510,Programme!I4510,Programme!J4510)</f>
        <v>&lt;cellule&gt;</v>
      </c>
    </row>
    <row r="4510" spans="1:1" x14ac:dyDescent="0.2">
      <c r="A4510" s="996" t="str">
        <f>CONCATENATE(Programme!D4511,Programme!E4511,Programme!F4511,Programme!G4511,Programme!H4511,Programme!I4511,Programme!J4511)</f>
        <v>&lt;codeEdi&gt;1313&lt;/codeEdi&gt;</v>
      </c>
    </row>
    <row r="4511" spans="1:1" x14ac:dyDescent="0.2">
      <c r="A4511" s="996" t="str">
        <f>CONCATENATE(Programme!D4512,Programme!E4512,Programme!F4512,Programme!G4512,Programme!H4512,Programme!I4512,Programme!J4512)</f>
        <v>&lt;/cellule&gt;</v>
      </c>
    </row>
    <row r="4512" spans="1:1" x14ac:dyDescent="0.2">
      <c r="A4512" s="996" t="str">
        <f>CONCATENATE(Programme!D4513,Programme!E4513,Programme!F4513,Programme!G4513,Programme!H4513,Programme!I4513,Programme!J4513)</f>
        <v>&lt;valeur&gt;0&lt;/valeur&gt;</v>
      </c>
    </row>
    <row r="4513" spans="1:1" x14ac:dyDescent="0.2">
      <c r="A4513" s="996" t="str">
        <f>CONCATENATE(Programme!D4514,Programme!E4514,Programme!F4514,Programme!G4514,Programme!H4514,Programme!I4514,Programme!J4514)</f>
        <v>&lt;/ValeurCellule&gt;</v>
      </c>
    </row>
    <row r="4514" spans="1:1" x14ac:dyDescent="0.2">
      <c r="A4514" s="996" t="str">
        <f>CONCATENATE(Programme!D4515,Programme!E4515,Programme!F4515,Programme!G4515,Programme!H4515,Programme!I4515,Programme!J4515)</f>
        <v>&lt;ValeurCellule&gt;</v>
      </c>
    </row>
    <row r="4515" spans="1:1" x14ac:dyDescent="0.2">
      <c r="A4515" s="996" t="str">
        <f>CONCATENATE(Programme!D4516,Programme!E4516,Programme!F4516,Programme!G4516,Programme!H4516,Programme!I4516,Programme!J4516)</f>
        <v>&lt;cellule&gt;</v>
      </c>
    </row>
    <row r="4516" spans="1:1" x14ac:dyDescent="0.2">
      <c r="A4516" s="996" t="str">
        <f>CONCATENATE(Programme!D4517,Programme!E4517,Programme!F4517,Programme!G4517,Programme!H4517,Programme!I4517,Programme!J4517)</f>
        <v>&lt;codeEdi&gt;1314&lt;/codeEdi&gt;</v>
      </c>
    </row>
    <row r="4517" spans="1:1" x14ac:dyDescent="0.2">
      <c r="A4517" s="996" t="str">
        <f>CONCATENATE(Programme!D4518,Programme!E4518,Programme!F4518,Programme!G4518,Programme!H4518,Programme!I4518,Programme!J4518)</f>
        <v>&lt;/cellule&gt;</v>
      </c>
    </row>
    <row r="4518" spans="1:1" x14ac:dyDescent="0.2">
      <c r="A4518" s="996" t="str">
        <f>CONCATENATE(Programme!D4519,Programme!E4519,Programme!F4519,Programme!G4519,Programme!H4519,Programme!I4519,Programme!J4519)</f>
        <v>&lt;valeur&gt;0&lt;/valeur&gt;</v>
      </c>
    </row>
    <row r="4519" spans="1:1" x14ac:dyDescent="0.2">
      <c r="A4519" s="996" t="str">
        <f>CONCATENATE(Programme!D4520,Programme!E4520,Programme!F4520,Programme!G4520,Programme!H4520,Programme!I4520,Programme!J4520)</f>
        <v>&lt;/ValeurCellule&gt;</v>
      </c>
    </row>
    <row r="4520" spans="1:1" x14ac:dyDescent="0.2">
      <c r="A4520" s="996" t="str">
        <f>CONCATENATE(Programme!D4521,Programme!E4521,Programme!F4521,Programme!G4521,Programme!H4521,Programme!I4521,Programme!J4521)</f>
        <v>&lt;ValeurCellule&gt;</v>
      </c>
    </row>
    <row r="4521" spans="1:1" x14ac:dyDescent="0.2">
      <c r="A4521" s="996" t="str">
        <f>CONCATENATE(Programme!D4522,Programme!E4522,Programme!F4522,Programme!G4522,Programme!H4522,Programme!I4522,Programme!J4522)</f>
        <v>&lt;cellule&gt;</v>
      </c>
    </row>
    <row r="4522" spans="1:1" x14ac:dyDescent="0.2">
      <c r="A4522" s="996" t="str">
        <f>CONCATENATE(Programme!D4523,Programme!E4523,Programme!F4523,Programme!G4523,Programme!H4523,Programme!I4523,Programme!J4523)</f>
        <v>&lt;codeEdi&gt;1315&lt;/codeEdi&gt;</v>
      </c>
    </row>
    <row r="4523" spans="1:1" x14ac:dyDescent="0.2">
      <c r="A4523" s="996" t="str">
        <f>CONCATENATE(Programme!D4524,Programme!E4524,Programme!F4524,Programme!G4524,Programme!H4524,Programme!I4524,Programme!J4524)</f>
        <v>&lt;/cellule&gt;</v>
      </c>
    </row>
    <row r="4524" spans="1:1" x14ac:dyDescent="0.2">
      <c r="A4524" s="996" t="str">
        <f>CONCATENATE(Programme!D4525,Programme!E4525,Programme!F4525,Programme!G4525,Programme!H4525,Programme!I4525,Programme!J4525)</f>
        <v>&lt;valeur&gt;0&lt;/valeur&gt;</v>
      </c>
    </row>
    <row r="4525" spans="1:1" x14ac:dyDescent="0.2">
      <c r="A4525" s="996" t="str">
        <f>CONCATENATE(Programme!D4526,Programme!E4526,Programme!F4526,Programme!G4526,Programme!H4526,Programme!I4526,Programme!J4526)</f>
        <v>&lt;/ValeurCellule&gt;</v>
      </c>
    </row>
    <row r="4526" spans="1:1" x14ac:dyDescent="0.2">
      <c r="A4526" s="996" t="str">
        <f>CONCATENATE(Programme!D4527,Programme!E4527,Programme!F4527,Programme!G4527,Programme!H4527,Programme!I4527,Programme!J4527)</f>
        <v>&lt;ValeurCellule&gt;</v>
      </c>
    </row>
    <row r="4527" spans="1:1" x14ac:dyDescent="0.2">
      <c r="A4527" s="996" t="str">
        <f>CONCATENATE(Programme!D4528,Programme!E4528,Programme!F4528,Programme!G4528,Programme!H4528,Programme!I4528,Programme!J4528)</f>
        <v>&lt;cellule&gt;</v>
      </c>
    </row>
    <row r="4528" spans="1:1" x14ac:dyDescent="0.2">
      <c r="A4528" s="996" t="str">
        <f>CONCATENATE(Programme!D4529,Programme!E4529,Programme!F4529,Programme!G4529,Programme!H4529,Programme!I4529,Programme!J4529)</f>
        <v>&lt;codeEdi&gt;1316&lt;/codeEdi&gt;</v>
      </c>
    </row>
    <row r="4529" spans="1:1" x14ac:dyDescent="0.2">
      <c r="A4529" s="996" t="str">
        <f>CONCATENATE(Programme!D4530,Programme!E4530,Programme!F4530,Programme!G4530,Programme!H4530,Programme!I4530,Programme!J4530)</f>
        <v>&lt;/cellule&gt;</v>
      </c>
    </row>
    <row r="4530" spans="1:1" x14ac:dyDescent="0.2">
      <c r="A4530" s="996" t="str">
        <f>CONCATENATE(Programme!D4531,Programme!E4531,Programme!F4531,Programme!G4531,Programme!H4531,Programme!I4531,Programme!J4531)</f>
        <v>&lt;valeur&gt;0&lt;/valeur&gt;</v>
      </c>
    </row>
    <row r="4531" spans="1:1" x14ac:dyDescent="0.2">
      <c r="A4531" s="996" t="str">
        <f>CONCATENATE(Programme!D4532,Programme!E4532,Programme!F4532,Programme!G4532,Programme!H4532,Programme!I4532,Programme!J4532)</f>
        <v>&lt;/ValeurCellule&gt;</v>
      </c>
    </row>
    <row r="4532" spans="1:1" x14ac:dyDescent="0.2">
      <c r="A4532" s="996" t="str">
        <f>CONCATENATE(Programme!D4533,Programme!E4533,Programme!F4533,Programme!G4533,Programme!H4533,Programme!I4533,Programme!J4533)</f>
        <v>&lt;ValeurCellule&gt;</v>
      </c>
    </row>
    <row r="4533" spans="1:1" x14ac:dyDescent="0.2">
      <c r="A4533" s="996" t="str">
        <f>CONCATENATE(Programme!D4534,Programme!E4534,Programme!F4534,Programme!G4534,Programme!H4534,Programme!I4534,Programme!J4534)</f>
        <v>&lt;cellule&gt;</v>
      </c>
    </row>
    <row r="4534" spans="1:1" x14ac:dyDescent="0.2">
      <c r="A4534" s="996" t="str">
        <f>CONCATENATE(Programme!D4535,Programme!E4535,Programme!F4535,Programme!G4535,Programme!H4535,Programme!I4535,Programme!J4535)</f>
        <v>&lt;codeEdi&gt;1317&lt;/codeEdi&gt;</v>
      </c>
    </row>
    <row r="4535" spans="1:1" x14ac:dyDescent="0.2">
      <c r="A4535" s="996" t="str">
        <f>CONCATENATE(Programme!D4536,Programme!E4536,Programme!F4536,Programme!G4536,Programme!H4536,Programme!I4536,Programme!J4536)</f>
        <v>&lt;/cellule&gt;</v>
      </c>
    </row>
    <row r="4536" spans="1:1" x14ac:dyDescent="0.2">
      <c r="A4536" s="996" t="str">
        <f>CONCATENATE(Programme!D4537,Programme!E4537,Programme!F4537,Programme!G4537,Programme!H4537,Programme!I4537,Programme!J4537)</f>
        <v>&lt;valeur&gt;0&lt;/valeur&gt;</v>
      </c>
    </row>
    <row r="4537" spans="1:1" x14ac:dyDescent="0.2">
      <c r="A4537" s="996" t="str">
        <f>CONCATENATE(Programme!D4538,Programme!E4538,Programme!F4538,Programme!G4538,Programme!H4538,Programme!I4538,Programme!J4538)</f>
        <v>&lt;/ValeurCellule&gt;</v>
      </c>
    </row>
    <row r="4538" spans="1:1" x14ac:dyDescent="0.2">
      <c r="A4538" s="996" t="str">
        <f>CONCATENATE(Programme!D4539,Programme!E4539,Programme!F4539,Programme!G4539,Programme!H4539,Programme!I4539,Programme!J4539)</f>
        <v>&lt;ValeurCellule&gt;</v>
      </c>
    </row>
    <row r="4539" spans="1:1" x14ac:dyDescent="0.2">
      <c r="A4539" s="996" t="str">
        <f>CONCATENATE(Programme!D4540,Programme!E4540,Programme!F4540,Programme!G4540,Programme!H4540,Programme!I4540,Programme!J4540)</f>
        <v>&lt;cellule&gt;</v>
      </c>
    </row>
    <row r="4540" spans="1:1" x14ac:dyDescent="0.2">
      <c r="A4540" s="996" t="str">
        <f>CONCATENATE(Programme!D4541,Programme!E4541,Programme!F4541,Programme!G4541,Programme!H4541,Programme!I4541,Programme!J4541)</f>
        <v>&lt;codeEdi&gt;1318&lt;/codeEdi&gt;</v>
      </c>
    </row>
    <row r="4541" spans="1:1" x14ac:dyDescent="0.2">
      <c r="A4541" s="996" t="str">
        <f>CONCATENATE(Programme!D4542,Programme!E4542,Programme!F4542,Programme!G4542,Programme!H4542,Programme!I4542,Programme!J4542)</f>
        <v>&lt;/cellule&gt;</v>
      </c>
    </row>
    <row r="4542" spans="1:1" x14ac:dyDescent="0.2">
      <c r="A4542" s="996" t="str">
        <f>CONCATENATE(Programme!D4543,Programme!E4543,Programme!F4543,Programme!G4543,Programme!H4543,Programme!I4543,Programme!J4543)</f>
        <v>&lt;valeur&gt;0&lt;/valeur&gt;</v>
      </c>
    </row>
    <row r="4543" spans="1:1" x14ac:dyDescent="0.2">
      <c r="A4543" s="996" t="str">
        <f>CONCATENATE(Programme!D4544,Programme!E4544,Programme!F4544,Programme!G4544,Programme!H4544,Programme!I4544,Programme!J4544)</f>
        <v>&lt;/ValeurCellule&gt;</v>
      </c>
    </row>
    <row r="4544" spans="1:1" x14ac:dyDescent="0.2">
      <c r="A4544" s="996" t="str">
        <f>CONCATENATE(Programme!D4545,Programme!E4545,Programme!F4545,Programme!G4545,Programme!H4545,Programme!I4545,Programme!J4545)</f>
        <v>&lt;ValeurCellule&gt;</v>
      </c>
    </row>
    <row r="4545" spans="1:1" x14ac:dyDescent="0.2">
      <c r="A4545" s="996" t="str">
        <f>CONCATENATE(Programme!D4546,Programme!E4546,Programme!F4546,Programme!G4546,Programme!H4546,Programme!I4546,Programme!J4546)</f>
        <v>&lt;cellule&gt;</v>
      </c>
    </row>
    <row r="4546" spans="1:1" x14ac:dyDescent="0.2">
      <c r="A4546" s="996" t="str">
        <f>CONCATENATE(Programme!D4547,Programme!E4547,Programme!F4547,Programme!G4547,Programme!H4547,Programme!I4547,Programme!J4547)</f>
        <v>&lt;codeEdi&gt;1319&lt;/codeEdi&gt;</v>
      </c>
    </row>
    <row r="4547" spans="1:1" x14ac:dyDescent="0.2">
      <c r="A4547" s="996" t="str">
        <f>CONCATENATE(Programme!D4548,Programme!E4548,Programme!F4548,Programme!G4548,Programme!H4548,Programme!I4548,Programme!J4548)</f>
        <v>&lt;/cellule&gt;</v>
      </c>
    </row>
    <row r="4548" spans="1:1" x14ac:dyDescent="0.2">
      <c r="A4548" s="996" t="str">
        <f>CONCATENATE(Programme!D4549,Programme!E4549,Programme!F4549,Programme!G4549,Programme!H4549,Programme!I4549,Programme!J4549)</f>
        <v>&lt;valeur&gt;0&lt;/valeur&gt;</v>
      </c>
    </row>
    <row r="4549" spans="1:1" x14ac:dyDescent="0.2">
      <c r="A4549" s="996" t="str">
        <f>CONCATENATE(Programme!D4550,Programme!E4550,Programme!F4550,Programme!G4550,Programme!H4550,Programme!I4550,Programme!J4550)</f>
        <v>&lt;/ValeurCellule&gt;</v>
      </c>
    </row>
    <row r="4550" spans="1:1" x14ac:dyDescent="0.2">
      <c r="A4550" s="996" t="str">
        <f>CONCATENATE(Programme!D4551,Programme!E4551,Programme!F4551,Programme!G4551,Programme!H4551,Programme!I4551,Programme!J4551)</f>
        <v>&lt;ValeurCellule&gt;</v>
      </c>
    </row>
    <row r="4551" spans="1:1" x14ac:dyDescent="0.2">
      <c r="A4551" s="996" t="str">
        <f>CONCATENATE(Programme!D4552,Programme!E4552,Programme!F4552,Programme!G4552,Programme!H4552,Programme!I4552,Programme!J4552)</f>
        <v>&lt;cellule&gt;</v>
      </c>
    </row>
    <row r="4552" spans="1:1" x14ac:dyDescent="0.2">
      <c r="A4552" s="996" t="str">
        <f>CONCATENATE(Programme!D4553,Programme!E4553,Programme!F4553,Programme!G4553,Programme!H4553,Programme!I4553,Programme!J4553)</f>
        <v>&lt;codeEdi&gt;1320&lt;/codeEdi&gt;</v>
      </c>
    </row>
    <row r="4553" spans="1:1" x14ac:dyDescent="0.2">
      <c r="A4553" s="996" t="str">
        <f>CONCATENATE(Programme!D4554,Programme!E4554,Programme!F4554,Programme!G4554,Programme!H4554,Programme!I4554,Programme!J4554)</f>
        <v>&lt;/cellule&gt;</v>
      </c>
    </row>
    <row r="4554" spans="1:1" x14ac:dyDescent="0.2">
      <c r="A4554" s="996" t="str">
        <f>CONCATENATE(Programme!D4555,Programme!E4555,Programme!F4555,Programme!G4555,Programme!H4555,Programme!I4555,Programme!J4555)</f>
        <v>&lt;valeur&gt;0&lt;/valeur&gt;</v>
      </c>
    </row>
    <row r="4555" spans="1:1" x14ac:dyDescent="0.2">
      <c r="A4555" s="996" t="str">
        <f>CONCATENATE(Programme!D4556,Programme!E4556,Programme!F4556,Programme!G4556,Programme!H4556,Programme!I4556,Programme!J4556)</f>
        <v>&lt;/ValeurCellule&gt;</v>
      </c>
    </row>
    <row r="4556" spans="1:1" x14ac:dyDescent="0.2">
      <c r="A4556" s="996" t="str">
        <f>CONCATENATE(Programme!D4557,Programme!E4557,Programme!F4557,Programme!G4557,Programme!H4557,Programme!I4557,Programme!J4557)</f>
        <v>&lt;ValeurCellule&gt;</v>
      </c>
    </row>
    <row r="4557" spans="1:1" x14ac:dyDescent="0.2">
      <c r="A4557" s="996" t="str">
        <f>CONCATENATE(Programme!D4558,Programme!E4558,Programme!F4558,Programme!G4558,Programme!H4558,Programme!I4558,Programme!J4558)</f>
        <v>&lt;cellule&gt;</v>
      </c>
    </row>
    <row r="4558" spans="1:1" x14ac:dyDescent="0.2">
      <c r="A4558" s="996" t="str">
        <f>CONCATENATE(Programme!D4559,Programme!E4559,Programme!F4559,Programme!G4559,Programme!H4559,Programme!I4559,Programme!J4559)</f>
        <v>&lt;codeEdi&gt;1321&lt;/codeEdi&gt;</v>
      </c>
    </row>
    <row r="4559" spans="1:1" x14ac:dyDescent="0.2">
      <c r="A4559" s="996" t="str">
        <f>CONCATENATE(Programme!D4560,Programme!E4560,Programme!F4560,Programme!G4560,Programme!H4560,Programme!I4560,Programme!J4560)</f>
        <v>&lt;/cellule&gt;</v>
      </c>
    </row>
    <row r="4560" spans="1:1" x14ac:dyDescent="0.2">
      <c r="A4560" s="996" t="str">
        <f>CONCATENATE(Programme!D4561,Programme!E4561,Programme!F4561,Programme!G4561,Programme!H4561,Programme!I4561,Programme!J4561)</f>
        <v>&lt;valeur&gt;0&lt;/valeur&gt;</v>
      </c>
    </row>
    <row r="4561" spans="1:1" x14ac:dyDescent="0.2">
      <c r="A4561" s="996" t="str">
        <f>CONCATENATE(Programme!D4562,Programme!E4562,Programme!F4562,Programme!G4562,Programme!H4562,Programme!I4562,Programme!J4562)</f>
        <v>&lt;/ValeurCellule&gt;</v>
      </c>
    </row>
    <row r="4562" spans="1:1" x14ac:dyDescent="0.2">
      <c r="A4562" s="996" t="str">
        <f>CONCATENATE(Programme!D4563,Programme!E4563,Programme!F4563,Programme!G4563,Programme!H4563,Programme!I4563,Programme!J4563)</f>
        <v>&lt;ValeurCellule&gt;</v>
      </c>
    </row>
    <row r="4563" spans="1:1" x14ac:dyDescent="0.2">
      <c r="A4563" s="996" t="str">
        <f>CONCATENATE(Programme!D4564,Programme!E4564,Programme!F4564,Programme!G4564,Programme!H4564,Programme!I4564,Programme!J4564)</f>
        <v>&lt;cellule&gt;</v>
      </c>
    </row>
    <row r="4564" spans="1:1" x14ac:dyDescent="0.2">
      <c r="A4564" s="996" t="str">
        <f>CONCATENATE(Programme!D4565,Programme!E4565,Programme!F4565,Programme!G4565,Programme!H4565,Programme!I4565,Programme!J4565)</f>
        <v>&lt;codeEdi&gt;1324&lt;/codeEdi&gt;</v>
      </c>
    </row>
    <row r="4565" spans="1:1" x14ac:dyDescent="0.2">
      <c r="A4565" s="996" t="str">
        <f>CONCATENATE(Programme!D4566,Programme!E4566,Programme!F4566,Programme!G4566,Programme!H4566,Programme!I4566,Programme!J4566)</f>
        <v>&lt;/cellule&gt;</v>
      </c>
    </row>
    <row r="4566" spans="1:1" x14ac:dyDescent="0.2">
      <c r="A4566" s="996" t="str">
        <f>CONCATENATE(Programme!D4567,Programme!E4567,Programme!F4567,Programme!G4567,Programme!H4567,Programme!I4567,Programme!J4567)</f>
        <v>&lt;valeur&gt;0&lt;/valeur&gt;</v>
      </c>
    </row>
    <row r="4567" spans="1:1" x14ac:dyDescent="0.2">
      <c r="A4567" s="996" t="str">
        <f>CONCATENATE(Programme!D4568,Programme!E4568,Programme!F4568,Programme!G4568,Programme!H4568,Programme!I4568,Programme!J4568)</f>
        <v>&lt;/ValeurCellule&gt;</v>
      </c>
    </row>
    <row r="4568" spans="1:1" x14ac:dyDescent="0.2">
      <c r="A4568" s="996" t="str">
        <f>CONCATENATE(Programme!D4569,Programme!E4569,Programme!F4569,Programme!G4569,Programme!H4569,Programme!I4569,Programme!J4569)</f>
        <v>&lt;ValeurCellule&gt;</v>
      </c>
    </row>
    <row r="4569" spans="1:1" x14ac:dyDescent="0.2">
      <c r="A4569" s="996" t="str">
        <f>CONCATENATE(Programme!D4570,Programme!E4570,Programme!F4570,Programme!G4570,Programme!H4570,Programme!I4570,Programme!J4570)</f>
        <v>&lt;cellule&gt;</v>
      </c>
    </row>
    <row r="4570" spans="1:1" x14ac:dyDescent="0.2">
      <c r="A4570" s="996" t="str">
        <f>CONCATENATE(Programme!D4571,Programme!E4571,Programme!F4571,Programme!G4571,Programme!H4571,Programme!I4571,Programme!J4571)</f>
        <v>&lt;codeEdi&gt;1325&lt;/codeEdi&gt;</v>
      </c>
    </row>
    <row r="4571" spans="1:1" x14ac:dyDescent="0.2">
      <c r="A4571" s="996" t="str">
        <f>CONCATENATE(Programme!D4572,Programme!E4572,Programme!F4572,Programme!G4572,Programme!H4572,Programme!I4572,Programme!J4572)</f>
        <v>&lt;/cellule&gt;</v>
      </c>
    </row>
    <row r="4572" spans="1:1" x14ac:dyDescent="0.2">
      <c r="A4572" s="996" t="str">
        <f>CONCATENATE(Programme!D4573,Programme!E4573,Programme!F4573,Programme!G4573,Programme!H4573,Programme!I4573,Programme!J4573)</f>
        <v>&lt;valeur&gt;0&lt;/valeur&gt;</v>
      </c>
    </row>
    <row r="4573" spans="1:1" x14ac:dyDescent="0.2">
      <c r="A4573" s="996" t="str">
        <f>CONCATENATE(Programme!D4574,Programme!E4574,Programme!F4574,Programme!G4574,Programme!H4574,Programme!I4574,Programme!J4574)</f>
        <v>&lt;/ValeurCellule&gt;</v>
      </c>
    </row>
    <row r="4574" spans="1:1" x14ac:dyDescent="0.2">
      <c r="A4574" s="996" t="str">
        <f>CONCATENATE(Programme!D4575,Programme!E4575,Programme!F4575,Programme!G4575,Programme!H4575,Programme!I4575,Programme!J4575)</f>
        <v>&lt;ValeurCellule&gt;</v>
      </c>
    </row>
    <row r="4575" spans="1:1" x14ac:dyDescent="0.2">
      <c r="A4575" s="996" t="str">
        <f>CONCATENATE(Programme!D4576,Programme!E4576,Programme!F4576,Programme!G4576,Programme!H4576,Programme!I4576,Programme!J4576)</f>
        <v>&lt;cellule&gt;</v>
      </c>
    </row>
    <row r="4576" spans="1:1" x14ac:dyDescent="0.2">
      <c r="A4576" s="996" t="str">
        <f>CONCATENATE(Programme!D4577,Programme!E4577,Programme!F4577,Programme!G4577,Programme!H4577,Programme!I4577,Programme!J4577)</f>
        <v>&lt;codeEdi&gt;1326&lt;/codeEdi&gt;</v>
      </c>
    </row>
    <row r="4577" spans="1:1" x14ac:dyDescent="0.2">
      <c r="A4577" s="996" t="str">
        <f>CONCATENATE(Programme!D4578,Programme!E4578,Programme!F4578,Programme!G4578,Programme!H4578,Programme!I4578,Programme!J4578)</f>
        <v>&lt;/cellule&gt;</v>
      </c>
    </row>
    <row r="4578" spans="1:1" x14ac:dyDescent="0.2">
      <c r="A4578" s="996" t="str">
        <f>CONCATENATE(Programme!D4579,Programme!E4579,Programme!F4579,Programme!G4579,Programme!H4579,Programme!I4579,Programme!J4579)</f>
        <v>&lt;valeur&gt;0&lt;/valeur&gt;</v>
      </c>
    </row>
    <row r="4579" spans="1:1" x14ac:dyDescent="0.2">
      <c r="A4579" s="996" t="str">
        <f>CONCATENATE(Programme!D4580,Programme!E4580,Programme!F4580,Programme!G4580,Programme!H4580,Programme!I4580,Programme!J4580)</f>
        <v>&lt;/ValeurCellule&gt;</v>
      </c>
    </row>
    <row r="4580" spans="1:1" x14ac:dyDescent="0.2">
      <c r="A4580" s="996" t="str">
        <f>CONCATENATE(Programme!D4581,Programme!E4581,Programme!F4581,Programme!G4581,Programme!H4581,Programme!I4581,Programme!J4581)</f>
        <v>&lt;ValeurCellule&gt;</v>
      </c>
    </row>
    <row r="4581" spans="1:1" x14ac:dyDescent="0.2">
      <c r="A4581" s="996" t="str">
        <f>CONCATENATE(Programme!D4582,Programme!E4582,Programme!F4582,Programme!G4582,Programme!H4582,Programme!I4582,Programme!J4582)</f>
        <v>&lt;cellule&gt;</v>
      </c>
    </row>
    <row r="4582" spans="1:1" x14ac:dyDescent="0.2">
      <c r="A4582" s="996" t="str">
        <f>CONCATENATE(Programme!D4583,Programme!E4583,Programme!F4583,Programme!G4583,Programme!H4583,Programme!I4583,Programme!J4583)</f>
        <v>&lt;codeEdi&gt;1327&lt;/codeEdi&gt;</v>
      </c>
    </row>
    <row r="4583" spans="1:1" x14ac:dyDescent="0.2">
      <c r="A4583" s="996" t="str">
        <f>CONCATENATE(Programme!D4584,Programme!E4584,Programme!F4584,Programme!G4584,Programme!H4584,Programme!I4584,Programme!J4584)</f>
        <v>&lt;/cellule&gt;</v>
      </c>
    </row>
    <row r="4584" spans="1:1" x14ac:dyDescent="0.2">
      <c r="A4584" s="996" t="str">
        <f>CONCATENATE(Programme!D4585,Programme!E4585,Programme!F4585,Programme!G4585,Programme!H4585,Programme!I4585,Programme!J4585)</f>
        <v>&lt;valeur&gt;0&lt;/valeur&gt;</v>
      </c>
    </row>
    <row r="4585" spans="1:1" x14ac:dyDescent="0.2">
      <c r="A4585" s="996" t="str">
        <f>CONCATENATE(Programme!D4586,Programme!E4586,Programme!F4586,Programme!G4586,Programme!H4586,Programme!I4586,Programme!J4586)</f>
        <v>&lt;/ValeurCellule&gt;</v>
      </c>
    </row>
    <row r="4586" spans="1:1" x14ac:dyDescent="0.2">
      <c r="A4586" s="996" t="str">
        <f>CONCATENATE(Programme!D4587,Programme!E4587,Programme!F4587,Programme!G4587,Programme!H4587,Programme!I4587,Programme!J4587)</f>
        <v>&lt;ValeurCellule&gt;</v>
      </c>
    </row>
    <row r="4587" spans="1:1" x14ac:dyDescent="0.2">
      <c r="A4587" s="996" t="str">
        <f>CONCATENATE(Programme!D4588,Programme!E4588,Programme!F4588,Programme!G4588,Programme!H4588,Programme!I4588,Programme!J4588)</f>
        <v>&lt;cellule&gt;</v>
      </c>
    </row>
    <row r="4588" spans="1:1" x14ac:dyDescent="0.2">
      <c r="A4588" s="996" t="str">
        <f>CONCATENATE(Programme!D4589,Programme!E4589,Programme!F4589,Programme!G4589,Programme!H4589,Programme!I4589,Programme!J4589)</f>
        <v>&lt;codeEdi&gt;1328&lt;/codeEdi&gt;</v>
      </c>
    </row>
    <row r="4589" spans="1:1" x14ac:dyDescent="0.2">
      <c r="A4589" s="996" t="str">
        <f>CONCATENATE(Programme!D4590,Programme!E4590,Programme!F4590,Programme!G4590,Programme!H4590,Programme!I4590,Programme!J4590)</f>
        <v>&lt;/cellule&gt;</v>
      </c>
    </row>
    <row r="4590" spans="1:1" x14ac:dyDescent="0.2">
      <c r="A4590" s="996" t="str">
        <f>CONCATENATE(Programme!D4591,Programme!E4591,Programme!F4591,Programme!G4591,Programme!H4591,Programme!I4591,Programme!J4591)</f>
        <v>&lt;valeur&gt;0&lt;/valeur&gt;</v>
      </c>
    </row>
    <row r="4591" spans="1:1" x14ac:dyDescent="0.2">
      <c r="A4591" s="996" t="str">
        <f>CONCATENATE(Programme!D4592,Programme!E4592,Programme!F4592,Programme!G4592,Programme!H4592,Programme!I4592,Programme!J4592)</f>
        <v>&lt;/ValeurCellule&gt;</v>
      </c>
    </row>
    <row r="4592" spans="1:1" x14ac:dyDescent="0.2">
      <c r="A4592" s="996" t="str">
        <f>CONCATENATE(Programme!D4593,Programme!E4593,Programme!F4593,Programme!G4593,Programme!H4593,Programme!I4593,Programme!J4593)</f>
        <v>&lt;ValeurCellule&gt;</v>
      </c>
    </row>
    <row r="4593" spans="1:1" x14ac:dyDescent="0.2">
      <c r="A4593" s="996" t="str">
        <f>CONCATENATE(Programme!D4594,Programme!E4594,Programme!F4594,Programme!G4594,Programme!H4594,Programme!I4594,Programme!J4594)</f>
        <v>&lt;cellule&gt;</v>
      </c>
    </row>
    <row r="4594" spans="1:1" x14ac:dyDescent="0.2">
      <c r="A4594" s="996" t="str">
        <f>CONCATENATE(Programme!D4595,Programme!E4595,Programme!F4595,Programme!G4595,Programme!H4595,Programme!I4595,Programme!J4595)</f>
        <v>&lt;codeEdi&gt;1329&lt;/codeEdi&gt;</v>
      </c>
    </row>
    <row r="4595" spans="1:1" x14ac:dyDescent="0.2">
      <c r="A4595" s="996" t="str">
        <f>CONCATENATE(Programme!D4596,Programme!E4596,Programme!F4596,Programme!G4596,Programme!H4596,Programme!I4596,Programme!J4596)</f>
        <v>&lt;/cellule&gt;</v>
      </c>
    </row>
    <row r="4596" spans="1:1" x14ac:dyDescent="0.2">
      <c r="A4596" s="996" t="str">
        <f>CONCATENATE(Programme!D4597,Programme!E4597,Programme!F4597,Programme!G4597,Programme!H4597,Programme!I4597,Programme!J4597)</f>
        <v>&lt;valeur&gt;0&lt;/valeur&gt;</v>
      </c>
    </row>
    <row r="4597" spans="1:1" x14ac:dyDescent="0.2">
      <c r="A4597" s="996" t="str">
        <f>CONCATENATE(Programme!D4598,Programme!E4598,Programme!F4598,Programme!G4598,Programme!H4598,Programme!I4598,Programme!J4598)</f>
        <v>&lt;/ValeurCellule&gt;</v>
      </c>
    </row>
    <row r="4598" spans="1:1" x14ac:dyDescent="0.2">
      <c r="A4598" s="996" t="str">
        <f>CONCATENATE(Programme!D4599,Programme!E4599,Programme!F4599,Programme!G4599,Programme!H4599,Programme!I4599,Programme!J4599)</f>
        <v>&lt;ValeurCellule&gt;</v>
      </c>
    </row>
    <row r="4599" spans="1:1" x14ac:dyDescent="0.2">
      <c r="A4599" s="996" t="str">
        <f>CONCATENATE(Programme!D4600,Programme!E4600,Programme!F4600,Programme!G4600,Programme!H4600,Programme!I4600,Programme!J4600)</f>
        <v>&lt;cellule&gt;</v>
      </c>
    </row>
    <row r="4600" spans="1:1" x14ac:dyDescent="0.2">
      <c r="A4600" s="996" t="str">
        <f>CONCATENATE(Programme!D4601,Programme!E4601,Programme!F4601,Programme!G4601,Programme!H4601,Programme!I4601,Programme!J4601)</f>
        <v>&lt;codeEdi&gt;1330&lt;/codeEdi&gt;</v>
      </c>
    </row>
    <row r="4601" spans="1:1" x14ac:dyDescent="0.2">
      <c r="A4601" s="996" t="str">
        <f>CONCATENATE(Programme!D4602,Programme!E4602,Programme!F4602,Programme!G4602,Programme!H4602,Programme!I4602,Programme!J4602)</f>
        <v>&lt;/cellule&gt;</v>
      </c>
    </row>
    <row r="4602" spans="1:1" x14ac:dyDescent="0.2">
      <c r="A4602" s="996" t="str">
        <f>CONCATENATE(Programme!D4603,Programme!E4603,Programme!F4603,Programme!G4603,Programme!H4603,Programme!I4603,Programme!J4603)</f>
        <v>&lt;valeur&gt;0&lt;/valeur&gt;</v>
      </c>
    </row>
    <row r="4603" spans="1:1" x14ac:dyDescent="0.2">
      <c r="A4603" s="996" t="str">
        <f>CONCATENATE(Programme!D4604,Programme!E4604,Programme!F4604,Programme!G4604,Programme!H4604,Programme!I4604,Programme!J4604)</f>
        <v>&lt;/ValeurCellule&gt;</v>
      </c>
    </row>
    <row r="4604" spans="1:1" x14ac:dyDescent="0.2">
      <c r="A4604" s="996" t="str">
        <f>CONCATENATE(Programme!D4605,Programme!E4605,Programme!F4605,Programme!G4605,Programme!H4605,Programme!I4605,Programme!J4605)</f>
        <v>&lt;ValeurCellule&gt;</v>
      </c>
    </row>
    <row r="4605" spans="1:1" x14ac:dyDescent="0.2">
      <c r="A4605" s="996" t="str">
        <f>CONCATENATE(Programme!D4606,Programme!E4606,Programme!F4606,Programme!G4606,Programme!H4606,Programme!I4606,Programme!J4606)</f>
        <v>&lt;cellule&gt;</v>
      </c>
    </row>
    <row r="4606" spans="1:1" x14ac:dyDescent="0.2">
      <c r="A4606" s="996" t="str">
        <f>CONCATENATE(Programme!D4607,Programme!E4607,Programme!F4607,Programme!G4607,Programme!H4607,Programme!I4607,Programme!J4607)</f>
        <v>&lt;codeEdi&gt;1331&lt;/codeEdi&gt;</v>
      </c>
    </row>
    <row r="4607" spans="1:1" x14ac:dyDescent="0.2">
      <c r="A4607" s="996" t="str">
        <f>CONCATENATE(Programme!D4608,Programme!E4608,Programme!F4608,Programme!G4608,Programme!H4608,Programme!I4608,Programme!J4608)</f>
        <v>&lt;/cellule&gt;</v>
      </c>
    </row>
    <row r="4608" spans="1:1" x14ac:dyDescent="0.2">
      <c r="A4608" s="996" t="str">
        <f>CONCATENATE(Programme!D4609,Programme!E4609,Programme!F4609,Programme!G4609,Programme!H4609,Programme!I4609,Programme!J4609)</f>
        <v>&lt;valeur&gt;0&lt;/valeur&gt;</v>
      </c>
    </row>
    <row r="4609" spans="1:1" x14ac:dyDescent="0.2">
      <c r="A4609" s="996" t="str">
        <f>CONCATENATE(Programme!D4610,Programme!E4610,Programme!F4610,Programme!G4610,Programme!H4610,Programme!I4610,Programme!J4610)</f>
        <v>&lt;/ValeurCellule&gt;</v>
      </c>
    </row>
    <row r="4610" spans="1:1" x14ac:dyDescent="0.2">
      <c r="A4610" s="996" t="str">
        <f>CONCATENATE(Programme!D4611,Programme!E4611,Programme!F4611,Programme!G4611,Programme!H4611,Programme!I4611,Programme!J4611)</f>
        <v>&lt;ValeurCellule&gt;</v>
      </c>
    </row>
    <row r="4611" spans="1:1" x14ac:dyDescent="0.2">
      <c r="A4611" s="996" t="str">
        <f>CONCATENATE(Programme!D4612,Programme!E4612,Programme!F4612,Programme!G4612,Programme!H4612,Programme!I4612,Programme!J4612)</f>
        <v>&lt;cellule&gt;</v>
      </c>
    </row>
    <row r="4612" spans="1:1" x14ac:dyDescent="0.2">
      <c r="A4612" s="996" t="str">
        <f>CONCATENATE(Programme!D4613,Programme!E4613,Programme!F4613,Programme!G4613,Programme!H4613,Programme!I4613,Programme!J4613)</f>
        <v>&lt;codeEdi&gt;1332&lt;/codeEdi&gt;</v>
      </c>
    </row>
    <row r="4613" spans="1:1" x14ac:dyDescent="0.2">
      <c r="A4613" s="996" t="str">
        <f>CONCATENATE(Programme!D4614,Programme!E4614,Programme!F4614,Programme!G4614,Programme!H4614,Programme!I4614,Programme!J4614)</f>
        <v>&lt;/cellule&gt;</v>
      </c>
    </row>
    <row r="4614" spans="1:1" x14ac:dyDescent="0.2">
      <c r="A4614" s="996" t="str">
        <f>CONCATENATE(Programme!D4615,Programme!E4615,Programme!F4615,Programme!G4615,Programme!H4615,Programme!I4615,Programme!J4615)</f>
        <v>&lt;valeur&gt;0&lt;/valeur&gt;</v>
      </c>
    </row>
    <row r="4615" spans="1:1" x14ac:dyDescent="0.2">
      <c r="A4615" s="996" t="str">
        <f>CONCATENATE(Programme!D4616,Programme!E4616,Programme!F4616,Programme!G4616,Programme!H4616,Programme!I4616,Programme!J4616)</f>
        <v>&lt;/ValeurCellule&gt;</v>
      </c>
    </row>
    <row r="4616" spans="1:1" x14ac:dyDescent="0.2">
      <c r="A4616" s="996" t="str">
        <f>CONCATENATE(Programme!D4617,Programme!E4617,Programme!F4617,Programme!G4617,Programme!H4617,Programme!I4617,Programme!J4617)</f>
        <v>&lt;ValeurCellule&gt;</v>
      </c>
    </row>
    <row r="4617" spans="1:1" x14ac:dyDescent="0.2">
      <c r="A4617" s="996" t="str">
        <f>CONCATENATE(Programme!D4618,Programme!E4618,Programme!F4618,Programme!G4618,Programme!H4618,Programme!I4618,Programme!J4618)</f>
        <v>&lt;cellule&gt;</v>
      </c>
    </row>
    <row r="4618" spans="1:1" x14ac:dyDescent="0.2">
      <c r="A4618" s="996" t="str">
        <f>CONCATENATE(Programme!D4619,Programme!E4619,Programme!F4619,Programme!G4619,Programme!H4619,Programme!I4619,Programme!J4619)</f>
        <v>&lt;codeEdi&gt;4063&lt;/codeEdi&gt;</v>
      </c>
    </row>
    <row r="4619" spans="1:1" x14ac:dyDescent="0.2">
      <c r="A4619" s="996" t="str">
        <f>CONCATENATE(Programme!D4620,Programme!E4620,Programme!F4620,Programme!G4620,Programme!H4620,Programme!I4620,Programme!J4620)</f>
        <v>&lt;/cellule&gt;</v>
      </c>
    </row>
    <row r="4620" spans="1:1" x14ac:dyDescent="0.2">
      <c r="A4620" s="996" t="str">
        <f>CONCATENATE(Programme!D4621,Programme!E4621,Programme!F4621,Programme!G4621,Programme!H4621,Programme!I4621,Programme!J4621)</f>
        <v>&lt;valeur&gt;0&lt;/valeur&gt;</v>
      </c>
    </row>
    <row r="4621" spans="1:1" x14ac:dyDescent="0.2">
      <c r="A4621" s="996" t="str">
        <f>CONCATENATE(Programme!D4622,Programme!E4622,Programme!F4622,Programme!G4622,Programme!H4622,Programme!I4622,Programme!J4622)</f>
        <v>&lt;/ValeurCellule&gt;</v>
      </c>
    </row>
    <row r="4622" spans="1:1" x14ac:dyDescent="0.2">
      <c r="A4622" s="996" t="str">
        <f>CONCATENATE(Programme!D4623,Programme!E4623,Programme!F4623,Programme!G4623,Programme!H4623,Programme!I4623,Programme!J4623)</f>
        <v>&lt;ValeurCellule&gt;</v>
      </c>
    </row>
    <row r="4623" spans="1:1" x14ac:dyDescent="0.2">
      <c r="A4623" s="996" t="str">
        <f>CONCATENATE(Programme!D4624,Programme!E4624,Programme!F4624,Programme!G4624,Programme!H4624,Programme!I4624,Programme!J4624)</f>
        <v>&lt;cellule&gt;</v>
      </c>
    </row>
    <row r="4624" spans="1:1" x14ac:dyDescent="0.2">
      <c r="A4624" s="996" t="str">
        <f>CONCATENATE(Programme!D4625,Programme!E4625,Programme!F4625,Programme!G4625,Programme!H4625,Programme!I4625,Programme!J4625)</f>
        <v>&lt;codeEdi&gt;4066&lt;/codeEdi&gt;</v>
      </c>
    </row>
    <row r="4625" spans="1:1" x14ac:dyDescent="0.2">
      <c r="A4625" s="996" t="str">
        <f>CONCATENATE(Programme!D4626,Programme!E4626,Programme!F4626,Programme!G4626,Programme!H4626,Programme!I4626,Programme!J4626)</f>
        <v>&lt;/cellule&gt;</v>
      </c>
    </row>
    <row r="4626" spans="1:1" x14ac:dyDescent="0.2">
      <c r="A4626" s="996" t="str">
        <f>CONCATENATE(Programme!D4627,Programme!E4627,Programme!F4627,Programme!G4627,Programme!H4627,Programme!I4627,Programme!J4627)</f>
        <v>&lt;valeur&gt;0&lt;/valeur&gt;</v>
      </c>
    </row>
    <row r="4627" spans="1:1" x14ac:dyDescent="0.2">
      <c r="A4627" s="996" t="str">
        <f>CONCATENATE(Programme!D4628,Programme!E4628,Programme!F4628,Programme!G4628,Programme!H4628,Programme!I4628,Programme!J4628)</f>
        <v>&lt;/ValeurCellule&gt;</v>
      </c>
    </row>
    <row r="4628" spans="1:1" x14ac:dyDescent="0.2">
      <c r="A4628" s="996" t="str">
        <f>CONCATENATE(Programme!D4629,Programme!E4629,Programme!F4629,Programme!G4629,Programme!H4629,Programme!I4629,Programme!J4629)</f>
        <v>&lt;ValeurCellule&gt;</v>
      </c>
    </row>
    <row r="4629" spans="1:1" x14ac:dyDescent="0.2">
      <c r="A4629" s="996" t="str">
        <f>CONCATENATE(Programme!D4630,Programme!E4630,Programme!F4630,Programme!G4630,Programme!H4630,Programme!I4630,Programme!J4630)</f>
        <v>&lt;cellule&gt;</v>
      </c>
    </row>
    <row r="4630" spans="1:1" x14ac:dyDescent="0.2">
      <c r="A4630" s="996" t="str">
        <f>CONCATENATE(Programme!D4631,Programme!E4631,Programme!F4631,Programme!G4631,Programme!H4631,Programme!I4631,Programme!J4631)</f>
        <v>&lt;codeEdi&gt;1333&lt;/codeEdi&gt;</v>
      </c>
    </row>
    <row r="4631" spans="1:1" x14ac:dyDescent="0.2">
      <c r="A4631" s="996" t="str">
        <f>CONCATENATE(Programme!D4632,Programme!E4632,Programme!F4632,Programme!G4632,Programme!H4632,Programme!I4632,Programme!J4632)</f>
        <v>&lt;/cellule&gt;</v>
      </c>
    </row>
    <row r="4632" spans="1:1" x14ac:dyDescent="0.2">
      <c r="A4632" s="996" t="str">
        <f>CONCATENATE(Programme!D4633,Programme!E4633,Programme!F4633,Programme!G4633,Programme!H4633,Programme!I4633,Programme!J4633)</f>
        <v>&lt;valeur&gt;0&lt;/valeur&gt;</v>
      </c>
    </row>
    <row r="4633" spans="1:1" x14ac:dyDescent="0.2">
      <c r="A4633" s="996" t="str">
        <f>CONCATENATE(Programme!D4634,Programme!E4634,Programme!F4634,Programme!G4634,Programme!H4634,Programme!I4634,Programme!J4634)</f>
        <v>&lt;/ValeurCellule&gt;</v>
      </c>
    </row>
    <row r="4634" spans="1:1" x14ac:dyDescent="0.2">
      <c r="A4634" s="996" t="str">
        <f>CONCATENATE(Programme!D4635,Programme!E4635,Programme!F4635,Programme!G4635,Programme!H4635,Programme!I4635,Programme!J4635)</f>
        <v>&lt;ValeurCellule&gt;</v>
      </c>
    </row>
    <row r="4635" spans="1:1" x14ac:dyDescent="0.2">
      <c r="A4635" s="996" t="str">
        <f>CONCATENATE(Programme!D4636,Programme!E4636,Programme!F4636,Programme!G4636,Programme!H4636,Programme!I4636,Programme!J4636)</f>
        <v>&lt;cellule&gt;</v>
      </c>
    </row>
    <row r="4636" spans="1:1" x14ac:dyDescent="0.2">
      <c r="A4636" s="996" t="str">
        <f>CONCATENATE(Programme!D4637,Programme!E4637,Programme!F4637,Programme!G4637,Programme!H4637,Programme!I4637,Programme!J4637)</f>
        <v>&lt;codeEdi&gt;1334&lt;/codeEdi&gt;</v>
      </c>
    </row>
    <row r="4637" spans="1:1" x14ac:dyDescent="0.2">
      <c r="A4637" s="996" t="str">
        <f>CONCATENATE(Programme!D4638,Programme!E4638,Programme!F4638,Programme!G4638,Programme!H4638,Programme!I4638,Programme!J4638)</f>
        <v>&lt;/cellule&gt;</v>
      </c>
    </row>
    <row r="4638" spans="1:1" x14ac:dyDescent="0.2">
      <c r="A4638" s="996" t="str">
        <f>CONCATENATE(Programme!D4639,Programme!E4639,Programme!F4639,Programme!G4639,Programme!H4639,Programme!I4639,Programme!J4639)</f>
        <v>&lt;valeur&gt;0&lt;/valeur&gt;</v>
      </c>
    </row>
    <row r="4639" spans="1:1" x14ac:dyDescent="0.2">
      <c r="A4639" s="996" t="str">
        <f>CONCATENATE(Programme!D4640,Programme!E4640,Programme!F4640,Programme!G4640,Programme!H4640,Programme!I4640,Programme!J4640)</f>
        <v>&lt;/ValeurCellule&gt;</v>
      </c>
    </row>
    <row r="4640" spans="1:1" x14ac:dyDescent="0.2">
      <c r="A4640" s="996" t="str">
        <f>CONCATENATE(Programme!D4641,Programme!E4641,Programme!F4641,Programme!G4641,Programme!H4641,Programme!I4641,Programme!J4641)</f>
        <v>&lt;ValeurCellule&gt;</v>
      </c>
    </row>
    <row r="4641" spans="1:1" x14ac:dyDescent="0.2">
      <c r="A4641" s="996" t="str">
        <f>CONCATENATE(Programme!D4642,Programme!E4642,Programme!F4642,Programme!G4642,Programme!H4642,Programme!I4642,Programme!J4642)</f>
        <v>&lt;cellule&gt;</v>
      </c>
    </row>
    <row r="4642" spans="1:1" x14ac:dyDescent="0.2">
      <c r="A4642" s="996" t="str">
        <f>CONCATENATE(Programme!D4643,Programme!E4643,Programme!F4643,Programme!G4643,Programme!H4643,Programme!I4643,Programme!J4643)</f>
        <v>&lt;codeEdi&gt;1335&lt;/codeEdi&gt;</v>
      </c>
    </row>
    <row r="4643" spans="1:1" x14ac:dyDescent="0.2">
      <c r="A4643" s="996" t="str">
        <f>CONCATENATE(Programme!D4644,Programme!E4644,Programme!F4644,Programme!G4644,Programme!H4644,Programme!I4644,Programme!J4644)</f>
        <v>&lt;/cellule&gt;</v>
      </c>
    </row>
    <row r="4644" spans="1:1" x14ac:dyDescent="0.2">
      <c r="A4644" s="996" t="str">
        <f>CONCATENATE(Programme!D4645,Programme!E4645,Programme!F4645,Programme!G4645,Programme!H4645,Programme!I4645,Programme!J4645)</f>
        <v>&lt;valeur&gt;0&lt;/valeur&gt;</v>
      </c>
    </row>
    <row r="4645" spans="1:1" x14ac:dyDescent="0.2">
      <c r="A4645" s="996" t="str">
        <f>CONCATENATE(Programme!D4646,Programme!E4646,Programme!F4646,Programme!G4646,Programme!H4646,Programme!I4646,Programme!J4646)</f>
        <v>&lt;/ValeurCellule&gt;</v>
      </c>
    </row>
    <row r="4646" spans="1:1" x14ac:dyDescent="0.2">
      <c r="A4646" s="996" t="str">
        <f>CONCATENATE(Programme!D4647,Programme!E4647,Programme!F4647,Programme!G4647,Programme!H4647,Programme!I4647,Programme!J4647)</f>
        <v>&lt;ValeurCellule&gt;</v>
      </c>
    </row>
    <row r="4647" spans="1:1" x14ac:dyDescent="0.2">
      <c r="A4647" s="996" t="str">
        <f>CONCATENATE(Programme!D4648,Programme!E4648,Programme!F4648,Programme!G4648,Programme!H4648,Programme!I4648,Programme!J4648)</f>
        <v>&lt;cellule&gt;</v>
      </c>
    </row>
    <row r="4648" spans="1:1" x14ac:dyDescent="0.2">
      <c r="A4648" s="996" t="str">
        <f>CONCATENATE(Programme!D4649,Programme!E4649,Programme!F4649,Programme!G4649,Programme!H4649,Programme!I4649,Programme!J4649)</f>
        <v>&lt;codeEdi&gt;1336&lt;/codeEdi&gt;</v>
      </c>
    </row>
    <row r="4649" spans="1:1" x14ac:dyDescent="0.2">
      <c r="A4649" s="996" t="str">
        <f>CONCATENATE(Programme!D4650,Programme!E4650,Programme!F4650,Programme!G4650,Programme!H4650,Programme!I4650,Programme!J4650)</f>
        <v>&lt;/cellule&gt;</v>
      </c>
    </row>
    <row r="4650" spans="1:1" x14ac:dyDescent="0.2">
      <c r="A4650" s="996" t="str">
        <f>CONCATENATE(Programme!D4651,Programme!E4651,Programme!F4651,Programme!G4651,Programme!H4651,Programme!I4651,Programme!J4651)</f>
        <v>&lt;valeur&gt;0&lt;/valeur&gt;</v>
      </c>
    </row>
    <row r="4651" spans="1:1" x14ac:dyDescent="0.2">
      <c r="A4651" s="996" t="str">
        <f>CONCATENATE(Programme!D4652,Programme!E4652,Programme!F4652,Programme!G4652,Programme!H4652,Programme!I4652,Programme!J4652)</f>
        <v>&lt;/ValeurCellule&gt;</v>
      </c>
    </row>
    <row r="4652" spans="1:1" x14ac:dyDescent="0.2">
      <c r="A4652" s="996" t="str">
        <f>CONCATENATE(Programme!D4653,Programme!E4653,Programme!F4653,Programme!G4653,Programme!H4653,Programme!I4653,Programme!J4653)</f>
        <v>&lt;ValeurCellule&gt;</v>
      </c>
    </row>
    <row r="4653" spans="1:1" x14ac:dyDescent="0.2">
      <c r="A4653" s="996" t="str">
        <f>CONCATENATE(Programme!D4654,Programme!E4654,Programme!F4654,Programme!G4654,Programme!H4654,Programme!I4654,Programme!J4654)</f>
        <v>&lt;cellule&gt;</v>
      </c>
    </row>
    <row r="4654" spans="1:1" x14ac:dyDescent="0.2">
      <c r="A4654" s="996" t="str">
        <f>CONCATENATE(Programme!D4655,Programme!E4655,Programme!F4655,Programme!G4655,Programme!H4655,Programme!I4655,Programme!J4655)</f>
        <v>&lt;codeEdi&gt;1337&lt;/codeEdi&gt;</v>
      </c>
    </row>
    <row r="4655" spans="1:1" x14ac:dyDescent="0.2">
      <c r="A4655" s="996" t="str">
        <f>CONCATENATE(Programme!D4656,Programme!E4656,Programme!F4656,Programme!G4656,Programme!H4656,Programme!I4656,Programme!J4656)</f>
        <v>&lt;/cellule&gt;</v>
      </c>
    </row>
    <row r="4656" spans="1:1" x14ac:dyDescent="0.2">
      <c r="A4656" s="996" t="str">
        <f>CONCATENATE(Programme!D4657,Programme!E4657,Programme!F4657,Programme!G4657,Programme!H4657,Programme!I4657,Programme!J4657)</f>
        <v>&lt;valeur&gt;0&lt;/valeur&gt;</v>
      </c>
    </row>
    <row r="4657" spans="1:1" x14ac:dyDescent="0.2">
      <c r="A4657" s="996" t="str">
        <f>CONCATENATE(Programme!D4658,Programme!E4658,Programme!F4658,Programme!G4658,Programme!H4658,Programme!I4658,Programme!J4658)</f>
        <v>&lt;/ValeurCellule&gt;</v>
      </c>
    </row>
    <row r="4658" spans="1:1" x14ac:dyDescent="0.2">
      <c r="A4658" s="996" t="str">
        <f>CONCATENATE(Programme!D4659,Programme!E4659,Programme!F4659,Programme!G4659,Programme!H4659,Programme!I4659,Programme!J4659)</f>
        <v>&lt;ValeurCellule&gt;</v>
      </c>
    </row>
    <row r="4659" spans="1:1" x14ac:dyDescent="0.2">
      <c r="A4659" s="996" t="str">
        <f>CONCATENATE(Programme!D4660,Programme!E4660,Programme!F4660,Programme!G4660,Programme!H4660,Programme!I4660,Programme!J4660)</f>
        <v>&lt;cellule&gt;</v>
      </c>
    </row>
    <row r="4660" spans="1:1" x14ac:dyDescent="0.2">
      <c r="A4660" s="996" t="str">
        <f>CONCATENATE(Programme!D4661,Programme!E4661,Programme!F4661,Programme!G4661,Programme!H4661,Programme!I4661,Programme!J4661)</f>
        <v>&lt;codeEdi&gt;1338&lt;/codeEdi&gt;</v>
      </c>
    </row>
    <row r="4661" spans="1:1" x14ac:dyDescent="0.2">
      <c r="A4661" s="996" t="str">
        <f>CONCATENATE(Programme!D4662,Programme!E4662,Programme!F4662,Programme!G4662,Programme!H4662,Programme!I4662,Programme!J4662)</f>
        <v>&lt;/cellule&gt;</v>
      </c>
    </row>
    <row r="4662" spans="1:1" x14ac:dyDescent="0.2">
      <c r="A4662" s="996" t="str">
        <f>CONCATENATE(Programme!D4663,Programme!E4663,Programme!F4663,Programme!G4663,Programme!H4663,Programme!I4663,Programme!J4663)</f>
        <v>&lt;valeur&gt;0&lt;/valeur&gt;</v>
      </c>
    </row>
    <row r="4663" spans="1:1" x14ac:dyDescent="0.2">
      <c r="A4663" s="996" t="str">
        <f>CONCATENATE(Programme!D4664,Programme!E4664,Programme!F4664,Programme!G4664,Programme!H4664,Programme!I4664,Programme!J4664)</f>
        <v>&lt;/ValeurCellule&gt;</v>
      </c>
    </row>
    <row r="4664" spans="1:1" x14ac:dyDescent="0.2">
      <c r="A4664" s="996" t="str">
        <f>CONCATENATE(Programme!D4665,Programme!E4665,Programme!F4665,Programme!G4665,Programme!H4665,Programme!I4665,Programme!J4665)</f>
        <v>&lt;ValeurCellule&gt;</v>
      </c>
    </row>
    <row r="4665" spans="1:1" x14ac:dyDescent="0.2">
      <c r="A4665" s="996" t="str">
        <f>CONCATENATE(Programme!D4666,Programme!E4666,Programme!F4666,Programme!G4666,Programme!H4666,Programme!I4666,Programme!J4666)</f>
        <v>&lt;cellule&gt;</v>
      </c>
    </row>
    <row r="4666" spans="1:1" x14ac:dyDescent="0.2">
      <c r="A4666" s="996" t="str">
        <f>CONCATENATE(Programme!D4667,Programme!E4667,Programme!F4667,Programme!G4667,Programme!H4667,Programme!I4667,Programme!J4667)</f>
        <v>&lt;codeEdi&gt;1339&lt;/codeEdi&gt;</v>
      </c>
    </row>
    <row r="4667" spans="1:1" x14ac:dyDescent="0.2">
      <c r="A4667" s="996" t="str">
        <f>CONCATENATE(Programme!D4668,Programme!E4668,Programme!F4668,Programme!G4668,Programme!H4668,Programme!I4668,Programme!J4668)</f>
        <v>&lt;/cellule&gt;</v>
      </c>
    </row>
    <row r="4668" spans="1:1" x14ac:dyDescent="0.2">
      <c r="A4668" s="996" t="str">
        <f>CONCATENATE(Programme!D4669,Programme!E4669,Programme!F4669,Programme!G4669,Programme!H4669,Programme!I4669,Programme!J4669)</f>
        <v>&lt;valeur&gt;0&lt;/valeur&gt;</v>
      </c>
    </row>
    <row r="4669" spans="1:1" x14ac:dyDescent="0.2">
      <c r="A4669" s="996" t="str">
        <f>CONCATENATE(Programme!D4670,Programme!E4670,Programme!F4670,Programme!G4670,Programme!H4670,Programme!I4670,Programme!J4670)</f>
        <v>&lt;/ValeurCellule&gt;</v>
      </c>
    </row>
    <row r="4670" spans="1:1" x14ac:dyDescent="0.2">
      <c r="A4670" s="996" t="str">
        <f>CONCATENATE(Programme!D4671,Programme!E4671,Programme!F4671,Programme!G4671,Programme!H4671,Programme!I4671,Programme!J4671)</f>
        <v>&lt;ValeurCellule&gt;</v>
      </c>
    </row>
    <row r="4671" spans="1:1" x14ac:dyDescent="0.2">
      <c r="A4671" s="996" t="str">
        <f>CONCATENATE(Programme!D4672,Programme!E4672,Programme!F4672,Programme!G4672,Programme!H4672,Programme!I4672,Programme!J4672)</f>
        <v>&lt;cellule&gt;</v>
      </c>
    </row>
    <row r="4672" spans="1:1" x14ac:dyDescent="0.2">
      <c r="A4672" s="996" t="str">
        <f>CONCATENATE(Programme!D4673,Programme!E4673,Programme!F4673,Programme!G4673,Programme!H4673,Programme!I4673,Programme!J4673)</f>
        <v>&lt;codeEdi&gt;1340&lt;/codeEdi&gt;</v>
      </c>
    </row>
    <row r="4673" spans="1:1" x14ac:dyDescent="0.2">
      <c r="A4673" s="996" t="str">
        <f>CONCATENATE(Programme!D4674,Programme!E4674,Programme!F4674,Programme!G4674,Programme!H4674,Programme!I4674,Programme!J4674)</f>
        <v>&lt;/cellule&gt;</v>
      </c>
    </row>
    <row r="4674" spans="1:1" x14ac:dyDescent="0.2">
      <c r="A4674" s="996" t="str">
        <f>CONCATENATE(Programme!D4675,Programme!E4675,Programme!F4675,Programme!G4675,Programme!H4675,Programme!I4675,Programme!J4675)</f>
        <v>&lt;valeur&gt;0&lt;/valeur&gt;</v>
      </c>
    </row>
    <row r="4675" spans="1:1" x14ac:dyDescent="0.2">
      <c r="A4675" s="996" t="str">
        <f>CONCATENATE(Programme!D4676,Programme!E4676,Programme!F4676,Programme!G4676,Programme!H4676,Programme!I4676,Programme!J4676)</f>
        <v>&lt;/ValeurCellule&gt;</v>
      </c>
    </row>
    <row r="4676" spans="1:1" x14ac:dyDescent="0.2">
      <c r="A4676" s="996" t="str">
        <f>CONCATENATE(Programme!D4677,Programme!E4677,Programme!F4677,Programme!G4677,Programme!H4677,Programme!I4677,Programme!J4677)</f>
        <v>&lt;ValeurCellule&gt;</v>
      </c>
    </row>
    <row r="4677" spans="1:1" x14ac:dyDescent="0.2">
      <c r="A4677" s="996" t="str">
        <f>CONCATENATE(Programme!D4678,Programme!E4678,Programme!F4678,Programme!G4678,Programme!H4678,Programme!I4678,Programme!J4678)</f>
        <v>&lt;cellule&gt;</v>
      </c>
    </row>
    <row r="4678" spans="1:1" x14ac:dyDescent="0.2">
      <c r="A4678" s="996" t="str">
        <f>CONCATENATE(Programme!D4679,Programme!E4679,Programme!F4679,Programme!G4679,Programme!H4679,Programme!I4679,Programme!J4679)</f>
        <v>&lt;codeEdi&gt;1341&lt;/codeEdi&gt;</v>
      </c>
    </row>
    <row r="4679" spans="1:1" x14ac:dyDescent="0.2">
      <c r="A4679" s="996" t="str">
        <f>CONCATENATE(Programme!D4680,Programme!E4680,Programme!F4680,Programme!G4680,Programme!H4680,Programme!I4680,Programme!J4680)</f>
        <v>&lt;/cellule&gt;</v>
      </c>
    </row>
    <row r="4680" spans="1:1" x14ac:dyDescent="0.2">
      <c r="A4680" s="996" t="str">
        <f>CONCATENATE(Programme!D4681,Programme!E4681,Programme!F4681,Programme!G4681,Programme!H4681,Programme!I4681,Programme!J4681)</f>
        <v>&lt;valeur&gt;0&lt;/valeur&gt;</v>
      </c>
    </row>
    <row r="4681" spans="1:1" x14ac:dyDescent="0.2">
      <c r="A4681" s="996" t="str">
        <f>CONCATENATE(Programme!D4682,Programme!E4682,Programme!F4682,Programme!G4682,Programme!H4682,Programme!I4682,Programme!J4682)</f>
        <v>&lt;/ValeurCellule&gt;</v>
      </c>
    </row>
    <row r="4682" spans="1:1" x14ac:dyDescent="0.2">
      <c r="A4682" s="996" t="str">
        <f>CONCATENATE(Programme!D4683,Programme!E4683,Programme!F4683,Programme!G4683,Programme!H4683,Programme!I4683,Programme!J4683)</f>
        <v>&lt;ValeurCellule&gt;</v>
      </c>
    </row>
    <row r="4683" spans="1:1" x14ac:dyDescent="0.2">
      <c r="A4683" s="996" t="str">
        <f>CONCATENATE(Programme!D4684,Programme!E4684,Programme!F4684,Programme!G4684,Programme!H4684,Programme!I4684,Programme!J4684)</f>
        <v>&lt;cellule&gt;</v>
      </c>
    </row>
    <row r="4684" spans="1:1" x14ac:dyDescent="0.2">
      <c r="A4684" s="996" t="str">
        <f>CONCATENATE(Programme!D4685,Programme!E4685,Programme!F4685,Programme!G4685,Programme!H4685,Programme!I4685,Programme!J4685)</f>
        <v>&lt;codeEdi&gt;1342&lt;/codeEdi&gt;</v>
      </c>
    </row>
    <row r="4685" spans="1:1" x14ac:dyDescent="0.2">
      <c r="A4685" s="996" t="str">
        <f>CONCATENATE(Programme!D4686,Programme!E4686,Programme!F4686,Programme!G4686,Programme!H4686,Programme!I4686,Programme!J4686)</f>
        <v>&lt;/cellule&gt;</v>
      </c>
    </row>
    <row r="4686" spans="1:1" x14ac:dyDescent="0.2">
      <c r="A4686" s="996" t="str">
        <f>CONCATENATE(Programme!D4687,Programme!E4687,Programme!F4687,Programme!G4687,Programme!H4687,Programme!I4687,Programme!J4687)</f>
        <v>&lt;valeur&gt;0&lt;/valeur&gt;</v>
      </c>
    </row>
    <row r="4687" spans="1:1" x14ac:dyDescent="0.2">
      <c r="A4687" s="996" t="str">
        <f>CONCATENATE(Programme!D4688,Programme!E4688,Programme!F4688,Programme!G4688,Programme!H4688,Programme!I4688,Programme!J4688)</f>
        <v>&lt;/ValeurCellule&gt;</v>
      </c>
    </row>
    <row r="4688" spans="1:1" x14ac:dyDescent="0.2">
      <c r="A4688" s="996" t="str">
        <f>CONCATENATE(Programme!D4689,Programme!E4689,Programme!F4689,Programme!G4689,Programme!H4689,Programme!I4689,Programme!J4689)</f>
        <v>&lt;ValeurCellule&gt;</v>
      </c>
    </row>
    <row r="4689" spans="1:1" x14ac:dyDescent="0.2">
      <c r="A4689" s="996" t="str">
        <f>CONCATENATE(Programme!D4690,Programme!E4690,Programme!F4690,Programme!G4690,Programme!H4690,Programme!I4690,Programme!J4690)</f>
        <v>&lt;cellule&gt;</v>
      </c>
    </row>
    <row r="4690" spans="1:1" x14ac:dyDescent="0.2">
      <c r="A4690" s="996" t="str">
        <f>CONCATENATE(Programme!D4691,Programme!E4691,Programme!F4691,Programme!G4691,Programme!H4691,Programme!I4691,Programme!J4691)</f>
        <v>&lt;codeEdi&gt;1343&lt;/codeEdi&gt;</v>
      </c>
    </row>
    <row r="4691" spans="1:1" x14ac:dyDescent="0.2">
      <c r="A4691" s="996" t="str">
        <f>CONCATENATE(Programme!D4692,Programme!E4692,Programme!F4692,Programme!G4692,Programme!H4692,Programme!I4692,Programme!J4692)</f>
        <v>&lt;/cellule&gt;</v>
      </c>
    </row>
    <row r="4692" spans="1:1" x14ac:dyDescent="0.2">
      <c r="A4692" s="996" t="str">
        <f>CONCATENATE(Programme!D4693,Programme!E4693,Programme!F4693,Programme!G4693,Programme!H4693,Programme!I4693,Programme!J4693)</f>
        <v>&lt;valeur&gt;0&lt;/valeur&gt;</v>
      </c>
    </row>
    <row r="4693" spans="1:1" x14ac:dyDescent="0.2">
      <c r="A4693" s="996" t="str">
        <f>CONCATENATE(Programme!D4694,Programme!E4694,Programme!F4694,Programme!G4694,Programme!H4694,Programme!I4694,Programme!J4694)</f>
        <v>&lt;/ValeurCellule&gt;</v>
      </c>
    </row>
    <row r="4694" spans="1:1" x14ac:dyDescent="0.2">
      <c r="A4694" s="996" t="str">
        <f>CONCATENATE(Programme!D4695,Programme!E4695,Programme!F4695,Programme!G4695,Programme!H4695,Programme!I4695,Programme!J4695)</f>
        <v>&lt;ValeurCellule&gt;</v>
      </c>
    </row>
    <row r="4695" spans="1:1" x14ac:dyDescent="0.2">
      <c r="A4695" s="996" t="str">
        <f>CONCATENATE(Programme!D4696,Programme!E4696,Programme!F4696,Programme!G4696,Programme!H4696,Programme!I4696,Programme!J4696)</f>
        <v>&lt;cellule&gt;</v>
      </c>
    </row>
    <row r="4696" spans="1:1" x14ac:dyDescent="0.2">
      <c r="A4696" s="996" t="str">
        <f>CONCATENATE(Programme!D4697,Programme!E4697,Programme!F4697,Programme!G4697,Programme!H4697,Programme!I4697,Programme!J4697)</f>
        <v>&lt;codeEdi&gt;1344&lt;/codeEdi&gt;</v>
      </c>
    </row>
    <row r="4697" spans="1:1" x14ac:dyDescent="0.2">
      <c r="A4697" s="996" t="str">
        <f>CONCATENATE(Programme!D4698,Programme!E4698,Programme!F4698,Programme!G4698,Programme!H4698,Programme!I4698,Programme!J4698)</f>
        <v>&lt;/cellule&gt;</v>
      </c>
    </row>
    <row r="4698" spans="1:1" x14ac:dyDescent="0.2">
      <c r="A4698" s="996" t="str">
        <f>CONCATENATE(Programme!D4699,Programme!E4699,Programme!F4699,Programme!G4699,Programme!H4699,Programme!I4699,Programme!J4699)</f>
        <v>&lt;valeur&gt;0&lt;/valeur&gt;</v>
      </c>
    </row>
    <row r="4699" spans="1:1" x14ac:dyDescent="0.2">
      <c r="A4699" s="996" t="str">
        <f>CONCATENATE(Programme!D4700,Programme!E4700,Programme!F4700,Programme!G4700,Programme!H4700,Programme!I4700,Programme!J4700)</f>
        <v>&lt;/ValeurCellule&gt;</v>
      </c>
    </row>
    <row r="4700" spans="1:1" x14ac:dyDescent="0.2">
      <c r="A4700" s="996" t="str">
        <f>CONCATENATE(Programme!D4701,Programme!E4701,Programme!F4701,Programme!G4701,Programme!H4701,Programme!I4701,Programme!J4701)</f>
        <v>&lt;ValeurCellule&gt;</v>
      </c>
    </row>
    <row r="4701" spans="1:1" x14ac:dyDescent="0.2">
      <c r="A4701" s="996" t="str">
        <f>CONCATENATE(Programme!D4702,Programme!E4702,Programme!F4702,Programme!G4702,Programme!H4702,Programme!I4702,Programme!J4702)</f>
        <v>&lt;cellule&gt;</v>
      </c>
    </row>
    <row r="4702" spans="1:1" x14ac:dyDescent="0.2">
      <c r="A4702" s="996" t="str">
        <f>CONCATENATE(Programme!D4703,Programme!E4703,Programme!F4703,Programme!G4703,Programme!H4703,Programme!I4703,Programme!J4703)</f>
        <v>&lt;codeEdi&gt;1345&lt;/codeEdi&gt;</v>
      </c>
    </row>
    <row r="4703" spans="1:1" x14ac:dyDescent="0.2">
      <c r="A4703" s="996" t="str">
        <f>CONCATENATE(Programme!D4704,Programme!E4704,Programme!F4704,Programme!G4704,Programme!H4704,Programme!I4704,Programme!J4704)</f>
        <v>&lt;/cellule&gt;</v>
      </c>
    </row>
    <row r="4704" spans="1:1" x14ac:dyDescent="0.2">
      <c r="A4704" s="996" t="str">
        <f>CONCATENATE(Programme!D4705,Programme!E4705,Programme!F4705,Programme!G4705,Programme!H4705,Programme!I4705,Programme!J4705)</f>
        <v>&lt;valeur&gt;0&lt;/valeur&gt;</v>
      </c>
    </row>
    <row r="4705" spans="1:1" x14ac:dyDescent="0.2">
      <c r="A4705" s="996" t="str">
        <f>CONCATENATE(Programme!D4706,Programme!E4706,Programme!F4706,Programme!G4706,Programme!H4706,Programme!I4706,Programme!J4706)</f>
        <v>&lt;/ValeurCellule&gt;</v>
      </c>
    </row>
    <row r="4706" spans="1:1" x14ac:dyDescent="0.2">
      <c r="A4706" s="996" t="str">
        <f>CONCATENATE(Programme!D4707,Programme!E4707,Programme!F4707,Programme!G4707,Programme!H4707,Programme!I4707,Programme!J4707)</f>
        <v>&lt;ValeurCellule&gt;</v>
      </c>
    </row>
    <row r="4707" spans="1:1" x14ac:dyDescent="0.2">
      <c r="A4707" s="996" t="str">
        <f>CONCATENATE(Programme!D4708,Programme!E4708,Programme!F4708,Programme!G4708,Programme!H4708,Programme!I4708,Programme!J4708)</f>
        <v>&lt;cellule&gt;</v>
      </c>
    </row>
    <row r="4708" spans="1:1" x14ac:dyDescent="0.2">
      <c r="A4708" s="996" t="str">
        <f>CONCATENATE(Programme!D4709,Programme!E4709,Programme!F4709,Programme!G4709,Programme!H4709,Programme!I4709,Programme!J4709)</f>
        <v>&lt;codeEdi&gt;1346&lt;/codeEdi&gt;</v>
      </c>
    </row>
    <row r="4709" spans="1:1" x14ac:dyDescent="0.2">
      <c r="A4709" s="996" t="str">
        <f>CONCATENATE(Programme!D4710,Programme!E4710,Programme!F4710,Programme!G4710,Programme!H4710,Programme!I4710,Programme!J4710)</f>
        <v>&lt;/cellule&gt;</v>
      </c>
    </row>
    <row r="4710" spans="1:1" x14ac:dyDescent="0.2">
      <c r="A4710" s="996" t="str">
        <f>CONCATENATE(Programme!D4711,Programme!E4711,Programme!F4711,Programme!G4711,Programme!H4711,Programme!I4711,Programme!J4711)</f>
        <v>&lt;valeur&gt;0&lt;/valeur&gt;</v>
      </c>
    </row>
    <row r="4711" spans="1:1" x14ac:dyDescent="0.2">
      <c r="A4711" s="996" t="str">
        <f>CONCATENATE(Programme!D4712,Programme!E4712,Programme!F4712,Programme!G4712,Programme!H4712,Programme!I4712,Programme!J4712)</f>
        <v>&lt;/ValeurCellule&gt;</v>
      </c>
    </row>
    <row r="4712" spans="1:1" x14ac:dyDescent="0.2">
      <c r="A4712" s="996" t="str">
        <f>CONCATENATE(Programme!D4713,Programme!E4713,Programme!F4713,Programme!G4713,Programme!H4713,Programme!I4713,Programme!J4713)</f>
        <v>&lt;ValeurCellule&gt;</v>
      </c>
    </row>
    <row r="4713" spans="1:1" x14ac:dyDescent="0.2">
      <c r="A4713" s="996" t="str">
        <f>CONCATENATE(Programme!D4714,Programme!E4714,Programme!F4714,Programme!G4714,Programme!H4714,Programme!I4714,Programme!J4714)</f>
        <v>&lt;cellule&gt;</v>
      </c>
    </row>
    <row r="4714" spans="1:1" x14ac:dyDescent="0.2">
      <c r="A4714" s="996" t="str">
        <f>CONCATENATE(Programme!D4715,Programme!E4715,Programme!F4715,Programme!G4715,Programme!H4715,Programme!I4715,Programme!J4715)</f>
        <v>&lt;codeEdi&gt;1349&lt;/codeEdi&gt;</v>
      </c>
    </row>
    <row r="4715" spans="1:1" x14ac:dyDescent="0.2">
      <c r="A4715" s="996" t="str">
        <f>CONCATENATE(Programme!D4716,Programme!E4716,Programme!F4716,Programme!G4716,Programme!H4716,Programme!I4716,Programme!J4716)</f>
        <v>&lt;/cellule&gt;</v>
      </c>
    </row>
    <row r="4716" spans="1:1" x14ac:dyDescent="0.2">
      <c r="A4716" s="996" t="str">
        <f>CONCATENATE(Programme!D4717,Programme!E4717,Programme!F4717,Programme!G4717,Programme!H4717,Programme!I4717,Programme!J4717)</f>
        <v>&lt;valeur&gt;0&lt;/valeur&gt;</v>
      </c>
    </row>
    <row r="4717" spans="1:1" x14ac:dyDescent="0.2">
      <c r="A4717" s="996" t="str">
        <f>CONCATENATE(Programme!D4718,Programme!E4718,Programme!F4718,Programme!G4718,Programme!H4718,Programme!I4718,Programme!J4718)</f>
        <v>&lt;/ValeurCellule&gt;</v>
      </c>
    </row>
    <row r="4718" spans="1:1" x14ac:dyDescent="0.2">
      <c r="A4718" s="996" t="str">
        <f>CONCATENATE(Programme!D4719,Programme!E4719,Programme!F4719,Programme!G4719,Programme!H4719,Programme!I4719,Programme!J4719)</f>
        <v>&lt;ValeurCellule&gt;</v>
      </c>
    </row>
    <row r="4719" spans="1:1" x14ac:dyDescent="0.2">
      <c r="A4719" s="996" t="str">
        <f>CONCATENATE(Programme!D4720,Programme!E4720,Programme!F4720,Programme!G4720,Programme!H4720,Programme!I4720,Programme!J4720)</f>
        <v>&lt;cellule&gt;</v>
      </c>
    </row>
    <row r="4720" spans="1:1" x14ac:dyDescent="0.2">
      <c r="A4720" s="996" t="str">
        <f>CONCATENATE(Programme!D4721,Programme!E4721,Programme!F4721,Programme!G4721,Programme!H4721,Programme!I4721,Programme!J4721)</f>
        <v>&lt;codeEdi&gt;1350&lt;/codeEdi&gt;</v>
      </c>
    </row>
    <row r="4721" spans="1:1" x14ac:dyDescent="0.2">
      <c r="A4721" s="996" t="str">
        <f>CONCATENATE(Programme!D4722,Programme!E4722,Programme!F4722,Programme!G4722,Programme!H4722,Programme!I4722,Programme!J4722)</f>
        <v>&lt;/cellule&gt;</v>
      </c>
    </row>
    <row r="4722" spans="1:1" x14ac:dyDescent="0.2">
      <c r="A4722" s="996" t="str">
        <f>CONCATENATE(Programme!D4723,Programme!E4723,Programme!F4723,Programme!G4723,Programme!H4723,Programme!I4723,Programme!J4723)</f>
        <v>&lt;valeur&gt;0&lt;/valeur&gt;</v>
      </c>
    </row>
    <row r="4723" spans="1:1" x14ac:dyDescent="0.2">
      <c r="A4723" s="996" t="str">
        <f>CONCATENATE(Programme!D4724,Programme!E4724,Programme!F4724,Programme!G4724,Programme!H4724,Programme!I4724,Programme!J4724)</f>
        <v>&lt;/ValeurCellule&gt;</v>
      </c>
    </row>
    <row r="4724" spans="1:1" x14ac:dyDescent="0.2">
      <c r="A4724" s="996" t="str">
        <f>CONCATENATE(Programme!D4725,Programme!E4725,Programme!F4725,Programme!G4725,Programme!H4725,Programme!I4725,Programme!J4725)</f>
        <v>&lt;ValeurCellule&gt;</v>
      </c>
    </row>
    <row r="4725" spans="1:1" x14ac:dyDescent="0.2">
      <c r="A4725" s="996" t="str">
        <f>CONCATENATE(Programme!D4726,Programme!E4726,Programme!F4726,Programme!G4726,Programme!H4726,Programme!I4726,Programme!J4726)</f>
        <v>&lt;cellule&gt;</v>
      </c>
    </row>
    <row r="4726" spans="1:1" x14ac:dyDescent="0.2">
      <c r="A4726" s="996" t="str">
        <f>CONCATENATE(Programme!D4727,Programme!E4727,Programme!F4727,Programme!G4727,Programme!H4727,Programme!I4727,Programme!J4727)</f>
        <v>&lt;codeEdi&gt;1351&lt;/codeEdi&gt;</v>
      </c>
    </row>
    <row r="4727" spans="1:1" x14ac:dyDescent="0.2">
      <c r="A4727" s="996" t="str">
        <f>CONCATENATE(Programme!D4728,Programme!E4728,Programme!F4728,Programme!G4728,Programme!H4728,Programme!I4728,Programme!J4728)</f>
        <v>&lt;/cellule&gt;</v>
      </c>
    </row>
    <row r="4728" spans="1:1" x14ac:dyDescent="0.2">
      <c r="A4728" s="996" t="str">
        <f>CONCATENATE(Programme!D4729,Programme!E4729,Programme!F4729,Programme!G4729,Programme!H4729,Programme!I4729,Programme!J4729)</f>
        <v>&lt;valeur&gt;0&lt;/valeur&gt;</v>
      </c>
    </row>
    <row r="4729" spans="1:1" x14ac:dyDescent="0.2">
      <c r="A4729" s="996" t="str">
        <f>CONCATENATE(Programme!D4730,Programme!E4730,Programme!F4730,Programme!G4730,Programme!H4730,Programme!I4730,Programme!J4730)</f>
        <v>&lt;/ValeurCellule&gt;</v>
      </c>
    </row>
    <row r="4730" spans="1:1" x14ac:dyDescent="0.2">
      <c r="A4730" s="996" t="str">
        <f>CONCATENATE(Programme!D4731,Programme!E4731,Programme!F4731,Programme!G4731,Programme!H4731,Programme!I4731,Programme!J4731)</f>
        <v>&lt;ValeurCellule&gt;</v>
      </c>
    </row>
    <row r="4731" spans="1:1" x14ac:dyDescent="0.2">
      <c r="A4731" s="996" t="str">
        <f>CONCATENATE(Programme!D4732,Programme!E4732,Programme!F4732,Programme!G4732,Programme!H4732,Programme!I4732,Programme!J4732)</f>
        <v>&lt;cellule&gt;</v>
      </c>
    </row>
    <row r="4732" spans="1:1" x14ac:dyDescent="0.2">
      <c r="A4732" s="996" t="str">
        <f>CONCATENATE(Programme!D4733,Programme!E4733,Programme!F4733,Programme!G4733,Programme!H4733,Programme!I4733,Programme!J4733)</f>
        <v>&lt;codeEdi&gt;1352&lt;/codeEdi&gt;</v>
      </c>
    </row>
    <row r="4733" spans="1:1" x14ac:dyDescent="0.2">
      <c r="A4733" s="996" t="str">
        <f>CONCATENATE(Programme!D4734,Programme!E4734,Programme!F4734,Programme!G4734,Programme!H4734,Programme!I4734,Programme!J4734)</f>
        <v>&lt;/cellule&gt;</v>
      </c>
    </row>
    <row r="4734" spans="1:1" x14ac:dyDescent="0.2">
      <c r="A4734" s="996" t="str">
        <f>CONCATENATE(Programme!D4735,Programme!E4735,Programme!F4735,Programme!G4735,Programme!H4735,Programme!I4735,Programme!J4735)</f>
        <v>&lt;valeur&gt;0&lt;/valeur&gt;</v>
      </c>
    </row>
    <row r="4735" spans="1:1" x14ac:dyDescent="0.2">
      <c r="A4735" s="996" t="str">
        <f>CONCATENATE(Programme!D4736,Programme!E4736,Programme!F4736,Programme!G4736,Programme!H4736,Programme!I4736,Programme!J4736)</f>
        <v>&lt;/ValeurCellule&gt;</v>
      </c>
    </row>
    <row r="4736" spans="1:1" x14ac:dyDescent="0.2">
      <c r="A4736" s="996" t="str">
        <f>CONCATENATE(Programme!D4737,Programme!E4737,Programme!F4737,Programme!G4737,Programme!H4737,Programme!I4737,Programme!J4737)</f>
        <v>&lt;ValeurCellule&gt;</v>
      </c>
    </row>
    <row r="4737" spans="1:1" x14ac:dyDescent="0.2">
      <c r="A4737" s="996" t="str">
        <f>CONCATENATE(Programme!D4738,Programme!E4738,Programme!F4738,Programme!G4738,Programme!H4738,Programme!I4738,Programme!J4738)</f>
        <v>&lt;cellule&gt;</v>
      </c>
    </row>
    <row r="4738" spans="1:1" x14ac:dyDescent="0.2">
      <c r="A4738" s="996" t="str">
        <f>CONCATENATE(Programme!D4739,Programme!E4739,Programme!F4739,Programme!G4739,Programme!H4739,Programme!I4739,Programme!J4739)</f>
        <v>&lt;codeEdi&gt;1353&lt;/codeEdi&gt;</v>
      </c>
    </row>
    <row r="4739" spans="1:1" x14ac:dyDescent="0.2">
      <c r="A4739" s="996" t="str">
        <f>CONCATENATE(Programme!D4740,Programme!E4740,Programme!F4740,Programme!G4740,Programme!H4740,Programme!I4740,Programme!J4740)</f>
        <v>&lt;/cellule&gt;</v>
      </c>
    </row>
    <row r="4740" spans="1:1" x14ac:dyDescent="0.2">
      <c r="A4740" s="996" t="str">
        <f>CONCATENATE(Programme!D4741,Programme!E4741,Programme!F4741,Programme!G4741,Programme!H4741,Programme!I4741,Programme!J4741)</f>
        <v>&lt;valeur&gt;0&lt;/valeur&gt;</v>
      </c>
    </row>
    <row r="4741" spans="1:1" x14ac:dyDescent="0.2">
      <c r="A4741" s="996" t="str">
        <f>CONCATENATE(Programme!D4742,Programme!E4742,Programme!F4742,Programme!G4742,Programme!H4742,Programme!I4742,Programme!J4742)</f>
        <v>&lt;/ValeurCellule&gt;</v>
      </c>
    </row>
    <row r="4742" spans="1:1" x14ac:dyDescent="0.2">
      <c r="A4742" s="996" t="str">
        <f>CONCATENATE(Programme!D4743,Programme!E4743,Programme!F4743,Programme!G4743,Programme!H4743,Programme!I4743,Programme!J4743)</f>
        <v>&lt;ValeurCellule&gt;</v>
      </c>
    </row>
    <row r="4743" spans="1:1" x14ac:dyDescent="0.2">
      <c r="A4743" s="996" t="str">
        <f>CONCATENATE(Programme!D4744,Programme!E4744,Programme!F4744,Programme!G4744,Programme!H4744,Programme!I4744,Programme!J4744)</f>
        <v>&lt;cellule&gt;</v>
      </c>
    </row>
    <row r="4744" spans="1:1" x14ac:dyDescent="0.2">
      <c r="A4744" s="996" t="str">
        <f>CONCATENATE(Programme!D4745,Programme!E4745,Programme!F4745,Programme!G4745,Programme!H4745,Programme!I4745,Programme!J4745)</f>
        <v>&lt;codeEdi&gt;1354&lt;/codeEdi&gt;</v>
      </c>
    </row>
    <row r="4745" spans="1:1" x14ac:dyDescent="0.2">
      <c r="A4745" s="996" t="str">
        <f>CONCATENATE(Programme!D4746,Programme!E4746,Programme!F4746,Programme!G4746,Programme!H4746,Programme!I4746,Programme!J4746)</f>
        <v>&lt;/cellule&gt;</v>
      </c>
    </row>
    <row r="4746" spans="1:1" x14ac:dyDescent="0.2">
      <c r="A4746" s="996" t="str">
        <f>CONCATENATE(Programme!D4747,Programme!E4747,Programme!F4747,Programme!G4747,Programme!H4747,Programme!I4747,Programme!J4747)</f>
        <v>&lt;valeur&gt;0&lt;/valeur&gt;</v>
      </c>
    </row>
    <row r="4747" spans="1:1" x14ac:dyDescent="0.2">
      <c r="A4747" s="996" t="str">
        <f>CONCATENATE(Programme!D4748,Programme!E4748,Programme!F4748,Programme!G4748,Programme!H4748,Programme!I4748,Programme!J4748)</f>
        <v>&lt;/ValeurCellule&gt;</v>
      </c>
    </row>
    <row r="4748" spans="1:1" x14ac:dyDescent="0.2">
      <c r="A4748" s="996" t="str">
        <f>CONCATENATE(Programme!D4749,Programme!E4749,Programme!F4749,Programme!G4749,Programme!H4749,Programme!I4749,Programme!J4749)</f>
        <v>&lt;ValeurCellule&gt;</v>
      </c>
    </row>
    <row r="4749" spans="1:1" x14ac:dyDescent="0.2">
      <c r="A4749" s="996" t="str">
        <f>CONCATENATE(Programme!D4750,Programme!E4750,Programme!F4750,Programme!G4750,Programme!H4750,Programme!I4750,Programme!J4750)</f>
        <v>&lt;cellule&gt;</v>
      </c>
    </row>
    <row r="4750" spans="1:1" x14ac:dyDescent="0.2">
      <c r="A4750" s="996" t="str">
        <f>CONCATENATE(Programme!D4751,Programme!E4751,Programme!F4751,Programme!G4751,Programme!H4751,Programme!I4751,Programme!J4751)</f>
        <v>&lt;codeEdi&gt;1355&lt;/codeEdi&gt;</v>
      </c>
    </row>
    <row r="4751" spans="1:1" x14ac:dyDescent="0.2">
      <c r="A4751" s="996" t="str">
        <f>CONCATENATE(Programme!D4752,Programme!E4752,Programme!F4752,Programme!G4752,Programme!H4752,Programme!I4752,Programme!J4752)</f>
        <v>&lt;/cellule&gt;</v>
      </c>
    </row>
    <row r="4752" spans="1:1" x14ac:dyDescent="0.2">
      <c r="A4752" s="996" t="str">
        <f>CONCATENATE(Programme!D4753,Programme!E4753,Programme!F4753,Programme!G4753,Programme!H4753,Programme!I4753,Programme!J4753)</f>
        <v>&lt;valeur&gt;0&lt;/valeur&gt;</v>
      </c>
    </row>
    <row r="4753" spans="1:1" x14ac:dyDescent="0.2">
      <c r="A4753" s="996" t="str">
        <f>CONCATENATE(Programme!D4754,Programme!E4754,Programme!F4754,Programme!G4754,Programme!H4754,Programme!I4754,Programme!J4754)</f>
        <v>&lt;/ValeurCellule&gt;</v>
      </c>
    </row>
    <row r="4754" spans="1:1" x14ac:dyDescent="0.2">
      <c r="A4754" s="996" t="str">
        <f>CONCATENATE(Programme!D4755,Programme!E4755,Programme!F4755,Programme!G4755,Programme!H4755,Programme!I4755,Programme!J4755)</f>
        <v>&lt;ValeurCellule&gt;</v>
      </c>
    </row>
    <row r="4755" spans="1:1" x14ac:dyDescent="0.2">
      <c r="A4755" s="996" t="str">
        <f>CONCATENATE(Programme!D4756,Programme!E4756,Programme!F4756,Programme!G4756,Programme!H4756,Programme!I4756,Programme!J4756)</f>
        <v>&lt;cellule&gt;</v>
      </c>
    </row>
    <row r="4756" spans="1:1" x14ac:dyDescent="0.2">
      <c r="A4756" s="996" t="str">
        <f>CONCATENATE(Programme!D4757,Programme!E4757,Programme!F4757,Programme!G4757,Programme!H4757,Programme!I4757,Programme!J4757)</f>
        <v>&lt;codeEdi&gt;1356&lt;/codeEdi&gt;</v>
      </c>
    </row>
    <row r="4757" spans="1:1" x14ac:dyDescent="0.2">
      <c r="A4757" s="996" t="str">
        <f>CONCATENATE(Programme!D4758,Programme!E4758,Programme!F4758,Programme!G4758,Programme!H4758,Programme!I4758,Programme!J4758)</f>
        <v>&lt;/cellule&gt;</v>
      </c>
    </row>
    <row r="4758" spans="1:1" x14ac:dyDescent="0.2">
      <c r="A4758" s="996" t="str">
        <f>CONCATENATE(Programme!D4759,Programme!E4759,Programme!F4759,Programme!G4759,Programme!H4759,Programme!I4759,Programme!J4759)</f>
        <v>&lt;valeur&gt;0&lt;/valeur&gt;</v>
      </c>
    </row>
    <row r="4759" spans="1:1" x14ac:dyDescent="0.2">
      <c r="A4759" s="996" t="str">
        <f>CONCATENATE(Programme!D4760,Programme!E4760,Programme!F4760,Programme!G4760,Programme!H4760,Programme!I4760,Programme!J4760)</f>
        <v>&lt;/ValeurCellule&gt;</v>
      </c>
    </row>
    <row r="4760" spans="1:1" x14ac:dyDescent="0.2">
      <c r="A4760" s="996" t="str">
        <f>CONCATENATE(Programme!D4761,Programme!E4761,Programme!F4761,Programme!G4761,Programme!H4761,Programme!I4761,Programme!J4761)</f>
        <v>&lt;ValeurCellule&gt;</v>
      </c>
    </row>
    <row r="4761" spans="1:1" x14ac:dyDescent="0.2">
      <c r="A4761" s="996" t="str">
        <f>CONCATENATE(Programme!D4762,Programme!E4762,Programme!F4762,Programme!G4762,Programme!H4762,Programme!I4762,Programme!J4762)</f>
        <v>&lt;cellule&gt;</v>
      </c>
    </row>
    <row r="4762" spans="1:1" x14ac:dyDescent="0.2">
      <c r="A4762" s="996" t="str">
        <f>CONCATENATE(Programme!D4763,Programme!E4763,Programme!F4763,Programme!G4763,Programme!H4763,Programme!I4763,Programme!J4763)</f>
        <v>&lt;codeEdi&gt;1357&lt;/codeEdi&gt;</v>
      </c>
    </row>
    <row r="4763" spans="1:1" x14ac:dyDescent="0.2">
      <c r="A4763" s="996" t="str">
        <f>CONCATENATE(Programme!D4764,Programme!E4764,Programme!F4764,Programme!G4764,Programme!H4764,Programme!I4764,Programme!J4764)</f>
        <v>&lt;/cellule&gt;</v>
      </c>
    </row>
    <row r="4764" spans="1:1" x14ac:dyDescent="0.2">
      <c r="A4764" s="996" t="str">
        <f>CONCATENATE(Programme!D4765,Programme!E4765,Programme!F4765,Programme!G4765,Programme!H4765,Programme!I4765,Programme!J4765)</f>
        <v>&lt;valeur&gt;0&lt;/valeur&gt;</v>
      </c>
    </row>
    <row r="4765" spans="1:1" x14ac:dyDescent="0.2">
      <c r="A4765" s="996" t="str">
        <f>CONCATENATE(Programme!D4766,Programme!E4766,Programme!F4766,Programme!G4766,Programme!H4766,Programme!I4766,Programme!J4766)</f>
        <v>&lt;/ValeurCellule&gt;</v>
      </c>
    </row>
    <row r="4766" spans="1:1" x14ac:dyDescent="0.2">
      <c r="A4766" s="996" t="str">
        <f>CONCATENATE(Programme!D4767,Programme!E4767,Programme!F4767,Programme!G4767,Programme!H4767,Programme!I4767,Programme!J4767)</f>
        <v>&lt;ValeurCellule&gt;</v>
      </c>
    </row>
    <row r="4767" spans="1:1" x14ac:dyDescent="0.2">
      <c r="A4767" s="996" t="str">
        <f>CONCATENATE(Programme!D4768,Programme!E4768,Programme!F4768,Programme!G4768,Programme!H4768,Programme!I4768,Programme!J4768)</f>
        <v>&lt;cellule&gt;</v>
      </c>
    </row>
    <row r="4768" spans="1:1" x14ac:dyDescent="0.2">
      <c r="A4768" s="996" t="str">
        <f>CONCATENATE(Programme!D4769,Programme!E4769,Programme!F4769,Programme!G4769,Programme!H4769,Programme!I4769,Programme!J4769)</f>
        <v>&lt;codeEdi&gt;4064&lt;/codeEdi&gt;</v>
      </c>
    </row>
    <row r="4769" spans="1:1" x14ac:dyDescent="0.2">
      <c r="A4769" s="996" t="str">
        <f>CONCATENATE(Programme!D4770,Programme!E4770,Programme!F4770,Programme!G4770,Programme!H4770,Programme!I4770,Programme!J4770)</f>
        <v>&lt;/cellule&gt;</v>
      </c>
    </row>
    <row r="4770" spans="1:1" x14ac:dyDescent="0.2">
      <c r="A4770" s="996" t="str">
        <f>CONCATENATE(Programme!D4771,Programme!E4771,Programme!F4771,Programme!G4771,Programme!H4771,Programme!I4771,Programme!J4771)</f>
        <v>&lt;valeur&gt;0&lt;/valeur&gt;</v>
      </c>
    </row>
    <row r="4771" spans="1:1" x14ac:dyDescent="0.2">
      <c r="A4771" s="996" t="str">
        <f>CONCATENATE(Programme!D4772,Programme!E4772,Programme!F4772,Programme!G4772,Programme!H4772,Programme!I4772,Programme!J4772)</f>
        <v>&lt;/ValeurCellule&gt;</v>
      </c>
    </row>
    <row r="4772" spans="1:1" x14ac:dyDescent="0.2">
      <c r="A4772" s="996" t="str">
        <f>CONCATENATE(Programme!D4773,Programme!E4773,Programme!F4773,Programme!G4773,Programme!H4773,Programme!I4773,Programme!J4773)</f>
        <v>&lt;ValeurCellule&gt;</v>
      </c>
    </row>
    <row r="4773" spans="1:1" x14ac:dyDescent="0.2">
      <c r="A4773" s="996" t="str">
        <f>CONCATENATE(Programme!D4774,Programme!E4774,Programme!F4774,Programme!G4774,Programme!H4774,Programme!I4774,Programme!J4774)</f>
        <v>&lt;cellule&gt;</v>
      </c>
    </row>
    <row r="4774" spans="1:1" x14ac:dyDescent="0.2">
      <c r="A4774" s="996" t="str">
        <f>CONCATENATE(Programme!D4775,Programme!E4775,Programme!F4775,Programme!G4775,Programme!H4775,Programme!I4775,Programme!J4775)</f>
        <v>&lt;codeEdi&gt;4067&lt;/codeEdi&gt;</v>
      </c>
    </row>
    <row r="4775" spans="1:1" x14ac:dyDescent="0.2">
      <c r="A4775" s="996" t="str">
        <f>CONCATENATE(Programme!D4776,Programme!E4776,Programme!F4776,Programme!G4776,Programme!H4776,Programme!I4776,Programme!J4776)</f>
        <v>&lt;/cellule&gt;</v>
      </c>
    </row>
    <row r="4776" spans="1:1" x14ac:dyDescent="0.2">
      <c r="A4776" s="996" t="str">
        <f>CONCATENATE(Programme!D4777,Programme!E4777,Programme!F4777,Programme!G4777,Programme!H4777,Programme!I4777,Programme!J4777)</f>
        <v>&lt;valeur&gt;0&lt;/valeur&gt;</v>
      </c>
    </row>
    <row r="4777" spans="1:1" x14ac:dyDescent="0.2">
      <c r="A4777" s="996" t="str">
        <f>CONCATENATE(Programme!D4778,Programme!E4778,Programme!F4778,Programme!G4778,Programme!H4778,Programme!I4778,Programme!J4778)</f>
        <v>&lt;/ValeurCellule&gt;</v>
      </c>
    </row>
    <row r="4778" spans="1:1" x14ac:dyDescent="0.2">
      <c r="A4778" s="996" t="str">
        <f>CONCATENATE(Programme!D4779,Programme!E4779,Programme!F4779,Programme!G4779,Programme!H4779,Programme!I4779,Programme!J4779)</f>
        <v>&lt;ValeurCellule&gt;</v>
      </c>
    </row>
    <row r="4779" spans="1:1" x14ac:dyDescent="0.2">
      <c r="A4779" s="996" t="str">
        <f>CONCATENATE(Programme!D4780,Programme!E4780,Programme!F4780,Programme!G4780,Programme!H4780,Programme!I4780,Programme!J4780)</f>
        <v>&lt;cellule&gt;</v>
      </c>
    </row>
    <row r="4780" spans="1:1" x14ac:dyDescent="0.2">
      <c r="A4780" s="996" t="str">
        <f>CONCATENATE(Programme!D4781,Programme!E4781,Programme!F4781,Programme!G4781,Programme!H4781,Programme!I4781,Programme!J4781)</f>
        <v>&lt;codeEdi&gt;1372&lt;/codeEdi&gt;</v>
      </c>
    </row>
    <row r="4781" spans="1:1" x14ac:dyDescent="0.2">
      <c r="A4781" s="996" t="str">
        <f>CONCATENATE(Programme!D4782,Programme!E4782,Programme!F4782,Programme!G4782,Programme!H4782,Programme!I4782,Programme!J4782)</f>
        <v>&lt;/cellule&gt;</v>
      </c>
    </row>
    <row r="4782" spans="1:1" x14ac:dyDescent="0.2">
      <c r="A4782" s="996" t="str">
        <f>CONCATENATE(Programme!D4783,Programme!E4783,Programme!F4783,Programme!G4783,Programme!H4783,Programme!I4783,Programme!J4783)</f>
        <v>&lt;valeur&gt;&lt;/valeur&gt;</v>
      </c>
    </row>
    <row r="4783" spans="1:1" x14ac:dyDescent="0.2">
      <c r="A4783" s="996" t="str">
        <f>CONCATENATE(Programme!D4784,Programme!E4784,Programme!F4784,Programme!G4784,Programme!H4784,Programme!I4784,Programme!J4784)</f>
        <v>&lt;/ValeurCellule&gt;</v>
      </c>
    </row>
    <row r="4784" spans="1:1" x14ac:dyDescent="0.2">
      <c r="A4784" s="996" t="str">
        <f>CONCATENATE(Programme!D4785,Programme!E4785,Programme!F4785,Programme!G4785,Programme!H4785,Programme!I4785,Programme!J4785)</f>
        <v>&lt;ValeurCellule&gt;</v>
      </c>
    </row>
    <row r="4785" spans="1:1" x14ac:dyDescent="0.2">
      <c r="A4785" s="996" t="str">
        <f>CONCATENATE(Programme!D4786,Programme!E4786,Programme!F4786,Programme!G4786,Programme!H4786,Programme!I4786,Programme!J4786)</f>
        <v>&lt;cellule&gt;</v>
      </c>
    </row>
    <row r="4786" spans="1:1" x14ac:dyDescent="0.2">
      <c r="A4786" s="996" t="str">
        <f>CONCATENATE(Programme!D4787,Programme!E4787,Programme!F4787,Programme!G4787,Programme!H4787,Programme!I4787,Programme!J4787)</f>
        <v>&lt;codeEdi&gt;1373&lt;/codeEdi&gt;</v>
      </c>
    </row>
    <row r="4787" spans="1:1" x14ac:dyDescent="0.2">
      <c r="A4787" s="996" t="str">
        <f>CONCATENATE(Programme!D4788,Programme!E4788,Programme!F4788,Programme!G4788,Programme!H4788,Programme!I4788,Programme!J4788)</f>
        <v>&lt;/cellule&gt;</v>
      </c>
    </row>
    <row r="4788" spans="1:1" x14ac:dyDescent="0.2">
      <c r="A4788" s="996" t="str">
        <f>CONCATENATE(Programme!D4789,Programme!E4789,Programme!F4789,Programme!G4789,Programme!H4789,Programme!I4789,Programme!J4789)</f>
        <v>&lt;valeur&gt;0&lt;/valeur&gt;</v>
      </c>
    </row>
    <row r="4789" spans="1:1" x14ac:dyDescent="0.2">
      <c r="A4789" s="996" t="str">
        <f>CONCATENATE(Programme!D4790,Programme!E4790,Programme!F4790,Programme!G4790,Programme!H4790,Programme!I4790,Programme!J4790)</f>
        <v>&lt;/ValeurCellule&gt;</v>
      </c>
    </row>
    <row r="4790" spans="1:1" x14ac:dyDescent="0.2">
      <c r="A4790" s="996" t="str">
        <f>CONCATENATE(Programme!D4791,Programme!E4791,Programme!F4791,Programme!G4791,Programme!H4791,Programme!I4791,Programme!J4791)</f>
        <v>&lt;ValeurCellule&gt;</v>
      </c>
    </row>
    <row r="4791" spans="1:1" x14ac:dyDescent="0.2">
      <c r="A4791" s="996" t="str">
        <f>CONCATENATE(Programme!D4792,Programme!E4792,Programme!F4792,Programme!G4792,Programme!H4792,Programme!I4792,Programme!J4792)</f>
        <v>&lt;cellule&gt;</v>
      </c>
    </row>
    <row r="4792" spans="1:1" x14ac:dyDescent="0.2">
      <c r="A4792" s="996" t="str">
        <f>CONCATENATE(Programme!D4793,Programme!E4793,Programme!F4793,Programme!G4793,Programme!H4793,Programme!I4793,Programme!J4793)</f>
        <v>&lt;codeEdi&gt;1374&lt;/codeEdi&gt;</v>
      </c>
    </row>
    <row r="4793" spans="1:1" x14ac:dyDescent="0.2">
      <c r="A4793" s="996" t="str">
        <f>CONCATENATE(Programme!D4794,Programme!E4794,Programme!F4794,Programme!G4794,Programme!H4794,Programme!I4794,Programme!J4794)</f>
        <v>&lt;/cellule&gt;</v>
      </c>
    </row>
    <row r="4794" spans="1:1" x14ac:dyDescent="0.2">
      <c r="A4794" s="996" t="str">
        <f>CONCATENATE(Programme!D4795,Programme!E4795,Programme!F4795,Programme!G4795,Programme!H4795,Programme!I4795,Programme!J4795)</f>
        <v>&lt;valeur&gt;0&lt;/valeur&gt;</v>
      </c>
    </row>
    <row r="4795" spans="1:1" x14ac:dyDescent="0.2">
      <c r="A4795" s="996" t="str">
        <f>CONCATENATE(Programme!D4796,Programme!E4796,Programme!F4796,Programme!G4796,Programme!H4796,Programme!I4796,Programme!J4796)</f>
        <v>&lt;/ValeurCellule&gt;</v>
      </c>
    </row>
    <row r="4796" spans="1:1" x14ac:dyDescent="0.2">
      <c r="A4796" s="996" t="str">
        <f>CONCATENATE(Programme!D4797,Programme!E4797,Programme!F4797,Programme!G4797,Programme!H4797,Programme!I4797,Programme!J4797)</f>
        <v>&lt;ValeurCellule&gt;</v>
      </c>
    </row>
    <row r="4797" spans="1:1" x14ac:dyDescent="0.2">
      <c r="A4797" s="996" t="str">
        <f>CONCATENATE(Programme!D4798,Programme!E4798,Programme!F4798,Programme!G4798,Programme!H4798,Programme!I4798,Programme!J4798)</f>
        <v>&lt;cellule&gt;</v>
      </c>
    </row>
    <row r="4798" spans="1:1" x14ac:dyDescent="0.2">
      <c r="A4798" s="996" t="str">
        <f>CONCATENATE(Programme!D4799,Programme!E4799,Programme!F4799,Programme!G4799,Programme!H4799,Programme!I4799,Programme!J4799)</f>
        <v>&lt;codeEdi&gt;1375&lt;/codeEdi&gt;</v>
      </c>
    </row>
    <row r="4799" spans="1:1" x14ac:dyDescent="0.2">
      <c r="A4799" s="996" t="str">
        <f>CONCATENATE(Programme!D4800,Programme!E4800,Programme!F4800,Programme!G4800,Programme!H4800,Programme!I4800,Programme!J4800)</f>
        <v>&lt;/cellule&gt;</v>
      </c>
    </row>
    <row r="4800" spans="1:1" x14ac:dyDescent="0.2">
      <c r="A4800" s="996" t="str">
        <f>CONCATENATE(Programme!D4801,Programme!E4801,Programme!F4801,Programme!G4801,Programme!H4801,Programme!I4801,Programme!J4801)</f>
        <v>&lt;valeur&gt;0&lt;/valeur&gt;</v>
      </c>
    </row>
    <row r="4801" spans="1:1" x14ac:dyDescent="0.2">
      <c r="A4801" s="996" t="str">
        <f>CONCATENATE(Programme!D4802,Programme!E4802,Programme!F4802,Programme!G4802,Programme!H4802,Programme!I4802,Programme!J4802)</f>
        <v>&lt;/ValeurCellule&gt;</v>
      </c>
    </row>
    <row r="4802" spans="1:1" x14ac:dyDescent="0.2">
      <c r="A4802" s="996" t="str">
        <f>CONCATENATE(Programme!D4803,Programme!E4803,Programme!F4803,Programme!G4803,Programme!H4803,Programme!I4803,Programme!J4803)</f>
        <v>&lt;ValeurCellule&gt;</v>
      </c>
    </row>
    <row r="4803" spans="1:1" x14ac:dyDescent="0.2">
      <c r="A4803" s="996" t="str">
        <f>CONCATENATE(Programme!D4804,Programme!E4804,Programme!F4804,Programme!G4804,Programme!H4804,Programme!I4804,Programme!J4804)</f>
        <v>&lt;cellule&gt;</v>
      </c>
    </row>
    <row r="4804" spans="1:1" x14ac:dyDescent="0.2">
      <c r="A4804" s="996" t="str">
        <f>CONCATENATE(Programme!D4805,Programme!E4805,Programme!F4805,Programme!G4805,Programme!H4805,Programme!I4805,Programme!J4805)</f>
        <v>&lt;codeEdi&gt;1376&lt;/codeEdi&gt;</v>
      </c>
    </row>
    <row r="4805" spans="1:1" x14ac:dyDescent="0.2">
      <c r="A4805" s="996" t="str">
        <f>CONCATENATE(Programme!D4806,Programme!E4806,Programme!F4806,Programme!G4806,Programme!H4806,Programme!I4806,Programme!J4806)</f>
        <v>&lt;/cellule&gt;</v>
      </c>
    </row>
    <row r="4806" spans="1:1" x14ac:dyDescent="0.2">
      <c r="A4806" s="996" t="str">
        <f>CONCATENATE(Programme!D4807,Programme!E4807,Programme!F4807,Programme!G4807,Programme!H4807,Programme!I4807,Programme!J4807)</f>
        <v>&lt;valeur&gt;0&lt;/valeur&gt;</v>
      </c>
    </row>
    <row r="4807" spans="1:1" x14ac:dyDescent="0.2">
      <c r="A4807" s="996" t="str">
        <f>CONCATENATE(Programme!D4808,Programme!E4808,Programme!F4808,Programme!G4808,Programme!H4808,Programme!I4808,Programme!J4808)</f>
        <v>&lt;/ValeurCellule&gt;</v>
      </c>
    </row>
    <row r="4808" spans="1:1" x14ac:dyDescent="0.2">
      <c r="A4808" s="996" t="str">
        <f>CONCATENATE(Programme!D4809,Programme!E4809,Programme!F4809,Programme!G4809,Programme!H4809,Programme!I4809,Programme!J4809)</f>
        <v>&lt;ValeurCellule&gt;</v>
      </c>
    </row>
    <row r="4809" spans="1:1" x14ac:dyDescent="0.2">
      <c r="A4809" s="996" t="str">
        <f>CONCATENATE(Programme!D4810,Programme!E4810,Programme!F4810,Programme!G4810,Programme!H4810,Programme!I4810,Programme!J4810)</f>
        <v>&lt;cellule&gt;</v>
      </c>
    </row>
    <row r="4810" spans="1:1" x14ac:dyDescent="0.2">
      <c r="A4810" s="996" t="str">
        <f>CONCATENATE(Programme!D4811,Programme!E4811,Programme!F4811,Programme!G4811,Programme!H4811,Programme!I4811,Programme!J4811)</f>
        <v>&lt;codeEdi&gt;1377&lt;/codeEdi&gt;</v>
      </c>
    </row>
    <row r="4811" spans="1:1" x14ac:dyDescent="0.2">
      <c r="A4811" s="996" t="str">
        <f>CONCATENATE(Programme!D4812,Programme!E4812,Programme!F4812,Programme!G4812,Programme!H4812,Programme!I4812,Programme!J4812)</f>
        <v>&lt;/cellule&gt;</v>
      </c>
    </row>
    <row r="4812" spans="1:1" x14ac:dyDescent="0.2">
      <c r="A4812" s="996" t="str">
        <f>CONCATENATE(Programme!D4813,Programme!E4813,Programme!F4813,Programme!G4813,Programme!H4813,Programme!I4813,Programme!J4813)</f>
        <v>&lt;valeur&gt;0&lt;/valeur&gt;</v>
      </c>
    </row>
    <row r="4813" spans="1:1" x14ac:dyDescent="0.2">
      <c r="A4813" s="996" t="str">
        <f>CONCATENATE(Programme!D4814,Programme!E4814,Programme!F4814,Programme!G4814,Programme!H4814,Programme!I4814,Programme!J4814)</f>
        <v>&lt;/ValeurCellule&gt;</v>
      </c>
    </row>
    <row r="4814" spans="1:1" x14ac:dyDescent="0.2">
      <c r="A4814" s="996" t="str">
        <f>CONCATENATE(Programme!D4815,Programme!E4815,Programme!F4815,Programme!G4815,Programme!H4815,Programme!I4815,Programme!J4815)</f>
        <v>&lt;ValeurCellule&gt;</v>
      </c>
    </row>
    <row r="4815" spans="1:1" x14ac:dyDescent="0.2">
      <c r="A4815" s="996" t="str">
        <f>CONCATENATE(Programme!D4816,Programme!E4816,Programme!F4816,Programme!G4816,Programme!H4816,Programme!I4816,Programme!J4816)</f>
        <v>&lt;cellule&gt;</v>
      </c>
    </row>
    <row r="4816" spans="1:1" x14ac:dyDescent="0.2">
      <c r="A4816" s="996" t="str">
        <f>CONCATENATE(Programme!D4817,Programme!E4817,Programme!F4817,Programme!G4817,Programme!H4817,Programme!I4817,Programme!J4817)</f>
        <v>&lt;codeEdi&gt;1378&lt;/codeEdi&gt;</v>
      </c>
    </row>
    <row r="4817" spans="1:1" x14ac:dyDescent="0.2">
      <c r="A4817" s="996" t="str">
        <f>CONCATENATE(Programme!D4818,Programme!E4818,Programme!F4818,Programme!G4818,Programme!H4818,Programme!I4818,Programme!J4818)</f>
        <v>&lt;/cellule&gt;</v>
      </c>
    </row>
    <row r="4818" spans="1:1" x14ac:dyDescent="0.2">
      <c r="A4818" s="996" t="str">
        <f>CONCATENATE(Programme!D4819,Programme!E4819,Programme!F4819,Programme!G4819,Programme!H4819,Programme!I4819,Programme!J4819)</f>
        <v>&lt;valeur&gt;0&lt;/valeur&gt;</v>
      </c>
    </row>
    <row r="4819" spans="1:1" x14ac:dyDescent="0.2">
      <c r="A4819" s="996" t="str">
        <f>CONCATENATE(Programme!D4820,Programme!E4820,Programme!F4820,Programme!G4820,Programme!H4820,Programme!I4820,Programme!J4820)</f>
        <v>&lt;/ValeurCellule&gt;</v>
      </c>
    </row>
    <row r="4820" spans="1:1" x14ac:dyDescent="0.2">
      <c r="A4820" s="996" t="str">
        <f>CONCATENATE(Programme!D4821,Programme!E4821,Programme!F4821,Programme!G4821,Programme!H4821,Programme!I4821,Programme!J4821)</f>
        <v>&lt;ValeurCellule&gt;</v>
      </c>
    </row>
    <row r="4821" spans="1:1" x14ac:dyDescent="0.2">
      <c r="A4821" s="996" t="str">
        <f>CONCATENATE(Programme!D4822,Programme!E4822,Programme!F4822,Programme!G4822,Programme!H4822,Programme!I4822,Programme!J4822)</f>
        <v>&lt;cellule&gt;</v>
      </c>
    </row>
    <row r="4822" spans="1:1" x14ac:dyDescent="0.2">
      <c r="A4822" s="996" t="str">
        <f>CONCATENATE(Programme!D4823,Programme!E4823,Programme!F4823,Programme!G4823,Programme!H4823,Programme!I4823,Programme!J4823)</f>
        <v>&lt;codeEdi&gt;1379&lt;/codeEdi&gt;</v>
      </c>
    </row>
    <row r="4823" spans="1:1" x14ac:dyDescent="0.2">
      <c r="A4823" s="996" t="str">
        <f>CONCATENATE(Programme!D4824,Programme!E4824,Programme!F4824,Programme!G4824,Programme!H4824,Programme!I4824,Programme!J4824)</f>
        <v>&lt;/cellule&gt;</v>
      </c>
    </row>
    <row r="4824" spans="1:1" x14ac:dyDescent="0.2">
      <c r="A4824" s="996" t="str">
        <f>CONCATENATE(Programme!D4825,Programme!E4825,Programme!F4825,Programme!G4825,Programme!H4825,Programme!I4825,Programme!J4825)</f>
        <v>&lt;valeur&gt;0&lt;/valeur&gt;</v>
      </c>
    </row>
    <row r="4825" spans="1:1" x14ac:dyDescent="0.2">
      <c r="A4825" s="996" t="str">
        <f>CONCATENATE(Programme!D4826,Programme!E4826,Programme!F4826,Programme!G4826,Programme!H4826,Programme!I4826,Programme!J4826)</f>
        <v>&lt;/ValeurCellule&gt;</v>
      </c>
    </row>
    <row r="4826" spans="1:1" x14ac:dyDescent="0.2">
      <c r="A4826" s="996" t="str">
        <f>CONCATENATE(Programme!D4827,Programme!E4827,Programme!F4827,Programme!G4827,Programme!H4827,Programme!I4827,Programme!J4827)</f>
        <v>&lt;ValeurCellule&gt;</v>
      </c>
    </row>
    <row r="4827" spans="1:1" x14ac:dyDescent="0.2">
      <c r="A4827" s="996" t="str">
        <f>CONCATENATE(Programme!D4828,Programme!E4828,Programme!F4828,Programme!G4828,Programme!H4828,Programme!I4828,Programme!J4828)</f>
        <v>&lt;cellule&gt;</v>
      </c>
    </row>
    <row r="4828" spans="1:1" x14ac:dyDescent="0.2">
      <c r="A4828" s="996" t="str">
        <f>CONCATENATE(Programme!D4829,Programme!E4829,Programme!F4829,Programme!G4829,Programme!H4829,Programme!I4829,Programme!J4829)</f>
        <v>&lt;codeEdi&gt;1380&lt;/codeEdi&gt;</v>
      </c>
    </row>
    <row r="4829" spans="1:1" x14ac:dyDescent="0.2">
      <c r="A4829" s="996" t="str">
        <f>CONCATENATE(Programme!D4830,Programme!E4830,Programme!F4830,Programme!G4830,Programme!H4830,Programme!I4830,Programme!J4830)</f>
        <v>&lt;/cellule&gt;</v>
      </c>
    </row>
    <row r="4830" spans="1:1" x14ac:dyDescent="0.2">
      <c r="A4830" s="996" t="str">
        <f>CONCATENATE(Programme!D4831,Programme!E4831,Programme!F4831,Programme!G4831,Programme!H4831,Programme!I4831,Programme!J4831)</f>
        <v>&lt;valeur&gt;0&lt;/valeur&gt;</v>
      </c>
    </row>
    <row r="4831" spans="1:1" x14ac:dyDescent="0.2">
      <c r="A4831" s="996" t="str">
        <f>CONCATENATE(Programme!D4832,Programme!E4832,Programme!F4832,Programme!G4832,Programme!H4832,Programme!I4832,Programme!J4832)</f>
        <v>&lt;/ValeurCellule&gt;</v>
      </c>
    </row>
    <row r="4832" spans="1:1" x14ac:dyDescent="0.2">
      <c r="A4832" s="996" t="str">
        <f>CONCATENATE(Programme!D4833,Programme!E4833,Programme!F4833,Programme!G4833,Programme!H4833,Programme!I4833,Programme!J4833)</f>
        <v>&lt;ValeurCellule&gt;</v>
      </c>
    </row>
    <row r="4833" spans="1:1" x14ac:dyDescent="0.2">
      <c r="A4833" s="996" t="str">
        <f>CONCATENATE(Programme!D4834,Programme!E4834,Programme!F4834,Programme!G4834,Programme!H4834,Programme!I4834,Programme!J4834)</f>
        <v>&lt;cellule&gt;</v>
      </c>
    </row>
    <row r="4834" spans="1:1" x14ac:dyDescent="0.2">
      <c r="A4834" s="996" t="str">
        <f>CONCATENATE(Programme!D4835,Programme!E4835,Programme!F4835,Programme!G4835,Programme!H4835,Programme!I4835,Programme!J4835)</f>
        <v>&lt;codeEdi&gt;1381&lt;/codeEdi&gt;</v>
      </c>
    </row>
    <row r="4835" spans="1:1" x14ac:dyDescent="0.2">
      <c r="A4835" s="996" t="str">
        <f>CONCATENATE(Programme!D4836,Programme!E4836,Programme!F4836,Programme!G4836,Programme!H4836,Programme!I4836,Programme!J4836)</f>
        <v>&lt;/cellule&gt;</v>
      </c>
    </row>
    <row r="4836" spans="1:1" x14ac:dyDescent="0.2">
      <c r="A4836" s="996" t="str">
        <f>CONCATENATE(Programme!D4837,Programme!E4837,Programme!F4837,Programme!G4837,Programme!H4837,Programme!I4837,Programme!J4837)</f>
        <v>&lt;valeur&gt;0&lt;/valeur&gt;</v>
      </c>
    </row>
    <row r="4837" spans="1:1" x14ac:dyDescent="0.2">
      <c r="A4837" s="996" t="str">
        <f>CONCATENATE(Programme!D4838,Programme!E4838,Programme!F4838,Programme!G4838,Programme!H4838,Programme!I4838,Programme!J4838)</f>
        <v>&lt;/ValeurCellule&gt;</v>
      </c>
    </row>
    <row r="4838" spans="1:1" x14ac:dyDescent="0.2">
      <c r="A4838" s="996" t="str">
        <f>CONCATENATE(Programme!D4839,Programme!E4839,Programme!F4839,Programme!G4839,Programme!H4839,Programme!I4839,Programme!J4839)</f>
        <v>&lt;ValeurCellule&gt;</v>
      </c>
    </row>
    <row r="4839" spans="1:1" x14ac:dyDescent="0.2">
      <c r="A4839" s="996" t="str">
        <f>CONCATENATE(Programme!D4840,Programme!E4840,Programme!F4840,Programme!G4840,Programme!H4840,Programme!I4840,Programme!J4840)</f>
        <v>&lt;cellule&gt;</v>
      </c>
    </row>
    <row r="4840" spans="1:1" x14ac:dyDescent="0.2">
      <c r="A4840" s="996" t="str">
        <f>CONCATENATE(Programme!D4841,Programme!E4841,Programme!F4841,Programme!G4841,Programme!H4841,Programme!I4841,Programme!J4841)</f>
        <v>&lt;codeEdi&gt;1382&lt;/codeEdi&gt;</v>
      </c>
    </row>
    <row r="4841" spans="1:1" x14ac:dyDescent="0.2">
      <c r="A4841" s="996" t="str">
        <f>CONCATENATE(Programme!D4842,Programme!E4842,Programme!F4842,Programme!G4842,Programme!H4842,Programme!I4842,Programme!J4842)</f>
        <v>&lt;/cellule&gt;</v>
      </c>
    </row>
    <row r="4842" spans="1:1" x14ac:dyDescent="0.2">
      <c r="A4842" s="996" t="str">
        <f>CONCATENATE(Programme!D4843,Programme!E4843,Programme!F4843,Programme!G4843,Programme!H4843,Programme!I4843,Programme!J4843)</f>
        <v>&lt;valeur&gt;0&lt;/valeur&gt;</v>
      </c>
    </row>
    <row r="4843" spans="1:1" x14ac:dyDescent="0.2">
      <c r="A4843" s="996" t="str">
        <f>CONCATENATE(Programme!D4844,Programme!E4844,Programme!F4844,Programme!G4844,Programme!H4844,Programme!I4844,Programme!J4844)</f>
        <v>&lt;/ValeurCellule&gt;</v>
      </c>
    </row>
    <row r="4844" spans="1:1" x14ac:dyDescent="0.2">
      <c r="A4844" s="996" t="str">
        <f>CONCATENATE(Programme!D4845,Programme!E4845,Programme!F4845,Programme!G4845,Programme!H4845,Programme!I4845,Programme!J4845)</f>
        <v>&lt;ValeurCellule&gt;</v>
      </c>
    </row>
    <row r="4845" spans="1:1" x14ac:dyDescent="0.2">
      <c r="A4845" s="996" t="str">
        <f>CONCATENATE(Programme!D4846,Programme!E4846,Programme!F4846,Programme!G4846,Programme!H4846,Programme!I4846,Programme!J4846)</f>
        <v>&lt;cellule&gt;</v>
      </c>
    </row>
    <row r="4846" spans="1:1" x14ac:dyDescent="0.2">
      <c r="A4846" s="996" t="str">
        <f>CONCATENATE(Programme!D4847,Programme!E4847,Programme!F4847,Programme!G4847,Programme!H4847,Programme!I4847,Programme!J4847)</f>
        <v>&lt;codeEdi&gt;1383&lt;/codeEdi&gt;</v>
      </c>
    </row>
    <row r="4847" spans="1:1" x14ac:dyDescent="0.2">
      <c r="A4847" s="996" t="str">
        <f>CONCATENATE(Programme!D4848,Programme!E4848,Programme!F4848,Programme!G4848,Programme!H4848,Programme!I4848,Programme!J4848)</f>
        <v>&lt;/cellule&gt;</v>
      </c>
    </row>
    <row r="4848" spans="1:1" x14ac:dyDescent="0.2">
      <c r="A4848" s="996" t="str">
        <f>CONCATENATE(Programme!D4849,Programme!E4849,Programme!F4849,Programme!G4849,Programme!H4849,Programme!I4849,Programme!J4849)</f>
        <v>&lt;valeur&gt;0&lt;/valeur&gt;</v>
      </c>
    </row>
    <row r="4849" spans="1:1" x14ac:dyDescent="0.2">
      <c r="A4849" s="996" t="str">
        <f>CONCATENATE(Programme!D4850,Programme!E4850,Programme!F4850,Programme!G4850,Programme!H4850,Programme!I4850,Programme!J4850)</f>
        <v>&lt;/ValeurCellule&gt;</v>
      </c>
    </row>
    <row r="4850" spans="1:1" x14ac:dyDescent="0.2">
      <c r="A4850" s="996" t="str">
        <f>CONCATENATE(Programme!D4851,Programme!E4851,Programme!F4851,Programme!G4851,Programme!H4851,Programme!I4851,Programme!J4851)</f>
        <v>&lt;ValeurCellule&gt;</v>
      </c>
    </row>
    <row r="4851" spans="1:1" x14ac:dyDescent="0.2">
      <c r="A4851" s="996" t="str">
        <f>CONCATENATE(Programme!D4852,Programme!E4852,Programme!F4852,Programme!G4852,Programme!H4852,Programme!I4852,Programme!J4852)</f>
        <v>&lt;cellule&gt;</v>
      </c>
    </row>
    <row r="4852" spans="1:1" x14ac:dyDescent="0.2">
      <c r="A4852" s="996" t="str">
        <f>CONCATENATE(Programme!D4853,Programme!E4853,Programme!F4853,Programme!G4853,Programme!H4853,Programme!I4853,Programme!J4853)</f>
        <v>&lt;codeEdi&gt;1384&lt;/codeEdi&gt;</v>
      </c>
    </row>
    <row r="4853" spans="1:1" x14ac:dyDescent="0.2">
      <c r="A4853" s="996" t="str">
        <f>CONCATENATE(Programme!D4854,Programme!E4854,Programme!F4854,Programme!G4854,Programme!H4854,Programme!I4854,Programme!J4854)</f>
        <v>&lt;/cellule&gt;</v>
      </c>
    </row>
    <row r="4854" spans="1:1" x14ac:dyDescent="0.2">
      <c r="A4854" s="996" t="str">
        <f>CONCATENATE(Programme!D4855,Programme!E4855,Programme!F4855,Programme!G4855,Programme!H4855,Programme!I4855,Programme!J4855)</f>
        <v>&lt;valeur&gt;&lt;/valeur&gt;</v>
      </c>
    </row>
    <row r="4855" spans="1:1" x14ac:dyDescent="0.2">
      <c r="A4855" s="996" t="str">
        <f>CONCATENATE(Programme!D4856,Programme!E4856,Programme!F4856,Programme!G4856,Programme!H4856,Programme!I4856,Programme!J4856)</f>
        <v>&lt;/ValeurCellule&gt;</v>
      </c>
    </row>
    <row r="4856" spans="1:1" x14ac:dyDescent="0.2">
      <c r="A4856" s="996" t="str">
        <f>CONCATENATE(Programme!D4857,Programme!E4857,Programme!F4857,Programme!G4857,Programme!H4857,Programme!I4857,Programme!J4857)</f>
        <v>&lt;ValeurCellule&gt;</v>
      </c>
    </row>
    <row r="4857" spans="1:1" x14ac:dyDescent="0.2">
      <c r="A4857" s="996" t="str">
        <f>CONCATENATE(Programme!D4858,Programme!E4858,Programme!F4858,Programme!G4858,Programme!H4858,Programme!I4858,Programme!J4858)</f>
        <v>&lt;cellule&gt;</v>
      </c>
    </row>
    <row r="4858" spans="1:1" x14ac:dyDescent="0.2">
      <c r="A4858" s="996" t="str">
        <f>CONCATENATE(Programme!D4859,Programme!E4859,Programme!F4859,Programme!G4859,Programme!H4859,Programme!I4859,Programme!J4859)</f>
        <v>&lt;codeEdi&gt;1385&lt;/codeEdi&gt;</v>
      </c>
    </row>
    <row r="4859" spans="1:1" x14ac:dyDescent="0.2">
      <c r="A4859" s="996" t="str">
        <f>CONCATENATE(Programme!D4860,Programme!E4860,Programme!F4860,Programme!G4860,Programme!H4860,Programme!I4860,Programme!J4860)</f>
        <v>&lt;/cellule&gt;</v>
      </c>
    </row>
    <row r="4860" spans="1:1" x14ac:dyDescent="0.2">
      <c r="A4860" s="996" t="str">
        <f>CONCATENATE(Programme!D4861,Programme!E4861,Programme!F4861,Programme!G4861,Programme!H4861,Programme!I4861,Programme!J4861)</f>
        <v>&lt;valeur&gt;0&lt;/valeur&gt;</v>
      </c>
    </row>
    <row r="4861" spans="1:1" x14ac:dyDescent="0.2">
      <c r="A4861" s="996" t="str">
        <f>CONCATENATE(Programme!D4862,Programme!E4862,Programme!F4862,Programme!G4862,Programme!H4862,Programme!I4862,Programme!J4862)</f>
        <v>&lt;/ValeurCellule&gt;</v>
      </c>
    </row>
    <row r="4862" spans="1:1" x14ac:dyDescent="0.2">
      <c r="A4862" s="996" t="str">
        <f>CONCATENATE(Programme!D4863,Programme!E4863,Programme!F4863,Programme!G4863,Programme!H4863,Programme!I4863,Programme!J4863)</f>
        <v>&lt;ValeurCellule&gt;</v>
      </c>
    </row>
    <row r="4863" spans="1:1" x14ac:dyDescent="0.2">
      <c r="A4863" s="996" t="str">
        <f>CONCATENATE(Programme!D4864,Programme!E4864,Programme!F4864,Programme!G4864,Programme!H4864,Programme!I4864,Programme!J4864)</f>
        <v>&lt;cellule&gt;</v>
      </c>
    </row>
    <row r="4864" spans="1:1" x14ac:dyDescent="0.2">
      <c r="A4864" s="996" t="str">
        <f>CONCATENATE(Programme!D4865,Programme!E4865,Programme!F4865,Programme!G4865,Programme!H4865,Programme!I4865,Programme!J4865)</f>
        <v>&lt;codeEdi&gt;1386&lt;/codeEdi&gt;</v>
      </c>
    </row>
    <row r="4865" spans="1:1" x14ac:dyDescent="0.2">
      <c r="A4865" s="996" t="str">
        <f>CONCATENATE(Programme!D4866,Programme!E4866,Programme!F4866,Programme!G4866,Programme!H4866,Programme!I4866,Programme!J4866)</f>
        <v>&lt;/cellule&gt;</v>
      </c>
    </row>
    <row r="4866" spans="1:1" x14ac:dyDescent="0.2">
      <c r="A4866" s="996" t="str">
        <f>CONCATENATE(Programme!D4867,Programme!E4867,Programme!F4867,Programme!G4867,Programme!H4867,Programme!I4867,Programme!J4867)</f>
        <v>&lt;valeur&gt;&lt;/valeur&gt;</v>
      </c>
    </row>
    <row r="4867" spans="1:1" x14ac:dyDescent="0.2">
      <c r="A4867" s="996" t="str">
        <f>CONCATENATE(Programme!D4868,Programme!E4868,Programme!F4868,Programme!G4868,Programme!H4868,Programme!I4868,Programme!J4868)</f>
        <v>&lt;/ValeurCellule&gt;</v>
      </c>
    </row>
    <row r="4868" spans="1:1" x14ac:dyDescent="0.2">
      <c r="A4868" s="996" t="str">
        <f>CONCATENATE(Programme!D4869,Programme!E4869,Programme!F4869,Programme!G4869,Programme!H4869,Programme!I4869,Programme!J4869)</f>
        <v>&lt;ValeurCellule&gt;</v>
      </c>
    </row>
    <row r="4869" spans="1:1" x14ac:dyDescent="0.2">
      <c r="A4869" s="996" t="str">
        <f>CONCATENATE(Programme!D4870,Programme!E4870,Programme!F4870,Programme!G4870,Programme!H4870,Programme!I4870,Programme!J4870)</f>
        <v>&lt;cellule&gt;</v>
      </c>
    </row>
    <row r="4870" spans="1:1" x14ac:dyDescent="0.2">
      <c r="A4870" s="996" t="str">
        <f>CONCATENATE(Programme!D4871,Programme!E4871,Programme!F4871,Programme!G4871,Programme!H4871,Programme!I4871,Programme!J4871)</f>
        <v>&lt;codeEdi&gt;1387&lt;/codeEdi&gt;</v>
      </c>
    </row>
    <row r="4871" spans="1:1" x14ac:dyDescent="0.2">
      <c r="A4871" s="996" t="str">
        <f>CONCATENATE(Programme!D4872,Programme!E4872,Programme!F4872,Programme!G4872,Programme!H4872,Programme!I4872,Programme!J4872)</f>
        <v>&lt;/cellule&gt;</v>
      </c>
    </row>
    <row r="4872" spans="1:1" x14ac:dyDescent="0.2">
      <c r="A4872" s="996" t="str">
        <f>CONCATENATE(Programme!D4873,Programme!E4873,Programme!F4873,Programme!G4873,Programme!H4873,Programme!I4873,Programme!J4873)</f>
        <v>&lt;valeur&gt;0&lt;/valeur&gt;</v>
      </c>
    </row>
    <row r="4873" spans="1:1" x14ac:dyDescent="0.2">
      <c r="A4873" s="996" t="str">
        <f>CONCATENATE(Programme!D4874,Programme!E4874,Programme!F4874,Programme!G4874,Programme!H4874,Programme!I4874,Programme!J4874)</f>
        <v>&lt;/ValeurCellule&gt;</v>
      </c>
    </row>
    <row r="4874" spans="1:1" x14ac:dyDescent="0.2">
      <c r="A4874" s="996" t="str">
        <f>CONCATENATE(Programme!D4875,Programme!E4875,Programme!F4875,Programme!G4875,Programme!H4875,Programme!I4875,Programme!J4875)</f>
        <v>&lt;ValeurCellule&gt;</v>
      </c>
    </row>
    <row r="4875" spans="1:1" x14ac:dyDescent="0.2">
      <c r="A4875" s="996" t="str">
        <f>CONCATENATE(Programme!D4876,Programme!E4876,Programme!F4876,Programme!G4876,Programme!H4876,Programme!I4876,Programme!J4876)</f>
        <v>&lt;cellule&gt;</v>
      </c>
    </row>
    <row r="4876" spans="1:1" x14ac:dyDescent="0.2">
      <c r="A4876" s="996" t="str">
        <f>CONCATENATE(Programme!D4877,Programme!E4877,Programme!F4877,Programme!G4877,Programme!H4877,Programme!I4877,Programme!J4877)</f>
        <v>&lt;codeEdi&gt;1388&lt;/codeEdi&gt;</v>
      </c>
    </row>
    <row r="4877" spans="1:1" x14ac:dyDescent="0.2">
      <c r="A4877" s="996" t="str">
        <f>CONCATENATE(Programme!D4878,Programme!E4878,Programme!F4878,Programme!G4878,Programme!H4878,Programme!I4878,Programme!J4878)</f>
        <v>&lt;/cellule&gt;</v>
      </c>
    </row>
    <row r="4878" spans="1:1" x14ac:dyDescent="0.2">
      <c r="A4878" s="996" t="str">
        <f>CONCATENATE(Programme!D4879,Programme!E4879,Programme!F4879,Programme!G4879,Programme!H4879,Programme!I4879,Programme!J4879)</f>
        <v>&lt;valeur&gt;0&lt;/valeur&gt;</v>
      </c>
    </row>
    <row r="4879" spans="1:1" x14ac:dyDescent="0.2">
      <c r="A4879" s="996" t="str">
        <f>CONCATENATE(Programme!D4880,Programme!E4880,Programme!F4880,Programme!G4880,Programme!H4880,Programme!I4880,Programme!J4880)</f>
        <v>&lt;/ValeurCellule&gt;</v>
      </c>
    </row>
    <row r="4880" spans="1:1" x14ac:dyDescent="0.2">
      <c r="A4880" s="996" t="str">
        <f>CONCATENATE(Programme!D4881,Programme!E4881,Programme!F4881,Programme!G4881,Programme!H4881,Programme!I4881,Programme!J4881)</f>
        <v>&lt;ValeurCellule&gt;</v>
      </c>
    </row>
    <row r="4881" spans="1:1" x14ac:dyDescent="0.2">
      <c r="A4881" s="996" t="str">
        <f>CONCATENATE(Programme!D4882,Programme!E4882,Programme!F4882,Programme!G4882,Programme!H4882,Programme!I4882,Programme!J4882)</f>
        <v>&lt;cellule&gt;</v>
      </c>
    </row>
    <row r="4882" spans="1:1" x14ac:dyDescent="0.2">
      <c r="A4882" s="996" t="str">
        <f>CONCATENATE(Programme!D4883,Programme!E4883,Programme!F4883,Programme!G4883,Programme!H4883,Programme!I4883,Programme!J4883)</f>
        <v>&lt;codeEdi&gt;1389&lt;/codeEdi&gt;</v>
      </c>
    </row>
    <row r="4883" spans="1:1" x14ac:dyDescent="0.2">
      <c r="A4883" s="996" t="str">
        <f>CONCATENATE(Programme!D4884,Programme!E4884,Programme!F4884,Programme!G4884,Programme!H4884,Programme!I4884,Programme!J4884)</f>
        <v>&lt;/cellule&gt;</v>
      </c>
    </row>
    <row r="4884" spans="1:1" x14ac:dyDescent="0.2">
      <c r="A4884" s="996" t="str">
        <f>CONCATENATE(Programme!D4885,Programme!E4885,Programme!F4885,Programme!G4885,Programme!H4885,Programme!I4885,Programme!J4885)</f>
        <v>&lt;valeur&gt;0&lt;/valeur&gt;</v>
      </c>
    </row>
    <row r="4885" spans="1:1" x14ac:dyDescent="0.2">
      <c r="A4885" s="996" t="str">
        <f>CONCATENATE(Programme!D4886,Programme!E4886,Programme!F4886,Programme!G4886,Programme!H4886,Programme!I4886,Programme!J4886)</f>
        <v>&lt;/ValeurCellule&gt;</v>
      </c>
    </row>
    <row r="4886" spans="1:1" x14ac:dyDescent="0.2">
      <c r="A4886" s="996" t="str">
        <f>CONCATENATE(Programme!D4887,Programme!E4887,Programme!F4887,Programme!G4887,Programme!H4887,Programme!I4887,Programme!J4887)</f>
        <v>&lt;ValeurCellule&gt;</v>
      </c>
    </row>
    <row r="4887" spans="1:1" x14ac:dyDescent="0.2">
      <c r="A4887" s="996" t="str">
        <f>CONCATENATE(Programme!D4888,Programme!E4888,Programme!F4888,Programme!G4888,Programme!H4888,Programme!I4888,Programme!J4888)</f>
        <v>&lt;cellule&gt;</v>
      </c>
    </row>
    <row r="4888" spans="1:1" x14ac:dyDescent="0.2">
      <c r="A4888" s="996" t="str">
        <f>CONCATENATE(Programme!D4889,Programme!E4889,Programme!F4889,Programme!G4889,Programme!H4889,Programme!I4889,Programme!J4889)</f>
        <v>&lt;codeEdi&gt;1390&lt;/codeEdi&gt;</v>
      </c>
    </row>
    <row r="4889" spans="1:1" x14ac:dyDescent="0.2">
      <c r="A4889" s="996" t="str">
        <f>CONCATENATE(Programme!D4890,Programme!E4890,Programme!F4890,Programme!G4890,Programme!H4890,Programme!I4890,Programme!J4890)</f>
        <v>&lt;/cellule&gt;</v>
      </c>
    </row>
    <row r="4890" spans="1:1" x14ac:dyDescent="0.2">
      <c r="A4890" s="996" t="str">
        <f>CONCATENATE(Programme!D4891,Programme!E4891,Programme!F4891,Programme!G4891,Programme!H4891,Programme!I4891,Programme!J4891)</f>
        <v>&lt;valeur&gt;0&lt;/valeur&gt;</v>
      </c>
    </row>
    <row r="4891" spans="1:1" x14ac:dyDescent="0.2">
      <c r="A4891" s="996" t="str">
        <f>CONCATENATE(Programme!D4892,Programme!E4892,Programme!F4892,Programme!G4892,Programme!H4892,Programme!I4892,Programme!J4892)</f>
        <v>&lt;/ValeurCellule&gt;</v>
      </c>
    </row>
    <row r="4892" spans="1:1" x14ac:dyDescent="0.2">
      <c r="A4892" s="996" t="str">
        <f>CONCATENATE(Programme!D4893,Programme!E4893,Programme!F4893,Programme!G4893,Programme!H4893,Programme!I4893,Programme!J4893)</f>
        <v>&lt;ValeurCellule&gt;</v>
      </c>
    </row>
    <row r="4893" spans="1:1" x14ac:dyDescent="0.2">
      <c r="A4893" s="996" t="str">
        <f>CONCATENATE(Programme!D4894,Programme!E4894,Programme!F4894,Programme!G4894,Programme!H4894,Programme!I4894,Programme!J4894)</f>
        <v>&lt;cellule&gt;</v>
      </c>
    </row>
    <row r="4894" spans="1:1" x14ac:dyDescent="0.2">
      <c r="A4894" s="996" t="str">
        <f>CONCATENATE(Programme!D4895,Programme!E4895,Programme!F4895,Programme!G4895,Programme!H4895,Programme!I4895,Programme!J4895)</f>
        <v>&lt;codeEdi&gt;1391&lt;/codeEdi&gt;</v>
      </c>
    </row>
    <row r="4895" spans="1:1" x14ac:dyDescent="0.2">
      <c r="A4895" s="996" t="str">
        <f>CONCATENATE(Programme!D4896,Programme!E4896,Programme!F4896,Programme!G4896,Programme!H4896,Programme!I4896,Programme!J4896)</f>
        <v>&lt;/cellule&gt;</v>
      </c>
    </row>
    <row r="4896" spans="1:1" x14ac:dyDescent="0.2">
      <c r="A4896" s="996" t="str">
        <f>CONCATENATE(Programme!D4897,Programme!E4897,Programme!F4897,Programme!G4897,Programme!H4897,Programme!I4897,Programme!J4897)</f>
        <v>&lt;valeur&gt;0&lt;/valeur&gt;</v>
      </c>
    </row>
    <row r="4897" spans="1:1" x14ac:dyDescent="0.2">
      <c r="A4897" s="996" t="str">
        <f>CONCATENATE(Programme!D4898,Programme!E4898,Programme!F4898,Programme!G4898,Programme!H4898,Programme!I4898,Programme!J4898)</f>
        <v>&lt;/ValeurCellule&gt;</v>
      </c>
    </row>
    <row r="4898" spans="1:1" x14ac:dyDescent="0.2">
      <c r="A4898" s="996" t="str">
        <f>CONCATENATE(Programme!D4899,Programme!E4899,Programme!F4899,Programme!G4899,Programme!H4899,Programme!I4899,Programme!J4899)</f>
        <v>&lt;ValeurCellule&gt;</v>
      </c>
    </row>
    <row r="4899" spans="1:1" x14ac:dyDescent="0.2">
      <c r="A4899" s="996" t="str">
        <f>CONCATENATE(Programme!D4900,Programme!E4900,Programme!F4900,Programme!G4900,Programme!H4900,Programme!I4900,Programme!J4900)</f>
        <v>&lt;cellule&gt;</v>
      </c>
    </row>
    <row r="4900" spans="1:1" x14ac:dyDescent="0.2">
      <c r="A4900" s="996" t="str">
        <f>CONCATENATE(Programme!D4901,Programme!E4901,Programme!F4901,Programme!G4901,Programme!H4901,Programme!I4901,Programme!J4901)</f>
        <v>&lt;codeEdi&gt;1392&lt;/codeEdi&gt;</v>
      </c>
    </row>
    <row r="4901" spans="1:1" x14ac:dyDescent="0.2">
      <c r="A4901" s="996" t="str">
        <f>CONCATENATE(Programme!D4902,Programme!E4902,Programme!F4902,Programme!G4902,Programme!H4902,Programme!I4902,Programme!J4902)</f>
        <v>&lt;/cellule&gt;</v>
      </c>
    </row>
    <row r="4902" spans="1:1" x14ac:dyDescent="0.2">
      <c r="A4902" s="996" t="str">
        <f>CONCATENATE(Programme!D4903,Programme!E4903,Programme!F4903,Programme!G4903,Programme!H4903,Programme!I4903,Programme!J4903)</f>
        <v>&lt;valeur&gt;0&lt;/valeur&gt;</v>
      </c>
    </row>
    <row r="4903" spans="1:1" x14ac:dyDescent="0.2">
      <c r="A4903" s="996" t="str">
        <f>CONCATENATE(Programme!D4904,Programme!E4904,Programme!F4904,Programme!G4904,Programme!H4904,Programme!I4904,Programme!J4904)</f>
        <v>&lt;/ValeurCellule&gt;</v>
      </c>
    </row>
    <row r="4904" spans="1:1" x14ac:dyDescent="0.2">
      <c r="A4904" s="996" t="str">
        <f>CONCATENATE(Programme!D4905,Programme!E4905,Programme!F4905,Programme!G4905,Programme!H4905,Programme!I4905,Programme!J4905)</f>
        <v>&lt;ValeurCellule&gt;</v>
      </c>
    </row>
    <row r="4905" spans="1:1" x14ac:dyDescent="0.2">
      <c r="A4905" s="996" t="str">
        <f>CONCATENATE(Programme!D4906,Programme!E4906,Programme!F4906,Programme!G4906,Programme!H4906,Programme!I4906,Programme!J4906)</f>
        <v>&lt;cellule&gt;</v>
      </c>
    </row>
    <row r="4906" spans="1:1" x14ac:dyDescent="0.2">
      <c r="A4906" s="996" t="str">
        <f>CONCATENATE(Programme!D4907,Programme!E4907,Programme!F4907,Programme!G4907,Programme!H4907,Programme!I4907,Programme!J4907)</f>
        <v>&lt;codeEdi&gt;1393&lt;/codeEdi&gt;</v>
      </c>
    </row>
    <row r="4907" spans="1:1" x14ac:dyDescent="0.2">
      <c r="A4907" s="996" t="str">
        <f>CONCATENATE(Programme!D4908,Programme!E4908,Programme!F4908,Programme!G4908,Programme!H4908,Programme!I4908,Programme!J4908)</f>
        <v>&lt;/cellule&gt;</v>
      </c>
    </row>
    <row r="4908" spans="1:1" x14ac:dyDescent="0.2">
      <c r="A4908" s="996" t="str">
        <f>CONCATENATE(Programme!D4909,Programme!E4909,Programme!F4909,Programme!G4909,Programme!H4909,Programme!I4909,Programme!J4909)</f>
        <v>&lt;valeur&gt;0&lt;/valeur&gt;</v>
      </c>
    </row>
    <row r="4909" spans="1:1" x14ac:dyDescent="0.2">
      <c r="A4909" s="996" t="str">
        <f>CONCATENATE(Programme!D4910,Programme!E4910,Programme!F4910,Programme!G4910,Programme!H4910,Programme!I4910,Programme!J4910)</f>
        <v>&lt;/ValeurCellule&gt;</v>
      </c>
    </row>
    <row r="4910" spans="1:1" x14ac:dyDescent="0.2">
      <c r="A4910" s="996" t="str">
        <f>CONCATENATE(Programme!D4911,Programme!E4911,Programme!F4911,Programme!G4911,Programme!H4911,Programme!I4911,Programme!J4911)</f>
        <v>&lt;ValeurCellule&gt;</v>
      </c>
    </row>
    <row r="4911" spans="1:1" x14ac:dyDescent="0.2">
      <c r="A4911" s="996" t="str">
        <f>CONCATENATE(Programme!D4912,Programme!E4912,Programme!F4912,Programme!G4912,Programme!H4912,Programme!I4912,Programme!J4912)</f>
        <v>&lt;cellule&gt;</v>
      </c>
    </row>
    <row r="4912" spans="1:1" x14ac:dyDescent="0.2">
      <c r="A4912" s="996" t="str">
        <f>CONCATENATE(Programme!D4913,Programme!E4913,Programme!F4913,Programme!G4913,Programme!H4913,Programme!I4913,Programme!J4913)</f>
        <v>&lt;codeEdi&gt;1394&lt;/codeEdi&gt;</v>
      </c>
    </row>
    <row r="4913" spans="1:1" x14ac:dyDescent="0.2">
      <c r="A4913" s="996" t="str">
        <f>CONCATENATE(Programme!D4914,Programme!E4914,Programme!F4914,Programme!G4914,Programme!H4914,Programme!I4914,Programme!J4914)</f>
        <v>&lt;/cellule&gt;</v>
      </c>
    </row>
    <row r="4914" spans="1:1" x14ac:dyDescent="0.2">
      <c r="A4914" s="996" t="str">
        <f>CONCATENATE(Programme!D4915,Programme!E4915,Programme!F4915,Programme!G4915,Programme!H4915,Programme!I4915,Programme!J4915)</f>
        <v>&lt;valeur&gt;0&lt;/valeur&gt;</v>
      </c>
    </row>
    <row r="4915" spans="1:1" x14ac:dyDescent="0.2">
      <c r="A4915" s="996" t="str">
        <f>CONCATENATE(Programme!D4916,Programme!E4916,Programme!F4916,Programme!G4916,Programme!H4916,Programme!I4916,Programme!J4916)</f>
        <v>&lt;/ValeurCellule&gt;</v>
      </c>
    </row>
    <row r="4916" spans="1:1" x14ac:dyDescent="0.2">
      <c r="A4916" s="996" t="str">
        <f>CONCATENATE(Programme!D4917,Programme!E4917,Programme!F4917,Programme!G4917,Programme!H4917,Programme!I4917,Programme!J4917)</f>
        <v>&lt;ValeurCellule&gt;</v>
      </c>
    </row>
    <row r="4917" spans="1:1" x14ac:dyDescent="0.2">
      <c r="A4917" s="996" t="str">
        <f>CONCATENATE(Programme!D4918,Programme!E4918,Programme!F4918,Programme!G4918,Programme!H4918,Programme!I4918,Programme!J4918)</f>
        <v>&lt;cellule&gt;</v>
      </c>
    </row>
    <row r="4918" spans="1:1" x14ac:dyDescent="0.2">
      <c r="A4918" s="996" t="str">
        <f>CONCATENATE(Programme!D4919,Programme!E4919,Programme!F4919,Programme!G4919,Programme!H4919,Programme!I4919,Programme!J4919)</f>
        <v>&lt;codeEdi&gt;1395&lt;/codeEdi&gt;</v>
      </c>
    </row>
    <row r="4919" spans="1:1" x14ac:dyDescent="0.2">
      <c r="A4919" s="996" t="str">
        <f>CONCATENATE(Programme!D4920,Programme!E4920,Programme!F4920,Programme!G4920,Programme!H4920,Programme!I4920,Programme!J4920)</f>
        <v>&lt;/cellule&gt;</v>
      </c>
    </row>
    <row r="4920" spans="1:1" x14ac:dyDescent="0.2">
      <c r="A4920" s="996" t="str">
        <f>CONCATENATE(Programme!D4921,Programme!E4921,Programme!F4921,Programme!G4921,Programme!H4921,Programme!I4921,Programme!J4921)</f>
        <v>&lt;valeur&gt;0&lt;/valeur&gt;</v>
      </c>
    </row>
    <row r="4921" spans="1:1" x14ac:dyDescent="0.2">
      <c r="A4921" s="996" t="str">
        <f>CONCATENATE(Programme!D4922,Programme!E4922,Programme!F4922,Programme!G4922,Programme!H4922,Programme!I4922,Programme!J4922)</f>
        <v>&lt;/ValeurCellule&gt;</v>
      </c>
    </row>
    <row r="4922" spans="1:1" x14ac:dyDescent="0.2">
      <c r="A4922" s="996" t="str">
        <f>CONCATENATE(Programme!D4923,Programme!E4923,Programme!F4923,Programme!G4923,Programme!H4923,Programme!I4923,Programme!J4923)</f>
        <v>&lt;ValeurCellule&gt;</v>
      </c>
    </row>
    <row r="4923" spans="1:1" x14ac:dyDescent="0.2">
      <c r="A4923" s="996" t="str">
        <f>CONCATENATE(Programme!D4924,Programme!E4924,Programme!F4924,Programme!G4924,Programme!H4924,Programme!I4924,Programme!J4924)</f>
        <v>&lt;cellule&gt;</v>
      </c>
    </row>
    <row r="4924" spans="1:1" x14ac:dyDescent="0.2">
      <c r="A4924" s="996" t="str">
        <f>CONCATENATE(Programme!D4925,Programme!E4925,Programme!F4925,Programme!G4925,Programme!H4925,Programme!I4925,Programme!J4925)</f>
        <v>&lt;codeEdi&gt;1396&lt;/codeEdi&gt;</v>
      </c>
    </row>
    <row r="4925" spans="1:1" x14ac:dyDescent="0.2">
      <c r="A4925" s="996" t="str">
        <f>CONCATENATE(Programme!D4926,Programme!E4926,Programme!F4926,Programme!G4926,Programme!H4926,Programme!I4926,Programme!J4926)</f>
        <v>&lt;/cellule&gt;</v>
      </c>
    </row>
    <row r="4926" spans="1:1" x14ac:dyDescent="0.2">
      <c r="A4926" s="996" t="str">
        <f>CONCATENATE(Programme!D4927,Programme!E4927,Programme!F4927,Programme!G4927,Programme!H4927,Programme!I4927,Programme!J4927)</f>
        <v>&lt;valeur&gt;0&lt;/valeur&gt;</v>
      </c>
    </row>
    <row r="4927" spans="1:1" x14ac:dyDescent="0.2">
      <c r="A4927" s="996" t="str">
        <f>CONCATENATE(Programme!D4928,Programme!E4928,Programme!F4928,Programme!G4928,Programme!H4928,Programme!I4928,Programme!J4928)</f>
        <v>&lt;/ValeurCellule&gt;</v>
      </c>
    </row>
    <row r="4928" spans="1:1" x14ac:dyDescent="0.2">
      <c r="A4928" s="996" t="str">
        <f>CONCATENATE(Programme!D4929,Programme!E4929,Programme!F4929,Programme!G4929,Programme!H4929,Programme!I4929,Programme!J4929)</f>
        <v>&lt;ValeurCellule&gt;</v>
      </c>
    </row>
    <row r="4929" spans="1:1" x14ac:dyDescent="0.2">
      <c r="A4929" s="996" t="str">
        <f>CONCATENATE(Programme!D4930,Programme!E4930,Programme!F4930,Programme!G4930,Programme!H4930,Programme!I4930,Programme!J4930)</f>
        <v>&lt;cellule&gt;</v>
      </c>
    </row>
    <row r="4930" spans="1:1" x14ac:dyDescent="0.2">
      <c r="A4930" s="996" t="str">
        <f>CONCATENATE(Programme!D4931,Programme!E4931,Programme!F4931,Programme!G4931,Programme!H4931,Programme!I4931,Programme!J4931)</f>
        <v>&lt;codeEdi&gt;1397&lt;/codeEdi&gt;</v>
      </c>
    </row>
    <row r="4931" spans="1:1" x14ac:dyDescent="0.2">
      <c r="A4931" s="996" t="str">
        <f>CONCATENATE(Programme!D4932,Programme!E4932,Programme!F4932,Programme!G4932,Programme!H4932,Programme!I4932,Programme!J4932)</f>
        <v>&lt;/cellule&gt;</v>
      </c>
    </row>
    <row r="4932" spans="1:1" x14ac:dyDescent="0.2">
      <c r="A4932" s="996" t="str">
        <f>CONCATENATE(Programme!D4933,Programme!E4933,Programme!F4933,Programme!G4933,Programme!H4933,Programme!I4933,Programme!J4933)</f>
        <v>&lt;valeur&gt;0&lt;/valeur&gt;</v>
      </c>
    </row>
    <row r="4933" spans="1:1" x14ac:dyDescent="0.2">
      <c r="A4933" s="996" t="str">
        <f>CONCATENATE(Programme!D4934,Programme!E4934,Programme!F4934,Programme!G4934,Programme!H4934,Programme!I4934,Programme!J4934)</f>
        <v>&lt;/ValeurCellule&gt;</v>
      </c>
    </row>
    <row r="4934" spans="1:1" x14ac:dyDescent="0.2">
      <c r="A4934" s="996" t="str">
        <f>CONCATENATE(Programme!D4935,Programme!E4935,Programme!F4935,Programme!G4935,Programme!H4935,Programme!I4935,Programme!J4935)</f>
        <v>&lt;ValeurCellule&gt;</v>
      </c>
    </row>
    <row r="4935" spans="1:1" x14ac:dyDescent="0.2">
      <c r="A4935" s="996" t="str">
        <f>CONCATENATE(Programme!D4936,Programme!E4936,Programme!F4936,Programme!G4936,Programme!H4936,Programme!I4936,Programme!J4936)</f>
        <v>&lt;cellule&gt;</v>
      </c>
    </row>
    <row r="4936" spans="1:1" x14ac:dyDescent="0.2">
      <c r="A4936" s="996" t="str">
        <f>CONCATENATE(Programme!D4937,Programme!E4937,Programme!F4937,Programme!G4937,Programme!H4937,Programme!I4937,Programme!J4937)</f>
        <v>&lt;codeEdi&gt;1398&lt;/codeEdi&gt;</v>
      </c>
    </row>
    <row r="4937" spans="1:1" x14ac:dyDescent="0.2">
      <c r="A4937" s="996" t="str">
        <f>CONCATENATE(Programme!D4938,Programme!E4938,Programme!F4938,Programme!G4938,Programme!H4938,Programme!I4938,Programme!J4938)</f>
        <v>&lt;/cellule&gt;</v>
      </c>
    </row>
    <row r="4938" spans="1:1" x14ac:dyDescent="0.2">
      <c r="A4938" s="996" t="str">
        <f>CONCATENATE(Programme!D4939,Programme!E4939,Programme!F4939,Programme!G4939,Programme!H4939,Programme!I4939,Programme!J4939)</f>
        <v>&lt;valeur&gt;&lt;/valeur&gt;</v>
      </c>
    </row>
    <row r="4939" spans="1:1" x14ac:dyDescent="0.2">
      <c r="A4939" s="996" t="str">
        <f>CONCATENATE(Programme!D4940,Programme!E4940,Programme!F4940,Programme!G4940,Programme!H4940,Programme!I4940,Programme!J4940)</f>
        <v>&lt;/ValeurCellule&gt;</v>
      </c>
    </row>
    <row r="4940" spans="1:1" x14ac:dyDescent="0.2">
      <c r="A4940" s="996" t="str">
        <f>CONCATENATE(Programme!D4941,Programme!E4941,Programme!F4941,Programme!G4941,Programme!H4941,Programme!I4941,Programme!J4941)</f>
        <v>&lt;ValeurCellule&gt;</v>
      </c>
    </row>
    <row r="4941" spans="1:1" x14ac:dyDescent="0.2">
      <c r="A4941" s="996" t="str">
        <f>CONCATENATE(Programme!D4942,Programme!E4942,Programme!F4942,Programme!G4942,Programme!H4942,Programme!I4942,Programme!J4942)</f>
        <v>&lt;cellule&gt;</v>
      </c>
    </row>
    <row r="4942" spans="1:1" x14ac:dyDescent="0.2">
      <c r="A4942" s="996" t="str">
        <f>CONCATENATE(Programme!D4943,Programme!E4943,Programme!F4943,Programme!G4943,Programme!H4943,Programme!I4943,Programme!J4943)</f>
        <v>&lt;codeEdi&gt;1399&lt;/codeEdi&gt;</v>
      </c>
    </row>
    <row r="4943" spans="1:1" x14ac:dyDescent="0.2">
      <c r="A4943" s="996" t="str">
        <f>CONCATENATE(Programme!D4944,Programme!E4944,Programme!F4944,Programme!G4944,Programme!H4944,Programme!I4944,Programme!J4944)</f>
        <v>&lt;/cellule&gt;</v>
      </c>
    </row>
    <row r="4944" spans="1:1" x14ac:dyDescent="0.2">
      <c r="A4944" s="996" t="str">
        <f>CONCATENATE(Programme!D4945,Programme!E4945,Programme!F4945,Programme!G4945,Programme!H4945,Programme!I4945,Programme!J4945)</f>
        <v>&lt;valeur&gt;0&lt;/valeur&gt;</v>
      </c>
    </row>
    <row r="4945" spans="1:1" x14ac:dyDescent="0.2">
      <c r="A4945" s="996" t="str">
        <f>CONCATENATE(Programme!D4946,Programme!E4946,Programme!F4946,Programme!G4946,Programme!H4946,Programme!I4946,Programme!J4946)</f>
        <v>&lt;/ValeurCellule&gt;</v>
      </c>
    </row>
    <row r="4946" spans="1:1" x14ac:dyDescent="0.2">
      <c r="A4946" s="996" t="str">
        <f>CONCATENATE(Programme!D4947,Programme!E4947,Programme!F4947,Programme!G4947,Programme!H4947,Programme!I4947,Programme!J4947)</f>
        <v>&lt;/groupeValeurs&gt;</v>
      </c>
    </row>
    <row r="4947" spans="1:1" x14ac:dyDescent="0.2">
      <c r="A4947" s="996" t="str">
        <f>CONCATENATE(Programme!D4948,Programme!E4948,Programme!F4948,Programme!G4948,Programme!H4948,Programme!I4948,Programme!J4948)</f>
        <v>&lt;extraFieldvaleurs&gt;</v>
      </c>
    </row>
    <row r="4948" spans="1:1" x14ac:dyDescent="0.2">
      <c r="A4948" s="996" t="str">
        <f>CONCATENATE(Programme!D4949,Programme!E4949,Programme!F4949,Programme!G4949,Programme!H4949,Programme!I4949,Programme!J4949)</f>
        <v>&lt;/extraFieldvaleurs&gt;</v>
      </c>
    </row>
    <row r="4949" spans="1:1" x14ac:dyDescent="0.2">
      <c r="A4949" s="996" t="str">
        <f>CONCATENATE(Programme!D4950,Programme!E4950,Programme!F4950,Programme!G4950,Programme!H4950,Programme!I4950,Programme!J4950)</f>
        <v>&lt;/ValeursTableau&gt;</v>
      </c>
    </row>
    <row r="4950" spans="1:1" x14ac:dyDescent="0.2">
      <c r="A4950" s="996" t="str">
        <f>CONCATENATE(Programme!D4951,Programme!E4951,Programme!F4951,Programme!G4951,Programme!H4951,Programme!I4951,Programme!J4951)</f>
        <v>&lt;ValeursTableau&gt;</v>
      </c>
    </row>
    <row r="4951" spans="1:1" x14ac:dyDescent="0.2">
      <c r="A4951" s="996" t="str">
        <f>CONCATENATE(Programme!D4952,Programme!E4952,Programme!F4952,Programme!G4952,Programme!H4952,Programme!I4952,Programme!J4952)</f>
        <v>&lt;tableau&gt;&lt;id&gt;34&lt;/id&gt;&lt;/tableau&gt;</v>
      </c>
    </row>
    <row r="4952" spans="1:1" x14ac:dyDescent="0.2">
      <c r="A4952" s="996" t="str">
        <f>CONCATENATE(Programme!D4953,Programme!E4953,Programme!F4953,Programme!G4953,Programme!H4953,Programme!I4953,Programme!J4953)</f>
        <v>&lt;groupeValeurs&gt;</v>
      </c>
    </row>
    <row r="4953" spans="1:1" x14ac:dyDescent="0.2">
      <c r="A4953" s="996" t="str">
        <f>CONCATENATE(Programme!D4954,Programme!E4954,Programme!F4954,Programme!G4954,Programme!H4954,Programme!I4954,Programme!J4954)</f>
        <v>&lt;ValeurCellule&gt;</v>
      </c>
    </row>
    <row r="4954" spans="1:1" x14ac:dyDescent="0.2">
      <c r="A4954" s="996" t="str">
        <f>CONCATENATE(Programme!D4955,Programme!E4955,Programme!F4955,Programme!G4955,Programme!H4955,Programme!I4955,Programme!J4955)</f>
        <v>&lt;cellule&gt;</v>
      </c>
    </row>
    <row r="4955" spans="1:1" x14ac:dyDescent="0.2">
      <c r="A4955" s="996" t="str">
        <f>CONCATENATE(Programme!D4956,Programme!E4956,Programme!F4956,Programme!G4956,Programme!H4956,Programme!I4956,Programme!J4956)</f>
        <v>&lt;codeEdi&gt;1521&lt;/codeEdi&gt;</v>
      </c>
    </row>
    <row r="4956" spans="1:1" x14ac:dyDescent="0.2">
      <c r="A4956" s="996" t="str">
        <f>CONCATENATE(Programme!D4957,Programme!E4957,Programme!F4957,Programme!G4957,Programme!H4957,Programme!I4957,Programme!J4957)</f>
        <v>&lt;/cellule&gt;</v>
      </c>
    </row>
    <row r="4957" spans="1:1" x14ac:dyDescent="0.2">
      <c r="A4957" s="996" t="str">
        <f>CONCATENATE(Programme!D4958,Programme!E4958,Programme!F4958,Programme!G4958,Programme!H4958,Programme!I4958,Programme!J4958)</f>
        <v>&lt;valeur&gt;&lt;/valeur&gt;</v>
      </c>
    </row>
    <row r="4958" spans="1:1" x14ac:dyDescent="0.2">
      <c r="A4958" s="996" t="str">
        <f>CONCATENATE(Programme!D4959,Programme!E4959,Programme!F4959,Programme!G4959,Programme!H4959,Programme!I4959,Programme!J4959)</f>
        <v>&lt;/ValeurCellule&gt;</v>
      </c>
    </row>
    <row r="4959" spans="1:1" x14ac:dyDescent="0.2">
      <c r="A4959" s="996" t="str">
        <f>CONCATENATE(Programme!D4960,Programme!E4960,Programme!F4960,Programme!G4960,Programme!H4960,Programme!I4960,Programme!J4960)</f>
        <v>&lt;ValeurCellule&gt;</v>
      </c>
    </row>
    <row r="4960" spans="1:1" x14ac:dyDescent="0.2">
      <c r="A4960" s="996" t="str">
        <f>CONCATENATE(Programme!D4961,Programme!E4961,Programme!F4961,Programme!G4961,Programme!H4961,Programme!I4961,Programme!J4961)</f>
        <v>&lt;cellule&gt;</v>
      </c>
    </row>
    <row r="4961" spans="1:1" x14ac:dyDescent="0.2">
      <c r="A4961" s="996" t="str">
        <f>CONCATENATE(Programme!D4962,Programme!E4962,Programme!F4962,Programme!G4962,Programme!H4962,Programme!I4962,Programme!J4962)</f>
        <v>&lt;codeEdi&gt;1522&lt;/codeEdi&gt;</v>
      </c>
    </row>
    <row r="4962" spans="1:1" x14ac:dyDescent="0.2">
      <c r="A4962" s="996" t="str">
        <f>CONCATENATE(Programme!D4963,Programme!E4963,Programme!F4963,Programme!G4963,Programme!H4963,Programme!I4963,Programme!J4963)</f>
        <v>&lt;/cellule&gt;</v>
      </c>
    </row>
    <row r="4963" spans="1:1" x14ac:dyDescent="0.2">
      <c r="A4963" s="996" t="str">
        <f>CONCATENATE(Programme!D4964,Programme!E4964,Programme!F4964,Programme!G4964,Programme!H4964,Programme!I4964,Programme!J4964)</f>
        <v>&lt;valeur&gt;0&lt;/valeur&gt;</v>
      </c>
    </row>
    <row r="4964" spans="1:1" x14ac:dyDescent="0.2">
      <c r="A4964" s="996" t="str">
        <f>CONCATENATE(Programme!D4965,Programme!E4965,Programme!F4965,Programme!G4965,Programme!H4965,Programme!I4965,Programme!J4965)</f>
        <v>&lt;/ValeurCellule&gt;</v>
      </c>
    </row>
    <row r="4965" spans="1:1" x14ac:dyDescent="0.2">
      <c r="A4965" s="996" t="str">
        <f>CONCATENATE(Programme!D4966,Programme!E4966,Programme!F4966,Programme!G4966,Programme!H4966,Programme!I4966,Programme!J4966)</f>
        <v>&lt;ValeurCellule&gt;</v>
      </c>
    </row>
    <row r="4966" spans="1:1" x14ac:dyDescent="0.2">
      <c r="A4966" s="996" t="str">
        <f>CONCATENATE(Programme!D4967,Programme!E4967,Programme!F4967,Programme!G4967,Programme!H4967,Programme!I4967,Programme!J4967)</f>
        <v>&lt;cellule&gt;</v>
      </c>
    </row>
    <row r="4967" spans="1:1" x14ac:dyDescent="0.2">
      <c r="A4967" s="996" t="str">
        <f>CONCATENATE(Programme!D4968,Programme!E4968,Programme!F4968,Programme!G4968,Programme!H4968,Programme!I4968,Programme!J4968)</f>
        <v>&lt;codeEdi&gt;1523&lt;/codeEdi&gt;</v>
      </c>
    </row>
    <row r="4968" spans="1:1" x14ac:dyDescent="0.2">
      <c r="A4968" s="996" t="str">
        <f>CONCATENATE(Programme!D4969,Programme!E4969,Programme!F4969,Programme!G4969,Programme!H4969,Programme!I4969,Programme!J4969)</f>
        <v>&lt;/cellule&gt;</v>
      </c>
    </row>
    <row r="4969" spans="1:1" x14ac:dyDescent="0.2">
      <c r="A4969" s="996" t="str">
        <f>CONCATENATE(Programme!D4970,Programme!E4970,Programme!F4970,Programme!G4970,Programme!H4970,Programme!I4970,Programme!J4970)</f>
        <v>&lt;valeur&gt;0&lt;/valeur&gt;</v>
      </c>
    </row>
    <row r="4970" spans="1:1" x14ac:dyDescent="0.2">
      <c r="A4970" s="996" t="str">
        <f>CONCATENATE(Programme!D4971,Programme!E4971,Programme!F4971,Programme!G4971,Programme!H4971,Programme!I4971,Programme!J4971)</f>
        <v>&lt;/ValeurCellule&gt;</v>
      </c>
    </row>
    <row r="4971" spans="1:1" x14ac:dyDescent="0.2">
      <c r="A4971" s="996" t="str">
        <f>CONCATENATE(Programme!D4972,Programme!E4972,Programme!F4972,Programme!G4972,Programme!H4972,Programme!I4972,Programme!J4972)</f>
        <v>&lt;ValeurCellule&gt;</v>
      </c>
    </row>
    <row r="4972" spans="1:1" x14ac:dyDescent="0.2">
      <c r="A4972" s="996" t="str">
        <f>CONCATENATE(Programme!D4973,Programme!E4973,Programme!F4973,Programme!G4973,Programme!H4973,Programme!I4973,Programme!J4973)</f>
        <v>&lt;cellule&gt;</v>
      </c>
    </row>
    <row r="4973" spans="1:1" x14ac:dyDescent="0.2">
      <c r="A4973" s="996" t="str">
        <f>CONCATENATE(Programme!D4974,Programme!E4974,Programme!F4974,Programme!G4974,Programme!H4974,Programme!I4974,Programme!J4974)</f>
        <v>&lt;codeEdi&gt;1524&lt;/codeEdi&gt;</v>
      </c>
    </row>
    <row r="4974" spans="1:1" x14ac:dyDescent="0.2">
      <c r="A4974" s="996" t="str">
        <f>CONCATENATE(Programme!D4975,Programme!E4975,Programme!F4975,Programme!G4975,Programme!H4975,Programme!I4975,Programme!J4975)</f>
        <v>&lt;/cellule&gt;</v>
      </c>
    </row>
    <row r="4975" spans="1:1" x14ac:dyDescent="0.2">
      <c r="A4975" s="996" t="str">
        <f>CONCATENATE(Programme!D4976,Programme!E4976,Programme!F4976,Programme!G4976,Programme!H4976,Programme!I4976,Programme!J4976)</f>
        <v>&lt;valeur&gt;0&lt;/valeur&gt;</v>
      </c>
    </row>
    <row r="4976" spans="1:1" x14ac:dyDescent="0.2">
      <c r="A4976" s="996" t="str">
        <f>CONCATENATE(Programme!D4977,Programme!E4977,Programme!F4977,Programme!G4977,Programme!H4977,Programme!I4977,Programme!J4977)</f>
        <v>&lt;/ValeurCellule&gt;</v>
      </c>
    </row>
    <row r="4977" spans="1:1" x14ac:dyDescent="0.2">
      <c r="A4977" s="996" t="str">
        <f>CONCATENATE(Programme!D4978,Programme!E4978,Programme!F4978,Programme!G4978,Programme!H4978,Programme!I4978,Programme!J4978)</f>
        <v>&lt;ValeurCellule&gt;</v>
      </c>
    </row>
    <row r="4978" spans="1:1" x14ac:dyDescent="0.2">
      <c r="A4978" s="996" t="str">
        <f>CONCATENATE(Programme!D4979,Programme!E4979,Programme!F4979,Programme!G4979,Programme!H4979,Programme!I4979,Programme!J4979)</f>
        <v>&lt;cellule&gt;</v>
      </c>
    </row>
    <row r="4979" spans="1:1" x14ac:dyDescent="0.2">
      <c r="A4979" s="996" t="str">
        <f>CONCATENATE(Programme!D4980,Programme!E4980,Programme!F4980,Programme!G4980,Programme!H4980,Programme!I4980,Programme!J4980)</f>
        <v>&lt;codeEdi&gt;1525&lt;/codeEdi&gt;</v>
      </c>
    </row>
    <row r="4980" spans="1:1" x14ac:dyDescent="0.2">
      <c r="A4980" s="996" t="str">
        <f>CONCATENATE(Programme!D4981,Programme!E4981,Programme!F4981,Programme!G4981,Programme!H4981,Programme!I4981,Programme!J4981)</f>
        <v>&lt;/cellule&gt;</v>
      </c>
    </row>
    <row r="4981" spans="1:1" x14ac:dyDescent="0.2">
      <c r="A4981" s="996" t="str">
        <f>CONCATENATE(Programme!D4982,Programme!E4982,Programme!F4982,Programme!G4982,Programme!H4982,Programme!I4982,Programme!J4982)</f>
        <v>&lt;valeur&gt;&lt;/valeur&gt;</v>
      </c>
    </row>
    <row r="4982" spans="1:1" x14ac:dyDescent="0.2">
      <c r="A4982" s="996" t="str">
        <f>CONCATENATE(Programme!D4983,Programme!E4983,Programme!F4983,Programme!G4983,Programme!H4983,Programme!I4983,Programme!J4983)</f>
        <v>&lt;/ValeurCellule&gt;</v>
      </c>
    </row>
    <row r="4983" spans="1:1" x14ac:dyDescent="0.2">
      <c r="A4983" s="996" t="str">
        <f>CONCATENATE(Programme!D4984,Programme!E4984,Programme!F4984,Programme!G4984,Programme!H4984,Programme!I4984,Programme!J4984)</f>
        <v>&lt;ValeurCellule&gt;</v>
      </c>
    </row>
    <row r="4984" spans="1:1" x14ac:dyDescent="0.2">
      <c r="A4984" s="996" t="str">
        <f>CONCATENATE(Programme!D4985,Programme!E4985,Programme!F4985,Programme!G4985,Programme!H4985,Programme!I4985,Programme!J4985)</f>
        <v>&lt;cellule&gt;</v>
      </c>
    </row>
    <row r="4985" spans="1:1" x14ac:dyDescent="0.2">
      <c r="A4985" s="996" t="str">
        <f>CONCATENATE(Programme!D4986,Programme!E4986,Programme!F4986,Programme!G4986,Programme!H4986,Programme!I4986,Programme!J4986)</f>
        <v>&lt;codeEdi&gt;1526&lt;/codeEdi&gt;</v>
      </c>
    </row>
    <row r="4986" spans="1:1" x14ac:dyDescent="0.2">
      <c r="A4986" s="996" t="str">
        <f>CONCATENATE(Programme!D4987,Programme!E4987,Programme!F4987,Programme!G4987,Programme!H4987,Programme!I4987,Programme!J4987)</f>
        <v>&lt;/cellule&gt;</v>
      </c>
    </row>
    <row r="4987" spans="1:1" x14ac:dyDescent="0.2">
      <c r="A4987" s="996" t="str">
        <f>CONCATENATE(Programme!D4988,Programme!E4988,Programme!F4988,Programme!G4988,Programme!H4988,Programme!I4988,Programme!J4988)</f>
        <v>&lt;valeur&gt;0&lt;/valeur&gt;</v>
      </c>
    </row>
    <row r="4988" spans="1:1" x14ac:dyDescent="0.2">
      <c r="A4988" s="996" t="str">
        <f>CONCATENATE(Programme!D4989,Programme!E4989,Programme!F4989,Programme!G4989,Programme!H4989,Programme!I4989,Programme!J4989)</f>
        <v>&lt;/ValeurCellule&gt;</v>
      </c>
    </row>
    <row r="4989" spans="1:1" x14ac:dyDescent="0.2">
      <c r="A4989" s="996" t="str">
        <f>CONCATENATE(Programme!D4990,Programme!E4990,Programme!F4990,Programme!G4990,Programme!H4990,Programme!I4990,Programme!J4990)</f>
        <v>&lt;ValeurCellule&gt;</v>
      </c>
    </row>
    <row r="4990" spans="1:1" x14ac:dyDescent="0.2">
      <c r="A4990" s="996" t="str">
        <f>CONCATENATE(Programme!D4991,Programme!E4991,Programme!F4991,Programme!G4991,Programme!H4991,Programme!I4991,Programme!J4991)</f>
        <v>&lt;cellule&gt;</v>
      </c>
    </row>
    <row r="4991" spans="1:1" x14ac:dyDescent="0.2">
      <c r="A4991" s="996" t="str">
        <f>CONCATENATE(Programme!D4992,Programme!E4992,Programme!F4992,Programme!G4992,Programme!H4992,Programme!I4992,Programme!J4992)</f>
        <v>&lt;codeEdi&gt;1527&lt;/codeEdi&gt;</v>
      </c>
    </row>
    <row r="4992" spans="1:1" x14ac:dyDescent="0.2">
      <c r="A4992" s="996" t="str">
        <f>CONCATENATE(Programme!D4993,Programme!E4993,Programme!F4993,Programme!G4993,Programme!H4993,Programme!I4993,Programme!J4993)</f>
        <v>&lt;/cellule&gt;</v>
      </c>
    </row>
    <row r="4993" spans="1:1" x14ac:dyDescent="0.2">
      <c r="A4993" s="996" t="str">
        <f>CONCATENATE(Programme!D4994,Programme!E4994,Programme!F4994,Programme!G4994,Programme!H4994,Programme!I4994,Programme!J4994)</f>
        <v>&lt;valeur&gt;0&lt;/valeur&gt;</v>
      </c>
    </row>
    <row r="4994" spans="1:1" x14ac:dyDescent="0.2">
      <c r="A4994" s="996" t="str">
        <f>CONCATENATE(Programme!D4995,Programme!E4995,Programme!F4995,Programme!G4995,Programme!H4995,Programme!I4995,Programme!J4995)</f>
        <v>&lt;/ValeurCellule&gt;</v>
      </c>
    </row>
    <row r="4995" spans="1:1" x14ac:dyDescent="0.2">
      <c r="A4995" s="996" t="str">
        <f>CONCATENATE(Programme!D4996,Programme!E4996,Programme!F4996,Programme!G4996,Programme!H4996,Programme!I4996,Programme!J4996)</f>
        <v>&lt;ValeurCellule&gt;</v>
      </c>
    </row>
    <row r="4996" spans="1:1" x14ac:dyDescent="0.2">
      <c r="A4996" s="996" t="str">
        <f>CONCATENATE(Programme!D4997,Programme!E4997,Programme!F4997,Programme!G4997,Programme!H4997,Programme!I4997,Programme!J4997)</f>
        <v>&lt;cellule&gt;</v>
      </c>
    </row>
    <row r="4997" spans="1:1" x14ac:dyDescent="0.2">
      <c r="A4997" s="996" t="str">
        <f>CONCATENATE(Programme!D4998,Programme!E4998,Programme!F4998,Programme!G4998,Programme!H4998,Programme!I4998,Programme!J4998)</f>
        <v>&lt;codeEdi&gt;1528&lt;/codeEdi&gt;</v>
      </c>
    </row>
    <row r="4998" spans="1:1" x14ac:dyDescent="0.2">
      <c r="A4998" s="996" t="str">
        <f>CONCATENATE(Programme!D4999,Programme!E4999,Programme!F4999,Programme!G4999,Programme!H4999,Programme!I4999,Programme!J4999)</f>
        <v>&lt;/cellule&gt;</v>
      </c>
    </row>
    <row r="4999" spans="1:1" x14ac:dyDescent="0.2">
      <c r="A4999" s="996" t="str">
        <f>CONCATENATE(Programme!D5000,Programme!E5000,Programme!F5000,Programme!G5000,Programme!H5000,Programme!I5000,Programme!J5000)</f>
        <v>&lt;valeur&gt;0&lt;/valeur&gt;</v>
      </c>
    </row>
    <row r="5000" spans="1:1" x14ac:dyDescent="0.2">
      <c r="A5000" s="996" t="str">
        <f>CONCATENATE(Programme!D5001,Programme!E5001,Programme!F5001,Programme!G5001,Programme!H5001,Programme!I5001,Programme!J5001)</f>
        <v>&lt;/ValeurCellule&gt;</v>
      </c>
    </row>
    <row r="5001" spans="1:1" x14ac:dyDescent="0.2">
      <c r="A5001" s="996" t="str">
        <f>CONCATENATE(Programme!D5002,Programme!E5002,Programme!F5002,Programme!G5002,Programme!H5002,Programme!I5002,Programme!J5002)</f>
        <v>&lt;ValeurCellule&gt;</v>
      </c>
    </row>
    <row r="5002" spans="1:1" x14ac:dyDescent="0.2">
      <c r="A5002" s="996" t="str">
        <f>CONCATENATE(Programme!D5003,Programme!E5003,Programme!F5003,Programme!G5003,Programme!H5003,Programme!I5003,Programme!J5003)</f>
        <v>&lt;cellule&gt;</v>
      </c>
    </row>
    <row r="5003" spans="1:1" x14ac:dyDescent="0.2">
      <c r="A5003" s="996" t="str">
        <f>CONCATENATE(Programme!D5004,Programme!E5004,Programme!F5004,Programme!G5004,Programme!H5004,Programme!I5004,Programme!J5004)</f>
        <v>&lt;codeEdi&gt;1529&lt;/codeEdi&gt;</v>
      </c>
    </row>
    <row r="5004" spans="1:1" x14ac:dyDescent="0.2">
      <c r="A5004" s="996" t="str">
        <f>CONCATENATE(Programme!D5005,Programme!E5005,Programme!F5005,Programme!G5005,Programme!H5005,Programme!I5005,Programme!J5005)</f>
        <v>&lt;/cellule&gt;</v>
      </c>
    </row>
    <row r="5005" spans="1:1" x14ac:dyDescent="0.2">
      <c r="A5005" s="996" t="str">
        <f>CONCATENATE(Programme!D5006,Programme!E5006,Programme!F5006,Programme!G5006,Programme!H5006,Programme!I5006,Programme!J5006)</f>
        <v>&lt;valeur&gt;0&lt;/valeur&gt;</v>
      </c>
    </row>
    <row r="5006" spans="1:1" x14ac:dyDescent="0.2">
      <c r="A5006" s="996" t="str">
        <f>CONCATENATE(Programme!D5007,Programme!E5007,Programme!F5007,Programme!G5007,Programme!H5007,Programme!I5007,Programme!J5007)</f>
        <v>&lt;/ValeurCellule&gt;</v>
      </c>
    </row>
    <row r="5007" spans="1:1" x14ac:dyDescent="0.2">
      <c r="A5007" s="996" t="str">
        <f>CONCATENATE(Programme!D5008,Programme!E5008,Programme!F5008,Programme!G5008,Programme!H5008,Programme!I5008,Programme!J5008)</f>
        <v>&lt;ValeurCellule&gt;</v>
      </c>
    </row>
    <row r="5008" spans="1:1" x14ac:dyDescent="0.2">
      <c r="A5008" s="996" t="str">
        <f>CONCATENATE(Programme!D5009,Programme!E5009,Programme!F5009,Programme!G5009,Programme!H5009,Programme!I5009,Programme!J5009)</f>
        <v>&lt;cellule&gt;</v>
      </c>
    </row>
    <row r="5009" spans="1:1" x14ac:dyDescent="0.2">
      <c r="A5009" s="996" t="str">
        <f>CONCATENATE(Programme!D5010,Programme!E5010,Programme!F5010,Programme!G5010,Programme!H5010,Programme!I5010,Programme!J5010)</f>
        <v>&lt;codeEdi&gt;1530&lt;/codeEdi&gt;</v>
      </c>
    </row>
    <row r="5010" spans="1:1" x14ac:dyDescent="0.2">
      <c r="A5010" s="996" t="str">
        <f>CONCATENATE(Programme!D5011,Programme!E5011,Programme!F5011,Programme!G5011,Programme!H5011,Programme!I5011,Programme!J5011)</f>
        <v>&lt;/cellule&gt;</v>
      </c>
    </row>
    <row r="5011" spans="1:1" x14ac:dyDescent="0.2">
      <c r="A5011" s="996" t="str">
        <f>CONCATENATE(Programme!D5012,Programme!E5012,Programme!F5012,Programme!G5012,Programme!H5012,Programme!I5012,Programme!J5012)</f>
        <v>&lt;valeur&gt;0&lt;/valeur&gt;</v>
      </c>
    </row>
    <row r="5012" spans="1:1" x14ac:dyDescent="0.2">
      <c r="A5012" s="996" t="str">
        <f>CONCATENATE(Programme!D5013,Programme!E5013,Programme!F5013,Programme!G5013,Programme!H5013,Programme!I5013,Programme!J5013)</f>
        <v>&lt;/ValeurCellule&gt;</v>
      </c>
    </row>
    <row r="5013" spans="1:1" x14ac:dyDescent="0.2">
      <c r="A5013" s="996" t="str">
        <f>CONCATENATE(Programme!D5014,Programme!E5014,Programme!F5014,Programme!G5014,Programme!H5014,Programme!I5014,Programme!J5014)</f>
        <v>&lt;ValeurCellule&gt;</v>
      </c>
    </row>
    <row r="5014" spans="1:1" x14ac:dyDescent="0.2">
      <c r="A5014" s="996" t="str">
        <f>CONCATENATE(Programme!D5015,Programme!E5015,Programme!F5015,Programme!G5015,Programme!H5015,Programme!I5015,Programme!J5015)</f>
        <v>&lt;cellule&gt;</v>
      </c>
    </row>
    <row r="5015" spans="1:1" x14ac:dyDescent="0.2">
      <c r="A5015" s="996" t="str">
        <f>CONCATENATE(Programme!D5016,Programme!E5016,Programme!F5016,Programme!G5016,Programme!H5016,Programme!I5016,Programme!J5016)</f>
        <v>&lt;codeEdi&gt;1531&lt;/codeEdi&gt;</v>
      </c>
    </row>
    <row r="5016" spans="1:1" x14ac:dyDescent="0.2">
      <c r="A5016" s="996" t="str">
        <f>CONCATENATE(Programme!D5017,Programme!E5017,Programme!F5017,Programme!G5017,Programme!H5017,Programme!I5017,Programme!J5017)</f>
        <v>&lt;/cellule&gt;</v>
      </c>
    </row>
    <row r="5017" spans="1:1" x14ac:dyDescent="0.2">
      <c r="A5017" s="996" t="str">
        <f>CONCATENATE(Programme!D5018,Programme!E5018,Programme!F5018,Programme!G5018,Programme!H5018,Programme!I5018,Programme!J5018)</f>
        <v>&lt;valeur&gt;0&lt;/valeur&gt;</v>
      </c>
    </row>
    <row r="5018" spans="1:1" x14ac:dyDescent="0.2">
      <c r="A5018" s="996" t="str">
        <f>CONCATENATE(Programme!D5019,Programme!E5019,Programme!F5019,Programme!G5019,Programme!H5019,Programme!I5019,Programme!J5019)</f>
        <v>&lt;/ValeurCellule&gt;</v>
      </c>
    </row>
    <row r="5019" spans="1:1" x14ac:dyDescent="0.2">
      <c r="A5019" s="996" t="str">
        <f>CONCATENATE(Programme!D5020,Programme!E5020,Programme!F5020,Programme!G5020,Programme!H5020,Programme!I5020,Programme!J5020)</f>
        <v>&lt;ValeurCellule&gt;</v>
      </c>
    </row>
    <row r="5020" spans="1:1" x14ac:dyDescent="0.2">
      <c r="A5020" s="996" t="str">
        <f>CONCATENATE(Programme!D5021,Programme!E5021,Programme!F5021,Programme!G5021,Programme!H5021,Programme!I5021,Programme!J5021)</f>
        <v>&lt;cellule&gt;</v>
      </c>
    </row>
    <row r="5021" spans="1:1" x14ac:dyDescent="0.2">
      <c r="A5021" s="996" t="str">
        <f>CONCATENATE(Programme!D5022,Programme!E5022,Programme!F5022,Programme!G5022,Programme!H5022,Programme!I5022,Programme!J5022)</f>
        <v>&lt;codeEdi&gt;1532&lt;/codeEdi&gt;</v>
      </c>
    </row>
    <row r="5022" spans="1:1" x14ac:dyDescent="0.2">
      <c r="A5022" s="996" t="str">
        <f>CONCATENATE(Programme!D5023,Programme!E5023,Programme!F5023,Programme!G5023,Programme!H5023,Programme!I5023,Programme!J5023)</f>
        <v>&lt;/cellule&gt;</v>
      </c>
    </row>
    <row r="5023" spans="1:1" x14ac:dyDescent="0.2">
      <c r="A5023" s="996" t="str">
        <f>CONCATENATE(Programme!D5024,Programme!E5024,Programme!F5024,Programme!G5024,Programme!H5024,Programme!I5024,Programme!J5024)</f>
        <v>&lt;valeur&gt;0&lt;/valeur&gt;</v>
      </c>
    </row>
    <row r="5024" spans="1:1" x14ac:dyDescent="0.2">
      <c r="A5024" s="996" t="str">
        <f>CONCATENATE(Programme!D5025,Programme!E5025,Programme!F5025,Programme!G5025,Programme!H5025,Programme!I5025,Programme!J5025)</f>
        <v>&lt;/ValeurCellule&gt;</v>
      </c>
    </row>
    <row r="5025" spans="1:1" x14ac:dyDescent="0.2">
      <c r="A5025" s="996" t="str">
        <f>CONCATENATE(Programme!D5026,Programme!E5026,Programme!F5026,Programme!G5026,Programme!H5026,Programme!I5026,Programme!J5026)</f>
        <v>&lt;ValeurCellule&gt;</v>
      </c>
    </row>
    <row r="5026" spans="1:1" x14ac:dyDescent="0.2">
      <c r="A5026" s="996" t="str">
        <f>CONCATENATE(Programme!D5027,Programme!E5027,Programme!F5027,Programme!G5027,Programme!H5027,Programme!I5027,Programme!J5027)</f>
        <v>&lt;cellule&gt;</v>
      </c>
    </row>
    <row r="5027" spans="1:1" x14ac:dyDescent="0.2">
      <c r="A5027" s="996" t="str">
        <f>CONCATENATE(Programme!D5028,Programme!E5028,Programme!F5028,Programme!G5028,Programme!H5028,Programme!I5028,Programme!J5028)</f>
        <v>&lt;codeEdi&gt;1533&lt;/codeEdi&gt;</v>
      </c>
    </row>
    <row r="5028" spans="1:1" x14ac:dyDescent="0.2">
      <c r="A5028" s="996" t="str">
        <f>CONCATENATE(Programme!D5029,Programme!E5029,Programme!F5029,Programme!G5029,Programme!H5029,Programme!I5029,Programme!J5029)</f>
        <v>&lt;/cellule&gt;</v>
      </c>
    </row>
    <row r="5029" spans="1:1" x14ac:dyDescent="0.2">
      <c r="A5029" s="996" t="str">
        <f>CONCATENATE(Programme!D5030,Programme!E5030,Programme!F5030,Programme!G5030,Programme!H5030,Programme!I5030,Programme!J5030)</f>
        <v>&lt;valeur&gt;&lt;/valeur&gt;</v>
      </c>
    </row>
    <row r="5030" spans="1:1" x14ac:dyDescent="0.2">
      <c r="A5030" s="996" t="str">
        <f>CONCATENATE(Programme!D5031,Programme!E5031,Programme!F5031,Programme!G5031,Programme!H5031,Programme!I5031,Programme!J5031)</f>
        <v>&lt;/ValeurCellule&gt;</v>
      </c>
    </row>
    <row r="5031" spans="1:1" x14ac:dyDescent="0.2">
      <c r="A5031" s="996" t="str">
        <f>CONCATENATE(Programme!D5032,Programme!E5032,Programme!F5032,Programme!G5032,Programme!H5032,Programme!I5032,Programme!J5032)</f>
        <v>&lt;ValeurCellule&gt;</v>
      </c>
    </row>
    <row r="5032" spans="1:1" x14ac:dyDescent="0.2">
      <c r="A5032" s="996" t="str">
        <f>CONCATENATE(Programme!D5033,Programme!E5033,Programme!F5033,Programme!G5033,Programme!H5033,Programme!I5033,Programme!J5033)</f>
        <v>&lt;cellule&gt;</v>
      </c>
    </row>
    <row r="5033" spans="1:1" x14ac:dyDescent="0.2">
      <c r="A5033" s="996" t="str">
        <f>CONCATENATE(Programme!D5034,Programme!E5034,Programme!F5034,Programme!G5034,Programme!H5034,Programme!I5034,Programme!J5034)</f>
        <v>&lt;codeEdi&gt;1534&lt;/codeEdi&gt;</v>
      </c>
    </row>
    <row r="5034" spans="1:1" x14ac:dyDescent="0.2">
      <c r="A5034" s="996" t="str">
        <f>CONCATENATE(Programme!D5035,Programme!E5035,Programme!F5035,Programme!G5035,Programme!H5035,Programme!I5035,Programme!J5035)</f>
        <v>&lt;/cellule&gt;</v>
      </c>
    </row>
    <row r="5035" spans="1:1" x14ac:dyDescent="0.2">
      <c r="A5035" s="996" t="str">
        <f>CONCATENATE(Programme!D5036,Programme!E5036,Programme!F5036,Programme!G5036,Programme!H5036,Programme!I5036,Programme!J5036)</f>
        <v>&lt;valeur&gt;0&lt;/valeur&gt;</v>
      </c>
    </row>
    <row r="5036" spans="1:1" x14ac:dyDescent="0.2">
      <c r="A5036" s="996" t="str">
        <f>CONCATENATE(Programme!D5037,Programme!E5037,Programme!F5037,Programme!G5037,Programme!H5037,Programme!I5037,Programme!J5037)</f>
        <v>&lt;/ValeurCellule&gt;</v>
      </c>
    </row>
    <row r="5037" spans="1:1" x14ac:dyDescent="0.2">
      <c r="A5037" s="996" t="str">
        <f>CONCATENATE(Programme!D5038,Programme!E5038,Programme!F5038,Programme!G5038,Programme!H5038,Programme!I5038,Programme!J5038)</f>
        <v>&lt;ValeurCellule&gt;</v>
      </c>
    </row>
    <row r="5038" spans="1:1" x14ac:dyDescent="0.2">
      <c r="A5038" s="996" t="str">
        <f>CONCATENATE(Programme!D5039,Programme!E5039,Programme!F5039,Programme!G5039,Programme!H5039,Programme!I5039,Programme!J5039)</f>
        <v>&lt;cellule&gt;</v>
      </c>
    </row>
    <row r="5039" spans="1:1" x14ac:dyDescent="0.2">
      <c r="A5039" s="996" t="str">
        <f>CONCATENATE(Programme!D5040,Programme!E5040,Programme!F5040,Programme!G5040,Programme!H5040,Programme!I5040,Programme!J5040)</f>
        <v>&lt;codeEdi&gt;1535&lt;/codeEdi&gt;</v>
      </c>
    </row>
    <row r="5040" spans="1:1" x14ac:dyDescent="0.2">
      <c r="A5040" s="996" t="str">
        <f>CONCATENATE(Programme!D5041,Programme!E5041,Programme!F5041,Programme!G5041,Programme!H5041,Programme!I5041,Programme!J5041)</f>
        <v>&lt;/cellule&gt;</v>
      </c>
    </row>
    <row r="5041" spans="1:1" x14ac:dyDescent="0.2">
      <c r="A5041" s="996" t="str">
        <f>CONCATENATE(Programme!D5042,Programme!E5042,Programme!F5042,Programme!G5042,Programme!H5042,Programme!I5042,Programme!J5042)</f>
        <v>&lt;valeur&gt;0&lt;/valeur&gt;</v>
      </c>
    </row>
    <row r="5042" spans="1:1" x14ac:dyDescent="0.2">
      <c r="A5042" s="996" t="str">
        <f>CONCATENATE(Programme!D5043,Programme!E5043,Programme!F5043,Programme!G5043,Programme!H5043,Programme!I5043,Programme!J5043)</f>
        <v>&lt;/ValeurCellule&gt;</v>
      </c>
    </row>
    <row r="5043" spans="1:1" x14ac:dyDescent="0.2">
      <c r="A5043" s="996" t="str">
        <f>CONCATENATE(Programme!D5044,Programme!E5044,Programme!F5044,Programme!G5044,Programme!H5044,Programme!I5044,Programme!J5044)</f>
        <v>&lt;ValeurCellule&gt;</v>
      </c>
    </row>
    <row r="5044" spans="1:1" x14ac:dyDescent="0.2">
      <c r="A5044" s="996" t="str">
        <f>CONCATENATE(Programme!D5045,Programme!E5045,Programme!F5045,Programme!G5045,Programme!H5045,Programme!I5045,Programme!J5045)</f>
        <v>&lt;cellule&gt;</v>
      </c>
    </row>
    <row r="5045" spans="1:1" x14ac:dyDescent="0.2">
      <c r="A5045" s="996" t="str">
        <f>CONCATENATE(Programme!D5046,Programme!E5046,Programme!F5046,Programme!G5046,Programme!H5046,Programme!I5046,Programme!J5046)</f>
        <v>&lt;codeEdi&gt;1536&lt;/codeEdi&gt;</v>
      </c>
    </row>
    <row r="5046" spans="1:1" x14ac:dyDescent="0.2">
      <c r="A5046" s="996" t="str">
        <f>CONCATENATE(Programme!D5047,Programme!E5047,Programme!F5047,Programme!G5047,Programme!H5047,Programme!I5047,Programme!J5047)</f>
        <v>&lt;/cellule&gt;</v>
      </c>
    </row>
    <row r="5047" spans="1:1" x14ac:dyDescent="0.2">
      <c r="A5047" s="996" t="str">
        <f>CONCATENATE(Programme!D5048,Programme!E5048,Programme!F5048,Programme!G5048,Programme!H5048,Programme!I5048,Programme!J5048)</f>
        <v>&lt;valeur&gt;0&lt;/valeur&gt;</v>
      </c>
    </row>
    <row r="5048" spans="1:1" x14ac:dyDescent="0.2">
      <c r="A5048" s="996" t="str">
        <f>CONCATENATE(Programme!D5049,Programme!E5049,Programme!F5049,Programme!G5049,Programme!H5049,Programme!I5049,Programme!J5049)</f>
        <v>&lt;/ValeurCellule&gt;</v>
      </c>
    </row>
    <row r="5049" spans="1:1" x14ac:dyDescent="0.2">
      <c r="A5049" s="996" t="str">
        <f>CONCATENATE(Programme!D5050,Programme!E5050,Programme!F5050,Programme!G5050,Programme!H5050,Programme!I5050,Programme!J5050)</f>
        <v>&lt;ValeurCellule&gt;</v>
      </c>
    </row>
    <row r="5050" spans="1:1" x14ac:dyDescent="0.2">
      <c r="A5050" s="996" t="str">
        <f>CONCATENATE(Programme!D5051,Programme!E5051,Programme!F5051,Programme!G5051,Programme!H5051,Programme!I5051,Programme!J5051)</f>
        <v>&lt;cellule&gt;</v>
      </c>
    </row>
    <row r="5051" spans="1:1" x14ac:dyDescent="0.2">
      <c r="A5051" s="996" t="str">
        <f>CONCATENATE(Programme!D5052,Programme!E5052,Programme!F5052,Programme!G5052,Programme!H5052,Programme!I5052,Programme!J5052)</f>
        <v>&lt;codeEdi&gt;1537&lt;/codeEdi&gt;</v>
      </c>
    </row>
    <row r="5052" spans="1:1" x14ac:dyDescent="0.2">
      <c r="A5052" s="996" t="str">
        <f>CONCATENATE(Programme!D5053,Programme!E5053,Programme!F5053,Programme!G5053,Programme!H5053,Programme!I5053,Programme!J5053)</f>
        <v>&lt;/cellule&gt;</v>
      </c>
    </row>
    <row r="5053" spans="1:1" x14ac:dyDescent="0.2">
      <c r="A5053" s="996" t="str">
        <f>CONCATENATE(Programme!D5054,Programme!E5054,Programme!F5054,Programme!G5054,Programme!H5054,Programme!I5054,Programme!J5054)</f>
        <v>&lt;valeur&gt;0&lt;/valeur&gt;</v>
      </c>
    </row>
    <row r="5054" spans="1:1" x14ac:dyDescent="0.2">
      <c r="A5054" s="996" t="str">
        <f>CONCATENATE(Programme!D5055,Programme!E5055,Programme!F5055,Programme!G5055,Programme!H5055,Programme!I5055,Programme!J5055)</f>
        <v>&lt;/ValeurCellule&gt;</v>
      </c>
    </row>
    <row r="5055" spans="1:1" x14ac:dyDescent="0.2">
      <c r="A5055" s="996" t="str">
        <f>CONCATENATE(Programme!D5056,Programme!E5056,Programme!F5056,Programme!G5056,Programme!H5056,Programme!I5056,Programme!J5056)</f>
        <v>&lt;ValeurCellule&gt;</v>
      </c>
    </row>
    <row r="5056" spans="1:1" x14ac:dyDescent="0.2">
      <c r="A5056" s="996" t="str">
        <f>CONCATENATE(Programme!D5057,Programme!E5057,Programme!F5057,Programme!G5057,Programme!H5057,Programme!I5057,Programme!J5057)</f>
        <v>&lt;cellule&gt;</v>
      </c>
    </row>
    <row r="5057" spans="1:1" x14ac:dyDescent="0.2">
      <c r="A5057" s="996" t="str">
        <f>CONCATENATE(Programme!D5058,Programme!E5058,Programme!F5058,Programme!G5058,Programme!H5058,Programme!I5058,Programme!J5058)</f>
        <v>&lt;codeEdi&gt;1538&lt;/codeEdi&gt;</v>
      </c>
    </row>
    <row r="5058" spans="1:1" x14ac:dyDescent="0.2">
      <c r="A5058" s="996" t="str">
        <f>CONCATENATE(Programme!D5059,Programme!E5059,Programme!F5059,Programme!G5059,Programme!H5059,Programme!I5059,Programme!J5059)</f>
        <v>&lt;/cellule&gt;</v>
      </c>
    </row>
    <row r="5059" spans="1:1" x14ac:dyDescent="0.2">
      <c r="A5059" s="996" t="str">
        <f>CONCATENATE(Programme!D5060,Programme!E5060,Programme!F5060,Programme!G5060,Programme!H5060,Programme!I5060,Programme!J5060)</f>
        <v>&lt;valeur&gt;0&lt;/valeur&gt;</v>
      </c>
    </row>
    <row r="5060" spans="1:1" x14ac:dyDescent="0.2">
      <c r="A5060" s="996" t="str">
        <f>CONCATENATE(Programme!D5061,Programme!E5061,Programme!F5061,Programme!G5061,Programme!H5061,Programme!I5061,Programme!J5061)</f>
        <v>&lt;/ValeurCellule&gt;</v>
      </c>
    </row>
    <row r="5061" spans="1:1" x14ac:dyDescent="0.2">
      <c r="A5061" s="996" t="str">
        <f>CONCATENATE(Programme!D5062,Programme!E5062,Programme!F5062,Programme!G5062,Programme!H5062,Programme!I5062,Programme!J5062)</f>
        <v>&lt;ValeurCellule&gt;</v>
      </c>
    </row>
    <row r="5062" spans="1:1" x14ac:dyDescent="0.2">
      <c r="A5062" s="996" t="str">
        <f>CONCATENATE(Programme!D5063,Programme!E5063,Programme!F5063,Programme!G5063,Programme!H5063,Programme!I5063,Programme!J5063)</f>
        <v>&lt;cellule&gt;</v>
      </c>
    </row>
    <row r="5063" spans="1:1" x14ac:dyDescent="0.2">
      <c r="A5063" s="996" t="str">
        <f>CONCATENATE(Programme!D5064,Programme!E5064,Programme!F5064,Programme!G5064,Programme!H5064,Programme!I5064,Programme!J5064)</f>
        <v>&lt;codeEdi&gt;1539&lt;/codeEdi&gt;</v>
      </c>
    </row>
    <row r="5064" spans="1:1" x14ac:dyDescent="0.2">
      <c r="A5064" s="996" t="str">
        <f>CONCATENATE(Programme!D5065,Programme!E5065,Programme!F5065,Programme!G5065,Programme!H5065,Programme!I5065,Programme!J5065)</f>
        <v>&lt;/cellule&gt;</v>
      </c>
    </row>
    <row r="5065" spans="1:1" x14ac:dyDescent="0.2">
      <c r="A5065" s="996" t="str">
        <f>CONCATENATE(Programme!D5066,Programme!E5066,Programme!F5066,Programme!G5066,Programme!H5066,Programme!I5066,Programme!J5066)</f>
        <v>&lt;valeur&gt;0&lt;/valeur&gt;</v>
      </c>
    </row>
    <row r="5066" spans="1:1" x14ac:dyDescent="0.2">
      <c r="A5066" s="996" t="str">
        <f>CONCATENATE(Programme!D5067,Programme!E5067,Programme!F5067,Programme!G5067,Programme!H5067,Programme!I5067,Programme!J5067)</f>
        <v>&lt;/ValeurCellule&gt;</v>
      </c>
    </row>
    <row r="5067" spans="1:1" x14ac:dyDescent="0.2">
      <c r="A5067" s="996" t="str">
        <f>CONCATENATE(Programme!D5068,Programme!E5068,Programme!F5068,Programme!G5068,Programme!H5068,Programme!I5068,Programme!J5068)</f>
        <v>&lt;ValeurCellule&gt;</v>
      </c>
    </row>
    <row r="5068" spans="1:1" x14ac:dyDescent="0.2">
      <c r="A5068" s="996" t="str">
        <f>CONCATENATE(Programme!D5069,Programme!E5069,Programme!F5069,Programme!G5069,Programme!H5069,Programme!I5069,Programme!J5069)</f>
        <v>&lt;cellule&gt;</v>
      </c>
    </row>
    <row r="5069" spans="1:1" x14ac:dyDescent="0.2">
      <c r="A5069" s="996" t="str">
        <f>CONCATENATE(Programme!D5070,Programme!E5070,Programme!F5070,Programme!G5070,Programme!H5070,Programme!I5070,Programme!J5070)</f>
        <v>&lt;codeEdi&gt;1540&lt;/codeEdi&gt;</v>
      </c>
    </row>
    <row r="5070" spans="1:1" x14ac:dyDescent="0.2">
      <c r="A5070" s="996" t="str">
        <f>CONCATENATE(Programme!D5071,Programme!E5071,Programme!F5071,Programme!G5071,Programme!H5071,Programme!I5071,Programme!J5071)</f>
        <v>&lt;/cellule&gt;</v>
      </c>
    </row>
    <row r="5071" spans="1:1" x14ac:dyDescent="0.2">
      <c r="A5071" s="996" t="str">
        <f>CONCATENATE(Programme!D5072,Programme!E5072,Programme!F5072,Programme!G5072,Programme!H5072,Programme!I5072,Programme!J5072)</f>
        <v>&lt;valeur&gt;0&lt;/valeur&gt;</v>
      </c>
    </row>
    <row r="5072" spans="1:1" x14ac:dyDescent="0.2">
      <c r="A5072" s="996" t="str">
        <f>CONCATENATE(Programme!D5073,Programme!E5073,Programme!F5073,Programme!G5073,Programme!H5073,Programme!I5073,Programme!J5073)</f>
        <v>&lt;/ValeurCellule&gt;</v>
      </c>
    </row>
    <row r="5073" spans="1:1" x14ac:dyDescent="0.2">
      <c r="A5073" s="996" t="str">
        <f>CONCATENATE(Programme!D5074,Programme!E5074,Programme!F5074,Programme!G5074,Programme!H5074,Programme!I5074,Programme!J5074)</f>
        <v>&lt;ValeurCellule&gt;</v>
      </c>
    </row>
    <row r="5074" spans="1:1" x14ac:dyDescent="0.2">
      <c r="A5074" s="996" t="str">
        <f>CONCATENATE(Programme!D5075,Programme!E5075,Programme!F5075,Programme!G5075,Programme!H5075,Programme!I5075,Programme!J5075)</f>
        <v>&lt;cellule&gt;</v>
      </c>
    </row>
    <row r="5075" spans="1:1" x14ac:dyDescent="0.2">
      <c r="A5075" s="996" t="str">
        <f>CONCATENATE(Programme!D5076,Programme!E5076,Programme!F5076,Programme!G5076,Programme!H5076,Programme!I5076,Programme!J5076)</f>
        <v>&lt;codeEdi&gt;1541&lt;/codeEdi&gt;</v>
      </c>
    </row>
    <row r="5076" spans="1:1" x14ac:dyDescent="0.2">
      <c r="A5076" s="996" t="str">
        <f>CONCATENATE(Programme!D5077,Programme!E5077,Programme!F5077,Programme!G5077,Programme!H5077,Programme!I5077,Programme!J5077)</f>
        <v>&lt;/cellule&gt;</v>
      </c>
    </row>
    <row r="5077" spans="1:1" x14ac:dyDescent="0.2">
      <c r="A5077" s="996" t="str">
        <f>CONCATENATE(Programme!D5078,Programme!E5078,Programme!F5078,Programme!G5078,Programme!H5078,Programme!I5078,Programme!J5078)</f>
        <v>&lt;valeur&gt;0&lt;/valeur&gt;</v>
      </c>
    </row>
    <row r="5078" spans="1:1" x14ac:dyDescent="0.2">
      <c r="A5078" s="996" t="str">
        <f>CONCATENATE(Programme!D5079,Programme!E5079,Programme!F5079,Programme!G5079,Programme!H5079,Programme!I5079,Programme!J5079)</f>
        <v>&lt;/ValeurCellule&gt;</v>
      </c>
    </row>
    <row r="5079" spans="1:1" x14ac:dyDescent="0.2">
      <c r="A5079" s="996" t="str">
        <f>CONCATENATE(Programme!D5080,Programme!E5080,Programme!F5080,Programme!G5080,Programme!H5080,Programme!I5080,Programme!J5080)</f>
        <v>&lt;ValeurCellule&gt;</v>
      </c>
    </row>
    <row r="5080" spans="1:1" x14ac:dyDescent="0.2">
      <c r="A5080" s="996" t="str">
        <f>CONCATENATE(Programme!D5081,Programme!E5081,Programme!F5081,Programme!G5081,Programme!H5081,Programme!I5081,Programme!J5081)</f>
        <v>&lt;cellule&gt;</v>
      </c>
    </row>
    <row r="5081" spans="1:1" x14ac:dyDescent="0.2">
      <c r="A5081" s="996" t="str">
        <f>CONCATENATE(Programme!D5082,Programme!E5082,Programme!F5082,Programme!G5082,Programme!H5082,Programme!I5082,Programme!J5082)</f>
        <v>&lt;codeEdi&gt;1542&lt;/codeEdi&gt;</v>
      </c>
    </row>
    <row r="5082" spans="1:1" x14ac:dyDescent="0.2">
      <c r="A5082" s="996" t="str">
        <f>CONCATENATE(Programme!D5083,Programme!E5083,Programme!F5083,Programme!G5083,Programme!H5083,Programme!I5083,Programme!J5083)</f>
        <v>&lt;/cellule&gt;</v>
      </c>
    </row>
    <row r="5083" spans="1:1" x14ac:dyDescent="0.2">
      <c r="A5083" s="996" t="str">
        <f>CONCATENATE(Programme!D5084,Programme!E5084,Programme!F5084,Programme!G5084,Programme!H5084,Programme!I5084,Programme!J5084)</f>
        <v>&lt;valeur&gt;0&lt;/valeur&gt;</v>
      </c>
    </row>
    <row r="5084" spans="1:1" x14ac:dyDescent="0.2">
      <c r="A5084" s="996" t="str">
        <f>CONCATENATE(Programme!D5085,Programme!E5085,Programme!F5085,Programme!G5085,Programme!H5085,Programme!I5085,Programme!J5085)</f>
        <v>&lt;/ValeurCellule&gt;</v>
      </c>
    </row>
    <row r="5085" spans="1:1" x14ac:dyDescent="0.2">
      <c r="A5085" s="996" t="str">
        <f>CONCATENATE(Programme!D5086,Programme!E5086,Programme!F5086,Programme!G5086,Programme!H5086,Programme!I5086,Programme!J5086)</f>
        <v>&lt;ValeurCellule&gt;</v>
      </c>
    </row>
    <row r="5086" spans="1:1" x14ac:dyDescent="0.2">
      <c r="A5086" s="996" t="str">
        <f>CONCATENATE(Programme!D5087,Programme!E5087,Programme!F5087,Programme!G5087,Programme!H5087,Programme!I5087,Programme!J5087)</f>
        <v>&lt;cellule&gt;</v>
      </c>
    </row>
    <row r="5087" spans="1:1" x14ac:dyDescent="0.2">
      <c r="A5087" s="996" t="str">
        <f>CONCATENATE(Programme!D5088,Programme!E5088,Programme!F5088,Programme!G5088,Programme!H5088,Programme!I5088,Programme!J5088)</f>
        <v>&lt;codeEdi&gt;1543&lt;/codeEdi&gt;</v>
      </c>
    </row>
    <row r="5088" spans="1:1" x14ac:dyDescent="0.2">
      <c r="A5088" s="996" t="str">
        <f>CONCATENATE(Programme!D5089,Programme!E5089,Programme!F5089,Programme!G5089,Programme!H5089,Programme!I5089,Programme!J5089)</f>
        <v>&lt;/cellule&gt;</v>
      </c>
    </row>
    <row r="5089" spans="1:1" x14ac:dyDescent="0.2">
      <c r="A5089" s="996" t="str">
        <f>CONCATENATE(Programme!D5090,Programme!E5090,Programme!F5090,Programme!G5090,Programme!H5090,Programme!I5090,Programme!J5090)</f>
        <v>&lt;valeur&gt;0&lt;/valeur&gt;</v>
      </c>
    </row>
    <row r="5090" spans="1:1" x14ac:dyDescent="0.2">
      <c r="A5090" s="996" t="str">
        <f>CONCATENATE(Programme!D5091,Programme!E5091,Programme!F5091,Programme!G5091,Programme!H5091,Programme!I5091,Programme!J5091)</f>
        <v>&lt;/ValeurCellule&gt;</v>
      </c>
    </row>
    <row r="5091" spans="1:1" x14ac:dyDescent="0.2">
      <c r="A5091" s="996" t="str">
        <f>CONCATENATE(Programme!D5092,Programme!E5092,Programme!F5092,Programme!G5092,Programme!H5092,Programme!I5092,Programme!J5092)</f>
        <v>&lt;ValeurCellule&gt;</v>
      </c>
    </row>
    <row r="5092" spans="1:1" x14ac:dyDescent="0.2">
      <c r="A5092" s="996" t="str">
        <f>CONCATENATE(Programme!D5093,Programme!E5093,Programme!F5093,Programme!G5093,Programme!H5093,Programme!I5093,Programme!J5093)</f>
        <v>&lt;cellule&gt;</v>
      </c>
    </row>
    <row r="5093" spans="1:1" x14ac:dyDescent="0.2">
      <c r="A5093" s="996" t="str">
        <f>CONCATENATE(Programme!D5094,Programme!E5094,Programme!F5094,Programme!G5094,Programme!H5094,Programme!I5094,Programme!J5094)</f>
        <v>&lt;codeEdi&gt;1544&lt;/codeEdi&gt;</v>
      </c>
    </row>
    <row r="5094" spans="1:1" x14ac:dyDescent="0.2">
      <c r="A5094" s="996" t="str">
        <f>CONCATENATE(Programme!D5095,Programme!E5095,Programme!F5095,Programme!G5095,Programme!H5095,Programme!I5095,Programme!J5095)</f>
        <v>&lt;/cellule&gt;</v>
      </c>
    </row>
    <row r="5095" spans="1:1" x14ac:dyDescent="0.2">
      <c r="A5095" s="996" t="str">
        <f>CONCATENATE(Programme!D5096,Programme!E5096,Programme!F5096,Programme!G5096,Programme!H5096,Programme!I5096,Programme!J5096)</f>
        <v>&lt;valeur&gt;0&lt;/valeur&gt;</v>
      </c>
    </row>
    <row r="5096" spans="1:1" x14ac:dyDescent="0.2">
      <c r="A5096" s="996" t="str">
        <f>CONCATENATE(Programme!D5097,Programme!E5097,Programme!F5097,Programme!G5097,Programme!H5097,Programme!I5097,Programme!J5097)</f>
        <v>&lt;/ValeurCellule&gt;</v>
      </c>
    </row>
    <row r="5097" spans="1:1" x14ac:dyDescent="0.2">
      <c r="A5097" s="996" t="str">
        <f>CONCATENATE(Programme!D5098,Programme!E5098,Programme!F5098,Programme!G5098,Programme!H5098,Programme!I5098,Programme!J5098)</f>
        <v>&lt;ValeurCellule&gt;</v>
      </c>
    </row>
    <row r="5098" spans="1:1" x14ac:dyDescent="0.2">
      <c r="A5098" s="996" t="str">
        <f>CONCATENATE(Programme!D5099,Programme!E5099,Programme!F5099,Programme!G5099,Programme!H5099,Programme!I5099,Programme!J5099)</f>
        <v>&lt;cellule&gt;</v>
      </c>
    </row>
    <row r="5099" spans="1:1" x14ac:dyDescent="0.2">
      <c r="A5099" s="996" t="str">
        <f>CONCATENATE(Programme!D5100,Programme!E5100,Programme!F5100,Programme!G5100,Programme!H5100,Programme!I5100,Programme!J5100)</f>
        <v>&lt;codeEdi&gt;1545&lt;/codeEdi&gt;</v>
      </c>
    </row>
    <row r="5100" spans="1:1" x14ac:dyDescent="0.2">
      <c r="A5100" s="996" t="str">
        <f>CONCATENATE(Programme!D5101,Programme!E5101,Programme!F5101,Programme!G5101,Programme!H5101,Programme!I5101,Programme!J5101)</f>
        <v>&lt;/cellule&gt;</v>
      </c>
    </row>
    <row r="5101" spans="1:1" x14ac:dyDescent="0.2">
      <c r="A5101" s="996" t="str">
        <f>CONCATENATE(Programme!D5102,Programme!E5102,Programme!F5102,Programme!G5102,Programme!H5102,Programme!I5102,Programme!J5102)</f>
        <v>&lt;valeur&gt;&lt;/valeur&gt;</v>
      </c>
    </row>
    <row r="5102" spans="1:1" x14ac:dyDescent="0.2">
      <c r="A5102" s="996" t="str">
        <f>CONCATENATE(Programme!D5103,Programme!E5103,Programme!F5103,Programme!G5103,Programme!H5103,Programme!I5103,Programme!J5103)</f>
        <v>&lt;/ValeurCellule&gt;</v>
      </c>
    </row>
    <row r="5103" spans="1:1" x14ac:dyDescent="0.2">
      <c r="A5103" s="996" t="str">
        <f>CONCATENATE(Programme!D5104,Programme!E5104,Programme!F5104,Programme!G5104,Programme!H5104,Programme!I5104,Programme!J5104)</f>
        <v>&lt;ValeurCellule&gt;</v>
      </c>
    </row>
    <row r="5104" spans="1:1" x14ac:dyDescent="0.2">
      <c r="A5104" s="996" t="str">
        <f>CONCATENATE(Programme!D5105,Programme!E5105,Programme!F5105,Programme!G5105,Programme!H5105,Programme!I5105,Programme!J5105)</f>
        <v>&lt;cellule&gt;</v>
      </c>
    </row>
    <row r="5105" spans="1:1" x14ac:dyDescent="0.2">
      <c r="A5105" s="996" t="str">
        <f>CONCATENATE(Programme!D5106,Programme!E5106,Programme!F5106,Programme!G5106,Programme!H5106,Programme!I5106,Programme!J5106)</f>
        <v>&lt;codeEdi&gt;1546&lt;/codeEdi&gt;</v>
      </c>
    </row>
    <row r="5106" spans="1:1" x14ac:dyDescent="0.2">
      <c r="A5106" s="996" t="str">
        <f>CONCATENATE(Programme!D5107,Programme!E5107,Programme!F5107,Programme!G5107,Programme!H5107,Programme!I5107,Programme!J5107)</f>
        <v>&lt;/cellule&gt;</v>
      </c>
    </row>
    <row r="5107" spans="1:1" x14ac:dyDescent="0.2">
      <c r="A5107" s="996" t="str">
        <f>CONCATENATE(Programme!D5108,Programme!E5108,Programme!F5108,Programme!G5108,Programme!H5108,Programme!I5108,Programme!J5108)</f>
        <v>&lt;valeur&gt;0&lt;/valeur&gt;</v>
      </c>
    </row>
    <row r="5108" spans="1:1" x14ac:dyDescent="0.2">
      <c r="A5108" s="996" t="str">
        <f>CONCATENATE(Programme!D5109,Programme!E5109,Programme!F5109,Programme!G5109,Programme!H5109,Programme!I5109,Programme!J5109)</f>
        <v>&lt;/ValeurCellule&gt;</v>
      </c>
    </row>
    <row r="5109" spans="1:1" x14ac:dyDescent="0.2">
      <c r="A5109" s="996" t="str">
        <f>CONCATENATE(Programme!D5110,Programme!E5110,Programme!F5110,Programme!G5110,Programme!H5110,Programme!I5110,Programme!J5110)</f>
        <v>&lt;ValeurCellule&gt;</v>
      </c>
    </row>
    <row r="5110" spans="1:1" x14ac:dyDescent="0.2">
      <c r="A5110" s="996" t="str">
        <f>CONCATENATE(Programme!D5111,Programme!E5111,Programme!F5111,Programme!G5111,Programme!H5111,Programme!I5111,Programme!J5111)</f>
        <v>&lt;cellule&gt;</v>
      </c>
    </row>
    <row r="5111" spans="1:1" x14ac:dyDescent="0.2">
      <c r="A5111" s="996" t="str">
        <f>CONCATENATE(Programme!D5112,Programme!E5112,Programme!F5112,Programme!G5112,Programme!H5112,Programme!I5112,Programme!J5112)</f>
        <v>&lt;codeEdi&gt;1547&lt;/codeEdi&gt;</v>
      </c>
    </row>
    <row r="5112" spans="1:1" x14ac:dyDescent="0.2">
      <c r="A5112" s="996" t="str">
        <f>CONCATENATE(Programme!D5113,Programme!E5113,Programme!F5113,Programme!G5113,Programme!H5113,Programme!I5113,Programme!J5113)</f>
        <v>&lt;/cellule&gt;</v>
      </c>
    </row>
    <row r="5113" spans="1:1" x14ac:dyDescent="0.2">
      <c r="A5113" s="996" t="str">
        <f>CONCATENATE(Programme!D5114,Programme!E5114,Programme!F5114,Programme!G5114,Programme!H5114,Programme!I5114,Programme!J5114)</f>
        <v>&lt;valeur&gt;0&lt;/valeur&gt;</v>
      </c>
    </row>
    <row r="5114" spans="1:1" x14ac:dyDescent="0.2">
      <c r="A5114" s="996" t="str">
        <f>CONCATENATE(Programme!D5115,Programme!E5115,Programme!F5115,Programme!G5115,Programme!H5115,Programme!I5115,Programme!J5115)</f>
        <v>&lt;/ValeurCellule&gt;</v>
      </c>
    </row>
    <row r="5115" spans="1:1" x14ac:dyDescent="0.2">
      <c r="A5115" s="996" t="str">
        <f>CONCATENATE(Programme!D5116,Programme!E5116,Programme!F5116,Programme!G5116,Programme!H5116,Programme!I5116,Programme!J5116)</f>
        <v>&lt;ValeurCellule&gt;</v>
      </c>
    </row>
    <row r="5116" spans="1:1" x14ac:dyDescent="0.2">
      <c r="A5116" s="996" t="str">
        <f>CONCATENATE(Programme!D5117,Programme!E5117,Programme!F5117,Programme!G5117,Programme!H5117,Programme!I5117,Programme!J5117)</f>
        <v>&lt;cellule&gt;</v>
      </c>
    </row>
    <row r="5117" spans="1:1" x14ac:dyDescent="0.2">
      <c r="A5117" s="996" t="str">
        <f>CONCATENATE(Programme!D5118,Programme!E5118,Programme!F5118,Programme!G5118,Programme!H5118,Programme!I5118,Programme!J5118)</f>
        <v>&lt;codeEdi&gt;1548&lt;/codeEdi&gt;</v>
      </c>
    </row>
    <row r="5118" spans="1:1" x14ac:dyDescent="0.2">
      <c r="A5118" s="996" t="str">
        <f>CONCATENATE(Programme!D5119,Programme!E5119,Programme!F5119,Programme!G5119,Programme!H5119,Programme!I5119,Programme!J5119)</f>
        <v>&lt;/cellule&gt;</v>
      </c>
    </row>
    <row r="5119" spans="1:1" x14ac:dyDescent="0.2">
      <c r="A5119" s="996" t="str">
        <f>CONCATENATE(Programme!D5120,Programme!E5120,Programme!F5120,Programme!G5120,Programme!H5120,Programme!I5120,Programme!J5120)</f>
        <v>&lt;valeur&gt;0&lt;/valeur&gt;</v>
      </c>
    </row>
    <row r="5120" spans="1:1" x14ac:dyDescent="0.2">
      <c r="A5120" s="996" t="str">
        <f>CONCATENATE(Programme!D5121,Programme!E5121,Programme!F5121,Programme!G5121,Programme!H5121,Programme!I5121,Programme!J5121)</f>
        <v>&lt;/ValeurCellule&gt;</v>
      </c>
    </row>
    <row r="5121" spans="1:1" x14ac:dyDescent="0.2">
      <c r="A5121" s="996" t="str">
        <f>CONCATENATE(Programme!D5122,Programme!E5122,Programme!F5122,Programme!G5122,Programme!H5122,Programme!I5122,Programme!J5122)</f>
        <v>&lt;ValeurCellule&gt;</v>
      </c>
    </row>
    <row r="5122" spans="1:1" x14ac:dyDescent="0.2">
      <c r="A5122" s="996" t="str">
        <f>CONCATENATE(Programme!D5123,Programme!E5123,Programme!F5123,Programme!G5123,Programme!H5123,Programme!I5123,Programme!J5123)</f>
        <v>&lt;cellule&gt;</v>
      </c>
    </row>
    <row r="5123" spans="1:1" x14ac:dyDescent="0.2">
      <c r="A5123" s="996" t="str">
        <f>CONCATENATE(Programme!D5124,Programme!E5124,Programme!F5124,Programme!G5124,Programme!H5124,Programme!I5124,Programme!J5124)</f>
        <v>&lt;codeEdi&gt;1549&lt;/codeEdi&gt;</v>
      </c>
    </row>
    <row r="5124" spans="1:1" x14ac:dyDescent="0.2">
      <c r="A5124" s="996" t="str">
        <f>CONCATENATE(Programme!D5125,Programme!E5125,Programme!F5125,Programme!G5125,Programme!H5125,Programme!I5125,Programme!J5125)</f>
        <v>&lt;/cellule&gt;</v>
      </c>
    </row>
    <row r="5125" spans="1:1" x14ac:dyDescent="0.2">
      <c r="A5125" s="996" t="str">
        <f>CONCATENATE(Programme!D5126,Programme!E5126,Programme!F5126,Programme!G5126,Programme!H5126,Programme!I5126,Programme!J5126)</f>
        <v>&lt;valeur&gt;0&lt;/valeur&gt;</v>
      </c>
    </row>
    <row r="5126" spans="1:1" x14ac:dyDescent="0.2">
      <c r="A5126" s="996" t="str">
        <f>CONCATENATE(Programme!D5127,Programme!E5127,Programme!F5127,Programme!G5127,Programme!H5127,Programme!I5127,Programme!J5127)</f>
        <v>&lt;/ValeurCellule&gt;</v>
      </c>
    </row>
    <row r="5127" spans="1:1" x14ac:dyDescent="0.2">
      <c r="A5127" s="996" t="str">
        <f>CONCATENATE(Programme!D5128,Programme!E5128,Programme!F5128,Programme!G5128,Programme!H5128,Programme!I5128,Programme!J5128)</f>
        <v>&lt;ValeurCellule&gt;</v>
      </c>
    </row>
    <row r="5128" spans="1:1" x14ac:dyDescent="0.2">
      <c r="A5128" s="996" t="str">
        <f>CONCATENATE(Programme!D5129,Programme!E5129,Programme!F5129,Programme!G5129,Programme!H5129,Programme!I5129,Programme!J5129)</f>
        <v>&lt;cellule&gt;</v>
      </c>
    </row>
    <row r="5129" spans="1:1" x14ac:dyDescent="0.2">
      <c r="A5129" s="996" t="str">
        <f>CONCATENATE(Programme!D5130,Programme!E5130,Programme!F5130,Programme!G5130,Programme!H5130,Programme!I5130,Programme!J5130)</f>
        <v>&lt;codeEdi&gt;1552&lt;/codeEdi&gt;</v>
      </c>
    </row>
    <row r="5130" spans="1:1" x14ac:dyDescent="0.2">
      <c r="A5130" s="996" t="str">
        <f>CONCATENATE(Programme!D5131,Programme!E5131,Programme!F5131,Programme!G5131,Programme!H5131,Programme!I5131,Programme!J5131)</f>
        <v>&lt;/cellule&gt;</v>
      </c>
    </row>
    <row r="5131" spans="1:1" x14ac:dyDescent="0.2">
      <c r="A5131" s="996" t="str">
        <f>CONCATENATE(Programme!D5132,Programme!E5132,Programme!F5132,Programme!G5132,Programme!H5132,Programme!I5132,Programme!J5132)</f>
        <v>&lt;valeur&gt;0&lt;/valeur&gt;</v>
      </c>
    </row>
    <row r="5132" spans="1:1" x14ac:dyDescent="0.2">
      <c r="A5132" s="996" t="str">
        <f>CONCATENATE(Programme!D5133,Programme!E5133,Programme!F5133,Programme!G5133,Programme!H5133,Programme!I5133,Programme!J5133)</f>
        <v>&lt;/ValeurCellule&gt;</v>
      </c>
    </row>
    <row r="5133" spans="1:1" x14ac:dyDescent="0.2">
      <c r="A5133" s="996" t="str">
        <f>CONCATENATE(Programme!D5134,Programme!E5134,Programme!F5134,Programme!G5134,Programme!H5134,Programme!I5134,Programme!J5134)</f>
        <v>&lt;ValeurCellule&gt;</v>
      </c>
    </row>
    <row r="5134" spans="1:1" x14ac:dyDescent="0.2">
      <c r="A5134" s="996" t="str">
        <f>CONCATENATE(Programme!D5135,Programme!E5135,Programme!F5135,Programme!G5135,Programme!H5135,Programme!I5135,Programme!J5135)</f>
        <v>&lt;cellule&gt;</v>
      </c>
    </row>
    <row r="5135" spans="1:1" x14ac:dyDescent="0.2">
      <c r="A5135" s="996" t="str">
        <f>CONCATENATE(Programme!D5136,Programme!E5136,Programme!F5136,Programme!G5136,Programme!H5136,Programme!I5136,Programme!J5136)</f>
        <v>&lt;codeEdi&gt;1553&lt;/codeEdi&gt;</v>
      </c>
    </row>
    <row r="5136" spans="1:1" x14ac:dyDescent="0.2">
      <c r="A5136" s="996" t="str">
        <f>CONCATENATE(Programme!D5137,Programme!E5137,Programme!F5137,Programme!G5137,Programme!H5137,Programme!I5137,Programme!J5137)</f>
        <v>&lt;/cellule&gt;</v>
      </c>
    </row>
    <row r="5137" spans="1:1" x14ac:dyDescent="0.2">
      <c r="A5137" s="996" t="str">
        <f>CONCATENATE(Programme!D5138,Programme!E5138,Programme!F5138,Programme!G5138,Programme!H5138,Programme!I5138,Programme!J5138)</f>
        <v>&lt;valeur&gt;0&lt;/valeur&gt;</v>
      </c>
    </row>
    <row r="5138" spans="1:1" x14ac:dyDescent="0.2">
      <c r="A5138" s="996" t="str">
        <f>CONCATENATE(Programme!D5139,Programme!E5139,Programme!F5139,Programme!G5139,Programme!H5139,Programme!I5139,Programme!J5139)</f>
        <v>&lt;/ValeurCellule&gt;</v>
      </c>
    </row>
    <row r="5139" spans="1:1" x14ac:dyDescent="0.2">
      <c r="A5139" s="996" t="str">
        <f>CONCATENATE(Programme!D5140,Programme!E5140,Programme!F5140,Programme!G5140,Programme!H5140,Programme!I5140,Programme!J5140)</f>
        <v>&lt;ValeurCellule&gt;</v>
      </c>
    </row>
    <row r="5140" spans="1:1" x14ac:dyDescent="0.2">
      <c r="A5140" s="996" t="str">
        <f>CONCATENATE(Programme!D5141,Programme!E5141,Programme!F5141,Programme!G5141,Programme!H5141,Programme!I5141,Programme!J5141)</f>
        <v>&lt;cellule&gt;</v>
      </c>
    </row>
    <row r="5141" spans="1:1" x14ac:dyDescent="0.2">
      <c r="A5141" s="996" t="str">
        <f>CONCATENATE(Programme!D5142,Programme!E5142,Programme!F5142,Programme!G5142,Programme!H5142,Programme!I5142,Programme!J5142)</f>
        <v>&lt;codeEdi&gt;1550&lt;/codeEdi&gt;</v>
      </c>
    </row>
    <row r="5142" spans="1:1" x14ac:dyDescent="0.2">
      <c r="A5142" s="996" t="str">
        <f>CONCATENATE(Programme!D5143,Programme!E5143,Programme!F5143,Programme!G5143,Programme!H5143,Programme!I5143,Programme!J5143)</f>
        <v>&lt;/cellule&gt;</v>
      </c>
    </row>
    <row r="5143" spans="1:1" x14ac:dyDescent="0.2">
      <c r="A5143" s="996" t="str">
        <f>CONCATENATE(Programme!D5144,Programme!E5144,Programme!F5144,Programme!G5144,Programme!H5144,Programme!I5144,Programme!J5144)</f>
        <v>&lt;valeur&gt;&lt;/valeur&gt;</v>
      </c>
    </row>
    <row r="5144" spans="1:1" x14ac:dyDescent="0.2">
      <c r="A5144" s="996" t="str">
        <f>CONCATENATE(Programme!D5145,Programme!E5145,Programme!F5145,Programme!G5145,Programme!H5145,Programme!I5145,Programme!J5145)</f>
        <v>&lt;/ValeurCellule&gt;</v>
      </c>
    </row>
    <row r="5145" spans="1:1" x14ac:dyDescent="0.2">
      <c r="A5145" s="996" t="str">
        <f>CONCATENATE(Programme!D5146,Programme!E5146,Programme!F5146,Programme!G5146,Programme!H5146,Programme!I5146,Programme!J5146)</f>
        <v>&lt;ValeurCellule&gt;</v>
      </c>
    </row>
    <row r="5146" spans="1:1" x14ac:dyDescent="0.2">
      <c r="A5146" s="996" t="str">
        <f>CONCATENATE(Programme!D5147,Programme!E5147,Programme!F5147,Programme!G5147,Programme!H5147,Programme!I5147,Programme!J5147)</f>
        <v>&lt;cellule&gt;</v>
      </c>
    </row>
    <row r="5147" spans="1:1" x14ac:dyDescent="0.2">
      <c r="A5147" s="996" t="str">
        <f>CONCATENATE(Programme!D5148,Programme!E5148,Programme!F5148,Programme!G5148,Programme!H5148,Programme!I5148,Programme!J5148)</f>
        <v>&lt;codeEdi&gt;1551&lt;/codeEdi&gt;</v>
      </c>
    </row>
    <row r="5148" spans="1:1" x14ac:dyDescent="0.2">
      <c r="A5148" s="996" t="str">
        <f>CONCATENATE(Programme!D5149,Programme!E5149,Programme!F5149,Programme!G5149,Programme!H5149,Programme!I5149,Programme!J5149)</f>
        <v>&lt;/cellule&gt;</v>
      </c>
    </row>
    <row r="5149" spans="1:1" x14ac:dyDescent="0.2">
      <c r="A5149" s="996" t="str">
        <f>CONCATENATE(Programme!D5150,Programme!E5150,Programme!F5150,Programme!G5150,Programme!H5150,Programme!I5150,Programme!J5150)</f>
        <v>&lt;valeur&gt;0&lt;/valeur&gt;</v>
      </c>
    </row>
    <row r="5150" spans="1:1" x14ac:dyDescent="0.2">
      <c r="A5150" s="996" t="str">
        <f>CONCATENATE(Programme!D5151,Programme!E5151,Programme!F5151,Programme!G5151,Programme!H5151,Programme!I5151,Programme!J5151)</f>
        <v>&lt;/ValeurCellule&gt;</v>
      </c>
    </row>
    <row r="5151" spans="1:1" x14ac:dyDescent="0.2">
      <c r="A5151" s="996" t="str">
        <f>CONCATENATE(Programme!D5152,Programme!E5152,Programme!F5152,Programme!G5152,Programme!H5152,Programme!I5152,Programme!J5152)</f>
        <v>&lt;ValeurCellule&gt;</v>
      </c>
    </row>
    <row r="5152" spans="1:1" x14ac:dyDescent="0.2">
      <c r="A5152" s="996" t="str">
        <f>CONCATENATE(Programme!D5153,Programme!E5153,Programme!F5153,Programme!G5153,Programme!H5153,Programme!I5153,Programme!J5153)</f>
        <v>&lt;cellule&gt;</v>
      </c>
    </row>
    <row r="5153" spans="1:1" x14ac:dyDescent="0.2">
      <c r="A5153" s="996" t="str">
        <f>CONCATENATE(Programme!D5154,Programme!E5154,Programme!F5154,Programme!G5154,Programme!H5154,Programme!I5154,Programme!J5154)</f>
        <v>&lt;codeEdi&gt;1733&lt;/codeEdi&gt;</v>
      </c>
    </row>
    <row r="5154" spans="1:1" x14ac:dyDescent="0.2">
      <c r="A5154" s="996" t="str">
        <f>CONCATENATE(Programme!D5155,Programme!E5155,Programme!F5155,Programme!G5155,Programme!H5155,Programme!I5155,Programme!J5155)</f>
        <v>&lt;/cellule&gt;</v>
      </c>
    </row>
    <row r="5155" spans="1:1" x14ac:dyDescent="0.2">
      <c r="A5155" s="996" t="str">
        <f>CONCATENATE(Programme!D5156,Programme!E5156,Programme!F5156,Programme!G5156,Programme!H5156,Programme!I5156,Programme!J5156)</f>
        <v>&lt;valeur&gt;0&lt;/valeur&gt;</v>
      </c>
    </row>
    <row r="5156" spans="1:1" x14ac:dyDescent="0.2">
      <c r="A5156" s="996" t="str">
        <f>CONCATENATE(Programme!D5157,Programme!E5157,Programme!F5157,Programme!G5157,Programme!H5157,Programme!I5157,Programme!J5157)</f>
        <v>&lt;/ValeurCellule&gt;</v>
      </c>
    </row>
    <row r="5157" spans="1:1" x14ac:dyDescent="0.2">
      <c r="A5157" s="996" t="str">
        <f>CONCATENATE(Programme!D5158,Programme!E5158,Programme!F5158,Programme!G5158,Programme!H5158,Programme!I5158,Programme!J5158)</f>
        <v>&lt;ValeurCellule&gt;</v>
      </c>
    </row>
    <row r="5158" spans="1:1" x14ac:dyDescent="0.2">
      <c r="A5158" s="996" t="str">
        <f>CONCATENATE(Programme!D5159,Programme!E5159,Programme!F5159,Programme!G5159,Programme!H5159,Programme!I5159,Programme!J5159)</f>
        <v>&lt;cellule&gt;</v>
      </c>
    </row>
    <row r="5159" spans="1:1" x14ac:dyDescent="0.2">
      <c r="A5159" s="996" t="str">
        <f>CONCATENATE(Programme!D5160,Programme!E5160,Programme!F5160,Programme!G5160,Programme!H5160,Programme!I5160,Programme!J5160)</f>
        <v>&lt;codeEdi&gt;1562&lt;/codeEdi&gt;</v>
      </c>
    </row>
    <row r="5160" spans="1:1" x14ac:dyDescent="0.2">
      <c r="A5160" s="996" t="str">
        <f>CONCATENATE(Programme!D5161,Programme!E5161,Programme!F5161,Programme!G5161,Programme!H5161,Programme!I5161,Programme!J5161)</f>
        <v>&lt;/cellule&gt;</v>
      </c>
    </row>
    <row r="5161" spans="1:1" x14ac:dyDescent="0.2">
      <c r="A5161" s="996" t="str">
        <f>CONCATENATE(Programme!D5162,Programme!E5162,Programme!F5162,Programme!G5162,Programme!H5162,Programme!I5162,Programme!J5162)</f>
        <v>&lt;valeur&gt;&lt;/valeur&gt;</v>
      </c>
    </row>
    <row r="5162" spans="1:1" x14ac:dyDescent="0.2">
      <c r="A5162" s="996" t="str">
        <f>CONCATENATE(Programme!D5163,Programme!E5163,Programme!F5163,Programme!G5163,Programme!H5163,Programme!I5163,Programme!J5163)</f>
        <v>&lt;/ValeurCellule&gt;</v>
      </c>
    </row>
    <row r="5163" spans="1:1" x14ac:dyDescent="0.2">
      <c r="A5163" s="996" t="str">
        <f>CONCATENATE(Programme!D5164,Programme!E5164,Programme!F5164,Programme!G5164,Programme!H5164,Programme!I5164,Programme!J5164)</f>
        <v>&lt;ValeurCellule&gt;</v>
      </c>
    </row>
    <row r="5164" spans="1:1" x14ac:dyDescent="0.2">
      <c r="A5164" s="996" t="str">
        <f>CONCATENATE(Programme!D5165,Programme!E5165,Programme!F5165,Programme!G5165,Programme!H5165,Programme!I5165,Programme!J5165)</f>
        <v>&lt;cellule&gt;</v>
      </c>
    </row>
    <row r="5165" spans="1:1" x14ac:dyDescent="0.2">
      <c r="A5165" s="996" t="str">
        <f>CONCATENATE(Programme!D5166,Programme!E5166,Programme!F5166,Programme!G5166,Programme!H5166,Programme!I5166,Programme!J5166)</f>
        <v>&lt;codeEdi&gt;1563&lt;/codeEdi&gt;</v>
      </c>
    </row>
    <row r="5166" spans="1:1" x14ac:dyDescent="0.2">
      <c r="A5166" s="996" t="str">
        <f>CONCATENATE(Programme!D5167,Programme!E5167,Programme!F5167,Programme!G5167,Programme!H5167,Programme!I5167,Programme!J5167)</f>
        <v>&lt;/cellule&gt;</v>
      </c>
    </row>
    <row r="5167" spans="1:1" x14ac:dyDescent="0.2">
      <c r="A5167" s="996" t="str">
        <f>CONCATENATE(Programme!D5168,Programme!E5168,Programme!F5168,Programme!G5168,Programme!H5168,Programme!I5168,Programme!J5168)</f>
        <v>&lt;valeur&gt;0&lt;/valeur&gt;</v>
      </c>
    </row>
    <row r="5168" spans="1:1" x14ac:dyDescent="0.2">
      <c r="A5168" s="996" t="str">
        <f>CONCATENATE(Programme!D5169,Programme!E5169,Programme!F5169,Programme!G5169,Programme!H5169,Programme!I5169,Programme!J5169)</f>
        <v>&lt;/ValeurCellule&gt;</v>
      </c>
    </row>
    <row r="5169" spans="1:1" x14ac:dyDescent="0.2">
      <c r="A5169" s="996" t="str">
        <f>CONCATENATE(Programme!D5170,Programme!E5170,Programme!F5170,Programme!G5170,Programme!H5170,Programme!I5170,Programme!J5170)</f>
        <v>&lt;ValeurCellule&gt;</v>
      </c>
    </row>
    <row r="5170" spans="1:1" x14ac:dyDescent="0.2">
      <c r="A5170" s="996" t="str">
        <f>CONCATENATE(Programme!D5171,Programme!E5171,Programme!F5171,Programme!G5171,Programme!H5171,Programme!I5171,Programme!J5171)</f>
        <v>&lt;cellule&gt;</v>
      </c>
    </row>
    <row r="5171" spans="1:1" x14ac:dyDescent="0.2">
      <c r="A5171" s="996" t="str">
        <f>CONCATENATE(Programme!D5172,Programme!E5172,Programme!F5172,Programme!G5172,Programme!H5172,Programme!I5172,Programme!J5172)</f>
        <v>&lt;codeEdi&gt;1564&lt;/codeEdi&gt;</v>
      </c>
    </row>
    <row r="5172" spans="1:1" x14ac:dyDescent="0.2">
      <c r="A5172" s="996" t="str">
        <f>CONCATENATE(Programme!D5173,Programme!E5173,Programme!F5173,Programme!G5173,Programme!H5173,Programme!I5173,Programme!J5173)</f>
        <v>&lt;/cellule&gt;</v>
      </c>
    </row>
    <row r="5173" spans="1:1" x14ac:dyDescent="0.2">
      <c r="A5173" s="996" t="str">
        <f>CONCATENATE(Programme!D5174,Programme!E5174,Programme!F5174,Programme!G5174,Programme!H5174,Programme!I5174,Programme!J5174)</f>
        <v>&lt;valeur&gt;0&lt;/valeur&gt;</v>
      </c>
    </row>
    <row r="5174" spans="1:1" x14ac:dyDescent="0.2">
      <c r="A5174" s="996" t="str">
        <f>CONCATENATE(Programme!D5175,Programme!E5175,Programme!F5175,Programme!G5175,Programme!H5175,Programme!I5175,Programme!J5175)</f>
        <v>&lt;/ValeurCellule&gt;</v>
      </c>
    </row>
    <row r="5175" spans="1:1" x14ac:dyDescent="0.2">
      <c r="A5175" s="996" t="str">
        <f>CONCATENATE(Programme!D5176,Programme!E5176,Programme!F5176,Programme!G5176,Programme!H5176,Programme!I5176,Programme!J5176)</f>
        <v>&lt;ValeurCellule&gt;</v>
      </c>
    </row>
    <row r="5176" spans="1:1" x14ac:dyDescent="0.2">
      <c r="A5176" s="996" t="str">
        <f>CONCATENATE(Programme!D5177,Programme!E5177,Programme!F5177,Programme!G5177,Programme!H5177,Programme!I5177,Programme!J5177)</f>
        <v>&lt;cellule&gt;</v>
      </c>
    </row>
    <row r="5177" spans="1:1" x14ac:dyDescent="0.2">
      <c r="A5177" s="996" t="str">
        <f>CONCATENATE(Programme!D5178,Programme!E5178,Programme!F5178,Programme!G5178,Programme!H5178,Programme!I5178,Programme!J5178)</f>
        <v>&lt;codeEdi&gt;1565&lt;/codeEdi&gt;</v>
      </c>
    </row>
    <row r="5178" spans="1:1" x14ac:dyDescent="0.2">
      <c r="A5178" s="996" t="str">
        <f>CONCATENATE(Programme!D5179,Programme!E5179,Programme!F5179,Programme!G5179,Programme!H5179,Programme!I5179,Programme!J5179)</f>
        <v>&lt;/cellule&gt;</v>
      </c>
    </row>
    <row r="5179" spans="1:1" x14ac:dyDescent="0.2">
      <c r="A5179" s="996" t="str">
        <f>CONCATENATE(Programme!D5180,Programme!E5180,Programme!F5180,Programme!G5180,Programme!H5180,Programme!I5180,Programme!J5180)</f>
        <v>&lt;valeur&gt;0&lt;/valeur&gt;</v>
      </c>
    </row>
    <row r="5180" spans="1:1" x14ac:dyDescent="0.2">
      <c r="A5180" s="996" t="str">
        <f>CONCATENATE(Programme!D5181,Programme!E5181,Programme!F5181,Programme!G5181,Programme!H5181,Programme!I5181,Programme!J5181)</f>
        <v>&lt;/ValeurCellule&gt;</v>
      </c>
    </row>
    <row r="5181" spans="1:1" x14ac:dyDescent="0.2">
      <c r="A5181" s="996" t="str">
        <f>CONCATENATE(Programme!D5182,Programme!E5182,Programme!F5182,Programme!G5182,Programme!H5182,Programme!I5182,Programme!J5182)</f>
        <v>&lt;ValeurCellule&gt;</v>
      </c>
    </row>
    <row r="5182" spans="1:1" x14ac:dyDescent="0.2">
      <c r="A5182" s="996" t="str">
        <f>CONCATENATE(Programme!D5183,Programme!E5183,Programme!F5183,Programme!G5183,Programme!H5183,Programme!I5183,Programme!J5183)</f>
        <v>&lt;cellule&gt;</v>
      </c>
    </row>
    <row r="5183" spans="1:1" x14ac:dyDescent="0.2">
      <c r="A5183" s="996" t="str">
        <f>CONCATENATE(Programme!D5184,Programme!E5184,Programme!F5184,Programme!G5184,Programme!H5184,Programme!I5184,Programme!J5184)</f>
        <v>&lt;codeEdi&gt;1566&lt;/codeEdi&gt;</v>
      </c>
    </row>
    <row r="5184" spans="1:1" x14ac:dyDescent="0.2">
      <c r="A5184" s="996" t="str">
        <f>CONCATENATE(Programme!D5185,Programme!E5185,Programme!F5185,Programme!G5185,Programme!H5185,Programme!I5185,Programme!J5185)</f>
        <v>&lt;/cellule&gt;</v>
      </c>
    </row>
    <row r="5185" spans="1:1" x14ac:dyDescent="0.2">
      <c r="A5185" s="996" t="str">
        <f>CONCATENATE(Programme!D5186,Programme!E5186,Programme!F5186,Programme!G5186,Programme!H5186,Programme!I5186,Programme!J5186)</f>
        <v>&lt;valeur&gt;&lt;/valeur&gt;</v>
      </c>
    </row>
    <row r="5186" spans="1:1" x14ac:dyDescent="0.2">
      <c r="A5186" s="996" t="str">
        <f>CONCATENATE(Programme!D5187,Programme!E5187,Programme!F5187,Programme!G5187,Programme!H5187,Programme!I5187,Programme!J5187)</f>
        <v>&lt;/ValeurCellule&gt;</v>
      </c>
    </row>
    <row r="5187" spans="1:1" x14ac:dyDescent="0.2">
      <c r="A5187" s="996" t="str">
        <f>CONCATENATE(Programme!D5188,Programme!E5188,Programme!F5188,Programme!G5188,Programme!H5188,Programme!I5188,Programme!J5188)</f>
        <v>&lt;ValeurCellule&gt;</v>
      </c>
    </row>
    <row r="5188" spans="1:1" x14ac:dyDescent="0.2">
      <c r="A5188" s="996" t="str">
        <f>CONCATENATE(Programme!D5189,Programme!E5189,Programme!F5189,Programme!G5189,Programme!H5189,Programme!I5189,Programme!J5189)</f>
        <v>&lt;cellule&gt;</v>
      </c>
    </row>
    <row r="5189" spans="1:1" x14ac:dyDescent="0.2">
      <c r="A5189" s="996" t="str">
        <f>CONCATENATE(Programme!D5190,Programme!E5190,Programme!F5190,Programme!G5190,Programme!H5190,Programme!I5190,Programme!J5190)</f>
        <v>&lt;codeEdi&gt;1567&lt;/codeEdi&gt;</v>
      </c>
    </row>
    <row r="5190" spans="1:1" x14ac:dyDescent="0.2">
      <c r="A5190" s="996" t="str">
        <f>CONCATENATE(Programme!D5191,Programme!E5191,Programme!F5191,Programme!G5191,Programme!H5191,Programme!I5191,Programme!J5191)</f>
        <v>&lt;/cellule&gt;</v>
      </c>
    </row>
    <row r="5191" spans="1:1" x14ac:dyDescent="0.2">
      <c r="A5191" s="996" t="str">
        <f>CONCATENATE(Programme!D5192,Programme!E5192,Programme!F5192,Programme!G5192,Programme!H5192,Programme!I5192,Programme!J5192)</f>
        <v>&lt;valeur&gt;0&lt;/valeur&gt;</v>
      </c>
    </row>
    <row r="5192" spans="1:1" x14ac:dyDescent="0.2">
      <c r="A5192" s="996" t="str">
        <f>CONCATENATE(Programme!D5193,Programme!E5193,Programme!F5193,Programme!G5193,Programme!H5193,Programme!I5193,Programme!J5193)</f>
        <v>&lt;/ValeurCellule&gt;</v>
      </c>
    </row>
    <row r="5193" spans="1:1" x14ac:dyDescent="0.2">
      <c r="A5193" s="996" t="str">
        <f>CONCATENATE(Programme!D5194,Programme!E5194,Programme!F5194,Programme!G5194,Programme!H5194,Programme!I5194,Programme!J5194)</f>
        <v>&lt;ValeurCellule&gt;</v>
      </c>
    </row>
    <row r="5194" spans="1:1" x14ac:dyDescent="0.2">
      <c r="A5194" s="996" t="str">
        <f>CONCATENATE(Programme!D5195,Programme!E5195,Programme!F5195,Programme!G5195,Programme!H5195,Programme!I5195,Programme!J5195)</f>
        <v>&lt;cellule&gt;</v>
      </c>
    </row>
    <row r="5195" spans="1:1" x14ac:dyDescent="0.2">
      <c r="A5195" s="996" t="str">
        <f>CONCATENATE(Programme!D5196,Programme!E5196,Programme!F5196,Programme!G5196,Programme!H5196,Programme!I5196,Programme!J5196)</f>
        <v>&lt;codeEdi&gt;1568&lt;/codeEdi&gt;</v>
      </c>
    </row>
    <row r="5196" spans="1:1" x14ac:dyDescent="0.2">
      <c r="A5196" s="996" t="str">
        <f>CONCATENATE(Programme!D5197,Programme!E5197,Programme!F5197,Programme!G5197,Programme!H5197,Programme!I5197,Programme!J5197)</f>
        <v>&lt;/cellule&gt;</v>
      </c>
    </row>
    <row r="5197" spans="1:1" x14ac:dyDescent="0.2">
      <c r="A5197" s="996" t="str">
        <f>CONCATENATE(Programme!D5198,Programme!E5198,Programme!F5198,Programme!G5198,Programme!H5198,Programme!I5198,Programme!J5198)</f>
        <v>&lt;valeur&gt;0&lt;/valeur&gt;</v>
      </c>
    </row>
    <row r="5198" spans="1:1" x14ac:dyDescent="0.2">
      <c r="A5198" s="996" t="str">
        <f>CONCATENATE(Programme!D5199,Programme!E5199,Programme!F5199,Programme!G5199,Programme!H5199,Programme!I5199,Programme!J5199)</f>
        <v>&lt;/ValeurCellule&gt;</v>
      </c>
    </row>
    <row r="5199" spans="1:1" x14ac:dyDescent="0.2">
      <c r="A5199" s="996" t="str">
        <f>CONCATENATE(Programme!D5200,Programme!E5200,Programme!F5200,Programme!G5200,Programme!H5200,Programme!I5200,Programme!J5200)</f>
        <v>&lt;ValeurCellule&gt;</v>
      </c>
    </row>
    <row r="5200" spans="1:1" x14ac:dyDescent="0.2">
      <c r="A5200" s="996" t="str">
        <f>CONCATENATE(Programme!D5201,Programme!E5201,Programme!F5201,Programme!G5201,Programme!H5201,Programme!I5201,Programme!J5201)</f>
        <v>&lt;cellule&gt;</v>
      </c>
    </row>
    <row r="5201" spans="1:1" x14ac:dyDescent="0.2">
      <c r="A5201" s="996" t="str">
        <f>CONCATENATE(Programme!D5202,Programme!E5202,Programme!F5202,Programme!G5202,Programme!H5202,Programme!I5202,Programme!J5202)</f>
        <v>&lt;codeEdi&gt;1569&lt;/codeEdi&gt;</v>
      </c>
    </row>
    <row r="5202" spans="1:1" x14ac:dyDescent="0.2">
      <c r="A5202" s="996" t="str">
        <f>CONCATENATE(Programme!D5203,Programme!E5203,Programme!F5203,Programme!G5203,Programme!H5203,Programme!I5203,Programme!J5203)</f>
        <v>&lt;/cellule&gt;</v>
      </c>
    </row>
    <row r="5203" spans="1:1" x14ac:dyDescent="0.2">
      <c r="A5203" s="996" t="str">
        <f>CONCATENATE(Programme!D5204,Programme!E5204,Programme!F5204,Programme!G5204,Programme!H5204,Programme!I5204,Programme!J5204)</f>
        <v>&lt;valeur&gt;0&lt;/valeur&gt;</v>
      </c>
    </row>
    <row r="5204" spans="1:1" x14ac:dyDescent="0.2">
      <c r="A5204" s="996" t="str">
        <f>CONCATENATE(Programme!D5205,Programme!E5205,Programme!F5205,Programme!G5205,Programme!H5205,Programme!I5205,Programme!J5205)</f>
        <v>&lt;/ValeurCellule&gt;</v>
      </c>
    </row>
    <row r="5205" spans="1:1" x14ac:dyDescent="0.2">
      <c r="A5205" s="996" t="str">
        <f>CONCATENATE(Programme!D5206,Programme!E5206,Programme!F5206,Programme!G5206,Programme!H5206,Programme!I5206,Programme!J5206)</f>
        <v>&lt;ValeurCellule&gt;</v>
      </c>
    </row>
    <row r="5206" spans="1:1" x14ac:dyDescent="0.2">
      <c r="A5206" s="996" t="str">
        <f>CONCATENATE(Programme!D5207,Programme!E5207,Programme!F5207,Programme!G5207,Programme!H5207,Programme!I5207,Programme!J5207)</f>
        <v>&lt;cellule&gt;</v>
      </c>
    </row>
    <row r="5207" spans="1:1" x14ac:dyDescent="0.2">
      <c r="A5207" s="996" t="str">
        <f>CONCATENATE(Programme!D5208,Programme!E5208,Programme!F5208,Programme!G5208,Programme!H5208,Programme!I5208,Programme!J5208)</f>
        <v>&lt;codeEdi&gt;1570&lt;/codeEdi&gt;</v>
      </c>
    </row>
    <row r="5208" spans="1:1" x14ac:dyDescent="0.2">
      <c r="A5208" s="996" t="str">
        <f>CONCATENATE(Programme!D5209,Programme!E5209,Programme!F5209,Programme!G5209,Programme!H5209,Programme!I5209,Programme!J5209)</f>
        <v>&lt;/cellule&gt;</v>
      </c>
    </row>
    <row r="5209" spans="1:1" x14ac:dyDescent="0.2">
      <c r="A5209" s="996" t="str">
        <f>CONCATENATE(Programme!D5210,Programme!E5210,Programme!F5210,Programme!G5210,Programme!H5210,Programme!I5210,Programme!J5210)</f>
        <v>&lt;valeur&gt;0&lt;/valeur&gt;</v>
      </c>
    </row>
    <row r="5210" spans="1:1" x14ac:dyDescent="0.2">
      <c r="A5210" s="996" t="str">
        <f>CONCATENATE(Programme!D5211,Programme!E5211,Programme!F5211,Programme!G5211,Programme!H5211,Programme!I5211,Programme!J5211)</f>
        <v>&lt;/ValeurCellule&gt;</v>
      </c>
    </row>
    <row r="5211" spans="1:1" x14ac:dyDescent="0.2">
      <c r="A5211" s="996" t="str">
        <f>CONCATENATE(Programme!D5212,Programme!E5212,Programme!F5212,Programme!G5212,Programme!H5212,Programme!I5212,Programme!J5212)</f>
        <v>&lt;ValeurCellule&gt;</v>
      </c>
    </row>
    <row r="5212" spans="1:1" x14ac:dyDescent="0.2">
      <c r="A5212" s="996" t="str">
        <f>CONCATENATE(Programme!D5213,Programme!E5213,Programme!F5213,Programme!G5213,Programme!H5213,Programme!I5213,Programme!J5213)</f>
        <v>&lt;cellule&gt;</v>
      </c>
    </row>
    <row r="5213" spans="1:1" x14ac:dyDescent="0.2">
      <c r="A5213" s="996" t="str">
        <f>CONCATENATE(Programme!D5214,Programme!E5214,Programme!F5214,Programme!G5214,Programme!H5214,Programme!I5214,Programme!J5214)</f>
        <v>&lt;codeEdi&gt;1571&lt;/codeEdi&gt;</v>
      </c>
    </row>
    <row r="5214" spans="1:1" x14ac:dyDescent="0.2">
      <c r="A5214" s="996" t="str">
        <f>CONCATENATE(Programme!D5215,Programme!E5215,Programme!F5215,Programme!G5215,Programme!H5215,Programme!I5215,Programme!J5215)</f>
        <v>&lt;/cellule&gt;</v>
      </c>
    </row>
    <row r="5215" spans="1:1" x14ac:dyDescent="0.2">
      <c r="A5215" s="996" t="str">
        <f>CONCATENATE(Programme!D5216,Programme!E5216,Programme!F5216,Programme!G5216,Programme!H5216,Programme!I5216,Programme!J5216)</f>
        <v>&lt;valeur&gt;0&lt;/valeur&gt;</v>
      </c>
    </row>
    <row r="5216" spans="1:1" x14ac:dyDescent="0.2">
      <c r="A5216" s="996" t="str">
        <f>CONCATENATE(Programme!D5217,Programme!E5217,Programme!F5217,Programme!G5217,Programme!H5217,Programme!I5217,Programme!J5217)</f>
        <v>&lt;/ValeurCellule&gt;</v>
      </c>
    </row>
    <row r="5217" spans="1:1" x14ac:dyDescent="0.2">
      <c r="A5217" s="996" t="str">
        <f>CONCATENATE(Programme!D5218,Programme!E5218,Programme!F5218,Programme!G5218,Programme!H5218,Programme!I5218,Programme!J5218)</f>
        <v>&lt;ValeurCellule&gt;</v>
      </c>
    </row>
    <row r="5218" spans="1:1" x14ac:dyDescent="0.2">
      <c r="A5218" s="996" t="str">
        <f>CONCATENATE(Programme!D5219,Programme!E5219,Programme!F5219,Programme!G5219,Programme!H5219,Programme!I5219,Programme!J5219)</f>
        <v>&lt;cellule&gt;</v>
      </c>
    </row>
    <row r="5219" spans="1:1" x14ac:dyDescent="0.2">
      <c r="A5219" s="996" t="str">
        <f>CONCATENATE(Programme!D5220,Programme!E5220,Programme!F5220,Programme!G5220,Programme!H5220,Programme!I5220,Programme!J5220)</f>
        <v>&lt;codeEdi&gt;1572&lt;/codeEdi&gt;</v>
      </c>
    </row>
    <row r="5220" spans="1:1" x14ac:dyDescent="0.2">
      <c r="A5220" s="996" t="str">
        <f>CONCATENATE(Programme!D5221,Programme!E5221,Programme!F5221,Programme!G5221,Programme!H5221,Programme!I5221,Programme!J5221)</f>
        <v>&lt;/cellule&gt;</v>
      </c>
    </row>
    <row r="5221" spans="1:1" x14ac:dyDescent="0.2">
      <c r="A5221" s="996" t="str">
        <f>CONCATENATE(Programme!D5222,Programme!E5222,Programme!F5222,Programme!G5222,Programme!H5222,Programme!I5222,Programme!J5222)</f>
        <v>&lt;valeur&gt;0&lt;/valeur&gt;</v>
      </c>
    </row>
    <row r="5222" spans="1:1" x14ac:dyDescent="0.2">
      <c r="A5222" s="996" t="str">
        <f>CONCATENATE(Programme!D5223,Programme!E5223,Programme!F5223,Programme!G5223,Programme!H5223,Programme!I5223,Programme!J5223)</f>
        <v>&lt;/ValeurCellule&gt;</v>
      </c>
    </row>
    <row r="5223" spans="1:1" x14ac:dyDescent="0.2">
      <c r="A5223" s="996" t="str">
        <f>CONCATENATE(Programme!D5224,Programme!E5224,Programme!F5224,Programme!G5224,Programme!H5224,Programme!I5224,Programme!J5224)</f>
        <v>&lt;ValeurCellule&gt;</v>
      </c>
    </row>
    <row r="5224" spans="1:1" x14ac:dyDescent="0.2">
      <c r="A5224" s="996" t="str">
        <f>CONCATENATE(Programme!D5225,Programme!E5225,Programme!F5225,Programme!G5225,Programme!H5225,Programme!I5225,Programme!J5225)</f>
        <v>&lt;cellule&gt;</v>
      </c>
    </row>
    <row r="5225" spans="1:1" x14ac:dyDescent="0.2">
      <c r="A5225" s="996" t="str">
        <f>CONCATENATE(Programme!D5226,Programme!E5226,Programme!F5226,Programme!G5226,Programme!H5226,Programme!I5226,Programme!J5226)</f>
        <v>&lt;codeEdi&gt;1573&lt;/codeEdi&gt;</v>
      </c>
    </row>
    <row r="5226" spans="1:1" x14ac:dyDescent="0.2">
      <c r="A5226" s="996" t="str">
        <f>CONCATENATE(Programme!D5227,Programme!E5227,Programme!F5227,Programme!G5227,Programme!H5227,Programme!I5227,Programme!J5227)</f>
        <v>&lt;/cellule&gt;</v>
      </c>
    </row>
    <row r="5227" spans="1:1" x14ac:dyDescent="0.2">
      <c r="A5227" s="996" t="str">
        <f>CONCATENATE(Programme!D5228,Programme!E5228,Programme!F5228,Programme!G5228,Programme!H5228,Programme!I5228,Programme!J5228)</f>
        <v>&lt;valeur&gt;0&lt;/valeur&gt;</v>
      </c>
    </row>
    <row r="5228" spans="1:1" x14ac:dyDescent="0.2">
      <c r="A5228" s="996" t="str">
        <f>CONCATENATE(Programme!D5229,Programme!E5229,Programme!F5229,Programme!G5229,Programme!H5229,Programme!I5229,Programme!J5229)</f>
        <v>&lt;/ValeurCellule&gt;</v>
      </c>
    </row>
    <row r="5229" spans="1:1" x14ac:dyDescent="0.2">
      <c r="A5229" s="996" t="str">
        <f>CONCATENATE(Programme!D5230,Programme!E5230,Programme!F5230,Programme!G5230,Programme!H5230,Programme!I5230,Programme!J5230)</f>
        <v>&lt;ValeurCellule&gt;</v>
      </c>
    </row>
    <row r="5230" spans="1:1" x14ac:dyDescent="0.2">
      <c r="A5230" s="996" t="str">
        <f>CONCATENATE(Programme!D5231,Programme!E5231,Programme!F5231,Programme!G5231,Programme!H5231,Programme!I5231,Programme!J5231)</f>
        <v>&lt;cellule&gt;</v>
      </c>
    </row>
    <row r="5231" spans="1:1" x14ac:dyDescent="0.2">
      <c r="A5231" s="996" t="str">
        <f>CONCATENATE(Programme!D5232,Programme!E5232,Programme!F5232,Programme!G5232,Programme!H5232,Programme!I5232,Programme!J5232)</f>
        <v>&lt;codeEdi&gt;1574&lt;/codeEdi&gt;</v>
      </c>
    </row>
    <row r="5232" spans="1:1" x14ac:dyDescent="0.2">
      <c r="A5232" s="996" t="str">
        <f>CONCATENATE(Programme!D5233,Programme!E5233,Programme!F5233,Programme!G5233,Programme!H5233,Programme!I5233,Programme!J5233)</f>
        <v>&lt;/cellule&gt;</v>
      </c>
    </row>
    <row r="5233" spans="1:1" x14ac:dyDescent="0.2">
      <c r="A5233" s="996" t="str">
        <f>CONCATENATE(Programme!D5234,Programme!E5234,Programme!F5234,Programme!G5234,Programme!H5234,Programme!I5234,Programme!J5234)</f>
        <v>&lt;valeur&gt;&lt;/valeur&gt;</v>
      </c>
    </row>
    <row r="5234" spans="1:1" x14ac:dyDescent="0.2">
      <c r="A5234" s="996" t="str">
        <f>CONCATENATE(Programme!D5235,Programme!E5235,Programme!F5235,Programme!G5235,Programme!H5235,Programme!I5235,Programme!J5235)</f>
        <v>&lt;/ValeurCellule&gt;</v>
      </c>
    </row>
    <row r="5235" spans="1:1" x14ac:dyDescent="0.2">
      <c r="A5235" s="996" t="str">
        <f>CONCATENATE(Programme!D5236,Programme!E5236,Programme!F5236,Programme!G5236,Programme!H5236,Programme!I5236,Programme!J5236)</f>
        <v>&lt;ValeurCellule&gt;</v>
      </c>
    </row>
    <row r="5236" spans="1:1" x14ac:dyDescent="0.2">
      <c r="A5236" s="996" t="str">
        <f>CONCATENATE(Programme!D5237,Programme!E5237,Programme!F5237,Programme!G5237,Programme!H5237,Programme!I5237,Programme!J5237)</f>
        <v>&lt;cellule&gt;</v>
      </c>
    </row>
    <row r="5237" spans="1:1" x14ac:dyDescent="0.2">
      <c r="A5237" s="996" t="str">
        <f>CONCATENATE(Programme!D5238,Programme!E5238,Programme!F5238,Programme!G5238,Programme!H5238,Programme!I5238,Programme!J5238)</f>
        <v>&lt;codeEdi&gt;1575&lt;/codeEdi&gt;</v>
      </c>
    </row>
    <row r="5238" spans="1:1" x14ac:dyDescent="0.2">
      <c r="A5238" s="996" t="str">
        <f>CONCATENATE(Programme!D5239,Programme!E5239,Programme!F5239,Programme!G5239,Programme!H5239,Programme!I5239,Programme!J5239)</f>
        <v>&lt;/cellule&gt;</v>
      </c>
    </row>
    <row r="5239" spans="1:1" x14ac:dyDescent="0.2">
      <c r="A5239" s="996" t="str">
        <f>CONCATENATE(Programme!D5240,Programme!E5240,Programme!F5240,Programme!G5240,Programme!H5240,Programme!I5240,Programme!J5240)</f>
        <v>&lt;valeur&gt;0&lt;/valeur&gt;</v>
      </c>
    </row>
    <row r="5240" spans="1:1" x14ac:dyDescent="0.2">
      <c r="A5240" s="996" t="str">
        <f>CONCATENATE(Programme!D5241,Programme!E5241,Programme!F5241,Programme!G5241,Programme!H5241,Programme!I5241,Programme!J5241)</f>
        <v>&lt;/ValeurCellule&gt;</v>
      </c>
    </row>
    <row r="5241" spans="1:1" x14ac:dyDescent="0.2">
      <c r="A5241" s="996" t="str">
        <f>CONCATENATE(Programme!D5242,Programme!E5242,Programme!F5242,Programme!G5242,Programme!H5242,Programme!I5242,Programme!J5242)</f>
        <v>&lt;ValeurCellule&gt;</v>
      </c>
    </row>
    <row r="5242" spans="1:1" x14ac:dyDescent="0.2">
      <c r="A5242" s="996" t="str">
        <f>CONCATENATE(Programme!D5243,Programme!E5243,Programme!F5243,Programme!G5243,Programme!H5243,Programme!I5243,Programme!J5243)</f>
        <v>&lt;cellule&gt;</v>
      </c>
    </row>
    <row r="5243" spans="1:1" x14ac:dyDescent="0.2">
      <c r="A5243" s="996" t="str">
        <f>CONCATENATE(Programme!D5244,Programme!E5244,Programme!F5244,Programme!G5244,Programme!H5244,Programme!I5244,Programme!J5244)</f>
        <v>&lt;codeEdi&gt;1576&lt;/codeEdi&gt;</v>
      </c>
    </row>
    <row r="5244" spans="1:1" x14ac:dyDescent="0.2">
      <c r="A5244" s="996" t="str">
        <f>CONCATENATE(Programme!D5245,Programme!E5245,Programme!F5245,Programme!G5245,Programme!H5245,Programme!I5245,Programme!J5245)</f>
        <v>&lt;/cellule&gt;</v>
      </c>
    </row>
    <row r="5245" spans="1:1" x14ac:dyDescent="0.2">
      <c r="A5245" s="996" t="str">
        <f>CONCATENATE(Programme!D5246,Programme!E5246,Programme!F5246,Programme!G5246,Programme!H5246,Programme!I5246,Programme!J5246)</f>
        <v>&lt;valeur&gt;0&lt;/valeur&gt;</v>
      </c>
    </row>
    <row r="5246" spans="1:1" x14ac:dyDescent="0.2">
      <c r="A5246" s="996" t="str">
        <f>CONCATENATE(Programme!D5247,Programme!E5247,Programme!F5247,Programme!G5247,Programme!H5247,Programme!I5247,Programme!J5247)</f>
        <v>&lt;/ValeurCellule&gt;</v>
      </c>
    </row>
    <row r="5247" spans="1:1" x14ac:dyDescent="0.2">
      <c r="A5247" s="996" t="str">
        <f>CONCATENATE(Programme!D5248,Programme!E5248,Programme!F5248,Programme!G5248,Programme!H5248,Programme!I5248,Programme!J5248)</f>
        <v>&lt;ValeurCellule&gt;</v>
      </c>
    </row>
    <row r="5248" spans="1:1" x14ac:dyDescent="0.2">
      <c r="A5248" s="996" t="str">
        <f>CONCATENATE(Programme!D5249,Programme!E5249,Programme!F5249,Programme!G5249,Programme!H5249,Programme!I5249,Programme!J5249)</f>
        <v>&lt;cellule&gt;</v>
      </c>
    </row>
    <row r="5249" spans="1:1" x14ac:dyDescent="0.2">
      <c r="A5249" s="996" t="str">
        <f>CONCATENATE(Programme!D5250,Programme!E5250,Programme!F5250,Programme!G5250,Programme!H5250,Programme!I5250,Programme!J5250)</f>
        <v>&lt;codeEdi&gt;1577&lt;/codeEdi&gt;</v>
      </c>
    </row>
    <row r="5250" spans="1:1" x14ac:dyDescent="0.2">
      <c r="A5250" s="996" t="str">
        <f>CONCATENATE(Programme!D5251,Programme!E5251,Programme!F5251,Programme!G5251,Programme!H5251,Programme!I5251,Programme!J5251)</f>
        <v>&lt;/cellule&gt;</v>
      </c>
    </row>
    <row r="5251" spans="1:1" x14ac:dyDescent="0.2">
      <c r="A5251" s="996" t="str">
        <f>CONCATENATE(Programme!D5252,Programme!E5252,Programme!F5252,Programme!G5252,Programme!H5252,Programme!I5252,Programme!J5252)</f>
        <v>&lt;valeur&gt;0&lt;/valeur&gt;</v>
      </c>
    </row>
    <row r="5252" spans="1:1" x14ac:dyDescent="0.2">
      <c r="A5252" s="996" t="str">
        <f>CONCATENATE(Programme!D5253,Programme!E5253,Programme!F5253,Programme!G5253,Programme!H5253,Programme!I5253,Programme!J5253)</f>
        <v>&lt;/ValeurCellule&gt;</v>
      </c>
    </row>
    <row r="5253" spans="1:1" x14ac:dyDescent="0.2">
      <c r="A5253" s="996" t="str">
        <f>CONCATENATE(Programme!D5254,Programme!E5254,Programme!F5254,Programme!G5254,Programme!H5254,Programme!I5254,Programme!J5254)</f>
        <v>&lt;ValeurCellule&gt;</v>
      </c>
    </row>
    <row r="5254" spans="1:1" x14ac:dyDescent="0.2">
      <c r="A5254" s="996" t="str">
        <f>CONCATENATE(Programme!D5255,Programme!E5255,Programme!F5255,Programme!G5255,Programme!H5255,Programme!I5255,Programme!J5255)</f>
        <v>&lt;cellule&gt;</v>
      </c>
    </row>
    <row r="5255" spans="1:1" x14ac:dyDescent="0.2">
      <c r="A5255" s="996" t="str">
        <f>CONCATENATE(Programme!D5256,Programme!E5256,Programme!F5256,Programme!G5256,Programme!H5256,Programme!I5256,Programme!J5256)</f>
        <v>&lt;codeEdi&gt;1578&lt;/codeEdi&gt;</v>
      </c>
    </row>
    <row r="5256" spans="1:1" x14ac:dyDescent="0.2">
      <c r="A5256" s="996" t="str">
        <f>CONCATENATE(Programme!D5257,Programme!E5257,Programme!F5257,Programme!G5257,Programme!H5257,Programme!I5257,Programme!J5257)</f>
        <v>&lt;/cellule&gt;</v>
      </c>
    </row>
    <row r="5257" spans="1:1" x14ac:dyDescent="0.2">
      <c r="A5257" s="996" t="str">
        <f>CONCATENATE(Programme!D5258,Programme!E5258,Programme!F5258,Programme!G5258,Programme!H5258,Programme!I5258,Programme!J5258)</f>
        <v>&lt;valeur&gt;0&lt;/valeur&gt;</v>
      </c>
    </row>
    <row r="5258" spans="1:1" x14ac:dyDescent="0.2">
      <c r="A5258" s="996" t="str">
        <f>CONCATENATE(Programme!D5259,Programme!E5259,Programme!F5259,Programme!G5259,Programme!H5259,Programme!I5259,Programme!J5259)</f>
        <v>&lt;/ValeurCellule&gt;</v>
      </c>
    </row>
    <row r="5259" spans="1:1" x14ac:dyDescent="0.2">
      <c r="A5259" s="996" t="str">
        <f>CONCATENATE(Programme!D5260,Programme!E5260,Programme!F5260,Programme!G5260,Programme!H5260,Programme!I5260,Programme!J5260)</f>
        <v>&lt;ValeurCellule&gt;</v>
      </c>
    </row>
    <row r="5260" spans="1:1" x14ac:dyDescent="0.2">
      <c r="A5260" s="996" t="str">
        <f>CONCATENATE(Programme!D5261,Programme!E5261,Programme!F5261,Programme!G5261,Programme!H5261,Programme!I5261,Programme!J5261)</f>
        <v>&lt;cellule&gt;</v>
      </c>
    </row>
    <row r="5261" spans="1:1" x14ac:dyDescent="0.2">
      <c r="A5261" s="996" t="str">
        <f>CONCATENATE(Programme!D5262,Programme!E5262,Programme!F5262,Programme!G5262,Programme!H5262,Programme!I5262,Programme!J5262)</f>
        <v>&lt;codeEdi&gt;1579&lt;/codeEdi&gt;</v>
      </c>
    </row>
    <row r="5262" spans="1:1" x14ac:dyDescent="0.2">
      <c r="A5262" s="996" t="str">
        <f>CONCATENATE(Programme!D5263,Programme!E5263,Programme!F5263,Programme!G5263,Programme!H5263,Programme!I5263,Programme!J5263)</f>
        <v>&lt;/cellule&gt;</v>
      </c>
    </row>
    <row r="5263" spans="1:1" x14ac:dyDescent="0.2">
      <c r="A5263" s="996" t="str">
        <f>CONCATENATE(Programme!D5264,Programme!E5264,Programme!F5264,Programme!G5264,Programme!H5264,Programme!I5264,Programme!J5264)</f>
        <v>&lt;valeur&gt;0&lt;/valeur&gt;</v>
      </c>
    </row>
    <row r="5264" spans="1:1" x14ac:dyDescent="0.2">
      <c r="A5264" s="996" t="str">
        <f>CONCATENATE(Programme!D5265,Programme!E5265,Programme!F5265,Programme!G5265,Programme!H5265,Programme!I5265,Programme!J5265)</f>
        <v>&lt;/ValeurCellule&gt;</v>
      </c>
    </row>
    <row r="5265" spans="1:1" x14ac:dyDescent="0.2">
      <c r="A5265" s="996" t="str">
        <f>CONCATENATE(Programme!D5266,Programme!E5266,Programme!F5266,Programme!G5266,Programme!H5266,Programme!I5266,Programme!J5266)</f>
        <v>&lt;ValeurCellule&gt;</v>
      </c>
    </row>
    <row r="5266" spans="1:1" x14ac:dyDescent="0.2">
      <c r="A5266" s="996" t="str">
        <f>CONCATENATE(Programme!D5267,Programme!E5267,Programme!F5267,Programme!G5267,Programme!H5267,Programme!I5267,Programme!J5267)</f>
        <v>&lt;cellule&gt;</v>
      </c>
    </row>
    <row r="5267" spans="1:1" x14ac:dyDescent="0.2">
      <c r="A5267" s="996" t="str">
        <f>CONCATENATE(Programme!D5268,Programme!E5268,Programme!F5268,Programme!G5268,Programme!H5268,Programme!I5268,Programme!J5268)</f>
        <v>&lt;codeEdi&gt;1582&lt;/codeEdi&gt;</v>
      </c>
    </row>
    <row r="5268" spans="1:1" x14ac:dyDescent="0.2">
      <c r="A5268" s="996" t="str">
        <f>CONCATENATE(Programme!D5269,Programme!E5269,Programme!F5269,Programme!G5269,Programme!H5269,Programme!I5269,Programme!J5269)</f>
        <v>&lt;/cellule&gt;</v>
      </c>
    </row>
    <row r="5269" spans="1:1" x14ac:dyDescent="0.2">
      <c r="A5269" s="996" t="str">
        <f>CONCATENATE(Programme!D5270,Programme!E5270,Programme!F5270,Programme!G5270,Programme!H5270,Programme!I5270,Programme!J5270)</f>
        <v>&lt;valeur&gt;0&lt;/valeur&gt;</v>
      </c>
    </row>
    <row r="5270" spans="1:1" x14ac:dyDescent="0.2">
      <c r="A5270" s="996" t="str">
        <f>CONCATENATE(Programme!D5271,Programme!E5271,Programme!F5271,Programme!G5271,Programme!H5271,Programme!I5271,Programme!J5271)</f>
        <v>&lt;/ValeurCellule&gt;</v>
      </c>
    </row>
    <row r="5271" spans="1:1" x14ac:dyDescent="0.2">
      <c r="A5271" s="996" t="str">
        <f>CONCATENATE(Programme!D5272,Programme!E5272,Programme!F5272,Programme!G5272,Programme!H5272,Programme!I5272,Programme!J5272)</f>
        <v>&lt;ValeurCellule&gt;</v>
      </c>
    </row>
    <row r="5272" spans="1:1" x14ac:dyDescent="0.2">
      <c r="A5272" s="996" t="str">
        <f>CONCATENATE(Programme!D5273,Programme!E5273,Programme!F5273,Programme!G5273,Programme!H5273,Programme!I5273,Programme!J5273)</f>
        <v>&lt;cellule&gt;</v>
      </c>
    </row>
    <row r="5273" spans="1:1" x14ac:dyDescent="0.2">
      <c r="A5273" s="996" t="str">
        <f>CONCATENATE(Programme!D5274,Programme!E5274,Programme!F5274,Programme!G5274,Programme!H5274,Programme!I5274,Programme!J5274)</f>
        <v>&lt;codeEdi&gt;1583&lt;/codeEdi&gt;</v>
      </c>
    </row>
    <row r="5274" spans="1:1" x14ac:dyDescent="0.2">
      <c r="A5274" s="996" t="str">
        <f>CONCATENATE(Programme!D5275,Programme!E5275,Programme!F5275,Programme!G5275,Programme!H5275,Programme!I5275,Programme!J5275)</f>
        <v>&lt;/cellule&gt;</v>
      </c>
    </row>
    <row r="5275" spans="1:1" x14ac:dyDescent="0.2">
      <c r="A5275" s="996" t="str">
        <f>CONCATENATE(Programme!D5276,Programme!E5276,Programme!F5276,Programme!G5276,Programme!H5276,Programme!I5276,Programme!J5276)</f>
        <v>&lt;valeur&gt;0&lt;/valeur&gt;</v>
      </c>
    </row>
    <row r="5276" spans="1:1" x14ac:dyDescent="0.2">
      <c r="A5276" s="996" t="str">
        <f>CONCATENATE(Programme!D5277,Programme!E5277,Programme!F5277,Programme!G5277,Programme!H5277,Programme!I5277,Programme!J5277)</f>
        <v>&lt;/ValeurCellule&gt;</v>
      </c>
    </row>
    <row r="5277" spans="1:1" x14ac:dyDescent="0.2">
      <c r="A5277" s="996" t="str">
        <f>CONCATENATE(Programme!D5278,Programme!E5278,Programme!F5278,Programme!G5278,Programme!H5278,Programme!I5278,Programme!J5278)</f>
        <v>&lt;ValeurCellule&gt;</v>
      </c>
    </row>
    <row r="5278" spans="1:1" x14ac:dyDescent="0.2">
      <c r="A5278" s="996" t="str">
        <f>CONCATENATE(Programme!D5279,Programme!E5279,Programme!F5279,Programme!G5279,Programme!H5279,Programme!I5279,Programme!J5279)</f>
        <v>&lt;cellule&gt;</v>
      </c>
    </row>
    <row r="5279" spans="1:1" x14ac:dyDescent="0.2">
      <c r="A5279" s="996" t="str">
        <f>CONCATENATE(Programme!D5280,Programme!E5280,Programme!F5280,Programme!G5280,Programme!H5280,Programme!I5280,Programme!J5280)</f>
        <v>&lt;codeEdi&gt;1584&lt;/codeEdi&gt;</v>
      </c>
    </row>
    <row r="5280" spans="1:1" x14ac:dyDescent="0.2">
      <c r="A5280" s="996" t="str">
        <f>CONCATENATE(Programme!D5281,Programme!E5281,Programme!F5281,Programme!G5281,Programme!H5281,Programme!I5281,Programme!J5281)</f>
        <v>&lt;/cellule&gt;</v>
      </c>
    </row>
    <row r="5281" spans="1:1" x14ac:dyDescent="0.2">
      <c r="A5281" s="996" t="str">
        <f>CONCATENATE(Programme!D5282,Programme!E5282,Programme!F5282,Programme!G5282,Programme!H5282,Programme!I5282,Programme!J5282)</f>
        <v>&lt;valeur&gt;0&lt;/valeur&gt;</v>
      </c>
    </row>
    <row r="5282" spans="1:1" x14ac:dyDescent="0.2">
      <c r="A5282" s="996" t="str">
        <f>CONCATENATE(Programme!D5283,Programme!E5283,Programme!F5283,Programme!G5283,Programme!H5283,Programme!I5283,Programme!J5283)</f>
        <v>&lt;/ValeurCellule&gt;</v>
      </c>
    </row>
    <row r="5283" spans="1:1" x14ac:dyDescent="0.2">
      <c r="A5283" s="996" t="str">
        <f>CONCATENATE(Programme!D5284,Programme!E5284,Programme!F5284,Programme!G5284,Programme!H5284,Programme!I5284,Programme!J5284)</f>
        <v>&lt;ValeurCellule&gt;</v>
      </c>
    </row>
    <row r="5284" spans="1:1" x14ac:dyDescent="0.2">
      <c r="A5284" s="996" t="str">
        <f>CONCATENATE(Programme!D5285,Programme!E5285,Programme!F5285,Programme!G5285,Programme!H5285,Programme!I5285,Programme!J5285)</f>
        <v>&lt;cellule&gt;</v>
      </c>
    </row>
    <row r="5285" spans="1:1" x14ac:dyDescent="0.2">
      <c r="A5285" s="996" t="str">
        <f>CONCATENATE(Programme!D5286,Programme!E5286,Programme!F5286,Programme!G5286,Programme!H5286,Programme!I5286,Programme!J5286)</f>
        <v>&lt;codeEdi&gt;1585&lt;/codeEdi&gt;</v>
      </c>
    </row>
    <row r="5286" spans="1:1" x14ac:dyDescent="0.2">
      <c r="A5286" s="996" t="str">
        <f>CONCATENATE(Programme!D5287,Programme!E5287,Programme!F5287,Programme!G5287,Programme!H5287,Programme!I5287,Programme!J5287)</f>
        <v>&lt;/cellule&gt;</v>
      </c>
    </row>
    <row r="5287" spans="1:1" x14ac:dyDescent="0.2">
      <c r="A5287" s="996" t="str">
        <f>CONCATENATE(Programme!D5288,Programme!E5288,Programme!F5288,Programme!G5288,Programme!H5288,Programme!I5288,Programme!J5288)</f>
        <v>&lt;valeur&gt;0&lt;/valeur&gt;</v>
      </c>
    </row>
    <row r="5288" spans="1:1" x14ac:dyDescent="0.2">
      <c r="A5288" s="996" t="str">
        <f>CONCATENATE(Programme!D5289,Programme!E5289,Programme!F5289,Programme!G5289,Programme!H5289,Programme!I5289,Programme!J5289)</f>
        <v>&lt;/ValeurCellule&gt;</v>
      </c>
    </row>
    <row r="5289" spans="1:1" x14ac:dyDescent="0.2">
      <c r="A5289" s="996" t="str">
        <f>CONCATENATE(Programme!D5290,Programme!E5290,Programme!F5290,Programme!G5290,Programme!H5290,Programme!I5290,Programme!J5290)</f>
        <v>&lt;ValeurCellule&gt;</v>
      </c>
    </row>
    <row r="5290" spans="1:1" x14ac:dyDescent="0.2">
      <c r="A5290" s="996" t="str">
        <f>CONCATENATE(Programme!D5291,Programme!E5291,Programme!F5291,Programme!G5291,Programme!H5291,Programme!I5291,Programme!J5291)</f>
        <v>&lt;cellule&gt;</v>
      </c>
    </row>
    <row r="5291" spans="1:1" x14ac:dyDescent="0.2">
      <c r="A5291" s="996" t="str">
        <f>CONCATENATE(Programme!D5292,Programme!E5292,Programme!F5292,Programme!G5292,Programme!H5292,Programme!I5292,Programme!J5292)</f>
        <v>&lt;codeEdi&gt;1586&lt;/codeEdi&gt;</v>
      </c>
    </row>
    <row r="5292" spans="1:1" x14ac:dyDescent="0.2">
      <c r="A5292" s="996" t="str">
        <f>CONCATENATE(Programme!D5293,Programme!E5293,Programme!F5293,Programme!G5293,Programme!H5293,Programme!I5293,Programme!J5293)</f>
        <v>&lt;/cellule&gt;</v>
      </c>
    </row>
    <row r="5293" spans="1:1" x14ac:dyDescent="0.2">
      <c r="A5293" s="996" t="str">
        <f>CONCATENATE(Programme!D5294,Programme!E5294,Programme!F5294,Programme!G5294,Programme!H5294,Programme!I5294,Programme!J5294)</f>
        <v>&lt;valeur&gt;&lt;/valeur&gt;</v>
      </c>
    </row>
    <row r="5294" spans="1:1" x14ac:dyDescent="0.2">
      <c r="A5294" s="996" t="str">
        <f>CONCATENATE(Programme!D5295,Programme!E5295,Programme!F5295,Programme!G5295,Programme!H5295,Programme!I5295,Programme!J5295)</f>
        <v>&lt;/ValeurCellule&gt;</v>
      </c>
    </row>
    <row r="5295" spans="1:1" x14ac:dyDescent="0.2">
      <c r="A5295" s="996" t="str">
        <f>CONCATENATE(Programme!D5296,Programme!E5296,Programme!F5296,Programme!G5296,Programme!H5296,Programme!I5296,Programme!J5296)</f>
        <v>&lt;ValeurCellule&gt;</v>
      </c>
    </row>
    <row r="5296" spans="1:1" x14ac:dyDescent="0.2">
      <c r="A5296" s="996" t="str">
        <f>CONCATENATE(Programme!D5297,Programme!E5297,Programme!F5297,Programme!G5297,Programme!H5297,Programme!I5297,Programme!J5297)</f>
        <v>&lt;cellule&gt;</v>
      </c>
    </row>
    <row r="5297" spans="1:1" x14ac:dyDescent="0.2">
      <c r="A5297" s="996" t="str">
        <f>CONCATENATE(Programme!D5298,Programme!E5298,Programme!F5298,Programme!G5298,Programme!H5298,Programme!I5298,Programme!J5298)</f>
        <v>&lt;codeEdi&gt;1587&lt;/codeEdi&gt;</v>
      </c>
    </row>
    <row r="5298" spans="1:1" x14ac:dyDescent="0.2">
      <c r="A5298" s="996" t="str">
        <f>CONCATENATE(Programme!D5299,Programme!E5299,Programme!F5299,Programme!G5299,Programme!H5299,Programme!I5299,Programme!J5299)</f>
        <v>&lt;/cellule&gt;</v>
      </c>
    </row>
    <row r="5299" spans="1:1" x14ac:dyDescent="0.2">
      <c r="A5299" s="996" t="str">
        <f>CONCATENATE(Programme!D5300,Programme!E5300,Programme!F5300,Programme!G5300,Programme!H5300,Programme!I5300,Programme!J5300)</f>
        <v>&lt;valeur&gt;0&lt;/valeur&gt;</v>
      </c>
    </row>
    <row r="5300" spans="1:1" x14ac:dyDescent="0.2">
      <c r="A5300" s="996" t="str">
        <f>CONCATENATE(Programme!D5301,Programme!E5301,Programme!F5301,Programme!G5301,Programme!H5301,Programme!I5301,Programme!J5301)</f>
        <v>&lt;/ValeurCellule&gt;</v>
      </c>
    </row>
    <row r="5301" spans="1:1" x14ac:dyDescent="0.2">
      <c r="A5301" s="996" t="str">
        <f>CONCATENATE(Programme!D5302,Programme!E5302,Programme!F5302,Programme!G5302,Programme!H5302,Programme!I5302,Programme!J5302)</f>
        <v>&lt;ValeurCellule&gt;</v>
      </c>
    </row>
    <row r="5302" spans="1:1" x14ac:dyDescent="0.2">
      <c r="A5302" s="996" t="str">
        <f>CONCATENATE(Programme!D5303,Programme!E5303,Programme!F5303,Programme!G5303,Programme!H5303,Programme!I5303,Programme!J5303)</f>
        <v>&lt;cellule&gt;</v>
      </c>
    </row>
    <row r="5303" spans="1:1" x14ac:dyDescent="0.2">
      <c r="A5303" s="996" t="str">
        <f>CONCATENATE(Programme!D5304,Programme!E5304,Programme!F5304,Programme!G5304,Programme!H5304,Programme!I5304,Programme!J5304)</f>
        <v>&lt;codeEdi&gt;1588&lt;/codeEdi&gt;</v>
      </c>
    </row>
    <row r="5304" spans="1:1" x14ac:dyDescent="0.2">
      <c r="A5304" s="996" t="str">
        <f>CONCATENATE(Programme!D5305,Programme!E5305,Programme!F5305,Programme!G5305,Programme!H5305,Programme!I5305,Programme!J5305)</f>
        <v>&lt;/cellule&gt;</v>
      </c>
    </row>
    <row r="5305" spans="1:1" x14ac:dyDescent="0.2">
      <c r="A5305" s="996" t="str">
        <f>CONCATENATE(Programme!D5306,Programme!E5306,Programme!F5306,Programme!G5306,Programme!H5306,Programme!I5306,Programme!J5306)</f>
        <v>&lt;valeur&gt;0&lt;/valeur&gt;</v>
      </c>
    </row>
    <row r="5306" spans="1:1" x14ac:dyDescent="0.2">
      <c r="A5306" s="996" t="str">
        <f>CONCATENATE(Programme!D5307,Programme!E5307,Programme!F5307,Programme!G5307,Programme!H5307,Programme!I5307,Programme!J5307)</f>
        <v>&lt;/ValeurCellule&gt;</v>
      </c>
    </row>
    <row r="5307" spans="1:1" x14ac:dyDescent="0.2">
      <c r="A5307" s="996" t="str">
        <f>CONCATENATE(Programme!D5308,Programme!E5308,Programme!F5308,Programme!G5308,Programme!H5308,Programme!I5308,Programme!J5308)</f>
        <v>&lt;ValeurCellule&gt;</v>
      </c>
    </row>
    <row r="5308" spans="1:1" x14ac:dyDescent="0.2">
      <c r="A5308" s="996" t="str">
        <f>CONCATENATE(Programme!D5309,Programme!E5309,Programme!F5309,Programme!G5309,Programme!H5309,Programme!I5309,Programme!J5309)</f>
        <v>&lt;cellule&gt;</v>
      </c>
    </row>
    <row r="5309" spans="1:1" x14ac:dyDescent="0.2">
      <c r="A5309" s="996" t="str">
        <f>CONCATENATE(Programme!D5310,Programme!E5310,Programme!F5310,Programme!G5310,Programme!H5310,Programme!I5310,Programme!J5310)</f>
        <v>&lt;codeEdi&gt;1589&lt;/codeEdi&gt;</v>
      </c>
    </row>
    <row r="5310" spans="1:1" x14ac:dyDescent="0.2">
      <c r="A5310" s="996" t="str">
        <f>CONCATENATE(Programme!D5311,Programme!E5311,Programme!F5311,Programme!G5311,Programme!H5311,Programme!I5311,Programme!J5311)</f>
        <v>&lt;/cellule&gt;</v>
      </c>
    </row>
    <row r="5311" spans="1:1" x14ac:dyDescent="0.2">
      <c r="A5311" s="996" t="str">
        <f>CONCATENATE(Programme!D5312,Programme!E5312,Programme!F5312,Programme!G5312,Programme!H5312,Programme!I5312,Programme!J5312)</f>
        <v>&lt;valeur&gt;0&lt;/valeur&gt;</v>
      </c>
    </row>
    <row r="5312" spans="1:1" x14ac:dyDescent="0.2">
      <c r="A5312" s="996" t="str">
        <f>CONCATENATE(Programme!D5313,Programme!E5313,Programme!F5313,Programme!G5313,Programme!H5313,Programme!I5313,Programme!J5313)</f>
        <v>&lt;/ValeurCellule&gt;</v>
      </c>
    </row>
    <row r="5313" spans="1:1" x14ac:dyDescent="0.2">
      <c r="A5313" s="996" t="str">
        <f>CONCATENATE(Programme!D5314,Programme!E5314,Programme!F5314,Programme!G5314,Programme!H5314,Programme!I5314,Programme!J5314)</f>
        <v>&lt;ValeurCellule&gt;</v>
      </c>
    </row>
    <row r="5314" spans="1:1" x14ac:dyDescent="0.2">
      <c r="A5314" s="996" t="str">
        <f>CONCATENATE(Programme!D5315,Programme!E5315,Programme!F5315,Programme!G5315,Programme!H5315,Programme!I5315,Programme!J5315)</f>
        <v>&lt;cellule&gt;</v>
      </c>
    </row>
    <row r="5315" spans="1:1" x14ac:dyDescent="0.2">
      <c r="A5315" s="996" t="str">
        <f>CONCATENATE(Programme!D5316,Programme!E5316,Programme!F5316,Programme!G5316,Programme!H5316,Programme!I5316,Programme!J5316)</f>
        <v>&lt;codeEdi&gt;1590&lt;/codeEdi&gt;</v>
      </c>
    </row>
    <row r="5316" spans="1:1" x14ac:dyDescent="0.2">
      <c r="A5316" s="996" t="str">
        <f>CONCATENATE(Programme!D5317,Programme!E5317,Programme!F5317,Programme!G5317,Programme!H5317,Programme!I5317,Programme!J5317)</f>
        <v>&lt;/cellule&gt;</v>
      </c>
    </row>
    <row r="5317" spans="1:1" x14ac:dyDescent="0.2">
      <c r="A5317" s="996" t="str">
        <f>CONCATENATE(Programme!D5318,Programme!E5318,Programme!F5318,Programme!G5318,Programme!H5318,Programme!I5318,Programme!J5318)</f>
        <v>&lt;valeur&gt;0&lt;/valeur&gt;</v>
      </c>
    </row>
    <row r="5318" spans="1:1" x14ac:dyDescent="0.2">
      <c r="A5318" s="996" t="str">
        <f>CONCATENATE(Programme!D5319,Programme!E5319,Programme!F5319,Programme!G5319,Programme!H5319,Programme!I5319,Programme!J5319)</f>
        <v>&lt;/ValeurCellule&gt;</v>
      </c>
    </row>
    <row r="5319" spans="1:1" x14ac:dyDescent="0.2">
      <c r="A5319" s="996" t="str">
        <f>CONCATENATE(Programme!D5320,Programme!E5320,Programme!F5320,Programme!G5320,Programme!H5320,Programme!I5320,Programme!J5320)</f>
        <v>&lt;ValeurCellule&gt;</v>
      </c>
    </row>
    <row r="5320" spans="1:1" x14ac:dyDescent="0.2">
      <c r="A5320" s="996" t="str">
        <f>CONCATENATE(Programme!D5321,Programme!E5321,Programme!F5321,Programme!G5321,Programme!H5321,Programme!I5321,Programme!J5321)</f>
        <v>&lt;cellule&gt;</v>
      </c>
    </row>
    <row r="5321" spans="1:1" x14ac:dyDescent="0.2">
      <c r="A5321" s="996" t="str">
        <f>CONCATENATE(Programme!D5322,Programme!E5322,Programme!F5322,Programme!G5322,Programme!H5322,Programme!I5322,Programme!J5322)</f>
        <v>&lt;codeEdi&gt;1591&lt;/codeEdi&gt;</v>
      </c>
    </row>
    <row r="5322" spans="1:1" x14ac:dyDescent="0.2">
      <c r="A5322" s="996" t="str">
        <f>CONCATENATE(Programme!D5323,Programme!E5323,Programme!F5323,Programme!G5323,Programme!H5323,Programme!I5323,Programme!J5323)</f>
        <v>&lt;/cellule&gt;</v>
      </c>
    </row>
    <row r="5323" spans="1:1" x14ac:dyDescent="0.2">
      <c r="A5323" s="996" t="str">
        <f>CONCATENATE(Programme!D5324,Programme!E5324,Programme!F5324,Programme!G5324,Programme!H5324,Programme!I5324,Programme!J5324)</f>
        <v>&lt;valeur&gt;&lt;/valeur&gt;</v>
      </c>
    </row>
    <row r="5324" spans="1:1" x14ac:dyDescent="0.2">
      <c r="A5324" s="996" t="str">
        <f>CONCATENATE(Programme!D5325,Programme!E5325,Programme!F5325,Programme!G5325,Programme!H5325,Programme!I5325,Programme!J5325)</f>
        <v>&lt;/ValeurCellule&gt;</v>
      </c>
    </row>
    <row r="5325" spans="1:1" x14ac:dyDescent="0.2">
      <c r="A5325" s="996" t="str">
        <f>CONCATENATE(Programme!D5326,Programme!E5326,Programme!F5326,Programme!G5326,Programme!H5326,Programme!I5326,Programme!J5326)</f>
        <v>&lt;ValeurCellule&gt;</v>
      </c>
    </row>
    <row r="5326" spans="1:1" x14ac:dyDescent="0.2">
      <c r="A5326" s="996" t="str">
        <f>CONCATENATE(Programme!D5327,Programme!E5327,Programme!F5327,Programme!G5327,Programme!H5327,Programme!I5327,Programme!J5327)</f>
        <v>&lt;cellule&gt;</v>
      </c>
    </row>
    <row r="5327" spans="1:1" x14ac:dyDescent="0.2">
      <c r="A5327" s="996" t="str">
        <f>CONCATENATE(Programme!D5328,Programme!E5328,Programme!F5328,Programme!G5328,Programme!H5328,Programme!I5328,Programme!J5328)</f>
        <v>&lt;codeEdi&gt;1592&lt;/codeEdi&gt;</v>
      </c>
    </row>
    <row r="5328" spans="1:1" x14ac:dyDescent="0.2">
      <c r="A5328" s="996" t="str">
        <f>CONCATENATE(Programme!D5329,Programme!E5329,Programme!F5329,Programme!G5329,Programme!H5329,Programme!I5329,Programme!J5329)</f>
        <v>&lt;/cellule&gt;</v>
      </c>
    </row>
    <row r="5329" spans="1:1" x14ac:dyDescent="0.2">
      <c r="A5329" s="996" t="str">
        <f>CONCATENATE(Programme!D5330,Programme!E5330,Programme!F5330,Programme!G5330,Programme!H5330,Programme!I5330,Programme!J5330)</f>
        <v>&lt;valeur&gt;0&lt;/valeur&gt;</v>
      </c>
    </row>
    <row r="5330" spans="1:1" x14ac:dyDescent="0.2">
      <c r="A5330" s="996" t="str">
        <f>CONCATENATE(Programme!D5331,Programme!E5331,Programme!F5331,Programme!G5331,Programme!H5331,Programme!I5331,Programme!J5331)</f>
        <v>&lt;/ValeurCellule&gt;</v>
      </c>
    </row>
    <row r="5331" spans="1:1" x14ac:dyDescent="0.2">
      <c r="A5331" s="996" t="str">
        <f>CONCATENATE(Programme!D5332,Programme!E5332,Programme!F5332,Programme!G5332,Programme!H5332,Programme!I5332,Programme!J5332)</f>
        <v>&lt;ValeurCellule&gt;</v>
      </c>
    </row>
    <row r="5332" spans="1:1" x14ac:dyDescent="0.2">
      <c r="A5332" s="996" t="str">
        <f>CONCATENATE(Programme!D5333,Programme!E5333,Programme!F5333,Programme!G5333,Programme!H5333,Programme!I5333,Programme!J5333)</f>
        <v>&lt;cellule&gt;</v>
      </c>
    </row>
    <row r="5333" spans="1:1" x14ac:dyDescent="0.2">
      <c r="A5333" s="996" t="str">
        <f>CONCATENATE(Programme!D5334,Programme!E5334,Programme!F5334,Programme!G5334,Programme!H5334,Programme!I5334,Programme!J5334)</f>
        <v>&lt;codeEdi&gt;1593&lt;/codeEdi&gt;</v>
      </c>
    </row>
    <row r="5334" spans="1:1" x14ac:dyDescent="0.2">
      <c r="A5334" s="996" t="str">
        <f>CONCATENATE(Programme!D5335,Programme!E5335,Programme!F5335,Programme!G5335,Programme!H5335,Programme!I5335,Programme!J5335)</f>
        <v>&lt;/cellule&gt;</v>
      </c>
    </row>
    <row r="5335" spans="1:1" x14ac:dyDescent="0.2">
      <c r="A5335" s="996" t="str">
        <f>CONCATENATE(Programme!D5336,Programme!E5336,Programme!F5336,Programme!G5336,Programme!H5336,Programme!I5336,Programme!J5336)</f>
        <v>&lt;valeur&gt;0&lt;/valeur&gt;</v>
      </c>
    </row>
    <row r="5336" spans="1:1" x14ac:dyDescent="0.2">
      <c r="A5336" s="996" t="str">
        <f>CONCATENATE(Programme!D5337,Programme!E5337,Programme!F5337,Programme!G5337,Programme!H5337,Programme!I5337,Programme!J5337)</f>
        <v>&lt;/ValeurCellule&gt;</v>
      </c>
    </row>
    <row r="5337" spans="1:1" x14ac:dyDescent="0.2">
      <c r="A5337" s="996" t="str">
        <f>CONCATENATE(Programme!D5338,Programme!E5338,Programme!F5338,Programme!G5338,Programme!H5338,Programme!I5338,Programme!J5338)</f>
        <v>&lt;ValeurCellule&gt;</v>
      </c>
    </row>
    <row r="5338" spans="1:1" x14ac:dyDescent="0.2">
      <c r="A5338" s="996" t="str">
        <f>CONCATENATE(Programme!D5339,Programme!E5339,Programme!F5339,Programme!G5339,Programme!H5339,Programme!I5339,Programme!J5339)</f>
        <v>&lt;cellule&gt;</v>
      </c>
    </row>
    <row r="5339" spans="1:1" x14ac:dyDescent="0.2">
      <c r="A5339" s="996" t="str">
        <f>CONCATENATE(Programme!D5340,Programme!E5340,Programme!F5340,Programme!G5340,Programme!H5340,Programme!I5340,Programme!J5340)</f>
        <v>&lt;codeEdi&gt;1594&lt;/codeEdi&gt;</v>
      </c>
    </row>
    <row r="5340" spans="1:1" x14ac:dyDescent="0.2">
      <c r="A5340" s="996" t="str">
        <f>CONCATENATE(Programme!D5341,Programme!E5341,Programme!F5341,Programme!G5341,Programme!H5341,Programme!I5341,Programme!J5341)</f>
        <v>&lt;/cellule&gt;</v>
      </c>
    </row>
    <row r="5341" spans="1:1" x14ac:dyDescent="0.2">
      <c r="A5341" s="996" t="str">
        <f>CONCATENATE(Programme!D5342,Programme!E5342,Programme!F5342,Programme!G5342,Programme!H5342,Programme!I5342,Programme!J5342)</f>
        <v>&lt;valeur&gt;0&lt;/valeur&gt;</v>
      </c>
    </row>
    <row r="5342" spans="1:1" x14ac:dyDescent="0.2">
      <c r="A5342" s="996" t="str">
        <f>CONCATENATE(Programme!D5343,Programme!E5343,Programme!F5343,Programme!G5343,Programme!H5343,Programme!I5343,Programme!J5343)</f>
        <v>&lt;/ValeurCellule&gt;</v>
      </c>
    </row>
    <row r="5343" spans="1:1" x14ac:dyDescent="0.2">
      <c r="A5343" s="996" t="str">
        <f>CONCATENATE(Programme!D5344,Programme!E5344,Programme!F5344,Programme!G5344,Programme!H5344,Programme!I5344,Programme!J5344)</f>
        <v>&lt;ValeurCellule&gt;</v>
      </c>
    </row>
    <row r="5344" spans="1:1" x14ac:dyDescent="0.2">
      <c r="A5344" s="996" t="str">
        <f>CONCATENATE(Programme!D5345,Programme!E5345,Programme!F5345,Programme!G5345,Programme!H5345,Programme!I5345,Programme!J5345)</f>
        <v>&lt;cellule&gt;</v>
      </c>
    </row>
    <row r="5345" spans="1:1" x14ac:dyDescent="0.2">
      <c r="A5345" s="996" t="str">
        <f>CONCATENATE(Programme!D5346,Programme!E5346,Programme!F5346,Programme!G5346,Programme!H5346,Programme!I5346,Programme!J5346)</f>
        <v>&lt;codeEdi&gt;1734&lt;/codeEdi&gt;</v>
      </c>
    </row>
    <row r="5346" spans="1:1" x14ac:dyDescent="0.2">
      <c r="A5346" s="996" t="str">
        <f>CONCATENATE(Programme!D5347,Programme!E5347,Programme!F5347,Programme!G5347,Programme!H5347,Programme!I5347,Programme!J5347)</f>
        <v>&lt;/cellule&gt;</v>
      </c>
    </row>
    <row r="5347" spans="1:1" x14ac:dyDescent="0.2">
      <c r="A5347" s="996" t="str">
        <f>CONCATENATE(Programme!D5348,Programme!E5348,Programme!F5348,Programme!G5348,Programme!H5348,Programme!I5348,Programme!J5348)</f>
        <v>&lt;valeur&gt;0&lt;/valeur&gt;</v>
      </c>
    </row>
    <row r="5348" spans="1:1" x14ac:dyDescent="0.2">
      <c r="A5348" s="996" t="str">
        <f>CONCATENATE(Programme!D5349,Programme!E5349,Programme!F5349,Programme!G5349,Programme!H5349,Programme!I5349,Programme!J5349)</f>
        <v>&lt;/ValeurCellule&gt;</v>
      </c>
    </row>
    <row r="5349" spans="1:1" x14ac:dyDescent="0.2">
      <c r="A5349" s="996" t="str">
        <f>CONCATENATE(Programme!D5350,Programme!E5350,Programme!F5350,Programme!G5350,Programme!H5350,Programme!I5350,Programme!J5350)</f>
        <v>&lt;ValeurCellule&gt;</v>
      </c>
    </row>
    <row r="5350" spans="1:1" x14ac:dyDescent="0.2">
      <c r="A5350" s="996" t="str">
        <f>CONCATENATE(Programme!D5351,Programme!E5351,Programme!F5351,Programme!G5351,Programme!H5351,Programme!I5351,Programme!J5351)</f>
        <v>&lt;cellule&gt;</v>
      </c>
    </row>
    <row r="5351" spans="1:1" x14ac:dyDescent="0.2">
      <c r="A5351" s="996" t="str">
        <f>CONCATENATE(Programme!D5352,Programme!E5352,Programme!F5352,Programme!G5352,Programme!H5352,Programme!I5352,Programme!J5352)</f>
        <v>&lt;codeEdi&gt;10091&lt;/codeEdi&gt;</v>
      </c>
    </row>
    <row r="5352" spans="1:1" x14ac:dyDescent="0.2">
      <c r="A5352" s="996" t="str">
        <f>CONCATENATE(Programme!D5353,Programme!E5353,Programme!F5353,Programme!G5353,Programme!H5353,Programme!I5353,Programme!J5353)</f>
        <v>&lt;/cellule&gt;</v>
      </c>
    </row>
    <row r="5353" spans="1:1" x14ac:dyDescent="0.2">
      <c r="A5353" s="996" t="str">
        <f>CONCATENATE(Programme!D5354,Programme!E5354,Programme!F5354,Programme!G5354,Programme!H5354,Programme!I5354,Programme!J5354)</f>
        <v>&lt;valeur&gt;0&lt;/valeur&gt;</v>
      </c>
    </row>
    <row r="5354" spans="1:1" x14ac:dyDescent="0.2">
      <c r="A5354" s="996" t="str">
        <f>CONCATENATE(Programme!D5355,Programme!E5355,Programme!F5355,Programme!G5355,Programme!H5355,Programme!I5355,Programme!J5355)</f>
        <v>&lt;/ValeurCellule&gt;</v>
      </c>
    </row>
    <row r="5355" spans="1:1" x14ac:dyDescent="0.2">
      <c r="A5355" s="996" t="str">
        <f>CONCATENATE(Programme!D5356,Programme!E5356,Programme!F5356,Programme!G5356,Programme!H5356,Programme!I5356,Programme!J5356)</f>
        <v>&lt;ValeurCellule&gt;</v>
      </c>
    </row>
    <row r="5356" spans="1:1" x14ac:dyDescent="0.2">
      <c r="A5356" s="996" t="str">
        <f>CONCATENATE(Programme!D5357,Programme!E5357,Programme!F5357,Programme!G5357,Programme!H5357,Programme!I5357,Programme!J5357)</f>
        <v>&lt;cellule&gt;</v>
      </c>
    </row>
    <row r="5357" spans="1:1" x14ac:dyDescent="0.2">
      <c r="A5357" s="996" t="str">
        <f>CONCATENATE(Programme!D5358,Programme!E5358,Programme!F5358,Programme!G5358,Programme!H5358,Programme!I5358,Programme!J5358)</f>
        <v>&lt;codeEdi&gt;10420&lt;/codeEdi&gt;</v>
      </c>
    </row>
    <row r="5358" spans="1:1" x14ac:dyDescent="0.2">
      <c r="A5358" s="996" t="str">
        <f>CONCATENATE(Programme!D5359,Programme!E5359,Programme!F5359,Programme!G5359,Programme!H5359,Programme!I5359,Programme!J5359)</f>
        <v>&lt;/cellule&gt;</v>
      </c>
    </row>
    <row r="5359" spans="1:1" x14ac:dyDescent="0.2">
      <c r="A5359" s="996" t="str">
        <f>CONCATENATE(Programme!D5360,Programme!E5360,Programme!F5360,Programme!G5360,Programme!H5360,Programme!I5360,Programme!J5360)</f>
        <v>&lt;valeur&gt;0&lt;/valeur&gt;</v>
      </c>
    </row>
    <row r="5360" spans="1:1" x14ac:dyDescent="0.2">
      <c r="A5360" s="996" t="str">
        <f>CONCATENATE(Programme!D5361,Programme!E5361,Programme!F5361,Programme!G5361,Programme!H5361,Programme!I5361,Programme!J5361)</f>
        <v>&lt;/ValeurCellule&gt;</v>
      </c>
    </row>
    <row r="5361" spans="1:1" x14ac:dyDescent="0.2">
      <c r="A5361" s="996" t="str">
        <f>CONCATENATE(Programme!D5362,Programme!E5362,Programme!F5362,Programme!G5362,Programme!H5362,Programme!I5362,Programme!J5362)</f>
        <v>&lt;ValeurCellule&gt;</v>
      </c>
    </row>
    <row r="5362" spans="1:1" x14ac:dyDescent="0.2">
      <c r="A5362" s="996" t="str">
        <f>CONCATENATE(Programme!D5363,Programme!E5363,Programme!F5363,Programme!G5363,Programme!H5363,Programme!I5363,Programme!J5363)</f>
        <v>&lt;cellule&gt;</v>
      </c>
    </row>
    <row r="5363" spans="1:1" x14ac:dyDescent="0.2">
      <c r="A5363" s="996" t="str">
        <f>CONCATENATE(Programme!D5364,Programme!E5364,Programme!F5364,Programme!G5364,Programme!H5364,Programme!I5364,Programme!J5364)</f>
        <v>&lt;codeEdi&gt;1764&lt;/codeEdi&gt;</v>
      </c>
    </row>
    <row r="5364" spans="1:1" x14ac:dyDescent="0.2">
      <c r="A5364" s="996" t="str">
        <f>CONCATENATE(Programme!D5365,Programme!E5365,Programme!F5365,Programme!G5365,Programme!H5365,Programme!I5365,Programme!J5365)</f>
        <v>&lt;/cellule&gt;</v>
      </c>
    </row>
    <row r="5365" spans="1:1" x14ac:dyDescent="0.2">
      <c r="A5365" s="996" t="str">
        <f>CONCATENATE(Programme!D5366,Programme!E5366,Programme!F5366,Programme!G5366,Programme!H5366,Programme!I5366,Programme!J5366)</f>
        <v>&lt;valeur&gt;&lt;/valeur&gt;</v>
      </c>
    </row>
    <row r="5366" spans="1:1" x14ac:dyDescent="0.2">
      <c r="A5366" s="996" t="str">
        <f>CONCATENATE(Programme!D5367,Programme!E5367,Programme!F5367,Programme!G5367,Programme!H5367,Programme!I5367,Programme!J5367)</f>
        <v>&lt;/ValeurCellule&gt;</v>
      </c>
    </row>
    <row r="5367" spans="1:1" x14ac:dyDescent="0.2">
      <c r="A5367" s="996" t="str">
        <f>CONCATENATE(Programme!D5368,Programme!E5368,Programme!F5368,Programme!G5368,Programme!H5368,Programme!I5368,Programme!J5368)</f>
        <v>&lt;ValeurCellule&gt;</v>
      </c>
    </row>
    <row r="5368" spans="1:1" x14ac:dyDescent="0.2">
      <c r="A5368" s="996" t="str">
        <f>CONCATENATE(Programme!D5369,Programme!E5369,Programme!F5369,Programme!G5369,Programme!H5369,Programme!I5369,Programme!J5369)</f>
        <v>&lt;cellule&gt;</v>
      </c>
    </row>
    <row r="5369" spans="1:1" x14ac:dyDescent="0.2">
      <c r="A5369" s="996" t="str">
        <f>CONCATENATE(Programme!D5370,Programme!E5370,Programme!F5370,Programme!G5370,Programme!H5370,Programme!I5370,Programme!J5370)</f>
        <v>&lt;codeEdi&gt;1765&lt;/codeEdi&gt;</v>
      </c>
    </row>
    <row r="5370" spans="1:1" x14ac:dyDescent="0.2">
      <c r="A5370" s="996" t="str">
        <f>CONCATENATE(Programme!D5371,Programme!E5371,Programme!F5371,Programme!G5371,Programme!H5371,Programme!I5371,Programme!J5371)</f>
        <v>&lt;/cellule&gt;</v>
      </c>
    </row>
    <row r="5371" spans="1:1" x14ac:dyDescent="0.2">
      <c r="A5371" s="996" t="str">
        <f>CONCATENATE(Programme!D5372,Programme!E5372,Programme!F5372,Programme!G5372,Programme!H5372,Programme!I5372,Programme!J5372)</f>
        <v>&lt;valeur&gt;0&lt;/valeur&gt;</v>
      </c>
    </row>
    <row r="5372" spans="1:1" x14ac:dyDescent="0.2">
      <c r="A5372" s="996" t="str">
        <f>CONCATENATE(Programme!D5373,Programme!E5373,Programme!F5373,Programme!G5373,Programme!H5373,Programme!I5373,Programme!J5373)</f>
        <v>&lt;/ValeurCellule&gt;</v>
      </c>
    </row>
    <row r="5373" spans="1:1" x14ac:dyDescent="0.2">
      <c r="A5373" s="996" t="str">
        <f>CONCATENATE(Programme!D5374,Programme!E5374,Programme!F5374,Programme!G5374,Programme!H5374,Programme!I5374,Programme!J5374)</f>
        <v>&lt;ValeurCellule&gt;</v>
      </c>
    </row>
    <row r="5374" spans="1:1" x14ac:dyDescent="0.2">
      <c r="A5374" s="996" t="str">
        <f>CONCATENATE(Programme!D5375,Programme!E5375,Programme!F5375,Programme!G5375,Programme!H5375,Programme!I5375,Programme!J5375)</f>
        <v>&lt;cellule&gt;</v>
      </c>
    </row>
    <row r="5375" spans="1:1" x14ac:dyDescent="0.2">
      <c r="A5375" s="996" t="str">
        <f>CONCATENATE(Programme!D5376,Programme!E5376,Programme!F5376,Programme!G5376,Programme!H5376,Programme!I5376,Programme!J5376)</f>
        <v>&lt;codeEdi&gt;1766&lt;/codeEdi&gt;</v>
      </c>
    </row>
    <row r="5376" spans="1:1" x14ac:dyDescent="0.2">
      <c r="A5376" s="996" t="str">
        <f>CONCATENATE(Programme!D5377,Programme!E5377,Programme!F5377,Programme!G5377,Programme!H5377,Programme!I5377,Programme!J5377)</f>
        <v>&lt;/cellule&gt;</v>
      </c>
    </row>
    <row r="5377" spans="1:1" x14ac:dyDescent="0.2">
      <c r="A5377" s="996" t="str">
        <f>CONCATENATE(Programme!D5378,Programme!E5378,Programme!F5378,Programme!G5378,Programme!H5378,Programme!I5378,Programme!J5378)</f>
        <v>&lt;valeur&gt;0&lt;/valeur&gt;</v>
      </c>
    </row>
    <row r="5378" spans="1:1" x14ac:dyDescent="0.2">
      <c r="A5378" s="996" t="str">
        <f>CONCATENATE(Programme!D5379,Programme!E5379,Programme!F5379,Programme!G5379,Programme!H5379,Programme!I5379,Programme!J5379)</f>
        <v>&lt;/ValeurCellule&gt;</v>
      </c>
    </row>
    <row r="5379" spans="1:1" x14ac:dyDescent="0.2">
      <c r="A5379" s="996" t="str">
        <f>CONCATENATE(Programme!D5380,Programme!E5380,Programme!F5380,Programme!G5380,Programme!H5380,Programme!I5380,Programme!J5380)</f>
        <v>&lt;ValeurCellule&gt;</v>
      </c>
    </row>
    <row r="5380" spans="1:1" x14ac:dyDescent="0.2">
      <c r="A5380" s="996" t="str">
        <f>CONCATENATE(Programme!D5381,Programme!E5381,Programme!F5381,Programme!G5381,Programme!H5381,Programme!I5381,Programme!J5381)</f>
        <v>&lt;cellule&gt;</v>
      </c>
    </row>
    <row r="5381" spans="1:1" x14ac:dyDescent="0.2">
      <c r="A5381" s="996" t="str">
        <f>CONCATENATE(Programme!D5382,Programme!E5382,Programme!F5382,Programme!G5382,Programme!H5382,Programme!I5382,Programme!J5382)</f>
        <v>&lt;codeEdi&gt;1767&lt;/codeEdi&gt;</v>
      </c>
    </row>
    <row r="5382" spans="1:1" x14ac:dyDescent="0.2">
      <c r="A5382" s="996" t="str">
        <f>CONCATENATE(Programme!D5383,Programme!E5383,Programme!F5383,Programme!G5383,Programme!H5383,Programme!I5383,Programme!J5383)</f>
        <v>&lt;/cellule&gt;</v>
      </c>
    </row>
    <row r="5383" spans="1:1" x14ac:dyDescent="0.2">
      <c r="A5383" s="996" t="str">
        <f>CONCATENATE(Programme!D5384,Programme!E5384,Programme!F5384,Programme!G5384,Programme!H5384,Programme!I5384,Programme!J5384)</f>
        <v>&lt;valeur&gt;0&lt;/valeur&gt;</v>
      </c>
    </row>
    <row r="5384" spans="1:1" x14ac:dyDescent="0.2">
      <c r="A5384" s="996" t="str">
        <f>CONCATENATE(Programme!D5385,Programme!E5385,Programme!F5385,Programme!G5385,Programme!H5385,Programme!I5385,Programme!J5385)</f>
        <v>&lt;/ValeurCellule&gt;</v>
      </c>
    </row>
    <row r="5385" spans="1:1" x14ac:dyDescent="0.2">
      <c r="A5385" s="996" t="str">
        <f>CONCATENATE(Programme!D5386,Programme!E5386,Programme!F5386,Programme!G5386,Programme!H5386,Programme!I5386,Programme!J5386)</f>
        <v>&lt;ValeurCellule&gt;</v>
      </c>
    </row>
    <row r="5386" spans="1:1" x14ac:dyDescent="0.2">
      <c r="A5386" s="996" t="str">
        <f>CONCATENATE(Programme!D5387,Programme!E5387,Programme!F5387,Programme!G5387,Programme!H5387,Programme!I5387,Programme!J5387)</f>
        <v>&lt;cellule&gt;</v>
      </c>
    </row>
    <row r="5387" spans="1:1" x14ac:dyDescent="0.2">
      <c r="A5387" s="996" t="str">
        <f>CONCATENATE(Programme!D5388,Programme!E5388,Programme!F5388,Programme!G5388,Programme!H5388,Programme!I5388,Programme!J5388)</f>
        <v>&lt;codeEdi&gt;1814&lt;/codeEdi&gt;</v>
      </c>
    </row>
    <row r="5388" spans="1:1" x14ac:dyDescent="0.2">
      <c r="A5388" s="996" t="str">
        <f>CONCATENATE(Programme!D5389,Programme!E5389,Programme!F5389,Programme!G5389,Programme!H5389,Programme!I5389,Programme!J5389)</f>
        <v>&lt;/cellule&gt;</v>
      </c>
    </row>
    <row r="5389" spans="1:1" x14ac:dyDescent="0.2">
      <c r="A5389" s="996" t="str">
        <f>CONCATENATE(Programme!D5390,Programme!E5390,Programme!F5390,Programme!G5390,Programme!H5390,Programme!I5390,Programme!J5390)</f>
        <v>&lt;valeur&gt;&lt;/valeur&gt;</v>
      </c>
    </row>
    <row r="5390" spans="1:1" x14ac:dyDescent="0.2">
      <c r="A5390" s="996" t="str">
        <f>CONCATENATE(Programme!D5391,Programme!E5391,Programme!F5391,Programme!G5391,Programme!H5391,Programme!I5391,Programme!J5391)</f>
        <v>&lt;/ValeurCellule&gt;</v>
      </c>
    </row>
    <row r="5391" spans="1:1" x14ac:dyDescent="0.2">
      <c r="A5391" s="996" t="str">
        <f>CONCATENATE(Programme!D5392,Programme!E5392,Programme!F5392,Programme!G5392,Programme!H5392,Programme!I5392,Programme!J5392)</f>
        <v>&lt;ValeurCellule&gt;</v>
      </c>
    </row>
    <row r="5392" spans="1:1" x14ac:dyDescent="0.2">
      <c r="A5392" s="996" t="str">
        <f>CONCATENATE(Programme!D5393,Programme!E5393,Programme!F5393,Programme!G5393,Programme!H5393,Programme!I5393,Programme!J5393)</f>
        <v>&lt;cellule&gt;</v>
      </c>
    </row>
    <row r="5393" spans="1:1" x14ac:dyDescent="0.2">
      <c r="A5393" s="996" t="str">
        <f>CONCATENATE(Programme!D5394,Programme!E5394,Programme!F5394,Programme!G5394,Programme!H5394,Programme!I5394,Programme!J5394)</f>
        <v>&lt;codeEdi&gt;1815&lt;/codeEdi&gt;</v>
      </c>
    </row>
    <row r="5394" spans="1:1" x14ac:dyDescent="0.2">
      <c r="A5394" s="996" t="str">
        <f>CONCATENATE(Programme!D5395,Programme!E5395,Programme!F5395,Programme!G5395,Programme!H5395,Programme!I5395,Programme!J5395)</f>
        <v>&lt;/cellule&gt;</v>
      </c>
    </row>
    <row r="5395" spans="1:1" x14ac:dyDescent="0.2">
      <c r="A5395" s="996" t="str">
        <f>CONCATENATE(Programme!D5396,Programme!E5396,Programme!F5396,Programme!G5396,Programme!H5396,Programme!I5396,Programme!J5396)</f>
        <v>&lt;valeur&gt;0&lt;/valeur&gt;</v>
      </c>
    </row>
    <row r="5396" spans="1:1" x14ac:dyDescent="0.2">
      <c r="A5396" s="996" t="str">
        <f>CONCATENATE(Programme!D5397,Programme!E5397,Programme!F5397,Programme!G5397,Programme!H5397,Programme!I5397,Programme!J5397)</f>
        <v>&lt;/ValeurCellule&gt;</v>
      </c>
    </row>
    <row r="5397" spans="1:1" x14ac:dyDescent="0.2">
      <c r="A5397" s="996" t="str">
        <f>CONCATENATE(Programme!D5398,Programme!E5398,Programme!F5398,Programme!G5398,Programme!H5398,Programme!I5398,Programme!J5398)</f>
        <v>&lt;ValeurCellule&gt;</v>
      </c>
    </row>
    <row r="5398" spans="1:1" x14ac:dyDescent="0.2">
      <c r="A5398" s="996" t="str">
        <f>CONCATENATE(Programme!D5399,Programme!E5399,Programme!F5399,Programme!G5399,Programme!H5399,Programme!I5399,Programme!J5399)</f>
        <v>&lt;cellule&gt;</v>
      </c>
    </row>
    <row r="5399" spans="1:1" x14ac:dyDescent="0.2">
      <c r="A5399" s="996" t="str">
        <f>CONCATENATE(Programme!D5400,Programme!E5400,Programme!F5400,Programme!G5400,Programme!H5400,Programme!I5400,Programme!J5400)</f>
        <v>&lt;codeEdi&gt;1816&lt;/codeEdi&gt;</v>
      </c>
    </row>
    <row r="5400" spans="1:1" x14ac:dyDescent="0.2">
      <c r="A5400" s="996" t="str">
        <f>CONCATENATE(Programme!D5401,Programme!E5401,Programme!F5401,Programme!G5401,Programme!H5401,Programme!I5401,Programme!J5401)</f>
        <v>&lt;/cellule&gt;</v>
      </c>
    </row>
    <row r="5401" spans="1:1" x14ac:dyDescent="0.2">
      <c r="A5401" s="996" t="str">
        <f>CONCATENATE(Programme!D5402,Programme!E5402,Programme!F5402,Programme!G5402,Programme!H5402,Programme!I5402,Programme!J5402)</f>
        <v>&lt;valeur&gt;0&lt;/valeur&gt;</v>
      </c>
    </row>
    <row r="5402" spans="1:1" x14ac:dyDescent="0.2">
      <c r="A5402" s="996" t="str">
        <f>CONCATENATE(Programme!D5403,Programme!E5403,Programme!F5403,Programme!G5403,Programme!H5403,Programme!I5403,Programme!J5403)</f>
        <v>&lt;/ValeurCellule&gt;</v>
      </c>
    </row>
    <row r="5403" spans="1:1" x14ac:dyDescent="0.2">
      <c r="A5403" s="996" t="str">
        <f>CONCATENATE(Programme!D5404,Programme!E5404,Programme!F5404,Programme!G5404,Programme!H5404,Programme!I5404,Programme!J5404)</f>
        <v>&lt;ValeurCellule&gt;</v>
      </c>
    </row>
    <row r="5404" spans="1:1" x14ac:dyDescent="0.2">
      <c r="A5404" s="996" t="str">
        <f>CONCATENATE(Programme!D5405,Programme!E5405,Programme!F5405,Programme!G5405,Programme!H5405,Programme!I5405,Programme!J5405)</f>
        <v>&lt;cellule&gt;</v>
      </c>
    </row>
    <row r="5405" spans="1:1" x14ac:dyDescent="0.2">
      <c r="A5405" s="996" t="str">
        <f>CONCATENATE(Programme!D5406,Programme!E5406,Programme!F5406,Programme!G5406,Programme!H5406,Programme!I5406,Programme!J5406)</f>
        <v>&lt;codeEdi&gt;1817&lt;/codeEdi&gt;</v>
      </c>
    </row>
    <row r="5406" spans="1:1" x14ac:dyDescent="0.2">
      <c r="A5406" s="996" t="str">
        <f>CONCATENATE(Programme!D5407,Programme!E5407,Programme!F5407,Programme!G5407,Programme!H5407,Programme!I5407,Programme!J5407)</f>
        <v>&lt;/cellule&gt;</v>
      </c>
    </row>
    <row r="5407" spans="1:1" x14ac:dyDescent="0.2">
      <c r="A5407" s="996" t="str">
        <f>CONCATENATE(Programme!D5408,Programme!E5408,Programme!F5408,Programme!G5408,Programme!H5408,Programme!I5408,Programme!J5408)</f>
        <v>&lt;valeur&gt;0&lt;/valeur&gt;</v>
      </c>
    </row>
    <row r="5408" spans="1:1" x14ac:dyDescent="0.2">
      <c r="A5408" s="996" t="str">
        <f>CONCATENATE(Programme!D5409,Programme!E5409,Programme!F5409,Programme!G5409,Programme!H5409,Programme!I5409,Programme!J5409)</f>
        <v>&lt;/ValeurCellule&gt;</v>
      </c>
    </row>
    <row r="5409" spans="1:1" x14ac:dyDescent="0.2">
      <c r="A5409" s="996" t="str">
        <f>CONCATENATE(Programme!D5410,Programme!E5410,Programme!F5410,Programme!G5410,Programme!H5410,Programme!I5410,Programme!J5410)</f>
        <v>&lt;ValeurCellule&gt;</v>
      </c>
    </row>
    <row r="5410" spans="1:1" x14ac:dyDescent="0.2">
      <c r="A5410" s="996" t="str">
        <f>CONCATENATE(Programme!D5411,Programme!E5411,Programme!F5411,Programme!G5411,Programme!H5411,Programme!I5411,Programme!J5411)</f>
        <v>&lt;cellule&gt;</v>
      </c>
    </row>
    <row r="5411" spans="1:1" x14ac:dyDescent="0.2">
      <c r="A5411" s="996" t="str">
        <f>CONCATENATE(Programme!D5412,Programme!E5412,Programme!F5412,Programme!G5412,Programme!H5412,Programme!I5412,Programme!J5412)</f>
        <v>&lt;codeEdi&gt;1794&lt;/codeEdi&gt;</v>
      </c>
    </row>
    <row r="5412" spans="1:1" x14ac:dyDescent="0.2">
      <c r="A5412" s="996" t="str">
        <f>CONCATENATE(Programme!D5413,Programme!E5413,Programme!F5413,Programme!G5413,Programme!H5413,Programme!I5413,Programme!J5413)</f>
        <v>&lt;/cellule&gt;</v>
      </c>
    </row>
    <row r="5413" spans="1:1" x14ac:dyDescent="0.2">
      <c r="A5413" s="996" t="str">
        <f>CONCATENATE(Programme!D5414,Programme!E5414,Programme!F5414,Programme!G5414,Programme!H5414,Programme!I5414,Programme!J5414)</f>
        <v>&lt;valeur&gt;0&lt;/valeur&gt;</v>
      </c>
    </row>
    <row r="5414" spans="1:1" x14ac:dyDescent="0.2">
      <c r="A5414" s="996" t="str">
        <f>CONCATENATE(Programme!D5415,Programme!E5415,Programme!F5415,Programme!G5415,Programme!H5415,Programme!I5415,Programme!J5415)</f>
        <v>&lt;/ValeurCellule&gt;</v>
      </c>
    </row>
    <row r="5415" spans="1:1" x14ac:dyDescent="0.2">
      <c r="A5415" s="996" t="str">
        <f>CONCATENATE(Programme!D5416,Programme!E5416,Programme!F5416,Programme!G5416,Programme!H5416,Programme!I5416,Programme!J5416)</f>
        <v>&lt;ValeurCellule&gt;</v>
      </c>
    </row>
    <row r="5416" spans="1:1" x14ac:dyDescent="0.2">
      <c r="A5416" s="996" t="str">
        <f>CONCATENATE(Programme!D5417,Programme!E5417,Programme!F5417,Programme!G5417,Programme!H5417,Programme!I5417,Programme!J5417)</f>
        <v>&lt;cellule&gt;</v>
      </c>
    </row>
    <row r="5417" spans="1:1" x14ac:dyDescent="0.2">
      <c r="A5417" s="996" t="str">
        <f>CONCATENATE(Programme!D5418,Programme!E5418,Programme!F5418,Programme!G5418,Programme!H5418,Programme!I5418,Programme!J5418)</f>
        <v>&lt;codeEdi&gt;1795&lt;/codeEdi&gt;</v>
      </c>
    </row>
    <row r="5418" spans="1:1" x14ac:dyDescent="0.2">
      <c r="A5418" s="996" t="str">
        <f>CONCATENATE(Programme!D5419,Programme!E5419,Programme!F5419,Programme!G5419,Programme!H5419,Programme!I5419,Programme!J5419)</f>
        <v>&lt;/cellule&gt;</v>
      </c>
    </row>
    <row r="5419" spans="1:1" x14ac:dyDescent="0.2">
      <c r="A5419" s="996" t="str">
        <f>CONCATENATE(Programme!D5420,Programme!E5420,Programme!F5420,Programme!G5420,Programme!H5420,Programme!I5420,Programme!J5420)</f>
        <v>&lt;valeur&gt;0&lt;/valeur&gt;</v>
      </c>
    </row>
    <row r="5420" spans="1:1" x14ac:dyDescent="0.2">
      <c r="A5420" s="996" t="str">
        <f>CONCATENATE(Programme!D5421,Programme!E5421,Programme!F5421,Programme!G5421,Programme!H5421,Programme!I5421,Programme!J5421)</f>
        <v>&lt;/ValeurCellule&gt;</v>
      </c>
    </row>
    <row r="5421" spans="1:1" x14ac:dyDescent="0.2">
      <c r="A5421" s="996" t="str">
        <f>CONCATENATE(Programme!D5422,Programme!E5422,Programme!F5422,Programme!G5422,Programme!H5422,Programme!I5422,Programme!J5422)</f>
        <v>&lt;ValeurCellule&gt;</v>
      </c>
    </row>
    <row r="5422" spans="1:1" x14ac:dyDescent="0.2">
      <c r="A5422" s="996" t="str">
        <f>CONCATENATE(Programme!D5423,Programme!E5423,Programme!F5423,Programme!G5423,Programme!H5423,Programme!I5423,Programme!J5423)</f>
        <v>&lt;cellule&gt;</v>
      </c>
    </row>
    <row r="5423" spans="1:1" x14ac:dyDescent="0.2">
      <c r="A5423" s="996" t="str">
        <f>CONCATENATE(Programme!D5424,Programme!E5424,Programme!F5424,Programme!G5424,Programme!H5424,Programme!I5424,Programme!J5424)</f>
        <v>&lt;codeEdi&gt;1796&lt;/codeEdi&gt;</v>
      </c>
    </row>
    <row r="5424" spans="1:1" x14ac:dyDescent="0.2">
      <c r="A5424" s="996" t="str">
        <f>CONCATENATE(Programme!D5425,Programme!E5425,Programme!F5425,Programme!G5425,Programme!H5425,Programme!I5425,Programme!J5425)</f>
        <v>&lt;/cellule&gt;</v>
      </c>
    </row>
    <row r="5425" spans="1:1" x14ac:dyDescent="0.2">
      <c r="A5425" s="996" t="str">
        <f>CONCATENATE(Programme!D5426,Programme!E5426,Programme!F5426,Programme!G5426,Programme!H5426,Programme!I5426,Programme!J5426)</f>
        <v>&lt;valeur&gt;0&lt;/valeur&gt;</v>
      </c>
    </row>
    <row r="5426" spans="1:1" x14ac:dyDescent="0.2">
      <c r="A5426" s="996" t="str">
        <f>CONCATENATE(Programme!D5427,Programme!E5427,Programme!F5427,Programme!G5427,Programme!H5427,Programme!I5427,Programme!J5427)</f>
        <v>&lt;/ValeurCellule&gt;</v>
      </c>
    </row>
    <row r="5427" spans="1:1" x14ac:dyDescent="0.2">
      <c r="A5427" s="996" t="str">
        <f>CONCATENATE(Programme!D5428,Programme!E5428,Programme!F5428,Programme!G5428,Programme!H5428,Programme!I5428,Programme!J5428)</f>
        <v>&lt;ValeurCellule&gt;</v>
      </c>
    </row>
    <row r="5428" spans="1:1" x14ac:dyDescent="0.2">
      <c r="A5428" s="996" t="str">
        <f>CONCATENATE(Programme!D5429,Programme!E5429,Programme!F5429,Programme!G5429,Programme!H5429,Programme!I5429,Programme!J5429)</f>
        <v>&lt;cellule&gt;</v>
      </c>
    </row>
    <row r="5429" spans="1:1" x14ac:dyDescent="0.2">
      <c r="A5429" s="996" t="str">
        <f>CONCATENATE(Programme!D5430,Programme!E5430,Programme!F5430,Programme!G5430,Programme!H5430,Programme!I5430,Programme!J5430)</f>
        <v>&lt;codeEdi&gt;1797&lt;/codeEdi&gt;</v>
      </c>
    </row>
    <row r="5430" spans="1:1" x14ac:dyDescent="0.2">
      <c r="A5430" s="996" t="str">
        <f>CONCATENATE(Programme!D5431,Programme!E5431,Programme!F5431,Programme!G5431,Programme!H5431,Programme!I5431,Programme!J5431)</f>
        <v>&lt;/cellule&gt;</v>
      </c>
    </row>
    <row r="5431" spans="1:1" x14ac:dyDescent="0.2">
      <c r="A5431" s="996" t="str">
        <f>CONCATENATE(Programme!D5432,Programme!E5432,Programme!F5432,Programme!G5432,Programme!H5432,Programme!I5432,Programme!J5432)</f>
        <v>&lt;valeur&gt;0&lt;/valeur&gt;</v>
      </c>
    </row>
    <row r="5432" spans="1:1" x14ac:dyDescent="0.2">
      <c r="A5432" s="996" t="str">
        <f>CONCATENATE(Programme!D5433,Programme!E5433,Programme!F5433,Programme!G5433,Programme!H5433,Programme!I5433,Programme!J5433)</f>
        <v>&lt;/ValeurCellule&gt;</v>
      </c>
    </row>
    <row r="5433" spans="1:1" x14ac:dyDescent="0.2">
      <c r="A5433" s="996" t="str">
        <f>CONCATENATE(Programme!D5434,Programme!E5434,Programme!F5434,Programme!G5434,Programme!H5434,Programme!I5434,Programme!J5434)</f>
        <v>&lt;ValeurCellule&gt;</v>
      </c>
    </row>
    <row r="5434" spans="1:1" x14ac:dyDescent="0.2">
      <c r="A5434" s="996" t="str">
        <f>CONCATENATE(Programme!D5435,Programme!E5435,Programme!F5435,Programme!G5435,Programme!H5435,Programme!I5435,Programme!J5435)</f>
        <v>&lt;cellule&gt;</v>
      </c>
    </row>
    <row r="5435" spans="1:1" x14ac:dyDescent="0.2">
      <c r="A5435" s="996" t="str">
        <f>CONCATENATE(Programme!D5436,Programme!E5436,Programme!F5436,Programme!G5436,Programme!H5436,Programme!I5436,Programme!J5436)</f>
        <v>&lt;codeEdi&gt;1798&lt;/codeEdi&gt;</v>
      </c>
    </row>
    <row r="5436" spans="1:1" x14ac:dyDescent="0.2">
      <c r="A5436" s="996" t="str">
        <f>CONCATENATE(Programme!D5437,Programme!E5437,Programme!F5437,Programme!G5437,Programme!H5437,Programme!I5437,Programme!J5437)</f>
        <v>&lt;/cellule&gt;</v>
      </c>
    </row>
    <row r="5437" spans="1:1" x14ac:dyDescent="0.2">
      <c r="A5437" s="996" t="str">
        <f>CONCATENATE(Programme!D5438,Programme!E5438,Programme!F5438,Programme!G5438,Programme!H5438,Programme!I5438,Programme!J5438)</f>
        <v>&lt;valeur&gt;0&lt;/valeur&gt;</v>
      </c>
    </row>
    <row r="5438" spans="1:1" x14ac:dyDescent="0.2">
      <c r="A5438" s="996" t="str">
        <f>CONCATENATE(Programme!D5439,Programme!E5439,Programme!F5439,Programme!G5439,Programme!H5439,Programme!I5439,Programme!J5439)</f>
        <v>&lt;/ValeurCellule&gt;</v>
      </c>
    </row>
    <row r="5439" spans="1:1" x14ac:dyDescent="0.2">
      <c r="A5439" s="996" t="str">
        <f>CONCATENATE(Programme!D5440,Programme!E5440,Programme!F5440,Programme!G5440,Programme!H5440,Programme!I5440,Programme!J5440)</f>
        <v>&lt;ValeurCellule&gt;</v>
      </c>
    </row>
    <row r="5440" spans="1:1" x14ac:dyDescent="0.2">
      <c r="A5440" s="996" t="str">
        <f>CONCATENATE(Programme!D5441,Programme!E5441,Programme!F5441,Programme!G5441,Programme!H5441,Programme!I5441,Programme!J5441)</f>
        <v>&lt;cellule&gt;</v>
      </c>
    </row>
    <row r="5441" spans="1:1" x14ac:dyDescent="0.2">
      <c r="A5441" s="996" t="str">
        <f>CONCATENATE(Programme!D5442,Programme!E5442,Programme!F5442,Programme!G5442,Programme!H5442,Programme!I5442,Programme!J5442)</f>
        <v>&lt;codeEdi&gt;1792&lt;/codeEdi&gt;</v>
      </c>
    </row>
    <row r="5442" spans="1:1" x14ac:dyDescent="0.2">
      <c r="A5442" s="996" t="str">
        <f>CONCATENATE(Programme!D5443,Programme!E5443,Programme!F5443,Programme!G5443,Programme!H5443,Programme!I5443,Programme!J5443)</f>
        <v>&lt;/cellule&gt;</v>
      </c>
    </row>
    <row r="5443" spans="1:1" x14ac:dyDescent="0.2">
      <c r="A5443" s="996" t="str">
        <f>CONCATENATE(Programme!D5444,Programme!E5444,Programme!F5444,Programme!G5444,Programme!H5444,Programme!I5444,Programme!J5444)</f>
        <v>&lt;valeur&gt;&lt;/valeur&gt;</v>
      </c>
    </row>
    <row r="5444" spans="1:1" x14ac:dyDescent="0.2">
      <c r="A5444" s="996" t="str">
        <f>CONCATENATE(Programme!D5445,Programme!E5445,Programme!F5445,Programme!G5445,Programme!H5445,Programme!I5445,Programme!J5445)</f>
        <v>&lt;/ValeurCellule&gt;</v>
      </c>
    </row>
    <row r="5445" spans="1:1" x14ac:dyDescent="0.2">
      <c r="A5445" s="996" t="str">
        <f>CONCATENATE(Programme!D5446,Programme!E5446,Programme!F5446,Programme!G5446,Programme!H5446,Programme!I5446,Programme!J5446)</f>
        <v>&lt;ValeurCellule&gt;</v>
      </c>
    </row>
    <row r="5446" spans="1:1" x14ac:dyDescent="0.2">
      <c r="A5446" s="996" t="str">
        <f>CONCATENATE(Programme!D5447,Programme!E5447,Programme!F5447,Programme!G5447,Programme!H5447,Programme!I5447,Programme!J5447)</f>
        <v>&lt;cellule&gt;</v>
      </c>
    </row>
    <row r="5447" spans="1:1" x14ac:dyDescent="0.2">
      <c r="A5447" s="996" t="str">
        <f>CONCATENATE(Programme!D5448,Programme!E5448,Programme!F5448,Programme!G5448,Programme!H5448,Programme!I5448,Programme!J5448)</f>
        <v>&lt;codeEdi&gt;1793&lt;/codeEdi&gt;</v>
      </c>
    </row>
    <row r="5448" spans="1:1" x14ac:dyDescent="0.2">
      <c r="A5448" s="996" t="str">
        <f>CONCATENATE(Programme!D5449,Programme!E5449,Programme!F5449,Programme!G5449,Programme!H5449,Programme!I5449,Programme!J5449)</f>
        <v>&lt;/cellule&gt;</v>
      </c>
    </row>
    <row r="5449" spans="1:1" x14ac:dyDescent="0.2">
      <c r="A5449" s="996" t="str">
        <f>CONCATENATE(Programme!D5450,Programme!E5450,Programme!F5450,Programme!G5450,Programme!H5450,Programme!I5450,Programme!J5450)</f>
        <v>&lt;valeur&gt;0&lt;/valeur&gt;</v>
      </c>
    </row>
    <row r="5450" spans="1:1" x14ac:dyDescent="0.2">
      <c r="A5450" s="996" t="str">
        <f>CONCATENATE(Programme!D5451,Programme!E5451,Programme!F5451,Programme!G5451,Programme!H5451,Programme!I5451,Programme!J5451)</f>
        <v>&lt;/ValeurCellule&gt;</v>
      </c>
    </row>
    <row r="5451" spans="1:1" x14ac:dyDescent="0.2">
      <c r="A5451" s="996" t="str">
        <f>CONCATENATE(Programme!D5452,Programme!E5452,Programme!F5452,Programme!G5452,Programme!H5452,Programme!I5452,Programme!J5452)</f>
        <v>&lt;ValeurCellule&gt;</v>
      </c>
    </row>
    <row r="5452" spans="1:1" x14ac:dyDescent="0.2">
      <c r="A5452" s="996" t="str">
        <f>CONCATENATE(Programme!D5453,Programme!E5453,Programme!F5453,Programme!G5453,Programme!H5453,Programme!I5453,Programme!J5453)</f>
        <v>&lt;cellule&gt;</v>
      </c>
    </row>
    <row r="5453" spans="1:1" x14ac:dyDescent="0.2">
      <c r="A5453" s="996" t="str">
        <f>CONCATENATE(Programme!D5454,Programme!E5454,Programme!F5454,Programme!G5454,Programme!H5454,Programme!I5454,Programme!J5454)</f>
        <v>&lt;codeEdi&gt;1807&lt;/codeEdi&gt;</v>
      </c>
    </row>
    <row r="5454" spans="1:1" x14ac:dyDescent="0.2">
      <c r="A5454" s="996" t="str">
        <f>CONCATENATE(Programme!D5455,Programme!E5455,Programme!F5455,Programme!G5455,Programme!H5455,Programme!I5455,Programme!J5455)</f>
        <v>&lt;/cellule&gt;</v>
      </c>
    </row>
    <row r="5455" spans="1:1" x14ac:dyDescent="0.2">
      <c r="A5455" s="996" t="str">
        <f>CONCATENATE(Programme!D5456,Programme!E5456,Programme!F5456,Programme!G5456,Programme!H5456,Programme!I5456,Programme!J5456)</f>
        <v>&lt;valeur&gt;&lt;/valeur&gt;</v>
      </c>
    </row>
    <row r="5456" spans="1:1" x14ac:dyDescent="0.2">
      <c r="A5456" s="996" t="str">
        <f>CONCATENATE(Programme!D5457,Programme!E5457,Programme!F5457,Programme!G5457,Programme!H5457,Programme!I5457,Programme!J5457)</f>
        <v>&lt;/ValeurCellule&gt;</v>
      </c>
    </row>
    <row r="5457" spans="1:1" x14ac:dyDescent="0.2">
      <c r="A5457" s="996" t="str">
        <f>CONCATENATE(Programme!D5458,Programme!E5458,Programme!F5458,Programme!G5458,Programme!H5458,Programme!I5458,Programme!J5458)</f>
        <v>&lt;ValeurCellule&gt;</v>
      </c>
    </row>
    <row r="5458" spans="1:1" x14ac:dyDescent="0.2">
      <c r="A5458" s="996" t="str">
        <f>CONCATENATE(Programme!D5459,Programme!E5459,Programme!F5459,Programme!G5459,Programme!H5459,Programme!I5459,Programme!J5459)</f>
        <v>&lt;cellule&gt;</v>
      </c>
    </row>
    <row r="5459" spans="1:1" x14ac:dyDescent="0.2">
      <c r="A5459" s="996" t="str">
        <f>CONCATENATE(Programme!D5460,Programme!E5460,Programme!F5460,Programme!G5460,Programme!H5460,Programme!I5460,Programme!J5460)</f>
        <v>&lt;codeEdi&gt;1808&lt;/codeEdi&gt;</v>
      </c>
    </row>
    <row r="5460" spans="1:1" x14ac:dyDescent="0.2">
      <c r="A5460" s="996" t="str">
        <f>CONCATENATE(Programme!D5461,Programme!E5461,Programme!F5461,Programme!G5461,Programme!H5461,Programme!I5461,Programme!J5461)</f>
        <v>&lt;/cellule&gt;</v>
      </c>
    </row>
    <row r="5461" spans="1:1" x14ac:dyDescent="0.2">
      <c r="A5461" s="996" t="str">
        <f>CONCATENATE(Programme!D5462,Programme!E5462,Programme!F5462,Programme!G5462,Programme!H5462,Programme!I5462,Programme!J5462)</f>
        <v>&lt;valeur&gt;0&lt;/valeur&gt;</v>
      </c>
    </row>
    <row r="5462" spans="1:1" x14ac:dyDescent="0.2">
      <c r="A5462" s="996" t="str">
        <f>CONCATENATE(Programme!D5463,Programme!E5463,Programme!F5463,Programme!G5463,Programme!H5463,Programme!I5463,Programme!J5463)</f>
        <v>&lt;/ValeurCellule&gt;</v>
      </c>
    </row>
    <row r="5463" spans="1:1" x14ac:dyDescent="0.2">
      <c r="A5463" s="996" t="str">
        <f>CONCATENATE(Programme!D5464,Programme!E5464,Programme!F5464,Programme!G5464,Programme!H5464,Programme!I5464,Programme!J5464)</f>
        <v>&lt;ValeurCellule&gt;</v>
      </c>
    </row>
    <row r="5464" spans="1:1" x14ac:dyDescent="0.2">
      <c r="A5464" s="996" t="str">
        <f>CONCATENATE(Programme!D5465,Programme!E5465,Programme!F5465,Programme!G5465,Programme!H5465,Programme!I5465,Programme!J5465)</f>
        <v>&lt;cellule&gt;</v>
      </c>
    </row>
    <row r="5465" spans="1:1" x14ac:dyDescent="0.2">
      <c r="A5465" s="996" t="str">
        <f>CONCATENATE(Programme!D5466,Programme!E5466,Programme!F5466,Programme!G5466,Programme!H5466,Programme!I5466,Programme!J5466)</f>
        <v>&lt;codeEdi&gt;1809&lt;/codeEdi&gt;</v>
      </c>
    </row>
    <row r="5466" spans="1:1" x14ac:dyDescent="0.2">
      <c r="A5466" s="996" t="str">
        <f>CONCATENATE(Programme!D5467,Programme!E5467,Programme!F5467,Programme!G5467,Programme!H5467,Programme!I5467,Programme!J5467)</f>
        <v>&lt;/cellule&gt;</v>
      </c>
    </row>
    <row r="5467" spans="1:1" x14ac:dyDescent="0.2">
      <c r="A5467" s="996" t="str">
        <f>CONCATENATE(Programme!D5468,Programme!E5468,Programme!F5468,Programme!G5468,Programme!H5468,Programme!I5468,Programme!J5468)</f>
        <v>&lt;valeur&gt;0&lt;/valeur&gt;</v>
      </c>
    </row>
    <row r="5468" spans="1:1" x14ac:dyDescent="0.2">
      <c r="A5468" s="996" t="str">
        <f>CONCATENATE(Programme!D5469,Programme!E5469,Programme!F5469,Programme!G5469,Programme!H5469,Programme!I5469,Programme!J5469)</f>
        <v>&lt;/ValeurCellule&gt;</v>
      </c>
    </row>
    <row r="5469" spans="1:1" x14ac:dyDescent="0.2">
      <c r="A5469" s="996" t="str">
        <f>CONCATENATE(Programme!D5470,Programme!E5470,Programme!F5470,Programme!G5470,Programme!H5470,Programme!I5470,Programme!J5470)</f>
        <v>&lt;ValeurCellule&gt;</v>
      </c>
    </row>
    <row r="5470" spans="1:1" x14ac:dyDescent="0.2">
      <c r="A5470" s="996" t="str">
        <f>CONCATENATE(Programme!D5471,Programme!E5471,Programme!F5471,Programme!G5471,Programme!H5471,Programme!I5471,Programme!J5471)</f>
        <v>&lt;cellule&gt;</v>
      </c>
    </row>
    <row r="5471" spans="1:1" x14ac:dyDescent="0.2">
      <c r="A5471" s="996" t="str">
        <f>CONCATENATE(Programme!D5472,Programme!E5472,Programme!F5472,Programme!G5472,Programme!H5472,Programme!I5472,Programme!J5472)</f>
        <v>&lt;codeEdi&gt;1810&lt;/codeEdi&gt;</v>
      </c>
    </row>
    <row r="5472" spans="1:1" x14ac:dyDescent="0.2">
      <c r="A5472" s="996" t="str">
        <f>CONCATENATE(Programme!D5473,Programme!E5473,Programme!F5473,Programme!G5473,Programme!H5473,Programme!I5473,Programme!J5473)</f>
        <v>&lt;/cellule&gt;</v>
      </c>
    </row>
    <row r="5473" spans="1:1" x14ac:dyDescent="0.2">
      <c r="A5473" s="996" t="str">
        <f>CONCATENATE(Programme!D5474,Programme!E5474,Programme!F5474,Programme!G5474,Programme!H5474,Programme!I5474,Programme!J5474)</f>
        <v>&lt;valeur&gt;0&lt;/valeur&gt;</v>
      </c>
    </row>
    <row r="5474" spans="1:1" x14ac:dyDescent="0.2">
      <c r="A5474" s="996" t="str">
        <f>CONCATENATE(Programme!D5475,Programme!E5475,Programme!F5475,Programme!G5475,Programme!H5475,Programme!I5475,Programme!J5475)</f>
        <v>&lt;/ValeurCellule&gt;</v>
      </c>
    </row>
    <row r="5475" spans="1:1" x14ac:dyDescent="0.2">
      <c r="A5475" s="996" t="str">
        <f>CONCATENATE(Programme!D5476,Programme!E5476,Programme!F5476,Programme!G5476,Programme!H5476,Programme!I5476,Programme!J5476)</f>
        <v>&lt;ValeurCellule&gt;</v>
      </c>
    </row>
    <row r="5476" spans="1:1" x14ac:dyDescent="0.2">
      <c r="A5476" s="996" t="str">
        <f>CONCATENATE(Programme!D5477,Programme!E5477,Programme!F5477,Programme!G5477,Programme!H5477,Programme!I5477,Programme!J5477)</f>
        <v>&lt;cellule&gt;</v>
      </c>
    </row>
    <row r="5477" spans="1:1" x14ac:dyDescent="0.2">
      <c r="A5477" s="996" t="str">
        <f>CONCATENATE(Programme!D5478,Programme!E5478,Programme!F5478,Programme!G5478,Programme!H5478,Programme!I5478,Programme!J5478)</f>
        <v>&lt;codeEdi&gt;1811&lt;/codeEdi&gt;</v>
      </c>
    </row>
    <row r="5478" spans="1:1" x14ac:dyDescent="0.2">
      <c r="A5478" s="996" t="str">
        <f>CONCATENATE(Programme!D5479,Programme!E5479,Programme!F5479,Programme!G5479,Programme!H5479,Programme!I5479,Programme!J5479)</f>
        <v>&lt;/cellule&gt;</v>
      </c>
    </row>
    <row r="5479" spans="1:1" x14ac:dyDescent="0.2">
      <c r="A5479" s="996" t="str">
        <f>CONCATENATE(Programme!D5480,Programme!E5480,Programme!F5480,Programme!G5480,Programme!H5480,Programme!I5480,Programme!J5480)</f>
        <v>&lt;valeur&gt;0&lt;/valeur&gt;</v>
      </c>
    </row>
    <row r="5480" spans="1:1" x14ac:dyDescent="0.2">
      <c r="A5480" s="996" t="str">
        <f>CONCATENATE(Programme!D5481,Programme!E5481,Programme!F5481,Programme!G5481,Programme!H5481,Programme!I5481,Programme!J5481)</f>
        <v>&lt;/ValeurCellule&gt;</v>
      </c>
    </row>
    <row r="5481" spans="1:1" x14ac:dyDescent="0.2">
      <c r="A5481" s="996" t="str">
        <f>CONCATENATE(Programme!D5482,Programme!E5482,Programme!F5482,Programme!G5482,Programme!H5482,Programme!I5482,Programme!J5482)</f>
        <v>&lt;ValeurCellule&gt;</v>
      </c>
    </row>
    <row r="5482" spans="1:1" x14ac:dyDescent="0.2">
      <c r="A5482" s="996" t="str">
        <f>CONCATENATE(Programme!D5483,Programme!E5483,Programme!F5483,Programme!G5483,Programme!H5483,Programme!I5483,Programme!J5483)</f>
        <v>&lt;cellule&gt;</v>
      </c>
    </row>
    <row r="5483" spans="1:1" x14ac:dyDescent="0.2">
      <c r="A5483" s="996" t="str">
        <f>CONCATENATE(Programme!D5484,Programme!E5484,Programme!F5484,Programme!G5484,Programme!H5484,Programme!I5484,Programme!J5484)</f>
        <v>&lt;codeEdi&gt;1812&lt;/codeEdi&gt;</v>
      </c>
    </row>
    <row r="5484" spans="1:1" x14ac:dyDescent="0.2">
      <c r="A5484" s="996" t="str">
        <f>CONCATENATE(Programme!D5485,Programme!E5485,Programme!F5485,Programme!G5485,Programme!H5485,Programme!I5485,Programme!J5485)</f>
        <v>&lt;/cellule&gt;</v>
      </c>
    </row>
    <row r="5485" spans="1:1" x14ac:dyDescent="0.2">
      <c r="A5485" s="996" t="str">
        <f>CONCATENATE(Programme!D5486,Programme!E5486,Programme!F5486,Programme!G5486,Programme!H5486,Programme!I5486,Programme!J5486)</f>
        <v>&lt;valeur&gt;0&lt;/valeur&gt;</v>
      </c>
    </row>
    <row r="5486" spans="1:1" x14ac:dyDescent="0.2">
      <c r="A5486" s="996" t="str">
        <f>CONCATENATE(Programme!D5487,Programme!E5487,Programme!F5487,Programme!G5487,Programme!H5487,Programme!I5487,Programme!J5487)</f>
        <v>&lt;/ValeurCellule&gt;</v>
      </c>
    </row>
    <row r="5487" spans="1:1" x14ac:dyDescent="0.2">
      <c r="A5487" s="996" t="str">
        <f>CONCATENATE(Programme!D5488,Programme!E5488,Programme!F5488,Programme!G5488,Programme!H5488,Programme!I5488,Programme!J5488)</f>
        <v>&lt;ValeurCellule&gt;</v>
      </c>
    </row>
    <row r="5488" spans="1:1" x14ac:dyDescent="0.2">
      <c r="A5488" s="996" t="str">
        <f>CONCATENATE(Programme!D5489,Programme!E5489,Programme!F5489,Programme!G5489,Programme!H5489,Programme!I5489,Programme!J5489)</f>
        <v>&lt;cellule&gt;</v>
      </c>
    </row>
    <row r="5489" spans="1:1" x14ac:dyDescent="0.2">
      <c r="A5489" s="996" t="str">
        <f>CONCATENATE(Programme!D5490,Programme!E5490,Programme!F5490,Programme!G5490,Programme!H5490,Programme!I5490,Programme!J5490)</f>
        <v>&lt;codeEdi&gt;1813&lt;/codeEdi&gt;</v>
      </c>
    </row>
    <row r="5490" spans="1:1" x14ac:dyDescent="0.2">
      <c r="A5490" s="996" t="str">
        <f>CONCATENATE(Programme!D5491,Programme!E5491,Programme!F5491,Programme!G5491,Programme!H5491,Programme!I5491,Programme!J5491)</f>
        <v>&lt;/cellule&gt;</v>
      </c>
    </row>
    <row r="5491" spans="1:1" x14ac:dyDescent="0.2">
      <c r="A5491" s="996" t="str">
        <f>CONCATENATE(Programme!D5492,Programme!E5492,Programme!F5492,Programme!G5492,Programme!H5492,Programme!I5492,Programme!J5492)</f>
        <v>&lt;valeur&gt;0&lt;/valeur&gt;</v>
      </c>
    </row>
    <row r="5492" spans="1:1" x14ac:dyDescent="0.2">
      <c r="A5492" s="996" t="str">
        <f>CONCATENATE(Programme!D5493,Programme!E5493,Programme!F5493,Programme!G5493,Programme!H5493,Programme!I5493,Programme!J5493)</f>
        <v>&lt;/ValeurCellule&gt;</v>
      </c>
    </row>
    <row r="5493" spans="1:1" x14ac:dyDescent="0.2">
      <c r="A5493" s="996" t="str">
        <f>CONCATENATE(Programme!D5494,Programme!E5494,Programme!F5494,Programme!G5494,Programme!H5494,Programme!I5494,Programme!J5494)</f>
        <v>&lt;ValeurCellule&gt;</v>
      </c>
    </row>
    <row r="5494" spans="1:1" x14ac:dyDescent="0.2">
      <c r="A5494" s="996" t="str">
        <f>CONCATENATE(Programme!D5495,Programme!E5495,Programme!F5495,Programme!G5495,Programme!H5495,Programme!I5495,Programme!J5495)</f>
        <v>&lt;cellule&gt;</v>
      </c>
    </row>
    <row r="5495" spans="1:1" x14ac:dyDescent="0.2">
      <c r="A5495" s="996" t="str">
        <f>CONCATENATE(Programme!D5496,Programme!E5496,Programme!F5496,Programme!G5496,Programme!H5496,Programme!I5496,Programme!J5496)</f>
        <v>&lt;codeEdi&gt;1963&lt;/codeEdi&gt;</v>
      </c>
    </row>
    <row r="5496" spans="1:1" x14ac:dyDescent="0.2">
      <c r="A5496" s="996" t="str">
        <f>CONCATENATE(Programme!D5497,Programme!E5497,Programme!F5497,Programme!G5497,Programme!H5497,Programme!I5497,Programme!J5497)</f>
        <v>&lt;/cellule&gt;</v>
      </c>
    </row>
    <row r="5497" spans="1:1" x14ac:dyDescent="0.2">
      <c r="A5497" s="996" t="str">
        <f>CONCATENATE(Programme!D5498,Programme!E5498,Programme!F5498,Programme!G5498,Programme!H5498,Programme!I5498,Programme!J5498)</f>
        <v>&lt;valeur&gt;&lt;/valeur&gt;</v>
      </c>
    </row>
    <row r="5498" spans="1:1" x14ac:dyDescent="0.2">
      <c r="A5498" s="996" t="str">
        <f>CONCATENATE(Programme!D5499,Programme!E5499,Programme!F5499,Programme!G5499,Programme!H5499,Programme!I5499,Programme!J5499)</f>
        <v>&lt;/ValeurCellule&gt;</v>
      </c>
    </row>
    <row r="5499" spans="1:1" x14ac:dyDescent="0.2">
      <c r="A5499" s="996" t="str">
        <f>CONCATENATE(Programme!D5500,Programme!E5500,Programme!F5500,Programme!G5500,Programme!H5500,Programme!I5500,Programme!J5500)</f>
        <v>&lt;ValeurCellule&gt;</v>
      </c>
    </row>
    <row r="5500" spans="1:1" x14ac:dyDescent="0.2">
      <c r="A5500" s="996" t="str">
        <f>CONCATENATE(Programme!D5501,Programme!E5501,Programme!F5501,Programme!G5501,Programme!H5501,Programme!I5501,Programme!J5501)</f>
        <v>&lt;cellule&gt;</v>
      </c>
    </row>
    <row r="5501" spans="1:1" x14ac:dyDescent="0.2">
      <c r="A5501" s="996" t="str">
        <f>CONCATENATE(Programme!D5502,Programme!E5502,Programme!F5502,Programme!G5502,Programme!H5502,Programme!I5502,Programme!J5502)</f>
        <v>&lt;codeEdi&gt;1964&lt;/codeEdi&gt;</v>
      </c>
    </row>
    <row r="5502" spans="1:1" x14ac:dyDescent="0.2">
      <c r="A5502" s="996" t="str">
        <f>CONCATENATE(Programme!D5503,Programme!E5503,Programme!F5503,Programme!G5503,Programme!H5503,Programme!I5503,Programme!J5503)</f>
        <v>&lt;/cellule&gt;</v>
      </c>
    </row>
    <row r="5503" spans="1:1" x14ac:dyDescent="0.2">
      <c r="A5503" s="996" t="str">
        <f>CONCATENATE(Programme!D5504,Programme!E5504,Programme!F5504,Programme!G5504,Programme!H5504,Programme!I5504,Programme!J5504)</f>
        <v>&lt;valeur&gt;0&lt;/valeur&gt;</v>
      </c>
    </row>
    <row r="5504" spans="1:1" x14ac:dyDescent="0.2">
      <c r="A5504" s="996" t="str">
        <f>CONCATENATE(Programme!D5505,Programme!E5505,Programme!F5505,Programme!G5505,Programme!H5505,Programme!I5505,Programme!J5505)</f>
        <v>&lt;/ValeurCellule&gt;</v>
      </c>
    </row>
    <row r="5505" spans="1:1" x14ac:dyDescent="0.2">
      <c r="A5505" s="996" t="str">
        <f>CONCATENATE(Programme!D5506,Programme!E5506,Programme!F5506,Programme!G5506,Programme!H5506,Programme!I5506,Programme!J5506)</f>
        <v>&lt;ValeurCellule&gt;</v>
      </c>
    </row>
    <row r="5506" spans="1:1" x14ac:dyDescent="0.2">
      <c r="A5506" s="996" t="str">
        <f>CONCATENATE(Programme!D5507,Programme!E5507,Programme!F5507,Programme!G5507,Programme!H5507,Programme!I5507,Programme!J5507)</f>
        <v>&lt;cellule&gt;</v>
      </c>
    </row>
    <row r="5507" spans="1:1" x14ac:dyDescent="0.2">
      <c r="A5507" s="996" t="str">
        <f>CONCATENATE(Programme!D5508,Programme!E5508,Programme!F5508,Programme!G5508,Programme!H5508,Programme!I5508,Programme!J5508)</f>
        <v>&lt;codeEdi&gt;1965&lt;/codeEdi&gt;</v>
      </c>
    </row>
    <row r="5508" spans="1:1" x14ac:dyDescent="0.2">
      <c r="A5508" s="996" t="str">
        <f>CONCATENATE(Programme!D5509,Programme!E5509,Programme!F5509,Programme!G5509,Programme!H5509,Programme!I5509,Programme!J5509)</f>
        <v>&lt;/cellule&gt;</v>
      </c>
    </row>
    <row r="5509" spans="1:1" x14ac:dyDescent="0.2">
      <c r="A5509" s="996" t="str">
        <f>CONCATENATE(Programme!D5510,Programme!E5510,Programme!F5510,Programme!G5510,Programme!H5510,Programme!I5510,Programme!J5510)</f>
        <v>&lt;valeur&gt;0&lt;/valeur&gt;</v>
      </c>
    </row>
    <row r="5510" spans="1:1" x14ac:dyDescent="0.2">
      <c r="A5510" s="996" t="str">
        <f>CONCATENATE(Programme!D5511,Programme!E5511,Programme!F5511,Programme!G5511,Programme!H5511,Programme!I5511,Programme!J5511)</f>
        <v>&lt;/ValeurCellule&gt;</v>
      </c>
    </row>
    <row r="5511" spans="1:1" x14ac:dyDescent="0.2">
      <c r="A5511" s="996" t="str">
        <f>CONCATENATE(Programme!D5512,Programme!E5512,Programme!F5512,Programme!G5512,Programme!H5512,Programme!I5512,Programme!J5512)</f>
        <v>&lt;ValeurCellule&gt;</v>
      </c>
    </row>
    <row r="5512" spans="1:1" x14ac:dyDescent="0.2">
      <c r="A5512" s="996" t="str">
        <f>CONCATENATE(Programme!D5513,Programme!E5513,Programme!F5513,Programme!G5513,Programme!H5513,Programme!I5513,Programme!J5513)</f>
        <v>&lt;cellule&gt;</v>
      </c>
    </row>
    <row r="5513" spans="1:1" x14ac:dyDescent="0.2">
      <c r="A5513" s="996" t="str">
        <f>CONCATENATE(Programme!D5514,Programme!E5514,Programme!F5514,Programme!G5514,Programme!H5514,Programme!I5514,Programme!J5514)</f>
        <v>&lt;codeEdi&gt;1966&lt;/codeEdi&gt;</v>
      </c>
    </row>
    <row r="5514" spans="1:1" x14ac:dyDescent="0.2">
      <c r="A5514" s="996" t="str">
        <f>CONCATENATE(Programme!D5515,Programme!E5515,Programme!F5515,Programme!G5515,Programme!H5515,Programme!I5515,Programme!J5515)</f>
        <v>&lt;/cellule&gt;</v>
      </c>
    </row>
    <row r="5515" spans="1:1" x14ac:dyDescent="0.2">
      <c r="A5515" s="996" t="str">
        <f>CONCATENATE(Programme!D5516,Programme!E5516,Programme!F5516,Programme!G5516,Programme!H5516,Programme!I5516,Programme!J5516)</f>
        <v>&lt;valeur&gt;0&lt;/valeur&gt;</v>
      </c>
    </row>
    <row r="5516" spans="1:1" x14ac:dyDescent="0.2">
      <c r="A5516" s="996" t="str">
        <f>CONCATENATE(Programme!D5517,Programme!E5517,Programme!F5517,Programme!G5517,Programme!H5517,Programme!I5517,Programme!J5517)</f>
        <v>&lt;/ValeurCellule&gt;</v>
      </c>
    </row>
    <row r="5517" spans="1:1" x14ac:dyDescent="0.2">
      <c r="A5517" s="996" t="str">
        <f>CONCATENATE(Programme!D5518,Programme!E5518,Programme!F5518,Programme!G5518,Programme!H5518,Programme!I5518,Programme!J5518)</f>
        <v>&lt;ValeurCellule&gt;</v>
      </c>
    </row>
    <row r="5518" spans="1:1" x14ac:dyDescent="0.2">
      <c r="A5518" s="996" t="str">
        <f>CONCATENATE(Programme!D5519,Programme!E5519,Programme!F5519,Programme!G5519,Programme!H5519,Programme!I5519,Programme!J5519)</f>
        <v>&lt;cellule&gt;</v>
      </c>
    </row>
    <row r="5519" spans="1:1" x14ac:dyDescent="0.2">
      <c r="A5519" s="996" t="str">
        <f>CONCATENATE(Programme!D5520,Programme!E5520,Programme!F5520,Programme!G5520,Programme!H5520,Programme!I5520,Programme!J5520)</f>
        <v>&lt;codeEdi&gt;1967&lt;/codeEdi&gt;</v>
      </c>
    </row>
    <row r="5520" spans="1:1" x14ac:dyDescent="0.2">
      <c r="A5520" s="996" t="str">
        <f>CONCATENATE(Programme!D5521,Programme!E5521,Programme!F5521,Programme!G5521,Programme!H5521,Programme!I5521,Programme!J5521)</f>
        <v>&lt;/cellule&gt;</v>
      </c>
    </row>
    <row r="5521" spans="1:1" x14ac:dyDescent="0.2">
      <c r="A5521" s="996" t="str">
        <f>CONCATENATE(Programme!D5522,Programme!E5522,Programme!F5522,Programme!G5522,Programme!H5522,Programme!I5522,Programme!J5522)</f>
        <v>&lt;valeur&gt;0&lt;/valeur&gt;</v>
      </c>
    </row>
    <row r="5522" spans="1:1" x14ac:dyDescent="0.2">
      <c r="A5522" s="996" t="str">
        <f>CONCATENATE(Programme!D5523,Programme!E5523,Programme!F5523,Programme!G5523,Programme!H5523,Programme!I5523,Programme!J5523)</f>
        <v>&lt;/ValeurCellule&gt;</v>
      </c>
    </row>
    <row r="5523" spans="1:1" x14ac:dyDescent="0.2">
      <c r="A5523" s="996" t="str">
        <f>CONCATENATE(Programme!D5524,Programme!E5524,Programme!F5524,Programme!G5524,Programme!H5524,Programme!I5524,Programme!J5524)</f>
        <v>&lt;ValeurCellule&gt;</v>
      </c>
    </row>
    <row r="5524" spans="1:1" x14ac:dyDescent="0.2">
      <c r="A5524" s="996" t="str">
        <f>CONCATENATE(Programme!D5525,Programme!E5525,Programme!F5525,Programme!G5525,Programme!H5525,Programme!I5525,Programme!J5525)</f>
        <v>&lt;cellule&gt;</v>
      </c>
    </row>
    <row r="5525" spans="1:1" x14ac:dyDescent="0.2">
      <c r="A5525" s="996" t="str">
        <f>CONCATENATE(Programme!D5526,Programme!E5526,Programme!F5526,Programme!G5526,Programme!H5526,Programme!I5526,Programme!J5526)</f>
        <v>&lt;codeEdi&gt;1968&lt;/codeEdi&gt;</v>
      </c>
    </row>
    <row r="5526" spans="1:1" x14ac:dyDescent="0.2">
      <c r="A5526" s="996" t="str">
        <f>CONCATENATE(Programme!D5527,Programme!E5527,Programme!F5527,Programme!G5527,Programme!H5527,Programme!I5527,Programme!J5527)</f>
        <v>&lt;/cellule&gt;</v>
      </c>
    </row>
    <row r="5527" spans="1:1" x14ac:dyDescent="0.2">
      <c r="A5527" s="996" t="str">
        <f>CONCATENATE(Programme!D5528,Programme!E5528,Programme!F5528,Programme!G5528,Programme!H5528,Programme!I5528,Programme!J5528)</f>
        <v>&lt;valeur&gt;&lt;/valeur&gt;</v>
      </c>
    </row>
    <row r="5528" spans="1:1" x14ac:dyDescent="0.2">
      <c r="A5528" s="996" t="str">
        <f>CONCATENATE(Programme!D5529,Programme!E5529,Programme!F5529,Programme!G5529,Programme!H5529,Programme!I5529,Programme!J5529)</f>
        <v>&lt;/ValeurCellule&gt;</v>
      </c>
    </row>
    <row r="5529" spans="1:1" x14ac:dyDescent="0.2">
      <c r="A5529" s="996" t="str">
        <f>CONCATENATE(Programme!D5530,Programme!E5530,Programme!F5530,Programme!G5530,Programme!H5530,Programme!I5530,Programme!J5530)</f>
        <v>&lt;ValeurCellule&gt;</v>
      </c>
    </row>
    <row r="5530" spans="1:1" x14ac:dyDescent="0.2">
      <c r="A5530" s="996" t="str">
        <f>CONCATENATE(Programme!D5531,Programme!E5531,Programme!F5531,Programme!G5531,Programme!H5531,Programme!I5531,Programme!J5531)</f>
        <v>&lt;cellule&gt;</v>
      </c>
    </row>
    <row r="5531" spans="1:1" x14ac:dyDescent="0.2">
      <c r="A5531" s="996" t="str">
        <f>CONCATENATE(Programme!D5532,Programme!E5532,Programme!F5532,Programme!G5532,Programme!H5532,Programme!I5532,Programme!J5532)</f>
        <v>&lt;codeEdi&gt;1969&lt;/codeEdi&gt;</v>
      </c>
    </row>
    <row r="5532" spans="1:1" x14ac:dyDescent="0.2">
      <c r="A5532" s="996" t="str">
        <f>CONCATENATE(Programme!D5533,Programme!E5533,Programme!F5533,Programme!G5533,Programme!H5533,Programme!I5533,Programme!J5533)</f>
        <v>&lt;/cellule&gt;</v>
      </c>
    </row>
    <row r="5533" spans="1:1" x14ac:dyDescent="0.2">
      <c r="A5533" s="996" t="str">
        <f>CONCATENATE(Programme!D5534,Programme!E5534,Programme!F5534,Programme!G5534,Programme!H5534,Programme!I5534,Programme!J5534)</f>
        <v>&lt;valeur&gt;0&lt;/valeur&gt;</v>
      </c>
    </row>
    <row r="5534" spans="1:1" x14ac:dyDescent="0.2">
      <c r="A5534" s="996" t="str">
        <f>CONCATENATE(Programme!D5535,Programme!E5535,Programme!F5535,Programme!G5535,Programme!H5535,Programme!I5535,Programme!J5535)</f>
        <v>&lt;/ValeurCellule&gt;</v>
      </c>
    </row>
    <row r="5535" spans="1:1" x14ac:dyDescent="0.2">
      <c r="A5535" s="996" t="str">
        <f>CONCATENATE(Programme!D5536,Programme!E5536,Programme!F5536,Programme!G5536,Programme!H5536,Programme!I5536,Programme!J5536)</f>
        <v>&lt;ValeurCellule&gt;</v>
      </c>
    </row>
    <row r="5536" spans="1:1" x14ac:dyDescent="0.2">
      <c r="A5536" s="996" t="str">
        <f>CONCATENATE(Programme!D5537,Programme!E5537,Programme!F5537,Programme!G5537,Programme!H5537,Programme!I5537,Programme!J5537)</f>
        <v>&lt;cellule&gt;</v>
      </c>
    </row>
    <row r="5537" spans="1:1" x14ac:dyDescent="0.2">
      <c r="A5537" s="996" t="str">
        <f>CONCATENATE(Programme!D5538,Programme!E5538,Programme!F5538,Programme!G5538,Programme!H5538,Programme!I5538,Programme!J5538)</f>
        <v>&lt;codeEdi&gt;1970&lt;/codeEdi&gt;</v>
      </c>
    </row>
    <row r="5538" spans="1:1" x14ac:dyDescent="0.2">
      <c r="A5538" s="996" t="str">
        <f>CONCATENATE(Programme!D5539,Programme!E5539,Programme!F5539,Programme!G5539,Programme!H5539,Programme!I5539,Programme!J5539)</f>
        <v>&lt;/cellule&gt;</v>
      </c>
    </row>
    <row r="5539" spans="1:1" x14ac:dyDescent="0.2">
      <c r="A5539" s="996" t="str">
        <f>CONCATENATE(Programme!D5540,Programme!E5540,Programme!F5540,Programme!G5540,Programme!H5540,Programme!I5540,Programme!J5540)</f>
        <v>&lt;valeur&gt;0&lt;/valeur&gt;</v>
      </c>
    </row>
    <row r="5540" spans="1:1" x14ac:dyDescent="0.2">
      <c r="A5540" s="996" t="str">
        <f>CONCATENATE(Programme!D5541,Programme!E5541,Programme!F5541,Programme!G5541,Programme!H5541,Programme!I5541,Programme!J5541)</f>
        <v>&lt;/ValeurCellule&gt;</v>
      </c>
    </row>
    <row r="5541" spans="1:1" x14ac:dyDescent="0.2">
      <c r="A5541" s="996" t="str">
        <f>CONCATENATE(Programme!D5542,Programme!E5542,Programme!F5542,Programme!G5542,Programme!H5542,Programme!I5542,Programme!J5542)</f>
        <v>&lt;ValeurCellule&gt;</v>
      </c>
    </row>
    <row r="5542" spans="1:1" x14ac:dyDescent="0.2">
      <c r="A5542" s="996" t="str">
        <f>CONCATENATE(Programme!D5543,Programme!E5543,Programme!F5543,Programme!G5543,Programme!H5543,Programme!I5543,Programme!J5543)</f>
        <v>&lt;cellule&gt;</v>
      </c>
    </row>
    <row r="5543" spans="1:1" x14ac:dyDescent="0.2">
      <c r="A5543" s="996" t="str">
        <f>CONCATENATE(Programme!D5544,Programme!E5544,Programme!F5544,Programme!G5544,Programme!H5544,Programme!I5544,Programme!J5544)</f>
        <v>&lt;codeEdi&gt;1971&lt;/codeEdi&gt;</v>
      </c>
    </row>
    <row r="5544" spans="1:1" x14ac:dyDescent="0.2">
      <c r="A5544" s="996" t="str">
        <f>CONCATENATE(Programme!D5545,Programme!E5545,Programme!F5545,Programme!G5545,Programme!H5545,Programme!I5545,Programme!J5545)</f>
        <v>&lt;/cellule&gt;</v>
      </c>
    </row>
    <row r="5545" spans="1:1" x14ac:dyDescent="0.2">
      <c r="A5545" s="996" t="str">
        <f>CONCATENATE(Programme!D5546,Programme!E5546,Programme!F5546,Programme!G5546,Programme!H5546,Programme!I5546,Programme!J5546)</f>
        <v>&lt;valeur&gt;0&lt;/valeur&gt;</v>
      </c>
    </row>
    <row r="5546" spans="1:1" x14ac:dyDescent="0.2">
      <c r="A5546" s="996" t="str">
        <f>CONCATENATE(Programme!D5547,Programme!E5547,Programme!F5547,Programme!G5547,Programme!H5547,Programme!I5547,Programme!J5547)</f>
        <v>&lt;/ValeurCellule&gt;</v>
      </c>
    </row>
    <row r="5547" spans="1:1" x14ac:dyDescent="0.2">
      <c r="A5547" s="996" t="str">
        <f>CONCATENATE(Programme!D5548,Programme!E5548,Programme!F5548,Programme!G5548,Programme!H5548,Programme!I5548,Programme!J5548)</f>
        <v>&lt;ValeurCellule&gt;</v>
      </c>
    </row>
    <row r="5548" spans="1:1" x14ac:dyDescent="0.2">
      <c r="A5548" s="996" t="str">
        <f>CONCATENATE(Programme!D5549,Programme!E5549,Programme!F5549,Programme!G5549,Programme!H5549,Programme!I5549,Programme!J5549)</f>
        <v>&lt;cellule&gt;</v>
      </c>
    </row>
    <row r="5549" spans="1:1" x14ac:dyDescent="0.2">
      <c r="A5549" s="996" t="str">
        <f>CONCATENATE(Programme!D5550,Programme!E5550,Programme!F5550,Programme!G5550,Programme!H5550,Programme!I5550,Programme!J5550)</f>
        <v>&lt;codeEdi&gt;1974&lt;/codeEdi&gt;</v>
      </c>
    </row>
    <row r="5550" spans="1:1" x14ac:dyDescent="0.2">
      <c r="A5550" s="996" t="str">
        <f>CONCATENATE(Programme!D5551,Programme!E5551,Programme!F5551,Programme!G5551,Programme!H5551,Programme!I5551,Programme!J5551)</f>
        <v>&lt;/cellule&gt;</v>
      </c>
    </row>
    <row r="5551" spans="1:1" x14ac:dyDescent="0.2">
      <c r="A5551" s="996" t="str">
        <f>CONCATENATE(Programme!D5552,Programme!E5552,Programme!F5552,Programme!G5552,Programme!H5552,Programme!I5552,Programme!J5552)</f>
        <v>&lt;valeur&gt;0&lt;/valeur&gt;</v>
      </c>
    </row>
    <row r="5552" spans="1:1" x14ac:dyDescent="0.2">
      <c r="A5552" s="996" t="str">
        <f>CONCATENATE(Programme!D5553,Programme!E5553,Programme!F5553,Programme!G5553,Programme!H5553,Programme!I5553,Programme!J5553)</f>
        <v>&lt;/ValeurCellule&gt;</v>
      </c>
    </row>
    <row r="5553" spans="1:1" x14ac:dyDescent="0.2">
      <c r="A5553" s="996" t="str">
        <f>CONCATENATE(Programme!D5554,Programme!E5554,Programme!F5554,Programme!G5554,Programme!H5554,Programme!I5554,Programme!J5554)</f>
        <v>&lt;ValeurCellule&gt;</v>
      </c>
    </row>
    <row r="5554" spans="1:1" x14ac:dyDescent="0.2">
      <c r="A5554" s="996" t="str">
        <f>CONCATENATE(Programme!D5555,Programme!E5555,Programme!F5555,Programme!G5555,Programme!H5555,Programme!I5555,Programme!J5555)</f>
        <v>&lt;cellule&gt;</v>
      </c>
    </row>
    <row r="5555" spans="1:1" x14ac:dyDescent="0.2">
      <c r="A5555" s="996" t="str">
        <f>CONCATENATE(Programme!D5556,Programme!E5556,Programme!F5556,Programme!G5556,Programme!H5556,Programme!I5556,Programme!J5556)</f>
        <v>&lt;codeEdi&gt;1975&lt;/codeEdi&gt;</v>
      </c>
    </row>
    <row r="5556" spans="1:1" x14ac:dyDescent="0.2">
      <c r="A5556" s="996" t="str">
        <f>CONCATENATE(Programme!D5557,Programme!E5557,Programme!F5557,Programme!G5557,Programme!H5557,Programme!I5557,Programme!J5557)</f>
        <v>&lt;/cellule&gt;</v>
      </c>
    </row>
    <row r="5557" spans="1:1" x14ac:dyDescent="0.2">
      <c r="A5557" s="996" t="str">
        <f>CONCATENATE(Programme!D5558,Programme!E5558,Programme!F5558,Programme!G5558,Programme!H5558,Programme!I5558,Programme!J5558)</f>
        <v>&lt;valeur&gt;0&lt;/valeur&gt;</v>
      </c>
    </row>
    <row r="5558" spans="1:1" x14ac:dyDescent="0.2">
      <c r="A5558" s="996" t="str">
        <f>CONCATENATE(Programme!D5559,Programme!E5559,Programme!F5559,Programme!G5559,Programme!H5559,Programme!I5559,Programme!J5559)</f>
        <v>&lt;/ValeurCellule&gt;</v>
      </c>
    </row>
    <row r="5559" spans="1:1" x14ac:dyDescent="0.2">
      <c r="A5559" s="996" t="str">
        <f>CONCATENATE(Programme!D5560,Programme!E5560,Programme!F5560,Programme!G5560,Programme!H5560,Programme!I5560,Programme!J5560)</f>
        <v>&lt;ValeurCellule&gt;</v>
      </c>
    </row>
    <row r="5560" spans="1:1" x14ac:dyDescent="0.2">
      <c r="A5560" s="996" t="str">
        <f>CONCATENATE(Programme!D5561,Programme!E5561,Programme!F5561,Programme!G5561,Programme!H5561,Programme!I5561,Programme!J5561)</f>
        <v>&lt;cellule&gt;</v>
      </c>
    </row>
    <row r="5561" spans="1:1" x14ac:dyDescent="0.2">
      <c r="A5561" s="996" t="str">
        <f>CONCATENATE(Programme!D5562,Programme!E5562,Programme!F5562,Programme!G5562,Programme!H5562,Programme!I5562,Programme!J5562)</f>
        <v>&lt;codeEdi&gt;1976&lt;/codeEdi&gt;</v>
      </c>
    </row>
    <row r="5562" spans="1:1" x14ac:dyDescent="0.2">
      <c r="A5562" s="996" t="str">
        <f>CONCATENATE(Programme!D5563,Programme!E5563,Programme!F5563,Programme!G5563,Programme!H5563,Programme!I5563,Programme!J5563)</f>
        <v>&lt;/cellule&gt;</v>
      </c>
    </row>
    <row r="5563" spans="1:1" x14ac:dyDescent="0.2">
      <c r="A5563" s="996" t="str">
        <f>CONCATENATE(Programme!D5564,Programme!E5564,Programme!F5564,Programme!G5564,Programme!H5564,Programme!I5564,Programme!J5564)</f>
        <v>&lt;valeur&gt;&lt;/valeur&gt;</v>
      </c>
    </row>
    <row r="5564" spans="1:1" x14ac:dyDescent="0.2">
      <c r="A5564" s="996" t="str">
        <f>CONCATENATE(Programme!D5565,Programme!E5565,Programme!F5565,Programme!G5565,Programme!H5565,Programme!I5565,Programme!J5565)</f>
        <v>&lt;/ValeurCellule&gt;</v>
      </c>
    </row>
    <row r="5565" spans="1:1" x14ac:dyDescent="0.2">
      <c r="A5565" s="996" t="str">
        <f>CONCATENATE(Programme!D5566,Programme!E5566,Programme!F5566,Programme!G5566,Programme!H5566,Programme!I5566,Programme!J5566)</f>
        <v>&lt;ValeurCellule&gt;</v>
      </c>
    </row>
    <row r="5566" spans="1:1" x14ac:dyDescent="0.2">
      <c r="A5566" s="996" t="str">
        <f>CONCATENATE(Programme!D5567,Programme!E5567,Programme!F5567,Programme!G5567,Programme!H5567,Programme!I5567,Programme!J5567)</f>
        <v>&lt;cellule&gt;</v>
      </c>
    </row>
    <row r="5567" spans="1:1" x14ac:dyDescent="0.2">
      <c r="A5567" s="996" t="str">
        <f>CONCATENATE(Programme!D5568,Programme!E5568,Programme!F5568,Programme!G5568,Programme!H5568,Programme!I5568,Programme!J5568)</f>
        <v>&lt;codeEdi&gt;1977&lt;/codeEdi&gt;</v>
      </c>
    </row>
    <row r="5568" spans="1:1" x14ac:dyDescent="0.2">
      <c r="A5568" s="996" t="str">
        <f>CONCATENATE(Programme!D5569,Programme!E5569,Programme!F5569,Programme!G5569,Programme!H5569,Programme!I5569,Programme!J5569)</f>
        <v>&lt;/cellule&gt;</v>
      </c>
    </row>
    <row r="5569" spans="1:1" x14ac:dyDescent="0.2">
      <c r="A5569" s="996" t="str">
        <f>CONCATENATE(Programme!D5570,Programme!E5570,Programme!F5570,Programme!G5570,Programme!H5570,Programme!I5570,Programme!J5570)</f>
        <v>&lt;valeur&gt;0&lt;/valeur&gt;</v>
      </c>
    </row>
    <row r="5570" spans="1:1" x14ac:dyDescent="0.2">
      <c r="A5570" s="996" t="str">
        <f>CONCATENATE(Programme!D5571,Programme!E5571,Programme!F5571,Programme!G5571,Programme!H5571,Programme!I5571,Programme!J5571)</f>
        <v>&lt;/ValeurCellule&gt;</v>
      </c>
    </row>
    <row r="5571" spans="1:1" x14ac:dyDescent="0.2">
      <c r="A5571" s="996" t="str">
        <f>CONCATENATE(Programme!D5572,Programme!E5572,Programme!F5572,Programme!G5572,Programme!H5572,Programme!I5572,Programme!J5572)</f>
        <v>&lt;ValeurCellule&gt;</v>
      </c>
    </row>
    <row r="5572" spans="1:1" x14ac:dyDescent="0.2">
      <c r="A5572" s="996" t="str">
        <f>CONCATENATE(Programme!D5573,Programme!E5573,Programme!F5573,Programme!G5573,Programme!H5573,Programme!I5573,Programme!J5573)</f>
        <v>&lt;cellule&gt;</v>
      </c>
    </row>
    <row r="5573" spans="1:1" x14ac:dyDescent="0.2">
      <c r="A5573" s="996" t="str">
        <f>CONCATENATE(Programme!D5574,Programme!E5574,Programme!F5574,Programme!G5574,Programme!H5574,Programme!I5574,Programme!J5574)</f>
        <v>&lt;codeEdi&gt;1978&lt;/codeEdi&gt;</v>
      </c>
    </row>
    <row r="5574" spans="1:1" x14ac:dyDescent="0.2">
      <c r="A5574" s="996" t="str">
        <f>CONCATENATE(Programme!D5575,Programme!E5575,Programme!F5575,Programme!G5575,Programme!H5575,Programme!I5575,Programme!J5575)</f>
        <v>&lt;/cellule&gt;</v>
      </c>
    </row>
    <row r="5575" spans="1:1" x14ac:dyDescent="0.2">
      <c r="A5575" s="996" t="str">
        <f>CONCATENATE(Programme!D5576,Programme!E5576,Programme!F5576,Programme!G5576,Programme!H5576,Programme!I5576,Programme!J5576)</f>
        <v>&lt;valeur&gt;0&lt;/valeur&gt;</v>
      </c>
    </row>
    <row r="5576" spans="1:1" x14ac:dyDescent="0.2">
      <c r="A5576" s="996" t="str">
        <f>CONCATENATE(Programme!D5577,Programme!E5577,Programme!F5577,Programme!G5577,Programme!H5577,Programme!I5577,Programme!J5577)</f>
        <v>&lt;/ValeurCellule&gt;</v>
      </c>
    </row>
    <row r="5577" spans="1:1" x14ac:dyDescent="0.2">
      <c r="A5577" s="996" t="str">
        <f>CONCATENATE(Programme!D5578,Programme!E5578,Programme!F5578,Programme!G5578,Programme!H5578,Programme!I5578,Programme!J5578)</f>
        <v>&lt;ValeurCellule&gt;</v>
      </c>
    </row>
    <row r="5578" spans="1:1" x14ac:dyDescent="0.2">
      <c r="A5578" s="996" t="str">
        <f>CONCATENATE(Programme!D5579,Programme!E5579,Programme!F5579,Programme!G5579,Programme!H5579,Programme!I5579,Programme!J5579)</f>
        <v>&lt;cellule&gt;</v>
      </c>
    </row>
    <row r="5579" spans="1:1" x14ac:dyDescent="0.2">
      <c r="A5579" s="996" t="str">
        <f>CONCATENATE(Programme!D5580,Programme!E5580,Programme!F5580,Programme!G5580,Programme!H5580,Programme!I5580,Programme!J5580)</f>
        <v>&lt;codeEdi&gt;1979&lt;/codeEdi&gt;</v>
      </c>
    </row>
    <row r="5580" spans="1:1" x14ac:dyDescent="0.2">
      <c r="A5580" s="996" t="str">
        <f>CONCATENATE(Programme!D5581,Programme!E5581,Programme!F5581,Programme!G5581,Programme!H5581,Programme!I5581,Programme!J5581)</f>
        <v>&lt;/cellule&gt;</v>
      </c>
    </row>
    <row r="5581" spans="1:1" x14ac:dyDescent="0.2">
      <c r="A5581" s="996" t="str">
        <f>CONCATENATE(Programme!D5582,Programme!E5582,Programme!F5582,Programme!G5582,Programme!H5582,Programme!I5582,Programme!J5582)</f>
        <v>&lt;valeur&gt;0&lt;/valeur&gt;</v>
      </c>
    </row>
    <row r="5582" spans="1:1" x14ac:dyDescent="0.2">
      <c r="A5582" s="996" t="str">
        <f>CONCATENATE(Programme!D5583,Programme!E5583,Programme!F5583,Programme!G5583,Programme!H5583,Programme!I5583,Programme!J5583)</f>
        <v>&lt;/ValeurCellule&gt;</v>
      </c>
    </row>
    <row r="5583" spans="1:1" x14ac:dyDescent="0.2">
      <c r="A5583" s="996" t="str">
        <f>CONCATENATE(Programme!D5584,Programme!E5584,Programme!F5584,Programme!G5584,Programme!H5584,Programme!I5584,Programme!J5584)</f>
        <v>&lt;ValeurCellule&gt;</v>
      </c>
    </row>
    <row r="5584" spans="1:1" x14ac:dyDescent="0.2">
      <c r="A5584" s="996" t="str">
        <f>CONCATENATE(Programme!D5585,Programme!E5585,Programme!F5585,Programme!G5585,Programme!H5585,Programme!I5585,Programme!J5585)</f>
        <v>&lt;cellule&gt;</v>
      </c>
    </row>
    <row r="5585" spans="1:1" x14ac:dyDescent="0.2">
      <c r="A5585" s="996" t="str">
        <f>CONCATENATE(Programme!D5586,Programme!E5586,Programme!F5586,Programme!G5586,Programme!H5586,Programme!I5586,Programme!J5586)</f>
        <v>&lt;codeEdi&gt;1980&lt;/codeEdi&gt;</v>
      </c>
    </row>
    <row r="5586" spans="1:1" x14ac:dyDescent="0.2">
      <c r="A5586" s="996" t="str">
        <f>CONCATENATE(Programme!D5587,Programme!E5587,Programme!F5587,Programme!G5587,Programme!H5587,Programme!I5587,Programme!J5587)</f>
        <v>&lt;/cellule&gt;</v>
      </c>
    </row>
    <row r="5587" spans="1:1" x14ac:dyDescent="0.2">
      <c r="A5587" s="996" t="str">
        <f>CONCATENATE(Programme!D5588,Programme!E5588,Programme!F5588,Programme!G5588,Programme!H5588,Programme!I5588,Programme!J5588)</f>
        <v>&lt;valeur&gt;0&lt;/valeur&gt;</v>
      </c>
    </row>
    <row r="5588" spans="1:1" x14ac:dyDescent="0.2">
      <c r="A5588" s="996" t="str">
        <f>CONCATENATE(Programme!D5589,Programme!E5589,Programme!F5589,Programme!G5589,Programme!H5589,Programme!I5589,Programme!J5589)</f>
        <v>&lt;/ValeurCellule&gt;</v>
      </c>
    </row>
    <row r="5589" spans="1:1" x14ac:dyDescent="0.2">
      <c r="A5589" s="996" t="str">
        <f>CONCATENATE(Programme!D5590,Programme!E5590,Programme!F5590,Programme!G5590,Programme!H5590,Programme!I5590,Programme!J5590)</f>
        <v>&lt;ValeurCellule&gt;</v>
      </c>
    </row>
    <row r="5590" spans="1:1" x14ac:dyDescent="0.2">
      <c r="A5590" s="996" t="str">
        <f>CONCATENATE(Programme!D5591,Programme!E5591,Programme!F5591,Programme!G5591,Programme!H5591,Programme!I5591,Programme!J5591)</f>
        <v>&lt;cellule&gt;</v>
      </c>
    </row>
    <row r="5591" spans="1:1" x14ac:dyDescent="0.2">
      <c r="A5591" s="996" t="str">
        <f>CONCATENATE(Programme!D5592,Programme!E5592,Programme!F5592,Programme!G5592,Programme!H5592,Programme!I5592,Programme!J5592)</f>
        <v>&lt;codeEdi&gt;1981&lt;/codeEdi&gt;</v>
      </c>
    </row>
    <row r="5592" spans="1:1" x14ac:dyDescent="0.2">
      <c r="A5592" s="996" t="str">
        <f>CONCATENATE(Programme!D5593,Programme!E5593,Programme!F5593,Programme!G5593,Programme!H5593,Programme!I5593,Programme!J5593)</f>
        <v>&lt;/cellule&gt;</v>
      </c>
    </row>
    <row r="5593" spans="1:1" x14ac:dyDescent="0.2">
      <c r="A5593" s="996" t="str">
        <f>CONCATENATE(Programme!D5594,Programme!E5594,Programme!F5594,Programme!G5594,Programme!H5594,Programme!I5594,Programme!J5594)</f>
        <v>&lt;valeur&gt;&lt;/valeur&gt;</v>
      </c>
    </row>
    <row r="5594" spans="1:1" x14ac:dyDescent="0.2">
      <c r="A5594" s="996" t="str">
        <f>CONCATENATE(Programme!D5595,Programme!E5595,Programme!F5595,Programme!G5595,Programme!H5595,Programme!I5595,Programme!J5595)</f>
        <v>&lt;/ValeurCellule&gt;</v>
      </c>
    </row>
    <row r="5595" spans="1:1" x14ac:dyDescent="0.2">
      <c r="A5595" s="996" t="str">
        <f>CONCATENATE(Programme!D5596,Programme!E5596,Programme!F5596,Programme!G5596,Programme!H5596,Programme!I5596,Programme!J5596)</f>
        <v>&lt;ValeurCellule&gt;</v>
      </c>
    </row>
    <row r="5596" spans="1:1" x14ac:dyDescent="0.2">
      <c r="A5596" s="996" t="str">
        <f>CONCATENATE(Programme!D5597,Programme!E5597,Programme!F5597,Programme!G5597,Programme!H5597,Programme!I5597,Programme!J5597)</f>
        <v>&lt;cellule&gt;</v>
      </c>
    </row>
    <row r="5597" spans="1:1" x14ac:dyDescent="0.2">
      <c r="A5597" s="996" t="str">
        <f>CONCATENATE(Programme!D5598,Programme!E5598,Programme!F5598,Programme!G5598,Programme!H5598,Programme!I5598,Programme!J5598)</f>
        <v>&lt;codeEdi&gt;1982&lt;/codeEdi&gt;</v>
      </c>
    </row>
    <row r="5598" spans="1:1" x14ac:dyDescent="0.2">
      <c r="A5598" s="996" t="str">
        <f>CONCATENATE(Programme!D5599,Programme!E5599,Programme!F5599,Programme!G5599,Programme!H5599,Programme!I5599,Programme!J5599)</f>
        <v>&lt;/cellule&gt;</v>
      </c>
    </row>
    <row r="5599" spans="1:1" x14ac:dyDescent="0.2">
      <c r="A5599" s="996" t="str">
        <f>CONCATENATE(Programme!D5600,Programme!E5600,Programme!F5600,Programme!G5600,Programme!H5600,Programme!I5600,Programme!J5600)</f>
        <v>&lt;valeur&gt;0&lt;/valeur&gt;</v>
      </c>
    </row>
    <row r="5600" spans="1:1" x14ac:dyDescent="0.2">
      <c r="A5600" s="996" t="str">
        <f>CONCATENATE(Programme!D5601,Programme!E5601,Programme!F5601,Programme!G5601,Programme!H5601,Programme!I5601,Programme!J5601)</f>
        <v>&lt;/ValeurCellule&gt;</v>
      </c>
    </row>
    <row r="5601" spans="1:1" x14ac:dyDescent="0.2">
      <c r="A5601" s="996" t="str">
        <f>CONCATENATE(Programme!D5602,Programme!E5602,Programme!F5602,Programme!G5602,Programme!H5602,Programme!I5602,Programme!J5602)</f>
        <v>&lt;ValeurCellule&gt;</v>
      </c>
    </row>
    <row r="5602" spans="1:1" x14ac:dyDescent="0.2">
      <c r="A5602" s="996" t="str">
        <f>CONCATENATE(Programme!D5603,Programme!E5603,Programme!F5603,Programme!G5603,Programme!H5603,Programme!I5603,Programme!J5603)</f>
        <v>&lt;cellule&gt;</v>
      </c>
    </row>
    <row r="5603" spans="1:1" x14ac:dyDescent="0.2">
      <c r="A5603" s="996" t="str">
        <f>CONCATENATE(Programme!D5604,Programme!E5604,Programme!F5604,Programme!G5604,Programme!H5604,Programme!I5604,Programme!J5604)</f>
        <v>&lt;codeEdi&gt;1983&lt;/codeEdi&gt;</v>
      </c>
    </row>
    <row r="5604" spans="1:1" x14ac:dyDescent="0.2">
      <c r="A5604" s="996" t="str">
        <f>CONCATENATE(Programme!D5605,Programme!E5605,Programme!F5605,Programme!G5605,Programme!H5605,Programme!I5605,Programme!J5605)</f>
        <v>&lt;/cellule&gt;</v>
      </c>
    </row>
    <row r="5605" spans="1:1" x14ac:dyDescent="0.2">
      <c r="A5605" s="996" t="str">
        <f>CONCATENATE(Programme!D5606,Programme!E5606,Programme!F5606,Programme!G5606,Programme!H5606,Programme!I5606,Programme!J5606)</f>
        <v>&lt;valeur&gt;0&lt;/valeur&gt;</v>
      </c>
    </row>
    <row r="5606" spans="1:1" x14ac:dyDescent="0.2">
      <c r="A5606" s="996" t="str">
        <f>CONCATENATE(Programme!D5607,Programme!E5607,Programme!F5607,Programme!G5607,Programme!H5607,Programme!I5607,Programme!J5607)</f>
        <v>&lt;/ValeurCellule&gt;</v>
      </c>
    </row>
    <row r="5607" spans="1:1" x14ac:dyDescent="0.2">
      <c r="A5607" s="996" t="str">
        <f>CONCATENATE(Programme!D5608,Programme!E5608,Programme!F5608,Programme!G5608,Programme!H5608,Programme!I5608,Programme!J5608)</f>
        <v>&lt;ValeurCellule&gt;</v>
      </c>
    </row>
    <row r="5608" spans="1:1" x14ac:dyDescent="0.2">
      <c r="A5608" s="996" t="str">
        <f>CONCATENATE(Programme!D5609,Programme!E5609,Programme!F5609,Programme!G5609,Programme!H5609,Programme!I5609,Programme!J5609)</f>
        <v>&lt;cellule&gt;</v>
      </c>
    </row>
    <row r="5609" spans="1:1" x14ac:dyDescent="0.2">
      <c r="A5609" s="996" t="str">
        <f>CONCATENATE(Programme!D5610,Programme!E5610,Programme!F5610,Programme!G5610,Programme!H5610,Programme!I5610,Programme!J5610)</f>
        <v>&lt;codeEdi&gt;1984&lt;/codeEdi&gt;</v>
      </c>
    </row>
    <row r="5610" spans="1:1" x14ac:dyDescent="0.2">
      <c r="A5610" s="996" t="str">
        <f>CONCATENATE(Programme!D5611,Programme!E5611,Programme!F5611,Programme!G5611,Programme!H5611,Programme!I5611,Programme!J5611)</f>
        <v>&lt;/cellule&gt;</v>
      </c>
    </row>
    <row r="5611" spans="1:1" x14ac:dyDescent="0.2">
      <c r="A5611" s="996" t="str">
        <f>CONCATENATE(Programme!D5612,Programme!E5612,Programme!F5612,Programme!G5612,Programme!H5612,Programme!I5612,Programme!J5612)</f>
        <v>&lt;valeur&gt;0&lt;/valeur&gt;</v>
      </c>
    </row>
    <row r="5612" spans="1:1" x14ac:dyDescent="0.2">
      <c r="A5612" s="996" t="str">
        <f>CONCATENATE(Programme!D5613,Programme!E5613,Programme!F5613,Programme!G5613,Programme!H5613,Programme!I5613,Programme!J5613)</f>
        <v>&lt;/ValeurCellule&gt;</v>
      </c>
    </row>
    <row r="5613" spans="1:1" x14ac:dyDescent="0.2">
      <c r="A5613" s="996" t="str">
        <f>CONCATENATE(Programme!D5614,Programme!E5614,Programme!F5614,Programme!G5614,Programme!H5614,Programme!I5614,Programme!J5614)</f>
        <v>&lt;ValeurCellule&gt;</v>
      </c>
    </row>
    <row r="5614" spans="1:1" x14ac:dyDescent="0.2">
      <c r="A5614" s="996" t="str">
        <f>CONCATENATE(Programme!D5615,Programme!E5615,Programme!F5615,Programme!G5615,Programme!H5615,Programme!I5615,Programme!J5615)</f>
        <v>&lt;cellule&gt;</v>
      </c>
    </row>
    <row r="5615" spans="1:1" x14ac:dyDescent="0.2">
      <c r="A5615" s="996" t="str">
        <f>CONCATENATE(Programme!D5616,Programme!E5616,Programme!F5616,Programme!G5616,Programme!H5616,Programme!I5616,Programme!J5616)</f>
        <v>&lt;codeEdi&gt;1985&lt;/codeEdi&gt;</v>
      </c>
    </row>
    <row r="5616" spans="1:1" x14ac:dyDescent="0.2">
      <c r="A5616" s="996" t="str">
        <f>CONCATENATE(Programme!D5617,Programme!E5617,Programme!F5617,Programme!G5617,Programme!H5617,Programme!I5617,Programme!J5617)</f>
        <v>&lt;/cellule&gt;</v>
      </c>
    </row>
    <row r="5617" spans="1:1" x14ac:dyDescent="0.2">
      <c r="A5617" s="996" t="str">
        <f>CONCATENATE(Programme!D5618,Programme!E5618,Programme!F5618,Programme!G5618,Programme!H5618,Programme!I5618,Programme!J5618)</f>
        <v>&lt;valeur&gt;&lt;/valeur&gt;</v>
      </c>
    </row>
    <row r="5618" spans="1:1" x14ac:dyDescent="0.2">
      <c r="A5618" s="996" t="str">
        <f>CONCATENATE(Programme!D5619,Programme!E5619,Programme!F5619,Programme!G5619,Programme!H5619,Programme!I5619,Programme!J5619)</f>
        <v>&lt;/ValeurCellule&gt;</v>
      </c>
    </row>
    <row r="5619" spans="1:1" x14ac:dyDescent="0.2">
      <c r="A5619" s="996" t="str">
        <f>CONCATENATE(Programme!D5620,Programme!E5620,Programme!F5620,Programme!G5620,Programme!H5620,Programme!I5620,Programme!J5620)</f>
        <v>&lt;ValeurCellule&gt;</v>
      </c>
    </row>
    <row r="5620" spans="1:1" x14ac:dyDescent="0.2">
      <c r="A5620" s="996" t="str">
        <f>CONCATENATE(Programme!D5621,Programme!E5621,Programme!F5621,Programme!G5621,Programme!H5621,Programme!I5621,Programme!J5621)</f>
        <v>&lt;cellule&gt;</v>
      </c>
    </row>
    <row r="5621" spans="1:1" x14ac:dyDescent="0.2">
      <c r="A5621" s="996" t="str">
        <f>CONCATENATE(Programme!D5622,Programme!E5622,Programme!F5622,Programme!G5622,Programme!H5622,Programme!I5622,Programme!J5622)</f>
        <v>&lt;codeEdi&gt;1986&lt;/codeEdi&gt;</v>
      </c>
    </row>
    <row r="5622" spans="1:1" x14ac:dyDescent="0.2">
      <c r="A5622" s="996" t="str">
        <f>CONCATENATE(Programme!D5623,Programme!E5623,Programme!F5623,Programme!G5623,Programme!H5623,Programme!I5623,Programme!J5623)</f>
        <v>&lt;/cellule&gt;</v>
      </c>
    </row>
    <row r="5623" spans="1:1" x14ac:dyDescent="0.2">
      <c r="A5623" s="996" t="str">
        <f>CONCATENATE(Programme!D5624,Programme!E5624,Programme!F5624,Programme!G5624,Programme!H5624,Programme!I5624,Programme!J5624)</f>
        <v>&lt;valeur&gt;0&lt;/valeur&gt;</v>
      </c>
    </row>
    <row r="5624" spans="1:1" x14ac:dyDescent="0.2">
      <c r="A5624" s="996" t="str">
        <f>CONCATENATE(Programme!D5625,Programme!E5625,Programme!F5625,Programme!G5625,Programme!H5625,Programme!I5625,Programme!J5625)</f>
        <v>&lt;/ValeurCellule&gt;</v>
      </c>
    </row>
    <row r="5625" spans="1:1" x14ac:dyDescent="0.2">
      <c r="A5625" s="996" t="str">
        <f>CONCATENATE(Programme!D5626,Programme!E5626,Programme!F5626,Programme!G5626,Programme!H5626,Programme!I5626,Programme!J5626)</f>
        <v>&lt;ValeurCellule&gt;</v>
      </c>
    </row>
    <row r="5626" spans="1:1" x14ac:dyDescent="0.2">
      <c r="A5626" s="996" t="str">
        <f>CONCATENATE(Programme!D5627,Programme!E5627,Programme!F5627,Programme!G5627,Programme!H5627,Programme!I5627,Programme!J5627)</f>
        <v>&lt;cellule&gt;</v>
      </c>
    </row>
    <row r="5627" spans="1:1" x14ac:dyDescent="0.2">
      <c r="A5627" s="996" t="str">
        <f>CONCATENATE(Programme!D5628,Programme!E5628,Programme!F5628,Programme!G5628,Programme!H5628,Programme!I5628,Programme!J5628)</f>
        <v>&lt;codeEdi&gt;1987&lt;/codeEdi&gt;</v>
      </c>
    </row>
    <row r="5628" spans="1:1" x14ac:dyDescent="0.2">
      <c r="A5628" s="996" t="str">
        <f>CONCATENATE(Programme!D5629,Programme!E5629,Programme!F5629,Programme!G5629,Programme!H5629,Programme!I5629,Programme!J5629)</f>
        <v>&lt;/cellule&gt;</v>
      </c>
    </row>
    <row r="5629" spans="1:1" x14ac:dyDescent="0.2">
      <c r="A5629" s="996" t="str">
        <f>CONCATENATE(Programme!D5630,Programme!E5630,Programme!F5630,Programme!G5630,Programme!H5630,Programme!I5630,Programme!J5630)</f>
        <v>&lt;valeur&gt;0&lt;/valeur&gt;</v>
      </c>
    </row>
    <row r="5630" spans="1:1" x14ac:dyDescent="0.2">
      <c r="A5630" s="996" t="str">
        <f>CONCATENATE(Programme!D5631,Programme!E5631,Programme!F5631,Programme!G5631,Programme!H5631,Programme!I5631,Programme!J5631)</f>
        <v>&lt;/ValeurCellule&gt;</v>
      </c>
    </row>
    <row r="5631" spans="1:1" x14ac:dyDescent="0.2">
      <c r="A5631" s="996" t="str">
        <f>CONCATENATE(Programme!D5632,Programme!E5632,Programme!F5632,Programme!G5632,Programme!H5632,Programme!I5632,Programme!J5632)</f>
        <v>&lt;ValeurCellule&gt;</v>
      </c>
    </row>
    <row r="5632" spans="1:1" x14ac:dyDescent="0.2">
      <c r="A5632" s="996" t="str">
        <f>CONCATENATE(Programme!D5633,Programme!E5633,Programme!F5633,Programme!G5633,Programme!H5633,Programme!I5633,Programme!J5633)</f>
        <v>&lt;cellule&gt;</v>
      </c>
    </row>
    <row r="5633" spans="1:1" x14ac:dyDescent="0.2">
      <c r="A5633" s="996" t="str">
        <f>CONCATENATE(Programme!D5634,Programme!E5634,Programme!F5634,Programme!G5634,Programme!H5634,Programme!I5634,Programme!J5634)</f>
        <v>&lt;codeEdi&gt;1988&lt;/codeEdi&gt;</v>
      </c>
    </row>
    <row r="5634" spans="1:1" x14ac:dyDescent="0.2">
      <c r="A5634" s="996" t="str">
        <f>CONCATENATE(Programme!D5635,Programme!E5635,Programme!F5635,Programme!G5635,Programme!H5635,Programme!I5635,Programme!J5635)</f>
        <v>&lt;/cellule&gt;</v>
      </c>
    </row>
    <row r="5635" spans="1:1" x14ac:dyDescent="0.2">
      <c r="A5635" s="996" t="str">
        <f>CONCATENATE(Programme!D5636,Programme!E5636,Programme!F5636,Programme!G5636,Programme!H5636,Programme!I5636,Programme!J5636)</f>
        <v>&lt;valeur&gt;0&lt;/valeur&gt;</v>
      </c>
    </row>
    <row r="5636" spans="1:1" x14ac:dyDescent="0.2">
      <c r="A5636" s="996" t="str">
        <f>CONCATENATE(Programme!D5637,Programme!E5637,Programme!F5637,Programme!G5637,Programme!H5637,Programme!I5637,Programme!J5637)</f>
        <v>&lt;/ValeurCellule&gt;</v>
      </c>
    </row>
    <row r="5637" spans="1:1" x14ac:dyDescent="0.2">
      <c r="A5637" s="996" t="str">
        <f>CONCATENATE(Programme!D5638,Programme!E5638,Programme!F5638,Programme!G5638,Programme!H5638,Programme!I5638,Programme!J5638)</f>
        <v>&lt;ValeurCellule&gt;</v>
      </c>
    </row>
    <row r="5638" spans="1:1" x14ac:dyDescent="0.2">
      <c r="A5638" s="996" t="str">
        <f>CONCATENATE(Programme!D5639,Programme!E5639,Programme!F5639,Programme!G5639,Programme!H5639,Programme!I5639,Programme!J5639)</f>
        <v>&lt;cellule&gt;</v>
      </c>
    </row>
    <row r="5639" spans="1:1" x14ac:dyDescent="0.2">
      <c r="A5639" s="996" t="str">
        <f>CONCATENATE(Programme!D5640,Programme!E5640,Programme!F5640,Programme!G5640,Programme!H5640,Programme!I5640,Programme!J5640)</f>
        <v>&lt;codeEdi&gt;1972&lt;/codeEdi&gt;</v>
      </c>
    </row>
    <row r="5640" spans="1:1" x14ac:dyDescent="0.2">
      <c r="A5640" s="996" t="str">
        <f>CONCATENATE(Programme!D5641,Programme!E5641,Programme!F5641,Programme!G5641,Programme!H5641,Programme!I5641,Programme!J5641)</f>
        <v>&lt;/cellule&gt;</v>
      </c>
    </row>
    <row r="5641" spans="1:1" x14ac:dyDescent="0.2">
      <c r="A5641" s="996" t="str">
        <f>CONCATENATE(Programme!D5642,Programme!E5642,Programme!F5642,Programme!G5642,Programme!H5642,Programme!I5642,Programme!J5642)</f>
        <v>&lt;valeur&gt;0&lt;/valeur&gt;</v>
      </c>
    </row>
    <row r="5642" spans="1:1" x14ac:dyDescent="0.2">
      <c r="A5642" s="996" t="str">
        <f>CONCATENATE(Programme!D5643,Programme!E5643,Programme!F5643,Programme!G5643,Programme!H5643,Programme!I5643,Programme!J5643)</f>
        <v>&lt;/ValeurCellule&gt;</v>
      </c>
    </row>
    <row r="5643" spans="1:1" x14ac:dyDescent="0.2">
      <c r="A5643" s="996" t="str">
        <f>CONCATENATE(Programme!D5644,Programme!E5644,Programme!F5644,Programme!G5644,Programme!H5644,Programme!I5644,Programme!J5644)</f>
        <v>&lt;ValeurCellule&gt;</v>
      </c>
    </row>
    <row r="5644" spans="1:1" x14ac:dyDescent="0.2">
      <c r="A5644" s="996" t="str">
        <f>CONCATENATE(Programme!D5645,Programme!E5645,Programme!F5645,Programme!G5645,Programme!H5645,Programme!I5645,Programme!J5645)</f>
        <v>&lt;cellule&gt;</v>
      </c>
    </row>
    <row r="5645" spans="1:1" x14ac:dyDescent="0.2">
      <c r="A5645" s="996" t="str">
        <f>CONCATENATE(Programme!D5646,Programme!E5646,Programme!F5646,Programme!G5646,Programme!H5646,Programme!I5646,Programme!J5646)</f>
        <v>&lt;codeEdi&gt;1973&lt;/codeEdi&gt;</v>
      </c>
    </row>
    <row r="5646" spans="1:1" x14ac:dyDescent="0.2">
      <c r="A5646" s="996" t="str">
        <f>CONCATENATE(Programme!D5647,Programme!E5647,Programme!F5647,Programme!G5647,Programme!H5647,Programme!I5647,Programme!J5647)</f>
        <v>&lt;/cellule&gt;</v>
      </c>
    </row>
    <row r="5647" spans="1:1" x14ac:dyDescent="0.2">
      <c r="A5647" s="996" t="str">
        <f>CONCATENATE(Programme!D5648,Programme!E5648,Programme!F5648,Programme!G5648,Programme!H5648,Programme!I5648,Programme!J5648)</f>
        <v>&lt;valeur&gt;0&lt;/valeur&gt;</v>
      </c>
    </row>
    <row r="5648" spans="1:1" x14ac:dyDescent="0.2">
      <c r="A5648" s="996" t="str">
        <f>CONCATENATE(Programme!D5649,Programme!E5649,Programme!F5649,Programme!G5649,Programme!H5649,Programme!I5649,Programme!J5649)</f>
        <v>&lt;/ValeurCellule&gt;</v>
      </c>
    </row>
    <row r="5649" spans="1:1" x14ac:dyDescent="0.2">
      <c r="A5649" s="996" t="str">
        <f>CONCATENATE(Programme!D5650,Programme!E5650,Programme!F5650,Programme!G5650,Programme!H5650,Programme!I5650,Programme!J5650)</f>
        <v>&lt;ValeurCellule&gt;</v>
      </c>
    </row>
    <row r="5650" spans="1:1" x14ac:dyDescent="0.2">
      <c r="A5650" s="996" t="str">
        <f>CONCATENATE(Programme!D5651,Programme!E5651,Programme!F5651,Programme!G5651,Programme!H5651,Programme!I5651,Programme!J5651)</f>
        <v>&lt;cellule&gt;</v>
      </c>
    </row>
    <row r="5651" spans="1:1" x14ac:dyDescent="0.2">
      <c r="A5651" s="996" t="str">
        <f>CONCATENATE(Programme!D5652,Programme!E5652,Programme!F5652,Programme!G5652,Programme!H5652,Programme!I5652,Programme!J5652)</f>
        <v>&lt;codeEdi&gt;1989&lt;/codeEdi&gt;</v>
      </c>
    </row>
    <row r="5652" spans="1:1" x14ac:dyDescent="0.2">
      <c r="A5652" s="996" t="str">
        <f>CONCATENATE(Programme!D5653,Programme!E5653,Programme!F5653,Programme!G5653,Programme!H5653,Programme!I5653,Programme!J5653)</f>
        <v>&lt;/cellule&gt;</v>
      </c>
    </row>
    <row r="5653" spans="1:1" x14ac:dyDescent="0.2">
      <c r="A5653" s="996" t="str">
        <f>CONCATENATE(Programme!D5654,Programme!E5654,Programme!F5654,Programme!G5654,Programme!H5654,Programme!I5654,Programme!J5654)</f>
        <v>&lt;valeur&gt;&lt;/valeur&gt;</v>
      </c>
    </row>
    <row r="5654" spans="1:1" x14ac:dyDescent="0.2">
      <c r="A5654" s="996" t="str">
        <f>CONCATENATE(Programme!D5655,Programme!E5655,Programme!F5655,Programme!G5655,Programme!H5655,Programme!I5655,Programme!J5655)</f>
        <v>&lt;/ValeurCellule&gt;</v>
      </c>
    </row>
    <row r="5655" spans="1:1" x14ac:dyDescent="0.2">
      <c r="A5655" s="996" t="str">
        <f>CONCATENATE(Programme!D5656,Programme!E5656,Programme!F5656,Programme!G5656,Programme!H5656,Programme!I5656,Programme!J5656)</f>
        <v>&lt;ValeurCellule&gt;</v>
      </c>
    </row>
    <row r="5656" spans="1:1" x14ac:dyDescent="0.2">
      <c r="A5656" s="996" t="str">
        <f>CONCATENATE(Programme!D5657,Programme!E5657,Programme!F5657,Programme!G5657,Programme!H5657,Programme!I5657,Programme!J5657)</f>
        <v>&lt;cellule&gt;</v>
      </c>
    </row>
    <row r="5657" spans="1:1" x14ac:dyDescent="0.2">
      <c r="A5657" s="996" t="str">
        <f>CONCATENATE(Programme!D5658,Programme!E5658,Programme!F5658,Programme!G5658,Programme!H5658,Programme!I5658,Programme!J5658)</f>
        <v>&lt;codeEdi&gt;1990&lt;/codeEdi&gt;</v>
      </c>
    </row>
    <row r="5658" spans="1:1" x14ac:dyDescent="0.2">
      <c r="A5658" s="996" t="str">
        <f>CONCATENATE(Programme!D5659,Programme!E5659,Programme!F5659,Programme!G5659,Programme!H5659,Programme!I5659,Programme!J5659)</f>
        <v>&lt;/cellule&gt;</v>
      </c>
    </row>
    <row r="5659" spans="1:1" x14ac:dyDescent="0.2">
      <c r="A5659" s="996" t="str">
        <f>CONCATENATE(Programme!D5660,Programme!E5660,Programme!F5660,Programme!G5660,Programme!H5660,Programme!I5660,Programme!J5660)</f>
        <v>&lt;valeur&gt;0&lt;/valeur&gt;</v>
      </c>
    </row>
    <row r="5660" spans="1:1" x14ac:dyDescent="0.2">
      <c r="A5660" s="996" t="str">
        <f>CONCATENATE(Programme!D5661,Programme!E5661,Programme!F5661,Programme!G5661,Programme!H5661,Programme!I5661,Programme!J5661)</f>
        <v>&lt;/ValeurCellule&gt;</v>
      </c>
    </row>
    <row r="5661" spans="1:1" x14ac:dyDescent="0.2">
      <c r="A5661" s="996" t="str">
        <f>CONCATENATE(Programme!D5662,Programme!E5662,Programme!F5662,Programme!G5662,Programme!H5662,Programme!I5662,Programme!J5662)</f>
        <v>&lt;ValeurCellule&gt;</v>
      </c>
    </row>
    <row r="5662" spans="1:1" x14ac:dyDescent="0.2">
      <c r="A5662" s="996" t="str">
        <f>CONCATENATE(Programme!D5663,Programme!E5663,Programme!F5663,Programme!G5663,Programme!H5663,Programme!I5663,Programme!J5663)</f>
        <v>&lt;cellule&gt;</v>
      </c>
    </row>
    <row r="5663" spans="1:1" x14ac:dyDescent="0.2">
      <c r="A5663" s="996" t="str">
        <f>CONCATENATE(Programme!D5664,Programme!E5664,Programme!F5664,Programme!G5664,Programme!H5664,Programme!I5664,Programme!J5664)</f>
        <v>&lt;codeEdi&gt;1991&lt;/codeEdi&gt;</v>
      </c>
    </row>
    <row r="5664" spans="1:1" x14ac:dyDescent="0.2">
      <c r="A5664" s="996" t="str">
        <f>CONCATENATE(Programme!D5665,Programme!E5665,Programme!F5665,Programme!G5665,Programme!H5665,Programme!I5665,Programme!J5665)</f>
        <v>&lt;/cellule&gt;</v>
      </c>
    </row>
    <row r="5665" spans="1:1" x14ac:dyDescent="0.2">
      <c r="A5665" s="996" t="str">
        <f>CONCATENATE(Programme!D5666,Programme!E5666,Programme!F5666,Programme!G5666,Programme!H5666,Programme!I5666,Programme!J5666)</f>
        <v>&lt;valeur&gt;0&lt;/valeur&gt;</v>
      </c>
    </row>
    <row r="5666" spans="1:1" x14ac:dyDescent="0.2">
      <c r="A5666" s="996" t="str">
        <f>CONCATENATE(Programme!D5667,Programme!E5667,Programme!F5667,Programme!G5667,Programme!H5667,Programme!I5667,Programme!J5667)</f>
        <v>&lt;/ValeurCellule&gt;</v>
      </c>
    </row>
    <row r="5667" spans="1:1" x14ac:dyDescent="0.2">
      <c r="A5667" s="996" t="str">
        <f>CONCATENATE(Programme!D5668,Programme!E5668,Programme!F5668,Programme!G5668,Programme!H5668,Programme!I5668,Programme!J5668)</f>
        <v>&lt;ValeurCellule&gt;</v>
      </c>
    </row>
    <row r="5668" spans="1:1" x14ac:dyDescent="0.2">
      <c r="A5668" s="996" t="str">
        <f>CONCATENATE(Programme!D5669,Programme!E5669,Programme!F5669,Programme!G5669,Programme!H5669,Programme!I5669,Programme!J5669)</f>
        <v>&lt;cellule&gt;</v>
      </c>
    </row>
    <row r="5669" spans="1:1" x14ac:dyDescent="0.2">
      <c r="A5669" s="996" t="str">
        <f>CONCATENATE(Programme!D5670,Programme!E5670,Programme!F5670,Programme!G5670,Programme!H5670,Programme!I5670,Programme!J5670)</f>
        <v>&lt;codeEdi&gt;1992&lt;/codeEdi&gt;</v>
      </c>
    </row>
    <row r="5670" spans="1:1" x14ac:dyDescent="0.2">
      <c r="A5670" s="996" t="str">
        <f>CONCATENATE(Programme!D5671,Programme!E5671,Programme!F5671,Programme!G5671,Programme!H5671,Programme!I5671,Programme!J5671)</f>
        <v>&lt;/cellule&gt;</v>
      </c>
    </row>
    <row r="5671" spans="1:1" x14ac:dyDescent="0.2">
      <c r="A5671" s="996" t="str">
        <f>CONCATENATE(Programme!D5672,Programme!E5672,Programme!F5672,Programme!G5672,Programme!H5672,Programme!I5672,Programme!J5672)</f>
        <v>&lt;valeur&gt;0&lt;/valeur&gt;</v>
      </c>
    </row>
    <row r="5672" spans="1:1" x14ac:dyDescent="0.2">
      <c r="A5672" s="996" t="str">
        <f>CONCATENATE(Programme!D5673,Programme!E5673,Programme!F5673,Programme!G5673,Programme!H5673,Programme!I5673,Programme!J5673)</f>
        <v>&lt;/ValeurCellule&gt;</v>
      </c>
    </row>
    <row r="5673" spans="1:1" x14ac:dyDescent="0.2">
      <c r="A5673" s="996" t="str">
        <f>CONCATENATE(Programme!D5674,Programme!E5674,Programme!F5674,Programme!G5674,Programme!H5674,Programme!I5674,Programme!J5674)</f>
        <v>&lt;ValeurCellule&gt;</v>
      </c>
    </row>
    <row r="5674" spans="1:1" x14ac:dyDescent="0.2">
      <c r="A5674" s="996" t="str">
        <f>CONCATENATE(Programme!D5675,Programme!E5675,Programme!F5675,Programme!G5675,Programme!H5675,Programme!I5675,Programme!J5675)</f>
        <v>&lt;cellule&gt;</v>
      </c>
    </row>
    <row r="5675" spans="1:1" x14ac:dyDescent="0.2">
      <c r="A5675" s="996" t="str">
        <f>CONCATENATE(Programme!D5676,Programme!E5676,Programme!F5676,Programme!G5676,Programme!H5676,Programme!I5676,Programme!J5676)</f>
        <v>&lt;codeEdi&gt;1993&lt;/codeEdi&gt;</v>
      </c>
    </row>
    <row r="5676" spans="1:1" x14ac:dyDescent="0.2">
      <c r="A5676" s="996" t="str">
        <f>CONCATENATE(Programme!D5677,Programme!E5677,Programme!F5677,Programme!G5677,Programme!H5677,Programme!I5677,Programme!J5677)</f>
        <v>&lt;/cellule&gt;</v>
      </c>
    </row>
    <row r="5677" spans="1:1" x14ac:dyDescent="0.2">
      <c r="A5677" s="996" t="str">
        <f>CONCATENATE(Programme!D5678,Programme!E5678,Programme!F5678,Programme!G5678,Programme!H5678,Programme!I5678,Programme!J5678)</f>
        <v>&lt;valeur&gt;0&lt;/valeur&gt;</v>
      </c>
    </row>
    <row r="5678" spans="1:1" x14ac:dyDescent="0.2">
      <c r="A5678" s="996" t="str">
        <f>CONCATENATE(Programme!D5679,Programme!E5679,Programme!F5679,Programme!G5679,Programme!H5679,Programme!I5679,Programme!J5679)</f>
        <v>&lt;/ValeurCellule&gt;</v>
      </c>
    </row>
    <row r="5679" spans="1:1" x14ac:dyDescent="0.2">
      <c r="A5679" s="996" t="str">
        <f>CONCATENATE(Programme!D5680,Programme!E5680,Programme!F5680,Programme!G5680,Programme!H5680,Programme!I5680,Programme!J5680)</f>
        <v>&lt;ValeurCellule&gt;</v>
      </c>
    </row>
    <row r="5680" spans="1:1" x14ac:dyDescent="0.2">
      <c r="A5680" s="996" t="str">
        <f>CONCATENATE(Programme!D5681,Programme!E5681,Programme!F5681,Programme!G5681,Programme!H5681,Programme!I5681,Programme!J5681)</f>
        <v>&lt;cellule&gt;</v>
      </c>
    </row>
    <row r="5681" spans="1:1" x14ac:dyDescent="0.2">
      <c r="A5681" s="996" t="str">
        <f>CONCATENATE(Programme!D5682,Programme!E5682,Programme!F5682,Programme!G5682,Programme!H5682,Programme!I5682,Programme!J5682)</f>
        <v>&lt;codeEdi&gt;1994&lt;/codeEdi&gt;</v>
      </c>
    </row>
    <row r="5682" spans="1:1" x14ac:dyDescent="0.2">
      <c r="A5682" s="996" t="str">
        <f>CONCATENATE(Programme!D5683,Programme!E5683,Programme!F5683,Programme!G5683,Programme!H5683,Programme!I5683,Programme!J5683)</f>
        <v>&lt;/cellule&gt;</v>
      </c>
    </row>
    <row r="5683" spans="1:1" x14ac:dyDescent="0.2">
      <c r="A5683" s="996" t="str">
        <f>CONCATENATE(Programme!D5684,Programme!E5684,Programme!F5684,Programme!G5684,Programme!H5684,Programme!I5684,Programme!J5684)</f>
        <v>&lt;valeur&gt;&lt;/valeur&gt;</v>
      </c>
    </row>
    <row r="5684" spans="1:1" x14ac:dyDescent="0.2">
      <c r="A5684" s="996" t="str">
        <f>CONCATENATE(Programme!D5685,Programme!E5685,Programme!F5685,Programme!G5685,Programme!H5685,Programme!I5685,Programme!J5685)</f>
        <v>&lt;/ValeurCellule&gt;</v>
      </c>
    </row>
    <row r="5685" spans="1:1" x14ac:dyDescent="0.2">
      <c r="A5685" s="996" t="str">
        <f>CONCATENATE(Programme!D5686,Programme!E5686,Programme!F5686,Programme!G5686,Programme!H5686,Programme!I5686,Programme!J5686)</f>
        <v>&lt;ValeurCellule&gt;</v>
      </c>
    </row>
    <row r="5686" spans="1:1" x14ac:dyDescent="0.2">
      <c r="A5686" s="996" t="str">
        <f>CONCATENATE(Programme!D5687,Programme!E5687,Programme!F5687,Programme!G5687,Programme!H5687,Programme!I5687,Programme!J5687)</f>
        <v>&lt;cellule&gt;</v>
      </c>
    </row>
    <row r="5687" spans="1:1" x14ac:dyDescent="0.2">
      <c r="A5687" s="996" t="str">
        <f>CONCATENATE(Programme!D5688,Programme!E5688,Programme!F5688,Programme!G5688,Programme!H5688,Programme!I5688,Programme!J5688)</f>
        <v>&lt;codeEdi&gt;1995&lt;/codeEdi&gt;</v>
      </c>
    </row>
    <row r="5688" spans="1:1" x14ac:dyDescent="0.2">
      <c r="A5688" s="996" t="str">
        <f>CONCATENATE(Programme!D5689,Programme!E5689,Programme!F5689,Programme!G5689,Programme!H5689,Programme!I5689,Programme!J5689)</f>
        <v>&lt;/cellule&gt;</v>
      </c>
    </row>
    <row r="5689" spans="1:1" x14ac:dyDescent="0.2">
      <c r="A5689" s="996" t="str">
        <f>CONCATENATE(Programme!D5690,Programme!E5690,Programme!F5690,Programme!G5690,Programme!H5690,Programme!I5690,Programme!J5690)</f>
        <v>&lt;valeur&gt;0&lt;/valeur&gt;</v>
      </c>
    </row>
    <row r="5690" spans="1:1" x14ac:dyDescent="0.2">
      <c r="A5690" s="996" t="str">
        <f>CONCATENATE(Programme!D5691,Programme!E5691,Programme!F5691,Programme!G5691,Programme!H5691,Programme!I5691,Programme!J5691)</f>
        <v>&lt;/ValeurCellule&gt;</v>
      </c>
    </row>
    <row r="5691" spans="1:1" x14ac:dyDescent="0.2">
      <c r="A5691" s="996" t="str">
        <f>CONCATENATE(Programme!D5692,Programme!E5692,Programme!F5692,Programme!G5692,Programme!H5692,Programme!I5692,Programme!J5692)</f>
        <v>&lt;ValeurCellule&gt;</v>
      </c>
    </row>
    <row r="5692" spans="1:1" x14ac:dyDescent="0.2">
      <c r="A5692" s="996" t="str">
        <f>CONCATENATE(Programme!D5693,Programme!E5693,Programme!F5693,Programme!G5693,Programme!H5693,Programme!I5693,Programme!J5693)</f>
        <v>&lt;cellule&gt;</v>
      </c>
    </row>
    <row r="5693" spans="1:1" x14ac:dyDescent="0.2">
      <c r="A5693" s="996" t="str">
        <f>CONCATENATE(Programme!D5694,Programme!E5694,Programme!F5694,Programme!G5694,Programme!H5694,Programme!I5694,Programme!J5694)</f>
        <v>&lt;codeEdi&gt;1996&lt;/codeEdi&gt;</v>
      </c>
    </row>
    <row r="5694" spans="1:1" x14ac:dyDescent="0.2">
      <c r="A5694" s="996" t="str">
        <f>CONCATENATE(Programme!D5695,Programme!E5695,Programme!F5695,Programme!G5695,Programme!H5695,Programme!I5695,Programme!J5695)</f>
        <v>&lt;/cellule&gt;</v>
      </c>
    </row>
    <row r="5695" spans="1:1" x14ac:dyDescent="0.2">
      <c r="A5695" s="996" t="str">
        <f>CONCATENATE(Programme!D5696,Programme!E5696,Programme!F5696,Programme!G5696,Programme!H5696,Programme!I5696,Programme!J5696)</f>
        <v>&lt;valeur&gt;0&lt;/valeur&gt;</v>
      </c>
    </row>
    <row r="5696" spans="1:1" x14ac:dyDescent="0.2">
      <c r="A5696" s="996" t="str">
        <f>CONCATENATE(Programme!D5697,Programme!E5697,Programme!F5697,Programme!G5697,Programme!H5697,Programme!I5697,Programme!J5697)</f>
        <v>&lt;/ValeurCellule&gt;</v>
      </c>
    </row>
    <row r="5697" spans="1:1" x14ac:dyDescent="0.2">
      <c r="A5697" s="996" t="str">
        <f>CONCATENATE(Programme!D5698,Programme!E5698,Programme!F5698,Programme!G5698,Programme!H5698,Programme!I5698,Programme!J5698)</f>
        <v>&lt;ValeurCellule&gt;</v>
      </c>
    </row>
    <row r="5698" spans="1:1" x14ac:dyDescent="0.2">
      <c r="A5698" s="996" t="str">
        <f>CONCATENATE(Programme!D5699,Programme!E5699,Programme!F5699,Programme!G5699,Programme!H5699,Programme!I5699,Programme!J5699)</f>
        <v>&lt;cellule&gt;</v>
      </c>
    </row>
    <row r="5699" spans="1:1" x14ac:dyDescent="0.2">
      <c r="A5699" s="996" t="str">
        <f>CONCATENATE(Programme!D5700,Programme!E5700,Programme!F5700,Programme!G5700,Programme!H5700,Programme!I5700,Programme!J5700)</f>
        <v>&lt;codeEdi&gt;1997&lt;/codeEdi&gt;</v>
      </c>
    </row>
    <row r="5700" spans="1:1" x14ac:dyDescent="0.2">
      <c r="A5700" s="996" t="str">
        <f>CONCATENATE(Programme!D5701,Programme!E5701,Programme!F5701,Programme!G5701,Programme!H5701,Programme!I5701,Programme!J5701)</f>
        <v>&lt;/cellule&gt;</v>
      </c>
    </row>
    <row r="5701" spans="1:1" x14ac:dyDescent="0.2">
      <c r="A5701" s="996" t="str">
        <f>CONCATENATE(Programme!D5702,Programme!E5702,Programme!F5702,Programme!G5702,Programme!H5702,Programme!I5702,Programme!J5702)</f>
        <v>&lt;valeur&gt;0&lt;/valeur&gt;</v>
      </c>
    </row>
    <row r="5702" spans="1:1" x14ac:dyDescent="0.2">
      <c r="A5702" s="996" t="str">
        <f>CONCATENATE(Programme!D5703,Programme!E5703,Programme!F5703,Programme!G5703,Programme!H5703,Programme!I5703,Programme!J5703)</f>
        <v>&lt;/ValeurCellule&gt;</v>
      </c>
    </row>
    <row r="5703" spans="1:1" x14ac:dyDescent="0.2">
      <c r="A5703" s="996" t="str">
        <f>CONCATENATE(Programme!D5704,Programme!E5704,Programme!F5704,Programme!G5704,Programme!H5704,Programme!I5704,Programme!J5704)</f>
        <v>&lt;ValeurCellule&gt;</v>
      </c>
    </row>
    <row r="5704" spans="1:1" x14ac:dyDescent="0.2">
      <c r="A5704" s="996" t="str">
        <f>CONCATENATE(Programme!D5705,Programme!E5705,Programme!F5705,Programme!G5705,Programme!H5705,Programme!I5705,Programme!J5705)</f>
        <v>&lt;cellule&gt;</v>
      </c>
    </row>
    <row r="5705" spans="1:1" x14ac:dyDescent="0.2">
      <c r="A5705" s="996" t="str">
        <f>CONCATENATE(Programme!D5706,Programme!E5706,Programme!F5706,Programme!G5706,Programme!H5706,Programme!I5706,Programme!J5706)</f>
        <v>&lt;codeEdi&gt;1998&lt;/codeEdi&gt;</v>
      </c>
    </row>
    <row r="5706" spans="1:1" x14ac:dyDescent="0.2">
      <c r="A5706" s="996" t="str">
        <f>CONCATENATE(Programme!D5707,Programme!E5707,Programme!F5707,Programme!G5707,Programme!H5707,Programme!I5707,Programme!J5707)</f>
        <v>&lt;/cellule&gt;</v>
      </c>
    </row>
    <row r="5707" spans="1:1" x14ac:dyDescent="0.2">
      <c r="A5707" s="996" t="str">
        <f>CONCATENATE(Programme!D5708,Programme!E5708,Programme!F5708,Programme!G5708,Programme!H5708,Programme!I5708,Programme!J5708)</f>
        <v>&lt;valeur&gt;0&lt;/valeur&gt;</v>
      </c>
    </row>
    <row r="5708" spans="1:1" x14ac:dyDescent="0.2">
      <c r="A5708" s="996" t="str">
        <f>CONCATENATE(Programme!D5709,Programme!E5709,Programme!F5709,Programme!G5709,Programme!H5709,Programme!I5709,Programme!J5709)</f>
        <v>&lt;/ValeurCellule&gt;</v>
      </c>
    </row>
    <row r="5709" spans="1:1" x14ac:dyDescent="0.2">
      <c r="A5709" s="996" t="str">
        <f>CONCATENATE(Programme!D5710,Programme!E5710,Programme!F5710,Programme!G5710,Programme!H5710,Programme!I5710,Programme!J5710)</f>
        <v>&lt;ValeurCellule&gt;</v>
      </c>
    </row>
    <row r="5710" spans="1:1" x14ac:dyDescent="0.2">
      <c r="A5710" s="996" t="str">
        <f>CONCATENATE(Programme!D5711,Programme!E5711,Programme!F5711,Programme!G5711,Programme!H5711,Programme!I5711,Programme!J5711)</f>
        <v>&lt;cellule&gt;</v>
      </c>
    </row>
    <row r="5711" spans="1:1" x14ac:dyDescent="0.2">
      <c r="A5711" s="996" t="str">
        <f>CONCATENATE(Programme!D5712,Programme!E5712,Programme!F5712,Programme!G5712,Programme!H5712,Programme!I5712,Programme!J5712)</f>
        <v>&lt;codeEdi&gt;1999&lt;/codeEdi&gt;</v>
      </c>
    </row>
    <row r="5712" spans="1:1" x14ac:dyDescent="0.2">
      <c r="A5712" s="996" t="str">
        <f>CONCATENATE(Programme!D5713,Programme!E5713,Programme!F5713,Programme!G5713,Programme!H5713,Programme!I5713,Programme!J5713)</f>
        <v>&lt;/cellule&gt;</v>
      </c>
    </row>
    <row r="5713" spans="1:1" x14ac:dyDescent="0.2">
      <c r="A5713" s="996" t="str">
        <f>CONCATENATE(Programme!D5714,Programme!E5714,Programme!F5714,Programme!G5714,Programme!H5714,Programme!I5714,Programme!J5714)</f>
        <v>&lt;valeur&gt;0&lt;/valeur&gt;</v>
      </c>
    </row>
    <row r="5714" spans="1:1" x14ac:dyDescent="0.2">
      <c r="A5714" s="996" t="str">
        <f>CONCATENATE(Programme!D5715,Programme!E5715,Programme!F5715,Programme!G5715,Programme!H5715,Programme!I5715,Programme!J5715)</f>
        <v>&lt;/ValeurCellule&gt;</v>
      </c>
    </row>
    <row r="5715" spans="1:1" x14ac:dyDescent="0.2">
      <c r="A5715" s="996" t="str">
        <f>CONCATENATE(Programme!D5716,Programme!E5716,Programme!F5716,Programme!G5716,Programme!H5716,Programme!I5716,Programme!J5716)</f>
        <v>&lt;ValeurCellule&gt;</v>
      </c>
    </row>
    <row r="5716" spans="1:1" x14ac:dyDescent="0.2">
      <c r="A5716" s="996" t="str">
        <f>CONCATENATE(Programme!D5717,Programme!E5717,Programme!F5717,Programme!G5717,Programme!H5717,Programme!I5717,Programme!J5717)</f>
        <v>&lt;cellule&gt;</v>
      </c>
    </row>
    <row r="5717" spans="1:1" x14ac:dyDescent="0.2">
      <c r="A5717" s="996" t="str">
        <f>CONCATENATE(Programme!D5718,Programme!E5718,Programme!F5718,Programme!G5718,Programme!H5718,Programme!I5718,Programme!J5718)</f>
        <v>&lt;codeEdi&gt;2000&lt;/codeEdi&gt;</v>
      </c>
    </row>
    <row r="5718" spans="1:1" x14ac:dyDescent="0.2">
      <c r="A5718" s="996" t="str">
        <f>CONCATENATE(Programme!D5719,Programme!E5719,Programme!F5719,Programme!G5719,Programme!H5719,Programme!I5719,Programme!J5719)</f>
        <v>&lt;/cellule&gt;</v>
      </c>
    </row>
    <row r="5719" spans="1:1" x14ac:dyDescent="0.2">
      <c r="A5719" s="996" t="str">
        <f>CONCATENATE(Programme!D5720,Programme!E5720,Programme!F5720,Programme!G5720,Programme!H5720,Programme!I5720,Programme!J5720)</f>
        <v>&lt;valeur&gt;0&lt;/valeur&gt;</v>
      </c>
    </row>
    <row r="5720" spans="1:1" x14ac:dyDescent="0.2">
      <c r="A5720" s="996" t="str">
        <f>CONCATENATE(Programme!D5721,Programme!E5721,Programme!F5721,Programme!G5721,Programme!H5721,Programme!I5721,Programme!J5721)</f>
        <v>&lt;/ValeurCellule&gt;</v>
      </c>
    </row>
    <row r="5721" spans="1:1" x14ac:dyDescent="0.2">
      <c r="A5721" s="996" t="str">
        <f>CONCATENATE(Programme!D5722,Programme!E5722,Programme!F5722,Programme!G5722,Programme!H5722,Programme!I5722,Programme!J5722)</f>
        <v>&lt;ValeurCellule&gt;</v>
      </c>
    </row>
    <row r="5722" spans="1:1" x14ac:dyDescent="0.2">
      <c r="A5722" s="996" t="str">
        <f>CONCATENATE(Programme!D5723,Programme!E5723,Programme!F5723,Programme!G5723,Programme!H5723,Programme!I5723,Programme!J5723)</f>
        <v>&lt;cellule&gt;</v>
      </c>
    </row>
    <row r="5723" spans="1:1" x14ac:dyDescent="0.2">
      <c r="A5723" s="996" t="str">
        <f>CONCATENATE(Programme!D5724,Programme!E5724,Programme!F5724,Programme!G5724,Programme!H5724,Programme!I5724,Programme!J5724)</f>
        <v>&lt;codeEdi&gt;2001&lt;/codeEdi&gt;</v>
      </c>
    </row>
    <row r="5724" spans="1:1" x14ac:dyDescent="0.2">
      <c r="A5724" s="996" t="str">
        <f>CONCATENATE(Programme!D5725,Programme!E5725,Programme!F5725,Programme!G5725,Programme!H5725,Programme!I5725,Programme!J5725)</f>
        <v>&lt;/cellule&gt;</v>
      </c>
    </row>
    <row r="5725" spans="1:1" x14ac:dyDescent="0.2">
      <c r="A5725" s="996" t="str">
        <f>CONCATENATE(Programme!D5726,Programme!E5726,Programme!F5726,Programme!G5726,Programme!H5726,Programme!I5726,Programme!J5726)</f>
        <v>&lt;valeur&gt;0&lt;/valeur&gt;</v>
      </c>
    </row>
    <row r="5726" spans="1:1" x14ac:dyDescent="0.2">
      <c r="A5726" s="996" t="str">
        <f>CONCATENATE(Programme!D5727,Programme!E5727,Programme!F5727,Programme!G5727,Programme!H5727,Programme!I5727,Programme!J5727)</f>
        <v>&lt;/ValeurCellule&gt;</v>
      </c>
    </row>
    <row r="5727" spans="1:1" x14ac:dyDescent="0.2">
      <c r="A5727" s="996" t="str">
        <f>CONCATENATE(Programme!D5728,Programme!E5728,Programme!F5728,Programme!G5728,Programme!H5728,Programme!I5728,Programme!J5728)</f>
        <v>&lt;ValeurCellule&gt;</v>
      </c>
    </row>
    <row r="5728" spans="1:1" x14ac:dyDescent="0.2">
      <c r="A5728" s="996" t="str">
        <f>CONCATENATE(Programme!D5729,Programme!E5729,Programme!F5729,Programme!G5729,Programme!H5729,Programme!I5729,Programme!J5729)</f>
        <v>&lt;cellule&gt;</v>
      </c>
    </row>
    <row r="5729" spans="1:1" x14ac:dyDescent="0.2">
      <c r="A5729" s="996" t="str">
        <f>CONCATENATE(Programme!D5730,Programme!E5730,Programme!F5730,Programme!G5730,Programme!H5730,Programme!I5730,Programme!J5730)</f>
        <v>&lt;codeEdi&gt;2002&lt;/codeEdi&gt;</v>
      </c>
    </row>
    <row r="5730" spans="1:1" x14ac:dyDescent="0.2">
      <c r="A5730" s="996" t="str">
        <f>CONCATENATE(Programme!D5731,Programme!E5731,Programme!F5731,Programme!G5731,Programme!H5731,Programme!I5731,Programme!J5731)</f>
        <v>&lt;/cellule&gt;</v>
      </c>
    </row>
    <row r="5731" spans="1:1" x14ac:dyDescent="0.2">
      <c r="A5731" s="996" t="str">
        <f>CONCATENATE(Programme!D5732,Programme!E5732,Programme!F5732,Programme!G5732,Programme!H5732,Programme!I5732,Programme!J5732)</f>
        <v>&lt;valeur&gt;&lt;/valeur&gt;</v>
      </c>
    </row>
    <row r="5732" spans="1:1" x14ac:dyDescent="0.2">
      <c r="A5732" s="996" t="str">
        <f>CONCATENATE(Programme!D5733,Programme!E5733,Programme!F5733,Programme!G5733,Programme!H5733,Programme!I5733,Programme!J5733)</f>
        <v>&lt;/ValeurCellule&gt;</v>
      </c>
    </row>
    <row r="5733" spans="1:1" x14ac:dyDescent="0.2">
      <c r="A5733" s="996" t="str">
        <f>CONCATENATE(Programme!D5734,Programme!E5734,Programme!F5734,Programme!G5734,Programme!H5734,Programme!I5734,Programme!J5734)</f>
        <v>&lt;ValeurCellule&gt;</v>
      </c>
    </row>
    <row r="5734" spans="1:1" x14ac:dyDescent="0.2">
      <c r="A5734" s="996" t="str">
        <f>CONCATENATE(Programme!D5735,Programme!E5735,Programme!F5735,Programme!G5735,Programme!H5735,Programme!I5735,Programme!J5735)</f>
        <v>&lt;cellule&gt;</v>
      </c>
    </row>
    <row r="5735" spans="1:1" x14ac:dyDescent="0.2">
      <c r="A5735" s="996" t="str">
        <f>CONCATENATE(Programme!D5736,Programme!E5736,Programme!F5736,Programme!G5736,Programme!H5736,Programme!I5736,Programme!J5736)</f>
        <v>&lt;codeEdi&gt;2003&lt;/codeEdi&gt;</v>
      </c>
    </row>
    <row r="5736" spans="1:1" x14ac:dyDescent="0.2">
      <c r="A5736" s="996" t="str">
        <f>CONCATENATE(Programme!D5737,Programme!E5737,Programme!F5737,Programme!G5737,Programme!H5737,Programme!I5737,Programme!J5737)</f>
        <v>&lt;/cellule&gt;</v>
      </c>
    </row>
    <row r="5737" spans="1:1" x14ac:dyDescent="0.2">
      <c r="A5737" s="996" t="str">
        <f>CONCATENATE(Programme!D5738,Programme!E5738,Programme!F5738,Programme!G5738,Programme!H5738,Programme!I5738,Programme!J5738)</f>
        <v>&lt;valeur&gt;0&lt;/valeur&gt;</v>
      </c>
    </row>
    <row r="5738" spans="1:1" x14ac:dyDescent="0.2">
      <c r="A5738" s="996" t="str">
        <f>CONCATENATE(Programme!D5739,Programme!E5739,Programme!F5739,Programme!G5739,Programme!H5739,Programme!I5739,Programme!J5739)</f>
        <v>&lt;/ValeurCellule&gt;</v>
      </c>
    </row>
    <row r="5739" spans="1:1" x14ac:dyDescent="0.2">
      <c r="A5739" s="996" t="str">
        <f>CONCATENATE(Programme!D5740,Programme!E5740,Programme!F5740,Programme!G5740,Programme!H5740,Programme!I5740,Programme!J5740)</f>
        <v>&lt;ValeurCellule&gt;</v>
      </c>
    </row>
    <row r="5740" spans="1:1" x14ac:dyDescent="0.2">
      <c r="A5740" s="996" t="str">
        <f>CONCATENATE(Programme!D5741,Programme!E5741,Programme!F5741,Programme!G5741,Programme!H5741,Programme!I5741,Programme!J5741)</f>
        <v>&lt;cellule&gt;</v>
      </c>
    </row>
    <row r="5741" spans="1:1" x14ac:dyDescent="0.2">
      <c r="A5741" s="996" t="str">
        <f>CONCATENATE(Programme!D5742,Programme!E5742,Programme!F5742,Programme!G5742,Programme!H5742,Programme!I5742,Programme!J5742)</f>
        <v>&lt;codeEdi&gt;2004&lt;/codeEdi&gt;</v>
      </c>
    </row>
    <row r="5742" spans="1:1" x14ac:dyDescent="0.2">
      <c r="A5742" s="996" t="str">
        <f>CONCATENATE(Programme!D5743,Programme!E5743,Programme!F5743,Programme!G5743,Programme!H5743,Programme!I5743,Programme!J5743)</f>
        <v>&lt;/cellule&gt;</v>
      </c>
    </row>
    <row r="5743" spans="1:1" x14ac:dyDescent="0.2">
      <c r="A5743" s="996" t="str">
        <f>CONCATENATE(Programme!D5744,Programme!E5744,Programme!F5744,Programme!G5744,Programme!H5744,Programme!I5744,Programme!J5744)</f>
        <v>&lt;valeur&gt;0&lt;/valeur&gt;</v>
      </c>
    </row>
    <row r="5744" spans="1:1" x14ac:dyDescent="0.2">
      <c r="A5744" s="996" t="str">
        <f>CONCATENATE(Programme!D5745,Programme!E5745,Programme!F5745,Programme!G5745,Programme!H5745,Programme!I5745,Programme!J5745)</f>
        <v>&lt;/ValeurCellule&gt;</v>
      </c>
    </row>
    <row r="5745" spans="1:1" x14ac:dyDescent="0.2">
      <c r="A5745" s="996" t="str">
        <f>CONCATENATE(Programme!D5746,Programme!E5746,Programme!F5746,Programme!G5746,Programme!H5746,Programme!I5746,Programme!J5746)</f>
        <v>&lt;ValeurCellule&gt;</v>
      </c>
    </row>
    <row r="5746" spans="1:1" x14ac:dyDescent="0.2">
      <c r="A5746" s="996" t="str">
        <f>CONCATENATE(Programme!D5747,Programme!E5747,Programme!F5747,Programme!G5747,Programme!H5747,Programme!I5747,Programme!J5747)</f>
        <v>&lt;cellule&gt;</v>
      </c>
    </row>
    <row r="5747" spans="1:1" x14ac:dyDescent="0.2">
      <c r="A5747" s="996" t="str">
        <f>CONCATENATE(Programme!D5748,Programme!E5748,Programme!F5748,Programme!G5748,Programme!H5748,Programme!I5748,Programme!J5748)</f>
        <v>&lt;codeEdi&gt;2005&lt;/codeEdi&gt;</v>
      </c>
    </row>
    <row r="5748" spans="1:1" x14ac:dyDescent="0.2">
      <c r="A5748" s="996" t="str">
        <f>CONCATENATE(Programme!D5749,Programme!E5749,Programme!F5749,Programme!G5749,Programme!H5749,Programme!I5749,Programme!J5749)</f>
        <v>&lt;/cellule&gt;</v>
      </c>
    </row>
    <row r="5749" spans="1:1" x14ac:dyDescent="0.2">
      <c r="A5749" s="996" t="str">
        <f>CONCATENATE(Programme!D5750,Programme!E5750,Programme!F5750,Programme!G5750,Programme!H5750,Programme!I5750,Programme!J5750)</f>
        <v>&lt;valeur&gt;0&lt;/valeur&gt;</v>
      </c>
    </row>
    <row r="5750" spans="1:1" x14ac:dyDescent="0.2">
      <c r="A5750" s="996" t="str">
        <f>CONCATENATE(Programme!D5751,Programme!E5751,Programme!F5751,Programme!G5751,Programme!H5751,Programme!I5751,Programme!J5751)</f>
        <v>&lt;/ValeurCellule&gt;</v>
      </c>
    </row>
    <row r="5751" spans="1:1" x14ac:dyDescent="0.2">
      <c r="A5751" s="996" t="str">
        <f>CONCATENATE(Programme!D5752,Programme!E5752,Programme!F5752,Programme!G5752,Programme!H5752,Programme!I5752,Programme!J5752)</f>
        <v>&lt;ValeurCellule&gt;</v>
      </c>
    </row>
    <row r="5752" spans="1:1" x14ac:dyDescent="0.2">
      <c r="A5752" s="996" t="str">
        <f>CONCATENATE(Programme!D5753,Programme!E5753,Programme!F5753,Programme!G5753,Programme!H5753,Programme!I5753,Programme!J5753)</f>
        <v>&lt;cellule&gt;</v>
      </c>
    </row>
    <row r="5753" spans="1:1" x14ac:dyDescent="0.2">
      <c r="A5753" s="996" t="str">
        <f>CONCATENATE(Programme!D5754,Programme!E5754,Programme!F5754,Programme!G5754,Programme!H5754,Programme!I5754,Programme!J5754)</f>
        <v>&lt;codeEdi&gt;2006&lt;/codeEdi&gt;</v>
      </c>
    </row>
    <row r="5754" spans="1:1" x14ac:dyDescent="0.2">
      <c r="A5754" s="996" t="str">
        <f>CONCATENATE(Programme!D5755,Programme!E5755,Programme!F5755,Programme!G5755,Programme!H5755,Programme!I5755,Programme!J5755)</f>
        <v>&lt;/cellule&gt;</v>
      </c>
    </row>
    <row r="5755" spans="1:1" x14ac:dyDescent="0.2">
      <c r="A5755" s="996" t="str">
        <f>CONCATENATE(Programme!D5756,Programme!E5756,Programme!F5756,Programme!G5756,Programme!H5756,Programme!I5756,Programme!J5756)</f>
        <v>&lt;valeur&gt;0&lt;/valeur&gt;</v>
      </c>
    </row>
    <row r="5756" spans="1:1" x14ac:dyDescent="0.2">
      <c r="A5756" s="996" t="str">
        <f>CONCATENATE(Programme!D5757,Programme!E5757,Programme!F5757,Programme!G5757,Programme!H5757,Programme!I5757,Programme!J5757)</f>
        <v>&lt;/ValeurCellule&gt;</v>
      </c>
    </row>
    <row r="5757" spans="1:1" x14ac:dyDescent="0.2">
      <c r="A5757" s="996" t="str">
        <f>CONCATENATE(Programme!D5758,Programme!E5758,Programme!F5758,Programme!G5758,Programme!H5758,Programme!I5758,Programme!J5758)</f>
        <v>&lt;ValeurCellule&gt;</v>
      </c>
    </row>
    <row r="5758" spans="1:1" x14ac:dyDescent="0.2">
      <c r="A5758" s="996" t="str">
        <f>CONCATENATE(Programme!D5759,Programme!E5759,Programme!F5759,Programme!G5759,Programme!H5759,Programme!I5759,Programme!J5759)</f>
        <v>&lt;cellule&gt;</v>
      </c>
    </row>
    <row r="5759" spans="1:1" x14ac:dyDescent="0.2">
      <c r="A5759" s="996" t="str">
        <f>CONCATENATE(Programme!D5760,Programme!E5760,Programme!F5760,Programme!G5760,Programme!H5760,Programme!I5760,Programme!J5760)</f>
        <v>&lt;codeEdi&gt;2007&lt;/codeEdi&gt;</v>
      </c>
    </row>
    <row r="5760" spans="1:1" x14ac:dyDescent="0.2">
      <c r="A5760" s="996" t="str">
        <f>CONCATENATE(Programme!D5761,Programme!E5761,Programme!F5761,Programme!G5761,Programme!H5761,Programme!I5761,Programme!J5761)</f>
        <v>&lt;/cellule&gt;</v>
      </c>
    </row>
    <row r="5761" spans="1:1" x14ac:dyDescent="0.2">
      <c r="A5761" s="996" t="str">
        <f>CONCATENATE(Programme!D5762,Programme!E5762,Programme!F5762,Programme!G5762,Programme!H5762,Programme!I5762,Programme!J5762)</f>
        <v>&lt;valeur&gt;&lt;/valeur&gt;</v>
      </c>
    </row>
    <row r="5762" spans="1:1" x14ac:dyDescent="0.2">
      <c r="A5762" s="996" t="str">
        <f>CONCATENATE(Programme!D5763,Programme!E5763,Programme!F5763,Programme!G5763,Programme!H5763,Programme!I5763,Programme!J5763)</f>
        <v>&lt;/ValeurCellule&gt;</v>
      </c>
    </row>
    <row r="5763" spans="1:1" x14ac:dyDescent="0.2">
      <c r="A5763" s="996" t="str">
        <f>CONCATENATE(Programme!D5764,Programme!E5764,Programme!F5764,Programme!G5764,Programme!H5764,Programme!I5764,Programme!J5764)</f>
        <v>&lt;ValeurCellule&gt;</v>
      </c>
    </row>
    <row r="5764" spans="1:1" x14ac:dyDescent="0.2">
      <c r="A5764" s="996" t="str">
        <f>CONCATENATE(Programme!D5765,Programme!E5765,Programme!F5765,Programme!G5765,Programme!H5765,Programme!I5765,Programme!J5765)</f>
        <v>&lt;cellule&gt;</v>
      </c>
    </row>
    <row r="5765" spans="1:1" x14ac:dyDescent="0.2">
      <c r="A5765" s="996" t="str">
        <f>CONCATENATE(Programme!D5766,Programme!E5766,Programme!F5766,Programme!G5766,Programme!H5766,Programme!I5766,Programme!J5766)</f>
        <v>&lt;codeEdi&gt;2008&lt;/codeEdi&gt;</v>
      </c>
    </row>
    <row r="5766" spans="1:1" x14ac:dyDescent="0.2">
      <c r="A5766" s="996" t="str">
        <f>CONCATENATE(Programme!D5767,Programme!E5767,Programme!F5767,Programme!G5767,Programme!H5767,Programme!I5767,Programme!J5767)</f>
        <v>&lt;/cellule&gt;</v>
      </c>
    </row>
    <row r="5767" spans="1:1" x14ac:dyDescent="0.2">
      <c r="A5767" s="996" t="str">
        <f>CONCATENATE(Programme!D5768,Programme!E5768,Programme!F5768,Programme!G5768,Programme!H5768,Programme!I5768,Programme!J5768)</f>
        <v>&lt;valeur&gt;0&lt;/valeur&gt;</v>
      </c>
    </row>
    <row r="5768" spans="1:1" x14ac:dyDescent="0.2">
      <c r="A5768" s="996" t="str">
        <f>CONCATENATE(Programme!D5769,Programme!E5769,Programme!F5769,Programme!G5769,Programme!H5769,Programme!I5769,Programme!J5769)</f>
        <v>&lt;/ValeurCellule&gt;</v>
      </c>
    </row>
    <row r="5769" spans="1:1" x14ac:dyDescent="0.2">
      <c r="A5769" s="996" t="str">
        <f>CONCATENATE(Programme!D5770,Programme!E5770,Programme!F5770,Programme!G5770,Programme!H5770,Programme!I5770,Programme!J5770)</f>
        <v>&lt;ValeurCellule&gt;</v>
      </c>
    </row>
    <row r="5770" spans="1:1" x14ac:dyDescent="0.2">
      <c r="A5770" s="996" t="str">
        <f>CONCATENATE(Programme!D5771,Programme!E5771,Programme!F5771,Programme!G5771,Programme!H5771,Programme!I5771,Programme!J5771)</f>
        <v>&lt;cellule&gt;</v>
      </c>
    </row>
    <row r="5771" spans="1:1" x14ac:dyDescent="0.2">
      <c r="A5771" s="996" t="str">
        <f>CONCATENATE(Programme!D5772,Programme!E5772,Programme!F5772,Programme!G5772,Programme!H5772,Programme!I5772,Programme!J5772)</f>
        <v>&lt;codeEdi&gt;2009&lt;/codeEdi&gt;</v>
      </c>
    </row>
    <row r="5772" spans="1:1" x14ac:dyDescent="0.2">
      <c r="A5772" s="996" t="str">
        <f>CONCATENATE(Programme!D5773,Programme!E5773,Programme!F5773,Programme!G5773,Programme!H5773,Programme!I5773,Programme!J5773)</f>
        <v>&lt;/cellule&gt;</v>
      </c>
    </row>
    <row r="5773" spans="1:1" x14ac:dyDescent="0.2">
      <c r="A5773" s="996" t="str">
        <f>CONCATENATE(Programme!D5774,Programme!E5774,Programme!F5774,Programme!G5774,Programme!H5774,Programme!I5774,Programme!J5774)</f>
        <v>&lt;valeur&gt;0&lt;/valeur&gt;</v>
      </c>
    </row>
    <row r="5774" spans="1:1" x14ac:dyDescent="0.2">
      <c r="A5774" s="996" t="str">
        <f>CONCATENATE(Programme!D5775,Programme!E5775,Programme!F5775,Programme!G5775,Programme!H5775,Programme!I5775,Programme!J5775)</f>
        <v>&lt;/ValeurCellule&gt;</v>
      </c>
    </row>
    <row r="5775" spans="1:1" x14ac:dyDescent="0.2">
      <c r="A5775" s="996" t="str">
        <f>CONCATENATE(Programme!D5776,Programme!E5776,Programme!F5776,Programme!G5776,Programme!H5776,Programme!I5776,Programme!J5776)</f>
        <v>&lt;ValeurCellule&gt;</v>
      </c>
    </row>
    <row r="5776" spans="1:1" x14ac:dyDescent="0.2">
      <c r="A5776" s="996" t="str">
        <f>CONCATENATE(Programme!D5777,Programme!E5777,Programme!F5777,Programme!G5777,Programme!H5777,Programme!I5777,Programme!J5777)</f>
        <v>&lt;cellule&gt;</v>
      </c>
    </row>
    <row r="5777" spans="1:1" x14ac:dyDescent="0.2">
      <c r="A5777" s="996" t="str">
        <f>CONCATENATE(Programme!D5778,Programme!E5778,Programme!F5778,Programme!G5778,Programme!H5778,Programme!I5778,Programme!J5778)</f>
        <v>&lt;codeEdi&gt;2010&lt;/codeEdi&gt;</v>
      </c>
    </row>
    <row r="5778" spans="1:1" x14ac:dyDescent="0.2">
      <c r="A5778" s="996" t="str">
        <f>CONCATENATE(Programme!D5779,Programme!E5779,Programme!F5779,Programme!G5779,Programme!H5779,Programme!I5779,Programme!J5779)</f>
        <v>&lt;/cellule&gt;</v>
      </c>
    </row>
    <row r="5779" spans="1:1" x14ac:dyDescent="0.2">
      <c r="A5779" s="996" t="str">
        <f>CONCATENATE(Programme!D5780,Programme!E5780,Programme!F5780,Programme!G5780,Programme!H5780,Programme!I5780,Programme!J5780)</f>
        <v>&lt;valeur&gt;0&lt;/valeur&gt;</v>
      </c>
    </row>
    <row r="5780" spans="1:1" x14ac:dyDescent="0.2">
      <c r="A5780" s="996" t="str">
        <f>CONCATENATE(Programme!D5781,Programme!E5781,Programme!F5781,Programme!G5781,Programme!H5781,Programme!I5781,Programme!J5781)</f>
        <v>&lt;/ValeurCellule&gt;</v>
      </c>
    </row>
    <row r="5781" spans="1:1" x14ac:dyDescent="0.2">
      <c r="A5781" s="996" t="str">
        <f>CONCATENATE(Programme!D5782,Programme!E5782,Programme!F5782,Programme!G5782,Programme!H5782,Programme!I5782,Programme!J5782)</f>
        <v>&lt;ValeurCellule&gt;</v>
      </c>
    </row>
    <row r="5782" spans="1:1" x14ac:dyDescent="0.2">
      <c r="A5782" s="996" t="str">
        <f>CONCATENATE(Programme!D5783,Programme!E5783,Programme!F5783,Programme!G5783,Programme!H5783,Programme!I5783,Programme!J5783)</f>
        <v>&lt;cellule&gt;</v>
      </c>
    </row>
    <row r="5783" spans="1:1" x14ac:dyDescent="0.2">
      <c r="A5783" s="996" t="str">
        <f>CONCATENATE(Programme!D5784,Programme!E5784,Programme!F5784,Programme!G5784,Programme!H5784,Programme!I5784,Programme!J5784)</f>
        <v>&lt;codeEdi&gt;2011&lt;/codeEdi&gt;</v>
      </c>
    </row>
    <row r="5784" spans="1:1" x14ac:dyDescent="0.2">
      <c r="A5784" s="996" t="str">
        <f>CONCATENATE(Programme!D5785,Programme!E5785,Programme!F5785,Programme!G5785,Programme!H5785,Programme!I5785,Programme!J5785)</f>
        <v>&lt;/cellule&gt;</v>
      </c>
    </row>
    <row r="5785" spans="1:1" x14ac:dyDescent="0.2">
      <c r="A5785" s="996" t="str">
        <f>CONCATENATE(Programme!D5786,Programme!E5786,Programme!F5786,Programme!G5786,Programme!H5786,Programme!I5786,Programme!J5786)</f>
        <v>&lt;valeur&gt;&lt;/valeur&gt;</v>
      </c>
    </row>
    <row r="5786" spans="1:1" x14ac:dyDescent="0.2">
      <c r="A5786" s="996" t="str">
        <f>CONCATENATE(Programme!D5787,Programme!E5787,Programme!F5787,Programme!G5787,Programme!H5787,Programme!I5787,Programme!J5787)</f>
        <v>&lt;/ValeurCellule&gt;</v>
      </c>
    </row>
    <row r="5787" spans="1:1" x14ac:dyDescent="0.2">
      <c r="A5787" s="996" t="str">
        <f>CONCATENATE(Programme!D5788,Programme!E5788,Programme!F5788,Programme!G5788,Programme!H5788,Programme!I5788,Programme!J5788)</f>
        <v>&lt;ValeurCellule&gt;</v>
      </c>
    </row>
    <row r="5788" spans="1:1" x14ac:dyDescent="0.2">
      <c r="A5788" s="996" t="str">
        <f>CONCATENATE(Programme!D5789,Programme!E5789,Programme!F5789,Programme!G5789,Programme!H5789,Programme!I5789,Programme!J5789)</f>
        <v>&lt;cellule&gt;</v>
      </c>
    </row>
    <row r="5789" spans="1:1" x14ac:dyDescent="0.2">
      <c r="A5789" s="996" t="str">
        <f>CONCATENATE(Programme!D5790,Programme!E5790,Programme!F5790,Programme!G5790,Programme!H5790,Programme!I5790,Programme!J5790)</f>
        <v>&lt;codeEdi&gt;2012&lt;/codeEdi&gt;</v>
      </c>
    </row>
    <row r="5790" spans="1:1" x14ac:dyDescent="0.2">
      <c r="A5790" s="996" t="str">
        <f>CONCATENATE(Programme!D5791,Programme!E5791,Programme!F5791,Programme!G5791,Programme!H5791,Programme!I5791,Programme!J5791)</f>
        <v>&lt;/cellule&gt;</v>
      </c>
    </row>
    <row r="5791" spans="1:1" x14ac:dyDescent="0.2">
      <c r="A5791" s="996" t="str">
        <f>CONCATENATE(Programme!D5792,Programme!E5792,Programme!F5792,Programme!G5792,Programme!H5792,Programme!I5792,Programme!J5792)</f>
        <v>&lt;valeur&gt;0&lt;/valeur&gt;</v>
      </c>
    </row>
    <row r="5792" spans="1:1" x14ac:dyDescent="0.2">
      <c r="A5792" s="996" t="str">
        <f>CONCATENATE(Programme!D5793,Programme!E5793,Programme!F5793,Programme!G5793,Programme!H5793,Programme!I5793,Programme!J5793)</f>
        <v>&lt;/ValeurCellule&gt;</v>
      </c>
    </row>
    <row r="5793" spans="1:1" x14ac:dyDescent="0.2">
      <c r="A5793" s="996" t="str">
        <f>CONCATENATE(Programme!D5794,Programme!E5794,Programme!F5794,Programme!G5794,Programme!H5794,Programme!I5794,Programme!J5794)</f>
        <v>&lt;ValeurCellule&gt;</v>
      </c>
    </row>
    <row r="5794" spans="1:1" x14ac:dyDescent="0.2">
      <c r="A5794" s="996" t="str">
        <f>CONCATENATE(Programme!D5795,Programme!E5795,Programme!F5795,Programme!G5795,Programme!H5795,Programme!I5795,Programme!J5795)</f>
        <v>&lt;cellule&gt;</v>
      </c>
    </row>
    <row r="5795" spans="1:1" x14ac:dyDescent="0.2">
      <c r="A5795" s="996" t="str">
        <f>CONCATENATE(Programme!D5796,Programme!E5796,Programme!F5796,Programme!G5796,Programme!H5796,Programme!I5796,Programme!J5796)</f>
        <v>&lt;codeEdi&gt;2013&lt;/codeEdi&gt;</v>
      </c>
    </row>
    <row r="5796" spans="1:1" x14ac:dyDescent="0.2">
      <c r="A5796" s="996" t="str">
        <f>CONCATENATE(Programme!D5797,Programme!E5797,Programme!F5797,Programme!G5797,Programme!H5797,Programme!I5797,Programme!J5797)</f>
        <v>&lt;/cellule&gt;</v>
      </c>
    </row>
    <row r="5797" spans="1:1" x14ac:dyDescent="0.2">
      <c r="A5797" s="996" t="str">
        <f>CONCATENATE(Programme!D5798,Programme!E5798,Programme!F5798,Programme!G5798,Programme!H5798,Programme!I5798,Programme!J5798)</f>
        <v>&lt;valeur&gt;0&lt;/valeur&gt;</v>
      </c>
    </row>
    <row r="5798" spans="1:1" x14ac:dyDescent="0.2">
      <c r="A5798" s="996" t="str">
        <f>CONCATENATE(Programme!D5799,Programme!E5799,Programme!F5799,Programme!G5799,Programme!H5799,Programme!I5799,Programme!J5799)</f>
        <v>&lt;/ValeurCellule&gt;</v>
      </c>
    </row>
    <row r="5799" spans="1:1" x14ac:dyDescent="0.2">
      <c r="A5799" s="996" t="str">
        <f>CONCATENATE(Programme!D5800,Programme!E5800,Programme!F5800,Programme!G5800,Programme!H5800,Programme!I5800,Programme!J5800)</f>
        <v>&lt;ValeurCellule&gt;</v>
      </c>
    </row>
    <row r="5800" spans="1:1" x14ac:dyDescent="0.2">
      <c r="A5800" s="996" t="str">
        <f>CONCATENATE(Programme!D5801,Programme!E5801,Programme!F5801,Programme!G5801,Programme!H5801,Programme!I5801,Programme!J5801)</f>
        <v>&lt;cellule&gt;</v>
      </c>
    </row>
    <row r="5801" spans="1:1" x14ac:dyDescent="0.2">
      <c r="A5801" s="996" t="str">
        <f>CONCATENATE(Programme!D5802,Programme!E5802,Programme!F5802,Programme!G5802,Programme!H5802,Programme!I5802,Programme!J5802)</f>
        <v>&lt;codeEdi&gt;2014&lt;/codeEdi&gt;</v>
      </c>
    </row>
    <row r="5802" spans="1:1" x14ac:dyDescent="0.2">
      <c r="A5802" s="996" t="str">
        <f>CONCATENATE(Programme!D5803,Programme!E5803,Programme!F5803,Programme!G5803,Programme!H5803,Programme!I5803,Programme!J5803)</f>
        <v>&lt;/cellule&gt;</v>
      </c>
    </row>
    <row r="5803" spans="1:1" x14ac:dyDescent="0.2">
      <c r="A5803" s="996" t="str">
        <f>CONCATENATE(Programme!D5804,Programme!E5804,Programme!F5804,Programme!G5804,Programme!H5804,Programme!I5804,Programme!J5804)</f>
        <v>&lt;valeur&gt;0&lt;/valeur&gt;</v>
      </c>
    </row>
    <row r="5804" spans="1:1" x14ac:dyDescent="0.2">
      <c r="A5804" s="996" t="str">
        <f>CONCATENATE(Programme!D5805,Programme!E5805,Programme!F5805,Programme!G5805,Programme!H5805,Programme!I5805,Programme!J5805)</f>
        <v>&lt;/ValeurCellule&gt;</v>
      </c>
    </row>
    <row r="5805" spans="1:1" x14ac:dyDescent="0.2">
      <c r="A5805" s="996" t="str">
        <f>CONCATENATE(Programme!D5806,Programme!E5806,Programme!F5806,Programme!G5806,Programme!H5806,Programme!I5806,Programme!J5806)</f>
        <v>&lt;ValeurCellule&gt;</v>
      </c>
    </row>
    <row r="5806" spans="1:1" x14ac:dyDescent="0.2">
      <c r="A5806" s="996" t="str">
        <f>CONCATENATE(Programme!D5807,Programme!E5807,Programme!F5807,Programme!G5807,Programme!H5807,Programme!I5807,Programme!J5807)</f>
        <v>&lt;cellule&gt;</v>
      </c>
    </row>
    <row r="5807" spans="1:1" x14ac:dyDescent="0.2">
      <c r="A5807" s="996" t="str">
        <f>CONCATENATE(Programme!D5808,Programme!E5808,Programme!F5808,Programme!G5808,Programme!H5808,Programme!I5808,Programme!J5808)</f>
        <v>&lt;codeEdi&gt;2022&lt;/codeEdi&gt;</v>
      </c>
    </row>
    <row r="5808" spans="1:1" x14ac:dyDescent="0.2">
      <c r="A5808" s="996" t="str">
        <f>CONCATENATE(Programme!D5809,Programme!E5809,Programme!F5809,Programme!G5809,Programme!H5809,Programme!I5809,Programme!J5809)</f>
        <v>&lt;/cellule&gt;</v>
      </c>
    </row>
    <row r="5809" spans="1:1" x14ac:dyDescent="0.2">
      <c r="A5809" s="996" t="str">
        <f>CONCATENATE(Programme!D5810,Programme!E5810,Programme!F5810,Programme!G5810,Programme!H5810,Programme!I5810,Programme!J5810)</f>
        <v>&lt;valeur&gt;&lt;/valeur&gt;</v>
      </c>
    </row>
    <row r="5810" spans="1:1" x14ac:dyDescent="0.2">
      <c r="A5810" s="996" t="str">
        <f>CONCATENATE(Programme!D5811,Programme!E5811,Programme!F5811,Programme!G5811,Programme!H5811,Programme!I5811,Programme!J5811)</f>
        <v>&lt;/ValeurCellule&gt;</v>
      </c>
    </row>
    <row r="5811" spans="1:1" x14ac:dyDescent="0.2">
      <c r="A5811" s="996" t="str">
        <f>CONCATENATE(Programme!D5812,Programme!E5812,Programme!F5812,Programme!G5812,Programme!H5812,Programme!I5812,Programme!J5812)</f>
        <v>&lt;ValeurCellule&gt;</v>
      </c>
    </row>
    <row r="5812" spans="1:1" x14ac:dyDescent="0.2">
      <c r="A5812" s="996" t="str">
        <f>CONCATENATE(Programme!D5813,Programme!E5813,Programme!F5813,Programme!G5813,Programme!H5813,Programme!I5813,Programme!J5813)</f>
        <v>&lt;cellule&gt;</v>
      </c>
    </row>
    <row r="5813" spans="1:1" x14ac:dyDescent="0.2">
      <c r="A5813" s="996" t="str">
        <f>CONCATENATE(Programme!D5814,Programme!E5814,Programme!F5814,Programme!G5814,Programme!H5814,Programme!I5814,Programme!J5814)</f>
        <v>&lt;codeEdi&gt;2024&lt;/codeEdi&gt;</v>
      </c>
    </row>
    <row r="5814" spans="1:1" x14ac:dyDescent="0.2">
      <c r="A5814" s="996" t="str">
        <f>CONCATENATE(Programme!D5815,Programme!E5815,Programme!F5815,Programme!G5815,Programme!H5815,Programme!I5815,Programme!J5815)</f>
        <v>&lt;/cellule&gt;</v>
      </c>
    </row>
    <row r="5815" spans="1:1" x14ac:dyDescent="0.2">
      <c r="A5815" s="996" t="str">
        <f>CONCATENATE(Programme!D5816,Programme!E5816,Programme!F5816,Programme!G5816,Programme!H5816,Programme!I5816,Programme!J5816)</f>
        <v>&lt;valeur&gt;0&lt;/valeur&gt;</v>
      </c>
    </row>
    <row r="5816" spans="1:1" x14ac:dyDescent="0.2">
      <c r="A5816" s="996" t="str">
        <f>CONCATENATE(Programme!D5817,Programme!E5817,Programme!F5817,Programme!G5817,Programme!H5817,Programme!I5817,Programme!J5817)</f>
        <v>&lt;/ValeurCellule&gt;</v>
      </c>
    </row>
    <row r="5817" spans="1:1" x14ac:dyDescent="0.2">
      <c r="A5817" s="996" t="str">
        <f>CONCATENATE(Programme!D5818,Programme!E5818,Programme!F5818,Programme!G5818,Programme!H5818,Programme!I5818,Programme!J5818)</f>
        <v>&lt;ValeurCellule&gt;</v>
      </c>
    </row>
    <row r="5818" spans="1:1" x14ac:dyDescent="0.2">
      <c r="A5818" s="996" t="str">
        <f>CONCATENATE(Programme!D5819,Programme!E5819,Programme!F5819,Programme!G5819,Programme!H5819,Programme!I5819,Programme!J5819)</f>
        <v>&lt;cellule&gt;</v>
      </c>
    </row>
    <row r="5819" spans="1:1" x14ac:dyDescent="0.2">
      <c r="A5819" s="996" t="str">
        <f>CONCATENATE(Programme!D5820,Programme!E5820,Programme!F5820,Programme!G5820,Programme!H5820,Programme!I5820,Programme!J5820)</f>
        <v>&lt;codeEdi&gt;2025&lt;/codeEdi&gt;</v>
      </c>
    </row>
    <row r="5820" spans="1:1" x14ac:dyDescent="0.2">
      <c r="A5820" s="996" t="str">
        <f>CONCATENATE(Programme!D5821,Programme!E5821,Programme!F5821,Programme!G5821,Programme!H5821,Programme!I5821,Programme!J5821)</f>
        <v>&lt;/cellule&gt;</v>
      </c>
    </row>
    <row r="5821" spans="1:1" x14ac:dyDescent="0.2">
      <c r="A5821" s="996" t="str">
        <f>CONCATENATE(Programme!D5822,Programme!E5822,Programme!F5822,Programme!G5822,Programme!H5822,Programme!I5822,Programme!J5822)</f>
        <v>&lt;valeur&gt;0&lt;/valeur&gt;</v>
      </c>
    </row>
    <row r="5822" spans="1:1" x14ac:dyDescent="0.2">
      <c r="A5822" s="996" t="str">
        <f>CONCATENATE(Programme!D5823,Programme!E5823,Programme!F5823,Programme!G5823,Programme!H5823,Programme!I5823,Programme!J5823)</f>
        <v>&lt;/ValeurCellule&gt;</v>
      </c>
    </row>
    <row r="5823" spans="1:1" x14ac:dyDescent="0.2">
      <c r="A5823" s="996" t="str">
        <f>CONCATENATE(Programme!D5824,Programme!E5824,Programme!F5824,Programme!G5824,Programme!H5824,Programme!I5824,Programme!J5824)</f>
        <v>&lt;ValeurCellule&gt;</v>
      </c>
    </row>
    <row r="5824" spans="1:1" x14ac:dyDescent="0.2">
      <c r="A5824" s="996" t="str">
        <f>CONCATENATE(Programme!D5825,Programme!E5825,Programme!F5825,Programme!G5825,Programme!H5825,Programme!I5825,Programme!J5825)</f>
        <v>&lt;cellule&gt;</v>
      </c>
    </row>
    <row r="5825" spans="1:1" x14ac:dyDescent="0.2">
      <c r="A5825" s="996" t="str">
        <f>CONCATENATE(Programme!D5826,Programme!E5826,Programme!F5826,Programme!G5826,Programme!H5826,Programme!I5826,Programme!J5826)</f>
        <v>&lt;codeEdi&gt;2026&lt;/codeEdi&gt;</v>
      </c>
    </row>
    <row r="5826" spans="1:1" x14ac:dyDescent="0.2">
      <c r="A5826" s="996" t="str">
        <f>CONCATENATE(Programme!D5827,Programme!E5827,Programme!F5827,Programme!G5827,Programme!H5827,Programme!I5827,Programme!J5827)</f>
        <v>&lt;/cellule&gt;</v>
      </c>
    </row>
    <row r="5827" spans="1:1" x14ac:dyDescent="0.2">
      <c r="A5827" s="996" t="str">
        <f>CONCATENATE(Programme!D5828,Programme!E5828,Programme!F5828,Programme!G5828,Programme!H5828,Programme!I5828,Programme!J5828)</f>
        <v>&lt;valeur&gt;0&lt;/valeur&gt;</v>
      </c>
    </row>
    <row r="5828" spans="1:1" x14ac:dyDescent="0.2">
      <c r="A5828" s="996" t="str">
        <f>CONCATENATE(Programme!D5829,Programme!E5829,Programme!F5829,Programme!G5829,Programme!H5829,Programme!I5829,Programme!J5829)</f>
        <v>&lt;/ValeurCellule&gt;</v>
      </c>
    </row>
    <row r="5829" spans="1:1" x14ac:dyDescent="0.2">
      <c r="A5829" s="996" t="str">
        <f>CONCATENATE(Programme!D5830,Programme!E5830,Programme!F5830,Programme!G5830,Programme!H5830,Programme!I5830,Programme!J5830)</f>
        <v>&lt;ValeurCellule&gt;</v>
      </c>
    </row>
    <row r="5830" spans="1:1" x14ac:dyDescent="0.2">
      <c r="A5830" s="996" t="str">
        <f>CONCATENATE(Programme!D5831,Programme!E5831,Programme!F5831,Programme!G5831,Programme!H5831,Programme!I5831,Programme!J5831)</f>
        <v>&lt;cellule&gt;</v>
      </c>
    </row>
    <row r="5831" spans="1:1" x14ac:dyDescent="0.2">
      <c r="A5831" s="996" t="str">
        <f>CONCATENATE(Programme!D5832,Programme!E5832,Programme!F5832,Programme!G5832,Programme!H5832,Programme!I5832,Programme!J5832)</f>
        <v>&lt;codeEdi&gt;2027&lt;/codeEdi&gt;</v>
      </c>
    </row>
    <row r="5832" spans="1:1" x14ac:dyDescent="0.2">
      <c r="A5832" s="996" t="str">
        <f>CONCATENATE(Programme!D5833,Programme!E5833,Programme!F5833,Programme!G5833,Programme!H5833,Programme!I5833,Programme!J5833)</f>
        <v>&lt;/cellule&gt;</v>
      </c>
    </row>
    <row r="5833" spans="1:1" x14ac:dyDescent="0.2">
      <c r="A5833" s="996" t="str">
        <f>CONCATENATE(Programme!D5834,Programme!E5834,Programme!F5834,Programme!G5834,Programme!H5834,Programme!I5834,Programme!J5834)</f>
        <v>&lt;valeur&gt;0&lt;/valeur&gt;</v>
      </c>
    </row>
    <row r="5834" spans="1:1" x14ac:dyDescent="0.2">
      <c r="A5834" s="996" t="str">
        <f>CONCATENATE(Programme!D5835,Programme!E5835,Programme!F5835,Programme!G5835,Programme!H5835,Programme!I5835,Programme!J5835)</f>
        <v>&lt;/ValeurCellule&gt;</v>
      </c>
    </row>
    <row r="5835" spans="1:1" x14ac:dyDescent="0.2">
      <c r="A5835" s="996" t="str">
        <f>CONCATENATE(Programme!D5836,Programme!E5836,Programme!F5836,Programme!G5836,Programme!H5836,Programme!I5836,Programme!J5836)</f>
        <v>&lt;ValeurCellule&gt;</v>
      </c>
    </row>
    <row r="5836" spans="1:1" x14ac:dyDescent="0.2">
      <c r="A5836" s="996" t="str">
        <f>CONCATENATE(Programme!D5837,Programme!E5837,Programme!F5837,Programme!G5837,Programme!H5837,Programme!I5837,Programme!J5837)</f>
        <v>&lt;cellule&gt;</v>
      </c>
    </row>
    <row r="5837" spans="1:1" x14ac:dyDescent="0.2">
      <c r="A5837" s="996" t="str">
        <f>CONCATENATE(Programme!D5838,Programme!E5838,Programme!F5838,Programme!G5838,Programme!H5838,Programme!I5838,Programme!J5838)</f>
        <v>&lt;codeEdi&gt;2028&lt;/codeEdi&gt;</v>
      </c>
    </row>
    <row r="5838" spans="1:1" x14ac:dyDescent="0.2">
      <c r="A5838" s="996" t="str">
        <f>CONCATENATE(Programme!D5839,Programme!E5839,Programme!F5839,Programme!G5839,Programme!H5839,Programme!I5839,Programme!J5839)</f>
        <v>&lt;/cellule&gt;</v>
      </c>
    </row>
    <row r="5839" spans="1:1" x14ac:dyDescent="0.2">
      <c r="A5839" s="996" t="str">
        <f>CONCATENATE(Programme!D5840,Programme!E5840,Programme!F5840,Programme!G5840,Programme!H5840,Programme!I5840,Programme!J5840)</f>
        <v>&lt;valeur&gt;0&lt;/valeur&gt;</v>
      </c>
    </row>
    <row r="5840" spans="1:1" x14ac:dyDescent="0.2">
      <c r="A5840" s="996" t="str">
        <f>CONCATENATE(Programme!D5841,Programme!E5841,Programme!F5841,Programme!G5841,Programme!H5841,Programme!I5841,Programme!J5841)</f>
        <v>&lt;/ValeurCellule&gt;</v>
      </c>
    </row>
    <row r="5841" spans="1:1" x14ac:dyDescent="0.2">
      <c r="A5841" s="996" t="str">
        <f>CONCATENATE(Programme!D5842,Programme!E5842,Programme!F5842,Programme!G5842,Programme!H5842,Programme!I5842,Programme!J5842)</f>
        <v>&lt;ValeurCellule&gt;</v>
      </c>
    </row>
    <row r="5842" spans="1:1" x14ac:dyDescent="0.2">
      <c r="A5842" s="996" t="str">
        <f>CONCATENATE(Programme!D5843,Programme!E5843,Programme!F5843,Programme!G5843,Programme!H5843,Programme!I5843,Programme!J5843)</f>
        <v>&lt;cellule&gt;</v>
      </c>
    </row>
    <row r="5843" spans="1:1" x14ac:dyDescent="0.2">
      <c r="A5843" s="996" t="str">
        <f>CONCATENATE(Programme!D5844,Programme!E5844,Programme!F5844,Programme!G5844,Programme!H5844,Programme!I5844,Programme!J5844)</f>
        <v>&lt;codeEdi&gt;2029&lt;/codeEdi&gt;</v>
      </c>
    </row>
    <row r="5844" spans="1:1" x14ac:dyDescent="0.2">
      <c r="A5844" s="996" t="str">
        <f>CONCATENATE(Programme!D5845,Programme!E5845,Programme!F5845,Programme!G5845,Programme!H5845,Programme!I5845,Programme!J5845)</f>
        <v>&lt;/cellule&gt;</v>
      </c>
    </row>
    <row r="5845" spans="1:1" x14ac:dyDescent="0.2">
      <c r="A5845" s="996" t="str">
        <f>CONCATENATE(Programme!D5846,Programme!E5846,Programme!F5846,Programme!G5846,Programme!H5846,Programme!I5846,Programme!J5846)</f>
        <v>&lt;valeur&gt;&lt;/valeur&gt;</v>
      </c>
    </row>
    <row r="5846" spans="1:1" x14ac:dyDescent="0.2">
      <c r="A5846" s="996" t="str">
        <f>CONCATENATE(Programme!D5847,Programme!E5847,Programme!F5847,Programme!G5847,Programme!H5847,Programme!I5847,Programme!J5847)</f>
        <v>&lt;/ValeurCellule&gt;</v>
      </c>
    </row>
    <row r="5847" spans="1:1" x14ac:dyDescent="0.2">
      <c r="A5847" s="996" t="str">
        <f>CONCATENATE(Programme!D5848,Programme!E5848,Programme!F5848,Programme!G5848,Programme!H5848,Programme!I5848,Programme!J5848)</f>
        <v>&lt;ValeurCellule&gt;</v>
      </c>
    </row>
    <row r="5848" spans="1:1" x14ac:dyDescent="0.2">
      <c r="A5848" s="996" t="str">
        <f>CONCATENATE(Programme!D5849,Programme!E5849,Programme!F5849,Programme!G5849,Programme!H5849,Programme!I5849,Programme!J5849)</f>
        <v>&lt;cellule&gt;</v>
      </c>
    </row>
    <row r="5849" spans="1:1" x14ac:dyDescent="0.2">
      <c r="A5849" s="996" t="str">
        <f>CONCATENATE(Programme!D5850,Programme!E5850,Programme!F5850,Programme!G5850,Programme!H5850,Programme!I5850,Programme!J5850)</f>
        <v>&lt;codeEdi&gt;2031&lt;/codeEdi&gt;</v>
      </c>
    </row>
    <row r="5850" spans="1:1" x14ac:dyDescent="0.2">
      <c r="A5850" s="996" t="str">
        <f>CONCATENATE(Programme!D5851,Programme!E5851,Programme!F5851,Programme!G5851,Programme!H5851,Programme!I5851,Programme!J5851)</f>
        <v>&lt;/cellule&gt;</v>
      </c>
    </row>
    <row r="5851" spans="1:1" x14ac:dyDescent="0.2">
      <c r="A5851" s="996" t="str">
        <f>CONCATENATE(Programme!D5852,Programme!E5852,Programme!F5852,Programme!G5852,Programme!H5852,Programme!I5852,Programme!J5852)</f>
        <v>&lt;valeur&gt;0&lt;/valeur&gt;</v>
      </c>
    </row>
    <row r="5852" spans="1:1" x14ac:dyDescent="0.2">
      <c r="A5852" s="996" t="str">
        <f>CONCATENATE(Programme!D5853,Programme!E5853,Programme!F5853,Programme!G5853,Programme!H5853,Programme!I5853,Programme!J5853)</f>
        <v>&lt;/ValeurCellule&gt;</v>
      </c>
    </row>
    <row r="5853" spans="1:1" x14ac:dyDescent="0.2">
      <c r="A5853" s="996" t="str">
        <f>CONCATENATE(Programme!D5854,Programme!E5854,Programme!F5854,Programme!G5854,Programme!H5854,Programme!I5854,Programme!J5854)</f>
        <v>&lt;ValeurCellule&gt;</v>
      </c>
    </row>
    <row r="5854" spans="1:1" x14ac:dyDescent="0.2">
      <c r="A5854" s="996" t="str">
        <f>CONCATENATE(Programme!D5855,Programme!E5855,Programme!F5855,Programme!G5855,Programme!H5855,Programme!I5855,Programme!J5855)</f>
        <v>&lt;cellule&gt;</v>
      </c>
    </row>
    <row r="5855" spans="1:1" x14ac:dyDescent="0.2">
      <c r="A5855" s="996" t="str">
        <f>CONCATENATE(Programme!D5856,Programme!E5856,Programme!F5856,Programme!G5856,Programme!H5856,Programme!I5856,Programme!J5856)</f>
        <v>&lt;codeEdi&gt;2032&lt;/codeEdi&gt;</v>
      </c>
    </row>
    <row r="5856" spans="1:1" x14ac:dyDescent="0.2">
      <c r="A5856" s="996" t="str">
        <f>CONCATENATE(Programme!D5857,Programme!E5857,Programme!F5857,Programme!G5857,Programme!H5857,Programme!I5857,Programme!J5857)</f>
        <v>&lt;/cellule&gt;</v>
      </c>
    </row>
    <row r="5857" spans="1:1" x14ac:dyDescent="0.2">
      <c r="A5857" s="996" t="str">
        <f>CONCATENATE(Programme!D5858,Programme!E5858,Programme!F5858,Programme!G5858,Programme!H5858,Programme!I5858,Programme!J5858)</f>
        <v>&lt;valeur&gt;0&lt;/valeur&gt;</v>
      </c>
    </row>
    <row r="5858" spans="1:1" x14ac:dyDescent="0.2">
      <c r="A5858" s="996" t="str">
        <f>CONCATENATE(Programme!D5859,Programme!E5859,Programme!F5859,Programme!G5859,Programme!H5859,Programme!I5859,Programme!J5859)</f>
        <v>&lt;/ValeurCellule&gt;</v>
      </c>
    </row>
    <row r="5859" spans="1:1" x14ac:dyDescent="0.2">
      <c r="A5859" s="996" t="str">
        <f>CONCATENATE(Programme!D5860,Programme!E5860,Programme!F5860,Programme!G5860,Programme!H5860,Programme!I5860,Programme!J5860)</f>
        <v>&lt;ValeurCellule&gt;</v>
      </c>
    </row>
    <row r="5860" spans="1:1" x14ac:dyDescent="0.2">
      <c r="A5860" s="996" t="str">
        <f>CONCATENATE(Programme!D5861,Programme!E5861,Programme!F5861,Programme!G5861,Programme!H5861,Programme!I5861,Programme!J5861)</f>
        <v>&lt;cellule&gt;</v>
      </c>
    </row>
    <row r="5861" spans="1:1" x14ac:dyDescent="0.2">
      <c r="A5861" s="996" t="str">
        <f>CONCATENATE(Programme!D5862,Programme!E5862,Programme!F5862,Programme!G5862,Programme!H5862,Programme!I5862,Programme!J5862)</f>
        <v>&lt;codeEdi&gt;2033&lt;/codeEdi&gt;</v>
      </c>
    </row>
    <row r="5862" spans="1:1" x14ac:dyDescent="0.2">
      <c r="A5862" s="996" t="str">
        <f>CONCATENATE(Programme!D5863,Programme!E5863,Programme!F5863,Programme!G5863,Programme!H5863,Programme!I5863,Programme!J5863)</f>
        <v>&lt;/cellule&gt;</v>
      </c>
    </row>
    <row r="5863" spans="1:1" x14ac:dyDescent="0.2">
      <c r="A5863" s="996" t="str">
        <f>CONCATENATE(Programme!D5864,Programme!E5864,Programme!F5864,Programme!G5864,Programme!H5864,Programme!I5864,Programme!J5864)</f>
        <v>&lt;valeur&gt;0&lt;/valeur&gt;</v>
      </c>
    </row>
    <row r="5864" spans="1:1" x14ac:dyDescent="0.2">
      <c r="A5864" s="996" t="str">
        <f>CONCATENATE(Programme!D5865,Programme!E5865,Programme!F5865,Programme!G5865,Programme!H5865,Programme!I5865,Programme!J5865)</f>
        <v>&lt;/ValeurCellule&gt;</v>
      </c>
    </row>
    <row r="5865" spans="1:1" x14ac:dyDescent="0.2">
      <c r="A5865" s="996" t="str">
        <f>CONCATENATE(Programme!D5866,Programme!E5866,Programme!F5866,Programme!G5866,Programme!H5866,Programme!I5866,Programme!J5866)</f>
        <v>&lt;ValeurCellule&gt;</v>
      </c>
    </row>
    <row r="5866" spans="1:1" x14ac:dyDescent="0.2">
      <c r="A5866" s="996" t="str">
        <f>CONCATENATE(Programme!D5867,Programme!E5867,Programme!F5867,Programme!G5867,Programme!H5867,Programme!I5867,Programme!J5867)</f>
        <v>&lt;cellule&gt;</v>
      </c>
    </row>
    <row r="5867" spans="1:1" x14ac:dyDescent="0.2">
      <c r="A5867" s="996" t="str">
        <f>CONCATENATE(Programme!D5868,Programme!E5868,Programme!F5868,Programme!G5868,Programme!H5868,Programme!I5868,Programme!J5868)</f>
        <v>&lt;codeEdi&gt;2034&lt;/codeEdi&gt;</v>
      </c>
    </row>
    <row r="5868" spans="1:1" x14ac:dyDescent="0.2">
      <c r="A5868" s="996" t="str">
        <f>CONCATENATE(Programme!D5869,Programme!E5869,Programme!F5869,Programme!G5869,Programme!H5869,Programme!I5869,Programme!J5869)</f>
        <v>&lt;/cellule&gt;</v>
      </c>
    </row>
    <row r="5869" spans="1:1" x14ac:dyDescent="0.2">
      <c r="A5869" s="996" t="str">
        <f>CONCATENATE(Programme!D5870,Programme!E5870,Programme!F5870,Programme!G5870,Programme!H5870,Programme!I5870,Programme!J5870)</f>
        <v>&lt;valeur&gt;0&lt;/valeur&gt;</v>
      </c>
    </row>
    <row r="5870" spans="1:1" x14ac:dyDescent="0.2">
      <c r="A5870" s="996" t="str">
        <f>CONCATENATE(Programme!D5871,Programme!E5871,Programme!F5871,Programme!G5871,Programme!H5871,Programme!I5871,Programme!J5871)</f>
        <v>&lt;/ValeurCellule&gt;</v>
      </c>
    </row>
    <row r="5871" spans="1:1" x14ac:dyDescent="0.2">
      <c r="A5871" s="996" t="str">
        <f>CONCATENATE(Programme!D5872,Programme!E5872,Programme!F5872,Programme!G5872,Programme!H5872,Programme!I5872,Programme!J5872)</f>
        <v>&lt;ValeurCellule&gt;</v>
      </c>
    </row>
    <row r="5872" spans="1:1" x14ac:dyDescent="0.2">
      <c r="A5872" s="996" t="str">
        <f>CONCATENATE(Programme!D5873,Programme!E5873,Programme!F5873,Programme!G5873,Programme!H5873,Programme!I5873,Programme!J5873)</f>
        <v>&lt;cellule&gt;</v>
      </c>
    </row>
    <row r="5873" spans="1:1" x14ac:dyDescent="0.2">
      <c r="A5873" s="996" t="str">
        <f>CONCATENATE(Programme!D5874,Programme!E5874,Programme!F5874,Programme!G5874,Programme!H5874,Programme!I5874,Programme!J5874)</f>
        <v>&lt;codeEdi&gt;2035&lt;/codeEdi&gt;</v>
      </c>
    </row>
    <row r="5874" spans="1:1" x14ac:dyDescent="0.2">
      <c r="A5874" s="996" t="str">
        <f>CONCATENATE(Programme!D5875,Programme!E5875,Programme!F5875,Programme!G5875,Programme!H5875,Programme!I5875,Programme!J5875)</f>
        <v>&lt;/cellule&gt;</v>
      </c>
    </row>
    <row r="5875" spans="1:1" x14ac:dyDescent="0.2">
      <c r="A5875" s="996" t="str">
        <f>CONCATENATE(Programme!D5876,Programme!E5876,Programme!F5876,Programme!G5876,Programme!H5876,Programme!I5876,Programme!J5876)</f>
        <v>&lt;valeur&gt;0&lt;/valeur&gt;</v>
      </c>
    </row>
    <row r="5876" spans="1:1" x14ac:dyDescent="0.2">
      <c r="A5876" s="996" t="str">
        <f>CONCATENATE(Programme!D5877,Programme!E5877,Programme!F5877,Programme!G5877,Programme!H5877,Programme!I5877,Programme!J5877)</f>
        <v>&lt;/ValeurCellule&gt;</v>
      </c>
    </row>
    <row r="5877" spans="1:1" x14ac:dyDescent="0.2">
      <c r="A5877" s="996" t="str">
        <f>CONCATENATE(Programme!D5878,Programme!E5878,Programme!F5878,Programme!G5878,Programme!H5878,Programme!I5878,Programme!J5878)</f>
        <v>&lt;/groupeValeurs&gt;</v>
      </c>
    </row>
    <row r="5878" spans="1:1" x14ac:dyDescent="0.2">
      <c r="A5878" s="996" t="str">
        <f>CONCATENATE(Programme!D5879,Programme!E5879,Programme!F5879,Programme!G5879,Programme!H5879,Programme!I5879,Programme!J5879)</f>
        <v>&lt;extraFieldvaleurs&gt;</v>
      </c>
    </row>
    <row r="5879" spans="1:1" x14ac:dyDescent="0.2">
      <c r="A5879" s="996" t="str">
        <f>CONCATENATE(Programme!D5880,Programme!E5880,Programme!F5880,Programme!G5880,Programme!H5880,Programme!I5880,Programme!J5880)</f>
        <v>&lt;ExtraFieldValeur&gt;</v>
      </c>
    </row>
    <row r="5880" spans="1:1" x14ac:dyDescent="0.2">
      <c r="A5880" s="996" t="str">
        <f>CONCATENATE(Programme!D5881,Programme!E5881,Programme!F5881,Programme!G5881,Programme!H5881,Programme!I5881,Programme!J5881)</f>
        <v xml:space="preserve"> &lt;extraField&gt;</v>
      </c>
    </row>
    <row r="5881" spans="1:1" x14ac:dyDescent="0.2">
      <c r="A5881" s="996" t="str">
        <f>CONCATENATE(Programme!D5882,Programme!E5882,Programme!F5882,Programme!G5882,Programme!H5882,Programme!I5882,Programme!J5882)</f>
        <v>&lt;code&gt;70&lt;/code&gt;</v>
      </c>
    </row>
    <row r="5882" spans="1:1" x14ac:dyDescent="0.2">
      <c r="A5882" s="996" t="str">
        <f>CONCATENATE(Programme!D5883,Programme!E5883,Programme!F5883,Programme!G5883,Programme!H5883,Programme!I5883,Programme!J5883)</f>
        <v xml:space="preserve">&lt;/extraField&gt; </v>
      </c>
    </row>
    <row r="5883" spans="1:1" x14ac:dyDescent="0.2">
      <c r="A5883" s="996" t="str">
        <f>CONCATENATE(Programme!D5884,Programme!E5884,Programme!F5884,Programme!G5884,Programme!H5884,Programme!I5884,Programme!J5884)</f>
        <v>&lt;valeur&gt;31/12/2015&lt;/valeur&gt;</v>
      </c>
    </row>
    <row r="5884" spans="1:1" x14ac:dyDescent="0.2">
      <c r="A5884" s="996" t="str">
        <f>CONCATENATE(Programme!D5885,Programme!E5885,Programme!F5885,Programme!G5885,Programme!H5885,Programme!I5885,Programme!J5885)</f>
        <v>&lt;/ExtraFieldValeur&gt;</v>
      </c>
    </row>
    <row r="5885" spans="1:1" x14ac:dyDescent="0.2">
      <c r="A5885" s="996" t="str">
        <f>CONCATENATE(Programme!D5886,Programme!E5886,Programme!F5886,Programme!G5886,Programme!H5886,Programme!I5886,Programme!J5886)</f>
        <v>&lt;/extraFieldvaleurs&gt;</v>
      </c>
    </row>
    <row r="5886" spans="1:1" x14ac:dyDescent="0.2">
      <c r="A5886" s="996" t="str">
        <f>CONCATENATE(Programme!D5887,Programme!E5887,Programme!F5887,Programme!G5887,Programme!H5887,Programme!I5887,Programme!J5887)</f>
        <v>&lt;/ValeursTableau&gt;</v>
      </c>
    </row>
    <row r="5887" spans="1:1" x14ac:dyDescent="0.2">
      <c r="A5887" s="996" t="str">
        <f>CONCATENATE(Programme!D5888,Programme!E5888,Programme!F5888,Programme!G5888,Programme!H5888,Programme!I5888,Programme!J5888)</f>
        <v>&lt;ValeursTableau&gt;</v>
      </c>
    </row>
    <row r="5888" spans="1:1" x14ac:dyDescent="0.2">
      <c r="A5888" s="996" t="str">
        <f>CONCATENATE(Programme!D5889,Programme!E5889,Programme!F5889,Programme!G5889,Programme!H5889,Programme!I5889,Programme!J5889)</f>
        <v>&lt;tableau&gt;&lt;id&gt;23&lt;/id&gt;&lt;/tableau&gt;</v>
      </c>
    </row>
    <row r="5889" spans="1:1" x14ac:dyDescent="0.2">
      <c r="A5889" s="996" t="str">
        <f>CONCATENATE(Programme!D5890,Programme!E5890,Programme!F5890,Programme!G5890,Programme!H5890,Programme!I5890,Programme!J5890)</f>
        <v>&lt;groupeValeurs&gt;</v>
      </c>
    </row>
    <row r="5890" spans="1:1" x14ac:dyDescent="0.2">
      <c r="A5890" s="996" t="str">
        <f>CONCATENATE(Programme!D5891,Programme!E5891,Programme!F5891,Programme!G5891,Programme!H5891,Programme!I5891,Programme!J5891)</f>
        <v>&lt;ValeurCellule&gt;</v>
      </c>
    </row>
    <row r="5891" spans="1:1" x14ac:dyDescent="0.2">
      <c r="A5891" s="996" t="str">
        <f>CONCATENATE(Programme!D5892,Programme!E5892,Programme!F5892,Programme!G5892,Programme!H5892,Programme!I5892,Programme!J5892)</f>
        <v>&lt;cellule&gt;&lt;codeEdi&gt;1098&lt;/codeEdi&gt;&lt;/cellule&gt;</v>
      </c>
    </row>
    <row r="5892" spans="1:1" x14ac:dyDescent="0.2">
      <c r="A5892" s="996" t="str">
        <f>CONCATENATE(Programme!D5893,Programme!E5893,Programme!F5893,Programme!G5893,Programme!H5893,Programme!I5893,Programme!J5893)</f>
        <v>&lt;valeur&gt;&lt;/valeur&gt;</v>
      </c>
    </row>
    <row r="5893" spans="1:1" x14ac:dyDescent="0.2">
      <c r="A5893" s="996" t="str">
        <f>CONCATENATE(Programme!D5894,Programme!E5894,Programme!F5894,Programme!G5894,Programme!H5894,Programme!I5894,Programme!J5894)</f>
        <v>&lt;numeroLigne&gt;1&lt;/numeroLigne&gt;</v>
      </c>
    </row>
    <row r="5894" spans="1:1" x14ac:dyDescent="0.2">
      <c r="A5894" s="996" t="str">
        <f>CONCATENATE(Programme!D5895,Programme!E5895,Programme!F5895,Programme!G5895,Programme!H5895,Programme!I5895,Programme!J5895)</f>
        <v>&lt;/ValeurCellule&gt;</v>
      </c>
    </row>
    <row r="5895" spans="1:1" x14ac:dyDescent="0.2">
      <c r="A5895" s="996" t="str">
        <f>CONCATENATE(Programme!D5896,Programme!E5896,Programme!F5896,Programme!G5896,Programme!H5896,Programme!I5896,Programme!J5896)</f>
        <v>&lt;ValeurCellule&gt;</v>
      </c>
    </row>
    <row r="5896" spans="1:1" x14ac:dyDescent="0.2">
      <c r="A5896" s="996" t="str">
        <f>CONCATENATE(Programme!D5897,Programme!E5897,Programme!F5897,Programme!G5897,Programme!H5897,Programme!I5897,Programme!J5897)</f>
        <v>&lt;cellule&gt;&lt;codeEdi&gt;1099&lt;/codeEdi&gt;&lt;/cellule&gt;</v>
      </c>
    </row>
    <row r="5897" spans="1:1" x14ac:dyDescent="0.2">
      <c r="A5897" s="996" t="str">
        <f>CONCATENATE(Programme!D5898,Programme!E5898,Programme!F5898,Programme!G5898,Programme!H5898,Programme!I5898,Programme!J5898)</f>
        <v>&lt;valeur&gt;&lt;/valeur&gt;</v>
      </c>
    </row>
    <row r="5898" spans="1:1" x14ac:dyDescent="0.2">
      <c r="A5898" s="996" t="str">
        <f>CONCATENATE(Programme!D5899,Programme!E5899,Programme!F5899,Programme!G5899,Programme!H5899,Programme!I5899,Programme!J5899)</f>
        <v>&lt;numeroLigne&gt;1&lt;/numeroLigne&gt;</v>
      </c>
    </row>
    <row r="5899" spans="1:1" x14ac:dyDescent="0.2">
      <c r="A5899" s="996" t="str">
        <f>CONCATENATE(Programme!D5900,Programme!E5900,Programme!F5900,Programme!G5900,Programme!H5900,Programme!I5900,Programme!J5900)</f>
        <v>&lt;/ValeurCellule&gt;</v>
      </c>
    </row>
    <row r="5900" spans="1:1" x14ac:dyDescent="0.2">
      <c r="A5900" s="996" t="str">
        <f>CONCATENATE(Programme!D5901,Programme!E5901,Programme!F5901,Programme!G5901,Programme!H5901,Programme!I5901,Programme!J5901)</f>
        <v>&lt;ValeurCellule&gt;</v>
      </c>
    </row>
    <row r="5901" spans="1:1" x14ac:dyDescent="0.2">
      <c r="A5901" s="996" t="str">
        <f>CONCATENATE(Programme!D5902,Programme!E5902,Programme!F5902,Programme!G5902,Programme!H5902,Programme!I5902,Programme!J5902)</f>
        <v>&lt;cellule&gt;&lt;codeEdi&gt;1100&lt;/codeEdi&gt;&lt;/cellule&gt;</v>
      </c>
    </row>
    <row r="5902" spans="1:1" x14ac:dyDescent="0.2">
      <c r="A5902" s="996" t="str">
        <f>CONCATENATE(Programme!D5903,Programme!E5903,Programme!F5903,Programme!G5903,Programme!H5903,Programme!I5903,Programme!J5903)</f>
        <v>&lt;valeur&gt;&lt;/valeur&gt;</v>
      </c>
    </row>
    <row r="5903" spans="1:1" x14ac:dyDescent="0.2">
      <c r="A5903" s="996" t="str">
        <f>CONCATENATE(Programme!D5904,Programme!E5904,Programme!F5904,Programme!G5904,Programme!H5904,Programme!I5904,Programme!J5904)</f>
        <v>&lt;numeroLigne&gt;1&lt;/numeroLigne&gt;</v>
      </c>
    </row>
    <row r="5904" spans="1:1" x14ac:dyDescent="0.2">
      <c r="A5904" s="996" t="str">
        <f>CONCATENATE(Programme!D5905,Programme!E5905,Programme!F5905,Programme!G5905,Programme!H5905,Programme!I5905,Programme!J5905)</f>
        <v>&lt;/ValeurCellule&gt;</v>
      </c>
    </row>
    <row r="5905" spans="1:1" x14ac:dyDescent="0.2">
      <c r="A5905" s="996" t="str">
        <f>CONCATENATE(Programme!D5906,Programme!E5906,Programme!F5906,Programme!G5906,Programme!H5906,Programme!I5906,Programme!J5906)</f>
        <v>&lt;ValeurCellule&gt;</v>
      </c>
    </row>
    <row r="5906" spans="1:1" x14ac:dyDescent="0.2">
      <c r="A5906" s="996" t="str">
        <f>CONCATENATE(Programme!D5907,Programme!E5907,Programme!F5907,Programme!G5907,Programme!H5907,Programme!I5907,Programme!J5907)</f>
        <v>&lt;cellule&gt;&lt;codeEdi&gt;1101&lt;/codeEdi&gt;&lt;/cellule&gt;</v>
      </c>
    </row>
    <row r="5907" spans="1:1" x14ac:dyDescent="0.2">
      <c r="A5907" s="996" t="str">
        <f>CONCATENATE(Programme!D5908,Programme!E5908,Programme!F5908,Programme!G5908,Programme!H5908,Programme!I5908,Programme!J5908)</f>
        <v>&lt;valeur&gt;&lt;/valeur&gt;</v>
      </c>
    </row>
    <row r="5908" spans="1:1" x14ac:dyDescent="0.2">
      <c r="A5908" s="996" t="str">
        <f>CONCATENATE(Programme!D5909,Programme!E5909,Programme!F5909,Programme!G5909,Programme!H5909,Programme!I5909,Programme!J5909)</f>
        <v>&lt;numeroLigne&gt;1&lt;/numeroLigne&gt;</v>
      </c>
    </row>
    <row r="5909" spans="1:1" x14ac:dyDescent="0.2">
      <c r="A5909" s="996" t="str">
        <f>CONCATENATE(Programme!D5910,Programme!E5910,Programme!F5910,Programme!G5910,Programme!H5910,Programme!I5910,Programme!J5910)</f>
        <v>&lt;/ValeurCellule&gt;</v>
      </c>
    </row>
    <row r="5910" spans="1:1" x14ac:dyDescent="0.2">
      <c r="A5910" s="996" t="str">
        <f>CONCATENATE(Programme!D5911,Programme!E5911,Programme!F5911,Programme!G5911,Programme!H5911,Programme!I5911,Programme!J5911)</f>
        <v>&lt;ValeurCellule&gt;</v>
      </c>
    </row>
    <row r="5911" spans="1:1" x14ac:dyDescent="0.2">
      <c r="A5911" s="996" t="str">
        <f>CONCATENATE(Programme!D5912,Programme!E5912,Programme!F5912,Programme!G5912,Programme!H5912,Programme!I5912,Programme!J5912)</f>
        <v>&lt;cellule&gt;&lt;codeEdi&gt;1102&lt;/codeEdi&gt;&lt;/cellule&gt;</v>
      </c>
    </row>
    <row r="5912" spans="1:1" x14ac:dyDescent="0.2">
      <c r="A5912" s="996" t="str">
        <f>CONCATENATE(Programme!D5913,Programme!E5913,Programme!F5913,Programme!G5913,Programme!H5913,Programme!I5913,Programme!J5913)</f>
        <v>&lt;valeur&gt;&lt;/valeur&gt;</v>
      </c>
    </row>
    <row r="5913" spans="1:1" x14ac:dyDescent="0.2">
      <c r="A5913" s="996" t="str">
        <f>CONCATENATE(Programme!D5914,Programme!E5914,Programme!F5914,Programme!G5914,Programme!H5914,Programme!I5914,Programme!J5914)</f>
        <v>&lt;numeroLigne&gt;1&lt;/numeroLigne&gt;</v>
      </c>
    </row>
    <row r="5914" spans="1:1" x14ac:dyDescent="0.2">
      <c r="A5914" s="996" t="str">
        <f>CONCATENATE(Programme!D5915,Programme!E5915,Programme!F5915,Programme!G5915,Programme!H5915,Programme!I5915,Programme!J5915)</f>
        <v>&lt;/ValeurCellule&gt;</v>
      </c>
    </row>
    <row r="5915" spans="1:1" x14ac:dyDescent="0.2">
      <c r="A5915" s="996" t="str">
        <f>CONCATENATE(Programme!D5916,Programme!E5916,Programme!F5916,Programme!G5916,Programme!H5916,Programme!I5916,Programme!J5916)</f>
        <v>&lt;ValeurCellule&gt;</v>
      </c>
    </row>
    <row r="5916" spans="1:1" x14ac:dyDescent="0.2">
      <c r="A5916" s="996" t="str">
        <f>CONCATENATE(Programme!D5917,Programme!E5917,Programme!F5917,Programme!G5917,Programme!H5917,Programme!I5917,Programme!J5917)</f>
        <v>&lt;cellule&gt;&lt;codeEdi&gt;1103&lt;/codeEdi&gt;&lt;/cellule&gt;</v>
      </c>
    </row>
    <row r="5917" spans="1:1" x14ac:dyDescent="0.2">
      <c r="A5917" s="996" t="str">
        <f>CONCATENATE(Programme!D5918,Programme!E5918,Programme!F5918,Programme!G5918,Programme!H5918,Programme!I5918,Programme!J5918)</f>
        <v>&lt;valeur&gt;&lt;/valeur&gt;</v>
      </c>
    </row>
    <row r="5918" spans="1:1" x14ac:dyDescent="0.2">
      <c r="A5918" s="996" t="str">
        <f>CONCATENATE(Programme!D5919,Programme!E5919,Programme!F5919,Programme!G5919,Programme!H5919,Programme!I5919,Programme!J5919)</f>
        <v>&lt;numeroLigne&gt;1&lt;/numeroLigne&gt;</v>
      </c>
    </row>
    <row r="5919" spans="1:1" x14ac:dyDescent="0.2">
      <c r="A5919" s="996" t="str">
        <f>CONCATENATE(Programme!D5920,Programme!E5920,Programme!F5920,Programme!G5920,Programme!H5920,Programme!I5920,Programme!J5920)</f>
        <v>&lt;/ValeurCellule&gt;</v>
      </c>
    </row>
    <row r="5920" spans="1:1" x14ac:dyDescent="0.2">
      <c r="A5920" s="996" t="str">
        <f>CONCATENATE(Programme!D5921,Programme!E5921,Programme!F5921,Programme!G5921,Programme!H5921,Programme!I5921,Programme!J5921)</f>
        <v>&lt;ValeurCellule&gt;</v>
      </c>
    </row>
    <row r="5921" spans="1:1" x14ac:dyDescent="0.2">
      <c r="A5921" s="996" t="str">
        <f>CONCATENATE(Programme!D5922,Programme!E5922,Programme!F5922,Programme!G5922,Programme!H5922,Programme!I5922,Programme!J5922)</f>
        <v>&lt;cellule&gt;&lt;codeEdi&gt;1104&lt;/codeEdi&gt;&lt;/cellule&gt;</v>
      </c>
    </row>
    <row r="5922" spans="1:1" x14ac:dyDescent="0.2">
      <c r="A5922" s="996" t="str">
        <f>CONCATENATE(Programme!D5923,Programme!E5923,Programme!F5923,Programme!G5923,Programme!H5923,Programme!I5923,Programme!J5923)</f>
        <v>&lt;valeur&gt;&lt;/valeur&gt;</v>
      </c>
    </row>
    <row r="5923" spans="1:1" x14ac:dyDescent="0.2">
      <c r="A5923" s="996" t="str">
        <f>CONCATENATE(Programme!D5924,Programme!E5924,Programme!F5924,Programme!G5924,Programme!H5924,Programme!I5924,Programme!J5924)</f>
        <v>&lt;numeroLigne&gt;1&lt;/numeroLigne&gt;</v>
      </c>
    </row>
    <row r="5924" spans="1:1" x14ac:dyDescent="0.2">
      <c r="A5924" s="996" t="str">
        <f>CONCATENATE(Programme!D5925,Programme!E5925,Programme!F5925,Programme!G5925,Programme!H5925,Programme!I5925,Programme!J5925)</f>
        <v>&lt;/ValeurCellule&gt;</v>
      </c>
    </row>
    <row r="5925" spans="1:1" x14ac:dyDescent="0.2">
      <c r="A5925" s="996" t="str">
        <f>CONCATENATE(Programme!D5926,Programme!E5926,Programme!F5926,Programme!G5926,Programme!H5926,Programme!I5926,Programme!J5926)</f>
        <v>&lt;ValeurCellule&gt;</v>
      </c>
    </row>
    <row r="5926" spans="1:1" x14ac:dyDescent="0.2">
      <c r="A5926" s="996" t="str">
        <f>CONCATENATE(Programme!D5927,Programme!E5927,Programme!F5927,Programme!G5927,Programme!H5927,Programme!I5927,Programme!J5927)</f>
        <v>&lt;cellule&gt;&lt;codeEdi&gt;1105&lt;/codeEdi&gt;&lt;/cellule&gt;</v>
      </c>
    </row>
    <row r="5927" spans="1:1" x14ac:dyDescent="0.2">
      <c r="A5927" s="996" t="str">
        <f>CONCATENATE(Programme!D5928,Programme!E5928,Programme!F5928,Programme!G5928,Programme!H5928,Programme!I5928,Programme!J5928)</f>
        <v>&lt;valeur&gt;&lt;/valeur&gt;</v>
      </c>
    </row>
    <row r="5928" spans="1:1" x14ac:dyDescent="0.2">
      <c r="A5928" s="996" t="str">
        <f>CONCATENATE(Programme!D5929,Programme!E5929,Programme!F5929,Programme!G5929,Programme!H5929,Programme!I5929,Programme!J5929)</f>
        <v>&lt;numeroLigne&gt;1&lt;/numeroLigne&gt;</v>
      </c>
    </row>
    <row r="5929" spans="1:1" x14ac:dyDescent="0.2">
      <c r="A5929" s="996" t="str">
        <f>CONCATENATE(Programme!D5930,Programme!E5930,Programme!F5930,Programme!G5930,Programme!H5930,Programme!I5930,Programme!J5930)</f>
        <v>&lt;/ValeurCellule&gt;</v>
      </c>
    </row>
    <row r="5930" spans="1:1" x14ac:dyDescent="0.2">
      <c r="A5930" s="996" t="str">
        <f>CONCATENATE(Programme!D5931,Programme!E5931,Programme!F5931,Programme!G5931,Programme!H5931,Programme!I5931,Programme!J5931)</f>
        <v>&lt;ValeurCellule&gt;</v>
      </c>
    </row>
    <row r="5931" spans="1:1" x14ac:dyDescent="0.2">
      <c r="A5931" s="996" t="str">
        <f>CONCATENATE(Programme!D5932,Programme!E5932,Programme!F5932,Programme!G5932,Programme!H5932,Programme!I5932,Programme!J5932)</f>
        <v>&lt;cellule&gt;&lt;codeEdi&gt;1106&lt;/codeEdi&gt;&lt;/cellule&gt;</v>
      </c>
    </row>
    <row r="5932" spans="1:1" x14ac:dyDescent="0.2">
      <c r="A5932" s="996" t="str">
        <f>CONCATENATE(Programme!D5933,Programme!E5933,Programme!F5933,Programme!G5933,Programme!H5933,Programme!I5933,Programme!J5933)</f>
        <v>&lt;valeur&gt;&lt;/valeur&gt;</v>
      </c>
    </row>
    <row r="5933" spans="1:1" x14ac:dyDescent="0.2">
      <c r="A5933" s="996" t="str">
        <f>CONCATENATE(Programme!D5934,Programme!E5934,Programme!F5934,Programme!G5934,Programme!H5934,Programme!I5934,Programme!J5934)</f>
        <v>&lt;numeroLigne&gt;1&lt;/numeroLigne&gt;</v>
      </c>
    </row>
    <row r="5934" spans="1:1" x14ac:dyDescent="0.2">
      <c r="A5934" s="996" t="str">
        <f>CONCATENATE(Programme!D5935,Programme!E5935,Programme!F5935,Programme!G5935,Programme!H5935,Programme!I5935,Programme!J5935)</f>
        <v>&lt;/ValeurCellule&gt;</v>
      </c>
    </row>
    <row r="5935" spans="1:1" x14ac:dyDescent="0.2">
      <c r="A5935" s="996" t="str">
        <f>CONCATENATE(Programme!D5936,Programme!E5936,Programme!F5936,Programme!G5936,Programme!H5936,Programme!I5936,Programme!J5936)</f>
        <v>&lt;ValeurCellule&gt;</v>
      </c>
    </row>
    <row r="5936" spans="1:1" x14ac:dyDescent="0.2">
      <c r="A5936" s="996" t="str">
        <f>CONCATENATE(Programme!D5937,Programme!E5937,Programme!F5937,Programme!G5937,Programme!H5937,Programme!I5937,Programme!J5937)</f>
        <v>&lt;cellule&gt;&lt;codeEdi&gt;1107&lt;/codeEdi&gt;&lt;/cellule&gt;</v>
      </c>
    </row>
    <row r="5937" spans="1:1" x14ac:dyDescent="0.2">
      <c r="A5937" s="996" t="str">
        <f>CONCATENATE(Programme!D5938,Programme!E5938,Programme!F5938,Programme!G5938,Programme!H5938,Programme!I5938,Programme!J5938)</f>
        <v>&lt;valeur&gt;&lt;/valeur&gt;</v>
      </c>
    </row>
    <row r="5938" spans="1:1" x14ac:dyDescent="0.2">
      <c r="A5938" s="996" t="str">
        <f>CONCATENATE(Programme!D5939,Programme!E5939,Programme!F5939,Programme!G5939,Programme!H5939,Programme!I5939,Programme!J5939)</f>
        <v>&lt;numeroLigne&gt;1&lt;/numeroLigne&gt;</v>
      </c>
    </row>
    <row r="5939" spans="1:1" x14ac:dyDescent="0.2">
      <c r="A5939" s="996" t="str">
        <f>CONCATENATE(Programme!D5940,Programme!E5940,Programme!F5940,Programme!G5940,Programme!H5940,Programme!I5940,Programme!J5940)</f>
        <v>&lt;/ValeurCellule&gt;</v>
      </c>
    </row>
    <row r="5940" spans="1:1" x14ac:dyDescent="0.2">
      <c r="A5940" s="996" t="str">
        <f>CONCATENATE(Programme!D5941,Programme!E5941,Programme!F5941,Programme!G5941,Programme!H5941,Programme!I5941,Programme!J5941)</f>
        <v>&lt;ValeurCellule&gt;</v>
      </c>
    </row>
    <row r="5941" spans="1:1" x14ac:dyDescent="0.2">
      <c r="A5941" s="996" t="str">
        <f>CONCATENATE(Programme!D5942,Programme!E5942,Programme!F5942,Programme!G5942,Programme!H5942,Programme!I5942,Programme!J5942)</f>
        <v>&lt;cellule&gt;&lt;codeEdi&gt;1108&lt;/codeEdi&gt;&lt;/cellule&gt;</v>
      </c>
    </row>
    <row r="5942" spans="1:1" x14ac:dyDescent="0.2">
      <c r="A5942" s="996" t="str">
        <f>CONCATENATE(Programme!D5943,Programme!E5943,Programme!F5943,Programme!G5943,Programme!H5943,Programme!I5943,Programme!J5943)</f>
        <v>&lt;valeur&gt;&lt;/valeur&gt;</v>
      </c>
    </row>
    <row r="5943" spans="1:1" x14ac:dyDescent="0.2">
      <c r="A5943" s="996" t="str">
        <f>CONCATENATE(Programme!D5944,Programme!E5944,Programme!F5944,Programme!G5944,Programme!H5944,Programme!I5944,Programme!J5944)</f>
        <v>&lt;numeroLigne&gt;1&lt;/numeroLigne&gt;</v>
      </c>
    </row>
    <row r="5944" spans="1:1" x14ac:dyDescent="0.2">
      <c r="A5944" s="996" t="str">
        <f>CONCATENATE(Programme!D5945,Programme!E5945,Programme!F5945,Programme!G5945,Programme!H5945,Programme!I5945,Programme!J5945)</f>
        <v>&lt;/ValeurCellule&gt;</v>
      </c>
    </row>
    <row r="5945" spans="1:1" x14ac:dyDescent="0.2">
      <c r="A5945" s="996" t="str">
        <f>CONCATENATE(Programme!D5946,Programme!E5946,Programme!F5946,Programme!G5946,Programme!H5946,Programme!I5946,Programme!J5946)</f>
        <v>&lt;ValeurCellule&gt;</v>
      </c>
    </row>
    <row r="5946" spans="1:1" x14ac:dyDescent="0.2">
      <c r="A5946" s="996" t="str">
        <f>CONCATENATE(Programme!D5947,Programme!E5947,Programme!F5947,Programme!G5947,Programme!H5947,Programme!I5947,Programme!J5947)</f>
        <v>&lt;cellule&gt;&lt;codeEdi&gt;1098&lt;/codeEdi&gt;&lt;/cellule&gt;</v>
      </c>
    </row>
    <row r="5947" spans="1:1" x14ac:dyDescent="0.2">
      <c r="A5947" s="996" t="str">
        <f>CONCATENATE(Programme!D5948,Programme!E5948,Programme!F5948,Programme!G5948,Programme!H5948,Programme!I5948,Programme!J5948)</f>
        <v>&lt;valeur&gt;&lt;/valeur&gt;</v>
      </c>
    </row>
    <row r="5948" spans="1:1" x14ac:dyDescent="0.2">
      <c r="A5948" s="996" t="str">
        <f>CONCATENATE(Programme!D5949,Programme!E5949,Programme!F5949,Programme!G5949,Programme!H5949,Programme!I5949,Programme!J5949)</f>
        <v>&lt;numeroLigne&gt;2&lt;/numeroLigne&gt;</v>
      </c>
    </row>
    <row r="5949" spans="1:1" x14ac:dyDescent="0.2">
      <c r="A5949" s="996" t="str">
        <f>CONCATENATE(Programme!D5950,Programme!E5950,Programme!F5950,Programme!G5950,Programme!H5950,Programme!I5950,Programme!J5950)</f>
        <v>&lt;/ValeurCellule&gt;</v>
      </c>
    </row>
    <row r="5950" spans="1:1" x14ac:dyDescent="0.2">
      <c r="A5950" s="996" t="str">
        <f>CONCATENATE(Programme!D5951,Programme!E5951,Programme!F5951,Programme!G5951,Programme!H5951,Programme!I5951,Programme!J5951)</f>
        <v>&lt;ValeurCellule&gt;</v>
      </c>
    </row>
    <row r="5951" spans="1:1" x14ac:dyDescent="0.2">
      <c r="A5951" s="996" t="str">
        <f>CONCATENATE(Programme!D5952,Programme!E5952,Programme!F5952,Programme!G5952,Programme!H5952,Programme!I5952,Programme!J5952)</f>
        <v>&lt;cellule&gt;&lt;codeEdi&gt;1099&lt;/codeEdi&gt;&lt;/cellule&gt;</v>
      </c>
    </row>
    <row r="5952" spans="1:1" x14ac:dyDescent="0.2">
      <c r="A5952" s="996" t="str">
        <f>CONCATENATE(Programme!D5953,Programme!E5953,Programme!F5953,Programme!G5953,Programme!H5953,Programme!I5953,Programme!J5953)</f>
        <v>&lt;valeur&gt;&lt;/valeur&gt;</v>
      </c>
    </row>
    <row r="5953" spans="1:1" x14ac:dyDescent="0.2">
      <c r="A5953" s="996" t="str">
        <f>CONCATENATE(Programme!D5954,Programme!E5954,Programme!F5954,Programme!G5954,Programme!H5954,Programme!I5954,Programme!J5954)</f>
        <v>&lt;numeroLigne&gt;2&lt;/numeroLigne&gt;</v>
      </c>
    </row>
    <row r="5954" spans="1:1" x14ac:dyDescent="0.2">
      <c r="A5954" s="996" t="str">
        <f>CONCATENATE(Programme!D5955,Programme!E5955,Programme!F5955,Programme!G5955,Programme!H5955,Programme!I5955,Programme!J5955)</f>
        <v>&lt;/ValeurCellule&gt;</v>
      </c>
    </row>
    <row r="5955" spans="1:1" x14ac:dyDescent="0.2">
      <c r="A5955" s="996" t="str">
        <f>CONCATENATE(Programme!D5956,Programme!E5956,Programme!F5956,Programme!G5956,Programme!H5956,Programme!I5956,Programme!J5956)</f>
        <v>&lt;ValeurCellule&gt;</v>
      </c>
    </row>
    <row r="5956" spans="1:1" x14ac:dyDescent="0.2">
      <c r="A5956" s="996" t="str">
        <f>CONCATENATE(Programme!D5957,Programme!E5957,Programme!F5957,Programme!G5957,Programme!H5957,Programme!I5957,Programme!J5957)</f>
        <v>&lt;cellule&gt;&lt;codeEdi&gt;1100&lt;/codeEdi&gt;&lt;/cellule&gt;</v>
      </c>
    </row>
    <row r="5957" spans="1:1" x14ac:dyDescent="0.2">
      <c r="A5957" s="996" t="str">
        <f>CONCATENATE(Programme!D5958,Programme!E5958,Programme!F5958,Programme!G5958,Programme!H5958,Programme!I5958,Programme!J5958)</f>
        <v>&lt;valeur&gt;&lt;/valeur&gt;</v>
      </c>
    </row>
    <row r="5958" spans="1:1" x14ac:dyDescent="0.2">
      <c r="A5958" s="996" t="str">
        <f>CONCATENATE(Programme!D5959,Programme!E5959,Programme!F5959,Programme!G5959,Programme!H5959,Programme!I5959,Programme!J5959)</f>
        <v>&lt;numeroLigne&gt;2&lt;/numeroLigne&gt;</v>
      </c>
    </row>
    <row r="5959" spans="1:1" x14ac:dyDescent="0.2">
      <c r="A5959" s="996" t="str">
        <f>CONCATENATE(Programme!D5960,Programme!E5960,Programme!F5960,Programme!G5960,Programme!H5960,Programme!I5960,Programme!J5960)</f>
        <v>&lt;/ValeurCellule&gt;</v>
      </c>
    </row>
    <row r="5960" spans="1:1" x14ac:dyDescent="0.2">
      <c r="A5960" s="996" t="str">
        <f>CONCATENATE(Programme!D5961,Programme!E5961,Programme!F5961,Programme!G5961,Programme!H5961,Programme!I5961,Programme!J5961)</f>
        <v>&lt;ValeurCellule&gt;</v>
      </c>
    </row>
    <row r="5961" spans="1:1" x14ac:dyDescent="0.2">
      <c r="A5961" s="996" t="str">
        <f>CONCATENATE(Programme!D5962,Programme!E5962,Programme!F5962,Programme!G5962,Programme!H5962,Programme!I5962,Programme!J5962)</f>
        <v>&lt;cellule&gt;&lt;codeEdi&gt;1101&lt;/codeEdi&gt;&lt;/cellule&gt;</v>
      </c>
    </row>
    <row r="5962" spans="1:1" x14ac:dyDescent="0.2">
      <c r="A5962" s="996" t="str">
        <f>CONCATENATE(Programme!D5963,Programme!E5963,Programme!F5963,Programme!G5963,Programme!H5963,Programme!I5963,Programme!J5963)</f>
        <v>&lt;valeur&gt;&lt;/valeur&gt;</v>
      </c>
    </row>
    <row r="5963" spans="1:1" x14ac:dyDescent="0.2">
      <c r="A5963" s="996" t="str">
        <f>CONCATENATE(Programme!D5964,Programme!E5964,Programme!F5964,Programme!G5964,Programme!H5964,Programme!I5964,Programme!J5964)</f>
        <v>&lt;numeroLigne&gt;2&lt;/numeroLigne&gt;</v>
      </c>
    </row>
    <row r="5964" spans="1:1" x14ac:dyDescent="0.2">
      <c r="A5964" s="996" t="str">
        <f>CONCATENATE(Programme!D5965,Programme!E5965,Programme!F5965,Programme!G5965,Programme!H5965,Programme!I5965,Programme!J5965)</f>
        <v>&lt;/ValeurCellule&gt;</v>
      </c>
    </row>
    <row r="5965" spans="1:1" x14ac:dyDescent="0.2">
      <c r="A5965" s="996" t="str">
        <f>CONCATENATE(Programme!D5966,Programme!E5966,Programme!F5966,Programme!G5966,Programme!H5966,Programme!I5966,Programme!J5966)</f>
        <v>&lt;ValeurCellule&gt;</v>
      </c>
    </row>
    <row r="5966" spans="1:1" x14ac:dyDescent="0.2">
      <c r="A5966" s="996" t="str">
        <f>CONCATENATE(Programme!D5967,Programme!E5967,Programme!F5967,Programme!G5967,Programme!H5967,Programme!I5967,Programme!J5967)</f>
        <v>&lt;cellule&gt;&lt;codeEdi&gt;1102&lt;/codeEdi&gt;&lt;/cellule&gt;</v>
      </c>
    </row>
    <row r="5967" spans="1:1" x14ac:dyDescent="0.2">
      <c r="A5967" s="996" t="str">
        <f>CONCATENATE(Programme!D5968,Programme!E5968,Programme!F5968,Programme!G5968,Programme!H5968,Programme!I5968,Programme!J5968)</f>
        <v>&lt;valeur&gt;&lt;/valeur&gt;</v>
      </c>
    </row>
    <row r="5968" spans="1:1" x14ac:dyDescent="0.2">
      <c r="A5968" s="996" t="str">
        <f>CONCATENATE(Programme!D5969,Programme!E5969,Programme!F5969,Programme!G5969,Programme!H5969,Programme!I5969,Programme!J5969)</f>
        <v>&lt;numeroLigne&gt;2&lt;/numeroLigne&gt;</v>
      </c>
    </row>
    <row r="5969" spans="1:1" x14ac:dyDescent="0.2">
      <c r="A5969" s="996" t="str">
        <f>CONCATENATE(Programme!D5970,Programme!E5970,Programme!F5970,Programme!G5970,Programme!H5970,Programme!I5970,Programme!J5970)</f>
        <v>&lt;/ValeurCellule&gt;</v>
      </c>
    </row>
    <row r="5970" spans="1:1" x14ac:dyDescent="0.2">
      <c r="A5970" s="996" t="str">
        <f>CONCATENATE(Programme!D5971,Programme!E5971,Programme!F5971,Programme!G5971,Programme!H5971,Programme!I5971,Programme!J5971)</f>
        <v>&lt;ValeurCellule&gt;</v>
      </c>
    </row>
    <row r="5971" spans="1:1" x14ac:dyDescent="0.2">
      <c r="A5971" s="996" t="str">
        <f>CONCATENATE(Programme!D5972,Programme!E5972,Programme!F5972,Programme!G5972,Programme!H5972,Programme!I5972,Programme!J5972)</f>
        <v>&lt;cellule&gt;&lt;codeEdi&gt;1103&lt;/codeEdi&gt;&lt;/cellule&gt;</v>
      </c>
    </row>
    <row r="5972" spans="1:1" x14ac:dyDescent="0.2">
      <c r="A5972" s="996" t="str">
        <f>CONCATENATE(Programme!D5973,Programme!E5973,Programme!F5973,Programme!G5973,Programme!H5973,Programme!I5973,Programme!J5973)</f>
        <v>&lt;valeur&gt;&lt;/valeur&gt;</v>
      </c>
    </row>
    <row r="5973" spans="1:1" x14ac:dyDescent="0.2">
      <c r="A5973" s="996" t="str">
        <f>CONCATENATE(Programme!D5974,Programme!E5974,Programme!F5974,Programme!G5974,Programme!H5974,Programme!I5974,Programme!J5974)</f>
        <v>&lt;numeroLigne&gt;2&lt;/numeroLigne&gt;</v>
      </c>
    </row>
    <row r="5974" spans="1:1" x14ac:dyDescent="0.2">
      <c r="A5974" s="996" t="str">
        <f>CONCATENATE(Programme!D5975,Programme!E5975,Programme!F5975,Programme!G5975,Programme!H5975,Programme!I5975,Programme!J5975)</f>
        <v>&lt;/ValeurCellule&gt;</v>
      </c>
    </row>
    <row r="5975" spans="1:1" x14ac:dyDescent="0.2">
      <c r="A5975" s="996" t="str">
        <f>CONCATENATE(Programme!D5976,Programme!E5976,Programme!F5976,Programme!G5976,Programme!H5976,Programme!I5976,Programme!J5976)</f>
        <v>&lt;ValeurCellule&gt;</v>
      </c>
    </row>
    <row r="5976" spans="1:1" x14ac:dyDescent="0.2">
      <c r="A5976" s="996" t="str">
        <f>CONCATENATE(Programme!D5977,Programme!E5977,Programme!F5977,Programme!G5977,Programme!H5977,Programme!I5977,Programme!J5977)</f>
        <v>&lt;cellule&gt;&lt;codeEdi&gt;1104&lt;/codeEdi&gt;&lt;/cellule&gt;</v>
      </c>
    </row>
    <row r="5977" spans="1:1" x14ac:dyDescent="0.2">
      <c r="A5977" s="996" t="str">
        <f>CONCATENATE(Programme!D5978,Programme!E5978,Programme!F5978,Programme!G5978,Programme!H5978,Programme!I5978,Programme!J5978)</f>
        <v>&lt;valeur&gt;&lt;/valeur&gt;</v>
      </c>
    </row>
    <row r="5978" spans="1:1" x14ac:dyDescent="0.2">
      <c r="A5978" s="996" t="str">
        <f>CONCATENATE(Programme!D5979,Programme!E5979,Programme!F5979,Programme!G5979,Programme!H5979,Programme!I5979,Programme!J5979)</f>
        <v>&lt;numeroLigne&gt;2&lt;/numeroLigne&gt;</v>
      </c>
    </row>
    <row r="5979" spans="1:1" x14ac:dyDescent="0.2">
      <c r="A5979" s="996" t="str">
        <f>CONCATENATE(Programme!D5980,Programme!E5980,Programme!F5980,Programme!G5980,Programme!H5980,Programme!I5980,Programme!J5980)</f>
        <v>&lt;/ValeurCellule&gt;</v>
      </c>
    </row>
    <row r="5980" spans="1:1" x14ac:dyDescent="0.2">
      <c r="A5980" s="996" t="str">
        <f>CONCATENATE(Programme!D5981,Programme!E5981,Programme!F5981,Programme!G5981,Programme!H5981,Programme!I5981,Programme!J5981)</f>
        <v>&lt;ValeurCellule&gt;</v>
      </c>
    </row>
    <row r="5981" spans="1:1" x14ac:dyDescent="0.2">
      <c r="A5981" s="996" t="str">
        <f>CONCATENATE(Programme!D5982,Programme!E5982,Programme!F5982,Programme!G5982,Programme!H5982,Programme!I5982,Programme!J5982)</f>
        <v>&lt;cellule&gt;&lt;codeEdi&gt;1105&lt;/codeEdi&gt;&lt;/cellule&gt;</v>
      </c>
    </row>
    <row r="5982" spans="1:1" x14ac:dyDescent="0.2">
      <c r="A5982" s="996" t="str">
        <f>CONCATENATE(Programme!D5983,Programme!E5983,Programme!F5983,Programme!G5983,Programme!H5983,Programme!I5983,Programme!J5983)</f>
        <v>&lt;valeur&gt;&lt;/valeur&gt;</v>
      </c>
    </row>
    <row r="5983" spans="1:1" x14ac:dyDescent="0.2">
      <c r="A5983" s="996" t="str">
        <f>CONCATENATE(Programme!D5984,Programme!E5984,Programme!F5984,Programme!G5984,Programme!H5984,Programme!I5984,Programme!J5984)</f>
        <v>&lt;numeroLigne&gt;2&lt;/numeroLigne&gt;</v>
      </c>
    </row>
    <row r="5984" spans="1:1" x14ac:dyDescent="0.2">
      <c r="A5984" s="996" t="str">
        <f>CONCATENATE(Programme!D5985,Programme!E5985,Programme!F5985,Programme!G5985,Programme!H5985,Programme!I5985,Programme!J5985)</f>
        <v>&lt;/ValeurCellule&gt;</v>
      </c>
    </row>
    <row r="5985" spans="1:1" x14ac:dyDescent="0.2">
      <c r="A5985" s="996" t="str">
        <f>CONCATENATE(Programme!D5986,Programme!E5986,Programme!F5986,Programme!G5986,Programme!H5986,Programme!I5986,Programme!J5986)</f>
        <v>&lt;ValeurCellule&gt;</v>
      </c>
    </row>
    <row r="5986" spans="1:1" x14ac:dyDescent="0.2">
      <c r="A5986" s="996" t="str">
        <f>CONCATENATE(Programme!D5987,Programme!E5987,Programme!F5987,Programme!G5987,Programme!H5987,Programme!I5987,Programme!J5987)</f>
        <v>&lt;cellule&gt;&lt;codeEdi&gt;1106&lt;/codeEdi&gt;&lt;/cellule&gt;</v>
      </c>
    </row>
    <row r="5987" spans="1:1" x14ac:dyDescent="0.2">
      <c r="A5987" s="996" t="str">
        <f>CONCATENATE(Programme!D5988,Programme!E5988,Programme!F5988,Programme!G5988,Programme!H5988,Programme!I5988,Programme!J5988)</f>
        <v>&lt;valeur&gt;&lt;/valeur&gt;</v>
      </c>
    </row>
    <row r="5988" spans="1:1" x14ac:dyDescent="0.2">
      <c r="A5988" s="996" t="str">
        <f>CONCATENATE(Programme!D5989,Programme!E5989,Programme!F5989,Programme!G5989,Programme!H5989,Programme!I5989,Programme!J5989)</f>
        <v>&lt;numeroLigne&gt;2&lt;/numeroLigne&gt;</v>
      </c>
    </row>
    <row r="5989" spans="1:1" x14ac:dyDescent="0.2">
      <c r="A5989" s="996" t="str">
        <f>CONCATENATE(Programme!D5990,Programme!E5990,Programme!F5990,Programme!G5990,Programme!H5990,Programme!I5990,Programme!J5990)</f>
        <v>&lt;/ValeurCellule&gt;</v>
      </c>
    </row>
    <row r="5990" spans="1:1" x14ac:dyDescent="0.2">
      <c r="A5990" s="996" t="str">
        <f>CONCATENATE(Programme!D5991,Programme!E5991,Programme!F5991,Programme!G5991,Programme!H5991,Programme!I5991,Programme!J5991)</f>
        <v>&lt;ValeurCellule&gt;</v>
      </c>
    </row>
    <row r="5991" spans="1:1" x14ac:dyDescent="0.2">
      <c r="A5991" s="996" t="str">
        <f>CONCATENATE(Programme!D5992,Programme!E5992,Programme!F5992,Programme!G5992,Programme!H5992,Programme!I5992,Programme!J5992)</f>
        <v>&lt;cellule&gt;&lt;codeEdi&gt;1107&lt;/codeEdi&gt;&lt;/cellule&gt;</v>
      </c>
    </row>
    <row r="5992" spans="1:1" x14ac:dyDescent="0.2">
      <c r="A5992" s="996" t="str">
        <f>CONCATENATE(Programme!D5993,Programme!E5993,Programme!F5993,Programme!G5993,Programme!H5993,Programme!I5993,Programme!J5993)</f>
        <v>&lt;valeur&gt;&lt;/valeur&gt;</v>
      </c>
    </row>
    <row r="5993" spans="1:1" x14ac:dyDescent="0.2">
      <c r="A5993" s="996" t="str">
        <f>CONCATENATE(Programme!D5994,Programme!E5994,Programme!F5994,Programme!G5994,Programme!H5994,Programme!I5994,Programme!J5994)</f>
        <v>&lt;numeroLigne&gt;2&lt;/numeroLigne&gt;</v>
      </c>
    </row>
    <row r="5994" spans="1:1" x14ac:dyDescent="0.2">
      <c r="A5994" s="996" t="str">
        <f>CONCATENATE(Programme!D5995,Programme!E5995,Programme!F5995,Programme!G5995,Programme!H5995,Programme!I5995,Programme!J5995)</f>
        <v>&lt;/ValeurCellule&gt;</v>
      </c>
    </row>
    <row r="5995" spans="1:1" x14ac:dyDescent="0.2">
      <c r="A5995" s="996" t="str">
        <f>CONCATENATE(Programme!D5996,Programme!E5996,Programme!F5996,Programme!G5996,Programme!H5996,Programme!I5996,Programme!J5996)</f>
        <v>&lt;ValeurCellule&gt;</v>
      </c>
    </row>
    <row r="5996" spans="1:1" x14ac:dyDescent="0.2">
      <c r="A5996" s="996" t="str">
        <f>CONCATENATE(Programme!D5997,Programme!E5997,Programme!F5997,Programme!G5997,Programme!H5997,Programme!I5997,Programme!J5997)</f>
        <v>&lt;cellule&gt;&lt;codeEdi&gt;1108&lt;/codeEdi&gt;&lt;/cellule&gt;</v>
      </c>
    </row>
    <row r="5997" spans="1:1" x14ac:dyDescent="0.2">
      <c r="A5997" s="996" t="str">
        <f>CONCATENATE(Programme!D5998,Programme!E5998,Programme!F5998,Programme!G5998,Programme!H5998,Programme!I5998,Programme!J5998)</f>
        <v>&lt;valeur&gt;&lt;/valeur&gt;</v>
      </c>
    </row>
    <row r="5998" spans="1:1" x14ac:dyDescent="0.2">
      <c r="A5998" s="996" t="str">
        <f>CONCATENATE(Programme!D5999,Programme!E5999,Programme!F5999,Programme!G5999,Programme!H5999,Programme!I5999,Programme!J5999)</f>
        <v>&lt;numeroLigne&gt;2&lt;/numeroLigne&gt;</v>
      </c>
    </row>
    <row r="5999" spans="1:1" x14ac:dyDescent="0.2">
      <c r="A5999" s="996" t="str">
        <f>CONCATENATE(Programme!D6000,Programme!E6000,Programme!F6000,Programme!G6000,Programme!H6000,Programme!I6000,Programme!J6000)</f>
        <v>&lt;/ValeurCellule&gt;</v>
      </c>
    </row>
    <row r="6000" spans="1:1" x14ac:dyDescent="0.2">
      <c r="A6000" s="996" t="str">
        <f>CONCATENATE(Programme!D6001,Programme!E6001,Programme!F6001,Programme!G6001,Programme!H6001,Programme!I6001,Programme!J6001)</f>
        <v>&lt;ValeurCellule&gt;</v>
      </c>
    </row>
    <row r="6001" spans="1:1" x14ac:dyDescent="0.2">
      <c r="A6001" s="996" t="str">
        <f>CONCATENATE(Programme!D6002,Programme!E6002,Programme!F6002,Programme!G6002,Programme!H6002,Programme!I6002,Programme!J6002)</f>
        <v>&lt;cellule&gt;&lt;codeEdi&gt;1098&lt;/codeEdi&gt;&lt;/cellule&gt;</v>
      </c>
    </row>
    <row r="6002" spans="1:1" x14ac:dyDescent="0.2">
      <c r="A6002" s="996" t="str">
        <f>CONCATENATE(Programme!D6003,Programme!E6003,Programme!F6003,Programme!G6003,Programme!H6003,Programme!I6003,Programme!J6003)</f>
        <v>&lt;valeur&gt;&lt;/valeur&gt;</v>
      </c>
    </row>
    <row r="6003" spans="1:1" x14ac:dyDescent="0.2">
      <c r="A6003" s="996" t="str">
        <f>CONCATENATE(Programme!D6004,Programme!E6004,Programme!F6004,Programme!G6004,Programme!H6004,Programme!I6004,Programme!J6004)</f>
        <v>&lt;numeroLigne&gt;3&lt;/numeroLigne&gt;</v>
      </c>
    </row>
    <row r="6004" spans="1:1" x14ac:dyDescent="0.2">
      <c r="A6004" s="996" t="str">
        <f>CONCATENATE(Programme!D6005,Programme!E6005,Programme!F6005,Programme!G6005,Programme!H6005,Programme!I6005,Programme!J6005)</f>
        <v>&lt;/ValeurCellule&gt;</v>
      </c>
    </row>
    <row r="6005" spans="1:1" x14ac:dyDescent="0.2">
      <c r="A6005" s="996" t="str">
        <f>CONCATENATE(Programme!D6006,Programme!E6006,Programme!F6006,Programme!G6006,Programme!H6006,Programme!I6006,Programme!J6006)</f>
        <v>&lt;ValeurCellule&gt;</v>
      </c>
    </row>
    <row r="6006" spans="1:1" x14ac:dyDescent="0.2">
      <c r="A6006" s="996" t="str">
        <f>CONCATENATE(Programme!D6007,Programme!E6007,Programme!F6007,Programme!G6007,Programme!H6007,Programme!I6007,Programme!J6007)</f>
        <v>&lt;cellule&gt;&lt;codeEdi&gt;1099&lt;/codeEdi&gt;&lt;/cellule&gt;</v>
      </c>
    </row>
    <row r="6007" spans="1:1" x14ac:dyDescent="0.2">
      <c r="A6007" s="996" t="str">
        <f>CONCATENATE(Programme!D6008,Programme!E6008,Programme!F6008,Programme!G6008,Programme!H6008,Programme!I6008,Programme!J6008)</f>
        <v>&lt;valeur&gt;&lt;/valeur&gt;</v>
      </c>
    </row>
    <row r="6008" spans="1:1" x14ac:dyDescent="0.2">
      <c r="A6008" s="996" t="str">
        <f>CONCATENATE(Programme!D6009,Programme!E6009,Programme!F6009,Programme!G6009,Programme!H6009,Programme!I6009,Programme!J6009)</f>
        <v>&lt;numeroLigne&gt;3&lt;/numeroLigne&gt;</v>
      </c>
    </row>
    <row r="6009" spans="1:1" x14ac:dyDescent="0.2">
      <c r="A6009" s="996" t="str">
        <f>CONCATENATE(Programme!D6010,Programme!E6010,Programme!F6010,Programme!G6010,Programme!H6010,Programme!I6010,Programme!J6010)</f>
        <v>&lt;/ValeurCellule&gt;</v>
      </c>
    </row>
    <row r="6010" spans="1:1" x14ac:dyDescent="0.2">
      <c r="A6010" s="996" t="str">
        <f>CONCATENATE(Programme!D6011,Programme!E6011,Programme!F6011,Programme!G6011,Programme!H6011,Programme!I6011,Programme!J6011)</f>
        <v>&lt;ValeurCellule&gt;</v>
      </c>
    </row>
    <row r="6011" spans="1:1" x14ac:dyDescent="0.2">
      <c r="A6011" s="996" t="str">
        <f>CONCATENATE(Programme!D6012,Programme!E6012,Programme!F6012,Programme!G6012,Programme!H6012,Programme!I6012,Programme!J6012)</f>
        <v>&lt;cellule&gt;&lt;codeEdi&gt;1100&lt;/codeEdi&gt;&lt;/cellule&gt;</v>
      </c>
    </row>
    <row r="6012" spans="1:1" x14ac:dyDescent="0.2">
      <c r="A6012" s="996" t="str">
        <f>CONCATENATE(Programme!D6013,Programme!E6013,Programme!F6013,Programme!G6013,Programme!H6013,Programme!I6013,Programme!J6013)</f>
        <v>&lt;valeur&gt;&lt;/valeur&gt;</v>
      </c>
    </row>
    <row r="6013" spans="1:1" x14ac:dyDescent="0.2">
      <c r="A6013" s="996" t="str">
        <f>CONCATENATE(Programme!D6014,Programme!E6014,Programme!F6014,Programme!G6014,Programme!H6014,Programme!I6014,Programme!J6014)</f>
        <v>&lt;numeroLigne&gt;3&lt;/numeroLigne&gt;</v>
      </c>
    </row>
    <row r="6014" spans="1:1" x14ac:dyDescent="0.2">
      <c r="A6014" s="996" t="str">
        <f>CONCATENATE(Programme!D6015,Programme!E6015,Programme!F6015,Programme!G6015,Programme!H6015,Programme!I6015,Programme!J6015)</f>
        <v>&lt;/ValeurCellule&gt;</v>
      </c>
    </row>
    <row r="6015" spans="1:1" x14ac:dyDescent="0.2">
      <c r="A6015" s="996" t="str">
        <f>CONCATENATE(Programme!D6016,Programme!E6016,Programme!F6016,Programme!G6016,Programme!H6016,Programme!I6016,Programme!J6016)</f>
        <v>&lt;ValeurCellule&gt;</v>
      </c>
    </row>
    <row r="6016" spans="1:1" x14ac:dyDescent="0.2">
      <c r="A6016" s="996" t="str">
        <f>CONCATENATE(Programme!D6017,Programme!E6017,Programme!F6017,Programme!G6017,Programme!H6017,Programme!I6017,Programme!J6017)</f>
        <v>&lt;cellule&gt;&lt;codeEdi&gt;1101&lt;/codeEdi&gt;&lt;/cellule&gt;</v>
      </c>
    </row>
    <row r="6017" spans="1:1" x14ac:dyDescent="0.2">
      <c r="A6017" s="996" t="str">
        <f>CONCATENATE(Programme!D6018,Programme!E6018,Programme!F6018,Programme!G6018,Programme!H6018,Programme!I6018,Programme!J6018)</f>
        <v>&lt;valeur&gt;&lt;/valeur&gt;</v>
      </c>
    </row>
    <row r="6018" spans="1:1" x14ac:dyDescent="0.2">
      <c r="A6018" s="996" t="str">
        <f>CONCATENATE(Programme!D6019,Programme!E6019,Programme!F6019,Programme!G6019,Programme!H6019,Programme!I6019,Programme!J6019)</f>
        <v>&lt;numeroLigne&gt;3&lt;/numeroLigne&gt;</v>
      </c>
    </row>
    <row r="6019" spans="1:1" x14ac:dyDescent="0.2">
      <c r="A6019" s="996" t="str">
        <f>CONCATENATE(Programme!D6020,Programme!E6020,Programme!F6020,Programme!G6020,Programme!H6020,Programme!I6020,Programme!J6020)</f>
        <v>&lt;/ValeurCellule&gt;</v>
      </c>
    </row>
    <row r="6020" spans="1:1" x14ac:dyDescent="0.2">
      <c r="A6020" s="996" t="str">
        <f>CONCATENATE(Programme!D6021,Programme!E6021,Programme!F6021,Programme!G6021,Programme!H6021,Programme!I6021,Programme!J6021)</f>
        <v>&lt;ValeurCellule&gt;</v>
      </c>
    </row>
    <row r="6021" spans="1:1" x14ac:dyDescent="0.2">
      <c r="A6021" s="996" t="str">
        <f>CONCATENATE(Programme!D6022,Programme!E6022,Programme!F6022,Programme!G6022,Programme!H6022,Programme!I6022,Programme!J6022)</f>
        <v>&lt;cellule&gt;&lt;codeEdi&gt;1102&lt;/codeEdi&gt;&lt;/cellule&gt;</v>
      </c>
    </row>
    <row r="6022" spans="1:1" x14ac:dyDescent="0.2">
      <c r="A6022" s="996" t="str">
        <f>CONCATENATE(Programme!D6023,Programme!E6023,Programme!F6023,Programme!G6023,Programme!H6023,Programme!I6023,Programme!J6023)</f>
        <v>&lt;valeur&gt;&lt;/valeur&gt;</v>
      </c>
    </row>
    <row r="6023" spans="1:1" x14ac:dyDescent="0.2">
      <c r="A6023" s="996" t="str">
        <f>CONCATENATE(Programme!D6024,Programme!E6024,Programme!F6024,Programme!G6024,Programme!H6024,Programme!I6024,Programme!J6024)</f>
        <v>&lt;numeroLigne&gt;3&lt;/numeroLigne&gt;</v>
      </c>
    </row>
    <row r="6024" spans="1:1" x14ac:dyDescent="0.2">
      <c r="A6024" s="996" t="str">
        <f>CONCATENATE(Programme!D6025,Programme!E6025,Programme!F6025,Programme!G6025,Programme!H6025,Programme!I6025,Programme!J6025)</f>
        <v>&lt;/ValeurCellule&gt;</v>
      </c>
    </row>
    <row r="6025" spans="1:1" x14ac:dyDescent="0.2">
      <c r="A6025" s="996" t="str">
        <f>CONCATENATE(Programme!D6026,Programme!E6026,Programme!F6026,Programme!G6026,Programme!H6026,Programme!I6026,Programme!J6026)</f>
        <v>&lt;ValeurCellule&gt;</v>
      </c>
    </row>
    <row r="6026" spans="1:1" x14ac:dyDescent="0.2">
      <c r="A6026" s="996" t="str">
        <f>CONCATENATE(Programme!D6027,Programme!E6027,Programme!F6027,Programme!G6027,Programme!H6027,Programme!I6027,Programme!J6027)</f>
        <v>&lt;cellule&gt;&lt;codeEdi&gt;1103&lt;/codeEdi&gt;&lt;/cellule&gt;</v>
      </c>
    </row>
    <row r="6027" spans="1:1" x14ac:dyDescent="0.2">
      <c r="A6027" s="996" t="str">
        <f>CONCATENATE(Programme!D6028,Programme!E6028,Programme!F6028,Programme!G6028,Programme!H6028,Programme!I6028,Programme!J6028)</f>
        <v>&lt;valeur&gt;&lt;/valeur&gt;</v>
      </c>
    </row>
    <row r="6028" spans="1:1" x14ac:dyDescent="0.2">
      <c r="A6028" s="996" t="str">
        <f>CONCATENATE(Programme!D6029,Programme!E6029,Programme!F6029,Programme!G6029,Programme!H6029,Programme!I6029,Programme!J6029)</f>
        <v>&lt;numeroLigne&gt;3&lt;/numeroLigne&gt;</v>
      </c>
    </row>
    <row r="6029" spans="1:1" x14ac:dyDescent="0.2">
      <c r="A6029" s="996" t="str">
        <f>CONCATENATE(Programme!D6030,Programme!E6030,Programme!F6030,Programme!G6030,Programme!H6030,Programme!I6030,Programme!J6030)</f>
        <v>&lt;/ValeurCellule&gt;</v>
      </c>
    </row>
    <row r="6030" spans="1:1" x14ac:dyDescent="0.2">
      <c r="A6030" s="996" t="str">
        <f>CONCATENATE(Programme!D6031,Programme!E6031,Programme!F6031,Programme!G6031,Programme!H6031,Programme!I6031,Programme!J6031)</f>
        <v>&lt;ValeurCellule&gt;</v>
      </c>
    </row>
    <row r="6031" spans="1:1" x14ac:dyDescent="0.2">
      <c r="A6031" s="996" t="str">
        <f>CONCATENATE(Programme!D6032,Programme!E6032,Programme!F6032,Programme!G6032,Programme!H6032,Programme!I6032,Programme!J6032)</f>
        <v>&lt;cellule&gt;&lt;codeEdi&gt;1104&lt;/codeEdi&gt;&lt;/cellule&gt;</v>
      </c>
    </row>
    <row r="6032" spans="1:1" x14ac:dyDescent="0.2">
      <c r="A6032" s="996" t="str">
        <f>CONCATENATE(Programme!D6033,Programme!E6033,Programme!F6033,Programme!G6033,Programme!H6033,Programme!I6033,Programme!J6033)</f>
        <v>&lt;valeur&gt;&lt;/valeur&gt;</v>
      </c>
    </row>
    <row r="6033" spans="1:1" x14ac:dyDescent="0.2">
      <c r="A6033" s="996" t="str">
        <f>CONCATENATE(Programme!D6034,Programme!E6034,Programme!F6034,Programme!G6034,Programme!H6034,Programme!I6034,Programme!J6034)</f>
        <v>&lt;numeroLigne&gt;3&lt;/numeroLigne&gt;</v>
      </c>
    </row>
    <row r="6034" spans="1:1" x14ac:dyDescent="0.2">
      <c r="A6034" s="996" t="str">
        <f>CONCATENATE(Programme!D6035,Programme!E6035,Programme!F6035,Programme!G6035,Programme!H6035,Programme!I6035,Programme!J6035)</f>
        <v>&lt;/ValeurCellule&gt;</v>
      </c>
    </row>
    <row r="6035" spans="1:1" x14ac:dyDescent="0.2">
      <c r="A6035" s="996" t="str">
        <f>CONCATENATE(Programme!D6036,Programme!E6036,Programme!F6036,Programme!G6036,Programme!H6036,Programme!I6036,Programme!J6036)</f>
        <v>&lt;ValeurCellule&gt;</v>
      </c>
    </row>
    <row r="6036" spans="1:1" x14ac:dyDescent="0.2">
      <c r="A6036" s="996" t="str">
        <f>CONCATENATE(Programme!D6037,Programme!E6037,Programme!F6037,Programme!G6037,Programme!H6037,Programme!I6037,Programme!J6037)</f>
        <v>&lt;cellule&gt;&lt;codeEdi&gt;1105&lt;/codeEdi&gt;&lt;/cellule&gt;</v>
      </c>
    </row>
    <row r="6037" spans="1:1" x14ac:dyDescent="0.2">
      <c r="A6037" s="996" t="str">
        <f>CONCATENATE(Programme!D6038,Programme!E6038,Programme!F6038,Programme!G6038,Programme!H6038,Programme!I6038,Programme!J6038)</f>
        <v>&lt;valeur&gt;&lt;/valeur&gt;</v>
      </c>
    </row>
    <row r="6038" spans="1:1" x14ac:dyDescent="0.2">
      <c r="A6038" s="996" t="str">
        <f>CONCATENATE(Programme!D6039,Programme!E6039,Programme!F6039,Programme!G6039,Programme!H6039,Programme!I6039,Programme!J6039)</f>
        <v>&lt;numeroLigne&gt;3&lt;/numeroLigne&gt;</v>
      </c>
    </row>
    <row r="6039" spans="1:1" x14ac:dyDescent="0.2">
      <c r="A6039" s="996" t="str">
        <f>CONCATENATE(Programme!D6040,Programme!E6040,Programme!F6040,Programme!G6040,Programme!H6040,Programme!I6040,Programme!J6040)</f>
        <v>&lt;/ValeurCellule&gt;</v>
      </c>
    </row>
    <row r="6040" spans="1:1" x14ac:dyDescent="0.2">
      <c r="A6040" s="996" t="str">
        <f>CONCATENATE(Programme!D6041,Programme!E6041,Programme!F6041,Programme!G6041,Programme!H6041,Programme!I6041,Programme!J6041)</f>
        <v>&lt;ValeurCellule&gt;</v>
      </c>
    </row>
    <row r="6041" spans="1:1" x14ac:dyDescent="0.2">
      <c r="A6041" s="996" t="str">
        <f>CONCATENATE(Programme!D6042,Programme!E6042,Programme!F6042,Programme!G6042,Programme!H6042,Programme!I6042,Programme!J6042)</f>
        <v>&lt;cellule&gt;&lt;codeEdi&gt;1106&lt;/codeEdi&gt;&lt;/cellule&gt;</v>
      </c>
    </row>
    <row r="6042" spans="1:1" x14ac:dyDescent="0.2">
      <c r="A6042" s="996" t="str">
        <f>CONCATENATE(Programme!D6043,Programme!E6043,Programme!F6043,Programme!G6043,Programme!H6043,Programme!I6043,Programme!J6043)</f>
        <v>&lt;valeur&gt;&lt;/valeur&gt;</v>
      </c>
    </row>
    <row r="6043" spans="1:1" x14ac:dyDescent="0.2">
      <c r="A6043" s="996" t="str">
        <f>CONCATENATE(Programme!D6044,Programme!E6044,Programme!F6044,Programme!G6044,Programme!H6044,Programme!I6044,Programme!J6044)</f>
        <v>&lt;numeroLigne&gt;3&lt;/numeroLigne&gt;</v>
      </c>
    </row>
    <row r="6044" spans="1:1" x14ac:dyDescent="0.2">
      <c r="A6044" s="996" t="str">
        <f>CONCATENATE(Programme!D6045,Programme!E6045,Programme!F6045,Programme!G6045,Programme!H6045,Programme!I6045,Programme!J6045)</f>
        <v>&lt;/ValeurCellule&gt;</v>
      </c>
    </row>
    <row r="6045" spans="1:1" x14ac:dyDescent="0.2">
      <c r="A6045" s="996" t="str">
        <f>CONCATENATE(Programme!D6046,Programme!E6046,Programme!F6046,Programme!G6046,Programme!H6046,Programme!I6046,Programme!J6046)</f>
        <v>&lt;ValeurCellule&gt;</v>
      </c>
    </row>
    <row r="6046" spans="1:1" x14ac:dyDescent="0.2">
      <c r="A6046" s="996" t="str">
        <f>CONCATENATE(Programme!D6047,Programme!E6047,Programme!F6047,Programme!G6047,Programme!H6047,Programme!I6047,Programme!J6047)</f>
        <v>&lt;cellule&gt;&lt;codeEdi&gt;1107&lt;/codeEdi&gt;&lt;/cellule&gt;</v>
      </c>
    </row>
    <row r="6047" spans="1:1" x14ac:dyDescent="0.2">
      <c r="A6047" s="996" t="str">
        <f>CONCATENATE(Programme!D6048,Programme!E6048,Programme!F6048,Programme!G6048,Programme!H6048,Programme!I6048,Programme!J6048)</f>
        <v>&lt;valeur&gt;&lt;/valeur&gt;</v>
      </c>
    </row>
    <row r="6048" spans="1:1" x14ac:dyDescent="0.2">
      <c r="A6048" s="996" t="str">
        <f>CONCATENATE(Programme!D6049,Programme!E6049,Programme!F6049,Programme!G6049,Programme!H6049,Programme!I6049,Programme!J6049)</f>
        <v>&lt;numeroLigne&gt;3&lt;/numeroLigne&gt;</v>
      </c>
    </row>
    <row r="6049" spans="1:1" x14ac:dyDescent="0.2">
      <c r="A6049" s="996" t="str">
        <f>CONCATENATE(Programme!D6050,Programme!E6050,Programme!F6050,Programme!G6050,Programme!H6050,Programme!I6050,Programme!J6050)</f>
        <v>&lt;/ValeurCellule&gt;</v>
      </c>
    </row>
    <row r="6050" spans="1:1" x14ac:dyDescent="0.2">
      <c r="A6050" s="996" t="str">
        <f>CONCATENATE(Programme!D6051,Programme!E6051,Programme!F6051,Programme!G6051,Programme!H6051,Programme!I6051,Programme!J6051)</f>
        <v>&lt;ValeurCellule&gt;</v>
      </c>
    </row>
    <row r="6051" spans="1:1" x14ac:dyDescent="0.2">
      <c r="A6051" s="996" t="str">
        <f>CONCATENATE(Programme!D6052,Programme!E6052,Programme!F6052,Programme!G6052,Programme!H6052,Programme!I6052,Programme!J6052)</f>
        <v>&lt;cellule&gt;&lt;codeEdi&gt;1108&lt;/codeEdi&gt;&lt;/cellule&gt;</v>
      </c>
    </row>
    <row r="6052" spans="1:1" x14ac:dyDescent="0.2">
      <c r="A6052" s="996" t="str">
        <f>CONCATENATE(Programme!D6053,Programme!E6053,Programme!F6053,Programme!G6053,Programme!H6053,Programme!I6053,Programme!J6053)</f>
        <v>&lt;valeur&gt;&lt;/valeur&gt;</v>
      </c>
    </row>
    <row r="6053" spans="1:1" x14ac:dyDescent="0.2">
      <c r="A6053" s="996" t="str">
        <f>CONCATENATE(Programme!D6054,Programme!E6054,Programme!F6054,Programme!G6054,Programme!H6054,Programme!I6054,Programme!J6054)</f>
        <v>&lt;numeroLigne&gt;3&lt;/numeroLigne&gt;</v>
      </c>
    </row>
    <row r="6054" spans="1:1" x14ac:dyDescent="0.2">
      <c r="A6054" s="996" t="str">
        <f>CONCATENATE(Programme!D6055,Programme!E6055,Programme!F6055,Programme!G6055,Programme!H6055,Programme!I6055,Programme!J6055)</f>
        <v>&lt;/ValeurCellule&gt;</v>
      </c>
    </row>
    <row r="6055" spans="1:1" x14ac:dyDescent="0.2">
      <c r="A6055" s="996" t="str">
        <f>CONCATENATE(Programme!D6056,Programme!E6056,Programme!F6056,Programme!G6056,Programme!H6056,Programme!I6056,Programme!J6056)</f>
        <v>&lt;ValeurCellule&gt;</v>
      </c>
    </row>
    <row r="6056" spans="1:1" x14ac:dyDescent="0.2">
      <c r="A6056" s="996" t="str">
        <f>CONCATENATE(Programme!D6057,Programme!E6057,Programme!F6057,Programme!G6057,Programme!H6057,Programme!I6057,Programme!J6057)</f>
        <v>&lt;cellule&gt;&lt;codeEdi&gt;1098&lt;/codeEdi&gt;&lt;/cellule&gt;</v>
      </c>
    </row>
    <row r="6057" spans="1:1" x14ac:dyDescent="0.2">
      <c r="A6057" s="996" t="str">
        <f>CONCATENATE(Programme!D6058,Programme!E6058,Programme!F6058,Programme!G6058,Programme!H6058,Programme!I6058,Programme!J6058)</f>
        <v>&lt;valeur&gt;&lt;/valeur&gt;</v>
      </c>
    </row>
    <row r="6058" spans="1:1" x14ac:dyDescent="0.2">
      <c r="A6058" s="996" t="str">
        <f>CONCATENATE(Programme!D6059,Programme!E6059,Programme!F6059,Programme!G6059,Programme!H6059,Programme!I6059,Programme!J6059)</f>
        <v>&lt;numeroLigne&gt;4&lt;/numeroLigne&gt;</v>
      </c>
    </row>
    <row r="6059" spans="1:1" x14ac:dyDescent="0.2">
      <c r="A6059" s="996" t="str">
        <f>CONCATENATE(Programme!D6060,Programme!E6060,Programme!F6060,Programme!G6060,Programme!H6060,Programme!I6060,Programme!J6060)</f>
        <v>&lt;/ValeurCellule&gt;</v>
      </c>
    </row>
    <row r="6060" spans="1:1" x14ac:dyDescent="0.2">
      <c r="A6060" s="996" t="str">
        <f>CONCATENATE(Programme!D6061,Programme!E6061,Programme!F6061,Programme!G6061,Programme!H6061,Programme!I6061,Programme!J6061)</f>
        <v>&lt;ValeurCellule&gt;</v>
      </c>
    </row>
    <row r="6061" spans="1:1" x14ac:dyDescent="0.2">
      <c r="A6061" s="996" t="str">
        <f>CONCATENATE(Programme!D6062,Programme!E6062,Programme!F6062,Programme!G6062,Programme!H6062,Programme!I6062,Programme!J6062)</f>
        <v>&lt;cellule&gt;&lt;codeEdi&gt;1099&lt;/codeEdi&gt;&lt;/cellule&gt;</v>
      </c>
    </row>
    <row r="6062" spans="1:1" x14ac:dyDescent="0.2">
      <c r="A6062" s="996" t="str">
        <f>CONCATENATE(Programme!D6063,Programme!E6063,Programme!F6063,Programme!G6063,Programme!H6063,Programme!I6063,Programme!J6063)</f>
        <v>&lt;valeur&gt;&lt;/valeur&gt;</v>
      </c>
    </row>
    <row r="6063" spans="1:1" x14ac:dyDescent="0.2">
      <c r="A6063" s="996" t="str">
        <f>CONCATENATE(Programme!D6064,Programme!E6064,Programme!F6064,Programme!G6064,Programme!H6064,Programme!I6064,Programme!J6064)</f>
        <v>&lt;numeroLigne&gt;4&lt;/numeroLigne&gt;</v>
      </c>
    </row>
    <row r="6064" spans="1:1" x14ac:dyDescent="0.2">
      <c r="A6064" s="996" t="str">
        <f>CONCATENATE(Programme!D6065,Programme!E6065,Programme!F6065,Programme!G6065,Programme!H6065,Programme!I6065,Programme!J6065)</f>
        <v>&lt;/ValeurCellule&gt;</v>
      </c>
    </row>
    <row r="6065" spans="1:1" x14ac:dyDescent="0.2">
      <c r="A6065" s="996" t="str">
        <f>CONCATENATE(Programme!D6066,Programme!E6066,Programme!F6066,Programme!G6066,Programme!H6066,Programme!I6066,Programme!J6066)</f>
        <v>&lt;ValeurCellule&gt;</v>
      </c>
    </row>
    <row r="6066" spans="1:1" x14ac:dyDescent="0.2">
      <c r="A6066" s="996" t="str">
        <f>CONCATENATE(Programme!D6067,Programme!E6067,Programme!F6067,Programme!G6067,Programme!H6067,Programme!I6067,Programme!J6067)</f>
        <v>&lt;cellule&gt;&lt;codeEdi&gt;1100&lt;/codeEdi&gt;&lt;/cellule&gt;</v>
      </c>
    </row>
    <row r="6067" spans="1:1" x14ac:dyDescent="0.2">
      <c r="A6067" s="996" t="str">
        <f>CONCATENATE(Programme!D6068,Programme!E6068,Programme!F6068,Programme!G6068,Programme!H6068,Programme!I6068,Programme!J6068)</f>
        <v>&lt;valeur&gt;&lt;/valeur&gt;</v>
      </c>
    </row>
    <row r="6068" spans="1:1" x14ac:dyDescent="0.2">
      <c r="A6068" s="996" t="str">
        <f>CONCATENATE(Programme!D6069,Programme!E6069,Programme!F6069,Programme!G6069,Programme!H6069,Programme!I6069,Programme!J6069)</f>
        <v>&lt;numeroLigne&gt;4&lt;/numeroLigne&gt;</v>
      </c>
    </row>
    <row r="6069" spans="1:1" x14ac:dyDescent="0.2">
      <c r="A6069" s="996" t="str">
        <f>CONCATENATE(Programme!D6070,Programme!E6070,Programme!F6070,Programme!G6070,Programme!H6070,Programme!I6070,Programme!J6070)</f>
        <v>&lt;/ValeurCellule&gt;</v>
      </c>
    </row>
    <row r="6070" spans="1:1" x14ac:dyDescent="0.2">
      <c r="A6070" s="996" t="str">
        <f>CONCATENATE(Programme!D6071,Programme!E6071,Programme!F6071,Programme!G6071,Programme!H6071,Programme!I6071,Programme!J6071)</f>
        <v>&lt;ValeurCellule&gt;</v>
      </c>
    </row>
    <row r="6071" spans="1:1" x14ac:dyDescent="0.2">
      <c r="A6071" s="996" t="str">
        <f>CONCATENATE(Programme!D6072,Programme!E6072,Programme!F6072,Programme!G6072,Programme!H6072,Programme!I6072,Programme!J6072)</f>
        <v>&lt;cellule&gt;&lt;codeEdi&gt;1101&lt;/codeEdi&gt;&lt;/cellule&gt;</v>
      </c>
    </row>
    <row r="6072" spans="1:1" x14ac:dyDescent="0.2">
      <c r="A6072" s="996" t="str">
        <f>CONCATENATE(Programme!D6073,Programme!E6073,Programme!F6073,Programme!G6073,Programme!H6073,Programme!I6073,Programme!J6073)</f>
        <v>&lt;valeur&gt;&lt;/valeur&gt;</v>
      </c>
    </row>
    <row r="6073" spans="1:1" x14ac:dyDescent="0.2">
      <c r="A6073" s="996" t="str">
        <f>CONCATENATE(Programme!D6074,Programme!E6074,Programme!F6074,Programme!G6074,Programme!H6074,Programme!I6074,Programme!J6074)</f>
        <v>&lt;numeroLigne&gt;4&lt;/numeroLigne&gt;</v>
      </c>
    </row>
    <row r="6074" spans="1:1" x14ac:dyDescent="0.2">
      <c r="A6074" s="996" t="str">
        <f>CONCATENATE(Programme!D6075,Programme!E6075,Programme!F6075,Programme!G6075,Programme!H6075,Programme!I6075,Programme!J6075)</f>
        <v>&lt;/ValeurCellule&gt;</v>
      </c>
    </row>
    <row r="6075" spans="1:1" x14ac:dyDescent="0.2">
      <c r="A6075" s="996" t="str">
        <f>CONCATENATE(Programme!D6076,Programme!E6076,Programme!F6076,Programme!G6076,Programme!H6076,Programme!I6076,Programme!J6076)</f>
        <v>&lt;ValeurCellule&gt;</v>
      </c>
    </row>
    <row r="6076" spans="1:1" x14ac:dyDescent="0.2">
      <c r="A6076" s="996" t="str">
        <f>CONCATENATE(Programme!D6077,Programme!E6077,Programme!F6077,Programme!G6077,Programme!H6077,Programme!I6077,Programme!J6077)</f>
        <v>&lt;cellule&gt;&lt;codeEdi&gt;1102&lt;/codeEdi&gt;&lt;/cellule&gt;</v>
      </c>
    </row>
    <row r="6077" spans="1:1" x14ac:dyDescent="0.2">
      <c r="A6077" s="996" t="str">
        <f>CONCATENATE(Programme!D6078,Programme!E6078,Programme!F6078,Programme!G6078,Programme!H6078,Programme!I6078,Programme!J6078)</f>
        <v>&lt;valeur&gt;&lt;/valeur&gt;</v>
      </c>
    </row>
    <row r="6078" spans="1:1" x14ac:dyDescent="0.2">
      <c r="A6078" s="996" t="str">
        <f>CONCATENATE(Programme!D6079,Programme!E6079,Programme!F6079,Programme!G6079,Programme!H6079,Programme!I6079,Programme!J6079)</f>
        <v>&lt;numeroLigne&gt;4&lt;/numeroLigne&gt;</v>
      </c>
    </row>
    <row r="6079" spans="1:1" x14ac:dyDescent="0.2">
      <c r="A6079" s="996" t="str">
        <f>CONCATENATE(Programme!D6080,Programme!E6080,Programme!F6080,Programme!G6080,Programme!H6080,Programme!I6080,Programme!J6080)</f>
        <v>&lt;/ValeurCellule&gt;</v>
      </c>
    </row>
    <row r="6080" spans="1:1" x14ac:dyDescent="0.2">
      <c r="A6080" s="996" t="str">
        <f>CONCATENATE(Programme!D6081,Programme!E6081,Programme!F6081,Programme!G6081,Programme!H6081,Programme!I6081,Programme!J6081)</f>
        <v>&lt;ValeurCellule&gt;</v>
      </c>
    </row>
    <row r="6081" spans="1:1" x14ac:dyDescent="0.2">
      <c r="A6081" s="996" t="str">
        <f>CONCATENATE(Programme!D6082,Programme!E6082,Programme!F6082,Programme!G6082,Programme!H6082,Programme!I6082,Programme!J6082)</f>
        <v>&lt;cellule&gt;&lt;codeEdi&gt;1103&lt;/codeEdi&gt;&lt;/cellule&gt;</v>
      </c>
    </row>
    <row r="6082" spans="1:1" x14ac:dyDescent="0.2">
      <c r="A6082" s="996" t="str">
        <f>CONCATENATE(Programme!D6083,Programme!E6083,Programme!F6083,Programme!G6083,Programme!H6083,Programme!I6083,Programme!J6083)</f>
        <v>&lt;valeur&gt;&lt;/valeur&gt;</v>
      </c>
    </row>
    <row r="6083" spans="1:1" x14ac:dyDescent="0.2">
      <c r="A6083" s="996" t="str">
        <f>CONCATENATE(Programme!D6084,Programme!E6084,Programme!F6084,Programme!G6084,Programme!H6084,Programme!I6084,Programme!J6084)</f>
        <v>&lt;numeroLigne&gt;4&lt;/numeroLigne&gt;</v>
      </c>
    </row>
    <row r="6084" spans="1:1" x14ac:dyDescent="0.2">
      <c r="A6084" s="996" t="str">
        <f>CONCATENATE(Programme!D6085,Programme!E6085,Programme!F6085,Programme!G6085,Programme!H6085,Programme!I6085,Programme!J6085)</f>
        <v>&lt;/ValeurCellule&gt;</v>
      </c>
    </row>
    <row r="6085" spans="1:1" x14ac:dyDescent="0.2">
      <c r="A6085" s="996" t="str">
        <f>CONCATENATE(Programme!D6086,Programme!E6086,Programme!F6086,Programme!G6086,Programme!H6086,Programme!I6086,Programme!J6086)</f>
        <v>&lt;ValeurCellule&gt;</v>
      </c>
    </row>
    <row r="6086" spans="1:1" x14ac:dyDescent="0.2">
      <c r="A6086" s="996" t="str">
        <f>CONCATENATE(Programme!D6087,Programme!E6087,Programme!F6087,Programme!G6087,Programme!H6087,Programme!I6087,Programme!J6087)</f>
        <v>&lt;cellule&gt;&lt;codeEdi&gt;1104&lt;/codeEdi&gt;&lt;/cellule&gt;</v>
      </c>
    </row>
    <row r="6087" spans="1:1" x14ac:dyDescent="0.2">
      <c r="A6087" s="996" t="str">
        <f>CONCATENATE(Programme!D6088,Programme!E6088,Programme!F6088,Programme!G6088,Programme!H6088,Programme!I6088,Programme!J6088)</f>
        <v>&lt;valeur&gt;&lt;/valeur&gt;</v>
      </c>
    </row>
    <row r="6088" spans="1:1" x14ac:dyDescent="0.2">
      <c r="A6088" s="996" t="str">
        <f>CONCATENATE(Programme!D6089,Programme!E6089,Programme!F6089,Programme!G6089,Programme!H6089,Programme!I6089,Programme!J6089)</f>
        <v>&lt;numeroLigne&gt;4&lt;/numeroLigne&gt;</v>
      </c>
    </row>
    <row r="6089" spans="1:1" x14ac:dyDescent="0.2">
      <c r="A6089" s="996" t="str">
        <f>CONCATENATE(Programme!D6090,Programme!E6090,Programme!F6090,Programme!G6090,Programme!H6090,Programme!I6090,Programme!J6090)</f>
        <v>&lt;/ValeurCellule&gt;</v>
      </c>
    </row>
    <row r="6090" spans="1:1" x14ac:dyDescent="0.2">
      <c r="A6090" s="996" t="str">
        <f>CONCATENATE(Programme!D6091,Programme!E6091,Programme!F6091,Programme!G6091,Programme!H6091,Programme!I6091,Programme!J6091)</f>
        <v>&lt;ValeurCellule&gt;</v>
      </c>
    </row>
    <row r="6091" spans="1:1" x14ac:dyDescent="0.2">
      <c r="A6091" s="996" t="str">
        <f>CONCATENATE(Programme!D6092,Programme!E6092,Programme!F6092,Programme!G6092,Programme!H6092,Programme!I6092,Programme!J6092)</f>
        <v>&lt;cellule&gt;&lt;codeEdi&gt;1105&lt;/codeEdi&gt;&lt;/cellule&gt;</v>
      </c>
    </row>
    <row r="6092" spans="1:1" x14ac:dyDescent="0.2">
      <c r="A6092" s="996" t="str">
        <f>CONCATENATE(Programme!D6093,Programme!E6093,Programme!F6093,Programme!G6093,Programme!H6093,Programme!I6093,Programme!J6093)</f>
        <v>&lt;valeur&gt;&lt;/valeur&gt;</v>
      </c>
    </row>
    <row r="6093" spans="1:1" x14ac:dyDescent="0.2">
      <c r="A6093" s="996" t="str">
        <f>CONCATENATE(Programme!D6094,Programme!E6094,Programme!F6094,Programme!G6094,Programme!H6094,Programme!I6094,Programme!J6094)</f>
        <v>&lt;numeroLigne&gt;4&lt;/numeroLigne&gt;</v>
      </c>
    </row>
    <row r="6094" spans="1:1" x14ac:dyDescent="0.2">
      <c r="A6094" s="996" t="str">
        <f>CONCATENATE(Programme!D6095,Programme!E6095,Programme!F6095,Programme!G6095,Programme!H6095,Programme!I6095,Programme!J6095)</f>
        <v>&lt;/ValeurCellule&gt;</v>
      </c>
    </row>
    <row r="6095" spans="1:1" x14ac:dyDescent="0.2">
      <c r="A6095" s="996" t="str">
        <f>CONCATENATE(Programme!D6096,Programme!E6096,Programme!F6096,Programme!G6096,Programme!H6096,Programme!I6096,Programme!J6096)</f>
        <v>&lt;ValeurCellule&gt;</v>
      </c>
    </row>
    <row r="6096" spans="1:1" x14ac:dyDescent="0.2">
      <c r="A6096" s="996" t="str">
        <f>CONCATENATE(Programme!D6097,Programme!E6097,Programme!F6097,Programme!G6097,Programme!H6097,Programme!I6097,Programme!J6097)</f>
        <v>&lt;cellule&gt;&lt;codeEdi&gt;1106&lt;/codeEdi&gt;&lt;/cellule&gt;</v>
      </c>
    </row>
    <row r="6097" spans="1:1" x14ac:dyDescent="0.2">
      <c r="A6097" s="996" t="str">
        <f>CONCATENATE(Programme!D6098,Programme!E6098,Programme!F6098,Programme!G6098,Programme!H6098,Programme!I6098,Programme!J6098)</f>
        <v>&lt;valeur&gt;&lt;/valeur&gt;</v>
      </c>
    </row>
    <row r="6098" spans="1:1" x14ac:dyDescent="0.2">
      <c r="A6098" s="996" t="str">
        <f>CONCATENATE(Programme!D6099,Programme!E6099,Programme!F6099,Programme!G6099,Programme!H6099,Programme!I6099,Programme!J6099)</f>
        <v>&lt;numeroLigne&gt;4&lt;/numeroLigne&gt;</v>
      </c>
    </row>
    <row r="6099" spans="1:1" x14ac:dyDescent="0.2">
      <c r="A6099" s="996" t="str">
        <f>CONCATENATE(Programme!D6100,Programme!E6100,Programme!F6100,Programme!G6100,Programme!H6100,Programme!I6100,Programme!J6100)</f>
        <v>&lt;/ValeurCellule&gt;</v>
      </c>
    </row>
    <row r="6100" spans="1:1" x14ac:dyDescent="0.2">
      <c r="A6100" s="996" t="str">
        <f>CONCATENATE(Programme!D6101,Programme!E6101,Programme!F6101,Programme!G6101,Programme!H6101,Programme!I6101,Programme!J6101)</f>
        <v>&lt;ValeurCellule&gt;</v>
      </c>
    </row>
    <row r="6101" spans="1:1" x14ac:dyDescent="0.2">
      <c r="A6101" s="996" t="str">
        <f>CONCATENATE(Programme!D6102,Programme!E6102,Programme!F6102,Programme!G6102,Programme!H6102,Programme!I6102,Programme!J6102)</f>
        <v>&lt;cellule&gt;&lt;codeEdi&gt;1107&lt;/codeEdi&gt;&lt;/cellule&gt;</v>
      </c>
    </row>
    <row r="6102" spans="1:1" x14ac:dyDescent="0.2">
      <c r="A6102" s="996" t="str">
        <f>CONCATENATE(Programme!D6103,Programme!E6103,Programme!F6103,Programme!G6103,Programme!H6103,Programme!I6103,Programme!J6103)</f>
        <v>&lt;valeur&gt;&lt;/valeur&gt;</v>
      </c>
    </row>
    <row r="6103" spans="1:1" x14ac:dyDescent="0.2">
      <c r="A6103" s="996" t="str">
        <f>CONCATENATE(Programme!D6104,Programme!E6104,Programme!F6104,Programme!G6104,Programme!H6104,Programme!I6104,Programme!J6104)</f>
        <v>&lt;numeroLigne&gt;4&lt;/numeroLigne&gt;</v>
      </c>
    </row>
    <row r="6104" spans="1:1" x14ac:dyDescent="0.2">
      <c r="A6104" s="996" t="str">
        <f>CONCATENATE(Programme!D6105,Programme!E6105,Programme!F6105,Programme!G6105,Programme!H6105,Programme!I6105,Programme!J6105)</f>
        <v>&lt;/ValeurCellule&gt;</v>
      </c>
    </row>
    <row r="6105" spans="1:1" x14ac:dyDescent="0.2">
      <c r="A6105" s="996" t="str">
        <f>CONCATENATE(Programme!D6106,Programme!E6106,Programme!F6106,Programme!G6106,Programme!H6106,Programme!I6106,Programme!J6106)</f>
        <v>&lt;ValeurCellule&gt;</v>
      </c>
    </row>
    <row r="6106" spans="1:1" x14ac:dyDescent="0.2">
      <c r="A6106" s="996" t="str">
        <f>CONCATENATE(Programme!D6107,Programme!E6107,Programme!F6107,Programme!G6107,Programme!H6107,Programme!I6107,Programme!J6107)</f>
        <v>&lt;cellule&gt;&lt;codeEdi&gt;1108&lt;/codeEdi&gt;&lt;/cellule&gt;</v>
      </c>
    </row>
    <row r="6107" spans="1:1" x14ac:dyDescent="0.2">
      <c r="A6107" s="996" t="str">
        <f>CONCATENATE(Programme!D6108,Programme!E6108,Programme!F6108,Programme!G6108,Programme!H6108,Programme!I6108,Programme!J6108)</f>
        <v>&lt;valeur&gt;&lt;/valeur&gt;</v>
      </c>
    </row>
    <row r="6108" spans="1:1" x14ac:dyDescent="0.2">
      <c r="A6108" s="996" t="str">
        <f>CONCATENATE(Programme!D6109,Programme!E6109,Programme!F6109,Programme!G6109,Programme!H6109,Programme!I6109,Programme!J6109)</f>
        <v>&lt;numeroLigne&gt;4&lt;/numeroLigne&gt;</v>
      </c>
    </row>
    <row r="6109" spans="1:1" x14ac:dyDescent="0.2">
      <c r="A6109" s="996" t="str">
        <f>CONCATENATE(Programme!D6110,Programme!E6110,Programme!F6110,Programme!G6110,Programme!H6110,Programme!I6110,Programme!J6110)</f>
        <v>&lt;/ValeurCellule&gt;</v>
      </c>
    </row>
    <row r="6110" spans="1:1" x14ac:dyDescent="0.2">
      <c r="A6110" s="996" t="str">
        <f>CONCATENATE(Programme!D6111,Programme!E6111,Programme!F6111,Programme!G6111,Programme!H6111,Programme!I6111,Programme!J6111)</f>
        <v>&lt;ValeurCellule&gt;</v>
      </c>
    </row>
    <row r="6111" spans="1:1" x14ac:dyDescent="0.2">
      <c r="A6111" s="996" t="str">
        <f>CONCATENATE(Programme!D6112,Programme!E6112,Programme!F6112,Programme!G6112,Programme!H6112,Programme!I6112,Programme!J6112)</f>
        <v>&lt;cellule&gt;&lt;codeEdi&gt;1098&lt;/codeEdi&gt;&lt;/cellule&gt;</v>
      </c>
    </row>
    <row r="6112" spans="1:1" x14ac:dyDescent="0.2">
      <c r="A6112" s="996" t="str">
        <f>CONCATENATE(Programme!D6113,Programme!E6113,Programme!F6113,Programme!G6113,Programme!H6113,Programme!I6113,Programme!J6113)</f>
        <v>&lt;valeur&gt;&lt;/valeur&gt;</v>
      </c>
    </row>
    <row r="6113" spans="1:1" x14ac:dyDescent="0.2">
      <c r="A6113" s="996" t="str">
        <f>CONCATENATE(Programme!D6114,Programme!E6114,Programme!F6114,Programme!G6114,Programme!H6114,Programme!I6114,Programme!J6114)</f>
        <v>&lt;numeroLigne&gt;5&lt;/numeroLigne&gt;</v>
      </c>
    </row>
    <row r="6114" spans="1:1" x14ac:dyDescent="0.2">
      <c r="A6114" s="996" t="str">
        <f>CONCATENATE(Programme!D6115,Programme!E6115,Programme!F6115,Programme!G6115,Programme!H6115,Programme!I6115,Programme!J6115)</f>
        <v>&lt;/ValeurCellule&gt;</v>
      </c>
    </row>
    <row r="6115" spans="1:1" x14ac:dyDescent="0.2">
      <c r="A6115" s="996" t="str">
        <f>CONCATENATE(Programme!D6116,Programme!E6116,Programme!F6116,Programme!G6116,Programme!H6116,Programme!I6116,Programme!J6116)</f>
        <v>&lt;ValeurCellule&gt;</v>
      </c>
    </row>
    <row r="6116" spans="1:1" x14ac:dyDescent="0.2">
      <c r="A6116" s="996" t="str">
        <f>CONCATENATE(Programme!D6117,Programme!E6117,Programme!F6117,Programme!G6117,Programme!H6117,Programme!I6117,Programme!J6117)</f>
        <v>&lt;cellule&gt;&lt;codeEdi&gt;1099&lt;/codeEdi&gt;&lt;/cellule&gt;</v>
      </c>
    </row>
    <row r="6117" spans="1:1" x14ac:dyDescent="0.2">
      <c r="A6117" s="996" t="str">
        <f>CONCATENATE(Programme!D6118,Programme!E6118,Programme!F6118,Programme!G6118,Programme!H6118,Programme!I6118,Programme!J6118)</f>
        <v>&lt;valeur&gt;&lt;/valeur&gt;</v>
      </c>
    </row>
    <row r="6118" spans="1:1" x14ac:dyDescent="0.2">
      <c r="A6118" s="996" t="str">
        <f>CONCATENATE(Programme!D6119,Programme!E6119,Programme!F6119,Programme!G6119,Programme!H6119,Programme!I6119,Programme!J6119)</f>
        <v>&lt;numeroLigne&gt;5&lt;/numeroLigne&gt;</v>
      </c>
    </row>
    <row r="6119" spans="1:1" x14ac:dyDescent="0.2">
      <c r="A6119" s="996" t="str">
        <f>CONCATENATE(Programme!D6120,Programme!E6120,Programme!F6120,Programme!G6120,Programme!H6120,Programme!I6120,Programme!J6120)</f>
        <v>&lt;/ValeurCellule&gt;</v>
      </c>
    </row>
    <row r="6120" spans="1:1" x14ac:dyDescent="0.2">
      <c r="A6120" s="996" t="str">
        <f>CONCATENATE(Programme!D6121,Programme!E6121,Programme!F6121,Programme!G6121,Programme!H6121,Programme!I6121,Programme!J6121)</f>
        <v>&lt;ValeurCellule&gt;</v>
      </c>
    </row>
    <row r="6121" spans="1:1" x14ac:dyDescent="0.2">
      <c r="A6121" s="996" t="str">
        <f>CONCATENATE(Programme!D6122,Programme!E6122,Programme!F6122,Programme!G6122,Programme!H6122,Programme!I6122,Programme!J6122)</f>
        <v>&lt;cellule&gt;&lt;codeEdi&gt;1100&lt;/codeEdi&gt;&lt;/cellule&gt;</v>
      </c>
    </row>
    <row r="6122" spans="1:1" x14ac:dyDescent="0.2">
      <c r="A6122" s="996" t="str">
        <f>CONCATENATE(Programme!D6123,Programme!E6123,Programme!F6123,Programme!G6123,Programme!H6123,Programme!I6123,Programme!J6123)</f>
        <v>&lt;valeur&gt;&lt;/valeur&gt;</v>
      </c>
    </row>
    <row r="6123" spans="1:1" x14ac:dyDescent="0.2">
      <c r="A6123" s="996" t="str">
        <f>CONCATENATE(Programme!D6124,Programme!E6124,Programme!F6124,Programme!G6124,Programme!H6124,Programme!I6124,Programme!J6124)</f>
        <v>&lt;numeroLigne&gt;5&lt;/numeroLigne&gt;</v>
      </c>
    </row>
    <row r="6124" spans="1:1" x14ac:dyDescent="0.2">
      <c r="A6124" s="996" t="str">
        <f>CONCATENATE(Programme!D6125,Programme!E6125,Programme!F6125,Programme!G6125,Programme!H6125,Programme!I6125,Programme!J6125)</f>
        <v>&lt;/ValeurCellule&gt;</v>
      </c>
    </row>
    <row r="6125" spans="1:1" x14ac:dyDescent="0.2">
      <c r="A6125" s="996" t="str">
        <f>CONCATENATE(Programme!D6126,Programme!E6126,Programme!F6126,Programme!G6126,Programme!H6126,Programme!I6126,Programme!J6126)</f>
        <v>&lt;ValeurCellule&gt;</v>
      </c>
    </row>
    <row r="6126" spans="1:1" x14ac:dyDescent="0.2">
      <c r="A6126" s="996" t="str">
        <f>CONCATENATE(Programme!D6127,Programme!E6127,Programme!F6127,Programme!G6127,Programme!H6127,Programme!I6127,Programme!J6127)</f>
        <v>&lt;cellule&gt;&lt;codeEdi&gt;1101&lt;/codeEdi&gt;&lt;/cellule&gt;</v>
      </c>
    </row>
    <row r="6127" spans="1:1" x14ac:dyDescent="0.2">
      <c r="A6127" s="996" t="str">
        <f>CONCATENATE(Programme!D6128,Programme!E6128,Programme!F6128,Programme!G6128,Programme!H6128,Programme!I6128,Programme!J6128)</f>
        <v>&lt;valeur&gt;&lt;/valeur&gt;</v>
      </c>
    </row>
    <row r="6128" spans="1:1" x14ac:dyDescent="0.2">
      <c r="A6128" s="996" t="str">
        <f>CONCATENATE(Programme!D6129,Programme!E6129,Programme!F6129,Programme!G6129,Programme!H6129,Programme!I6129,Programme!J6129)</f>
        <v>&lt;numeroLigne&gt;5&lt;/numeroLigne&gt;</v>
      </c>
    </row>
    <row r="6129" spans="1:1" x14ac:dyDescent="0.2">
      <c r="A6129" s="996" t="str">
        <f>CONCATENATE(Programme!D6130,Programme!E6130,Programme!F6130,Programme!G6130,Programme!H6130,Programme!I6130,Programme!J6130)</f>
        <v>&lt;/ValeurCellule&gt;</v>
      </c>
    </row>
    <row r="6130" spans="1:1" x14ac:dyDescent="0.2">
      <c r="A6130" s="996" t="str">
        <f>CONCATENATE(Programme!D6131,Programme!E6131,Programme!F6131,Programme!G6131,Programme!H6131,Programme!I6131,Programme!J6131)</f>
        <v>&lt;ValeurCellule&gt;</v>
      </c>
    </row>
    <row r="6131" spans="1:1" x14ac:dyDescent="0.2">
      <c r="A6131" s="996" t="str">
        <f>CONCATENATE(Programme!D6132,Programme!E6132,Programme!F6132,Programme!G6132,Programme!H6132,Programme!I6132,Programme!J6132)</f>
        <v>&lt;cellule&gt;&lt;codeEdi&gt;1102&lt;/codeEdi&gt;&lt;/cellule&gt;</v>
      </c>
    </row>
    <row r="6132" spans="1:1" x14ac:dyDescent="0.2">
      <c r="A6132" s="996" t="str">
        <f>CONCATENATE(Programme!D6133,Programme!E6133,Programme!F6133,Programme!G6133,Programme!H6133,Programme!I6133,Programme!J6133)</f>
        <v>&lt;valeur&gt;&lt;/valeur&gt;</v>
      </c>
    </row>
    <row r="6133" spans="1:1" x14ac:dyDescent="0.2">
      <c r="A6133" s="996" t="str">
        <f>CONCATENATE(Programme!D6134,Programme!E6134,Programme!F6134,Programme!G6134,Programme!H6134,Programme!I6134,Programme!J6134)</f>
        <v>&lt;numeroLigne&gt;5&lt;/numeroLigne&gt;</v>
      </c>
    </row>
    <row r="6134" spans="1:1" x14ac:dyDescent="0.2">
      <c r="A6134" s="996" t="str">
        <f>CONCATENATE(Programme!D6135,Programme!E6135,Programme!F6135,Programme!G6135,Programme!H6135,Programme!I6135,Programme!J6135)</f>
        <v>&lt;/ValeurCellule&gt;</v>
      </c>
    </row>
    <row r="6135" spans="1:1" x14ac:dyDescent="0.2">
      <c r="A6135" s="996" t="str">
        <f>CONCATENATE(Programme!D6136,Programme!E6136,Programme!F6136,Programme!G6136,Programme!H6136,Programme!I6136,Programme!J6136)</f>
        <v>&lt;ValeurCellule&gt;</v>
      </c>
    </row>
    <row r="6136" spans="1:1" x14ac:dyDescent="0.2">
      <c r="A6136" s="996" t="str">
        <f>CONCATENATE(Programme!D6137,Programme!E6137,Programme!F6137,Programme!G6137,Programme!H6137,Programme!I6137,Programme!J6137)</f>
        <v>&lt;cellule&gt;&lt;codeEdi&gt;1103&lt;/codeEdi&gt;&lt;/cellule&gt;</v>
      </c>
    </row>
    <row r="6137" spans="1:1" x14ac:dyDescent="0.2">
      <c r="A6137" s="996" t="str">
        <f>CONCATENATE(Programme!D6138,Programme!E6138,Programme!F6138,Programme!G6138,Programme!H6138,Programme!I6138,Programme!J6138)</f>
        <v>&lt;valeur&gt;&lt;/valeur&gt;</v>
      </c>
    </row>
    <row r="6138" spans="1:1" x14ac:dyDescent="0.2">
      <c r="A6138" s="996" t="str">
        <f>CONCATENATE(Programme!D6139,Programme!E6139,Programme!F6139,Programme!G6139,Programme!H6139,Programme!I6139,Programme!J6139)</f>
        <v>&lt;numeroLigne&gt;5&lt;/numeroLigne&gt;</v>
      </c>
    </row>
    <row r="6139" spans="1:1" x14ac:dyDescent="0.2">
      <c r="A6139" s="996" t="str">
        <f>CONCATENATE(Programme!D6140,Programme!E6140,Programme!F6140,Programme!G6140,Programme!H6140,Programme!I6140,Programme!J6140)</f>
        <v>&lt;/ValeurCellule&gt;</v>
      </c>
    </row>
    <row r="6140" spans="1:1" x14ac:dyDescent="0.2">
      <c r="A6140" s="996" t="str">
        <f>CONCATENATE(Programme!D6141,Programme!E6141,Programme!F6141,Programme!G6141,Programme!H6141,Programme!I6141,Programme!J6141)</f>
        <v>&lt;ValeurCellule&gt;</v>
      </c>
    </row>
    <row r="6141" spans="1:1" x14ac:dyDescent="0.2">
      <c r="A6141" s="996" t="str">
        <f>CONCATENATE(Programme!D6142,Programme!E6142,Programme!F6142,Programme!G6142,Programme!H6142,Programme!I6142,Programme!J6142)</f>
        <v>&lt;cellule&gt;&lt;codeEdi&gt;1104&lt;/codeEdi&gt;&lt;/cellule&gt;</v>
      </c>
    </row>
    <row r="6142" spans="1:1" x14ac:dyDescent="0.2">
      <c r="A6142" s="996" t="str">
        <f>CONCATENATE(Programme!D6143,Programme!E6143,Programme!F6143,Programme!G6143,Programme!H6143,Programme!I6143,Programme!J6143)</f>
        <v>&lt;valeur&gt;&lt;/valeur&gt;</v>
      </c>
    </row>
    <row r="6143" spans="1:1" x14ac:dyDescent="0.2">
      <c r="A6143" s="996" t="str">
        <f>CONCATENATE(Programme!D6144,Programme!E6144,Programme!F6144,Programme!G6144,Programme!H6144,Programme!I6144,Programme!J6144)</f>
        <v>&lt;numeroLigne&gt;5&lt;/numeroLigne&gt;</v>
      </c>
    </row>
    <row r="6144" spans="1:1" x14ac:dyDescent="0.2">
      <c r="A6144" s="996" t="str">
        <f>CONCATENATE(Programme!D6145,Programme!E6145,Programme!F6145,Programme!G6145,Programme!H6145,Programme!I6145,Programme!J6145)</f>
        <v>&lt;/ValeurCellule&gt;</v>
      </c>
    </row>
    <row r="6145" spans="1:1" x14ac:dyDescent="0.2">
      <c r="A6145" s="996" t="str">
        <f>CONCATENATE(Programme!D6146,Programme!E6146,Programme!F6146,Programme!G6146,Programme!H6146,Programme!I6146,Programme!J6146)</f>
        <v>&lt;ValeurCellule&gt;</v>
      </c>
    </row>
    <row r="6146" spans="1:1" x14ac:dyDescent="0.2">
      <c r="A6146" s="996" t="str">
        <f>CONCATENATE(Programme!D6147,Programme!E6147,Programme!F6147,Programme!G6147,Programme!H6147,Programme!I6147,Programme!J6147)</f>
        <v>&lt;cellule&gt;&lt;codeEdi&gt;1105&lt;/codeEdi&gt;&lt;/cellule&gt;</v>
      </c>
    </row>
    <row r="6147" spans="1:1" x14ac:dyDescent="0.2">
      <c r="A6147" s="996" t="str">
        <f>CONCATENATE(Programme!D6148,Programme!E6148,Programme!F6148,Programme!G6148,Programme!H6148,Programme!I6148,Programme!J6148)</f>
        <v>&lt;valeur&gt;&lt;/valeur&gt;</v>
      </c>
    </row>
    <row r="6148" spans="1:1" x14ac:dyDescent="0.2">
      <c r="A6148" s="996" t="str">
        <f>CONCATENATE(Programme!D6149,Programme!E6149,Programme!F6149,Programme!G6149,Programme!H6149,Programme!I6149,Programme!J6149)</f>
        <v>&lt;numeroLigne&gt;5&lt;/numeroLigne&gt;</v>
      </c>
    </row>
    <row r="6149" spans="1:1" x14ac:dyDescent="0.2">
      <c r="A6149" s="996" t="str">
        <f>CONCATENATE(Programme!D6150,Programme!E6150,Programme!F6150,Programme!G6150,Programme!H6150,Programme!I6150,Programme!J6150)</f>
        <v>&lt;/ValeurCellule&gt;</v>
      </c>
    </row>
    <row r="6150" spans="1:1" x14ac:dyDescent="0.2">
      <c r="A6150" s="996" t="str">
        <f>CONCATENATE(Programme!D6151,Programme!E6151,Programme!F6151,Programme!G6151,Programme!H6151,Programme!I6151,Programme!J6151)</f>
        <v>&lt;ValeurCellule&gt;</v>
      </c>
    </row>
    <row r="6151" spans="1:1" x14ac:dyDescent="0.2">
      <c r="A6151" s="996" t="str">
        <f>CONCATENATE(Programme!D6152,Programme!E6152,Programme!F6152,Programme!G6152,Programme!H6152,Programme!I6152,Programme!J6152)</f>
        <v>&lt;cellule&gt;&lt;codeEdi&gt;1106&lt;/codeEdi&gt;&lt;/cellule&gt;</v>
      </c>
    </row>
    <row r="6152" spans="1:1" x14ac:dyDescent="0.2">
      <c r="A6152" s="996" t="str">
        <f>CONCATENATE(Programme!D6153,Programme!E6153,Programme!F6153,Programme!G6153,Programme!H6153,Programme!I6153,Programme!J6153)</f>
        <v>&lt;valeur&gt;&lt;/valeur&gt;</v>
      </c>
    </row>
    <row r="6153" spans="1:1" x14ac:dyDescent="0.2">
      <c r="A6153" s="996" t="str">
        <f>CONCATENATE(Programme!D6154,Programme!E6154,Programme!F6154,Programme!G6154,Programme!H6154,Programme!I6154,Programme!J6154)</f>
        <v>&lt;numeroLigne&gt;5&lt;/numeroLigne&gt;</v>
      </c>
    </row>
    <row r="6154" spans="1:1" x14ac:dyDescent="0.2">
      <c r="A6154" s="996" t="str">
        <f>CONCATENATE(Programme!D6155,Programme!E6155,Programme!F6155,Programme!G6155,Programme!H6155,Programme!I6155,Programme!J6155)</f>
        <v>&lt;/ValeurCellule&gt;</v>
      </c>
    </row>
    <row r="6155" spans="1:1" x14ac:dyDescent="0.2">
      <c r="A6155" s="996" t="str">
        <f>CONCATENATE(Programme!D6156,Programme!E6156,Programme!F6156,Programme!G6156,Programme!H6156,Programme!I6156,Programme!J6156)</f>
        <v>&lt;ValeurCellule&gt;</v>
      </c>
    </row>
    <row r="6156" spans="1:1" x14ac:dyDescent="0.2">
      <c r="A6156" s="996" t="str">
        <f>CONCATENATE(Programme!D6157,Programme!E6157,Programme!F6157,Programme!G6157,Programme!H6157,Programme!I6157,Programme!J6157)</f>
        <v>&lt;cellule&gt;&lt;codeEdi&gt;1107&lt;/codeEdi&gt;&lt;/cellule&gt;</v>
      </c>
    </row>
    <row r="6157" spans="1:1" x14ac:dyDescent="0.2">
      <c r="A6157" s="996" t="str">
        <f>CONCATENATE(Programme!D6158,Programme!E6158,Programme!F6158,Programme!G6158,Programme!H6158,Programme!I6158,Programme!J6158)</f>
        <v>&lt;valeur&gt;&lt;/valeur&gt;</v>
      </c>
    </row>
    <row r="6158" spans="1:1" x14ac:dyDescent="0.2">
      <c r="A6158" s="996" t="str">
        <f>CONCATENATE(Programme!D6159,Programme!E6159,Programme!F6159,Programme!G6159,Programme!H6159,Programme!I6159,Programme!J6159)</f>
        <v>&lt;numeroLigne&gt;5&lt;/numeroLigne&gt;</v>
      </c>
    </row>
    <row r="6159" spans="1:1" x14ac:dyDescent="0.2">
      <c r="A6159" s="996" t="str">
        <f>CONCATENATE(Programme!D6160,Programme!E6160,Programme!F6160,Programme!G6160,Programme!H6160,Programme!I6160,Programme!J6160)</f>
        <v>&lt;/ValeurCellule&gt;</v>
      </c>
    </row>
    <row r="6160" spans="1:1" x14ac:dyDescent="0.2">
      <c r="A6160" s="996" t="str">
        <f>CONCATENATE(Programme!D6161,Programme!E6161,Programme!F6161,Programme!G6161,Programme!H6161,Programme!I6161,Programme!J6161)</f>
        <v>&lt;ValeurCellule&gt;</v>
      </c>
    </row>
    <row r="6161" spans="1:1" x14ac:dyDescent="0.2">
      <c r="A6161" s="996" t="str">
        <f>CONCATENATE(Programme!D6162,Programme!E6162,Programme!F6162,Programme!G6162,Programme!H6162,Programme!I6162,Programme!J6162)</f>
        <v>&lt;cellule&gt;&lt;codeEdi&gt;1108&lt;/codeEdi&gt;&lt;/cellule&gt;</v>
      </c>
    </row>
    <row r="6162" spans="1:1" x14ac:dyDescent="0.2">
      <c r="A6162" s="996" t="str">
        <f>CONCATENATE(Programme!D6163,Programme!E6163,Programme!F6163,Programme!G6163,Programme!H6163,Programme!I6163,Programme!J6163)</f>
        <v>&lt;valeur&gt;&lt;/valeur&gt;</v>
      </c>
    </row>
    <row r="6163" spans="1:1" x14ac:dyDescent="0.2">
      <c r="A6163" s="996" t="str">
        <f>CONCATENATE(Programme!D6164,Programme!E6164,Programme!F6164,Programme!G6164,Programme!H6164,Programme!I6164,Programme!J6164)</f>
        <v>&lt;numeroLigne&gt;5&lt;/numeroLigne&gt;</v>
      </c>
    </row>
    <row r="6164" spans="1:1" x14ac:dyDescent="0.2">
      <c r="A6164" s="996" t="str">
        <f>CONCATENATE(Programme!D6165,Programme!E6165,Programme!F6165,Programme!G6165,Programme!H6165,Programme!I6165,Programme!J6165)</f>
        <v>&lt;/ValeurCellule&gt;</v>
      </c>
    </row>
    <row r="6165" spans="1:1" x14ac:dyDescent="0.2">
      <c r="A6165" s="996" t="str">
        <f>CONCATENATE(Programme!D6166,Programme!E6166,Programme!F6166,Programme!G6166,Programme!H6166,Programme!I6166,Programme!J6166)</f>
        <v>&lt;ValeurCellule&gt;</v>
      </c>
    </row>
    <row r="6166" spans="1:1" x14ac:dyDescent="0.2">
      <c r="A6166" s="996" t="str">
        <f>CONCATENATE(Programme!D6167,Programme!E6167,Programme!F6167,Programme!G6167,Programme!H6167,Programme!I6167,Programme!J6167)</f>
        <v>&lt;cellule&gt;&lt;codeEdi&gt;1098&lt;/codeEdi&gt;&lt;/cellule&gt;</v>
      </c>
    </row>
    <row r="6167" spans="1:1" x14ac:dyDescent="0.2">
      <c r="A6167" s="996" t="str">
        <f>CONCATENATE(Programme!D6168,Programme!E6168,Programme!F6168,Programme!G6168,Programme!H6168,Programme!I6168,Programme!J6168)</f>
        <v>&lt;valeur&gt;&lt;/valeur&gt;</v>
      </c>
    </row>
    <row r="6168" spans="1:1" x14ac:dyDescent="0.2">
      <c r="A6168" s="996" t="str">
        <f>CONCATENATE(Programme!D6169,Programme!E6169,Programme!F6169,Programme!G6169,Programme!H6169,Programme!I6169,Programme!J6169)</f>
        <v>&lt;numeroLigne&gt;6&lt;/numeroLigne&gt;</v>
      </c>
    </row>
    <row r="6169" spans="1:1" x14ac:dyDescent="0.2">
      <c r="A6169" s="996" t="str">
        <f>CONCATENATE(Programme!D6170,Programme!E6170,Programme!F6170,Programme!G6170,Programme!H6170,Programme!I6170,Programme!J6170)</f>
        <v>&lt;/ValeurCellule&gt;</v>
      </c>
    </row>
    <row r="6170" spans="1:1" x14ac:dyDescent="0.2">
      <c r="A6170" s="996" t="str">
        <f>CONCATENATE(Programme!D6171,Programme!E6171,Programme!F6171,Programme!G6171,Programme!H6171,Programme!I6171,Programme!J6171)</f>
        <v>&lt;ValeurCellule&gt;</v>
      </c>
    </row>
    <row r="6171" spans="1:1" x14ac:dyDescent="0.2">
      <c r="A6171" s="996" t="str">
        <f>CONCATENATE(Programme!D6172,Programme!E6172,Programme!F6172,Programme!G6172,Programme!H6172,Programme!I6172,Programme!J6172)</f>
        <v>&lt;cellule&gt;&lt;codeEdi&gt;1099&lt;/codeEdi&gt;&lt;/cellule&gt;</v>
      </c>
    </row>
    <row r="6172" spans="1:1" x14ac:dyDescent="0.2">
      <c r="A6172" s="996" t="str">
        <f>CONCATENATE(Programme!D6173,Programme!E6173,Programme!F6173,Programme!G6173,Programme!H6173,Programme!I6173,Programme!J6173)</f>
        <v>&lt;valeur&gt;&lt;/valeur&gt;</v>
      </c>
    </row>
    <row r="6173" spans="1:1" x14ac:dyDescent="0.2">
      <c r="A6173" s="996" t="str">
        <f>CONCATENATE(Programme!D6174,Programme!E6174,Programme!F6174,Programme!G6174,Programme!H6174,Programme!I6174,Programme!J6174)</f>
        <v>&lt;numeroLigne&gt;6&lt;/numeroLigne&gt;</v>
      </c>
    </row>
    <row r="6174" spans="1:1" x14ac:dyDescent="0.2">
      <c r="A6174" s="996" t="str">
        <f>CONCATENATE(Programme!D6175,Programme!E6175,Programme!F6175,Programme!G6175,Programme!H6175,Programme!I6175,Programme!J6175)</f>
        <v>&lt;/ValeurCellule&gt;</v>
      </c>
    </row>
    <row r="6175" spans="1:1" x14ac:dyDescent="0.2">
      <c r="A6175" s="996" t="str">
        <f>CONCATENATE(Programme!D6176,Programme!E6176,Programme!F6176,Programme!G6176,Programme!H6176,Programme!I6176,Programme!J6176)</f>
        <v>&lt;ValeurCellule&gt;</v>
      </c>
    </row>
    <row r="6176" spans="1:1" x14ac:dyDescent="0.2">
      <c r="A6176" s="996" t="str">
        <f>CONCATENATE(Programme!D6177,Programme!E6177,Programme!F6177,Programme!G6177,Programme!H6177,Programme!I6177,Programme!J6177)</f>
        <v>&lt;cellule&gt;&lt;codeEdi&gt;1100&lt;/codeEdi&gt;&lt;/cellule&gt;</v>
      </c>
    </row>
    <row r="6177" spans="1:1" x14ac:dyDescent="0.2">
      <c r="A6177" s="996" t="str">
        <f>CONCATENATE(Programme!D6178,Programme!E6178,Programme!F6178,Programme!G6178,Programme!H6178,Programme!I6178,Programme!J6178)</f>
        <v>&lt;valeur&gt;&lt;/valeur&gt;</v>
      </c>
    </row>
    <row r="6178" spans="1:1" x14ac:dyDescent="0.2">
      <c r="A6178" s="996" t="str">
        <f>CONCATENATE(Programme!D6179,Programme!E6179,Programme!F6179,Programme!G6179,Programme!H6179,Programme!I6179,Programme!J6179)</f>
        <v>&lt;numeroLigne&gt;6&lt;/numeroLigne&gt;</v>
      </c>
    </row>
    <row r="6179" spans="1:1" x14ac:dyDescent="0.2">
      <c r="A6179" s="996" t="str">
        <f>CONCATENATE(Programme!D6180,Programme!E6180,Programme!F6180,Programme!G6180,Programme!H6180,Programme!I6180,Programme!J6180)</f>
        <v>&lt;/ValeurCellule&gt;</v>
      </c>
    </row>
    <row r="6180" spans="1:1" x14ac:dyDescent="0.2">
      <c r="A6180" s="996" t="str">
        <f>CONCATENATE(Programme!D6181,Programme!E6181,Programme!F6181,Programme!G6181,Programme!H6181,Programme!I6181,Programme!J6181)</f>
        <v>&lt;ValeurCellule&gt;</v>
      </c>
    </row>
    <row r="6181" spans="1:1" x14ac:dyDescent="0.2">
      <c r="A6181" s="996" t="str">
        <f>CONCATENATE(Programme!D6182,Programme!E6182,Programme!F6182,Programme!G6182,Programme!H6182,Programme!I6182,Programme!J6182)</f>
        <v>&lt;cellule&gt;&lt;codeEdi&gt;1101&lt;/codeEdi&gt;&lt;/cellule&gt;</v>
      </c>
    </row>
    <row r="6182" spans="1:1" x14ac:dyDescent="0.2">
      <c r="A6182" s="996" t="str">
        <f>CONCATENATE(Programme!D6183,Programme!E6183,Programme!F6183,Programme!G6183,Programme!H6183,Programme!I6183,Programme!J6183)</f>
        <v>&lt;valeur&gt;&lt;/valeur&gt;</v>
      </c>
    </row>
    <row r="6183" spans="1:1" x14ac:dyDescent="0.2">
      <c r="A6183" s="996" t="str">
        <f>CONCATENATE(Programme!D6184,Programme!E6184,Programme!F6184,Programme!G6184,Programme!H6184,Programme!I6184,Programme!J6184)</f>
        <v>&lt;numeroLigne&gt;6&lt;/numeroLigne&gt;</v>
      </c>
    </row>
    <row r="6184" spans="1:1" x14ac:dyDescent="0.2">
      <c r="A6184" s="996" t="str">
        <f>CONCATENATE(Programme!D6185,Programme!E6185,Programme!F6185,Programme!G6185,Programme!H6185,Programme!I6185,Programme!J6185)</f>
        <v>&lt;/ValeurCellule&gt;</v>
      </c>
    </row>
    <row r="6185" spans="1:1" x14ac:dyDescent="0.2">
      <c r="A6185" s="996" t="str">
        <f>CONCATENATE(Programme!D6186,Programme!E6186,Programme!F6186,Programme!G6186,Programme!H6186,Programme!I6186,Programme!J6186)</f>
        <v>&lt;ValeurCellule&gt;</v>
      </c>
    </row>
    <row r="6186" spans="1:1" x14ac:dyDescent="0.2">
      <c r="A6186" s="996" t="str">
        <f>CONCATENATE(Programme!D6187,Programme!E6187,Programme!F6187,Programme!G6187,Programme!H6187,Programme!I6187,Programme!J6187)</f>
        <v>&lt;cellule&gt;&lt;codeEdi&gt;1102&lt;/codeEdi&gt;&lt;/cellule&gt;</v>
      </c>
    </row>
    <row r="6187" spans="1:1" x14ac:dyDescent="0.2">
      <c r="A6187" s="996" t="str">
        <f>CONCATENATE(Programme!D6188,Programme!E6188,Programme!F6188,Programme!G6188,Programme!H6188,Programme!I6188,Programme!J6188)</f>
        <v>&lt;valeur&gt;&lt;/valeur&gt;</v>
      </c>
    </row>
    <row r="6188" spans="1:1" x14ac:dyDescent="0.2">
      <c r="A6188" s="996" t="str">
        <f>CONCATENATE(Programme!D6189,Programme!E6189,Programme!F6189,Programme!G6189,Programme!H6189,Programme!I6189,Programme!J6189)</f>
        <v>&lt;numeroLigne&gt;6&lt;/numeroLigne&gt;</v>
      </c>
    </row>
    <row r="6189" spans="1:1" x14ac:dyDescent="0.2">
      <c r="A6189" s="996" t="str">
        <f>CONCATENATE(Programme!D6190,Programme!E6190,Programme!F6190,Programme!G6190,Programme!H6190,Programme!I6190,Programme!J6190)</f>
        <v>&lt;/ValeurCellule&gt;</v>
      </c>
    </row>
    <row r="6190" spans="1:1" x14ac:dyDescent="0.2">
      <c r="A6190" s="996" t="str">
        <f>CONCATENATE(Programme!D6191,Programme!E6191,Programme!F6191,Programme!G6191,Programme!H6191,Programme!I6191,Programme!J6191)</f>
        <v>&lt;ValeurCellule&gt;</v>
      </c>
    </row>
    <row r="6191" spans="1:1" x14ac:dyDescent="0.2">
      <c r="A6191" s="996" t="str">
        <f>CONCATENATE(Programme!D6192,Programme!E6192,Programme!F6192,Programme!G6192,Programme!H6192,Programme!I6192,Programme!J6192)</f>
        <v>&lt;cellule&gt;&lt;codeEdi&gt;1103&lt;/codeEdi&gt;&lt;/cellule&gt;</v>
      </c>
    </row>
    <row r="6192" spans="1:1" x14ac:dyDescent="0.2">
      <c r="A6192" s="996" t="str">
        <f>CONCATENATE(Programme!D6193,Programme!E6193,Programme!F6193,Programme!G6193,Programme!H6193,Programme!I6193,Programme!J6193)</f>
        <v>&lt;valeur&gt;&lt;/valeur&gt;</v>
      </c>
    </row>
    <row r="6193" spans="1:1" x14ac:dyDescent="0.2">
      <c r="A6193" s="996" t="str">
        <f>CONCATENATE(Programme!D6194,Programme!E6194,Programme!F6194,Programme!G6194,Programme!H6194,Programme!I6194,Programme!J6194)</f>
        <v>&lt;numeroLigne&gt;6&lt;/numeroLigne&gt;</v>
      </c>
    </row>
    <row r="6194" spans="1:1" x14ac:dyDescent="0.2">
      <c r="A6194" s="996" t="str">
        <f>CONCATENATE(Programme!D6195,Programme!E6195,Programme!F6195,Programme!G6195,Programme!H6195,Programme!I6195,Programme!J6195)</f>
        <v>&lt;/ValeurCellule&gt;</v>
      </c>
    </row>
    <row r="6195" spans="1:1" x14ac:dyDescent="0.2">
      <c r="A6195" s="996" t="str">
        <f>CONCATENATE(Programme!D6196,Programme!E6196,Programme!F6196,Programme!G6196,Programme!H6196,Programme!I6196,Programme!J6196)</f>
        <v>&lt;ValeurCellule&gt;</v>
      </c>
    </row>
    <row r="6196" spans="1:1" x14ac:dyDescent="0.2">
      <c r="A6196" s="996" t="str">
        <f>CONCATENATE(Programme!D6197,Programme!E6197,Programme!F6197,Programme!G6197,Programme!H6197,Programme!I6197,Programme!J6197)</f>
        <v>&lt;cellule&gt;&lt;codeEdi&gt;1104&lt;/codeEdi&gt;&lt;/cellule&gt;</v>
      </c>
    </row>
    <row r="6197" spans="1:1" x14ac:dyDescent="0.2">
      <c r="A6197" s="996" t="str">
        <f>CONCATENATE(Programme!D6198,Programme!E6198,Programme!F6198,Programme!G6198,Programme!H6198,Programme!I6198,Programme!J6198)</f>
        <v>&lt;valeur&gt;&lt;/valeur&gt;</v>
      </c>
    </row>
    <row r="6198" spans="1:1" x14ac:dyDescent="0.2">
      <c r="A6198" s="996" t="str">
        <f>CONCATENATE(Programme!D6199,Programme!E6199,Programme!F6199,Programme!G6199,Programme!H6199,Programme!I6199,Programme!J6199)</f>
        <v>&lt;numeroLigne&gt;6&lt;/numeroLigne&gt;</v>
      </c>
    </row>
    <row r="6199" spans="1:1" x14ac:dyDescent="0.2">
      <c r="A6199" s="996" t="str">
        <f>CONCATENATE(Programme!D6200,Programme!E6200,Programme!F6200,Programme!G6200,Programme!H6200,Programme!I6200,Programme!J6200)</f>
        <v>&lt;/ValeurCellule&gt;</v>
      </c>
    </row>
    <row r="6200" spans="1:1" x14ac:dyDescent="0.2">
      <c r="A6200" s="996" t="str">
        <f>CONCATENATE(Programme!D6201,Programme!E6201,Programme!F6201,Programme!G6201,Programme!H6201,Programme!I6201,Programme!J6201)</f>
        <v>&lt;ValeurCellule&gt;</v>
      </c>
    </row>
    <row r="6201" spans="1:1" x14ac:dyDescent="0.2">
      <c r="A6201" s="996" t="str">
        <f>CONCATENATE(Programme!D6202,Programme!E6202,Programme!F6202,Programme!G6202,Programme!H6202,Programme!I6202,Programme!J6202)</f>
        <v>&lt;cellule&gt;&lt;codeEdi&gt;1105&lt;/codeEdi&gt;&lt;/cellule&gt;</v>
      </c>
    </row>
    <row r="6202" spans="1:1" x14ac:dyDescent="0.2">
      <c r="A6202" s="996" t="str">
        <f>CONCATENATE(Programme!D6203,Programme!E6203,Programme!F6203,Programme!G6203,Programme!H6203,Programme!I6203,Programme!J6203)</f>
        <v>&lt;valeur&gt;&lt;/valeur&gt;</v>
      </c>
    </row>
    <row r="6203" spans="1:1" x14ac:dyDescent="0.2">
      <c r="A6203" s="996" t="str">
        <f>CONCATENATE(Programme!D6204,Programme!E6204,Programme!F6204,Programme!G6204,Programme!H6204,Programme!I6204,Programme!J6204)</f>
        <v>&lt;numeroLigne&gt;6&lt;/numeroLigne&gt;</v>
      </c>
    </row>
    <row r="6204" spans="1:1" x14ac:dyDescent="0.2">
      <c r="A6204" s="996" t="str">
        <f>CONCATENATE(Programme!D6205,Programme!E6205,Programme!F6205,Programme!G6205,Programme!H6205,Programme!I6205,Programme!J6205)</f>
        <v>&lt;/ValeurCellule&gt;</v>
      </c>
    </row>
    <row r="6205" spans="1:1" x14ac:dyDescent="0.2">
      <c r="A6205" s="996" t="str">
        <f>CONCATENATE(Programme!D6206,Programme!E6206,Programme!F6206,Programme!G6206,Programme!H6206,Programme!I6206,Programme!J6206)</f>
        <v>&lt;ValeurCellule&gt;</v>
      </c>
    </row>
    <row r="6206" spans="1:1" x14ac:dyDescent="0.2">
      <c r="A6206" s="996" t="str">
        <f>CONCATENATE(Programme!D6207,Programme!E6207,Programme!F6207,Programme!G6207,Programme!H6207,Programme!I6207,Programme!J6207)</f>
        <v>&lt;cellule&gt;&lt;codeEdi&gt;1106&lt;/codeEdi&gt;&lt;/cellule&gt;</v>
      </c>
    </row>
    <row r="6207" spans="1:1" x14ac:dyDescent="0.2">
      <c r="A6207" s="996" t="str">
        <f>CONCATENATE(Programme!D6208,Programme!E6208,Programme!F6208,Programme!G6208,Programme!H6208,Programme!I6208,Programme!J6208)</f>
        <v>&lt;valeur&gt;&lt;/valeur&gt;</v>
      </c>
    </row>
    <row r="6208" spans="1:1" x14ac:dyDescent="0.2">
      <c r="A6208" s="996" t="str">
        <f>CONCATENATE(Programme!D6209,Programme!E6209,Programme!F6209,Programme!G6209,Programme!H6209,Programme!I6209,Programme!J6209)</f>
        <v>&lt;numeroLigne&gt;6&lt;/numeroLigne&gt;</v>
      </c>
    </row>
    <row r="6209" spans="1:1" x14ac:dyDescent="0.2">
      <c r="A6209" s="996" t="str">
        <f>CONCATENATE(Programme!D6210,Programme!E6210,Programme!F6210,Programme!G6210,Programme!H6210,Programme!I6210,Programme!J6210)</f>
        <v>&lt;/ValeurCellule&gt;</v>
      </c>
    </row>
    <row r="6210" spans="1:1" x14ac:dyDescent="0.2">
      <c r="A6210" s="996" t="str">
        <f>CONCATENATE(Programme!D6211,Programme!E6211,Programme!F6211,Programme!G6211,Programme!H6211,Programme!I6211,Programme!J6211)</f>
        <v>&lt;ValeurCellule&gt;</v>
      </c>
    </row>
    <row r="6211" spans="1:1" x14ac:dyDescent="0.2">
      <c r="A6211" s="996" t="str">
        <f>CONCATENATE(Programme!D6212,Programme!E6212,Programme!F6212,Programme!G6212,Programme!H6212,Programme!I6212,Programme!J6212)</f>
        <v>&lt;cellule&gt;&lt;codeEdi&gt;1107&lt;/codeEdi&gt;&lt;/cellule&gt;</v>
      </c>
    </row>
    <row r="6212" spans="1:1" x14ac:dyDescent="0.2">
      <c r="A6212" s="996" t="str">
        <f>CONCATENATE(Programme!D6213,Programme!E6213,Programme!F6213,Programme!G6213,Programme!H6213,Programme!I6213,Programme!J6213)</f>
        <v>&lt;valeur&gt;&lt;/valeur&gt;</v>
      </c>
    </row>
    <row r="6213" spans="1:1" x14ac:dyDescent="0.2">
      <c r="A6213" s="996" t="str">
        <f>CONCATENATE(Programme!D6214,Programme!E6214,Programme!F6214,Programme!G6214,Programme!H6214,Programme!I6214,Programme!J6214)</f>
        <v>&lt;numeroLigne&gt;6&lt;/numeroLigne&gt;</v>
      </c>
    </row>
    <row r="6214" spans="1:1" x14ac:dyDescent="0.2">
      <c r="A6214" s="996" t="str">
        <f>CONCATENATE(Programme!D6215,Programme!E6215,Programme!F6215,Programme!G6215,Programme!H6215,Programme!I6215,Programme!J6215)</f>
        <v>&lt;/ValeurCellule&gt;</v>
      </c>
    </row>
    <row r="6215" spans="1:1" x14ac:dyDescent="0.2">
      <c r="A6215" s="996" t="str">
        <f>CONCATENATE(Programme!D6216,Programme!E6216,Programme!F6216,Programme!G6216,Programme!H6216,Programme!I6216,Programme!J6216)</f>
        <v>&lt;ValeurCellule&gt;</v>
      </c>
    </row>
    <row r="6216" spans="1:1" x14ac:dyDescent="0.2">
      <c r="A6216" s="996" t="str">
        <f>CONCATENATE(Programme!D6217,Programme!E6217,Programme!F6217,Programme!G6217,Programme!H6217,Programme!I6217,Programme!J6217)</f>
        <v>&lt;cellule&gt;&lt;codeEdi&gt;1108&lt;/codeEdi&gt;&lt;/cellule&gt;</v>
      </c>
    </row>
    <row r="6217" spans="1:1" x14ac:dyDescent="0.2">
      <c r="A6217" s="996" t="str">
        <f>CONCATENATE(Programme!D6218,Programme!E6218,Programme!F6218,Programme!G6218,Programme!H6218,Programme!I6218,Programme!J6218)</f>
        <v>&lt;valeur&gt;&lt;/valeur&gt;</v>
      </c>
    </row>
    <row r="6218" spans="1:1" x14ac:dyDescent="0.2">
      <c r="A6218" s="996" t="str">
        <f>CONCATENATE(Programme!D6219,Programme!E6219,Programme!F6219,Programme!G6219,Programme!H6219,Programme!I6219,Programme!J6219)</f>
        <v>&lt;numeroLigne&gt;6&lt;/numeroLigne&gt;</v>
      </c>
    </row>
    <row r="6219" spans="1:1" x14ac:dyDescent="0.2">
      <c r="A6219" s="996" t="str">
        <f>CONCATENATE(Programme!D6220,Programme!E6220,Programme!F6220,Programme!G6220,Programme!H6220,Programme!I6220,Programme!J6220)</f>
        <v>&lt;/ValeurCellule&gt;</v>
      </c>
    </row>
    <row r="6220" spans="1:1" x14ac:dyDescent="0.2">
      <c r="A6220" s="996" t="str">
        <f>CONCATENATE(Programme!D6221,Programme!E6221,Programme!F6221,Programme!G6221,Programme!H6221,Programme!I6221,Programme!J6221)</f>
        <v>&lt;/groupeValeurs&gt;</v>
      </c>
    </row>
    <row r="6221" spans="1:1" x14ac:dyDescent="0.2">
      <c r="A6221" s="996" t="str">
        <f>CONCATENATE(Programme!D6222,Programme!E6222,Programme!F6222,Programme!G6222,Programme!H6222,Programme!I6222,Programme!J6222)</f>
        <v>&lt;extraFieldvaleurs&gt;</v>
      </c>
    </row>
    <row r="6222" spans="1:1" x14ac:dyDescent="0.2">
      <c r="A6222" s="996" t="str">
        <f>CONCATENATE(Programme!D6223,Programme!E6223,Programme!F6223,Programme!G6223,Programme!H6223,Programme!I6223,Programme!J6223)</f>
        <v>&lt;ExtraFieldValeur&gt;</v>
      </c>
    </row>
    <row r="6223" spans="1:1" x14ac:dyDescent="0.2">
      <c r="A6223" s="996" t="str">
        <f>CONCATENATE(Programme!D6224,Programme!E6224,Programme!F6224,Programme!G6224,Programme!H6224,Programme!I6224,Programme!J6224)</f>
        <v xml:space="preserve"> &lt;extraField&gt;</v>
      </c>
    </row>
    <row r="6224" spans="1:1" x14ac:dyDescent="0.2">
      <c r="A6224" s="996" t="str">
        <f>CONCATENATE(Programme!D6225,Programme!E6225,Programme!F6225,Programme!G6225,Programme!H6225,Programme!I6225,Programme!J6225)</f>
        <v>&lt;code&gt;53&lt;/code&gt;</v>
      </c>
    </row>
    <row r="6225" spans="1:1" x14ac:dyDescent="0.2">
      <c r="A6225" s="996" t="str">
        <f>CONCATENATE(Programme!D6226,Programme!E6226,Programme!F6226,Programme!G6226,Programme!H6226,Programme!I6226,Programme!J6226)</f>
        <v xml:space="preserve">&lt;/extraField&gt; </v>
      </c>
    </row>
    <row r="6226" spans="1:1" x14ac:dyDescent="0.2">
      <c r="A6226" s="996" t="str">
        <f>CONCATENATE(Programme!D6227,Programme!E6227,Programme!F6227,Programme!G6227,Programme!H6227,Programme!I6227,Programme!J6227)</f>
        <v>&lt;valeur&gt;31/12/2015&lt;/valeur&gt;</v>
      </c>
    </row>
    <row r="6227" spans="1:1" x14ac:dyDescent="0.2">
      <c r="A6227" s="996" t="str">
        <f>CONCATENATE(Programme!D6228,Programme!E6228,Programme!F6228,Programme!G6228,Programme!H6228,Programme!I6228,Programme!J6228)</f>
        <v>&lt;/ExtraFieldValeur&gt;</v>
      </c>
    </row>
    <row r="6228" spans="1:1" x14ac:dyDescent="0.2">
      <c r="A6228" s="996" t="str">
        <f>CONCATENATE(Programme!D6229,Programme!E6229,Programme!F6229,Programme!G6229,Programme!H6229,Programme!I6229,Programme!J6229)</f>
        <v>&lt;/extraFieldvaleurs&gt;</v>
      </c>
    </row>
    <row r="6229" spans="1:1" x14ac:dyDescent="0.2">
      <c r="A6229" s="996" t="str">
        <f>CONCATENATE(Programme!D6230,Programme!E6230,Programme!F6230,Programme!G6230,Programme!H6230,Programme!I6230,Programme!J6230)</f>
        <v>&lt;/ValeursTableau&gt;</v>
      </c>
    </row>
    <row r="6230" spans="1:1" x14ac:dyDescent="0.2">
      <c r="A6230" s="996" t="str">
        <f>CONCATENATE(Programme!D6231,Programme!E6231,Programme!F6231,Programme!G6231,Programme!H6231,Programme!I6231,Programme!J6231)</f>
        <v>&lt;ValeursTableau&gt;</v>
      </c>
    </row>
    <row r="6231" spans="1:1" x14ac:dyDescent="0.2">
      <c r="A6231" s="996" t="str">
        <f>CONCATENATE(Programme!D6232,Programme!E6232,Programme!F6232,Programme!G6232,Programme!H6232,Programme!I6232,Programme!J6232)</f>
        <v>&lt;tableau&gt;&lt;id&gt;24&lt;/id&gt;&lt;/tableau&gt;</v>
      </c>
    </row>
    <row r="6232" spans="1:1" x14ac:dyDescent="0.2">
      <c r="A6232" s="996" t="str">
        <f>CONCATENATE(Programme!D6233,Programme!E6233,Programme!F6233,Programme!G6233,Programme!H6233,Programme!I6233,Programme!J6233)</f>
        <v>&lt;groupeValeurs&gt;</v>
      </c>
    </row>
    <row r="6233" spans="1:1" x14ac:dyDescent="0.2">
      <c r="A6233" s="996" t="str">
        <f>CONCATENATE(Programme!D6234,Programme!E6234,Programme!F6234,Programme!G6234,Programme!H6234,Programme!I6234,Programme!J6234)</f>
        <v>&lt;ValeurCellule&gt;</v>
      </c>
    </row>
    <row r="6234" spans="1:1" x14ac:dyDescent="0.2">
      <c r="A6234" s="996" t="str">
        <f>CONCATENATE(Programme!D6235,Programme!E6235,Programme!F6235,Programme!G6235,Programme!H6235,Programme!I6235,Programme!J6235)</f>
        <v>&lt;cellule&gt;</v>
      </c>
    </row>
    <row r="6235" spans="1:1" x14ac:dyDescent="0.2">
      <c r="A6235" s="996" t="str">
        <f>CONCATENATE(Programme!D6236,Programme!E6236,Programme!F6236,Programme!G6236,Programme!H6236,Programme!I6236,Programme!J6236)</f>
        <v>&lt;codeEdi&gt;1231&lt;/codeEdi&gt;</v>
      </c>
    </row>
    <row r="6236" spans="1:1" x14ac:dyDescent="0.2">
      <c r="A6236" s="996" t="str">
        <f>CONCATENATE(Programme!D6237,Programme!E6237,Programme!F6237,Programme!G6237,Programme!H6237,Programme!I6237,Programme!J6237)</f>
        <v>&lt;/cellule&gt;</v>
      </c>
    </row>
    <row r="6237" spans="1:1" x14ac:dyDescent="0.2">
      <c r="A6237" s="996" t="str">
        <f>CONCATENATE(Programme!D6238,Programme!E6238,Programme!F6238,Programme!G6238,Programme!H6238,Programme!I6238,Programme!J6238)</f>
        <v>&lt;valeur&gt;0&lt;/valeur&gt;</v>
      </c>
    </row>
    <row r="6238" spans="1:1" x14ac:dyDescent="0.2">
      <c r="A6238" s="996" t="str">
        <f>CONCATENATE(Programme!D6239,Programme!E6239,Programme!F6239,Programme!G6239,Programme!H6239,Programme!I6239,Programme!J6239)</f>
        <v>&lt;/ValeurCellule&gt;</v>
      </c>
    </row>
    <row r="6239" spans="1:1" x14ac:dyDescent="0.2">
      <c r="A6239" s="996" t="str">
        <f>CONCATENATE(Programme!D6240,Programme!E6240,Programme!F6240,Programme!G6240,Programme!H6240,Programme!I6240,Programme!J6240)</f>
        <v>&lt;ValeurCellule&gt;</v>
      </c>
    </row>
    <row r="6240" spans="1:1" x14ac:dyDescent="0.2">
      <c r="A6240" s="996" t="str">
        <f>CONCATENATE(Programme!D6241,Programme!E6241,Programme!F6241,Programme!G6241,Programme!H6241,Programme!I6241,Programme!J6241)</f>
        <v>&lt;cellule&gt;</v>
      </c>
    </row>
    <row r="6241" spans="1:1" x14ac:dyDescent="0.2">
      <c r="A6241" s="996" t="str">
        <f>CONCATENATE(Programme!D6242,Programme!E6242,Programme!F6242,Programme!G6242,Programme!H6242,Programme!I6242,Programme!J6242)</f>
        <v>&lt;codeEdi&gt;1241&lt;/codeEdi&gt;</v>
      </c>
    </row>
    <row r="6242" spans="1:1" x14ac:dyDescent="0.2">
      <c r="A6242" s="996" t="str">
        <f>CONCATENATE(Programme!D6243,Programme!E6243,Programme!F6243,Programme!G6243,Programme!H6243,Programme!I6243,Programme!J6243)</f>
        <v>&lt;/cellule&gt;</v>
      </c>
    </row>
    <row r="6243" spans="1:1" x14ac:dyDescent="0.2">
      <c r="A6243" s="996" t="str">
        <f>CONCATENATE(Programme!D6244,Programme!E6244,Programme!F6244,Programme!G6244,Programme!H6244,Programme!I6244,Programme!J6244)</f>
        <v>&lt;valeur&gt;0&lt;/valeur&gt;</v>
      </c>
    </row>
    <row r="6244" spans="1:1" x14ac:dyDescent="0.2">
      <c r="A6244" s="996" t="str">
        <f>CONCATENATE(Programme!D6245,Programme!E6245,Programme!F6245,Programme!G6245,Programme!H6245,Programme!I6245,Programme!J6245)</f>
        <v>&lt;/ValeurCellule&gt;</v>
      </c>
    </row>
    <row r="6245" spans="1:1" x14ac:dyDescent="0.2">
      <c r="A6245" s="996" t="str">
        <f>CONCATENATE(Programme!D6246,Programme!E6246,Programme!F6246,Programme!G6246,Programme!H6246,Programme!I6246,Programme!J6246)</f>
        <v>&lt;ValeurCellule&gt;</v>
      </c>
    </row>
    <row r="6246" spans="1:1" x14ac:dyDescent="0.2">
      <c r="A6246" s="996" t="str">
        <f>CONCATENATE(Programme!D6247,Programme!E6247,Programme!F6247,Programme!G6247,Programme!H6247,Programme!I6247,Programme!J6247)</f>
        <v>&lt;cellule&gt;</v>
      </c>
    </row>
    <row r="6247" spans="1:1" x14ac:dyDescent="0.2">
      <c r="A6247" s="996" t="str">
        <f>CONCATENATE(Programme!D6248,Programme!E6248,Programme!F6248,Programme!G6248,Programme!H6248,Programme!I6248,Programme!J6248)</f>
        <v>&lt;codeEdi&gt;1246&lt;/codeEdi&gt;</v>
      </c>
    </row>
    <row r="6248" spans="1:1" x14ac:dyDescent="0.2">
      <c r="A6248" s="996" t="str">
        <f>CONCATENATE(Programme!D6249,Programme!E6249,Programme!F6249,Programme!G6249,Programme!H6249,Programme!I6249,Programme!J6249)</f>
        <v>&lt;/cellule&gt;</v>
      </c>
    </row>
    <row r="6249" spans="1:1" x14ac:dyDescent="0.2">
      <c r="A6249" s="996" t="str">
        <f>CONCATENATE(Programme!D6250,Programme!E6250,Programme!F6250,Programme!G6250,Programme!H6250,Programme!I6250,Programme!J6250)</f>
        <v>&lt;valeur&gt;0&lt;/valeur&gt;</v>
      </c>
    </row>
    <row r="6250" spans="1:1" x14ac:dyDescent="0.2">
      <c r="A6250" s="996" t="str">
        <f>CONCATENATE(Programme!D6251,Programme!E6251,Programme!F6251,Programme!G6251,Programme!H6251,Programme!I6251,Programme!J6251)</f>
        <v>&lt;/ValeurCellule&gt;</v>
      </c>
    </row>
    <row r="6251" spans="1:1" x14ac:dyDescent="0.2">
      <c r="A6251" s="996" t="str">
        <f>CONCATENATE(Programme!D6252,Programme!E6252,Programme!F6252,Programme!G6252,Programme!H6252,Programme!I6252,Programme!J6252)</f>
        <v>&lt;ValeurCellule&gt;</v>
      </c>
    </row>
    <row r="6252" spans="1:1" x14ac:dyDescent="0.2">
      <c r="A6252" s="996" t="str">
        <f>CONCATENATE(Programme!D6253,Programme!E6253,Programme!F6253,Programme!G6253,Programme!H6253,Programme!I6253,Programme!J6253)</f>
        <v>&lt;cellule&gt;</v>
      </c>
    </row>
    <row r="6253" spans="1:1" x14ac:dyDescent="0.2">
      <c r="A6253" s="996" t="str">
        <f>CONCATENATE(Programme!D6254,Programme!E6254,Programme!F6254,Programme!G6254,Programme!H6254,Programme!I6254,Programme!J6254)</f>
        <v>&lt;codeEdi&gt;1236&lt;/codeEdi&gt;</v>
      </c>
    </row>
    <row r="6254" spans="1:1" x14ac:dyDescent="0.2">
      <c r="A6254" s="996" t="str">
        <f>CONCATENATE(Programme!D6255,Programme!E6255,Programme!F6255,Programme!G6255,Programme!H6255,Programme!I6255,Programme!J6255)</f>
        <v>&lt;/cellule&gt;</v>
      </c>
    </row>
    <row r="6255" spans="1:1" x14ac:dyDescent="0.2">
      <c r="A6255" s="996" t="str">
        <f>CONCATENATE(Programme!D6256,Programme!E6256,Programme!F6256,Programme!G6256,Programme!H6256,Programme!I6256,Programme!J6256)</f>
        <v>&lt;valeur&gt;0&lt;/valeur&gt;</v>
      </c>
    </row>
    <row r="6256" spans="1:1" x14ac:dyDescent="0.2">
      <c r="A6256" s="996" t="str">
        <f>CONCATENATE(Programme!D6257,Programme!E6257,Programme!F6257,Programme!G6257,Programme!H6257,Programme!I6257,Programme!J6257)</f>
        <v>&lt;/ValeurCellule&gt;</v>
      </c>
    </row>
    <row r="6257" spans="1:1" x14ac:dyDescent="0.2">
      <c r="A6257" s="996" t="str">
        <f>CONCATENATE(Programme!D6258,Programme!E6258,Programme!F6258,Programme!G6258,Programme!H6258,Programme!I6258,Programme!J6258)</f>
        <v>&lt;ValeurCellule&gt;</v>
      </c>
    </row>
    <row r="6258" spans="1:1" x14ac:dyDescent="0.2">
      <c r="A6258" s="996" t="str">
        <f>CONCATENATE(Programme!D6259,Programme!E6259,Programme!F6259,Programme!G6259,Programme!H6259,Programme!I6259,Programme!J6259)</f>
        <v>&lt;cellule&gt;</v>
      </c>
    </row>
    <row r="6259" spans="1:1" x14ac:dyDescent="0.2">
      <c r="A6259" s="996" t="str">
        <f>CONCATENATE(Programme!D6260,Programme!E6260,Programme!F6260,Programme!G6260,Programme!H6260,Programme!I6260,Programme!J6260)</f>
        <v>&lt;codeEdi&gt;1232&lt;/codeEdi&gt;</v>
      </c>
    </row>
    <row r="6260" spans="1:1" x14ac:dyDescent="0.2">
      <c r="A6260" s="996" t="str">
        <f>CONCATENATE(Programme!D6261,Programme!E6261,Programme!F6261,Programme!G6261,Programme!H6261,Programme!I6261,Programme!J6261)</f>
        <v>&lt;/cellule&gt;</v>
      </c>
    </row>
    <row r="6261" spans="1:1" x14ac:dyDescent="0.2">
      <c r="A6261" s="996" t="str">
        <f>CONCATENATE(Programme!D6262,Programme!E6262,Programme!F6262,Programme!G6262,Programme!H6262,Programme!I6262,Programme!J6262)</f>
        <v>&lt;valeur&gt;0&lt;/valeur&gt;</v>
      </c>
    </row>
    <row r="6262" spans="1:1" x14ac:dyDescent="0.2">
      <c r="A6262" s="996" t="str">
        <f>CONCATENATE(Programme!D6263,Programme!E6263,Programme!F6263,Programme!G6263,Programme!H6263,Programme!I6263,Programme!J6263)</f>
        <v>&lt;/ValeurCellule&gt;</v>
      </c>
    </row>
    <row r="6263" spans="1:1" x14ac:dyDescent="0.2">
      <c r="A6263" s="996" t="str">
        <f>CONCATENATE(Programme!D6264,Programme!E6264,Programme!F6264,Programme!G6264,Programme!H6264,Programme!I6264,Programme!J6264)</f>
        <v>&lt;ValeurCellule&gt;</v>
      </c>
    </row>
    <row r="6264" spans="1:1" x14ac:dyDescent="0.2">
      <c r="A6264" s="996" t="str">
        <f>CONCATENATE(Programme!D6265,Programme!E6265,Programme!F6265,Programme!G6265,Programme!H6265,Programme!I6265,Programme!J6265)</f>
        <v>&lt;cellule&gt;</v>
      </c>
    </row>
    <row r="6265" spans="1:1" x14ac:dyDescent="0.2">
      <c r="A6265" s="996" t="str">
        <f>CONCATENATE(Programme!D6266,Programme!E6266,Programme!F6266,Programme!G6266,Programme!H6266,Programme!I6266,Programme!J6266)</f>
        <v>&lt;codeEdi&gt;1242&lt;/codeEdi&gt;</v>
      </c>
    </row>
    <row r="6266" spans="1:1" x14ac:dyDescent="0.2">
      <c r="A6266" s="996" t="str">
        <f>CONCATENATE(Programme!D6267,Programme!E6267,Programme!F6267,Programme!G6267,Programme!H6267,Programme!I6267,Programme!J6267)</f>
        <v>&lt;/cellule&gt;</v>
      </c>
    </row>
    <row r="6267" spans="1:1" x14ac:dyDescent="0.2">
      <c r="A6267" s="996" t="str">
        <f>CONCATENATE(Programme!D6268,Programme!E6268,Programme!F6268,Programme!G6268,Programme!H6268,Programme!I6268,Programme!J6268)</f>
        <v>&lt;valeur&gt;0&lt;/valeur&gt;</v>
      </c>
    </row>
    <row r="6268" spans="1:1" x14ac:dyDescent="0.2">
      <c r="A6268" s="996" t="str">
        <f>CONCATENATE(Programme!D6269,Programme!E6269,Programme!F6269,Programme!G6269,Programme!H6269,Programme!I6269,Programme!J6269)</f>
        <v>&lt;/ValeurCellule&gt;</v>
      </c>
    </row>
    <row r="6269" spans="1:1" x14ac:dyDescent="0.2">
      <c r="A6269" s="996" t="str">
        <f>CONCATENATE(Programme!D6270,Programme!E6270,Programme!F6270,Programme!G6270,Programme!H6270,Programme!I6270,Programme!J6270)</f>
        <v>&lt;ValeurCellule&gt;</v>
      </c>
    </row>
    <row r="6270" spans="1:1" x14ac:dyDescent="0.2">
      <c r="A6270" s="996" t="str">
        <f>CONCATENATE(Programme!D6271,Programme!E6271,Programme!F6271,Programme!G6271,Programme!H6271,Programme!I6271,Programme!J6271)</f>
        <v>&lt;cellule&gt;</v>
      </c>
    </row>
    <row r="6271" spans="1:1" x14ac:dyDescent="0.2">
      <c r="A6271" s="996" t="str">
        <f>CONCATENATE(Programme!D6272,Programme!E6272,Programme!F6272,Programme!G6272,Programme!H6272,Programme!I6272,Programme!J6272)</f>
        <v>&lt;codeEdi&gt;1247&lt;/codeEdi&gt;</v>
      </c>
    </row>
    <row r="6272" spans="1:1" x14ac:dyDescent="0.2">
      <c r="A6272" s="996" t="str">
        <f>CONCATENATE(Programme!D6273,Programme!E6273,Programme!F6273,Programme!G6273,Programme!H6273,Programme!I6273,Programme!J6273)</f>
        <v>&lt;/cellule&gt;</v>
      </c>
    </row>
    <row r="6273" spans="1:1" x14ac:dyDescent="0.2">
      <c r="A6273" s="996" t="str">
        <f>CONCATENATE(Programme!D6274,Programme!E6274,Programme!F6274,Programme!G6274,Programme!H6274,Programme!I6274,Programme!J6274)</f>
        <v>&lt;valeur&gt;0&lt;/valeur&gt;</v>
      </c>
    </row>
    <row r="6274" spans="1:1" x14ac:dyDescent="0.2">
      <c r="A6274" s="996" t="str">
        <f>CONCATENATE(Programme!D6275,Programme!E6275,Programme!F6275,Programme!G6275,Programme!H6275,Programme!I6275,Programme!J6275)</f>
        <v>&lt;/ValeurCellule&gt;</v>
      </c>
    </row>
    <row r="6275" spans="1:1" x14ac:dyDescent="0.2">
      <c r="A6275" s="996" t="str">
        <f>CONCATENATE(Programme!D6276,Programme!E6276,Programme!F6276,Programme!G6276,Programme!H6276,Programme!I6276,Programme!J6276)</f>
        <v>&lt;ValeurCellule&gt;</v>
      </c>
    </row>
    <row r="6276" spans="1:1" x14ac:dyDescent="0.2">
      <c r="A6276" s="996" t="str">
        <f>CONCATENATE(Programme!D6277,Programme!E6277,Programme!F6277,Programme!G6277,Programme!H6277,Programme!I6277,Programme!J6277)</f>
        <v>&lt;cellule&gt;</v>
      </c>
    </row>
    <row r="6277" spans="1:1" x14ac:dyDescent="0.2">
      <c r="A6277" s="996" t="str">
        <f>CONCATENATE(Programme!D6278,Programme!E6278,Programme!F6278,Programme!G6278,Programme!H6278,Programme!I6278,Programme!J6278)</f>
        <v>&lt;codeEdi&gt;1237&lt;/codeEdi&gt;</v>
      </c>
    </row>
    <row r="6278" spans="1:1" x14ac:dyDescent="0.2">
      <c r="A6278" s="996" t="str">
        <f>CONCATENATE(Programme!D6279,Programme!E6279,Programme!F6279,Programme!G6279,Programme!H6279,Programme!I6279,Programme!J6279)</f>
        <v>&lt;/cellule&gt;</v>
      </c>
    </row>
    <row r="6279" spans="1:1" x14ac:dyDescent="0.2">
      <c r="A6279" s="996" t="str">
        <f>CONCATENATE(Programme!D6280,Programme!E6280,Programme!F6280,Programme!G6280,Programme!H6280,Programme!I6280,Programme!J6280)</f>
        <v>&lt;valeur&gt;0&lt;/valeur&gt;</v>
      </c>
    </row>
    <row r="6280" spans="1:1" x14ac:dyDescent="0.2">
      <c r="A6280" s="996" t="str">
        <f>CONCATENATE(Programme!D6281,Programme!E6281,Programme!F6281,Programme!G6281,Programme!H6281,Programme!I6281,Programme!J6281)</f>
        <v>&lt;/ValeurCellule&gt;</v>
      </c>
    </row>
    <row r="6281" spans="1:1" x14ac:dyDescent="0.2">
      <c r="A6281" s="996" t="str">
        <f>CONCATENATE(Programme!D6282,Programme!E6282,Programme!F6282,Programme!G6282,Programme!H6282,Programme!I6282,Programme!J6282)</f>
        <v>&lt;ValeurCellule&gt;</v>
      </c>
    </row>
    <row r="6282" spans="1:1" x14ac:dyDescent="0.2">
      <c r="A6282" s="996" t="str">
        <f>CONCATENATE(Programme!D6283,Programme!E6283,Programme!F6283,Programme!G6283,Programme!H6283,Programme!I6283,Programme!J6283)</f>
        <v>&lt;cellule&gt;</v>
      </c>
    </row>
    <row r="6283" spans="1:1" x14ac:dyDescent="0.2">
      <c r="A6283" s="996" t="str">
        <f>CONCATENATE(Programme!D6284,Programme!E6284,Programme!F6284,Programme!G6284,Programme!H6284,Programme!I6284,Programme!J6284)</f>
        <v>&lt;codeEdi&gt;1233&lt;/codeEdi&gt;</v>
      </c>
    </row>
    <row r="6284" spans="1:1" x14ac:dyDescent="0.2">
      <c r="A6284" s="996" t="str">
        <f>CONCATENATE(Programme!D6285,Programme!E6285,Programme!F6285,Programme!G6285,Programme!H6285,Programme!I6285,Programme!J6285)</f>
        <v>&lt;/cellule&gt;</v>
      </c>
    </row>
    <row r="6285" spans="1:1" x14ac:dyDescent="0.2">
      <c r="A6285" s="996" t="str">
        <f>CONCATENATE(Programme!D6286,Programme!E6286,Programme!F6286,Programme!G6286,Programme!H6286,Programme!I6286,Programme!J6286)</f>
        <v>&lt;valeur&gt;0&lt;/valeur&gt;</v>
      </c>
    </row>
    <row r="6286" spans="1:1" x14ac:dyDescent="0.2">
      <c r="A6286" s="996" t="str">
        <f>CONCATENATE(Programme!D6287,Programme!E6287,Programme!F6287,Programme!G6287,Programme!H6287,Programme!I6287,Programme!J6287)</f>
        <v>&lt;/ValeurCellule&gt;</v>
      </c>
    </row>
    <row r="6287" spans="1:1" x14ac:dyDescent="0.2">
      <c r="A6287" s="996" t="str">
        <f>CONCATENATE(Programme!D6288,Programme!E6288,Programme!F6288,Programme!G6288,Programme!H6288,Programme!I6288,Programme!J6288)</f>
        <v>&lt;ValeurCellule&gt;</v>
      </c>
    </row>
    <row r="6288" spans="1:1" x14ac:dyDescent="0.2">
      <c r="A6288" s="996" t="str">
        <f>CONCATENATE(Programme!D6289,Programme!E6289,Programme!F6289,Programme!G6289,Programme!H6289,Programme!I6289,Programme!J6289)</f>
        <v>&lt;cellule&gt;</v>
      </c>
    </row>
    <row r="6289" spans="1:1" x14ac:dyDescent="0.2">
      <c r="A6289" s="996" t="str">
        <f>CONCATENATE(Programme!D6290,Programme!E6290,Programme!F6290,Programme!G6290,Programme!H6290,Programme!I6290,Programme!J6290)</f>
        <v>&lt;codeEdi&gt;1238&lt;/codeEdi&gt;</v>
      </c>
    </row>
    <row r="6290" spans="1:1" x14ac:dyDescent="0.2">
      <c r="A6290" s="996" t="str">
        <f>CONCATENATE(Programme!D6291,Programme!E6291,Programme!F6291,Programme!G6291,Programme!H6291,Programme!I6291,Programme!J6291)</f>
        <v>&lt;/cellule&gt;</v>
      </c>
    </row>
    <row r="6291" spans="1:1" x14ac:dyDescent="0.2">
      <c r="A6291" s="996" t="str">
        <f>CONCATENATE(Programme!D6292,Programme!E6292,Programme!F6292,Programme!G6292,Programme!H6292,Programme!I6292,Programme!J6292)</f>
        <v>&lt;valeur&gt;0&lt;/valeur&gt;</v>
      </c>
    </row>
    <row r="6292" spans="1:1" x14ac:dyDescent="0.2">
      <c r="A6292" s="996" t="str">
        <f>CONCATENATE(Programme!D6293,Programme!E6293,Programme!F6293,Programme!G6293,Programme!H6293,Programme!I6293,Programme!J6293)</f>
        <v>&lt;/ValeurCellule&gt;</v>
      </c>
    </row>
    <row r="6293" spans="1:1" x14ac:dyDescent="0.2">
      <c r="A6293" s="996" t="str">
        <f>CONCATENATE(Programme!D6294,Programme!E6294,Programme!F6294,Programme!G6294,Programme!H6294,Programme!I6294,Programme!J6294)</f>
        <v>&lt;ValeurCellule&gt;</v>
      </c>
    </row>
    <row r="6294" spans="1:1" x14ac:dyDescent="0.2">
      <c r="A6294" s="996" t="str">
        <f>CONCATENATE(Programme!D6295,Programme!E6295,Programme!F6295,Programme!G6295,Programme!H6295,Programme!I6295,Programme!J6295)</f>
        <v>&lt;cellule&gt;</v>
      </c>
    </row>
    <row r="6295" spans="1:1" x14ac:dyDescent="0.2">
      <c r="A6295" s="996" t="str">
        <f>CONCATENATE(Programme!D6296,Programme!E6296,Programme!F6296,Programme!G6296,Programme!H6296,Programme!I6296,Programme!J6296)</f>
        <v>&lt;codeEdi&gt;1243&lt;/codeEdi&gt;</v>
      </c>
    </row>
    <row r="6296" spans="1:1" x14ac:dyDescent="0.2">
      <c r="A6296" s="996" t="str">
        <f>CONCATENATE(Programme!D6297,Programme!E6297,Programme!F6297,Programme!G6297,Programme!H6297,Programme!I6297,Programme!J6297)</f>
        <v>&lt;/cellule&gt;</v>
      </c>
    </row>
    <row r="6297" spans="1:1" x14ac:dyDescent="0.2">
      <c r="A6297" s="996" t="str">
        <f>CONCATENATE(Programme!D6298,Programme!E6298,Programme!F6298,Programme!G6298,Programme!H6298,Programme!I6298,Programme!J6298)</f>
        <v>&lt;valeur&gt;0&lt;/valeur&gt;</v>
      </c>
    </row>
    <row r="6298" spans="1:1" x14ac:dyDescent="0.2">
      <c r="A6298" s="996" t="str">
        <f>CONCATENATE(Programme!D6299,Programme!E6299,Programme!F6299,Programme!G6299,Programme!H6299,Programme!I6299,Programme!J6299)</f>
        <v>&lt;/ValeurCellule&gt;</v>
      </c>
    </row>
    <row r="6299" spans="1:1" x14ac:dyDescent="0.2">
      <c r="A6299" s="996" t="str">
        <f>CONCATENATE(Programme!D6300,Programme!E6300,Programme!F6300,Programme!G6300,Programme!H6300,Programme!I6300,Programme!J6300)</f>
        <v>&lt;ValeurCellule&gt;</v>
      </c>
    </row>
    <row r="6300" spans="1:1" x14ac:dyDescent="0.2">
      <c r="A6300" s="996" t="str">
        <f>CONCATENATE(Programme!D6301,Programme!E6301,Programme!F6301,Programme!G6301,Programme!H6301,Programme!I6301,Programme!J6301)</f>
        <v>&lt;cellule&gt;</v>
      </c>
    </row>
    <row r="6301" spans="1:1" x14ac:dyDescent="0.2">
      <c r="A6301" s="996" t="str">
        <f>CONCATENATE(Programme!D6302,Programme!E6302,Programme!F6302,Programme!G6302,Programme!H6302,Programme!I6302,Programme!J6302)</f>
        <v>&lt;codeEdi&gt;1248&lt;/codeEdi&gt;</v>
      </c>
    </row>
    <row r="6302" spans="1:1" x14ac:dyDescent="0.2">
      <c r="A6302" s="996" t="str">
        <f>CONCATENATE(Programme!D6303,Programme!E6303,Programme!F6303,Programme!G6303,Programme!H6303,Programme!I6303,Programme!J6303)</f>
        <v>&lt;/cellule&gt;</v>
      </c>
    </row>
    <row r="6303" spans="1:1" x14ac:dyDescent="0.2">
      <c r="A6303" s="996" t="str">
        <f>CONCATENATE(Programme!D6304,Programme!E6304,Programme!F6304,Programme!G6304,Programme!H6304,Programme!I6304,Programme!J6304)</f>
        <v>&lt;valeur&gt;0&lt;/valeur&gt;</v>
      </c>
    </row>
    <row r="6304" spans="1:1" x14ac:dyDescent="0.2">
      <c r="A6304" s="996" t="str">
        <f>CONCATENATE(Programme!D6305,Programme!E6305,Programme!F6305,Programme!G6305,Programme!H6305,Programme!I6305,Programme!J6305)</f>
        <v>&lt;/ValeurCellule&gt;</v>
      </c>
    </row>
    <row r="6305" spans="1:1" x14ac:dyDescent="0.2">
      <c r="A6305" s="996" t="str">
        <f>CONCATENATE(Programme!D6306,Programme!E6306,Programme!F6306,Programme!G6306,Programme!H6306,Programme!I6306,Programme!J6306)</f>
        <v>&lt;ValeurCellule&gt;</v>
      </c>
    </row>
    <row r="6306" spans="1:1" x14ac:dyDescent="0.2">
      <c r="A6306" s="996" t="str">
        <f>CONCATENATE(Programme!D6307,Programme!E6307,Programme!F6307,Programme!G6307,Programme!H6307,Programme!I6307,Programme!J6307)</f>
        <v>&lt;cellule&gt;</v>
      </c>
    </row>
    <row r="6307" spans="1:1" x14ac:dyDescent="0.2">
      <c r="A6307" s="996" t="str">
        <f>CONCATENATE(Programme!D6308,Programme!E6308,Programme!F6308,Programme!G6308,Programme!H6308,Programme!I6308,Programme!J6308)</f>
        <v>&lt;codeEdi&gt;1234&lt;/codeEdi&gt;</v>
      </c>
    </row>
    <row r="6308" spans="1:1" x14ac:dyDescent="0.2">
      <c r="A6308" s="996" t="str">
        <f>CONCATENATE(Programme!D6309,Programme!E6309,Programme!F6309,Programme!G6309,Programme!H6309,Programme!I6309,Programme!J6309)</f>
        <v>&lt;/cellule&gt;</v>
      </c>
    </row>
    <row r="6309" spans="1:1" x14ac:dyDescent="0.2">
      <c r="A6309" s="996" t="str">
        <f>CONCATENATE(Programme!D6310,Programme!E6310,Programme!F6310,Programme!G6310,Programme!H6310,Programme!I6310,Programme!J6310)</f>
        <v>&lt;valeur&gt;0&lt;/valeur&gt;</v>
      </c>
    </row>
    <row r="6310" spans="1:1" x14ac:dyDescent="0.2">
      <c r="A6310" s="996" t="str">
        <f>CONCATENATE(Programme!D6311,Programme!E6311,Programme!F6311,Programme!G6311,Programme!H6311,Programme!I6311,Programme!J6311)</f>
        <v>&lt;/ValeurCellule&gt;</v>
      </c>
    </row>
    <row r="6311" spans="1:1" x14ac:dyDescent="0.2">
      <c r="A6311" s="996" t="str">
        <f>CONCATENATE(Programme!D6312,Programme!E6312,Programme!F6312,Programme!G6312,Programme!H6312,Programme!I6312,Programme!J6312)</f>
        <v>&lt;ValeurCellule&gt;</v>
      </c>
    </row>
    <row r="6312" spans="1:1" x14ac:dyDescent="0.2">
      <c r="A6312" s="996" t="str">
        <f>CONCATENATE(Programme!D6313,Programme!E6313,Programme!F6313,Programme!G6313,Programme!H6313,Programme!I6313,Programme!J6313)</f>
        <v>&lt;cellule&gt;</v>
      </c>
    </row>
    <row r="6313" spans="1:1" x14ac:dyDescent="0.2">
      <c r="A6313" s="996" t="str">
        <f>CONCATENATE(Programme!D6314,Programme!E6314,Programme!F6314,Programme!G6314,Programme!H6314,Programme!I6314,Programme!J6314)</f>
        <v>&lt;codeEdi&gt;1239&lt;/codeEdi&gt;</v>
      </c>
    </row>
    <row r="6314" spans="1:1" x14ac:dyDescent="0.2">
      <c r="A6314" s="996" t="str">
        <f>CONCATENATE(Programme!D6315,Programme!E6315,Programme!F6315,Programme!G6315,Programme!H6315,Programme!I6315,Programme!J6315)</f>
        <v>&lt;/cellule&gt;</v>
      </c>
    </row>
    <row r="6315" spans="1:1" x14ac:dyDescent="0.2">
      <c r="A6315" s="996" t="str">
        <f>CONCATENATE(Programme!D6316,Programme!E6316,Programme!F6316,Programme!G6316,Programme!H6316,Programme!I6316,Programme!J6316)</f>
        <v>&lt;valeur&gt;0&lt;/valeur&gt;</v>
      </c>
    </row>
    <row r="6316" spans="1:1" x14ac:dyDescent="0.2">
      <c r="A6316" s="996" t="str">
        <f>CONCATENATE(Programme!D6317,Programme!E6317,Programme!F6317,Programme!G6317,Programme!H6317,Programme!I6317,Programme!J6317)</f>
        <v>&lt;/ValeurCellule&gt;</v>
      </c>
    </row>
    <row r="6317" spans="1:1" x14ac:dyDescent="0.2">
      <c r="A6317" s="996" t="str">
        <f>CONCATENATE(Programme!D6318,Programme!E6318,Programme!F6318,Programme!G6318,Programme!H6318,Programme!I6318,Programme!J6318)</f>
        <v>&lt;ValeurCellule&gt;</v>
      </c>
    </row>
    <row r="6318" spans="1:1" x14ac:dyDescent="0.2">
      <c r="A6318" s="996" t="str">
        <f>CONCATENATE(Programme!D6319,Programme!E6319,Programme!F6319,Programme!G6319,Programme!H6319,Programme!I6319,Programme!J6319)</f>
        <v>&lt;cellule&gt;</v>
      </c>
    </row>
    <row r="6319" spans="1:1" x14ac:dyDescent="0.2">
      <c r="A6319" s="996" t="str">
        <f>CONCATENATE(Programme!D6320,Programme!E6320,Programme!F6320,Programme!G6320,Programme!H6320,Programme!I6320,Programme!J6320)</f>
        <v>&lt;codeEdi&gt;1244&lt;/codeEdi&gt;</v>
      </c>
    </row>
    <row r="6320" spans="1:1" x14ac:dyDescent="0.2">
      <c r="A6320" s="996" t="str">
        <f>CONCATENATE(Programme!D6321,Programme!E6321,Programme!F6321,Programme!G6321,Programme!H6321,Programme!I6321,Programme!J6321)</f>
        <v>&lt;/cellule&gt;</v>
      </c>
    </row>
    <row r="6321" spans="1:1" x14ac:dyDescent="0.2">
      <c r="A6321" s="996" t="str">
        <f>CONCATENATE(Programme!D6322,Programme!E6322,Programme!F6322,Programme!G6322,Programme!H6322,Programme!I6322,Programme!J6322)</f>
        <v>&lt;valeur&gt;0&lt;/valeur&gt;</v>
      </c>
    </row>
    <row r="6322" spans="1:1" x14ac:dyDescent="0.2">
      <c r="A6322" s="996" t="str">
        <f>CONCATENATE(Programme!D6323,Programme!E6323,Programme!F6323,Programme!G6323,Programme!H6323,Programme!I6323,Programme!J6323)</f>
        <v>&lt;/ValeurCellule&gt;</v>
      </c>
    </row>
    <row r="6323" spans="1:1" x14ac:dyDescent="0.2">
      <c r="A6323" s="996" t="str">
        <f>CONCATENATE(Programme!D6324,Programme!E6324,Programme!F6324,Programme!G6324,Programme!H6324,Programme!I6324,Programme!J6324)</f>
        <v>&lt;ValeurCellule&gt;</v>
      </c>
    </row>
    <row r="6324" spans="1:1" x14ac:dyDescent="0.2">
      <c r="A6324" s="996" t="str">
        <f>CONCATENATE(Programme!D6325,Programme!E6325,Programme!F6325,Programme!G6325,Programme!H6325,Programme!I6325,Programme!J6325)</f>
        <v>&lt;cellule&gt;</v>
      </c>
    </row>
    <row r="6325" spans="1:1" x14ac:dyDescent="0.2">
      <c r="A6325" s="996" t="str">
        <f>CONCATENATE(Programme!D6326,Programme!E6326,Programme!F6326,Programme!G6326,Programme!H6326,Programme!I6326,Programme!J6326)</f>
        <v>&lt;codeEdi&gt;1249&lt;/codeEdi&gt;</v>
      </c>
    </row>
    <row r="6326" spans="1:1" x14ac:dyDescent="0.2">
      <c r="A6326" s="996" t="str">
        <f>CONCATENATE(Programme!D6327,Programme!E6327,Programme!F6327,Programme!G6327,Programme!H6327,Programme!I6327,Programme!J6327)</f>
        <v>&lt;/cellule&gt;</v>
      </c>
    </row>
    <row r="6327" spans="1:1" x14ac:dyDescent="0.2">
      <c r="A6327" s="996" t="str">
        <f>CONCATENATE(Programme!D6328,Programme!E6328,Programme!F6328,Programme!G6328,Programme!H6328,Programme!I6328,Programme!J6328)</f>
        <v>&lt;valeur&gt;0&lt;/valeur&gt;</v>
      </c>
    </row>
    <row r="6328" spans="1:1" x14ac:dyDescent="0.2">
      <c r="A6328" s="996" t="str">
        <f>CONCATENATE(Programme!D6329,Programme!E6329,Programme!F6329,Programme!G6329,Programme!H6329,Programme!I6329,Programme!J6329)</f>
        <v>&lt;/ValeurCellule&gt;</v>
      </c>
    </row>
    <row r="6329" spans="1:1" x14ac:dyDescent="0.2">
      <c r="A6329" s="996" t="str">
        <f>CONCATENATE(Programme!D6330,Programme!E6330,Programme!F6330,Programme!G6330,Programme!H6330,Programme!I6330,Programme!J6330)</f>
        <v>&lt;ValeurCellule&gt;</v>
      </c>
    </row>
    <row r="6330" spans="1:1" x14ac:dyDescent="0.2">
      <c r="A6330" s="996" t="str">
        <f>CONCATENATE(Programme!D6331,Programme!E6331,Programme!F6331,Programme!G6331,Programme!H6331,Programme!I6331,Programme!J6331)</f>
        <v>&lt;cellule&gt;&lt;codeEdi&gt;12122&lt;/codeEdi&gt;&lt;/cellule&gt;</v>
      </c>
    </row>
    <row r="6331" spans="1:1" x14ac:dyDescent="0.2">
      <c r="A6331" s="996" t="str">
        <f>CONCATENATE(Programme!D6332,Programme!E6332,Programme!F6332,Programme!G6332,Programme!H6332,Programme!I6332,Programme!J6332)</f>
        <v>&lt;valeur&gt;&lt;/valeur&gt;</v>
      </c>
    </row>
    <row r="6332" spans="1:1" x14ac:dyDescent="0.2">
      <c r="A6332" s="996" t="str">
        <f>CONCATENATE(Programme!D6333,Programme!E6333,Programme!F6333,Programme!G6333,Programme!H6333,Programme!I6333,Programme!J6333)</f>
        <v>&lt;numeroLigne&gt;1&lt;/numeroLigne&gt;</v>
      </c>
    </row>
    <row r="6333" spans="1:1" x14ac:dyDescent="0.2">
      <c r="A6333" s="996" t="str">
        <f>CONCATENATE(Programme!D6334,Programme!E6334,Programme!F6334,Programme!G6334,Programme!H6334,Programme!I6334,Programme!J6334)</f>
        <v>&lt;/ValeurCellule&gt;</v>
      </c>
    </row>
    <row r="6334" spans="1:1" x14ac:dyDescent="0.2">
      <c r="A6334" s="996" t="str">
        <f>CONCATENATE(Programme!D6335,Programme!E6335,Programme!F6335,Programme!G6335,Programme!H6335,Programme!I6335,Programme!J6335)</f>
        <v>&lt;ValeurCellule&gt;</v>
      </c>
    </row>
    <row r="6335" spans="1:1" x14ac:dyDescent="0.2">
      <c r="A6335" s="996" t="str">
        <f>CONCATENATE(Programme!D6336,Programme!E6336,Programme!F6336,Programme!G6336,Programme!H6336,Programme!I6336,Programme!J6336)</f>
        <v>&lt;cellule&gt;&lt;codeEdi&gt;12123&lt;/codeEdi&gt;&lt;/cellule&gt;</v>
      </c>
    </row>
    <row r="6336" spans="1:1" x14ac:dyDescent="0.2">
      <c r="A6336" s="996" t="str">
        <f>CONCATENATE(Programme!D6337,Programme!E6337,Programme!F6337,Programme!G6337,Programme!H6337,Programme!I6337,Programme!J6337)</f>
        <v>&lt;valeur&gt;&lt;/valeur&gt;</v>
      </c>
    </row>
    <row r="6337" spans="1:1" x14ac:dyDescent="0.2">
      <c r="A6337" s="996" t="str">
        <f>CONCATENATE(Programme!D6338,Programme!E6338,Programme!F6338,Programme!G6338,Programme!H6338,Programme!I6338,Programme!J6338)</f>
        <v>&lt;numeroLigne&gt;1&lt;/numeroLigne&gt;</v>
      </c>
    </row>
    <row r="6338" spans="1:1" x14ac:dyDescent="0.2">
      <c r="A6338" s="996" t="str">
        <f>CONCATENATE(Programme!D6339,Programme!E6339,Programme!F6339,Programme!G6339,Programme!H6339,Programme!I6339,Programme!J6339)</f>
        <v>&lt;/ValeurCellule&gt;</v>
      </c>
    </row>
    <row r="6339" spans="1:1" x14ac:dyDescent="0.2">
      <c r="A6339" s="996" t="str">
        <f>CONCATENATE(Programme!D6340,Programme!E6340,Programme!F6340,Programme!G6340,Programme!H6340,Programme!I6340,Programme!J6340)</f>
        <v>&lt;ValeurCellule&gt;</v>
      </c>
    </row>
    <row r="6340" spans="1:1" x14ac:dyDescent="0.2">
      <c r="A6340" s="996" t="str">
        <f>CONCATENATE(Programme!D6341,Programme!E6341,Programme!F6341,Programme!G6341,Programme!H6341,Programme!I6341,Programme!J6341)</f>
        <v>&lt;cellule&gt;&lt;codeEdi&gt;12124&lt;/codeEdi&gt;&lt;/cellule&gt;</v>
      </c>
    </row>
    <row r="6341" spans="1:1" x14ac:dyDescent="0.2">
      <c r="A6341" s="996" t="str">
        <f>CONCATENATE(Programme!D6342,Programme!E6342,Programme!F6342,Programme!G6342,Programme!H6342,Programme!I6342,Programme!J6342)</f>
        <v>&lt;valeur&gt;&lt;/valeur&gt;</v>
      </c>
    </row>
    <row r="6342" spans="1:1" x14ac:dyDescent="0.2">
      <c r="A6342" s="996" t="str">
        <f>CONCATENATE(Programme!D6343,Programme!E6343,Programme!F6343,Programme!G6343,Programme!H6343,Programme!I6343,Programme!J6343)</f>
        <v>&lt;numeroLigne&gt;1&lt;/numeroLigne&gt;</v>
      </c>
    </row>
    <row r="6343" spans="1:1" x14ac:dyDescent="0.2">
      <c r="A6343" s="996" t="str">
        <f>CONCATENATE(Programme!D6344,Programme!E6344,Programme!F6344,Programme!G6344,Programme!H6344,Programme!I6344,Programme!J6344)</f>
        <v>&lt;/ValeurCellule&gt;</v>
      </c>
    </row>
    <row r="6344" spans="1:1" x14ac:dyDescent="0.2">
      <c r="A6344" s="996" t="str">
        <f>CONCATENATE(Programme!D6345,Programme!E6345,Programme!F6345,Programme!G6345,Programme!H6345,Programme!I6345,Programme!J6345)</f>
        <v>&lt;ValeurCellule&gt;</v>
      </c>
    </row>
    <row r="6345" spans="1:1" x14ac:dyDescent="0.2">
      <c r="A6345" s="996" t="str">
        <f>CONCATENATE(Programme!D6346,Programme!E6346,Programme!F6346,Programme!G6346,Programme!H6346,Programme!I6346,Programme!J6346)</f>
        <v>&lt;cellule&gt;&lt;codeEdi&gt;12125&lt;/codeEdi&gt;&lt;/cellule&gt;</v>
      </c>
    </row>
    <row r="6346" spans="1:1" x14ac:dyDescent="0.2">
      <c r="A6346" s="996" t="str">
        <f>CONCATENATE(Programme!D6347,Programme!E6347,Programme!F6347,Programme!G6347,Programme!H6347,Programme!I6347,Programme!J6347)</f>
        <v>&lt;valeur&gt;0&lt;/valeur&gt;</v>
      </c>
    </row>
    <row r="6347" spans="1:1" x14ac:dyDescent="0.2">
      <c r="A6347" s="996" t="str">
        <f>CONCATENATE(Programme!D6348,Programme!E6348,Programme!F6348,Programme!G6348,Programme!H6348,Programme!I6348,Programme!J6348)</f>
        <v>&lt;numeroLigne&gt;1&lt;/numeroLigne&gt;</v>
      </c>
    </row>
    <row r="6348" spans="1:1" x14ac:dyDescent="0.2">
      <c r="A6348" s="996" t="str">
        <f>CONCATENATE(Programme!D6349,Programme!E6349,Programme!F6349,Programme!G6349,Programme!H6349,Programme!I6349,Programme!J6349)</f>
        <v>&lt;/ValeurCellule&gt;</v>
      </c>
    </row>
    <row r="6349" spans="1:1" x14ac:dyDescent="0.2">
      <c r="A6349" s="996" t="str">
        <f>CONCATENATE(Programme!D6350,Programme!E6350,Programme!F6350,Programme!G6350,Programme!H6350,Programme!I6350,Programme!J6350)</f>
        <v>&lt;ValeurCellule&gt;</v>
      </c>
    </row>
    <row r="6350" spans="1:1" x14ac:dyDescent="0.2">
      <c r="A6350" s="996" t="str">
        <f>CONCATENATE(Programme!D6351,Programme!E6351,Programme!F6351,Programme!G6351,Programme!H6351,Programme!I6351,Programme!J6351)</f>
        <v>&lt;cellule&gt;</v>
      </c>
    </row>
    <row r="6351" spans="1:1" x14ac:dyDescent="0.2">
      <c r="A6351" s="996" t="str">
        <f>CONCATENATE(Programme!D6352,Programme!E6352,Programme!F6352,Programme!G6352,Programme!H6352,Programme!I6352,Programme!J6352)</f>
        <v>&lt;codeEdi&gt;1624&lt;/codeEdi&gt;</v>
      </c>
    </row>
    <row r="6352" spans="1:1" x14ac:dyDescent="0.2">
      <c r="A6352" s="996" t="str">
        <f>CONCATENATE(Programme!D6353,Programme!E6353,Programme!F6353,Programme!G6353,Programme!H6353,Programme!I6353,Programme!J6353)</f>
        <v>&lt;/cellule&gt;</v>
      </c>
    </row>
    <row r="6353" spans="1:1" x14ac:dyDescent="0.2">
      <c r="A6353" s="996" t="str">
        <f>CONCATENATE(Programme!D6354,Programme!E6354,Programme!F6354,Programme!G6354,Programme!H6354,Programme!I6354,Programme!J6354)</f>
        <v>&lt;valeur&gt;0&lt;/valeur&gt;</v>
      </c>
    </row>
    <row r="6354" spans="1:1" x14ac:dyDescent="0.2">
      <c r="A6354" s="996" t="str">
        <f>CONCATENATE(Programme!D6355,Programme!E6355,Programme!F6355,Programme!G6355,Programme!H6355,Programme!I6355,Programme!J6355)</f>
        <v>&lt;/ValeurCellule&gt;</v>
      </c>
    </row>
    <row r="6355" spans="1:1" x14ac:dyDescent="0.2">
      <c r="A6355" s="996" t="str">
        <f>CONCATENATE(Programme!D6356,Programme!E6356,Programme!F6356,Programme!G6356,Programme!H6356,Programme!I6356,Programme!J6356)</f>
        <v>&lt;ValeurCellule&gt;</v>
      </c>
    </row>
    <row r="6356" spans="1:1" x14ac:dyDescent="0.2">
      <c r="A6356" s="996" t="str">
        <f>CONCATENATE(Programme!D6357,Programme!E6357,Programme!F6357,Programme!G6357,Programme!H6357,Programme!I6357,Programme!J6357)</f>
        <v>&lt;cellule&gt;</v>
      </c>
    </row>
    <row r="6357" spans="1:1" x14ac:dyDescent="0.2">
      <c r="A6357" s="996" t="str">
        <f>CONCATENATE(Programme!D6358,Programme!E6358,Programme!F6358,Programme!G6358,Programme!H6358,Programme!I6358,Programme!J6358)</f>
        <v>&lt;codeEdi&gt;1625&lt;/codeEdi&gt;</v>
      </c>
    </row>
    <row r="6358" spans="1:1" x14ac:dyDescent="0.2">
      <c r="A6358" s="996" t="str">
        <f>CONCATENATE(Programme!D6359,Programme!E6359,Programme!F6359,Programme!G6359,Programme!H6359,Programme!I6359,Programme!J6359)</f>
        <v>&lt;/cellule&gt;</v>
      </c>
    </row>
    <row r="6359" spans="1:1" x14ac:dyDescent="0.2">
      <c r="A6359" s="996" t="str">
        <f>CONCATENATE(Programme!D6360,Programme!E6360,Programme!F6360,Programme!G6360,Programme!H6360,Programme!I6360,Programme!J6360)</f>
        <v>&lt;valeur&gt;0&lt;/valeur&gt;</v>
      </c>
    </row>
    <row r="6360" spans="1:1" x14ac:dyDescent="0.2">
      <c r="A6360" s="996" t="str">
        <f>CONCATENATE(Programme!D6361,Programme!E6361,Programme!F6361,Programme!G6361,Programme!H6361,Programme!I6361,Programme!J6361)</f>
        <v>&lt;/ValeurCellule&gt;</v>
      </c>
    </row>
    <row r="6361" spans="1:1" x14ac:dyDescent="0.2">
      <c r="A6361" s="996" t="str">
        <f>CONCATENATE(Programme!D6362,Programme!E6362,Programme!F6362,Programme!G6362,Programme!H6362,Programme!I6362,Programme!J6362)</f>
        <v>&lt;ValeurCellule&gt;</v>
      </c>
    </row>
    <row r="6362" spans="1:1" x14ac:dyDescent="0.2">
      <c r="A6362" s="996" t="str">
        <f>CONCATENATE(Programme!D6363,Programme!E6363,Programme!F6363,Programme!G6363,Programme!H6363,Programme!I6363,Programme!J6363)</f>
        <v>&lt;cellule&gt;</v>
      </c>
    </row>
    <row r="6363" spans="1:1" x14ac:dyDescent="0.2">
      <c r="A6363" s="996" t="str">
        <f>CONCATENATE(Programme!D6364,Programme!E6364,Programme!F6364,Programme!G6364,Programme!H6364,Programme!I6364,Programme!J6364)</f>
        <v>&lt;codeEdi&gt;1626&lt;/codeEdi&gt;</v>
      </c>
    </row>
    <row r="6364" spans="1:1" x14ac:dyDescent="0.2">
      <c r="A6364" s="996" t="str">
        <f>CONCATENATE(Programme!D6365,Programme!E6365,Programme!F6365,Programme!G6365,Programme!H6365,Programme!I6365,Programme!J6365)</f>
        <v>&lt;/cellule&gt;</v>
      </c>
    </row>
    <row r="6365" spans="1:1" x14ac:dyDescent="0.2">
      <c r="A6365" s="996" t="str">
        <f>CONCATENATE(Programme!D6366,Programme!E6366,Programme!F6366,Programme!G6366,Programme!H6366,Programme!I6366,Programme!J6366)</f>
        <v>&lt;valeur&gt;0&lt;/valeur&gt;</v>
      </c>
    </row>
    <row r="6366" spans="1:1" x14ac:dyDescent="0.2">
      <c r="A6366" s="996" t="str">
        <f>CONCATENATE(Programme!D6367,Programme!E6367,Programme!F6367,Programme!G6367,Programme!H6367,Programme!I6367,Programme!J6367)</f>
        <v>&lt;/ValeurCellule&gt;</v>
      </c>
    </row>
    <row r="6367" spans="1:1" x14ac:dyDescent="0.2">
      <c r="A6367" s="996" t="str">
        <f>CONCATENATE(Programme!D6368,Programme!E6368,Programme!F6368,Programme!G6368,Programme!H6368,Programme!I6368,Programme!J6368)</f>
        <v>&lt;ValeurCellule&gt;</v>
      </c>
    </row>
    <row r="6368" spans="1:1" x14ac:dyDescent="0.2">
      <c r="A6368" s="996" t="str">
        <f>CONCATENATE(Programme!D6369,Programme!E6369,Programme!F6369,Programme!G6369,Programme!H6369,Programme!I6369,Programme!J6369)</f>
        <v>&lt;cellule&gt;</v>
      </c>
    </row>
    <row r="6369" spans="1:1" x14ac:dyDescent="0.2">
      <c r="A6369" s="996" t="str">
        <f>CONCATENATE(Programme!D6370,Programme!E6370,Programme!F6370,Programme!G6370,Programme!H6370,Programme!I6370,Programme!J6370)</f>
        <v>&lt;codeEdi&gt;1627&lt;/codeEdi&gt;</v>
      </c>
    </row>
    <row r="6370" spans="1:1" x14ac:dyDescent="0.2">
      <c r="A6370" s="996" t="str">
        <f>CONCATENATE(Programme!D6371,Programme!E6371,Programme!F6371,Programme!G6371,Programme!H6371,Programme!I6371,Programme!J6371)</f>
        <v>&lt;/cellule&gt;</v>
      </c>
    </row>
    <row r="6371" spans="1:1" x14ac:dyDescent="0.2">
      <c r="A6371" s="996" t="str">
        <f>CONCATENATE(Programme!D6372,Programme!E6372,Programme!F6372,Programme!G6372,Programme!H6372,Programme!I6372,Programme!J6372)</f>
        <v>&lt;valeur&gt;0&lt;/valeur&gt;</v>
      </c>
    </row>
    <row r="6372" spans="1:1" x14ac:dyDescent="0.2">
      <c r="A6372" s="996" t="str">
        <f>CONCATENATE(Programme!D6373,Programme!E6373,Programme!F6373,Programme!G6373,Programme!H6373,Programme!I6373,Programme!J6373)</f>
        <v>&lt;/ValeurCellule&gt;</v>
      </c>
    </row>
    <row r="6373" spans="1:1" x14ac:dyDescent="0.2">
      <c r="A6373" s="996" t="str">
        <f>CONCATENATE(Programme!D6374,Programme!E6374,Programme!F6374,Programme!G6374,Programme!H6374,Programme!I6374,Programme!J6374)</f>
        <v>&lt;ValeurCellule&gt;</v>
      </c>
    </row>
    <row r="6374" spans="1:1" x14ac:dyDescent="0.2">
      <c r="A6374" s="996" t="str">
        <f>CONCATENATE(Programme!D6375,Programme!E6375,Programme!F6375,Programme!G6375,Programme!H6375,Programme!I6375,Programme!J6375)</f>
        <v>&lt;cellule&gt;</v>
      </c>
    </row>
    <row r="6375" spans="1:1" x14ac:dyDescent="0.2">
      <c r="A6375" s="996" t="str">
        <f>CONCATENATE(Programme!D6376,Programme!E6376,Programme!F6376,Programme!G6376,Programme!H6376,Programme!I6376,Programme!J6376)</f>
        <v>&lt;codeEdi&gt;1628&lt;/codeEdi&gt;</v>
      </c>
    </row>
    <row r="6376" spans="1:1" x14ac:dyDescent="0.2">
      <c r="A6376" s="996" t="str">
        <f>CONCATENATE(Programme!D6377,Programme!E6377,Programme!F6377,Programme!G6377,Programme!H6377,Programme!I6377,Programme!J6377)</f>
        <v>&lt;/cellule&gt;</v>
      </c>
    </row>
    <row r="6377" spans="1:1" x14ac:dyDescent="0.2">
      <c r="A6377" s="996" t="str">
        <f>CONCATENATE(Programme!D6378,Programme!E6378,Programme!F6378,Programme!G6378,Programme!H6378,Programme!I6378,Programme!J6378)</f>
        <v>&lt;valeur&gt;0&lt;/valeur&gt;</v>
      </c>
    </row>
    <row r="6378" spans="1:1" x14ac:dyDescent="0.2">
      <c r="A6378" s="996" t="str">
        <f>CONCATENATE(Programme!D6379,Programme!E6379,Programme!F6379,Programme!G6379,Programme!H6379,Programme!I6379,Programme!J6379)</f>
        <v>&lt;/ValeurCellule&gt;</v>
      </c>
    </row>
    <row r="6379" spans="1:1" x14ac:dyDescent="0.2">
      <c r="A6379" s="996" t="str">
        <f>CONCATENATE(Programme!D6380,Programme!E6380,Programme!F6380,Programme!G6380,Programme!H6380,Programme!I6380,Programme!J6380)</f>
        <v>&lt;ValeurCellule&gt;</v>
      </c>
    </row>
    <row r="6380" spans="1:1" x14ac:dyDescent="0.2">
      <c r="A6380" s="996" t="str">
        <f>CONCATENATE(Programme!D6381,Programme!E6381,Programme!F6381,Programme!G6381,Programme!H6381,Programme!I6381,Programme!J6381)</f>
        <v>&lt;cellule&gt;</v>
      </c>
    </row>
    <row r="6381" spans="1:1" x14ac:dyDescent="0.2">
      <c r="A6381" s="996" t="str">
        <f>CONCATENATE(Programme!D6382,Programme!E6382,Programme!F6382,Programme!G6382,Programme!H6382,Programme!I6382,Programme!J6382)</f>
        <v>&lt;codeEdi&gt;1629&lt;/codeEdi&gt;</v>
      </c>
    </row>
    <row r="6382" spans="1:1" x14ac:dyDescent="0.2">
      <c r="A6382" s="996" t="str">
        <f>CONCATENATE(Programme!D6383,Programme!E6383,Programme!F6383,Programme!G6383,Programme!H6383,Programme!I6383,Programme!J6383)</f>
        <v>&lt;/cellule&gt;</v>
      </c>
    </row>
    <row r="6383" spans="1:1" x14ac:dyDescent="0.2">
      <c r="A6383" s="996" t="str">
        <f>CONCATENATE(Programme!D6384,Programme!E6384,Programme!F6384,Programme!G6384,Programme!H6384,Programme!I6384,Programme!J6384)</f>
        <v>&lt;valeur&gt;0&lt;/valeur&gt;</v>
      </c>
    </row>
    <row r="6384" spans="1:1" x14ac:dyDescent="0.2">
      <c r="A6384" s="996" t="str">
        <f>CONCATENATE(Programme!D6385,Programme!E6385,Programme!F6385,Programme!G6385,Programme!H6385,Programme!I6385,Programme!J6385)</f>
        <v>&lt;/ValeurCellule&gt;</v>
      </c>
    </row>
    <row r="6385" spans="1:1" x14ac:dyDescent="0.2">
      <c r="A6385" s="996" t="str">
        <f>CONCATENATE(Programme!D6386,Programme!E6386,Programme!F6386,Programme!G6386,Programme!H6386,Programme!I6386,Programme!J6386)</f>
        <v>&lt;ValeurCellule&gt;</v>
      </c>
    </row>
    <row r="6386" spans="1:1" x14ac:dyDescent="0.2">
      <c r="A6386" s="996" t="str">
        <f>CONCATENATE(Programme!D6387,Programme!E6387,Programme!F6387,Programme!G6387,Programme!H6387,Programme!I6387,Programme!J6387)</f>
        <v>&lt;cellule&gt;</v>
      </c>
    </row>
    <row r="6387" spans="1:1" x14ac:dyDescent="0.2">
      <c r="A6387" s="996" t="str">
        <f>CONCATENATE(Programme!D6388,Programme!E6388,Programme!F6388,Programme!G6388,Programme!H6388,Programme!I6388,Programme!J6388)</f>
        <v>&lt;codeEdi&gt;1630&lt;/codeEdi&gt;</v>
      </c>
    </row>
    <row r="6388" spans="1:1" x14ac:dyDescent="0.2">
      <c r="A6388" s="996" t="str">
        <f>CONCATENATE(Programme!D6389,Programme!E6389,Programme!F6389,Programme!G6389,Programme!H6389,Programme!I6389,Programme!J6389)</f>
        <v>&lt;/cellule&gt;</v>
      </c>
    </row>
    <row r="6389" spans="1:1" x14ac:dyDescent="0.2">
      <c r="A6389" s="996" t="str">
        <f>CONCATENATE(Programme!D6390,Programme!E6390,Programme!F6390,Programme!G6390,Programme!H6390,Programme!I6390,Programme!J6390)</f>
        <v>&lt;valeur&gt;0&lt;/valeur&gt;</v>
      </c>
    </row>
    <row r="6390" spans="1:1" x14ac:dyDescent="0.2">
      <c r="A6390" s="996" t="str">
        <f>CONCATENATE(Programme!D6391,Programme!E6391,Programme!F6391,Programme!G6391,Programme!H6391,Programme!I6391,Programme!J6391)</f>
        <v>&lt;/ValeurCellule&gt;</v>
      </c>
    </row>
    <row r="6391" spans="1:1" x14ac:dyDescent="0.2">
      <c r="A6391" s="996" t="str">
        <f>CONCATENATE(Programme!D6392,Programme!E6392,Programme!F6392,Programme!G6392,Programme!H6392,Programme!I6392,Programme!J6392)</f>
        <v>&lt;ValeurCellule&gt;</v>
      </c>
    </row>
    <row r="6392" spans="1:1" x14ac:dyDescent="0.2">
      <c r="A6392" s="996" t="str">
        <f>CONCATENATE(Programme!D6393,Programme!E6393,Programme!F6393,Programme!G6393,Programme!H6393,Programme!I6393,Programme!J6393)</f>
        <v>&lt;cellule&gt;</v>
      </c>
    </row>
    <row r="6393" spans="1:1" x14ac:dyDescent="0.2">
      <c r="A6393" s="996" t="str">
        <f>CONCATENATE(Programme!D6394,Programme!E6394,Programme!F6394,Programme!G6394,Programme!H6394,Programme!I6394,Programme!J6394)</f>
        <v>&lt;codeEdi&gt;1631&lt;/codeEdi&gt;</v>
      </c>
    </row>
    <row r="6394" spans="1:1" x14ac:dyDescent="0.2">
      <c r="A6394" s="996" t="str">
        <f>CONCATENATE(Programme!D6395,Programme!E6395,Programme!F6395,Programme!G6395,Programme!H6395,Programme!I6395,Programme!J6395)</f>
        <v>&lt;/cellule&gt;</v>
      </c>
    </row>
    <row r="6395" spans="1:1" x14ac:dyDescent="0.2">
      <c r="A6395" s="996" t="str">
        <f>CONCATENATE(Programme!D6396,Programme!E6396,Programme!F6396,Programme!G6396,Programme!H6396,Programme!I6396,Programme!J6396)</f>
        <v>&lt;valeur&gt;0&lt;/valeur&gt;</v>
      </c>
    </row>
    <row r="6396" spans="1:1" x14ac:dyDescent="0.2">
      <c r="A6396" s="996" t="str">
        <f>CONCATENATE(Programme!D6397,Programme!E6397,Programme!F6397,Programme!G6397,Programme!H6397,Programme!I6397,Programme!J6397)</f>
        <v>&lt;/ValeurCellule&gt;</v>
      </c>
    </row>
    <row r="6397" spans="1:1" x14ac:dyDescent="0.2">
      <c r="A6397" s="996" t="str">
        <f>CONCATENATE(Programme!D6398,Programme!E6398,Programme!F6398,Programme!G6398,Programme!H6398,Programme!I6398,Programme!J6398)</f>
        <v>&lt;ValeurCellule&gt;</v>
      </c>
    </row>
    <row r="6398" spans="1:1" x14ac:dyDescent="0.2">
      <c r="A6398" s="996" t="str">
        <f>CONCATENATE(Programme!D6399,Programme!E6399,Programme!F6399,Programme!G6399,Programme!H6399,Programme!I6399,Programme!J6399)</f>
        <v>&lt;cellule&gt;</v>
      </c>
    </row>
    <row r="6399" spans="1:1" x14ac:dyDescent="0.2">
      <c r="A6399" s="996" t="str">
        <f>CONCATENATE(Programme!D6400,Programme!E6400,Programme!F6400,Programme!G6400,Programme!H6400,Programme!I6400,Programme!J6400)</f>
        <v>&lt;codeEdi&gt;1632&lt;/codeEdi&gt;</v>
      </c>
    </row>
    <row r="6400" spans="1:1" x14ac:dyDescent="0.2">
      <c r="A6400" s="996" t="str">
        <f>CONCATENATE(Programme!D6401,Programme!E6401,Programme!F6401,Programme!G6401,Programme!H6401,Programme!I6401,Programme!J6401)</f>
        <v>&lt;/cellule&gt;</v>
      </c>
    </row>
    <row r="6401" spans="1:1" x14ac:dyDescent="0.2">
      <c r="A6401" s="996" t="str">
        <f>CONCATENATE(Programme!D6402,Programme!E6402,Programme!F6402,Programme!G6402,Programme!H6402,Programme!I6402,Programme!J6402)</f>
        <v>&lt;valeur&gt;0&lt;/valeur&gt;</v>
      </c>
    </row>
    <row r="6402" spans="1:1" x14ac:dyDescent="0.2">
      <c r="A6402" s="996" t="str">
        <f>CONCATENATE(Programme!D6403,Programme!E6403,Programme!F6403,Programme!G6403,Programme!H6403,Programme!I6403,Programme!J6403)</f>
        <v>&lt;/ValeurCellule&gt;</v>
      </c>
    </row>
    <row r="6403" spans="1:1" x14ac:dyDescent="0.2">
      <c r="A6403" s="996" t="str">
        <f>CONCATENATE(Programme!D6404,Programme!E6404,Programme!F6404,Programme!G6404,Programme!H6404,Programme!I6404,Programme!J6404)</f>
        <v>&lt;ValeurCellule&gt;</v>
      </c>
    </row>
    <row r="6404" spans="1:1" x14ac:dyDescent="0.2">
      <c r="A6404" s="996" t="str">
        <f>CONCATENATE(Programme!D6405,Programme!E6405,Programme!F6405,Programme!G6405,Programme!H6405,Programme!I6405,Programme!J6405)</f>
        <v>&lt;cellule&gt;</v>
      </c>
    </row>
    <row r="6405" spans="1:1" x14ac:dyDescent="0.2">
      <c r="A6405" s="996" t="str">
        <f>CONCATENATE(Programme!D6406,Programme!E6406,Programme!F6406,Programme!G6406,Programme!H6406,Programme!I6406,Programme!J6406)</f>
        <v>&lt;codeEdi&gt;1633&lt;/codeEdi&gt;</v>
      </c>
    </row>
    <row r="6406" spans="1:1" x14ac:dyDescent="0.2">
      <c r="A6406" s="996" t="str">
        <f>CONCATENATE(Programme!D6407,Programme!E6407,Programme!F6407,Programme!G6407,Programme!H6407,Programme!I6407,Programme!J6407)</f>
        <v>&lt;/cellule&gt;</v>
      </c>
    </row>
    <row r="6407" spans="1:1" x14ac:dyDescent="0.2">
      <c r="A6407" s="996" t="str">
        <f>CONCATENATE(Programme!D6408,Programme!E6408,Programme!F6408,Programme!G6408,Programme!H6408,Programme!I6408,Programme!J6408)</f>
        <v>&lt;valeur&gt;0&lt;/valeur&gt;</v>
      </c>
    </row>
    <row r="6408" spans="1:1" x14ac:dyDescent="0.2">
      <c r="A6408" s="996" t="str">
        <f>CONCATENATE(Programme!D6409,Programme!E6409,Programme!F6409,Programme!G6409,Programme!H6409,Programme!I6409,Programme!J6409)</f>
        <v>&lt;/ValeurCellule&gt;</v>
      </c>
    </row>
    <row r="6409" spans="1:1" x14ac:dyDescent="0.2">
      <c r="A6409" s="996" t="str">
        <f>CONCATENATE(Programme!D6410,Programme!E6410,Programme!F6410,Programme!G6410,Programme!H6410,Programme!I6410,Programme!J6410)</f>
        <v>&lt;ValeurCellule&gt;</v>
      </c>
    </row>
    <row r="6410" spans="1:1" x14ac:dyDescent="0.2">
      <c r="A6410" s="996" t="str">
        <f>CONCATENATE(Programme!D6411,Programme!E6411,Programme!F6411,Programme!G6411,Programme!H6411,Programme!I6411,Programme!J6411)</f>
        <v>&lt;cellule&gt;</v>
      </c>
    </row>
    <row r="6411" spans="1:1" x14ac:dyDescent="0.2">
      <c r="A6411" s="996" t="str">
        <f>CONCATENATE(Programme!D6412,Programme!E6412,Programme!F6412,Programme!G6412,Programme!H6412,Programme!I6412,Programme!J6412)</f>
        <v>&lt;codeEdi&gt;1650&lt;/codeEdi&gt;</v>
      </c>
    </row>
    <row r="6412" spans="1:1" x14ac:dyDescent="0.2">
      <c r="A6412" s="996" t="str">
        <f>CONCATENATE(Programme!D6413,Programme!E6413,Programme!F6413,Programme!G6413,Programme!H6413,Programme!I6413,Programme!J6413)</f>
        <v>&lt;/cellule&gt;</v>
      </c>
    </row>
    <row r="6413" spans="1:1" x14ac:dyDescent="0.2">
      <c r="A6413" s="996" t="str">
        <f>CONCATENATE(Programme!D6414,Programme!E6414,Programme!F6414,Programme!G6414,Programme!H6414,Programme!I6414,Programme!J6414)</f>
        <v>&lt;valeur&gt;0&lt;/valeur&gt;</v>
      </c>
    </row>
    <row r="6414" spans="1:1" x14ac:dyDescent="0.2">
      <c r="A6414" s="996" t="str">
        <f>CONCATENATE(Programme!D6415,Programme!E6415,Programme!F6415,Programme!G6415,Programme!H6415,Programme!I6415,Programme!J6415)</f>
        <v>&lt;/ValeurCellule&gt;</v>
      </c>
    </row>
    <row r="6415" spans="1:1" x14ac:dyDescent="0.2">
      <c r="A6415" s="996" t="str">
        <f>CONCATENATE(Programme!D6416,Programme!E6416,Programme!F6416,Programme!G6416,Programme!H6416,Programme!I6416,Programme!J6416)</f>
        <v>&lt;ValeurCellule&gt;</v>
      </c>
    </row>
    <row r="6416" spans="1:1" x14ac:dyDescent="0.2">
      <c r="A6416" s="996" t="str">
        <f>CONCATENATE(Programme!D6417,Programme!E6417,Programme!F6417,Programme!G6417,Programme!H6417,Programme!I6417,Programme!J6417)</f>
        <v>&lt;cellule&gt;</v>
      </c>
    </row>
    <row r="6417" spans="1:1" x14ac:dyDescent="0.2">
      <c r="A6417" s="996" t="str">
        <f>CONCATENATE(Programme!D6418,Programme!E6418,Programme!F6418,Programme!G6418,Programme!H6418,Programme!I6418,Programme!J6418)</f>
        <v>&lt;codeEdi&gt;1651&lt;/codeEdi&gt;</v>
      </c>
    </row>
    <row r="6418" spans="1:1" x14ac:dyDescent="0.2">
      <c r="A6418" s="996" t="str">
        <f>CONCATENATE(Programme!D6419,Programme!E6419,Programme!F6419,Programme!G6419,Programme!H6419,Programme!I6419,Programme!J6419)</f>
        <v>&lt;/cellule&gt;</v>
      </c>
    </row>
    <row r="6419" spans="1:1" x14ac:dyDescent="0.2">
      <c r="A6419" s="996" t="str">
        <f>CONCATENATE(Programme!D6420,Programme!E6420,Programme!F6420,Programme!G6420,Programme!H6420,Programme!I6420,Programme!J6420)</f>
        <v>&lt;valeur&gt;0&lt;/valeur&gt;</v>
      </c>
    </row>
    <row r="6420" spans="1:1" x14ac:dyDescent="0.2">
      <c r="A6420" s="996" t="str">
        <f>CONCATENATE(Programme!D6421,Programme!E6421,Programme!F6421,Programme!G6421,Programme!H6421,Programme!I6421,Programme!J6421)</f>
        <v>&lt;/ValeurCellule&gt;</v>
      </c>
    </row>
    <row r="6421" spans="1:1" x14ac:dyDescent="0.2">
      <c r="A6421" s="996" t="str">
        <f>CONCATENATE(Programme!D6422,Programme!E6422,Programme!F6422,Programme!G6422,Programme!H6422,Programme!I6422,Programme!J6422)</f>
        <v>&lt;ValeurCellule&gt;</v>
      </c>
    </row>
    <row r="6422" spans="1:1" x14ac:dyDescent="0.2">
      <c r="A6422" s="996" t="str">
        <f>CONCATENATE(Programme!D6423,Programme!E6423,Programme!F6423,Programme!G6423,Programme!H6423,Programme!I6423,Programme!J6423)</f>
        <v>&lt;cellule&gt;</v>
      </c>
    </row>
    <row r="6423" spans="1:1" x14ac:dyDescent="0.2">
      <c r="A6423" s="996" t="str">
        <f>CONCATENATE(Programme!D6424,Programme!E6424,Programme!F6424,Programme!G6424,Programme!H6424,Programme!I6424,Programme!J6424)</f>
        <v>&lt;codeEdi&gt;1652&lt;/codeEdi&gt;</v>
      </c>
    </row>
    <row r="6424" spans="1:1" x14ac:dyDescent="0.2">
      <c r="A6424" s="996" t="str">
        <f>CONCATENATE(Programme!D6425,Programme!E6425,Programme!F6425,Programme!G6425,Programme!H6425,Programme!I6425,Programme!J6425)</f>
        <v>&lt;/cellule&gt;</v>
      </c>
    </row>
    <row r="6425" spans="1:1" x14ac:dyDescent="0.2">
      <c r="A6425" s="996" t="str">
        <f>CONCATENATE(Programme!D6426,Programme!E6426,Programme!F6426,Programme!G6426,Programme!H6426,Programme!I6426,Programme!J6426)</f>
        <v>&lt;valeur&gt;0&lt;/valeur&gt;</v>
      </c>
    </row>
    <row r="6426" spans="1:1" x14ac:dyDescent="0.2">
      <c r="A6426" s="996" t="str">
        <f>CONCATENATE(Programme!D6427,Programme!E6427,Programme!F6427,Programme!G6427,Programme!H6427,Programme!I6427,Programme!J6427)</f>
        <v>&lt;/ValeurCellule&gt;</v>
      </c>
    </row>
    <row r="6427" spans="1:1" x14ac:dyDescent="0.2">
      <c r="A6427" s="996" t="str">
        <f>CONCATENATE(Programme!D6428,Programme!E6428,Programme!F6428,Programme!G6428,Programme!H6428,Programme!I6428,Programme!J6428)</f>
        <v>&lt;ValeurCellule&gt;</v>
      </c>
    </row>
    <row r="6428" spans="1:1" x14ac:dyDescent="0.2">
      <c r="A6428" s="996" t="str">
        <f>CONCATENATE(Programme!D6429,Programme!E6429,Programme!F6429,Programme!G6429,Programme!H6429,Programme!I6429,Programme!J6429)</f>
        <v>&lt;cellule&gt;</v>
      </c>
    </row>
    <row r="6429" spans="1:1" x14ac:dyDescent="0.2">
      <c r="A6429" s="996" t="str">
        <f>CONCATENATE(Programme!D6430,Programme!E6430,Programme!F6430,Programme!G6430,Programme!H6430,Programme!I6430,Programme!J6430)</f>
        <v>&lt;codeEdi&gt;1653&lt;/codeEdi&gt;</v>
      </c>
    </row>
    <row r="6430" spans="1:1" x14ac:dyDescent="0.2">
      <c r="A6430" s="996" t="str">
        <f>CONCATENATE(Programme!D6431,Programme!E6431,Programme!F6431,Programme!G6431,Programme!H6431,Programme!I6431,Programme!J6431)</f>
        <v>&lt;/cellule&gt;</v>
      </c>
    </row>
    <row r="6431" spans="1:1" x14ac:dyDescent="0.2">
      <c r="A6431" s="996" t="str">
        <f>CONCATENATE(Programme!D6432,Programme!E6432,Programme!F6432,Programme!G6432,Programme!H6432,Programme!I6432,Programme!J6432)</f>
        <v>&lt;valeur&gt;0&lt;/valeur&gt;</v>
      </c>
    </row>
    <row r="6432" spans="1:1" x14ac:dyDescent="0.2">
      <c r="A6432" s="996" t="str">
        <f>CONCATENATE(Programme!D6433,Programme!E6433,Programme!F6433,Programme!G6433,Programme!H6433,Programme!I6433,Programme!J6433)</f>
        <v>&lt;/ValeurCellule&gt;</v>
      </c>
    </row>
    <row r="6433" spans="1:1" x14ac:dyDescent="0.2">
      <c r="A6433" s="996" t="str">
        <f>CONCATENATE(Programme!D6434,Programme!E6434,Programme!F6434,Programme!G6434,Programme!H6434,Programme!I6434,Programme!J6434)</f>
        <v>&lt;ValeurCellule&gt;</v>
      </c>
    </row>
    <row r="6434" spans="1:1" x14ac:dyDescent="0.2">
      <c r="A6434" s="996" t="str">
        <f>CONCATENATE(Programme!D6435,Programme!E6435,Programme!F6435,Programme!G6435,Programme!H6435,Programme!I6435,Programme!J6435)</f>
        <v>&lt;cellule&gt;</v>
      </c>
    </row>
    <row r="6435" spans="1:1" x14ac:dyDescent="0.2">
      <c r="A6435" s="996" t="str">
        <f>CONCATENATE(Programme!D6436,Programme!E6436,Programme!F6436,Programme!G6436,Programme!H6436,Programme!I6436,Programme!J6436)</f>
        <v>&lt;codeEdi&gt;1654&lt;/codeEdi&gt;</v>
      </c>
    </row>
    <row r="6436" spans="1:1" x14ac:dyDescent="0.2">
      <c r="A6436" s="996" t="str">
        <f>CONCATENATE(Programme!D6437,Programme!E6437,Programme!F6437,Programme!G6437,Programme!H6437,Programme!I6437,Programme!J6437)</f>
        <v>&lt;/cellule&gt;</v>
      </c>
    </row>
    <row r="6437" spans="1:1" x14ac:dyDescent="0.2">
      <c r="A6437" s="996" t="str">
        <f>CONCATENATE(Programme!D6438,Programme!E6438,Programme!F6438,Programme!G6438,Programme!H6438,Programme!I6438,Programme!J6438)</f>
        <v>&lt;valeur&gt;0&lt;/valeur&gt;</v>
      </c>
    </row>
    <row r="6438" spans="1:1" x14ac:dyDescent="0.2">
      <c r="A6438" s="996" t="str">
        <f>CONCATENATE(Programme!D6439,Programme!E6439,Programme!F6439,Programme!G6439,Programme!H6439,Programme!I6439,Programme!J6439)</f>
        <v>&lt;/ValeurCellule&gt;</v>
      </c>
    </row>
    <row r="6439" spans="1:1" x14ac:dyDescent="0.2">
      <c r="A6439" s="996" t="str">
        <f>CONCATENATE(Programme!D6440,Programme!E6440,Programme!F6440,Programme!G6440,Programme!H6440,Programme!I6440,Programme!J6440)</f>
        <v>&lt;ValeurCellule&gt;</v>
      </c>
    </row>
    <row r="6440" spans="1:1" x14ac:dyDescent="0.2">
      <c r="A6440" s="996" t="str">
        <f>CONCATENATE(Programme!D6441,Programme!E6441,Programme!F6441,Programme!G6441,Programme!H6441,Programme!I6441,Programme!J6441)</f>
        <v>&lt;cellule&gt;</v>
      </c>
    </row>
    <row r="6441" spans="1:1" x14ac:dyDescent="0.2">
      <c r="A6441" s="996" t="str">
        <f>CONCATENATE(Programme!D6442,Programme!E6442,Programme!F6442,Programme!G6442,Programme!H6442,Programme!I6442,Programme!J6442)</f>
        <v>&lt;codeEdi&gt;1679&lt;/codeEdi&gt;</v>
      </c>
    </row>
    <row r="6442" spans="1:1" x14ac:dyDescent="0.2">
      <c r="A6442" s="996" t="str">
        <f>CONCATENATE(Programme!D6443,Programme!E6443,Programme!F6443,Programme!G6443,Programme!H6443,Programme!I6443,Programme!J6443)</f>
        <v>&lt;/cellule&gt;</v>
      </c>
    </row>
    <row r="6443" spans="1:1" x14ac:dyDescent="0.2">
      <c r="A6443" s="996" t="str">
        <f>CONCATENATE(Programme!D6444,Programme!E6444,Programme!F6444,Programme!G6444,Programme!H6444,Programme!I6444,Programme!J6444)</f>
        <v>&lt;valeur&gt;0&lt;/valeur&gt;</v>
      </c>
    </row>
    <row r="6444" spans="1:1" x14ac:dyDescent="0.2">
      <c r="A6444" s="996" t="str">
        <f>CONCATENATE(Programme!D6445,Programme!E6445,Programme!F6445,Programme!G6445,Programme!H6445,Programme!I6445,Programme!J6445)</f>
        <v>&lt;/ValeurCellule&gt;</v>
      </c>
    </row>
    <row r="6445" spans="1:1" x14ac:dyDescent="0.2">
      <c r="A6445" s="996" t="str">
        <f>CONCATENATE(Programme!D6446,Programme!E6446,Programme!F6446,Programme!G6446,Programme!H6446,Programme!I6446,Programme!J6446)</f>
        <v>&lt;ValeurCellule&gt;</v>
      </c>
    </row>
    <row r="6446" spans="1:1" x14ac:dyDescent="0.2">
      <c r="A6446" s="996" t="str">
        <f>CONCATENATE(Programme!D6447,Programme!E6447,Programme!F6447,Programme!G6447,Programme!H6447,Programme!I6447,Programme!J6447)</f>
        <v>&lt;cellule&gt;</v>
      </c>
    </row>
    <row r="6447" spans="1:1" x14ac:dyDescent="0.2">
      <c r="A6447" s="996" t="str">
        <f>CONCATENATE(Programme!D6448,Programme!E6448,Programme!F6448,Programme!G6448,Programme!H6448,Programme!I6448,Programme!J6448)</f>
        <v>&lt;codeEdi&gt;1680&lt;/codeEdi&gt;</v>
      </c>
    </row>
    <row r="6448" spans="1:1" x14ac:dyDescent="0.2">
      <c r="A6448" s="996" t="str">
        <f>CONCATENATE(Programme!D6449,Programme!E6449,Programme!F6449,Programme!G6449,Programme!H6449,Programme!I6449,Programme!J6449)</f>
        <v>&lt;/cellule&gt;</v>
      </c>
    </row>
    <row r="6449" spans="1:1" x14ac:dyDescent="0.2">
      <c r="A6449" s="996" t="str">
        <f>CONCATENATE(Programme!D6450,Programme!E6450,Programme!F6450,Programme!G6450,Programme!H6450,Programme!I6450,Programme!J6450)</f>
        <v>&lt;valeur&gt;0&lt;/valeur&gt;</v>
      </c>
    </row>
    <row r="6450" spans="1:1" x14ac:dyDescent="0.2">
      <c r="A6450" s="996" t="str">
        <f>CONCATENATE(Programme!D6451,Programme!E6451,Programme!F6451,Programme!G6451,Programme!H6451,Programme!I6451,Programme!J6451)</f>
        <v>&lt;/ValeurCellule&gt;</v>
      </c>
    </row>
    <row r="6451" spans="1:1" x14ac:dyDescent="0.2">
      <c r="A6451" s="996" t="str">
        <f>CONCATENATE(Programme!D6452,Programme!E6452,Programme!F6452,Programme!G6452,Programme!H6452,Programme!I6452,Programme!J6452)</f>
        <v>&lt;ValeurCellule&gt;</v>
      </c>
    </row>
    <row r="6452" spans="1:1" x14ac:dyDescent="0.2">
      <c r="A6452" s="996" t="str">
        <f>CONCATENATE(Programme!D6453,Programme!E6453,Programme!F6453,Programme!G6453,Programme!H6453,Programme!I6453,Programme!J6453)</f>
        <v>&lt;cellule&gt;</v>
      </c>
    </row>
    <row r="6453" spans="1:1" x14ac:dyDescent="0.2">
      <c r="A6453" s="996" t="str">
        <f>CONCATENATE(Programme!D6454,Programme!E6454,Programme!F6454,Programme!G6454,Programme!H6454,Programme!I6454,Programme!J6454)</f>
        <v>&lt;codeEdi&gt;1681&lt;/codeEdi&gt;</v>
      </c>
    </row>
    <row r="6454" spans="1:1" x14ac:dyDescent="0.2">
      <c r="A6454" s="996" t="str">
        <f>CONCATENATE(Programme!D6455,Programme!E6455,Programme!F6455,Programme!G6455,Programme!H6455,Programme!I6455,Programme!J6455)</f>
        <v>&lt;/cellule&gt;</v>
      </c>
    </row>
    <row r="6455" spans="1:1" x14ac:dyDescent="0.2">
      <c r="A6455" s="996" t="str">
        <f>CONCATENATE(Programme!D6456,Programme!E6456,Programme!F6456,Programme!G6456,Programme!H6456,Programme!I6456,Programme!J6456)</f>
        <v>&lt;valeur&gt;0&lt;/valeur&gt;</v>
      </c>
    </row>
    <row r="6456" spans="1:1" x14ac:dyDescent="0.2">
      <c r="A6456" s="996" t="str">
        <f>CONCATENATE(Programme!D6457,Programme!E6457,Programme!F6457,Programme!G6457,Programme!H6457,Programme!I6457,Programme!J6457)</f>
        <v>&lt;/ValeurCellule&gt;</v>
      </c>
    </row>
    <row r="6457" spans="1:1" x14ac:dyDescent="0.2">
      <c r="A6457" s="996" t="str">
        <f>CONCATENATE(Programme!D6458,Programme!E6458,Programme!F6458,Programme!G6458,Programme!H6458,Programme!I6458,Programme!J6458)</f>
        <v>&lt;ValeurCellule&gt;</v>
      </c>
    </row>
    <row r="6458" spans="1:1" x14ac:dyDescent="0.2">
      <c r="A6458" s="996" t="str">
        <f>CONCATENATE(Programme!D6459,Programme!E6459,Programme!F6459,Programme!G6459,Programme!H6459,Programme!I6459,Programme!J6459)</f>
        <v>&lt;cellule&gt;</v>
      </c>
    </row>
    <row r="6459" spans="1:1" x14ac:dyDescent="0.2">
      <c r="A6459" s="996" t="str">
        <f>CONCATENATE(Programme!D6460,Programme!E6460,Programme!F6460,Programme!G6460,Programme!H6460,Programme!I6460,Programme!J6460)</f>
        <v>&lt;codeEdi&gt;1682&lt;/codeEdi&gt;</v>
      </c>
    </row>
    <row r="6460" spans="1:1" x14ac:dyDescent="0.2">
      <c r="A6460" s="996" t="str">
        <f>CONCATENATE(Programme!D6461,Programme!E6461,Programme!F6461,Programme!G6461,Programme!H6461,Programme!I6461,Programme!J6461)</f>
        <v>&lt;/cellule&gt;</v>
      </c>
    </row>
    <row r="6461" spans="1:1" x14ac:dyDescent="0.2">
      <c r="A6461" s="996" t="str">
        <f>CONCATENATE(Programme!D6462,Programme!E6462,Programme!F6462,Programme!G6462,Programme!H6462,Programme!I6462,Programme!J6462)</f>
        <v>&lt;valeur&gt;0&lt;/valeur&gt;</v>
      </c>
    </row>
    <row r="6462" spans="1:1" x14ac:dyDescent="0.2">
      <c r="A6462" s="996" t="str">
        <f>CONCATENATE(Programme!D6463,Programme!E6463,Programme!F6463,Programme!G6463,Programme!H6463,Programme!I6463,Programme!J6463)</f>
        <v>&lt;/ValeurCellule&gt;</v>
      </c>
    </row>
    <row r="6463" spans="1:1" x14ac:dyDescent="0.2">
      <c r="A6463" s="996" t="str">
        <f>CONCATENATE(Programme!D6464,Programme!E6464,Programme!F6464,Programme!G6464,Programme!H6464,Programme!I6464,Programme!J6464)</f>
        <v>&lt;ValeurCellule&gt;</v>
      </c>
    </row>
    <row r="6464" spans="1:1" x14ac:dyDescent="0.2">
      <c r="A6464" s="996" t="str">
        <f>CONCATENATE(Programme!D6465,Programme!E6465,Programme!F6465,Programme!G6465,Programme!H6465,Programme!I6465,Programme!J6465)</f>
        <v>&lt;cellule&gt;</v>
      </c>
    </row>
    <row r="6465" spans="1:1" x14ac:dyDescent="0.2">
      <c r="A6465" s="996" t="str">
        <f>CONCATENATE(Programme!D6466,Programme!E6466,Programme!F6466,Programme!G6466,Programme!H6466,Programme!I6466,Programme!J6466)</f>
        <v>&lt;codeEdi&gt;1683&lt;/codeEdi&gt;</v>
      </c>
    </row>
    <row r="6466" spans="1:1" x14ac:dyDescent="0.2">
      <c r="A6466" s="996" t="str">
        <f>CONCATENATE(Programme!D6467,Programme!E6467,Programme!F6467,Programme!G6467,Programme!H6467,Programme!I6467,Programme!J6467)</f>
        <v>&lt;/cellule&gt;</v>
      </c>
    </row>
    <row r="6467" spans="1:1" x14ac:dyDescent="0.2">
      <c r="A6467" s="996" t="str">
        <f>CONCATENATE(Programme!D6468,Programme!E6468,Programme!F6468,Programme!G6468,Programme!H6468,Programme!I6468,Programme!J6468)</f>
        <v>&lt;valeur&gt;0&lt;/valeur&gt;</v>
      </c>
    </row>
    <row r="6468" spans="1:1" x14ac:dyDescent="0.2">
      <c r="A6468" s="996" t="str">
        <f>CONCATENATE(Programme!D6469,Programme!E6469,Programme!F6469,Programme!G6469,Programme!H6469,Programme!I6469,Programme!J6469)</f>
        <v>&lt;/ValeurCellule&gt;</v>
      </c>
    </row>
    <row r="6469" spans="1:1" x14ac:dyDescent="0.2">
      <c r="A6469" s="996" t="str">
        <f>CONCATENATE(Programme!D6470,Programme!E6470,Programme!F6470,Programme!G6470,Programme!H6470,Programme!I6470,Programme!J6470)</f>
        <v>&lt;ValeurCellule&gt;</v>
      </c>
    </row>
    <row r="6470" spans="1:1" x14ac:dyDescent="0.2">
      <c r="A6470" s="996" t="str">
        <f>CONCATENATE(Programme!D6471,Programme!E6471,Programme!F6471,Programme!G6471,Programme!H6471,Programme!I6471,Programme!J6471)</f>
        <v>&lt;cellule&gt;</v>
      </c>
    </row>
    <row r="6471" spans="1:1" x14ac:dyDescent="0.2">
      <c r="A6471" s="996" t="str">
        <f>CONCATENATE(Programme!D6472,Programme!E6472,Programme!F6472,Programme!G6472,Programme!H6472,Programme!I6472,Programme!J6472)</f>
        <v>&lt;codeEdi&gt;1700&lt;/codeEdi&gt;</v>
      </c>
    </row>
    <row r="6472" spans="1:1" x14ac:dyDescent="0.2">
      <c r="A6472" s="996" t="str">
        <f>CONCATENATE(Programme!D6473,Programme!E6473,Programme!F6473,Programme!G6473,Programme!H6473,Programme!I6473,Programme!J6473)</f>
        <v>&lt;/cellule&gt;</v>
      </c>
    </row>
    <row r="6473" spans="1:1" x14ac:dyDescent="0.2">
      <c r="A6473" s="996" t="str">
        <f>CONCATENATE(Programme!D6474,Programme!E6474,Programme!F6474,Programme!G6474,Programme!H6474,Programme!I6474,Programme!J6474)</f>
        <v>&lt;valeur&gt;0&lt;/valeur&gt;</v>
      </c>
    </row>
    <row r="6474" spans="1:1" x14ac:dyDescent="0.2">
      <c r="A6474" s="996" t="str">
        <f>CONCATENATE(Programme!D6475,Programme!E6475,Programme!F6475,Programme!G6475,Programme!H6475,Programme!I6475,Programme!J6475)</f>
        <v>&lt;/ValeurCellule&gt;</v>
      </c>
    </row>
    <row r="6475" spans="1:1" x14ac:dyDescent="0.2">
      <c r="A6475" s="996" t="str">
        <f>CONCATENATE(Programme!D6476,Programme!E6476,Programme!F6476,Programme!G6476,Programme!H6476,Programme!I6476,Programme!J6476)</f>
        <v>&lt;ValeurCellule&gt;</v>
      </c>
    </row>
    <row r="6476" spans="1:1" x14ac:dyDescent="0.2">
      <c r="A6476" s="996" t="str">
        <f>CONCATENATE(Programme!D6477,Programme!E6477,Programme!F6477,Programme!G6477,Programme!H6477,Programme!I6477,Programme!J6477)</f>
        <v>&lt;cellule&gt;</v>
      </c>
    </row>
    <row r="6477" spans="1:1" x14ac:dyDescent="0.2">
      <c r="A6477" s="996" t="str">
        <f>CONCATENATE(Programme!D6478,Programme!E6478,Programme!F6478,Programme!G6478,Programme!H6478,Programme!I6478,Programme!J6478)</f>
        <v>&lt;codeEdi&gt;1701&lt;/codeEdi&gt;</v>
      </c>
    </row>
    <row r="6478" spans="1:1" x14ac:dyDescent="0.2">
      <c r="A6478" s="996" t="str">
        <f>CONCATENATE(Programme!D6479,Programme!E6479,Programme!F6479,Programme!G6479,Programme!H6479,Programme!I6479,Programme!J6479)</f>
        <v>&lt;/cellule&gt;</v>
      </c>
    </row>
    <row r="6479" spans="1:1" x14ac:dyDescent="0.2">
      <c r="A6479" s="996" t="str">
        <f>CONCATENATE(Programme!D6480,Programme!E6480,Programme!F6480,Programme!G6480,Programme!H6480,Programme!I6480,Programme!J6480)</f>
        <v>&lt;valeur&gt;0&lt;/valeur&gt;</v>
      </c>
    </row>
    <row r="6480" spans="1:1" x14ac:dyDescent="0.2">
      <c r="A6480" s="996" t="str">
        <f>CONCATENATE(Programme!D6481,Programme!E6481,Programme!F6481,Programme!G6481,Programme!H6481,Programme!I6481,Programme!J6481)</f>
        <v>&lt;/ValeurCellule&gt;</v>
      </c>
    </row>
    <row r="6481" spans="1:1" x14ac:dyDescent="0.2">
      <c r="A6481" s="996" t="str">
        <f>CONCATENATE(Programme!D6482,Programme!E6482,Programme!F6482,Programme!G6482,Programme!H6482,Programme!I6482,Programme!J6482)</f>
        <v>&lt;ValeurCellule&gt;</v>
      </c>
    </row>
    <row r="6482" spans="1:1" x14ac:dyDescent="0.2">
      <c r="A6482" s="996" t="str">
        <f>CONCATENATE(Programme!D6483,Programme!E6483,Programme!F6483,Programme!G6483,Programme!H6483,Programme!I6483,Programme!J6483)</f>
        <v>&lt;cellule&gt;</v>
      </c>
    </row>
    <row r="6483" spans="1:1" x14ac:dyDescent="0.2">
      <c r="A6483" s="996" t="str">
        <f>CONCATENATE(Programme!D6484,Programme!E6484,Programme!F6484,Programme!G6484,Programme!H6484,Programme!I6484,Programme!J6484)</f>
        <v>&lt;codeEdi&gt;1702&lt;/codeEdi&gt;</v>
      </c>
    </row>
    <row r="6484" spans="1:1" x14ac:dyDescent="0.2">
      <c r="A6484" s="996" t="str">
        <f>CONCATENATE(Programme!D6485,Programme!E6485,Programme!F6485,Programme!G6485,Programme!H6485,Programme!I6485,Programme!J6485)</f>
        <v>&lt;/cellule&gt;</v>
      </c>
    </row>
    <row r="6485" spans="1:1" x14ac:dyDescent="0.2">
      <c r="A6485" s="996" t="str">
        <f>CONCATENATE(Programme!D6486,Programme!E6486,Programme!F6486,Programme!G6486,Programme!H6486,Programme!I6486,Programme!J6486)</f>
        <v>&lt;valeur&gt;0&lt;/valeur&gt;</v>
      </c>
    </row>
    <row r="6486" spans="1:1" x14ac:dyDescent="0.2">
      <c r="A6486" s="996" t="str">
        <f>CONCATENATE(Programme!D6487,Programme!E6487,Programme!F6487,Programme!G6487,Programme!H6487,Programme!I6487,Programme!J6487)</f>
        <v>&lt;/ValeurCellule&gt;</v>
      </c>
    </row>
    <row r="6487" spans="1:1" x14ac:dyDescent="0.2">
      <c r="A6487" s="996" t="str">
        <f>CONCATENATE(Programme!D6488,Programme!E6488,Programme!F6488,Programme!G6488,Programme!H6488,Programme!I6488,Programme!J6488)</f>
        <v>&lt;ValeurCellule&gt;</v>
      </c>
    </row>
    <row r="6488" spans="1:1" x14ac:dyDescent="0.2">
      <c r="A6488" s="996" t="str">
        <f>CONCATENATE(Programme!D6489,Programme!E6489,Programme!F6489,Programme!G6489,Programme!H6489,Programme!I6489,Programme!J6489)</f>
        <v>&lt;cellule&gt;</v>
      </c>
    </row>
    <row r="6489" spans="1:1" x14ac:dyDescent="0.2">
      <c r="A6489" s="996" t="str">
        <f>CONCATENATE(Programme!D6490,Programme!E6490,Programme!F6490,Programme!G6490,Programme!H6490,Programme!I6490,Programme!J6490)</f>
        <v>&lt;codeEdi&gt;1703&lt;/codeEdi&gt;</v>
      </c>
    </row>
    <row r="6490" spans="1:1" x14ac:dyDescent="0.2">
      <c r="A6490" s="996" t="str">
        <f>CONCATENATE(Programme!D6491,Programme!E6491,Programme!F6491,Programme!G6491,Programme!H6491,Programme!I6491,Programme!J6491)</f>
        <v>&lt;/cellule&gt;</v>
      </c>
    </row>
    <row r="6491" spans="1:1" x14ac:dyDescent="0.2">
      <c r="A6491" s="996" t="str">
        <f>CONCATENATE(Programme!D6492,Programme!E6492,Programme!F6492,Programme!G6492,Programme!H6492,Programme!I6492,Programme!J6492)</f>
        <v>&lt;valeur&gt;0&lt;/valeur&gt;</v>
      </c>
    </row>
    <row r="6492" spans="1:1" x14ac:dyDescent="0.2">
      <c r="A6492" s="996" t="str">
        <f>CONCATENATE(Programme!D6493,Programme!E6493,Programme!F6493,Programme!G6493,Programme!H6493,Programme!I6493,Programme!J6493)</f>
        <v>&lt;/ValeurCellule&gt;</v>
      </c>
    </row>
    <row r="6493" spans="1:1" x14ac:dyDescent="0.2">
      <c r="A6493" s="996" t="str">
        <f>CONCATENATE(Programme!D6494,Programme!E6494,Programme!F6494,Programme!G6494,Programme!H6494,Programme!I6494,Programme!J6494)</f>
        <v>&lt;ValeurCellule&gt;</v>
      </c>
    </row>
    <row r="6494" spans="1:1" x14ac:dyDescent="0.2">
      <c r="A6494" s="996" t="str">
        <f>CONCATENATE(Programme!D6495,Programme!E6495,Programme!F6495,Programme!G6495,Programme!H6495,Programme!I6495,Programme!J6495)</f>
        <v>&lt;cellule&gt;</v>
      </c>
    </row>
    <row r="6495" spans="1:1" x14ac:dyDescent="0.2">
      <c r="A6495" s="996" t="str">
        <f>CONCATENATE(Programme!D6496,Programme!E6496,Programme!F6496,Programme!G6496,Programme!H6496,Programme!I6496,Programme!J6496)</f>
        <v>&lt;codeEdi&gt;1704&lt;/codeEdi&gt;</v>
      </c>
    </row>
    <row r="6496" spans="1:1" x14ac:dyDescent="0.2">
      <c r="A6496" s="996" t="str">
        <f>CONCATENATE(Programme!D6497,Programme!E6497,Programme!F6497,Programme!G6497,Programme!H6497,Programme!I6497,Programme!J6497)</f>
        <v>&lt;/cellule&gt;</v>
      </c>
    </row>
    <row r="6497" spans="1:1" x14ac:dyDescent="0.2">
      <c r="A6497" s="996" t="str">
        <f>CONCATENATE(Programme!D6498,Programme!E6498,Programme!F6498,Programme!G6498,Programme!H6498,Programme!I6498,Programme!J6498)</f>
        <v>&lt;valeur&gt;0&lt;/valeur&gt;</v>
      </c>
    </row>
    <row r="6498" spans="1:1" x14ac:dyDescent="0.2">
      <c r="A6498" s="996" t="str">
        <f>CONCATENATE(Programme!D6499,Programme!E6499,Programme!F6499,Programme!G6499,Programme!H6499,Programme!I6499,Programme!J6499)</f>
        <v>&lt;/ValeurCellule&gt;</v>
      </c>
    </row>
    <row r="6499" spans="1:1" x14ac:dyDescent="0.2">
      <c r="A6499" s="996" t="str">
        <f>CONCATENATE(Programme!D6500,Programme!E6500,Programme!F6500,Programme!G6500,Programme!H6500,Programme!I6500,Programme!J6500)</f>
        <v>&lt;ValeurCellule&gt;</v>
      </c>
    </row>
    <row r="6500" spans="1:1" x14ac:dyDescent="0.2">
      <c r="A6500" s="996" t="str">
        <f>CONCATENATE(Programme!D6501,Programme!E6501,Programme!F6501,Programme!G6501,Programme!H6501,Programme!I6501,Programme!J6501)</f>
        <v>&lt;cellule&gt;</v>
      </c>
    </row>
    <row r="6501" spans="1:1" x14ac:dyDescent="0.2">
      <c r="A6501" s="996" t="str">
        <f>CONCATENATE(Programme!D6502,Programme!E6502,Programme!F6502,Programme!G6502,Programme!H6502,Programme!I6502,Programme!J6502)</f>
        <v>&lt;codeEdi&gt;1705&lt;/codeEdi&gt;</v>
      </c>
    </row>
    <row r="6502" spans="1:1" x14ac:dyDescent="0.2">
      <c r="A6502" s="996" t="str">
        <f>CONCATENATE(Programme!D6503,Programme!E6503,Programme!F6503,Programme!G6503,Programme!H6503,Programme!I6503,Programme!J6503)</f>
        <v>&lt;/cellule&gt;</v>
      </c>
    </row>
    <row r="6503" spans="1:1" x14ac:dyDescent="0.2">
      <c r="A6503" s="996" t="str">
        <f>CONCATENATE(Programme!D6504,Programme!E6504,Programme!F6504,Programme!G6504,Programme!H6504,Programme!I6504,Programme!J6504)</f>
        <v>&lt;valeur&gt;0&lt;/valeur&gt;</v>
      </c>
    </row>
    <row r="6504" spans="1:1" x14ac:dyDescent="0.2">
      <c r="A6504" s="996" t="str">
        <f>CONCATENATE(Programme!D6505,Programme!E6505,Programme!F6505,Programme!G6505,Programme!H6505,Programme!I6505,Programme!J6505)</f>
        <v>&lt;/ValeurCellule&gt;</v>
      </c>
    </row>
    <row r="6505" spans="1:1" x14ac:dyDescent="0.2">
      <c r="A6505" s="996" t="str">
        <f>CONCATENATE(Programme!D6506,Programme!E6506,Programme!F6506,Programme!G6506,Programme!H6506,Programme!I6506,Programme!J6506)</f>
        <v>&lt;ValeurCellule&gt;</v>
      </c>
    </row>
    <row r="6506" spans="1:1" x14ac:dyDescent="0.2">
      <c r="A6506" s="996" t="str">
        <f>CONCATENATE(Programme!D6507,Programme!E6507,Programme!F6507,Programme!G6507,Programme!H6507,Programme!I6507,Programme!J6507)</f>
        <v>&lt;cellule&gt;</v>
      </c>
    </row>
    <row r="6507" spans="1:1" x14ac:dyDescent="0.2">
      <c r="A6507" s="996" t="str">
        <f>CONCATENATE(Programme!D6508,Programme!E6508,Programme!F6508,Programme!G6508,Programme!H6508,Programme!I6508,Programme!J6508)</f>
        <v>&lt;codeEdi&gt;1706&lt;/codeEdi&gt;</v>
      </c>
    </row>
    <row r="6508" spans="1:1" x14ac:dyDescent="0.2">
      <c r="A6508" s="996" t="str">
        <f>CONCATENATE(Programme!D6509,Programme!E6509,Programme!F6509,Programme!G6509,Programme!H6509,Programme!I6509,Programme!J6509)</f>
        <v>&lt;/cellule&gt;</v>
      </c>
    </row>
    <row r="6509" spans="1:1" x14ac:dyDescent="0.2">
      <c r="A6509" s="996" t="str">
        <f>CONCATENATE(Programme!D6510,Programme!E6510,Programme!F6510,Programme!G6510,Programme!H6510,Programme!I6510,Programme!J6510)</f>
        <v>&lt;valeur&gt;0&lt;/valeur&gt;</v>
      </c>
    </row>
    <row r="6510" spans="1:1" x14ac:dyDescent="0.2">
      <c r="A6510" s="996" t="str">
        <f>CONCATENATE(Programme!D6511,Programme!E6511,Programme!F6511,Programme!G6511,Programme!H6511,Programme!I6511,Programme!J6511)</f>
        <v>&lt;/ValeurCellule&gt;</v>
      </c>
    </row>
    <row r="6511" spans="1:1" x14ac:dyDescent="0.2">
      <c r="A6511" s="996" t="str">
        <f>CONCATENATE(Programme!D6512,Programme!E6512,Programme!F6512,Programme!G6512,Programme!H6512,Programme!I6512,Programme!J6512)</f>
        <v>&lt;ValeurCellule&gt;</v>
      </c>
    </row>
    <row r="6512" spans="1:1" x14ac:dyDescent="0.2">
      <c r="A6512" s="996" t="str">
        <f>CONCATENATE(Programme!D6513,Programme!E6513,Programme!F6513,Programme!G6513,Programme!H6513,Programme!I6513,Programme!J6513)</f>
        <v>&lt;cellule&gt;</v>
      </c>
    </row>
    <row r="6513" spans="1:1" x14ac:dyDescent="0.2">
      <c r="A6513" s="996" t="str">
        <f>CONCATENATE(Programme!D6514,Programme!E6514,Programme!F6514,Programme!G6514,Programme!H6514,Programme!I6514,Programme!J6514)</f>
        <v>&lt;codeEdi&gt;1707&lt;/codeEdi&gt;</v>
      </c>
    </row>
    <row r="6514" spans="1:1" x14ac:dyDescent="0.2">
      <c r="A6514" s="996" t="str">
        <f>CONCATENATE(Programme!D6515,Programme!E6515,Programme!F6515,Programme!G6515,Programme!H6515,Programme!I6515,Programme!J6515)</f>
        <v>&lt;/cellule&gt;</v>
      </c>
    </row>
    <row r="6515" spans="1:1" x14ac:dyDescent="0.2">
      <c r="A6515" s="996" t="str">
        <f>CONCATENATE(Programme!D6516,Programme!E6516,Programme!F6516,Programme!G6516,Programme!H6516,Programme!I6516,Programme!J6516)</f>
        <v>&lt;valeur&gt;0&lt;/valeur&gt;</v>
      </c>
    </row>
    <row r="6516" spans="1:1" x14ac:dyDescent="0.2">
      <c r="A6516" s="996" t="str">
        <f>CONCATENATE(Programme!D6517,Programme!E6517,Programme!F6517,Programme!G6517,Programme!H6517,Programme!I6517,Programme!J6517)</f>
        <v>&lt;/ValeurCellule&gt;</v>
      </c>
    </row>
    <row r="6517" spans="1:1" x14ac:dyDescent="0.2">
      <c r="A6517" s="996" t="str">
        <f>CONCATENATE(Programme!D6518,Programme!E6518,Programme!F6518,Programme!G6518,Programme!H6518,Programme!I6518,Programme!J6518)</f>
        <v>&lt;ValeurCellule&gt;</v>
      </c>
    </row>
    <row r="6518" spans="1:1" x14ac:dyDescent="0.2">
      <c r="A6518" s="996" t="str">
        <f>CONCATENATE(Programme!D6519,Programme!E6519,Programme!F6519,Programme!G6519,Programme!H6519,Programme!I6519,Programme!J6519)</f>
        <v>&lt;cellule&gt;</v>
      </c>
    </row>
    <row r="6519" spans="1:1" x14ac:dyDescent="0.2">
      <c r="A6519" s="996" t="str">
        <f>CONCATENATE(Programme!D6520,Programme!E6520,Programme!F6520,Programme!G6520,Programme!H6520,Programme!I6520,Programme!J6520)</f>
        <v>&lt;codeEdi&gt;1708&lt;/codeEdi&gt;</v>
      </c>
    </row>
    <row r="6520" spans="1:1" x14ac:dyDescent="0.2">
      <c r="A6520" s="996" t="str">
        <f>CONCATENATE(Programme!D6521,Programme!E6521,Programme!F6521,Programme!G6521,Programme!H6521,Programme!I6521,Programme!J6521)</f>
        <v>&lt;/cellule&gt;</v>
      </c>
    </row>
    <row r="6521" spans="1:1" x14ac:dyDescent="0.2">
      <c r="A6521" s="996" t="str">
        <f>CONCATENATE(Programme!D6522,Programme!E6522,Programme!F6522,Programme!G6522,Programme!H6522,Programme!I6522,Programme!J6522)</f>
        <v>&lt;valeur&gt;0&lt;/valeur&gt;</v>
      </c>
    </row>
    <row r="6522" spans="1:1" x14ac:dyDescent="0.2">
      <c r="A6522" s="996" t="str">
        <f>CONCATENATE(Programme!D6523,Programme!E6523,Programme!F6523,Programme!G6523,Programme!H6523,Programme!I6523,Programme!J6523)</f>
        <v>&lt;/ValeurCellule&gt;</v>
      </c>
    </row>
    <row r="6523" spans="1:1" x14ac:dyDescent="0.2">
      <c r="A6523" s="996" t="str">
        <f>CONCATENATE(Programme!D6524,Programme!E6524,Programme!F6524,Programme!G6524,Programme!H6524,Programme!I6524,Programme!J6524)</f>
        <v>&lt;ValeurCellule&gt;</v>
      </c>
    </row>
    <row r="6524" spans="1:1" x14ac:dyDescent="0.2">
      <c r="A6524" s="996" t="str">
        <f>CONCATENATE(Programme!D6525,Programme!E6525,Programme!F6525,Programme!G6525,Programme!H6525,Programme!I6525,Programme!J6525)</f>
        <v>&lt;cellule&gt;</v>
      </c>
    </row>
    <row r="6525" spans="1:1" x14ac:dyDescent="0.2">
      <c r="A6525" s="996" t="str">
        <f>CONCATENATE(Programme!D6526,Programme!E6526,Programme!F6526,Programme!G6526,Programme!H6526,Programme!I6526,Programme!J6526)</f>
        <v>&lt;codeEdi&gt;1709&lt;/codeEdi&gt;</v>
      </c>
    </row>
    <row r="6526" spans="1:1" x14ac:dyDescent="0.2">
      <c r="A6526" s="996" t="str">
        <f>CONCATENATE(Programme!D6527,Programme!E6527,Programme!F6527,Programme!G6527,Programme!H6527,Programme!I6527,Programme!J6527)</f>
        <v>&lt;/cellule&gt;</v>
      </c>
    </row>
    <row r="6527" spans="1:1" x14ac:dyDescent="0.2">
      <c r="A6527" s="996" t="str">
        <f>CONCATENATE(Programme!D6528,Programme!E6528,Programme!F6528,Programme!G6528,Programme!H6528,Programme!I6528,Programme!J6528)</f>
        <v>&lt;valeur&gt;0&lt;/valeur&gt;</v>
      </c>
    </row>
    <row r="6528" spans="1:1" x14ac:dyDescent="0.2">
      <c r="A6528" s="996" t="str">
        <f>CONCATENATE(Programme!D6529,Programme!E6529,Programme!F6529,Programme!G6529,Programme!H6529,Programme!I6529,Programme!J6529)</f>
        <v>&lt;/ValeurCellule&gt;</v>
      </c>
    </row>
    <row r="6529" spans="1:1" x14ac:dyDescent="0.2">
      <c r="A6529" s="996" t="str">
        <f>CONCATENATE(Programme!D6530,Programme!E6530,Programme!F6530,Programme!G6530,Programme!H6530,Programme!I6530,Programme!J6530)</f>
        <v>&lt;ValeurCellule&gt;</v>
      </c>
    </row>
    <row r="6530" spans="1:1" x14ac:dyDescent="0.2">
      <c r="A6530" s="996" t="str">
        <f>CONCATENATE(Programme!D6531,Programme!E6531,Programme!F6531,Programme!G6531,Programme!H6531,Programme!I6531,Programme!J6531)</f>
        <v>&lt;cellule&gt;</v>
      </c>
    </row>
    <row r="6531" spans="1:1" x14ac:dyDescent="0.2">
      <c r="A6531" s="996" t="str">
        <f>CONCATENATE(Programme!D6532,Programme!E6532,Programme!F6532,Programme!G6532,Programme!H6532,Programme!I6532,Programme!J6532)</f>
        <v>&lt;codeEdi&gt;1710&lt;/codeEdi&gt;</v>
      </c>
    </row>
    <row r="6532" spans="1:1" x14ac:dyDescent="0.2">
      <c r="A6532" s="996" t="str">
        <f>CONCATENATE(Programme!D6533,Programme!E6533,Programme!F6533,Programme!G6533,Programme!H6533,Programme!I6533,Programme!J6533)</f>
        <v>&lt;/cellule&gt;</v>
      </c>
    </row>
    <row r="6533" spans="1:1" x14ac:dyDescent="0.2">
      <c r="A6533" s="996" t="str">
        <f>CONCATENATE(Programme!D6534,Programme!E6534,Programme!F6534,Programme!G6534,Programme!H6534,Programme!I6534,Programme!J6534)</f>
        <v>&lt;valeur&gt;0&lt;/valeur&gt;</v>
      </c>
    </row>
    <row r="6534" spans="1:1" x14ac:dyDescent="0.2">
      <c r="A6534" s="996" t="str">
        <f>CONCATENATE(Programme!D6535,Programme!E6535,Programme!F6535,Programme!G6535,Programme!H6535,Programme!I6535,Programme!J6535)</f>
        <v>&lt;/ValeurCellule&gt;</v>
      </c>
    </row>
    <row r="6535" spans="1:1" x14ac:dyDescent="0.2">
      <c r="A6535" s="996" t="str">
        <f>CONCATENATE(Programme!D6536,Programme!E6536,Programme!F6536,Programme!G6536,Programme!H6536,Programme!I6536,Programme!J6536)</f>
        <v>&lt;ValeurCellule&gt;</v>
      </c>
    </row>
    <row r="6536" spans="1:1" x14ac:dyDescent="0.2">
      <c r="A6536" s="996" t="str">
        <f>CONCATENATE(Programme!D6537,Programme!E6537,Programme!F6537,Programme!G6537,Programme!H6537,Programme!I6537,Programme!J6537)</f>
        <v>&lt;cellule&gt;</v>
      </c>
    </row>
    <row r="6537" spans="1:1" x14ac:dyDescent="0.2">
      <c r="A6537" s="996" t="str">
        <f>CONCATENATE(Programme!D6538,Programme!E6538,Programme!F6538,Programme!G6538,Programme!H6538,Programme!I6538,Programme!J6538)</f>
        <v>&lt;codeEdi&gt;1711&lt;/codeEdi&gt;</v>
      </c>
    </row>
    <row r="6538" spans="1:1" x14ac:dyDescent="0.2">
      <c r="A6538" s="996" t="str">
        <f>CONCATENATE(Programme!D6539,Programme!E6539,Programme!F6539,Programme!G6539,Programme!H6539,Programme!I6539,Programme!J6539)</f>
        <v>&lt;/cellule&gt;</v>
      </c>
    </row>
    <row r="6539" spans="1:1" x14ac:dyDescent="0.2">
      <c r="A6539" s="996" t="str">
        <f>CONCATENATE(Programme!D6540,Programme!E6540,Programme!F6540,Programme!G6540,Programme!H6540,Programme!I6540,Programme!J6540)</f>
        <v>&lt;valeur&gt;0&lt;/valeur&gt;</v>
      </c>
    </row>
    <row r="6540" spans="1:1" x14ac:dyDescent="0.2">
      <c r="A6540" s="996" t="str">
        <f>CONCATENATE(Programme!D6541,Programme!E6541,Programme!F6541,Programme!G6541,Programme!H6541,Programme!I6541,Programme!J6541)</f>
        <v>&lt;/ValeurCellule&gt;</v>
      </c>
    </row>
    <row r="6541" spans="1:1" x14ac:dyDescent="0.2">
      <c r="A6541" s="996" t="str">
        <f>CONCATENATE(Programme!D6542,Programme!E6542,Programme!F6542,Programme!G6542,Programme!H6542,Programme!I6542,Programme!J6542)</f>
        <v>&lt;ValeurCellule&gt;</v>
      </c>
    </row>
    <row r="6542" spans="1:1" x14ac:dyDescent="0.2">
      <c r="A6542" s="996" t="str">
        <f>CONCATENATE(Programme!D6543,Programme!E6543,Programme!F6543,Programme!G6543,Programme!H6543,Programme!I6543,Programme!J6543)</f>
        <v>&lt;cellule&gt;</v>
      </c>
    </row>
    <row r="6543" spans="1:1" x14ac:dyDescent="0.2">
      <c r="A6543" s="996" t="str">
        <f>CONCATENATE(Programme!D6544,Programme!E6544,Programme!F6544,Programme!G6544,Programme!H6544,Programme!I6544,Programme!J6544)</f>
        <v>&lt;codeEdi&gt;1712&lt;/codeEdi&gt;</v>
      </c>
    </row>
    <row r="6544" spans="1:1" x14ac:dyDescent="0.2">
      <c r="A6544" s="996" t="str">
        <f>CONCATENATE(Programme!D6545,Programme!E6545,Programme!F6545,Programme!G6545,Programme!H6545,Programme!I6545,Programme!J6545)</f>
        <v>&lt;/cellule&gt;</v>
      </c>
    </row>
    <row r="6545" spans="1:1" x14ac:dyDescent="0.2">
      <c r="A6545" s="996" t="str">
        <f>CONCATENATE(Programme!D6546,Programme!E6546,Programme!F6546,Programme!G6546,Programme!H6546,Programme!I6546,Programme!J6546)</f>
        <v>&lt;valeur&gt;0&lt;/valeur&gt;</v>
      </c>
    </row>
    <row r="6546" spans="1:1" x14ac:dyDescent="0.2">
      <c r="A6546" s="996" t="str">
        <f>CONCATENATE(Programme!D6547,Programme!E6547,Programme!F6547,Programme!G6547,Programme!H6547,Programme!I6547,Programme!J6547)</f>
        <v>&lt;/ValeurCellule&gt;</v>
      </c>
    </row>
    <row r="6547" spans="1:1" x14ac:dyDescent="0.2">
      <c r="A6547" s="996" t="str">
        <f>CONCATENATE(Programme!D6548,Programme!E6548,Programme!F6548,Programme!G6548,Programme!H6548,Programme!I6548,Programme!J6548)</f>
        <v>&lt;ValeurCellule&gt;</v>
      </c>
    </row>
    <row r="6548" spans="1:1" x14ac:dyDescent="0.2">
      <c r="A6548" s="996" t="str">
        <f>CONCATENATE(Programme!D6549,Programme!E6549,Programme!F6549,Programme!G6549,Programme!H6549,Programme!I6549,Programme!J6549)</f>
        <v>&lt;cellule&gt;</v>
      </c>
    </row>
    <row r="6549" spans="1:1" x14ac:dyDescent="0.2">
      <c r="A6549" s="996" t="str">
        <f>CONCATENATE(Programme!D6550,Programme!E6550,Programme!F6550,Programme!G6550,Programme!H6550,Programme!I6550,Programme!J6550)</f>
        <v>&lt;codeEdi&gt;1713&lt;/codeEdi&gt;</v>
      </c>
    </row>
    <row r="6550" spans="1:1" x14ac:dyDescent="0.2">
      <c r="A6550" s="996" t="str">
        <f>CONCATENATE(Programme!D6551,Programme!E6551,Programme!F6551,Programme!G6551,Programme!H6551,Programme!I6551,Programme!J6551)</f>
        <v>&lt;/cellule&gt;</v>
      </c>
    </row>
    <row r="6551" spans="1:1" x14ac:dyDescent="0.2">
      <c r="A6551" s="996" t="str">
        <f>CONCATENATE(Programme!D6552,Programme!E6552,Programme!F6552,Programme!G6552,Programme!H6552,Programme!I6552,Programme!J6552)</f>
        <v>&lt;valeur&gt;0&lt;/valeur&gt;</v>
      </c>
    </row>
    <row r="6552" spans="1:1" x14ac:dyDescent="0.2">
      <c r="A6552" s="996" t="str">
        <f>CONCATENATE(Programme!D6553,Programme!E6553,Programme!F6553,Programme!G6553,Programme!H6553,Programme!I6553,Programme!J6553)</f>
        <v>&lt;/ValeurCellule&gt;</v>
      </c>
    </row>
    <row r="6553" spans="1:1" x14ac:dyDescent="0.2">
      <c r="A6553" s="996" t="str">
        <f>CONCATENATE(Programme!D6554,Programme!E6554,Programme!F6554,Programme!G6554,Programme!H6554,Programme!I6554,Programme!J6554)</f>
        <v>&lt;ValeurCellule&gt;</v>
      </c>
    </row>
    <row r="6554" spans="1:1" x14ac:dyDescent="0.2">
      <c r="A6554" s="996" t="str">
        <f>CONCATENATE(Programme!D6555,Programme!E6555,Programme!F6555,Programme!G6555,Programme!H6555,Programme!I6555,Programme!J6555)</f>
        <v>&lt;cellule&gt;</v>
      </c>
    </row>
    <row r="6555" spans="1:1" x14ac:dyDescent="0.2">
      <c r="A6555" s="996" t="str">
        <f>CONCATENATE(Programme!D6556,Programme!E6556,Programme!F6556,Programme!G6556,Programme!H6556,Programme!I6556,Programme!J6556)</f>
        <v>&lt;codeEdi&gt;1714&lt;/codeEdi&gt;</v>
      </c>
    </row>
    <row r="6556" spans="1:1" x14ac:dyDescent="0.2">
      <c r="A6556" s="996" t="str">
        <f>CONCATENATE(Programme!D6557,Programme!E6557,Programme!F6557,Programme!G6557,Programme!H6557,Programme!I6557,Programme!J6557)</f>
        <v>&lt;/cellule&gt;</v>
      </c>
    </row>
    <row r="6557" spans="1:1" x14ac:dyDescent="0.2">
      <c r="A6557" s="996" t="str">
        <f>CONCATENATE(Programme!D6558,Programme!E6558,Programme!F6558,Programme!G6558,Programme!H6558,Programme!I6558,Programme!J6558)</f>
        <v>&lt;valeur&gt;0&lt;/valeur&gt;</v>
      </c>
    </row>
    <row r="6558" spans="1:1" x14ac:dyDescent="0.2">
      <c r="A6558" s="996" t="str">
        <f>CONCATENATE(Programme!D6559,Programme!E6559,Programme!F6559,Programme!G6559,Programme!H6559,Programme!I6559,Programme!J6559)</f>
        <v>&lt;/ValeurCellule&gt;</v>
      </c>
    </row>
    <row r="6559" spans="1:1" x14ac:dyDescent="0.2">
      <c r="A6559" s="996" t="str">
        <f>CONCATENATE(Programme!D6560,Programme!E6560,Programme!F6560,Programme!G6560,Programme!H6560,Programme!I6560,Programme!J6560)</f>
        <v>&lt;ValeurCellule&gt;</v>
      </c>
    </row>
    <row r="6560" spans="1:1" x14ac:dyDescent="0.2">
      <c r="A6560" s="996" t="str">
        <f>CONCATENATE(Programme!D6561,Programme!E6561,Programme!F6561,Programme!G6561,Programme!H6561,Programme!I6561,Programme!J6561)</f>
        <v>&lt;cellule&gt;</v>
      </c>
    </row>
    <row r="6561" spans="1:1" x14ac:dyDescent="0.2">
      <c r="A6561" s="996" t="str">
        <f>CONCATENATE(Programme!D6562,Programme!E6562,Programme!F6562,Programme!G6562,Programme!H6562,Programme!I6562,Programme!J6562)</f>
        <v>&lt;codeEdi&gt;1715&lt;/codeEdi&gt;</v>
      </c>
    </row>
    <row r="6562" spans="1:1" x14ac:dyDescent="0.2">
      <c r="A6562" s="996" t="str">
        <f>CONCATENATE(Programme!D6563,Programme!E6563,Programme!F6563,Programme!G6563,Programme!H6563,Programme!I6563,Programme!J6563)</f>
        <v>&lt;/cellule&gt;</v>
      </c>
    </row>
    <row r="6563" spans="1:1" x14ac:dyDescent="0.2">
      <c r="A6563" s="996" t="str">
        <f>CONCATENATE(Programme!D6564,Programme!E6564,Programme!F6564,Programme!G6564,Programme!H6564,Programme!I6564,Programme!J6564)</f>
        <v>&lt;valeur&gt;0&lt;/valeur&gt;</v>
      </c>
    </row>
    <row r="6564" spans="1:1" x14ac:dyDescent="0.2">
      <c r="A6564" s="996" t="str">
        <f>CONCATENATE(Programme!D6565,Programme!E6565,Programme!F6565,Programme!G6565,Programme!H6565,Programme!I6565,Programme!J6565)</f>
        <v>&lt;/ValeurCellule&gt;</v>
      </c>
    </row>
    <row r="6565" spans="1:1" x14ac:dyDescent="0.2">
      <c r="A6565" s="996" t="str">
        <f>CONCATENATE(Programme!D6566,Programme!E6566,Programme!F6566,Programme!G6566,Programme!H6566,Programme!I6566,Programme!J6566)</f>
        <v>&lt;ValeurCellule&gt;</v>
      </c>
    </row>
    <row r="6566" spans="1:1" x14ac:dyDescent="0.2">
      <c r="A6566" s="996" t="str">
        <f>CONCATENATE(Programme!D6567,Programme!E6567,Programme!F6567,Programme!G6567,Programme!H6567,Programme!I6567,Programme!J6567)</f>
        <v>&lt;cellule&gt;</v>
      </c>
    </row>
    <row r="6567" spans="1:1" x14ac:dyDescent="0.2">
      <c r="A6567" s="996" t="str">
        <f>CONCATENATE(Programme!D6568,Programme!E6568,Programme!F6568,Programme!G6568,Programme!H6568,Programme!I6568,Programme!J6568)</f>
        <v>&lt;codeEdi&gt;1716&lt;/codeEdi&gt;</v>
      </c>
    </row>
    <row r="6568" spans="1:1" x14ac:dyDescent="0.2">
      <c r="A6568" s="996" t="str">
        <f>CONCATENATE(Programme!D6569,Programme!E6569,Programme!F6569,Programme!G6569,Programme!H6569,Programme!I6569,Programme!J6569)</f>
        <v>&lt;/cellule&gt;</v>
      </c>
    </row>
    <row r="6569" spans="1:1" x14ac:dyDescent="0.2">
      <c r="A6569" s="996" t="str">
        <f>CONCATENATE(Programme!D6570,Programme!E6570,Programme!F6570,Programme!G6570,Programme!H6570,Programme!I6570,Programme!J6570)</f>
        <v>&lt;valeur&gt;0&lt;/valeur&gt;</v>
      </c>
    </row>
    <row r="6570" spans="1:1" x14ac:dyDescent="0.2">
      <c r="A6570" s="996" t="str">
        <f>CONCATENATE(Programme!D6571,Programme!E6571,Programme!F6571,Programme!G6571,Programme!H6571,Programme!I6571,Programme!J6571)</f>
        <v>&lt;/ValeurCellule&gt;</v>
      </c>
    </row>
    <row r="6571" spans="1:1" x14ac:dyDescent="0.2">
      <c r="A6571" s="996" t="str">
        <f>CONCATENATE(Programme!D6572,Programme!E6572,Programme!F6572,Programme!G6572,Programme!H6572,Programme!I6572,Programme!J6572)</f>
        <v>&lt;ValeurCellule&gt;</v>
      </c>
    </row>
    <row r="6572" spans="1:1" x14ac:dyDescent="0.2">
      <c r="A6572" s="996" t="str">
        <f>CONCATENATE(Programme!D6573,Programme!E6573,Programme!F6573,Programme!G6573,Programme!H6573,Programme!I6573,Programme!J6573)</f>
        <v>&lt;cellule&gt;</v>
      </c>
    </row>
    <row r="6573" spans="1:1" x14ac:dyDescent="0.2">
      <c r="A6573" s="996" t="str">
        <f>CONCATENATE(Programme!D6574,Programme!E6574,Programme!F6574,Programme!G6574,Programme!H6574,Programme!I6574,Programme!J6574)</f>
        <v>&lt;codeEdi&gt;1717&lt;/codeEdi&gt;</v>
      </c>
    </row>
    <row r="6574" spans="1:1" x14ac:dyDescent="0.2">
      <c r="A6574" s="996" t="str">
        <f>CONCATENATE(Programme!D6575,Programme!E6575,Programme!F6575,Programme!G6575,Programme!H6575,Programme!I6575,Programme!J6575)</f>
        <v>&lt;/cellule&gt;</v>
      </c>
    </row>
    <row r="6575" spans="1:1" x14ac:dyDescent="0.2">
      <c r="A6575" s="996" t="str">
        <f>CONCATENATE(Programme!D6576,Programme!E6576,Programme!F6576,Programme!G6576,Programme!H6576,Programme!I6576,Programme!J6576)</f>
        <v>&lt;valeur&gt;0&lt;/valeur&gt;</v>
      </c>
    </row>
    <row r="6576" spans="1:1" x14ac:dyDescent="0.2">
      <c r="A6576" s="996" t="str">
        <f>CONCATENATE(Programme!D6577,Programme!E6577,Programme!F6577,Programme!G6577,Programme!H6577,Programme!I6577,Programme!J6577)</f>
        <v>&lt;/ValeurCellule&gt;</v>
      </c>
    </row>
    <row r="6577" spans="1:1" x14ac:dyDescent="0.2">
      <c r="A6577" s="996" t="str">
        <f>CONCATENATE(Programme!D6578,Programme!E6578,Programme!F6578,Programme!G6578,Programme!H6578,Programme!I6578,Programme!J6578)</f>
        <v>&lt;ValeurCellule&gt;</v>
      </c>
    </row>
    <row r="6578" spans="1:1" x14ac:dyDescent="0.2">
      <c r="A6578" s="996" t="str">
        <f>CONCATENATE(Programme!D6579,Programme!E6579,Programme!F6579,Programme!G6579,Programme!H6579,Programme!I6579,Programme!J6579)</f>
        <v>&lt;cellule&gt;</v>
      </c>
    </row>
    <row r="6579" spans="1:1" x14ac:dyDescent="0.2">
      <c r="A6579" s="996" t="str">
        <f>CONCATENATE(Programme!D6580,Programme!E6580,Programme!F6580,Programme!G6580,Programme!H6580,Programme!I6580,Programme!J6580)</f>
        <v>&lt;codeEdi&gt;1718&lt;/codeEdi&gt;</v>
      </c>
    </row>
    <row r="6580" spans="1:1" x14ac:dyDescent="0.2">
      <c r="A6580" s="996" t="str">
        <f>CONCATENATE(Programme!D6581,Programme!E6581,Programme!F6581,Programme!G6581,Programme!H6581,Programme!I6581,Programme!J6581)</f>
        <v>&lt;/cellule&gt;</v>
      </c>
    </row>
    <row r="6581" spans="1:1" x14ac:dyDescent="0.2">
      <c r="A6581" s="996" t="str">
        <f>CONCATENATE(Programme!D6582,Programme!E6582,Programme!F6582,Programme!G6582,Programme!H6582,Programme!I6582,Programme!J6582)</f>
        <v>&lt;valeur&gt;0&lt;/valeur&gt;</v>
      </c>
    </row>
    <row r="6582" spans="1:1" x14ac:dyDescent="0.2">
      <c r="A6582" s="996" t="str">
        <f>CONCATENATE(Programme!D6583,Programme!E6583,Programme!F6583,Programme!G6583,Programme!H6583,Programme!I6583,Programme!J6583)</f>
        <v>&lt;/ValeurCellule&gt;</v>
      </c>
    </row>
    <row r="6583" spans="1:1" x14ac:dyDescent="0.2">
      <c r="A6583" s="996" t="str">
        <f>CONCATENATE(Programme!D6584,Programme!E6584,Programme!F6584,Programme!G6584,Programme!H6584,Programme!I6584,Programme!J6584)</f>
        <v>&lt;ValeurCellule&gt;</v>
      </c>
    </row>
    <row r="6584" spans="1:1" x14ac:dyDescent="0.2">
      <c r="A6584" s="996" t="str">
        <f>CONCATENATE(Programme!D6585,Programme!E6585,Programme!F6585,Programme!G6585,Programme!H6585,Programme!I6585,Programme!J6585)</f>
        <v>&lt;cellule&gt;</v>
      </c>
    </row>
    <row r="6585" spans="1:1" x14ac:dyDescent="0.2">
      <c r="A6585" s="996" t="str">
        <f>CONCATENATE(Programme!D6586,Programme!E6586,Programme!F6586,Programme!G6586,Programme!H6586,Programme!I6586,Programme!J6586)</f>
        <v>&lt;codeEdi&gt;1719&lt;/codeEdi&gt;</v>
      </c>
    </row>
    <row r="6586" spans="1:1" x14ac:dyDescent="0.2">
      <c r="A6586" s="996" t="str">
        <f>CONCATENATE(Programme!D6587,Programme!E6587,Programme!F6587,Programme!G6587,Programme!H6587,Programme!I6587,Programme!J6587)</f>
        <v>&lt;/cellule&gt;</v>
      </c>
    </row>
    <row r="6587" spans="1:1" x14ac:dyDescent="0.2">
      <c r="A6587" s="996" t="str">
        <f>CONCATENATE(Programme!D6588,Programme!E6588,Programme!F6588,Programme!G6588,Programme!H6588,Programme!I6588,Programme!J6588)</f>
        <v>&lt;valeur&gt;0&lt;/valeur&gt;</v>
      </c>
    </row>
    <row r="6588" spans="1:1" x14ac:dyDescent="0.2">
      <c r="A6588" s="996" t="str">
        <f>CONCATENATE(Programme!D6589,Programme!E6589,Programme!F6589,Programme!G6589,Programme!H6589,Programme!I6589,Programme!J6589)</f>
        <v>&lt;/ValeurCellule&gt;</v>
      </c>
    </row>
    <row r="6589" spans="1:1" x14ac:dyDescent="0.2">
      <c r="A6589" s="996" t="str">
        <f>CONCATENATE(Programme!D6590,Programme!E6590,Programme!F6590,Programme!G6590,Programme!H6590,Programme!I6590,Programme!J6590)</f>
        <v>&lt;ValeurCellule&gt;</v>
      </c>
    </row>
    <row r="6590" spans="1:1" x14ac:dyDescent="0.2">
      <c r="A6590" s="996" t="str">
        <f>CONCATENATE(Programme!D6591,Programme!E6591,Programme!F6591,Programme!G6591,Programme!H6591,Programme!I6591,Programme!J6591)</f>
        <v>&lt;cellule&gt;</v>
      </c>
    </row>
    <row r="6591" spans="1:1" x14ac:dyDescent="0.2">
      <c r="A6591" s="996" t="str">
        <f>CONCATENATE(Programme!D6592,Programme!E6592,Programme!F6592,Programme!G6592,Programme!H6592,Programme!I6592,Programme!J6592)</f>
        <v>&lt;codeEdi&gt;1720&lt;/codeEdi&gt;</v>
      </c>
    </row>
    <row r="6592" spans="1:1" x14ac:dyDescent="0.2">
      <c r="A6592" s="996" t="str">
        <f>CONCATENATE(Programme!D6593,Programme!E6593,Programme!F6593,Programme!G6593,Programme!H6593,Programme!I6593,Programme!J6593)</f>
        <v>&lt;/cellule&gt;</v>
      </c>
    </row>
    <row r="6593" spans="1:1" x14ac:dyDescent="0.2">
      <c r="A6593" s="996" t="str">
        <f>CONCATENATE(Programme!D6594,Programme!E6594,Programme!F6594,Programme!G6594,Programme!H6594,Programme!I6594,Programme!J6594)</f>
        <v>&lt;valeur&gt;0&lt;/valeur&gt;</v>
      </c>
    </row>
    <row r="6594" spans="1:1" x14ac:dyDescent="0.2">
      <c r="A6594" s="996" t="str">
        <f>CONCATENATE(Programme!D6595,Programme!E6595,Programme!F6595,Programme!G6595,Programme!H6595,Programme!I6595,Programme!J6595)</f>
        <v>&lt;/ValeurCellule&gt;</v>
      </c>
    </row>
    <row r="6595" spans="1:1" x14ac:dyDescent="0.2">
      <c r="A6595" s="996" t="str">
        <f>CONCATENATE(Programme!D6596,Programme!E6596,Programme!F6596,Programme!G6596,Programme!H6596,Programme!I6596,Programme!J6596)</f>
        <v>&lt;ValeurCellule&gt;</v>
      </c>
    </row>
    <row r="6596" spans="1:1" x14ac:dyDescent="0.2">
      <c r="A6596" s="996" t="str">
        <f>CONCATENATE(Programme!D6597,Programme!E6597,Programme!F6597,Programme!G6597,Programme!H6597,Programme!I6597,Programme!J6597)</f>
        <v>&lt;cellule&gt;</v>
      </c>
    </row>
    <row r="6597" spans="1:1" x14ac:dyDescent="0.2">
      <c r="A6597" s="996" t="str">
        <f>CONCATENATE(Programme!D6598,Programme!E6598,Programme!F6598,Programme!G6598,Programme!H6598,Programme!I6598,Programme!J6598)</f>
        <v>&lt;codeEdi&gt;1721&lt;/codeEdi&gt;</v>
      </c>
    </row>
    <row r="6598" spans="1:1" x14ac:dyDescent="0.2">
      <c r="A6598" s="996" t="str">
        <f>CONCATENATE(Programme!D6599,Programme!E6599,Programme!F6599,Programme!G6599,Programme!H6599,Programme!I6599,Programme!J6599)</f>
        <v>&lt;/cellule&gt;</v>
      </c>
    </row>
    <row r="6599" spans="1:1" x14ac:dyDescent="0.2">
      <c r="A6599" s="996" t="str">
        <f>CONCATENATE(Programme!D6600,Programme!E6600,Programme!F6600,Programme!G6600,Programme!H6600,Programme!I6600,Programme!J6600)</f>
        <v>&lt;valeur&gt;0&lt;/valeur&gt;</v>
      </c>
    </row>
    <row r="6600" spans="1:1" x14ac:dyDescent="0.2">
      <c r="A6600" s="996" t="str">
        <f>CONCATENATE(Programme!D6601,Programme!E6601,Programme!F6601,Programme!G6601,Programme!H6601,Programme!I6601,Programme!J6601)</f>
        <v>&lt;/ValeurCellule&gt;</v>
      </c>
    </row>
    <row r="6601" spans="1:1" x14ac:dyDescent="0.2">
      <c r="A6601" s="996" t="str">
        <f>CONCATENATE(Programme!D6602,Programme!E6602,Programme!F6602,Programme!G6602,Programme!H6602,Programme!I6602,Programme!J6602)</f>
        <v>&lt;ValeurCellule&gt;</v>
      </c>
    </row>
    <row r="6602" spans="1:1" x14ac:dyDescent="0.2">
      <c r="A6602" s="996" t="str">
        <f>CONCATENATE(Programme!D6603,Programme!E6603,Programme!F6603,Programme!G6603,Programme!H6603,Programme!I6603,Programme!J6603)</f>
        <v>&lt;cellule&gt;</v>
      </c>
    </row>
    <row r="6603" spans="1:1" x14ac:dyDescent="0.2">
      <c r="A6603" s="996" t="str">
        <f>CONCATENATE(Programme!D6604,Programme!E6604,Programme!F6604,Programme!G6604,Programme!H6604,Programme!I6604,Programme!J6604)</f>
        <v>&lt;codeEdi&gt;1722&lt;/codeEdi&gt;</v>
      </c>
    </row>
    <row r="6604" spans="1:1" x14ac:dyDescent="0.2">
      <c r="A6604" s="996" t="str">
        <f>CONCATENATE(Programme!D6605,Programme!E6605,Programme!F6605,Programme!G6605,Programme!H6605,Programme!I6605,Programme!J6605)</f>
        <v>&lt;/cellule&gt;</v>
      </c>
    </row>
    <row r="6605" spans="1:1" x14ac:dyDescent="0.2">
      <c r="A6605" s="996" t="str">
        <f>CONCATENATE(Programme!D6606,Programme!E6606,Programme!F6606,Programme!G6606,Programme!H6606,Programme!I6606,Programme!J6606)</f>
        <v>&lt;valeur&gt;0&lt;/valeur&gt;</v>
      </c>
    </row>
    <row r="6606" spans="1:1" x14ac:dyDescent="0.2">
      <c r="A6606" s="996" t="str">
        <f>CONCATENATE(Programme!D6607,Programme!E6607,Programme!F6607,Programme!G6607,Programme!H6607,Programme!I6607,Programme!J6607)</f>
        <v>&lt;/ValeurCellule&gt;</v>
      </c>
    </row>
    <row r="6607" spans="1:1" x14ac:dyDescent="0.2">
      <c r="A6607" s="996" t="str">
        <f>CONCATENATE(Programme!D6608,Programme!E6608,Programme!F6608,Programme!G6608,Programme!H6608,Programme!I6608,Programme!J6608)</f>
        <v>&lt;ValeurCellule&gt;</v>
      </c>
    </row>
    <row r="6608" spans="1:1" x14ac:dyDescent="0.2">
      <c r="A6608" s="996" t="str">
        <f>CONCATENATE(Programme!D6609,Programme!E6609,Programme!F6609,Programme!G6609,Programme!H6609,Programme!I6609,Programme!J6609)</f>
        <v>&lt;cellule&gt;</v>
      </c>
    </row>
    <row r="6609" spans="1:1" x14ac:dyDescent="0.2">
      <c r="A6609" s="996" t="str">
        <f>CONCATENATE(Programme!D6610,Programme!E6610,Programme!F6610,Programme!G6610,Programme!H6610,Programme!I6610,Programme!J6610)</f>
        <v>&lt;codeEdi&gt;1723&lt;/codeEdi&gt;</v>
      </c>
    </row>
    <row r="6610" spans="1:1" x14ac:dyDescent="0.2">
      <c r="A6610" s="996" t="str">
        <f>CONCATENATE(Programme!D6611,Programme!E6611,Programme!F6611,Programme!G6611,Programme!H6611,Programme!I6611,Programme!J6611)</f>
        <v>&lt;/cellule&gt;</v>
      </c>
    </row>
    <row r="6611" spans="1:1" x14ac:dyDescent="0.2">
      <c r="A6611" s="996" t="str">
        <f>CONCATENATE(Programme!D6612,Programme!E6612,Programme!F6612,Programme!G6612,Programme!H6612,Programme!I6612,Programme!J6612)</f>
        <v>&lt;valeur&gt;0&lt;/valeur&gt;</v>
      </c>
    </row>
    <row r="6612" spans="1:1" x14ac:dyDescent="0.2">
      <c r="A6612" s="996" t="str">
        <f>CONCATENATE(Programme!D6613,Programme!E6613,Programme!F6613,Programme!G6613,Programme!H6613,Programme!I6613,Programme!J6613)</f>
        <v>&lt;/ValeurCellule&gt;</v>
      </c>
    </row>
    <row r="6613" spans="1:1" x14ac:dyDescent="0.2">
      <c r="A6613" s="996" t="str">
        <f>CONCATENATE(Programme!D6614,Programme!E6614,Programme!F6614,Programme!G6614,Programme!H6614,Programme!I6614,Programme!J6614)</f>
        <v>&lt;ValeurCellule&gt;</v>
      </c>
    </row>
    <row r="6614" spans="1:1" x14ac:dyDescent="0.2">
      <c r="A6614" s="996" t="str">
        <f>CONCATENATE(Programme!D6615,Programme!E6615,Programme!F6615,Programme!G6615,Programme!H6615,Programme!I6615,Programme!J6615)</f>
        <v>&lt;cellule&gt;</v>
      </c>
    </row>
    <row r="6615" spans="1:1" x14ac:dyDescent="0.2">
      <c r="A6615" s="996" t="str">
        <f>CONCATENATE(Programme!D6616,Programme!E6616,Programme!F6616,Programme!G6616,Programme!H6616,Programme!I6616,Programme!J6616)</f>
        <v>&lt;codeEdi&gt;1724&lt;/codeEdi&gt;</v>
      </c>
    </row>
    <row r="6616" spans="1:1" x14ac:dyDescent="0.2">
      <c r="A6616" s="996" t="str">
        <f>CONCATENATE(Programme!D6617,Programme!E6617,Programme!F6617,Programme!G6617,Programme!H6617,Programme!I6617,Programme!J6617)</f>
        <v>&lt;/cellule&gt;</v>
      </c>
    </row>
    <row r="6617" spans="1:1" x14ac:dyDescent="0.2">
      <c r="A6617" s="996" t="str">
        <f>CONCATENATE(Programme!D6618,Programme!E6618,Programme!F6618,Programme!G6618,Programme!H6618,Programme!I6618,Programme!J6618)</f>
        <v>&lt;valeur&gt;0&lt;/valeur&gt;</v>
      </c>
    </row>
    <row r="6618" spans="1:1" x14ac:dyDescent="0.2">
      <c r="A6618" s="996" t="str">
        <f>CONCATENATE(Programme!D6619,Programme!E6619,Programme!F6619,Programme!G6619,Programme!H6619,Programme!I6619,Programme!J6619)</f>
        <v>&lt;/ValeurCellule&gt;</v>
      </c>
    </row>
    <row r="6619" spans="1:1" x14ac:dyDescent="0.2">
      <c r="A6619" s="996" t="str">
        <f>CONCATENATE(Programme!D6620,Programme!E6620,Programme!F6620,Programme!G6620,Programme!H6620,Programme!I6620,Programme!J6620)</f>
        <v>&lt;ValeurCellule&gt;</v>
      </c>
    </row>
    <row r="6620" spans="1:1" x14ac:dyDescent="0.2">
      <c r="A6620" s="996" t="str">
        <f>CONCATENATE(Programme!D6621,Programme!E6621,Programme!F6621,Programme!G6621,Programme!H6621,Programme!I6621,Programme!J6621)</f>
        <v>&lt;cellule&gt;</v>
      </c>
    </row>
    <row r="6621" spans="1:1" x14ac:dyDescent="0.2">
      <c r="A6621" s="996" t="str">
        <f>CONCATENATE(Programme!D6622,Programme!E6622,Programme!F6622,Programme!G6622,Programme!H6622,Programme!I6622,Programme!J6622)</f>
        <v>&lt;codeEdi&gt;1725&lt;/codeEdi&gt;</v>
      </c>
    </row>
    <row r="6622" spans="1:1" x14ac:dyDescent="0.2">
      <c r="A6622" s="996" t="str">
        <f>CONCATENATE(Programme!D6623,Programme!E6623,Programme!F6623,Programme!G6623,Programme!H6623,Programme!I6623,Programme!J6623)</f>
        <v>&lt;/cellule&gt;</v>
      </c>
    </row>
    <row r="6623" spans="1:1" x14ac:dyDescent="0.2">
      <c r="A6623" s="996" t="str">
        <f>CONCATENATE(Programme!D6624,Programme!E6624,Programme!F6624,Programme!G6624,Programme!H6624,Programme!I6624,Programme!J6624)</f>
        <v>&lt;valeur&gt;0&lt;/valeur&gt;</v>
      </c>
    </row>
    <row r="6624" spans="1:1" x14ac:dyDescent="0.2">
      <c r="A6624" s="996" t="str">
        <f>CONCATENATE(Programme!D6625,Programme!E6625,Programme!F6625,Programme!G6625,Programme!H6625,Programme!I6625,Programme!J6625)</f>
        <v>&lt;/ValeurCellule&gt;</v>
      </c>
    </row>
    <row r="6625" spans="1:1" x14ac:dyDescent="0.2">
      <c r="A6625" s="996" t="str">
        <f>CONCATENATE(Programme!D6626,Programme!E6626,Programme!F6626,Programme!G6626,Programme!H6626,Programme!I6626,Programme!J6626)</f>
        <v>&lt;ValeurCellule&gt;</v>
      </c>
    </row>
    <row r="6626" spans="1:1" x14ac:dyDescent="0.2">
      <c r="A6626" s="996" t="str">
        <f>CONCATENATE(Programme!D6627,Programme!E6627,Programme!F6627,Programme!G6627,Programme!H6627,Programme!I6627,Programme!J6627)</f>
        <v>&lt;cellule&gt;</v>
      </c>
    </row>
    <row r="6627" spans="1:1" x14ac:dyDescent="0.2">
      <c r="A6627" s="996" t="str">
        <f>CONCATENATE(Programme!D6628,Programme!E6628,Programme!F6628,Programme!G6628,Programme!H6628,Programme!I6628,Programme!J6628)</f>
        <v>&lt;codeEdi&gt;1726&lt;/codeEdi&gt;</v>
      </c>
    </row>
    <row r="6628" spans="1:1" x14ac:dyDescent="0.2">
      <c r="A6628" s="996" t="str">
        <f>CONCATENATE(Programme!D6629,Programme!E6629,Programme!F6629,Programme!G6629,Programme!H6629,Programme!I6629,Programme!J6629)</f>
        <v>&lt;/cellule&gt;</v>
      </c>
    </row>
    <row r="6629" spans="1:1" x14ac:dyDescent="0.2">
      <c r="A6629" s="996" t="str">
        <f>CONCATENATE(Programme!D6630,Programme!E6630,Programme!F6630,Programme!G6630,Programme!H6630,Programme!I6630,Programme!J6630)</f>
        <v>&lt;valeur&gt;0&lt;/valeur&gt;</v>
      </c>
    </row>
    <row r="6630" spans="1:1" x14ac:dyDescent="0.2">
      <c r="A6630" s="996" t="str">
        <f>CONCATENATE(Programme!D6631,Programme!E6631,Programme!F6631,Programme!G6631,Programme!H6631,Programme!I6631,Programme!J6631)</f>
        <v>&lt;/ValeurCellule&gt;</v>
      </c>
    </row>
    <row r="6631" spans="1:1" x14ac:dyDescent="0.2">
      <c r="A6631" s="996" t="str">
        <f>CONCATENATE(Programme!D6632,Programme!E6632,Programme!F6632,Programme!G6632,Programme!H6632,Programme!I6632,Programme!J6632)</f>
        <v>&lt;ValeurCellule&gt;</v>
      </c>
    </row>
    <row r="6632" spans="1:1" x14ac:dyDescent="0.2">
      <c r="A6632" s="996" t="str">
        <f>CONCATENATE(Programme!D6633,Programme!E6633,Programme!F6633,Programme!G6633,Programme!H6633,Programme!I6633,Programme!J6633)</f>
        <v>&lt;cellule&gt;</v>
      </c>
    </row>
    <row r="6633" spans="1:1" x14ac:dyDescent="0.2">
      <c r="A6633" s="996" t="str">
        <f>CONCATENATE(Programme!D6634,Programme!E6634,Programme!F6634,Programme!G6634,Programme!H6634,Programme!I6634,Programme!J6634)</f>
        <v>&lt;codeEdi&gt;1727&lt;/codeEdi&gt;</v>
      </c>
    </row>
    <row r="6634" spans="1:1" x14ac:dyDescent="0.2">
      <c r="A6634" s="996" t="str">
        <f>CONCATENATE(Programme!D6635,Programme!E6635,Programme!F6635,Programme!G6635,Programme!H6635,Programme!I6635,Programme!J6635)</f>
        <v>&lt;/cellule&gt;</v>
      </c>
    </row>
    <row r="6635" spans="1:1" x14ac:dyDescent="0.2">
      <c r="A6635" s="996" t="str">
        <f>CONCATENATE(Programme!D6636,Programme!E6636,Programme!F6636,Programme!G6636,Programme!H6636,Programme!I6636,Programme!J6636)</f>
        <v>&lt;valeur&gt;0&lt;/valeur&gt;</v>
      </c>
    </row>
    <row r="6636" spans="1:1" x14ac:dyDescent="0.2">
      <c r="A6636" s="996" t="str">
        <f>CONCATENATE(Programme!D6637,Programme!E6637,Programme!F6637,Programme!G6637,Programme!H6637,Programme!I6637,Programme!J6637)</f>
        <v>&lt;/ValeurCellule&gt;</v>
      </c>
    </row>
    <row r="6637" spans="1:1" x14ac:dyDescent="0.2">
      <c r="A6637" s="996" t="str">
        <f>CONCATENATE(Programme!D6638,Programme!E6638,Programme!F6638,Programme!G6638,Programme!H6638,Programme!I6638,Programme!J6638)</f>
        <v>&lt;ValeurCellule&gt;</v>
      </c>
    </row>
    <row r="6638" spans="1:1" x14ac:dyDescent="0.2">
      <c r="A6638" s="996" t="str">
        <f>CONCATENATE(Programme!D6639,Programme!E6639,Programme!F6639,Programme!G6639,Programme!H6639,Programme!I6639,Programme!J6639)</f>
        <v>&lt;cellule&gt;</v>
      </c>
    </row>
    <row r="6639" spans="1:1" x14ac:dyDescent="0.2">
      <c r="A6639" s="996" t="str">
        <f>CONCATENATE(Programme!D6640,Programme!E6640,Programme!F6640,Programme!G6640,Programme!H6640,Programme!I6640,Programme!J6640)</f>
        <v>&lt;codeEdi&gt;1728&lt;/codeEdi&gt;</v>
      </c>
    </row>
    <row r="6640" spans="1:1" x14ac:dyDescent="0.2">
      <c r="A6640" s="996" t="str">
        <f>CONCATENATE(Programme!D6641,Programme!E6641,Programme!F6641,Programme!G6641,Programme!H6641,Programme!I6641,Programme!J6641)</f>
        <v>&lt;/cellule&gt;</v>
      </c>
    </row>
    <row r="6641" spans="1:1" x14ac:dyDescent="0.2">
      <c r="A6641" s="996" t="str">
        <f>CONCATENATE(Programme!D6642,Programme!E6642,Programme!F6642,Programme!G6642,Programme!H6642,Programme!I6642,Programme!J6642)</f>
        <v>&lt;valeur&gt;0&lt;/valeur&gt;</v>
      </c>
    </row>
    <row r="6642" spans="1:1" x14ac:dyDescent="0.2">
      <c r="A6642" s="996" t="str">
        <f>CONCATENATE(Programme!D6643,Programme!E6643,Programme!F6643,Programme!G6643,Programme!H6643,Programme!I6643,Programme!J6643)</f>
        <v>&lt;/ValeurCellule&gt;</v>
      </c>
    </row>
    <row r="6643" spans="1:1" x14ac:dyDescent="0.2">
      <c r="A6643" s="996" t="str">
        <f>CONCATENATE(Programme!D6644,Programme!E6644,Programme!F6644,Programme!G6644,Programme!H6644,Programme!I6644,Programme!J6644)</f>
        <v>&lt;ValeurCellule&gt;</v>
      </c>
    </row>
    <row r="6644" spans="1:1" x14ac:dyDescent="0.2">
      <c r="A6644" s="996" t="str">
        <f>CONCATENATE(Programme!D6645,Programme!E6645,Programme!F6645,Programme!G6645,Programme!H6645,Programme!I6645,Programme!J6645)</f>
        <v>&lt;cellule&gt;</v>
      </c>
    </row>
    <row r="6645" spans="1:1" x14ac:dyDescent="0.2">
      <c r="A6645" s="996" t="str">
        <f>CONCATENATE(Programme!D6646,Programme!E6646,Programme!F6646,Programme!G6646,Programme!H6646,Programme!I6646,Programme!J6646)</f>
        <v>&lt;codeEdi&gt;1729&lt;/codeEdi&gt;</v>
      </c>
    </row>
    <row r="6646" spans="1:1" x14ac:dyDescent="0.2">
      <c r="A6646" s="996" t="str">
        <f>CONCATENATE(Programme!D6647,Programme!E6647,Programme!F6647,Programme!G6647,Programme!H6647,Programme!I6647,Programme!J6647)</f>
        <v>&lt;/cellule&gt;</v>
      </c>
    </row>
    <row r="6647" spans="1:1" x14ac:dyDescent="0.2">
      <c r="A6647" s="996" t="str">
        <f>CONCATENATE(Programme!D6648,Programme!E6648,Programme!F6648,Programme!G6648,Programme!H6648,Programme!I6648,Programme!J6648)</f>
        <v>&lt;valeur&gt;0&lt;/valeur&gt;</v>
      </c>
    </row>
    <row r="6648" spans="1:1" x14ac:dyDescent="0.2">
      <c r="A6648" s="996" t="str">
        <f>CONCATENATE(Programme!D6649,Programme!E6649,Programme!F6649,Programme!G6649,Programme!H6649,Programme!I6649,Programme!J6649)</f>
        <v>&lt;/ValeurCellule&gt;</v>
      </c>
    </row>
    <row r="6649" spans="1:1" x14ac:dyDescent="0.2">
      <c r="A6649" s="996" t="str">
        <f>CONCATENATE(Programme!D6650,Programme!E6650,Programme!F6650,Programme!G6650,Programme!H6650,Programme!I6650,Programme!J6650)</f>
        <v>&lt;ValeurCellule&gt;</v>
      </c>
    </row>
    <row r="6650" spans="1:1" x14ac:dyDescent="0.2">
      <c r="A6650" s="996" t="str">
        <f>CONCATENATE(Programme!D6651,Programme!E6651,Programme!F6651,Programme!G6651,Programme!H6651,Programme!I6651,Programme!J6651)</f>
        <v>&lt;cellule&gt;</v>
      </c>
    </row>
    <row r="6651" spans="1:1" x14ac:dyDescent="0.2">
      <c r="A6651" s="996" t="str">
        <f>CONCATENATE(Programme!D6652,Programme!E6652,Programme!F6652,Programme!G6652,Programme!H6652,Programme!I6652,Programme!J6652)</f>
        <v>&lt;codeEdi&gt;1730&lt;/codeEdi&gt;</v>
      </c>
    </row>
    <row r="6652" spans="1:1" x14ac:dyDescent="0.2">
      <c r="A6652" s="996" t="str">
        <f>CONCATENATE(Programme!D6653,Programme!E6653,Programme!F6653,Programme!G6653,Programme!H6653,Programme!I6653,Programme!J6653)</f>
        <v>&lt;/cellule&gt;</v>
      </c>
    </row>
    <row r="6653" spans="1:1" x14ac:dyDescent="0.2">
      <c r="A6653" s="996" t="str">
        <f>CONCATENATE(Programme!D6654,Programme!E6654,Programme!F6654,Programme!G6654,Programme!H6654,Programme!I6654,Programme!J6654)</f>
        <v>&lt;valeur&gt;0&lt;/valeur&gt;</v>
      </c>
    </row>
    <row r="6654" spans="1:1" x14ac:dyDescent="0.2">
      <c r="A6654" s="996" t="str">
        <f>CONCATENATE(Programme!D6655,Programme!E6655,Programme!F6655,Programme!G6655,Programme!H6655,Programme!I6655,Programme!J6655)</f>
        <v>&lt;/ValeurCellule&gt;</v>
      </c>
    </row>
    <row r="6655" spans="1:1" x14ac:dyDescent="0.2">
      <c r="A6655" s="996" t="str">
        <f>CONCATENATE(Programme!D6656,Programme!E6656,Programme!F6656,Programme!G6656,Programme!H6656,Programme!I6656,Programme!J6656)</f>
        <v>&lt;ValeurCellule&gt;</v>
      </c>
    </row>
    <row r="6656" spans="1:1" x14ac:dyDescent="0.2">
      <c r="A6656" s="996" t="str">
        <f>CONCATENATE(Programme!D6657,Programme!E6657,Programme!F6657,Programme!G6657,Programme!H6657,Programme!I6657,Programme!J6657)</f>
        <v>&lt;cellule&gt;</v>
      </c>
    </row>
    <row r="6657" spans="1:1" x14ac:dyDescent="0.2">
      <c r="A6657" s="996" t="str">
        <f>CONCATENATE(Programme!D6658,Programme!E6658,Programme!F6658,Programme!G6658,Programme!H6658,Programme!I6658,Programme!J6658)</f>
        <v>&lt;codeEdi&gt;1731&lt;/codeEdi&gt;</v>
      </c>
    </row>
    <row r="6658" spans="1:1" x14ac:dyDescent="0.2">
      <c r="A6658" s="996" t="str">
        <f>CONCATENATE(Programme!D6659,Programme!E6659,Programme!F6659,Programme!G6659,Programme!H6659,Programme!I6659,Programme!J6659)</f>
        <v>&lt;/cellule&gt;</v>
      </c>
    </row>
    <row r="6659" spans="1:1" x14ac:dyDescent="0.2">
      <c r="A6659" s="996" t="str">
        <f>CONCATENATE(Programme!D6660,Programme!E6660,Programme!F6660,Programme!G6660,Programme!H6660,Programme!I6660,Programme!J6660)</f>
        <v>&lt;valeur&gt;0&lt;/valeur&gt;</v>
      </c>
    </row>
    <row r="6660" spans="1:1" x14ac:dyDescent="0.2">
      <c r="A6660" s="996" t="str">
        <f>CONCATENATE(Programme!D6661,Programme!E6661,Programme!F6661,Programme!G6661,Programme!H6661,Programme!I6661,Programme!J6661)</f>
        <v>&lt;/ValeurCellule&gt;</v>
      </c>
    </row>
    <row r="6661" spans="1:1" x14ac:dyDescent="0.2">
      <c r="A6661" s="996" t="str">
        <f>CONCATENATE(Programme!D6662,Programme!E6662,Programme!F6662,Programme!G6662,Programme!H6662,Programme!I6662,Programme!J6662)</f>
        <v>&lt;/groupeValeurs&gt;</v>
      </c>
    </row>
    <row r="6662" spans="1:1" x14ac:dyDescent="0.2">
      <c r="A6662" s="996" t="str">
        <f>CONCATENATE(Programme!D6663,Programme!E6663,Programme!F6663,Programme!G6663,Programme!H6663,Programme!I6663,Programme!J6663)</f>
        <v>&lt;extraFieldvaleurs&gt;</v>
      </c>
    </row>
    <row r="6663" spans="1:1" x14ac:dyDescent="0.2">
      <c r="A6663" s="996" t="str">
        <f>CONCATENATE(Programme!D6664,Programme!E6664,Programme!F6664,Programme!G6664,Programme!H6664,Programme!I6664,Programme!J6664)</f>
        <v>&lt;/extraFieldvaleurs&gt;</v>
      </c>
    </row>
    <row r="6664" spans="1:1" x14ac:dyDescent="0.2">
      <c r="A6664" s="996" t="str">
        <f>CONCATENATE(Programme!D6665,Programme!E6665,Programme!F6665,Programme!G6665,Programme!H6665,Programme!I6665,Programme!J6665)</f>
        <v>&lt;/ValeursTableau&gt;</v>
      </c>
    </row>
    <row r="6665" spans="1:1" x14ac:dyDescent="0.2">
      <c r="A6665" s="996" t="str">
        <f>CONCATENATE(Programme!D6666,Programme!E6666,Programme!F6666,Programme!G6666,Programme!H6666,Programme!I6666,Programme!J6666)</f>
        <v>&lt;ValeursTableau&gt;</v>
      </c>
    </row>
    <row r="6666" spans="1:1" x14ac:dyDescent="0.2">
      <c r="A6666" s="996" t="str">
        <f>CONCATENATE(Programme!D6667,Programme!E6667,Programme!F6667,Programme!G6667,Programme!H6667,Programme!I6667,Programme!J6667)</f>
        <v>&lt;tableau&gt;&lt;id&gt;37&lt;/id&gt;&lt;/tableau&gt;</v>
      </c>
    </row>
    <row r="6667" spans="1:1" x14ac:dyDescent="0.2">
      <c r="A6667" s="996" t="str">
        <f>CONCATENATE(Programme!D6668,Programme!E6668,Programme!F6668,Programme!G6668,Programme!H6668,Programme!I6668,Programme!J6668)</f>
        <v>&lt;groupeValeurs&gt;</v>
      </c>
    </row>
    <row r="6668" spans="1:1" x14ac:dyDescent="0.2">
      <c r="A6668" s="996" t="str">
        <f>CONCATENATE(Programme!D6669,Programme!E6669,Programme!F6669,Programme!G6669,Programme!H6669,Programme!I6669,Programme!J6669)</f>
        <v>&lt;ValeurCellule&gt;</v>
      </c>
    </row>
    <row r="6669" spans="1:1" x14ac:dyDescent="0.2">
      <c r="A6669" s="996" t="str">
        <f>CONCATENATE(Programme!D6670,Programme!E6670,Programme!F6670,Programme!G6670,Programme!H6670,Programme!I6670,Programme!J6670)</f>
        <v>&lt;cellule&gt;</v>
      </c>
    </row>
    <row r="6670" spans="1:1" x14ac:dyDescent="0.2">
      <c r="A6670" s="996" t="str">
        <f>CONCATENATE(Programme!D6671,Programme!E6671,Programme!F6671,Programme!G6671,Programme!H6671,Programme!I6671,Programme!J6671)</f>
        <v>&lt;codeEdi&gt;1748&lt;/codeEdi&gt;</v>
      </c>
    </row>
    <row r="6671" spans="1:1" x14ac:dyDescent="0.2">
      <c r="A6671" s="996" t="str">
        <f>CONCATENATE(Programme!D6672,Programme!E6672,Programme!F6672,Programme!G6672,Programme!H6672,Programme!I6672,Programme!J6672)</f>
        <v>&lt;/cellule&gt;</v>
      </c>
    </row>
    <row r="6672" spans="1:1" x14ac:dyDescent="0.2">
      <c r="A6672" s="996" t="str">
        <f>CONCATENATE(Programme!D6673,Programme!E6673,Programme!F6673,Programme!G6673,Programme!H6673,Programme!I6673,Programme!J6673)</f>
        <v>&lt;valeur&gt;0&lt;/valeur&gt;</v>
      </c>
    </row>
    <row r="6673" spans="1:1" x14ac:dyDescent="0.2">
      <c r="A6673" s="996" t="str">
        <f>CONCATENATE(Programme!D6674,Programme!E6674,Programme!F6674,Programme!G6674,Programme!H6674,Programme!I6674,Programme!J6674)</f>
        <v>&lt;/ValeurCellule&gt;</v>
      </c>
    </row>
    <row r="6674" spans="1:1" x14ac:dyDescent="0.2">
      <c r="A6674" s="996" t="str">
        <f>CONCATENATE(Programme!D6675,Programme!E6675,Programme!F6675,Programme!G6675,Programme!H6675,Programme!I6675,Programme!J6675)</f>
        <v>&lt;ValeurCellule&gt;</v>
      </c>
    </row>
    <row r="6675" spans="1:1" x14ac:dyDescent="0.2">
      <c r="A6675" s="996" t="str">
        <f>CONCATENATE(Programme!D6676,Programme!E6676,Programme!F6676,Programme!G6676,Programme!H6676,Programme!I6676,Programme!J6676)</f>
        <v>&lt;cellule&gt;</v>
      </c>
    </row>
    <row r="6676" spans="1:1" x14ac:dyDescent="0.2">
      <c r="A6676" s="996" t="str">
        <f>CONCATENATE(Programme!D6677,Programme!E6677,Programme!F6677,Programme!G6677,Programme!H6677,Programme!I6677,Programme!J6677)</f>
        <v>&lt;codeEdi&gt;1784&lt;/codeEdi&gt;</v>
      </c>
    </row>
    <row r="6677" spans="1:1" x14ac:dyDescent="0.2">
      <c r="A6677" s="996" t="str">
        <f>CONCATENATE(Programme!D6678,Programme!E6678,Programme!F6678,Programme!G6678,Programme!H6678,Programme!I6678,Programme!J6678)</f>
        <v>&lt;/cellule&gt;</v>
      </c>
    </row>
    <row r="6678" spans="1:1" x14ac:dyDescent="0.2">
      <c r="A6678" s="996" t="str">
        <f>CONCATENATE(Programme!D6679,Programme!E6679,Programme!F6679,Programme!G6679,Programme!H6679,Programme!I6679,Programme!J6679)</f>
        <v>&lt;valeur&gt;0&lt;/valeur&gt;</v>
      </c>
    </row>
    <row r="6679" spans="1:1" x14ac:dyDescent="0.2">
      <c r="A6679" s="996" t="str">
        <f>CONCATENATE(Programme!D6680,Programme!E6680,Programme!F6680,Programme!G6680,Programme!H6680,Programme!I6680,Programme!J6680)</f>
        <v>&lt;/ValeurCellule&gt;</v>
      </c>
    </row>
    <row r="6680" spans="1:1" x14ac:dyDescent="0.2">
      <c r="A6680" s="996" t="str">
        <f>CONCATENATE(Programme!D6681,Programme!E6681,Programme!F6681,Programme!G6681,Programme!H6681,Programme!I6681,Programme!J6681)</f>
        <v>&lt;ValeurCellule&gt;</v>
      </c>
    </row>
    <row r="6681" spans="1:1" x14ac:dyDescent="0.2">
      <c r="A6681" s="996" t="str">
        <f>CONCATENATE(Programme!D6682,Programme!E6682,Programme!F6682,Programme!G6682,Programme!H6682,Programme!I6682,Programme!J6682)</f>
        <v>&lt;cellule&gt;</v>
      </c>
    </row>
    <row r="6682" spans="1:1" x14ac:dyDescent="0.2">
      <c r="A6682" s="996" t="str">
        <f>CONCATENATE(Programme!D6683,Programme!E6683,Programme!F6683,Programme!G6683,Programme!H6683,Programme!I6683,Programme!J6683)</f>
        <v>&lt;codeEdi&gt;1827&lt;/codeEdi&gt;</v>
      </c>
    </row>
    <row r="6683" spans="1:1" x14ac:dyDescent="0.2">
      <c r="A6683" s="996" t="str">
        <f>CONCATENATE(Programme!D6684,Programme!E6684,Programme!F6684,Programme!G6684,Programme!H6684,Programme!I6684,Programme!J6684)</f>
        <v>&lt;/cellule&gt;</v>
      </c>
    </row>
    <row r="6684" spans="1:1" x14ac:dyDescent="0.2">
      <c r="A6684" s="996" t="str">
        <f>CONCATENATE(Programme!D6685,Programme!E6685,Programme!F6685,Programme!G6685,Programme!H6685,Programme!I6685,Programme!J6685)</f>
        <v>&lt;valeur&gt;0&lt;/valeur&gt;</v>
      </c>
    </row>
    <row r="6685" spans="1:1" x14ac:dyDescent="0.2">
      <c r="A6685" s="996" t="str">
        <f>CONCATENATE(Programme!D6686,Programme!E6686,Programme!F6686,Programme!G6686,Programme!H6686,Programme!I6686,Programme!J6686)</f>
        <v>&lt;/ValeurCellule&gt;</v>
      </c>
    </row>
    <row r="6686" spans="1:1" x14ac:dyDescent="0.2">
      <c r="A6686" s="996" t="str">
        <f>CONCATENATE(Programme!D6687,Programme!E6687,Programme!F6687,Programme!G6687,Programme!H6687,Programme!I6687,Programme!J6687)</f>
        <v>&lt;ValeurCellule&gt;</v>
      </c>
    </row>
    <row r="6687" spans="1:1" x14ac:dyDescent="0.2">
      <c r="A6687" s="996" t="str">
        <f>CONCATENATE(Programme!D6688,Programme!E6688,Programme!F6688,Programme!G6688,Programme!H6688,Programme!I6688,Programme!J6688)</f>
        <v>&lt;cellule&gt;</v>
      </c>
    </row>
    <row r="6688" spans="1:1" x14ac:dyDescent="0.2">
      <c r="A6688" s="996" t="str">
        <f>CONCATENATE(Programme!D6689,Programme!E6689,Programme!F6689,Programme!G6689,Programme!H6689,Programme!I6689,Programme!J6689)</f>
        <v>&lt;codeEdi&gt;1844&lt;/codeEdi&gt;</v>
      </c>
    </row>
    <row r="6689" spans="1:1" x14ac:dyDescent="0.2">
      <c r="A6689" s="996" t="str">
        <f>CONCATENATE(Programme!D6690,Programme!E6690,Programme!F6690,Programme!G6690,Programme!H6690,Programme!I6690,Programme!J6690)</f>
        <v>&lt;/cellule&gt;</v>
      </c>
    </row>
    <row r="6690" spans="1:1" x14ac:dyDescent="0.2">
      <c r="A6690" s="996" t="str">
        <f>CONCATENATE(Programme!D6691,Programme!E6691,Programme!F6691,Programme!G6691,Programme!H6691,Programme!I6691,Programme!J6691)</f>
        <v>&lt;valeur&gt;0&lt;/valeur&gt;</v>
      </c>
    </row>
    <row r="6691" spans="1:1" x14ac:dyDescent="0.2">
      <c r="A6691" s="996" t="str">
        <f>CONCATENATE(Programme!D6692,Programme!E6692,Programme!F6692,Programme!G6692,Programme!H6692,Programme!I6692,Programme!J6692)</f>
        <v>&lt;/ValeurCellule&gt;</v>
      </c>
    </row>
    <row r="6692" spans="1:1" x14ac:dyDescent="0.2">
      <c r="A6692" s="996" t="str">
        <f>CONCATENATE(Programme!D6693,Programme!E6693,Programme!F6693,Programme!G6693,Programme!H6693,Programme!I6693,Programme!J6693)</f>
        <v>&lt;ValeurCellule&gt;</v>
      </c>
    </row>
    <row r="6693" spans="1:1" x14ac:dyDescent="0.2">
      <c r="A6693" s="996" t="str">
        <f>CONCATENATE(Programme!D6694,Programme!E6694,Programme!F6694,Programme!G6694,Programme!H6694,Programme!I6694,Programme!J6694)</f>
        <v>&lt;cellule&gt;</v>
      </c>
    </row>
    <row r="6694" spans="1:1" x14ac:dyDescent="0.2">
      <c r="A6694" s="996" t="str">
        <f>CONCATENATE(Programme!D6695,Programme!E6695,Programme!F6695,Programme!G6695,Programme!H6695,Programme!I6695,Programme!J6695)</f>
        <v>&lt;codeEdi&gt;1877&lt;/codeEdi&gt;</v>
      </c>
    </row>
    <row r="6695" spans="1:1" x14ac:dyDescent="0.2">
      <c r="A6695" s="996" t="str">
        <f>CONCATENATE(Programme!D6696,Programme!E6696,Programme!F6696,Programme!G6696,Programme!H6696,Programme!I6696,Programme!J6696)</f>
        <v>&lt;/cellule&gt;</v>
      </c>
    </row>
    <row r="6696" spans="1:1" x14ac:dyDescent="0.2">
      <c r="A6696" s="996" t="str">
        <f>CONCATENATE(Programme!D6697,Programme!E6697,Programme!F6697,Programme!G6697,Programme!H6697,Programme!I6697,Programme!J6697)</f>
        <v>&lt;valeur&gt;0&lt;/valeur&gt;</v>
      </c>
    </row>
    <row r="6697" spans="1:1" x14ac:dyDescent="0.2">
      <c r="A6697" s="996" t="str">
        <f>CONCATENATE(Programme!D6698,Programme!E6698,Programme!F6698,Programme!G6698,Programme!H6698,Programme!I6698,Programme!J6698)</f>
        <v>&lt;/ValeurCellule&gt;</v>
      </c>
    </row>
    <row r="6698" spans="1:1" x14ac:dyDescent="0.2">
      <c r="A6698" s="996" t="str">
        <f>CONCATENATE(Programme!D6699,Programme!E6699,Programme!F6699,Programme!G6699,Programme!H6699,Programme!I6699,Programme!J6699)</f>
        <v>&lt;ValeurCellule&gt;</v>
      </c>
    </row>
    <row r="6699" spans="1:1" x14ac:dyDescent="0.2">
      <c r="A6699" s="996" t="str">
        <f>CONCATENATE(Programme!D6700,Programme!E6700,Programme!F6700,Programme!G6700,Programme!H6700,Programme!I6700,Programme!J6700)</f>
        <v>&lt;cellule&gt;</v>
      </c>
    </row>
    <row r="6700" spans="1:1" x14ac:dyDescent="0.2">
      <c r="A6700" s="996" t="str">
        <f>CONCATENATE(Programme!D6701,Programme!E6701,Programme!F6701,Programme!G6701,Programme!H6701,Programme!I6701,Programme!J6701)</f>
        <v>&lt;codeEdi&gt;1894&lt;/codeEdi&gt;</v>
      </c>
    </row>
    <row r="6701" spans="1:1" x14ac:dyDescent="0.2">
      <c r="A6701" s="996" t="str">
        <f>CONCATENATE(Programme!D6702,Programme!E6702,Programme!F6702,Programme!G6702,Programme!H6702,Programme!I6702,Programme!J6702)</f>
        <v>&lt;/cellule&gt;</v>
      </c>
    </row>
    <row r="6702" spans="1:1" x14ac:dyDescent="0.2">
      <c r="A6702" s="996" t="str">
        <f>CONCATENATE(Programme!D6703,Programme!E6703,Programme!F6703,Programme!G6703,Programme!H6703,Programme!I6703,Programme!J6703)</f>
        <v>&lt;valeur&gt;0&lt;/valeur&gt;</v>
      </c>
    </row>
    <row r="6703" spans="1:1" x14ac:dyDescent="0.2">
      <c r="A6703" s="996" t="str">
        <f>CONCATENATE(Programme!D6704,Programme!E6704,Programme!F6704,Programme!G6704,Programme!H6704,Programme!I6704,Programme!J6704)</f>
        <v>&lt;/ValeurCellule&gt;</v>
      </c>
    </row>
    <row r="6704" spans="1:1" x14ac:dyDescent="0.2">
      <c r="A6704" s="996" t="str">
        <f>CONCATENATE(Programme!D6705,Programme!E6705,Programme!F6705,Programme!G6705,Programme!H6705,Programme!I6705,Programme!J6705)</f>
        <v>&lt;ValeurCellule&gt;</v>
      </c>
    </row>
    <row r="6705" spans="1:1" x14ac:dyDescent="0.2">
      <c r="A6705" s="996" t="str">
        <f>CONCATENATE(Programme!D6706,Programme!E6706,Programme!F6706,Programme!G6706,Programme!H6706,Programme!I6706,Programme!J6706)</f>
        <v>&lt;cellule&gt;</v>
      </c>
    </row>
    <row r="6706" spans="1:1" x14ac:dyDescent="0.2">
      <c r="A6706" s="996" t="str">
        <f>CONCATENATE(Programme!D6707,Programme!E6707,Programme!F6707,Programme!G6707,Programme!H6707,Programme!I6707,Programme!J6707)</f>
        <v>&lt;codeEdi&gt;1903&lt;/codeEdi&gt;</v>
      </c>
    </row>
    <row r="6707" spans="1:1" x14ac:dyDescent="0.2">
      <c r="A6707" s="996" t="str">
        <f>CONCATENATE(Programme!D6708,Programme!E6708,Programme!F6708,Programme!G6708,Programme!H6708,Programme!I6708,Programme!J6708)</f>
        <v>&lt;/cellule&gt;</v>
      </c>
    </row>
    <row r="6708" spans="1:1" x14ac:dyDescent="0.2">
      <c r="A6708" s="996" t="str">
        <f>CONCATENATE(Programme!D6709,Programme!E6709,Programme!F6709,Programme!G6709,Programme!H6709,Programme!I6709,Programme!J6709)</f>
        <v>&lt;valeur&gt;0&lt;/valeur&gt;</v>
      </c>
    </row>
    <row r="6709" spans="1:1" x14ac:dyDescent="0.2">
      <c r="A6709" s="996" t="str">
        <f>CONCATENATE(Programme!D6710,Programme!E6710,Programme!F6710,Programme!G6710,Programme!H6710,Programme!I6710,Programme!J6710)</f>
        <v>&lt;/ValeurCellule&gt;</v>
      </c>
    </row>
    <row r="6710" spans="1:1" x14ac:dyDescent="0.2">
      <c r="A6710" s="996" t="str">
        <f>CONCATENATE(Programme!D6711,Programme!E6711,Programme!F6711,Programme!G6711,Programme!H6711,Programme!I6711,Programme!J6711)</f>
        <v>&lt;ValeurCellule&gt;</v>
      </c>
    </row>
    <row r="6711" spans="1:1" x14ac:dyDescent="0.2">
      <c r="A6711" s="996" t="str">
        <f>CONCATENATE(Programme!D6712,Programme!E6712,Programme!F6712,Programme!G6712,Programme!H6712,Programme!I6712,Programme!J6712)</f>
        <v>&lt;cellule&gt;</v>
      </c>
    </row>
    <row r="6712" spans="1:1" x14ac:dyDescent="0.2">
      <c r="A6712" s="996" t="str">
        <f>CONCATENATE(Programme!D6713,Programme!E6713,Programme!F6713,Programme!G6713,Programme!H6713,Programme!I6713,Programme!J6713)</f>
        <v>&lt;codeEdi&gt;1921&lt;/codeEdi&gt;</v>
      </c>
    </row>
    <row r="6713" spans="1:1" x14ac:dyDescent="0.2">
      <c r="A6713" s="996" t="str">
        <f>CONCATENATE(Programme!D6714,Programme!E6714,Programme!F6714,Programme!G6714,Programme!H6714,Programme!I6714,Programme!J6714)</f>
        <v>&lt;/cellule&gt;</v>
      </c>
    </row>
    <row r="6714" spans="1:1" x14ac:dyDescent="0.2">
      <c r="A6714" s="996" t="str">
        <f>CONCATENATE(Programme!D6715,Programme!E6715,Programme!F6715,Programme!G6715,Programme!H6715,Programme!I6715,Programme!J6715)</f>
        <v>&lt;valeur&gt;0&lt;/valeur&gt;</v>
      </c>
    </row>
    <row r="6715" spans="1:1" x14ac:dyDescent="0.2">
      <c r="A6715" s="996" t="str">
        <f>CONCATENATE(Programme!D6716,Programme!E6716,Programme!F6716,Programme!G6716,Programme!H6716,Programme!I6716,Programme!J6716)</f>
        <v>&lt;/ValeurCellule&gt;</v>
      </c>
    </row>
    <row r="6716" spans="1:1" x14ac:dyDescent="0.2">
      <c r="A6716" s="996" t="str">
        <f>CONCATENATE(Programme!D6717,Programme!E6717,Programme!F6717,Programme!G6717,Programme!H6717,Programme!I6717,Programme!J6717)</f>
        <v>&lt;ValeurCellule&gt;</v>
      </c>
    </row>
    <row r="6717" spans="1:1" x14ac:dyDescent="0.2">
      <c r="A6717" s="996" t="str">
        <f>CONCATENATE(Programme!D6718,Programme!E6718,Programme!F6718,Programme!G6718,Programme!H6718,Programme!I6718,Programme!J6718)</f>
        <v>&lt;cellule&gt;</v>
      </c>
    </row>
    <row r="6718" spans="1:1" x14ac:dyDescent="0.2">
      <c r="A6718" s="996" t="str">
        <f>CONCATENATE(Programme!D6719,Programme!E6719,Programme!F6719,Programme!G6719,Programme!H6719,Programme!I6719,Programme!J6719)</f>
        <v>&lt;codeEdi&gt;1912&lt;/codeEdi&gt;</v>
      </c>
    </row>
    <row r="6719" spans="1:1" x14ac:dyDescent="0.2">
      <c r="A6719" s="996" t="str">
        <f>CONCATENATE(Programme!D6720,Programme!E6720,Programme!F6720,Programme!G6720,Programme!H6720,Programme!I6720,Programme!J6720)</f>
        <v>&lt;/cellule&gt;</v>
      </c>
    </row>
    <row r="6720" spans="1:1" x14ac:dyDescent="0.2">
      <c r="A6720" s="996" t="str">
        <f>CONCATENATE(Programme!D6721,Programme!E6721,Programme!F6721,Programme!G6721,Programme!H6721,Programme!I6721,Programme!J6721)</f>
        <v>&lt;valeur&gt;0&lt;/valeur&gt;</v>
      </c>
    </row>
    <row r="6721" spans="1:1" x14ac:dyDescent="0.2">
      <c r="A6721" s="996" t="str">
        <f>CONCATENATE(Programme!D6722,Programme!E6722,Programme!F6722,Programme!G6722,Programme!H6722,Programme!I6722,Programme!J6722)</f>
        <v>&lt;/ValeurCellule&gt;</v>
      </c>
    </row>
    <row r="6722" spans="1:1" x14ac:dyDescent="0.2">
      <c r="A6722" s="996" t="str">
        <f>CONCATENATE(Programme!D6723,Programme!E6723,Programme!F6723,Programme!G6723,Programme!H6723,Programme!I6723,Programme!J6723)</f>
        <v>&lt;ValeurCellule&gt;</v>
      </c>
    </row>
    <row r="6723" spans="1:1" x14ac:dyDescent="0.2">
      <c r="A6723" s="996" t="str">
        <f>CONCATENATE(Programme!D6724,Programme!E6724,Programme!F6724,Programme!G6724,Programme!H6724,Programme!I6724,Programme!J6724)</f>
        <v>&lt;cellule&gt;</v>
      </c>
    </row>
    <row r="6724" spans="1:1" x14ac:dyDescent="0.2">
      <c r="A6724" s="996" t="str">
        <f>CONCATENATE(Programme!D6725,Programme!E6725,Programme!F6725,Programme!G6725,Programme!H6725,Programme!I6725,Programme!J6725)</f>
        <v>&lt;codeEdi&gt;1749&lt;/codeEdi&gt;</v>
      </c>
    </row>
    <row r="6725" spans="1:1" x14ac:dyDescent="0.2">
      <c r="A6725" s="996" t="str">
        <f>CONCATENATE(Programme!D6726,Programme!E6726,Programme!F6726,Programme!G6726,Programme!H6726,Programme!I6726,Programme!J6726)</f>
        <v>&lt;/cellule&gt;</v>
      </c>
    </row>
    <row r="6726" spans="1:1" x14ac:dyDescent="0.2">
      <c r="A6726" s="996" t="str">
        <f>CONCATENATE(Programme!D6727,Programme!E6727,Programme!F6727,Programme!G6727,Programme!H6727,Programme!I6727,Programme!J6727)</f>
        <v>&lt;valeur&gt;0&lt;/valeur&gt;</v>
      </c>
    </row>
    <row r="6727" spans="1:1" x14ac:dyDescent="0.2">
      <c r="A6727" s="996" t="str">
        <f>CONCATENATE(Programme!D6728,Programme!E6728,Programme!F6728,Programme!G6728,Programme!H6728,Programme!I6728,Programme!J6728)</f>
        <v>&lt;/ValeurCellule&gt;</v>
      </c>
    </row>
    <row r="6728" spans="1:1" x14ac:dyDescent="0.2">
      <c r="A6728" s="996" t="str">
        <f>CONCATENATE(Programme!D6729,Programme!E6729,Programme!F6729,Programme!G6729,Programme!H6729,Programme!I6729,Programme!J6729)</f>
        <v>&lt;ValeurCellule&gt;</v>
      </c>
    </row>
    <row r="6729" spans="1:1" x14ac:dyDescent="0.2">
      <c r="A6729" s="996" t="str">
        <f>CONCATENATE(Programme!D6730,Programme!E6730,Programme!F6730,Programme!G6730,Programme!H6730,Programme!I6730,Programme!J6730)</f>
        <v>&lt;cellule&gt;</v>
      </c>
    </row>
    <row r="6730" spans="1:1" x14ac:dyDescent="0.2">
      <c r="A6730" s="996" t="str">
        <f>CONCATENATE(Programme!D6731,Programme!E6731,Programme!F6731,Programme!G6731,Programme!H6731,Programme!I6731,Programme!J6731)</f>
        <v>&lt;codeEdi&gt;1785&lt;/codeEdi&gt;</v>
      </c>
    </row>
    <row r="6731" spans="1:1" x14ac:dyDescent="0.2">
      <c r="A6731" s="996" t="str">
        <f>CONCATENATE(Programme!D6732,Programme!E6732,Programme!F6732,Programme!G6732,Programme!H6732,Programme!I6732,Programme!J6732)</f>
        <v>&lt;/cellule&gt;</v>
      </c>
    </row>
    <row r="6732" spans="1:1" x14ac:dyDescent="0.2">
      <c r="A6732" s="996" t="str">
        <f>CONCATENATE(Programme!D6733,Programme!E6733,Programme!F6733,Programme!G6733,Programme!H6733,Programme!I6733,Programme!J6733)</f>
        <v>&lt;valeur&gt;&lt;/valeur&gt;</v>
      </c>
    </row>
    <row r="6733" spans="1:1" x14ac:dyDescent="0.2">
      <c r="A6733" s="996" t="str">
        <f>CONCATENATE(Programme!D6734,Programme!E6734,Programme!F6734,Programme!G6734,Programme!H6734,Programme!I6734,Programme!J6734)</f>
        <v>&lt;/ValeurCellule&gt;</v>
      </c>
    </row>
    <row r="6734" spans="1:1" x14ac:dyDescent="0.2">
      <c r="A6734" s="996" t="str">
        <f>CONCATENATE(Programme!D6735,Programme!E6735,Programme!F6735,Programme!G6735,Programme!H6735,Programme!I6735,Programme!J6735)</f>
        <v>&lt;ValeurCellule&gt;</v>
      </c>
    </row>
    <row r="6735" spans="1:1" x14ac:dyDescent="0.2">
      <c r="A6735" s="996" t="str">
        <f>CONCATENATE(Programme!D6736,Programme!E6736,Programme!F6736,Programme!G6736,Programme!H6736,Programme!I6736,Programme!J6736)</f>
        <v>&lt;cellule&gt;</v>
      </c>
    </row>
    <row r="6736" spans="1:1" x14ac:dyDescent="0.2">
      <c r="A6736" s="996" t="str">
        <f>CONCATENATE(Programme!D6737,Programme!E6737,Programme!F6737,Programme!G6737,Programme!H6737,Programme!I6737,Programme!J6737)</f>
        <v>&lt;codeEdi&gt;1828&lt;/codeEdi&gt;</v>
      </c>
    </row>
    <row r="6737" spans="1:1" x14ac:dyDescent="0.2">
      <c r="A6737" s="996" t="str">
        <f>CONCATENATE(Programme!D6738,Programme!E6738,Programme!F6738,Programme!G6738,Programme!H6738,Programme!I6738,Programme!J6738)</f>
        <v>&lt;/cellule&gt;</v>
      </c>
    </row>
    <row r="6738" spans="1:1" x14ac:dyDescent="0.2">
      <c r="A6738" s="996" t="str">
        <f>CONCATENATE(Programme!D6739,Programme!E6739,Programme!F6739,Programme!G6739,Programme!H6739,Programme!I6739,Programme!J6739)</f>
        <v>&lt;valeur&gt;0&lt;/valeur&gt;</v>
      </c>
    </row>
    <row r="6739" spans="1:1" x14ac:dyDescent="0.2">
      <c r="A6739" s="996" t="str">
        <f>CONCATENATE(Programme!D6740,Programme!E6740,Programme!F6740,Programme!G6740,Programme!H6740,Programme!I6740,Programme!J6740)</f>
        <v>&lt;/ValeurCellule&gt;</v>
      </c>
    </row>
    <row r="6740" spans="1:1" x14ac:dyDescent="0.2">
      <c r="A6740" s="996" t="str">
        <f>CONCATENATE(Programme!D6741,Programme!E6741,Programme!F6741,Programme!G6741,Programme!H6741,Programme!I6741,Programme!J6741)</f>
        <v>&lt;ValeurCellule&gt;</v>
      </c>
    </row>
    <row r="6741" spans="1:1" x14ac:dyDescent="0.2">
      <c r="A6741" s="996" t="str">
        <f>CONCATENATE(Programme!D6742,Programme!E6742,Programme!F6742,Programme!G6742,Programme!H6742,Programme!I6742,Programme!J6742)</f>
        <v>&lt;cellule&gt;</v>
      </c>
    </row>
    <row r="6742" spans="1:1" x14ac:dyDescent="0.2">
      <c r="A6742" s="996" t="str">
        <f>CONCATENATE(Programme!D6743,Programme!E6743,Programme!F6743,Programme!G6743,Programme!H6743,Programme!I6743,Programme!J6743)</f>
        <v>&lt;codeEdi&gt;1845&lt;/codeEdi&gt;</v>
      </c>
    </row>
    <row r="6743" spans="1:1" x14ac:dyDescent="0.2">
      <c r="A6743" s="996" t="str">
        <f>CONCATENATE(Programme!D6744,Programme!E6744,Programme!F6744,Programme!G6744,Programme!H6744,Programme!I6744,Programme!J6744)</f>
        <v>&lt;/cellule&gt;</v>
      </c>
    </row>
    <row r="6744" spans="1:1" x14ac:dyDescent="0.2">
      <c r="A6744" s="996" t="str">
        <f>CONCATENATE(Programme!D6745,Programme!E6745,Programme!F6745,Programme!G6745,Programme!H6745,Programme!I6745,Programme!J6745)</f>
        <v>&lt;valeur&gt;0&lt;/valeur&gt;</v>
      </c>
    </row>
    <row r="6745" spans="1:1" x14ac:dyDescent="0.2">
      <c r="A6745" s="996" t="str">
        <f>CONCATENATE(Programme!D6746,Programme!E6746,Programme!F6746,Programme!G6746,Programme!H6746,Programme!I6746,Programme!J6746)</f>
        <v>&lt;/ValeurCellule&gt;</v>
      </c>
    </row>
    <row r="6746" spans="1:1" x14ac:dyDescent="0.2">
      <c r="A6746" s="996" t="str">
        <f>CONCATENATE(Programme!D6747,Programme!E6747,Programme!F6747,Programme!G6747,Programme!H6747,Programme!I6747,Programme!J6747)</f>
        <v>&lt;ValeurCellule&gt;</v>
      </c>
    </row>
    <row r="6747" spans="1:1" x14ac:dyDescent="0.2">
      <c r="A6747" s="996" t="str">
        <f>CONCATENATE(Programme!D6748,Programme!E6748,Programme!F6748,Programme!G6748,Programme!H6748,Programme!I6748,Programme!J6748)</f>
        <v>&lt;cellule&gt;</v>
      </c>
    </row>
    <row r="6748" spans="1:1" x14ac:dyDescent="0.2">
      <c r="A6748" s="996" t="str">
        <f>CONCATENATE(Programme!D6749,Programme!E6749,Programme!F6749,Programme!G6749,Programme!H6749,Programme!I6749,Programme!J6749)</f>
        <v>&lt;codeEdi&gt;1878&lt;/codeEdi&gt;</v>
      </c>
    </row>
    <row r="6749" spans="1:1" x14ac:dyDescent="0.2">
      <c r="A6749" s="996" t="str">
        <f>CONCATENATE(Programme!D6750,Programme!E6750,Programme!F6750,Programme!G6750,Programme!H6750,Programme!I6750,Programme!J6750)</f>
        <v>&lt;/cellule&gt;</v>
      </c>
    </row>
    <row r="6750" spans="1:1" x14ac:dyDescent="0.2">
      <c r="A6750" s="996" t="str">
        <f>CONCATENATE(Programme!D6751,Programme!E6751,Programme!F6751,Programme!G6751,Programme!H6751,Programme!I6751,Programme!J6751)</f>
        <v>&lt;valeur&gt;0&lt;/valeur&gt;</v>
      </c>
    </row>
    <row r="6751" spans="1:1" x14ac:dyDescent="0.2">
      <c r="A6751" s="996" t="str">
        <f>CONCATENATE(Programme!D6752,Programme!E6752,Programme!F6752,Programme!G6752,Programme!H6752,Programme!I6752,Programme!J6752)</f>
        <v>&lt;/ValeurCellule&gt;</v>
      </c>
    </row>
    <row r="6752" spans="1:1" x14ac:dyDescent="0.2">
      <c r="A6752" s="996" t="str">
        <f>CONCATENATE(Programme!D6753,Programme!E6753,Programme!F6753,Programme!G6753,Programme!H6753,Programme!I6753,Programme!J6753)</f>
        <v>&lt;ValeurCellule&gt;</v>
      </c>
    </row>
    <row r="6753" spans="1:1" x14ac:dyDescent="0.2">
      <c r="A6753" s="996" t="str">
        <f>CONCATENATE(Programme!D6754,Programme!E6754,Programme!F6754,Programme!G6754,Programme!H6754,Programme!I6754,Programme!J6754)</f>
        <v>&lt;cellule&gt;</v>
      </c>
    </row>
    <row r="6754" spans="1:1" x14ac:dyDescent="0.2">
      <c r="A6754" s="996" t="str">
        <f>CONCATENATE(Programme!D6755,Programme!E6755,Programme!F6755,Programme!G6755,Programme!H6755,Programme!I6755,Programme!J6755)</f>
        <v>&lt;codeEdi&gt;1895&lt;/codeEdi&gt;</v>
      </c>
    </row>
    <row r="6755" spans="1:1" x14ac:dyDescent="0.2">
      <c r="A6755" s="996" t="str">
        <f>CONCATENATE(Programme!D6756,Programme!E6756,Programme!F6756,Programme!G6756,Programme!H6756,Programme!I6756,Programme!J6756)</f>
        <v>&lt;/cellule&gt;</v>
      </c>
    </row>
    <row r="6756" spans="1:1" x14ac:dyDescent="0.2">
      <c r="A6756" s="996" t="str">
        <f>CONCATENATE(Programme!D6757,Programme!E6757,Programme!F6757,Programme!G6757,Programme!H6757,Programme!I6757,Programme!J6757)</f>
        <v>&lt;valeur&gt;0&lt;/valeur&gt;</v>
      </c>
    </row>
    <row r="6757" spans="1:1" x14ac:dyDescent="0.2">
      <c r="A6757" s="996" t="str">
        <f>CONCATENATE(Programme!D6758,Programme!E6758,Programme!F6758,Programme!G6758,Programme!H6758,Programme!I6758,Programme!J6758)</f>
        <v>&lt;/ValeurCellule&gt;</v>
      </c>
    </row>
    <row r="6758" spans="1:1" x14ac:dyDescent="0.2">
      <c r="A6758" s="996" t="str">
        <f>CONCATENATE(Programme!D6759,Programme!E6759,Programme!F6759,Programme!G6759,Programme!H6759,Programme!I6759,Programme!J6759)</f>
        <v>&lt;ValeurCellule&gt;</v>
      </c>
    </row>
    <row r="6759" spans="1:1" x14ac:dyDescent="0.2">
      <c r="A6759" s="996" t="str">
        <f>CONCATENATE(Programme!D6760,Programme!E6760,Programme!F6760,Programme!G6760,Programme!H6760,Programme!I6760,Programme!J6760)</f>
        <v>&lt;cellule&gt;</v>
      </c>
    </row>
    <row r="6760" spans="1:1" x14ac:dyDescent="0.2">
      <c r="A6760" s="996" t="str">
        <f>CONCATENATE(Programme!D6761,Programme!E6761,Programme!F6761,Programme!G6761,Programme!H6761,Programme!I6761,Programme!J6761)</f>
        <v>&lt;codeEdi&gt;1904&lt;/codeEdi&gt;</v>
      </c>
    </row>
    <row r="6761" spans="1:1" x14ac:dyDescent="0.2">
      <c r="A6761" s="996" t="str">
        <f>CONCATENATE(Programme!D6762,Programme!E6762,Programme!F6762,Programme!G6762,Programme!H6762,Programme!I6762,Programme!J6762)</f>
        <v>&lt;/cellule&gt;</v>
      </c>
    </row>
    <row r="6762" spans="1:1" x14ac:dyDescent="0.2">
      <c r="A6762" s="996" t="str">
        <f>CONCATENATE(Programme!D6763,Programme!E6763,Programme!F6763,Programme!G6763,Programme!H6763,Programme!I6763,Programme!J6763)</f>
        <v>&lt;valeur&gt;&lt;/valeur&gt;</v>
      </c>
    </row>
    <row r="6763" spans="1:1" x14ac:dyDescent="0.2">
      <c r="A6763" s="996" t="str">
        <f>CONCATENATE(Programme!D6764,Programme!E6764,Programme!F6764,Programme!G6764,Programme!H6764,Programme!I6764,Programme!J6764)</f>
        <v>&lt;/ValeurCellule&gt;</v>
      </c>
    </row>
    <row r="6764" spans="1:1" x14ac:dyDescent="0.2">
      <c r="A6764" s="996" t="str">
        <f>CONCATENATE(Programme!D6765,Programme!E6765,Programme!F6765,Programme!G6765,Programme!H6765,Programme!I6765,Programme!J6765)</f>
        <v>&lt;ValeurCellule&gt;</v>
      </c>
    </row>
    <row r="6765" spans="1:1" x14ac:dyDescent="0.2">
      <c r="A6765" s="996" t="str">
        <f>CONCATENATE(Programme!D6766,Programme!E6766,Programme!F6766,Programme!G6766,Programme!H6766,Programme!I6766,Programme!J6766)</f>
        <v>&lt;cellule&gt;</v>
      </c>
    </row>
    <row r="6766" spans="1:1" x14ac:dyDescent="0.2">
      <c r="A6766" s="996" t="str">
        <f>CONCATENATE(Programme!D6767,Programme!E6767,Programme!F6767,Programme!G6767,Programme!H6767,Programme!I6767,Programme!J6767)</f>
        <v>&lt;codeEdi&gt;1922&lt;/codeEdi&gt;</v>
      </c>
    </row>
    <row r="6767" spans="1:1" x14ac:dyDescent="0.2">
      <c r="A6767" s="996" t="str">
        <f>CONCATENATE(Programme!D6768,Programme!E6768,Programme!F6768,Programme!G6768,Programme!H6768,Programme!I6768,Programme!J6768)</f>
        <v>&lt;/cellule&gt;</v>
      </c>
    </row>
    <row r="6768" spans="1:1" x14ac:dyDescent="0.2">
      <c r="A6768" s="996" t="str">
        <f>CONCATENATE(Programme!D6769,Programme!E6769,Programme!F6769,Programme!G6769,Programme!H6769,Programme!I6769,Programme!J6769)</f>
        <v>&lt;valeur&gt;0&lt;/valeur&gt;</v>
      </c>
    </row>
    <row r="6769" spans="1:1" x14ac:dyDescent="0.2">
      <c r="A6769" s="996" t="str">
        <f>CONCATENATE(Programme!D6770,Programme!E6770,Programme!F6770,Programme!G6770,Programme!H6770,Programme!I6770,Programme!J6770)</f>
        <v>&lt;/ValeurCellule&gt;</v>
      </c>
    </row>
    <row r="6770" spans="1:1" x14ac:dyDescent="0.2">
      <c r="A6770" s="996" t="str">
        <f>CONCATENATE(Programme!D6771,Programme!E6771,Programme!F6771,Programme!G6771,Programme!H6771,Programme!I6771,Programme!J6771)</f>
        <v>&lt;ValeurCellule&gt;</v>
      </c>
    </row>
    <row r="6771" spans="1:1" x14ac:dyDescent="0.2">
      <c r="A6771" s="996" t="str">
        <f>CONCATENATE(Programme!D6772,Programme!E6772,Programme!F6772,Programme!G6772,Programme!H6772,Programme!I6772,Programme!J6772)</f>
        <v>&lt;cellule&gt;</v>
      </c>
    </row>
    <row r="6772" spans="1:1" x14ac:dyDescent="0.2">
      <c r="A6772" s="996" t="str">
        <f>CONCATENATE(Programme!D6773,Programme!E6773,Programme!F6773,Programme!G6773,Programme!H6773,Programme!I6773,Programme!J6773)</f>
        <v>&lt;codeEdi&gt;1913&lt;/codeEdi&gt;</v>
      </c>
    </row>
    <row r="6773" spans="1:1" x14ac:dyDescent="0.2">
      <c r="A6773" s="996" t="str">
        <f>CONCATENATE(Programme!D6774,Programme!E6774,Programme!F6774,Programme!G6774,Programme!H6774,Programme!I6774,Programme!J6774)</f>
        <v>&lt;/cellule&gt;</v>
      </c>
    </row>
    <row r="6774" spans="1:1" x14ac:dyDescent="0.2">
      <c r="A6774" s="996" t="str">
        <f>CONCATENATE(Programme!D6775,Programme!E6775,Programme!F6775,Programme!G6775,Programme!H6775,Programme!I6775,Programme!J6775)</f>
        <v>&lt;valeur&gt;0&lt;/valeur&gt;</v>
      </c>
    </row>
    <row r="6775" spans="1:1" x14ac:dyDescent="0.2">
      <c r="A6775" s="996" t="str">
        <f>CONCATENATE(Programme!D6776,Programme!E6776,Programme!F6776,Programme!G6776,Programme!H6776,Programme!I6776,Programme!J6776)</f>
        <v>&lt;/ValeurCellule&gt;</v>
      </c>
    </row>
    <row r="6776" spans="1:1" x14ac:dyDescent="0.2">
      <c r="A6776" s="996" t="str">
        <f>CONCATENATE(Programme!D6777,Programme!E6777,Programme!F6777,Programme!G6777,Programme!H6777,Programme!I6777,Programme!J6777)</f>
        <v>&lt;ValeurCellule&gt;</v>
      </c>
    </row>
    <row r="6777" spans="1:1" x14ac:dyDescent="0.2">
      <c r="A6777" s="996" t="str">
        <f>CONCATENATE(Programme!D6778,Programme!E6778,Programme!F6778,Programme!G6778,Programme!H6778,Programme!I6778,Programme!J6778)</f>
        <v>&lt;cellule&gt;</v>
      </c>
    </row>
    <row r="6778" spans="1:1" x14ac:dyDescent="0.2">
      <c r="A6778" s="996" t="str">
        <f>CONCATENATE(Programme!D6779,Programme!E6779,Programme!F6779,Programme!G6779,Programme!H6779,Programme!I6779,Programme!J6779)</f>
        <v>&lt;codeEdi&gt;1750&lt;/codeEdi&gt;</v>
      </c>
    </row>
    <row r="6779" spans="1:1" x14ac:dyDescent="0.2">
      <c r="A6779" s="996" t="str">
        <f>CONCATENATE(Programme!D6780,Programme!E6780,Programme!F6780,Programme!G6780,Programme!H6780,Programme!I6780,Programme!J6780)</f>
        <v>&lt;/cellule&gt;</v>
      </c>
    </row>
    <row r="6780" spans="1:1" x14ac:dyDescent="0.2">
      <c r="A6780" s="996" t="str">
        <f>CONCATENATE(Programme!D6781,Programme!E6781,Programme!F6781,Programme!G6781,Programme!H6781,Programme!I6781,Programme!J6781)</f>
        <v>&lt;valeur&gt;0&lt;/valeur&gt;</v>
      </c>
    </row>
    <row r="6781" spans="1:1" x14ac:dyDescent="0.2">
      <c r="A6781" s="996" t="str">
        <f>CONCATENATE(Programme!D6782,Programme!E6782,Programme!F6782,Programme!G6782,Programme!H6782,Programme!I6782,Programme!J6782)</f>
        <v>&lt;/ValeurCellule&gt;</v>
      </c>
    </row>
    <row r="6782" spans="1:1" x14ac:dyDescent="0.2">
      <c r="A6782" s="996" t="str">
        <f>CONCATENATE(Programme!D6783,Programme!E6783,Programme!F6783,Programme!G6783,Programme!H6783,Programme!I6783,Programme!J6783)</f>
        <v>&lt;ValeurCellule&gt;</v>
      </c>
    </row>
    <row r="6783" spans="1:1" x14ac:dyDescent="0.2">
      <c r="A6783" s="996" t="str">
        <f>CONCATENATE(Programme!D6784,Programme!E6784,Programme!F6784,Programme!G6784,Programme!H6784,Programme!I6784,Programme!J6784)</f>
        <v>&lt;cellule&gt;</v>
      </c>
    </row>
    <row r="6784" spans="1:1" x14ac:dyDescent="0.2">
      <c r="A6784" s="996" t="str">
        <f>CONCATENATE(Programme!D6785,Programme!E6785,Programme!F6785,Programme!G6785,Programme!H6785,Programme!I6785,Programme!J6785)</f>
        <v>&lt;codeEdi&gt;1786&lt;/codeEdi&gt;</v>
      </c>
    </row>
    <row r="6785" spans="1:1" x14ac:dyDescent="0.2">
      <c r="A6785" s="996" t="str">
        <f>CONCATENATE(Programme!D6786,Programme!E6786,Programme!F6786,Programme!G6786,Programme!H6786,Programme!I6786,Programme!J6786)</f>
        <v>&lt;/cellule&gt;</v>
      </c>
    </row>
    <row r="6786" spans="1:1" x14ac:dyDescent="0.2">
      <c r="A6786" s="996" t="str">
        <f>CONCATENATE(Programme!D6787,Programme!E6787,Programme!F6787,Programme!G6787,Programme!H6787,Programme!I6787,Programme!J6787)</f>
        <v>&lt;valeur&gt;&lt;/valeur&gt;</v>
      </c>
    </row>
    <row r="6787" spans="1:1" x14ac:dyDescent="0.2">
      <c r="A6787" s="996" t="str">
        <f>CONCATENATE(Programme!D6788,Programme!E6788,Programme!F6788,Programme!G6788,Programme!H6788,Programme!I6788,Programme!J6788)</f>
        <v>&lt;/ValeurCellule&gt;</v>
      </c>
    </row>
    <row r="6788" spans="1:1" x14ac:dyDescent="0.2">
      <c r="A6788" s="996" t="str">
        <f>CONCATENATE(Programme!D6789,Programme!E6789,Programme!F6789,Programme!G6789,Programme!H6789,Programme!I6789,Programme!J6789)</f>
        <v>&lt;ValeurCellule&gt;</v>
      </c>
    </row>
    <row r="6789" spans="1:1" x14ac:dyDescent="0.2">
      <c r="A6789" s="996" t="str">
        <f>CONCATENATE(Programme!D6790,Programme!E6790,Programme!F6790,Programme!G6790,Programme!H6790,Programme!I6790,Programme!J6790)</f>
        <v>&lt;cellule&gt;</v>
      </c>
    </row>
    <row r="6790" spans="1:1" x14ac:dyDescent="0.2">
      <c r="A6790" s="996" t="str">
        <f>CONCATENATE(Programme!D6791,Programme!E6791,Programme!F6791,Programme!G6791,Programme!H6791,Programme!I6791,Programme!J6791)</f>
        <v>&lt;codeEdi&gt;1829&lt;/codeEdi&gt;</v>
      </c>
    </row>
    <row r="6791" spans="1:1" x14ac:dyDescent="0.2">
      <c r="A6791" s="996" t="str">
        <f>CONCATENATE(Programme!D6792,Programme!E6792,Programme!F6792,Programme!G6792,Programme!H6792,Programme!I6792,Programme!J6792)</f>
        <v>&lt;/cellule&gt;</v>
      </c>
    </row>
    <row r="6792" spans="1:1" x14ac:dyDescent="0.2">
      <c r="A6792" s="996" t="str">
        <f>CONCATENATE(Programme!D6793,Programme!E6793,Programme!F6793,Programme!G6793,Programme!H6793,Programme!I6793,Programme!J6793)</f>
        <v>&lt;valeur&gt;0&lt;/valeur&gt;</v>
      </c>
    </row>
    <row r="6793" spans="1:1" x14ac:dyDescent="0.2">
      <c r="A6793" s="996" t="str">
        <f>CONCATENATE(Programme!D6794,Programme!E6794,Programme!F6794,Programme!G6794,Programme!H6794,Programme!I6794,Programme!J6794)</f>
        <v>&lt;/ValeurCellule&gt;</v>
      </c>
    </row>
    <row r="6794" spans="1:1" x14ac:dyDescent="0.2">
      <c r="A6794" s="996" t="str">
        <f>CONCATENATE(Programme!D6795,Programme!E6795,Programme!F6795,Programme!G6795,Programme!H6795,Programme!I6795,Programme!J6795)</f>
        <v>&lt;ValeurCellule&gt;</v>
      </c>
    </row>
    <row r="6795" spans="1:1" x14ac:dyDescent="0.2">
      <c r="A6795" s="996" t="str">
        <f>CONCATENATE(Programme!D6796,Programme!E6796,Programme!F6796,Programme!G6796,Programme!H6796,Programme!I6796,Programme!J6796)</f>
        <v>&lt;cellule&gt;</v>
      </c>
    </row>
    <row r="6796" spans="1:1" x14ac:dyDescent="0.2">
      <c r="A6796" s="996" t="str">
        <f>CONCATENATE(Programme!D6797,Programme!E6797,Programme!F6797,Programme!G6797,Programme!H6797,Programme!I6797,Programme!J6797)</f>
        <v>&lt;codeEdi&gt;1846&lt;/codeEdi&gt;</v>
      </c>
    </row>
    <row r="6797" spans="1:1" x14ac:dyDescent="0.2">
      <c r="A6797" s="996" t="str">
        <f>CONCATENATE(Programme!D6798,Programme!E6798,Programme!F6798,Programme!G6798,Programme!H6798,Programme!I6798,Programme!J6798)</f>
        <v>&lt;/cellule&gt;</v>
      </c>
    </row>
    <row r="6798" spans="1:1" x14ac:dyDescent="0.2">
      <c r="A6798" s="996" t="str">
        <f>CONCATENATE(Programme!D6799,Programme!E6799,Programme!F6799,Programme!G6799,Programme!H6799,Programme!I6799,Programme!J6799)</f>
        <v>&lt;valeur&gt;0&lt;/valeur&gt;</v>
      </c>
    </row>
    <row r="6799" spans="1:1" x14ac:dyDescent="0.2">
      <c r="A6799" s="996" t="str">
        <f>CONCATENATE(Programme!D6800,Programme!E6800,Programme!F6800,Programme!G6800,Programme!H6800,Programme!I6800,Programme!J6800)</f>
        <v>&lt;/ValeurCellule&gt;</v>
      </c>
    </row>
    <row r="6800" spans="1:1" x14ac:dyDescent="0.2">
      <c r="A6800" s="996" t="str">
        <f>CONCATENATE(Programme!D6801,Programme!E6801,Programme!F6801,Programme!G6801,Programme!H6801,Programme!I6801,Programme!J6801)</f>
        <v>&lt;ValeurCellule&gt;</v>
      </c>
    </row>
    <row r="6801" spans="1:1" x14ac:dyDescent="0.2">
      <c r="A6801" s="996" t="str">
        <f>CONCATENATE(Programme!D6802,Programme!E6802,Programme!F6802,Programme!G6802,Programme!H6802,Programme!I6802,Programme!J6802)</f>
        <v>&lt;cellule&gt;</v>
      </c>
    </row>
    <row r="6802" spans="1:1" x14ac:dyDescent="0.2">
      <c r="A6802" s="996" t="str">
        <f>CONCATENATE(Programme!D6803,Programme!E6803,Programme!F6803,Programme!G6803,Programme!H6803,Programme!I6803,Programme!J6803)</f>
        <v>&lt;codeEdi&gt;1879&lt;/codeEdi&gt;</v>
      </c>
    </row>
    <row r="6803" spans="1:1" x14ac:dyDescent="0.2">
      <c r="A6803" s="996" t="str">
        <f>CONCATENATE(Programme!D6804,Programme!E6804,Programme!F6804,Programme!G6804,Programme!H6804,Programme!I6804,Programme!J6804)</f>
        <v>&lt;/cellule&gt;</v>
      </c>
    </row>
    <row r="6804" spans="1:1" x14ac:dyDescent="0.2">
      <c r="A6804" s="996" t="str">
        <f>CONCATENATE(Programme!D6805,Programme!E6805,Programme!F6805,Programme!G6805,Programme!H6805,Programme!I6805,Programme!J6805)</f>
        <v>&lt;valeur&gt;0&lt;/valeur&gt;</v>
      </c>
    </row>
    <row r="6805" spans="1:1" x14ac:dyDescent="0.2">
      <c r="A6805" s="996" t="str">
        <f>CONCATENATE(Programme!D6806,Programme!E6806,Programme!F6806,Programme!G6806,Programme!H6806,Programme!I6806,Programme!J6806)</f>
        <v>&lt;/ValeurCellule&gt;</v>
      </c>
    </row>
    <row r="6806" spans="1:1" x14ac:dyDescent="0.2">
      <c r="A6806" s="996" t="str">
        <f>CONCATENATE(Programme!D6807,Programme!E6807,Programme!F6807,Programme!G6807,Programme!H6807,Programme!I6807,Programme!J6807)</f>
        <v>&lt;ValeurCellule&gt;</v>
      </c>
    </row>
    <row r="6807" spans="1:1" x14ac:dyDescent="0.2">
      <c r="A6807" s="996" t="str">
        <f>CONCATENATE(Programme!D6808,Programme!E6808,Programme!F6808,Programme!G6808,Programme!H6808,Programme!I6808,Programme!J6808)</f>
        <v>&lt;cellule&gt;</v>
      </c>
    </row>
    <row r="6808" spans="1:1" x14ac:dyDescent="0.2">
      <c r="A6808" s="996" t="str">
        <f>CONCATENATE(Programme!D6809,Programme!E6809,Programme!F6809,Programme!G6809,Programme!H6809,Programme!I6809,Programme!J6809)</f>
        <v>&lt;codeEdi&gt;1896&lt;/codeEdi&gt;</v>
      </c>
    </row>
    <row r="6809" spans="1:1" x14ac:dyDescent="0.2">
      <c r="A6809" s="996" t="str">
        <f>CONCATENATE(Programme!D6810,Programme!E6810,Programme!F6810,Programme!G6810,Programme!H6810,Programme!I6810,Programme!J6810)</f>
        <v>&lt;/cellule&gt;</v>
      </c>
    </row>
    <row r="6810" spans="1:1" x14ac:dyDescent="0.2">
      <c r="A6810" s="996" t="str">
        <f>CONCATENATE(Programme!D6811,Programme!E6811,Programme!F6811,Programme!G6811,Programme!H6811,Programme!I6811,Programme!J6811)</f>
        <v>&lt;valeur&gt;0&lt;/valeur&gt;</v>
      </c>
    </row>
    <row r="6811" spans="1:1" x14ac:dyDescent="0.2">
      <c r="A6811" s="996" t="str">
        <f>CONCATENATE(Programme!D6812,Programme!E6812,Programme!F6812,Programme!G6812,Programme!H6812,Programme!I6812,Programme!J6812)</f>
        <v>&lt;/ValeurCellule&gt;</v>
      </c>
    </row>
    <row r="6812" spans="1:1" x14ac:dyDescent="0.2">
      <c r="A6812" s="996" t="str">
        <f>CONCATENATE(Programme!D6813,Programme!E6813,Programme!F6813,Programme!G6813,Programme!H6813,Programme!I6813,Programme!J6813)</f>
        <v>&lt;ValeurCellule&gt;</v>
      </c>
    </row>
    <row r="6813" spans="1:1" x14ac:dyDescent="0.2">
      <c r="A6813" s="996" t="str">
        <f>CONCATENATE(Programme!D6814,Programme!E6814,Programme!F6814,Programme!G6814,Programme!H6814,Programme!I6814,Programme!J6814)</f>
        <v>&lt;cellule&gt;</v>
      </c>
    </row>
    <row r="6814" spans="1:1" x14ac:dyDescent="0.2">
      <c r="A6814" s="996" t="str">
        <f>CONCATENATE(Programme!D6815,Programme!E6815,Programme!F6815,Programme!G6815,Programme!H6815,Programme!I6815,Programme!J6815)</f>
        <v>&lt;codeEdi&gt;1905&lt;/codeEdi&gt;</v>
      </c>
    </row>
    <row r="6815" spans="1:1" x14ac:dyDescent="0.2">
      <c r="A6815" s="996" t="str">
        <f>CONCATENATE(Programme!D6816,Programme!E6816,Programme!F6816,Programme!G6816,Programme!H6816,Programme!I6816,Programme!J6816)</f>
        <v>&lt;/cellule&gt;</v>
      </c>
    </row>
    <row r="6816" spans="1:1" x14ac:dyDescent="0.2">
      <c r="A6816" s="996" t="str">
        <f>CONCATENATE(Programme!D6817,Programme!E6817,Programme!F6817,Programme!G6817,Programme!H6817,Programme!I6817,Programme!J6817)</f>
        <v>&lt;valeur&gt;0&lt;/valeur&gt;</v>
      </c>
    </row>
    <row r="6817" spans="1:1" x14ac:dyDescent="0.2">
      <c r="A6817" s="996" t="str">
        <f>CONCATENATE(Programme!D6818,Programme!E6818,Programme!F6818,Programme!G6818,Programme!H6818,Programme!I6818,Programme!J6818)</f>
        <v>&lt;/ValeurCellule&gt;</v>
      </c>
    </row>
    <row r="6818" spans="1:1" x14ac:dyDescent="0.2">
      <c r="A6818" s="996" t="str">
        <f>CONCATENATE(Programme!D6819,Programme!E6819,Programme!F6819,Programme!G6819,Programme!H6819,Programme!I6819,Programme!J6819)</f>
        <v>&lt;ValeurCellule&gt;</v>
      </c>
    </row>
    <row r="6819" spans="1:1" x14ac:dyDescent="0.2">
      <c r="A6819" s="996" t="str">
        <f>CONCATENATE(Programme!D6820,Programme!E6820,Programme!F6820,Programme!G6820,Programme!H6820,Programme!I6820,Programme!J6820)</f>
        <v>&lt;cellule&gt;</v>
      </c>
    </row>
    <row r="6820" spans="1:1" x14ac:dyDescent="0.2">
      <c r="A6820" s="996" t="str">
        <f>CONCATENATE(Programme!D6821,Programme!E6821,Programme!F6821,Programme!G6821,Programme!H6821,Programme!I6821,Programme!J6821)</f>
        <v>&lt;codeEdi&gt;1914&lt;/codeEdi&gt;</v>
      </c>
    </row>
    <row r="6821" spans="1:1" x14ac:dyDescent="0.2">
      <c r="A6821" s="996" t="str">
        <f>CONCATENATE(Programme!D6822,Programme!E6822,Programme!F6822,Programme!G6822,Programme!H6822,Programme!I6822,Programme!J6822)</f>
        <v>&lt;/cellule&gt;</v>
      </c>
    </row>
    <row r="6822" spans="1:1" x14ac:dyDescent="0.2">
      <c r="A6822" s="996" t="str">
        <f>CONCATENATE(Programme!D6823,Programme!E6823,Programme!F6823,Programme!G6823,Programme!H6823,Programme!I6823,Programme!J6823)</f>
        <v>&lt;valeur&gt;0&lt;/valeur&gt;</v>
      </c>
    </row>
    <row r="6823" spans="1:1" x14ac:dyDescent="0.2">
      <c r="A6823" s="996" t="str">
        <f>CONCATENATE(Programme!D6824,Programme!E6824,Programme!F6824,Programme!G6824,Programme!H6824,Programme!I6824,Programme!J6824)</f>
        <v>&lt;/ValeurCellule&gt;</v>
      </c>
    </row>
    <row r="6824" spans="1:1" x14ac:dyDescent="0.2">
      <c r="A6824" s="996" t="str">
        <f>CONCATENATE(Programme!D6825,Programme!E6825,Programme!F6825,Programme!G6825,Programme!H6825,Programme!I6825,Programme!J6825)</f>
        <v>&lt;ValeurCellule&gt;</v>
      </c>
    </row>
    <row r="6825" spans="1:1" x14ac:dyDescent="0.2">
      <c r="A6825" s="996" t="str">
        <f>CONCATENATE(Programme!D6826,Programme!E6826,Programme!F6826,Programme!G6826,Programme!H6826,Programme!I6826,Programme!J6826)</f>
        <v>&lt;cellule&gt;</v>
      </c>
    </row>
    <row r="6826" spans="1:1" x14ac:dyDescent="0.2">
      <c r="A6826" s="996" t="str">
        <f>CONCATENATE(Programme!D6827,Programme!E6827,Programme!F6827,Programme!G6827,Programme!H6827,Programme!I6827,Programme!J6827)</f>
        <v>&lt;codeEdi&gt;1923&lt;/codeEdi&gt;</v>
      </c>
    </row>
    <row r="6827" spans="1:1" x14ac:dyDescent="0.2">
      <c r="A6827" s="996" t="str">
        <f>CONCATENATE(Programme!D6828,Programme!E6828,Programme!F6828,Programme!G6828,Programme!H6828,Programme!I6828,Programme!J6828)</f>
        <v>&lt;/cellule&gt;</v>
      </c>
    </row>
    <row r="6828" spans="1:1" x14ac:dyDescent="0.2">
      <c r="A6828" s="996" t="str">
        <f>CONCATENATE(Programme!D6829,Programme!E6829,Programme!F6829,Programme!G6829,Programme!H6829,Programme!I6829,Programme!J6829)</f>
        <v>&lt;valeur&gt;0&lt;/valeur&gt;</v>
      </c>
    </row>
    <row r="6829" spans="1:1" x14ac:dyDescent="0.2">
      <c r="A6829" s="996" t="str">
        <f>CONCATENATE(Programme!D6830,Programme!E6830,Programme!F6830,Programme!G6830,Programme!H6830,Programme!I6830,Programme!J6830)</f>
        <v>&lt;/ValeurCellule&gt;</v>
      </c>
    </row>
    <row r="6830" spans="1:1" x14ac:dyDescent="0.2">
      <c r="A6830" s="996" t="str">
        <f>CONCATENATE(Programme!D6831,Programme!E6831,Programme!F6831,Programme!G6831,Programme!H6831,Programme!I6831,Programme!J6831)</f>
        <v>&lt;ValeurCellule&gt;</v>
      </c>
    </row>
    <row r="6831" spans="1:1" x14ac:dyDescent="0.2">
      <c r="A6831" s="996" t="str">
        <f>CONCATENATE(Programme!D6832,Programme!E6832,Programme!F6832,Programme!G6832,Programme!H6832,Programme!I6832,Programme!J6832)</f>
        <v>&lt;cellule&gt;</v>
      </c>
    </row>
    <row r="6832" spans="1:1" x14ac:dyDescent="0.2">
      <c r="A6832" s="996" t="str">
        <f>CONCATENATE(Programme!D6833,Programme!E6833,Programme!F6833,Programme!G6833,Programme!H6833,Programme!I6833,Programme!J6833)</f>
        <v>&lt;codeEdi&gt;1751&lt;/codeEdi&gt;</v>
      </c>
    </row>
    <row r="6833" spans="1:1" x14ac:dyDescent="0.2">
      <c r="A6833" s="996" t="str">
        <f>CONCATENATE(Programme!D6834,Programme!E6834,Programme!F6834,Programme!G6834,Programme!H6834,Programme!I6834,Programme!J6834)</f>
        <v>&lt;/cellule&gt;</v>
      </c>
    </row>
    <row r="6834" spans="1:1" x14ac:dyDescent="0.2">
      <c r="A6834" s="996" t="str">
        <f>CONCATENATE(Programme!D6835,Programme!E6835,Programme!F6835,Programme!G6835,Programme!H6835,Programme!I6835,Programme!J6835)</f>
        <v>&lt;valeur&gt;0&lt;/valeur&gt;</v>
      </c>
    </row>
    <row r="6835" spans="1:1" x14ac:dyDescent="0.2">
      <c r="A6835" s="996" t="str">
        <f>CONCATENATE(Programme!D6836,Programme!E6836,Programme!F6836,Programme!G6836,Programme!H6836,Programme!I6836,Programme!J6836)</f>
        <v>&lt;/ValeurCellule&gt;</v>
      </c>
    </row>
    <row r="6836" spans="1:1" x14ac:dyDescent="0.2">
      <c r="A6836" s="996" t="str">
        <f>CONCATENATE(Programme!D6837,Programme!E6837,Programme!F6837,Programme!G6837,Programme!H6837,Programme!I6837,Programme!J6837)</f>
        <v>&lt;ValeurCellule&gt;</v>
      </c>
    </row>
    <row r="6837" spans="1:1" x14ac:dyDescent="0.2">
      <c r="A6837" s="996" t="str">
        <f>CONCATENATE(Programme!D6838,Programme!E6838,Programme!F6838,Programme!G6838,Programme!H6838,Programme!I6838,Programme!J6838)</f>
        <v>&lt;cellule&gt;</v>
      </c>
    </row>
    <row r="6838" spans="1:1" x14ac:dyDescent="0.2">
      <c r="A6838" s="996" t="str">
        <f>CONCATENATE(Programme!D6839,Programme!E6839,Programme!F6839,Programme!G6839,Programme!H6839,Programme!I6839,Programme!J6839)</f>
        <v>&lt;codeEdi&gt;1787&lt;/codeEdi&gt;</v>
      </c>
    </row>
    <row r="6839" spans="1:1" x14ac:dyDescent="0.2">
      <c r="A6839" s="996" t="str">
        <f>CONCATENATE(Programme!D6840,Programme!E6840,Programme!F6840,Programme!G6840,Programme!H6840,Programme!I6840,Programme!J6840)</f>
        <v>&lt;/cellule&gt;</v>
      </c>
    </row>
    <row r="6840" spans="1:1" x14ac:dyDescent="0.2">
      <c r="A6840" s="996" t="str">
        <f>CONCATENATE(Programme!D6841,Programme!E6841,Programme!F6841,Programme!G6841,Programme!H6841,Programme!I6841,Programme!J6841)</f>
        <v>&lt;valeur&gt;0&lt;/valeur&gt;</v>
      </c>
    </row>
    <row r="6841" spans="1:1" x14ac:dyDescent="0.2">
      <c r="A6841" s="996" t="str">
        <f>CONCATENATE(Programme!D6842,Programme!E6842,Programme!F6842,Programme!G6842,Programme!H6842,Programme!I6842,Programme!J6842)</f>
        <v>&lt;/ValeurCellule&gt;</v>
      </c>
    </row>
    <row r="6842" spans="1:1" x14ac:dyDescent="0.2">
      <c r="A6842" s="996" t="str">
        <f>CONCATENATE(Programme!D6843,Programme!E6843,Programme!F6843,Programme!G6843,Programme!H6843,Programme!I6843,Programme!J6843)</f>
        <v>&lt;ValeurCellule&gt;</v>
      </c>
    </row>
    <row r="6843" spans="1:1" x14ac:dyDescent="0.2">
      <c r="A6843" s="996" t="str">
        <f>CONCATENATE(Programme!D6844,Programme!E6844,Programme!F6844,Programme!G6844,Programme!H6844,Programme!I6844,Programme!J6844)</f>
        <v>&lt;cellule&gt;</v>
      </c>
    </row>
    <row r="6844" spans="1:1" x14ac:dyDescent="0.2">
      <c r="A6844" s="996" t="str">
        <f>CONCATENATE(Programme!D6845,Programme!E6845,Programme!F6845,Programme!G6845,Programme!H6845,Programme!I6845,Programme!J6845)</f>
        <v>&lt;codeEdi&gt;1830&lt;/codeEdi&gt;</v>
      </c>
    </row>
    <row r="6845" spans="1:1" x14ac:dyDescent="0.2">
      <c r="A6845" s="996" t="str">
        <f>CONCATENATE(Programme!D6846,Programme!E6846,Programme!F6846,Programme!G6846,Programme!H6846,Programme!I6846,Programme!J6846)</f>
        <v>&lt;/cellule&gt;</v>
      </c>
    </row>
    <row r="6846" spans="1:1" x14ac:dyDescent="0.2">
      <c r="A6846" s="996" t="str">
        <f>CONCATENATE(Programme!D6847,Programme!E6847,Programme!F6847,Programme!G6847,Programme!H6847,Programme!I6847,Programme!J6847)</f>
        <v>&lt;valeur&gt;0&lt;/valeur&gt;</v>
      </c>
    </row>
    <row r="6847" spans="1:1" x14ac:dyDescent="0.2">
      <c r="A6847" s="996" t="str">
        <f>CONCATENATE(Programme!D6848,Programme!E6848,Programme!F6848,Programme!G6848,Programme!H6848,Programme!I6848,Programme!J6848)</f>
        <v>&lt;/ValeurCellule&gt;</v>
      </c>
    </row>
    <row r="6848" spans="1:1" x14ac:dyDescent="0.2">
      <c r="A6848" s="996" t="str">
        <f>CONCATENATE(Programme!D6849,Programme!E6849,Programme!F6849,Programme!G6849,Programme!H6849,Programme!I6849,Programme!J6849)</f>
        <v>&lt;ValeurCellule&gt;</v>
      </c>
    </row>
    <row r="6849" spans="1:1" x14ac:dyDescent="0.2">
      <c r="A6849" s="996" t="str">
        <f>CONCATENATE(Programme!D6850,Programme!E6850,Programme!F6850,Programme!G6850,Programme!H6850,Programme!I6850,Programme!J6850)</f>
        <v>&lt;cellule&gt;</v>
      </c>
    </row>
    <row r="6850" spans="1:1" x14ac:dyDescent="0.2">
      <c r="A6850" s="996" t="str">
        <f>CONCATENATE(Programme!D6851,Programme!E6851,Programme!F6851,Programme!G6851,Programme!H6851,Programme!I6851,Programme!J6851)</f>
        <v>&lt;codeEdi&gt;1847&lt;/codeEdi&gt;</v>
      </c>
    </row>
    <row r="6851" spans="1:1" x14ac:dyDescent="0.2">
      <c r="A6851" s="996" t="str">
        <f>CONCATENATE(Programme!D6852,Programme!E6852,Programme!F6852,Programme!G6852,Programme!H6852,Programme!I6852,Programme!J6852)</f>
        <v>&lt;/cellule&gt;</v>
      </c>
    </row>
    <row r="6852" spans="1:1" x14ac:dyDescent="0.2">
      <c r="A6852" s="996" t="str">
        <f>CONCATENATE(Programme!D6853,Programme!E6853,Programme!F6853,Programme!G6853,Programme!H6853,Programme!I6853,Programme!J6853)</f>
        <v>&lt;valeur&gt;0&lt;/valeur&gt;</v>
      </c>
    </row>
    <row r="6853" spans="1:1" x14ac:dyDescent="0.2">
      <c r="A6853" s="996" t="str">
        <f>CONCATENATE(Programme!D6854,Programme!E6854,Programme!F6854,Programme!G6854,Programme!H6854,Programme!I6854,Programme!J6854)</f>
        <v>&lt;/ValeurCellule&gt;</v>
      </c>
    </row>
    <row r="6854" spans="1:1" x14ac:dyDescent="0.2">
      <c r="A6854" s="996" t="str">
        <f>CONCATENATE(Programme!D6855,Programme!E6855,Programme!F6855,Programme!G6855,Programme!H6855,Programme!I6855,Programme!J6855)</f>
        <v>&lt;ValeurCellule&gt;</v>
      </c>
    </row>
    <row r="6855" spans="1:1" x14ac:dyDescent="0.2">
      <c r="A6855" s="996" t="str">
        <f>CONCATENATE(Programme!D6856,Programme!E6856,Programme!F6856,Programme!G6856,Programme!H6856,Programme!I6856,Programme!J6856)</f>
        <v>&lt;cellule&gt;</v>
      </c>
    </row>
    <row r="6856" spans="1:1" x14ac:dyDescent="0.2">
      <c r="A6856" s="996" t="str">
        <f>CONCATENATE(Programme!D6857,Programme!E6857,Programme!F6857,Programme!G6857,Programme!H6857,Programme!I6857,Programme!J6857)</f>
        <v>&lt;codeEdi&gt;1880&lt;/codeEdi&gt;</v>
      </c>
    </row>
    <row r="6857" spans="1:1" x14ac:dyDescent="0.2">
      <c r="A6857" s="996" t="str">
        <f>CONCATENATE(Programme!D6858,Programme!E6858,Programme!F6858,Programme!G6858,Programme!H6858,Programme!I6858,Programme!J6858)</f>
        <v>&lt;/cellule&gt;</v>
      </c>
    </row>
    <row r="6858" spans="1:1" x14ac:dyDescent="0.2">
      <c r="A6858" s="996" t="str">
        <f>CONCATENATE(Programme!D6859,Programme!E6859,Programme!F6859,Programme!G6859,Programme!H6859,Programme!I6859,Programme!J6859)</f>
        <v>&lt;valeur&gt;0&lt;/valeur&gt;</v>
      </c>
    </row>
    <row r="6859" spans="1:1" x14ac:dyDescent="0.2">
      <c r="A6859" s="996" t="str">
        <f>CONCATENATE(Programme!D6860,Programme!E6860,Programme!F6860,Programme!G6860,Programme!H6860,Programme!I6860,Programme!J6860)</f>
        <v>&lt;/ValeurCellule&gt;</v>
      </c>
    </row>
    <row r="6860" spans="1:1" x14ac:dyDescent="0.2">
      <c r="A6860" s="996" t="str">
        <f>CONCATENATE(Programme!D6861,Programme!E6861,Programme!F6861,Programme!G6861,Programme!H6861,Programme!I6861,Programme!J6861)</f>
        <v>&lt;ValeurCellule&gt;</v>
      </c>
    </row>
    <row r="6861" spans="1:1" x14ac:dyDescent="0.2">
      <c r="A6861" s="996" t="str">
        <f>CONCATENATE(Programme!D6862,Programme!E6862,Programme!F6862,Programme!G6862,Programme!H6862,Programme!I6862,Programme!J6862)</f>
        <v>&lt;cellule&gt;</v>
      </c>
    </row>
    <row r="6862" spans="1:1" x14ac:dyDescent="0.2">
      <c r="A6862" s="996" t="str">
        <f>CONCATENATE(Programme!D6863,Programme!E6863,Programme!F6863,Programme!G6863,Programme!H6863,Programme!I6863,Programme!J6863)</f>
        <v>&lt;codeEdi&gt;1897&lt;/codeEdi&gt;</v>
      </c>
    </row>
    <row r="6863" spans="1:1" x14ac:dyDescent="0.2">
      <c r="A6863" s="996" t="str">
        <f>CONCATENATE(Programme!D6864,Programme!E6864,Programme!F6864,Programme!G6864,Programme!H6864,Programme!I6864,Programme!J6864)</f>
        <v>&lt;/cellule&gt;</v>
      </c>
    </row>
    <row r="6864" spans="1:1" x14ac:dyDescent="0.2">
      <c r="A6864" s="996" t="str">
        <f>CONCATENATE(Programme!D6865,Programme!E6865,Programme!F6865,Programme!G6865,Programme!H6865,Programme!I6865,Programme!J6865)</f>
        <v>&lt;valeur&gt;0&lt;/valeur&gt;</v>
      </c>
    </row>
    <row r="6865" spans="1:1" x14ac:dyDescent="0.2">
      <c r="A6865" s="996" t="str">
        <f>CONCATENATE(Programme!D6866,Programme!E6866,Programme!F6866,Programme!G6866,Programme!H6866,Programme!I6866,Programme!J6866)</f>
        <v>&lt;/ValeurCellule&gt;</v>
      </c>
    </row>
    <row r="6866" spans="1:1" x14ac:dyDescent="0.2">
      <c r="A6866" s="996" t="str">
        <f>CONCATENATE(Programme!D6867,Programme!E6867,Programme!F6867,Programme!G6867,Programme!H6867,Programme!I6867,Programme!J6867)</f>
        <v>&lt;ValeurCellule&gt;</v>
      </c>
    </row>
    <row r="6867" spans="1:1" x14ac:dyDescent="0.2">
      <c r="A6867" s="996" t="str">
        <f>CONCATENATE(Programme!D6868,Programme!E6868,Programme!F6868,Programme!G6868,Programme!H6868,Programme!I6868,Programme!J6868)</f>
        <v>&lt;cellule&gt;</v>
      </c>
    </row>
    <row r="6868" spans="1:1" x14ac:dyDescent="0.2">
      <c r="A6868" s="996" t="str">
        <f>CONCATENATE(Programme!D6869,Programme!E6869,Programme!F6869,Programme!G6869,Programme!H6869,Programme!I6869,Programme!J6869)</f>
        <v>&lt;codeEdi&gt;1906&lt;/codeEdi&gt;</v>
      </c>
    </row>
    <row r="6869" spans="1:1" x14ac:dyDescent="0.2">
      <c r="A6869" s="996" t="str">
        <f>CONCATENATE(Programme!D6870,Programme!E6870,Programme!F6870,Programme!G6870,Programme!H6870,Programme!I6870,Programme!J6870)</f>
        <v>&lt;/cellule&gt;</v>
      </c>
    </row>
    <row r="6870" spans="1:1" x14ac:dyDescent="0.2">
      <c r="A6870" s="996" t="str">
        <f>CONCATENATE(Programme!D6871,Programme!E6871,Programme!F6871,Programme!G6871,Programme!H6871,Programme!I6871,Programme!J6871)</f>
        <v>&lt;valeur&gt;&lt;/valeur&gt;</v>
      </c>
    </row>
    <row r="6871" spans="1:1" x14ac:dyDescent="0.2">
      <c r="A6871" s="996" t="str">
        <f>CONCATENATE(Programme!D6872,Programme!E6872,Programme!F6872,Programme!G6872,Programme!H6872,Programme!I6872,Programme!J6872)</f>
        <v>&lt;/ValeurCellule&gt;</v>
      </c>
    </row>
    <row r="6872" spans="1:1" x14ac:dyDescent="0.2">
      <c r="A6872" s="996" t="str">
        <f>CONCATENATE(Programme!D6873,Programme!E6873,Programme!F6873,Programme!G6873,Programme!H6873,Programme!I6873,Programme!J6873)</f>
        <v>&lt;ValeurCellule&gt;</v>
      </c>
    </row>
    <row r="6873" spans="1:1" x14ac:dyDescent="0.2">
      <c r="A6873" s="996" t="str">
        <f>CONCATENATE(Programme!D6874,Programme!E6874,Programme!F6874,Programme!G6874,Programme!H6874,Programme!I6874,Programme!J6874)</f>
        <v>&lt;cellule&gt;</v>
      </c>
    </row>
    <row r="6874" spans="1:1" x14ac:dyDescent="0.2">
      <c r="A6874" s="996" t="str">
        <f>CONCATENATE(Programme!D6875,Programme!E6875,Programme!F6875,Programme!G6875,Programme!H6875,Programme!I6875,Programme!J6875)</f>
        <v>&lt;codeEdi&gt;1915&lt;/codeEdi&gt;</v>
      </c>
    </row>
    <row r="6875" spans="1:1" x14ac:dyDescent="0.2">
      <c r="A6875" s="996" t="str">
        <f>CONCATENATE(Programme!D6876,Programme!E6876,Programme!F6876,Programme!G6876,Programme!H6876,Programme!I6876,Programme!J6876)</f>
        <v>&lt;/cellule&gt;</v>
      </c>
    </row>
    <row r="6876" spans="1:1" x14ac:dyDescent="0.2">
      <c r="A6876" s="996" t="str">
        <f>CONCATENATE(Programme!D6877,Programme!E6877,Programme!F6877,Programme!G6877,Programme!H6877,Programme!I6877,Programme!J6877)</f>
        <v>&lt;valeur&gt;0&lt;/valeur&gt;</v>
      </c>
    </row>
    <row r="6877" spans="1:1" x14ac:dyDescent="0.2">
      <c r="A6877" s="996" t="str">
        <f>CONCATENATE(Programme!D6878,Programme!E6878,Programme!F6878,Programme!G6878,Programme!H6878,Programme!I6878,Programme!J6878)</f>
        <v>&lt;/ValeurCellule&gt;</v>
      </c>
    </row>
    <row r="6878" spans="1:1" x14ac:dyDescent="0.2">
      <c r="A6878" s="996" t="str">
        <f>CONCATENATE(Programme!D6879,Programme!E6879,Programme!F6879,Programme!G6879,Programme!H6879,Programme!I6879,Programme!J6879)</f>
        <v>&lt;ValeurCellule&gt;</v>
      </c>
    </row>
    <row r="6879" spans="1:1" x14ac:dyDescent="0.2">
      <c r="A6879" s="996" t="str">
        <f>CONCATENATE(Programme!D6880,Programme!E6880,Programme!F6880,Programme!G6880,Programme!H6880,Programme!I6880,Programme!J6880)</f>
        <v>&lt;cellule&gt;</v>
      </c>
    </row>
    <row r="6880" spans="1:1" x14ac:dyDescent="0.2">
      <c r="A6880" s="996" t="str">
        <f>CONCATENATE(Programme!D6881,Programme!E6881,Programme!F6881,Programme!G6881,Programme!H6881,Programme!I6881,Programme!J6881)</f>
        <v>&lt;codeEdi&gt;1924&lt;/codeEdi&gt;</v>
      </c>
    </row>
    <row r="6881" spans="1:1" x14ac:dyDescent="0.2">
      <c r="A6881" s="996" t="str">
        <f>CONCATENATE(Programme!D6882,Programme!E6882,Programme!F6882,Programme!G6882,Programme!H6882,Programme!I6882,Programme!J6882)</f>
        <v>&lt;/cellule&gt;</v>
      </c>
    </row>
    <row r="6882" spans="1:1" x14ac:dyDescent="0.2">
      <c r="A6882" s="996" t="str">
        <f>CONCATENATE(Programme!D6883,Programme!E6883,Programme!F6883,Programme!G6883,Programme!H6883,Programme!I6883,Programme!J6883)</f>
        <v>&lt;valeur&gt;0&lt;/valeur&gt;</v>
      </c>
    </row>
    <row r="6883" spans="1:1" x14ac:dyDescent="0.2">
      <c r="A6883" s="996" t="str">
        <f>CONCATENATE(Programme!D6884,Programme!E6884,Programme!F6884,Programme!G6884,Programme!H6884,Programme!I6884,Programme!J6884)</f>
        <v>&lt;/ValeurCellule&gt;</v>
      </c>
    </row>
    <row r="6884" spans="1:1" x14ac:dyDescent="0.2">
      <c r="A6884" s="996" t="str">
        <f>CONCATENATE(Programme!D6885,Programme!E6885,Programme!F6885,Programme!G6885,Programme!H6885,Programme!I6885,Programme!J6885)</f>
        <v>&lt;ValeurCellule&gt;</v>
      </c>
    </row>
    <row r="6885" spans="1:1" x14ac:dyDescent="0.2">
      <c r="A6885" s="996" t="str">
        <f>CONCATENATE(Programme!D6886,Programme!E6886,Programme!F6886,Programme!G6886,Programme!H6886,Programme!I6886,Programme!J6886)</f>
        <v>&lt;cellule&gt;</v>
      </c>
    </row>
    <row r="6886" spans="1:1" x14ac:dyDescent="0.2">
      <c r="A6886" s="996" t="str">
        <f>CONCATENATE(Programme!D6887,Programme!E6887,Programme!F6887,Programme!G6887,Programme!H6887,Programme!I6887,Programme!J6887)</f>
        <v>&lt;codeEdi&gt;1752&lt;/codeEdi&gt;</v>
      </c>
    </row>
    <row r="6887" spans="1:1" x14ac:dyDescent="0.2">
      <c r="A6887" s="996" t="str">
        <f>CONCATENATE(Programme!D6888,Programme!E6888,Programme!F6888,Programme!G6888,Programme!H6888,Programme!I6888,Programme!J6888)</f>
        <v>&lt;/cellule&gt;</v>
      </c>
    </row>
    <row r="6888" spans="1:1" x14ac:dyDescent="0.2">
      <c r="A6888" s="996" t="str">
        <f>CONCATENATE(Programme!D6889,Programme!E6889,Programme!F6889,Programme!G6889,Programme!H6889,Programme!I6889,Programme!J6889)</f>
        <v>&lt;valeur&gt;0&lt;/valeur&gt;</v>
      </c>
    </row>
    <row r="6889" spans="1:1" x14ac:dyDescent="0.2">
      <c r="A6889" s="996" t="str">
        <f>CONCATENATE(Programme!D6890,Programme!E6890,Programme!F6890,Programme!G6890,Programme!H6890,Programme!I6890,Programme!J6890)</f>
        <v>&lt;/ValeurCellule&gt;</v>
      </c>
    </row>
    <row r="6890" spans="1:1" x14ac:dyDescent="0.2">
      <c r="A6890" s="996" t="str">
        <f>CONCATENATE(Programme!D6891,Programme!E6891,Programme!F6891,Programme!G6891,Programme!H6891,Programme!I6891,Programme!J6891)</f>
        <v>&lt;ValeurCellule&gt;</v>
      </c>
    </row>
    <row r="6891" spans="1:1" x14ac:dyDescent="0.2">
      <c r="A6891" s="996" t="str">
        <f>CONCATENATE(Programme!D6892,Programme!E6892,Programme!F6892,Programme!G6892,Programme!H6892,Programme!I6892,Programme!J6892)</f>
        <v>&lt;cellule&gt;</v>
      </c>
    </row>
    <row r="6892" spans="1:1" x14ac:dyDescent="0.2">
      <c r="A6892" s="996" t="str">
        <f>CONCATENATE(Programme!D6893,Programme!E6893,Programme!F6893,Programme!G6893,Programme!H6893,Programme!I6893,Programme!J6893)</f>
        <v>&lt;codeEdi&gt;1788&lt;/codeEdi&gt;</v>
      </c>
    </row>
    <row r="6893" spans="1:1" x14ac:dyDescent="0.2">
      <c r="A6893" s="996" t="str">
        <f>CONCATENATE(Programme!D6894,Programme!E6894,Programme!F6894,Programme!G6894,Programme!H6894,Programme!I6894,Programme!J6894)</f>
        <v>&lt;/cellule&gt;</v>
      </c>
    </row>
    <row r="6894" spans="1:1" x14ac:dyDescent="0.2">
      <c r="A6894" s="996" t="str">
        <f>CONCATENATE(Programme!D6895,Programme!E6895,Programme!F6895,Programme!G6895,Programme!H6895,Programme!I6895,Programme!J6895)</f>
        <v>&lt;valeur&gt;&lt;/valeur&gt;</v>
      </c>
    </row>
    <row r="6895" spans="1:1" x14ac:dyDescent="0.2">
      <c r="A6895" s="996" t="str">
        <f>CONCATENATE(Programme!D6896,Programme!E6896,Programme!F6896,Programme!G6896,Programme!H6896,Programme!I6896,Programme!J6896)</f>
        <v>&lt;/ValeurCellule&gt;</v>
      </c>
    </row>
    <row r="6896" spans="1:1" x14ac:dyDescent="0.2">
      <c r="A6896" s="996" t="str">
        <f>CONCATENATE(Programme!D6897,Programme!E6897,Programme!F6897,Programme!G6897,Programme!H6897,Programme!I6897,Programme!J6897)</f>
        <v>&lt;ValeurCellule&gt;</v>
      </c>
    </row>
    <row r="6897" spans="1:1" x14ac:dyDescent="0.2">
      <c r="A6897" s="996" t="str">
        <f>CONCATENATE(Programme!D6898,Programme!E6898,Programme!F6898,Programme!G6898,Programme!H6898,Programme!I6898,Programme!J6898)</f>
        <v>&lt;cellule&gt;</v>
      </c>
    </row>
    <row r="6898" spans="1:1" x14ac:dyDescent="0.2">
      <c r="A6898" s="996" t="str">
        <f>CONCATENATE(Programme!D6899,Programme!E6899,Programme!F6899,Programme!G6899,Programme!H6899,Programme!I6899,Programme!J6899)</f>
        <v>&lt;codeEdi&gt;1831&lt;/codeEdi&gt;</v>
      </c>
    </row>
    <row r="6899" spans="1:1" x14ac:dyDescent="0.2">
      <c r="A6899" s="996" t="str">
        <f>CONCATENATE(Programme!D6900,Programme!E6900,Programme!F6900,Programme!G6900,Programme!H6900,Programme!I6900,Programme!J6900)</f>
        <v>&lt;/cellule&gt;</v>
      </c>
    </row>
    <row r="6900" spans="1:1" x14ac:dyDescent="0.2">
      <c r="A6900" s="996" t="str">
        <f>CONCATENATE(Programme!D6901,Programme!E6901,Programme!F6901,Programme!G6901,Programme!H6901,Programme!I6901,Programme!J6901)</f>
        <v>&lt;valeur&gt;0&lt;/valeur&gt;</v>
      </c>
    </row>
    <row r="6901" spans="1:1" x14ac:dyDescent="0.2">
      <c r="A6901" s="996" t="str">
        <f>CONCATENATE(Programme!D6902,Programme!E6902,Programme!F6902,Programme!G6902,Programme!H6902,Programme!I6902,Programme!J6902)</f>
        <v>&lt;/ValeurCellule&gt;</v>
      </c>
    </row>
    <row r="6902" spans="1:1" x14ac:dyDescent="0.2">
      <c r="A6902" s="996" t="str">
        <f>CONCATENATE(Programme!D6903,Programme!E6903,Programme!F6903,Programme!G6903,Programme!H6903,Programme!I6903,Programme!J6903)</f>
        <v>&lt;ValeurCellule&gt;</v>
      </c>
    </row>
    <row r="6903" spans="1:1" x14ac:dyDescent="0.2">
      <c r="A6903" s="996" t="str">
        <f>CONCATENATE(Programme!D6904,Programme!E6904,Programme!F6904,Programme!G6904,Programme!H6904,Programme!I6904,Programme!J6904)</f>
        <v>&lt;cellule&gt;</v>
      </c>
    </row>
    <row r="6904" spans="1:1" x14ac:dyDescent="0.2">
      <c r="A6904" s="996" t="str">
        <f>CONCATENATE(Programme!D6905,Programme!E6905,Programme!F6905,Programme!G6905,Programme!H6905,Programme!I6905,Programme!J6905)</f>
        <v>&lt;codeEdi&gt;1848&lt;/codeEdi&gt;</v>
      </c>
    </row>
    <row r="6905" spans="1:1" x14ac:dyDescent="0.2">
      <c r="A6905" s="996" t="str">
        <f>CONCATENATE(Programme!D6906,Programme!E6906,Programme!F6906,Programme!G6906,Programme!H6906,Programme!I6906,Programme!J6906)</f>
        <v>&lt;/cellule&gt;</v>
      </c>
    </row>
    <row r="6906" spans="1:1" x14ac:dyDescent="0.2">
      <c r="A6906" s="996" t="str">
        <f>CONCATENATE(Programme!D6907,Programme!E6907,Programme!F6907,Programme!G6907,Programme!H6907,Programme!I6907,Programme!J6907)</f>
        <v>&lt;valeur&gt;0&lt;/valeur&gt;</v>
      </c>
    </row>
    <row r="6907" spans="1:1" x14ac:dyDescent="0.2">
      <c r="A6907" s="996" t="str">
        <f>CONCATENATE(Programme!D6908,Programme!E6908,Programme!F6908,Programme!G6908,Programme!H6908,Programme!I6908,Programme!J6908)</f>
        <v>&lt;/ValeurCellule&gt;</v>
      </c>
    </row>
    <row r="6908" spans="1:1" x14ac:dyDescent="0.2">
      <c r="A6908" s="996" t="str">
        <f>CONCATENATE(Programme!D6909,Programme!E6909,Programme!F6909,Programme!G6909,Programme!H6909,Programme!I6909,Programme!J6909)</f>
        <v>&lt;ValeurCellule&gt;</v>
      </c>
    </row>
    <row r="6909" spans="1:1" x14ac:dyDescent="0.2">
      <c r="A6909" s="996" t="str">
        <f>CONCATENATE(Programme!D6910,Programme!E6910,Programme!F6910,Programme!G6910,Programme!H6910,Programme!I6910,Programme!J6910)</f>
        <v>&lt;cellule&gt;</v>
      </c>
    </row>
    <row r="6910" spans="1:1" x14ac:dyDescent="0.2">
      <c r="A6910" s="996" t="str">
        <f>CONCATENATE(Programme!D6911,Programme!E6911,Programme!F6911,Programme!G6911,Programme!H6911,Programme!I6911,Programme!J6911)</f>
        <v>&lt;codeEdi&gt;1881&lt;/codeEdi&gt;</v>
      </c>
    </row>
    <row r="6911" spans="1:1" x14ac:dyDescent="0.2">
      <c r="A6911" s="996" t="str">
        <f>CONCATENATE(Programme!D6912,Programme!E6912,Programme!F6912,Programme!G6912,Programme!H6912,Programme!I6912,Programme!J6912)</f>
        <v>&lt;/cellule&gt;</v>
      </c>
    </row>
    <row r="6912" spans="1:1" x14ac:dyDescent="0.2">
      <c r="A6912" s="996" t="str">
        <f>CONCATENATE(Programme!D6913,Programme!E6913,Programme!F6913,Programme!G6913,Programme!H6913,Programme!I6913,Programme!J6913)</f>
        <v>&lt;valeur&gt;0&lt;/valeur&gt;</v>
      </c>
    </row>
    <row r="6913" spans="1:1" x14ac:dyDescent="0.2">
      <c r="A6913" s="996" t="str">
        <f>CONCATENATE(Programme!D6914,Programme!E6914,Programme!F6914,Programme!G6914,Programme!H6914,Programme!I6914,Programme!J6914)</f>
        <v>&lt;/ValeurCellule&gt;</v>
      </c>
    </row>
    <row r="6914" spans="1:1" x14ac:dyDescent="0.2">
      <c r="A6914" s="996" t="str">
        <f>CONCATENATE(Programme!D6915,Programme!E6915,Programme!F6915,Programme!G6915,Programme!H6915,Programme!I6915,Programme!J6915)</f>
        <v>&lt;ValeurCellule&gt;</v>
      </c>
    </row>
    <row r="6915" spans="1:1" x14ac:dyDescent="0.2">
      <c r="A6915" s="996" t="str">
        <f>CONCATENATE(Programme!D6916,Programme!E6916,Programme!F6916,Programme!G6916,Programme!H6916,Programme!I6916,Programme!J6916)</f>
        <v>&lt;cellule&gt;</v>
      </c>
    </row>
    <row r="6916" spans="1:1" x14ac:dyDescent="0.2">
      <c r="A6916" s="996" t="str">
        <f>CONCATENATE(Programme!D6917,Programme!E6917,Programme!F6917,Programme!G6917,Programme!H6917,Programme!I6917,Programme!J6917)</f>
        <v>&lt;codeEdi&gt;1898&lt;/codeEdi&gt;</v>
      </c>
    </row>
    <row r="6917" spans="1:1" x14ac:dyDescent="0.2">
      <c r="A6917" s="996" t="str">
        <f>CONCATENATE(Programme!D6918,Programme!E6918,Programme!F6918,Programme!G6918,Programme!H6918,Programme!I6918,Programme!J6918)</f>
        <v>&lt;/cellule&gt;</v>
      </c>
    </row>
    <row r="6918" spans="1:1" x14ac:dyDescent="0.2">
      <c r="A6918" s="996" t="str">
        <f>CONCATENATE(Programme!D6919,Programme!E6919,Programme!F6919,Programme!G6919,Programme!H6919,Programme!I6919,Programme!J6919)</f>
        <v>&lt;valeur&gt;0&lt;/valeur&gt;</v>
      </c>
    </row>
    <row r="6919" spans="1:1" x14ac:dyDescent="0.2">
      <c r="A6919" s="996" t="str">
        <f>CONCATENATE(Programme!D6920,Programme!E6920,Programme!F6920,Programme!G6920,Programme!H6920,Programme!I6920,Programme!J6920)</f>
        <v>&lt;/ValeurCellule&gt;</v>
      </c>
    </row>
    <row r="6920" spans="1:1" x14ac:dyDescent="0.2">
      <c r="A6920" s="996" t="str">
        <f>CONCATENATE(Programme!D6921,Programme!E6921,Programme!F6921,Programme!G6921,Programme!H6921,Programme!I6921,Programme!J6921)</f>
        <v>&lt;ValeurCellule&gt;</v>
      </c>
    </row>
    <row r="6921" spans="1:1" x14ac:dyDescent="0.2">
      <c r="A6921" s="996" t="str">
        <f>CONCATENATE(Programme!D6922,Programme!E6922,Programme!F6922,Programme!G6922,Programme!H6922,Programme!I6922,Programme!J6922)</f>
        <v>&lt;cellule&gt;</v>
      </c>
    </row>
    <row r="6922" spans="1:1" x14ac:dyDescent="0.2">
      <c r="A6922" s="996" t="str">
        <f>CONCATENATE(Programme!D6923,Programme!E6923,Programme!F6923,Programme!G6923,Programme!H6923,Programme!I6923,Programme!J6923)</f>
        <v>&lt;codeEdi&gt;1907&lt;/codeEdi&gt;</v>
      </c>
    </row>
    <row r="6923" spans="1:1" x14ac:dyDescent="0.2">
      <c r="A6923" s="996" t="str">
        <f>CONCATENATE(Programme!D6924,Programme!E6924,Programme!F6924,Programme!G6924,Programme!H6924,Programme!I6924,Programme!J6924)</f>
        <v>&lt;/cellule&gt;</v>
      </c>
    </row>
    <row r="6924" spans="1:1" x14ac:dyDescent="0.2">
      <c r="A6924" s="996" t="str">
        <f>CONCATENATE(Programme!D6925,Programme!E6925,Programme!F6925,Programme!G6925,Programme!H6925,Programme!I6925,Programme!J6925)</f>
        <v>&lt;valeur&gt;&lt;/valeur&gt;</v>
      </c>
    </row>
    <row r="6925" spans="1:1" x14ac:dyDescent="0.2">
      <c r="A6925" s="996" t="str">
        <f>CONCATENATE(Programme!D6926,Programme!E6926,Programme!F6926,Programme!G6926,Programme!H6926,Programme!I6926,Programme!J6926)</f>
        <v>&lt;/ValeurCellule&gt;</v>
      </c>
    </row>
    <row r="6926" spans="1:1" x14ac:dyDescent="0.2">
      <c r="A6926" s="996" t="str">
        <f>CONCATENATE(Programme!D6927,Programme!E6927,Programme!F6927,Programme!G6927,Programme!H6927,Programme!I6927,Programme!J6927)</f>
        <v>&lt;ValeurCellule&gt;</v>
      </c>
    </row>
    <row r="6927" spans="1:1" x14ac:dyDescent="0.2">
      <c r="A6927" s="996" t="str">
        <f>CONCATENATE(Programme!D6928,Programme!E6928,Programme!F6928,Programme!G6928,Programme!H6928,Programme!I6928,Programme!J6928)</f>
        <v>&lt;cellule&gt;</v>
      </c>
    </row>
    <row r="6928" spans="1:1" x14ac:dyDescent="0.2">
      <c r="A6928" s="996" t="str">
        <f>CONCATENATE(Programme!D6929,Programme!E6929,Programme!F6929,Programme!G6929,Programme!H6929,Programme!I6929,Programme!J6929)</f>
        <v>&lt;codeEdi&gt;1916&lt;/codeEdi&gt;</v>
      </c>
    </row>
    <row r="6929" spans="1:1" x14ac:dyDescent="0.2">
      <c r="A6929" s="996" t="str">
        <f>CONCATENATE(Programme!D6930,Programme!E6930,Programme!F6930,Programme!G6930,Programme!H6930,Programme!I6930,Programme!J6930)</f>
        <v>&lt;/cellule&gt;</v>
      </c>
    </row>
    <row r="6930" spans="1:1" x14ac:dyDescent="0.2">
      <c r="A6930" s="996" t="str">
        <f>CONCATENATE(Programme!D6931,Programme!E6931,Programme!F6931,Programme!G6931,Programme!H6931,Programme!I6931,Programme!J6931)</f>
        <v>&lt;valeur&gt;0&lt;/valeur&gt;</v>
      </c>
    </row>
    <row r="6931" spans="1:1" x14ac:dyDescent="0.2">
      <c r="A6931" s="996" t="str">
        <f>CONCATENATE(Programme!D6932,Programme!E6932,Programme!F6932,Programme!G6932,Programme!H6932,Programme!I6932,Programme!J6932)</f>
        <v>&lt;/ValeurCellule&gt;</v>
      </c>
    </row>
    <row r="6932" spans="1:1" x14ac:dyDescent="0.2">
      <c r="A6932" s="996" t="str">
        <f>CONCATENATE(Programme!D6933,Programme!E6933,Programme!F6933,Programme!G6933,Programme!H6933,Programme!I6933,Programme!J6933)</f>
        <v>&lt;ValeurCellule&gt;</v>
      </c>
    </row>
    <row r="6933" spans="1:1" x14ac:dyDescent="0.2">
      <c r="A6933" s="996" t="str">
        <f>CONCATENATE(Programme!D6934,Programme!E6934,Programme!F6934,Programme!G6934,Programme!H6934,Programme!I6934,Programme!J6934)</f>
        <v>&lt;cellule&gt;</v>
      </c>
    </row>
    <row r="6934" spans="1:1" x14ac:dyDescent="0.2">
      <c r="A6934" s="996" t="str">
        <f>CONCATENATE(Programme!D6935,Programme!E6935,Programme!F6935,Programme!G6935,Programme!H6935,Programme!I6935,Programme!J6935)</f>
        <v>&lt;codeEdi&gt;1925&lt;/codeEdi&gt;</v>
      </c>
    </row>
    <row r="6935" spans="1:1" x14ac:dyDescent="0.2">
      <c r="A6935" s="996" t="str">
        <f>CONCATENATE(Programme!D6936,Programme!E6936,Programme!F6936,Programme!G6936,Programme!H6936,Programme!I6936,Programme!J6936)</f>
        <v>&lt;/cellule&gt;</v>
      </c>
    </row>
    <row r="6936" spans="1:1" x14ac:dyDescent="0.2">
      <c r="A6936" s="996" t="str">
        <f>CONCATENATE(Programme!D6937,Programme!E6937,Programme!F6937,Programme!G6937,Programme!H6937,Programme!I6937,Programme!J6937)</f>
        <v>&lt;valeur&gt;0&lt;/valeur&gt;</v>
      </c>
    </row>
    <row r="6937" spans="1:1" x14ac:dyDescent="0.2">
      <c r="A6937" s="996" t="str">
        <f>CONCATENATE(Programme!D6938,Programme!E6938,Programme!F6938,Programme!G6938,Programme!H6938,Programme!I6938,Programme!J6938)</f>
        <v>&lt;/ValeurCellule&gt;</v>
      </c>
    </row>
    <row r="6938" spans="1:1" x14ac:dyDescent="0.2">
      <c r="A6938" s="996" t="str">
        <f>CONCATENATE(Programme!D6939,Programme!E6939,Programme!F6939,Programme!G6939,Programme!H6939,Programme!I6939,Programme!J6939)</f>
        <v>&lt;ValeurCellule&gt;</v>
      </c>
    </row>
    <row r="6939" spans="1:1" x14ac:dyDescent="0.2">
      <c r="A6939" s="996" t="str">
        <f>CONCATENATE(Programme!D6940,Programme!E6940,Programme!F6940,Programme!G6940,Programme!H6940,Programme!I6940,Programme!J6940)</f>
        <v>&lt;cellule&gt;</v>
      </c>
    </row>
    <row r="6940" spans="1:1" x14ac:dyDescent="0.2">
      <c r="A6940" s="996" t="str">
        <f>CONCATENATE(Programme!D6941,Programme!E6941,Programme!F6941,Programme!G6941,Programme!H6941,Programme!I6941,Programme!J6941)</f>
        <v>&lt;codeEdi&gt;1753&lt;/codeEdi&gt;</v>
      </c>
    </row>
    <row r="6941" spans="1:1" x14ac:dyDescent="0.2">
      <c r="A6941" s="996" t="str">
        <f>CONCATENATE(Programme!D6942,Programme!E6942,Programme!F6942,Programme!G6942,Programme!H6942,Programme!I6942,Programme!J6942)</f>
        <v>&lt;/cellule&gt;</v>
      </c>
    </row>
    <row r="6942" spans="1:1" x14ac:dyDescent="0.2">
      <c r="A6942" s="996" t="str">
        <f>CONCATENATE(Programme!D6943,Programme!E6943,Programme!F6943,Programme!G6943,Programme!H6943,Programme!I6943,Programme!J6943)</f>
        <v>&lt;valeur&gt;0&lt;/valeur&gt;</v>
      </c>
    </row>
    <row r="6943" spans="1:1" x14ac:dyDescent="0.2">
      <c r="A6943" s="996" t="str">
        <f>CONCATENATE(Programme!D6944,Programme!E6944,Programme!F6944,Programme!G6944,Programme!H6944,Programme!I6944,Programme!J6944)</f>
        <v>&lt;/ValeurCellule&gt;</v>
      </c>
    </row>
    <row r="6944" spans="1:1" x14ac:dyDescent="0.2">
      <c r="A6944" s="996" t="str">
        <f>CONCATENATE(Programme!D6945,Programme!E6945,Programme!F6945,Programme!G6945,Programme!H6945,Programme!I6945,Programme!J6945)</f>
        <v>&lt;ValeurCellule&gt;</v>
      </c>
    </row>
    <row r="6945" spans="1:1" x14ac:dyDescent="0.2">
      <c r="A6945" s="996" t="str">
        <f>CONCATENATE(Programme!D6946,Programme!E6946,Programme!F6946,Programme!G6946,Programme!H6946,Programme!I6946,Programme!J6946)</f>
        <v>&lt;cellule&gt;</v>
      </c>
    </row>
    <row r="6946" spans="1:1" x14ac:dyDescent="0.2">
      <c r="A6946" s="996" t="str">
        <f>CONCATENATE(Programme!D6947,Programme!E6947,Programme!F6947,Programme!G6947,Programme!H6947,Programme!I6947,Programme!J6947)</f>
        <v>&lt;codeEdi&gt;1789&lt;/codeEdi&gt;</v>
      </c>
    </row>
    <row r="6947" spans="1:1" x14ac:dyDescent="0.2">
      <c r="A6947" s="996" t="str">
        <f>CONCATENATE(Programme!D6948,Programme!E6948,Programme!F6948,Programme!G6948,Programme!H6948,Programme!I6948,Programme!J6948)</f>
        <v>&lt;/cellule&gt;</v>
      </c>
    </row>
    <row r="6948" spans="1:1" x14ac:dyDescent="0.2">
      <c r="A6948" s="996" t="str">
        <f>CONCATENATE(Programme!D6949,Programme!E6949,Programme!F6949,Programme!G6949,Programme!H6949,Programme!I6949,Programme!J6949)</f>
        <v>&lt;valeur&gt;&lt;/valeur&gt;</v>
      </c>
    </row>
    <row r="6949" spans="1:1" x14ac:dyDescent="0.2">
      <c r="A6949" s="996" t="str">
        <f>CONCATENATE(Programme!D6950,Programme!E6950,Programme!F6950,Programme!G6950,Programme!H6950,Programme!I6950,Programme!J6950)</f>
        <v>&lt;/ValeurCellule&gt;</v>
      </c>
    </row>
    <row r="6950" spans="1:1" x14ac:dyDescent="0.2">
      <c r="A6950" s="996" t="str">
        <f>CONCATENATE(Programme!D6951,Programme!E6951,Programme!F6951,Programme!G6951,Programme!H6951,Programme!I6951,Programme!J6951)</f>
        <v>&lt;ValeurCellule&gt;</v>
      </c>
    </row>
    <row r="6951" spans="1:1" x14ac:dyDescent="0.2">
      <c r="A6951" s="996" t="str">
        <f>CONCATENATE(Programme!D6952,Programme!E6952,Programme!F6952,Programme!G6952,Programme!H6952,Programme!I6952,Programme!J6952)</f>
        <v>&lt;cellule&gt;</v>
      </c>
    </row>
    <row r="6952" spans="1:1" x14ac:dyDescent="0.2">
      <c r="A6952" s="996" t="str">
        <f>CONCATENATE(Programme!D6953,Programme!E6953,Programme!F6953,Programme!G6953,Programme!H6953,Programme!I6953,Programme!J6953)</f>
        <v>&lt;codeEdi&gt;1832&lt;/codeEdi&gt;</v>
      </c>
    </row>
    <row r="6953" spans="1:1" x14ac:dyDescent="0.2">
      <c r="A6953" s="996" t="str">
        <f>CONCATENATE(Programme!D6954,Programme!E6954,Programme!F6954,Programme!G6954,Programme!H6954,Programme!I6954,Programme!J6954)</f>
        <v>&lt;/cellule&gt;</v>
      </c>
    </row>
    <row r="6954" spans="1:1" x14ac:dyDescent="0.2">
      <c r="A6954" s="996" t="str">
        <f>CONCATENATE(Programme!D6955,Programme!E6955,Programme!F6955,Programme!G6955,Programme!H6955,Programme!I6955,Programme!J6955)</f>
        <v>&lt;valeur&gt;0&lt;/valeur&gt;</v>
      </c>
    </row>
    <row r="6955" spans="1:1" x14ac:dyDescent="0.2">
      <c r="A6955" s="996" t="str">
        <f>CONCATENATE(Programme!D6956,Programme!E6956,Programme!F6956,Programme!G6956,Programme!H6956,Programme!I6956,Programme!J6956)</f>
        <v>&lt;/ValeurCellule&gt;</v>
      </c>
    </row>
    <row r="6956" spans="1:1" x14ac:dyDescent="0.2">
      <c r="A6956" s="996" t="str">
        <f>CONCATENATE(Programme!D6957,Programme!E6957,Programme!F6957,Programme!G6957,Programme!H6957,Programme!I6957,Programme!J6957)</f>
        <v>&lt;ValeurCellule&gt;</v>
      </c>
    </row>
    <row r="6957" spans="1:1" x14ac:dyDescent="0.2">
      <c r="A6957" s="996" t="str">
        <f>CONCATENATE(Programme!D6958,Programme!E6958,Programme!F6958,Programme!G6958,Programme!H6958,Programme!I6958,Programme!J6958)</f>
        <v>&lt;cellule&gt;</v>
      </c>
    </row>
    <row r="6958" spans="1:1" x14ac:dyDescent="0.2">
      <c r="A6958" s="996" t="str">
        <f>CONCATENATE(Programme!D6959,Programme!E6959,Programme!F6959,Programme!G6959,Programme!H6959,Programme!I6959,Programme!J6959)</f>
        <v>&lt;codeEdi&gt;1849&lt;/codeEdi&gt;</v>
      </c>
    </row>
    <row r="6959" spans="1:1" x14ac:dyDescent="0.2">
      <c r="A6959" s="996" t="str">
        <f>CONCATENATE(Programme!D6960,Programme!E6960,Programme!F6960,Programme!G6960,Programme!H6960,Programme!I6960,Programme!J6960)</f>
        <v>&lt;/cellule&gt;</v>
      </c>
    </row>
    <row r="6960" spans="1:1" x14ac:dyDescent="0.2">
      <c r="A6960" s="996" t="str">
        <f>CONCATENATE(Programme!D6961,Programme!E6961,Programme!F6961,Programme!G6961,Programme!H6961,Programme!I6961,Programme!J6961)</f>
        <v>&lt;valeur&gt;0&lt;/valeur&gt;</v>
      </c>
    </row>
    <row r="6961" spans="1:1" x14ac:dyDescent="0.2">
      <c r="A6961" s="996" t="str">
        <f>CONCATENATE(Programme!D6962,Programme!E6962,Programme!F6962,Programme!G6962,Programme!H6962,Programme!I6962,Programme!J6962)</f>
        <v>&lt;/ValeurCellule&gt;</v>
      </c>
    </row>
    <row r="6962" spans="1:1" x14ac:dyDescent="0.2">
      <c r="A6962" s="996" t="str">
        <f>CONCATENATE(Programme!D6963,Programme!E6963,Programme!F6963,Programme!G6963,Programme!H6963,Programme!I6963,Programme!J6963)</f>
        <v>&lt;ValeurCellule&gt;</v>
      </c>
    </row>
    <row r="6963" spans="1:1" x14ac:dyDescent="0.2">
      <c r="A6963" s="996" t="str">
        <f>CONCATENATE(Programme!D6964,Programme!E6964,Programme!F6964,Programme!G6964,Programme!H6964,Programme!I6964,Programme!J6964)</f>
        <v>&lt;cellule&gt;</v>
      </c>
    </row>
    <row r="6964" spans="1:1" x14ac:dyDescent="0.2">
      <c r="A6964" s="996" t="str">
        <f>CONCATENATE(Programme!D6965,Programme!E6965,Programme!F6965,Programme!G6965,Programme!H6965,Programme!I6965,Programme!J6965)</f>
        <v>&lt;codeEdi&gt;1882&lt;/codeEdi&gt;</v>
      </c>
    </row>
    <row r="6965" spans="1:1" x14ac:dyDescent="0.2">
      <c r="A6965" s="996" t="str">
        <f>CONCATENATE(Programme!D6966,Programme!E6966,Programme!F6966,Programme!G6966,Programme!H6966,Programme!I6966,Programme!J6966)</f>
        <v>&lt;/cellule&gt;</v>
      </c>
    </row>
    <row r="6966" spans="1:1" x14ac:dyDescent="0.2">
      <c r="A6966" s="996" t="str">
        <f>CONCATENATE(Programme!D6967,Programme!E6967,Programme!F6967,Programme!G6967,Programme!H6967,Programme!I6967,Programme!J6967)</f>
        <v>&lt;valeur&gt;0&lt;/valeur&gt;</v>
      </c>
    </row>
    <row r="6967" spans="1:1" x14ac:dyDescent="0.2">
      <c r="A6967" s="996" t="str">
        <f>CONCATENATE(Programme!D6968,Programme!E6968,Programme!F6968,Programme!G6968,Programme!H6968,Programme!I6968,Programme!J6968)</f>
        <v>&lt;/ValeurCellule&gt;</v>
      </c>
    </row>
    <row r="6968" spans="1:1" x14ac:dyDescent="0.2">
      <c r="A6968" s="996" t="str">
        <f>CONCATENATE(Programme!D6969,Programme!E6969,Programme!F6969,Programme!G6969,Programme!H6969,Programme!I6969,Programme!J6969)</f>
        <v>&lt;ValeurCellule&gt;</v>
      </c>
    </row>
    <row r="6969" spans="1:1" x14ac:dyDescent="0.2">
      <c r="A6969" s="996" t="str">
        <f>CONCATENATE(Programme!D6970,Programme!E6970,Programme!F6970,Programme!G6970,Programme!H6970,Programme!I6970,Programme!J6970)</f>
        <v>&lt;cellule&gt;</v>
      </c>
    </row>
    <row r="6970" spans="1:1" x14ac:dyDescent="0.2">
      <c r="A6970" s="996" t="str">
        <f>CONCATENATE(Programme!D6971,Programme!E6971,Programme!F6971,Programme!G6971,Programme!H6971,Programme!I6971,Programme!J6971)</f>
        <v>&lt;codeEdi&gt;1899&lt;/codeEdi&gt;</v>
      </c>
    </row>
    <row r="6971" spans="1:1" x14ac:dyDescent="0.2">
      <c r="A6971" s="996" t="str">
        <f>CONCATENATE(Programme!D6972,Programme!E6972,Programme!F6972,Programme!G6972,Programme!H6972,Programme!I6972,Programme!J6972)</f>
        <v>&lt;/cellule&gt;</v>
      </c>
    </row>
    <row r="6972" spans="1:1" x14ac:dyDescent="0.2">
      <c r="A6972" s="996" t="str">
        <f>CONCATENATE(Programme!D6973,Programme!E6973,Programme!F6973,Programme!G6973,Programme!H6973,Programme!I6973,Programme!J6973)</f>
        <v>&lt;valeur&gt;0&lt;/valeur&gt;</v>
      </c>
    </row>
    <row r="6973" spans="1:1" x14ac:dyDescent="0.2">
      <c r="A6973" s="996" t="str">
        <f>CONCATENATE(Programme!D6974,Programme!E6974,Programme!F6974,Programme!G6974,Programme!H6974,Programme!I6974,Programme!J6974)</f>
        <v>&lt;/ValeurCellule&gt;</v>
      </c>
    </row>
    <row r="6974" spans="1:1" x14ac:dyDescent="0.2">
      <c r="A6974" s="996" t="str">
        <f>CONCATENATE(Programme!D6975,Programme!E6975,Programme!F6975,Programme!G6975,Programme!H6975,Programme!I6975,Programme!J6975)</f>
        <v>&lt;ValeurCellule&gt;</v>
      </c>
    </row>
    <row r="6975" spans="1:1" x14ac:dyDescent="0.2">
      <c r="A6975" s="996" t="str">
        <f>CONCATENATE(Programme!D6976,Programme!E6976,Programme!F6976,Programme!G6976,Programme!H6976,Programme!I6976,Programme!J6976)</f>
        <v>&lt;cellule&gt;</v>
      </c>
    </row>
    <row r="6976" spans="1:1" x14ac:dyDescent="0.2">
      <c r="A6976" s="996" t="str">
        <f>CONCATENATE(Programme!D6977,Programme!E6977,Programme!F6977,Programme!G6977,Programme!H6977,Programme!I6977,Programme!J6977)</f>
        <v>&lt;codeEdi&gt;1908&lt;/codeEdi&gt;</v>
      </c>
    </row>
    <row r="6977" spans="1:1" x14ac:dyDescent="0.2">
      <c r="A6977" s="996" t="str">
        <f>CONCATENATE(Programme!D6978,Programme!E6978,Programme!F6978,Programme!G6978,Programme!H6978,Programme!I6978,Programme!J6978)</f>
        <v>&lt;/cellule&gt;</v>
      </c>
    </row>
    <row r="6978" spans="1:1" x14ac:dyDescent="0.2">
      <c r="A6978" s="996" t="str">
        <f>CONCATENATE(Programme!D6979,Programme!E6979,Programme!F6979,Programme!G6979,Programme!H6979,Programme!I6979,Programme!J6979)</f>
        <v>&lt;valeur&gt;0&lt;/valeur&gt;</v>
      </c>
    </row>
    <row r="6979" spans="1:1" x14ac:dyDescent="0.2">
      <c r="A6979" s="996" t="str">
        <f>CONCATENATE(Programme!D6980,Programme!E6980,Programme!F6980,Programme!G6980,Programme!H6980,Programme!I6980,Programme!J6980)</f>
        <v>&lt;/ValeurCellule&gt;</v>
      </c>
    </row>
    <row r="6980" spans="1:1" x14ac:dyDescent="0.2">
      <c r="A6980" s="996" t="str">
        <f>CONCATENATE(Programme!D6981,Programme!E6981,Programme!F6981,Programme!G6981,Programme!H6981,Programme!I6981,Programme!J6981)</f>
        <v>&lt;ValeurCellule&gt;</v>
      </c>
    </row>
    <row r="6981" spans="1:1" x14ac:dyDescent="0.2">
      <c r="A6981" s="996" t="str">
        <f>CONCATENATE(Programme!D6982,Programme!E6982,Programme!F6982,Programme!G6982,Programme!H6982,Programme!I6982,Programme!J6982)</f>
        <v>&lt;cellule&gt;</v>
      </c>
    </row>
    <row r="6982" spans="1:1" x14ac:dyDescent="0.2">
      <c r="A6982" s="996" t="str">
        <f>CONCATENATE(Programme!D6983,Programme!E6983,Programme!F6983,Programme!G6983,Programme!H6983,Programme!I6983,Programme!J6983)</f>
        <v>&lt;codeEdi&gt;1917&lt;/codeEdi&gt;</v>
      </c>
    </row>
    <row r="6983" spans="1:1" x14ac:dyDescent="0.2">
      <c r="A6983" s="996" t="str">
        <f>CONCATENATE(Programme!D6984,Programme!E6984,Programme!F6984,Programme!G6984,Programme!H6984,Programme!I6984,Programme!J6984)</f>
        <v>&lt;/cellule&gt;</v>
      </c>
    </row>
    <row r="6984" spans="1:1" x14ac:dyDescent="0.2">
      <c r="A6984" s="996" t="str">
        <f>CONCATENATE(Programme!D6985,Programme!E6985,Programme!F6985,Programme!G6985,Programme!H6985,Programme!I6985,Programme!J6985)</f>
        <v>&lt;valeur&gt;0&lt;/valeur&gt;</v>
      </c>
    </row>
    <row r="6985" spans="1:1" x14ac:dyDescent="0.2">
      <c r="A6985" s="996" t="str">
        <f>CONCATENATE(Programme!D6986,Programme!E6986,Programme!F6986,Programme!G6986,Programme!H6986,Programme!I6986,Programme!J6986)</f>
        <v>&lt;/ValeurCellule&gt;</v>
      </c>
    </row>
    <row r="6986" spans="1:1" x14ac:dyDescent="0.2">
      <c r="A6986" s="996" t="str">
        <f>CONCATENATE(Programme!D6987,Programme!E6987,Programme!F6987,Programme!G6987,Programme!H6987,Programme!I6987,Programme!J6987)</f>
        <v>&lt;ValeurCellule&gt;</v>
      </c>
    </row>
    <row r="6987" spans="1:1" x14ac:dyDescent="0.2">
      <c r="A6987" s="996" t="str">
        <f>CONCATENATE(Programme!D6988,Programme!E6988,Programme!F6988,Programme!G6988,Programme!H6988,Programme!I6988,Programme!J6988)</f>
        <v>&lt;cellule&gt;</v>
      </c>
    </row>
    <row r="6988" spans="1:1" x14ac:dyDescent="0.2">
      <c r="A6988" s="996" t="str">
        <f>CONCATENATE(Programme!D6989,Programme!E6989,Programme!F6989,Programme!G6989,Programme!H6989,Programme!I6989,Programme!J6989)</f>
        <v>&lt;codeEdi&gt;1926&lt;/codeEdi&gt;</v>
      </c>
    </row>
    <row r="6989" spans="1:1" x14ac:dyDescent="0.2">
      <c r="A6989" s="996" t="str">
        <f>CONCATENATE(Programme!D6990,Programme!E6990,Programme!F6990,Programme!G6990,Programme!H6990,Programme!I6990,Programme!J6990)</f>
        <v>&lt;/cellule&gt;</v>
      </c>
    </row>
    <row r="6990" spans="1:1" x14ac:dyDescent="0.2">
      <c r="A6990" s="996" t="str">
        <f>CONCATENATE(Programme!D6991,Programme!E6991,Programme!F6991,Programme!G6991,Programme!H6991,Programme!I6991,Programme!J6991)</f>
        <v>&lt;valeur&gt;0&lt;/valeur&gt;</v>
      </c>
    </row>
    <row r="6991" spans="1:1" x14ac:dyDescent="0.2">
      <c r="A6991" s="996" t="str">
        <f>CONCATENATE(Programme!D6992,Programme!E6992,Programme!F6992,Programme!G6992,Programme!H6992,Programme!I6992,Programme!J6992)</f>
        <v>&lt;/ValeurCellule&gt;</v>
      </c>
    </row>
    <row r="6992" spans="1:1" x14ac:dyDescent="0.2">
      <c r="A6992" s="996" t="str">
        <f>CONCATENATE(Programme!D6993,Programme!E6993,Programme!F6993,Programme!G6993,Programme!H6993,Programme!I6993,Programme!J6993)</f>
        <v>&lt;ValeurCellule&gt;</v>
      </c>
    </row>
    <row r="6993" spans="1:1" x14ac:dyDescent="0.2">
      <c r="A6993" s="996" t="str">
        <f>CONCATENATE(Programme!D6994,Programme!E6994,Programme!F6994,Programme!G6994,Programme!H6994,Programme!I6994,Programme!J6994)</f>
        <v>&lt;cellule&gt;</v>
      </c>
    </row>
    <row r="6994" spans="1:1" x14ac:dyDescent="0.2">
      <c r="A6994" s="996" t="str">
        <f>CONCATENATE(Programme!D6995,Programme!E6995,Programme!F6995,Programme!G6995,Programme!H6995,Programme!I6995,Programme!J6995)</f>
        <v>&lt;codeEdi&gt;1754&lt;/codeEdi&gt;</v>
      </c>
    </row>
    <row r="6995" spans="1:1" x14ac:dyDescent="0.2">
      <c r="A6995" s="996" t="str">
        <f>CONCATENATE(Programme!D6996,Programme!E6996,Programme!F6996,Programme!G6996,Programme!H6996,Programme!I6996,Programme!J6996)</f>
        <v>&lt;/cellule&gt;</v>
      </c>
    </row>
    <row r="6996" spans="1:1" x14ac:dyDescent="0.2">
      <c r="A6996" s="996" t="str">
        <f>CONCATENATE(Programme!D6997,Programme!E6997,Programme!F6997,Programme!G6997,Programme!H6997,Programme!I6997,Programme!J6997)</f>
        <v>&lt;valeur&gt;0&lt;/valeur&gt;</v>
      </c>
    </row>
    <row r="6997" spans="1:1" x14ac:dyDescent="0.2">
      <c r="A6997" s="996" t="str">
        <f>CONCATENATE(Programme!D6998,Programme!E6998,Programme!F6998,Programme!G6998,Programme!H6998,Programme!I6998,Programme!J6998)</f>
        <v>&lt;/ValeurCellule&gt;</v>
      </c>
    </row>
    <row r="6998" spans="1:1" x14ac:dyDescent="0.2">
      <c r="A6998" s="996" t="str">
        <f>CONCATENATE(Programme!D6999,Programme!E6999,Programme!F6999,Programme!G6999,Programme!H6999,Programme!I6999,Programme!J6999)</f>
        <v>&lt;ValeurCellule&gt;</v>
      </c>
    </row>
    <row r="6999" spans="1:1" x14ac:dyDescent="0.2">
      <c r="A6999" s="996" t="str">
        <f>CONCATENATE(Programme!D7000,Programme!E7000,Programme!F7000,Programme!G7000,Programme!H7000,Programme!I7000,Programme!J7000)</f>
        <v>&lt;cellule&gt;</v>
      </c>
    </row>
    <row r="7000" spans="1:1" x14ac:dyDescent="0.2">
      <c r="A7000" s="996" t="str">
        <f>CONCATENATE(Programme!D7001,Programme!E7001,Programme!F7001,Programme!G7001,Programme!H7001,Programme!I7001,Programme!J7001)</f>
        <v>&lt;codeEdi&gt;1790&lt;/codeEdi&gt;</v>
      </c>
    </row>
    <row r="7001" spans="1:1" x14ac:dyDescent="0.2">
      <c r="A7001" s="996" t="str">
        <f>CONCATENATE(Programme!D7002,Programme!E7002,Programme!F7002,Programme!G7002,Programme!H7002,Programme!I7002,Programme!J7002)</f>
        <v>&lt;/cellule&gt;</v>
      </c>
    </row>
    <row r="7002" spans="1:1" x14ac:dyDescent="0.2">
      <c r="A7002" s="996" t="str">
        <f>CONCATENATE(Programme!D7003,Programme!E7003,Programme!F7003,Programme!G7003,Programme!H7003,Programme!I7003,Programme!J7003)</f>
        <v>&lt;valeur&gt;0&lt;/valeur&gt;</v>
      </c>
    </row>
    <row r="7003" spans="1:1" x14ac:dyDescent="0.2">
      <c r="A7003" s="996" t="str">
        <f>CONCATENATE(Programme!D7004,Programme!E7004,Programme!F7004,Programme!G7004,Programme!H7004,Programme!I7004,Programme!J7004)</f>
        <v>&lt;/ValeurCellule&gt;</v>
      </c>
    </row>
    <row r="7004" spans="1:1" x14ac:dyDescent="0.2">
      <c r="A7004" s="996" t="str">
        <f>CONCATENATE(Programme!D7005,Programme!E7005,Programme!F7005,Programme!G7005,Programme!H7005,Programme!I7005,Programme!J7005)</f>
        <v>&lt;ValeurCellule&gt;</v>
      </c>
    </row>
    <row r="7005" spans="1:1" x14ac:dyDescent="0.2">
      <c r="A7005" s="996" t="str">
        <f>CONCATENATE(Programme!D7006,Programme!E7006,Programme!F7006,Programme!G7006,Programme!H7006,Programme!I7006,Programme!J7006)</f>
        <v>&lt;cellule&gt;</v>
      </c>
    </row>
    <row r="7006" spans="1:1" x14ac:dyDescent="0.2">
      <c r="A7006" s="996" t="str">
        <f>CONCATENATE(Programme!D7007,Programme!E7007,Programme!F7007,Programme!G7007,Programme!H7007,Programme!I7007,Programme!J7007)</f>
        <v>&lt;codeEdi&gt;1833&lt;/codeEdi&gt;</v>
      </c>
    </row>
    <row r="7007" spans="1:1" x14ac:dyDescent="0.2">
      <c r="A7007" s="996" t="str">
        <f>CONCATENATE(Programme!D7008,Programme!E7008,Programme!F7008,Programme!G7008,Programme!H7008,Programme!I7008,Programme!J7008)</f>
        <v>&lt;/cellule&gt;</v>
      </c>
    </row>
    <row r="7008" spans="1:1" x14ac:dyDescent="0.2">
      <c r="A7008" s="996" t="str">
        <f>CONCATENATE(Programme!D7009,Programme!E7009,Programme!F7009,Programme!G7009,Programme!H7009,Programme!I7009,Programme!J7009)</f>
        <v>&lt;valeur&gt;0&lt;/valeur&gt;</v>
      </c>
    </row>
    <row r="7009" spans="1:1" x14ac:dyDescent="0.2">
      <c r="A7009" s="996" t="str">
        <f>CONCATENATE(Programme!D7010,Programme!E7010,Programme!F7010,Programme!G7010,Programme!H7010,Programme!I7010,Programme!J7010)</f>
        <v>&lt;/ValeurCellule&gt;</v>
      </c>
    </row>
    <row r="7010" spans="1:1" x14ac:dyDescent="0.2">
      <c r="A7010" s="996" t="str">
        <f>CONCATENATE(Programme!D7011,Programme!E7011,Programme!F7011,Programme!G7011,Programme!H7011,Programme!I7011,Programme!J7011)</f>
        <v>&lt;ValeurCellule&gt;</v>
      </c>
    </row>
    <row r="7011" spans="1:1" x14ac:dyDescent="0.2">
      <c r="A7011" s="996" t="str">
        <f>CONCATENATE(Programme!D7012,Programme!E7012,Programme!F7012,Programme!G7012,Programme!H7012,Programme!I7012,Programme!J7012)</f>
        <v>&lt;cellule&gt;</v>
      </c>
    </row>
    <row r="7012" spans="1:1" x14ac:dyDescent="0.2">
      <c r="A7012" s="996" t="str">
        <f>CONCATENATE(Programme!D7013,Programme!E7013,Programme!F7013,Programme!G7013,Programme!H7013,Programme!I7013,Programme!J7013)</f>
        <v>&lt;codeEdi&gt;1850&lt;/codeEdi&gt;</v>
      </c>
    </row>
    <row r="7013" spans="1:1" x14ac:dyDescent="0.2">
      <c r="A7013" s="996" t="str">
        <f>CONCATENATE(Programme!D7014,Programme!E7014,Programme!F7014,Programme!G7014,Programme!H7014,Programme!I7014,Programme!J7014)</f>
        <v>&lt;/cellule&gt;</v>
      </c>
    </row>
    <row r="7014" spans="1:1" x14ac:dyDescent="0.2">
      <c r="A7014" s="996" t="str">
        <f>CONCATENATE(Programme!D7015,Programme!E7015,Programme!F7015,Programme!G7015,Programme!H7015,Programme!I7015,Programme!J7015)</f>
        <v>&lt;valeur&gt;0&lt;/valeur&gt;</v>
      </c>
    </row>
    <row r="7015" spans="1:1" x14ac:dyDescent="0.2">
      <c r="A7015" s="996" t="str">
        <f>CONCATENATE(Programme!D7016,Programme!E7016,Programme!F7016,Programme!G7016,Programme!H7016,Programme!I7016,Programme!J7016)</f>
        <v>&lt;/ValeurCellule&gt;</v>
      </c>
    </row>
    <row r="7016" spans="1:1" x14ac:dyDescent="0.2">
      <c r="A7016" s="996" t="str">
        <f>CONCATENATE(Programme!D7017,Programme!E7017,Programme!F7017,Programme!G7017,Programme!H7017,Programme!I7017,Programme!J7017)</f>
        <v>&lt;ValeurCellule&gt;</v>
      </c>
    </row>
    <row r="7017" spans="1:1" x14ac:dyDescent="0.2">
      <c r="A7017" s="996" t="str">
        <f>CONCATENATE(Programme!D7018,Programme!E7018,Programme!F7018,Programme!G7018,Programme!H7018,Programme!I7018,Programme!J7018)</f>
        <v>&lt;cellule&gt;</v>
      </c>
    </row>
    <row r="7018" spans="1:1" x14ac:dyDescent="0.2">
      <c r="A7018" s="996" t="str">
        <f>CONCATENATE(Programme!D7019,Programme!E7019,Programme!F7019,Programme!G7019,Programme!H7019,Programme!I7019,Programme!J7019)</f>
        <v>&lt;codeEdi&gt;1883&lt;/codeEdi&gt;</v>
      </c>
    </row>
    <row r="7019" spans="1:1" x14ac:dyDescent="0.2">
      <c r="A7019" s="996" t="str">
        <f>CONCATENATE(Programme!D7020,Programme!E7020,Programme!F7020,Programme!G7020,Programme!H7020,Programme!I7020,Programme!J7020)</f>
        <v>&lt;/cellule&gt;</v>
      </c>
    </row>
    <row r="7020" spans="1:1" x14ac:dyDescent="0.2">
      <c r="A7020" s="996" t="str">
        <f>CONCATENATE(Programme!D7021,Programme!E7021,Programme!F7021,Programme!G7021,Programme!H7021,Programme!I7021,Programme!J7021)</f>
        <v>&lt;valeur&gt;0&lt;/valeur&gt;</v>
      </c>
    </row>
    <row r="7021" spans="1:1" x14ac:dyDescent="0.2">
      <c r="A7021" s="996" t="str">
        <f>CONCATENATE(Programme!D7022,Programme!E7022,Programme!F7022,Programme!G7022,Programme!H7022,Programme!I7022,Programme!J7022)</f>
        <v>&lt;/ValeurCellule&gt;</v>
      </c>
    </row>
    <row r="7022" spans="1:1" x14ac:dyDescent="0.2">
      <c r="A7022" s="996" t="str">
        <f>CONCATENATE(Programme!D7023,Programme!E7023,Programme!F7023,Programme!G7023,Programme!H7023,Programme!I7023,Programme!J7023)</f>
        <v>&lt;ValeurCellule&gt;</v>
      </c>
    </row>
    <row r="7023" spans="1:1" x14ac:dyDescent="0.2">
      <c r="A7023" s="996" t="str">
        <f>CONCATENATE(Programme!D7024,Programme!E7024,Programme!F7024,Programme!G7024,Programme!H7024,Programme!I7024,Programme!J7024)</f>
        <v>&lt;cellule&gt;</v>
      </c>
    </row>
    <row r="7024" spans="1:1" x14ac:dyDescent="0.2">
      <c r="A7024" s="996" t="str">
        <f>CONCATENATE(Programme!D7025,Programme!E7025,Programme!F7025,Programme!G7025,Programme!H7025,Programme!I7025,Programme!J7025)</f>
        <v>&lt;codeEdi&gt;1900&lt;/codeEdi&gt;</v>
      </c>
    </row>
    <row r="7025" spans="1:1" x14ac:dyDescent="0.2">
      <c r="A7025" s="996" t="str">
        <f>CONCATENATE(Programme!D7026,Programme!E7026,Programme!F7026,Programme!G7026,Programme!H7026,Programme!I7026,Programme!J7026)</f>
        <v>&lt;/cellule&gt;</v>
      </c>
    </row>
    <row r="7026" spans="1:1" x14ac:dyDescent="0.2">
      <c r="A7026" s="996" t="str">
        <f>CONCATENATE(Programme!D7027,Programme!E7027,Programme!F7027,Programme!G7027,Programme!H7027,Programme!I7027,Programme!J7027)</f>
        <v>&lt;valeur&gt;0&lt;/valeur&gt;</v>
      </c>
    </row>
    <row r="7027" spans="1:1" x14ac:dyDescent="0.2">
      <c r="A7027" s="996" t="str">
        <f>CONCATENATE(Programme!D7028,Programme!E7028,Programme!F7028,Programme!G7028,Programme!H7028,Programme!I7028,Programme!J7028)</f>
        <v>&lt;/ValeurCellule&gt;</v>
      </c>
    </row>
    <row r="7028" spans="1:1" x14ac:dyDescent="0.2">
      <c r="A7028" s="996" t="str">
        <f>CONCATENATE(Programme!D7029,Programme!E7029,Programme!F7029,Programme!G7029,Programme!H7029,Programme!I7029,Programme!J7029)</f>
        <v>&lt;ValeurCellule&gt;</v>
      </c>
    </row>
    <row r="7029" spans="1:1" x14ac:dyDescent="0.2">
      <c r="A7029" s="996" t="str">
        <f>CONCATENATE(Programme!D7030,Programme!E7030,Programme!F7030,Programme!G7030,Programme!H7030,Programme!I7030,Programme!J7030)</f>
        <v>&lt;cellule&gt;</v>
      </c>
    </row>
    <row r="7030" spans="1:1" x14ac:dyDescent="0.2">
      <c r="A7030" s="996" t="str">
        <f>CONCATENATE(Programme!D7031,Programme!E7031,Programme!F7031,Programme!G7031,Programme!H7031,Programme!I7031,Programme!J7031)</f>
        <v>&lt;codeEdi&gt;1909&lt;/codeEdi&gt;</v>
      </c>
    </row>
    <row r="7031" spans="1:1" x14ac:dyDescent="0.2">
      <c r="A7031" s="996" t="str">
        <f>CONCATENATE(Programme!D7032,Programme!E7032,Programme!F7032,Programme!G7032,Programme!H7032,Programme!I7032,Programme!J7032)</f>
        <v>&lt;/cellule&gt;</v>
      </c>
    </row>
    <row r="7032" spans="1:1" x14ac:dyDescent="0.2">
      <c r="A7032" s="996" t="str">
        <f>CONCATENATE(Programme!D7033,Programme!E7033,Programme!F7033,Programme!G7033,Programme!H7033,Programme!I7033,Programme!J7033)</f>
        <v>&lt;valeur&gt;&lt;/valeur&gt;</v>
      </c>
    </row>
    <row r="7033" spans="1:1" x14ac:dyDescent="0.2">
      <c r="A7033" s="996" t="str">
        <f>CONCATENATE(Programme!D7034,Programme!E7034,Programme!F7034,Programme!G7034,Programme!H7034,Programme!I7034,Programme!J7034)</f>
        <v>&lt;/ValeurCellule&gt;</v>
      </c>
    </row>
    <row r="7034" spans="1:1" x14ac:dyDescent="0.2">
      <c r="A7034" s="996" t="str">
        <f>CONCATENATE(Programme!D7035,Programme!E7035,Programme!F7035,Programme!G7035,Programme!H7035,Programme!I7035,Programme!J7035)</f>
        <v>&lt;ValeurCellule&gt;</v>
      </c>
    </row>
    <row r="7035" spans="1:1" x14ac:dyDescent="0.2">
      <c r="A7035" s="996" t="str">
        <f>CONCATENATE(Programme!D7036,Programme!E7036,Programme!F7036,Programme!G7036,Programme!H7036,Programme!I7036,Programme!J7036)</f>
        <v>&lt;cellule&gt;</v>
      </c>
    </row>
    <row r="7036" spans="1:1" x14ac:dyDescent="0.2">
      <c r="A7036" s="996" t="str">
        <f>CONCATENATE(Programme!D7037,Programme!E7037,Programme!F7037,Programme!G7037,Programme!H7037,Programme!I7037,Programme!J7037)</f>
        <v>&lt;codeEdi&gt;1918&lt;/codeEdi&gt;</v>
      </c>
    </row>
    <row r="7037" spans="1:1" x14ac:dyDescent="0.2">
      <c r="A7037" s="996" t="str">
        <f>CONCATENATE(Programme!D7038,Programme!E7038,Programme!F7038,Programme!G7038,Programme!H7038,Programme!I7038,Programme!J7038)</f>
        <v>&lt;/cellule&gt;</v>
      </c>
    </row>
    <row r="7038" spans="1:1" x14ac:dyDescent="0.2">
      <c r="A7038" s="996" t="str">
        <f>CONCATENATE(Programme!D7039,Programme!E7039,Programme!F7039,Programme!G7039,Programme!H7039,Programme!I7039,Programme!J7039)</f>
        <v>&lt;valeur&gt;&lt;/valeur&gt;</v>
      </c>
    </row>
    <row r="7039" spans="1:1" x14ac:dyDescent="0.2">
      <c r="A7039" s="996" t="str">
        <f>CONCATENATE(Programme!D7040,Programme!E7040,Programme!F7040,Programme!G7040,Programme!H7040,Programme!I7040,Programme!J7040)</f>
        <v>&lt;/ValeurCellule&gt;</v>
      </c>
    </row>
    <row r="7040" spans="1:1" x14ac:dyDescent="0.2">
      <c r="A7040" s="996" t="str">
        <f>CONCATENATE(Programme!D7041,Programme!E7041,Programme!F7041,Programme!G7041,Programme!H7041,Programme!I7041,Programme!J7041)</f>
        <v>&lt;ValeurCellule&gt;</v>
      </c>
    </row>
    <row r="7041" spans="1:1" x14ac:dyDescent="0.2">
      <c r="A7041" s="996" t="str">
        <f>CONCATENATE(Programme!D7042,Programme!E7042,Programme!F7042,Programme!G7042,Programme!H7042,Programme!I7042,Programme!J7042)</f>
        <v>&lt;cellule&gt;</v>
      </c>
    </row>
    <row r="7042" spans="1:1" x14ac:dyDescent="0.2">
      <c r="A7042" s="996" t="str">
        <f>CONCATENATE(Programme!D7043,Programme!E7043,Programme!F7043,Programme!G7043,Programme!H7043,Programme!I7043,Programme!J7043)</f>
        <v>&lt;codeEdi&gt;1927&lt;/codeEdi&gt;</v>
      </c>
    </row>
    <row r="7043" spans="1:1" x14ac:dyDescent="0.2">
      <c r="A7043" s="996" t="str">
        <f>CONCATENATE(Programme!D7044,Programme!E7044,Programme!F7044,Programme!G7044,Programme!H7044,Programme!I7044,Programme!J7044)</f>
        <v>&lt;/cellule&gt;</v>
      </c>
    </row>
    <row r="7044" spans="1:1" x14ac:dyDescent="0.2">
      <c r="A7044" s="996" t="str">
        <f>CONCATENATE(Programme!D7045,Programme!E7045,Programme!F7045,Programme!G7045,Programme!H7045,Programme!I7045,Programme!J7045)</f>
        <v>&lt;valeur&gt;0&lt;/valeur&gt;</v>
      </c>
    </row>
    <row r="7045" spans="1:1" x14ac:dyDescent="0.2">
      <c r="A7045" s="996" t="str">
        <f>CONCATENATE(Programme!D7046,Programme!E7046,Programme!F7046,Programme!G7046,Programme!H7046,Programme!I7046,Programme!J7046)</f>
        <v>&lt;/ValeurCellule&gt;</v>
      </c>
    </row>
    <row r="7046" spans="1:1" x14ac:dyDescent="0.2">
      <c r="A7046" s="996" t="str">
        <f>CONCATENATE(Programme!D7047,Programme!E7047,Programme!F7047,Programme!G7047,Programme!H7047,Programme!I7047,Programme!J7047)</f>
        <v>&lt;ValeurCellule&gt;</v>
      </c>
    </row>
    <row r="7047" spans="1:1" x14ac:dyDescent="0.2">
      <c r="A7047" s="996" t="str">
        <f>CONCATENATE(Programme!D7048,Programme!E7048,Programme!F7048,Programme!G7048,Programme!H7048,Programme!I7048,Programme!J7048)</f>
        <v>&lt;cellule&gt;</v>
      </c>
    </row>
    <row r="7048" spans="1:1" x14ac:dyDescent="0.2">
      <c r="A7048" s="996" t="str">
        <f>CONCATENATE(Programme!D7049,Programme!E7049,Programme!F7049,Programme!G7049,Programme!H7049,Programme!I7049,Programme!J7049)</f>
        <v>&lt;codeEdi&gt;1755&lt;/codeEdi&gt;</v>
      </c>
    </row>
    <row r="7049" spans="1:1" x14ac:dyDescent="0.2">
      <c r="A7049" s="996" t="str">
        <f>CONCATENATE(Programme!D7050,Programme!E7050,Programme!F7050,Programme!G7050,Programme!H7050,Programme!I7050,Programme!J7050)</f>
        <v>&lt;/cellule&gt;</v>
      </c>
    </row>
    <row r="7050" spans="1:1" x14ac:dyDescent="0.2">
      <c r="A7050" s="996" t="str">
        <f>CONCATENATE(Programme!D7051,Programme!E7051,Programme!F7051,Programme!G7051,Programme!H7051,Programme!I7051,Programme!J7051)</f>
        <v>&lt;valeur&gt;0&lt;/valeur&gt;</v>
      </c>
    </row>
    <row r="7051" spans="1:1" x14ac:dyDescent="0.2">
      <c r="A7051" s="996" t="str">
        <f>CONCATENATE(Programme!D7052,Programme!E7052,Programme!F7052,Programme!G7052,Programme!H7052,Programme!I7052,Programme!J7052)</f>
        <v>&lt;/ValeurCellule&gt;</v>
      </c>
    </row>
    <row r="7052" spans="1:1" x14ac:dyDescent="0.2">
      <c r="A7052" s="996" t="str">
        <f>CONCATENATE(Programme!D7053,Programme!E7053,Programme!F7053,Programme!G7053,Programme!H7053,Programme!I7053,Programme!J7053)</f>
        <v>&lt;ValeurCellule&gt;</v>
      </c>
    </row>
    <row r="7053" spans="1:1" x14ac:dyDescent="0.2">
      <c r="A7053" s="996" t="str">
        <f>CONCATENATE(Programme!D7054,Programme!E7054,Programme!F7054,Programme!G7054,Programme!H7054,Programme!I7054,Programme!J7054)</f>
        <v>&lt;cellule&gt;</v>
      </c>
    </row>
    <row r="7054" spans="1:1" x14ac:dyDescent="0.2">
      <c r="A7054" s="996" t="str">
        <f>CONCATENATE(Programme!D7055,Programme!E7055,Programme!F7055,Programme!G7055,Programme!H7055,Programme!I7055,Programme!J7055)</f>
        <v>&lt;codeEdi&gt;1791&lt;/codeEdi&gt;</v>
      </c>
    </row>
    <row r="7055" spans="1:1" x14ac:dyDescent="0.2">
      <c r="A7055" s="996" t="str">
        <f>CONCATENATE(Programme!D7056,Programme!E7056,Programme!F7056,Programme!G7056,Programme!H7056,Programme!I7056,Programme!J7056)</f>
        <v>&lt;/cellule&gt;</v>
      </c>
    </row>
    <row r="7056" spans="1:1" x14ac:dyDescent="0.2">
      <c r="A7056" s="996" t="str">
        <f>CONCATENATE(Programme!D7057,Programme!E7057,Programme!F7057,Programme!G7057,Programme!H7057,Programme!I7057,Programme!J7057)</f>
        <v>&lt;valeur&gt;0&lt;/valeur&gt;</v>
      </c>
    </row>
    <row r="7057" spans="1:1" x14ac:dyDescent="0.2">
      <c r="A7057" s="996" t="str">
        <f>CONCATENATE(Programme!D7058,Programme!E7058,Programme!F7058,Programme!G7058,Programme!H7058,Programme!I7058,Programme!J7058)</f>
        <v>&lt;/ValeurCellule&gt;</v>
      </c>
    </row>
    <row r="7058" spans="1:1" x14ac:dyDescent="0.2">
      <c r="A7058" s="996" t="str">
        <f>CONCATENATE(Programme!D7059,Programme!E7059,Programme!F7059,Programme!G7059,Programme!H7059,Programme!I7059,Programme!J7059)</f>
        <v>&lt;ValeurCellule&gt;</v>
      </c>
    </row>
    <row r="7059" spans="1:1" x14ac:dyDescent="0.2">
      <c r="A7059" s="996" t="str">
        <f>CONCATENATE(Programme!D7060,Programme!E7060,Programme!F7060,Programme!G7060,Programme!H7060,Programme!I7060,Programme!J7060)</f>
        <v>&lt;cellule&gt;</v>
      </c>
    </row>
    <row r="7060" spans="1:1" x14ac:dyDescent="0.2">
      <c r="A7060" s="996" t="str">
        <f>CONCATENATE(Programme!D7061,Programme!E7061,Programme!F7061,Programme!G7061,Programme!H7061,Programme!I7061,Programme!J7061)</f>
        <v>&lt;codeEdi&gt;1834&lt;/codeEdi&gt;</v>
      </c>
    </row>
    <row r="7061" spans="1:1" x14ac:dyDescent="0.2">
      <c r="A7061" s="996" t="str">
        <f>CONCATENATE(Programme!D7062,Programme!E7062,Programme!F7062,Programme!G7062,Programme!H7062,Programme!I7062,Programme!J7062)</f>
        <v>&lt;/cellule&gt;</v>
      </c>
    </row>
    <row r="7062" spans="1:1" x14ac:dyDescent="0.2">
      <c r="A7062" s="996" t="str">
        <f>CONCATENATE(Programme!D7063,Programme!E7063,Programme!F7063,Programme!G7063,Programme!H7063,Programme!I7063,Programme!J7063)</f>
        <v>&lt;valeur&gt;0&lt;/valeur&gt;</v>
      </c>
    </row>
    <row r="7063" spans="1:1" x14ac:dyDescent="0.2">
      <c r="A7063" s="996" t="str">
        <f>CONCATENATE(Programme!D7064,Programme!E7064,Programme!F7064,Programme!G7064,Programme!H7064,Programme!I7064,Programme!J7064)</f>
        <v>&lt;/ValeurCellule&gt;</v>
      </c>
    </row>
    <row r="7064" spans="1:1" x14ac:dyDescent="0.2">
      <c r="A7064" s="996" t="str">
        <f>CONCATENATE(Programme!D7065,Programme!E7065,Programme!F7065,Programme!G7065,Programme!H7065,Programme!I7065,Programme!J7065)</f>
        <v>&lt;ValeurCellule&gt;</v>
      </c>
    </row>
    <row r="7065" spans="1:1" x14ac:dyDescent="0.2">
      <c r="A7065" s="996" t="str">
        <f>CONCATENATE(Programme!D7066,Programme!E7066,Programme!F7066,Programme!G7066,Programme!H7066,Programme!I7066,Programme!J7066)</f>
        <v>&lt;cellule&gt;</v>
      </c>
    </row>
    <row r="7066" spans="1:1" x14ac:dyDescent="0.2">
      <c r="A7066" s="996" t="str">
        <f>CONCATENATE(Programme!D7067,Programme!E7067,Programme!F7067,Programme!G7067,Programme!H7067,Programme!I7067,Programme!J7067)</f>
        <v>&lt;codeEdi&gt;1851&lt;/codeEdi&gt;</v>
      </c>
    </row>
    <row r="7067" spans="1:1" x14ac:dyDescent="0.2">
      <c r="A7067" s="996" t="str">
        <f>CONCATENATE(Programme!D7068,Programme!E7068,Programme!F7068,Programme!G7068,Programme!H7068,Programme!I7068,Programme!J7068)</f>
        <v>&lt;/cellule&gt;</v>
      </c>
    </row>
    <row r="7068" spans="1:1" x14ac:dyDescent="0.2">
      <c r="A7068" s="996" t="str">
        <f>CONCATENATE(Programme!D7069,Programme!E7069,Programme!F7069,Programme!G7069,Programme!H7069,Programme!I7069,Programme!J7069)</f>
        <v>&lt;valeur&gt;0&lt;/valeur&gt;</v>
      </c>
    </row>
    <row r="7069" spans="1:1" x14ac:dyDescent="0.2">
      <c r="A7069" s="996" t="str">
        <f>CONCATENATE(Programme!D7070,Programme!E7070,Programme!F7070,Programme!G7070,Programme!H7070,Programme!I7070,Programme!J7070)</f>
        <v>&lt;/ValeurCellule&gt;</v>
      </c>
    </row>
    <row r="7070" spans="1:1" x14ac:dyDescent="0.2">
      <c r="A7070" s="996" t="str">
        <f>CONCATENATE(Programme!D7071,Programme!E7071,Programme!F7071,Programme!G7071,Programme!H7071,Programme!I7071,Programme!J7071)</f>
        <v>&lt;ValeurCellule&gt;</v>
      </c>
    </row>
    <row r="7071" spans="1:1" x14ac:dyDescent="0.2">
      <c r="A7071" s="996" t="str">
        <f>CONCATENATE(Programme!D7072,Programme!E7072,Programme!F7072,Programme!G7072,Programme!H7072,Programme!I7072,Programme!J7072)</f>
        <v>&lt;cellule&gt;</v>
      </c>
    </row>
    <row r="7072" spans="1:1" x14ac:dyDescent="0.2">
      <c r="A7072" s="996" t="str">
        <f>CONCATENATE(Programme!D7073,Programme!E7073,Programme!F7073,Programme!G7073,Programme!H7073,Programme!I7073,Programme!J7073)</f>
        <v>&lt;codeEdi&gt;1884&lt;/codeEdi&gt;</v>
      </c>
    </row>
    <row r="7073" spans="1:1" x14ac:dyDescent="0.2">
      <c r="A7073" s="996" t="str">
        <f>CONCATENATE(Programme!D7074,Programme!E7074,Programme!F7074,Programme!G7074,Programme!H7074,Programme!I7074,Programme!J7074)</f>
        <v>&lt;/cellule&gt;</v>
      </c>
    </row>
    <row r="7074" spans="1:1" x14ac:dyDescent="0.2">
      <c r="A7074" s="996" t="str">
        <f>CONCATENATE(Programme!D7075,Programme!E7075,Programme!F7075,Programme!G7075,Programme!H7075,Programme!I7075,Programme!J7075)</f>
        <v>&lt;valeur&gt;0&lt;/valeur&gt;</v>
      </c>
    </row>
    <row r="7075" spans="1:1" x14ac:dyDescent="0.2">
      <c r="A7075" s="996" t="str">
        <f>CONCATENATE(Programme!D7076,Programme!E7076,Programme!F7076,Programme!G7076,Programme!H7076,Programme!I7076,Programme!J7076)</f>
        <v>&lt;/ValeurCellule&gt;</v>
      </c>
    </row>
    <row r="7076" spans="1:1" x14ac:dyDescent="0.2">
      <c r="A7076" s="996" t="str">
        <f>CONCATENATE(Programme!D7077,Programme!E7077,Programme!F7077,Programme!G7077,Programme!H7077,Programme!I7077,Programme!J7077)</f>
        <v>&lt;ValeurCellule&gt;</v>
      </c>
    </row>
    <row r="7077" spans="1:1" x14ac:dyDescent="0.2">
      <c r="A7077" s="996" t="str">
        <f>CONCATENATE(Programme!D7078,Programme!E7078,Programme!F7078,Programme!G7078,Programme!H7078,Programme!I7078,Programme!J7078)</f>
        <v>&lt;cellule&gt;</v>
      </c>
    </row>
    <row r="7078" spans="1:1" x14ac:dyDescent="0.2">
      <c r="A7078" s="996" t="str">
        <f>CONCATENATE(Programme!D7079,Programme!E7079,Programme!F7079,Programme!G7079,Programme!H7079,Programme!I7079,Programme!J7079)</f>
        <v>&lt;codeEdi&gt;1901&lt;/codeEdi&gt;</v>
      </c>
    </row>
    <row r="7079" spans="1:1" x14ac:dyDescent="0.2">
      <c r="A7079" s="996" t="str">
        <f>CONCATENATE(Programme!D7080,Programme!E7080,Programme!F7080,Programme!G7080,Programme!H7080,Programme!I7080,Programme!J7080)</f>
        <v>&lt;/cellule&gt;</v>
      </c>
    </row>
    <row r="7080" spans="1:1" x14ac:dyDescent="0.2">
      <c r="A7080" s="996" t="str">
        <f>CONCATENATE(Programme!D7081,Programme!E7081,Programme!F7081,Programme!G7081,Programme!H7081,Programme!I7081,Programme!J7081)</f>
        <v>&lt;valeur&gt;0&lt;/valeur&gt;</v>
      </c>
    </row>
    <row r="7081" spans="1:1" x14ac:dyDescent="0.2">
      <c r="A7081" s="996" t="str">
        <f>CONCATENATE(Programme!D7082,Programme!E7082,Programme!F7082,Programme!G7082,Programme!H7082,Programme!I7082,Programme!J7082)</f>
        <v>&lt;/ValeurCellule&gt;</v>
      </c>
    </row>
    <row r="7082" spans="1:1" x14ac:dyDescent="0.2">
      <c r="A7082" s="996" t="str">
        <f>CONCATENATE(Programme!D7083,Programme!E7083,Programme!F7083,Programme!G7083,Programme!H7083,Programme!I7083,Programme!J7083)</f>
        <v>&lt;ValeurCellule&gt;</v>
      </c>
    </row>
    <row r="7083" spans="1:1" x14ac:dyDescent="0.2">
      <c r="A7083" s="996" t="str">
        <f>CONCATENATE(Programme!D7084,Programme!E7084,Programme!F7084,Programme!G7084,Programme!H7084,Programme!I7084,Programme!J7084)</f>
        <v>&lt;cellule&gt;</v>
      </c>
    </row>
    <row r="7084" spans="1:1" x14ac:dyDescent="0.2">
      <c r="A7084" s="996" t="str">
        <f>CONCATENATE(Programme!D7085,Programme!E7085,Programme!F7085,Programme!G7085,Programme!H7085,Programme!I7085,Programme!J7085)</f>
        <v>&lt;codeEdi&gt;1910&lt;/codeEdi&gt;</v>
      </c>
    </row>
    <row r="7085" spans="1:1" x14ac:dyDescent="0.2">
      <c r="A7085" s="996" t="str">
        <f>CONCATENATE(Programme!D7086,Programme!E7086,Programme!F7086,Programme!G7086,Programme!H7086,Programme!I7086,Programme!J7086)</f>
        <v>&lt;/cellule&gt;</v>
      </c>
    </row>
    <row r="7086" spans="1:1" x14ac:dyDescent="0.2">
      <c r="A7086" s="996" t="str">
        <f>CONCATENATE(Programme!D7087,Programme!E7087,Programme!F7087,Programme!G7087,Programme!H7087,Programme!I7087,Programme!J7087)</f>
        <v>&lt;valeur&gt;0&lt;/valeur&gt;</v>
      </c>
    </row>
    <row r="7087" spans="1:1" x14ac:dyDescent="0.2">
      <c r="A7087" s="996" t="str">
        <f>CONCATENATE(Programme!D7088,Programme!E7088,Programme!F7088,Programme!G7088,Programme!H7088,Programme!I7088,Programme!J7088)</f>
        <v>&lt;/ValeurCellule&gt;</v>
      </c>
    </row>
    <row r="7088" spans="1:1" x14ac:dyDescent="0.2">
      <c r="A7088" s="996" t="str">
        <f>CONCATENATE(Programme!D7089,Programme!E7089,Programme!F7089,Programme!G7089,Programme!H7089,Programme!I7089,Programme!J7089)</f>
        <v>&lt;ValeurCellule&gt;</v>
      </c>
    </row>
    <row r="7089" spans="1:1" x14ac:dyDescent="0.2">
      <c r="A7089" s="996" t="str">
        <f>CONCATENATE(Programme!D7090,Programme!E7090,Programme!F7090,Programme!G7090,Programme!H7090,Programme!I7090,Programme!J7090)</f>
        <v>&lt;cellule&gt;</v>
      </c>
    </row>
    <row r="7090" spans="1:1" x14ac:dyDescent="0.2">
      <c r="A7090" s="996" t="str">
        <f>CONCATENATE(Programme!D7091,Programme!E7091,Programme!F7091,Programme!G7091,Programme!H7091,Programme!I7091,Programme!J7091)</f>
        <v>&lt;codeEdi&gt;1919&lt;/codeEdi&gt;</v>
      </c>
    </row>
    <row r="7091" spans="1:1" x14ac:dyDescent="0.2">
      <c r="A7091" s="996" t="str">
        <f>CONCATENATE(Programme!D7092,Programme!E7092,Programme!F7092,Programme!G7092,Programme!H7092,Programme!I7092,Programme!J7092)</f>
        <v>&lt;/cellule&gt;</v>
      </c>
    </row>
    <row r="7092" spans="1:1" x14ac:dyDescent="0.2">
      <c r="A7092" s="996" t="str">
        <f>CONCATENATE(Programme!D7093,Programme!E7093,Programme!F7093,Programme!G7093,Programme!H7093,Programme!I7093,Programme!J7093)</f>
        <v>&lt;valeur&gt;0&lt;/valeur&gt;</v>
      </c>
    </row>
    <row r="7093" spans="1:1" x14ac:dyDescent="0.2">
      <c r="A7093" s="996" t="str">
        <f>CONCATENATE(Programme!D7094,Programme!E7094,Programme!F7094,Programme!G7094,Programme!H7094,Programme!I7094,Programme!J7094)</f>
        <v>&lt;/ValeurCellule&gt;</v>
      </c>
    </row>
    <row r="7094" spans="1:1" x14ac:dyDescent="0.2">
      <c r="A7094" s="996" t="str">
        <f>CONCATENATE(Programme!D7095,Programme!E7095,Programme!F7095,Programme!G7095,Programme!H7095,Programme!I7095,Programme!J7095)</f>
        <v>&lt;ValeurCellule&gt;</v>
      </c>
    </row>
    <row r="7095" spans="1:1" x14ac:dyDescent="0.2">
      <c r="A7095" s="996" t="str">
        <f>CONCATENATE(Programme!D7096,Programme!E7096,Programme!F7096,Programme!G7096,Programme!H7096,Programme!I7096,Programme!J7096)</f>
        <v>&lt;cellule&gt;</v>
      </c>
    </row>
    <row r="7096" spans="1:1" x14ac:dyDescent="0.2">
      <c r="A7096" s="996" t="str">
        <f>CONCATENATE(Programme!D7097,Programme!E7097,Programme!F7097,Programme!G7097,Programme!H7097,Programme!I7097,Programme!J7097)</f>
        <v>&lt;codeEdi&gt;1928&lt;/codeEdi&gt;</v>
      </c>
    </row>
    <row r="7097" spans="1:1" x14ac:dyDescent="0.2">
      <c r="A7097" s="996" t="str">
        <f>CONCATENATE(Programme!D7098,Programme!E7098,Programme!F7098,Programme!G7098,Programme!H7098,Programme!I7098,Programme!J7098)</f>
        <v>&lt;/cellule&gt;</v>
      </c>
    </row>
    <row r="7098" spans="1:1" x14ac:dyDescent="0.2">
      <c r="A7098" s="996" t="str">
        <f>CONCATENATE(Programme!D7099,Programme!E7099,Programme!F7099,Programme!G7099,Programme!H7099,Programme!I7099,Programme!J7099)</f>
        <v>&lt;valeur&gt;0&lt;/valeur&gt;</v>
      </c>
    </row>
    <row r="7099" spans="1:1" x14ac:dyDescent="0.2">
      <c r="A7099" s="996" t="str">
        <f>CONCATENATE(Programme!D7100,Programme!E7100,Programme!F7100,Programme!G7100,Programme!H7100,Programme!I7100,Programme!J7100)</f>
        <v>&lt;/ValeurCellule&gt;</v>
      </c>
    </row>
    <row r="7100" spans="1:1" x14ac:dyDescent="0.2">
      <c r="A7100" s="996" t="str">
        <f>CONCATENATE(Programme!D7101,Programme!E7101,Programme!F7101,Programme!G7101,Programme!H7101,Programme!I7101,Programme!J7101)</f>
        <v>&lt;/groupeValeurs&gt;</v>
      </c>
    </row>
    <row r="7101" spans="1:1" x14ac:dyDescent="0.2">
      <c r="A7101" s="996" t="str">
        <f>CONCATENATE(Programme!D7102,Programme!E7102,Programme!F7102,Programme!G7102,Programme!H7102,Programme!I7102,Programme!J7102)</f>
        <v>&lt;extraFieldvaleurs&gt;</v>
      </c>
    </row>
    <row r="7102" spans="1:1" x14ac:dyDescent="0.2">
      <c r="A7102" s="996" t="str">
        <f>CONCATENATE(Programme!D7103,Programme!E7103,Programme!F7103,Programme!G7103,Programme!H7103,Programme!I7103,Programme!J7103)</f>
        <v>&lt;ExtraFieldValeur&gt;</v>
      </c>
    </row>
    <row r="7103" spans="1:1" x14ac:dyDescent="0.2">
      <c r="A7103" s="996" t="str">
        <f>CONCATENATE(Programme!D7104,Programme!E7104,Programme!F7104,Programme!G7104,Programme!H7104,Programme!I7104,Programme!J7104)</f>
        <v xml:space="preserve"> &lt;extraField&gt;</v>
      </c>
    </row>
    <row r="7104" spans="1:1" x14ac:dyDescent="0.2">
      <c r="A7104" s="996" t="str">
        <f>CONCATENATE(Programme!D7105,Programme!E7105,Programme!F7105,Programme!G7105,Programme!H7105,Programme!I7105,Programme!J7105)</f>
        <v>&lt;code&gt;71&lt;/code&gt;</v>
      </c>
    </row>
    <row r="7105" spans="1:1" x14ac:dyDescent="0.2">
      <c r="A7105" s="996" t="str">
        <f>CONCATENATE(Programme!D7106,Programme!E7106,Programme!F7106,Programme!G7106,Programme!H7106,Programme!I7106,Programme!J7106)</f>
        <v xml:space="preserve">&lt;/extraField&gt; </v>
      </c>
    </row>
    <row r="7106" spans="1:1" x14ac:dyDescent="0.2">
      <c r="A7106" s="996" t="str">
        <f>CONCATENATE(Programme!D7107,Programme!E7107,Programme!F7107,Programme!G7107,Programme!H7107,Programme!I7107,Programme!J7107)</f>
        <v>&lt;valeur&gt;31/12/2015&lt;/valeur&gt;</v>
      </c>
    </row>
    <row r="7107" spans="1:1" x14ac:dyDescent="0.2">
      <c r="A7107" s="996" t="str">
        <f>CONCATENATE(Programme!D7108,Programme!E7108,Programme!F7108,Programme!G7108,Programme!H7108,Programme!I7108,Programme!J7108)</f>
        <v>&lt;/ExtraFieldValeur&gt;</v>
      </c>
    </row>
    <row r="7108" spans="1:1" x14ac:dyDescent="0.2">
      <c r="A7108" s="996" t="str">
        <f>CONCATENATE(Programme!D7109,Programme!E7109,Programme!F7109,Programme!G7109,Programme!H7109,Programme!I7109,Programme!J7109)</f>
        <v>&lt;/extraFieldvaleurs&gt;</v>
      </c>
    </row>
    <row r="7109" spans="1:1" x14ac:dyDescent="0.2">
      <c r="A7109" s="996" t="str">
        <f>CONCATENATE(Programme!D7110,Programme!E7110,Programme!F7110,Programme!G7110,Programme!H7110,Programme!I7110,Programme!J7110)</f>
        <v>&lt;/ValeursTableau&gt;</v>
      </c>
    </row>
    <row r="7110" spans="1:1" x14ac:dyDescent="0.2">
      <c r="A7110" s="996" t="str">
        <f>CONCATENATE(Programme!D7111,Programme!E7111,Programme!F7111,Programme!G7111,Programme!H7111,Programme!I7111,Programme!J7111)</f>
        <v>&lt;ValeursTableau&gt;</v>
      </c>
    </row>
    <row r="7111" spans="1:1" x14ac:dyDescent="0.2">
      <c r="A7111" s="996" t="str">
        <f>CONCATENATE(Programme!D7112,Programme!E7112,Programme!F7112,Programme!G7112,Programme!H7112,Programme!I7112,Programme!J7112)</f>
        <v>&lt;tableau&gt;&lt;id&gt;38&lt;/id&gt;&lt;/tableau&gt;</v>
      </c>
    </row>
    <row r="7112" spans="1:1" x14ac:dyDescent="0.2">
      <c r="A7112" s="996" t="str">
        <f>CONCATENATE(Programme!D7113,Programme!E7113,Programme!F7113,Programme!G7113,Programme!H7113,Programme!I7113,Programme!J7113)</f>
        <v>&lt;groupeValeurs&gt;</v>
      </c>
    </row>
    <row r="7113" spans="1:1" x14ac:dyDescent="0.2">
      <c r="A7113" s="996" t="str">
        <f>CONCATENATE(Programme!D7114,Programme!E7114,Programme!F7114,Programme!G7114,Programme!H7114,Programme!I7114,Programme!J7114)</f>
        <v>&lt;ValeurCellule&gt;</v>
      </c>
    </row>
    <row r="7114" spans="1:1" x14ac:dyDescent="0.2">
      <c r="A7114" s="996" t="str">
        <f>CONCATENATE(Programme!D7115,Programme!E7115,Programme!F7115,Programme!G7115,Programme!H7115,Programme!I7115,Programme!J7115)</f>
        <v>&lt;cellule&gt;&lt;codeEdi&gt;1929&lt;/codeEdi&gt;&lt;/cellule&gt;</v>
      </c>
    </row>
    <row r="7115" spans="1:1" x14ac:dyDescent="0.2">
      <c r="A7115" s="996" t="str">
        <f>CONCATENATE(Programme!D7116,Programme!E7116,Programme!F7116,Programme!G7116,Programme!H7116,Programme!I7116,Programme!J7116)</f>
        <v>&lt;valeur&gt;&lt;/valeur&gt;</v>
      </c>
    </row>
    <row r="7116" spans="1:1" x14ac:dyDescent="0.2">
      <c r="A7116" s="996" t="str">
        <f>CONCATENATE(Programme!D7117,Programme!E7117,Programme!F7117,Programme!G7117,Programme!H7117,Programme!I7117,Programme!J7117)</f>
        <v>&lt;numeroLigne&gt;1&lt;/numeroLigne&gt;</v>
      </c>
    </row>
    <row r="7117" spans="1:1" x14ac:dyDescent="0.2">
      <c r="A7117" s="996" t="str">
        <f>CONCATENATE(Programme!D7118,Programme!E7118,Programme!F7118,Programme!G7118,Programme!H7118,Programme!I7118,Programme!J7118)</f>
        <v>&lt;/ValeurCellule&gt;</v>
      </c>
    </row>
    <row r="7118" spans="1:1" x14ac:dyDescent="0.2">
      <c r="A7118" s="996" t="str">
        <f>CONCATENATE(Programme!D7119,Programme!E7119,Programme!F7119,Programme!G7119,Programme!H7119,Programme!I7119,Programme!J7119)</f>
        <v>&lt;ValeurCellule&gt;</v>
      </c>
    </row>
    <row r="7119" spans="1:1" x14ac:dyDescent="0.2">
      <c r="A7119" s="996" t="str">
        <f>CONCATENATE(Programme!D7120,Programme!E7120,Programme!F7120,Programme!G7120,Programme!H7120,Programme!I7120,Programme!J7120)</f>
        <v>&lt;cellule&gt;&lt;codeEdi&gt;1930&lt;/codeEdi&gt;&lt;/cellule&gt;</v>
      </c>
    </row>
    <row r="7120" spans="1:1" x14ac:dyDescent="0.2">
      <c r="A7120" s="996" t="str">
        <f>CONCATENATE(Programme!D7121,Programme!E7121,Programme!F7121,Programme!G7121,Programme!H7121,Programme!I7121,Programme!J7121)</f>
        <v>&lt;valeur&gt;&lt;/valeur&gt;</v>
      </c>
    </row>
    <row r="7121" spans="1:1" x14ac:dyDescent="0.2">
      <c r="A7121" s="996" t="str">
        <f>CONCATENATE(Programme!D7122,Programme!E7122,Programme!F7122,Programme!G7122,Programme!H7122,Programme!I7122,Programme!J7122)</f>
        <v>&lt;numeroLigne&gt;1&lt;/numeroLigne&gt;</v>
      </c>
    </row>
    <row r="7122" spans="1:1" x14ac:dyDescent="0.2">
      <c r="A7122" s="996" t="str">
        <f>CONCATENATE(Programme!D7123,Programme!E7123,Programme!F7123,Programme!G7123,Programme!H7123,Programme!I7123,Programme!J7123)</f>
        <v>&lt;/ValeurCellule&gt;</v>
      </c>
    </row>
    <row r="7123" spans="1:1" x14ac:dyDescent="0.2">
      <c r="A7123" s="996" t="str">
        <f>CONCATENATE(Programme!D7124,Programme!E7124,Programme!F7124,Programme!G7124,Programme!H7124,Programme!I7124,Programme!J7124)</f>
        <v>&lt;ValeurCellule&gt;</v>
      </c>
    </row>
    <row r="7124" spans="1:1" x14ac:dyDescent="0.2">
      <c r="A7124" s="996" t="str">
        <f>CONCATENATE(Programme!D7125,Programme!E7125,Programme!F7125,Programme!G7125,Programme!H7125,Programme!I7125,Programme!J7125)</f>
        <v>&lt;cellule&gt;&lt;codeEdi&gt;1931&lt;/codeEdi&gt;&lt;/cellule&gt;</v>
      </c>
    </row>
    <row r="7125" spans="1:1" x14ac:dyDescent="0.2">
      <c r="A7125" s="996" t="str">
        <f>CONCATENATE(Programme!D7126,Programme!E7126,Programme!F7126,Programme!G7126,Programme!H7126,Programme!I7126,Programme!J7126)</f>
        <v>&lt;valeur&gt;&lt;/valeur&gt;</v>
      </c>
    </row>
    <row r="7126" spans="1:1" x14ac:dyDescent="0.2">
      <c r="A7126" s="996" t="str">
        <f>CONCATENATE(Programme!D7127,Programme!E7127,Programme!F7127,Programme!G7127,Programme!H7127,Programme!I7127,Programme!J7127)</f>
        <v>&lt;numeroLigne&gt;1&lt;/numeroLigne&gt;</v>
      </c>
    </row>
    <row r="7127" spans="1:1" x14ac:dyDescent="0.2">
      <c r="A7127" s="996" t="str">
        <f>CONCATENATE(Programme!D7128,Programme!E7128,Programme!F7128,Programme!G7128,Programme!H7128,Programme!I7128,Programme!J7128)</f>
        <v>&lt;/ValeurCellule&gt;</v>
      </c>
    </row>
    <row r="7128" spans="1:1" x14ac:dyDescent="0.2">
      <c r="A7128" s="996" t="str">
        <f>CONCATENATE(Programme!D7129,Programme!E7129,Programme!F7129,Programme!G7129,Programme!H7129,Programme!I7129,Programme!J7129)</f>
        <v>&lt;ValeurCellule&gt;</v>
      </c>
    </row>
    <row r="7129" spans="1:1" x14ac:dyDescent="0.2">
      <c r="A7129" s="996" t="str">
        <f>CONCATENATE(Programme!D7130,Programme!E7130,Programme!F7130,Programme!G7130,Programme!H7130,Programme!I7130,Programme!J7130)</f>
        <v>&lt;cellule&gt;&lt;codeEdi&gt;1932&lt;/codeEdi&gt;&lt;/cellule&gt;</v>
      </c>
    </row>
    <row r="7130" spans="1:1" x14ac:dyDescent="0.2">
      <c r="A7130" s="996" t="str">
        <f>CONCATENATE(Programme!D7131,Programme!E7131,Programme!F7131,Programme!G7131,Programme!H7131,Programme!I7131,Programme!J7131)</f>
        <v>&lt;valeur&gt;&lt;/valeur&gt;</v>
      </c>
    </row>
    <row r="7131" spans="1:1" x14ac:dyDescent="0.2">
      <c r="A7131" s="996" t="str">
        <f>CONCATENATE(Programme!D7132,Programme!E7132,Programme!F7132,Programme!G7132,Programme!H7132,Programme!I7132,Programme!J7132)</f>
        <v>&lt;numeroLigne&gt;1&lt;/numeroLigne&gt;</v>
      </c>
    </row>
    <row r="7132" spans="1:1" x14ac:dyDescent="0.2">
      <c r="A7132" s="996" t="str">
        <f>CONCATENATE(Programme!D7133,Programme!E7133,Programme!F7133,Programme!G7133,Programme!H7133,Programme!I7133,Programme!J7133)</f>
        <v>&lt;/ValeurCellule&gt;</v>
      </c>
    </row>
    <row r="7133" spans="1:1" x14ac:dyDescent="0.2">
      <c r="A7133" s="996" t="str">
        <f>CONCATENATE(Programme!D7134,Programme!E7134,Programme!F7134,Programme!G7134,Programme!H7134,Programme!I7134,Programme!J7134)</f>
        <v>&lt;ValeurCellule&gt;</v>
      </c>
    </row>
    <row r="7134" spans="1:1" x14ac:dyDescent="0.2">
      <c r="A7134" s="996" t="str">
        <f>CONCATENATE(Programme!D7135,Programme!E7135,Programme!F7135,Programme!G7135,Programme!H7135,Programme!I7135,Programme!J7135)</f>
        <v>&lt;cellule&gt;&lt;codeEdi&gt;1933&lt;/codeEdi&gt;&lt;/cellule&gt;</v>
      </c>
    </row>
    <row r="7135" spans="1:1" x14ac:dyDescent="0.2">
      <c r="A7135" s="996" t="str">
        <f>CONCATENATE(Programme!D7136,Programme!E7136,Programme!F7136,Programme!G7136,Programme!H7136,Programme!I7136,Programme!J7136)</f>
        <v>&lt;valeur&gt;0&lt;/valeur&gt;</v>
      </c>
    </row>
    <row r="7136" spans="1:1" x14ac:dyDescent="0.2">
      <c r="A7136" s="996" t="str">
        <f>CONCATENATE(Programme!D7137,Programme!E7137,Programme!F7137,Programme!G7137,Programme!H7137,Programme!I7137,Programme!J7137)</f>
        <v>&lt;numeroLigne&gt;1&lt;/numeroLigne&gt;</v>
      </c>
    </row>
    <row r="7137" spans="1:1" x14ac:dyDescent="0.2">
      <c r="A7137" s="996" t="str">
        <f>CONCATENATE(Programme!D7138,Programme!E7138,Programme!F7138,Programme!G7138,Programme!H7138,Programme!I7138,Programme!J7138)</f>
        <v>&lt;/ValeurCellule&gt;</v>
      </c>
    </row>
    <row r="7138" spans="1:1" x14ac:dyDescent="0.2">
      <c r="A7138" s="996" t="str">
        <f>CONCATENATE(Programme!D7139,Programme!E7139,Programme!F7139,Programme!G7139,Programme!H7139,Programme!I7139,Programme!J7139)</f>
        <v>&lt;ValeurCellule&gt;</v>
      </c>
    </row>
    <row r="7139" spans="1:1" x14ac:dyDescent="0.2">
      <c r="A7139" s="996" t="str">
        <f>CONCATENATE(Programme!D7140,Programme!E7140,Programme!F7140,Programme!G7140,Programme!H7140,Programme!I7140,Programme!J7140)</f>
        <v>&lt;cellule&gt;&lt;codeEdi&gt;1934&lt;/codeEdi&gt;&lt;/cellule&gt;</v>
      </c>
    </row>
    <row r="7140" spans="1:1" x14ac:dyDescent="0.2">
      <c r="A7140" s="996" t="str">
        <f>CONCATENATE(Programme!D7141,Programme!E7141,Programme!F7141,Programme!G7141,Programme!H7141,Programme!I7141,Programme!J7141)</f>
        <v>&lt;valeur&gt;&lt;/valeur&gt;</v>
      </c>
    </row>
    <row r="7141" spans="1:1" x14ac:dyDescent="0.2">
      <c r="A7141" s="996" t="str">
        <f>CONCATENATE(Programme!D7142,Programme!E7142,Programme!F7142,Programme!G7142,Programme!H7142,Programme!I7142,Programme!J7142)</f>
        <v>&lt;numeroLigne&gt;1&lt;/numeroLigne&gt;</v>
      </c>
    </row>
    <row r="7142" spans="1:1" x14ac:dyDescent="0.2">
      <c r="A7142" s="996" t="str">
        <f>CONCATENATE(Programme!D7143,Programme!E7143,Programme!F7143,Programme!G7143,Programme!H7143,Programme!I7143,Programme!J7143)</f>
        <v>&lt;/ValeurCellule&gt;</v>
      </c>
    </row>
    <row r="7143" spans="1:1" x14ac:dyDescent="0.2">
      <c r="A7143" s="996" t="str">
        <f>CONCATENATE(Programme!D7144,Programme!E7144,Programme!F7144,Programme!G7144,Programme!H7144,Programme!I7144,Programme!J7144)</f>
        <v>&lt;ValeurCellule&gt;</v>
      </c>
    </row>
    <row r="7144" spans="1:1" x14ac:dyDescent="0.2">
      <c r="A7144" s="996" t="str">
        <f>CONCATENATE(Programme!D7145,Programme!E7145,Programme!F7145,Programme!G7145,Programme!H7145,Programme!I7145,Programme!J7145)</f>
        <v>&lt;cellule&gt;&lt;codeEdi&gt;1935&lt;/codeEdi&gt;&lt;/cellule&gt;</v>
      </c>
    </row>
    <row r="7145" spans="1:1" x14ac:dyDescent="0.2">
      <c r="A7145" s="996" t="str">
        <f>CONCATENATE(Programme!D7146,Programme!E7146,Programme!F7146,Programme!G7146,Programme!H7146,Programme!I7146,Programme!J7146)</f>
        <v>&lt;valeur&gt;0&lt;/valeur&gt;</v>
      </c>
    </row>
    <row r="7146" spans="1:1" x14ac:dyDescent="0.2">
      <c r="A7146" s="996" t="str">
        <f>CONCATENATE(Programme!D7147,Programme!E7147,Programme!F7147,Programme!G7147,Programme!H7147,Programme!I7147,Programme!J7147)</f>
        <v>&lt;numeroLigne&gt;1&lt;/numeroLigne&gt;</v>
      </c>
    </row>
    <row r="7147" spans="1:1" x14ac:dyDescent="0.2">
      <c r="A7147" s="996" t="str">
        <f>CONCATENATE(Programme!D7148,Programme!E7148,Programme!F7148,Programme!G7148,Programme!H7148,Programme!I7148,Programme!J7148)</f>
        <v>&lt;/ValeurCellule&gt;</v>
      </c>
    </row>
    <row r="7148" spans="1:1" x14ac:dyDescent="0.2">
      <c r="A7148" s="996" t="str">
        <f>CONCATENATE(Programme!D7149,Programme!E7149,Programme!F7149,Programme!G7149,Programme!H7149,Programme!I7149,Programme!J7149)</f>
        <v>&lt;ValeurCellule&gt;</v>
      </c>
    </row>
    <row r="7149" spans="1:1" x14ac:dyDescent="0.2">
      <c r="A7149" s="996" t="str">
        <f>CONCATENATE(Programme!D7150,Programme!E7150,Programme!F7150,Programme!G7150,Programme!H7150,Programme!I7150,Programme!J7150)</f>
        <v>&lt;cellule&gt;&lt;codeEdi&gt;1936&lt;/codeEdi&gt;&lt;/cellule&gt;</v>
      </c>
    </row>
    <row r="7150" spans="1:1" x14ac:dyDescent="0.2">
      <c r="A7150" s="996" t="str">
        <f>CONCATENATE(Programme!D7151,Programme!E7151,Programme!F7151,Programme!G7151,Programme!H7151,Programme!I7151,Programme!J7151)</f>
        <v>&lt;valeur&gt;0&lt;/valeur&gt;</v>
      </c>
    </row>
    <row r="7151" spans="1:1" x14ac:dyDescent="0.2">
      <c r="A7151" s="996" t="str">
        <f>CONCATENATE(Programme!D7152,Programme!E7152,Programme!F7152,Programme!G7152,Programme!H7152,Programme!I7152,Programme!J7152)</f>
        <v>&lt;numeroLigne&gt;1&lt;/numeroLigne&gt;</v>
      </c>
    </row>
    <row r="7152" spans="1:1" x14ac:dyDescent="0.2">
      <c r="A7152" s="996" t="str">
        <f>CONCATENATE(Programme!D7153,Programme!E7153,Programme!F7153,Programme!G7153,Programme!H7153,Programme!I7153,Programme!J7153)</f>
        <v>&lt;/ValeurCellule&gt;</v>
      </c>
    </row>
    <row r="7153" spans="1:1" x14ac:dyDescent="0.2">
      <c r="A7153" s="996" t="str">
        <f>CONCATENATE(Programme!D7154,Programme!E7154,Programme!F7154,Programme!G7154,Programme!H7154,Programme!I7154,Programme!J7154)</f>
        <v>&lt;ValeurCellule&gt;</v>
      </c>
    </row>
    <row r="7154" spans="1:1" x14ac:dyDescent="0.2">
      <c r="A7154" s="996" t="str">
        <f>CONCATENATE(Programme!D7155,Programme!E7155,Programme!F7155,Programme!G7155,Programme!H7155,Programme!I7155,Programme!J7155)</f>
        <v>&lt;cellule&gt;&lt;codeEdi&gt;1929&lt;/codeEdi&gt;&lt;/cellule&gt;</v>
      </c>
    </row>
    <row r="7155" spans="1:1" x14ac:dyDescent="0.2">
      <c r="A7155" s="996" t="str">
        <f>CONCATENATE(Programme!D7156,Programme!E7156,Programme!F7156,Programme!G7156,Programme!H7156,Programme!I7156,Programme!J7156)</f>
        <v>&lt;valeur&gt;&lt;/valeur&gt;</v>
      </c>
    </row>
    <row r="7156" spans="1:1" x14ac:dyDescent="0.2">
      <c r="A7156" s="996" t="str">
        <f>CONCATENATE(Programme!D7157,Programme!E7157,Programme!F7157,Programme!G7157,Programme!H7157,Programme!I7157,Programme!J7157)</f>
        <v>&lt;numeroLigne&gt;2&lt;/numeroLigne&gt;</v>
      </c>
    </row>
    <row r="7157" spans="1:1" x14ac:dyDescent="0.2">
      <c r="A7157" s="996" t="str">
        <f>CONCATENATE(Programme!D7158,Programme!E7158,Programme!F7158,Programme!G7158,Programme!H7158,Programme!I7158,Programme!J7158)</f>
        <v>&lt;/ValeurCellule&gt;</v>
      </c>
    </row>
    <row r="7158" spans="1:1" x14ac:dyDescent="0.2">
      <c r="A7158" s="996" t="str">
        <f>CONCATENATE(Programme!D7159,Programme!E7159,Programme!F7159,Programme!G7159,Programme!H7159,Programme!I7159,Programme!J7159)</f>
        <v>&lt;ValeurCellule&gt;</v>
      </c>
    </row>
    <row r="7159" spans="1:1" x14ac:dyDescent="0.2">
      <c r="A7159" s="996" t="str">
        <f>CONCATENATE(Programme!D7160,Programme!E7160,Programme!F7160,Programme!G7160,Programme!H7160,Programme!I7160,Programme!J7160)</f>
        <v>&lt;cellule&gt;&lt;codeEdi&gt;1930&lt;/codeEdi&gt;&lt;/cellule&gt;</v>
      </c>
    </row>
    <row r="7160" spans="1:1" x14ac:dyDescent="0.2">
      <c r="A7160" s="996" t="str">
        <f>CONCATENATE(Programme!D7161,Programme!E7161,Programme!F7161,Programme!G7161,Programme!H7161,Programme!I7161,Programme!J7161)</f>
        <v>&lt;valeur&gt;&lt;/valeur&gt;</v>
      </c>
    </row>
    <row r="7161" spans="1:1" x14ac:dyDescent="0.2">
      <c r="A7161" s="996" t="str">
        <f>CONCATENATE(Programme!D7162,Programme!E7162,Programme!F7162,Programme!G7162,Programme!H7162,Programme!I7162,Programme!J7162)</f>
        <v>&lt;numeroLigne&gt;2&lt;/numeroLigne&gt;</v>
      </c>
    </row>
    <row r="7162" spans="1:1" x14ac:dyDescent="0.2">
      <c r="A7162" s="996" t="str">
        <f>CONCATENATE(Programme!D7163,Programme!E7163,Programme!F7163,Programme!G7163,Programme!H7163,Programme!I7163,Programme!J7163)</f>
        <v>&lt;/ValeurCellule&gt;</v>
      </c>
    </row>
    <row r="7163" spans="1:1" x14ac:dyDescent="0.2">
      <c r="A7163" s="996" t="str">
        <f>CONCATENATE(Programme!D7164,Programme!E7164,Programme!F7164,Programme!G7164,Programme!H7164,Programme!I7164,Programme!J7164)</f>
        <v>&lt;ValeurCellule&gt;</v>
      </c>
    </row>
    <row r="7164" spans="1:1" x14ac:dyDescent="0.2">
      <c r="A7164" s="996" t="str">
        <f>CONCATENATE(Programme!D7165,Programme!E7165,Programme!F7165,Programme!G7165,Programme!H7165,Programme!I7165,Programme!J7165)</f>
        <v>&lt;cellule&gt;&lt;codeEdi&gt;1931&lt;/codeEdi&gt;&lt;/cellule&gt;</v>
      </c>
    </row>
    <row r="7165" spans="1:1" x14ac:dyDescent="0.2">
      <c r="A7165" s="996" t="str">
        <f>CONCATENATE(Programme!D7166,Programme!E7166,Programme!F7166,Programme!G7166,Programme!H7166,Programme!I7166,Programme!J7166)</f>
        <v>&lt;valeur&gt;&lt;/valeur&gt;</v>
      </c>
    </row>
    <row r="7166" spans="1:1" x14ac:dyDescent="0.2">
      <c r="A7166" s="996" t="str">
        <f>CONCATENATE(Programme!D7167,Programme!E7167,Programme!F7167,Programme!G7167,Programme!H7167,Programme!I7167,Programme!J7167)</f>
        <v>&lt;numeroLigne&gt;2&lt;/numeroLigne&gt;</v>
      </c>
    </row>
    <row r="7167" spans="1:1" x14ac:dyDescent="0.2">
      <c r="A7167" s="996" t="str">
        <f>CONCATENATE(Programme!D7168,Programme!E7168,Programme!F7168,Programme!G7168,Programme!H7168,Programme!I7168,Programme!J7168)</f>
        <v>&lt;/ValeurCellule&gt;</v>
      </c>
    </row>
    <row r="7168" spans="1:1" x14ac:dyDescent="0.2">
      <c r="A7168" s="996" t="str">
        <f>CONCATENATE(Programme!D7169,Programme!E7169,Programme!F7169,Programme!G7169,Programme!H7169,Programme!I7169,Programme!J7169)</f>
        <v>&lt;ValeurCellule&gt;</v>
      </c>
    </row>
    <row r="7169" spans="1:1" x14ac:dyDescent="0.2">
      <c r="A7169" s="996" t="str">
        <f>CONCATENATE(Programme!D7170,Programme!E7170,Programme!F7170,Programme!G7170,Programme!H7170,Programme!I7170,Programme!J7170)</f>
        <v>&lt;cellule&gt;&lt;codeEdi&gt;1932&lt;/codeEdi&gt;&lt;/cellule&gt;</v>
      </c>
    </row>
    <row r="7170" spans="1:1" x14ac:dyDescent="0.2">
      <c r="A7170" s="996" t="str">
        <f>CONCATENATE(Programme!D7171,Programme!E7171,Programme!F7171,Programme!G7171,Programme!H7171,Programme!I7171,Programme!J7171)</f>
        <v>&lt;valeur&gt;&lt;/valeur&gt;</v>
      </c>
    </row>
    <row r="7171" spans="1:1" x14ac:dyDescent="0.2">
      <c r="A7171" s="996" t="str">
        <f>CONCATENATE(Programme!D7172,Programme!E7172,Programme!F7172,Programme!G7172,Programme!H7172,Programme!I7172,Programme!J7172)</f>
        <v>&lt;numeroLigne&gt;2&lt;/numeroLigne&gt;</v>
      </c>
    </row>
    <row r="7172" spans="1:1" x14ac:dyDescent="0.2">
      <c r="A7172" s="996" t="str">
        <f>CONCATENATE(Programme!D7173,Programme!E7173,Programme!F7173,Programme!G7173,Programme!H7173,Programme!I7173,Programme!J7173)</f>
        <v>&lt;/ValeurCellule&gt;</v>
      </c>
    </row>
    <row r="7173" spans="1:1" x14ac:dyDescent="0.2">
      <c r="A7173" s="996" t="str">
        <f>CONCATENATE(Programme!D7174,Programme!E7174,Programme!F7174,Programme!G7174,Programme!H7174,Programme!I7174,Programme!J7174)</f>
        <v>&lt;ValeurCellule&gt;</v>
      </c>
    </row>
    <row r="7174" spans="1:1" x14ac:dyDescent="0.2">
      <c r="A7174" s="996" t="str">
        <f>CONCATENATE(Programme!D7175,Programme!E7175,Programme!F7175,Programme!G7175,Programme!H7175,Programme!I7175,Programme!J7175)</f>
        <v>&lt;cellule&gt;&lt;codeEdi&gt;1933&lt;/codeEdi&gt;&lt;/cellule&gt;</v>
      </c>
    </row>
    <row r="7175" spans="1:1" x14ac:dyDescent="0.2">
      <c r="A7175" s="996" t="str">
        <f>CONCATENATE(Programme!D7176,Programme!E7176,Programme!F7176,Programme!G7176,Programme!H7176,Programme!I7176,Programme!J7176)</f>
        <v>&lt;valeur&gt;0&lt;/valeur&gt;</v>
      </c>
    </row>
    <row r="7176" spans="1:1" x14ac:dyDescent="0.2">
      <c r="A7176" s="996" t="str">
        <f>CONCATENATE(Programme!D7177,Programme!E7177,Programme!F7177,Programme!G7177,Programme!H7177,Programme!I7177,Programme!J7177)</f>
        <v>&lt;numeroLigne&gt;2&lt;/numeroLigne&gt;</v>
      </c>
    </row>
    <row r="7177" spans="1:1" x14ac:dyDescent="0.2">
      <c r="A7177" s="996" t="str">
        <f>CONCATENATE(Programme!D7178,Programme!E7178,Programme!F7178,Programme!G7178,Programme!H7178,Programme!I7178,Programme!J7178)</f>
        <v>&lt;/ValeurCellule&gt;</v>
      </c>
    </row>
    <row r="7178" spans="1:1" x14ac:dyDescent="0.2">
      <c r="A7178" s="996" t="str">
        <f>CONCATENATE(Programme!D7179,Programme!E7179,Programme!F7179,Programme!G7179,Programme!H7179,Programme!I7179,Programme!J7179)</f>
        <v>&lt;ValeurCellule&gt;</v>
      </c>
    </row>
    <row r="7179" spans="1:1" x14ac:dyDescent="0.2">
      <c r="A7179" s="996" t="str">
        <f>CONCATENATE(Programme!D7180,Programme!E7180,Programme!F7180,Programme!G7180,Programme!H7180,Programme!I7180,Programme!J7180)</f>
        <v>&lt;cellule&gt;&lt;codeEdi&gt;1934&lt;/codeEdi&gt;&lt;/cellule&gt;</v>
      </c>
    </row>
    <row r="7180" spans="1:1" x14ac:dyDescent="0.2">
      <c r="A7180" s="996" t="str">
        <f>CONCATENATE(Programme!D7181,Programme!E7181,Programme!F7181,Programme!G7181,Programme!H7181,Programme!I7181,Programme!J7181)</f>
        <v>&lt;valeur&gt;&lt;/valeur&gt;</v>
      </c>
    </row>
    <row r="7181" spans="1:1" x14ac:dyDescent="0.2">
      <c r="A7181" s="996" t="str">
        <f>CONCATENATE(Programme!D7182,Programme!E7182,Programme!F7182,Programme!G7182,Programme!H7182,Programme!I7182,Programme!J7182)</f>
        <v>&lt;numeroLigne&gt;2&lt;/numeroLigne&gt;</v>
      </c>
    </row>
    <row r="7182" spans="1:1" x14ac:dyDescent="0.2">
      <c r="A7182" s="996" t="str">
        <f>CONCATENATE(Programme!D7183,Programme!E7183,Programme!F7183,Programme!G7183,Programme!H7183,Programme!I7183,Programme!J7183)</f>
        <v>&lt;/ValeurCellule&gt;</v>
      </c>
    </row>
    <row r="7183" spans="1:1" x14ac:dyDescent="0.2">
      <c r="A7183" s="996" t="str">
        <f>CONCATENATE(Programme!D7184,Programme!E7184,Programme!F7184,Programme!G7184,Programme!H7184,Programme!I7184,Programme!J7184)</f>
        <v>&lt;ValeurCellule&gt;</v>
      </c>
    </row>
    <row r="7184" spans="1:1" x14ac:dyDescent="0.2">
      <c r="A7184" s="996" t="str">
        <f>CONCATENATE(Programme!D7185,Programme!E7185,Programme!F7185,Programme!G7185,Programme!H7185,Programme!I7185,Programme!J7185)</f>
        <v>&lt;cellule&gt;&lt;codeEdi&gt;1935&lt;/codeEdi&gt;&lt;/cellule&gt;</v>
      </c>
    </row>
    <row r="7185" spans="1:1" x14ac:dyDescent="0.2">
      <c r="A7185" s="996" t="str">
        <f>CONCATENATE(Programme!D7186,Programme!E7186,Programme!F7186,Programme!G7186,Programme!H7186,Programme!I7186,Programme!J7186)</f>
        <v>&lt;valeur&gt;0&lt;/valeur&gt;</v>
      </c>
    </row>
    <row r="7186" spans="1:1" x14ac:dyDescent="0.2">
      <c r="A7186" s="996" t="str">
        <f>CONCATENATE(Programme!D7187,Programme!E7187,Programme!F7187,Programme!G7187,Programme!H7187,Programme!I7187,Programme!J7187)</f>
        <v>&lt;numeroLigne&gt;2&lt;/numeroLigne&gt;</v>
      </c>
    </row>
    <row r="7187" spans="1:1" x14ac:dyDescent="0.2">
      <c r="A7187" s="996" t="str">
        <f>CONCATENATE(Programme!D7188,Programme!E7188,Programme!F7188,Programme!G7188,Programme!H7188,Programme!I7188,Programme!J7188)</f>
        <v>&lt;/ValeurCellule&gt;</v>
      </c>
    </row>
    <row r="7188" spans="1:1" x14ac:dyDescent="0.2">
      <c r="A7188" s="996" t="str">
        <f>CONCATENATE(Programme!D7189,Programme!E7189,Programme!F7189,Programme!G7189,Programme!H7189,Programme!I7189,Programme!J7189)</f>
        <v>&lt;ValeurCellule&gt;</v>
      </c>
    </row>
    <row r="7189" spans="1:1" x14ac:dyDescent="0.2">
      <c r="A7189" s="996" t="str">
        <f>CONCATENATE(Programme!D7190,Programme!E7190,Programme!F7190,Programme!G7190,Programme!H7190,Programme!I7190,Programme!J7190)</f>
        <v>&lt;cellule&gt;&lt;codeEdi&gt;1936&lt;/codeEdi&gt;&lt;/cellule&gt;</v>
      </c>
    </row>
    <row r="7190" spans="1:1" x14ac:dyDescent="0.2">
      <c r="A7190" s="996" t="str">
        <f>CONCATENATE(Programme!D7191,Programme!E7191,Programme!F7191,Programme!G7191,Programme!H7191,Programme!I7191,Programme!J7191)</f>
        <v>&lt;valeur&gt;0&lt;/valeur&gt;</v>
      </c>
    </row>
    <row r="7191" spans="1:1" x14ac:dyDescent="0.2">
      <c r="A7191" s="996" t="str">
        <f>CONCATENATE(Programme!D7192,Programme!E7192,Programme!F7192,Programme!G7192,Programme!H7192,Programme!I7192,Programme!J7192)</f>
        <v>&lt;numeroLigne&gt;2&lt;/numeroLigne&gt;</v>
      </c>
    </row>
    <row r="7192" spans="1:1" x14ac:dyDescent="0.2">
      <c r="A7192" s="996" t="str">
        <f>CONCATENATE(Programme!D7193,Programme!E7193,Programme!F7193,Programme!G7193,Programme!H7193,Programme!I7193,Programme!J7193)</f>
        <v>&lt;/ValeurCellule&gt;</v>
      </c>
    </row>
    <row r="7193" spans="1:1" x14ac:dyDescent="0.2">
      <c r="A7193" s="996" t="str">
        <f>CONCATENATE(Programme!D7194,Programme!E7194,Programme!F7194,Programme!G7194,Programme!H7194,Programme!I7194,Programme!J7194)</f>
        <v>&lt;ValeurCellule&gt;</v>
      </c>
    </row>
    <row r="7194" spans="1:1" x14ac:dyDescent="0.2">
      <c r="A7194" s="996" t="str">
        <f>CONCATENATE(Programme!D7195,Programme!E7195,Programme!F7195,Programme!G7195,Programme!H7195,Programme!I7195,Programme!J7195)</f>
        <v>&lt;cellule&gt;&lt;codeEdi&gt;1929&lt;/codeEdi&gt;&lt;/cellule&gt;</v>
      </c>
    </row>
    <row r="7195" spans="1:1" x14ac:dyDescent="0.2">
      <c r="A7195" s="996" t="str">
        <f>CONCATENATE(Programme!D7196,Programme!E7196,Programme!F7196,Programme!G7196,Programme!H7196,Programme!I7196,Programme!J7196)</f>
        <v>&lt;valeur&gt;&lt;/valeur&gt;</v>
      </c>
    </row>
    <row r="7196" spans="1:1" x14ac:dyDescent="0.2">
      <c r="A7196" s="996" t="str">
        <f>CONCATENATE(Programme!D7197,Programme!E7197,Programme!F7197,Programme!G7197,Programme!H7197,Programme!I7197,Programme!J7197)</f>
        <v>&lt;numeroLigne&gt;3&lt;/numeroLigne&gt;</v>
      </c>
    </row>
    <row r="7197" spans="1:1" x14ac:dyDescent="0.2">
      <c r="A7197" s="996" t="str">
        <f>CONCATENATE(Programme!D7198,Programme!E7198,Programme!F7198,Programme!G7198,Programme!H7198,Programme!I7198,Programme!J7198)</f>
        <v>&lt;/ValeurCellule&gt;</v>
      </c>
    </row>
    <row r="7198" spans="1:1" x14ac:dyDescent="0.2">
      <c r="A7198" s="996" t="str">
        <f>CONCATENATE(Programme!D7199,Programme!E7199,Programme!F7199,Programme!G7199,Programme!H7199,Programme!I7199,Programme!J7199)</f>
        <v>&lt;ValeurCellule&gt;</v>
      </c>
    </row>
    <row r="7199" spans="1:1" x14ac:dyDescent="0.2">
      <c r="A7199" s="996" t="str">
        <f>CONCATENATE(Programme!D7200,Programme!E7200,Programme!F7200,Programme!G7200,Programme!H7200,Programme!I7200,Programme!J7200)</f>
        <v>&lt;cellule&gt;&lt;codeEdi&gt;1930&lt;/codeEdi&gt;&lt;/cellule&gt;</v>
      </c>
    </row>
    <row r="7200" spans="1:1" x14ac:dyDescent="0.2">
      <c r="A7200" s="996" t="str">
        <f>CONCATENATE(Programme!D7201,Programme!E7201,Programme!F7201,Programme!G7201,Programme!H7201,Programme!I7201,Programme!J7201)</f>
        <v>&lt;valeur&gt;&lt;/valeur&gt;</v>
      </c>
    </row>
    <row r="7201" spans="1:1" x14ac:dyDescent="0.2">
      <c r="A7201" s="996" t="str">
        <f>CONCATENATE(Programme!D7202,Programme!E7202,Programme!F7202,Programme!G7202,Programme!H7202,Programme!I7202,Programme!J7202)</f>
        <v>&lt;numeroLigne&gt;3&lt;/numeroLigne&gt;</v>
      </c>
    </row>
    <row r="7202" spans="1:1" x14ac:dyDescent="0.2">
      <c r="A7202" s="996" t="str">
        <f>CONCATENATE(Programme!D7203,Programme!E7203,Programme!F7203,Programme!G7203,Programme!H7203,Programme!I7203,Programme!J7203)</f>
        <v>&lt;/ValeurCellule&gt;</v>
      </c>
    </row>
    <row r="7203" spans="1:1" x14ac:dyDescent="0.2">
      <c r="A7203" s="996" t="str">
        <f>CONCATENATE(Programme!D7204,Programme!E7204,Programme!F7204,Programme!G7204,Programme!H7204,Programme!I7204,Programme!J7204)</f>
        <v>&lt;ValeurCellule&gt;</v>
      </c>
    </row>
    <row r="7204" spans="1:1" x14ac:dyDescent="0.2">
      <c r="A7204" s="996" t="str">
        <f>CONCATENATE(Programme!D7205,Programme!E7205,Programme!F7205,Programme!G7205,Programme!H7205,Programme!I7205,Programme!J7205)</f>
        <v>&lt;cellule&gt;&lt;codeEdi&gt;1931&lt;/codeEdi&gt;&lt;/cellule&gt;</v>
      </c>
    </row>
    <row r="7205" spans="1:1" x14ac:dyDescent="0.2">
      <c r="A7205" s="996" t="str">
        <f>CONCATENATE(Programme!D7206,Programme!E7206,Programme!F7206,Programme!G7206,Programme!H7206,Programme!I7206,Programme!J7206)</f>
        <v>&lt;valeur&gt;&lt;/valeur&gt;</v>
      </c>
    </row>
    <row r="7206" spans="1:1" x14ac:dyDescent="0.2">
      <c r="A7206" s="996" t="str">
        <f>CONCATENATE(Programme!D7207,Programme!E7207,Programme!F7207,Programme!G7207,Programme!H7207,Programme!I7207,Programme!J7207)</f>
        <v>&lt;numeroLigne&gt;3&lt;/numeroLigne&gt;</v>
      </c>
    </row>
    <row r="7207" spans="1:1" x14ac:dyDescent="0.2">
      <c r="A7207" s="996" t="str">
        <f>CONCATENATE(Programme!D7208,Programme!E7208,Programme!F7208,Programme!G7208,Programme!H7208,Programme!I7208,Programme!J7208)</f>
        <v>&lt;/ValeurCellule&gt;</v>
      </c>
    </row>
    <row r="7208" spans="1:1" x14ac:dyDescent="0.2">
      <c r="A7208" s="996" t="str">
        <f>CONCATENATE(Programme!D7209,Programme!E7209,Programme!F7209,Programme!G7209,Programme!H7209,Programme!I7209,Programme!J7209)</f>
        <v>&lt;ValeurCellule&gt;</v>
      </c>
    </row>
    <row r="7209" spans="1:1" x14ac:dyDescent="0.2">
      <c r="A7209" s="996" t="str">
        <f>CONCATENATE(Programme!D7210,Programme!E7210,Programme!F7210,Programme!G7210,Programme!H7210,Programme!I7210,Programme!J7210)</f>
        <v>&lt;cellule&gt;&lt;codeEdi&gt;1932&lt;/codeEdi&gt;&lt;/cellule&gt;</v>
      </c>
    </row>
    <row r="7210" spans="1:1" x14ac:dyDescent="0.2">
      <c r="A7210" s="996" t="str">
        <f>CONCATENATE(Programme!D7211,Programme!E7211,Programme!F7211,Programme!G7211,Programme!H7211,Programme!I7211,Programme!J7211)</f>
        <v>&lt;valeur&gt;&lt;/valeur&gt;</v>
      </c>
    </row>
    <row r="7211" spans="1:1" x14ac:dyDescent="0.2">
      <c r="A7211" s="996" t="str">
        <f>CONCATENATE(Programme!D7212,Programme!E7212,Programme!F7212,Programme!G7212,Programme!H7212,Programme!I7212,Programme!J7212)</f>
        <v>&lt;numeroLigne&gt;3&lt;/numeroLigne&gt;</v>
      </c>
    </row>
    <row r="7212" spans="1:1" x14ac:dyDescent="0.2">
      <c r="A7212" s="996" t="str">
        <f>CONCATENATE(Programme!D7213,Programme!E7213,Programme!F7213,Programme!G7213,Programme!H7213,Programme!I7213,Programme!J7213)</f>
        <v>&lt;/ValeurCellule&gt;</v>
      </c>
    </row>
    <row r="7213" spans="1:1" x14ac:dyDescent="0.2">
      <c r="A7213" s="996" t="str">
        <f>CONCATENATE(Programme!D7214,Programme!E7214,Programme!F7214,Programme!G7214,Programme!H7214,Programme!I7214,Programme!J7214)</f>
        <v>&lt;ValeurCellule&gt;</v>
      </c>
    </row>
    <row r="7214" spans="1:1" x14ac:dyDescent="0.2">
      <c r="A7214" s="996" t="str">
        <f>CONCATENATE(Programme!D7215,Programme!E7215,Programme!F7215,Programme!G7215,Programme!H7215,Programme!I7215,Programme!J7215)</f>
        <v>&lt;cellule&gt;&lt;codeEdi&gt;1933&lt;/codeEdi&gt;&lt;/cellule&gt;</v>
      </c>
    </row>
    <row r="7215" spans="1:1" x14ac:dyDescent="0.2">
      <c r="A7215" s="996" t="str">
        <f>CONCATENATE(Programme!D7216,Programme!E7216,Programme!F7216,Programme!G7216,Programme!H7216,Programme!I7216,Programme!J7216)</f>
        <v>&lt;valeur&gt;0&lt;/valeur&gt;</v>
      </c>
    </row>
    <row r="7216" spans="1:1" x14ac:dyDescent="0.2">
      <c r="A7216" s="996" t="str">
        <f>CONCATENATE(Programme!D7217,Programme!E7217,Programme!F7217,Programme!G7217,Programme!H7217,Programme!I7217,Programme!J7217)</f>
        <v>&lt;numeroLigne&gt;3&lt;/numeroLigne&gt;</v>
      </c>
    </row>
    <row r="7217" spans="1:1" x14ac:dyDescent="0.2">
      <c r="A7217" s="996" t="str">
        <f>CONCATENATE(Programme!D7218,Programme!E7218,Programme!F7218,Programme!G7218,Programme!H7218,Programme!I7218,Programme!J7218)</f>
        <v>&lt;/ValeurCellule&gt;</v>
      </c>
    </row>
    <row r="7218" spans="1:1" x14ac:dyDescent="0.2">
      <c r="A7218" s="996" t="str">
        <f>CONCATENATE(Programme!D7219,Programme!E7219,Programme!F7219,Programme!G7219,Programme!H7219,Programme!I7219,Programme!J7219)</f>
        <v>&lt;ValeurCellule&gt;</v>
      </c>
    </row>
    <row r="7219" spans="1:1" x14ac:dyDescent="0.2">
      <c r="A7219" s="996" t="str">
        <f>CONCATENATE(Programme!D7220,Programme!E7220,Programme!F7220,Programme!G7220,Programme!H7220,Programme!I7220,Programme!J7220)</f>
        <v>&lt;cellule&gt;&lt;codeEdi&gt;1934&lt;/codeEdi&gt;&lt;/cellule&gt;</v>
      </c>
    </row>
    <row r="7220" spans="1:1" x14ac:dyDescent="0.2">
      <c r="A7220" s="996" t="str">
        <f>CONCATENATE(Programme!D7221,Programme!E7221,Programme!F7221,Programme!G7221,Programme!H7221,Programme!I7221,Programme!J7221)</f>
        <v>&lt;valeur&gt;&lt;/valeur&gt;</v>
      </c>
    </row>
    <row r="7221" spans="1:1" x14ac:dyDescent="0.2">
      <c r="A7221" s="996" t="str">
        <f>CONCATENATE(Programme!D7222,Programme!E7222,Programme!F7222,Programme!G7222,Programme!H7222,Programme!I7222,Programme!J7222)</f>
        <v>&lt;numeroLigne&gt;3&lt;/numeroLigne&gt;</v>
      </c>
    </row>
    <row r="7222" spans="1:1" x14ac:dyDescent="0.2">
      <c r="A7222" s="996" t="str">
        <f>CONCATENATE(Programme!D7223,Programme!E7223,Programme!F7223,Programme!G7223,Programme!H7223,Programme!I7223,Programme!J7223)</f>
        <v>&lt;/ValeurCellule&gt;</v>
      </c>
    </row>
    <row r="7223" spans="1:1" x14ac:dyDescent="0.2">
      <c r="A7223" s="996" t="str">
        <f>CONCATENATE(Programme!D7224,Programme!E7224,Programme!F7224,Programme!G7224,Programme!H7224,Programme!I7224,Programme!J7224)</f>
        <v>&lt;ValeurCellule&gt;</v>
      </c>
    </row>
    <row r="7224" spans="1:1" x14ac:dyDescent="0.2">
      <c r="A7224" s="996" t="str">
        <f>CONCATENATE(Programme!D7225,Programme!E7225,Programme!F7225,Programme!G7225,Programme!H7225,Programme!I7225,Programme!J7225)</f>
        <v>&lt;cellule&gt;&lt;codeEdi&gt;1935&lt;/codeEdi&gt;&lt;/cellule&gt;</v>
      </c>
    </row>
    <row r="7225" spans="1:1" x14ac:dyDescent="0.2">
      <c r="A7225" s="996" t="str">
        <f>CONCATENATE(Programme!D7226,Programme!E7226,Programme!F7226,Programme!G7226,Programme!H7226,Programme!I7226,Programme!J7226)</f>
        <v>&lt;valeur&gt;0&lt;/valeur&gt;</v>
      </c>
    </row>
    <row r="7226" spans="1:1" x14ac:dyDescent="0.2">
      <c r="A7226" s="996" t="str">
        <f>CONCATENATE(Programme!D7227,Programme!E7227,Programme!F7227,Programme!G7227,Programme!H7227,Programme!I7227,Programme!J7227)</f>
        <v>&lt;numeroLigne&gt;3&lt;/numeroLigne&gt;</v>
      </c>
    </row>
    <row r="7227" spans="1:1" x14ac:dyDescent="0.2">
      <c r="A7227" s="996" t="str">
        <f>CONCATENATE(Programme!D7228,Programme!E7228,Programme!F7228,Programme!G7228,Programme!H7228,Programme!I7228,Programme!J7228)</f>
        <v>&lt;/ValeurCellule&gt;</v>
      </c>
    </row>
    <row r="7228" spans="1:1" x14ac:dyDescent="0.2">
      <c r="A7228" s="996" t="str">
        <f>CONCATENATE(Programme!D7229,Programme!E7229,Programme!F7229,Programme!G7229,Programme!H7229,Programme!I7229,Programme!J7229)</f>
        <v>&lt;ValeurCellule&gt;</v>
      </c>
    </row>
    <row r="7229" spans="1:1" x14ac:dyDescent="0.2">
      <c r="A7229" s="996" t="str">
        <f>CONCATENATE(Programme!D7230,Programme!E7230,Programme!F7230,Programme!G7230,Programme!H7230,Programme!I7230,Programme!J7230)</f>
        <v>&lt;cellule&gt;&lt;codeEdi&gt;1936&lt;/codeEdi&gt;&lt;/cellule&gt;</v>
      </c>
    </row>
    <row r="7230" spans="1:1" x14ac:dyDescent="0.2">
      <c r="A7230" s="996" t="str">
        <f>CONCATENATE(Programme!D7231,Programme!E7231,Programme!F7231,Programme!G7231,Programme!H7231,Programme!I7231,Programme!J7231)</f>
        <v>&lt;valeur&gt;0&lt;/valeur&gt;</v>
      </c>
    </row>
    <row r="7231" spans="1:1" x14ac:dyDescent="0.2">
      <c r="A7231" s="996" t="str">
        <f>CONCATENATE(Programme!D7232,Programme!E7232,Programme!F7232,Programme!G7232,Programme!H7232,Programme!I7232,Programme!J7232)</f>
        <v>&lt;numeroLigne&gt;3&lt;/numeroLigne&gt;</v>
      </c>
    </row>
    <row r="7232" spans="1:1" x14ac:dyDescent="0.2">
      <c r="A7232" s="996" t="str">
        <f>CONCATENATE(Programme!D7233,Programme!E7233,Programme!F7233,Programme!G7233,Programme!H7233,Programme!I7233,Programme!J7233)</f>
        <v>&lt;/ValeurCellule&gt;</v>
      </c>
    </row>
    <row r="7233" spans="1:1" x14ac:dyDescent="0.2">
      <c r="A7233" s="996" t="str">
        <f>CONCATENATE(Programme!D7234,Programme!E7234,Programme!F7234,Programme!G7234,Programme!H7234,Programme!I7234,Programme!J7234)</f>
        <v>&lt;ValeurCellule&gt;</v>
      </c>
    </row>
    <row r="7234" spans="1:1" x14ac:dyDescent="0.2">
      <c r="A7234" s="996" t="str">
        <f>CONCATENATE(Programme!D7235,Programme!E7235,Programme!F7235,Programme!G7235,Programme!H7235,Programme!I7235,Programme!J7235)</f>
        <v>&lt;cellule&gt;&lt;codeEdi&gt;1929&lt;/codeEdi&gt;&lt;/cellule&gt;</v>
      </c>
    </row>
    <row r="7235" spans="1:1" x14ac:dyDescent="0.2">
      <c r="A7235" s="996" t="str">
        <f>CONCATENATE(Programme!D7236,Programme!E7236,Programme!F7236,Programme!G7236,Programme!H7236,Programme!I7236,Programme!J7236)</f>
        <v>&lt;valeur&gt;&lt;/valeur&gt;</v>
      </c>
    </row>
    <row r="7236" spans="1:1" x14ac:dyDescent="0.2">
      <c r="A7236" s="996" t="str">
        <f>CONCATENATE(Programme!D7237,Programme!E7237,Programme!F7237,Programme!G7237,Programme!H7237,Programme!I7237,Programme!J7237)</f>
        <v>&lt;numeroLigne&gt;4&lt;/numeroLigne&gt;</v>
      </c>
    </row>
    <row r="7237" spans="1:1" x14ac:dyDescent="0.2">
      <c r="A7237" s="996" t="str">
        <f>CONCATENATE(Programme!D7238,Programme!E7238,Programme!F7238,Programme!G7238,Programme!H7238,Programme!I7238,Programme!J7238)</f>
        <v>&lt;/ValeurCellule&gt;</v>
      </c>
    </row>
    <row r="7238" spans="1:1" x14ac:dyDescent="0.2">
      <c r="A7238" s="996" t="str">
        <f>CONCATENATE(Programme!D7239,Programme!E7239,Programme!F7239,Programme!G7239,Programme!H7239,Programme!I7239,Programme!J7239)</f>
        <v>&lt;ValeurCellule&gt;</v>
      </c>
    </row>
    <row r="7239" spans="1:1" x14ac:dyDescent="0.2">
      <c r="A7239" s="996" t="str">
        <f>CONCATENATE(Programme!D7240,Programme!E7240,Programme!F7240,Programme!G7240,Programme!H7240,Programme!I7240,Programme!J7240)</f>
        <v>&lt;cellule&gt;&lt;codeEdi&gt;1930&lt;/codeEdi&gt;&lt;/cellule&gt;</v>
      </c>
    </row>
    <row r="7240" spans="1:1" x14ac:dyDescent="0.2">
      <c r="A7240" s="996" t="str">
        <f>CONCATENATE(Programme!D7241,Programme!E7241,Programme!F7241,Programme!G7241,Programme!H7241,Programme!I7241,Programme!J7241)</f>
        <v>&lt;valeur&gt;&lt;/valeur&gt;</v>
      </c>
    </row>
    <row r="7241" spans="1:1" x14ac:dyDescent="0.2">
      <c r="A7241" s="996" t="str">
        <f>CONCATENATE(Programme!D7242,Programme!E7242,Programme!F7242,Programme!G7242,Programme!H7242,Programme!I7242,Programme!J7242)</f>
        <v>&lt;numeroLigne&gt;4&lt;/numeroLigne&gt;</v>
      </c>
    </row>
    <row r="7242" spans="1:1" x14ac:dyDescent="0.2">
      <c r="A7242" s="996" t="str">
        <f>CONCATENATE(Programme!D7243,Programme!E7243,Programme!F7243,Programme!G7243,Programme!H7243,Programme!I7243,Programme!J7243)</f>
        <v>&lt;/ValeurCellule&gt;</v>
      </c>
    </row>
    <row r="7243" spans="1:1" x14ac:dyDescent="0.2">
      <c r="A7243" s="996" t="str">
        <f>CONCATENATE(Programme!D7244,Programme!E7244,Programme!F7244,Programme!G7244,Programme!H7244,Programme!I7244,Programme!J7244)</f>
        <v>&lt;ValeurCellule&gt;</v>
      </c>
    </row>
    <row r="7244" spans="1:1" x14ac:dyDescent="0.2">
      <c r="A7244" s="996" t="str">
        <f>CONCATENATE(Programme!D7245,Programme!E7245,Programme!F7245,Programme!G7245,Programme!H7245,Programme!I7245,Programme!J7245)</f>
        <v>&lt;cellule&gt;&lt;codeEdi&gt;1931&lt;/codeEdi&gt;&lt;/cellule&gt;</v>
      </c>
    </row>
    <row r="7245" spans="1:1" x14ac:dyDescent="0.2">
      <c r="A7245" s="996" t="str">
        <f>CONCATENATE(Programme!D7246,Programme!E7246,Programme!F7246,Programme!G7246,Programme!H7246,Programme!I7246,Programme!J7246)</f>
        <v>&lt;valeur&gt;&lt;/valeur&gt;</v>
      </c>
    </row>
    <row r="7246" spans="1:1" x14ac:dyDescent="0.2">
      <c r="A7246" s="996" t="str">
        <f>CONCATENATE(Programme!D7247,Programme!E7247,Programme!F7247,Programme!G7247,Programme!H7247,Programme!I7247,Programme!J7247)</f>
        <v>&lt;numeroLigne&gt;4&lt;/numeroLigne&gt;</v>
      </c>
    </row>
    <row r="7247" spans="1:1" x14ac:dyDescent="0.2">
      <c r="A7247" s="996" t="str">
        <f>CONCATENATE(Programme!D7248,Programme!E7248,Programme!F7248,Programme!G7248,Programme!H7248,Programme!I7248,Programme!J7248)</f>
        <v>&lt;/ValeurCellule&gt;</v>
      </c>
    </row>
    <row r="7248" spans="1:1" x14ac:dyDescent="0.2">
      <c r="A7248" s="996" t="str">
        <f>CONCATENATE(Programme!D7249,Programme!E7249,Programme!F7249,Programme!G7249,Programme!H7249,Programme!I7249,Programme!J7249)</f>
        <v>&lt;ValeurCellule&gt;</v>
      </c>
    </row>
    <row r="7249" spans="1:1" x14ac:dyDescent="0.2">
      <c r="A7249" s="996" t="str">
        <f>CONCATENATE(Programme!D7250,Programme!E7250,Programme!F7250,Programme!G7250,Programme!H7250,Programme!I7250,Programme!J7250)</f>
        <v>&lt;cellule&gt;&lt;codeEdi&gt;1932&lt;/codeEdi&gt;&lt;/cellule&gt;</v>
      </c>
    </row>
    <row r="7250" spans="1:1" x14ac:dyDescent="0.2">
      <c r="A7250" s="996" t="str">
        <f>CONCATENATE(Programme!D7251,Programme!E7251,Programme!F7251,Programme!G7251,Programme!H7251,Programme!I7251,Programme!J7251)</f>
        <v>&lt;valeur&gt;&lt;/valeur&gt;</v>
      </c>
    </row>
    <row r="7251" spans="1:1" x14ac:dyDescent="0.2">
      <c r="A7251" s="996" t="str">
        <f>CONCATENATE(Programme!D7252,Programme!E7252,Programme!F7252,Programme!G7252,Programme!H7252,Programme!I7252,Programme!J7252)</f>
        <v>&lt;numeroLigne&gt;4&lt;/numeroLigne&gt;</v>
      </c>
    </row>
    <row r="7252" spans="1:1" x14ac:dyDescent="0.2">
      <c r="A7252" s="996" t="str">
        <f>CONCATENATE(Programme!D7253,Programme!E7253,Programme!F7253,Programme!G7253,Programme!H7253,Programme!I7253,Programme!J7253)</f>
        <v>&lt;/ValeurCellule&gt;</v>
      </c>
    </row>
    <row r="7253" spans="1:1" x14ac:dyDescent="0.2">
      <c r="A7253" s="996" t="str">
        <f>CONCATENATE(Programme!D7254,Programme!E7254,Programme!F7254,Programme!G7254,Programme!H7254,Programme!I7254,Programme!J7254)</f>
        <v>&lt;ValeurCellule&gt;</v>
      </c>
    </row>
    <row r="7254" spans="1:1" x14ac:dyDescent="0.2">
      <c r="A7254" s="996" t="str">
        <f>CONCATENATE(Programme!D7255,Programme!E7255,Programme!F7255,Programme!G7255,Programme!H7255,Programme!I7255,Programme!J7255)</f>
        <v>&lt;cellule&gt;&lt;codeEdi&gt;1933&lt;/codeEdi&gt;&lt;/cellule&gt;</v>
      </c>
    </row>
    <row r="7255" spans="1:1" x14ac:dyDescent="0.2">
      <c r="A7255" s="996" t="str">
        <f>CONCATENATE(Programme!D7256,Programme!E7256,Programme!F7256,Programme!G7256,Programme!H7256,Programme!I7256,Programme!J7256)</f>
        <v>&lt;valeur&gt;0&lt;/valeur&gt;</v>
      </c>
    </row>
    <row r="7256" spans="1:1" x14ac:dyDescent="0.2">
      <c r="A7256" s="996" t="str">
        <f>CONCATENATE(Programme!D7257,Programme!E7257,Programme!F7257,Programme!G7257,Programme!H7257,Programme!I7257,Programme!J7257)</f>
        <v>&lt;numeroLigne&gt;4&lt;/numeroLigne&gt;</v>
      </c>
    </row>
    <row r="7257" spans="1:1" x14ac:dyDescent="0.2">
      <c r="A7257" s="996" t="str">
        <f>CONCATENATE(Programme!D7258,Programme!E7258,Programme!F7258,Programme!G7258,Programme!H7258,Programme!I7258,Programme!J7258)</f>
        <v>&lt;/ValeurCellule&gt;</v>
      </c>
    </row>
    <row r="7258" spans="1:1" x14ac:dyDescent="0.2">
      <c r="A7258" s="996" t="str">
        <f>CONCATENATE(Programme!D7259,Programme!E7259,Programme!F7259,Programme!G7259,Programme!H7259,Programme!I7259,Programme!J7259)</f>
        <v>&lt;ValeurCellule&gt;</v>
      </c>
    </row>
    <row r="7259" spans="1:1" x14ac:dyDescent="0.2">
      <c r="A7259" s="996" t="str">
        <f>CONCATENATE(Programme!D7260,Programme!E7260,Programme!F7260,Programme!G7260,Programme!H7260,Programme!I7260,Programme!J7260)</f>
        <v>&lt;cellule&gt;&lt;codeEdi&gt;1934&lt;/codeEdi&gt;&lt;/cellule&gt;</v>
      </c>
    </row>
    <row r="7260" spans="1:1" x14ac:dyDescent="0.2">
      <c r="A7260" s="996" t="str">
        <f>CONCATENATE(Programme!D7261,Programme!E7261,Programme!F7261,Programme!G7261,Programme!H7261,Programme!I7261,Programme!J7261)</f>
        <v>&lt;valeur&gt;&lt;/valeur&gt;</v>
      </c>
    </row>
    <row r="7261" spans="1:1" x14ac:dyDescent="0.2">
      <c r="A7261" s="996" t="str">
        <f>CONCATENATE(Programme!D7262,Programme!E7262,Programme!F7262,Programme!G7262,Programme!H7262,Programme!I7262,Programme!J7262)</f>
        <v>&lt;numeroLigne&gt;4&lt;/numeroLigne&gt;</v>
      </c>
    </row>
    <row r="7262" spans="1:1" x14ac:dyDescent="0.2">
      <c r="A7262" s="996" t="str">
        <f>CONCATENATE(Programme!D7263,Programme!E7263,Programme!F7263,Programme!G7263,Programme!H7263,Programme!I7263,Programme!J7263)</f>
        <v>&lt;/ValeurCellule&gt;</v>
      </c>
    </row>
    <row r="7263" spans="1:1" x14ac:dyDescent="0.2">
      <c r="A7263" s="996" t="str">
        <f>CONCATENATE(Programme!D7264,Programme!E7264,Programme!F7264,Programme!G7264,Programme!H7264,Programme!I7264,Programme!J7264)</f>
        <v>&lt;ValeurCellule&gt;</v>
      </c>
    </row>
    <row r="7264" spans="1:1" x14ac:dyDescent="0.2">
      <c r="A7264" s="996" t="str">
        <f>CONCATENATE(Programme!D7265,Programme!E7265,Programme!F7265,Programme!G7265,Programme!H7265,Programme!I7265,Programme!J7265)</f>
        <v>&lt;cellule&gt;&lt;codeEdi&gt;1935&lt;/codeEdi&gt;&lt;/cellule&gt;</v>
      </c>
    </row>
    <row r="7265" spans="1:1" x14ac:dyDescent="0.2">
      <c r="A7265" s="996" t="str">
        <f>CONCATENATE(Programme!D7266,Programme!E7266,Programme!F7266,Programme!G7266,Programme!H7266,Programme!I7266,Programme!J7266)</f>
        <v>&lt;valeur&gt;0&lt;/valeur&gt;</v>
      </c>
    </row>
    <row r="7266" spans="1:1" x14ac:dyDescent="0.2">
      <c r="A7266" s="996" t="str">
        <f>CONCATENATE(Programme!D7267,Programme!E7267,Programme!F7267,Programme!G7267,Programme!H7267,Programme!I7267,Programme!J7267)</f>
        <v>&lt;numeroLigne&gt;4&lt;/numeroLigne&gt;</v>
      </c>
    </row>
    <row r="7267" spans="1:1" x14ac:dyDescent="0.2">
      <c r="A7267" s="996" t="str">
        <f>CONCATENATE(Programme!D7268,Programme!E7268,Programme!F7268,Programme!G7268,Programme!H7268,Programme!I7268,Programme!J7268)</f>
        <v>&lt;/ValeurCellule&gt;</v>
      </c>
    </row>
    <row r="7268" spans="1:1" x14ac:dyDescent="0.2">
      <c r="A7268" s="996" t="str">
        <f>CONCATENATE(Programme!D7269,Programme!E7269,Programme!F7269,Programme!G7269,Programme!H7269,Programme!I7269,Programme!J7269)</f>
        <v>&lt;ValeurCellule&gt;</v>
      </c>
    </row>
    <row r="7269" spans="1:1" x14ac:dyDescent="0.2">
      <c r="A7269" s="996" t="str">
        <f>CONCATENATE(Programme!D7270,Programme!E7270,Programme!F7270,Programme!G7270,Programme!H7270,Programme!I7270,Programme!J7270)</f>
        <v>&lt;cellule&gt;&lt;codeEdi&gt;1936&lt;/codeEdi&gt;&lt;/cellule&gt;</v>
      </c>
    </row>
    <row r="7270" spans="1:1" x14ac:dyDescent="0.2">
      <c r="A7270" s="996" t="str">
        <f>CONCATENATE(Programme!D7271,Programme!E7271,Programme!F7271,Programme!G7271,Programme!H7271,Programme!I7271,Programme!J7271)</f>
        <v>&lt;valeur&gt;0&lt;/valeur&gt;</v>
      </c>
    </row>
    <row r="7271" spans="1:1" x14ac:dyDescent="0.2">
      <c r="A7271" s="996" t="str">
        <f>CONCATENATE(Programme!D7272,Programme!E7272,Programme!F7272,Programme!G7272,Programme!H7272,Programme!I7272,Programme!J7272)</f>
        <v>&lt;numeroLigne&gt;4&lt;/numeroLigne&gt;</v>
      </c>
    </row>
    <row r="7272" spans="1:1" x14ac:dyDescent="0.2">
      <c r="A7272" s="996" t="str">
        <f>CONCATENATE(Programme!D7273,Programme!E7273,Programme!F7273,Programme!G7273,Programme!H7273,Programme!I7273,Programme!J7273)</f>
        <v>&lt;/ValeurCellule&gt;</v>
      </c>
    </row>
    <row r="7273" spans="1:1" x14ac:dyDescent="0.2">
      <c r="A7273" s="996" t="str">
        <f>CONCATENATE(Programme!D7274,Programme!E7274,Programme!F7274,Programme!G7274,Programme!H7274,Programme!I7274,Programme!J7274)</f>
        <v>&lt;ValeurCellule&gt;</v>
      </c>
    </row>
    <row r="7274" spans="1:1" x14ac:dyDescent="0.2">
      <c r="A7274" s="996" t="str">
        <f>CONCATENATE(Programme!D7275,Programme!E7275,Programme!F7275,Programme!G7275,Programme!H7275,Programme!I7275,Programme!J7275)</f>
        <v>&lt;cellule&gt;&lt;codeEdi&gt;1929&lt;/codeEdi&gt;&lt;/cellule&gt;</v>
      </c>
    </row>
    <row r="7275" spans="1:1" x14ac:dyDescent="0.2">
      <c r="A7275" s="996" t="str">
        <f>CONCATENATE(Programme!D7276,Programme!E7276,Programme!F7276,Programme!G7276,Programme!H7276,Programme!I7276,Programme!J7276)</f>
        <v>&lt;valeur&gt;&lt;/valeur&gt;</v>
      </c>
    </row>
    <row r="7276" spans="1:1" x14ac:dyDescent="0.2">
      <c r="A7276" s="996" t="str">
        <f>CONCATENATE(Programme!D7277,Programme!E7277,Programme!F7277,Programme!G7277,Programme!H7277,Programme!I7277,Programme!J7277)</f>
        <v>&lt;numeroLigne&gt;5&lt;/numeroLigne&gt;</v>
      </c>
    </row>
    <row r="7277" spans="1:1" x14ac:dyDescent="0.2">
      <c r="A7277" s="996" t="str">
        <f>CONCATENATE(Programme!D7278,Programme!E7278,Programme!F7278,Programme!G7278,Programme!H7278,Programme!I7278,Programme!J7278)</f>
        <v>&lt;/ValeurCellule&gt;</v>
      </c>
    </row>
    <row r="7278" spans="1:1" x14ac:dyDescent="0.2">
      <c r="A7278" s="996" t="str">
        <f>CONCATENATE(Programme!D7279,Programme!E7279,Programme!F7279,Programme!G7279,Programme!H7279,Programme!I7279,Programme!J7279)</f>
        <v>&lt;ValeurCellule&gt;</v>
      </c>
    </row>
    <row r="7279" spans="1:1" x14ac:dyDescent="0.2">
      <c r="A7279" s="996" t="str">
        <f>CONCATENATE(Programme!D7280,Programme!E7280,Programme!F7280,Programme!G7280,Programme!H7280,Programme!I7280,Programme!J7280)</f>
        <v>&lt;cellule&gt;&lt;codeEdi&gt;1930&lt;/codeEdi&gt;&lt;/cellule&gt;</v>
      </c>
    </row>
    <row r="7280" spans="1:1" x14ac:dyDescent="0.2">
      <c r="A7280" s="996" t="str">
        <f>CONCATENATE(Programme!D7281,Programme!E7281,Programme!F7281,Programme!G7281,Programme!H7281,Programme!I7281,Programme!J7281)</f>
        <v>&lt;valeur&gt;&lt;/valeur&gt;</v>
      </c>
    </row>
    <row r="7281" spans="1:1" x14ac:dyDescent="0.2">
      <c r="A7281" s="996" t="str">
        <f>CONCATENATE(Programme!D7282,Programme!E7282,Programme!F7282,Programme!G7282,Programme!H7282,Programme!I7282,Programme!J7282)</f>
        <v>&lt;numeroLigne&gt;5&lt;/numeroLigne&gt;</v>
      </c>
    </row>
    <row r="7282" spans="1:1" x14ac:dyDescent="0.2">
      <c r="A7282" s="996" t="str">
        <f>CONCATENATE(Programme!D7283,Programme!E7283,Programme!F7283,Programme!G7283,Programme!H7283,Programme!I7283,Programme!J7283)</f>
        <v>&lt;/ValeurCellule&gt;</v>
      </c>
    </row>
    <row r="7283" spans="1:1" x14ac:dyDescent="0.2">
      <c r="A7283" s="996" t="str">
        <f>CONCATENATE(Programme!D7284,Programme!E7284,Programme!F7284,Programme!G7284,Programme!H7284,Programme!I7284,Programme!J7284)</f>
        <v>&lt;ValeurCellule&gt;</v>
      </c>
    </row>
    <row r="7284" spans="1:1" x14ac:dyDescent="0.2">
      <c r="A7284" s="996" t="str">
        <f>CONCATENATE(Programme!D7285,Programme!E7285,Programme!F7285,Programme!G7285,Programme!H7285,Programme!I7285,Programme!J7285)</f>
        <v>&lt;cellule&gt;&lt;codeEdi&gt;1931&lt;/codeEdi&gt;&lt;/cellule&gt;</v>
      </c>
    </row>
    <row r="7285" spans="1:1" x14ac:dyDescent="0.2">
      <c r="A7285" s="996" t="str">
        <f>CONCATENATE(Programme!D7286,Programme!E7286,Programme!F7286,Programme!G7286,Programme!H7286,Programme!I7286,Programme!J7286)</f>
        <v>&lt;valeur&gt;&lt;/valeur&gt;</v>
      </c>
    </row>
    <row r="7286" spans="1:1" x14ac:dyDescent="0.2">
      <c r="A7286" s="996" t="str">
        <f>CONCATENATE(Programme!D7287,Programme!E7287,Programme!F7287,Programme!G7287,Programme!H7287,Programme!I7287,Programme!J7287)</f>
        <v>&lt;numeroLigne&gt;5&lt;/numeroLigne&gt;</v>
      </c>
    </row>
    <row r="7287" spans="1:1" x14ac:dyDescent="0.2">
      <c r="A7287" s="996" t="str">
        <f>CONCATENATE(Programme!D7288,Programme!E7288,Programme!F7288,Programme!G7288,Programme!H7288,Programme!I7288,Programme!J7288)</f>
        <v>&lt;/ValeurCellule&gt;</v>
      </c>
    </row>
    <row r="7288" spans="1:1" x14ac:dyDescent="0.2">
      <c r="A7288" s="996" t="str">
        <f>CONCATENATE(Programme!D7289,Programme!E7289,Programme!F7289,Programme!G7289,Programme!H7289,Programme!I7289,Programme!J7289)</f>
        <v>&lt;ValeurCellule&gt;</v>
      </c>
    </row>
    <row r="7289" spans="1:1" x14ac:dyDescent="0.2">
      <c r="A7289" s="996" t="str">
        <f>CONCATENATE(Programme!D7290,Programme!E7290,Programme!F7290,Programme!G7290,Programme!H7290,Programme!I7290,Programme!J7290)</f>
        <v>&lt;cellule&gt;&lt;codeEdi&gt;1932&lt;/codeEdi&gt;&lt;/cellule&gt;</v>
      </c>
    </row>
    <row r="7290" spans="1:1" x14ac:dyDescent="0.2">
      <c r="A7290" s="996" t="str">
        <f>CONCATENATE(Programme!D7291,Programme!E7291,Programme!F7291,Programme!G7291,Programme!H7291,Programme!I7291,Programme!J7291)</f>
        <v>&lt;valeur&gt;&lt;/valeur&gt;</v>
      </c>
    </row>
    <row r="7291" spans="1:1" x14ac:dyDescent="0.2">
      <c r="A7291" s="996" t="str">
        <f>CONCATENATE(Programme!D7292,Programme!E7292,Programme!F7292,Programme!G7292,Programme!H7292,Programme!I7292,Programme!J7292)</f>
        <v>&lt;numeroLigne&gt;5&lt;/numeroLigne&gt;</v>
      </c>
    </row>
    <row r="7292" spans="1:1" x14ac:dyDescent="0.2">
      <c r="A7292" s="996" t="str">
        <f>CONCATENATE(Programme!D7293,Programme!E7293,Programme!F7293,Programme!G7293,Programme!H7293,Programme!I7293,Programme!J7293)</f>
        <v>&lt;/ValeurCellule&gt;</v>
      </c>
    </row>
    <row r="7293" spans="1:1" x14ac:dyDescent="0.2">
      <c r="A7293" s="996" t="str">
        <f>CONCATENATE(Programme!D7294,Programme!E7294,Programme!F7294,Programme!G7294,Programme!H7294,Programme!I7294,Programme!J7294)</f>
        <v>&lt;ValeurCellule&gt;</v>
      </c>
    </row>
    <row r="7294" spans="1:1" x14ac:dyDescent="0.2">
      <c r="A7294" s="996" t="str">
        <f>CONCATENATE(Programme!D7295,Programme!E7295,Programme!F7295,Programme!G7295,Programme!H7295,Programme!I7295,Programme!J7295)</f>
        <v>&lt;cellule&gt;&lt;codeEdi&gt;1933&lt;/codeEdi&gt;&lt;/cellule&gt;</v>
      </c>
    </row>
    <row r="7295" spans="1:1" x14ac:dyDescent="0.2">
      <c r="A7295" s="996" t="str">
        <f>CONCATENATE(Programme!D7296,Programme!E7296,Programme!F7296,Programme!G7296,Programme!H7296,Programme!I7296,Programme!J7296)</f>
        <v>&lt;valeur&gt;0&lt;/valeur&gt;</v>
      </c>
    </row>
    <row r="7296" spans="1:1" x14ac:dyDescent="0.2">
      <c r="A7296" s="996" t="str">
        <f>CONCATENATE(Programme!D7297,Programme!E7297,Programme!F7297,Programme!G7297,Programme!H7297,Programme!I7297,Programme!J7297)</f>
        <v>&lt;numeroLigne&gt;5&lt;/numeroLigne&gt;</v>
      </c>
    </row>
    <row r="7297" spans="1:1" x14ac:dyDescent="0.2">
      <c r="A7297" s="996" t="str">
        <f>CONCATENATE(Programme!D7298,Programme!E7298,Programme!F7298,Programme!G7298,Programme!H7298,Programme!I7298,Programme!J7298)</f>
        <v>&lt;/ValeurCellule&gt;</v>
      </c>
    </row>
    <row r="7298" spans="1:1" x14ac:dyDescent="0.2">
      <c r="A7298" s="996" t="str">
        <f>CONCATENATE(Programme!D7299,Programme!E7299,Programme!F7299,Programme!G7299,Programme!H7299,Programme!I7299,Programme!J7299)</f>
        <v>&lt;ValeurCellule&gt;</v>
      </c>
    </row>
    <row r="7299" spans="1:1" x14ac:dyDescent="0.2">
      <c r="A7299" s="996" t="str">
        <f>CONCATENATE(Programme!D7300,Programme!E7300,Programme!F7300,Programme!G7300,Programme!H7300,Programme!I7300,Programme!J7300)</f>
        <v>&lt;cellule&gt;&lt;codeEdi&gt;1934&lt;/codeEdi&gt;&lt;/cellule&gt;</v>
      </c>
    </row>
    <row r="7300" spans="1:1" x14ac:dyDescent="0.2">
      <c r="A7300" s="996" t="str">
        <f>CONCATENATE(Programme!D7301,Programme!E7301,Programme!F7301,Programme!G7301,Programme!H7301,Programme!I7301,Programme!J7301)</f>
        <v>&lt;valeur&gt;&lt;/valeur&gt;</v>
      </c>
    </row>
    <row r="7301" spans="1:1" x14ac:dyDescent="0.2">
      <c r="A7301" s="996" t="str">
        <f>CONCATENATE(Programme!D7302,Programme!E7302,Programme!F7302,Programme!G7302,Programme!H7302,Programme!I7302,Programme!J7302)</f>
        <v>&lt;numeroLigne&gt;5&lt;/numeroLigne&gt;</v>
      </c>
    </row>
    <row r="7302" spans="1:1" x14ac:dyDescent="0.2">
      <c r="A7302" s="996" t="str">
        <f>CONCATENATE(Programme!D7303,Programme!E7303,Programme!F7303,Programme!G7303,Programme!H7303,Programme!I7303,Programme!J7303)</f>
        <v>&lt;/ValeurCellule&gt;</v>
      </c>
    </row>
    <row r="7303" spans="1:1" x14ac:dyDescent="0.2">
      <c r="A7303" s="996" t="str">
        <f>CONCATENATE(Programme!D7304,Programme!E7304,Programme!F7304,Programme!G7304,Programme!H7304,Programme!I7304,Programme!J7304)</f>
        <v>&lt;ValeurCellule&gt;</v>
      </c>
    </row>
    <row r="7304" spans="1:1" x14ac:dyDescent="0.2">
      <c r="A7304" s="996" t="str">
        <f>CONCATENATE(Programme!D7305,Programme!E7305,Programme!F7305,Programme!G7305,Programme!H7305,Programme!I7305,Programme!J7305)</f>
        <v>&lt;cellule&gt;&lt;codeEdi&gt;1935&lt;/codeEdi&gt;&lt;/cellule&gt;</v>
      </c>
    </row>
    <row r="7305" spans="1:1" x14ac:dyDescent="0.2">
      <c r="A7305" s="996" t="str">
        <f>CONCATENATE(Programme!D7306,Programme!E7306,Programme!F7306,Programme!G7306,Programme!H7306,Programme!I7306,Programme!J7306)</f>
        <v>&lt;valeur&gt;0&lt;/valeur&gt;</v>
      </c>
    </row>
    <row r="7306" spans="1:1" x14ac:dyDescent="0.2">
      <c r="A7306" s="996" t="str">
        <f>CONCATENATE(Programme!D7307,Programme!E7307,Programme!F7307,Programme!G7307,Programme!H7307,Programme!I7307,Programme!J7307)</f>
        <v>&lt;numeroLigne&gt;5&lt;/numeroLigne&gt;</v>
      </c>
    </row>
    <row r="7307" spans="1:1" x14ac:dyDescent="0.2">
      <c r="A7307" s="996" t="str">
        <f>CONCATENATE(Programme!D7308,Programme!E7308,Programme!F7308,Programme!G7308,Programme!H7308,Programme!I7308,Programme!J7308)</f>
        <v>&lt;/ValeurCellule&gt;</v>
      </c>
    </row>
    <row r="7308" spans="1:1" x14ac:dyDescent="0.2">
      <c r="A7308" s="996" t="str">
        <f>CONCATENATE(Programme!D7309,Programme!E7309,Programme!F7309,Programme!G7309,Programme!H7309,Programme!I7309,Programme!J7309)</f>
        <v>&lt;ValeurCellule&gt;</v>
      </c>
    </row>
    <row r="7309" spans="1:1" x14ac:dyDescent="0.2">
      <c r="A7309" s="996" t="str">
        <f>CONCATENATE(Programme!D7310,Programme!E7310,Programme!F7310,Programme!G7310,Programme!H7310,Programme!I7310,Programme!J7310)</f>
        <v>&lt;cellule&gt;&lt;codeEdi&gt;1936&lt;/codeEdi&gt;&lt;/cellule&gt;</v>
      </c>
    </row>
    <row r="7310" spans="1:1" x14ac:dyDescent="0.2">
      <c r="A7310" s="996" t="str">
        <f>CONCATENATE(Programme!D7311,Programme!E7311,Programme!F7311,Programme!G7311,Programme!H7311,Programme!I7311,Programme!J7311)</f>
        <v>&lt;valeur&gt;0&lt;/valeur&gt;</v>
      </c>
    </row>
    <row r="7311" spans="1:1" x14ac:dyDescent="0.2">
      <c r="A7311" s="996" t="str">
        <f>CONCATENATE(Programme!D7312,Programme!E7312,Programme!F7312,Programme!G7312,Programme!H7312,Programme!I7312,Programme!J7312)</f>
        <v>&lt;numeroLigne&gt;5&lt;/numeroLigne&gt;</v>
      </c>
    </row>
    <row r="7312" spans="1:1" x14ac:dyDescent="0.2">
      <c r="A7312" s="996" t="str">
        <f>CONCATENATE(Programme!D7313,Programme!E7313,Programme!F7313,Programme!G7313,Programme!H7313,Programme!I7313,Programme!J7313)</f>
        <v>&lt;/ValeurCellule&gt;</v>
      </c>
    </row>
    <row r="7313" spans="1:1" x14ac:dyDescent="0.2">
      <c r="A7313" s="996" t="str">
        <f>CONCATENATE(Programme!D7314,Programme!E7314,Programme!F7314,Programme!G7314,Programme!H7314,Programme!I7314,Programme!J7314)</f>
        <v>&lt;ValeurCellule&gt;</v>
      </c>
    </row>
    <row r="7314" spans="1:1" x14ac:dyDescent="0.2">
      <c r="A7314" s="996" t="str">
        <f>CONCATENATE(Programme!D7315,Programme!E7315,Programme!F7315,Programme!G7315,Programme!H7315,Programme!I7315,Programme!J7315)</f>
        <v>&lt;cellule&gt;&lt;codeEdi&gt;1929&lt;/codeEdi&gt;&lt;/cellule&gt;</v>
      </c>
    </row>
    <row r="7315" spans="1:1" x14ac:dyDescent="0.2">
      <c r="A7315" s="996" t="str">
        <f>CONCATENATE(Programme!D7316,Programme!E7316,Programme!F7316,Programme!G7316,Programme!H7316,Programme!I7316,Programme!J7316)</f>
        <v>&lt;valeur&gt;&lt;/valeur&gt;</v>
      </c>
    </row>
    <row r="7316" spans="1:1" x14ac:dyDescent="0.2">
      <c r="A7316" s="996" t="str">
        <f>CONCATENATE(Programme!D7317,Programme!E7317,Programme!F7317,Programme!G7317,Programme!H7317,Programme!I7317,Programme!J7317)</f>
        <v>&lt;numeroLigne&gt;6&lt;/numeroLigne&gt;</v>
      </c>
    </row>
    <row r="7317" spans="1:1" x14ac:dyDescent="0.2">
      <c r="A7317" s="996" t="str">
        <f>CONCATENATE(Programme!D7318,Programme!E7318,Programme!F7318,Programme!G7318,Programme!H7318,Programme!I7318,Programme!J7318)</f>
        <v>&lt;/ValeurCellule&gt;</v>
      </c>
    </row>
    <row r="7318" spans="1:1" x14ac:dyDescent="0.2">
      <c r="A7318" s="996" t="str">
        <f>CONCATENATE(Programme!D7319,Programme!E7319,Programme!F7319,Programme!G7319,Programme!H7319,Programme!I7319,Programme!J7319)</f>
        <v>&lt;ValeurCellule&gt;</v>
      </c>
    </row>
    <row r="7319" spans="1:1" x14ac:dyDescent="0.2">
      <c r="A7319" s="996" t="str">
        <f>CONCATENATE(Programme!D7320,Programme!E7320,Programme!F7320,Programme!G7320,Programme!H7320,Programme!I7320,Programme!J7320)</f>
        <v>&lt;cellule&gt;&lt;codeEdi&gt;1930&lt;/codeEdi&gt;&lt;/cellule&gt;</v>
      </c>
    </row>
    <row r="7320" spans="1:1" x14ac:dyDescent="0.2">
      <c r="A7320" s="996" t="str">
        <f>CONCATENATE(Programme!D7321,Programme!E7321,Programme!F7321,Programme!G7321,Programme!H7321,Programme!I7321,Programme!J7321)</f>
        <v>&lt;valeur&gt;&lt;/valeur&gt;</v>
      </c>
    </row>
    <row r="7321" spans="1:1" x14ac:dyDescent="0.2">
      <c r="A7321" s="996" t="str">
        <f>CONCATENATE(Programme!D7322,Programme!E7322,Programme!F7322,Programme!G7322,Programme!H7322,Programme!I7322,Programme!J7322)</f>
        <v>&lt;numeroLigne&gt;6&lt;/numeroLigne&gt;</v>
      </c>
    </row>
    <row r="7322" spans="1:1" x14ac:dyDescent="0.2">
      <c r="A7322" s="996" t="str">
        <f>CONCATENATE(Programme!D7323,Programme!E7323,Programme!F7323,Programme!G7323,Programme!H7323,Programme!I7323,Programme!J7323)</f>
        <v>&lt;/ValeurCellule&gt;</v>
      </c>
    </row>
    <row r="7323" spans="1:1" x14ac:dyDescent="0.2">
      <c r="A7323" s="996" t="str">
        <f>CONCATENATE(Programme!D7324,Programme!E7324,Programme!F7324,Programme!G7324,Programme!H7324,Programme!I7324,Programme!J7324)</f>
        <v>&lt;ValeurCellule&gt;</v>
      </c>
    </row>
    <row r="7324" spans="1:1" x14ac:dyDescent="0.2">
      <c r="A7324" s="996" t="str">
        <f>CONCATENATE(Programme!D7325,Programme!E7325,Programme!F7325,Programme!G7325,Programme!H7325,Programme!I7325,Programme!J7325)</f>
        <v>&lt;cellule&gt;&lt;codeEdi&gt;1931&lt;/codeEdi&gt;&lt;/cellule&gt;</v>
      </c>
    </row>
    <row r="7325" spans="1:1" x14ac:dyDescent="0.2">
      <c r="A7325" s="996" t="str">
        <f>CONCATENATE(Programme!D7326,Programme!E7326,Programme!F7326,Programme!G7326,Programme!H7326,Programme!I7326,Programme!J7326)</f>
        <v>&lt;valeur&gt;&lt;/valeur&gt;</v>
      </c>
    </row>
    <row r="7326" spans="1:1" x14ac:dyDescent="0.2">
      <c r="A7326" s="996" t="str">
        <f>CONCATENATE(Programme!D7327,Programme!E7327,Programme!F7327,Programme!G7327,Programme!H7327,Programme!I7327,Programme!J7327)</f>
        <v>&lt;numeroLigne&gt;6&lt;/numeroLigne&gt;</v>
      </c>
    </row>
    <row r="7327" spans="1:1" x14ac:dyDescent="0.2">
      <c r="A7327" s="996" t="str">
        <f>CONCATENATE(Programme!D7328,Programme!E7328,Programme!F7328,Programme!G7328,Programme!H7328,Programme!I7328,Programme!J7328)</f>
        <v>&lt;/ValeurCellule&gt;</v>
      </c>
    </row>
    <row r="7328" spans="1:1" x14ac:dyDescent="0.2">
      <c r="A7328" s="996" t="str">
        <f>CONCATENATE(Programme!D7329,Programme!E7329,Programme!F7329,Programme!G7329,Programme!H7329,Programme!I7329,Programme!J7329)</f>
        <v>&lt;ValeurCellule&gt;</v>
      </c>
    </row>
    <row r="7329" spans="1:1" x14ac:dyDescent="0.2">
      <c r="A7329" s="996" t="str">
        <f>CONCATENATE(Programme!D7330,Programme!E7330,Programme!F7330,Programme!G7330,Programme!H7330,Programme!I7330,Programme!J7330)</f>
        <v>&lt;cellule&gt;&lt;codeEdi&gt;1932&lt;/codeEdi&gt;&lt;/cellule&gt;</v>
      </c>
    </row>
    <row r="7330" spans="1:1" x14ac:dyDescent="0.2">
      <c r="A7330" s="996" t="str">
        <f>CONCATENATE(Programme!D7331,Programme!E7331,Programme!F7331,Programme!G7331,Programme!H7331,Programme!I7331,Programme!J7331)</f>
        <v>&lt;valeur&gt;&lt;/valeur&gt;</v>
      </c>
    </row>
    <row r="7331" spans="1:1" x14ac:dyDescent="0.2">
      <c r="A7331" s="996" t="str">
        <f>CONCATENATE(Programme!D7332,Programme!E7332,Programme!F7332,Programme!G7332,Programme!H7332,Programme!I7332,Programme!J7332)</f>
        <v>&lt;numeroLigne&gt;6&lt;/numeroLigne&gt;</v>
      </c>
    </row>
    <row r="7332" spans="1:1" x14ac:dyDescent="0.2">
      <c r="A7332" s="996" t="str">
        <f>CONCATENATE(Programme!D7333,Programme!E7333,Programme!F7333,Programme!G7333,Programme!H7333,Programme!I7333,Programme!J7333)</f>
        <v>&lt;/ValeurCellule&gt;</v>
      </c>
    </row>
    <row r="7333" spans="1:1" x14ac:dyDescent="0.2">
      <c r="A7333" s="996" t="str">
        <f>CONCATENATE(Programme!D7334,Programme!E7334,Programme!F7334,Programme!G7334,Programme!H7334,Programme!I7334,Programme!J7334)</f>
        <v>&lt;ValeurCellule&gt;</v>
      </c>
    </row>
    <row r="7334" spans="1:1" x14ac:dyDescent="0.2">
      <c r="A7334" s="996" t="str">
        <f>CONCATENATE(Programme!D7335,Programme!E7335,Programme!F7335,Programme!G7335,Programme!H7335,Programme!I7335,Programme!J7335)</f>
        <v>&lt;cellule&gt;&lt;codeEdi&gt;1933&lt;/codeEdi&gt;&lt;/cellule&gt;</v>
      </c>
    </row>
    <row r="7335" spans="1:1" x14ac:dyDescent="0.2">
      <c r="A7335" s="996" t="str">
        <f>CONCATENATE(Programme!D7336,Programme!E7336,Programme!F7336,Programme!G7336,Programme!H7336,Programme!I7336,Programme!J7336)</f>
        <v>&lt;valeur&gt;0&lt;/valeur&gt;</v>
      </c>
    </row>
    <row r="7336" spans="1:1" x14ac:dyDescent="0.2">
      <c r="A7336" s="996" t="str">
        <f>CONCATENATE(Programme!D7337,Programme!E7337,Programme!F7337,Programme!G7337,Programme!H7337,Programme!I7337,Programme!J7337)</f>
        <v>&lt;numeroLigne&gt;6&lt;/numeroLigne&gt;</v>
      </c>
    </row>
    <row r="7337" spans="1:1" x14ac:dyDescent="0.2">
      <c r="A7337" s="996" t="str">
        <f>CONCATENATE(Programme!D7338,Programme!E7338,Programme!F7338,Programme!G7338,Programme!H7338,Programme!I7338,Programme!J7338)</f>
        <v>&lt;/ValeurCellule&gt;</v>
      </c>
    </row>
    <row r="7338" spans="1:1" x14ac:dyDescent="0.2">
      <c r="A7338" s="996" t="str">
        <f>CONCATENATE(Programme!D7339,Programme!E7339,Programme!F7339,Programme!G7339,Programme!H7339,Programme!I7339,Programme!J7339)</f>
        <v>&lt;ValeurCellule&gt;</v>
      </c>
    </row>
    <row r="7339" spans="1:1" x14ac:dyDescent="0.2">
      <c r="A7339" s="996" t="str">
        <f>CONCATENATE(Programme!D7340,Programme!E7340,Programme!F7340,Programme!G7340,Programme!H7340,Programme!I7340,Programme!J7340)</f>
        <v>&lt;cellule&gt;&lt;codeEdi&gt;1934&lt;/codeEdi&gt;&lt;/cellule&gt;</v>
      </c>
    </row>
    <row r="7340" spans="1:1" x14ac:dyDescent="0.2">
      <c r="A7340" s="996" t="str">
        <f>CONCATENATE(Programme!D7341,Programme!E7341,Programme!F7341,Programme!G7341,Programme!H7341,Programme!I7341,Programme!J7341)</f>
        <v>&lt;valeur&gt;&lt;/valeur&gt;</v>
      </c>
    </row>
    <row r="7341" spans="1:1" x14ac:dyDescent="0.2">
      <c r="A7341" s="996" t="str">
        <f>CONCATENATE(Programme!D7342,Programme!E7342,Programme!F7342,Programme!G7342,Programme!H7342,Programme!I7342,Programme!J7342)</f>
        <v>&lt;numeroLigne&gt;6&lt;/numeroLigne&gt;</v>
      </c>
    </row>
    <row r="7342" spans="1:1" x14ac:dyDescent="0.2">
      <c r="A7342" s="996" t="str">
        <f>CONCATENATE(Programme!D7343,Programme!E7343,Programme!F7343,Programme!G7343,Programme!H7343,Programme!I7343,Programme!J7343)</f>
        <v>&lt;/ValeurCellule&gt;</v>
      </c>
    </row>
    <row r="7343" spans="1:1" x14ac:dyDescent="0.2">
      <c r="A7343" s="996" t="str">
        <f>CONCATENATE(Programme!D7344,Programme!E7344,Programme!F7344,Programme!G7344,Programme!H7344,Programme!I7344,Programme!J7344)</f>
        <v>&lt;ValeurCellule&gt;</v>
      </c>
    </row>
    <row r="7344" spans="1:1" x14ac:dyDescent="0.2">
      <c r="A7344" s="996" t="str">
        <f>CONCATENATE(Programme!D7345,Programme!E7345,Programme!F7345,Programme!G7345,Programme!H7345,Programme!I7345,Programme!J7345)</f>
        <v>&lt;cellule&gt;&lt;codeEdi&gt;1935&lt;/codeEdi&gt;&lt;/cellule&gt;</v>
      </c>
    </row>
    <row r="7345" spans="1:1" x14ac:dyDescent="0.2">
      <c r="A7345" s="996" t="str">
        <f>CONCATENATE(Programme!D7346,Programme!E7346,Programme!F7346,Programme!G7346,Programme!H7346,Programme!I7346,Programme!J7346)</f>
        <v>&lt;valeur&gt;0&lt;/valeur&gt;</v>
      </c>
    </row>
    <row r="7346" spans="1:1" x14ac:dyDescent="0.2">
      <c r="A7346" s="996" t="str">
        <f>CONCATENATE(Programme!D7347,Programme!E7347,Programme!F7347,Programme!G7347,Programme!H7347,Programme!I7347,Programme!J7347)</f>
        <v>&lt;numeroLigne&gt;6&lt;/numeroLigne&gt;</v>
      </c>
    </row>
    <row r="7347" spans="1:1" x14ac:dyDescent="0.2">
      <c r="A7347" s="996" t="str">
        <f>CONCATENATE(Programme!D7348,Programme!E7348,Programme!F7348,Programme!G7348,Programme!H7348,Programme!I7348,Programme!J7348)</f>
        <v>&lt;/ValeurCellule&gt;</v>
      </c>
    </row>
    <row r="7348" spans="1:1" x14ac:dyDescent="0.2">
      <c r="A7348" s="996" t="str">
        <f>CONCATENATE(Programme!D7349,Programme!E7349,Programme!F7349,Programme!G7349,Programme!H7349,Programme!I7349,Programme!J7349)</f>
        <v>&lt;ValeurCellule&gt;</v>
      </c>
    </row>
    <row r="7349" spans="1:1" x14ac:dyDescent="0.2">
      <c r="A7349" s="996" t="str">
        <f>CONCATENATE(Programme!D7350,Programme!E7350,Programme!F7350,Programme!G7350,Programme!H7350,Programme!I7350,Programme!J7350)</f>
        <v>&lt;cellule&gt;&lt;codeEdi&gt;1936&lt;/codeEdi&gt;&lt;/cellule&gt;</v>
      </c>
    </row>
    <row r="7350" spans="1:1" x14ac:dyDescent="0.2">
      <c r="A7350" s="996" t="str">
        <f>CONCATENATE(Programme!D7351,Programme!E7351,Programme!F7351,Programme!G7351,Programme!H7351,Programme!I7351,Programme!J7351)</f>
        <v>&lt;valeur&gt;0&lt;/valeur&gt;</v>
      </c>
    </row>
    <row r="7351" spans="1:1" x14ac:dyDescent="0.2">
      <c r="A7351" s="996" t="str">
        <f>CONCATENATE(Programme!D7352,Programme!E7352,Programme!F7352,Programme!G7352,Programme!H7352,Programme!I7352,Programme!J7352)</f>
        <v>&lt;numeroLigne&gt;6&lt;/numeroLigne&gt;</v>
      </c>
    </row>
    <row r="7352" spans="1:1" x14ac:dyDescent="0.2">
      <c r="A7352" s="996" t="str">
        <f>CONCATENATE(Programme!D7353,Programme!E7353,Programme!F7353,Programme!G7353,Programme!H7353,Programme!I7353,Programme!J7353)</f>
        <v>&lt;/ValeurCellule&gt;</v>
      </c>
    </row>
    <row r="7353" spans="1:1" x14ac:dyDescent="0.2">
      <c r="A7353" s="996" t="str">
        <f>CONCATENATE(Programme!D7354,Programme!E7354,Programme!F7354,Programme!G7354,Programme!H7354,Programme!I7354,Programme!J7354)</f>
        <v>&lt;ValeurCellule&gt;</v>
      </c>
    </row>
    <row r="7354" spans="1:1" x14ac:dyDescent="0.2">
      <c r="A7354" s="996" t="str">
        <f>CONCATENATE(Programme!D7355,Programme!E7355,Programme!F7355,Programme!G7355,Programme!H7355,Programme!I7355,Programme!J7355)</f>
        <v>&lt;cellule&gt;</v>
      </c>
    </row>
    <row r="7355" spans="1:1" x14ac:dyDescent="0.2">
      <c r="A7355" s="996" t="str">
        <f>CONCATENATE(Programme!D7356,Programme!E7356,Programme!F7356,Programme!G7356,Programme!H7356,Programme!I7356,Programme!J7356)</f>
        <v>&lt;codeEdi&gt;2037&lt;/codeEdi&gt;</v>
      </c>
    </row>
    <row r="7356" spans="1:1" x14ac:dyDescent="0.2">
      <c r="A7356" s="996" t="str">
        <f>CONCATENATE(Programme!D7357,Programme!E7357,Programme!F7357,Programme!G7357,Programme!H7357,Programme!I7357,Programme!J7357)</f>
        <v>&lt;/cellule&gt;</v>
      </c>
    </row>
    <row r="7357" spans="1:1" x14ac:dyDescent="0.2">
      <c r="A7357" s="996" t="str">
        <f>CONCATENATE(Programme!D7358,Programme!E7358,Programme!F7358,Programme!G7358,Programme!H7358,Programme!I7358,Programme!J7358)</f>
        <v>&lt;valeur&gt;0&lt;/valeur&gt;</v>
      </c>
    </row>
    <row r="7358" spans="1:1" x14ac:dyDescent="0.2">
      <c r="A7358" s="996" t="str">
        <f>CONCATENATE(Programme!D7359,Programme!E7359,Programme!F7359,Programme!G7359,Programme!H7359,Programme!I7359,Programme!J7359)</f>
        <v>&lt;/ValeurCellule&gt;</v>
      </c>
    </row>
    <row r="7359" spans="1:1" x14ac:dyDescent="0.2">
      <c r="A7359" s="996" t="str">
        <f>CONCATENATE(Programme!D7360,Programme!E7360,Programme!F7360,Programme!G7360,Programme!H7360,Programme!I7360,Programme!J7360)</f>
        <v>&lt;ValeurCellule&gt;</v>
      </c>
    </row>
    <row r="7360" spans="1:1" x14ac:dyDescent="0.2">
      <c r="A7360" s="996" t="str">
        <f>CONCATENATE(Programme!D7361,Programme!E7361,Programme!F7361,Programme!G7361,Programme!H7361,Programme!I7361,Programme!J7361)</f>
        <v>&lt;cellule&gt;</v>
      </c>
    </row>
    <row r="7361" spans="1:1" x14ac:dyDescent="0.2">
      <c r="A7361" s="996" t="str">
        <f>CONCATENATE(Programme!D7362,Programme!E7362,Programme!F7362,Programme!G7362,Programme!H7362,Programme!I7362,Programme!J7362)</f>
        <v>&lt;codeEdi&gt;2038&lt;/codeEdi&gt;</v>
      </c>
    </row>
    <row r="7362" spans="1:1" x14ac:dyDescent="0.2">
      <c r="A7362" s="996" t="str">
        <f>CONCATENATE(Programme!D7363,Programme!E7363,Programme!F7363,Programme!G7363,Programme!H7363,Programme!I7363,Programme!J7363)</f>
        <v>&lt;/cellule&gt;</v>
      </c>
    </row>
    <row r="7363" spans="1:1" x14ac:dyDescent="0.2">
      <c r="A7363" s="996" t="str">
        <f>CONCATENATE(Programme!D7364,Programme!E7364,Programme!F7364,Programme!G7364,Programme!H7364,Programme!I7364,Programme!J7364)</f>
        <v>&lt;valeur&gt;0&lt;/valeur&gt;</v>
      </c>
    </row>
    <row r="7364" spans="1:1" x14ac:dyDescent="0.2">
      <c r="A7364" s="996" t="str">
        <f>CONCATENATE(Programme!D7365,Programme!E7365,Programme!F7365,Programme!G7365,Programme!H7365,Programme!I7365,Programme!J7365)</f>
        <v>&lt;/ValeurCellule&gt;</v>
      </c>
    </row>
    <row r="7365" spans="1:1" x14ac:dyDescent="0.2">
      <c r="A7365" s="996" t="str">
        <f>CONCATENATE(Programme!D7366,Programme!E7366,Programme!F7366,Programme!G7366,Programme!H7366,Programme!I7366,Programme!J7366)</f>
        <v>&lt;ValeurCellule&gt;</v>
      </c>
    </row>
    <row r="7366" spans="1:1" x14ac:dyDescent="0.2">
      <c r="A7366" s="996" t="str">
        <f>CONCATENATE(Programme!D7367,Programme!E7367,Programme!F7367,Programme!G7367,Programme!H7367,Programme!I7367,Programme!J7367)</f>
        <v>&lt;cellule&gt;</v>
      </c>
    </row>
    <row r="7367" spans="1:1" x14ac:dyDescent="0.2">
      <c r="A7367" s="996" t="str">
        <f>CONCATENATE(Programme!D7368,Programme!E7368,Programme!F7368,Programme!G7368,Programme!H7368,Programme!I7368,Programme!J7368)</f>
        <v>&lt;codeEdi&gt;2039&lt;/codeEdi&gt;</v>
      </c>
    </row>
    <row r="7368" spans="1:1" x14ac:dyDescent="0.2">
      <c r="A7368" s="996" t="str">
        <f>CONCATENATE(Programme!D7369,Programme!E7369,Programme!F7369,Programme!G7369,Programme!H7369,Programme!I7369,Programme!J7369)</f>
        <v>&lt;/cellule&gt;</v>
      </c>
    </row>
    <row r="7369" spans="1:1" x14ac:dyDescent="0.2">
      <c r="A7369" s="996" t="str">
        <f>CONCATENATE(Programme!D7370,Programme!E7370,Programme!F7370,Programme!G7370,Programme!H7370,Programme!I7370,Programme!J7370)</f>
        <v>&lt;valeur&gt;0&lt;/valeur&gt;</v>
      </c>
    </row>
    <row r="7370" spans="1:1" x14ac:dyDescent="0.2">
      <c r="A7370" s="996" t="str">
        <f>CONCATENATE(Programme!D7371,Programme!E7371,Programme!F7371,Programme!G7371,Programme!H7371,Programme!I7371,Programme!J7371)</f>
        <v>&lt;/ValeurCellule&gt;</v>
      </c>
    </row>
    <row r="7371" spans="1:1" x14ac:dyDescent="0.2">
      <c r="A7371" s="996" t="str">
        <f>CONCATENATE(Programme!D7372,Programme!E7372,Programme!F7372,Programme!G7372,Programme!H7372,Programme!I7372,Programme!J7372)</f>
        <v>&lt;ValeurCellule&gt;</v>
      </c>
    </row>
    <row r="7372" spans="1:1" x14ac:dyDescent="0.2">
      <c r="A7372" s="996" t="str">
        <f>CONCATENATE(Programme!D7373,Programme!E7373,Programme!F7373,Programme!G7373,Programme!H7373,Programme!I7373,Programme!J7373)</f>
        <v>&lt;cellule&gt;</v>
      </c>
    </row>
    <row r="7373" spans="1:1" x14ac:dyDescent="0.2">
      <c r="A7373" s="996" t="str">
        <f>CONCATENATE(Programme!D7374,Programme!E7374,Programme!F7374,Programme!G7374,Programme!H7374,Programme!I7374,Programme!J7374)</f>
        <v>&lt;codeEdi&gt;2040&lt;/codeEdi&gt;</v>
      </c>
    </row>
    <row r="7374" spans="1:1" x14ac:dyDescent="0.2">
      <c r="A7374" s="996" t="str">
        <f>CONCATENATE(Programme!D7375,Programme!E7375,Programme!F7375,Programme!G7375,Programme!H7375,Programme!I7375,Programme!J7375)</f>
        <v>&lt;/cellule&gt;</v>
      </c>
    </row>
    <row r="7375" spans="1:1" x14ac:dyDescent="0.2">
      <c r="A7375" s="996" t="str">
        <f>CONCATENATE(Programme!D7376,Programme!E7376,Programme!F7376,Programme!G7376,Programme!H7376,Programme!I7376,Programme!J7376)</f>
        <v>&lt;valeur&gt;0&lt;/valeur&gt;</v>
      </c>
    </row>
    <row r="7376" spans="1:1" x14ac:dyDescent="0.2">
      <c r="A7376" s="996" t="str">
        <f>CONCATENATE(Programme!D7377,Programme!E7377,Programme!F7377,Programme!G7377,Programme!H7377,Programme!I7377,Programme!J7377)</f>
        <v>&lt;/ValeurCellule&gt;</v>
      </c>
    </row>
    <row r="7377" spans="1:1" x14ac:dyDescent="0.2">
      <c r="A7377" s="996" t="str">
        <f>CONCATENATE(Programme!D7378,Programme!E7378,Programme!F7378,Programme!G7378,Programme!H7378,Programme!I7378,Programme!J7378)</f>
        <v>&lt;ValeurCellule&gt;</v>
      </c>
    </row>
    <row r="7378" spans="1:1" x14ac:dyDescent="0.2">
      <c r="A7378" s="996" t="str">
        <f>CONCATENATE(Programme!D7379,Programme!E7379,Programme!F7379,Programme!G7379,Programme!H7379,Programme!I7379,Programme!J7379)</f>
        <v>&lt;cellule&gt;</v>
      </c>
    </row>
    <row r="7379" spans="1:1" x14ac:dyDescent="0.2">
      <c r="A7379" s="996" t="str">
        <f>CONCATENATE(Programme!D7380,Programme!E7380,Programme!F7380,Programme!G7380,Programme!H7380,Programme!I7380,Programme!J7380)</f>
        <v>&lt;codeEdi&gt;2041&lt;/codeEdi&gt;</v>
      </c>
    </row>
    <row r="7380" spans="1:1" x14ac:dyDescent="0.2">
      <c r="A7380" s="996" t="str">
        <f>CONCATENATE(Programme!D7381,Programme!E7381,Programme!F7381,Programme!G7381,Programme!H7381,Programme!I7381,Programme!J7381)</f>
        <v>&lt;/cellule&gt;</v>
      </c>
    </row>
    <row r="7381" spans="1:1" x14ac:dyDescent="0.2">
      <c r="A7381" s="996" t="str">
        <f>CONCATENATE(Programme!D7382,Programme!E7382,Programme!F7382,Programme!G7382,Programme!H7382,Programme!I7382,Programme!J7382)</f>
        <v>&lt;valeur&gt;0&lt;/valeur&gt;</v>
      </c>
    </row>
    <row r="7382" spans="1:1" x14ac:dyDescent="0.2">
      <c r="A7382" s="996" t="str">
        <f>CONCATENATE(Programme!D7383,Programme!E7383,Programme!F7383,Programme!G7383,Programme!H7383,Programme!I7383,Programme!J7383)</f>
        <v>&lt;/ValeurCellule&gt;</v>
      </c>
    </row>
    <row r="7383" spans="1:1" x14ac:dyDescent="0.2">
      <c r="A7383" s="996" t="str">
        <f>CONCATENATE(Programme!D7384,Programme!E7384,Programme!F7384,Programme!G7384,Programme!H7384,Programme!I7384,Programme!J7384)</f>
        <v>&lt;ValeurCellule&gt;</v>
      </c>
    </row>
    <row r="7384" spans="1:1" x14ac:dyDescent="0.2">
      <c r="A7384" s="996" t="str">
        <f>CONCATENATE(Programme!D7385,Programme!E7385,Programme!F7385,Programme!G7385,Programme!H7385,Programme!I7385,Programme!J7385)</f>
        <v>&lt;cellule&gt;</v>
      </c>
    </row>
    <row r="7385" spans="1:1" x14ac:dyDescent="0.2">
      <c r="A7385" s="996" t="str">
        <f>CONCATENATE(Programme!D7386,Programme!E7386,Programme!F7386,Programme!G7386,Programme!H7386,Programme!I7386,Programme!J7386)</f>
        <v>&lt;codeEdi&gt;2042&lt;/codeEdi&gt;</v>
      </c>
    </row>
    <row r="7386" spans="1:1" x14ac:dyDescent="0.2">
      <c r="A7386" s="996" t="str">
        <f>CONCATENATE(Programme!D7387,Programme!E7387,Programme!F7387,Programme!G7387,Programme!H7387,Programme!I7387,Programme!J7387)</f>
        <v>&lt;/cellule&gt;</v>
      </c>
    </row>
    <row r="7387" spans="1:1" x14ac:dyDescent="0.2">
      <c r="A7387" s="996" t="str">
        <f>CONCATENATE(Programme!D7388,Programme!E7388,Programme!F7388,Programme!G7388,Programme!H7388,Programme!I7388,Programme!J7388)</f>
        <v>&lt;valeur&gt;0&lt;/valeur&gt;</v>
      </c>
    </row>
    <row r="7388" spans="1:1" x14ac:dyDescent="0.2">
      <c r="A7388" s="996" t="str">
        <f>CONCATENATE(Programme!D7389,Programme!E7389,Programme!F7389,Programme!G7389,Programme!H7389,Programme!I7389,Programme!J7389)</f>
        <v>&lt;/ValeurCellule&gt;</v>
      </c>
    </row>
    <row r="7389" spans="1:1" x14ac:dyDescent="0.2">
      <c r="A7389" s="996" t="str">
        <f>CONCATENATE(Programme!D7390,Programme!E7390,Programme!F7390,Programme!G7390,Programme!H7390,Programme!I7390,Programme!J7390)</f>
        <v>&lt;ValeurCellule&gt;</v>
      </c>
    </row>
    <row r="7390" spans="1:1" x14ac:dyDescent="0.2">
      <c r="A7390" s="996" t="str">
        <f>CONCATENATE(Programme!D7391,Programme!E7391,Programme!F7391,Programme!G7391,Programme!H7391,Programme!I7391,Programme!J7391)</f>
        <v>&lt;cellule&gt;</v>
      </c>
    </row>
    <row r="7391" spans="1:1" x14ac:dyDescent="0.2">
      <c r="A7391" s="996" t="str">
        <f>CONCATENATE(Programme!D7392,Programme!E7392,Programme!F7392,Programme!G7392,Programme!H7392,Programme!I7392,Programme!J7392)</f>
        <v>&lt;codeEdi&gt;2043&lt;/codeEdi&gt;</v>
      </c>
    </row>
    <row r="7392" spans="1:1" x14ac:dyDescent="0.2">
      <c r="A7392" s="996" t="str">
        <f>CONCATENATE(Programme!D7393,Programme!E7393,Programme!F7393,Programme!G7393,Programme!H7393,Programme!I7393,Programme!J7393)</f>
        <v>&lt;/cellule&gt;</v>
      </c>
    </row>
    <row r="7393" spans="1:1" x14ac:dyDescent="0.2">
      <c r="A7393" s="996" t="str">
        <f>CONCATENATE(Programme!D7394,Programme!E7394,Programme!F7394,Programme!G7394,Programme!H7394,Programme!I7394,Programme!J7394)</f>
        <v>&lt;valeur&gt;0&lt;/valeur&gt;</v>
      </c>
    </row>
    <row r="7394" spans="1:1" x14ac:dyDescent="0.2">
      <c r="A7394" s="996" t="str">
        <f>CONCATENATE(Programme!D7395,Programme!E7395,Programme!F7395,Programme!G7395,Programme!H7395,Programme!I7395,Programme!J7395)</f>
        <v>&lt;/ValeurCellule&gt;</v>
      </c>
    </row>
    <row r="7395" spans="1:1" x14ac:dyDescent="0.2">
      <c r="A7395" s="996" t="str">
        <f>CONCATENATE(Programme!D7396,Programme!E7396,Programme!F7396,Programme!G7396,Programme!H7396,Programme!I7396,Programme!J7396)</f>
        <v>&lt;/groupeValeurs&gt;</v>
      </c>
    </row>
    <row r="7396" spans="1:1" x14ac:dyDescent="0.2">
      <c r="A7396" s="996" t="str">
        <f>CONCATENATE(Programme!D7397,Programme!E7397,Programme!F7397,Programme!G7397,Programme!H7397,Programme!I7397,Programme!J7397)</f>
        <v>&lt;extraFieldvaleurs&gt;</v>
      </c>
    </row>
    <row r="7397" spans="1:1" x14ac:dyDescent="0.2">
      <c r="A7397" s="996" t="str">
        <f>CONCATENATE(Programme!D7398,Programme!E7398,Programme!F7398,Programme!G7398,Programme!H7398,Programme!I7398,Programme!J7398)</f>
        <v>&lt;ExtraFieldValeur&gt;</v>
      </c>
    </row>
    <row r="7398" spans="1:1" x14ac:dyDescent="0.2">
      <c r="A7398" s="996" t="str">
        <f>CONCATENATE(Programme!D7399,Programme!E7399,Programme!F7399,Programme!G7399,Programme!H7399,Programme!I7399,Programme!J7399)</f>
        <v xml:space="preserve"> &lt;extraField&gt;</v>
      </c>
    </row>
    <row r="7399" spans="1:1" x14ac:dyDescent="0.2">
      <c r="A7399" s="996" t="str">
        <f>CONCATENATE(Programme!D7400,Programme!E7400,Programme!F7400,Programme!G7400,Programme!H7400,Programme!I7400,Programme!J7400)</f>
        <v>&lt;code&gt;72&lt;/code&gt;</v>
      </c>
    </row>
    <row r="7400" spans="1:1" x14ac:dyDescent="0.2">
      <c r="A7400" s="996" t="str">
        <f>CONCATENATE(Programme!D7401,Programme!E7401,Programme!F7401,Programme!G7401,Programme!H7401,Programme!I7401,Programme!J7401)</f>
        <v xml:space="preserve">&lt;/extraField&gt; </v>
      </c>
    </row>
    <row r="7401" spans="1:1" x14ac:dyDescent="0.2">
      <c r="A7401" s="996" t="str">
        <f>CONCATENATE(Programme!D7402,Programme!E7402,Programme!F7402,Programme!G7402,Programme!H7402,Programme!I7402,Programme!J7402)</f>
        <v>&lt;valeur&gt;31/12/2015&lt;/valeur&gt;</v>
      </c>
    </row>
    <row r="7402" spans="1:1" x14ac:dyDescent="0.2">
      <c r="A7402" s="996" t="str">
        <f>CONCATENATE(Programme!D7403,Programme!E7403,Programme!F7403,Programme!G7403,Programme!H7403,Programme!I7403,Programme!J7403)</f>
        <v>&lt;/ExtraFieldValeur&gt;</v>
      </c>
    </row>
    <row r="7403" spans="1:1" x14ac:dyDescent="0.2">
      <c r="A7403" s="996" t="str">
        <f>CONCATENATE(Programme!D7404,Programme!E7404,Programme!F7404,Programme!G7404,Programme!H7404,Programme!I7404,Programme!J7404)</f>
        <v>&lt;/extraFieldvaleurs&gt;</v>
      </c>
    </row>
    <row r="7404" spans="1:1" x14ac:dyDescent="0.2">
      <c r="A7404" s="996" t="str">
        <f>CONCATENATE(Programme!D7405,Programme!E7405,Programme!F7405,Programme!G7405,Programme!H7405,Programme!I7405,Programme!J7405)</f>
        <v>&lt;/ValeursTableau&gt;</v>
      </c>
    </row>
    <row r="7405" spans="1:1" x14ac:dyDescent="0.2">
      <c r="A7405" s="996" t="str">
        <f>CONCATENATE(Programme!D7406,Programme!E7406,Programme!F7406,Programme!G7406,Programme!H7406,Programme!I7406,Programme!J7406)</f>
        <v>&lt;ValeursTableau&gt;</v>
      </c>
    </row>
    <row r="7406" spans="1:1" x14ac:dyDescent="0.2">
      <c r="A7406" s="996" t="str">
        <f>CONCATENATE(Programme!D7407,Programme!E7407,Programme!F7407,Programme!G7407,Programme!H7407,Programme!I7407,Programme!J7407)</f>
        <v>&lt;tableau&gt;&lt;id&gt;39&lt;/id&gt;&lt;/tableau&gt;</v>
      </c>
    </row>
    <row r="7407" spans="1:1" x14ac:dyDescent="0.2">
      <c r="A7407" s="996" t="str">
        <f>CONCATENATE(Programme!D7408,Programme!E7408,Programme!F7408,Programme!G7408,Programme!H7408,Programme!I7408,Programme!J7408)</f>
        <v>&lt;groupeValeurs&gt;</v>
      </c>
    </row>
    <row r="7408" spans="1:1" x14ac:dyDescent="0.2">
      <c r="A7408" s="996" t="str">
        <f>CONCATENATE(Programme!D7409,Programme!E7409,Programme!F7409,Programme!G7409,Programme!H7409,Programme!I7409,Programme!J7409)</f>
        <v>&lt;ValeurCellule&gt;</v>
      </c>
    </row>
    <row r="7409" spans="1:1" x14ac:dyDescent="0.2">
      <c r="A7409" s="996" t="str">
        <f>CONCATENATE(Programme!D7410,Programme!E7410,Programme!F7410,Programme!G7410,Programme!H7410,Programme!I7410,Programme!J7410)</f>
        <v>&lt;cellule&gt;&lt;codeEdi&gt;2044&lt;/codeEdi&gt;&lt;/cellule&gt;</v>
      </c>
    </row>
    <row r="7410" spans="1:1" x14ac:dyDescent="0.2">
      <c r="A7410" s="996" t="str">
        <f>CONCATENATE(Programme!D7411,Programme!E7411,Programme!F7411,Programme!G7411,Programme!H7411,Programme!I7411,Programme!J7411)</f>
        <v>&lt;valeur&gt;&lt;/valeur&gt;</v>
      </c>
    </row>
    <row r="7411" spans="1:1" x14ac:dyDescent="0.2">
      <c r="A7411" s="996" t="str">
        <f>CONCATENATE(Programme!D7412,Programme!E7412,Programme!F7412,Programme!G7412,Programme!H7412,Programme!I7412,Programme!J7412)</f>
        <v>&lt;numeroLigne&gt;1&lt;/numeroLigne&gt;</v>
      </c>
    </row>
    <row r="7412" spans="1:1" x14ac:dyDescent="0.2">
      <c r="A7412" s="996" t="str">
        <f>CONCATENATE(Programme!D7413,Programme!E7413,Programme!F7413,Programme!G7413,Programme!H7413,Programme!I7413,Programme!J7413)</f>
        <v>&lt;/ValeurCellule&gt;</v>
      </c>
    </row>
    <row r="7413" spans="1:1" x14ac:dyDescent="0.2">
      <c r="A7413" s="996" t="str">
        <f>CONCATENATE(Programme!D7414,Programme!E7414,Programme!F7414,Programme!G7414,Programme!H7414,Programme!I7414,Programme!J7414)</f>
        <v>&lt;ValeurCellule&gt;</v>
      </c>
    </row>
    <row r="7414" spans="1:1" x14ac:dyDescent="0.2">
      <c r="A7414" s="996" t="str">
        <f>CONCATENATE(Programme!D7415,Programme!E7415,Programme!F7415,Programme!G7415,Programme!H7415,Programme!I7415,Programme!J7415)</f>
        <v>&lt;cellule&gt;&lt;codeEdi&gt;2045&lt;/codeEdi&gt;&lt;/cellule&gt;</v>
      </c>
    </row>
    <row r="7415" spans="1:1" x14ac:dyDescent="0.2">
      <c r="A7415" s="996" t="str">
        <f>CONCATENATE(Programme!D7416,Programme!E7416,Programme!F7416,Programme!G7416,Programme!H7416,Programme!I7416,Programme!J7416)</f>
        <v>&lt;valeur&gt;&lt;/valeur&gt;</v>
      </c>
    </row>
    <row r="7416" spans="1:1" x14ac:dyDescent="0.2">
      <c r="A7416" s="996" t="str">
        <f>CONCATENATE(Programme!D7417,Programme!E7417,Programme!F7417,Programme!G7417,Programme!H7417,Programme!I7417,Programme!J7417)</f>
        <v>&lt;numeroLigne&gt;1&lt;/numeroLigne&gt;</v>
      </c>
    </row>
    <row r="7417" spans="1:1" x14ac:dyDescent="0.2">
      <c r="A7417" s="996" t="str">
        <f>CONCATENATE(Programme!D7418,Programme!E7418,Programme!F7418,Programme!G7418,Programme!H7418,Programme!I7418,Programme!J7418)</f>
        <v>&lt;/ValeurCellule&gt;</v>
      </c>
    </row>
    <row r="7418" spans="1:1" x14ac:dyDescent="0.2">
      <c r="A7418" s="996" t="str">
        <f>CONCATENATE(Programme!D7419,Programme!E7419,Programme!F7419,Programme!G7419,Programme!H7419,Programme!I7419,Programme!J7419)</f>
        <v>&lt;ValeurCellule&gt;</v>
      </c>
    </row>
    <row r="7419" spans="1:1" x14ac:dyDescent="0.2">
      <c r="A7419" s="996" t="str">
        <f>CONCATENATE(Programme!D7420,Programme!E7420,Programme!F7420,Programme!G7420,Programme!H7420,Programme!I7420,Programme!J7420)</f>
        <v>&lt;cellule&gt;&lt;codeEdi&gt;2046&lt;/codeEdi&gt;&lt;/cellule&gt;</v>
      </c>
    </row>
    <row r="7420" spans="1:1" x14ac:dyDescent="0.2">
      <c r="A7420" s="996" t="str">
        <f>CONCATENATE(Programme!D7421,Programme!E7421,Programme!F7421,Programme!G7421,Programme!H7421,Programme!I7421,Programme!J7421)</f>
        <v>&lt;valeur&gt;&lt;/valeur&gt;</v>
      </c>
    </row>
    <row r="7421" spans="1:1" x14ac:dyDescent="0.2">
      <c r="A7421" s="996" t="str">
        <f>CONCATENATE(Programme!D7422,Programme!E7422,Programme!F7422,Programme!G7422,Programme!H7422,Programme!I7422,Programme!J7422)</f>
        <v>&lt;numeroLigne&gt;1&lt;/numeroLigne&gt;</v>
      </c>
    </row>
    <row r="7422" spans="1:1" x14ac:dyDescent="0.2">
      <c r="A7422" s="996" t="str">
        <f>CONCATENATE(Programme!D7423,Programme!E7423,Programme!F7423,Programme!G7423,Programme!H7423,Programme!I7423,Programme!J7423)</f>
        <v>&lt;/ValeurCellule&gt;</v>
      </c>
    </row>
    <row r="7423" spans="1:1" x14ac:dyDescent="0.2">
      <c r="A7423" s="996" t="str">
        <f>CONCATENATE(Programme!D7424,Programme!E7424,Programme!F7424,Programme!G7424,Programme!H7424,Programme!I7424,Programme!J7424)</f>
        <v>&lt;ValeurCellule&gt;</v>
      </c>
    </row>
    <row r="7424" spans="1:1" x14ac:dyDescent="0.2">
      <c r="A7424" s="996" t="str">
        <f>CONCATENATE(Programme!D7425,Programme!E7425,Programme!F7425,Programme!G7425,Programme!H7425,Programme!I7425,Programme!J7425)</f>
        <v>&lt;cellule&gt;&lt;codeEdi&gt;2047&lt;/codeEdi&gt;&lt;/cellule&gt;</v>
      </c>
    </row>
    <row r="7425" spans="1:1" x14ac:dyDescent="0.2">
      <c r="A7425" s="996" t="str">
        <f>CONCATENATE(Programme!D7426,Programme!E7426,Programme!F7426,Programme!G7426,Programme!H7426,Programme!I7426,Programme!J7426)</f>
        <v>&lt;valeur&gt;&lt;/valeur&gt;</v>
      </c>
    </row>
    <row r="7426" spans="1:1" x14ac:dyDescent="0.2">
      <c r="A7426" s="996" t="str">
        <f>CONCATENATE(Programme!D7427,Programme!E7427,Programme!F7427,Programme!G7427,Programme!H7427,Programme!I7427,Programme!J7427)</f>
        <v>&lt;numeroLigne&gt;1&lt;/numeroLigne&gt;</v>
      </c>
    </row>
    <row r="7427" spans="1:1" x14ac:dyDescent="0.2">
      <c r="A7427" s="996" t="str">
        <f>CONCATENATE(Programme!D7428,Programme!E7428,Programme!F7428,Programme!G7428,Programme!H7428,Programme!I7428,Programme!J7428)</f>
        <v>&lt;/ValeurCellule&gt;</v>
      </c>
    </row>
    <row r="7428" spans="1:1" x14ac:dyDescent="0.2">
      <c r="A7428" s="996" t="str">
        <f>CONCATENATE(Programme!D7429,Programme!E7429,Programme!F7429,Programme!G7429,Programme!H7429,Programme!I7429,Programme!J7429)</f>
        <v>&lt;ValeurCellule&gt;</v>
      </c>
    </row>
    <row r="7429" spans="1:1" x14ac:dyDescent="0.2">
      <c r="A7429" s="996" t="str">
        <f>CONCATENATE(Programme!D7430,Programme!E7430,Programme!F7430,Programme!G7430,Programme!H7430,Programme!I7430,Programme!J7430)</f>
        <v>&lt;cellule&gt;&lt;codeEdi&gt;2048&lt;/codeEdi&gt;&lt;/cellule&gt;</v>
      </c>
    </row>
    <row r="7430" spans="1:1" x14ac:dyDescent="0.2">
      <c r="A7430" s="996" t="str">
        <f>CONCATENATE(Programme!D7431,Programme!E7431,Programme!F7431,Programme!G7431,Programme!H7431,Programme!I7431,Programme!J7431)</f>
        <v>&lt;valeur&gt;&lt;/valeur&gt;</v>
      </c>
    </row>
    <row r="7431" spans="1:1" x14ac:dyDescent="0.2">
      <c r="A7431" s="996" t="str">
        <f>CONCATENATE(Programme!D7432,Programme!E7432,Programme!F7432,Programme!G7432,Programme!H7432,Programme!I7432,Programme!J7432)</f>
        <v>&lt;numeroLigne&gt;1&lt;/numeroLigne&gt;</v>
      </c>
    </row>
    <row r="7432" spans="1:1" x14ac:dyDescent="0.2">
      <c r="A7432" s="996" t="str">
        <f>CONCATENATE(Programme!D7433,Programme!E7433,Programme!F7433,Programme!G7433,Programme!H7433,Programme!I7433,Programme!J7433)</f>
        <v>&lt;/ValeurCellule&gt;</v>
      </c>
    </row>
    <row r="7433" spans="1:1" x14ac:dyDescent="0.2">
      <c r="A7433" s="996" t="str">
        <f>CONCATENATE(Programme!D7434,Programme!E7434,Programme!F7434,Programme!G7434,Programme!H7434,Programme!I7434,Programme!J7434)</f>
        <v>&lt;ValeurCellule&gt;</v>
      </c>
    </row>
    <row r="7434" spans="1:1" x14ac:dyDescent="0.2">
      <c r="A7434" s="996" t="str">
        <f>CONCATENATE(Programme!D7435,Programme!E7435,Programme!F7435,Programme!G7435,Programme!H7435,Programme!I7435,Programme!J7435)</f>
        <v>&lt;cellule&gt;&lt;codeEdi&gt;2049&lt;/codeEdi&gt;&lt;/cellule&gt;</v>
      </c>
    </row>
    <row r="7435" spans="1:1" x14ac:dyDescent="0.2">
      <c r="A7435" s="996" t="str">
        <f>CONCATENATE(Programme!D7436,Programme!E7436,Programme!F7436,Programme!G7436,Programme!H7436,Programme!I7436,Programme!J7436)</f>
        <v>&lt;valeur&gt;&lt;/valeur&gt;</v>
      </c>
    </row>
    <row r="7436" spans="1:1" x14ac:dyDescent="0.2">
      <c r="A7436" s="996" t="str">
        <f>CONCATENATE(Programme!D7437,Programme!E7437,Programme!F7437,Programme!G7437,Programme!H7437,Programme!I7437,Programme!J7437)</f>
        <v>&lt;numeroLigne&gt;1&lt;/numeroLigne&gt;</v>
      </c>
    </row>
    <row r="7437" spans="1:1" x14ac:dyDescent="0.2">
      <c r="A7437" s="996" t="str">
        <f>CONCATENATE(Programme!D7438,Programme!E7438,Programme!F7438,Programme!G7438,Programme!H7438,Programme!I7438,Programme!J7438)</f>
        <v>&lt;/ValeurCellule&gt;</v>
      </c>
    </row>
    <row r="7438" spans="1:1" x14ac:dyDescent="0.2">
      <c r="A7438" s="996" t="str">
        <f>CONCATENATE(Programme!D7439,Programme!E7439,Programme!F7439,Programme!G7439,Programme!H7439,Programme!I7439,Programme!J7439)</f>
        <v>&lt;ValeurCellule&gt;</v>
      </c>
    </row>
    <row r="7439" spans="1:1" x14ac:dyDescent="0.2">
      <c r="A7439" s="996" t="str">
        <f>CONCATENATE(Programme!D7440,Programme!E7440,Programme!F7440,Programme!G7440,Programme!H7440,Programme!I7440,Programme!J7440)</f>
        <v>&lt;cellule&gt;&lt;codeEdi&gt;2050&lt;/codeEdi&gt;&lt;/cellule&gt;</v>
      </c>
    </row>
    <row r="7440" spans="1:1" x14ac:dyDescent="0.2">
      <c r="A7440" s="996" t="str">
        <f>CONCATENATE(Programme!D7441,Programme!E7441,Programme!F7441,Programme!G7441,Programme!H7441,Programme!I7441,Programme!J7441)</f>
        <v>&lt;valeur&gt;&lt;/valeur&gt;</v>
      </c>
    </row>
    <row r="7441" spans="1:1" x14ac:dyDescent="0.2">
      <c r="A7441" s="996" t="str">
        <f>CONCATENATE(Programme!D7442,Programme!E7442,Programme!F7442,Programme!G7442,Programme!H7442,Programme!I7442,Programme!J7442)</f>
        <v>&lt;numeroLigne&gt;1&lt;/numeroLigne&gt;</v>
      </c>
    </row>
    <row r="7442" spans="1:1" x14ac:dyDescent="0.2">
      <c r="A7442" s="996" t="str">
        <f>CONCATENATE(Programme!D7443,Programme!E7443,Programme!F7443,Programme!G7443,Programme!H7443,Programme!I7443,Programme!J7443)</f>
        <v>&lt;/ValeurCellule&gt;</v>
      </c>
    </row>
    <row r="7443" spans="1:1" x14ac:dyDescent="0.2">
      <c r="A7443" s="996" t="str">
        <f>CONCATENATE(Programme!D7444,Programme!E7444,Programme!F7444,Programme!G7444,Programme!H7444,Programme!I7444,Programme!J7444)</f>
        <v>&lt;ValeurCellule&gt;</v>
      </c>
    </row>
    <row r="7444" spans="1:1" x14ac:dyDescent="0.2">
      <c r="A7444" s="996" t="str">
        <f>CONCATENATE(Programme!D7445,Programme!E7445,Programme!F7445,Programme!G7445,Programme!H7445,Programme!I7445,Programme!J7445)</f>
        <v>&lt;cellule&gt;&lt;codeEdi&gt;2051&lt;/codeEdi&gt;&lt;/cellule&gt;</v>
      </c>
    </row>
    <row r="7445" spans="1:1" x14ac:dyDescent="0.2">
      <c r="A7445" s="996" t="str">
        <f>CONCATENATE(Programme!D7446,Programme!E7446,Programme!F7446,Programme!G7446,Programme!H7446,Programme!I7446,Programme!J7446)</f>
        <v>&lt;valeur&gt;&lt;/valeur&gt;</v>
      </c>
    </row>
    <row r="7446" spans="1:1" x14ac:dyDescent="0.2">
      <c r="A7446" s="996" t="str">
        <f>CONCATENATE(Programme!D7447,Programme!E7447,Programme!F7447,Programme!G7447,Programme!H7447,Programme!I7447,Programme!J7447)</f>
        <v>&lt;numeroLigne&gt;1&lt;/numeroLigne&gt;</v>
      </c>
    </row>
    <row r="7447" spans="1:1" x14ac:dyDescent="0.2">
      <c r="A7447" s="996" t="str">
        <f>CONCATENATE(Programme!D7448,Programme!E7448,Programme!F7448,Programme!G7448,Programme!H7448,Programme!I7448,Programme!J7448)</f>
        <v>&lt;/ValeurCellule&gt;</v>
      </c>
    </row>
    <row r="7448" spans="1:1" x14ac:dyDescent="0.2">
      <c r="A7448" s="996" t="str">
        <f>CONCATENATE(Programme!D7449,Programme!E7449,Programme!F7449,Programme!G7449,Programme!H7449,Programme!I7449,Programme!J7449)</f>
        <v>&lt;ValeurCellule&gt;</v>
      </c>
    </row>
    <row r="7449" spans="1:1" x14ac:dyDescent="0.2">
      <c r="A7449" s="996" t="str">
        <f>CONCATENATE(Programme!D7450,Programme!E7450,Programme!F7450,Programme!G7450,Programme!H7450,Programme!I7450,Programme!J7450)</f>
        <v>&lt;cellule&gt;&lt;codeEdi&gt;2052&lt;/codeEdi&gt;&lt;/cellule&gt;</v>
      </c>
    </row>
    <row r="7450" spans="1:1" x14ac:dyDescent="0.2">
      <c r="A7450" s="996" t="str">
        <f>CONCATENATE(Programme!D7451,Programme!E7451,Programme!F7451,Programme!G7451,Programme!H7451,Programme!I7451,Programme!J7451)</f>
        <v>&lt;valeur&gt;&lt;/valeur&gt;</v>
      </c>
    </row>
    <row r="7451" spans="1:1" x14ac:dyDescent="0.2">
      <c r="A7451" s="996" t="str">
        <f>CONCATENATE(Programme!D7452,Programme!E7452,Programme!F7452,Programme!G7452,Programme!H7452,Programme!I7452,Programme!J7452)</f>
        <v>&lt;numeroLigne&gt;1&lt;/numeroLigne&gt;</v>
      </c>
    </row>
    <row r="7452" spans="1:1" x14ac:dyDescent="0.2">
      <c r="A7452" s="996" t="str">
        <f>CONCATENATE(Programme!D7453,Programme!E7453,Programme!F7453,Programme!G7453,Programme!H7453,Programme!I7453,Programme!J7453)</f>
        <v>&lt;/ValeurCellule&gt;</v>
      </c>
    </row>
    <row r="7453" spans="1:1" x14ac:dyDescent="0.2">
      <c r="A7453" s="996" t="str">
        <f>CONCATENATE(Programme!D7454,Programme!E7454,Programme!F7454,Programme!G7454,Programme!H7454,Programme!I7454,Programme!J7454)</f>
        <v>&lt;ValeurCellule&gt;</v>
      </c>
    </row>
    <row r="7454" spans="1:1" x14ac:dyDescent="0.2">
      <c r="A7454" s="996" t="str">
        <f>CONCATENATE(Programme!D7455,Programme!E7455,Programme!F7455,Programme!G7455,Programme!H7455,Programme!I7455,Programme!J7455)</f>
        <v>&lt;cellule&gt;&lt;codeEdi&gt;2053&lt;/codeEdi&gt;&lt;/cellule&gt;</v>
      </c>
    </row>
    <row r="7455" spans="1:1" x14ac:dyDescent="0.2">
      <c r="A7455" s="996" t="str">
        <f>CONCATENATE(Programme!D7456,Programme!E7456,Programme!F7456,Programme!G7456,Programme!H7456,Programme!I7456,Programme!J7456)</f>
        <v>&lt;valeur&gt;&lt;/valeur&gt;</v>
      </c>
    </row>
    <row r="7456" spans="1:1" x14ac:dyDescent="0.2">
      <c r="A7456" s="996" t="str">
        <f>CONCATENATE(Programme!D7457,Programme!E7457,Programme!F7457,Programme!G7457,Programme!H7457,Programme!I7457,Programme!J7457)</f>
        <v>&lt;numeroLigne&gt;1&lt;/numeroLigne&gt;</v>
      </c>
    </row>
    <row r="7457" spans="1:1" x14ac:dyDescent="0.2">
      <c r="A7457" s="996" t="str">
        <f>CONCATENATE(Programme!D7458,Programme!E7458,Programme!F7458,Programme!G7458,Programme!H7458,Programme!I7458,Programme!J7458)</f>
        <v>&lt;/ValeurCellule&gt;</v>
      </c>
    </row>
    <row r="7458" spans="1:1" x14ac:dyDescent="0.2">
      <c r="A7458" s="996" t="str">
        <f>CONCATENATE(Programme!D7459,Programme!E7459,Programme!F7459,Programme!G7459,Programme!H7459,Programme!I7459,Programme!J7459)</f>
        <v>&lt;ValeurCellule&gt;</v>
      </c>
    </row>
    <row r="7459" spans="1:1" x14ac:dyDescent="0.2">
      <c r="A7459" s="996" t="str">
        <f>CONCATENATE(Programme!D7460,Programme!E7460,Programme!F7460,Programme!G7460,Programme!H7460,Programme!I7460,Programme!J7460)</f>
        <v>&lt;cellule&gt;&lt;codeEdi&gt;2044&lt;/codeEdi&gt;&lt;/cellule&gt;</v>
      </c>
    </row>
    <row r="7460" spans="1:1" x14ac:dyDescent="0.2">
      <c r="A7460" s="996" t="str">
        <f>CONCATENATE(Programme!D7461,Programme!E7461,Programme!F7461,Programme!G7461,Programme!H7461,Programme!I7461,Programme!J7461)</f>
        <v>&lt;valeur&gt;&lt;/valeur&gt;</v>
      </c>
    </row>
    <row r="7461" spans="1:1" x14ac:dyDescent="0.2">
      <c r="A7461" s="996" t="str">
        <f>CONCATENATE(Programme!D7462,Programme!E7462,Programme!F7462,Programme!G7462,Programme!H7462,Programme!I7462,Programme!J7462)</f>
        <v>&lt;numeroLigne&gt;2&lt;/numeroLigne&gt;</v>
      </c>
    </row>
    <row r="7462" spans="1:1" x14ac:dyDescent="0.2">
      <c r="A7462" s="996" t="str">
        <f>CONCATENATE(Programme!D7463,Programme!E7463,Programme!F7463,Programme!G7463,Programme!H7463,Programme!I7463,Programme!J7463)</f>
        <v>&lt;/ValeurCellule&gt;</v>
      </c>
    </row>
    <row r="7463" spans="1:1" x14ac:dyDescent="0.2">
      <c r="A7463" s="996" t="str">
        <f>CONCATENATE(Programme!D7464,Programme!E7464,Programme!F7464,Programme!G7464,Programme!H7464,Programme!I7464,Programme!J7464)</f>
        <v>&lt;ValeurCellule&gt;</v>
      </c>
    </row>
    <row r="7464" spans="1:1" x14ac:dyDescent="0.2">
      <c r="A7464" s="996" t="str">
        <f>CONCATENATE(Programme!D7465,Programme!E7465,Programme!F7465,Programme!G7465,Programme!H7465,Programme!I7465,Programme!J7465)</f>
        <v>&lt;cellule&gt;&lt;codeEdi&gt;2045&lt;/codeEdi&gt;&lt;/cellule&gt;</v>
      </c>
    </row>
    <row r="7465" spans="1:1" x14ac:dyDescent="0.2">
      <c r="A7465" s="996" t="str">
        <f>CONCATENATE(Programme!D7466,Programme!E7466,Programme!F7466,Programme!G7466,Programme!H7466,Programme!I7466,Programme!J7466)</f>
        <v>&lt;valeur&gt;&lt;/valeur&gt;</v>
      </c>
    </row>
    <row r="7466" spans="1:1" x14ac:dyDescent="0.2">
      <c r="A7466" s="996" t="str">
        <f>CONCATENATE(Programme!D7467,Programme!E7467,Programme!F7467,Programme!G7467,Programme!H7467,Programme!I7467,Programme!J7467)</f>
        <v>&lt;numeroLigne&gt;2&lt;/numeroLigne&gt;</v>
      </c>
    </row>
    <row r="7467" spans="1:1" x14ac:dyDescent="0.2">
      <c r="A7467" s="996" t="str">
        <f>CONCATENATE(Programme!D7468,Programme!E7468,Programme!F7468,Programme!G7468,Programme!H7468,Programme!I7468,Programme!J7468)</f>
        <v>&lt;/ValeurCellule&gt;</v>
      </c>
    </row>
    <row r="7468" spans="1:1" x14ac:dyDescent="0.2">
      <c r="A7468" s="996" t="str">
        <f>CONCATENATE(Programme!D7469,Programme!E7469,Programme!F7469,Programme!G7469,Programme!H7469,Programme!I7469,Programme!J7469)</f>
        <v>&lt;ValeurCellule&gt;</v>
      </c>
    </row>
    <row r="7469" spans="1:1" x14ac:dyDescent="0.2">
      <c r="A7469" s="996" t="str">
        <f>CONCATENATE(Programme!D7470,Programme!E7470,Programme!F7470,Programme!G7470,Programme!H7470,Programme!I7470,Programme!J7470)</f>
        <v>&lt;cellule&gt;&lt;codeEdi&gt;2046&lt;/codeEdi&gt;&lt;/cellule&gt;</v>
      </c>
    </row>
    <row r="7470" spans="1:1" x14ac:dyDescent="0.2">
      <c r="A7470" s="996" t="str">
        <f>CONCATENATE(Programme!D7471,Programme!E7471,Programme!F7471,Programme!G7471,Programme!H7471,Programme!I7471,Programme!J7471)</f>
        <v>&lt;valeur&gt;&lt;/valeur&gt;</v>
      </c>
    </row>
    <row r="7471" spans="1:1" x14ac:dyDescent="0.2">
      <c r="A7471" s="996" t="str">
        <f>CONCATENATE(Programme!D7472,Programme!E7472,Programme!F7472,Programme!G7472,Programme!H7472,Programme!I7472,Programme!J7472)</f>
        <v>&lt;numeroLigne&gt;2&lt;/numeroLigne&gt;</v>
      </c>
    </row>
    <row r="7472" spans="1:1" x14ac:dyDescent="0.2">
      <c r="A7472" s="996" t="str">
        <f>CONCATENATE(Programme!D7473,Programme!E7473,Programme!F7473,Programme!G7473,Programme!H7473,Programme!I7473,Programme!J7473)</f>
        <v>&lt;/ValeurCellule&gt;</v>
      </c>
    </row>
    <row r="7473" spans="1:1" x14ac:dyDescent="0.2">
      <c r="A7473" s="996" t="str">
        <f>CONCATENATE(Programme!D7474,Programme!E7474,Programme!F7474,Programme!G7474,Programme!H7474,Programme!I7474,Programme!J7474)</f>
        <v>&lt;ValeurCellule&gt;</v>
      </c>
    </row>
    <row r="7474" spans="1:1" x14ac:dyDescent="0.2">
      <c r="A7474" s="996" t="str">
        <f>CONCATENATE(Programme!D7475,Programme!E7475,Programme!F7475,Programme!G7475,Programme!H7475,Programme!I7475,Programme!J7475)</f>
        <v>&lt;cellule&gt;&lt;codeEdi&gt;2047&lt;/codeEdi&gt;&lt;/cellule&gt;</v>
      </c>
    </row>
    <row r="7475" spans="1:1" x14ac:dyDescent="0.2">
      <c r="A7475" s="996" t="str">
        <f>CONCATENATE(Programme!D7476,Programme!E7476,Programme!F7476,Programme!G7476,Programme!H7476,Programme!I7476,Programme!J7476)</f>
        <v>&lt;valeur&gt;&lt;/valeur&gt;</v>
      </c>
    </row>
    <row r="7476" spans="1:1" x14ac:dyDescent="0.2">
      <c r="A7476" s="996" t="str">
        <f>CONCATENATE(Programme!D7477,Programme!E7477,Programme!F7477,Programme!G7477,Programme!H7477,Programme!I7477,Programme!J7477)</f>
        <v>&lt;numeroLigne&gt;2&lt;/numeroLigne&gt;</v>
      </c>
    </row>
    <row r="7477" spans="1:1" x14ac:dyDescent="0.2">
      <c r="A7477" s="996" t="str">
        <f>CONCATENATE(Programme!D7478,Programme!E7478,Programme!F7478,Programme!G7478,Programme!H7478,Programme!I7478,Programme!J7478)</f>
        <v>&lt;/ValeurCellule&gt;</v>
      </c>
    </row>
    <row r="7478" spans="1:1" x14ac:dyDescent="0.2">
      <c r="A7478" s="996" t="str">
        <f>CONCATENATE(Programme!D7479,Programme!E7479,Programme!F7479,Programme!G7479,Programme!H7479,Programme!I7479,Programme!J7479)</f>
        <v>&lt;ValeurCellule&gt;</v>
      </c>
    </row>
    <row r="7479" spans="1:1" x14ac:dyDescent="0.2">
      <c r="A7479" s="996" t="str">
        <f>CONCATENATE(Programme!D7480,Programme!E7480,Programme!F7480,Programme!G7480,Programme!H7480,Programme!I7480,Programme!J7480)</f>
        <v>&lt;cellule&gt;&lt;codeEdi&gt;2048&lt;/codeEdi&gt;&lt;/cellule&gt;</v>
      </c>
    </row>
    <row r="7480" spans="1:1" x14ac:dyDescent="0.2">
      <c r="A7480" s="996" t="str">
        <f>CONCATENATE(Programme!D7481,Programme!E7481,Programme!F7481,Programme!G7481,Programme!H7481,Programme!I7481,Programme!J7481)</f>
        <v>&lt;valeur&gt;&lt;/valeur&gt;</v>
      </c>
    </row>
    <row r="7481" spans="1:1" x14ac:dyDescent="0.2">
      <c r="A7481" s="996" t="str">
        <f>CONCATENATE(Programme!D7482,Programme!E7482,Programme!F7482,Programme!G7482,Programme!H7482,Programme!I7482,Programme!J7482)</f>
        <v>&lt;numeroLigne&gt;2&lt;/numeroLigne&gt;</v>
      </c>
    </row>
    <row r="7482" spans="1:1" x14ac:dyDescent="0.2">
      <c r="A7482" s="996" t="str">
        <f>CONCATENATE(Programme!D7483,Programme!E7483,Programme!F7483,Programme!G7483,Programme!H7483,Programme!I7483,Programme!J7483)</f>
        <v>&lt;/ValeurCellule&gt;</v>
      </c>
    </row>
    <row r="7483" spans="1:1" x14ac:dyDescent="0.2">
      <c r="A7483" s="996" t="str">
        <f>CONCATENATE(Programme!D7484,Programme!E7484,Programme!F7484,Programme!G7484,Programme!H7484,Programme!I7484,Programme!J7484)</f>
        <v>&lt;ValeurCellule&gt;</v>
      </c>
    </row>
    <row r="7484" spans="1:1" x14ac:dyDescent="0.2">
      <c r="A7484" s="996" t="str">
        <f>CONCATENATE(Programme!D7485,Programme!E7485,Programme!F7485,Programme!G7485,Programme!H7485,Programme!I7485,Programme!J7485)</f>
        <v>&lt;cellule&gt;&lt;codeEdi&gt;2049&lt;/codeEdi&gt;&lt;/cellule&gt;</v>
      </c>
    </row>
    <row r="7485" spans="1:1" x14ac:dyDescent="0.2">
      <c r="A7485" s="996" t="str">
        <f>CONCATENATE(Programme!D7486,Programme!E7486,Programme!F7486,Programme!G7486,Programme!H7486,Programme!I7486,Programme!J7486)</f>
        <v>&lt;valeur&gt;&lt;/valeur&gt;</v>
      </c>
    </row>
    <row r="7486" spans="1:1" x14ac:dyDescent="0.2">
      <c r="A7486" s="996" t="str">
        <f>CONCATENATE(Programme!D7487,Programme!E7487,Programme!F7487,Programme!G7487,Programme!H7487,Programme!I7487,Programme!J7487)</f>
        <v>&lt;numeroLigne&gt;2&lt;/numeroLigne&gt;</v>
      </c>
    </row>
    <row r="7487" spans="1:1" x14ac:dyDescent="0.2">
      <c r="A7487" s="996" t="str">
        <f>CONCATENATE(Programme!D7488,Programme!E7488,Programme!F7488,Programme!G7488,Programme!H7488,Programme!I7488,Programme!J7488)</f>
        <v>&lt;/ValeurCellule&gt;</v>
      </c>
    </row>
    <row r="7488" spans="1:1" x14ac:dyDescent="0.2">
      <c r="A7488" s="996" t="str">
        <f>CONCATENATE(Programme!D7489,Programme!E7489,Programme!F7489,Programme!G7489,Programme!H7489,Programme!I7489,Programme!J7489)</f>
        <v>&lt;ValeurCellule&gt;</v>
      </c>
    </row>
    <row r="7489" spans="1:1" x14ac:dyDescent="0.2">
      <c r="A7489" s="996" t="str">
        <f>CONCATENATE(Programme!D7490,Programme!E7490,Programme!F7490,Programme!G7490,Programme!H7490,Programme!I7490,Programme!J7490)</f>
        <v>&lt;cellule&gt;&lt;codeEdi&gt;2050&lt;/codeEdi&gt;&lt;/cellule&gt;</v>
      </c>
    </row>
    <row r="7490" spans="1:1" x14ac:dyDescent="0.2">
      <c r="A7490" s="996" t="str">
        <f>CONCATENATE(Programme!D7491,Programme!E7491,Programme!F7491,Programme!G7491,Programme!H7491,Programme!I7491,Programme!J7491)</f>
        <v>&lt;valeur&gt;&lt;/valeur&gt;</v>
      </c>
    </row>
    <row r="7491" spans="1:1" x14ac:dyDescent="0.2">
      <c r="A7491" s="996" t="str">
        <f>CONCATENATE(Programme!D7492,Programme!E7492,Programme!F7492,Programme!G7492,Programme!H7492,Programme!I7492,Programme!J7492)</f>
        <v>&lt;numeroLigne&gt;2&lt;/numeroLigne&gt;</v>
      </c>
    </row>
    <row r="7492" spans="1:1" x14ac:dyDescent="0.2">
      <c r="A7492" s="996" t="str">
        <f>CONCATENATE(Programme!D7493,Programme!E7493,Programme!F7493,Programme!G7493,Programme!H7493,Programme!I7493,Programme!J7493)</f>
        <v>&lt;/ValeurCellule&gt;</v>
      </c>
    </row>
    <row r="7493" spans="1:1" x14ac:dyDescent="0.2">
      <c r="A7493" s="996" t="str">
        <f>CONCATENATE(Programme!D7494,Programme!E7494,Programme!F7494,Programme!G7494,Programme!H7494,Programme!I7494,Programme!J7494)</f>
        <v>&lt;ValeurCellule&gt;</v>
      </c>
    </row>
    <row r="7494" spans="1:1" x14ac:dyDescent="0.2">
      <c r="A7494" s="996" t="str">
        <f>CONCATENATE(Programme!D7495,Programme!E7495,Programme!F7495,Programme!G7495,Programme!H7495,Programme!I7495,Programme!J7495)</f>
        <v>&lt;cellule&gt;&lt;codeEdi&gt;2051&lt;/codeEdi&gt;&lt;/cellule&gt;</v>
      </c>
    </row>
    <row r="7495" spans="1:1" x14ac:dyDescent="0.2">
      <c r="A7495" s="996" t="str">
        <f>CONCATENATE(Programme!D7496,Programme!E7496,Programme!F7496,Programme!G7496,Programme!H7496,Programme!I7496,Programme!J7496)</f>
        <v>&lt;valeur&gt;&lt;/valeur&gt;</v>
      </c>
    </row>
    <row r="7496" spans="1:1" x14ac:dyDescent="0.2">
      <c r="A7496" s="996" t="str">
        <f>CONCATENATE(Programme!D7497,Programme!E7497,Programme!F7497,Programme!G7497,Programme!H7497,Programme!I7497,Programme!J7497)</f>
        <v>&lt;numeroLigne&gt;2&lt;/numeroLigne&gt;</v>
      </c>
    </row>
    <row r="7497" spans="1:1" x14ac:dyDescent="0.2">
      <c r="A7497" s="996" t="str">
        <f>CONCATENATE(Programme!D7498,Programme!E7498,Programme!F7498,Programme!G7498,Programme!H7498,Programme!I7498,Programme!J7498)</f>
        <v>&lt;/ValeurCellule&gt;</v>
      </c>
    </row>
    <row r="7498" spans="1:1" x14ac:dyDescent="0.2">
      <c r="A7498" s="996" t="str">
        <f>CONCATENATE(Programme!D7499,Programme!E7499,Programme!F7499,Programme!G7499,Programme!H7499,Programme!I7499,Programme!J7499)</f>
        <v>&lt;ValeurCellule&gt;</v>
      </c>
    </row>
    <row r="7499" spans="1:1" x14ac:dyDescent="0.2">
      <c r="A7499" s="996" t="str">
        <f>CONCATENATE(Programme!D7500,Programme!E7500,Programme!F7500,Programme!G7500,Programme!H7500,Programme!I7500,Programme!J7500)</f>
        <v>&lt;cellule&gt;&lt;codeEdi&gt;2052&lt;/codeEdi&gt;&lt;/cellule&gt;</v>
      </c>
    </row>
    <row r="7500" spans="1:1" x14ac:dyDescent="0.2">
      <c r="A7500" s="996" t="str">
        <f>CONCATENATE(Programme!D7501,Programme!E7501,Programme!F7501,Programme!G7501,Programme!H7501,Programme!I7501,Programme!J7501)</f>
        <v>&lt;valeur&gt;&lt;/valeur&gt;</v>
      </c>
    </row>
    <row r="7501" spans="1:1" x14ac:dyDescent="0.2">
      <c r="A7501" s="996" t="str">
        <f>CONCATENATE(Programme!D7502,Programme!E7502,Programme!F7502,Programme!G7502,Programme!H7502,Programme!I7502,Programme!J7502)</f>
        <v>&lt;numeroLigne&gt;2&lt;/numeroLigne&gt;</v>
      </c>
    </row>
    <row r="7502" spans="1:1" x14ac:dyDescent="0.2">
      <c r="A7502" s="996" t="str">
        <f>CONCATENATE(Programme!D7503,Programme!E7503,Programme!F7503,Programme!G7503,Programme!H7503,Programme!I7503,Programme!J7503)</f>
        <v>&lt;/ValeurCellule&gt;</v>
      </c>
    </row>
    <row r="7503" spans="1:1" x14ac:dyDescent="0.2">
      <c r="A7503" s="996" t="str">
        <f>CONCATENATE(Programme!D7504,Programme!E7504,Programme!F7504,Programme!G7504,Programme!H7504,Programme!I7504,Programme!J7504)</f>
        <v>&lt;ValeurCellule&gt;</v>
      </c>
    </row>
    <row r="7504" spans="1:1" x14ac:dyDescent="0.2">
      <c r="A7504" s="996" t="str">
        <f>CONCATENATE(Programme!D7505,Programme!E7505,Programme!F7505,Programme!G7505,Programme!H7505,Programme!I7505,Programme!J7505)</f>
        <v>&lt;cellule&gt;&lt;codeEdi&gt;2053&lt;/codeEdi&gt;&lt;/cellule&gt;</v>
      </c>
    </row>
    <row r="7505" spans="1:1" x14ac:dyDescent="0.2">
      <c r="A7505" s="996" t="str">
        <f>CONCATENATE(Programme!D7506,Programme!E7506,Programme!F7506,Programme!G7506,Programme!H7506,Programme!I7506,Programme!J7506)</f>
        <v>&lt;valeur&gt;&lt;/valeur&gt;</v>
      </c>
    </row>
    <row r="7506" spans="1:1" x14ac:dyDescent="0.2">
      <c r="A7506" s="996" t="str">
        <f>CONCATENATE(Programme!D7507,Programme!E7507,Programme!F7507,Programme!G7507,Programme!H7507,Programme!I7507,Programme!J7507)</f>
        <v>&lt;numeroLigne&gt;2&lt;/numeroLigne&gt;</v>
      </c>
    </row>
    <row r="7507" spans="1:1" x14ac:dyDescent="0.2">
      <c r="A7507" s="996" t="str">
        <f>CONCATENATE(Programme!D7508,Programme!E7508,Programme!F7508,Programme!G7508,Programme!H7508,Programme!I7508,Programme!J7508)</f>
        <v>&lt;/ValeurCellule&gt;</v>
      </c>
    </row>
    <row r="7508" spans="1:1" x14ac:dyDescent="0.2">
      <c r="A7508" s="996" t="str">
        <f>CONCATENATE(Programme!D7509,Programme!E7509,Programme!F7509,Programme!G7509,Programme!H7509,Programme!I7509,Programme!J7509)</f>
        <v>&lt;ValeurCellule&gt;</v>
      </c>
    </row>
    <row r="7509" spans="1:1" x14ac:dyDescent="0.2">
      <c r="A7509" s="996" t="str">
        <f>CONCATENATE(Programme!D7510,Programme!E7510,Programme!F7510,Programme!G7510,Programme!H7510,Programme!I7510,Programme!J7510)</f>
        <v>&lt;cellule&gt;&lt;codeEdi&gt;2044&lt;/codeEdi&gt;&lt;/cellule&gt;</v>
      </c>
    </row>
    <row r="7510" spans="1:1" x14ac:dyDescent="0.2">
      <c r="A7510" s="996" t="str">
        <f>CONCATENATE(Programme!D7511,Programme!E7511,Programme!F7511,Programme!G7511,Programme!H7511,Programme!I7511,Programme!J7511)</f>
        <v>&lt;valeur&gt;&lt;/valeur&gt;</v>
      </c>
    </row>
    <row r="7511" spans="1:1" x14ac:dyDescent="0.2">
      <c r="A7511" s="996" t="str">
        <f>CONCATENATE(Programme!D7512,Programme!E7512,Programme!F7512,Programme!G7512,Programme!H7512,Programme!I7512,Programme!J7512)</f>
        <v>&lt;numeroLigne&gt;3&lt;/numeroLigne&gt;</v>
      </c>
    </row>
    <row r="7512" spans="1:1" x14ac:dyDescent="0.2">
      <c r="A7512" s="996" t="str">
        <f>CONCATENATE(Programme!D7513,Programme!E7513,Programme!F7513,Programme!G7513,Programme!H7513,Programme!I7513,Programme!J7513)</f>
        <v>&lt;/ValeurCellule&gt;</v>
      </c>
    </row>
    <row r="7513" spans="1:1" x14ac:dyDescent="0.2">
      <c r="A7513" s="996" t="str">
        <f>CONCATENATE(Programme!D7514,Programme!E7514,Programme!F7514,Programme!G7514,Programme!H7514,Programme!I7514,Programme!J7514)</f>
        <v>&lt;ValeurCellule&gt;</v>
      </c>
    </row>
    <row r="7514" spans="1:1" x14ac:dyDescent="0.2">
      <c r="A7514" s="996" t="str">
        <f>CONCATENATE(Programme!D7515,Programme!E7515,Programme!F7515,Programme!G7515,Programme!H7515,Programme!I7515,Programme!J7515)</f>
        <v>&lt;cellule&gt;&lt;codeEdi&gt;2045&lt;/codeEdi&gt;&lt;/cellule&gt;</v>
      </c>
    </row>
    <row r="7515" spans="1:1" x14ac:dyDescent="0.2">
      <c r="A7515" s="996" t="str">
        <f>CONCATENATE(Programme!D7516,Programme!E7516,Programme!F7516,Programme!G7516,Programme!H7516,Programme!I7516,Programme!J7516)</f>
        <v>&lt;valeur&gt;&lt;/valeur&gt;</v>
      </c>
    </row>
    <row r="7516" spans="1:1" x14ac:dyDescent="0.2">
      <c r="A7516" s="996" t="str">
        <f>CONCATENATE(Programme!D7517,Programme!E7517,Programme!F7517,Programme!G7517,Programme!H7517,Programme!I7517,Programme!J7517)</f>
        <v>&lt;numeroLigne&gt;3&lt;/numeroLigne&gt;</v>
      </c>
    </row>
    <row r="7517" spans="1:1" x14ac:dyDescent="0.2">
      <c r="A7517" s="996" t="str">
        <f>CONCATENATE(Programme!D7518,Programme!E7518,Programme!F7518,Programme!G7518,Programme!H7518,Programme!I7518,Programme!J7518)</f>
        <v>&lt;/ValeurCellule&gt;</v>
      </c>
    </row>
    <row r="7518" spans="1:1" x14ac:dyDescent="0.2">
      <c r="A7518" s="996" t="str">
        <f>CONCATENATE(Programme!D7519,Programme!E7519,Programme!F7519,Programme!G7519,Programme!H7519,Programme!I7519,Programme!J7519)</f>
        <v>&lt;ValeurCellule&gt;</v>
      </c>
    </row>
    <row r="7519" spans="1:1" x14ac:dyDescent="0.2">
      <c r="A7519" s="996" t="str">
        <f>CONCATENATE(Programme!D7520,Programme!E7520,Programme!F7520,Programme!G7520,Programme!H7520,Programme!I7520,Programme!J7520)</f>
        <v>&lt;cellule&gt;&lt;codeEdi&gt;2046&lt;/codeEdi&gt;&lt;/cellule&gt;</v>
      </c>
    </row>
    <row r="7520" spans="1:1" x14ac:dyDescent="0.2">
      <c r="A7520" s="996" t="str">
        <f>CONCATENATE(Programme!D7521,Programme!E7521,Programme!F7521,Programme!G7521,Programme!H7521,Programme!I7521,Programme!J7521)</f>
        <v>&lt;valeur&gt;&lt;/valeur&gt;</v>
      </c>
    </row>
    <row r="7521" spans="1:1" x14ac:dyDescent="0.2">
      <c r="A7521" s="996" t="str">
        <f>CONCATENATE(Programme!D7522,Programme!E7522,Programme!F7522,Programme!G7522,Programme!H7522,Programme!I7522,Programme!J7522)</f>
        <v>&lt;numeroLigne&gt;3&lt;/numeroLigne&gt;</v>
      </c>
    </row>
    <row r="7522" spans="1:1" x14ac:dyDescent="0.2">
      <c r="A7522" s="996" t="str">
        <f>CONCATENATE(Programme!D7523,Programme!E7523,Programme!F7523,Programme!G7523,Programme!H7523,Programme!I7523,Programme!J7523)</f>
        <v>&lt;/ValeurCellule&gt;</v>
      </c>
    </row>
    <row r="7523" spans="1:1" x14ac:dyDescent="0.2">
      <c r="A7523" s="996" t="str">
        <f>CONCATENATE(Programme!D7524,Programme!E7524,Programme!F7524,Programme!G7524,Programme!H7524,Programme!I7524,Programme!J7524)</f>
        <v>&lt;ValeurCellule&gt;</v>
      </c>
    </row>
    <row r="7524" spans="1:1" x14ac:dyDescent="0.2">
      <c r="A7524" s="996" t="str">
        <f>CONCATENATE(Programme!D7525,Programme!E7525,Programme!F7525,Programme!G7525,Programme!H7525,Programme!I7525,Programme!J7525)</f>
        <v>&lt;cellule&gt;&lt;codeEdi&gt;2047&lt;/codeEdi&gt;&lt;/cellule&gt;</v>
      </c>
    </row>
    <row r="7525" spans="1:1" x14ac:dyDescent="0.2">
      <c r="A7525" s="996" t="str">
        <f>CONCATENATE(Programme!D7526,Programme!E7526,Programme!F7526,Programme!G7526,Programme!H7526,Programme!I7526,Programme!J7526)</f>
        <v>&lt;valeur&gt;&lt;/valeur&gt;</v>
      </c>
    </row>
    <row r="7526" spans="1:1" x14ac:dyDescent="0.2">
      <c r="A7526" s="996" t="str">
        <f>CONCATENATE(Programme!D7527,Programme!E7527,Programme!F7527,Programme!G7527,Programme!H7527,Programme!I7527,Programme!J7527)</f>
        <v>&lt;numeroLigne&gt;3&lt;/numeroLigne&gt;</v>
      </c>
    </row>
    <row r="7527" spans="1:1" x14ac:dyDescent="0.2">
      <c r="A7527" s="996" t="str">
        <f>CONCATENATE(Programme!D7528,Programme!E7528,Programme!F7528,Programme!G7528,Programme!H7528,Programme!I7528,Programme!J7528)</f>
        <v>&lt;/ValeurCellule&gt;</v>
      </c>
    </row>
    <row r="7528" spans="1:1" x14ac:dyDescent="0.2">
      <c r="A7528" s="996" t="str">
        <f>CONCATENATE(Programme!D7529,Programme!E7529,Programme!F7529,Programme!G7529,Programme!H7529,Programme!I7529,Programme!J7529)</f>
        <v>&lt;ValeurCellule&gt;</v>
      </c>
    </row>
    <row r="7529" spans="1:1" x14ac:dyDescent="0.2">
      <c r="A7529" s="996" t="str">
        <f>CONCATENATE(Programme!D7530,Programme!E7530,Programme!F7530,Programme!G7530,Programme!H7530,Programme!I7530,Programme!J7530)</f>
        <v>&lt;cellule&gt;&lt;codeEdi&gt;2048&lt;/codeEdi&gt;&lt;/cellule&gt;</v>
      </c>
    </row>
    <row r="7530" spans="1:1" x14ac:dyDescent="0.2">
      <c r="A7530" s="996" t="str">
        <f>CONCATENATE(Programme!D7531,Programme!E7531,Programme!F7531,Programme!G7531,Programme!H7531,Programme!I7531,Programme!J7531)</f>
        <v>&lt;valeur&gt;&lt;/valeur&gt;</v>
      </c>
    </row>
    <row r="7531" spans="1:1" x14ac:dyDescent="0.2">
      <c r="A7531" s="996" t="str">
        <f>CONCATENATE(Programme!D7532,Programme!E7532,Programme!F7532,Programme!G7532,Programme!H7532,Programme!I7532,Programme!J7532)</f>
        <v>&lt;numeroLigne&gt;3&lt;/numeroLigne&gt;</v>
      </c>
    </row>
    <row r="7532" spans="1:1" x14ac:dyDescent="0.2">
      <c r="A7532" s="996" t="str">
        <f>CONCATENATE(Programme!D7533,Programme!E7533,Programme!F7533,Programme!G7533,Programme!H7533,Programme!I7533,Programme!J7533)</f>
        <v>&lt;/ValeurCellule&gt;</v>
      </c>
    </row>
    <row r="7533" spans="1:1" x14ac:dyDescent="0.2">
      <c r="A7533" s="996" t="str">
        <f>CONCATENATE(Programme!D7534,Programme!E7534,Programme!F7534,Programme!G7534,Programme!H7534,Programme!I7534,Programme!J7534)</f>
        <v>&lt;ValeurCellule&gt;</v>
      </c>
    </row>
    <row r="7534" spans="1:1" x14ac:dyDescent="0.2">
      <c r="A7534" s="996" t="str">
        <f>CONCATENATE(Programme!D7535,Programme!E7535,Programme!F7535,Programme!G7535,Programme!H7535,Programme!I7535,Programme!J7535)</f>
        <v>&lt;cellule&gt;&lt;codeEdi&gt;2049&lt;/codeEdi&gt;&lt;/cellule&gt;</v>
      </c>
    </row>
    <row r="7535" spans="1:1" x14ac:dyDescent="0.2">
      <c r="A7535" s="996" t="str">
        <f>CONCATENATE(Programme!D7536,Programme!E7536,Programme!F7536,Programme!G7536,Programme!H7536,Programme!I7536,Programme!J7536)</f>
        <v>&lt;valeur&gt;&lt;/valeur&gt;</v>
      </c>
    </row>
    <row r="7536" spans="1:1" x14ac:dyDescent="0.2">
      <c r="A7536" s="996" t="str">
        <f>CONCATENATE(Programme!D7537,Programme!E7537,Programme!F7537,Programme!G7537,Programme!H7537,Programme!I7537,Programme!J7537)</f>
        <v>&lt;numeroLigne&gt;3&lt;/numeroLigne&gt;</v>
      </c>
    </row>
    <row r="7537" spans="1:1" x14ac:dyDescent="0.2">
      <c r="A7537" s="996" t="str">
        <f>CONCATENATE(Programme!D7538,Programme!E7538,Programme!F7538,Programme!G7538,Programme!H7538,Programme!I7538,Programme!J7538)</f>
        <v>&lt;/ValeurCellule&gt;</v>
      </c>
    </row>
    <row r="7538" spans="1:1" x14ac:dyDescent="0.2">
      <c r="A7538" s="996" t="str">
        <f>CONCATENATE(Programme!D7539,Programme!E7539,Programme!F7539,Programme!G7539,Programme!H7539,Programme!I7539,Programme!J7539)</f>
        <v>&lt;ValeurCellule&gt;</v>
      </c>
    </row>
    <row r="7539" spans="1:1" x14ac:dyDescent="0.2">
      <c r="A7539" s="996" t="str">
        <f>CONCATENATE(Programme!D7540,Programme!E7540,Programme!F7540,Programme!G7540,Programme!H7540,Programme!I7540,Programme!J7540)</f>
        <v>&lt;cellule&gt;&lt;codeEdi&gt;2050&lt;/codeEdi&gt;&lt;/cellule&gt;</v>
      </c>
    </row>
    <row r="7540" spans="1:1" x14ac:dyDescent="0.2">
      <c r="A7540" s="996" t="str">
        <f>CONCATENATE(Programme!D7541,Programme!E7541,Programme!F7541,Programme!G7541,Programme!H7541,Programme!I7541,Programme!J7541)</f>
        <v>&lt;valeur&gt;&lt;/valeur&gt;</v>
      </c>
    </row>
    <row r="7541" spans="1:1" x14ac:dyDescent="0.2">
      <c r="A7541" s="996" t="str">
        <f>CONCATENATE(Programme!D7542,Programme!E7542,Programme!F7542,Programme!G7542,Programme!H7542,Programme!I7542,Programme!J7542)</f>
        <v>&lt;numeroLigne&gt;3&lt;/numeroLigne&gt;</v>
      </c>
    </row>
    <row r="7542" spans="1:1" x14ac:dyDescent="0.2">
      <c r="A7542" s="996" t="str">
        <f>CONCATENATE(Programme!D7543,Programme!E7543,Programme!F7543,Programme!G7543,Programme!H7543,Programme!I7543,Programme!J7543)</f>
        <v>&lt;/ValeurCellule&gt;</v>
      </c>
    </row>
    <row r="7543" spans="1:1" x14ac:dyDescent="0.2">
      <c r="A7543" s="996" t="str">
        <f>CONCATENATE(Programme!D7544,Programme!E7544,Programme!F7544,Programme!G7544,Programme!H7544,Programme!I7544,Programme!J7544)</f>
        <v>&lt;ValeurCellule&gt;</v>
      </c>
    </row>
    <row r="7544" spans="1:1" x14ac:dyDescent="0.2">
      <c r="A7544" s="996" t="str">
        <f>CONCATENATE(Programme!D7545,Programme!E7545,Programme!F7545,Programme!G7545,Programme!H7545,Programme!I7545,Programme!J7545)</f>
        <v>&lt;cellule&gt;&lt;codeEdi&gt;2051&lt;/codeEdi&gt;&lt;/cellule&gt;</v>
      </c>
    </row>
    <row r="7545" spans="1:1" x14ac:dyDescent="0.2">
      <c r="A7545" s="996" t="str">
        <f>CONCATENATE(Programme!D7546,Programme!E7546,Programme!F7546,Programme!G7546,Programme!H7546,Programme!I7546,Programme!J7546)</f>
        <v>&lt;valeur&gt;&lt;/valeur&gt;</v>
      </c>
    </row>
    <row r="7546" spans="1:1" x14ac:dyDescent="0.2">
      <c r="A7546" s="996" t="str">
        <f>CONCATENATE(Programme!D7547,Programme!E7547,Programme!F7547,Programme!G7547,Programme!H7547,Programme!I7547,Programme!J7547)</f>
        <v>&lt;numeroLigne&gt;3&lt;/numeroLigne&gt;</v>
      </c>
    </row>
    <row r="7547" spans="1:1" x14ac:dyDescent="0.2">
      <c r="A7547" s="996" t="str">
        <f>CONCATENATE(Programme!D7548,Programme!E7548,Programme!F7548,Programme!G7548,Programme!H7548,Programme!I7548,Programme!J7548)</f>
        <v>&lt;/ValeurCellule&gt;</v>
      </c>
    </row>
    <row r="7548" spans="1:1" x14ac:dyDescent="0.2">
      <c r="A7548" s="996" t="str">
        <f>CONCATENATE(Programme!D7549,Programme!E7549,Programme!F7549,Programme!G7549,Programme!H7549,Programme!I7549,Programme!J7549)</f>
        <v>&lt;ValeurCellule&gt;</v>
      </c>
    </row>
    <row r="7549" spans="1:1" x14ac:dyDescent="0.2">
      <c r="A7549" s="996" t="str">
        <f>CONCATENATE(Programme!D7550,Programme!E7550,Programme!F7550,Programme!G7550,Programme!H7550,Programme!I7550,Programme!J7550)</f>
        <v>&lt;cellule&gt;&lt;codeEdi&gt;2052&lt;/codeEdi&gt;&lt;/cellule&gt;</v>
      </c>
    </row>
    <row r="7550" spans="1:1" x14ac:dyDescent="0.2">
      <c r="A7550" s="996" t="str">
        <f>CONCATENATE(Programme!D7551,Programme!E7551,Programme!F7551,Programme!G7551,Programme!H7551,Programme!I7551,Programme!J7551)</f>
        <v>&lt;valeur&gt;&lt;/valeur&gt;</v>
      </c>
    </row>
    <row r="7551" spans="1:1" x14ac:dyDescent="0.2">
      <c r="A7551" s="996" t="str">
        <f>CONCATENATE(Programme!D7552,Programme!E7552,Programme!F7552,Programme!G7552,Programme!H7552,Programme!I7552,Programme!J7552)</f>
        <v>&lt;numeroLigne&gt;3&lt;/numeroLigne&gt;</v>
      </c>
    </row>
    <row r="7552" spans="1:1" x14ac:dyDescent="0.2">
      <c r="A7552" s="996" t="str">
        <f>CONCATENATE(Programme!D7553,Programme!E7553,Programme!F7553,Programme!G7553,Programme!H7553,Programme!I7553,Programme!J7553)</f>
        <v>&lt;/ValeurCellule&gt;</v>
      </c>
    </row>
    <row r="7553" spans="1:1" x14ac:dyDescent="0.2">
      <c r="A7553" s="996" t="str">
        <f>CONCATENATE(Programme!D7554,Programme!E7554,Programme!F7554,Programme!G7554,Programme!H7554,Programme!I7554,Programme!J7554)</f>
        <v>&lt;ValeurCellule&gt;</v>
      </c>
    </row>
    <row r="7554" spans="1:1" x14ac:dyDescent="0.2">
      <c r="A7554" s="996" t="str">
        <f>CONCATENATE(Programme!D7555,Programme!E7555,Programme!F7555,Programme!G7555,Programme!H7555,Programme!I7555,Programme!J7555)</f>
        <v>&lt;cellule&gt;&lt;codeEdi&gt;2053&lt;/codeEdi&gt;&lt;/cellule&gt;</v>
      </c>
    </row>
    <row r="7555" spans="1:1" x14ac:dyDescent="0.2">
      <c r="A7555" s="996" t="str">
        <f>CONCATENATE(Programme!D7556,Programme!E7556,Programme!F7556,Programme!G7556,Programme!H7556,Programme!I7556,Programme!J7556)</f>
        <v>&lt;valeur&gt;&lt;/valeur&gt;</v>
      </c>
    </row>
    <row r="7556" spans="1:1" x14ac:dyDescent="0.2">
      <c r="A7556" s="996" t="str">
        <f>CONCATENATE(Programme!D7557,Programme!E7557,Programme!F7557,Programme!G7557,Programme!H7557,Programme!I7557,Programme!J7557)</f>
        <v>&lt;numeroLigne&gt;3&lt;/numeroLigne&gt;</v>
      </c>
    </row>
    <row r="7557" spans="1:1" x14ac:dyDescent="0.2">
      <c r="A7557" s="996" t="str">
        <f>CONCATENATE(Programme!D7558,Programme!E7558,Programme!F7558,Programme!G7558,Programme!H7558,Programme!I7558,Programme!J7558)</f>
        <v>&lt;/ValeurCellule&gt;</v>
      </c>
    </row>
    <row r="7558" spans="1:1" x14ac:dyDescent="0.2">
      <c r="A7558" s="996" t="str">
        <f>CONCATENATE(Programme!D7559,Programme!E7559,Programme!F7559,Programme!G7559,Programme!H7559,Programme!I7559,Programme!J7559)</f>
        <v>&lt;ValeurCellule&gt;</v>
      </c>
    </row>
    <row r="7559" spans="1:1" x14ac:dyDescent="0.2">
      <c r="A7559" s="996" t="str">
        <f>CONCATENATE(Programme!D7560,Programme!E7560,Programme!F7560,Programme!G7560,Programme!H7560,Programme!I7560,Programme!J7560)</f>
        <v>&lt;cellule&gt;&lt;codeEdi&gt;2044&lt;/codeEdi&gt;&lt;/cellule&gt;</v>
      </c>
    </row>
    <row r="7560" spans="1:1" x14ac:dyDescent="0.2">
      <c r="A7560" s="996" t="str">
        <f>CONCATENATE(Programme!D7561,Programme!E7561,Programme!F7561,Programme!G7561,Programme!H7561,Programme!I7561,Programme!J7561)</f>
        <v>&lt;valeur&gt;&lt;/valeur&gt;</v>
      </c>
    </row>
    <row r="7561" spans="1:1" x14ac:dyDescent="0.2">
      <c r="A7561" s="996" t="str">
        <f>CONCATENATE(Programme!D7562,Programme!E7562,Programme!F7562,Programme!G7562,Programme!H7562,Programme!I7562,Programme!J7562)</f>
        <v>&lt;numeroLigne&gt;4&lt;/numeroLigne&gt;</v>
      </c>
    </row>
    <row r="7562" spans="1:1" x14ac:dyDescent="0.2">
      <c r="A7562" s="996" t="str">
        <f>CONCATENATE(Programme!D7563,Programme!E7563,Programme!F7563,Programme!G7563,Programme!H7563,Programme!I7563,Programme!J7563)</f>
        <v>&lt;/ValeurCellule&gt;</v>
      </c>
    </row>
    <row r="7563" spans="1:1" x14ac:dyDescent="0.2">
      <c r="A7563" s="996" t="str">
        <f>CONCATENATE(Programme!D7564,Programme!E7564,Programme!F7564,Programme!G7564,Programme!H7564,Programme!I7564,Programme!J7564)</f>
        <v>&lt;ValeurCellule&gt;</v>
      </c>
    </row>
    <row r="7564" spans="1:1" x14ac:dyDescent="0.2">
      <c r="A7564" s="996" t="str">
        <f>CONCATENATE(Programme!D7565,Programme!E7565,Programme!F7565,Programme!G7565,Programme!H7565,Programme!I7565,Programme!J7565)</f>
        <v>&lt;cellule&gt;&lt;codeEdi&gt;2045&lt;/codeEdi&gt;&lt;/cellule&gt;</v>
      </c>
    </row>
    <row r="7565" spans="1:1" x14ac:dyDescent="0.2">
      <c r="A7565" s="996" t="str">
        <f>CONCATENATE(Programme!D7566,Programme!E7566,Programme!F7566,Programme!G7566,Programme!H7566,Programme!I7566,Programme!J7566)</f>
        <v>&lt;valeur&gt;&lt;/valeur&gt;</v>
      </c>
    </row>
    <row r="7566" spans="1:1" x14ac:dyDescent="0.2">
      <c r="A7566" s="996" t="str">
        <f>CONCATENATE(Programme!D7567,Programme!E7567,Programme!F7567,Programme!G7567,Programme!H7567,Programme!I7567,Programme!J7567)</f>
        <v>&lt;numeroLigne&gt;4&lt;/numeroLigne&gt;</v>
      </c>
    </row>
    <row r="7567" spans="1:1" x14ac:dyDescent="0.2">
      <c r="A7567" s="996" t="str">
        <f>CONCATENATE(Programme!D7568,Programme!E7568,Programme!F7568,Programme!G7568,Programme!H7568,Programme!I7568,Programme!J7568)</f>
        <v>&lt;/ValeurCellule&gt;</v>
      </c>
    </row>
    <row r="7568" spans="1:1" x14ac:dyDescent="0.2">
      <c r="A7568" s="996" t="str">
        <f>CONCATENATE(Programme!D7569,Programme!E7569,Programme!F7569,Programme!G7569,Programme!H7569,Programme!I7569,Programme!J7569)</f>
        <v>&lt;ValeurCellule&gt;</v>
      </c>
    </row>
    <row r="7569" spans="1:1" x14ac:dyDescent="0.2">
      <c r="A7569" s="996" t="str">
        <f>CONCATENATE(Programme!D7570,Programme!E7570,Programme!F7570,Programme!G7570,Programme!H7570,Programme!I7570,Programme!J7570)</f>
        <v>&lt;cellule&gt;&lt;codeEdi&gt;2046&lt;/codeEdi&gt;&lt;/cellule&gt;</v>
      </c>
    </row>
    <row r="7570" spans="1:1" x14ac:dyDescent="0.2">
      <c r="A7570" s="996" t="str">
        <f>CONCATENATE(Programme!D7571,Programme!E7571,Programme!F7571,Programme!G7571,Programme!H7571,Programme!I7571,Programme!J7571)</f>
        <v>&lt;valeur&gt;&lt;/valeur&gt;</v>
      </c>
    </row>
    <row r="7571" spans="1:1" x14ac:dyDescent="0.2">
      <c r="A7571" s="996" t="str">
        <f>CONCATENATE(Programme!D7572,Programme!E7572,Programme!F7572,Programme!G7572,Programme!H7572,Programme!I7572,Programme!J7572)</f>
        <v>&lt;numeroLigne&gt;4&lt;/numeroLigne&gt;</v>
      </c>
    </row>
    <row r="7572" spans="1:1" x14ac:dyDescent="0.2">
      <c r="A7572" s="996" t="str">
        <f>CONCATENATE(Programme!D7573,Programme!E7573,Programme!F7573,Programme!G7573,Programme!H7573,Programme!I7573,Programme!J7573)</f>
        <v>&lt;/ValeurCellule&gt;</v>
      </c>
    </row>
    <row r="7573" spans="1:1" x14ac:dyDescent="0.2">
      <c r="A7573" s="996" t="str">
        <f>CONCATENATE(Programme!D7574,Programme!E7574,Programme!F7574,Programme!G7574,Programme!H7574,Programme!I7574,Programme!J7574)</f>
        <v>&lt;ValeurCellule&gt;</v>
      </c>
    </row>
    <row r="7574" spans="1:1" x14ac:dyDescent="0.2">
      <c r="A7574" s="996" t="str">
        <f>CONCATENATE(Programme!D7575,Programme!E7575,Programme!F7575,Programme!G7575,Programme!H7575,Programme!I7575,Programme!J7575)</f>
        <v>&lt;cellule&gt;&lt;codeEdi&gt;2047&lt;/codeEdi&gt;&lt;/cellule&gt;</v>
      </c>
    </row>
    <row r="7575" spans="1:1" x14ac:dyDescent="0.2">
      <c r="A7575" s="996" t="str">
        <f>CONCATENATE(Programme!D7576,Programme!E7576,Programme!F7576,Programme!G7576,Programme!H7576,Programme!I7576,Programme!J7576)</f>
        <v>&lt;valeur&gt;&lt;/valeur&gt;</v>
      </c>
    </row>
    <row r="7576" spans="1:1" x14ac:dyDescent="0.2">
      <c r="A7576" s="996" t="str">
        <f>CONCATENATE(Programme!D7577,Programme!E7577,Programme!F7577,Programme!G7577,Programme!H7577,Programme!I7577,Programme!J7577)</f>
        <v>&lt;numeroLigne&gt;4&lt;/numeroLigne&gt;</v>
      </c>
    </row>
    <row r="7577" spans="1:1" x14ac:dyDescent="0.2">
      <c r="A7577" s="996" t="str">
        <f>CONCATENATE(Programme!D7578,Programme!E7578,Programme!F7578,Programme!G7578,Programme!H7578,Programme!I7578,Programme!J7578)</f>
        <v>&lt;/ValeurCellule&gt;</v>
      </c>
    </row>
    <row r="7578" spans="1:1" x14ac:dyDescent="0.2">
      <c r="A7578" s="996" t="str">
        <f>CONCATENATE(Programme!D7579,Programme!E7579,Programme!F7579,Programme!G7579,Programme!H7579,Programme!I7579,Programme!J7579)</f>
        <v>&lt;ValeurCellule&gt;</v>
      </c>
    </row>
    <row r="7579" spans="1:1" x14ac:dyDescent="0.2">
      <c r="A7579" s="996" t="str">
        <f>CONCATENATE(Programme!D7580,Programme!E7580,Programme!F7580,Programme!G7580,Programme!H7580,Programme!I7580,Programme!J7580)</f>
        <v>&lt;cellule&gt;&lt;codeEdi&gt;2048&lt;/codeEdi&gt;&lt;/cellule&gt;</v>
      </c>
    </row>
    <row r="7580" spans="1:1" x14ac:dyDescent="0.2">
      <c r="A7580" s="996" t="str">
        <f>CONCATENATE(Programme!D7581,Programme!E7581,Programme!F7581,Programme!G7581,Programme!H7581,Programme!I7581,Programme!J7581)</f>
        <v>&lt;valeur&gt;&lt;/valeur&gt;</v>
      </c>
    </row>
    <row r="7581" spans="1:1" x14ac:dyDescent="0.2">
      <c r="A7581" s="996" t="str">
        <f>CONCATENATE(Programme!D7582,Programme!E7582,Programme!F7582,Programme!G7582,Programme!H7582,Programme!I7582,Programme!J7582)</f>
        <v>&lt;numeroLigne&gt;4&lt;/numeroLigne&gt;</v>
      </c>
    </row>
    <row r="7582" spans="1:1" x14ac:dyDescent="0.2">
      <c r="A7582" s="996" t="str">
        <f>CONCATENATE(Programme!D7583,Programme!E7583,Programme!F7583,Programme!G7583,Programme!H7583,Programme!I7583,Programme!J7583)</f>
        <v>&lt;/ValeurCellule&gt;</v>
      </c>
    </row>
    <row r="7583" spans="1:1" x14ac:dyDescent="0.2">
      <c r="A7583" s="996" t="str">
        <f>CONCATENATE(Programme!D7584,Programme!E7584,Programme!F7584,Programme!G7584,Programme!H7584,Programme!I7584,Programme!J7584)</f>
        <v>&lt;ValeurCellule&gt;</v>
      </c>
    </row>
    <row r="7584" spans="1:1" x14ac:dyDescent="0.2">
      <c r="A7584" s="996" t="str">
        <f>CONCATENATE(Programme!D7585,Programme!E7585,Programme!F7585,Programme!G7585,Programme!H7585,Programme!I7585,Programme!J7585)</f>
        <v>&lt;cellule&gt;&lt;codeEdi&gt;2049&lt;/codeEdi&gt;&lt;/cellule&gt;</v>
      </c>
    </row>
    <row r="7585" spans="1:1" x14ac:dyDescent="0.2">
      <c r="A7585" s="996" t="str">
        <f>CONCATENATE(Programme!D7586,Programme!E7586,Programme!F7586,Programme!G7586,Programme!H7586,Programme!I7586,Programme!J7586)</f>
        <v>&lt;valeur&gt;&lt;/valeur&gt;</v>
      </c>
    </row>
    <row r="7586" spans="1:1" x14ac:dyDescent="0.2">
      <c r="A7586" s="996" t="str">
        <f>CONCATENATE(Programme!D7587,Programme!E7587,Programme!F7587,Programme!G7587,Programme!H7587,Programme!I7587,Programme!J7587)</f>
        <v>&lt;numeroLigne&gt;4&lt;/numeroLigne&gt;</v>
      </c>
    </row>
    <row r="7587" spans="1:1" x14ac:dyDescent="0.2">
      <c r="A7587" s="996" t="str">
        <f>CONCATENATE(Programme!D7588,Programme!E7588,Programme!F7588,Programme!G7588,Programme!H7588,Programme!I7588,Programme!J7588)</f>
        <v>&lt;/ValeurCellule&gt;</v>
      </c>
    </row>
    <row r="7588" spans="1:1" x14ac:dyDescent="0.2">
      <c r="A7588" s="996" t="str">
        <f>CONCATENATE(Programme!D7589,Programme!E7589,Programme!F7589,Programme!G7589,Programme!H7589,Programme!I7589,Programme!J7589)</f>
        <v>&lt;ValeurCellule&gt;</v>
      </c>
    </row>
    <row r="7589" spans="1:1" x14ac:dyDescent="0.2">
      <c r="A7589" s="996" t="str">
        <f>CONCATENATE(Programme!D7590,Programme!E7590,Programme!F7590,Programme!G7590,Programme!H7590,Programme!I7590,Programme!J7590)</f>
        <v>&lt;cellule&gt;&lt;codeEdi&gt;2050&lt;/codeEdi&gt;&lt;/cellule&gt;</v>
      </c>
    </row>
    <row r="7590" spans="1:1" x14ac:dyDescent="0.2">
      <c r="A7590" s="996" t="str">
        <f>CONCATENATE(Programme!D7591,Programme!E7591,Programme!F7591,Programme!G7591,Programme!H7591,Programme!I7591,Programme!J7591)</f>
        <v>&lt;valeur&gt;&lt;/valeur&gt;</v>
      </c>
    </row>
    <row r="7591" spans="1:1" x14ac:dyDescent="0.2">
      <c r="A7591" s="996" t="str">
        <f>CONCATENATE(Programme!D7592,Programme!E7592,Programme!F7592,Programme!G7592,Programme!H7592,Programme!I7592,Programme!J7592)</f>
        <v>&lt;numeroLigne&gt;4&lt;/numeroLigne&gt;</v>
      </c>
    </row>
    <row r="7592" spans="1:1" x14ac:dyDescent="0.2">
      <c r="A7592" s="996" t="str">
        <f>CONCATENATE(Programme!D7593,Programme!E7593,Programme!F7593,Programme!G7593,Programme!H7593,Programme!I7593,Programme!J7593)</f>
        <v>&lt;/ValeurCellule&gt;</v>
      </c>
    </row>
    <row r="7593" spans="1:1" x14ac:dyDescent="0.2">
      <c r="A7593" s="996" t="str">
        <f>CONCATENATE(Programme!D7594,Programme!E7594,Programme!F7594,Programme!G7594,Programme!H7594,Programme!I7594,Programme!J7594)</f>
        <v>&lt;ValeurCellule&gt;</v>
      </c>
    </row>
    <row r="7594" spans="1:1" x14ac:dyDescent="0.2">
      <c r="A7594" s="996" t="str">
        <f>CONCATENATE(Programme!D7595,Programme!E7595,Programme!F7595,Programme!G7595,Programme!H7595,Programme!I7595,Programme!J7595)</f>
        <v>&lt;cellule&gt;&lt;codeEdi&gt;2051&lt;/codeEdi&gt;&lt;/cellule&gt;</v>
      </c>
    </row>
    <row r="7595" spans="1:1" x14ac:dyDescent="0.2">
      <c r="A7595" s="996" t="str">
        <f>CONCATENATE(Programme!D7596,Programme!E7596,Programme!F7596,Programme!G7596,Programme!H7596,Programme!I7596,Programme!J7596)</f>
        <v>&lt;valeur&gt;&lt;/valeur&gt;</v>
      </c>
    </row>
    <row r="7596" spans="1:1" x14ac:dyDescent="0.2">
      <c r="A7596" s="996" t="str">
        <f>CONCATENATE(Programme!D7597,Programme!E7597,Programme!F7597,Programme!G7597,Programme!H7597,Programme!I7597,Programme!J7597)</f>
        <v>&lt;numeroLigne&gt;4&lt;/numeroLigne&gt;</v>
      </c>
    </row>
    <row r="7597" spans="1:1" x14ac:dyDescent="0.2">
      <c r="A7597" s="996" t="str">
        <f>CONCATENATE(Programme!D7598,Programme!E7598,Programme!F7598,Programme!G7598,Programme!H7598,Programme!I7598,Programme!J7598)</f>
        <v>&lt;/ValeurCellule&gt;</v>
      </c>
    </row>
    <row r="7598" spans="1:1" x14ac:dyDescent="0.2">
      <c r="A7598" s="996" t="str">
        <f>CONCATENATE(Programme!D7599,Programme!E7599,Programme!F7599,Programme!G7599,Programme!H7599,Programme!I7599,Programme!J7599)</f>
        <v>&lt;ValeurCellule&gt;</v>
      </c>
    </row>
    <row r="7599" spans="1:1" x14ac:dyDescent="0.2">
      <c r="A7599" s="996" t="str">
        <f>CONCATENATE(Programme!D7600,Programme!E7600,Programme!F7600,Programme!G7600,Programme!H7600,Programme!I7600,Programme!J7600)</f>
        <v>&lt;cellule&gt;&lt;codeEdi&gt;2052&lt;/codeEdi&gt;&lt;/cellule&gt;</v>
      </c>
    </row>
    <row r="7600" spans="1:1" x14ac:dyDescent="0.2">
      <c r="A7600" s="996" t="str">
        <f>CONCATENATE(Programme!D7601,Programme!E7601,Programme!F7601,Programme!G7601,Programme!H7601,Programme!I7601,Programme!J7601)</f>
        <v>&lt;valeur&gt;&lt;/valeur&gt;</v>
      </c>
    </row>
    <row r="7601" spans="1:1" x14ac:dyDescent="0.2">
      <c r="A7601" s="996" t="str">
        <f>CONCATENATE(Programme!D7602,Programme!E7602,Programme!F7602,Programme!G7602,Programme!H7602,Programme!I7602,Programme!J7602)</f>
        <v>&lt;numeroLigne&gt;4&lt;/numeroLigne&gt;</v>
      </c>
    </row>
    <row r="7602" spans="1:1" x14ac:dyDescent="0.2">
      <c r="A7602" s="996" t="str">
        <f>CONCATENATE(Programme!D7603,Programme!E7603,Programme!F7603,Programme!G7603,Programme!H7603,Programme!I7603,Programme!J7603)</f>
        <v>&lt;/ValeurCellule&gt;</v>
      </c>
    </row>
    <row r="7603" spans="1:1" x14ac:dyDescent="0.2">
      <c r="A7603" s="996" t="str">
        <f>CONCATENATE(Programme!D7604,Programme!E7604,Programme!F7604,Programme!G7604,Programme!H7604,Programme!I7604,Programme!J7604)</f>
        <v>&lt;ValeurCellule&gt;</v>
      </c>
    </row>
    <row r="7604" spans="1:1" x14ac:dyDescent="0.2">
      <c r="A7604" s="996" t="str">
        <f>CONCATENATE(Programme!D7605,Programme!E7605,Programme!F7605,Programme!G7605,Programme!H7605,Programme!I7605,Programme!J7605)</f>
        <v>&lt;cellule&gt;&lt;codeEdi&gt;2053&lt;/codeEdi&gt;&lt;/cellule&gt;</v>
      </c>
    </row>
    <row r="7605" spans="1:1" x14ac:dyDescent="0.2">
      <c r="A7605" s="996" t="str">
        <f>CONCATENATE(Programme!D7606,Programme!E7606,Programme!F7606,Programme!G7606,Programme!H7606,Programme!I7606,Programme!J7606)</f>
        <v>&lt;valeur&gt;&lt;/valeur&gt;</v>
      </c>
    </row>
    <row r="7606" spans="1:1" x14ac:dyDescent="0.2">
      <c r="A7606" s="996" t="str">
        <f>CONCATENATE(Programme!D7607,Programme!E7607,Programme!F7607,Programme!G7607,Programme!H7607,Programme!I7607,Programme!J7607)</f>
        <v>&lt;numeroLigne&gt;4&lt;/numeroLigne&gt;</v>
      </c>
    </row>
    <row r="7607" spans="1:1" x14ac:dyDescent="0.2">
      <c r="A7607" s="996" t="str">
        <f>CONCATENATE(Programme!D7608,Programme!E7608,Programme!F7608,Programme!G7608,Programme!H7608,Programme!I7608,Programme!J7608)</f>
        <v>&lt;/ValeurCellule&gt;</v>
      </c>
    </row>
    <row r="7608" spans="1:1" x14ac:dyDescent="0.2">
      <c r="A7608" s="996" t="str">
        <f>CONCATENATE(Programme!D7609,Programme!E7609,Programme!F7609,Programme!G7609,Programme!H7609,Programme!I7609,Programme!J7609)</f>
        <v>&lt;ValeurCellule&gt;</v>
      </c>
    </row>
    <row r="7609" spans="1:1" x14ac:dyDescent="0.2">
      <c r="A7609" s="996" t="str">
        <f>CONCATENATE(Programme!D7610,Programme!E7610,Programme!F7610,Programme!G7610,Programme!H7610,Programme!I7610,Programme!J7610)</f>
        <v>&lt;cellule&gt;</v>
      </c>
    </row>
    <row r="7610" spans="1:1" x14ac:dyDescent="0.2">
      <c r="A7610" s="996" t="str">
        <f>CONCATENATE(Programme!D7611,Programme!E7611,Programme!F7611,Programme!G7611,Programme!H7611,Programme!I7611,Programme!J7611)</f>
        <v>&lt;codeEdi&gt;2056&lt;/codeEdi&gt;</v>
      </c>
    </row>
    <row r="7611" spans="1:1" x14ac:dyDescent="0.2">
      <c r="A7611" s="996" t="str">
        <f>CONCATENATE(Programme!D7612,Programme!E7612,Programme!F7612,Programme!G7612,Programme!H7612,Programme!I7612,Programme!J7612)</f>
        <v>&lt;/cellule&gt;</v>
      </c>
    </row>
    <row r="7612" spans="1:1" x14ac:dyDescent="0.2">
      <c r="A7612" s="996" t="str">
        <f>CONCATENATE(Programme!D7613,Programme!E7613,Programme!F7613,Programme!G7613,Programme!H7613,Programme!I7613,Programme!J7613)</f>
        <v>&lt;valeur&gt;&lt;/valeur&gt;</v>
      </c>
    </row>
    <row r="7613" spans="1:1" x14ac:dyDescent="0.2">
      <c r="A7613" s="996" t="str">
        <f>CONCATENATE(Programme!D7614,Programme!E7614,Programme!F7614,Programme!G7614,Programme!H7614,Programme!I7614,Programme!J7614)</f>
        <v>&lt;/ValeurCellule&gt;</v>
      </c>
    </row>
    <row r="7614" spans="1:1" x14ac:dyDescent="0.2">
      <c r="A7614" s="996" t="str">
        <f>CONCATENATE(Programme!D7615,Programme!E7615,Programme!F7615,Programme!G7615,Programme!H7615,Programme!I7615,Programme!J7615)</f>
        <v>&lt;ValeurCellule&gt;</v>
      </c>
    </row>
    <row r="7615" spans="1:1" x14ac:dyDescent="0.2">
      <c r="A7615" s="996" t="str">
        <f>CONCATENATE(Programme!D7616,Programme!E7616,Programme!F7616,Programme!G7616,Programme!H7616,Programme!I7616,Programme!J7616)</f>
        <v>&lt;cellule&gt;</v>
      </c>
    </row>
    <row r="7616" spans="1:1" x14ac:dyDescent="0.2">
      <c r="A7616" s="996" t="str">
        <f>CONCATENATE(Programme!D7617,Programme!E7617,Programme!F7617,Programme!G7617,Programme!H7617,Programme!I7617,Programme!J7617)</f>
        <v>&lt;codeEdi&gt;2057&lt;/codeEdi&gt;</v>
      </c>
    </row>
    <row r="7617" spans="1:1" x14ac:dyDescent="0.2">
      <c r="A7617" s="996" t="str">
        <f>CONCATENATE(Programme!D7618,Programme!E7618,Programme!F7618,Programme!G7618,Programme!H7618,Programme!I7618,Programme!J7618)</f>
        <v>&lt;/cellule&gt;</v>
      </c>
    </row>
    <row r="7618" spans="1:1" x14ac:dyDescent="0.2">
      <c r="A7618" s="996" t="str">
        <f>CONCATENATE(Programme!D7619,Programme!E7619,Programme!F7619,Programme!G7619,Programme!H7619,Programme!I7619,Programme!J7619)</f>
        <v>&lt;valeur&gt;&lt;/valeur&gt;</v>
      </c>
    </row>
    <row r="7619" spans="1:1" x14ac:dyDescent="0.2">
      <c r="A7619" s="996" t="str">
        <f>CONCATENATE(Programme!D7620,Programme!E7620,Programme!F7620,Programme!G7620,Programme!H7620,Programme!I7620,Programme!J7620)</f>
        <v>&lt;/ValeurCellule&gt;</v>
      </c>
    </row>
    <row r="7620" spans="1:1" x14ac:dyDescent="0.2">
      <c r="A7620" s="996" t="str">
        <f>CONCATENATE(Programme!D7621,Programme!E7621,Programme!F7621,Programme!G7621,Programme!H7621,Programme!I7621,Programme!J7621)</f>
        <v>&lt;ValeurCellule&gt;</v>
      </c>
    </row>
    <row r="7621" spans="1:1" x14ac:dyDescent="0.2">
      <c r="A7621" s="996" t="str">
        <f>CONCATENATE(Programme!D7622,Programme!E7622,Programme!F7622,Programme!G7622,Programme!H7622,Programme!I7622,Programme!J7622)</f>
        <v>&lt;cellule&gt;</v>
      </c>
    </row>
    <row r="7622" spans="1:1" x14ac:dyDescent="0.2">
      <c r="A7622" s="996" t="str">
        <f>CONCATENATE(Programme!D7623,Programme!E7623,Programme!F7623,Programme!G7623,Programme!H7623,Programme!I7623,Programme!J7623)</f>
        <v>&lt;codeEdi&gt;2058&lt;/codeEdi&gt;</v>
      </c>
    </row>
    <row r="7623" spans="1:1" x14ac:dyDescent="0.2">
      <c r="A7623" s="996" t="str">
        <f>CONCATENATE(Programme!D7624,Programme!E7624,Programme!F7624,Programme!G7624,Programme!H7624,Programme!I7624,Programme!J7624)</f>
        <v>&lt;/cellule&gt;</v>
      </c>
    </row>
    <row r="7624" spans="1:1" x14ac:dyDescent="0.2">
      <c r="A7624" s="996" t="str">
        <f>CONCATENATE(Programme!D7625,Programme!E7625,Programme!F7625,Programme!G7625,Programme!H7625,Programme!I7625,Programme!J7625)</f>
        <v>&lt;valeur&gt;0&lt;/valeur&gt;</v>
      </c>
    </row>
    <row r="7625" spans="1:1" x14ac:dyDescent="0.2">
      <c r="A7625" s="996" t="str">
        <f>CONCATENATE(Programme!D7626,Programme!E7626,Programme!F7626,Programme!G7626,Programme!H7626,Programme!I7626,Programme!J7626)</f>
        <v>&lt;/ValeurCellule&gt;</v>
      </c>
    </row>
    <row r="7626" spans="1:1" x14ac:dyDescent="0.2">
      <c r="A7626" s="996" t="str">
        <f>CONCATENATE(Programme!D7627,Programme!E7627,Programme!F7627,Programme!G7627,Programme!H7627,Programme!I7627,Programme!J7627)</f>
        <v>&lt;ValeurCellule&gt;</v>
      </c>
    </row>
    <row r="7627" spans="1:1" x14ac:dyDescent="0.2">
      <c r="A7627" s="996" t="str">
        <f>CONCATENATE(Programme!D7628,Programme!E7628,Programme!F7628,Programme!G7628,Programme!H7628,Programme!I7628,Programme!J7628)</f>
        <v>&lt;cellule&gt;</v>
      </c>
    </row>
    <row r="7628" spans="1:1" x14ac:dyDescent="0.2">
      <c r="A7628" s="996" t="str">
        <f>CONCATENATE(Programme!D7629,Programme!E7629,Programme!F7629,Programme!G7629,Programme!H7629,Programme!I7629,Programme!J7629)</f>
        <v>&lt;codeEdi&gt;2059&lt;/codeEdi&gt;</v>
      </c>
    </row>
    <row r="7629" spans="1:1" x14ac:dyDescent="0.2">
      <c r="A7629" s="996" t="str">
        <f>CONCATENATE(Programme!D7630,Programme!E7630,Programme!F7630,Programme!G7630,Programme!H7630,Programme!I7630,Programme!J7630)</f>
        <v>&lt;/cellule&gt;</v>
      </c>
    </row>
    <row r="7630" spans="1:1" x14ac:dyDescent="0.2">
      <c r="A7630" s="996" t="str">
        <f>CONCATENATE(Programme!D7631,Programme!E7631,Programme!F7631,Programme!G7631,Programme!H7631,Programme!I7631,Programme!J7631)</f>
        <v>&lt;valeur&gt;0&lt;/valeur&gt;</v>
      </c>
    </row>
    <row r="7631" spans="1:1" x14ac:dyDescent="0.2">
      <c r="A7631" s="996" t="str">
        <f>CONCATENATE(Programme!D7632,Programme!E7632,Programme!F7632,Programme!G7632,Programme!H7632,Programme!I7632,Programme!J7632)</f>
        <v>&lt;/ValeurCellule&gt;</v>
      </c>
    </row>
    <row r="7632" spans="1:1" x14ac:dyDescent="0.2">
      <c r="A7632" s="996" t="str">
        <f>CONCATENATE(Programme!D7633,Programme!E7633,Programme!F7633,Programme!G7633,Programme!H7633,Programme!I7633,Programme!J7633)</f>
        <v>&lt;ValeurCellule&gt;</v>
      </c>
    </row>
    <row r="7633" spans="1:1" x14ac:dyDescent="0.2">
      <c r="A7633" s="996" t="str">
        <f>CONCATENATE(Programme!D7634,Programme!E7634,Programme!F7634,Programme!G7634,Programme!H7634,Programme!I7634,Programme!J7634)</f>
        <v>&lt;cellule&gt;</v>
      </c>
    </row>
    <row r="7634" spans="1:1" x14ac:dyDescent="0.2">
      <c r="A7634" s="996" t="str">
        <f>CONCATENATE(Programme!D7635,Programme!E7635,Programme!F7635,Programme!G7635,Programme!H7635,Programme!I7635,Programme!J7635)</f>
        <v>&lt;codeEdi&gt;2060&lt;/codeEdi&gt;</v>
      </c>
    </row>
    <row r="7635" spans="1:1" x14ac:dyDescent="0.2">
      <c r="A7635" s="996" t="str">
        <f>CONCATENATE(Programme!D7636,Programme!E7636,Programme!F7636,Programme!G7636,Programme!H7636,Programme!I7636,Programme!J7636)</f>
        <v>&lt;/cellule&gt;</v>
      </c>
    </row>
    <row r="7636" spans="1:1" x14ac:dyDescent="0.2">
      <c r="A7636" s="996" t="str">
        <f>CONCATENATE(Programme!D7637,Programme!E7637,Programme!F7637,Programme!G7637,Programme!H7637,Programme!I7637,Programme!J7637)</f>
        <v>&lt;valeur&gt;&lt;/valeur&gt;</v>
      </c>
    </row>
    <row r="7637" spans="1:1" x14ac:dyDescent="0.2">
      <c r="A7637" s="996" t="str">
        <f>CONCATENATE(Programme!D7638,Programme!E7638,Programme!F7638,Programme!G7638,Programme!H7638,Programme!I7638,Programme!J7638)</f>
        <v>&lt;/ValeurCellule&gt;</v>
      </c>
    </row>
    <row r="7638" spans="1:1" x14ac:dyDescent="0.2">
      <c r="A7638" s="996" t="str">
        <f>CONCATENATE(Programme!D7639,Programme!E7639,Programme!F7639,Programme!G7639,Programme!H7639,Programme!I7639,Programme!J7639)</f>
        <v>&lt;ValeurCellule&gt;</v>
      </c>
    </row>
    <row r="7639" spans="1:1" x14ac:dyDescent="0.2">
      <c r="A7639" s="996" t="str">
        <f>CONCATENATE(Programme!D7640,Programme!E7640,Programme!F7640,Programme!G7640,Programme!H7640,Programme!I7640,Programme!J7640)</f>
        <v>&lt;cellule&gt;</v>
      </c>
    </row>
    <row r="7640" spans="1:1" x14ac:dyDescent="0.2">
      <c r="A7640" s="996" t="str">
        <f>CONCATENATE(Programme!D7641,Programme!E7641,Programme!F7641,Programme!G7641,Programme!H7641,Programme!I7641,Programme!J7641)</f>
        <v>&lt;codeEdi&gt;2061&lt;/codeEdi&gt;</v>
      </c>
    </row>
    <row r="7641" spans="1:1" x14ac:dyDescent="0.2">
      <c r="A7641" s="996" t="str">
        <f>CONCATENATE(Programme!D7642,Programme!E7642,Programme!F7642,Programme!G7642,Programme!H7642,Programme!I7642,Programme!J7642)</f>
        <v>&lt;/cellule&gt;</v>
      </c>
    </row>
    <row r="7642" spans="1:1" x14ac:dyDescent="0.2">
      <c r="A7642" s="996" t="str">
        <f>CONCATENATE(Programme!D7643,Programme!E7643,Programme!F7643,Programme!G7643,Programme!H7643,Programme!I7643,Programme!J7643)</f>
        <v>&lt;valeur&gt;&lt;/valeur&gt;</v>
      </c>
    </row>
    <row r="7643" spans="1:1" x14ac:dyDescent="0.2">
      <c r="A7643" s="996" t="str">
        <f>CONCATENATE(Programme!D7644,Programme!E7644,Programme!F7644,Programme!G7644,Programme!H7644,Programme!I7644,Programme!J7644)</f>
        <v>&lt;/ValeurCellule&gt;</v>
      </c>
    </row>
    <row r="7644" spans="1:1" x14ac:dyDescent="0.2">
      <c r="A7644" s="996" t="str">
        <f>CONCATENATE(Programme!D7645,Programme!E7645,Programme!F7645,Programme!G7645,Programme!H7645,Programme!I7645,Programme!J7645)</f>
        <v>&lt;ValeurCellule&gt;</v>
      </c>
    </row>
    <row r="7645" spans="1:1" x14ac:dyDescent="0.2">
      <c r="A7645" s="996" t="str">
        <f>CONCATENATE(Programme!D7646,Programme!E7646,Programme!F7646,Programme!G7646,Programme!H7646,Programme!I7646,Programme!J7646)</f>
        <v>&lt;cellule&gt;</v>
      </c>
    </row>
    <row r="7646" spans="1:1" x14ac:dyDescent="0.2">
      <c r="A7646" s="996" t="str">
        <f>CONCATENATE(Programme!D7647,Programme!E7647,Programme!F7647,Programme!G7647,Programme!H7647,Programme!I7647,Programme!J7647)</f>
        <v>&lt;codeEdi&gt;2062&lt;/codeEdi&gt;</v>
      </c>
    </row>
    <row r="7647" spans="1:1" x14ac:dyDescent="0.2">
      <c r="A7647" s="996" t="str">
        <f>CONCATENATE(Programme!D7648,Programme!E7648,Programme!F7648,Programme!G7648,Programme!H7648,Programme!I7648,Programme!J7648)</f>
        <v>&lt;/cellule&gt;</v>
      </c>
    </row>
    <row r="7648" spans="1:1" x14ac:dyDescent="0.2">
      <c r="A7648" s="996" t="str">
        <f>CONCATENATE(Programme!D7649,Programme!E7649,Programme!F7649,Programme!G7649,Programme!H7649,Programme!I7649,Programme!J7649)</f>
        <v>&lt;valeur&gt;&lt;/valeur&gt;</v>
      </c>
    </row>
    <row r="7649" spans="1:1" x14ac:dyDescent="0.2">
      <c r="A7649" s="996" t="str">
        <f>CONCATENATE(Programme!D7650,Programme!E7650,Programme!F7650,Programme!G7650,Programme!H7650,Programme!I7650,Programme!J7650)</f>
        <v>&lt;/ValeurCellule&gt;</v>
      </c>
    </row>
    <row r="7650" spans="1:1" x14ac:dyDescent="0.2">
      <c r="A7650" s="996" t="str">
        <f>CONCATENATE(Programme!D7651,Programme!E7651,Programme!F7651,Programme!G7651,Programme!H7651,Programme!I7651,Programme!J7651)</f>
        <v>&lt;ValeurCellule&gt;</v>
      </c>
    </row>
    <row r="7651" spans="1:1" x14ac:dyDescent="0.2">
      <c r="A7651" s="996" t="str">
        <f>CONCATENATE(Programme!D7652,Programme!E7652,Programme!F7652,Programme!G7652,Programme!H7652,Programme!I7652,Programme!J7652)</f>
        <v>&lt;cellule&gt;</v>
      </c>
    </row>
    <row r="7652" spans="1:1" x14ac:dyDescent="0.2">
      <c r="A7652" s="996" t="str">
        <f>CONCATENATE(Programme!D7653,Programme!E7653,Programme!F7653,Programme!G7653,Programme!H7653,Programme!I7653,Programme!J7653)</f>
        <v>&lt;codeEdi&gt;2063&lt;/codeEdi&gt;</v>
      </c>
    </row>
    <row r="7653" spans="1:1" x14ac:dyDescent="0.2">
      <c r="A7653" s="996" t="str">
        <f>CONCATENATE(Programme!D7654,Programme!E7654,Programme!F7654,Programme!G7654,Programme!H7654,Programme!I7654,Programme!J7654)</f>
        <v>&lt;/cellule&gt;</v>
      </c>
    </row>
    <row r="7654" spans="1:1" x14ac:dyDescent="0.2">
      <c r="A7654" s="996" t="str">
        <f>CONCATENATE(Programme!D7655,Programme!E7655,Programme!F7655,Programme!G7655,Programme!H7655,Programme!I7655,Programme!J7655)</f>
        <v>&lt;valeur&gt;0&lt;/valeur&gt;</v>
      </c>
    </row>
    <row r="7655" spans="1:1" x14ac:dyDescent="0.2">
      <c r="A7655" s="996" t="str">
        <f>CONCATENATE(Programme!D7656,Programme!E7656,Programme!F7656,Programme!G7656,Programme!H7656,Programme!I7656,Programme!J7656)</f>
        <v>&lt;/ValeurCellule&gt;</v>
      </c>
    </row>
    <row r="7656" spans="1:1" x14ac:dyDescent="0.2">
      <c r="A7656" s="996" t="str">
        <f>CONCATENATE(Programme!D7657,Programme!E7657,Programme!F7657,Programme!G7657,Programme!H7657,Programme!I7657,Programme!J7657)</f>
        <v>&lt;/groupeValeurs&gt;</v>
      </c>
    </row>
    <row r="7657" spans="1:1" x14ac:dyDescent="0.2">
      <c r="A7657" s="996" t="str">
        <f>CONCATENATE(Programme!D7658,Programme!E7658,Programme!F7658,Programme!G7658,Programme!H7658,Programme!I7658,Programme!J7658)</f>
        <v>&lt;extraFieldvaleurs&gt;</v>
      </c>
    </row>
    <row r="7658" spans="1:1" x14ac:dyDescent="0.2">
      <c r="A7658" s="996" t="str">
        <f>CONCATENATE(Programme!D7659,Programme!E7659,Programme!F7659,Programme!G7659,Programme!H7659,Programme!I7659,Programme!J7659)</f>
        <v>&lt;/extraFieldvaleurs&gt;</v>
      </c>
    </row>
    <row r="7659" spans="1:1" x14ac:dyDescent="0.2">
      <c r="A7659" s="996" t="str">
        <f>CONCATENATE(Programme!D7660,Programme!E7660,Programme!F7660,Programme!G7660,Programme!H7660,Programme!I7660,Programme!J7660)</f>
        <v>&lt;/ValeursTableau&gt;</v>
      </c>
    </row>
    <row r="7660" spans="1:1" x14ac:dyDescent="0.2">
      <c r="A7660" s="996" t="str">
        <f>CONCATENATE(Programme!D7661,Programme!E7661,Programme!F7661,Programme!G7661,Programme!H7661,Programme!I7661,Programme!J7661)</f>
        <v>&lt;ValeursTableau&gt;</v>
      </c>
    </row>
    <row r="7661" spans="1:1" x14ac:dyDescent="0.2">
      <c r="A7661" s="996" t="str">
        <f>CONCATENATE(Programme!D7662,Programme!E7662,Programme!F7662,Programme!G7662,Programme!H7662,Programme!I7662,Programme!J7662)</f>
        <v>&lt;tableau&gt;&lt;id&gt;40&lt;/id&gt;&lt;/tableau&gt;</v>
      </c>
    </row>
    <row r="7662" spans="1:1" x14ac:dyDescent="0.2">
      <c r="A7662" s="996" t="str">
        <f>CONCATENATE(Programme!D7663,Programme!E7663,Programme!F7663,Programme!G7663,Programme!H7663,Programme!I7663,Programme!J7663)</f>
        <v>&lt;groupeValeurs&gt;</v>
      </c>
    </row>
    <row r="7663" spans="1:1" x14ac:dyDescent="0.2">
      <c r="A7663" s="996" t="str">
        <f>CONCATENATE(Programme!D7664,Programme!E7664,Programme!F7664,Programme!G7664,Programme!H7664,Programme!I7664,Programme!J7664)</f>
        <v>&lt;ValeurCellule&gt;</v>
      </c>
    </row>
    <row r="7664" spans="1:1" x14ac:dyDescent="0.2">
      <c r="A7664" s="996" t="str">
        <f>CONCATENATE(Programme!D7665,Programme!E7665,Programme!F7665,Programme!G7665,Programme!H7665,Programme!I7665,Programme!J7665)</f>
        <v>&lt;cellule&gt;</v>
      </c>
    </row>
    <row r="7665" spans="1:1" x14ac:dyDescent="0.2">
      <c r="A7665" s="996" t="str">
        <f>CONCATENATE(Programme!D7666,Programme!E7666,Programme!F7666,Programme!G7666,Programme!H7666,Programme!I7666,Programme!J7666)</f>
        <v>&lt;codeEdi&gt;2065&lt;/codeEdi&gt;</v>
      </c>
    </row>
    <row r="7666" spans="1:1" x14ac:dyDescent="0.2">
      <c r="A7666" s="996" t="str">
        <f>CONCATENATE(Programme!D7667,Programme!E7667,Programme!F7667,Programme!G7667,Programme!H7667,Programme!I7667,Programme!J7667)</f>
        <v>&lt;/cellule&gt;</v>
      </c>
    </row>
    <row r="7667" spans="1:1" x14ac:dyDescent="0.2">
      <c r="A7667" s="996" t="str">
        <f>CONCATENATE(Programme!D7668,Programme!E7668,Programme!F7668,Programme!G7668,Programme!H7668,Programme!I7668,Programme!J7668)</f>
        <v>&lt;valeur&gt;0&lt;/valeur&gt;</v>
      </c>
    </row>
    <row r="7668" spans="1:1" x14ac:dyDescent="0.2">
      <c r="A7668" s="996" t="str">
        <f>CONCATENATE(Programme!D7669,Programme!E7669,Programme!F7669,Programme!G7669,Programme!H7669,Programme!I7669,Programme!J7669)</f>
        <v>&lt;/ValeurCellule&gt;</v>
      </c>
    </row>
    <row r="7669" spans="1:1" x14ac:dyDescent="0.2">
      <c r="A7669" s="996" t="str">
        <f>CONCATENATE(Programme!D7670,Programme!E7670,Programme!F7670,Programme!G7670,Programme!H7670,Programme!I7670,Programme!J7670)</f>
        <v>&lt;ValeurCellule&gt;</v>
      </c>
    </row>
    <row r="7670" spans="1:1" x14ac:dyDescent="0.2">
      <c r="A7670" s="996" t="str">
        <f>CONCATENATE(Programme!D7671,Programme!E7671,Programme!F7671,Programme!G7671,Programme!H7671,Programme!I7671,Programme!J7671)</f>
        <v>&lt;cellule&gt;</v>
      </c>
    </row>
    <row r="7671" spans="1:1" x14ac:dyDescent="0.2">
      <c r="A7671" s="996" t="str">
        <f>CONCATENATE(Programme!D7672,Programme!E7672,Programme!F7672,Programme!G7672,Programme!H7672,Programme!I7672,Programme!J7672)</f>
        <v>&lt;codeEdi&gt;2070&lt;/codeEdi&gt;</v>
      </c>
    </row>
    <row r="7672" spans="1:1" x14ac:dyDescent="0.2">
      <c r="A7672" s="996" t="str">
        <f>CONCATENATE(Programme!D7673,Programme!E7673,Programme!F7673,Programme!G7673,Programme!H7673,Programme!I7673,Programme!J7673)</f>
        <v>&lt;/cellule&gt;</v>
      </c>
    </row>
    <row r="7673" spans="1:1" x14ac:dyDescent="0.2">
      <c r="A7673" s="996" t="str">
        <f>CONCATENATE(Programme!D7674,Programme!E7674,Programme!F7674,Programme!G7674,Programme!H7674,Programme!I7674,Programme!J7674)</f>
        <v>&lt;valeur&gt;0&lt;/valeur&gt;</v>
      </c>
    </row>
    <row r="7674" spans="1:1" x14ac:dyDescent="0.2">
      <c r="A7674" s="996" t="str">
        <f>CONCATENATE(Programme!D7675,Programme!E7675,Programme!F7675,Programme!G7675,Programme!H7675,Programme!I7675,Programme!J7675)</f>
        <v>&lt;/ValeurCellule&gt;</v>
      </c>
    </row>
    <row r="7675" spans="1:1" x14ac:dyDescent="0.2">
      <c r="A7675" s="996" t="str">
        <f>CONCATENATE(Programme!D7676,Programme!E7676,Programme!F7676,Programme!G7676,Programme!H7676,Programme!I7676,Programme!J7676)</f>
        <v>&lt;ValeurCellule&gt;</v>
      </c>
    </row>
    <row r="7676" spans="1:1" x14ac:dyDescent="0.2">
      <c r="A7676" s="996" t="str">
        <f>CONCATENATE(Programme!D7677,Programme!E7677,Programme!F7677,Programme!G7677,Programme!H7677,Programme!I7677,Programme!J7677)</f>
        <v>&lt;cellule&gt;</v>
      </c>
    </row>
    <row r="7677" spans="1:1" x14ac:dyDescent="0.2">
      <c r="A7677" s="996" t="str">
        <f>CONCATENATE(Programme!D7678,Programme!E7678,Programme!F7678,Programme!G7678,Programme!H7678,Programme!I7678,Programme!J7678)</f>
        <v>&lt;codeEdi&gt;2075&lt;/codeEdi&gt;</v>
      </c>
    </row>
    <row r="7678" spans="1:1" x14ac:dyDescent="0.2">
      <c r="A7678" s="996" t="str">
        <f>CONCATENATE(Programme!D7679,Programme!E7679,Programme!F7679,Programme!G7679,Programme!H7679,Programme!I7679,Programme!J7679)</f>
        <v>&lt;/cellule&gt;</v>
      </c>
    </row>
    <row r="7679" spans="1:1" x14ac:dyDescent="0.2">
      <c r="A7679" s="996" t="str">
        <f>CONCATENATE(Programme!D7680,Programme!E7680,Programme!F7680,Programme!G7680,Programme!H7680,Programme!I7680,Programme!J7680)</f>
        <v>&lt;valeur&gt;0&lt;/valeur&gt;</v>
      </c>
    </row>
    <row r="7680" spans="1:1" x14ac:dyDescent="0.2">
      <c r="A7680" s="996" t="str">
        <f>CONCATENATE(Programme!D7681,Programme!E7681,Programme!F7681,Programme!G7681,Programme!H7681,Programme!I7681,Programme!J7681)</f>
        <v>&lt;/ValeurCellule&gt;</v>
      </c>
    </row>
    <row r="7681" spans="1:1" x14ac:dyDescent="0.2">
      <c r="A7681" s="996" t="str">
        <f>CONCATENATE(Programme!D7682,Programme!E7682,Programme!F7682,Programme!G7682,Programme!H7682,Programme!I7682,Programme!J7682)</f>
        <v>&lt;ValeurCellule&gt;</v>
      </c>
    </row>
    <row r="7682" spans="1:1" x14ac:dyDescent="0.2">
      <c r="A7682" s="996" t="str">
        <f>CONCATENATE(Programme!D7683,Programme!E7683,Programme!F7683,Programme!G7683,Programme!H7683,Programme!I7683,Programme!J7683)</f>
        <v>&lt;cellule&gt;</v>
      </c>
    </row>
    <row r="7683" spans="1:1" x14ac:dyDescent="0.2">
      <c r="A7683" s="996" t="str">
        <f>CONCATENATE(Programme!D7684,Programme!E7684,Programme!F7684,Programme!G7684,Programme!H7684,Programme!I7684,Programme!J7684)</f>
        <v>&lt;codeEdi&gt;2080&lt;/codeEdi&gt;</v>
      </c>
    </row>
    <row r="7684" spans="1:1" x14ac:dyDescent="0.2">
      <c r="A7684" s="996" t="str">
        <f>CONCATENATE(Programme!D7685,Programme!E7685,Programme!F7685,Programme!G7685,Programme!H7685,Programme!I7685,Programme!J7685)</f>
        <v>&lt;/cellule&gt;</v>
      </c>
    </row>
    <row r="7685" spans="1:1" x14ac:dyDescent="0.2">
      <c r="A7685" s="996" t="str">
        <f>CONCATENATE(Programme!D7686,Programme!E7686,Programme!F7686,Programme!G7686,Programme!H7686,Programme!I7686,Programme!J7686)</f>
        <v>&lt;valeur&gt;0&lt;/valeur&gt;</v>
      </c>
    </row>
    <row r="7686" spans="1:1" x14ac:dyDescent="0.2">
      <c r="A7686" s="996" t="str">
        <f>CONCATENATE(Programme!D7687,Programme!E7687,Programme!F7687,Programme!G7687,Programme!H7687,Programme!I7687,Programme!J7687)</f>
        <v>&lt;/ValeurCellule&gt;</v>
      </c>
    </row>
    <row r="7687" spans="1:1" x14ac:dyDescent="0.2">
      <c r="A7687" s="996" t="str">
        <f>CONCATENATE(Programme!D7688,Programme!E7688,Programme!F7688,Programme!G7688,Programme!H7688,Programme!I7688,Programme!J7688)</f>
        <v>&lt;ValeurCellule&gt;</v>
      </c>
    </row>
    <row r="7688" spans="1:1" x14ac:dyDescent="0.2">
      <c r="A7688" s="996" t="str">
        <f>CONCATENATE(Programme!D7689,Programme!E7689,Programme!F7689,Programme!G7689,Programme!H7689,Programme!I7689,Programme!J7689)</f>
        <v>&lt;cellule&gt;</v>
      </c>
    </row>
    <row r="7689" spans="1:1" x14ac:dyDescent="0.2">
      <c r="A7689" s="996" t="str">
        <f>CONCATENATE(Programme!D7690,Programme!E7690,Programme!F7690,Programme!G7690,Programme!H7690,Programme!I7690,Programme!J7690)</f>
        <v>&lt;codeEdi&gt;2085&lt;/codeEdi&gt;</v>
      </c>
    </row>
    <row r="7690" spans="1:1" x14ac:dyDescent="0.2">
      <c r="A7690" s="996" t="str">
        <f>CONCATENATE(Programme!D7691,Programme!E7691,Programme!F7691,Programme!G7691,Programme!H7691,Programme!I7691,Programme!J7691)</f>
        <v>&lt;/cellule&gt;</v>
      </c>
    </row>
    <row r="7691" spans="1:1" x14ac:dyDescent="0.2">
      <c r="A7691" s="996" t="str">
        <f>CONCATENATE(Programme!D7692,Programme!E7692,Programme!F7692,Programme!G7692,Programme!H7692,Programme!I7692,Programme!J7692)</f>
        <v>&lt;valeur&gt;0&lt;/valeur&gt;</v>
      </c>
    </row>
    <row r="7692" spans="1:1" x14ac:dyDescent="0.2">
      <c r="A7692" s="996" t="str">
        <f>CONCATENATE(Programme!D7693,Programme!E7693,Programme!F7693,Programme!G7693,Programme!H7693,Programme!I7693,Programme!J7693)</f>
        <v>&lt;/ValeurCellule&gt;</v>
      </c>
    </row>
    <row r="7693" spans="1:1" x14ac:dyDescent="0.2">
      <c r="A7693" s="996" t="str">
        <f>CONCATENATE(Programme!D7694,Programme!E7694,Programme!F7694,Programme!G7694,Programme!H7694,Programme!I7694,Programme!J7694)</f>
        <v>&lt;ValeurCellule&gt;</v>
      </c>
    </row>
    <row r="7694" spans="1:1" x14ac:dyDescent="0.2">
      <c r="A7694" s="996" t="str">
        <f>CONCATENATE(Programme!D7695,Programme!E7695,Programme!F7695,Programme!G7695,Programme!H7695,Programme!I7695,Programme!J7695)</f>
        <v>&lt;cellule&gt;</v>
      </c>
    </row>
    <row r="7695" spans="1:1" x14ac:dyDescent="0.2">
      <c r="A7695" s="996" t="str">
        <f>CONCATENATE(Programme!D7696,Programme!E7696,Programme!F7696,Programme!G7696,Programme!H7696,Programme!I7696,Programme!J7696)</f>
        <v>&lt;codeEdi&gt;2066&lt;/codeEdi&gt;</v>
      </c>
    </row>
    <row r="7696" spans="1:1" x14ac:dyDescent="0.2">
      <c r="A7696" s="996" t="str">
        <f>CONCATENATE(Programme!D7697,Programme!E7697,Programme!F7697,Programme!G7697,Programme!H7697,Programme!I7697,Programme!J7697)</f>
        <v>&lt;/cellule&gt;</v>
      </c>
    </row>
    <row r="7697" spans="1:1" x14ac:dyDescent="0.2">
      <c r="A7697" s="996" t="str">
        <f>CONCATENATE(Programme!D7698,Programme!E7698,Programme!F7698,Programme!G7698,Programme!H7698,Programme!I7698,Programme!J7698)</f>
        <v>&lt;valeur&gt;0&lt;/valeur&gt;</v>
      </c>
    </row>
    <row r="7698" spans="1:1" x14ac:dyDescent="0.2">
      <c r="A7698" s="996" t="str">
        <f>CONCATENATE(Programme!D7699,Programme!E7699,Programme!F7699,Programme!G7699,Programme!H7699,Programme!I7699,Programme!J7699)</f>
        <v>&lt;/ValeurCellule&gt;</v>
      </c>
    </row>
    <row r="7699" spans="1:1" x14ac:dyDescent="0.2">
      <c r="A7699" s="996" t="str">
        <f>CONCATENATE(Programme!D7700,Programme!E7700,Programme!F7700,Programme!G7700,Programme!H7700,Programme!I7700,Programme!J7700)</f>
        <v>&lt;ValeurCellule&gt;</v>
      </c>
    </row>
    <row r="7700" spans="1:1" x14ac:dyDescent="0.2">
      <c r="A7700" s="996" t="str">
        <f>CONCATENATE(Programme!D7701,Programme!E7701,Programme!F7701,Programme!G7701,Programme!H7701,Programme!I7701,Programme!J7701)</f>
        <v>&lt;cellule&gt;</v>
      </c>
    </row>
    <row r="7701" spans="1:1" x14ac:dyDescent="0.2">
      <c r="A7701" s="996" t="str">
        <f>CONCATENATE(Programme!D7702,Programme!E7702,Programme!F7702,Programme!G7702,Programme!H7702,Programme!I7702,Programme!J7702)</f>
        <v>&lt;codeEdi&gt;2071&lt;/codeEdi&gt;</v>
      </c>
    </row>
    <row r="7702" spans="1:1" x14ac:dyDescent="0.2">
      <c r="A7702" s="996" t="str">
        <f>CONCATENATE(Programme!D7703,Programme!E7703,Programme!F7703,Programme!G7703,Programme!H7703,Programme!I7703,Programme!J7703)</f>
        <v>&lt;/cellule&gt;</v>
      </c>
    </row>
    <row r="7703" spans="1:1" x14ac:dyDescent="0.2">
      <c r="A7703" s="996" t="str">
        <f>CONCATENATE(Programme!D7704,Programme!E7704,Programme!F7704,Programme!G7704,Programme!H7704,Programme!I7704,Programme!J7704)</f>
        <v>&lt;valeur&gt;0&lt;/valeur&gt;</v>
      </c>
    </row>
    <row r="7704" spans="1:1" x14ac:dyDescent="0.2">
      <c r="A7704" s="996" t="str">
        <f>CONCATENATE(Programme!D7705,Programme!E7705,Programme!F7705,Programme!G7705,Programme!H7705,Programme!I7705,Programme!J7705)</f>
        <v>&lt;/ValeurCellule&gt;</v>
      </c>
    </row>
    <row r="7705" spans="1:1" x14ac:dyDescent="0.2">
      <c r="A7705" s="996" t="str">
        <f>CONCATENATE(Programme!D7706,Programme!E7706,Programme!F7706,Programme!G7706,Programme!H7706,Programme!I7706,Programme!J7706)</f>
        <v>&lt;ValeurCellule&gt;</v>
      </c>
    </row>
    <row r="7706" spans="1:1" x14ac:dyDescent="0.2">
      <c r="A7706" s="996" t="str">
        <f>CONCATENATE(Programme!D7707,Programme!E7707,Programme!F7707,Programme!G7707,Programme!H7707,Programme!I7707,Programme!J7707)</f>
        <v>&lt;cellule&gt;</v>
      </c>
    </row>
    <row r="7707" spans="1:1" x14ac:dyDescent="0.2">
      <c r="A7707" s="996" t="str">
        <f>CONCATENATE(Programme!D7708,Programme!E7708,Programme!F7708,Programme!G7708,Programme!H7708,Programme!I7708,Programme!J7708)</f>
        <v>&lt;codeEdi&gt;2076&lt;/codeEdi&gt;</v>
      </c>
    </row>
    <row r="7708" spans="1:1" x14ac:dyDescent="0.2">
      <c r="A7708" s="996" t="str">
        <f>CONCATENATE(Programme!D7709,Programme!E7709,Programme!F7709,Programme!G7709,Programme!H7709,Programme!I7709,Programme!J7709)</f>
        <v>&lt;/cellule&gt;</v>
      </c>
    </row>
    <row r="7709" spans="1:1" x14ac:dyDescent="0.2">
      <c r="A7709" s="996" t="str">
        <f>CONCATENATE(Programme!D7710,Programme!E7710,Programme!F7710,Programme!G7710,Programme!H7710,Programme!I7710,Programme!J7710)</f>
        <v>&lt;valeur&gt;&lt;/valeur&gt;</v>
      </c>
    </row>
    <row r="7710" spans="1:1" x14ac:dyDescent="0.2">
      <c r="A7710" s="996" t="str">
        <f>CONCATENATE(Programme!D7711,Programme!E7711,Programme!F7711,Programme!G7711,Programme!H7711,Programme!I7711,Programme!J7711)</f>
        <v>&lt;/ValeurCellule&gt;</v>
      </c>
    </row>
    <row r="7711" spans="1:1" x14ac:dyDescent="0.2">
      <c r="A7711" s="996" t="str">
        <f>CONCATENATE(Programme!D7712,Programme!E7712,Programme!F7712,Programme!G7712,Programme!H7712,Programme!I7712,Programme!J7712)</f>
        <v>&lt;ValeurCellule&gt;</v>
      </c>
    </row>
    <row r="7712" spans="1:1" x14ac:dyDescent="0.2">
      <c r="A7712" s="996" t="str">
        <f>CONCATENATE(Programme!D7713,Programme!E7713,Programme!F7713,Programme!G7713,Programme!H7713,Programme!I7713,Programme!J7713)</f>
        <v>&lt;cellule&gt;</v>
      </c>
    </row>
    <row r="7713" spans="1:1" x14ac:dyDescent="0.2">
      <c r="A7713" s="996" t="str">
        <f>CONCATENATE(Programme!D7714,Programme!E7714,Programme!F7714,Programme!G7714,Programme!H7714,Programme!I7714,Programme!J7714)</f>
        <v>&lt;codeEdi&gt;2081&lt;/codeEdi&gt;</v>
      </c>
    </row>
    <row r="7714" spans="1:1" x14ac:dyDescent="0.2">
      <c r="A7714" s="996" t="str">
        <f>CONCATENATE(Programme!D7715,Programme!E7715,Programme!F7715,Programme!G7715,Programme!H7715,Programme!I7715,Programme!J7715)</f>
        <v>&lt;/cellule&gt;</v>
      </c>
    </row>
    <row r="7715" spans="1:1" x14ac:dyDescent="0.2">
      <c r="A7715" s="996" t="str">
        <f>CONCATENATE(Programme!D7716,Programme!E7716,Programme!F7716,Programme!G7716,Programme!H7716,Programme!I7716,Programme!J7716)</f>
        <v>&lt;valeur&gt;&lt;/valeur&gt;</v>
      </c>
    </row>
    <row r="7716" spans="1:1" x14ac:dyDescent="0.2">
      <c r="A7716" s="996" t="str">
        <f>CONCATENATE(Programme!D7717,Programme!E7717,Programme!F7717,Programme!G7717,Programme!H7717,Programme!I7717,Programme!J7717)</f>
        <v>&lt;/ValeurCellule&gt;</v>
      </c>
    </row>
    <row r="7717" spans="1:1" x14ac:dyDescent="0.2">
      <c r="A7717" s="996" t="str">
        <f>CONCATENATE(Programme!D7718,Programme!E7718,Programme!F7718,Programme!G7718,Programme!H7718,Programme!I7718,Programme!J7718)</f>
        <v>&lt;ValeurCellule&gt;</v>
      </c>
    </row>
    <row r="7718" spans="1:1" x14ac:dyDescent="0.2">
      <c r="A7718" s="996" t="str">
        <f>CONCATENATE(Programme!D7719,Programme!E7719,Programme!F7719,Programme!G7719,Programme!H7719,Programme!I7719,Programme!J7719)</f>
        <v>&lt;cellule&gt;</v>
      </c>
    </row>
    <row r="7719" spans="1:1" x14ac:dyDescent="0.2">
      <c r="A7719" s="996" t="str">
        <f>CONCATENATE(Programme!D7720,Programme!E7720,Programme!F7720,Programme!G7720,Programme!H7720,Programme!I7720,Programme!J7720)</f>
        <v>&lt;codeEdi&gt;2086&lt;/codeEdi&gt;</v>
      </c>
    </row>
    <row r="7720" spans="1:1" x14ac:dyDescent="0.2">
      <c r="A7720" s="996" t="str">
        <f>CONCATENATE(Programme!D7721,Programme!E7721,Programme!F7721,Programme!G7721,Programme!H7721,Programme!I7721,Programme!J7721)</f>
        <v>&lt;/cellule&gt;</v>
      </c>
    </row>
    <row r="7721" spans="1:1" x14ac:dyDescent="0.2">
      <c r="A7721" s="996" t="str">
        <f>CONCATENATE(Programme!D7722,Programme!E7722,Programme!F7722,Programme!G7722,Programme!H7722,Programme!I7722,Programme!J7722)</f>
        <v>&lt;valeur&gt;0&lt;/valeur&gt;</v>
      </c>
    </row>
    <row r="7722" spans="1:1" x14ac:dyDescent="0.2">
      <c r="A7722" s="996" t="str">
        <f>CONCATENATE(Programme!D7723,Programme!E7723,Programme!F7723,Programme!G7723,Programme!H7723,Programme!I7723,Programme!J7723)</f>
        <v>&lt;/ValeurCellule&gt;</v>
      </c>
    </row>
    <row r="7723" spans="1:1" x14ac:dyDescent="0.2">
      <c r="A7723" s="996" t="str">
        <f>CONCATENATE(Programme!D7724,Programme!E7724,Programme!F7724,Programme!G7724,Programme!H7724,Programme!I7724,Programme!J7724)</f>
        <v>&lt;ValeurCellule&gt;</v>
      </c>
    </row>
    <row r="7724" spans="1:1" x14ac:dyDescent="0.2">
      <c r="A7724" s="996" t="str">
        <f>CONCATENATE(Programme!D7725,Programme!E7725,Programme!F7725,Programme!G7725,Programme!H7725,Programme!I7725,Programme!J7725)</f>
        <v>&lt;cellule&gt;</v>
      </c>
    </row>
    <row r="7725" spans="1:1" x14ac:dyDescent="0.2">
      <c r="A7725" s="996" t="str">
        <f>CONCATENATE(Programme!D7726,Programme!E7726,Programme!F7726,Programme!G7726,Programme!H7726,Programme!I7726,Programme!J7726)</f>
        <v>&lt;codeEdi&gt;2067&lt;/codeEdi&gt;</v>
      </c>
    </row>
    <row r="7726" spans="1:1" x14ac:dyDescent="0.2">
      <c r="A7726" s="996" t="str">
        <f>CONCATENATE(Programme!D7727,Programme!E7727,Programme!F7727,Programme!G7727,Programme!H7727,Programme!I7727,Programme!J7727)</f>
        <v>&lt;/cellule&gt;</v>
      </c>
    </row>
    <row r="7727" spans="1:1" x14ac:dyDescent="0.2">
      <c r="A7727" s="996" t="str">
        <f>CONCATENATE(Programme!D7728,Programme!E7728,Programme!F7728,Programme!G7728,Programme!H7728,Programme!I7728,Programme!J7728)</f>
        <v>&lt;valeur&gt;0&lt;/valeur&gt;</v>
      </c>
    </row>
    <row r="7728" spans="1:1" x14ac:dyDescent="0.2">
      <c r="A7728" s="996" t="str">
        <f>CONCATENATE(Programme!D7729,Programme!E7729,Programme!F7729,Programme!G7729,Programme!H7729,Programme!I7729,Programme!J7729)</f>
        <v>&lt;/ValeurCellule&gt;</v>
      </c>
    </row>
    <row r="7729" spans="1:1" x14ac:dyDescent="0.2">
      <c r="A7729" s="996" t="str">
        <f>CONCATENATE(Programme!D7730,Programme!E7730,Programme!F7730,Programme!G7730,Programme!H7730,Programme!I7730,Programme!J7730)</f>
        <v>&lt;ValeurCellule&gt;</v>
      </c>
    </row>
    <row r="7730" spans="1:1" x14ac:dyDescent="0.2">
      <c r="A7730" s="996" t="str">
        <f>CONCATENATE(Programme!D7731,Programme!E7731,Programme!F7731,Programme!G7731,Programme!H7731,Programme!I7731,Programme!J7731)</f>
        <v>&lt;cellule&gt;</v>
      </c>
    </row>
    <row r="7731" spans="1:1" x14ac:dyDescent="0.2">
      <c r="A7731" s="996" t="str">
        <f>CONCATENATE(Programme!D7732,Programme!E7732,Programme!F7732,Programme!G7732,Programme!H7732,Programme!I7732,Programme!J7732)</f>
        <v>&lt;codeEdi&gt;2072&lt;/codeEdi&gt;</v>
      </c>
    </row>
    <row r="7732" spans="1:1" x14ac:dyDescent="0.2">
      <c r="A7732" s="996" t="str">
        <f>CONCATENATE(Programme!D7733,Programme!E7733,Programme!F7733,Programme!G7733,Programme!H7733,Programme!I7733,Programme!J7733)</f>
        <v>&lt;/cellule&gt;</v>
      </c>
    </row>
    <row r="7733" spans="1:1" x14ac:dyDescent="0.2">
      <c r="A7733" s="996" t="str">
        <f>CONCATENATE(Programme!D7734,Programme!E7734,Programme!F7734,Programme!G7734,Programme!H7734,Programme!I7734,Programme!J7734)</f>
        <v>&lt;valeur&gt;0&lt;/valeur&gt;</v>
      </c>
    </row>
    <row r="7734" spans="1:1" x14ac:dyDescent="0.2">
      <c r="A7734" s="996" t="str">
        <f>CONCATENATE(Programme!D7735,Programme!E7735,Programme!F7735,Programme!G7735,Programme!H7735,Programme!I7735,Programme!J7735)</f>
        <v>&lt;/ValeurCellule&gt;</v>
      </c>
    </row>
    <row r="7735" spans="1:1" x14ac:dyDescent="0.2">
      <c r="A7735" s="996" t="str">
        <f>CONCATENATE(Programme!D7736,Programme!E7736,Programme!F7736,Programme!G7736,Programme!H7736,Programme!I7736,Programme!J7736)</f>
        <v>&lt;ValeurCellule&gt;</v>
      </c>
    </row>
    <row r="7736" spans="1:1" x14ac:dyDescent="0.2">
      <c r="A7736" s="996" t="str">
        <f>CONCATENATE(Programme!D7737,Programme!E7737,Programme!F7737,Programme!G7737,Programme!H7737,Programme!I7737,Programme!J7737)</f>
        <v>&lt;cellule&gt;</v>
      </c>
    </row>
    <row r="7737" spans="1:1" x14ac:dyDescent="0.2">
      <c r="A7737" s="996" t="str">
        <f>CONCATENATE(Programme!D7738,Programme!E7738,Programme!F7738,Programme!G7738,Programme!H7738,Programme!I7738,Programme!J7738)</f>
        <v>&lt;codeEdi&gt;2077&lt;/codeEdi&gt;</v>
      </c>
    </row>
    <row r="7738" spans="1:1" x14ac:dyDescent="0.2">
      <c r="A7738" s="996" t="str">
        <f>CONCATENATE(Programme!D7739,Programme!E7739,Programme!F7739,Programme!G7739,Programme!H7739,Programme!I7739,Programme!J7739)</f>
        <v>&lt;/cellule&gt;</v>
      </c>
    </row>
    <row r="7739" spans="1:1" x14ac:dyDescent="0.2">
      <c r="A7739" s="996" t="str">
        <f>CONCATENATE(Programme!D7740,Programme!E7740,Programme!F7740,Programme!G7740,Programme!H7740,Programme!I7740,Programme!J7740)</f>
        <v>&lt;valeur&gt;&lt;/valeur&gt;</v>
      </c>
    </row>
    <row r="7740" spans="1:1" x14ac:dyDescent="0.2">
      <c r="A7740" s="996" t="str">
        <f>CONCATENATE(Programme!D7741,Programme!E7741,Programme!F7741,Programme!G7741,Programme!H7741,Programme!I7741,Programme!J7741)</f>
        <v>&lt;/ValeurCellule&gt;</v>
      </c>
    </row>
    <row r="7741" spans="1:1" x14ac:dyDescent="0.2">
      <c r="A7741" s="996" t="str">
        <f>CONCATENATE(Programme!D7742,Programme!E7742,Programme!F7742,Programme!G7742,Programme!H7742,Programme!I7742,Programme!J7742)</f>
        <v>&lt;ValeurCellule&gt;</v>
      </c>
    </row>
    <row r="7742" spans="1:1" x14ac:dyDescent="0.2">
      <c r="A7742" s="996" t="str">
        <f>CONCATENATE(Programme!D7743,Programme!E7743,Programme!F7743,Programme!G7743,Programme!H7743,Programme!I7743,Programme!J7743)</f>
        <v>&lt;cellule&gt;</v>
      </c>
    </row>
    <row r="7743" spans="1:1" x14ac:dyDescent="0.2">
      <c r="A7743" s="996" t="str">
        <f>CONCATENATE(Programme!D7744,Programme!E7744,Programme!F7744,Programme!G7744,Programme!H7744,Programme!I7744,Programme!J7744)</f>
        <v>&lt;codeEdi&gt;2082&lt;/codeEdi&gt;</v>
      </c>
    </row>
    <row r="7744" spans="1:1" x14ac:dyDescent="0.2">
      <c r="A7744" s="996" t="str">
        <f>CONCATENATE(Programme!D7745,Programme!E7745,Programme!F7745,Programme!G7745,Programme!H7745,Programme!I7745,Programme!J7745)</f>
        <v>&lt;/cellule&gt;</v>
      </c>
    </row>
    <row r="7745" spans="1:1" x14ac:dyDescent="0.2">
      <c r="A7745" s="996" t="str">
        <f>CONCATENATE(Programme!D7746,Programme!E7746,Programme!F7746,Programme!G7746,Programme!H7746,Programme!I7746,Programme!J7746)</f>
        <v>&lt;valeur&gt;&lt;/valeur&gt;</v>
      </c>
    </row>
    <row r="7746" spans="1:1" x14ac:dyDescent="0.2">
      <c r="A7746" s="996" t="str">
        <f>CONCATENATE(Programme!D7747,Programme!E7747,Programme!F7747,Programme!G7747,Programme!H7747,Programme!I7747,Programme!J7747)</f>
        <v>&lt;/ValeurCellule&gt;</v>
      </c>
    </row>
    <row r="7747" spans="1:1" x14ac:dyDescent="0.2">
      <c r="A7747" s="996" t="str">
        <f>CONCATENATE(Programme!D7748,Programme!E7748,Programme!F7748,Programme!G7748,Programme!H7748,Programme!I7748,Programme!J7748)</f>
        <v>&lt;ValeurCellule&gt;</v>
      </c>
    </row>
    <row r="7748" spans="1:1" x14ac:dyDescent="0.2">
      <c r="A7748" s="996" t="str">
        <f>CONCATENATE(Programme!D7749,Programme!E7749,Programme!F7749,Programme!G7749,Programme!H7749,Programme!I7749,Programme!J7749)</f>
        <v>&lt;cellule&gt;</v>
      </c>
    </row>
    <row r="7749" spans="1:1" x14ac:dyDescent="0.2">
      <c r="A7749" s="996" t="str">
        <f>CONCATENATE(Programme!D7750,Programme!E7750,Programme!F7750,Programme!G7750,Programme!H7750,Programme!I7750,Programme!J7750)</f>
        <v>&lt;codeEdi&gt;2087&lt;/codeEdi&gt;</v>
      </c>
    </row>
    <row r="7750" spans="1:1" x14ac:dyDescent="0.2">
      <c r="A7750" s="996" t="str">
        <f>CONCATENATE(Programme!D7751,Programme!E7751,Programme!F7751,Programme!G7751,Programme!H7751,Programme!I7751,Programme!J7751)</f>
        <v>&lt;/cellule&gt;</v>
      </c>
    </row>
    <row r="7751" spans="1:1" x14ac:dyDescent="0.2">
      <c r="A7751" s="996" t="str">
        <f>CONCATENATE(Programme!D7752,Programme!E7752,Programme!F7752,Programme!G7752,Programme!H7752,Programme!I7752,Programme!J7752)</f>
        <v>&lt;valeur&gt;0&lt;/valeur&gt;</v>
      </c>
    </row>
    <row r="7752" spans="1:1" x14ac:dyDescent="0.2">
      <c r="A7752" s="996" t="str">
        <f>CONCATENATE(Programme!D7753,Programme!E7753,Programme!F7753,Programme!G7753,Programme!H7753,Programme!I7753,Programme!J7753)</f>
        <v>&lt;/ValeurCellule&gt;</v>
      </c>
    </row>
    <row r="7753" spans="1:1" x14ac:dyDescent="0.2">
      <c r="A7753" s="996" t="str">
        <f>CONCATENATE(Programme!D7754,Programme!E7754,Programme!F7754,Programme!G7754,Programme!H7754,Programme!I7754,Programme!J7754)</f>
        <v>&lt;ValeurCellule&gt;</v>
      </c>
    </row>
    <row r="7754" spans="1:1" x14ac:dyDescent="0.2">
      <c r="A7754" s="996" t="str">
        <f>CONCATENATE(Programme!D7755,Programme!E7755,Programme!F7755,Programme!G7755,Programme!H7755,Programme!I7755,Programme!J7755)</f>
        <v>&lt;cellule&gt;</v>
      </c>
    </row>
    <row r="7755" spans="1:1" x14ac:dyDescent="0.2">
      <c r="A7755" s="996" t="str">
        <f>CONCATENATE(Programme!D7756,Programme!E7756,Programme!F7756,Programme!G7756,Programme!H7756,Programme!I7756,Programme!J7756)</f>
        <v>&lt;codeEdi&gt;2068&lt;/codeEdi&gt;</v>
      </c>
    </row>
    <row r="7756" spans="1:1" x14ac:dyDescent="0.2">
      <c r="A7756" s="996" t="str">
        <f>CONCATENATE(Programme!D7757,Programme!E7757,Programme!F7757,Programme!G7757,Programme!H7757,Programme!I7757,Programme!J7757)</f>
        <v>&lt;/cellule&gt;</v>
      </c>
    </row>
    <row r="7757" spans="1:1" x14ac:dyDescent="0.2">
      <c r="A7757" s="996" t="str">
        <f>CONCATENATE(Programme!D7758,Programme!E7758,Programme!F7758,Programme!G7758,Programme!H7758,Programme!I7758,Programme!J7758)</f>
        <v>&lt;valeur&gt;0&lt;/valeur&gt;</v>
      </c>
    </row>
    <row r="7758" spans="1:1" x14ac:dyDescent="0.2">
      <c r="A7758" s="996" t="str">
        <f>CONCATENATE(Programme!D7759,Programme!E7759,Programme!F7759,Programme!G7759,Programme!H7759,Programme!I7759,Programme!J7759)</f>
        <v>&lt;/ValeurCellule&gt;</v>
      </c>
    </row>
    <row r="7759" spans="1:1" x14ac:dyDescent="0.2">
      <c r="A7759" s="996" t="str">
        <f>CONCATENATE(Programme!D7760,Programme!E7760,Programme!F7760,Programme!G7760,Programme!H7760,Programme!I7760,Programme!J7760)</f>
        <v>&lt;ValeurCellule&gt;</v>
      </c>
    </row>
    <row r="7760" spans="1:1" x14ac:dyDescent="0.2">
      <c r="A7760" s="996" t="str">
        <f>CONCATENATE(Programme!D7761,Programme!E7761,Programme!F7761,Programme!G7761,Programme!H7761,Programme!I7761,Programme!J7761)</f>
        <v>&lt;cellule&gt;</v>
      </c>
    </row>
    <row r="7761" spans="1:1" x14ac:dyDescent="0.2">
      <c r="A7761" s="996" t="str">
        <f>CONCATENATE(Programme!D7762,Programme!E7762,Programme!F7762,Programme!G7762,Programme!H7762,Programme!I7762,Programme!J7762)</f>
        <v>&lt;codeEdi&gt;2073&lt;/codeEdi&gt;</v>
      </c>
    </row>
    <row r="7762" spans="1:1" x14ac:dyDescent="0.2">
      <c r="A7762" s="996" t="str">
        <f>CONCATENATE(Programme!D7763,Programme!E7763,Programme!F7763,Programme!G7763,Programme!H7763,Programme!I7763,Programme!J7763)</f>
        <v>&lt;/cellule&gt;</v>
      </c>
    </row>
    <row r="7763" spans="1:1" x14ac:dyDescent="0.2">
      <c r="A7763" s="996" t="str">
        <f>CONCATENATE(Programme!D7764,Programme!E7764,Programme!F7764,Programme!G7764,Programme!H7764,Programme!I7764,Programme!J7764)</f>
        <v>&lt;valeur&gt;0&lt;/valeur&gt;</v>
      </c>
    </row>
    <row r="7764" spans="1:1" x14ac:dyDescent="0.2">
      <c r="A7764" s="996" t="str">
        <f>CONCATENATE(Programme!D7765,Programme!E7765,Programme!F7765,Programme!G7765,Programme!H7765,Programme!I7765,Programme!J7765)</f>
        <v>&lt;/ValeurCellule&gt;</v>
      </c>
    </row>
    <row r="7765" spans="1:1" x14ac:dyDescent="0.2">
      <c r="A7765" s="996" t="str">
        <f>CONCATENATE(Programme!D7766,Programme!E7766,Programme!F7766,Programme!G7766,Programme!H7766,Programme!I7766,Programme!J7766)</f>
        <v>&lt;ValeurCellule&gt;</v>
      </c>
    </row>
    <row r="7766" spans="1:1" x14ac:dyDescent="0.2">
      <c r="A7766" s="996" t="str">
        <f>CONCATENATE(Programme!D7767,Programme!E7767,Programme!F7767,Programme!G7767,Programme!H7767,Programme!I7767,Programme!J7767)</f>
        <v>&lt;cellule&gt;</v>
      </c>
    </row>
    <row r="7767" spans="1:1" x14ac:dyDescent="0.2">
      <c r="A7767" s="996" t="str">
        <f>CONCATENATE(Programme!D7768,Programme!E7768,Programme!F7768,Programme!G7768,Programme!H7768,Programme!I7768,Programme!J7768)</f>
        <v>&lt;codeEdi&gt;2078&lt;/codeEdi&gt;</v>
      </c>
    </row>
    <row r="7768" spans="1:1" x14ac:dyDescent="0.2">
      <c r="A7768" s="996" t="str">
        <f>CONCATENATE(Programme!D7769,Programme!E7769,Programme!F7769,Programme!G7769,Programme!H7769,Programme!I7769,Programme!J7769)</f>
        <v>&lt;/cellule&gt;</v>
      </c>
    </row>
    <row r="7769" spans="1:1" x14ac:dyDescent="0.2">
      <c r="A7769" s="996" t="str">
        <f>CONCATENATE(Programme!D7770,Programme!E7770,Programme!F7770,Programme!G7770,Programme!H7770,Programme!I7770,Programme!J7770)</f>
        <v>&lt;valeur&gt;0&lt;/valeur&gt;</v>
      </c>
    </row>
    <row r="7770" spans="1:1" x14ac:dyDescent="0.2">
      <c r="A7770" s="996" t="str">
        <f>CONCATENATE(Programme!D7771,Programme!E7771,Programme!F7771,Programme!G7771,Programme!H7771,Programme!I7771,Programme!J7771)</f>
        <v>&lt;/ValeurCellule&gt;</v>
      </c>
    </row>
    <row r="7771" spans="1:1" x14ac:dyDescent="0.2">
      <c r="A7771" s="996" t="str">
        <f>CONCATENATE(Programme!D7772,Programme!E7772,Programme!F7772,Programme!G7772,Programme!H7772,Programme!I7772,Programme!J7772)</f>
        <v>&lt;ValeurCellule&gt;</v>
      </c>
    </row>
    <row r="7772" spans="1:1" x14ac:dyDescent="0.2">
      <c r="A7772" s="996" t="str">
        <f>CONCATENATE(Programme!D7773,Programme!E7773,Programme!F7773,Programme!G7773,Programme!H7773,Programme!I7773,Programme!J7773)</f>
        <v>&lt;cellule&gt;</v>
      </c>
    </row>
    <row r="7773" spans="1:1" x14ac:dyDescent="0.2">
      <c r="A7773" s="996" t="str">
        <f>CONCATENATE(Programme!D7774,Programme!E7774,Programme!F7774,Programme!G7774,Programme!H7774,Programme!I7774,Programme!J7774)</f>
        <v>&lt;codeEdi&gt;2083&lt;/codeEdi&gt;</v>
      </c>
    </row>
    <row r="7774" spans="1:1" x14ac:dyDescent="0.2">
      <c r="A7774" s="996" t="str">
        <f>CONCATENATE(Programme!D7775,Programme!E7775,Programme!F7775,Programme!G7775,Programme!H7775,Programme!I7775,Programme!J7775)</f>
        <v>&lt;/cellule&gt;</v>
      </c>
    </row>
    <row r="7775" spans="1:1" x14ac:dyDescent="0.2">
      <c r="A7775" s="996" t="str">
        <f>CONCATENATE(Programme!D7776,Programme!E7776,Programme!F7776,Programme!G7776,Programme!H7776,Programme!I7776,Programme!J7776)</f>
        <v>&lt;valeur&gt;0&lt;/valeur&gt;</v>
      </c>
    </row>
    <row r="7776" spans="1:1" x14ac:dyDescent="0.2">
      <c r="A7776" s="996" t="str">
        <f>CONCATENATE(Programme!D7777,Programme!E7777,Programme!F7777,Programme!G7777,Programme!H7777,Programme!I7777,Programme!J7777)</f>
        <v>&lt;/ValeurCellule&gt;</v>
      </c>
    </row>
    <row r="7777" spans="1:1" x14ac:dyDescent="0.2">
      <c r="A7777" s="996" t="str">
        <f>CONCATENATE(Programme!D7778,Programme!E7778,Programme!F7778,Programme!G7778,Programme!H7778,Programme!I7778,Programme!J7778)</f>
        <v>&lt;ValeurCellule&gt;</v>
      </c>
    </row>
    <row r="7778" spans="1:1" x14ac:dyDescent="0.2">
      <c r="A7778" s="996" t="str">
        <f>CONCATENATE(Programme!D7779,Programme!E7779,Programme!F7779,Programme!G7779,Programme!H7779,Programme!I7779,Programme!J7779)</f>
        <v>&lt;cellule&gt;</v>
      </c>
    </row>
    <row r="7779" spans="1:1" x14ac:dyDescent="0.2">
      <c r="A7779" s="996" t="str">
        <f>CONCATENATE(Programme!D7780,Programme!E7780,Programme!F7780,Programme!G7780,Programme!H7780,Programme!I7780,Programme!J7780)</f>
        <v>&lt;codeEdi&gt;2088&lt;/codeEdi&gt;</v>
      </c>
    </row>
    <row r="7780" spans="1:1" x14ac:dyDescent="0.2">
      <c r="A7780" s="996" t="str">
        <f>CONCATENATE(Programme!D7781,Programme!E7781,Programme!F7781,Programme!G7781,Programme!H7781,Programme!I7781,Programme!J7781)</f>
        <v>&lt;/cellule&gt;</v>
      </c>
    </row>
    <row r="7781" spans="1:1" x14ac:dyDescent="0.2">
      <c r="A7781" s="996" t="str">
        <f>CONCATENATE(Programme!D7782,Programme!E7782,Programme!F7782,Programme!G7782,Programme!H7782,Programme!I7782,Programme!J7782)</f>
        <v>&lt;valeur&gt;0&lt;/valeur&gt;</v>
      </c>
    </row>
    <row r="7782" spans="1:1" x14ac:dyDescent="0.2">
      <c r="A7782" s="996" t="str">
        <f>CONCATENATE(Programme!D7783,Programme!E7783,Programme!F7783,Programme!G7783,Programme!H7783,Programme!I7783,Programme!J7783)</f>
        <v>&lt;/ValeurCellule&gt;</v>
      </c>
    </row>
    <row r="7783" spans="1:1" x14ac:dyDescent="0.2">
      <c r="A7783" s="996" t="str">
        <f>CONCATENATE(Programme!D7784,Programme!E7784,Programme!F7784,Programme!G7784,Programme!H7784,Programme!I7784,Programme!J7784)</f>
        <v>&lt;/groupeValeurs&gt;</v>
      </c>
    </row>
    <row r="7784" spans="1:1" x14ac:dyDescent="0.2">
      <c r="A7784" s="996" t="str">
        <f>CONCATENATE(Programme!D7785,Programme!E7785,Programme!F7785,Programme!G7785,Programme!H7785,Programme!I7785,Programme!J7785)</f>
        <v>&lt;extraFieldvaleurs&gt;</v>
      </c>
    </row>
    <row r="7785" spans="1:1" x14ac:dyDescent="0.2">
      <c r="A7785" s="996" t="str">
        <f>CONCATENATE(Programme!D7786,Programme!E7786,Programme!F7786,Programme!G7786,Programme!H7786,Programme!I7786,Programme!J7786)</f>
        <v>&lt;/extraFieldvaleurs&gt;</v>
      </c>
    </row>
    <row r="7786" spans="1:1" x14ac:dyDescent="0.2">
      <c r="A7786" s="996" t="str">
        <f>CONCATENATE(Programme!D7787,Programme!E7787,Programme!F7787,Programme!G7787,Programme!H7787,Programme!I7787,Programme!J7787)</f>
        <v>&lt;/ValeursTableau&gt;</v>
      </c>
    </row>
    <row r="7787" spans="1:1" x14ac:dyDescent="0.2">
      <c r="A7787" s="996" t="str">
        <f>CONCATENATE(Programme!D7788,Programme!E7788,Programme!F7788,Programme!G7788,Programme!H7788,Programme!I7788,Programme!J7788)</f>
        <v>&lt;ValeursTableau&gt;</v>
      </c>
    </row>
    <row r="7788" spans="1:1" x14ac:dyDescent="0.2">
      <c r="A7788" s="996" t="str">
        <f>CONCATENATE(Programme!D7789,Programme!E7789,Programme!F7789,Programme!G7789,Programme!H7789,Programme!I7789,Programme!J7789)</f>
        <v>&lt;tableau&gt;&lt;id&gt;41&lt;/id&gt;&lt;/tableau&gt;</v>
      </c>
    </row>
    <row r="7789" spans="1:1" x14ac:dyDescent="0.2">
      <c r="A7789" s="996" t="str">
        <f>CONCATENATE(Programme!D7790,Programme!E7790,Programme!F7790,Programme!G7790,Programme!H7790,Programme!I7790,Programme!J7790)</f>
        <v>&lt;groupeValeurs&gt;</v>
      </c>
    </row>
    <row r="7790" spans="1:1" x14ac:dyDescent="0.2">
      <c r="A7790" s="996" t="str">
        <f>CONCATENATE(Programme!D7791,Programme!E7791,Programme!F7791,Programme!G7791,Programme!H7791,Programme!I7791,Programme!J7791)</f>
        <v>&lt;ValeurCellule&gt;</v>
      </c>
    </row>
    <row r="7791" spans="1:1" x14ac:dyDescent="0.2">
      <c r="A7791" s="996" t="str">
        <f>CONCATENATE(Programme!D7792,Programme!E7792,Programme!F7792,Programme!G7792,Programme!H7792,Programme!I7792,Programme!J7792)</f>
        <v>&lt;cellule&gt;&lt;codeEdi&gt;2094&lt;/codeEdi&gt;&lt;/cellule&gt;</v>
      </c>
    </row>
    <row r="7792" spans="1:1" x14ac:dyDescent="0.2">
      <c r="A7792" s="996" t="str">
        <f>CONCATENATE(Programme!D7793,Programme!E7793,Programme!F7793,Programme!G7793,Programme!H7793,Programme!I7793,Programme!J7793)</f>
        <v>&lt;valeur&gt;salaheddine karim&lt;/valeur&gt;</v>
      </c>
    </row>
    <row r="7793" spans="1:1" x14ac:dyDescent="0.2">
      <c r="A7793" s="996" t="str">
        <f>CONCATENATE(Programme!D7794,Programme!E7794,Programme!F7794,Programme!G7794,Programme!H7794,Programme!I7794,Programme!J7794)</f>
        <v>&lt;numeroLigne&gt;1&lt;/numeroLigne&gt;</v>
      </c>
    </row>
    <row r="7794" spans="1:1" x14ac:dyDescent="0.2">
      <c r="A7794" s="996" t="str">
        <f>CONCATENATE(Programme!D7795,Programme!E7795,Programme!F7795,Programme!G7795,Programme!H7795,Programme!I7795,Programme!J7795)</f>
        <v>&lt;/ValeurCellule&gt;</v>
      </c>
    </row>
    <row r="7795" spans="1:1" x14ac:dyDescent="0.2">
      <c r="A7795" s="996" t="str">
        <f>CONCATENATE(Programme!D7796,Programme!E7796,Programme!F7796,Programme!G7796,Programme!H7796,Programme!I7796,Programme!J7796)</f>
        <v>&lt;ValeurCellule&gt;</v>
      </c>
    </row>
    <row r="7796" spans="1:1" x14ac:dyDescent="0.2">
      <c r="A7796" s="996" t="str">
        <f>CONCATENATE(Programme!D7797,Programme!E7797,Programme!F7797,Programme!G7797,Programme!H7797,Programme!I7797,Programme!J7797)</f>
        <v>&lt;cellule&gt;&lt;codeEdi&gt;13536&lt;/codeEdi&gt;&lt;/cellule&gt;</v>
      </c>
    </row>
    <row r="7797" spans="1:1" x14ac:dyDescent="0.2">
      <c r="A7797" s="996" t="str">
        <f>CONCATENATE(Programme!D7798,Programme!E7798,Programme!F7798,Programme!G7798,Programme!H7798,Programme!I7798,Programme!J7798)</f>
        <v>&lt;valeur&gt;&lt;/valeur&gt;</v>
      </c>
    </row>
    <row r="7798" spans="1:1" x14ac:dyDescent="0.2">
      <c r="A7798" s="996" t="str">
        <f>CONCATENATE(Programme!D7799,Programme!E7799,Programme!F7799,Programme!G7799,Programme!H7799,Programme!I7799,Programme!J7799)</f>
        <v>&lt;numeroLigne&gt;1&lt;/numeroLigne&gt;</v>
      </c>
    </row>
    <row r="7799" spans="1:1" x14ac:dyDescent="0.2">
      <c r="A7799" s="996" t="str">
        <f>CONCATENATE(Programme!D7800,Programme!E7800,Programme!F7800,Programme!G7800,Programme!H7800,Programme!I7800,Programme!J7800)</f>
        <v>&lt;/ValeurCellule&gt;</v>
      </c>
    </row>
    <row r="7800" spans="1:1" x14ac:dyDescent="0.2">
      <c r="A7800" s="996" t="str">
        <f>CONCATENATE(Programme!D7801,Programme!E7801,Programme!F7801,Programme!G7801,Programme!H7801,Programme!I7801,Programme!J7801)</f>
        <v>&lt;ValeurCellule&gt;</v>
      </c>
    </row>
    <row r="7801" spans="1:1" x14ac:dyDescent="0.2">
      <c r="A7801" s="996" t="str">
        <f>CONCATENATE(Programme!D7802,Programme!E7802,Programme!F7802,Programme!G7802,Programme!H7802,Programme!I7802,Programme!J7802)</f>
        <v>&lt;cellule&gt;&lt;codeEdi&gt;13537&lt;/codeEdi&gt;&lt;/cellule&gt;</v>
      </c>
    </row>
    <row r="7802" spans="1:1" x14ac:dyDescent="0.2">
      <c r="A7802" s="996" t="str">
        <f>CONCATENATE(Programme!D7803,Programme!E7803,Programme!F7803,Programme!G7803,Programme!H7803,Programme!I7803,Programme!J7803)</f>
        <v>&lt;valeur&gt;BE742397&lt;/valeur&gt;</v>
      </c>
    </row>
    <row r="7803" spans="1:1" x14ac:dyDescent="0.2">
      <c r="A7803" s="996" t="str">
        <f>CONCATENATE(Programme!D7804,Programme!E7804,Programme!F7804,Programme!G7804,Programme!H7804,Programme!I7804,Programme!J7804)</f>
        <v>&lt;numeroLigne&gt;1&lt;/numeroLigne&gt;</v>
      </c>
    </row>
    <row r="7804" spans="1:1" x14ac:dyDescent="0.2">
      <c r="A7804" s="996" t="str">
        <f>CONCATENATE(Programme!D7805,Programme!E7805,Programme!F7805,Programme!G7805,Programme!H7805,Programme!I7805,Programme!J7805)</f>
        <v>&lt;/ValeurCellule&gt;</v>
      </c>
    </row>
    <row r="7805" spans="1:1" x14ac:dyDescent="0.2">
      <c r="A7805" s="996" t="str">
        <f>CONCATENATE(Programme!D7806,Programme!E7806,Programme!F7806,Programme!G7806,Programme!H7806,Programme!I7806,Programme!J7806)</f>
        <v>&lt;ValeurCellule&gt;</v>
      </c>
    </row>
    <row r="7806" spans="1:1" x14ac:dyDescent="0.2">
      <c r="A7806" s="996" t="str">
        <f>CONCATENATE(Programme!D7807,Programme!E7807,Programme!F7807,Programme!G7807,Programme!H7807,Programme!I7807,Programme!J7807)</f>
        <v>&lt;cellule&gt;&lt;codeEdi&gt;2095&lt;/codeEdi&gt;&lt;/cellule&gt;</v>
      </c>
    </row>
    <row r="7807" spans="1:1" x14ac:dyDescent="0.2">
      <c r="A7807" s="996" t="str">
        <f>CONCATENATE(Programme!D7808,Programme!E7808,Programme!F7808,Programme!G7808,Programme!H7808,Programme!I7808,Programme!J7808)</f>
        <v>&lt;valeur&gt;CASABLANCA &lt;/valeur&gt;</v>
      </c>
    </row>
    <row r="7808" spans="1:1" x14ac:dyDescent="0.2">
      <c r="A7808" s="996" t="str">
        <f>CONCATENATE(Programme!D7809,Programme!E7809,Programme!F7809,Programme!G7809,Programme!H7809,Programme!I7809,Programme!J7809)</f>
        <v>&lt;numeroLigne&gt;1&lt;/numeroLigne&gt;</v>
      </c>
    </row>
    <row r="7809" spans="1:1" x14ac:dyDescent="0.2">
      <c r="A7809" s="996" t="str">
        <f>CONCATENATE(Programme!D7810,Programme!E7810,Programme!F7810,Programme!G7810,Programme!H7810,Programme!I7810,Programme!J7810)</f>
        <v>&lt;/ValeurCellule&gt;</v>
      </c>
    </row>
    <row r="7810" spans="1:1" x14ac:dyDescent="0.2">
      <c r="A7810" s="996" t="str">
        <f>CONCATENATE(Programme!D7811,Programme!E7811,Programme!F7811,Programme!G7811,Programme!H7811,Programme!I7811,Programme!J7811)</f>
        <v>&lt;ValeurCellule&gt;</v>
      </c>
    </row>
    <row r="7811" spans="1:1" x14ac:dyDescent="0.2">
      <c r="A7811" s="996" t="str">
        <f>CONCATENATE(Programme!D7812,Programme!E7812,Programme!F7812,Programme!G7812,Programme!H7812,Programme!I7812,Programme!J7812)</f>
        <v>&lt;cellule&gt;&lt;codeEdi&gt;2096&lt;/codeEdi&gt;&lt;/cellule&gt;</v>
      </c>
    </row>
    <row r="7812" spans="1:1" x14ac:dyDescent="0.2">
      <c r="A7812" s="996" t="str">
        <f>CONCATENATE(Programme!D7813,Programme!E7813,Programme!F7813,Programme!G7813,Programme!H7813,Programme!I7813,Programme!J7813)</f>
        <v>&lt;valeur&gt;1000&lt;/valeur&gt;</v>
      </c>
    </row>
    <row r="7813" spans="1:1" x14ac:dyDescent="0.2">
      <c r="A7813" s="996" t="str">
        <f>CONCATENATE(Programme!D7814,Programme!E7814,Programme!F7814,Programme!G7814,Programme!H7814,Programme!I7814,Programme!J7814)</f>
        <v>&lt;numeroLigne&gt;1&lt;/numeroLigne&gt;</v>
      </c>
    </row>
    <row r="7814" spans="1:1" x14ac:dyDescent="0.2">
      <c r="A7814" s="996" t="str">
        <f>CONCATENATE(Programme!D7815,Programme!E7815,Programme!F7815,Programme!G7815,Programme!H7815,Programme!I7815,Programme!J7815)</f>
        <v>&lt;/ValeurCellule&gt;</v>
      </c>
    </row>
    <row r="7815" spans="1:1" x14ac:dyDescent="0.2">
      <c r="A7815" s="996" t="str">
        <f>CONCATENATE(Programme!D7816,Programme!E7816,Programme!F7816,Programme!G7816,Programme!H7816,Programme!I7816,Programme!J7816)</f>
        <v>&lt;ValeurCellule&gt;</v>
      </c>
    </row>
    <row r="7816" spans="1:1" x14ac:dyDescent="0.2">
      <c r="A7816" s="996" t="str">
        <f>CONCATENATE(Programme!D7817,Programme!E7817,Programme!F7817,Programme!G7817,Programme!H7817,Programme!I7817,Programme!J7817)</f>
        <v>&lt;cellule&gt;&lt;codeEdi&gt;2097&lt;/codeEdi&gt;&lt;/cellule&gt;</v>
      </c>
    </row>
    <row r="7817" spans="1:1" x14ac:dyDescent="0.2">
      <c r="A7817" s="996" t="str">
        <f>CONCATENATE(Programme!D7818,Programme!E7818,Programme!F7818,Programme!G7818,Programme!H7818,Programme!I7818,Programme!J7818)</f>
        <v>&lt;valeur&gt;1000&lt;/valeur&gt;</v>
      </c>
    </row>
    <row r="7818" spans="1:1" x14ac:dyDescent="0.2">
      <c r="A7818" s="996" t="str">
        <f>CONCATENATE(Programme!D7819,Programme!E7819,Programme!F7819,Programme!G7819,Programme!H7819,Programme!I7819,Programme!J7819)</f>
        <v>&lt;numeroLigne&gt;1&lt;/numeroLigne&gt;</v>
      </c>
    </row>
    <row r="7819" spans="1:1" x14ac:dyDescent="0.2">
      <c r="A7819" s="996" t="str">
        <f>CONCATENATE(Programme!D7820,Programme!E7820,Programme!F7820,Programme!G7820,Programme!H7820,Programme!I7820,Programme!J7820)</f>
        <v>&lt;/ValeurCellule&gt;</v>
      </c>
    </row>
    <row r="7820" spans="1:1" x14ac:dyDescent="0.2">
      <c r="A7820" s="996" t="str">
        <f>CONCATENATE(Programme!D7821,Programme!E7821,Programme!F7821,Programme!G7821,Programme!H7821,Programme!I7821,Programme!J7821)</f>
        <v>&lt;ValeurCellule&gt;</v>
      </c>
    </row>
    <row r="7821" spans="1:1" x14ac:dyDescent="0.2">
      <c r="A7821" s="996" t="str">
        <f>CONCATENATE(Programme!D7822,Programme!E7822,Programme!F7822,Programme!G7822,Programme!H7822,Programme!I7822,Programme!J7822)</f>
        <v>&lt;cellule&gt;&lt;codeEdi&gt;2098&lt;/codeEdi&gt;&lt;/cellule&gt;</v>
      </c>
    </row>
    <row r="7822" spans="1:1" x14ac:dyDescent="0.2">
      <c r="A7822" s="996" t="str">
        <f>CONCATENATE(Programme!D7823,Programme!E7823,Programme!F7823,Programme!G7823,Programme!H7823,Programme!I7823,Programme!J7823)</f>
        <v>&lt;valeur&gt;100&lt;/valeur&gt;</v>
      </c>
    </row>
    <row r="7823" spans="1:1" x14ac:dyDescent="0.2">
      <c r="A7823" s="996" t="str">
        <f>CONCATENATE(Programme!D7824,Programme!E7824,Programme!F7824,Programme!G7824,Programme!H7824,Programme!I7824,Programme!J7824)</f>
        <v>&lt;numeroLigne&gt;1&lt;/numeroLigne&gt;</v>
      </c>
    </row>
    <row r="7824" spans="1:1" x14ac:dyDescent="0.2">
      <c r="A7824" s="996" t="str">
        <f>CONCATENATE(Programme!D7825,Programme!E7825,Programme!F7825,Programme!G7825,Programme!H7825,Programme!I7825,Programme!J7825)</f>
        <v>&lt;/ValeurCellule&gt;</v>
      </c>
    </row>
    <row r="7825" spans="1:1" x14ac:dyDescent="0.2">
      <c r="A7825" s="996" t="str">
        <f>CONCATENATE(Programme!D7826,Programme!E7826,Programme!F7826,Programme!G7826,Programme!H7826,Programme!I7826,Programme!J7826)</f>
        <v>&lt;ValeurCellule&gt;</v>
      </c>
    </row>
    <row r="7826" spans="1:1" x14ac:dyDescent="0.2">
      <c r="A7826" s="996" t="str">
        <f>CONCATENATE(Programme!D7827,Programme!E7827,Programme!F7827,Programme!G7827,Programme!H7827,Programme!I7827,Programme!J7827)</f>
        <v>&lt;cellule&gt;&lt;codeEdi&gt;2099&lt;/codeEdi&gt;&lt;/cellule&gt;</v>
      </c>
    </row>
    <row r="7827" spans="1:1" x14ac:dyDescent="0.2">
      <c r="A7827" s="996" t="str">
        <f>CONCATENATE(Programme!D7828,Programme!E7828,Programme!F7828,Programme!G7828,Programme!H7828,Programme!I7828,Programme!J7828)</f>
        <v>&lt;valeur&gt;100000&lt;/valeur&gt;</v>
      </c>
    </row>
    <row r="7828" spans="1:1" x14ac:dyDescent="0.2">
      <c r="A7828" s="996" t="str">
        <f>CONCATENATE(Programme!D7829,Programme!E7829,Programme!F7829,Programme!G7829,Programme!H7829,Programme!I7829,Programme!J7829)</f>
        <v>&lt;numeroLigne&gt;1&lt;/numeroLigne&gt;</v>
      </c>
    </row>
    <row r="7829" spans="1:1" x14ac:dyDescent="0.2">
      <c r="A7829" s="996" t="str">
        <f>CONCATENATE(Programme!D7830,Programme!E7830,Programme!F7830,Programme!G7830,Programme!H7830,Programme!I7830,Programme!J7830)</f>
        <v>&lt;/ValeurCellule&gt;</v>
      </c>
    </row>
    <row r="7830" spans="1:1" x14ac:dyDescent="0.2">
      <c r="A7830" s="996" t="str">
        <f>CONCATENATE(Programme!D7831,Programme!E7831,Programme!F7831,Programme!G7831,Programme!H7831,Programme!I7831,Programme!J7831)</f>
        <v>&lt;ValeurCellule&gt;</v>
      </c>
    </row>
    <row r="7831" spans="1:1" x14ac:dyDescent="0.2">
      <c r="A7831" s="996" t="str">
        <f>CONCATENATE(Programme!D7832,Programme!E7832,Programme!F7832,Programme!G7832,Programme!H7832,Programme!I7832,Programme!J7832)</f>
        <v>&lt;cellule&gt;&lt;codeEdi&gt;2100&lt;/codeEdi&gt;&lt;/cellule&gt;</v>
      </c>
    </row>
    <row r="7832" spans="1:1" x14ac:dyDescent="0.2">
      <c r="A7832" s="996" t="str">
        <f>CONCATENATE(Programme!D7833,Programme!E7833,Programme!F7833,Programme!G7833,Programme!H7833,Programme!I7833,Programme!J7833)</f>
        <v>&lt;valeur&gt;100000&lt;/valeur&gt;</v>
      </c>
    </row>
    <row r="7833" spans="1:1" x14ac:dyDescent="0.2">
      <c r="A7833" s="996" t="str">
        <f>CONCATENATE(Programme!D7834,Programme!E7834,Programme!F7834,Programme!G7834,Programme!H7834,Programme!I7834,Programme!J7834)</f>
        <v>&lt;numeroLigne&gt;1&lt;/numeroLigne&gt;</v>
      </c>
    </row>
    <row r="7834" spans="1:1" x14ac:dyDescent="0.2">
      <c r="A7834" s="996" t="str">
        <f>CONCATENATE(Programme!D7835,Programme!E7835,Programme!F7835,Programme!G7835,Programme!H7835,Programme!I7835,Programme!J7835)</f>
        <v>&lt;/ValeurCellule&gt;</v>
      </c>
    </row>
    <row r="7835" spans="1:1" x14ac:dyDescent="0.2">
      <c r="A7835" s="996" t="str">
        <f>CONCATENATE(Programme!D7836,Programme!E7836,Programme!F7836,Programme!G7836,Programme!H7836,Programme!I7836,Programme!J7836)</f>
        <v>&lt;ValeurCellule&gt;</v>
      </c>
    </row>
    <row r="7836" spans="1:1" x14ac:dyDescent="0.2">
      <c r="A7836" s="996" t="str">
        <f>CONCATENATE(Programme!D7837,Programme!E7837,Programme!F7837,Programme!G7837,Programme!H7837,Programme!I7837,Programme!J7837)</f>
        <v>&lt;cellule&gt;&lt;codeEdi&gt;2101&lt;/codeEdi&gt;&lt;/cellule&gt;</v>
      </c>
    </row>
    <row r="7837" spans="1:1" x14ac:dyDescent="0.2">
      <c r="A7837" s="996" t="str">
        <f>CONCATENATE(Programme!D7838,Programme!E7838,Programme!F7838,Programme!G7838,Programme!H7838,Programme!I7838,Programme!J7838)</f>
        <v>&lt;valeur&gt;100000&lt;/valeur&gt;</v>
      </c>
    </row>
    <row r="7838" spans="1:1" x14ac:dyDescent="0.2">
      <c r="A7838" s="996" t="str">
        <f>CONCATENATE(Programme!D7839,Programme!E7839,Programme!F7839,Programme!G7839,Programme!H7839,Programme!I7839,Programme!J7839)</f>
        <v>&lt;numeroLigne&gt;1&lt;/numeroLigne&gt;</v>
      </c>
    </row>
    <row r="7839" spans="1:1" x14ac:dyDescent="0.2">
      <c r="A7839" s="996" t="str">
        <f>CONCATENATE(Programme!D7840,Programme!E7840,Programme!F7840,Programme!G7840,Programme!H7840,Programme!I7840,Programme!J7840)</f>
        <v>&lt;/ValeurCellule&gt;</v>
      </c>
    </row>
    <row r="7840" spans="1:1" x14ac:dyDescent="0.2">
      <c r="A7840" s="996" t="str">
        <f>CONCATENATE(Programme!D7841,Programme!E7841,Programme!F7841,Programme!G7841,Programme!H7841,Programme!I7841,Programme!J7841)</f>
        <v>&lt;ValeurCellule&gt;</v>
      </c>
    </row>
    <row r="7841" spans="1:1" x14ac:dyDescent="0.2">
      <c r="A7841" s="996" t="str">
        <f>CONCATENATE(Programme!D7842,Programme!E7842,Programme!F7842,Programme!G7842,Programme!H7842,Programme!I7842,Programme!J7842)</f>
        <v>&lt;cellule&gt;&lt;codeEdi&gt;2094&lt;/codeEdi&gt;&lt;/cellule&gt;</v>
      </c>
    </row>
    <row r="7842" spans="1:1" x14ac:dyDescent="0.2">
      <c r="A7842" s="996" t="str">
        <f>CONCATENATE(Programme!D7843,Programme!E7843,Programme!F7843,Programme!G7843,Programme!H7843,Programme!I7843,Programme!J7843)</f>
        <v>&lt;valeur&gt;&lt;/valeur&gt;</v>
      </c>
    </row>
    <row r="7843" spans="1:1" x14ac:dyDescent="0.2">
      <c r="A7843" s="996" t="str">
        <f>CONCATENATE(Programme!D7844,Programme!E7844,Programme!F7844,Programme!G7844,Programme!H7844,Programme!I7844,Programme!J7844)</f>
        <v>&lt;numeroLigne&gt;2&lt;/numeroLigne&gt;</v>
      </c>
    </row>
    <row r="7844" spans="1:1" x14ac:dyDescent="0.2">
      <c r="A7844" s="996" t="str">
        <f>CONCATENATE(Programme!D7845,Programme!E7845,Programme!F7845,Programme!G7845,Programme!H7845,Programme!I7845,Programme!J7845)</f>
        <v>&lt;/ValeurCellule&gt;</v>
      </c>
    </row>
    <row r="7845" spans="1:1" x14ac:dyDescent="0.2">
      <c r="A7845" s="996" t="str">
        <f>CONCATENATE(Programme!D7846,Programme!E7846,Programme!F7846,Programme!G7846,Programme!H7846,Programme!I7846,Programme!J7846)</f>
        <v>&lt;ValeurCellule&gt;</v>
      </c>
    </row>
    <row r="7846" spans="1:1" x14ac:dyDescent="0.2">
      <c r="A7846" s="996" t="str">
        <f>CONCATENATE(Programme!D7847,Programme!E7847,Programme!F7847,Programme!G7847,Programme!H7847,Programme!I7847,Programme!J7847)</f>
        <v>&lt;cellule&gt;&lt;codeEdi&gt;13536&lt;/codeEdi&gt;&lt;/cellule&gt;</v>
      </c>
    </row>
    <row r="7847" spans="1:1" x14ac:dyDescent="0.2">
      <c r="A7847" s="996" t="str">
        <f>CONCATENATE(Programme!D7848,Programme!E7848,Programme!F7848,Programme!G7848,Programme!H7848,Programme!I7848,Programme!J7848)</f>
        <v>&lt;valeur&gt;&lt;/valeur&gt;</v>
      </c>
    </row>
    <row r="7848" spans="1:1" x14ac:dyDescent="0.2">
      <c r="A7848" s="996" t="str">
        <f>CONCATENATE(Programme!D7849,Programme!E7849,Programme!F7849,Programme!G7849,Programme!H7849,Programme!I7849,Programme!J7849)</f>
        <v>&lt;numeroLigne&gt;2&lt;/numeroLigne&gt;</v>
      </c>
    </row>
    <row r="7849" spans="1:1" x14ac:dyDescent="0.2">
      <c r="A7849" s="996" t="str">
        <f>CONCATENATE(Programme!D7850,Programme!E7850,Programme!F7850,Programme!G7850,Programme!H7850,Programme!I7850,Programme!J7850)</f>
        <v>&lt;/ValeurCellule&gt;</v>
      </c>
    </row>
    <row r="7850" spans="1:1" x14ac:dyDescent="0.2">
      <c r="A7850" s="996" t="str">
        <f>CONCATENATE(Programme!D7851,Programme!E7851,Programme!F7851,Programme!G7851,Programme!H7851,Programme!I7851,Programme!J7851)</f>
        <v>&lt;ValeurCellule&gt;</v>
      </c>
    </row>
    <row r="7851" spans="1:1" x14ac:dyDescent="0.2">
      <c r="A7851" s="996" t="str">
        <f>CONCATENATE(Programme!D7852,Programme!E7852,Programme!F7852,Programme!G7852,Programme!H7852,Programme!I7852,Programme!J7852)</f>
        <v>&lt;cellule&gt;&lt;codeEdi&gt;13537&lt;/codeEdi&gt;&lt;/cellule&gt;</v>
      </c>
    </row>
    <row r="7852" spans="1:1" x14ac:dyDescent="0.2">
      <c r="A7852" s="996" t="str">
        <f>CONCATENATE(Programme!D7853,Programme!E7853,Programme!F7853,Programme!G7853,Programme!H7853,Programme!I7853,Programme!J7853)</f>
        <v>&lt;valeur&gt;&lt;/valeur&gt;</v>
      </c>
    </row>
    <row r="7853" spans="1:1" x14ac:dyDescent="0.2">
      <c r="A7853" s="996" t="str">
        <f>CONCATENATE(Programme!D7854,Programme!E7854,Programme!F7854,Programme!G7854,Programme!H7854,Programme!I7854,Programme!J7854)</f>
        <v>&lt;numeroLigne&gt;2&lt;/numeroLigne&gt;</v>
      </c>
    </row>
    <row r="7854" spans="1:1" x14ac:dyDescent="0.2">
      <c r="A7854" s="996" t="str">
        <f>CONCATENATE(Programme!D7855,Programme!E7855,Programme!F7855,Programme!G7855,Programme!H7855,Programme!I7855,Programme!J7855)</f>
        <v>&lt;/ValeurCellule&gt;</v>
      </c>
    </row>
    <row r="7855" spans="1:1" x14ac:dyDescent="0.2">
      <c r="A7855" s="996" t="str">
        <f>CONCATENATE(Programme!D7856,Programme!E7856,Programme!F7856,Programme!G7856,Programme!H7856,Programme!I7856,Programme!J7856)</f>
        <v>&lt;ValeurCellule&gt;</v>
      </c>
    </row>
    <row r="7856" spans="1:1" x14ac:dyDescent="0.2">
      <c r="A7856" s="996" t="str">
        <f>CONCATENATE(Programme!D7857,Programme!E7857,Programme!F7857,Programme!G7857,Programme!H7857,Programme!I7857,Programme!J7857)</f>
        <v>&lt;cellule&gt;&lt;codeEdi&gt;2095&lt;/codeEdi&gt;&lt;/cellule&gt;</v>
      </c>
    </row>
    <row r="7857" spans="1:1" x14ac:dyDescent="0.2">
      <c r="A7857" s="996" t="str">
        <f>CONCATENATE(Programme!D7858,Programme!E7858,Programme!F7858,Programme!G7858,Programme!H7858,Programme!I7858,Programme!J7858)</f>
        <v>&lt;valeur&gt;&lt;/valeur&gt;</v>
      </c>
    </row>
    <row r="7858" spans="1:1" x14ac:dyDescent="0.2">
      <c r="A7858" s="996" t="str">
        <f>CONCATENATE(Programme!D7859,Programme!E7859,Programme!F7859,Programme!G7859,Programme!H7859,Programme!I7859,Programme!J7859)</f>
        <v>&lt;numeroLigne&gt;2&lt;/numeroLigne&gt;</v>
      </c>
    </row>
    <row r="7859" spans="1:1" x14ac:dyDescent="0.2">
      <c r="A7859" s="996" t="str">
        <f>CONCATENATE(Programme!D7860,Programme!E7860,Programme!F7860,Programme!G7860,Programme!H7860,Programme!I7860,Programme!J7860)</f>
        <v>&lt;/ValeurCellule&gt;</v>
      </c>
    </row>
    <row r="7860" spans="1:1" x14ac:dyDescent="0.2">
      <c r="A7860" s="996" t="str">
        <f>CONCATENATE(Programme!D7861,Programme!E7861,Programme!F7861,Programme!G7861,Programme!H7861,Programme!I7861,Programme!J7861)</f>
        <v>&lt;ValeurCellule&gt;</v>
      </c>
    </row>
    <row r="7861" spans="1:1" x14ac:dyDescent="0.2">
      <c r="A7861" s="996" t="str">
        <f>CONCATENATE(Programme!D7862,Programme!E7862,Programme!F7862,Programme!G7862,Programme!H7862,Programme!I7862,Programme!J7862)</f>
        <v>&lt;cellule&gt;&lt;codeEdi&gt;2096&lt;/codeEdi&gt;&lt;/cellule&gt;</v>
      </c>
    </row>
    <row r="7862" spans="1:1" x14ac:dyDescent="0.2">
      <c r="A7862" s="996" t="str">
        <f>CONCATENATE(Programme!D7863,Programme!E7863,Programme!F7863,Programme!G7863,Programme!H7863,Programme!I7863,Programme!J7863)</f>
        <v>&lt;valeur&gt;&lt;/valeur&gt;</v>
      </c>
    </row>
    <row r="7863" spans="1:1" x14ac:dyDescent="0.2">
      <c r="A7863" s="996" t="str">
        <f>CONCATENATE(Programme!D7864,Programme!E7864,Programme!F7864,Programme!G7864,Programme!H7864,Programme!I7864,Programme!J7864)</f>
        <v>&lt;numeroLigne&gt;2&lt;/numeroLigne&gt;</v>
      </c>
    </row>
    <row r="7864" spans="1:1" x14ac:dyDescent="0.2">
      <c r="A7864" s="996" t="str">
        <f>CONCATENATE(Programme!D7865,Programme!E7865,Programme!F7865,Programme!G7865,Programme!H7865,Programme!I7865,Programme!J7865)</f>
        <v>&lt;/ValeurCellule&gt;</v>
      </c>
    </row>
    <row r="7865" spans="1:1" x14ac:dyDescent="0.2">
      <c r="A7865" s="996" t="str">
        <f>CONCATENATE(Programme!D7866,Programme!E7866,Programme!F7866,Programme!G7866,Programme!H7866,Programme!I7866,Programme!J7866)</f>
        <v>&lt;ValeurCellule&gt;</v>
      </c>
    </row>
    <row r="7866" spans="1:1" x14ac:dyDescent="0.2">
      <c r="A7866" s="996" t="str">
        <f>CONCATENATE(Programme!D7867,Programme!E7867,Programme!F7867,Programme!G7867,Programme!H7867,Programme!I7867,Programme!J7867)</f>
        <v>&lt;cellule&gt;&lt;codeEdi&gt;2097&lt;/codeEdi&gt;&lt;/cellule&gt;</v>
      </c>
    </row>
    <row r="7867" spans="1:1" x14ac:dyDescent="0.2">
      <c r="A7867" s="996" t="str">
        <f>CONCATENATE(Programme!D7868,Programme!E7868,Programme!F7868,Programme!G7868,Programme!H7868,Programme!I7868,Programme!J7868)</f>
        <v>&lt;valeur&gt;&lt;/valeur&gt;</v>
      </c>
    </row>
    <row r="7868" spans="1:1" x14ac:dyDescent="0.2">
      <c r="A7868" s="996" t="str">
        <f>CONCATENATE(Programme!D7869,Programme!E7869,Programme!F7869,Programme!G7869,Programme!H7869,Programme!I7869,Programme!J7869)</f>
        <v>&lt;numeroLigne&gt;2&lt;/numeroLigne&gt;</v>
      </c>
    </row>
    <row r="7869" spans="1:1" x14ac:dyDescent="0.2">
      <c r="A7869" s="996" t="str">
        <f>CONCATENATE(Programme!D7870,Programme!E7870,Programme!F7870,Programme!G7870,Programme!H7870,Programme!I7870,Programme!J7870)</f>
        <v>&lt;/ValeurCellule&gt;</v>
      </c>
    </row>
    <row r="7870" spans="1:1" x14ac:dyDescent="0.2">
      <c r="A7870" s="996" t="str">
        <f>CONCATENATE(Programme!D7871,Programme!E7871,Programme!F7871,Programme!G7871,Programme!H7871,Programme!I7871,Programme!J7871)</f>
        <v>&lt;ValeurCellule&gt;</v>
      </c>
    </row>
    <row r="7871" spans="1:1" x14ac:dyDescent="0.2">
      <c r="A7871" s="996" t="str">
        <f>CONCATENATE(Programme!D7872,Programme!E7872,Programme!F7872,Programme!G7872,Programme!H7872,Programme!I7872,Programme!J7872)</f>
        <v>&lt;cellule&gt;&lt;codeEdi&gt;2098&lt;/codeEdi&gt;&lt;/cellule&gt;</v>
      </c>
    </row>
    <row r="7872" spans="1:1" x14ac:dyDescent="0.2">
      <c r="A7872" s="996" t="str">
        <f>CONCATENATE(Programme!D7873,Programme!E7873,Programme!F7873,Programme!G7873,Programme!H7873,Programme!I7873,Programme!J7873)</f>
        <v>&lt;valeur&gt;&lt;/valeur&gt;</v>
      </c>
    </row>
    <row r="7873" spans="1:1" x14ac:dyDescent="0.2">
      <c r="A7873" s="996" t="str">
        <f>CONCATENATE(Programme!D7874,Programme!E7874,Programme!F7874,Programme!G7874,Programme!H7874,Programme!I7874,Programme!J7874)</f>
        <v>&lt;numeroLigne&gt;2&lt;/numeroLigne&gt;</v>
      </c>
    </row>
    <row r="7874" spans="1:1" x14ac:dyDescent="0.2">
      <c r="A7874" s="996" t="str">
        <f>CONCATENATE(Programme!D7875,Programme!E7875,Programme!F7875,Programme!G7875,Programme!H7875,Programme!I7875,Programme!J7875)</f>
        <v>&lt;/ValeurCellule&gt;</v>
      </c>
    </row>
    <row r="7875" spans="1:1" x14ac:dyDescent="0.2">
      <c r="A7875" s="996" t="str">
        <f>CONCATENATE(Programme!D7876,Programme!E7876,Programme!F7876,Programme!G7876,Programme!H7876,Programme!I7876,Programme!J7876)</f>
        <v>&lt;ValeurCellule&gt;</v>
      </c>
    </row>
    <row r="7876" spans="1:1" x14ac:dyDescent="0.2">
      <c r="A7876" s="996" t="str">
        <f>CONCATENATE(Programme!D7877,Programme!E7877,Programme!F7877,Programme!G7877,Programme!H7877,Programme!I7877,Programme!J7877)</f>
        <v>&lt;cellule&gt;&lt;codeEdi&gt;2099&lt;/codeEdi&gt;&lt;/cellule&gt;</v>
      </c>
    </row>
    <row r="7877" spans="1:1" x14ac:dyDescent="0.2">
      <c r="A7877" s="996" t="str">
        <f>CONCATENATE(Programme!D7878,Programme!E7878,Programme!F7878,Programme!G7878,Programme!H7878,Programme!I7878,Programme!J7878)</f>
        <v>&lt;valeur&gt;&lt;/valeur&gt;</v>
      </c>
    </row>
    <row r="7878" spans="1:1" x14ac:dyDescent="0.2">
      <c r="A7878" s="996" t="str">
        <f>CONCATENATE(Programme!D7879,Programme!E7879,Programme!F7879,Programme!G7879,Programme!H7879,Programme!I7879,Programme!J7879)</f>
        <v>&lt;numeroLigne&gt;2&lt;/numeroLigne&gt;</v>
      </c>
    </row>
    <row r="7879" spans="1:1" x14ac:dyDescent="0.2">
      <c r="A7879" s="996" t="str">
        <f>CONCATENATE(Programme!D7880,Programme!E7880,Programme!F7880,Programme!G7880,Programme!H7880,Programme!I7880,Programme!J7880)</f>
        <v>&lt;/ValeurCellule&gt;</v>
      </c>
    </row>
    <row r="7880" spans="1:1" x14ac:dyDescent="0.2">
      <c r="A7880" s="996" t="str">
        <f>CONCATENATE(Programme!D7881,Programme!E7881,Programme!F7881,Programme!G7881,Programme!H7881,Programme!I7881,Programme!J7881)</f>
        <v>&lt;ValeurCellule&gt;</v>
      </c>
    </row>
    <row r="7881" spans="1:1" x14ac:dyDescent="0.2">
      <c r="A7881" s="996" t="str">
        <f>CONCATENATE(Programme!D7882,Programme!E7882,Programme!F7882,Programme!G7882,Programme!H7882,Programme!I7882,Programme!J7882)</f>
        <v>&lt;cellule&gt;&lt;codeEdi&gt;2100&lt;/codeEdi&gt;&lt;/cellule&gt;</v>
      </c>
    </row>
    <row r="7882" spans="1:1" x14ac:dyDescent="0.2">
      <c r="A7882" s="996" t="str">
        <f>CONCATENATE(Programme!D7883,Programme!E7883,Programme!F7883,Programme!G7883,Programme!H7883,Programme!I7883,Programme!J7883)</f>
        <v>&lt;valeur&gt;0&lt;/valeur&gt;</v>
      </c>
    </row>
    <row r="7883" spans="1:1" x14ac:dyDescent="0.2">
      <c r="A7883" s="996" t="str">
        <f>CONCATENATE(Programme!D7884,Programme!E7884,Programme!F7884,Programme!G7884,Programme!H7884,Programme!I7884,Programme!J7884)</f>
        <v>&lt;numeroLigne&gt;2&lt;/numeroLigne&gt;</v>
      </c>
    </row>
    <row r="7884" spans="1:1" x14ac:dyDescent="0.2">
      <c r="A7884" s="996" t="str">
        <f>CONCATENATE(Programme!D7885,Programme!E7885,Programme!F7885,Programme!G7885,Programme!H7885,Programme!I7885,Programme!J7885)</f>
        <v>&lt;/ValeurCellule&gt;</v>
      </c>
    </row>
    <row r="7885" spans="1:1" x14ac:dyDescent="0.2">
      <c r="A7885" s="996" t="str">
        <f>CONCATENATE(Programme!D7886,Programme!E7886,Programme!F7886,Programme!G7886,Programme!H7886,Programme!I7886,Programme!J7886)</f>
        <v>&lt;ValeurCellule&gt;</v>
      </c>
    </row>
    <row r="7886" spans="1:1" x14ac:dyDescent="0.2">
      <c r="A7886" s="996" t="str">
        <f>CONCATENATE(Programme!D7887,Programme!E7887,Programme!F7887,Programme!G7887,Programme!H7887,Programme!I7887,Programme!J7887)</f>
        <v>&lt;cellule&gt;&lt;codeEdi&gt;2101&lt;/codeEdi&gt;&lt;/cellule&gt;</v>
      </c>
    </row>
    <row r="7887" spans="1:1" x14ac:dyDescent="0.2">
      <c r="A7887" s="996" t="str">
        <f>CONCATENATE(Programme!D7888,Programme!E7888,Programme!F7888,Programme!G7888,Programme!H7888,Programme!I7888,Programme!J7888)</f>
        <v>&lt;valeur&gt;0&lt;/valeur&gt;</v>
      </c>
    </row>
    <row r="7888" spans="1:1" x14ac:dyDescent="0.2">
      <c r="A7888" s="996" t="str">
        <f>CONCATENATE(Programme!D7889,Programme!E7889,Programme!F7889,Programme!G7889,Programme!H7889,Programme!I7889,Programme!J7889)</f>
        <v>&lt;numeroLigne&gt;2&lt;/numeroLigne&gt;</v>
      </c>
    </row>
    <row r="7889" spans="1:1" x14ac:dyDescent="0.2">
      <c r="A7889" s="996" t="str">
        <f>CONCATENATE(Programme!D7890,Programme!E7890,Programme!F7890,Programme!G7890,Programme!H7890,Programme!I7890,Programme!J7890)</f>
        <v>&lt;/ValeurCellule&gt;</v>
      </c>
    </row>
    <row r="7890" spans="1:1" x14ac:dyDescent="0.2">
      <c r="A7890" s="996" t="str">
        <f>CONCATENATE(Programme!D7891,Programme!E7891,Programme!F7891,Programme!G7891,Programme!H7891,Programme!I7891,Programme!J7891)</f>
        <v>&lt;ValeurCellule&gt;</v>
      </c>
    </row>
    <row r="7891" spans="1:1" x14ac:dyDescent="0.2">
      <c r="A7891" s="996" t="str">
        <f>CONCATENATE(Programme!D7892,Programme!E7892,Programme!F7892,Programme!G7892,Programme!H7892,Programme!I7892,Programme!J7892)</f>
        <v>&lt;cellule&gt;&lt;codeEdi&gt;2094&lt;/codeEdi&gt;&lt;/cellule&gt;</v>
      </c>
    </row>
    <row r="7892" spans="1:1" x14ac:dyDescent="0.2">
      <c r="A7892" s="996" t="str">
        <f>CONCATENATE(Programme!D7893,Programme!E7893,Programme!F7893,Programme!G7893,Programme!H7893,Programme!I7893,Programme!J7893)</f>
        <v>&lt;valeur&gt;&lt;/valeur&gt;</v>
      </c>
    </row>
    <row r="7893" spans="1:1" x14ac:dyDescent="0.2">
      <c r="A7893" s="996" t="str">
        <f>CONCATENATE(Programme!D7894,Programme!E7894,Programme!F7894,Programme!G7894,Programme!H7894,Programme!I7894,Programme!J7894)</f>
        <v>&lt;numeroLigne&gt;3&lt;/numeroLigne&gt;</v>
      </c>
    </row>
    <row r="7894" spans="1:1" x14ac:dyDescent="0.2">
      <c r="A7894" s="996" t="str">
        <f>CONCATENATE(Programme!D7895,Programme!E7895,Programme!F7895,Programme!G7895,Programme!H7895,Programme!I7895,Programme!J7895)</f>
        <v>&lt;/ValeurCellule&gt;</v>
      </c>
    </row>
    <row r="7895" spans="1:1" x14ac:dyDescent="0.2">
      <c r="A7895" s="996" t="str">
        <f>CONCATENATE(Programme!D7896,Programme!E7896,Programme!F7896,Programme!G7896,Programme!H7896,Programme!I7896,Programme!J7896)</f>
        <v>&lt;ValeurCellule&gt;</v>
      </c>
    </row>
    <row r="7896" spans="1:1" x14ac:dyDescent="0.2">
      <c r="A7896" s="996" t="str">
        <f>CONCATENATE(Programme!D7897,Programme!E7897,Programme!F7897,Programme!G7897,Programme!H7897,Programme!I7897,Programme!J7897)</f>
        <v>&lt;cellule&gt;&lt;codeEdi&gt;13536&lt;/codeEdi&gt;&lt;/cellule&gt;</v>
      </c>
    </row>
    <row r="7897" spans="1:1" x14ac:dyDescent="0.2">
      <c r="A7897" s="996" t="str">
        <f>CONCATENATE(Programme!D7898,Programme!E7898,Programme!F7898,Programme!G7898,Programme!H7898,Programme!I7898,Programme!J7898)</f>
        <v>&lt;valeur&gt;&lt;/valeur&gt;</v>
      </c>
    </row>
    <row r="7898" spans="1:1" x14ac:dyDescent="0.2">
      <c r="A7898" s="996" t="str">
        <f>CONCATENATE(Programme!D7899,Programme!E7899,Programme!F7899,Programme!G7899,Programme!H7899,Programme!I7899,Programme!J7899)</f>
        <v>&lt;numeroLigne&gt;3&lt;/numeroLigne&gt;</v>
      </c>
    </row>
    <row r="7899" spans="1:1" x14ac:dyDescent="0.2">
      <c r="A7899" s="996" t="str">
        <f>CONCATENATE(Programme!D7900,Programme!E7900,Programme!F7900,Programme!G7900,Programme!H7900,Programme!I7900,Programme!J7900)</f>
        <v>&lt;/ValeurCellule&gt;</v>
      </c>
    </row>
    <row r="7900" spans="1:1" x14ac:dyDescent="0.2">
      <c r="A7900" s="996" t="str">
        <f>CONCATENATE(Programme!D7901,Programme!E7901,Programme!F7901,Programme!G7901,Programme!H7901,Programme!I7901,Programme!J7901)</f>
        <v>&lt;ValeurCellule&gt;</v>
      </c>
    </row>
    <row r="7901" spans="1:1" x14ac:dyDescent="0.2">
      <c r="A7901" s="996" t="str">
        <f>CONCATENATE(Programme!D7902,Programme!E7902,Programme!F7902,Programme!G7902,Programme!H7902,Programme!I7902,Programme!J7902)</f>
        <v>&lt;cellule&gt;&lt;codeEdi&gt;13537&lt;/codeEdi&gt;&lt;/cellule&gt;</v>
      </c>
    </row>
    <row r="7902" spans="1:1" x14ac:dyDescent="0.2">
      <c r="A7902" s="996" t="str">
        <f>CONCATENATE(Programme!D7903,Programme!E7903,Programme!F7903,Programme!G7903,Programme!H7903,Programme!I7903,Programme!J7903)</f>
        <v>&lt;valeur&gt;&lt;/valeur&gt;</v>
      </c>
    </row>
    <row r="7903" spans="1:1" x14ac:dyDescent="0.2">
      <c r="A7903" s="996" t="str">
        <f>CONCATENATE(Programme!D7904,Programme!E7904,Programme!F7904,Programme!G7904,Programme!H7904,Programme!I7904,Programme!J7904)</f>
        <v>&lt;numeroLigne&gt;3&lt;/numeroLigne&gt;</v>
      </c>
    </row>
    <row r="7904" spans="1:1" x14ac:dyDescent="0.2">
      <c r="A7904" s="996" t="str">
        <f>CONCATENATE(Programme!D7905,Programme!E7905,Programme!F7905,Programme!G7905,Programme!H7905,Programme!I7905,Programme!J7905)</f>
        <v>&lt;/ValeurCellule&gt;</v>
      </c>
    </row>
    <row r="7905" spans="1:1" x14ac:dyDescent="0.2">
      <c r="A7905" s="996" t="str">
        <f>CONCATENATE(Programme!D7906,Programme!E7906,Programme!F7906,Programme!G7906,Programme!H7906,Programme!I7906,Programme!J7906)</f>
        <v>&lt;ValeurCellule&gt;</v>
      </c>
    </row>
    <row r="7906" spans="1:1" x14ac:dyDescent="0.2">
      <c r="A7906" s="996" t="str">
        <f>CONCATENATE(Programme!D7907,Programme!E7907,Programme!F7907,Programme!G7907,Programme!H7907,Programme!I7907,Programme!J7907)</f>
        <v>&lt;cellule&gt;&lt;codeEdi&gt;2095&lt;/codeEdi&gt;&lt;/cellule&gt;</v>
      </c>
    </row>
    <row r="7907" spans="1:1" x14ac:dyDescent="0.2">
      <c r="A7907" s="996" t="str">
        <f>CONCATENATE(Programme!D7908,Programme!E7908,Programme!F7908,Programme!G7908,Programme!H7908,Programme!I7908,Programme!J7908)</f>
        <v>&lt;valeur&gt;&lt;/valeur&gt;</v>
      </c>
    </row>
    <row r="7908" spans="1:1" x14ac:dyDescent="0.2">
      <c r="A7908" s="996" t="str">
        <f>CONCATENATE(Programme!D7909,Programme!E7909,Programme!F7909,Programme!G7909,Programme!H7909,Programme!I7909,Programme!J7909)</f>
        <v>&lt;numeroLigne&gt;3&lt;/numeroLigne&gt;</v>
      </c>
    </row>
    <row r="7909" spans="1:1" x14ac:dyDescent="0.2">
      <c r="A7909" s="996" t="str">
        <f>CONCATENATE(Programme!D7910,Programme!E7910,Programme!F7910,Programme!G7910,Programme!H7910,Programme!I7910,Programme!J7910)</f>
        <v>&lt;/ValeurCellule&gt;</v>
      </c>
    </row>
    <row r="7910" spans="1:1" x14ac:dyDescent="0.2">
      <c r="A7910" s="996" t="str">
        <f>CONCATENATE(Programme!D7911,Programme!E7911,Programme!F7911,Programme!G7911,Programme!H7911,Programme!I7911,Programme!J7911)</f>
        <v>&lt;ValeurCellule&gt;</v>
      </c>
    </row>
    <row r="7911" spans="1:1" x14ac:dyDescent="0.2">
      <c r="A7911" s="996" t="str">
        <f>CONCATENATE(Programme!D7912,Programme!E7912,Programme!F7912,Programme!G7912,Programme!H7912,Programme!I7912,Programme!J7912)</f>
        <v>&lt;cellule&gt;&lt;codeEdi&gt;2096&lt;/codeEdi&gt;&lt;/cellule&gt;</v>
      </c>
    </row>
    <row r="7912" spans="1:1" x14ac:dyDescent="0.2">
      <c r="A7912" s="996" t="str">
        <f>CONCATENATE(Programme!D7913,Programme!E7913,Programme!F7913,Programme!G7913,Programme!H7913,Programme!I7913,Programme!J7913)</f>
        <v>&lt;valeur&gt;&lt;/valeur&gt;</v>
      </c>
    </row>
    <row r="7913" spans="1:1" x14ac:dyDescent="0.2">
      <c r="A7913" s="996" t="str">
        <f>CONCATENATE(Programme!D7914,Programme!E7914,Programme!F7914,Programme!G7914,Programme!H7914,Programme!I7914,Programme!J7914)</f>
        <v>&lt;numeroLigne&gt;3&lt;/numeroLigne&gt;</v>
      </c>
    </row>
    <row r="7914" spans="1:1" x14ac:dyDescent="0.2">
      <c r="A7914" s="996" t="str">
        <f>CONCATENATE(Programme!D7915,Programme!E7915,Programme!F7915,Programme!G7915,Programme!H7915,Programme!I7915,Programme!J7915)</f>
        <v>&lt;/ValeurCellule&gt;</v>
      </c>
    </row>
    <row r="7915" spans="1:1" x14ac:dyDescent="0.2">
      <c r="A7915" s="996" t="str">
        <f>CONCATENATE(Programme!D7916,Programme!E7916,Programme!F7916,Programme!G7916,Programme!H7916,Programme!I7916,Programme!J7916)</f>
        <v>&lt;ValeurCellule&gt;</v>
      </c>
    </row>
    <row r="7916" spans="1:1" x14ac:dyDescent="0.2">
      <c r="A7916" s="996" t="str">
        <f>CONCATENATE(Programme!D7917,Programme!E7917,Programme!F7917,Programme!G7917,Programme!H7917,Programme!I7917,Programme!J7917)</f>
        <v>&lt;cellule&gt;&lt;codeEdi&gt;2097&lt;/codeEdi&gt;&lt;/cellule&gt;</v>
      </c>
    </row>
    <row r="7917" spans="1:1" x14ac:dyDescent="0.2">
      <c r="A7917" s="996" t="str">
        <f>CONCATENATE(Programme!D7918,Programme!E7918,Programme!F7918,Programme!G7918,Programme!H7918,Programme!I7918,Programme!J7918)</f>
        <v>&lt;valeur&gt;0&lt;/valeur&gt;</v>
      </c>
    </row>
    <row r="7918" spans="1:1" x14ac:dyDescent="0.2">
      <c r="A7918" s="996" t="str">
        <f>CONCATENATE(Programme!D7919,Programme!E7919,Programme!F7919,Programme!G7919,Programme!H7919,Programme!I7919,Programme!J7919)</f>
        <v>&lt;numeroLigne&gt;3&lt;/numeroLigne&gt;</v>
      </c>
    </row>
    <row r="7919" spans="1:1" x14ac:dyDescent="0.2">
      <c r="A7919" s="996" t="str">
        <f>CONCATENATE(Programme!D7920,Programme!E7920,Programme!F7920,Programme!G7920,Programme!H7920,Programme!I7920,Programme!J7920)</f>
        <v>&lt;/ValeurCellule&gt;</v>
      </c>
    </row>
    <row r="7920" spans="1:1" x14ac:dyDescent="0.2">
      <c r="A7920" s="996" t="str">
        <f>CONCATENATE(Programme!D7921,Programme!E7921,Programme!F7921,Programme!G7921,Programme!H7921,Programme!I7921,Programme!J7921)</f>
        <v>&lt;ValeurCellule&gt;</v>
      </c>
    </row>
    <row r="7921" spans="1:1" x14ac:dyDescent="0.2">
      <c r="A7921" s="996" t="str">
        <f>CONCATENATE(Programme!D7922,Programme!E7922,Programme!F7922,Programme!G7922,Programme!H7922,Programme!I7922,Programme!J7922)</f>
        <v>&lt;cellule&gt;&lt;codeEdi&gt;2098&lt;/codeEdi&gt;&lt;/cellule&gt;</v>
      </c>
    </row>
    <row r="7922" spans="1:1" x14ac:dyDescent="0.2">
      <c r="A7922" s="996" t="str">
        <f>CONCATENATE(Programme!D7923,Programme!E7923,Programme!F7923,Programme!G7923,Programme!H7923,Programme!I7923,Programme!J7923)</f>
        <v>&lt;valeur&gt;&lt;/valeur&gt;</v>
      </c>
    </row>
    <row r="7923" spans="1:1" x14ac:dyDescent="0.2">
      <c r="A7923" s="996" t="str">
        <f>CONCATENATE(Programme!D7924,Programme!E7924,Programme!F7924,Programme!G7924,Programme!H7924,Programme!I7924,Programme!J7924)</f>
        <v>&lt;numeroLigne&gt;3&lt;/numeroLigne&gt;</v>
      </c>
    </row>
    <row r="7924" spans="1:1" x14ac:dyDescent="0.2">
      <c r="A7924" s="996" t="str">
        <f>CONCATENATE(Programme!D7925,Programme!E7925,Programme!F7925,Programme!G7925,Programme!H7925,Programme!I7925,Programme!J7925)</f>
        <v>&lt;/ValeurCellule&gt;</v>
      </c>
    </row>
    <row r="7925" spans="1:1" x14ac:dyDescent="0.2">
      <c r="A7925" s="996" t="str">
        <f>CONCATENATE(Programme!D7926,Programme!E7926,Programme!F7926,Programme!G7926,Programme!H7926,Programme!I7926,Programme!J7926)</f>
        <v>&lt;ValeurCellule&gt;</v>
      </c>
    </row>
    <row r="7926" spans="1:1" x14ac:dyDescent="0.2">
      <c r="A7926" s="996" t="str">
        <f>CONCATENATE(Programme!D7927,Programme!E7927,Programme!F7927,Programme!G7927,Programme!H7927,Programme!I7927,Programme!J7927)</f>
        <v>&lt;cellule&gt;&lt;codeEdi&gt;2099&lt;/codeEdi&gt;&lt;/cellule&gt;</v>
      </c>
    </row>
    <row r="7927" spans="1:1" x14ac:dyDescent="0.2">
      <c r="A7927" s="996" t="str">
        <f>CONCATENATE(Programme!D7928,Programme!E7928,Programme!F7928,Programme!G7928,Programme!H7928,Programme!I7928,Programme!J7928)</f>
        <v>&lt;valeur&gt;0&lt;/valeur&gt;</v>
      </c>
    </row>
    <row r="7928" spans="1:1" x14ac:dyDescent="0.2">
      <c r="A7928" s="996" t="str">
        <f>CONCATENATE(Programme!D7929,Programme!E7929,Programme!F7929,Programme!G7929,Programme!H7929,Programme!I7929,Programme!J7929)</f>
        <v>&lt;numeroLigne&gt;3&lt;/numeroLigne&gt;</v>
      </c>
    </row>
    <row r="7929" spans="1:1" x14ac:dyDescent="0.2">
      <c r="A7929" s="996" t="str">
        <f>CONCATENATE(Programme!D7930,Programme!E7930,Programme!F7930,Programme!G7930,Programme!H7930,Programme!I7930,Programme!J7930)</f>
        <v>&lt;/ValeurCellule&gt;</v>
      </c>
    </row>
    <row r="7930" spans="1:1" x14ac:dyDescent="0.2">
      <c r="A7930" s="996" t="str">
        <f>CONCATENATE(Programme!D7931,Programme!E7931,Programme!F7931,Programme!G7931,Programme!H7931,Programme!I7931,Programme!J7931)</f>
        <v>&lt;ValeurCellule&gt;</v>
      </c>
    </row>
    <row r="7931" spans="1:1" x14ac:dyDescent="0.2">
      <c r="A7931" s="996" t="str">
        <f>CONCATENATE(Programme!D7932,Programme!E7932,Programme!F7932,Programme!G7932,Programme!H7932,Programme!I7932,Programme!J7932)</f>
        <v>&lt;cellule&gt;&lt;codeEdi&gt;2100&lt;/codeEdi&gt;&lt;/cellule&gt;</v>
      </c>
    </row>
    <row r="7932" spans="1:1" x14ac:dyDescent="0.2">
      <c r="A7932" s="996" t="str">
        <f>CONCATENATE(Programme!D7933,Programme!E7933,Programme!F7933,Programme!G7933,Programme!H7933,Programme!I7933,Programme!J7933)</f>
        <v>&lt;valeur&gt;0&lt;/valeur&gt;</v>
      </c>
    </row>
    <row r="7933" spans="1:1" x14ac:dyDescent="0.2">
      <c r="A7933" s="996" t="str">
        <f>CONCATENATE(Programme!D7934,Programme!E7934,Programme!F7934,Programme!G7934,Programme!H7934,Programme!I7934,Programme!J7934)</f>
        <v>&lt;numeroLigne&gt;3&lt;/numeroLigne&gt;</v>
      </c>
    </row>
    <row r="7934" spans="1:1" x14ac:dyDescent="0.2">
      <c r="A7934" s="996" t="str">
        <f>CONCATENATE(Programme!D7935,Programme!E7935,Programme!F7935,Programme!G7935,Programme!H7935,Programme!I7935,Programme!J7935)</f>
        <v>&lt;/ValeurCellule&gt;</v>
      </c>
    </row>
    <row r="7935" spans="1:1" x14ac:dyDescent="0.2">
      <c r="A7935" s="996" t="str">
        <f>CONCATENATE(Programme!D7936,Programme!E7936,Programme!F7936,Programme!G7936,Programme!H7936,Programme!I7936,Programme!J7936)</f>
        <v>&lt;ValeurCellule&gt;</v>
      </c>
    </row>
    <row r="7936" spans="1:1" x14ac:dyDescent="0.2">
      <c r="A7936" s="996" t="str">
        <f>CONCATENATE(Programme!D7937,Programme!E7937,Programme!F7937,Programme!G7937,Programme!H7937,Programme!I7937,Programme!J7937)</f>
        <v>&lt;cellule&gt;&lt;codeEdi&gt;2101&lt;/codeEdi&gt;&lt;/cellule&gt;</v>
      </c>
    </row>
    <row r="7937" spans="1:1" x14ac:dyDescent="0.2">
      <c r="A7937" s="996" t="str">
        <f>CONCATENATE(Programme!D7938,Programme!E7938,Programme!F7938,Programme!G7938,Programme!H7938,Programme!I7938,Programme!J7938)</f>
        <v>&lt;valeur&gt;0&lt;/valeur&gt;</v>
      </c>
    </row>
    <row r="7938" spans="1:1" x14ac:dyDescent="0.2">
      <c r="A7938" s="996" t="str">
        <f>CONCATENATE(Programme!D7939,Programme!E7939,Programme!F7939,Programme!G7939,Programme!H7939,Programme!I7939,Programme!J7939)</f>
        <v>&lt;numeroLigne&gt;3&lt;/numeroLigne&gt;</v>
      </c>
    </row>
    <row r="7939" spans="1:1" x14ac:dyDescent="0.2">
      <c r="A7939" s="996" t="str">
        <f>CONCATENATE(Programme!D7940,Programme!E7940,Programme!F7940,Programme!G7940,Programme!H7940,Programme!I7940,Programme!J7940)</f>
        <v>&lt;/ValeurCellule&gt;</v>
      </c>
    </row>
    <row r="7940" spans="1:1" x14ac:dyDescent="0.2">
      <c r="A7940" s="996" t="str">
        <f>CONCATENATE(Programme!D7941,Programme!E7941,Programme!F7941,Programme!G7941,Programme!H7941,Programme!I7941,Programme!J7941)</f>
        <v>&lt;ValeurCellule&gt;</v>
      </c>
    </row>
    <row r="7941" spans="1:1" x14ac:dyDescent="0.2">
      <c r="A7941" s="996" t="str">
        <f>CONCATENATE(Programme!D7942,Programme!E7942,Programme!F7942,Programme!G7942,Programme!H7942,Programme!I7942,Programme!J7942)</f>
        <v>&lt;cellule&gt;&lt;codeEdi&gt;2094&lt;/codeEdi&gt;&lt;/cellule&gt;</v>
      </c>
    </row>
    <row r="7942" spans="1:1" x14ac:dyDescent="0.2">
      <c r="A7942" s="996" t="str">
        <f>CONCATENATE(Programme!D7943,Programme!E7943,Programme!F7943,Programme!G7943,Programme!H7943,Programme!I7943,Programme!J7943)</f>
        <v>&lt;valeur&gt;&lt;/valeur&gt;</v>
      </c>
    </row>
    <row r="7943" spans="1:1" x14ac:dyDescent="0.2">
      <c r="A7943" s="996" t="str">
        <f>CONCATENATE(Programme!D7944,Programme!E7944,Programme!F7944,Programme!G7944,Programme!H7944,Programme!I7944,Programme!J7944)</f>
        <v>&lt;numeroLigne&gt;4&lt;/numeroLigne&gt;</v>
      </c>
    </row>
    <row r="7944" spans="1:1" x14ac:dyDescent="0.2">
      <c r="A7944" s="996" t="str">
        <f>CONCATENATE(Programme!D7945,Programme!E7945,Programme!F7945,Programme!G7945,Programme!H7945,Programme!I7945,Programme!J7945)</f>
        <v>&lt;/ValeurCellule&gt;</v>
      </c>
    </row>
    <row r="7945" spans="1:1" x14ac:dyDescent="0.2">
      <c r="A7945" s="996" t="str">
        <f>CONCATENATE(Programme!D7946,Programme!E7946,Programme!F7946,Programme!G7946,Programme!H7946,Programme!I7946,Programme!J7946)</f>
        <v>&lt;ValeurCellule&gt;</v>
      </c>
    </row>
    <row r="7946" spans="1:1" x14ac:dyDescent="0.2">
      <c r="A7946" s="996" t="str">
        <f>CONCATENATE(Programme!D7947,Programme!E7947,Programme!F7947,Programme!G7947,Programme!H7947,Programme!I7947,Programme!J7947)</f>
        <v>&lt;cellule&gt;&lt;codeEdi&gt;13536&lt;/codeEdi&gt;&lt;/cellule&gt;</v>
      </c>
    </row>
    <row r="7947" spans="1:1" x14ac:dyDescent="0.2">
      <c r="A7947" s="996" t="str">
        <f>CONCATENATE(Programme!D7948,Programme!E7948,Programme!F7948,Programme!G7948,Programme!H7948,Programme!I7948,Programme!J7948)</f>
        <v>&lt;valeur&gt;&lt;/valeur&gt;</v>
      </c>
    </row>
    <row r="7948" spans="1:1" x14ac:dyDescent="0.2">
      <c r="A7948" s="996" t="str">
        <f>CONCATENATE(Programme!D7949,Programme!E7949,Programme!F7949,Programme!G7949,Programme!H7949,Programme!I7949,Programme!J7949)</f>
        <v>&lt;numeroLigne&gt;4&lt;/numeroLigne&gt;</v>
      </c>
    </row>
    <row r="7949" spans="1:1" x14ac:dyDescent="0.2">
      <c r="A7949" s="996" t="str">
        <f>CONCATENATE(Programme!D7950,Programme!E7950,Programme!F7950,Programme!G7950,Programme!H7950,Programme!I7950,Programme!J7950)</f>
        <v>&lt;/ValeurCellule&gt;</v>
      </c>
    </row>
    <row r="7950" spans="1:1" x14ac:dyDescent="0.2">
      <c r="A7950" s="996" t="str">
        <f>CONCATENATE(Programme!D7951,Programme!E7951,Programme!F7951,Programme!G7951,Programme!H7951,Programme!I7951,Programme!J7951)</f>
        <v>&lt;ValeurCellule&gt;</v>
      </c>
    </row>
    <row r="7951" spans="1:1" x14ac:dyDescent="0.2">
      <c r="A7951" s="996" t="str">
        <f>CONCATENATE(Programme!D7952,Programme!E7952,Programme!F7952,Programme!G7952,Programme!H7952,Programme!I7952,Programme!J7952)</f>
        <v>&lt;cellule&gt;&lt;codeEdi&gt;13537&lt;/codeEdi&gt;&lt;/cellule&gt;</v>
      </c>
    </row>
    <row r="7952" spans="1:1" x14ac:dyDescent="0.2">
      <c r="A7952" s="996" t="str">
        <f>CONCATENATE(Programme!D7953,Programme!E7953,Programme!F7953,Programme!G7953,Programme!H7953,Programme!I7953,Programme!J7953)</f>
        <v>&lt;valeur&gt;&lt;/valeur&gt;</v>
      </c>
    </row>
    <row r="7953" spans="1:1" x14ac:dyDescent="0.2">
      <c r="A7953" s="996" t="str">
        <f>CONCATENATE(Programme!D7954,Programme!E7954,Programme!F7954,Programme!G7954,Programme!H7954,Programme!I7954,Programme!J7954)</f>
        <v>&lt;numeroLigne&gt;4&lt;/numeroLigne&gt;</v>
      </c>
    </row>
    <row r="7954" spans="1:1" x14ac:dyDescent="0.2">
      <c r="A7954" s="996" t="str">
        <f>CONCATENATE(Programme!D7955,Programme!E7955,Programme!F7955,Programme!G7955,Programme!H7955,Programme!I7955,Programme!J7955)</f>
        <v>&lt;/ValeurCellule&gt;</v>
      </c>
    </row>
    <row r="7955" spans="1:1" x14ac:dyDescent="0.2">
      <c r="A7955" s="996" t="str">
        <f>CONCATENATE(Programme!D7956,Programme!E7956,Programme!F7956,Programme!G7956,Programme!H7956,Programme!I7956,Programme!J7956)</f>
        <v>&lt;ValeurCellule&gt;</v>
      </c>
    </row>
    <row r="7956" spans="1:1" x14ac:dyDescent="0.2">
      <c r="A7956" s="996" t="str">
        <f>CONCATENATE(Programme!D7957,Programme!E7957,Programme!F7957,Programme!G7957,Programme!H7957,Programme!I7957,Programme!J7957)</f>
        <v>&lt;cellule&gt;&lt;codeEdi&gt;2095&lt;/codeEdi&gt;&lt;/cellule&gt;</v>
      </c>
    </row>
    <row r="7957" spans="1:1" x14ac:dyDescent="0.2">
      <c r="A7957" s="996" t="str">
        <f>CONCATENATE(Programme!D7958,Programme!E7958,Programme!F7958,Programme!G7958,Programme!H7958,Programme!I7958,Programme!J7958)</f>
        <v>&lt;valeur&gt;&lt;/valeur&gt;</v>
      </c>
    </row>
    <row r="7958" spans="1:1" x14ac:dyDescent="0.2">
      <c r="A7958" s="996" t="str">
        <f>CONCATENATE(Programme!D7959,Programme!E7959,Programme!F7959,Programme!G7959,Programme!H7959,Programme!I7959,Programme!J7959)</f>
        <v>&lt;numeroLigne&gt;4&lt;/numeroLigne&gt;</v>
      </c>
    </row>
    <row r="7959" spans="1:1" x14ac:dyDescent="0.2">
      <c r="A7959" s="996" t="str">
        <f>CONCATENATE(Programme!D7960,Programme!E7960,Programme!F7960,Programme!G7960,Programme!H7960,Programme!I7960,Programme!J7960)</f>
        <v>&lt;/ValeurCellule&gt;</v>
      </c>
    </row>
    <row r="7960" spans="1:1" x14ac:dyDescent="0.2">
      <c r="A7960" s="996" t="str">
        <f>CONCATENATE(Programme!D7961,Programme!E7961,Programme!F7961,Programme!G7961,Programme!H7961,Programme!I7961,Programme!J7961)</f>
        <v>&lt;ValeurCellule&gt;</v>
      </c>
    </row>
    <row r="7961" spans="1:1" x14ac:dyDescent="0.2">
      <c r="A7961" s="996" t="str">
        <f>CONCATENATE(Programme!D7962,Programme!E7962,Programme!F7962,Programme!G7962,Programme!H7962,Programme!I7962,Programme!J7962)</f>
        <v>&lt;cellule&gt;&lt;codeEdi&gt;2096&lt;/codeEdi&gt;&lt;/cellule&gt;</v>
      </c>
    </row>
    <row r="7962" spans="1:1" x14ac:dyDescent="0.2">
      <c r="A7962" s="996" t="str">
        <f>CONCATENATE(Programme!D7963,Programme!E7963,Programme!F7963,Programme!G7963,Programme!H7963,Programme!I7963,Programme!J7963)</f>
        <v>&lt;valeur&gt;&lt;/valeur&gt;</v>
      </c>
    </row>
    <row r="7963" spans="1:1" x14ac:dyDescent="0.2">
      <c r="A7963" s="996" t="str">
        <f>CONCATENATE(Programme!D7964,Programme!E7964,Programme!F7964,Programme!G7964,Programme!H7964,Programme!I7964,Programme!J7964)</f>
        <v>&lt;numeroLigne&gt;4&lt;/numeroLigne&gt;</v>
      </c>
    </row>
    <row r="7964" spans="1:1" x14ac:dyDescent="0.2">
      <c r="A7964" s="996" t="str">
        <f>CONCATENATE(Programme!D7965,Programme!E7965,Programme!F7965,Programme!G7965,Programme!H7965,Programme!I7965,Programme!J7965)</f>
        <v>&lt;/ValeurCellule&gt;</v>
      </c>
    </row>
    <row r="7965" spans="1:1" x14ac:dyDescent="0.2">
      <c r="A7965" s="996" t="str">
        <f>CONCATENATE(Programme!D7966,Programme!E7966,Programme!F7966,Programme!G7966,Programme!H7966,Programme!I7966,Programme!J7966)</f>
        <v>&lt;ValeurCellule&gt;</v>
      </c>
    </row>
    <row r="7966" spans="1:1" x14ac:dyDescent="0.2">
      <c r="A7966" s="996" t="str">
        <f>CONCATENATE(Programme!D7967,Programme!E7967,Programme!F7967,Programme!G7967,Programme!H7967,Programme!I7967,Programme!J7967)</f>
        <v>&lt;cellule&gt;&lt;codeEdi&gt;2097&lt;/codeEdi&gt;&lt;/cellule&gt;</v>
      </c>
    </row>
    <row r="7967" spans="1:1" x14ac:dyDescent="0.2">
      <c r="A7967" s="996" t="str">
        <f>CONCATENATE(Programme!D7968,Programme!E7968,Programme!F7968,Programme!G7968,Programme!H7968,Programme!I7968,Programme!J7968)</f>
        <v>&lt;valeur&gt;&lt;/valeur&gt;</v>
      </c>
    </row>
    <row r="7968" spans="1:1" x14ac:dyDescent="0.2">
      <c r="A7968" s="996" t="str">
        <f>CONCATENATE(Programme!D7969,Programme!E7969,Programme!F7969,Programme!G7969,Programme!H7969,Programme!I7969,Programme!J7969)</f>
        <v>&lt;numeroLigne&gt;4&lt;/numeroLigne&gt;</v>
      </c>
    </row>
    <row r="7969" spans="1:1" x14ac:dyDescent="0.2">
      <c r="A7969" s="996" t="str">
        <f>CONCATENATE(Programme!D7970,Programme!E7970,Programme!F7970,Programme!G7970,Programme!H7970,Programme!I7970,Programme!J7970)</f>
        <v>&lt;/ValeurCellule&gt;</v>
      </c>
    </row>
    <row r="7970" spans="1:1" x14ac:dyDescent="0.2">
      <c r="A7970" s="996" t="str">
        <f>CONCATENATE(Programme!D7971,Programme!E7971,Programme!F7971,Programme!G7971,Programme!H7971,Programme!I7971,Programme!J7971)</f>
        <v>&lt;ValeurCellule&gt;</v>
      </c>
    </row>
    <row r="7971" spans="1:1" x14ac:dyDescent="0.2">
      <c r="A7971" s="996" t="str">
        <f>CONCATENATE(Programme!D7972,Programme!E7972,Programme!F7972,Programme!G7972,Programme!H7972,Programme!I7972,Programme!J7972)</f>
        <v>&lt;cellule&gt;&lt;codeEdi&gt;2098&lt;/codeEdi&gt;&lt;/cellule&gt;</v>
      </c>
    </row>
    <row r="7972" spans="1:1" x14ac:dyDescent="0.2">
      <c r="A7972" s="996" t="str">
        <f>CONCATENATE(Programme!D7973,Programme!E7973,Programme!F7973,Programme!G7973,Programme!H7973,Programme!I7973,Programme!J7973)</f>
        <v>&lt;valeur&gt;&lt;/valeur&gt;</v>
      </c>
    </row>
    <row r="7973" spans="1:1" x14ac:dyDescent="0.2">
      <c r="A7973" s="996" t="str">
        <f>CONCATENATE(Programme!D7974,Programme!E7974,Programme!F7974,Programme!G7974,Programme!H7974,Programme!I7974,Programme!J7974)</f>
        <v>&lt;numeroLigne&gt;4&lt;/numeroLigne&gt;</v>
      </c>
    </row>
    <row r="7974" spans="1:1" x14ac:dyDescent="0.2">
      <c r="A7974" s="996" t="str">
        <f>CONCATENATE(Programme!D7975,Programme!E7975,Programme!F7975,Programme!G7975,Programme!H7975,Programme!I7975,Programme!J7975)</f>
        <v>&lt;/ValeurCellule&gt;</v>
      </c>
    </row>
    <row r="7975" spans="1:1" x14ac:dyDescent="0.2">
      <c r="A7975" s="996" t="str">
        <f>CONCATENATE(Programme!D7976,Programme!E7976,Programme!F7976,Programme!G7976,Programme!H7976,Programme!I7976,Programme!J7976)</f>
        <v>&lt;ValeurCellule&gt;</v>
      </c>
    </row>
    <row r="7976" spans="1:1" x14ac:dyDescent="0.2">
      <c r="A7976" s="996" t="str">
        <f>CONCATENATE(Programme!D7977,Programme!E7977,Programme!F7977,Programme!G7977,Programme!H7977,Programme!I7977,Programme!J7977)</f>
        <v>&lt;cellule&gt;&lt;codeEdi&gt;2099&lt;/codeEdi&gt;&lt;/cellule&gt;</v>
      </c>
    </row>
    <row r="7977" spans="1:1" x14ac:dyDescent="0.2">
      <c r="A7977" s="996" t="str">
        <f>CONCATENATE(Programme!D7978,Programme!E7978,Programme!F7978,Programme!G7978,Programme!H7978,Programme!I7978,Programme!J7978)</f>
        <v>&lt;valeur&gt;0&lt;/valeur&gt;</v>
      </c>
    </row>
    <row r="7978" spans="1:1" x14ac:dyDescent="0.2">
      <c r="A7978" s="996" t="str">
        <f>CONCATENATE(Programme!D7979,Programme!E7979,Programme!F7979,Programme!G7979,Programme!H7979,Programme!I7979,Programme!J7979)</f>
        <v>&lt;numeroLigne&gt;4&lt;/numeroLigne&gt;</v>
      </c>
    </row>
    <row r="7979" spans="1:1" x14ac:dyDescent="0.2">
      <c r="A7979" s="996" t="str">
        <f>CONCATENATE(Programme!D7980,Programme!E7980,Programme!F7980,Programme!G7980,Programme!H7980,Programme!I7980,Programme!J7980)</f>
        <v>&lt;/ValeurCellule&gt;</v>
      </c>
    </row>
    <row r="7980" spans="1:1" x14ac:dyDescent="0.2">
      <c r="A7980" s="996" t="str">
        <f>CONCATENATE(Programme!D7981,Programme!E7981,Programme!F7981,Programme!G7981,Programme!H7981,Programme!I7981,Programme!J7981)</f>
        <v>&lt;ValeurCellule&gt;</v>
      </c>
    </row>
    <row r="7981" spans="1:1" x14ac:dyDescent="0.2">
      <c r="A7981" s="996" t="str">
        <f>CONCATENATE(Programme!D7982,Programme!E7982,Programme!F7982,Programme!G7982,Programme!H7982,Programme!I7982,Programme!J7982)</f>
        <v>&lt;cellule&gt;&lt;codeEdi&gt;2100&lt;/codeEdi&gt;&lt;/cellule&gt;</v>
      </c>
    </row>
    <row r="7982" spans="1:1" x14ac:dyDescent="0.2">
      <c r="A7982" s="996" t="str">
        <f>CONCATENATE(Programme!D7983,Programme!E7983,Programme!F7983,Programme!G7983,Programme!H7983,Programme!I7983,Programme!J7983)</f>
        <v>&lt;valeur&gt;0&lt;/valeur&gt;</v>
      </c>
    </row>
    <row r="7983" spans="1:1" x14ac:dyDescent="0.2">
      <c r="A7983" s="996" t="str">
        <f>CONCATENATE(Programme!D7984,Programme!E7984,Programme!F7984,Programme!G7984,Programme!H7984,Programme!I7984,Programme!J7984)</f>
        <v>&lt;numeroLigne&gt;4&lt;/numeroLigne&gt;</v>
      </c>
    </row>
    <row r="7984" spans="1:1" x14ac:dyDescent="0.2">
      <c r="A7984" s="996" t="str">
        <f>CONCATENATE(Programme!D7985,Programme!E7985,Programme!F7985,Programme!G7985,Programme!H7985,Programme!I7985,Programme!J7985)</f>
        <v>&lt;/ValeurCellule&gt;</v>
      </c>
    </row>
    <row r="7985" spans="1:1" x14ac:dyDescent="0.2">
      <c r="A7985" s="996" t="str">
        <f>CONCATENATE(Programme!D7986,Programme!E7986,Programme!F7986,Programme!G7986,Programme!H7986,Programme!I7986,Programme!J7986)</f>
        <v>&lt;ValeurCellule&gt;</v>
      </c>
    </row>
    <row r="7986" spans="1:1" x14ac:dyDescent="0.2">
      <c r="A7986" s="996" t="str">
        <f>CONCATENATE(Programme!D7987,Programme!E7987,Programme!F7987,Programme!G7987,Programme!H7987,Programme!I7987,Programme!J7987)</f>
        <v>&lt;cellule&gt;&lt;codeEdi&gt;2101&lt;/codeEdi&gt;&lt;/cellule&gt;</v>
      </c>
    </row>
    <row r="7987" spans="1:1" x14ac:dyDescent="0.2">
      <c r="A7987" s="996" t="str">
        <f>CONCATENATE(Programme!D7988,Programme!E7988,Programme!F7988,Programme!G7988,Programme!H7988,Programme!I7988,Programme!J7988)</f>
        <v>&lt;valeur&gt;0&lt;/valeur&gt;</v>
      </c>
    </row>
    <row r="7988" spans="1:1" x14ac:dyDescent="0.2">
      <c r="A7988" s="996" t="str">
        <f>CONCATENATE(Programme!D7989,Programme!E7989,Programme!F7989,Programme!G7989,Programme!H7989,Programme!I7989,Programme!J7989)</f>
        <v>&lt;numeroLigne&gt;4&lt;/numeroLigne&gt;</v>
      </c>
    </row>
    <row r="7989" spans="1:1" x14ac:dyDescent="0.2">
      <c r="A7989" s="996" t="str">
        <f>CONCATENATE(Programme!D7990,Programme!E7990,Programme!F7990,Programme!G7990,Programme!H7990,Programme!I7990,Programme!J7990)</f>
        <v>&lt;/ValeurCellule&gt;</v>
      </c>
    </row>
    <row r="7990" spans="1:1" x14ac:dyDescent="0.2">
      <c r="A7990" s="996" t="str">
        <f>CONCATENATE(Programme!D7991,Programme!E7991,Programme!F7991,Programme!G7991,Programme!H7991,Programme!I7991,Programme!J7991)</f>
        <v>&lt;ValeurCellule&gt;</v>
      </c>
    </row>
    <row r="7991" spans="1:1" x14ac:dyDescent="0.2">
      <c r="A7991" s="996" t="str">
        <f>CONCATENATE(Programme!D7992,Programme!E7992,Programme!F7992,Programme!G7992,Programme!H7992,Programme!I7992,Programme!J7992)</f>
        <v>&lt;cellule&gt;&lt;codeEdi&gt;2094&lt;/codeEdi&gt;&lt;/cellule&gt;</v>
      </c>
    </row>
    <row r="7992" spans="1:1" x14ac:dyDescent="0.2">
      <c r="A7992" s="996" t="str">
        <f>CONCATENATE(Programme!D7993,Programme!E7993,Programme!F7993,Programme!G7993,Programme!H7993,Programme!I7993,Programme!J7993)</f>
        <v>&lt;valeur&gt;&lt;/valeur&gt;</v>
      </c>
    </row>
    <row r="7993" spans="1:1" x14ac:dyDescent="0.2">
      <c r="A7993" s="996" t="str">
        <f>CONCATENATE(Programme!D7994,Programme!E7994,Programme!F7994,Programme!G7994,Programme!H7994,Programme!I7994,Programme!J7994)</f>
        <v>&lt;numeroLigne&gt;5&lt;/numeroLigne&gt;</v>
      </c>
    </row>
    <row r="7994" spans="1:1" x14ac:dyDescent="0.2">
      <c r="A7994" s="996" t="str">
        <f>CONCATENATE(Programme!D7995,Programme!E7995,Programme!F7995,Programme!G7995,Programme!H7995,Programme!I7995,Programme!J7995)</f>
        <v>&lt;/ValeurCellule&gt;</v>
      </c>
    </row>
    <row r="7995" spans="1:1" x14ac:dyDescent="0.2">
      <c r="A7995" s="996" t="str">
        <f>CONCATENATE(Programme!D7996,Programme!E7996,Programme!F7996,Programme!G7996,Programme!H7996,Programme!I7996,Programme!J7996)</f>
        <v>&lt;ValeurCellule&gt;</v>
      </c>
    </row>
    <row r="7996" spans="1:1" x14ac:dyDescent="0.2">
      <c r="A7996" s="996" t="str">
        <f>CONCATENATE(Programme!D7997,Programme!E7997,Programme!F7997,Programme!G7997,Programme!H7997,Programme!I7997,Programme!J7997)</f>
        <v>&lt;cellule&gt;&lt;codeEdi&gt;13536&lt;/codeEdi&gt;&lt;/cellule&gt;</v>
      </c>
    </row>
    <row r="7997" spans="1:1" x14ac:dyDescent="0.2">
      <c r="A7997" s="996" t="str">
        <f>CONCATENATE(Programme!D7998,Programme!E7998,Programme!F7998,Programme!G7998,Programme!H7998,Programme!I7998,Programme!J7998)</f>
        <v>&lt;valeur&gt;&lt;/valeur&gt;</v>
      </c>
    </row>
    <row r="7998" spans="1:1" x14ac:dyDescent="0.2">
      <c r="A7998" s="996" t="str">
        <f>CONCATENATE(Programme!D7999,Programme!E7999,Programme!F7999,Programme!G7999,Programme!H7999,Programme!I7999,Programme!J7999)</f>
        <v>&lt;numeroLigne&gt;5&lt;/numeroLigne&gt;</v>
      </c>
    </row>
    <row r="7999" spans="1:1" x14ac:dyDescent="0.2">
      <c r="A7999" s="996" t="str">
        <f>CONCATENATE(Programme!D8000,Programme!E8000,Programme!F8000,Programme!G8000,Programme!H8000,Programme!I8000,Programme!J8000)</f>
        <v>&lt;/ValeurCellule&gt;</v>
      </c>
    </row>
    <row r="8000" spans="1:1" x14ac:dyDescent="0.2">
      <c r="A8000" s="996" t="str">
        <f>CONCATENATE(Programme!D8001,Programme!E8001,Programme!F8001,Programme!G8001,Programme!H8001,Programme!I8001,Programme!J8001)</f>
        <v>&lt;ValeurCellule&gt;</v>
      </c>
    </row>
    <row r="8001" spans="1:1" x14ac:dyDescent="0.2">
      <c r="A8001" s="996" t="str">
        <f>CONCATENATE(Programme!D8002,Programme!E8002,Programme!F8002,Programme!G8002,Programme!H8002,Programme!I8002,Programme!J8002)</f>
        <v>&lt;cellule&gt;&lt;codeEdi&gt;13537&lt;/codeEdi&gt;&lt;/cellule&gt;</v>
      </c>
    </row>
    <row r="8002" spans="1:1" x14ac:dyDescent="0.2">
      <c r="A8002" s="996" t="str">
        <f>CONCATENATE(Programme!D8003,Programme!E8003,Programme!F8003,Programme!G8003,Programme!H8003,Programme!I8003,Programme!J8003)</f>
        <v>&lt;valeur&gt;&lt;/valeur&gt;</v>
      </c>
    </row>
    <row r="8003" spans="1:1" x14ac:dyDescent="0.2">
      <c r="A8003" s="996" t="str">
        <f>CONCATENATE(Programme!D8004,Programme!E8004,Programme!F8004,Programme!G8004,Programme!H8004,Programme!I8004,Programme!J8004)</f>
        <v>&lt;numeroLigne&gt;5&lt;/numeroLigne&gt;</v>
      </c>
    </row>
    <row r="8004" spans="1:1" x14ac:dyDescent="0.2">
      <c r="A8004" s="996" t="str">
        <f>CONCATENATE(Programme!D8005,Programme!E8005,Programme!F8005,Programme!G8005,Programme!H8005,Programme!I8005,Programme!J8005)</f>
        <v>&lt;/ValeurCellule&gt;</v>
      </c>
    </row>
    <row r="8005" spans="1:1" x14ac:dyDescent="0.2">
      <c r="A8005" s="996" t="str">
        <f>CONCATENATE(Programme!D8006,Programme!E8006,Programme!F8006,Programme!G8006,Programme!H8006,Programme!I8006,Programme!J8006)</f>
        <v>&lt;ValeurCellule&gt;</v>
      </c>
    </row>
    <row r="8006" spans="1:1" x14ac:dyDescent="0.2">
      <c r="A8006" s="996" t="str">
        <f>CONCATENATE(Programme!D8007,Programme!E8007,Programme!F8007,Programme!G8007,Programme!H8007,Programme!I8007,Programme!J8007)</f>
        <v>&lt;cellule&gt;&lt;codeEdi&gt;2095&lt;/codeEdi&gt;&lt;/cellule&gt;</v>
      </c>
    </row>
    <row r="8007" spans="1:1" x14ac:dyDescent="0.2">
      <c r="A8007" s="996" t="str">
        <f>CONCATENATE(Programme!D8008,Programme!E8008,Programme!F8008,Programme!G8008,Programme!H8008,Programme!I8008,Programme!J8008)</f>
        <v>&lt;valeur&gt;&lt;/valeur&gt;</v>
      </c>
    </row>
    <row r="8008" spans="1:1" x14ac:dyDescent="0.2">
      <c r="A8008" s="996" t="str">
        <f>CONCATENATE(Programme!D8009,Programme!E8009,Programme!F8009,Programme!G8009,Programme!H8009,Programme!I8009,Programme!J8009)</f>
        <v>&lt;numeroLigne&gt;5&lt;/numeroLigne&gt;</v>
      </c>
    </row>
    <row r="8009" spans="1:1" x14ac:dyDescent="0.2">
      <c r="A8009" s="996" t="str">
        <f>CONCATENATE(Programme!D8010,Programme!E8010,Programme!F8010,Programme!G8010,Programme!H8010,Programme!I8010,Programme!J8010)</f>
        <v>&lt;/ValeurCellule&gt;</v>
      </c>
    </row>
    <row r="8010" spans="1:1" x14ac:dyDescent="0.2">
      <c r="A8010" s="996" t="str">
        <f>CONCATENATE(Programme!D8011,Programme!E8011,Programme!F8011,Programme!G8011,Programme!H8011,Programme!I8011,Programme!J8011)</f>
        <v>&lt;ValeurCellule&gt;</v>
      </c>
    </row>
    <row r="8011" spans="1:1" x14ac:dyDescent="0.2">
      <c r="A8011" s="996" t="str">
        <f>CONCATENATE(Programme!D8012,Programme!E8012,Programme!F8012,Programme!G8012,Programme!H8012,Programme!I8012,Programme!J8012)</f>
        <v>&lt;cellule&gt;&lt;codeEdi&gt;2096&lt;/codeEdi&gt;&lt;/cellule&gt;</v>
      </c>
    </row>
    <row r="8012" spans="1:1" x14ac:dyDescent="0.2">
      <c r="A8012" s="996" t="str">
        <f>CONCATENATE(Programme!D8013,Programme!E8013,Programme!F8013,Programme!G8013,Programme!H8013,Programme!I8013,Programme!J8013)</f>
        <v>&lt;valeur&gt;&lt;/valeur&gt;</v>
      </c>
    </row>
    <row r="8013" spans="1:1" x14ac:dyDescent="0.2">
      <c r="A8013" s="996" t="str">
        <f>CONCATENATE(Programme!D8014,Programme!E8014,Programme!F8014,Programme!G8014,Programme!H8014,Programme!I8014,Programme!J8014)</f>
        <v>&lt;numeroLigne&gt;5&lt;/numeroLigne&gt;</v>
      </c>
    </row>
    <row r="8014" spans="1:1" x14ac:dyDescent="0.2">
      <c r="A8014" s="996" t="str">
        <f>CONCATENATE(Programme!D8015,Programme!E8015,Programme!F8015,Programme!G8015,Programme!H8015,Programme!I8015,Programme!J8015)</f>
        <v>&lt;/ValeurCellule&gt;</v>
      </c>
    </row>
    <row r="8015" spans="1:1" x14ac:dyDescent="0.2">
      <c r="A8015" s="996" t="str">
        <f>CONCATENATE(Programme!D8016,Programme!E8016,Programme!F8016,Programme!G8016,Programme!H8016,Programme!I8016,Programme!J8016)</f>
        <v>&lt;ValeurCellule&gt;</v>
      </c>
    </row>
    <row r="8016" spans="1:1" x14ac:dyDescent="0.2">
      <c r="A8016" s="996" t="str">
        <f>CONCATENATE(Programme!D8017,Programme!E8017,Programme!F8017,Programme!G8017,Programme!H8017,Programme!I8017,Programme!J8017)</f>
        <v>&lt;cellule&gt;&lt;codeEdi&gt;2097&lt;/codeEdi&gt;&lt;/cellule&gt;</v>
      </c>
    </row>
    <row r="8017" spans="1:1" x14ac:dyDescent="0.2">
      <c r="A8017" s="996" t="str">
        <f>CONCATENATE(Programme!D8018,Programme!E8018,Programme!F8018,Programme!G8018,Programme!H8018,Programme!I8018,Programme!J8018)</f>
        <v>&lt;valeur&gt;&lt;/valeur&gt;</v>
      </c>
    </row>
    <row r="8018" spans="1:1" x14ac:dyDescent="0.2">
      <c r="A8018" s="996" t="str">
        <f>CONCATENATE(Programme!D8019,Programme!E8019,Programme!F8019,Programme!G8019,Programme!H8019,Programme!I8019,Programme!J8019)</f>
        <v>&lt;numeroLigne&gt;5&lt;/numeroLigne&gt;</v>
      </c>
    </row>
    <row r="8019" spans="1:1" x14ac:dyDescent="0.2">
      <c r="A8019" s="996" t="str">
        <f>CONCATENATE(Programme!D8020,Programme!E8020,Programme!F8020,Programme!G8020,Programme!H8020,Programme!I8020,Programme!J8020)</f>
        <v>&lt;/ValeurCellule&gt;</v>
      </c>
    </row>
    <row r="8020" spans="1:1" x14ac:dyDescent="0.2">
      <c r="A8020" s="996" t="str">
        <f>CONCATENATE(Programme!D8021,Programme!E8021,Programme!F8021,Programme!G8021,Programme!H8021,Programme!I8021,Programme!J8021)</f>
        <v>&lt;ValeurCellule&gt;</v>
      </c>
    </row>
    <row r="8021" spans="1:1" x14ac:dyDescent="0.2">
      <c r="A8021" s="996" t="str">
        <f>CONCATENATE(Programme!D8022,Programme!E8022,Programme!F8022,Programme!G8022,Programme!H8022,Programme!I8022,Programme!J8022)</f>
        <v>&lt;cellule&gt;&lt;codeEdi&gt;2098&lt;/codeEdi&gt;&lt;/cellule&gt;</v>
      </c>
    </row>
    <row r="8022" spans="1:1" x14ac:dyDescent="0.2">
      <c r="A8022" s="996" t="str">
        <f>CONCATENATE(Programme!D8023,Programme!E8023,Programme!F8023,Programme!G8023,Programme!H8023,Programme!I8023,Programme!J8023)</f>
        <v>&lt;valeur&gt;&lt;/valeur&gt;</v>
      </c>
    </row>
    <row r="8023" spans="1:1" x14ac:dyDescent="0.2">
      <c r="A8023" s="996" t="str">
        <f>CONCATENATE(Programme!D8024,Programme!E8024,Programme!F8024,Programme!G8024,Programme!H8024,Programme!I8024,Programme!J8024)</f>
        <v>&lt;numeroLigne&gt;5&lt;/numeroLigne&gt;</v>
      </c>
    </row>
    <row r="8024" spans="1:1" x14ac:dyDescent="0.2">
      <c r="A8024" s="996" t="str">
        <f>CONCATENATE(Programme!D8025,Programme!E8025,Programme!F8025,Programme!G8025,Programme!H8025,Programme!I8025,Programme!J8025)</f>
        <v>&lt;/ValeurCellule&gt;</v>
      </c>
    </row>
    <row r="8025" spans="1:1" x14ac:dyDescent="0.2">
      <c r="A8025" s="996" t="str">
        <f>CONCATENATE(Programme!D8026,Programme!E8026,Programme!F8026,Programme!G8026,Programme!H8026,Programme!I8026,Programme!J8026)</f>
        <v>&lt;ValeurCellule&gt;</v>
      </c>
    </row>
    <row r="8026" spans="1:1" x14ac:dyDescent="0.2">
      <c r="A8026" s="996" t="str">
        <f>CONCATENATE(Programme!D8027,Programme!E8027,Programme!F8027,Programme!G8027,Programme!H8027,Programme!I8027,Programme!J8027)</f>
        <v>&lt;cellule&gt;&lt;codeEdi&gt;2099&lt;/codeEdi&gt;&lt;/cellule&gt;</v>
      </c>
    </row>
    <row r="8027" spans="1:1" x14ac:dyDescent="0.2">
      <c r="A8027" s="996" t="str">
        <f>CONCATENATE(Programme!D8028,Programme!E8028,Programme!F8028,Programme!G8028,Programme!H8028,Programme!I8028,Programme!J8028)</f>
        <v>&lt;valeur&gt;0&lt;/valeur&gt;</v>
      </c>
    </row>
    <row r="8028" spans="1:1" x14ac:dyDescent="0.2">
      <c r="A8028" s="996" t="str">
        <f>CONCATENATE(Programme!D8029,Programme!E8029,Programme!F8029,Programme!G8029,Programme!H8029,Programme!I8029,Programme!J8029)</f>
        <v>&lt;numeroLigne&gt;5&lt;/numeroLigne&gt;</v>
      </c>
    </row>
    <row r="8029" spans="1:1" x14ac:dyDescent="0.2">
      <c r="A8029" s="996" t="str">
        <f>CONCATENATE(Programme!D8030,Programme!E8030,Programme!F8030,Programme!G8030,Programme!H8030,Programme!I8030,Programme!J8030)</f>
        <v>&lt;/ValeurCellule&gt;</v>
      </c>
    </row>
    <row r="8030" spans="1:1" x14ac:dyDescent="0.2">
      <c r="A8030" s="996" t="str">
        <f>CONCATENATE(Programme!D8031,Programme!E8031,Programme!F8031,Programme!G8031,Programme!H8031,Programme!I8031,Programme!J8031)</f>
        <v>&lt;ValeurCellule&gt;</v>
      </c>
    </row>
    <row r="8031" spans="1:1" x14ac:dyDescent="0.2">
      <c r="A8031" s="996" t="str">
        <f>CONCATENATE(Programme!D8032,Programme!E8032,Programme!F8032,Programme!G8032,Programme!H8032,Programme!I8032,Programme!J8032)</f>
        <v>&lt;cellule&gt;&lt;codeEdi&gt;2100&lt;/codeEdi&gt;&lt;/cellule&gt;</v>
      </c>
    </row>
    <row r="8032" spans="1:1" x14ac:dyDescent="0.2">
      <c r="A8032" s="996" t="str">
        <f>CONCATENATE(Programme!D8033,Programme!E8033,Programme!F8033,Programme!G8033,Programme!H8033,Programme!I8033,Programme!J8033)</f>
        <v>&lt;valeur&gt;0&lt;/valeur&gt;</v>
      </c>
    </row>
    <row r="8033" spans="1:1" x14ac:dyDescent="0.2">
      <c r="A8033" s="996" t="str">
        <f>CONCATENATE(Programme!D8034,Programme!E8034,Programme!F8034,Programme!G8034,Programme!H8034,Programme!I8034,Programme!J8034)</f>
        <v>&lt;numeroLigne&gt;5&lt;/numeroLigne&gt;</v>
      </c>
    </row>
    <row r="8034" spans="1:1" x14ac:dyDescent="0.2">
      <c r="A8034" s="996" t="str">
        <f>CONCATENATE(Programme!D8035,Programme!E8035,Programme!F8035,Programme!G8035,Programme!H8035,Programme!I8035,Programme!J8035)</f>
        <v>&lt;/ValeurCellule&gt;</v>
      </c>
    </row>
    <row r="8035" spans="1:1" x14ac:dyDescent="0.2">
      <c r="A8035" s="996" t="str">
        <f>CONCATENATE(Programme!D8036,Programme!E8036,Programme!F8036,Programme!G8036,Programme!H8036,Programme!I8036,Programme!J8036)</f>
        <v>&lt;ValeurCellule&gt;</v>
      </c>
    </row>
    <row r="8036" spans="1:1" x14ac:dyDescent="0.2">
      <c r="A8036" s="996" t="str">
        <f>CONCATENATE(Programme!D8037,Programme!E8037,Programme!F8037,Programme!G8037,Programme!H8037,Programme!I8037,Programme!J8037)</f>
        <v>&lt;cellule&gt;&lt;codeEdi&gt;2101&lt;/codeEdi&gt;&lt;/cellule&gt;</v>
      </c>
    </row>
    <row r="8037" spans="1:1" x14ac:dyDescent="0.2">
      <c r="A8037" s="996" t="str">
        <f>CONCATENATE(Programme!D8038,Programme!E8038,Programme!F8038,Programme!G8038,Programme!H8038,Programme!I8038,Programme!J8038)</f>
        <v>&lt;valeur&gt;0&lt;/valeur&gt;</v>
      </c>
    </row>
    <row r="8038" spans="1:1" x14ac:dyDescent="0.2">
      <c r="A8038" s="996" t="str">
        <f>CONCATENATE(Programme!D8039,Programme!E8039,Programme!F8039,Programme!G8039,Programme!H8039,Programme!I8039,Programme!J8039)</f>
        <v>&lt;numeroLigne&gt;5&lt;/numeroLigne&gt;</v>
      </c>
    </row>
    <row r="8039" spans="1:1" x14ac:dyDescent="0.2">
      <c r="A8039" s="996" t="str">
        <f>CONCATENATE(Programme!D8040,Programme!E8040,Programme!F8040,Programme!G8040,Programme!H8040,Programme!I8040,Programme!J8040)</f>
        <v>&lt;/ValeurCellule&gt;</v>
      </c>
    </row>
    <row r="8040" spans="1:1" x14ac:dyDescent="0.2">
      <c r="A8040" s="996" t="str">
        <f>CONCATENATE(Programme!D8041,Programme!E8041,Programme!F8041,Programme!G8041,Programme!H8041,Programme!I8041,Programme!J8041)</f>
        <v>&lt;ValeurCellule&gt;</v>
      </c>
    </row>
    <row r="8041" spans="1:1" x14ac:dyDescent="0.2">
      <c r="A8041" s="996" t="str">
        <f>CONCATENATE(Programme!D8042,Programme!E8042,Programme!F8042,Programme!G8042,Programme!H8042,Programme!I8042,Programme!J8042)</f>
        <v>&lt;cellule&gt;&lt;codeEdi&gt;2094&lt;/codeEdi&gt;&lt;/cellule&gt;</v>
      </c>
    </row>
    <row r="8042" spans="1:1" x14ac:dyDescent="0.2">
      <c r="A8042" s="996" t="str">
        <f>CONCATENATE(Programme!D8043,Programme!E8043,Programme!F8043,Programme!G8043,Programme!H8043,Programme!I8043,Programme!J8043)</f>
        <v>&lt;valeur&gt;&lt;/valeur&gt;</v>
      </c>
    </row>
    <row r="8043" spans="1:1" x14ac:dyDescent="0.2">
      <c r="A8043" s="996" t="str">
        <f>CONCATENATE(Programme!D8044,Programme!E8044,Programme!F8044,Programme!G8044,Programme!H8044,Programme!I8044,Programme!J8044)</f>
        <v>&lt;numeroLigne&gt;6&lt;/numeroLigne&gt;</v>
      </c>
    </row>
    <row r="8044" spans="1:1" x14ac:dyDescent="0.2">
      <c r="A8044" s="996" t="str">
        <f>CONCATENATE(Programme!D8045,Programme!E8045,Programme!F8045,Programme!G8045,Programme!H8045,Programme!I8045,Programme!J8045)</f>
        <v>&lt;/ValeurCellule&gt;</v>
      </c>
    </row>
    <row r="8045" spans="1:1" x14ac:dyDescent="0.2">
      <c r="A8045" s="996" t="str">
        <f>CONCATENATE(Programme!D8046,Programme!E8046,Programme!F8046,Programme!G8046,Programme!H8046,Programme!I8046,Programme!J8046)</f>
        <v>&lt;ValeurCellule&gt;</v>
      </c>
    </row>
    <row r="8046" spans="1:1" x14ac:dyDescent="0.2">
      <c r="A8046" s="996" t="str">
        <f>CONCATENATE(Programme!D8047,Programme!E8047,Programme!F8047,Programme!G8047,Programme!H8047,Programme!I8047,Programme!J8047)</f>
        <v>&lt;cellule&gt;&lt;codeEdi&gt;13536&lt;/codeEdi&gt;&lt;/cellule&gt;</v>
      </c>
    </row>
    <row r="8047" spans="1:1" x14ac:dyDescent="0.2">
      <c r="A8047" s="996" t="str">
        <f>CONCATENATE(Programme!D8048,Programme!E8048,Programme!F8048,Programme!G8048,Programme!H8048,Programme!I8048,Programme!J8048)</f>
        <v>&lt;valeur&gt;&lt;/valeur&gt;</v>
      </c>
    </row>
    <row r="8048" spans="1:1" x14ac:dyDescent="0.2">
      <c r="A8048" s="996" t="str">
        <f>CONCATENATE(Programme!D8049,Programme!E8049,Programme!F8049,Programme!G8049,Programme!H8049,Programme!I8049,Programme!J8049)</f>
        <v>&lt;numeroLigne&gt;6&lt;/numeroLigne&gt;</v>
      </c>
    </row>
    <row r="8049" spans="1:1" x14ac:dyDescent="0.2">
      <c r="A8049" s="996" t="str">
        <f>CONCATENATE(Programme!D8050,Programme!E8050,Programme!F8050,Programme!G8050,Programme!H8050,Programme!I8050,Programme!J8050)</f>
        <v>&lt;/ValeurCellule&gt;</v>
      </c>
    </row>
    <row r="8050" spans="1:1" x14ac:dyDescent="0.2">
      <c r="A8050" s="996" t="str">
        <f>CONCATENATE(Programme!D8051,Programme!E8051,Programme!F8051,Programme!G8051,Programme!H8051,Programme!I8051,Programme!J8051)</f>
        <v>&lt;ValeurCellule&gt;</v>
      </c>
    </row>
    <row r="8051" spans="1:1" x14ac:dyDescent="0.2">
      <c r="A8051" s="996" t="str">
        <f>CONCATENATE(Programme!D8052,Programme!E8052,Programme!F8052,Programme!G8052,Programme!H8052,Programme!I8052,Programme!J8052)</f>
        <v>&lt;cellule&gt;&lt;codeEdi&gt;13537&lt;/codeEdi&gt;&lt;/cellule&gt;</v>
      </c>
    </row>
    <row r="8052" spans="1:1" x14ac:dyDescent="0.2">
      <c r="A8052" s="996" t="str">
        <f>CONCATENATE(Programme!D8053,Programme!E8053,Programme!F8053,Programme!G8053,Programme!H8053,Programme!I8053,Programme!J8053)</f>
        <v>&lt;valeur&gt;&lt;/valeur&gt;</v>
      </c>
    </row>
    <row r="8053" spans="1:1" x14ac:dyDescent="0.2">
      <c r="A8053" s="996" t="str">
        <f>CONCATENATE(Programme!D8054,Programme!E8054,Programme!F8054,Programme!G8054,Programme!H8054,Programme!I8054,Programme!J8054)</f>
        <v>&lt;numeroLigne&gt;6&lt;/numeroLigne&gt;</v>
      </c>
    </row>
    <row r="8054" spans="1:1" x14ac:dyDescent="0.2">
      <c r="A8054" s="996" t="str">
        <f>CONCATENATE(Programme!D8055,Programme!E8055,Programme!F8055,Programme!G8055,Programme!H8055,Programme!I8055,Programme!J8055)</f>
        <v>&lt;/ValeurCellule&gt;</v>
      </c>
    </row>
    <row r="8055" spans="1:1" x14ac:dyDescent="0.2">
      <c r="A8055" s="996" t="str">
        <f>CONCATENATE(Programme!D8056,Programme!E8056,Programme!F8056,Programme!G8056,Programme!H8056,Programme!I8056,Programme!J8056)</f>
        <v>&lt;ValeurCellule&gt;</v>
      </c>
    </row>
    <row r="8056" spans="1:1" x14ac:dyDescent="0.2">
      <c r="A8056" s="996" t="str">
        <f>CONCATENATE(Programme!D8057,Programme!E8057,Programme!F8057,Programme!G8057,Programme!H8057,Programme!I8057,Programme!J8057)</f>
        <v>&lt;cellule&gt;&lt;codeEdi&gt;2095&lt;/codeEdi&gt;&lt;/cellule&gt;</v>
      </c>
    </row>
    <row r="8057" spans="1:1" x14ac:dyDescent="0.2">
      <c r="A8057" s="996" t="str">
        <f>CONCATENATE(Programme!D8058,Programme!E8058,Programme!F8058,Programme!G8058,Programme!H8058,Programme!I8058,Programme!J8058)</f>
        <v>&lt;valeur&gt;&lt;/valeur&gt;</v>
      </c>
    </row>
    <row r="8058" spans="1:1" x14ac:dyDescent="0.2">
      <c r="A8058" s="996" t="str">
        <f>CONCATENATE(Programme!D8059,Programme!E8059,Programme!F8059,Programme!G8059,Programme!H8059,Programme!I8059,Programme!J8059)</f>
        <v>&lt;numeroLigne&gt;6&lt;/numeroLigne&gt;</v>
      </c>
    </row>
    <row r="8059" spans="1:1" x14ac:dyDescent="0.2">
      <c r="A8059" s="996" t="str">
        <f>CONCATENATE(Programme!D8060,Programme!E8060,Programme!F8060,Programme!G8060,Programme!H8060,Programme!I8060,Programme!J8060)</f>
        <v>&lt;/ValeurCellule&gt;</v>
      </c>
    </row>
    <row r="8060" spans="1:1" x14ac:dyDescent="0.2">
      <c r="A8060" s="996" t="str">
        <f>CONCATENATE(Programme!D8061,Programme!E8061,Programme!F8061,Programme!G8061,Programme!H8061,Programme!I8061,Programme!J8061)</f>
        <v>&lt;ValeurCellule&gt;</v>
      </c>
    </row>
    <row r="8061" spans="1:1" x14ac:dyDescent="0.2">
      <c r="A8061" s="996" t="str">
        <f>CONCATENATE(Programme!D8062,Programme!E8062,Programme!F8062,Programme!G8062,Programme!H8062,Programme!I8062,Programme!J8062)</f>
        <v>&lt;cellule&gt;&lt;codeEdi&gt;2096&lt;/codeEdi&gt;&lt;/cellule&gt;</v>
      </c>
    </row>
    <row r="8062" spans="1:1" x14ac:dyDescent="0.2">
      <c r="A8062" s="996" t="str">
        <f>CONCATENATE(Programme!D8063,Programme!E8063,Programme!F8063,Programme!G8063,Programme!H8063,Programme!I8063,Programme!J8063)</f>
        <v>&lt;valeur&gt;&lt;/valeur&gt;</v>
      </c>
    </row>
    <row r="8063" spans="1:1" x14ac:dyDescent="0.2">
      <c r="A8063" s="996" t="str">
        <f>CONCATENATE(Programme!D8064,Programme!E8064,Programme!F8064,Programme!G8064,Programme!H8064,Programme!I8064,Programme!J8064)</f>
        <v>&lt;numeroLigne&gt;6&lt;/numeroLigne&gt;</v>
      </c>
    </row>
    <row r="8064" spans="1:1" x14ac:dyDescent="0.2">
      <c r="A8064" s="996" t="str">
        <f>CONCATENATE(Programme!D8065,Programme!E8065,Programme!F8065,Programme!G8065,Programme!H8065,Programme!I8065,Programme!J8065)</f>
        <v>&lt;/ValeurCellule&gt;</v>
      </c>
    </row>
    <row r="8065" spans="1:1" x14ac:dyDescent="0.2">
      <c r="A8065" s="996" t="str">
        <f>CONCATENATE(Programme!D8066,Programme!E8066,Programme!F8066,Programme!G8066,Programme!H8066,Programme!I8066,Programme!J8066)</f>
        <v>&lt;ValeurCellule&gt;</v>
      </c>
    </row>
    <row r="8066" spans="1:1" x14ac:dyDescent="0.2">
      <c r="A8066" s="996" t="str">
        <f>CONCATENATE(Programme!D8067,Programme!E8067,Programme!F8067,Programme!G8067,Programme!H8067,Programme!I8067,Programme!J8067)</f>
        <v>&lt;cellule&gt;&lt;codeEdi&gt;2097&lt;/codeEdi&gt;&lt;/cellule&gt;</v>
      </c>
    </row>
    <row r="8067" spans="1:1" x14ac:dyDescent="0.2">
      <c r="A8067" s="996" t="str">
        <f>CONCATENATE(Programme!D8068,Programme!E8068,Programme!F8068,Programme!G8068,Programme!H8068,Programme!I8068,Programme!J8068)</f>
        <v>&lt;valeur&gt;&lt;/valeur&gt;</v>
      </c>
    </row>
    <row r="8068" spans="1:1" x14ac:dyDescent="0.2">
      <c r="A8068" s="996" t="str">
        <f>CONCATENATE(Programme!D8069,Programme!E8069,Programme!F8069,Programme!G8069,Programme!H8069,Programme!I8069,Programme!J8069)</f>
        <v>&lt;numeroLigne&gt;6&lt;/numeroLigne&gt;</v>
      </c>
    </row>
    <row r="8069" spans="1:1" x14ac:dyDescent="0.2">
      <c r="A8069" s="996" t="str">
        <f>CONCATENATE(Programme!D8070,Programme!E8070,Programme!F8070,Programme!G8070,Programme!H8070,Programme!I8070,Programme!J8070)</f>
        <v>&lt;/ValeurCellule&gt;</v>
      </c>
    </row>
    <row r="8070" spans="1:1" x14ac:dyDescent="0.2">
      <c r="A8070" s="996" t="str">
        <f>CONCATENATE(Programme!D8071,Programme!E8071,Programme!F8071,Programme!G8071,Programme!H8071,Programme!I8071,Programme!J8071)</f>
        <v>&lt;ValeurCellule&gt;</v>
      </c>
    </row>
    <row r="8071" spans="1:1" x14ac:dyDescent="0.2">
      <c r="A8071" s="996" t="str">
        <f>CONCATENATE(Programme!D8072,Programme!E8072,Programme!F8072,Programme!G8072,Programme!H8072,Programme!I8072,Programme!J8072)</f>
        <v>&lt;cellule&gt;&lt;codeEdi&gt;2098&lt;/codeEdi&gt;&lt;/cellule&gt;</v>
      </c>
    </row>
    <row r="8072" spans="1:1" x14ac:dyDescent="0.2">
      <c r="A8072" s="996" t="str">
        <f>CONCATENATE(Programme!D8073,Programme!E8073,Programme!F8073,Programme!G8073,Programme!H8073,Programme!I8073,Programme!J8073)</f>
        <v>&lt;valeur&gt;&lt;/valeur&gt;</v>
      </c>
    </row>
    <row r="8073" spans="1:1" x14ac:dyDescent="0.2">
      <c r="A8073" s="996" t="str">
        <f>CONCATENATE(Programme!D8074,Programme!E8074,Programme!F8074,Programme!G8074,Programme!H8074,Programme!I8074,Programme!J8074)</f>
        <v>&lt;numeroLigne&gt;6&lt;/numeroLigne&gt;</v>
      </c>
    </row>
    <row r="8074" spans="1:1" x14ac:dyDescent="0.2">
      <c r="A8074" s="996" t="str">
        <f>CONCATENATE(Programme!D8075,Programme!E8075,Programme!F8075,Programme!G8075,Programme!H8075,Programme!I8075,Programme!J8075)</f>
        <v>&lt;/ValeurCellule&gt;</v>
      </c>
    </row>
    <row r="8075" spans="1:1" x14ac:dyDescent="0.2">
      <c r="A8075" s="996" t="str">
        <f>CONCATENATE(Programme!D8076,Programme!E8076,Programme!F8076,Programme!G8076,Programme!H8076,Programme!I8076,Programme!J8076)</f>
        <v>&lt;ValeurCellule&gt;</v>
      </c>
    </row>
    <row r="8076" spans="1:1" x14ac:dyDescent="0.2">
      <c r="A8076" s="996" t="str">
        <f>CONCATENATE(Programme!D8077,Programme!E8077,Programme!F8077,Programme!G8077,Programme!H8077,Programme!I8077,Programme!J8077)</f>
        <v>&lt;cellule&gt;&lt;codeEdi&gt;2099&lt;/codeEdi&gt;&lt;/cellule&gt;</v>
      </c>
    </row>
    <row r="8077" spans="1:1" x14ac:dyDescent="0.2">
      <c r="A8077" s="996" t="str">
        <f>CONCATENATE(Programme!D8078,Programme!E8078,Programme!F8078,Programme!G8078,Programme!H8078,Programme!I8078,Programme!J8078)</f>
        <v>&lt;valeur&gt;0&lt;/valeur&gt;</v>
      </c>
    </row>
    <row r="8078" spans="1:1" x14ac:dyDescent="0.2">
      <c r="A8078" s="996" t="str">
        <f>CONCATENATE(Programme!D8079,Programme!E8079,Programme!F8079,Programme!G8079,Programme!H8079,Programme!I8079,Programme!J8079)</f>
        <v>&lt;numeroLigne&gt;6&lt;/numeroLigne&gt;</v>
      </c>
    </row>
    <row r="8079" spans="1:1" x14ac:dyDescent="0.2">
      <c r="A8079" s="996" t="str">
        <f>CONCATENATE(Programme!D8080,Programme!E8080,Programme!F8080,Programme!G8080,Programme!H8080,Programme!I8080,Programme!J8080)</f>
        <v>&lt;/ValeurCellule&gt;</v>
      </c>
    </row>
    <row r="8080" spans="1:1" x14ac:dyDescent="0.2">
      <c r="A8080" s="996" t="str">
        <f>CONCATENATE(Programme!D8081,Programme!E8081,Programme!F8081,Programme!G8081,Programme!H8081,Programme!I8081,Programme!J8081)</f>
        <v>&lt;ValeurCellule&gt;</v>
      </c>
    </row>
    <row r="8081" spans="1:1" x14ac:dyDescent="0.2">
      <c r="A8081" s="996" t="str">
        <f>CONCATENATE(Programme!D8082,Programme!E8082,Programme!F8082,Programme!G8082,Programme!H8082,Programme!I8082,Programme!J8082)</f>
        <v>&lt;cellule&gt;&lt;codeEdi&gt;2100&lt;/codeEdi&gt;&lt;/cellule&gt;</v>
      </c>
    </row>
    <row r="8082" spans="1:1" x14ac:dyDescent="0.2">
      <c r="A8082" s="996" t="str">
        <f>CONCATENATE(Programme!D8083,Programme!E8083,Programme!F8083,Programme!G8083,Programme!H8083,Programme!I8083,Programme!J8083)</f>
        <v>&lt;valeur&gt;0&lt;/valeur&gt;</v>
      </c>
    </row>
    <row r="8083" spans="1:1" x14ac:dyDescent="0.2">
      <c r="A8083" s="996" t="str">
        <f>CONCATENATE(Programme!D8084,Programme!E8084,Programme!F8084,Programme!G8084,Programme!H8084,Programme!I8084,Programme!J8084)</f>
        <v>&lt;numeroLigne&gt;6&lt;/numeroLigne&gt;</v>
      </c>
    </row>
    <row r="8084" spans="1:1" x14ac:dyDescent="0.2">
      <c r="A8084" s="996" t="str">
        <f>CONCATENATE(Programme!D8085,Programme!E8085,Programme!F8085,Programme!G8085,Programme!H8085,Programme!I8085,Programme!J8085)</f>
        <v>&lt;/ValeurCellule&gt;</v>
      </c>
    </row>
    <row r="8085" spans="1:1" x14ac:dyDescent="0.2">
      <c r="A8085" s="996" t="str">
        <f>CONCATENATE(Programme!D8086,Programme!E8086,Programme!F8086,Programme!G8086,Programme!H8086,Programme!I8086,Programme!J8086)</f>
        <v>&lt;ValeurCellule&gt;</v>
      </c>
    </row>
    <row r="8086" spans="1:1" x14ac:dyDescent="0.2">
      <c r="A8086" s="996" t="str">
        <f>CONCATENATE(Programme!D8087,Programme!E8087,Programme!F8087,Programme!G8087,Programme!H8087,Programme!I8087,Programme!J8087)</f>
        <v>&lt;cellule&gt;&lt;codeEdi&gt;2101&lt;/codeEdi&gt;&lt;/cellule&gt;</v>
      </c>
    </row>
    <row r="8087" spans="1:1" x14ac:dyDescent="0.2">
      <c r="A8087" s="996" t="str">
        <f>CONCATENATE(Programme!D8088,Programme!E8088,Programme!F8088,Programme!G8088,Programme!H8088,Programme!I8088,Programme!J8088)</f>
        <v>&lt;valeur&gt;0&lt;/valeur&gt;</v>
      </c>
    </row>
    <row r="8088" spans="1:1" x14ac:dyDescent="0.2">
      <c r="A8088" s="996" t="str">
        <f>CONCATENATE(Programme!D8089,Programme!E8089,Programme!F8089,Programme!G8089,Programme!H8089,Programme!I8089,Programme!J8089)</f>
        <v>&lt;numeroLigne&gt;6&lt;/numeroLigne&gt;</v>
      </c>
    </row>
    <row r="8089" spans="1:1" x14ac:dyDescent="0.2">
      <c r="A8089" s="996" t="str">
        <f>CONCATENATE(Programme!D8090,Programme!E8090,Programme!F8090,Programme!G8090,Programme!H8090,Programme!I8090,Programme!J8090)</f>
        <v>&lt;/ValeurCellule&gt;</v>
      </c>
    </row>
    <row r="8090" spans="1:1" x14ac:dyDescent="0.2">
      <c r="A8090" s="996" t="str">
        <f>CONCATENATE(Programme!D8091,Programme!E8091,Programme!F8091,Programme!G8091,Programme!H8091,Programme!I8091,Programme!J8091)</f>
        <v>&lt;/groupeValeurs&gt;</v>
      </c>
    </row>
    <row r="8091" spans="1:1" x14ac:dyDescent="0.2">
      <c r="A8091" s="996" t="str">
        <f>CONCATENATE(Programme!D8092,Programme!E8092,Programme!F8092,Programme!G8092,Programme!H8092,Programme!I8092,Programme!J8092)</f>
        <v>&lt;extraFieldvaleurs&gt;</v>
      </c>
    </row>
    <row r="8092" spans="1:1" x14ac:dyDescent="0.2">
      <c r="A8092" s="996" t="str">
        <f>CONCATENATE(Programme!D8093,Programme!E8093,Programme!F8093,Programme!G8093,Programme!H8093,Programme!I8093,Programme!J8093)</f>
        <v>&lt;ExtraFieldValeur&gt;</v>
      </c>
    </row>
    <row r="8093" spans="1:1" x14ac:dyDescent="0.2">
      <c r="A8093" s="996" t="str">
        <f>CONCATENATE(Programme!D8094,Programme!E8094,Programme!F8094,Programme!G8094,Programme!H8094,Programme!I8094,Programme!J8094)</f>
        <v xml:space="preserve"> &lt;extraField&gt;</v>
      </c>
    </row>
    <row r="8094" spans="1:1" x14ac:dyDescent="0.2">
      <c r="A8094" s="996" t="str">
        <f>CONCATENATE(Programme!D8095,Programme!E8095,Programme!F8095,Programme!G8095,Programme!H8095,Programme!I8095,Programme!J8095)</f>
        <v>&lt;code&gt;18&lt;/code&gt;</v>
      </c>
    </row>
    <row r="8095" spans="1:1" x14ac:dyDescent="0.2">
      <c r="A8095" s="996" t="str">
        <f>CONCATENATE(Programme!D8096,Programme!E8096,Programme!F8096,Programme!G8096,Programme!H8096,Programme!I8096,Programme!J8096)</f>
        <v xml:space="preserve">&lt;/extraField&gt; </v>
      </c>
    </row>
    <row r="8096" spans="1:1" x14ac:dyDescent="0.2">
      <c r="A8096" s="996" t="str">
        <f>CONCATENATE(Programme!D8097,Programme!E8097,Programme!F8097,Programme!G8097,Programme!H8097,Programme!I8097,Programme!J8097)</f>
        <v>&lt;valeur&gt;100000&lt;/valeur&gt;</v>
      </c>
    </row>
    <row r="8097" spans="1:1" x14ac:dyDescent="0.2">
      <c r="A8097" s="996" t="str">
        <f>CONCATENATE(Programme!D8098,Programme!E8098,Programme!F8098,Programme!G8098,Programme!H8098,Programme!I8098,Programme!J8098)</f>
        <v>&lt;/ExtraFieldValeur&gt;</v>
      </c>
    </row>
    <row r="8098" spans="1:1" x14ac:dyDescent="0.2">
      <c r="A8098" s="996" t="str">
        <f>CONCATENATE(Programme!D8099,Programme!E8099,Programme!F8099,Programme!G8099,Programme!H8099,Programme!I8099,Programme!J8099)</f>
        <v>&lt;/extraFieldvaleurs&gt;</v>
      </c>
    </row>
    <row r="8099" spans="1:1" x14ac:dyDescent="0.2">
      <c r="A8099" s="996" t="str">
        <f>CONCATENATE(Programme!D8100,Programme!E8100,Programme!F8100,Programme!G8100,Programme!H8100,Programme!I8100,Programme!J8100)</f>
        <v>&lt;/ValeursTableau&gt;</v>
      </c>
    </row>
    <row r="8100" spans="1:1" x14ac:dyDescent="0.2">
      <c r="A8100" s="996" t="str">
        <f>CONCATENATE(Programme!D8101,Programme!E8101,Programme!F8101,Programme!G8101,Programme!H8101,Programme!I8101,Programme!J8101)</f>
        <v>&lt;ValeursTableau&gt;</v>
      </c>
    </row>
    <row r="8101" spans="1:1" x14ac:dyDescent="0.2">
      <c r="A8101" s="996" t="str">
        <f>CONCATENATE(Programme!D8102,Programme!E8102,Programme!F8102,Programme!G8102,Programme!H8102,Programme!I8102,Programme!J8102)</f>
        <v>&lt;tableau&gt;&lt;id&gt;5&lt;/id&gt;&lt;/tableau&gt;</v>
      </c>
    </row>
    <row r="8102" spans="1:1" x14ac:dyDescent="0.2">
      <c r="A8102" s="996" t="str">
        <f>CONCATENATE(Programme!D8103,Programme!E8103,Programme!F8103,Programme!G8103,Programme!H8103,Programme!I8103,Programme!J8103)</f>
        <v>&lt;groupeValeurs&gt;</v>
      </c>
    </row>
    <row r="8103" spans="1:1" x14ac:dyDescent="0.2">
      <c r="A8103" s="996" t="str">
        <f>CONCATENATE(Programme!D8104,Programme!E8104,Programme!F8104,Programme!G8104,Programme!H8104,Programme!I8104,Programme!J8104)</f>
        <v>&lt;ValeurCellule&gt;</v>
      </c>
    </row>
    <row r="8104" spans="1:1" x14ac:dyDescent="0.2">
      <c r="A8104" s="996" t="str">
        <f>CONCATENATE(Programme!D8105,Programme!E8105,Programme!F8105,Programme!G8105,Programme!H8105,Programme!I8105,Programme!J8105)</f>
        <v>&lt;cellule&gt;</v>
      </c>
    </row>
    <row r="8105" spans="1:1" x14ac:dyDescent="0.2">
      <c r="A8105" s="996" t="str">
        <f>CONCATENATE(Programme!D8106,Programme!E8106,Programme!F8106,Programme!G8106,Programme!H8106,Programme!I8106,Programme!J8106)</f>
        <v>&lt;codeEdi&gt;471&lt;/codeEdi&gt;</v>
      </c>
    </row>
    <row r="8106" spans="1:1" x14ac:dyDescent="0.2">
      <c r="A8106" s="996" t="str">
        <f>CONCATENATE(Programme!D8107,Programme!E8107,Programme!F8107,Programme!G8107,Programme!H8107,Programme!I8107,Programme!J8107)</f>
        <v>&lt;/cellule&gt;</v>
      </c>
    </row>
    <row r="8107" spans="1:1" x14ac:dyDescent="0.2">
      <c r="A8107" s="996" t="str">
        <f>CONCATENATE(Programme!D8108,Programme!E8108,Programme!F8108,Programme!G8108,Programme!H8108,Programme!I8108,Programme!J8108)</f>
        <v>&lt;valeur&gt;&lt;/valeur&gt;</v>
      </c>
    </row>
    <row r="8108" spans="1:1" x14ac:dyDescent="0.2">
      <c r="A8108" s="996" t="str">
        <f>CONCATENATE(Programme!D8109,Programme!E8109,Programme!F8109,Programme!G8109,Programme!H8109,Programme!I8109,Programme!J8109)</f>
        <v>&lt;/ValeurCellule&gt;</v>
      </c>
    </row>
    <row r="8109" spans="1:1" x14ac:dyDescent="0.2">
      <c r="A8109" s="996" t="str">
        <f>CONCATENATE(Programme!D8110,Programme!E8110,Programme!F8110,Programme!G8110,Programme!H8110,Programme!I8110,Programme!J8110)</f>
        <v>&lt;ValeurCellule&gt;</v>
      </c>
    </row>
    <row r="8110" spans="1:1" x14ac:dyDescent="0.2">
      <c r="A8110" s="996" t="str">
        <f>CONCATENATE(Programme!D8111,Programme!E8111,Programme!F8111,Programme!G8111,Programme!H8111,Programme!I8111,Programme!J8111)</f>
        <v>&lt;cellule&gt;</v>
      </c>
    </row>
    <row r="8111" spans="1:1" x14ac:dyDescent="0.2">
      <c r="A8111" s="996" t="str">
        <f>CONCATENATE(Programme!D8112,Programme!E8112,Programme!F8112,Programme!G8112,Programme!H8112,Programme!I8112,Programme!J8112)</f>
        <v>&lt;codeEdi&gt;473&lt;/codeEdi&gt;</v>
      </c>
    </row>
    <row r="8112" spans="1:1" x14ac:dyDescent="0.2">
      <c r="A8112" s="996" t="str">
        <f>CONCATENATE(Programme!D8113,Programme!E8113,Programme!F8113,Programme!G8113,Programme!H8113,Programme!I8113,Programme!J8113)</f>
        <v>&lt;/cellule&gt;</v>
      </c>
    </row>
    <row r="8113" spans="1:1" x14ac:dyDescent="0.2">
      <c r="A8113" s="996" t="str">
        <f>CONCATENATE(Programme!D8114,Programme!E8114,Programme!F8114,Programme!G8114,Programme!H8114,Programme!I8114,Programme!J8114)</f>
        <v>&lt;valeur&gt;&lt;/valeur&gt;</v>
      </c>
    </row>
    <row r="8114" spans="1:1" x14ac:dyDescent="0.2">
      <c r="A8114" s="996" t="str">
        <f>CONCATENATE(Programme!D8115,Programme!E8115,Programme!F8115,Programme!G8115,Programme!H8115,Programme!I8115,Programme!J8115)</f>
        <v>&lt;/ValeurCellule&gt;</v>
      </c>
    </row>
    <row r="8115" spans="1:1" x14ac:dyDescent="0.2">
      <c r="A8115" s="996" t="str">
        <f>CONCATENATE(Programme!D8116,Programme!E8116,Programme!F8116,Programme!G8116,Programme!H8116,Programme!I8116,Programme!J8116)</f>
        <v>&lt;ValeurCellule&gt;</v>
      </c>
    </row>
    <row r="8116" spans="1:1" x14ac:dyDescent="0.2">
      <c r="A8116" s="996" t="str">
        <f>CONCATENATE(Programme!D8117,Programme!E8117,Programme!F8117,Programme!G8117,Programme!H8117,Programme!I8117,Programme!J8117)</f>
        <v>&lt;cellule&gt;</v>
      </c>
    </row>
    <row r="8117" spans="1:1" x14ac:dyDescent="0.2">
      <c r="A8117" s="996" t="str">
        <f>CONCATENATE(Programme!D8118,Programme!E8118,Programme!F8118,Programme!G8118,Programme!H8118,Programme!I8118,Programme!J8118)</f>
        <v>&lt;codeEdi&gt;475&lt;/codeEdi&gt;</v>
      </c>
    </row>
    <row r="8118" spans="1:1" x14ac:dyDescent="0.2">
      <c r="A8118" s="996" t="str">
        <f>CONCATENATE(Programme!D8119,Programme!E8119,Programme!F8119,Programme!G8119,Programme!H8119,Programme!I8119,Programme!J8119)</f>
        <v>&lt;/cellule&gt;</v>
      </c>
    </row>
    <row r="8119" spans="1:1" x14ac:dyDescent="0.2">
      <c r="A8119" s="996" t="str">
        <f>CONCATENATE(Programme!D8120,Programme!E8120,Programme!F8120,Programme!G8120,Programme!H8120,Programme!I8120,Programme!J8120)</f>
        <v>&lt;valeur&gt;&lt;/valeur&gt;</v>
      </c>
    </row>
    <row r="8120" spans="1:1" x14ac:dyDescent="0.2">
      <c r="A8120" s="996" t="str">
        <f>CONCATENATE(Programme!D8121,Programme!E8121,Programme!F8121,Programme!G8121,Programme!H8121,Programme!I8121,Programme!J8121)</f>
        <v>&lt;/ValeurCellule&gt;</v>
      </c>
    </row>
    <row r="8121" spans="1:1" x14ac:dyDescent="0.2">
      <c r="A8121" s="996" t="str">
        <f>CONCATENATE(Programme!D8122,Programme!E8122,Programme!F8122,Programme!G8122,Programme!H8122,Programme!I8122,Programme!J8122)</f>
        <v>&lt;ValeurCellule&gt;</v>
      </c>
    </row>
    <row r="8122" spans="1:1" x14ac:dyDescent="0.2">
      <c r="A8122" s="996" t="str">
        <f>CONCATENATE(Programme!D8123,Programme!E8123,Programme!F8123,Programme!G8123,Programme!H8123,Programme!I8123,Programme!J8123)</f>
        <v>&lt;cellule&gt;</v>
      </c>
    </row>
    <row r="8123" spans="1:1" x14ac:dyDescent="0.2">
      <c r="A8123" s="996" t="str">
        <f>CONCATENATE(Programme!D8124,Programme!E8124,Programme!F8124,Programme!G8124,Programme!H8124,Programme!I8124,Programme!J8124)</f>
        <v>&lt;codeEdi&gt;477&lt;/codeEdi&gt;</v>
      </c>
    </row>
    <row r="8124" spans="1:1" x14ac:dyDescent="0.2">
      <c r="A8124" s="996" t="str">
        <f>CONCATENATE(Programme!D8125,Programme!E8125,Programme!F8125,Programme!G8125,Programme!H8125,Programme!I8125,Programme!J8125)</f>
        <v>&lt;/cellule&gt;</v>
      </c>
    </row>
    <row r="8125" spans="1:1" x14ac:dyDescent="0.2">
      <c r="A8125" s="996" t="str">
        <f>CONCATENATE(Programme!D8126,Programme!E8126,Programme!F8126,Programme!G8126,Programme!H8126,Programme!I8126,Programme!J8126)</f>
        <v>&lt;valeur&gt;&lt;/valeur&gt;</v>
      </c>
    </row>
    <row r="8126" spans="1:1" x14ac:dyDescent="0.2">
      <c r="A8126" s="996" t="str">
        <f>CONCATENATE(Programme!D8127,Programme!E8127,Programme!F8127,Programme!G8127,Programme!H8127,Programme!I8127,Programme!J8127)</f>
        <v>&lt;/ValeurCellule&gt;</v>
      </c>
    </row>
    <row r="8127" spans="1:1" x14ac:dyDescent="0.2">
      <c r="A8127" s="996" t="str">
        <f>CONCATENATE(Programme!D8128,Programme!E8128,Programme!F8128,Programme!G8128,Programme!H8128,Programme!I8128,Programme!J8128)</f>
        <v>&lt;ValeurCellule&gt;</v>
      </c>
    </row>
    <row r="8128" spans="1:1" x14ac:dyDescent="0.2">
      <c r="A8128" s="996" t="str">
        <f>CONCATENATE(Programme!D8129,Programme!E8129,Programme!F8129,Programme!G8129,Programme!H8129,Programme!I8129,Programme!J8129)</f>
        <v>&lt;cellule&gt;</v>
      </c>
    </row>
    <row r="8129" spans="1:1" x14ac:dyDescent="0.2">
      <c r="A8129" s="996" t="str">
        <f>CONCATENATE(Programme!D8130,Programme!E8130,Programme!F8130,Programme!G8130,Programme!H8130,Programme!I8130,Programme!J8130)</f>
        <v>&lt;codeEdi&gt;479&lt;/codeEdi&gt;</v>
      </c>
    </row>
    <row r="8130" spans="1:1" x14ac:dyDescent="0.2">
      <c r="A8130" s="996" t="str">
        <f>CONCATENATE(Programme!D8131,Programme!E8131,Programme!F8131,Programme!G8131,Programme!H8131,Programme!I8131,Programme!J8131)</f>
        <v>&lt;/cellule&gt;</v>
      </c>
    </row>
    <row r="8131" spans="1:1" x14ac:dyDescent="0.2">
      <c r="A8131" s="996" t="str">
        <f>CONCATENATE(Programme!D8132,Programme!E8132,Programme!F8132,Programme!G8132,Programme!H8132,Programme!I8132,Programme!J8132)</f>
        <v>&lt;valeur&gt;&lt;/valeur&gt;</v>
      </c>
    </row>
    <row r="8132" spans="1:1" x14ac:dyDescent="0.2">
      <c r="A8132" s="996" t="str">
        <f>CONCATENATE(Programme!D8133,Programme!E8133,Programme!F8133,Programme!G8133,Programme!H8133,Programme!I8133,Programme!J8133)</f>
        <v>&lt;/ValeurCellule&gt;</v>
      </c>
    </row>
    <row r="8133" spans="1:1" x14ac:dyDescent="0.2">
      <c r="A8133" s="996" t="str">
        <f>CONCATENATE(Programme!D8134,Programme!E8134,Programme!F8134,Programme!G8134,Programme!H8134,Programme!I8134,Programme!J8134)</f>
        <v>&lt;ValeurCellule&gt;</v>
      </c>
    </row>
    <row r="8134" spans="1:1" x14ac:dyDescent="0.2">
      <c r="A8134" s="996" t="str">
        <f>CONCATENATE(Programme!D8135,Programme!E8135,Programme!F8135,Programme!G8135,Programme!H8135,Programme!I8135,Programme!J8135)</f>
        <v>&lt;cellule&gt;</v>
      </c>
    </row>
    <row r="8135" spans="1:1" x14ac:dyDescent="0.2">
      <c r="A8135" s="996" t="str">
        <f>CONCATENATE(Programme!D8136,Programme!E8136,Programme!F8136,Programme!G8136,Programme!H8136,Programme!I8136,Programme!J8136)</f>
        <v>&lt;codeEdi&gt;481&lt;/codeEdi&gt;</v>
      </c>
    </row>
    <row r="8136" spans="1:1" x14ac:dyDescent="0.2">
      <c r="A8136" s="996" t="str">
        <f>CONCATENATE(Programme!D8137,Programme!E8137,Programme!F8137,Programme!G8137,Programme!H8137,Programme!I8137,Programme!J8137)</f>
        <v>&lt;/cellule&gt;</v>
      </c>
    </row>
    <row r="8137" spans="1:1" x14ac:dyDescent="0.2">
      <c r="A8137" s="996" t="str">
        <f>CONCATENATE(Programme!D8138,Programme!E8138,Programme!F8138,Programme!G8138,Programme!H8138,Programme!I8138,Programme!J8138)</f>
        <v>&lt;valeur&gt;0&lt;/valeur&gt;</v>
      </c>
    </row>
    <row r="8138" spans="1:1" x14ac:dyDescent="0.2">
      <c r="A8138" s="996" t="str">
        <f>CONCATENATE(Programme!D8139,Programme!E8139,Programme!F8139,Programme!G8139,Programme!H8139,Programme!I8139,Programme!J8139)</f>
        <v>&lt;/ValeurCellule&gt;</v>
      </c>
    </row>
    <row r="8139" spans="1:1" x14ac:dyDescent="0.2">
      <c r="A8139" s="996" t="str">
        <f>CONCATENATE(Programme!D8140,Programme!E8140,Programme!F8140,Programme!G8140,Programme!H8140,Programme!I8140,Programme!J8140)</f>
        <v>&lt;ValeurCellule&gt;</v>
      </c>
    </row>
    <row r="8140" spans="1:1" x14ac:dyDescent="0.2">
      <c r="A8140" s="996" t="str">
        <f>CONCATENATE(Programme!D8141,Programme!E8141,Programme!F8141,Programme!G8141,Programme!H8141,Programme!I8141,Programme!J8141)</f>
        <v>&lt;cellule&gt;</v>
      </c>
    </row>
    <row r="8141" spans="1:1" x14ac:dyDescent="0.2">
      <c r="A8141" s="996" t="str">
        <f>CONCATENATE(Programme!D8142,Programme!E8142,Programme!F8142,Programme!G8142,Programme!H8142,Programme!I8142,Programme!J8142)</f>
        <v>&lt;codeEdi&gt;483&lt;/codeEdi&gt;</v>
      </c>
    </row>
    <row r="8142" spans="1:1" x14ac:dyDescent="0.2">
      <c r="A8142" s="996" t="str">
        <f>CONCATENATE(Programme!D8143,Programme!E8143,Programme!F8143,Programme!G8143,Programme!H8143,Programme!I8143,Programme!J8143)</f>
        <v>&lt;/cellule&gt;</v>
      </c>
    </row>
    <row r="8143" spans="1:1" x14ac:dyDescent="0.2">
      <c r="A8143" s="996" t="str">
        <f>CONCATENATE(Programme!D8144,Programme!E8144,Programme!F8144,Programme!G8144,Programme!H8144,Programme!I8144,Programme!J8144)</f>
        <v>&lt;valeur&gt;&lt;/valeur&gt;</v>
      </c>
    </row>
    <row r="8144" spans="1:1" x14ac:dyDescent="0.2">
      <c r="A8144" s="996" t="str">
        <f>CONCATENATE(Programme!D8145,Programme!E8145,Programme!F8145,Programme!G8145,Programme!H8145,Programme!I8145,Programme!J8145)</f>
        <v>&lt;/ValeurCellule&gt;</v>
      </c>
    </row>
    <row r="8145" spans="1:1" x14ac:dyDescent="0.2">
      <c r="A8145" s="996" t="str">
        <f>CONCATENATE(Programme!D8146,Programme!E8146,Programme!F8146,Programme!G8146,Programme!H8146,Programme!I8146,Programme!J8146)</f>
        <v>&lt;ValeurCellule&gt;</v>
      </c>
    </row>
    <row r="8146" spans="1:1" x14ac:dyDescent="0.2">
      <c r="A8146" s="996" t="str">
        <f>CONCATENATE(Programme!D8147,Programme!E8147,Programme!F8147,Programme!G8147,Programme!H8147,Programme!I8147,Programme!J8147)</f>
        <v>&lt;cellule&gt;</v>
      </c>
    </row>
    <row r="8147" spans="1:1" x14ac:dyDescent="0.2">
      <c r="A8147" s="996" t="str">
        <f>CONCATENATE(Programme!D8148,Programme!E8148,Programme!F8148,Programme!G8148,Programme!H8148,Programme!I8148,Programme!J8148)</f>
        <v>&lt;codeEdi&gt;485&lt;/codeEdi&gt;</v>
      </c>
    </row>
    <row r="8148" spans="1:1" x14ac:dyDescent="0.2">
      <c r="A8148" s="996" t="str">
        <f>CONCATENATE(Programme!D8149,Programme!E8149,Programme!F8149,Programme!G8149,Programme!H8149,Programme!I8149,Programme!J8149)</f>
        <v>&lt;/cellule&gt;</v>
      </c>
    </row>
    <row r="8149" spans="1:1" x14ac:dyDescent="0.2">
      <c r="A8149" s="996" t="str">
        <f>CONCATENATE(Programme!D8150,Programme!E8150,Programme!F8150,Programme!G8150,Programme!H8150,Programme!I8150,Programme!J8150)</f>
        <v>&lt;valeur&gt;&lt;/valeur&gt;</v>
      </c>
    </row>
    <row r="8150" spans="1:1" x14ac:dyDescent="0.2">
      <c r="A8150" s="996" t="str">
        <f>CONCATENATE(Programme!D8151,Programme!E8151,Programme!F8151,Programme!G8151,Programme!H8151,Programme!I8151,Programme!J8151)</f>
        <v>&lt;/ValeurCellule&gt;</v>
      </c>
    </row>
    <row r="8151" spans="1:1" x14ac:dyDescent="0.2">
      <c r="A8151" s="996" t="str">
        <f>CONCATENATE(Programme!D8152,Programme!E8152,Programme!F8152,Programme!G8152,Programme!H8152,Programme!I8152,Programme!J8152)</f>
        <v>&lt;ValeurCellule&gt;</v>
      </c>
    </row>
    <row r="8152" spans="1:1" x14ac:dyDescent="0.2">
      <c r="A8152" s="996" t="str">
        <f>CONCATENATE(Programme!D8153,Programme!E8153,Programme!F8153,Programme!G8153,Programme!H8153,Programme!I8153,Programme!J8153)</f>
        <v>&lt;cellule&gt;</v>
      </c>
    </row>
    <row r="8153" spans="1:1" x14ac:dyDescent="0.2">
      <c r="A8153" s="996" t="str">
        <f>CONCATENATE(Programme!D8154,Programme!E8154,Programme!F8154,Programme!G8154,Programme!H8154,Programme!I8154,Programme!J8154)</f>
        <v>&lt;codeEdi&gt;487&lt;/codeEdi&gt;</v>
      </c>
    </row>
    <row r="8154" spans="1:1" x14ac:dyDescent="0.2">
      <c r="A8154" s="996" t="str">
        <f>CONCATENATE(Programme!D8155,Programme!E8155,Programme!F8155,Programme!G8155,Programme!H8155,Programme!I8155,Programme!J8155)</f>
        <v>&lt;/cellule&gt;</v>
      </c>
    </row>
    <row r="8155" spans="1:1" x14ac:dyDescent="0.2">
      <c r="A8155" s="996" t="str">
        <f>CONCATENATE(Programme!D8156,Programme!E8156,Programme!F8156,Programme!G8156,Programme!H8156,Programme!I8156,Programme!J8156)</f>
        <v>&lt;valeur&gt;&lt;/valeur&gt;</v>
      </c>
    </row>
    <row r="8156" spans="1:1" x14ac:dyDescent="0.2">
      <c r="A8156" s="996" t="str">
        <f>CONCATENATE(Programme!D8157,Programme!E8157,Programme!F8157,Programme!G8157,Programme!H8157,Programme!I8157,Programme!J8157)</f>
        <v>&lt;/ValeurCellule&gt;</v>
      </c>
    </row>
    <row r="8157" spans="1:1" x14ac:dyDescent="0.2">
      <c r="A8157" s="996" t="str">
        <f>CONCATENATE(Programme!D8158,Programme!E8158,Programme!F8158,Programme!G8158,Programme!H8158,Programme!I8158,Programme!J8158)</f>
        <v>&lt;ValeurCellule&gt;</v>
      </c>
    </row>
    <row r="8158" spans="1:1" x14ac:dyDescent="0.2">
      <c r="A8158" s="996" t="str">
        <f>CONCATENATE(Programme!D8159,Programme!E8159,Programme!F8159,Programme!G8159,Programme!H8159,Programme!I8159,Programme!J8159)</f>
        <v>&lt;cellule&gt;</v>
      </c>
    </row>
    <row r="8159" spans="1:1" x14ac:dyDescent="0.2">
      <c r="A8159" s="996" t="str">
        <f>CONCATENATE(Programme!D8160,Programme!E8160,Programme!F8160,Programme!G8160,Programme!H8160,Programme!I8160,Programme!J8160)</f>
        <v>&lt;codeEdi&gt;489&lt;/codeEdi&gt;</v>
      </c>
    </row>
    <row r="8160" spans="1:1" x14ac:dyDescent="0.2">
      <c r="A8160" s="996" t="str">
        <f>CONCATENATE(Programme!D8161,Programme!E8161,Programme!F8161,Programme!G8161,Programme!H8161,Programme!I8161,Programme!J8161)</f>
        <v>&lt;/cellule&gt;</v>
      </c>
    </row>
    <row r="8161" spans="1:1" x14ac:dyDescent="0.2">
      <c r="A8161" s="996" t="str">
        <f>CONCATENATE(Programme!D8162,Programme!E8162,Programme!F8162,Programme!G8162,Programme!H8162,Programme!I8162,Programme!J8162)</f>
        <v>&lt;valeur&gt;&lt;/valeur&gt;</v>
      </c>
    </row>
    <row r="8162" spans="1:1" x14ac:dyDescent="0.2">
      <c r="A8162" s="996" t="str">
        <f>CONCATENATE(Programme!D8163,Programme!E8163,Programme!F8163,Programme!G8163,Programme!H8163,Programme!I8163,Programme!J8163)</f>
        <v>&lt;/ValeurCellule&gt;</v>
      </c>
    </row>
    <row r="8163" spans="1:1" x14ac:dyDescent="0.2">
      <c r="A8163" s="996" t="str">
        <f>CONCATENATE(Programme!D8164,Programme!E8164,Programme!F8164,Programme!G8164,Programme!H8164,Programme!I8164,Programme!J8164)</f>
        <v>&lt;ValeurCellule&gt;</v>
      </c>
    </row>
    <row r="8164" spans="1:1" x14ac:dyDescent="0.2">
      <c r="A8164" s="996" t="str">
        <f>CONCATENATE(Programme!D8165,Programme!E8165,Programme!F8165,Programme!G8165,Programme!H8165,Programme!I8165,Programme!J8165)</f>
        <v>&lt;cellule&gt;</v>
      </c>
    </row>
    <row r="8165" spans="1:1" x14ac:dyDescent="0.2">
      <c r="A8165" s="996" t="str">
        <f>CONCATENATE(Programme!D8166,Programme!E8166,Programme!F8166,Programme!G8166,Programme!H8166,Programme!I8166,Programme!J8166)</f>
        <v>&lt;codeEdi&gt;491&lt;/codeEdi&gt;</v>
      </c>
    </row>
    <row r="8166" spans="1:1" x14ac:dyDescent="0.2">
      <c r="A8166" s="996" t="str">
        <f>CONCATENATE(Programme!D8167,Programme!E8167,Programme!F8167,Programme!G8167,Programme!H8167,Programme!I8167,Programme!J8167)</f>
        <v>&lt;/cellule&gt;</v>
      </c>
    </row>
    <row r="8167" spans="1:1" x14ac:dyDescent="0.2">
      <c r="A8167" s="996" t="str">
        <f>CONCATENATE(Programme!D8168,Programme!E8168,Programme!F8168,Programme!G8168,Programme!H8168,Programme!I8168,Programme!J8168)</f>
        <v>&lt;valeur&gt;&lt;/valeur&gt;</v>
      </c>
    </row>
    <row r="8168" spans="1:1" x14ac:dyDescent="0.2">
      <c r="A8168" s="996" t="str">
        <f>CONCATENATE(Programme!D8169,Programme!E8169,Programme!F8169,Programme!G8169,Programme!H8169,Programme!I8169,Programme!J8169)</f>
        <v>&lt;/ValeurCellule&gt;</v>
      </c>
    </row>
    <row r="8169" spans="1:1" x14ac:dyDescent="0.2">
      <c r="A8169" s="996" t="str">
        <f>CONCATENATE(Programme!D8170,Programme!E8170,Programme!F8170,Programme!G8170,Programme!H8170,Programme!I8170,Programme!J8170)</f>
        <v>&lt;ValeurCellule&gt;</v>
      </c>
    </row>
    <row r="8170" spans="1:1" x14ac:dyDescent="0.2">
      <c r="A8170" s="996" t="str">
        <f>CONCATENATE(Programme!D8171,Programme!E8171,Programme!F8171,Programme!G8171,Programme!H8171,Programme!I8171,Programme!J8171)</f>
        <v>&lt;cellule&gt;</v>
      </c>
    </row>
    <row r="8171" spans="1:1" x14ac:dyDescent="0.2">
      <c r="A8171" s="996" t="str">
        <f>CONCATENATE(Programme!D8172,Programme!E8172,Programme!F8172,Programme!G8172,Programme!H8172,Programme!I8172,Programme!J8172)</f>
        <v>&lt;codeEdi&gt;493&lt;/codeEdi&gt;</v>
      </c>
    </row>
    <row r="8172" spans="1:1" x14ac:dyDescent="0.2">
      <c r="A8172" s="996" t="str">
        <f>CONCATENATE(Programme!D8173,Programme!E8173,Programme!F8173,Programme!G8173,Programme!H8173,Programme!I8173,Programme!J8173)</f>
        <v>&lt;/cellule&gt;</v>
      </c>
    </row>
    <row r="8173" spans="1:1" x14ac:dyDescent="0.2">
      <c r="A8173" s="996" t="str">
        <f>CONCATENATE(Programme!D8174,Programme!E8174,Programme!F8174,Programme!G8174,Programme!H8174,Programme!I8174,Programme!J8174)</f>
        <v>&lt;valeur&gt;&lt;/valeur&gt;</v>
      </c>
    </row>
    <row r="8174" spans="1:1" x14ac:dyDescent="0.2">
      <c r="A8174" s="996" t="str">
        <f>CONCATENATE(Programme!D8175,Programme!E8175,Programme!F8175,Programme!G8175,Programme!H8175,Programme!I8175,Programme!J8175)</f>
        <v>&lt;/ValeurCellule&gt;</v>
      </c>
    </row>
    <row r="8175" spans="1:1" x14ac:dyDescent="0.2">
      <c r="A8175" s="996" t="str">
        <f>CONCATENATE(Programme!D8176,Programme!E8176,Programme!F8176,Programme!G8176,Programme!H8176,Programme!I8176,Programme!J8176)</f>
        <v>&lt;ValeurCellule&gt;</v>
      </c>
    </row>
    <row r="8176" spans="1:1" x14ac:dyDescent="0.2">
      <c r="A8176" s="996" t="str">
        <f>CONCATENATE(Programme!D8177,Programme!E8177,Programme!F8177,Programme!G8177,Programme!H8177,Programme!I8177,Programme!J8177)</f>
        <v>&lt;cellule&gt;</v>
      </c>
    </row>
    <row r="8177" spans="1:1" x14ac:dyDescent="0.2">
      <c r="A8177" s="996" t="str">
        <f>CONCATENATE(Programme!D8178,Programme!E8178,Programme!F8178,Programme!G8178,Programme!H8178,Programme!I8178,Programme!J8178)</f>
        <v>&lt;codeEdi&gt;495&lt;/codeEdi&gt;</v>
      </c>
    </row>
    <row r="8178" spans="1:1" x14ac:dyDescent="0.2">
      <c r="A8178" s="996" t="str">
        <f>CONCATENATE(Programme!D8179,Programme!E8179,Programme!F8179,Programme!G8179,Programme!H8179,Programme!I8179,Programme!J8179)</f>
        <v>&lt;/cellule&gt;</v>
      </c>
    </row>
    <row r="8179" spans="1:1" x14ac:dyDescent="0.2">
      <c r="A8179" s="996" t="str">
        <f>CONCATENATE(Programme!D8180,Programme!E8180,Programme!F8180,Programme!G8180,Programme!H8180,Programme!I8180,Programme!J8180)</f>
        <v>&lt;valeur&gt;0&lt;/valeur&gt;</v>
      </c>
    </row>
    <row r="8180" spans="1:1" x14ac:dyDescent="0.2">
      <c r="A8180" s="996" t="str">
        <f>CONCATENATE(Programme!D8181,Programme!E8181,Programme!F8181,Programme!G8181,Programme!H8181,Programme!I8181,Programme!J8181)</f>
        <v>&lt;/ValeurCellule&gt;</v>
      </c>
    </row>
    <row r="8181" spans="1:1" x14ac:dyDescent="0.2">
      <c r="A8181" s="996" t="str">
        <f>CONCATENATE(Programme!D8182,Programme!E8182,Programme!F8182,Programme!G8182,Programme!H8182,Programme!I8182,Programme!J8182)</f>
        <v>&lt;/groupeValeurs&gt;</v>
      </c>
    </row>
    <row r="8182" spans="1:1" x14ac:dyDescent="0.2">
      <c r="A8182" s="996" t="str">
        <f>CONCATENATE(Programme!D8183,Programme!E8183,Programme!F8183,Programme!G8183,Programme!H8183,Programme!I8183,Programme!J8183)</f>
        <v>&lt;extraFieldvaleurs&gt;</v>
      </c>
    </row>
    <row r="8183" spans="1:1" x14ac:dyDescent="0.2">
      <c r="A8183" s="996" t="str">
        <f>CONCATENATE(Programme!D8184,Programme!E8184,Programme!F8184,Programme!G8184,Programme!H8184,Programme!I8184,Programme!J8184)</f>
        <v>&lt;/extraFieldvaleurs&gt;</v>
      </c>
    </row>
    <row r="8184" spans="1:1" x14ac:dyDescent="0.2">
      <c r="A8184" s="996" t="str">
        <f>CONCATENATE(Programme!D8185,Programme!E8185,Programme!F8185,Programme!G8185,Programme!H8185,Programme!I8185,Programme!J8185)</f>
        <v>&lt;/ValeursTableau&gt;</v>
      </c>
    </row>
    <row r="8185" spans="1:1" x14ac:dyDescent="0.2">
      <c r="A8185" s="996" t="str">
        <f>CONCATENATE(Programme!D8186,Programme!E8186,Programme!F8186,Programme!G8186,Programme!H8186,Programme!I8186,Programme!J8186)</f>
        <v>&lt;ValeursTableau&gt;</v>
      </c>
    </row>
    <row r="8186" spans="1:1" x14ac:dyDescent="0.2">
      <c r="A8186" s="996" t="str">
        <f>CONCATENATE(Programme!D8187,Programme!E8187,Programme!F8187,Programme!G8187,Programme!H8187,Programme!I8187,Programme!J8187)</f>
        <v>&lt;tableau&gt;&lt;id&gt;12&lt;/id&gt;&lt;/tableau&gt;</v>
      </c>
    </row>
    <row r="8187" spans="1:1" x14ac:dyDescent="0.2">
      <c r="A8187" s="996" t="str">
        <f>CONCATENATE(Programme!D8188,Programme!E8188,Programme!F8188,Programme!G8188,Programme!H8188,Programme!I8188,Programme!J8188)</f>
        <v>&lt;groupeValeurs&gt;</v>
      </c>
    </row>
    <row r="8188" spans="1:1" x14ac:dyDescent="0.2">
      <c r="A8188" s="996" t="str">
        <f>CONCATENATE(Programme!D8189,Programme!E8189,Programme!F8189,Programme!G8189,Programme!H8189,Programme!I8189,Programme!J8189)</f>
        <v>&lt;ValeurCellule&gt;</v>
      </c>
    </row>
    <row r="8189" spans="1:1" x14ac:dyDescent="0.2">
      <c r="A8189" s="996" t="str">
        <f>CONCATENATE(Programme!D8190,Programme!E8190,Programme!F8190,Programme!G8190,Programme!H8190,Programme!I8190,Programme!J8190)</f>
        <v>&lt;cellule&gt;&lt;codeEdi&gt;10061&lt;/codeEdi&gt;&lt;/cellule&gt;</v>
      </c>
    </row>
    <row r="8190" spans="1:1" x14ac:dyDescent="0.2">
      <c r="A8190" s="996" t="str">
        <f>CONCATENATE(Programme!D8191,Programme!E8191,Programme!F8191,Programme!G8191,Programme!H8191,Programme!I8191,Programme!J8191)</f>
        <v>&lt;valeur&gt;&lt;/valeur&gt;</v>
      </c>
    </row>
    <row r="8191" spans="1:1" x14ac:dyDescent="0.2">
      <c r="A8191" s="996" t="str">
        <f>CONCATENATE(Programme!D8192,Programme!E8192,Programme!F8192,Programme!G8192,Programme!H8192,Programme!I8192,Programme!J8192)</f>
        <v>&lt;numeroLigne&gt;1&lt;/numeroLigne&gt;</v>
      </c>
    </row>
    <row r="8192" spans="1:1" x14ac:dyDescent="0.2">
      <c r="A8192" s="996" t="str">
        <f>CONCATENATE(Programme!D8193,Programme!E8193,Programme!F8193,Programme!G8193,Programme!H8193,Programme!I8193,Programme!J8193)</f>
        <v>&lt;/ValeurCellule&gt;</v>
      </c>
    </row>
    <row r="8193" spans="1:1" x14ac:dyDescent="0.2">
      <c r="A8193" s="996" t="str">
        <f>CONCATENATE(Programme!D8194,Programme!E8194,Programme!F8194,Programme!G8194,Programme!H8194,Programme!I8194,Programme!J8194)</f>
        <v>&lt;ValeurCellule&gt;</v>
      </c>
    </row>
    <row r="8194" spans="1:1" x14ac:dyDescent="0.2">
      <c r="A8194" s="996" t="str">
        <f>CONCATENATE(Programme!D8195,Programme!E8195,Programme!F8195,Programme!G8195,Programme!H8195,Programme!I8195,Programme!J8195)</f>
        <v>&lt;cellule&gt;&lt;codeEdi&gt;1078&lt;/codeEdi&gt;&lt;/cellule&gt;</v>
      </c>
    </row>
    <row r="8195" spans="1:1" x14ac:dyDescent="0.2">
      <c r="A8195" s="996" t="str">
        <f>CONCATENATE(Programme!D8196,Programme!E8196,Programme!F8196,Programme!G8196,Programme!H8196,Programme!I8196,Programme!J8196)</f>
        <v>&lt;valeur&gt;&lt;/valeur&gt;</v>
      </c>
    </row>
    <row r="8196" spans="1:1" x14ac:dyDescent="0.2">
      <c r="A8196" s="996" t="str">
        <f>CONCATENATE(Programme!D8197,Programme!E8197,Programme!F8197,Programme!G8197,Programme!H8197,Programme!I8197,Programme!J8197)</f>
        <v>&lt;numeroLigne&gt;1&lt;/numeroLigne&gt;</v>
      </c>
    </row>
    <row r="8197" spans="1:1" x14ac:dyDescent="0.2">
      <c r="A8197" s="996" t="str">
        <f>CONCATENATE(Programme!D8198,Programme!E8198,Programme!F8198,Programme!G8198,Programme!H8198,Programme!I8198,Programme!J8198)</f>
        <v>&lt;/ValeurCellule&gt;</v>
      </c>
    </row>
    <row r="8198" spans="1:1" x14ac:dyDescent="0.2">
      <c r="A8198" s="996" t="str">
        <f>CONCATENATE(Programme!D8199,Programme!E8199,Programme!F8199,Programme!G8199,Programme!H8199,Programme!I8199,Programme!J8199)</f>
        <v>&lt;ValeurCellule&gt;</v>
      </c>
    </row>
    <row r="8199" spans="1:1" x14ac:dyDescent="0.2">
      <c r="A8199" s="996" t="str">
        <f>CONCATENATE(Programme!D8200,Programme!E8200,Programme!F8200,Programme!G8200,Programme!H8200,Programme!I8200,Programme!J8200)</f>
        <v>&lt;cellule&gt;&lt;codeEdi&gt;1079&lt;/codeEdi&gt;&lt;/cellule&gt;</v>
      </c>
    </row>
    <row r="8200" spans="1:1" x14ac:dyDescent="0.2">
      <c r="A8200" s="996" t="str">
        <f>CONCATENATE(Programme!D8201,Programme!E8201,Programme!F8201,Programme!G8201,Programme!H8201,Programme!I8201,Programme!J8201)</f>
        <v>&lt;valeur&gt;&lt;/valeur&gt;</v>
      </c>
    </row>
    <row r="8201" spans="1:1" x14ac:dyDescent="0.2">
      <c r="A8201" s="996" t="str">
        <f>CONCATENATE(Programme!D8202,Programme!E8202,Programme!F8202,Programme!G8202,Programme!H8202,Programme!I8202,Programme!J8202)</f>
        <v>&lt;numeroLigne&gt;1&lt;/numeroLigne&gt;</v>
      </c>
    </row>
    <row r="8202" spans="1:1" x14ac:dyDescent="0.2">
      <c r="A8202" s="996" t="str">
        <f>CONCATENATE(Programme!D8203,Programme!E8203,Programme!F8203,Programme!G8203,Programme!H8203,Programme!I8203,Programme!J8203)</f>
        <v>&lt;/ValeurCellule&gt;</v>
      </c>
    </row>
    <row r="8203" spans="1:1" x14ac:dyDescent="0.2">
      <c r="A8203" s="996" t="str">
        <f>CONCATENATE(Programme!D8204,Programme!E8204,Programme!F8204,Programme!G8204,Programme!H8204,Programme!I8204,Programme!J8204)</f>
        <v>&lt;ValeurCellule&gt;</v>
      </c>
    </row>
    <row r="8204" spans="1:1" x14ac:dyDescent="0.2">
      <c r="A8204" s="996" t="str">
        <f>CONCATENATE(Programme!D8205,Programme!E8205,Programme!F8205,Programme!G8205,Programme!H8205,Programme!I8205,Programme!J8205)</f>
        <v>&lt;cellule&gt;&lt;codeEdi&gt;1080&lt;/codeEdi&gt;&lt;/cellule&gt;</v>
      </c>
    </row>
    <row r="8205" spans="1:1" x14ac:dyDescent="0.2">
      <c r="A8205" s="996" t="str">
        <f>CONCATENATE(Programme!D8206,Programme!E8206,Programme!F8206,Programme!G8206,Programme!H8206,Programme!I8206,Programme!J8206)</f>
        <v>&lt;valeur&gt;&lt;/valeur&gt;</v>
      </c>
    </row>
    <row r="8206" spans="1:1" x14ac:dyDescent="0.2">
      <c r="A8206" s="996" t="str">
        <f>CONCATENATE(Programme!D8207,Programme!E8207,Programme!F8207,Programme!G8207,Programme!H8207,Programme!I8207,Programme!J8207)</f>
        <v>&lt;numeroLigne&gt;1&lt;/numeroLigne&gt;</v>
      </c>
    </row>
    <row r="8207" spans="1:1" x14ac:dyDescent="0.2">
      <c r="A8207" s="996" t="str">
        <f>CONCATENATE(Programme!D8208,Programme!E8208,Programme!F8208,Programme!G8208,Programme!H8208,Programme!I8208,Programme!J8208)</f>
        <v>&lt;/ValeurCellule&gt;</v>
      </c>
    </row>
    <row r="8208" spans="1:1" x14ac:dyDescent="0.2">
      <c r="A8208" s="996" t="str">
        <f>CONCATENATE(Programme!D8209,Programme!E8209,Programme!F8209,Programme!G8209,Programme!H8209,Programme!I8209,Programme!J8209)</f>
        <v>&lt;ValeurCellule&gt;</v>
      </c>
    </row>
    <row r="8209" spans="1:1" x14ac:dyDescent="0.2">
      <c r="A8209" s="996" t="str">
        <f>CONCATENATE(Programme!D8210,Programme!E8210,Programme!F8210,Programme!G8210,Programme!H8210,Programme!I8210,Programme!J8210)</f>
        <v>&lt;cellule&gt;&lt;codeEdi&gt;1081&lt;/codeEdi&gt;&lt;/cellule&gt;</v>
      </c>
    </row>
    <row r="8210" spans="1:1" x14ac:dyDescent="0.2">
      <c r="A8210" s="996" t="str">
        <f>CONCATENATE(Programme!D8211,Programme!E8211,Programme!F8211,Programme!G8211,Programme!H8211,Programme!I8211,Programme!J8211)</f>
        <v>&lt;valeur&gt;&lt;/valeur&gt;</v>
      </c>
    </row>
    <row r="8211" spans="1:1" x14ac:dyDescent="0.2">
      <c r="A8211" s="996" t="str">
        <f>CONCATENATE(Programme!D8212,Programme!E8212,Programme!F8212,Programme!G8212,Programme!H8212,Programme!I8212,Programme!J8212)</f>
        <v>&lt;numeroLigne&gt;1&lt;/numeroLigne&gt;</v>
      </c>
    </row>
    <row r="8212" spans="1:1" x14ac:dyDescent="0.2">
      <c r="A8212" s="996" t="str">
        <f>CONCATENATE(Programme!D8213,Programme!E8213,Programme!F8213,Programme!G8213,Programme!H8213,Programme!I8213,Programme!J8213)</f>
        <v>&lt;/ValeurCellule&gt;</v>
      </c>
    </row>
    <row r="8213" spans="1:1" x14ac:dyDescent="0.2">
      <c r="A8213" s="996" t="str">
        <f>CONCATENATE(Programme!D8214,Programme!E8214,Programme!F8214,Programme!G8214,Programme!H8214,Programme!I8214,Programme!J8214)</f>
        <v>&lt;ValeurCellule&gt;</v>
      </c>
    </row>
    <row r="8214" spans="1:1" x14ac:dyDescent="0.2">
      <c r="A8214" s="996" t="str">
        <f>CONCATENATE(Programme!D8215,Programme!E8215,Programme!F8215,Programme!G8215,Programme!H8215,Programme!I8215,Programme!J8215)</f>
        <v>&lt;cellule&gt;&lt;codeEdi&gt;1082&lt;/codeEdi&gt;&lt;/cellule&gt;</v>
      </c>
    </row>
    <row r="8215" spans="1:1" x14ac:dyDescent="0.2">
      <c r="A8215" s="996" t="str">
        <f>CONCATENATE(Programme!D8216,Programme!E8216,Programme!F8216,Programme!G8216,Programme!H8216,Programme!I8216,Programme!J8216)</f>
        <v>&lt;valeur&gt;&lt;/valeur&gt;</v>
      </c>
    </row>
    <row r="8216" spans="1:1" x14ac:dyDescent="0.2">
      <c r="A8216" s="996" t="str">
        <f>CONCATENATE(Programme!D8217,Programme!E8217,Programme!F8217,Programme!G8217,Programme!H8217,Programme!I8217,Programme!J8217)</f>
        <v>&lt;numeroLigne&gt;1&lt;/numeroLigne&gt;</v>
      </c>
    </row>
    <row r="8217" spans="1:1" x14ac:dyDescent="0.2">
      <c r="A8217" s="996" t="str">
        <f>CONCATENATE(Programme!D8218,Programme!E8218,Programme!F8218,Programme!G8218,Programme!H8218,Programme!I8218,Programme!J8218)</f>
        <v>&lt;/ValeurCellule&gt;</v>
      </c>
    </row>
    <row r="8218" spans="1:1" x14ac:dyDescent="0.2">
      <c r="A8218" s="996" t="str">
        <f>CONCATENATE(Programme!D8219,Programme!E8219,Programme!F8219,Programme!G8219,Programme!H8219,Programme!I8219,Programme!J8219)</f>
        <v>&lt;ValeurCellule&gt;</v>
      </c>
    </row>
    <row r="8219" spans="1:1" x14ac:dyDescent="0.2">
      <c r="A8219" s="996" t="str">
        <f>CONCATENATE(Programme!D8220,Programme!E8220,Programme!F8220,Programme!G8220,Programme!H8220,Programme!I8220,Programme!J8220)</f>
        <v>&lt;cellule&gt;&lt;codeEdi&gt;1083&lt;/codeEdi&gt;&lt;/cellule&gt;</v>
      </c>
    </row>
    <row r="8220" spans="1:1" x14ac:dyDescent="0.2">
      <c r="A8220" s="996" t="str">
        <f>CONCATENATE(Programme!D8221,Programme!E8221,Programme!F8221,Programme!G8221,Programme!H8221,Programme!I8221,Programme!J8221)</f>
        <v>&lt;valeur&gt;&lt;/valeur&gt;</v>
      </c>
    </row>
    <row r="8221" spans="1:1" x14ac:dyDescent="0.2">
      <c r="A8221" s="996" t="str">
        <f>CONCATENATE(Programme!D8222,Programme!E8222,Programme!F8222,Programme!G8222,Programme!H8222,Programme!I8222,Programme!J8222)</f>
        <v>&lt;numeroLigne&gt;1&lt;/numeroLigne&gt;</v>
      </c>
    </row>
    <row r="8222" spans="1:1" x14ac:dyDescent="0.2">
      <c r="A8222" s="996" t="str">
        <f>CONCATENATE(Programme!D8223,Programme!E8223,Programme!F8223,Programme!G8223,Programme!H8223,Programme!I8223,Programme!J8223)</f>
        <v>&lt;/ValeurCellule&gt;</v>
      </c>
    </row>
    <row r="8223" spans="1:1" x14ac:dyDescent="0.2">
      <c r="A8223" s="996" t="str">
        <f>CONCATENATE(Programme!D8224,Programme!E8224,Programme!F8224,Programme!G8224,Programme!H8224,Programme!I8224,Programme!J8224)</f>
        <v>&lt;ValeurCellule&gt;</v>
      </c>
    </row>
    <row r="8224" spans="1:1" x14ac:dyDescent="0.2">
      <c r="A8224" s="996" t="str">
        <f>CONCATENATE(Programme!D8225,Programme!E8225,Programme!F8225,Programme!G8225,Programme!H8225,Programme!I8225,Programme!J8225)</f>
        <v>&lt;cellule&gt;&lt;codeEdi&gt;1084&lt;/codeEdi&gt;&lt;/cellule&gt;</v>
      </c>
    </row>
    <row r="8225" spans="1:1" x14ac:dyDescent="0.2">
      <c r="A8225" s="996" t="str">
        <f>CONCATENATE(Programme!D8226,Programme!E8226,Programme!F8226,Programme!G8226,Programme!H8226,Programme!I8226,Programme!J8226)</f>
        <v>&lt;valeur&gt;&lt;/valeur&gt;</v>
      </c>
    </row>
    <row r="8226" spans="1:1" x14ac:dyDescent="0.2">
      <c r="A8226" s="996" t="str">
        <f>CONCATENATE(Programme!D8227,Programme!E8227,Programme!F8227,Programme!G8227,Programme!H8227,Programme!I8227,Programme!J8227)</f>
        <v>&lt;numeroLigne&gt;1&lt;/numeroLigne&gt;</v>
      </c>
    </row>
    <row r="8227" spans="1:1" x14ac:dyDescent="0.2">
      <c r="A8227" s="996" t="str">
        <f>CONCATENATE(Programme!D8228,Programme!E8228,Programme!F8228,Programme!G8228,Programme!H8228,Programme!I8228,Programme!J8228)</f>
        <v>&lt;/ValeurCellule&gt;</v>
      </c>
    </row>
    <row r="8228" spans="1:1" x14ac:dyDescent="0.2">
      <c r="A8228" s="996" t="str">
        <f>CONCATENATE(Programme!D8229,Programme!E8229,Programme!F8229,Programme!G8229,Programme!H8229,Programme!I8229,Programme!J8229)</f>
        <v>&lt;ValeurCellule&gt;</v>
      </c>
    </row>
    <row r="8229" spans="1:1" x14ac:dyDescent="0.2">
      <c r="A8229" s="996" t="str">
        <f>CONCATENATE(Programme!D8230,Programme!E8230,Programme!F8230,Programme!G8230,Programme!H8230,Programme!I8230,Programme!J8230)</f>
        <v>&lt;cellule&gt;&lt;codeEdi&gt;1085&lt;/codeEdi&gt;&lt;/cellule&gt;</v>
      </c>
    </row>
    <row r="8230" spans="1:1" x14ac:dyDescent="0.2">
      <c r="A8230" s="996" t="str">
        <f>CONCATENATE(Programme!D8231,Programme!E8231,Programme!F8231,Programme!G8231,Programme!H8231,Programme!I8231,Programme!J8231)</f>
        <v>&lt;valeur&gt;&lt;/valeur&gt;</v>
      </c>
    </row>
    <row r="8231" spans="1:1" x14ac:dyDescent="0.2">
      <c r="A8231" s="996" t="str">
        <f>CONCATENATE(Programme!D8232,Programme!E8232,Programme!F8232,Programme!G8232,Programme!H8232,Programme!I8232,Programme!J8232)</f>
        <v>&lt;numeroLigne&gt;1&lt;/numeroLigne&gt;</v>
      </c>
    </row>
    <row r="8232" spans="1:1" x14ac:dyDescent="0.2">
      <c r="A8232" s="996" t="str">
        <f>CONCATENATE(Programme!D8233,Programme!E8233,Programme!F8233,Programme!G8233,Programme!H8233,Programme!I8233,Programme!J8233)</f>
        <v>&lt;/ValeurCellule&gt;</v>
      </c>
    </row>
    <row r="8233" spans="1:1" x14ac:dyDescent="0.2">
      <c r="A8233" s="996" t="str">
        <f>CONCATENATE(Programme!D8234,Programme!E8234,Programme!F8234,Programme!G8234,Programme!H8234,Programme!I8234,Programme!J8234)</f>
        <v>&lt;ValeurCellule&gt;</v>
      </c>
    </row>
    <row r="8234" spans="1:1" x14ac:dyDescent="0.2">
      <c r="A8234" s="996" t="str">
        <f>CONCATENATE(Programme!D8235,Programme!E8235,Programme!F8235,Programme!G8235,Programme!H8235,Programme!I8235,Programme!J8235)</f>
        <v>&lt;cellule&gt;&lt;codeEdi&gt;1086&lt;/codeEdi&gt;&lt;/cellule&gt;</v>
      </c>
    </row>
    <row r="8235" spans="1:1" x14ac:dyDescent="0.2">
      <c r="A8235" s="996" t="str">
        <f>CONCATENATE(Programme!D8236,Programme!E8236,Programme!F8236,Programme!G8236,Programme!H8236,Programme!I8236,Programme!J8236)</f>
        <v>&lt;valeur&gt;&lt;/valeur&gt;</v>
      </c>
    </row>
    <row r="8236" spans="1:1" x14ac:dyDescent="0.2">
      <c r="A8236" s="996" t="str">
        <f>CONCATENATE(Programme!D8237,Programme!E8237,Programme!F8237,Programme!G8237,Programme!H8237,Programme!I8237,Programme!J8237)</f>
        <v>&lt;numeroLigne&gt;1&lt;/numeroLigne&gt;</v>
      </c>
    </row>
    <row r="8237" spans="1:1" x14ac:dyDescent="0.2">
      <c r="A8237" s="996" t="str">
        <f>CONCATENATE(Programme!D8238,Programme!E8238,Programme!F8238,Programme!G8238,Programme!H8238,Programme!I8238,Programme!J8238)</f>
        <v>&lt;/ValeurCellule&gt;</v>
      </c>
    </row>
    <row r="8238" spans="1:1" x14ac:dyDescent="0.2">
      <c r="A8238" s="996" t="str">
        <f>CONCATENATE(Programme!D8239,Programme!E8239,Programme!F8239,Programme!G8239,Programme!H8239,Programme!I8239,Programme!J8239)</f>
        <v>&lt;ValeurCellule&gt;</v>
      </c>
    </row>
    <row r="8239" spans="1:1" x14ac:dyDescent="0.2">
      <c r="A8239" s="996" t="str">
        <f>CONCATENATE(Programme!D8240,Programme!E8240,Programme!F8240,Programme!G8240,Programme!H8240,Programme!I8240,Programme!J8240)</f>
        <v>&lt;cellule&gt;&lt;codeEdi&gt;10061&lt;/codeEdi&gt;&lt;/cellule&gt;</v>
      </c>
    </row>
    <row r="8240" spans="1:1" x14ac:dyDescent="0.2">
      <c r="A8240" s="996" t="str">
        <f>CONCATENATE(Programme!D8241,Programme!E8241,Programme!F8241,Programme!G8241,Programme!H8241,Programme!I8241,Programme!J8241)</f>
        <v>&lt;valeur&gt;&lt;/valeur&gt;</v>
      </c>
    </row>
    <row r="8241" spans="1:1" x14ac:dyDescent="0.2">
      <c r="A8241" s="996" t="str">
        <f>CONCATENATE(Programme!D8242,Programme!E8242,Programme!F8242,Programme!G8242,Programme!H8242,Programme!I8242,Programme!J8242)</f>
        <v>&lt;numeroLigne&gt;2&lt;/numeroLigne&gt;</v>
      </c>
    </row>
    <row r="8242" spans="1:1" x14ac:dyDescent="0.2">
      <c r="A8242" s="996" t="str">
        <f>CONCATENATE(Programme!D8243,Programme!E8243,Programme!F8243,Programme!G8243,Programme!H8243,Programme!I8243,Programme!J8243)</f>
        <v>&lt;/ValeurCellule&gt;</v>
      </c>
    </row>
    <row r="8243" spans="1:1" x14ac:dyDescent="0.2">
      <c r="A8243" s="996" t="str">
        <f>CONCATENATE(Programme!D8244,Programme!E8244,Programme!F8244,Programme!G8244,Programme!H8244,Programme!I8244,Programme!J8244)</f>
        <v>&lt;ValeurCellule&gt;</v>
      </c>
    </row>
    <row r="8244" spans="1:1" x14ac:dyDescent="0.2">
      <c r="A8244" s="996" t="str">
        <f>CONCATENATE(Programme!D8245,Programme!E8245,Programme!F8245,Programme!G8245,Programme!H8245,Programme!I8245,Programme!J8245)</f>
        <v>&lt;cellule&gt;&lt;codeEdi&gt;1078&lt;/codeEdi&gt;&lt;/cellule&gt;</v>
      </c>
    </row>
    <row r="8245" spans="1:1" x14ac:dyDescent="0.2">
      <c r="A8245" s="996" t="str">
        <f>CONCATENATE(Programme!D8246,Programme!E8246,Programme!F8246,Programme!G8246,Programme!H8246,Programme!I8246,Programme!J8246)</f>
        <v>&lt;valeur&gt;&lt;/valeur&gt;</v>
      </c>
    </row>
    <row r="8246" spans="1:1" x14ac:dyDescent="0.2">
      <c r="A8246" s="996" t="str">
        <f>CONCATENATE(Programme!D8247,Programme!E8247,Programme!F8247,Programme!G8247,Programme!H8247,Programme!I8247,Programme!J8247)</f>
        <v>&lt;numeroLigne&gt;2&lt;/numeroLigne&gt;</v>
      </c>
    </row>
    <row r="8247" spans="1:1" x14ac:dyDescent="0.2">
      <c r="A8247" s="996" t="str">
        <f>CONCATENATE(Programme!D8248,Programme!E8248,Programme!F8248,Programme!G8248,Programme!H8248,Programme!I8248,Programme!J8248)</f>
        <v>&lt;/ValeurCellule&gt;</v>
      </c>
    </row>
    <row r="8248" spans="1:1" x14ac:dyDescent="0.2">
      <c r="A8248" s="996" t="str">
        <f>CONCATENATE(Programme!D8249,Programme!E8249,Programme!F8249,Programme!G8249,Programme!H8249,Programme!I8249,Programme!J8249)</f>
        <v>&lt;ValeurCellule&gt;</v>
      </c>
    </row>
    <row r="8249" spans="1:1" x14ac:dyDescent="0.2">
      <c r="A8249" s="996" t="str">
        <f>CONCATENATE(Programme!D8250,Programme!E8250,Programme!F8250,Programme!G8250,Programme!H8250,Programme!I8250,Programme!J8250)</f>
        <v>&lt;cellule&gt;&lt;codeEdi&gt;1079&lt;/codeEdi&gt;&lt;/cellule&gt;</v>
      </c>
    </row>
    <row r="8250" spans="1:1" x14ac:dyDescent="0.2">
      <c r="A8250" s="996" t="str">
        <f>CONCATENATE(Programme!D8251,Programme!E8251,Programme!F8251,Programme!G8251,Programme!H8251,Programme!I8251,Programme!J8251)</f>
        <v>&lt;valeur&gt;&lt;/valeur&gt;</v>
      </c>
    </row>
    <row r="8251" spans="1:1" x14ac:dyDescent="0.2">
      <c r="A8251" s="996" t="str">
        <f>CONCATENATE(Programme!D8252,Programme!E8252,Programme!F8252,Programme!G8252,Programme!H8252,Programme!I8252,Programme!J8252)</f>
        <v>&lt;numeroLigne&gt;2&lt;/numeroLigne&gt;</v>
      </c>
    </row>
    <row r="8252" spans="1:1" x14ac:dyDescent="0.2">
      <c r="A8252" s="996" t="str">
        <f>CONCATENATE(Programme!D8253,Programme!E8253,Programme!F8253,Programme!G8253,Programme!H8253,Programme!I8253,Programme!J8253)</f>
        <v>&lt;/ValeurCellule&gt;</v>
      </c>
    </row>
    <row r="8253" spans="1:1" x14ac:dyDescent="0.2">
      <c r="A8253" s="996" t="str">
        <f>CONCATENATE(Programme!D8254,Programme!E8254,Programme!F8254,Programme!G8254,Programme!H8254,Programme!I8254,Programme!J8254)</f>
        <v>&lt;ValeurCellule&gt;</v>
      </c>
    </row>
    <row r="8254" spans="1:1" x14ac:dyDescent="0.2">
      <c r="A8254" s="996" t="str">
        <f>CONCATENATE(Programme!D8255,Programme!E8255,Programme!F8255,Programme!G8255,Programme!H8255,Programme!I8255,Programme!J8255)</f>
        <v>&lt;cellule&gt;&lt;codeEdi&gt;1080&lt;/codeEdi&gt;&lt;/cellule&gt;</v>
      </c>
    </row>
    <row r="8255" spans="1:1" x14ac:dyDescent="0.2">
      <c r="A8255" s="996" t="str">
        <f>CONCATENATE(Programme!D8256,Programme!E8256,Programme!F8256,Programme!G8256,Programme!H8256,Programme!I8256,Programme!J8256)</f>
        <v>&lt;valeur&gt;&lt;/valeur&gt;</v>
      </c>
    </row>
    <row r="8256" spans="1:1" x14ac:dyDescent="0.2">
      <c r="A8256" s="996" t="str">
        <f>CONCATENATE(Programme!D8257,Programme!E8257,Programme!F8257,Programme!G8257,Programme!H8257,Programme!I8257,Programme!J8257)</f>
        <v>&lt;numeroLigne&gt;2&lt;/numeroLigne&gt;</v>
      </c>
    </row>
    <row r="8257" spans="1:1" x14ac:dyDescent="0.2">
      <c r="A8257" s="996" t="str">
        <f>CONCATENATE(Programme!D8258,Programme!E8258,Programme!F8258,Programme!G8258,Programme!H8258,Programme!I8258,Programme!J8258)</f>
        <v>&lt;/ValeurCellule&gt;</v>
      </c>
    </row>
    <row r="8258" spans="1:1" x14ac:dyDescent="0.2">
      <c r="A8258" s="996" t="str">
        <f>CONCATENATE(Programme!D8259,Programme!E8259,Programme!F8259,Programme!G8259,Programme!H8259,Programme!I8259,Programme!J8259)</f>
        <v>&lt;ValeurCellule&gt;</v>
      </c>
    </row>
    <row r="8259" spans="1:1" x14ac:dyDescent="0.2">
      <c r="A8259" s="996" t="str">
        <f>CONCATENATE(Programme!D8260,Programme!E8260,Programme!F8260,Programme!G8260,Programme!H8260,Programme!I8260,Programme!J8260)</f>
        <v>&lt;cellule&gt;&lt;codeEdi&gt;1081&lt;/codeEdi&gt;&lt;/cellule&gt;</v>
      </c>
    </row>
    <row r="8260" spans="1:1" x14ac:dyDescent="0.2">
      <c r="A8260" s="996" t="str">
        <f>CONCATENATE(Programme!D8261,Programme!E8261,Programme!F8261,Programme!G8261,Programme!H8261,Programme!I8261,Programme!J8261)</f>
        <v>&lt;valeur&gt;&lt;/valeur&gt;</v>
      </c>
    </row>
    <row r="8261" spans="1:1" x14ac:dyDescent="0.2">
      <c r="A8261" s="996" t="str">
        <f>CONCATENATE(Programme!D8262,Programme!E8262,Programme!F8262,Programme!G8262,Programme!H8262,Programme!I8262,Programme!J8262)</f>
        <v>&lt;numeroLigne&gt;2&lt;/numeroLigne&gt;</v>
      </c>
    </row>
    <row r="8262" spans="1:1" x14ac:dyDescent="0.2">
      <c r="A8262" s="996" t="str">
        <f>CONCATENATE(Programme!D8263,Programme!E8263,Programme!F8263,Programme!G8263,Programme!H8263,Programme!I8263,Programme!J8263)</f>
        <v>&lt;/ValeurCellule&gt;</v>
      </c>
    </row>
    <row r="8263" spans="1:1" x14ac:dyDescent="0.2">
      <c r="A8263" s="996" t="str">
        <f>CONCATENATE(Programme!D8264,Programme!E8264,Programme!F8264,Programme!G8264,Programme!H8264,Programme!I8264,Programme!J8264)</f>
        <v>&lt;ValeurCellule&gt;</v>
      </c>
    </row>
    <row r="8264" spans="1:1" x14ac:dyDescent="0.2">
      <c r="A8264" s="996" t="str">
        <f>CONCATENATE(Programme!D8265,Programme!E8265,Programme!F8265,Programme!G8265,Programme!H8265,Programme!I8265,Programme!J8265)</f>
        <v>&lt;cellule&gt;&lt;codeEdi&gt;1082&lt;/codeEdi&gt;&lt;/cellule&gt;</v>
      </c>
    </row>
    <row r="8265" spans="1:1" x14ac:dyDescent="0.2">
      <c r="A8265" s="996" t="str">
        <f>CONCATENATE(Programme!D8266,Programme!E8266,Programme!F8266,Programme!G8266,Programme!H8266,Programme!I8266,Programme!J8266)</f>
        <v>&lt;valeur&gt;&lt;/valeur&gt;</v>
      </c>
    </row>
    <row r="8266" spans="1:1" x14ac:dyDescent="0.2">
      <c r="A8266" s="996" t="str">
        <f>CONCATENATE(Programme!D8267,Programme!E8267,Programme!F8267,Programme!G8267,Programme!H8267,Programme!I8267,Programme!J8267)</f>
        <v>&lt;numeroLigne&gt;2&lt;/numeroLigne&gt;</v>
      </c>
    </row>
    <row r="8267" spans="1:1" x14ac:dyDescent="0.2">
      <c r="A8267" s="996" t="str">
        <f>CONCATENATE(Programme!D8268,Programme!E8268,Programme!F8268,Programme!G8268,Programme!H8268,Programme!I8268,Programme!J8268)</f>
        <v>&lt;/ValeurCellule&gt;</v>
      </c>
    </row>
    <row r="8268" spans="1:1" x14ac:dyDescent="0.2">
      <c r="A8268" s="996" t="str">
        <f>CONCATENATE(Programme!D8269,Programme!E8269,Programme!F8269,Programme!G8269,Programme!H8269,Programme!I8269,Programme!J8269)</f>
        <v>&lt;ValeurCellule&gt;</v>
      </c>
    </row>
    <row r="8269" spans="1:1" x14ac:dyDescent="0.2">
      <c r="A8269" s="996" t="str">
        <f>CONCATENATE(Programme!D8270,Programme!E8270,Programme!F8270,Programme!G8270,Programme!H8270,Programme!I8270,Programme!J8270)</f>
        <v>&lt;cellule&gt;&lt;codeEdi&gt;1083&lt;/codeEdi&gt;&lt;/cellule&gt;</v>
      </c>
    </row>
    <row r="8270" spans="1:1" x14ac:dyDescent="0.2">
      <c r="A8270" s="996" t="str">
        <f>CONCATENATE(Programme!D8271,Programme!E8271,Programme!F8271,Programme!G8271,Programme!H8271,Programme!I8271,Programme!J8271)</f>
        <v>&lt;valeur&gt;&lt;/valeur&gt;</v>
      </c>
    </row>
    <row r="8271" spans="1:1" x14ac:dyDescent="0.2">
      <c r="A8271" s="996" t="str">
        <f>CONCATENATE(Programme!D8272,Programme!E8272,Programme!F8272,Programme!G8272,Programme!H8272,Programme!I8272,Programme!J8272)</f>
        <v>&lt;numeroLigne&gt;2&lt;/numeroLigne&gt;</v>
      </c>
    </row>
    <row r="8272" spans="1:1" x14ac:dyDescent="0.2">
      <c r="A8272" s="996" t="str">
        <f>CONCATENATE(Programme!D8273,Programme!E8273,Programme!F8273,Programme!G8273,Programme!H8273,Programme!I8273,Programme!J8273)</f>
        <v>&lt;/ValeurCellule&gt;</v>
      </c>
    </row>
    <row r="8273" spans="1:1" x14ac:dyDescent="0.2">
      <c r="A8273" s="996" t="str">
        <f>CONCATENATE(Programme!D8274,Programme!E8274,Programme!F8274,Programme!G8274,Programme!H8274,Programme!I8274,Programme!J8274)</f>
        <v>&lt;ValeurCellule&gt;</v>
      </c>
    </row>
    <row r="8274" spans="1:1" x14ac:dyDescent="0.2">
      <c r="A8274" s="996" t="str">
        <f>CONCATENATE(Programme!D8275,Programme!E8275,Programme!F8275,Programme!G8275,Programme!H8275,Programme!I8275,Programme!J8275)</f>
        <v>&lt;cellule&gt;&lt;codeEdi&gt;1084&lt;/codeEdi&gt;&lt;/cellule&gt;</v>
      </c>
    </row>
    <row r="8275" spans="1:1" x14ac:dyDescent="0.2">
      <c r="A8275" s="996" t="str">
        <f>CONCATENATE(Programme!D8276,Programme!E8276,Programme!F8276,Programme!G8276,Programme!H8276,Programme!I8276,Programme!J8276)</f>
        <v>&lt;valeur&gt;&lt;/valeur&gt;</v>
      </c>
    </row>
    <row r="8276" spans="1:1" x14ac:dyDescent="0.2">
      <c r="A8276" s="996" t="str">
        <f>CONCATENATE(Programme!D8277,Programme!E8277,Programme!F8277,Programme!G8277,Programme!H8277,Programme!I8277,Programme!J8277)</f>
        <v>&lt;numeroLigne&gt;2&lt;/numeroLigne&gt;</v>
      </c>
    </row>
    <row r="8277" spans="1:1" x14ac:dyDescent="0.2">
      <c r="A8277" s="996" t="str">
        <f>CONCATENATE(Programme!D8278,Programme!E8278,Programme!F8278,Programme!G8278,Programme!H8278,Programme!I8278,Programme!J8278)</f>
        <v>&lt;/ValeurCellule&gt;</v>
      </c>
    </row>
    <row r="8278" spans="1:1" x14ac:dyDescent="0.2">
      <c r="A8278" s="996" t="str">
        <f>CONCATENATE(Programme!D8279,Programme!E8279,Programme!F8279,Programme!G8279,Programme!H8279,Programme!I8279,Programme!J8279)</f>
        <v>&lt;ValeurCellule&gt;</v>
      </c>
    </row>
    <row r="8279" spans="1:1" x14ac:dyDescent="0.2">
      <c r="A8279" s="996" t="str">
        <f>CONCATENATE(Programme!D8280,Programme!E8280,Programme!F8280,Programme!G8280,Programme!H8280,Programme!I8280,Programme!J8280)</f>
        <v>&lt;cellule&gt;&lt;codeEdi&gt;1085&lt;/codeEdi&gt;&lt;/cellule&gt;</v>
      </c>
    </row>
    <row r="8280" spans="1:1" x14ac:dyDescent="0.2">
      <c r="A8280" s="996" t="str">
        <f>CONCATENATE(Programme!D8281,Programme!E8281,Programme!F8281,Programme!G8281,Programme!H8281,Programme!I8281,Programme!J8281)</f>
        <v>&lt;valeur&gt;&lt;/valeur&gt;</v>
      </c>
    </row>
    <row r="8281" spans="1:1" x14ac:dyDescent="0.2">
      <c r="A8281" s="996" t="str">
        <f>CONCATENATE(Programme!D8282,Programme!E8282,Programme!F8282,Programme!G8282,Programme!H8282,Programme!I8282,Programme!J8282)</f>
        <v>&lt;numeroLigne&gt;2&lt;/numeroLigne&gt;</v>
      </c>
    </row>
    <row r="8282" spans="1:1" x14ac:dyDescent="0.2">
      <c r="A8282" s="996" t="str">
        <f>CONCATENATE(Programme!D8283,Programme!E8283,Programme!F8283,Programme!G8283,Programme!H8283,Programme!I8283,Programme!J8283)</f>
        <v>&lt;/ValeurCellule&gt;</v>
      </c>
    </row>
    <row r="8283" spans="1:1" x14ac:dyDescent="0.2">
      <c r="A8283" s="996" t="str">
        <f>CONCATENATE(Programme!D8284,Programme!E8284,Programme!F8284,Programme!G8284,Programme!H8284,Programme!I8284,Programme!J8284)</f>
        <v>&lt;ValeurCellule&gt;</v>
      </c>
    </row>
    <row r="8284" spans="1:1" x14ac:dyDescent="0.2">
      <c r="A8284" s="996" t="str">
        <f>CONCATENATE(Programme!D8285,Programme!E8285,Programme!F8285,Programme!G8285,Programme!H8285,Programme!I8285,Programme!J8285)</f>
        <v>&lt;cellule&gt;&lt;codeEdi&gt;1086&lt;/codeEdi&gt;&lt;/cellule&gt;</v>
      </c>
    </row>
    <row r="8285" spans="1:1" x14ac:dyDescent="0.2">
      <c r="A8285" s="996" t="str">
        <f>CONCATENATE(Programme!D8286,Programme!E8286,Programme!F8286,Programme!G8286,Programme!H8286,Programme!I8286,Programme!J8286)</f>
        <v>&lt;valeur&gt;&lt;/valeur&gt;</v>
      </c>
    </row>
    <row r="8286" spans="1:1" x14ac:dyDescent="0.2">
      <c r="A8286" s="996" t="str">
        <f>CONCATENATE(Programme!D8287,Programme!E8287,Programme!F8287,Programme!G8287,Programme!H8287,Programme!I8287,Programme!J8287)</f>
        <v>&lt;numeroLigne&gt;2&lt;/numeroLigne&gt;</v>
      </c>
    </row>
    <row r="8287" spans="1:1" x14ac:dyDescent="0.2">
      <c r="A8287" s="996" t="str">
        <f>CONCATENATE(Programme!D8288,Programme!E8288,Programme!F8288,Programme!G8288,Programme!H8288,Programme!I8288,Programme!J8288)</f>
        <v>&lt;/ValeurCellule&gt;</v>
      </c>
    </row>
    <row r="8288" spans="1:1" x14ac:dyDescent="0.2">
      <c r="A8288" s="996" t="str">
        <f>CONCATENATE(Programme!D8289,Programme!E8289,Programme!F8289,Programme!G8289,Programme!H8289,Programme!I8289,Programme!J8289)</f>
        <v>&lt;ValeurCellule&gt;</v>
      </c>
    </row>
    <row r="8289" spans="1:1" x14ac:dyDescent="0.2">
      <c r="A8289" s="996" t="str">
        <f>CONCATENATE(Programme!D8290,Programme!E8290,Programme!F8290,Programme!G8290,Programme!H8290,Programme!I8290,Programme!J8290)</f>
        <v>&lt;cellule&gt;&lt;codeEdi&gt;10061&lt;/codeEdi&gt;&lt;/cellule&gt;</v>
      </c>
    </row>
    <row r="8290" spans="1:1" x14ac:dyDescent="0.2">
      <c r="A8290" s="996" t="str">
        <f>CONCATENATE(Programme!D8291,Programme!E8291,Programme!F8291,Programme!G8291,Programme!H8291,Programme!I8291,Programme!J8291)</f>
        <v>&lt;valeur&gt;&lt;/valeur&gt;</v>
      </c>
    </row>
    <row r="8291" spans="1:1" x14ac:dyDescent="0.2">
      <c r="A8291" s="996" t="str">
        <f>CONCATENATE(Programme!D8292,Programme!E8292,Programme!F8292,Programme!G8292,Programme!H8292,Programme!I8292,Programme!J8292)</f>
        <v>&lt;numeroLigne&gt;3&lt;/numeroLigne&gt;</v>
      </c>
    </row>
    <row r="8292" spans="1:1" x14ac:dyDescent="0.2">
      <c r="A8292" s="996" t="str">
        <f>CONCATENATE(Programme!D8293,Programme!E8293,Programme!F8293,Programme!G8293,Programme!H8293,Programme!I8293,Programme!J8293)</f>
        <v>&lt;/ValeurCellule&gt;</v>
      </c>
    </row>
    <row r="8293" spans="1:1" x14ac:dyDescent="0.2">
      <c r="A8293" s="996" t="str">
        <f>CONCATENATE(Programme!D8294,Programme!E8294,Programme!F8294,Programme!G8294,Programme!H8294,Programme!I8294,Programme!J8294)</f>
        <v>&lt;ValeurCellule&gt;</v>
      </c>
    </row>
    <row r="8294" spans="1:1" x14ac:dyDescent="0.2">
      <c r="A8294" s="996" t="str">
        <f>CONCATENATE(Programme!D8295,Programme!E8295,Programme!F8295,Programme!G8295,Programme!H8295,Programme!I8295,Programme!J8295)</f>
        <v>&lt;cellule&gt;&lt;codeEdi&gt;1078&lt;/codeEdi&gt;&lt;/cellule&gt;</v>
      </c>
    </row>
    <row r="8295" spans="1:1" x14ac:dyDescent="0.2">
      <c r="A8295" s="996" t="str">
        <f>CONCATENATE(Programme!D8296,Programme!E8296,Programme!F8296,Programme!G8296,Programme!H8296,Programme!I8296,Programme!J8296)</f>
        <v>&lt;valeur&gt;&lt;/valeur&gt;</v>
      </c>
    </row>
    <row r="8296" spans="1:1" x14ac:dyDescent="0.2">
      <c r="A8296" s="996" t="str">
        <f>CONCATENATE(Programme!D8297,Programme!E8297,Programme!F8297,Programme!G8297,Programme!H8297,Programme!I8297,Programme!J8297)</f>
        <v>&lt;numeroLigne&gt;3&lt;/numeroLigne&gt;</v>
      </c>
    </row>
    <row r="8297" spans="1:1" x14ac:dyDescent="0.2">
      <c r="A8297" s="996" t="str">
        <f>CONCATENATE(Programme!D8298,Programme!E8298,Programme!F8298,Programme!G8298,Programme!H8298,Programme!I8298,Programme!J8298)</f>
        <v>&lt;/ValeurCellule&gt;</v>
      </c>
    </row>
    <row r="8298" spans="1:1" x14ac:dyDescent="0.2">
      <c r="A8298" s="996" t="str">
        <f>CONCATENATE(Programme!D8299,Programme!E8299,Programme!F8299,Programme!G8299,Programme!H8299,Programme!I8299,Programme!J8299)</f>
        <v>&lt;ValeurCellule&gt;</v>
      </c>
    </row>
    <row r="8299" spans="1:1" x14ac:dyDescent="0.2">
      <c r="A8299" s="996" t="str">
        <f>CONCATENATE(Programme!D8300,Programme!E8300,Programme!F8300,Programme!G8300,Programme!H8300,Programme!I8300,Programme!J8300)</f>
        <v>&lt;cellule&gt;&lt;codeEdi&gt;1079&lt;/codeEdi&gt;&lt;/cellule&gt;</v>
      </c>
    </row>
    <row r="8300" spans="1:1" x14ac:dyDescent="0.2">
      <c r="A8300" s="996" t="str">
        <f>CONCATENATE(Programme!D8301,Programme!E8301,Programme!F8301,Programme!G8301,Programme!H8301,Programme!I8301,Programme!J8301)</f>
        <v>&lt;valeur&gt;&lt;/valeur&gt;</v>
      </c>
    </row>
    <row r="8301" spans="1:1" x14ac:dyDescent="0.2">
      <c r="A8301" s="996" t="str">
        <f>CONCATENATE(Programme!D8302,Programme!E8302,Programme!F8302,Programme!G8302,Programme!H8302,Programme!I8302,Programme!J8302)</f>
        <v>&lt;numeroLigne&gt;3&lt;/numeroLigne&gt;</v>
      </c>
    </row>
    <row r="8302" spans="1:1" x14ac:dyDescent="0.2">
      <c r="A8302" s="996" t="str">
        <f>CONCATENATE(Programme!D8303,Programme!E8303,Programme!F8303,Programme!G8303,Programme!H8303,Programme!I8303,Programme!J8303)</f>
        <v>&lt;/ValeurCellule&gt;</v>
      </c>
    </row>
    <row r="8303" spans="1:1" x14ac:dyDescent="0.2">
      <c r="A8303" s="996" t="str">
        <f>CONCATENATE(Programme!D8304,Programme!E8304,Programme!F8304,Programme!G8304,Programme!H8304,Programme!I8304,Programme!J8304)</f>
        <v>&lt;ValeurCellule&gt;</v>
      </c>
    </row>
    <row r="8304" spans="1:1" x14ac:dyDescent="0.2">
      <c r="A8304" s="996" t="str">
        <f>CONCATENATE(Programme!D8305,Programme!E8305,Programme!F8305,Programme!G8305,Programme!H8305,Programme!I8305,Programme!J8305)</f>
        <v>&lt;cellule&gt;&lt;codeEdi&gt;1080&lt;/codeEdi&gt;&lt;/cellule&gt;</v>
      </c>
    </row>
    <row r="8305" spans="1:1" x14ac:dyDescent="0.2">
      <c r="A8305" s="996" t="str">
        <f>CONCATENATE(Programme!D8306,Programme!E8306,Programme!F8306,Programme!G8306,Programme!H8306,Programme!I8306,Programme!J8306)</f>
        <v>&lt;valeur&gt;&lt;/valeur&gt;</v>
      </c>
    </row>
    <row r="8306" spans="1:1" x14ac:dyDescent="0.2">
      <c r="A8306" s="996" t="str">
        <f>CONCATENATE(Programme!D8307,Programme!E8307,Programme!F8307,Programme!G8307,Programme!H8307,Programme!I8307,Programme!J8307)</f>
        <v>&lt;numeroLigne&gt;3&lt;/numeroLigne&gt;</v>
      </c>
    </row>
    <row r="8307" spans="1:1" x14ac:dyDescent="0.2">
      <c r="A8307" s="996" t="str">
        <f>CONCATENATE(Programme!D8308,Programme!E8308,Programme!F8308,Programme!G8308,Programme!H8308,Programme!I8308,Programme!J8308)</f>
        <v>&lt;/ValeurCellule&gt;</v>
      </c>
    </row>
    <row r="8308" spans="1:1" x14ac:dyDescent="0.2">
      <c r="A8308" s="996" t="str">
        <f>CONCATENATE(Programme!D8309,Programme!E8309,Programme!F8309,Programme!G8309,Programme!H8309,Programme!I8309,Programme!J8309)</f>
        <v>&lt;ValeurCellule&gt;</v>
      </c>
    </row>
    <row r="8309" spans="1:1" x14ac:dyDescent="0.2">
      <c r="A8309" s="996" t="str">
        <f>CONCATENATE(Programme!D8310,Programme!E8310,Programme!F8310,Programme!G8310,Programme!H8310,Programme!I8310,Programme!J8310)</f>
        <v>&lt;cellule&gt;&lt;codeEdi&gt;1081&lt;/codeEdi&gt;&lt;/cellule&gt;</v>
      </c>
    </row>
    <row r="8310" spans="1:1" x14ac:dyDescent="0.2">
      <c r="A8310" s="996" t="str">
        <f>CONCATENATE(Programme!D8311,Programme!E8311,Programme!F8311,Programme!G8311,Programme!H8311,Programme!I8311,Programme!J8311)</f>
        <v>&lt;valeur&gt;&lt;/valeur&gt;</v>
      </c>
    </row>
    <row r="8311" spans="1:1" x14ac:dyDescent="0.2">
      <c r="A8311" s="996" t="str">
        <f>CONCATENATE(Programme!D8312,Programme!E8312,Programme!F8312,Programme!G8312,Programme!H8312,Programme!I8312,Programme!J8312)</f>
        <v>&lt;numeroLigne&gt;3&lt;/numeroLigne&gt;</v>
      </c>
    </row>
    <row r="8312" spans="1:1" x14ac:dyDescent="0.2">
      <c r="A8312" s="996" t="str">
        <f>CONCATENATE(Programme!D8313,Programme!E8313,Programme!F8313,Programme!G8313,Programme!H8313,Programme!I8313,Programme!J8313)</f>
        <v>&lt;/ValeurCellule&gt;</v>
      </c>
    </row>
    <row r="8313" spans="1:1" x14ac:dyDescent="0.2">
      <c r="A8313" s="996" t="str">
        <f>CONCATENATE(Programme!D8314,Programme!E8314,Programme!F8314,Programme!G8314,Programme!H8314,Programme!I8314,Programme!J8314)</f>
        <v>&lt;ValeurCellule&gt;</v>
      </c>
    </row>
    <row r="8314" spans="1:1" x14ac:dyDescent="0.2">
      <c r="A8314" s="996" t="str">
        <f>CONCATENATE(Programme!D8315,Programme!E8315,Programme!F8315,Programme!G8315,Programme!H8315,Programme!I8315,Programme!J8315)</f>
        <v>&lt;cellule&gt;&lt;codeEdi&gt;1082&lt;/codeEdi&gt;&lt;/cellule&gt;</v>
      </c>
    </row>
    <row r="8315" spans="1:1" x14ac:dyDescent="0.2">
      <c r="A8315" s="996" t="str">
        <f>CONCATENATE(Programme!D8316,Programme!E8316,Programme!F8316,Programme!G8316,Programme!H8316,Programme!I8316,Programme!J8316)</f>
        <v>&lt;valeur&gt;&lt;/valeur&gt;</v>
      </c>
    </row>
    <row r="8316" spans="1:1" x14ac:dyDescent="0.2">
      <c r="A8316" s="996" t="str">
        <f>CONCATENATE(Programme!D8317,Programme!E8317,Programme!F8317,Programme!G8317,Programme!H8317,Programme!I8317,Programme!J8317)</f>
        <v>&lt;numeroLigne&gt;3&lt;/numeroLigne&gt;</v>
      </c>
    </row>
    <row r="8317" spans="1:1" x14ac:dyDescent="0.2">
      <c r="A8317" s="996" t="str">
        <f>CONCATENATE(Programme!D8318,Programme!E8318,Programme!F8318,Programme!G8318,Programme!H8318,Programme!I8318,Programme!J8318)</f>
        <v>&lt;/ValeurCellule&gt;</v>
      </c>
    </row>
    <row r="8318" spans="1:1" x14ac:dyDescent="0.2">
      <c r="A8318" s="996" t="str">
        <f>CONCATENATE(Programme!D8319,Programme!E8319,Programme!F8319,Programme!G8319,Programme!H8319,Programme!I8319,Programme!J8319)</f>
        <v>&lt;ValeurCellule&gt;</v>
      </c>
    </row>
    <row r="8319" spans="1:1" x14ac:dyDescent="0.2">
      <c r="A8319" s="996" t="str">
        <f>CONCATENATE(Programme!D8320,Programme!E8320,Programme!F8320,Programme!G8320,Programme!H8320,Programme!I8320,Programme!J8320)</f>
        <v>&lt;cellule&gt;&lt;codeEdi&gt;1083&lt;/codeEdi&gt;&lt;/cellule&gt;</v>
      </c>
    </row>
    <row r="8320" spans="1:1" x14ac:dyDescent="0.2">
      <c r="A8320" s="996" t="str">
        <f>CONCATENATE(Programme!D8321,Programme!E8321,Programme!F8321,Programme!G8321,Programme!H8321,Programme!I8321,Programme!J8321)</f>
        <v>&lt;valeur&gt;&lt;/valeur&gt;</v>
      </c>
    </row>
    <row r="8321" spans="1:1" x14ac:dyDescent="0.2">
      <c r="A8321" s="996" t="str">
        <f>CONCATENATE(Programme!D8322,Programme!E8322,Programme!F8322,Programme!G8322,Programme!H8322,Programme!I8322,Programme!J8322)</f>
        <v>&lt;numeroLigne&gt;3&lt;/numeroLigne&gt;</v>
      </c>
    </row>
    <row r="8322" spans="1:1" x14ac:dyDescent="0.2">
      <c r="A8322" s="996" t="str">
        <f>CONCATENATE(Programme!D8323,Programme!E8323,Programme!F8323,Programme!G8323,Programme!H8323,Programme!I8323,Programme!J8323)</f>
        <v>&lt;/ValeurCellule&gt;</v>
      </c>
    </row>
    <row r="8323" spans="1:1" x14ac:dyDescent="0.2">
      <c r="A8323" s="996" t="str">
        <f>CONCATENATE(Programme!D8324,Programme!E8324,Programme!F8324,Programme!G8324,Programme!H8324,Programme!I8324,Programme!J8324)</f>
        <v>&lt;ValeurCellule&gt;</v>
      </c>
    </row>
    <row r="8324" spans="1:1" x14ac:dyDescent="0.2">
      <c r="A8324" s="996" t="str">
        <f>CONCATENATE(Programme!D8325,Programme!E8325,Programme!F8325,Programme!G8325,Programme!H8325,Programme!I8325,Programme!J8325)</f>
        <v>&lt;cellule&gt;&lt;codeEdi&gt;1084&lt;/codeEdi&gt;&lt;/cellule&gt;</v>
      </c>
    </row>
    <row r="8325" spans="1:1" x14ac:dyDescent="0.2">
      <c r="A8325" s="996" t="str">
        <f>CONCATENATE(Programme!D8326,Programme!E8326,Programme!F8326,Programme!G8326,Programme!H8326,Programme!I8326,Programme!J8326)</f>
        <v>&lt;valeur&gt;&lt;/valeur&gt;</v>
      </c>
    </row>
    <row r="8326" spans="1:1" x14ac:dyDescent="0.2">
      <c r="A8326" s="996" t="str">
        <f>CONCATENATE(Programme!D8327,Programme!E8327,Programme!F8327,Programme!G8327,Programme!H8327,Programme!I8327,Programme!J8327)</f>
        <v>&lt;numeroLigne&gt;3&lt;/numeroLigne&gt;</v>
      </c>
    </row>
    <row r="8327" spans="1:1" x14ac:dyDescent="0.2">
      <c r="A8327" s="996" t="str">
        <f>CONCATENATE(Programme!D8328,Programme!E8328,Programme!F8328,Programme!G8328,Programme!H8328,Programme!I8328,Programme!J8328)</f>
        <v>&lt;/ValeurCellule&gt;</v>
      </c>
    </row>
    <row r="8328" spans="1:1" x14ac:dyDescent="0.2">
      <c r="A8328" s="996" t="str">
        <f>CONCATENATE(Programme!D8329,Programme!E8329,Programme!F8329,Programme!G8329,Programme!H8329,Programme!I8329,Programme!J8329)</f>
        <v>&lt;ValeurCellule&gt;</v>
      </c>
    </row>
    <row r="8329" spans="1:1" x14ac:dyDescent="0.2">
      <c r="A8329" s="996" t="str">
        <f>CONCATENATE(Programme!D8330,Programme!E8330,Programme!F8330,Programme!G8330,Programme!H8330,Programme!I8330,Programme!J8330)</f>
        <v>&lt;cellule&gt;&lt;codeEdi&gt;1085&lt;/codeEdi&gt;&lt;/cellule&gt;</v>
      </c>
    </row>
    <row r="8330" spans="1:1" x14ac:dyDescent="0.2">
      <c r="A8330" s="996" t="str">
        <f>CONCATENATE(Programme!D8331,Programme!E8331,Programme!F8331,Programme!G8331,Programme!H8331,Programme!I8331,Programme!J8331)</f>
        <v>&lt;valeur&gt;&lt;/valeur&gt;</v>
      </c>
    </row>
    <row r="8331" spans="1:1" x14ac:dyDescent="0.2">
      <c r="A8331" s="996" t="str">
        <f>CONCATENATE(Programme!D8332,Programme!E8332,Programme!F8332,Programme!G8332,Programme!H8332,Programme!I8332,Programme!J8332)</f>
        <v>&lt;numeroLigne&gt;3&lt;/numeroLigne&gt;</v>
      </c>
    </row>
    <row r="8332" spans="1:1" x14ac:dyDescent="0.2">
      <c r="A8332" s="996" t="str">
        <f>CONCATENATE(Programme!D8333,Programme!E8333,Programme!F8333,Programme!G8333,Programme!H8333,Programme!I8333,Programme!J8333)</f>
        <v>&lt;/ValeurCellule&gt;</v>
      </c>
    </row>
    <row r="8333" spans="1:1" x14ac:dyDescent="0.2">
      <c r="A8333" s="996" t="str">
        <f>CONCATENATE(Programme!D8334,Programme!E8334,Programme!F8334,Programme!G8334,Programme!H8334,Programme!I8334,Programme!J8334)</f>
        <v>&lt;ValeurCellule&gt;</v>
      </c>
    </row>
    <row r="8334" spans="1:1" x14ac:dyDescent="0.2">
      <c r="A8334" s="996" t="str">
        <f>CONCATENATE(Programme!D8335,Programme!E8335,Programme!F8335,Programme!G8335,Programme!H8335,Programme!I8335,Programme!J8335)</f>
        <v>&lt;cellule&gt;&lt;codeEdi&gt;1086&lt;/codeEdi&gt;&lt;/cellule&gt;</v>
      </c>
    </row>
    <row r="8335" spans="1:1" x14ac:dyDescent="0.2">
      <c r="A8335" s="996" t="str">
        <f>CONCATENATE(Programme!D8336,Programme!E8336,Programme!F8336,Programme!G8336,Programme!H8336,Programme!I8336,Programme!J8336)</f>
        <v>&lt;valeur&gt;&lt;/valeur&gt;</v>
      </c>
    </row>
    <row r="8336" spans="1:1" x14ac:dyDescent="0.2">
      <c r="A8336" s="996" t="str">
        <f>CONCATENATE(Programme!D8337,Programme!E8337,Programme!F8337,Programme!G8337,Programme!H8337,Programme!I8337,Programme!J8337)</f>
        <v>&lt;numeroLigne&gt;3&lt;/numeroLigne&gt;</v>
      </c>
    </row>
    <row r="8337" spans="1:1" x14ac:dyDescent="0.2">
      <c r="A8337" s="996" t="str">
        <f>CONCATENATE(Programme!D8338,Programme!E8338,Programme!F8338,Programme!G8338,Programme!H8338,Programme!I8338,Programme!J8338)</f>
        <v>&lt;/ValeurCellule&gt;</v>
      </c>
    </row>
    <row r="8338" spans="1:1" x14ac:dyDescent="0.2">
      <c r="A8338" s="996" t="str">
        <f>CONCATENATE(Programme!D8339,Programme!E8339,Programme!F8339,Programme!G8339,Programme!H8339,Programme!I8339,Programme!J8339)</f>
        <v>&lt;ValeurCellule&gt;</v>
      </c>
    </row>
    <row r="8339" spans="1:1" x14ac:dyDescent="0.2">
      <c r="A8339" s="996" t="str">
        <f>CONCATENATE(Programme!D8340,Programme!E8340,Programme!F8340,Programme!G8340,Programme!H8340,Programme!I8340,Programme!J8340)</f>
        <v>&lt;cellule&gt;&lt;codeEdi&gt;10061&lt;/codeEdi&gt;&lt;/cellule&gt;</v>
      </c>
    </row>
    <row r="8340" spans="1:1" x14ac:dyDescent="0.2">
      <c r="A8340" s="996" t="str">
        <f>CONCATENATE(Programme!D8341,Programme!E8341,Programme!F8341,Programme!G8341,Programme!H8341,Programme!I8341,Programme!J8341)</f>
        <v>&lt;valeur&gt;&lt;/valeur&gt;</v>
      </c>
    </row>
    <row r="8341" spans="1:1" x14ac:dyDescent="0.2">
      <c r="A8341" s="996" t="str">
        <f>CONCATENATE(Programme!D8342,Programme!E8342,Programme!F8342,Programme!G8342,Programme!H8342,Programme!I8342,Programme!J8342)</f>
        <v>&lt;numeroLigne&gt;4&lt;/numeroLigne&gt;</v>
      </c>
    </row>
    <row r="8342" spans="1:1" x14ac:dyDescent="0.2">
      <c r="A8342" s="996" t="str">
        <f>CONCATENATE(Programme!D8343,Programme!E8343,Programme!F8343,Programme!G8343,Programme!H8343,Programme!I8343,Programme!J8343)</f>
        <v>&lt;/ValeurCellule&gt;</v>
      </c>
    </row>
    <row r="8343" spans="1:1" x14ac:dyDescent="0.2">
      <c r="A8343" s="996" t="str">
        <f>CONCATENATE(Programme!D8344,Programme!E8344,Programme!F8344,Programme!G8344,Programme!H8344,Programme!I8344,Programme!J8344)</f>
        <v>&lt;ValeurCellule&gt;</v>
      </c>
    </row>
    <row r="8344" spans="1:1" x14ac:dyDescent="0.2">
      <c r="A8344" s="996" t="str">
        <f>CONCATENATE(Programme!D8345,Programme!E8345,Programme!F8345,Programme!G8345,Programme!H8345,Programme!I8345,Programme!J8345)</f>
        <v>&lt;cellule&gt;&lt;codeEdi&gt;1078&lt;/codeEdi&gt;&lt;/cellule&gt;</v>
      </c>
    </row>
    <row r="8345" spans="1:1" x14ac:dyDescent="0.2">
      <c r="A8345" s="996" t="str">
        <f>CONCATENATE(Programme!D8346,Programme!E8346,Programme!F8346,Programme!G8346,Programme!H8346,Programme!I8346,Programme!J8346)</f>
        <v>&lt;valeur&gt;&lt;/valeur&gt;</v>
      </c>
    </row>
    <row r="8346" spans="1:1" x14ac:dyDescent="0.2">
      <c r="A8346" s="996" t="str">
        <f>CONCATENATE(Programme!D8347,Programme!E8347,Programme!F8347,Programme!G8347,Programme!H8347,Programme!I8347,Programme!J8347)</f>
        <v>&lt;numeroLigne&gt;4&lt;/numeroLigne&gt;</v>
      </c>
    </row>
    <row r="8347" spans="1:1" x14ac:dyDescent="0.2">
      <c r="A8347" s="996" t="str">
        <f>CONCATENATE(Programme!D8348,Programme!E8348,Programme!F8348,Programme!G8348,Programme!H8348,Programme!I8348,Programme!J8348)</f>
        <v>&lt;/ValeurCellule&gt;</v>
      </c>
    </row>
    <row r="8348" spans="1:1" x14ac:dyDescent="0.2">
      <c r="A8348" s="996" t="str">
        <f>CONCATENATE(Programme!D8349,Programme!E8349,Programme!F8349,Programme!G8349,Programme!H8349,Programme!I8349,Programme!J8349)</f>
        <v>&lt;ValeurCellule&gt;</v>
      </c>
    </row>
    <row r="8349" spans="1:1" x14ac:dyDescent="0.2">
      <c r="A8349" s="996" t="str">
        <f>CONCATENATE(Programme!D8350,Programme!E8350,Programme!F8350,Programme!G8350,Programme!H8350,Programme!I8350,Programme!J8350)</f>
        <v>&lt;cellule&gt;&lt;codeEdi&gt;1079&lt;/codeEdi&gt;&lt;/cellule&gt;</v>
      </c>
    </row>
    <row r="8350" spans="1:1" x14ac:dyDescent="0.2">
      <c r="A8350" s="996" t="str">
        <f>CONCATENATE(Programme!D8351,Programme!E8351,Programme!F8351,Programme!G8351,Programme!H8351,Programme!I8351,Programme!J8351)</f>
        <v>&lt;valeur&gt;&lt;/valeur&gt;</v>
      </c>
    </row>
    <row r="8351" spans="1:1" x14ac:dyDescent="0.2">
      <c r="A8351" s="996" t="str">
        <f>CONCATENATE(Programme!D8352,Programme!E8352,Programme!F8352,Programme!G8352,Programme!H8352,Programme!I8352,Programme!J8352)</f>
        <v>&lt;numeroLigne&gt;4&lt;/numeroLigne&gt;</v>
      </c>
    </row>
    <row r="8352" spans="1:1" x14ac:dyDescent="0.2">
      <c r="A8352" s="996" t="str">
        <f>CONCATENATE(Programme!D8353,Programme!E8353,Programme!F8353,Programme!G8353,Programme!H8353,Programme!I8353,Programme!J8353)</f>
        <v>&lt;/ValeurCellule&gt;</v>
      </c>
    </row>
    <row r="8353" spans="1:1" x14ac:dyDescent="0.2">
      <c r="A8353" s="996" t="str">
        <f>CONCATENATE(Programme!D8354,Programme!E8354,Programme!F8354,Programme!G8354,Programme!H8354,Programme!I8354,Programme!J8354)</f>
        <v>&lt;ValeurCellule&gt;</v>
      </c>
    </row>
    <row r="8354" spans="1:1" x14ac:dyDescent="0.2">
      <c r="A8354" s="996" t="str">
        <f>CONCATENATE(Programme!D8355,Programme!E8355,Programme!F8355,Programme!G8355,Programme!H8355,Programme!I8355,Programme!J8355)</f>
        <v>&lt;cellule&gt;&lt;codeEdi&gt;1080&lt;/codeEdi&gt;&lt;/cellule&gt;</v>
      </c>
    </row>
    <row r="8355" spans="1:1" x14ac:dyDescent="0.2">
      <c r="A8355" s="996" t="str">
        <f>CONCATENATE(Programme!D8356,Programme!E8356,Programme!F8356,Programme!G8356,Programme!H8356,Programme!I8356,Programme!J8356)</f>
        <v>&lt;valeur&gt;&lt;/valeur&gt;</v>
      </c>
    </row>
    <row r="8356" spans="1:1" x14ac:dyDescent="0.2">
      <c r="A8356" s="996" t="str">
        <f>CONCATENATE(Programme!D8357,Programme!E8357,Programme!F8357,Programme!G8357,Programme!H8357,Programme!I8357,Programme!J8357)</f>
        <v>&lt;numeroLigne&gt;4&lt;/numeroLigne&gt;</v>
      </c>
    </row>
    <row r="8357" spans="1:1" x14ac:dyDescent="0.2">
      <c r="A8357" s="996" t="str">
        <f>CONCATENATE(Programme!D8358,Programme!E8358,Programme!F8358,Programme!G8358,Programme!H8358,Programme!I8358,Programme!J8358)</f>
        <v>&lt;/ValeurCellule&gt;</v>
      </c>
    </row>
    <row r="8358" spans="1:1" x14ac:dyDescent="0.2">
      <c r="A8358" s="996" t="str">
        <f>CONCATENATE(Programme!D8359,Programme!E8359,Programme!F8359,Programme!G8359,Programme!H8359,Programme!I8359,Programme!J8359)</f>
        <v>&lt;ValeurCellule&gt;</v>
      </c>
    </row>
    <row r="8359" spans="1:1" x14ac:dyDescent="0.2">
      <c r="A8359" s="996" t="str">
        <f>CONCATENATE(Programme!D8360,Programme!E8360,Programme!F8360,Programme!G8360,Programme!H8360,Programme!I8360,Programme!J8360)</f>
        <v>&lt;cellule&gt;&lt;codeEdi&gt;1081&lt;/codeEdi&gt;&lt;/cellule&gt;</v>
      </c>
    </row>
    <row r="8360" spans="1:1" x14ac:dyDescent="0.2">
      <c r="A8360" s="996" t="str">
        <f>CONCATENATE(Programme!D8361,Programme!E8361,Programme!F8361,Programme!G8361,Programme!H8361,Programme!I8361,Programme!J8361)</f>
        <v>&lt;valeur&gt;&lt;/valeur&gt;</v>
      </c>
    </row>
    <row r="8361" spans="1:1" x14ac:dyDescent="0.2">
      <c r="A8361" s="996" t="str">
        <f>CONCATENATE(Programme!D8362,Programme!E8362,Programme!F8362,Programme!G8362,Programme!H8362,Programme!I8362,Programme!J8362)</f>
        <v>&lt;numeroLigne&gt;4&lt;/numeroLigne&gt;</v>
      </c>
    </row>
    <row r="8362" spans="1:1" x14ac:dyDescent="0.2">
      <c r="A8362" s="996" t="str">
        <f>CONCATENATE(Programme!D8363,Programme!E8363,Programme!F8363,Programme!G8363,Programme!H8363,Programme!I8363,Programme!J8363)</f>
        <v>&lt;/ValeurCellule&gt;</v>
      </c>
    </row>
    <row r="8363" spans="1:1" x14ac:dyDescent="0.2">
      <c r="A8363" s="996" t="str">
        <f>CONCATENATE(Programme!D8364,Programme!E8364,Programme!F8364,Programme!G8364,Programme!H8364,Programme!I8364,Programme!J8364)</f>
        <v>&lt;ValeurCellule&gt;</v>
      </c>
    </row>
    <row r="8364" spans="1:1" x14ac:dyDescent="0.2">
      <c r="A8364" s="996" t="str">
        <f>CONCATENATE(Programme!D8365,Programme!E8365,Programme!F8365,Programme!G8365,Programme!H8365,Programme!I8365,Programme!J8365)</f>
        <v>&lt;cellule&gt;&lt;codeEdi&gt;1082&lt;/codeEdi&gt;&lt;/cellule&gt;</v>
      </c>
    </row>
    <row r="8365" spans="1:1" x14ac:dyDescent="0.2">
      <c r="A8365" s="996" t="str">
        <f>CONCATENATE(Programme!D8366,Programme!E8366,Programme!F8366,Programme!G8366,Programme!H8366,Programme!I8366,Programme!J8366)</f>
        <v>&lt;valeur&gt;&lt;/valeur&gt;</v>
      </c>
    </row>
    <row r="8366" spans="1:1" x14ac:dyDescent="0.2">
      <c r="A8366" s="996" t="str">
        <f>CONCATENATE(Programme!D8367,Programme!E8367,Programme!F8367,Programme!G8367,Programme!H8367,Programme!I8367,Programme!J8367)</f>
        <v>&lt;numeroLigne&gt;4&lt;/numeroLigne&gt;</v>
      </c>
    </row>
    <row r="8367" spans="1:1" x14ac:dyDescent="0.2">
      <c r="A8367" s="996" t="str">
        <f>CONCATENATE(Programme!D8368,Programme!E8368,Programme!F8368,Programme!G8368,Programme!H8368,Programme!I8368,Programme!J8368)</f>
        <v>&lt;/ValeurCellule&gt;</v>
      </c>
    </row>
    <row r="8368" spans="1:1" x14ac:dyDescent="0.2">
      <c r="A8368" s="996" t="str">
        <f>CONCATENATE(Programme!D8369,Programme!E8369,Programme!F8369,Programme!G8369,Programme!H8369,Programme!I8369,Programme!J8369)</f>
        <v>&lt;ValeurCellule&gt;</v>
      </c>
    </row>
    <row r="8369" spans="1:1" x14ac:dyDescent="0.2">
      <c r="A8369" s="996" t="str">
        <f>CONCATENATE(Programme!D8370,Programme!E8370,Programme!F8370,Programme!G8370,Programme!H8370,Programme!I8370,Programme!J8370)</f>
        <v>&lt;cellule&gt;&lt;codeEdi&gt;1083&lt;/codeEdi&gt;&lt;/cellule&gt;</v>
      </c>
    </row>
    <row r="8370" spans="1:1" x14ac:dyDescent="0.2">
      <c r="A8370" s="996" t="str">
        <f>CONCATENATE(Programme!D8371,Programme!E8371,Programme!F8371,Programme!G8371,Programme!H8371,Programme!I8371,Programme!J8371)</f>
        <v>&lt;valeur&gt;&lt;/valeur&gt;</v>
      </c>
    </row>
    <row r="8371" spans="1:1" x14ac:dyDescent="0.2">
      <c r="A8371" s="996" t="str">
        <f>CONCATENATE(Programme!D8372,Programme!E8372,Programme!F8372,Programme!G8372,Programme!H8372,Programme!I8372,Programme!J8372)</f>
        <v>&lt;numeroLigne&gt;4&lt;/numeroLigne&gt;</v>
      </c>
    </row>
    <row r="8372" spans="1:1" x14ac:dyDescent="0.2">
      <c r="A8372" s="996" t="str">
        <f>CONCATENATE(Programme!D8373,Programme!E8373,Programme!F8373,Programme!G8373,Programme!H8373,Programme!I8373,Programme!J8373)</f>
        <v>&lt;/ValeurCellule&gt;</v>
      </c>
    </row>
    <row r="8373" spans="1:1" x14ac:dyDescent="0.2">
      <c r="A8373" s="996" t="str">
        <f>CONCATENATE(Programme!D8374,Programme!E8374,Programme!F8374,Programme!G8374,Programme!H8374,Programme!I8374,Programme!J8374)</f>
        <v>&lt;ValeurCellule&gt;</v>
      </c>
    </row>
    <row r="8374" spans="1:1" x14ac:dyDescent="0.2">
      <c r="A8374" s="996" t="str">
        <f>CONCATENATE(Programme!D8375,Programme!E8375,Programme!F8375,Programme!G8375,Programme!H8375,Programme!I8375,Programme!J8375)</f>
        <v>&lt;cellule&gt;&lt;codeEdi&gt;1084&lt;/codeEdi&gt;&lt;/cellule&gt;</v>
      </c>
    </row>
    <row r="8375" spans="1:1" x14ac:dyDescent="0.2">
      <c r="A8375" s="996" t="str">
        <f>CONCATENATE(Programme!D8376,Programme!E8376,Programme!F8376,Programme!G8376,Programme!H8376,Programme!I8376,Programme!J8376)</f>
        <v>&lt;valeur&gt;&lt;/valeur&gt;</v>
      </c>
    </row>
    <row r="8376" spans="1:1" x14ac:dyDescent="0.2">
      <c r="A8376" s="996" t="str">
        <f>CONCATENATE(Programme!D8377,Programme!E8377,Programme!F8377,Programme!G8377,Programme!H8377,Programme!I8377,Programme!J8377)</f>
        <v>&lt;numeroLigne&gt;4&lt;/numeroLigne&gt;</v>
      </c>
    </row>
    <row r="8377" spans="1:1" x14ac:dyDescent="0.2">
      <c r="A8377" s="996" t="str">
        <f>CONCATENATE(Programme!D8378,Programme!E8378,Programme!F8378,Programme!G8378,Programme!H8378,Programme!I8378,Programme!J8378)</f>
        <v>&lt;/ValeurCellule&gt;</v>
      </c>
    </row>
    <row r="8378" spans="1:1" x14ac:dyDescent="0.2">
      <c r="A8378" s="996" t="str">
        <f>CONCATENATE(Programme!D8379,Programme!E8379,Programme!F8379,Programme!G8379,Programme!H8379,Programme!I8379,Programme!J8379)</f>
        <v>&lt;ValeurCellule&gt;</v>
      </c>
    </row>
    <row r="8379" spans="1:1" x14ac:dyDescent="0.2">
      <c r="A8379" s="996" t="str">
        <f>CONCATENATE(Programme!D8380,Programme!E8380,Programme!F8380,Programme!G8380,Programme!H8380,Programme!I8380,Programme!J8380)</f>
        <v>&lt;cellule&gt;&lt;codeEdi&gt;1085&lt;/codeEdi&gt;&lt;/cellule&gt;</v>
      </c>
    </row>
    <row r="8380" spans="1:1" x14ac:dyDescent="0.2">
      <c r="A8380" s="996" t="str">
        <f>CONCATENATE(Programme!D8381,Programme!E8381,Programme!F8381,Programme!G8381,Programme!H8381,Programme!I8381,Programme!J8381)</f>
        <v>&lt;valeur&gt;&lt;/valeur&gt;</v>
      </c>
    </row>
    <row r="8381" spans="1:1" x14ac:dyDescent="0.2">
      <c r="A8381" s="996" t="str">
        <f>CONCATENATE(Programme!D8382,Programme!E8382,Programme!F8382,Programme!G8382,Programme!H8382,Programme!I8382,Programme!J8382)</f>
        <v>&lt;numeroLigne&gt;4&lt;/numeroLigne&gt;</v>
      </c>
    </row>
    <row r="8382" spans="1:1" x14ac:dyDescent="0.2">
      <c r="A8382" s="996" t="str">
        <f>CONCATENATE(Programme!D8383,Programme!E8383,Programme!F8383,Programme!G8383,Programme!H8383,Programme!I8383,Programme!J8383)</f>
        <v>&lt;/ValeurCellule&gt;</v>
      </c>
    </row>
    <row r="8383" spans="1:1" x14ac:dyDescent="0.2">
      <c r="A8383" s="996" t="str">
        <f>CONCATENATE(Programme!D8384,Programme!E8384,Programme!F8384,Programme!G8384,Programme!H8384,Programme!I8384,Programme!J8384)</f>
        <v>&lt;ValeurCellule&gt;</v>
      </c>
    </row>
    <row r="8384" spans="1:1" x14ac:dyDescent="0.2">
      <c r="A8384" s="996" t="str">
        <f>CONCATENATE(Programme!D8385,Programme!E8385,Programme!F8385,Programme!G8385,Programme!H8385,Programme!I8385,Programme!J8385)</f>
        <v>&lt;cellule&gt;&lt;codeEdi&gt;1086&lt;/codeEdi&gt;&lt;/cellule&gt;</v>
      </c>
    </row>
    <row r="8385" spans="1:1" x14ac:dyDescent="0.2">
      <c r="A8385" s="996" t="str">
        <f>CONCATENATE(Programme!D8386,Programme!E8386,Programme!F8386,Programme!G8386,Programme!H8386,Programme!I8386,Programme!J8386)</f>
        <v>&lt;valeur&gt;&lt;/valeur&gt;</v>
      </c>
    </row>
    <row r="8386" spans="1:1" x14ac:dyDescent="0.2">
      <c r="A8386" s="996" t="str">
        <f>CONCATENATE(Programme!D8387,Programme!E8387,Programme!F8387,Programme!G8387,Programme!H8387,Programme!I8387,Programme!J8387)</f>
        <v>&lt;numeroLigne&gt;4&lt;/numeroLigne&gt;</v>
      </c>
    </row>
    <row r="8387" spans="1:1" x14ac:dyDescent="0.2">
      <c r="A8387" s="996" t="str">
        <f>CONCATENATE(Programme!D8388,Programme!E8388,Programme!F8388,Programme!G8388,Programme!H8388,Programme!I8388,Programme!J8388)</f>
        <v>&lt;/ValeurCellule&gt;</v>
      </c>
    </row>
    <row r="8388" spans="1:1" x14ac:dyDescent="0.2">
      <c r="A8388" s="996" t="str">
        <f>CONCATENATE(Programme!D8389,Programme!E8389,Programme!F8389,Programme!G8389,Programme!H8389,Programme!I8389,Programme!J8389)</f>
        <v>&lt;ValeurCellule&gt;</v>
      </c>
    </row>
    <row r="8389" spans="1:1" x14ac:dyDescent="0.2">
      <c r="A8389" s="996" t="str">
        <f>CONCATENATE(Programme!D8390,Programme!E8390,Programme!F8390,Programme!G8390,Programme!H8390,Programme!I8390,Programme!J8390)</f>
        <v>&lt;cellule&gt;&lt;codeEdi&gt;10061&lt;/codeEdi&gt;&lt;/cellule&gt;</v>
      </c>
    </row>
    <row r="8390" spans="1:1" x14ac:dyDescent="0.2">
      <c r="A8390" s="996" t="str">
        <f>CONCATENATE(Programme!D8391,Programme!E8391,Programme!F8391,Programme!G8391,Programme!H8391,Programme!I8391,Programme!J8391)</f>
        <v>&lt;valeur&gt;&lt;/valeur&gt;</v>
      </c>
    </row>
    <row r="8391" spans="1:1" x14ac:dyDescent="0.2">
      <c r="A8391" s="996" t="str">
        <f>CONCATENATE(Programme!D8392,Programme!E8392,Programme!F8392,Programme!G8392,Programme!H8392,Programme!I8392,Programme!J8392)</f>
        <v>&lt;numeroLigne&gt;5&lt;/numeroLigne&gt;</v>
      </c>
    </row>
    <row r="8392" spans="1:1" x14ac:dyDescent="0.2">
      <c r="A8392" s="996" t="str">
        <f>CONCATENATE(Programme!D8393,Programme!E8393,Programme!F8393,Programme!G8393,Programme!H8393,Programme!I8393,Programme!J8393)</f>
        <v>&lt;/ValeurCellule&gt;</v>
      </c>
    </row>
    <row r="8393" spans="1:1" x14ac:dyDescent="0.2">
      <c r="A8393" s="996" t="str">
        <f>CONCATENATE(Programme!D8394,Programme!E8394,Programme!F8394,Programme!G8394,Programme!H8394,Programme!I8394,Programme!J8394)</f>
        <v>&lt;ValeurCellule&gt;</v>
      </c>
    </row>
    <row r="8394" spans="1:1" x14ac:dyDescent="0.2">
      <c r="A8394" s="996" t="str">
        <f>CONCATENATE(Programme!D8395,Programme!E8395,Programme!F8395,Programme!G8395,Programme!H8395,Programme!I8395,Programme!J8395)</f>
        <v>&lt;cellule&gt;&lt;codeEdi&gt;1078&lt;/codeEdi&gt;&lt;/cellule&gt;</v>
      </c>
    </row>
    <row r="8395" spans="1:1" x14ac:dyDescent="0.2">
      <c r="A8395" s="996" t="str">
        <f>CONCATENATE(Programme!D8396,Programme!E8396,Programme!F8396,Programme!G8396,Programme!H8396,Programme!I8396,Programme!J8396)</f>
        <v>&lt;valeur&gt;&lt;/valeur&gt;</v>
      </c>
    </row>
    <row r="8396" spans="1:1" x14ac:dyDescent="0.2">
      <c r="A8396" s="996" t="str">
        <f>CONCATENATE(Programme!D8397,Programme!E8397,Programme!F8397,Programme!G8397,Programme!H8397,Programme!I8397,Programme!J8397)</f>
        <v>&lt;numeroLigne&gt;5&lt;/numeroLigne&gt;</v>
      </c>
    </row>
    <row r="8397" spans="1:1" x14ac:dyDescent="0.2">
      <c r="A8397" s="996" t="str">
        <f>CONCATENATE(Programme!D8398,Programme!E8398,Programme!F8398,Programme!G8398,Programme!H8398,Programme!I8398,Programme!J8398)</f>
        <v>&lt;/ValeurCellule&gt;</v>
      </c>
    </row>
    <row r="8398" spans="1:1" x14ac:dyDescent="0.2">
      <c r="A8398" s="996" t="str">
        <f>CONCATENATE(Programme!D8399,Programme!E8399,Programme!F8399,Programme!G8399,Programme!H8399,Programme!I8399,Programme!J8399)</f>
        <v>&lt;ValeurCellule&gt;</v>
      </c>
    </row>
    <row r="8399" spans="1:1" x14ac:dyDescent="0.2">
      <c r="A8399" s="996" t="str">
        <f>CONCATENATE(Programme!D8400,Programme!E8400,Programme!F8400,Programme!G8400,Programme!H8400,Programme!I8400,Programme!J8400)</f>
        <v>&lt;cellule&gt;&lt;codeEdi&gt;1079&lt;/codeEdi&gt;&lt;/cellule&gt;</v>
      </c>
    </row>
    <row r="8400" spans="1:1" x14ac:dyDescent="0.2">
      <c r="A8400" s="996" t="str">
        <f>CONCATENATE(Programme!D8401,Programme!E8401,Programme!F8401,Programme!G8401,Programme!H8401,Programme!I8401,Programme!J8401)</f>
        <v>&lt;valeur&gt;&lt;/valeur&gt;</v>
      </c>
    </row>
    <row r="8401" spans="1:1" x14ac:dyDescent="0.2">
      <c r="A8401" s="996" t="str">
        <f>CONCATENATE(Programme!D8402,Programme!E8402,Programme!F8402,Programme!G8402,Programme!H8402,Programme!I8402,Programme!J8402)</f>
        <v>&lt;numeroLigne&gt;5&lt;/numeroLigne&gt;</v>
      </c>
    </row>
    <row r="8402" spans="1:1" x14ac:dyDescent="0.2">
      <c r="A8402" s="996" t="str">
        <f>CONCATENATE(Programme!D8403,Programme!E8403,Programme!F8403,Programme!G8403,Programme!H8403,Programme!I8403,Programme!J8403)</f>
        <v>&lt;/ValeurCellule&gt;</v>
      </c>
    </row>
    <row r="8403" spans="1:1" x14ac:dyDescent="0.2">
      <c r="A8403" s="996" t="str">
        <f>CONCATENATE(Programme!D8404,Programme!E8404,Programme!F8404,Programme!G8404,Programme!H8404,Programme!I8404,Programme!J8404)</f>
        <v>&lt;ValeurCellule&gt;</v>
      </c>
    </row>
    <row r="8404" spans="1:1" x14ac:dyDescent="0.2">
      <c r="A8404" s="996" t="str">
        <f>CONCATENATE(Programme!D8405,Programme!E8405,Programme!F8405,Programme!G8405,Programme!H8405,Programme!I8405,Programme!J8405)</f>
        <v>&lt;cellule&gt;&lt;codeEdi&gt;1080&lt;/codeEdi&gt;&lt;/cellule&gt;</v>
      </c>
    </row>
    <row r="8405" spans="1:1" x14ac:dyDescent="0.2">
      <c r="A8405" s="996" t="str">
        <f>CONCATENATE(Programme!D8406,Programme!E8406,Programme!F8406,Programme!G8406,Programme!H8406,Programme!I8406,Programme!J8406)</f>
        <v>&lt;valeur&gt;&lt;/valeur&gt;</v>
      </c>
    </row>
    <row r="8406" spans="1:1" x14ac:dyDescent="0.2">
      <c r="A8406" s="996" t="str">
        <f>CONCATENATE(Programme!D8407,Programme!E8407,Programme!F8407,Programme!G8407,Programme!H8407,Programme!I8407,Programme!J8407)</f>
        <v>&lt;numeroLigne&gt;5&lt;/numeroLigne&gt;</v>
      </c>
    </row>
    <row r="8407" spans="1:1" x14ac:dyDescent="0.2">
      <c r="A8407" s="996" t="str">
        <f>CONCATENATE(Programme!D8408,Programme!E8408,Programme!F8408,Programme!G8408,Programme!H8408,Programme!I8408,Programme!J8408)</f>
        <v>&lt;/ValeurCellule&gt;</v>
      </c>
    </row>
    <row r="8408" spans="1:1" x14ac:dyDescent="0.2">
      <c r="A8408" s="996" t="str">
        <f>CONCATENATE(Programme!D8409,Programme!E8409,Programme!F8409,Programme!G8409,Programme!H8409,Programme!I8409,Programme!J8409)</f>
        <v>&lt;ValeurCellule&gt;</v>
      </c>
    </row>
    <row r="8409" spans="1:1" x14ac:dyDescent="0.2">
      <c r="A8409" s="996" t="str">
        <f>CONCATENATE(Programme!D8410,Programme!E8410,Programme!F8410,Programme!G8410,Programme!H8410,Programme!I8410,Programme!J8410)</f>
        <v>&lt;cellule&gt;&lt;codeEdi&gt;1081&lt;/codeEdi&gt;&lt;/cellule&gt;</v>
      </c>
    </row>
    <row r="8410" spans="1:1" x14ac:dyDescent="0.2">
      <c r="A8410" s="996" t="str">
        <f>CONCATENATE(Programme!D8411,Programme!E8411,Programme!F8411,Programme!G8411,Programme!H8411,Programme!I8411,Programme!J8411)</f>
        <v>&lt;valeur&gt;&lt;/valeur&gt;</v>
      </c>
    </row>
    <row r="8411" spans="1:1" x14ac:dyDescent="0.2">
      <c r="A8411" s="996" t="str">
        <f>CONCATENATE(Programme!D8412,Programme!E8412,Programme!F8412,Programme!G8412,Programme!H8412,Programme!I8412,Programme!J8412)</f>
        <v>&lt;numeroLigne&gt;5&lt;/numeroLigne&gt;</v>
      </c>
    </row>
    <row r="8412" spans="1:1" x14ac:dyDescent="0.2">
      <c r="A8412" s="996" t="str">
        <f>CONCATENATE(Programme!D8413,Programme!E8413,Programme!F8413,Programme!G8413,Programme!H8413,Programme!I8413,Programme!J8413)</f>
        <v>&lt;/ValeurCellule&gt;</v>
      </c>
    </row>
    <row r="8413" spans="1:1" x14ac:dyDescent="0.2">
      <c r="A8413" s="996" t="str">
        <f>CONCATENATE(Programme!D8414,Programme!E8414,Programme!F8414,Programme!G8414,Programme!H8414,Programme!I8414,Programme!J8414)</f>
        <v>&lt;ValeurCellule&gt;</v>
      </c>
    </row>
    <row r="8414" spans="1:1" x14ac:dyDescent="0.2">
      <c r="A8414" s="996" t="str">
        <f>CONCATENATE(Programme!D8415,Programme!E8415,Programme!F8415,Programme!G8415,Programme!H8415,Programme!I8415,Programme!J8415)</f>
        <v>&lt;cellule&gt;&lt;codeEdi&gt;1082&lt;/codeEdi&gt;&lt;/cellule&gt;</v>
      </c>
    </row>
    <row r="8415" spans="1:1" x14ac:dyDescent="0.2">
      <c r="A8415" s="996" t="str">
        <f>CONCATENATE(Programme!D8416,Programme!E8416,Programme!F8416,Programme!G8416,Programme!H8416,Programme!I8416,Programme!J8416)</f>
        <v>&lt;valeur&gt;&lt;/valeur&gt;</v>
      </c>
    </row>
    <row r="8416" spans="1:1" x14ac:dyDescent="0.2">
      <c r="A8416" s="996" t="str">
        <f>CONCATENATE(Programme!D8417,Programme!E8417,Programme!F8417,Programme!G8417,Programme!H8417,Programme!I8417,Programme!J8417)</f>
        <v>&lt;numeroLigne&gt;5&lt;/numeroLigne&gt;</v>
      </c>
    </row>
    <row r="8417" spans="1:1" x14ac:dyDescent="0.2">
      <c r="A8417" s="996" t="str">
        <f>CONCATENATE(Programme!D8418,Programme!E8418,Programme!F8418,Programme!G8418,Programme!H8418,Programme!I8418,Programme!J8418)</f>
        <v>&lt;/ValeurCellule&gt;</v>
      </c>
    </row>
    <row r="8418" spans="1:1" x14ac:dyDescent="0.2">
      <c r="A8418" s="996" t="str">
        <f>CONCATENATE(Programme!D8419,Programme!E8419,Programme!F8419,Programme!G8419,Programme!H8419,Programme!I8419,Programme!J8419)</f>
        <v>&lt;ValeurCellule&gt;</v>
      </c>
    </row>
    <row r="8419" spans="1:1" x14ac:dyDescent="0.2">
      <c r="A8419" s="996" t="str">
        <f>CONCATENATE(Programme!D8420,Programme!E8420,Programme!F8420,Programme!G8420,Programme!H8420,Programme!I8420,Programme!J8420)</f>
        <v>&lt;cellule&gt;&lt;codeEdi&gt;1083&lt;/codeEdi&gt;&lt;/cellule&gt;</v>
      </c>
    </row>
    <row r="8420" spans="1:1" x14ac:dyDescent="0.2">
      <c r="A8420" s="996" t="str">
        <f>CONCATENATE(Programme!D8421,Programme!E8421,Programme!F8421,Programme!G8421,Programme!H8421,Programme!I8421,Programme!J8421)</f>
        <v>&lt;valeur&gt;&lt;/valeur&gt;</v>
      </c>
    </row>
    <row r="8421" spans="1:1" x14ac:dyDescent="0.2">
      <c r="A8421" s="996" t="str">
        <f>CONCATENATE(Programme!D8422,Programme!E8422,Programme!F8422,Programme!G8422,Programme!H8422,Programme!I8422,Programme!J8422)</f>
        <v>&lt;numeroLigne&gt;5&lt;/numeroLigne&gt;</v>
      </c>
    </row>
    <row r="8422" spans="1:1" x14ac:dyDescent="0.2">
      <c r="A8422" s="996" t="str">
        <f>CONCATENATE(Programme!D8423,Programme!E8423,Programme!F8423,Programme!G8423,Programme!H8423,Programme!I8423,Programme!J8423)</f>
        <v>&lt;/ValeurCellule&gt;</v>
      </c>
    </row>
    <row r="8423" spans="1:1" x14ac:dyDescent="0.2">
      <c r="A8423" s="996" t="str">
        <f>CONCATENATE(Programme!D8424,Programme!E8424,Programme!F8424,Programme!G8424,Programme!H8424,Programme!I8424,Programme!J8424)</f>
        <v>&lt;ValeurCellule&gt;</v>
      </c>
    </row>
    <row r="8424" spans="1:1" x14ac:dyDescent="0.2">
      <c r="A8424" s="996" t="str">
        <f>CONCATENATE(Programme!D8425,Programme!E8425,Programme!F8425,Programme!G8425,Programme!H8425,Programme!I8425,Programme!J8425)</f>
        <v>&lt;cellule&gt;&lt;codeEdi&gt;1084&lt;/codeEdi&gt;&lt;/cellule&gt;</v>
      </c>
    </row>
    <row r="8425" spans="1:1" x14ac:dyDescent="0.2">
      <c r="A8425" s="996" t="str">
        <f>CONCATENATE(Programme!D8426,Programme!E8426,Programme!F8426,Programme!G8426,Programme!H8426,Programme!I8426,Programme!J8426)</f>
        <v>&lt;valeur&gt;&lt;/valeur&gt;</v>
      </c>
    </row>
    <row r="8426" spans="1:1" x14ac:dyDescent="0.2">
      <c r="A8426" s="996" t="str">
        <f>CONCATENATE(Programme!D8427,Programme!E8427,Programme!F8427,Programme!G8427,Programme!H8427,Programme!I8427,Programme!J8427)</f>
        <v>&lt;numeroLigne&gt;5&lt;/numeroLigne&gt;</v>
      </c>
    </row>
    <row r="8427" spans="1:1" x14ac:dyDescent="0.2">
      <c r="A8427" s="996" t="str">
        <f>CONCATENATE(Programme!D8428,Programme!E8428,Programme!F8428,Programme!G8428,Programme!H8428,Programme!I8428,Programme!J8428)</f>
        <v>&lt;/ValeurCellule&gt;</v>
      </c>
    </row>
    <row r="8428" spans="1:1" x14ac:dyDescent="0.2">
      <c r="A8428" s="996" t="str">
        <f>CONCATENATE(Programme!D8429,Programme!E8429,Programme!F8429,Programme!G8429,Programme!H8429,Programme!I8429,Programme!J8429)</f>
        <v>&lt;ValeurCellule&gt;</v>
      </c>
    </row>
    <row r="8429" spans="1:1" x14ac:dyDescent="0.2">
      <c r="A8429" s="996" t="str">
        <f>CONCATENATE(Programme!D8430,Programme!E8430,Programme!F8430,Programme!G8430,Programme!H8430,Programme!I8430,Programme!J8430)</f>
        <v>&lt;cellule&gt;&lt;codeEdi&gt;1085&lt;/codeEdi&gt;&lt;/cellule&gt;</v>
      </c>
    </row>
    <row r="8430" spans="1:1" x14ac:dyDescent="0.2">
      <c r="A8430" s="996" t="str">
        <f>CONCATENATE(Programme!D8431,Programme!E8431,Programme!F8431,Programme!G8431,Programme!H8431,Programme!I8431,Programme!J8431)</f>
        <v>&lt;valeur&gt;&lt;/valeur&gt;</v>
      </c>
    </row>
    <row r="8431" spans="1:1" x14ac:dyDescent="0.2">
      <c r="A8431" s="996" t="str">
        <f>CONCATENATE(Programme!D8432,Programme!E8432,Programme!F8432,Programme!G8432,Programme!H8432,Programme!I8432,Programme!J8432)</f>
        <v>&lt;numeroLigne&gt;5&lt;/numeroLigne&gt;</v>
      </c>
    </row>
    <row r="8432" spans="1:1" x14ac:dyDescent="0.2">
      <c r="A8432" s="996" t="str">
        <f>CONCATENATE(Programme!D8433,Programme!E8433,Programme!F8433,Programme!G8433,Programme!H8433,Programme!I8433,Programme!J8433)</f>
        <v>&lt;/ValeurCellule&gt;</v>
      </c>
    </row>
    <row r="8433" spans="1:1" x14ac:dyDescent="0.2">
      <c r="A8433" s="996" t="str">
        <f>CONCATENATE(Programme!D8434,Programme!E8434,Programme!F8434,Programme!G8434,Programme!H8434,Programme!I8434,Programme!J8434)</f>
        <v>&lt;ValeurCellule&gt;</v>
      </c>
    </row>
    <row r="8434" spans="1:1" x14ac:dyDescent="0.2">
      <c r="A8434" s="996" t="str">
        <f>CONCATENATE(Programme!D8435,Programme!E8435,Programme!F8435,Programme!G8435,Programme!H8435,Programme!I8435,Programme!J8435)</f>
        <v>&lt;cellule&gt;&lt;codeEdi&gt;1086&lt;/codeEdi&gt;&lt;/cellule&gt;</v>
      </c>
    </row>
    <row r="8435" spans="1:1" x14ac:dyDescent="0.2">
      <c r="A8435" s="996" t="str">
        <f>CONCATENATE(Programme!D8436,Programme!E8436,Programme!F8436,Programme!G8436,Programme!H8436,Programme!I8436,Programme!J8436)</f>
        <v>&lt;valeur&gt;&lt;/valeur&gt;</v>
      </c>
    </row>
    <row r="8436" spans="1:1" x14ac:dyDescent="0.2">
      <c r="A8436" s="996" t="str">
        <f>CONCATENATE(Programme!D8437,Programme!E8437,Programme!F8437,Programme!G8437,Programme!H8437,Programme!I8437,Programme!J8437)</f>
        <v>&lt;numeroLigne&gt;5&lt;/numeroLigne&gt;</v>
      </c>
    </row>
    <row r="8437" spans="1:1" x14ac:dyDescent="0.2">
      <c r="A8437" s="996" t="str">
        <f>CONCATENATE(Programme!D8438,Programme!E8438,Programme!F8438,Programme!G8438,Programme!H8438,Programme!I8438,Programme!J8438)</f>
        <v>&lt;/ValeurCellule&gt;</v>
      </c>
    </row>
    <row r="8438" spans="1:1" x14ac:dyDescent="0.2">
      <c r="A8438" s="996" t="str">
        <f>CONCATENATE(Programme!D8439,Programme!E8439,Programme!F8439,Programme!G8439,Programme!H8439,Programme!I8439,Programme!J8439)</f>
        <v>&lt;ValeurCellule&gt;</v>
      </c>
    </row>
    <row r="8439" spans="1:1" x14ac:dyDescent="0.2">
      <c r="A8439" s="996" t="str">
        <f>CONCATENATE(Programme!D8440,Programme!E8440,Programme!F8440,Programme!G8440,Programme!H8440,Programme!I8440,Programme!J8440)</f>
        <v>&lt;cellule&gt;&lt;codeEdi&gt;10061&lt;/codeEdi&gt;&lt;/cellule&gt;</v>
      </c>
    </row>
    <row r="8440" spans="1:1" x14ac:dyDescent="0.2">
      <c r="A8440" s="996" t="str">
        <f>CONCATENATE(Programme!D8441,Programme!E8441,Programme!F8441,Programme!G8441,Programme!H8441,Programme!I8441,Programme!J8441)</f>
        <v>&lt;valeur&gt;&lt;/valeur&gt;</v>
      </c>
    </row>
    <row r="8441" spans="1:1" x14ac:dyDescent="0.2">
      <c r="A8441" s="996" t="str">
        <f>CONCATENATE(Programme!D8442,Programme!E8442,Programme!F8442,Programme!G8442,Programme!H8442,Programme!I8442,Programme!J8442)</f>
        <v>&lt;numeroLigne&gt;6&lt;/numeroLigne&gt;</v>
      </c>
    </row>
    <row r="8442" spans="1:1" x14ac:dyDescent="0.2">
      <c r="A8442" s="996" t="str">
        <f>CONCATENATE(Programme!D8443,Programme!E8443,Programme!F8443,Programme!G8443,Programme!H8443,Programme!I8443,Programme!J8443)</f>
        <v>&lt;/ValeurCellule&gt;</v>
      </c>
    </row>
    <row r="8443" spans="1:1" x14ac:dyDescent="0.2">
      <c r="A8443" s="996" t="str">
        <f>CONCATENATE(Programme!D8444,Programme!E8444,Programme!F8444,Programme!G8444,Programme!H8444,Programme!I8444,Programme!J8444)</f>
        <v>&lt;ValeurCellule&gt;</v>
      </c>
    </row>
    <row r="8444" spans="1:1" x14ac:dyDescent="0.2">
      <c r="A8444" s="996" t="str">
        <f>CONCATENATE(Programme!D8445,Programme!E8445,Programme!F8445,Programme!G8445,Programme!H8445,Programme!I8445,Programme!J8445)</f>
        <v>&lt;cellule&gt;&lt;codeEdi&gt;1078&lt;/codeEdi&gt;&lt;/cellule&gt;</v>
      </c>
    </row>
    <row r="8445" spans="1:1" x14ac:dyDescent="0.2">
      <c r="A8445" s="996" t="str">
        <f>CONCATENATE(Programme!D8446,Programme!E8446,Programme!F8446,Programme!G8446,Programme!H8446,Programme!I8446,Programme!J8446)</f>
        <v>&lt;valeur&gt;&lt;/valeur&gt;</v>
      </c>
    </row>
    <row r="8446" spans="1:1" x14ac:dyDescent="0.2">
      <c r="A8446" s="996" t="str">
        <f>CONCATENATE(Programme!D8447,Programme!E8447,Programme!F8447,Programme!G8447,Programme!H8447,Programme!I8447,Programme!J8447)</f>
        <v>&lt;numeroLigne&gt;6&lt;/numeroLigne&gt;</v>
      </c>
    </row>
    <row r="8447" spans="1:1" x14ac:dyDescent="0.2">
      <c r="A8447" s="996" t="str">
        <f>CONCATENATE(Programme!D8448,Programme!E8448,Programme!F8448,Programme!G8448,Programme!H8448,Programme!I8448,Programme!J8448)</f>
        <v>&lt;/ValeurCellule&gt;</v>
      </c>
    </row>
    <row r="8448" spans="1:1" x14ac:dyDescent="0.2">
      <c r="A8448" s="996" t="str">
        <f>CONCATENATE(Programme!D8449,Programme!E8449,Programme!F8449,Programme!G8449,Programme!H8449,Programme!I8449,Programme!J8449)</f>
        <v>&lt;ValeurCellule&gt;</v>
      </c>
    </row>
    <row r="8449" spans="1:1" x14ac:dyDescent="0.2">
      <c r="A8449" s="996" t="str">
        <f>CONCATENATE(Programme!D8450,Programme!E8450,Programme!F8450,Programme!G8450,Programme!H8450,Programme!I8450,Programme!J8450)</f>
        <v>&lt;cellule&gt;&lt;codeEdi&gt;1079&lt;/codeEdi&gt;&lt;/cellule&gt;</v>
      </c>
    </row>
    <row r="8450" spans="1:1" x14ac:dyDescent="0.2">
      <c r="A8450" s="996" t="str">
        <f>CONCATENATE(Programme!D8451,Programme!E8451,Programme!F8451,Programme!G8451,Programme!H8451,Programme!I8451,Programme!J8451)</f>
        <v>&lt;valeur&gt;&lt;/valeur&gt;</v>
      </c>
    </row>
    <row r="8451" spans="1:1" x14ac:dyDescent="0.2">
      <c r="A8451" s="996" t="str">
        <f>CONCATENATE(Programme!D8452,Programme!E8452,Programme!F8452,Programme!G8452,Programme!H8452,Programme!I8452,Programme!J8452)</f>
        <v>&lt;numeroLigne&gt;6&lt;/numeroLigne&gt;</v>
      </c>
    </row>
    <row r="8452" spans="1:1" x14ac:dyDescent="0.2">
      <c r="A8452" s="996" t="str">
        <f>CONCATENATE(Programme!D8453,Programme!E8453,Programme!F8453,Programme!G8453,Programme!H8453,Programme!I8453,Programme!J8453)</f>
        <v>&lt;/ValeurCellule&gt;</v>
      </c>
    </row>
    <row r="8453" spans="1:1" x14ac:dyDescent="0.2">
      <c r="A8453" s="996" t="str">
        <f>CONCATENATE(Programme!D8454,Programme!E8454,Programme!F8454,Programme!G8454,Programme!H8454,Programme!I8454,Programme!J8454)</f>
        <v>&lt;ValeurCellule&gt;</v>
      </c>
    </row>
    <row r="8454" spans="1:1" x14ac:dyDescent="0.2">
      <c r="A8454" s="996" t="str">
        <f>CONCATENATE(Programme!D8455,Programme!E8455,Programme!F8455,Programme!G8455,Programme!H8455,Programme!I8455,Programme!J8455)</f>
        <v>&lt;cellule&gt;&lt;codeEdi&gt;1080&lt;/codeEdi&gt;&lt;/cellule&gt;</v>
      </c>
    </row>
    <row r="8455" spans="1:1" x14ac:dyDescent="0.2">
      <c r="A8455" s="996" t="str">
        <f>CONCATENATE(Programme!D8456,Programme!E8456,Programme!F8456,Programme!G8456,Programme!H8456,Programme!I8456,Programme!J8456)</f>
        <v>&lt;valeur&gt;&lt;/valeur&gt;</v>
      </c>
    </row>
    <row r="8456" spans="1:1" x14ac:dyDescent="0.2">
      <c r="A8456" s="996" t="str">
        <f>CONCATENATE(Programme!D8457,Programme!E8457,Programme!F8457,Programme!G8457,Programme!H8457,Programme!I8457,Programme!J8457)</f>
        <v>&lt;numeroLigne&gt;6&lt;/numeroLigne&gt;</v>
      </c>
    </row>
    <row r="8457" spans="1:1" x14ac:dyDescent="0.2">
      <c r="A8457" s="996" t="str">
        <f>CONCATENATE(Programme!D8458,Programme!E8458,Programme!F8458,Programme!G8458,Programme!H8458,Programme!I8458,Programme!J8458)</f>
        <v>&lt;/ValeurCellule&gt;</v>
      </c>
    </row>
    <row r="8458" spans="1:1" x14ac:dyDescent="0.2">
      <c r="A8458" s="996" t="str">
        <f>CONCATENATE(Programme!D8459,Programme!E8459,Programme!F8459,Programme!G8459,Programme!H8459,Programme!I8459,Programme!J8459)</f>
        <v>&lt;ValeurCellule&gt;</v>
      </c>
    </row>
    <row r="8459" spans="1:1" x14ac:dyDescent="0.2">
      <c r="A8459" s="996" t="str">
        <f>CONCATENATE(Programme!D8460,Programme!E8460,Programme!F8460,Programme!G8460,Programme!H8460,Programme!I8460,Programme!J8460)</f>
        <v>&lt;cellule&gt;&lt;codeEdi&gt;1081&lt;/codeEdi&gt;&lt;/cellule&gt;</v>
      </c>
    </row>
    <row r="8460" spans="1:1" x14ac:dyDescent="0.2">
      <c r="A8460" s="996" t="str">
        <f>CONCATENATE(Programme!D8461,Programme!E8461,Programme!F8461,Programme!G8461,Programme!H8461,Programme!I8461,Programme!J8461)</f>
        <v>&lt;valeur&gt;&lt;/valeur&gt;</v>
      </c>
    </row>
    <row r="8461" spans="1:1" x14ac:dyDescent="0.2">
      <c r="A8461" s="996" t="str">
        <f>CONCATENATE(Programme!D8462,Programme!E8462,Programme!F8462,Programme!G8462,Programme!H8462,Programme!I8462,Programme!J8462)</f>
        <v>&lt;numeroLigne&gt;6&lt;/numeroLigne&gt;</v>
      </c>
    </row>
    <row r="8462" spans="1:1" x14ac:dyDescent="0.2">
      <c r="A8462" s="996" t="str">
        <f>CONCATENATE(Programme!D8463,Programme!E8463,Programme!F8463,Programme!G8463,Programme!H8463,Programme!I8463,Programme!J8463)</f>
        <v>&lt;/ValeurCellule&gt;</v>
      </c>
    </row>
    <row r="8463" spans="1:1" x14ac:dyDescent="0.2">
      <c r="A8463" s="996" t="str">
        <f>CONCATENATE(Programme!D8464,Programme!E8464,Programme!F8464,Programme!G8464,Programme!H8464,Programme!I8464,Programme!J8464)</f>
        <v>&lt;ValeurCellule&gt;</v>
      </c>
    </row>
    <row r="8464" spans="1:1" x14ac:dyDescent="0.2">
      <c r="A8464" s="996" t="str">
        <f>CONCATENATE(Programme!D8465,Programme!E8465,Programme!F8465,Programme!G8465,Programme!H8465,Programme!I8465,Programme!J8465)</f>
        <v>&lt;cellule&gt;&lt;codeEdi&gt;1082&lt;/codeEdi&gt;&lt;/cellule&gt;</v>
      </c>
    </row>
    <row r="8465" spans="1:1" x14ac:dyDescent="0.2">
      <c r="A8465" s="996" t="str">
        <f>CONCATENATE(Programme!D8466,Programme!E8466,Programme!F8466,Programme!G8466,Programme!H8466,Programme!I8466,Programme!J8466)</f>
        <v>&lt;valeur&gt;&lt;/valeur&gt;</v>
      </c>
    </row>
    <row r="8466" spans="1:1" x14ac:dyDescent="0.2">
      <c r="A8466" s="996" t="str">
        <f>CONCATENATE(Programme!D8467,Programme!E8467,Programme!F8467,Programme!G8467,Programme!H8467,Programme!I8467,Programme!J8467)</f>
        <v>&lt;numeroLigne&gt;6&lt;/numeroLigne&gt;</v>
      </c>
    </row>
    <row r="8467" spans="1:1" x14ac:dyDescent="0.2">
      <c r="A8467" s="996" t="str">
        <f>CONCATENATE(Programme!D8468,Programme!E8468,Programme!F8468,Programme!G8468,Programme!H8468,Programme!I8468,Programme!J8468)</f>
        <v>&lt;/ValeurCellule&gt;</v>
      </c>
    </row>
    <row r="8468" spans="1:1" x14ac:dyDescent="0.2">
      <c r="A8468" s="996" t="str">
        <f>CONCATENATE(Programme!D8469,Programme!E8469,Programme!F8469,Programme!G8469,Programme!H8469,Programme!I8469,Programme!J8469)</f>
        <v>&lt;ValeurCellule&gt;</v>
      </c>
    </row>
    <row r="8469" spans="1:1" x14ac:dyDescent="0.2">
      <c r="A8469" s="996" t="str">
        <f>CONCATENATE(Programme!D8470,Programme!E8470,Programme!F8470,Programme!G8470,Programme!H8470,Programme!I8470,Programme!J8470)</f>
        <v>&lt;cellule&gt;&lt;codeEdi&gt;1083&lt;/codeEdi&gt;&lt;/cellule&gt;</v>
      </c>
    </row>
    <row r="8470" spans="1:1" x14ac:dyDescent="0.2">
      <c r="A8470" s="996" t="str">
        <f>CONCATENATE(Programme!D8471,Programme!E8471,Programme!F8471,Programme!G8471,Programme!H8471,Programme!I8471,Programme!J8471)</f>
        <v>&lt;valeur&gt;&lt;/valeur&gt;</v>
      </c>
    </row>
    <row r="8471" spans="1:1" x14ac:dyDescent="0.2">
      <c r="A8471" s="996" t="str">
        <f>CONCATENATE(Programme!D8472,Programme!E8472,Programme!F8472,Programme!G8472,Programme!H8472,Programme!I8472,Programme!J8472)</f>
        <v>&lt;numeroLigne&gt;6&lt;/numeroLigne&gt;</v>
      </c>
    </row>
    <row r="8472" spans="1:1" x14ac:dyDescent="0.2">
      <c r="A8472" s="996" t="str">
        <f>CONCATENATE(Programme!D8473,Programme!E8473,Programme!F8473,Programme!G8473,Programme!H8473,Programme!I8473,Programme!J8473)</f>
        <v>&lt;/ValeurCellule&gt;</v>
      </c>
    </row>
    <row r="8473" spans="1:1" x14ac:dyDescent="0.2">
      <c r="A8473" s="996" t="str">
        <f>CONCATENATE(Programme!D8474,Programme!E8474,Programme!F8474,Programme!G8474,Programme!H8474,Programme!I8474,Programme!J8474)</f>
        <v>&lt;ValeurCellule&gt;</v>
      </c>
    </row>
    <row r="8474" spans="1:1" x14ac:dyDescent="0.2">
      <c r="A8474" s="996" t="str">
        <f>CONCATENATE(Programme!D8475,Programme!E8475,Programme!F8475,Programme!G8475,Programme!H8475,Programme!I8475,Programme!J8475)</f>
        <v>&lt;cellule&gt;&lt;codeEdi&gt;1084&lt;/codeEdi&gt;&lt;/cellule&gt;</v>
      </c>
    </row>
    <row r="8475" spans="1:1" x14ac:dyDescent="0.2">
      <c r="A8475" s="996" t="str">
        <f>CONCATENATE(Programme!D8476,Programme!E8476,Programme!F8476,Programme!G8476,Programme!H8476,Programme!I8476,Programme!J8476)</f>
        <v>&lt;valeur&gt;&lt;/valeur&gt;</v>
      </c>
    </row>
    <row r="8476" spans="1:1" x14ac:dyDescent="0.2">
      <c r="A8476" s="996" t="str">
        <f>CONCATENATE(Programme!D8477,Programme!E8477,Programme!F8477,Programme!G8477,Programme!H8477,Programme!I8477,Programme!J8477)</f>
        <v>&lt;numeroLigne&gt;6&lt;/numeroLigne&gt;</v>
      </c>
    </row>
    <row r="8477" spans="1:1" x14ac:dyDescent="0.2">
      <c r="A8477" s="996" t="str">
        <f>CONCATENATE(Programme!D8478,Programme!E8478,Programme!F8478,Programme!G8478,Programme!H8478,Programme!I8478,Programme!J8478)</f>
        <v>&lt;/ValeurCellule&gt;</v>
      </c>
    </row>
    <row r="8478" spans="1:1" x14ac:dyDescent="0.2">
      <c r="A8478" s="996" t="str">
        <f>CONCATENATE(Programme!D8479,Programme!E8479,Programme!F8479,Programme!G8479,Programme!H8479,Programme!I8479,Programme!J8479)</f>
        <v>&lt;ValeurCellule&gt;</v>
      </c>
    </row>
    <row r="8479" spans="1:1" x14ac:dyDescent="0.2">
      <c r="A8479" s="996" t="str">
        <f>CONCATENATE(Programme!D8480,Programme!E8480,Programme!F8480,Programme!G8480,Programme!H8480,Programme!I8480,Programme!J8480)</f>
        <v>&lt;cellule&gt;&lt;codeEdi&gt;1085&lt;/codeEdi&gt;&lt;/cellule&gt;</v>
      </c>
    </row>
    <row r="8480" spans="1:1" x14ac:dyDescent="0.2">
      <c r="A8480" s="996" t="str">
        <f>CONCATENATE(Programme!D8481,Programme!E8481,Programme!F8481,Programme!G8481,Programme!H8481,Programme!I8481,Programme!J8481)</f>
        <v>&lt;valeur&gt;&lt;/valeur&gt;</v>
      </c>
    </row>
    <row r="8481" spans="1:1" x14ac:dyDescent="0.2">
      <c r="A8481" s="996" t="str">
        <f>CONCATENATE(Programme!D8482,Programme!E8482,Programme!F8482,Programme!G8482,Programme!H8482,Programme!I8482,Programme!J8482)</f>
        <v>&lt;numeroLigne&gt;6&lt;/numeroLigne&gt;</v>
      </c>
    </row>
    <row r="8482" spans="1:1" x14ac:dyDescent="0.2">
      <c r="A8482" s="996" t="str">
        <f>CONCATENATE(Programme!D8483,Programme!E8483,Programme!F8483,Programme!G8483,Programme!H8483,Programme!I8483,Programme!J8483)</f>
        <v>&lt;/ValeurCellule&gt;</v>
      </c>
    </row>
    <row r="8483" spans="1:1" x14ac:dyDescent="0.2">
      <c r="A8483" s="996" t="str">
        <f>CONCATENATE(Programme!D8484,Programme!E8484,Programme!F8484,Programme!G8484,Programme!H8484,Programme!I8484,Programme!J8484)</f>
        <v>&lt;ValeurCellule&gt;</v>
      </c>
    </row>
    <row r="8484" spans="1:1" x14ac:dyDescent="0.2">
      <c r="A8484" s="996" t="str">
        <f>CONCATENATE(Programme!D8485,Programme!E8485,Programme!F8485,Programme!G8485,Programme!H8485,Programme!I8485,Programme!J8485)</f>
        <v>&lt;cellule&gt;&lt;codeEdi&gt;1086&lt;/codeEdi&gt;&lt;/cellule&gt;</v>
      </c>
    </row>
    <row r="8485" spans="1:1" x14ac:dyDescent="0.2">
      <c r="A8485" s="996" t="str">
        <f>CONCATENATE(Programme!D8486,Programme!E8486,Programme!F8486,Programme!G8486,Programme!H8486,Programme!I8486,Programme!J8486)</f>
        <v>&lt;valeur&gt;&lt;/valeur&gt;</v>
      </c>
    </row>
    <row r="8486" spans="1:1" x14ac:dyDescent="0.2">
      <c r="A8486" s="996" t="str">
        <f>CONCATENATE(Programme!D8487,Programme!E8487,Programme!F8487,Programme!G8487,Programme!H8487,Programme!I8487,Programme!J8487)</f>
        <v>&lt;numeroLigne&gt;6&lt;/numeroLigne&gt;</v>
      </c>
    </row>
    <row r="8487" spans="1:1" x14ac:dyDescent="0.2">
      <c r="A8487" s="996" t="str">
        <f>CONCATENATE(Programme!D8488,Programme!E8488,Programme!F8488,Programme!G8488,Programme!H8488,Programme!I8488,Programme!J8488)</f>
        <v>&lt;/ValeurCellule&gt;</v>
      </c>
    </row>
    <row r="8488" spans="1:1" x14ac:dyDescent="0.2">
      <c r="A8488" s="996" t="str">
        <f>CONCATENATE(Programme!D8489,Programme!E8489,Programme!F8489,Programme!G8489,Programme!H8489,Programme!I8489,Programme!J8489)</f>
        <v>&lt;ValeurCellule&gt;</v>
      </c>
    </row>
    <row r="8489" spans="1:1" x14ac:dyDescent="0.2">
      <c r="A8489" s="996" t="str">
        <f>CONCATENATE(Programme!D8490,Programme!E8490,Programme!F8490,Programme!G8490,Programme!H8490,Programme!I8490,Programme!J8490)</f>
        <v>&lt;cellule&gt;&lt;codeEdi&gt;10061&lt;/codeEdi&gt;&lt;/cellule&gt;</v>
      </c>
    </row>
    <row r="8490" spans="1:1" x14ac:dyDescent="0.2">
      <c r="A8490" s="996" t="str">
        <f>CONCATENATE(Programme!D8491,Programme!E8491,Programme!F8491,Programme!G8491,Programme!H8491,Programme!I8491,Programme!J8491)</f>
        <v>&lt;valeur&gt;&lt;/valeur&gt;</v>
      </c>
    </row>
    <row r="8491" spans="1:1" x14ac:dyDescent="0.2">
      <c r="A8491" s="996" t="str">
        <f>CONCATENATE(Programme!D8492,Programme!E8492,Programme!F8492,Programme!G8492,Programme!H8492,Programme!I8492,Programme!J8492)</f>
        <v>&lt;numeroLigne&gt;7&lt;/numeroLigne&gt;</v>
      </c>
    </row>
    <row r="8492" spans="1:1" x14ac:dyDescent="0.2">
      <c r="A8492" s="996" t="str">
        <f>CONCATENATE(Programme!D8493,Programme!E8493,Programme!F8493,Programme!G8493,Programme!H8493,Programme!I8493,Programme!J8493)</f>
        <v>&lt;/ValeurCellule&gt;</v>
      </c>
    </row>
    <row r="8493" spans="1:1" x14ac:dyDescent="0.2">
      <c r="A8493" s="996" t="str">
        <f>CONCATENATE(Programme!D8494,Programme!E8494,Programme!F8494,Programme!G8494,Programme!H8494,Programme!I8494,Programme!J8494)</f>
        <v>&lt;ValeurCellule&gt;</v>
      </c>
    </row>
    <row r="8494" spans="1:1" x14ac:dyDescent="0.2">
      <c r="A8494" s="996" t="str">
        <f>CONCATENATE(Programme!D8495,Programme!E8495,Programme!F8495,Programme!G8495,Programme!H8495,Programme!I8495,Programme!J8495)</f>
        <v>&lt;cellule&gt;&lt;codeEdi&gt;1078&lt;/codeEdi&gt;&lt;/cellule&gt;</v>
      </c>
    </row>
    <row r="8495" spans="1:1" x14ac:dyDescent="0.2">
      <c r="A8495" s="996" t="str">
        <f>CONCATENATE(Programme!D8496,Programme!E8496,Programme!F8496,Programme!G8496,Programme!H8496,Programme!I8496,Programme!J8496)</f>
        <v>&lt;valeur&gt;&lt;/valeur&gt;</v>
      </c>
    </row>
    <row r="8496" spans="1:1" x14ac:dyDescent="0.2">
      <c r="A8496" s="996" t="str">
        <f>CONCATENATE(Programme!D8497,Programme!E8497,Programme!F8497,Programme!G8497,Programme!H8497,Programme!I8497,Programme!J8497)</f>
        <v>&lt;numeroLigne&gt;7&lt;/numeroLigne&gt;</v>
      </c>
    </row>
    <row r="8497" spans="1:1" x14ac:dyDescent="0.2">
      <c r="A8497" s="996" t="str">
        <f>CONCATENATE(Programme!D8498,Programme!E8498,Programme!F8498,Programme!G8498,Programme!H8498,Programme!I8498,Programme!J8498)</f>
        <v>&lt;/ValeurCellule&gt;</v>
      </c>
    </row>
    <row r="8498" spans="1:1" x14ac:dyDescent="0.2">
      <c r="A8498" s="996" t="str">
        <f>CONCATENATE(Programme!D8499,Programme!E8499,Programme!F8499,Programme!G8499,Programme!H8499,Programme!I8499,Programme!J8499)</f>
        <v>&lt;ValeurCellule&gt;</v>
      </c>
    </row>
    <row r="8499" spans="1:1" x14ac:dyDescent="0.2">
      <c r="A8499" s="996" t="str">
        <f>CONCATENATE(Programme!D8500,Programme!E8500,Programme!F8500,Programme!G8500,Programme!H8500,Programme!I8500,Programme!J8500)</f>
        <v>&lt;cellule&gt;&lt;codeEdi&gt;1079&lt;/codeEdi&gt;&lt;/cellule&gt;</v>
      </c>
    </row>
    <row r="8500" spans="1:1" x14ac:dyDescent="0.2">
      <c r="A8500" s="996" t="str">
        <f>CONCATENATE(Programme!D8501,Programme!E8501,Programme!F8501,Programme!G8501,Programme!H8501,Programme!I8501,Programme!J8501)</f>
        <v>&lt;valeur&gt;&lt;/valeur&gt;</v>
      </c>
    </row>
    <row r="8501" spans="1:1" x14ac:dyDescent="0.2">
      <c r="A8501" s="996" t="str">
        <f>CONCATENATE(Programme!D8502,Programme!E8502,Programme!F8502,Programme!G8502,Programme!H8502,Programme!I8502,Programme!J8502)</f>
        <v>&lt;numeroLigne&gt;7&lt;/numeroLigne&gt;</v>
      </c>
    </row>
    <row r="8502" spans="1:1" x14ac:dyDescent="0.2">
      <c r="A8502" s="996" t="str">
        <f>CONCATENATE(Programme!D8503,Programme!E8503,Programme!F8503,Programme!G8503,Programme!H8503,Programme!I8503,Programme!J8503)</f>
        <v>&lt;/ValeurCellule&gt;</v>
      </c>
    </row>
    <row r="8503" spans="1:1" x14ac:dyDescent="0.2">
      <c r="A8503" s="996" t="str">
        <f>CONCATENATE(Programme!D8504,Programme!E8504,Programme!F8504,Programme!G8504,Programme!H8504,Programme!I8504,Programme!J8504)</f>
        <v>&lt;ValeurCellule&gt;</v>
      </c>
    </row>
    <row r="8504" spans="1:1" x14ac:dyDescent="0.2">
      <c r="A8504" s="996" t="str">
        <f>CONCATENATE(Programme!D8505,Programme!E8505,Programme!F8505,Programme!G8505,Programme!H8505,Programme!I8505,Programme!J8505)</f>
        <v>&lt;cellule&gt;&lt;codeEdi&gt;1080&lt;/codeEdi&gt;&lt;/cellule&gt;</v>
      </c>
    </row>
    <row r="8505" spans="1:1" x14ac:dyDescent="0.2">
      <c r="A8505" s="996" t="str">
        <f>CONCATENATE(Programme!D8506,Programme!E8506,Programme!F8506,Programme!G8506,Programme!H8506,Programme!I8506,Programme!J8506)</f>
        <v>&lt;valeur&gt;&lt;/valeur&gt;</v>
      </c>
    </row>
    <row r="8506" spans="1:1" x14ac:dyDescent="0.2">
      <c r="A8506" s="996" t="str">
        <f>CONCATENATE(Programme!D8507,Programme!E8507,Programme!F8507,Programme!G8507,Programme!H8507,Programme!I8507,Programme!J8507)</f>
        <v>&lt;numeroLigne&gt;7&lt;/numeroLigne&gt;</v>
      </c>
    </row>
    <row r="8507" spans="1:1" x14ac:dyDescent="0.2">
      <c r="A8507" s="996" t="str">
        <f>CONCATENATE(Programme!D8508,Programme!E8508,Programme!F8508,Programme!G8508,Programme!H8508,Programme!I8508,Programme!J8508)</f>
        <v>&lt;/ValeurCellule&gt;</v>
      </c>
    </row>
    <row r="8508" spans="1:1" x14ac:dyDescent="0.2">
      <c r="A8508" s="996" t="str">
        <f>CONCATENATE(Programme!D8509,Programme!E8509,Programme!F8509,Programme!G8509,Programme!H8509,Programme!I8509,Programme!J8509)</f>
        <v>&lt;ValeurCellule&gt;</v>
      </c>
    </row>
    <row r="8509" spans="1:1" x14ac:dyDescent="0.2">
      <c r="A8509" s="996" t="str">
        <f>CONCATENATE(Programme!D8510,Programme!E8510,Programme!F8510,Programme!G8510,Programme!H8510,Programme!I8510,Programme!J8510)</f>
        <v>&lt;cellule&gt;&lt;codeEdi&gt;1081&lt;/codeEdi&gt;&lt;/cellule&gt;</v>
      </c>
    </row>
    <row r="8510" spans="1:1" x14ac:dyDescent="0.2">
      <c r="A8510" s="996" t="str">
        <f>CONCATENATE(Programme!D8511,Programme!E8511,Programme!F8511,Programme!G8511,Programme!H8511,Programme!I8511,Programme!J8511)</f>
        <v>&lt;valeur&gt;&lt;/valeur&gt;</v>
      </c>
    </row>
    <row r="8511" spans="1:1" x14ac:dyDescent="0.2">
      <c r="A8511" s="996" t="str">
        <f>CONCATENATE(Programme!D8512,Programme!E8512,Programme!F8512,Programme!G8512,Programme!H8512,Programme!I8512,Programme!J8512)</f>
        <v>&lt;numeroLigne&gt;7&lt;/numeroLigne&gt;</v>
      </c>
    </row>
    <row r="8512" spans="1:1" x14ac:dyDescent="0.2">
      <c r="A8512" s="996" t="str">
        <f>CONCATENATE(Programme!D8513,Programme!E8513,Programme!F8513,Programme!G8513,Programme!H8513,Programme!I8513,Programme!J8513)</f>
        <v>&lt;/ValeurCellule&gt;</v>
      </c>
    </row>
    <row r="8513" spans="1:1" x14ac:dyDescent="0.2">
      <c r="A8513" s="996" t="str">
        <f>CONCATENATE(Programme!D8514,Programme!E8514,Programme!F8514,Programme!G8514,Programme!H8514,Programme!I8514,Programme!J8514)</f>
        <v>&lt;ValeurCellule&gt;</v>
      </c>
    </row>
    <row r="8514" spans="1:1" x14ac:dyDescent="0.2">
      <c r="A8514" s="996" t="str">
        <f>CONCATENATE(Programme!D8515,Programme!E8515,Programme!F8515,Programme!G8515,Programme!H8515,Programme!I8515,Programme!J8515)</f>
        <v>&lt;cellule&gt;&lt;codeEdi&gt;1082&lt;/codeEdi&gt;&lt;/cellule&gt;</v>
      </c>
    </row>
    <row r="8515" spans="1:1" x14ac:dyDescent="0.2">
      <c r="A8515" s="996" t="str">
        <f>CONCATENATE(Programme!D8516,Programme!E8516,Programme!F8516,Programme!G8516,Programme!H8516,Programme!I8516,Programme!J8516)</f>
        <v>&lt;valeur&gt;&lt;/valeur&gt;</v>
      </c>
    </row>
    <row r="8516" spans="1:1" x14ac:dyDescent="0.2">
      <c r="A8516" s="996" t="str">
        <f>CONCATENATE(Programme!D8517,Programme!E8517,Programme!F8517,Programme!G8517,Programme!H8517,Programme!I8517,Programme!J8517)</f>
        <v>&lt;numeroLigne&gt;7&lt;/numeroLigne&gt;</v>
      </c>
    </row>
    <row r="8517" spans="1:1" x14ac:dyDescent="0.2">
      <c r="A8517" s="996" t="str">
        <f>CONCATENATE(Programme!D8518,Programme!E8518,Programme!F8518,Programme!G8518,Programme!H8518,Programme!I8518,Programme!J8518)</f>
        <v>&lt;/ValeurCellule&gt;</v>
      </c>
    </row>
    <row r="8518" spans="1:1" x14ac:dyDescent="0.2">
      <c r="A8518" s="996" t="str">
        <f>CONCATENATE(Programme!D8519,Programme!E8519,Programme!F8519,Programme!G8519,Programme!H8519,Programme!I8519,Programme!J8519)</f>
        <v>&lt;ValeurCellule&gt;</v>
      </c>
    </row>
    <row r="8519" spans="1:1" x14ac:dyDescent="0.2">
      <c r="A8519" s="996" t="str">
        <f>CONCATENATE(Programme!D8520,Programme!E8520,Programme!F8520,Programme!G8520,Programme!H8520,Programme!I8520,Programme!J8520)</f>
        <v>&lt;cellule&gt;&lt;codeEdi&gt;1083&lt;/codeEdi&gt;&lt;/cellule&gt;</v>
      </c>
    </row>
    <row r="8520" spans="1:1" x14ac:dyDescent="0.2">
      <c r="A8520" s="996" t="str">
        <f>CONCATENATE(Programme!D8521,Programme!E8521,Programme!F8521,Programme!G8521,Programme!H8521,Programme!I8521,Programme!J8521)</f>
        <v>&lt;valeur&gt;&lt;/valeur&gt;</v>
      </c>
    </row>
    <row r="8521" spans="1:1" x14ac:dyDescent="0.2">
      <c r="A8521" s="996" t="str">
        <f>CONCATENATE(Programme!D8522,Programme!E8522,Programme!F8522,Programme!G8522,Programme!H8522,Programme!I8522,Programme!J8522)</f>
        <v>&lt;numeroLigne&gt;7&lt;/numeroLigne&gt;</v>
      </c>
    </row>
    <row r="8522" spans="1:1" x14ac:dyDescent="0.2">
      <c r="A8522" s="996" t="str">
        <f>CONCATENATE(Programme!D8523,Programme!E8523,Programme!F8523,Programme!G8523,Programme!H8523,Programme!I8523,Programme!J8523)</f>
        <v>&lt;/ValeurCellule&gt;</v>
      </c>
    </row>
    <row r="8523" spans="1:1" x14ac:dyDescent="0.2">
      <c r="A8523" s="996" t="str">
        <f>CONCATENATE(Programme!D8524,Programme!E8524,Programme!F8524,Programme!G8524,Programme!H8524,Programme!I8524,Programme!J8524)</f>
        <v>&lt;ValeurCellule&gt;</v>
      </c>
    </row>
    <row r="8524" spans="1:1" x14ac:dyDescent="0.2">
      <c r="A8524" s="996" t="str">
        <f>CONCATENATE(Programme!D8525,Programme!E8525,Programme!F8525,Programme!G8525,Programme!H8525,Programme!I8525,Programme!J8525)</f>
        <v>&lt;cellule&gt;&lt;codeEdi&gt;1084&lt;/codeEdi&gt;&lt;/cellule&gt;</v>
      </c>
    </row>
    <row r="8525" spans="1:1" x14ac:dyDescent="0.2">
      <c r="A8525" s="996" t="str">
        <f>CONCATENATE(Programme!D8526,Programme!E8526,Programme!F8526,Programme!G8526,Programme!H8526,Programme!I8526,Programme!J8526)</f>
        <v>&lt;valeur&gt;&lt;/valeur&gt;</v>
      </c>
    </row>
    <row r="8526" spans="1:1" x14ac:dyDescent="0.2">
      <c r="A8526" s="996" t="str">
        <f>CONCATENATE(Programme!D8527,Programme!E8527,Programme!F8527,Programme!G8527,Programme!H8527,Programme!I8527,Programme!J8527)</f>
        <v>&lt;numeroLigne&gt;7&lt;/numeroLigne&gt;</v>
      </c>
    </row>
    <row r="8527" spans="1:1" x14ac:dyDescent="0.2">
      <c r="A8527" s="996" t="str">
        <f>CONCATENATE(Programme!D8528,Programme!E8528,Programme!F8528,Programme!G8528,Programme!H8528,Programme!I8528,Programme!J8528)</f>
        <v>&lt;/ValeurCellule&gt;</v>
      </c>
    </row>
    <row r="8528" spans="1:1" x14ac:dyDescent="0.2">
      <c r="A8528" s="996" t="str">
        <f>CONCATENATE(Programme!D8529,Programme!E8529,Programme!F8529,Programme!G8529,Programme!H8529,Programme!I8529,Programme!J8529)</f>
        <v>&lt;ValeurCellule&gt;</v>
      </c>
    </row>
    <row r="8529" spans="1:1" x14ac:dyDescent="0.2">
      <c r="A8529" s="996" t="str">
        <f>CONCATENATE(Programme!D8530,Programme!E8530,Programme!F8530,Programme!G8530,Programme!H8530,Programme!I8530,Programme!J8530)</f>
        <v>&lt;cellule&gt;&lt;codeEdi&gt;1085&lt;/codeEdi&gt;&lt;/cellule&gt;</v>
      </c>
    </row>
    <row r="8530" spans="1:1" x14ac:dyDescent="0.2">
      <c r="A8530" s="996" t="str">
        <f>CONCATENATE(Programme!D8531,Programme!E8531,Programme!F8531,Programme!G8531,Programme!H8531,Programme!I8531,Programme!J8531)</f>
        <v>&lt;valeur&gt;&lt;/valeur&gt;</v>
      </c>
    </row>
    <row r="8531" spans="1:1" x14ac:dyDescent="0.2">
      <c r="A8531" s="996" t="str">
        <f>CONCATENATE(Programme!D8532,Programme!E8532,Programme!F8532,Programme!G8532,Programme!H8532,Programme!I8532,Programme!J8532)</f>
        <v>&lt;numeroLigne&gt;7&lt;/numeroLigne&gt;</v>
      </c>
    </row>
    <row r="8532" spans="1:1" x14ac:dyDescent="0.2">
      <c r="A8532" s="996" t="str">
        <f>CONCATENATE(Programme!D8533,Programme!E8533,Programme!F8533,Programme!G8533,Programme!H8533,Programme!I8533,Programme!J8533)</f>
        <v>&lt;/ValeurCellule&gt;</v>
      </c>
    </row>
    <row r="8533" spans="1:1" x14ac:dyDescent="0.2">
      <c r="A8533" s="996" t="str">
        <f>CONCATENATE(Programme!D8534,Programme!E8534,Programme!F8534,Programme!G8534,Programme!H8534,Programme!I8534,Programme!J8534)</f>
        <v>&lt;ValeurCellule&gt;</v>
      </c>
    </row>
    <row r="8534" spans="1:1" x14ac:dyDescent="0.2">
      <c r="A8534" s="996" t="str">
        <f>CONCATENATE(Programme!D8535,Programme!E8535,Programme!F8535,Programme!G8535,Programme!H8535,Programme!I8535,Programme!J8535)</f>
        <v>&lt;cellule&gt;&lt;codeEdi&gt;1086&lt;/codeEdi&gt;&lt;/cellule&gt;</v>
      </c>
    </row>
    <row r="8535" spans="1:1" x14ac:dyDescent="0.2">
      <c r="A8535" s="996" t="str">
        <f>CONCATENATE(Programme!D8536,Programme!E8536,Programme!F8536,Programme!G8536,Programme!H8536,Programme!I8536,Programme!J8536)</f>
        <v>&lt;valeur&gt;&lt;/valeur&gt;</v>
      </c>
    </row>
    <row r="8536" spans="1:1" x14ac:dyDescent="0.2">
      <c r="A8536" s="996" t="str">
        <f>CONCATENATE(Programme!D8537,Programme!E8537,Programme!F8537,Programme!G8537,Programme!H8537,Programme!I8537,Programme!J8537)</f>
        <v>&lt;numeroLigne&gt;7&lt;/numeroLigne&gt;</v>
      </c>
    </row>
    <row r="8537" spans="1:1" x14ac:dyDescent="0.2">
      <c r="A8537" s="996" t="str">
        <f>CONCATENATE(Programme!D8538,Programme!E8538,Programme!F8538,Programme!G8538,Programme!H8538,Programme!I8538,Programme!J8538)</f>
        <v>&lt;/ValeurCellule&gt;</v>
      </c>
    </row>
    <row r="8538" spans="1:1" x14ac:dyDescent="0.2">
      <c r="A8538" s="996" t="str">
        <f>CONCATENATE(Programme!D8539,Programme!E8539,Programme!F8539,Programme!G8539,Programme!H8539,Programme!I8539,Programme!J8539)</f>
        <v>&lt;ValeurCellule&gt;</v>
      </c>
    </row>
    <row r="8539" spans="1:1" x14ac:dyDescent="0.2">
      <c r="A8539" s="996" t="str">
        <f>CONCATENATE(Programme!D8540,Programme!E8540,Programme!F8540,Programme!G8540,Programme!H8540,Programme!I8540,Programme!J8540)</f>
        <v>&lt;cellule&gt;&lt;codeEdi&gt;10061&lt;/codeEdi&gt;&lt;/cellule&gt;</v>
      </c>
    </row>
    <row r="8540" spans="1:1" x14ac:dyDescent="0.2">
      <c r="A8540" s="996" t="str">
        <f>CONCATENATE(Programme!D8541,Programme!E8541,Programme!F8541,Programme!G8541,Programme!H8541,Programme!I8541,Programme!J8541)</f>
        <v>&lt;valeur&gt;&lt;/valeur&gt;</v>
      </c>
    </row>
    <row r="8541" spans="1:1" x14ac:dyDescent="0.2">
      <c r="A8541" s="996" t="str">
        <f>CONCATENATE(Programme!D8542,Programme!E8542,Programme!F8542,Programme!G8542,Programme!H8542,Programme!I8542,Programme!J8542)</f>
        <v>&lt;numeroLigne&gt;8&lt;/numeroLigne&gt;</v>
      </c>
    </row>
    <row r="8542" spans="1:1" x14ac:dyDescent="0.2">
      <c r="A8542" s="996" t="str">
        <f>CONCATENATE(Programme!D8543,Programme!E8543,Programme!F8543,Programme!G8543,Programme!H8543,Programme!I8543,Programme!J8543)</f>
        <v>&lt;/ValeurCellule&gt;</v>
      </c>
    </row>
    <row r="8543" spans="1:1" x14ac:dyDescent="0.2">
      <c r="A8543" s="996" t="str">
        <f>CONCATENATE(Programme!D8544,Programme!E8544,Programme!F8544,Programme!G8544,Programme!H8544,Programme!I8544,Programme!J8544)</f>
        <v>&lt;ValeurCellule&gt;</v>
      </c>
    </row>
    <row r="8544" spans="1:1" x14ac:dyDescent="0.2">
      <c r="A8544" s="996" t="str">
        <f>CONCATENATE(Programme!D8545,Programme!E8545,Programme!F8545,Programme!G8545,Programme!H8545,Programme!I8545,Programme!J8545)</f>
        <v>&lt;cellule&gt;&lt;codeEdi&gt;1078&lt;/codeEdi&gt;&lt;/cellule&gt;</v>
      </c>
    </row>
    <row r="8545" spans="1:1" x14ac:dyDescent="0.2">
      <c r="A8545" s="996" t="str">
        <f>CONCATENATE(Programme!D8546,Programme!E8546,Programme!F8546,Programme!G8546,Programme!H8546,Programme!I8546,Programme!J8546)</f>
        <v>&lt;valeur&gt;&lt;/valeur&gt;</v>
      </c>
    </row>
    <row r="8546" spans="1:1" x14ac:dyDescent="0.2">
      <c r="A8546" s="996" t="str">
        <f>CONCATENATE(Programme!D8547,Programme!E8547,Programme!F8547,Programme!G8547,Programme!H8547,Programme!I8547,Programme!J8547)</f>
        <v>&lt;numeroLigne&gt;8&lt;/numeroLigne&gt;</v>
      </c>
    </row>
    <row r="8547" spans="1:1" x14ac:dyDescent="0.2">
      <c r="A8547" s="996" t="str">
        <f>CONCATENATE(Programme!D8548,Programme!E8548,Programme!F8548,Programme!G8548,Programme!H8548,Programme!I8548,Programme!J8548)</f>
        <v>&lt;/ValeurCellule&gt;</v>
      </c>
    </row>
    <row r="8548" spans="1:1" x14ac:dyDescent="0.2">
      <c r="A8548" s="996" t="str">
        <f>CONCATENATE(Programme!D8549,Programme!E8549,Programme!F8549,Programme!G8549,Programme!H8549,Programme!I8549,Programme!J8549)</f>
        <v>&lt;ValeurCellule&gt;</v>
      </c>
    </row>
    <row r="8549" spans="1:1" x14ac:dyDescent="0.2">
      <c r="A8549" s="996" t="str">
        <f>CONCATENATE(Programme!D8550,Programme!E8550,Programme!F8550,Programme!G8550,Programme!H8550,Programme!I8550,Programme!J8550)</f>
        <v>&lt;cellule&gt;&lt;codeEdi&gt;1079&lt;/codeEdi&gt;&lt;/cellule&gt;</v>
      </c>
    </row>
    <row r="8550" spans="1:1" x14ac:dyDescent="0.2">
      <c r="A8550" s="996" t="str">
        <f>CONCATENATE(Programme!D8551,Programme!E8551,Programme!F8551,Programme!G8551,Programme!H8551,Programme!I8551,Programme!J8551)</f>
        <v>&lt;valeur&gt;&lt;/valeur&gt;</v>
      </c>
    </row>
    <row r="8551" spans="1:1" x14ac:dyDescent="0.2">
      <c r="A8551" s="996" t="str">
        <f>CONCATENATE(Programme!D8552,Programme!E8552,Programme!F8552,Programme!G8552,Programme!H8552,Programme!I8552,Programme!J8552)</f>
        <v>&lt;numeroLigne&gt;8&lt;/numeroLigne&gt;</v>
      </c>
    </row>
    <row r="8552" spans="1:1" x14ac:dyDescent="0.2">
      <c r="A8552" s="996" t="str">
        <f>CONCATENATE(Programme!D8553,Programme!E8553,Programme!F8553,Programme!G8553,Programme!H8553,Programme!I8553,Programme!J8553)</f>
        <v>&lt;/ValeurCellule&gt;</v>
      </c>
    </row>
    <row r="8553" spans="1:1" x14ac:dyDescent="0.2">
      <c r="A8553" s="996" t="str">
        <f>CONCATENATE(Programme!D8554,Programme!E8554,Programme!F8554,Programme!G8554,Programme!H8554,Programme!I8554,Programme!J8554)</f>
        <v>&lt;ValeurCellule&gt;</v>
      </c>
    </row>
    <row r="8554" spans="1:1" x14ac:dyDescent="0.2">
      <c r="A8554" s="996" t="str">
        <f>CONCATENATE(Programme!D8555,Programme!E8555,Programme!F8555,Programme!G8555,Programme!H8555,Programme!I8555,Programme!J8555)</f>
        <v>&lt;cellule&gt;&lt;codeEdi&gt;1080&lt;/codeEdi&gt;&lt;/cellule&gt;</v>
      </c>
    </row>
    <row r="8555" spans="1:1" x14ac:dyDescent="0.2">
      <c r="A8555" s="996" t="str">
        <f>CONCATENATE(Programme!D8556,Programme!E8556,Programme!F8556,Programme!G8556,Programme!H8556,Programme!I8556,Programme!J8556)</f>
        <v>&lt;valeur&gt;&lt;/valeur&gt;</v>
      </c>
    </row>
    <row r="8556" spans="1:1" x14ac:dyDescent="0.2">
      <c r="A8556" s="996" t="str">
        <f>CONCATENATE(Programme!D8557,Programme!E8557,Programme!F8557,Programme!G8557,Programme!H8557,Programme!I8557,Programme!J8557)</f>
        <v>&lt;numeroLigne&gt;8&lt;/numeroLigne&gt;</v>
      </c>
    </row>
    <row r="8557" spans="1:1" x14ac:dyDescent="0.2">
      <c r="A8557" s="996" t="str">
        <f>CONCATENATE(Programme!D8558,Programme!E8558,Programme!F8558,Programme!G8558,Programme!H8558,Programme!I8558,Programme!J8558)</f>
        <v>&lt;/ValeurCellule&gt;</v>
      </c>
    </row>
    <row r="8558" spans="1:1" x14ac:dyDescent="0.2">
      <c r="A8558" s="996" t="str">
        <f>CONCATENATE(Programme!D8559,Programme!E8559,Programme!F8559,Programme!G8559,Programme!H8559,Programme!I8559,Programme!J8559)</f>
        <v>&lt;ValeurCellule&gt;</v>
      </c>
    </row>
    <row r="8559" spans="1:1" x14ac:dyDescent="0.2">
      <c r="A8559" s="996" t="str">
        <f>CONCATENATE(Programme!D8560,Programme!E8560,Programme!F8560,Programme!G8560,Programme!H8560,Programme!I8560,Programme!J8560)</f>
        <v>&lt;cellule&gt;&lt;codeEdi&gt;1081&lt;/codeEdi&gt;&lt;/cellule&gt;</v>
      </c>
    </row>
    <row r="8560" spans="1:1" x14ac:dyDescent="0.2">
      <c r="A8560" s="996" t="str">
        <f>CONCATENATE(Programme!D8561,Programme!E8561,Programme!F8561,Programme!G8561,Programme!H8561,Programme!I8561,Programme!J8561)</f>
        <v>&lt;valeur&gt;&lt;/valeur&gt;</v>
      </c>
    </row>
    <row r="8561" spans="1:1" x14ac:dyDescent="0.2">
      <c r="A8561" s="996" t="str">
        <f>CONCATENATE(Programme!D8562,Programme!E8562,Programme!F8562,Programme!G8562,Programme!H8562,Programme!I8562,Programme!J8562)</f>
        <v>&lt;numeroLigne&gt;8&lt;/numeroLigne&gt;</v>
      </c>
    </row>
    <row r="8562" spans="1:1" x14ac:dyDescent="0.2">
      <c r="A8562" s="996" t="str">
        <f>CONCATENATE(Programme!D8563,Programme!E8563,Programme!F8563,Programme!G8563,Programme!H8563,Programme!I8563,Programme!J8563)</f>
        <v>&lt;/ValeurCellule&gt;</v>
      </c>
    </row>
    <row r="8563" spans="1:1" x14ac:dyDescent="0.2">
      <c r="A8563" s="996" t="str">
        <f>CONCATENATE(Programme!D8564,Programme!E8564,Programme!F8564,Programme!G8564,Programme!H8564,Programme!I8564,Programme!J8564)</f>
        <v>&lt;ValeurCellule&gt;</v>
      </c>
    </row>
    <row r="8564" spans="1:1" x14ac:dyDescent="0.2">
      <c r="A8564" s="996" t="str">
        <f>CONCATENATE(Programme!D8565,Programme!E8565,Programme!F8565,Programme!G8565,Programme!H8565,Programme!I8565,Programme!J8565)</f>
        <v>&lt;cellule&gt;&lt;codeEdi&gt;1082&lt;/codeEdi&gt;&lt;/cellule&gt;</v>
      </c>
    </row>
    <row r="8565" spans="1:1" x14ac:dyDescent="0.2">
      <c r="A8565" s="996" t="str">
        <f>CONCATENATE(Programme!D8566,Programme!E8566,Programme!F8566,Programme!G8566,Programme!H8566,Programme!I8566,Programme!J8566)</f>
        <v>&lt;valeur&gt;&lt;/valeur&gt;</v>
      </c>
    </row>
    <row r="8566" spans="1:1" x14ac:dyDescent="0.2">
      <c r="A8566" s="996" t="str">
        <f>CONCATENATE(Programme!D8567,Programme!E8567,Programme!F8567,Programme!G8567,Programme!H8567,Programme!I8567,Programme!J8567)</f>
        <v>&lt;numeroLigne&gt;8&lt;/numeroLigne&gt;</v>
      </c>
    </row>
    <row r="8567" spans="1:1" x14ac:dyDescent="0.2">
      <c r="A8567" s="996" t="str">
        <f>CONCATENATE(Programme!D8568,Programme!E8568,Programme!F8568,Programme!G8568,Programme!H8568,Programme!I8568,Programme!J8568)</f>
        <v>&lt;/ValeurCellule&gt;</v>
      </c>
    </row>
    <row r="8568" spans="1:1" x14ac:dyDescent="0.2">
      <c r="A8568" s="996" t="str">
        <f>CONCATENATE(Programme!D8569,Programme!E8569,Programme!F8569,Programme!G8569,Programme!H8569,Programme!I8569,Programme!J8569)</f>
        <v>&lt;ValeurCellule&gt;</v>
      </c>
    </row>
    <row r="8569" spans="1:1" x14ac:dyDescent="0.2">
      <c r="A8569" s="996" t="str">
        <f>CONCATENATE(Programme!D8570,Programme!E8570,Programme!F8570,Programme!G8570,Programme!H8570,Programme!I8570,Programme!J8570)</f>
        <v>&lt;cellule&gt;&lt;codeEdi&gt;1083&lt;/codeEdi&gt;&lt;/cellule&gt;</v>
      </c>
    </row>
    <row r="8570" spans="1:1" x14ac:dyDescent="0.2">
      <c r="A8570" s="996" t="str">
        <f>CONCATENATE(Programme!D8571,Programme!E8571,Programme!F8571,Programme!G8571,Programme!H8571,Programme!I8571,Programme!J8571)</f>
        <v>&lt;valeur&gt;&lt;/valeur&gt;</v>
      </c>
    </row>
    <row r="8571" spans="1:1" x14ac:dyDescent="0.2">
      <c r="A8571" s="996" t="str">
        <f>CONCATENATE(Programme!D8572,Programme!E8572,Programme!F8572,Programme!G8572,Programme!H8572,Programme!I8572,Programme!J8572)</f>
        <v>&lt;numeroLigne&gt;8&lt;/numeroLigne&gt;</v>
      </c>
    </row>
    <row r="8572" spans="1:1" x14ac:dyDescent="0.2">
      <c r="A8572" s="996" t="str">
        <f>CONCATENATE(Programme!D8573,Programme!E8573,Programme!F8573,Programme!G8573,Programme!H8573,Programme!I8573,Programme!J8573)</f>
        <v>&lt;/ValeurCellule&gt;</v>
      </c>
    </row>
    <row r="8573" spans="1:1" x14ac:dyDescent="0.2">
      <c r="A8573" s="996" t="str">
        <f>CONCATENATE(Programme!D8574,Programme!E8574,Programme!F8574,Programme!G8574,Programme!H8574,Programme!I8574,Programme!J8574)</f>
        <v>&lt;ValeurCellule&gt;</v>
      </c>
    </row>
    <row r="8574" spans="1:1" x14ac:dyDescent="0.2">
      <c r="A8574" s="996" t="str">
        <f>CONCATENATE(Programme!D8575,Programme!E8575,Programme!F8575,Programme!G8575,Programme!H8575,Programme!I8575,Programme!J8575)</f>
        <v>&lt;cellule&gt;&lt;codeEdi&gt;1084&lt;/codeEdi&gt;&lt;/cellule&gt;</v>
      </c>
    </row>
    <row r="8575" spans="1:1" x14ac:dyDescent="0.2">
      <c r="A8575" s="996" t="str">
        <f>CONCATENATE(Programme!D8576,Programme!E8576,Programme!F8576,Programme!G8576,Programme!H8576,Programme!I8576,Programme!J8576)</f>
        <v>&lt;valeur&gt;&lt;/valeur&gt;</v>
      </c>
    </row>
    <row r="8576" spans="1:1" x14ac:dyDescent="0.2">
      <c r="A8576" s="996" t="str">
        <f>CONCATENATE(Programme!D8577,Programme!E8577,Programme!F8577,Programme!G8577,Programme!H8577,Programme!I8577,Programme!J8577)</f>
        <v>&lt;numeroLigne&gt;8&lt;/numeroLigne&gt;</v>
      </c>
    </row>
    <row r="8577" spans="1:1" x14ac:dyDescent="0.2">
      <c r="A8577" s="996" t="str">
        <f>CONCATENATE(Programme!D8578,Programme!E8578,Programme!F8578,Programme!G8578,Programme!H8578,Programme!I8578,Programme!J8578)</f>
        <v>&lt;/ValeurCellule&gt;</v>
      </c>
    </row>
    <row r="8578" spans="1:1" x14ac:dyDescent="0.2">
      <c r="A8578" s="996" t="str">
        <f>CONCATENATE(Programme!D8579,Programme!E8579,Programme!F8579,Programme!G8579,Programme!H8579,Programme!I8579,Programme!J8579)</f>
        <v>&lt;ValeurCellule&gt;</v>
      </c>
    </row>
    <row r="8579" spans="1:1" x14ac:dyDescent="0.2">
      <c r="A8579" s="996" t="str">
        <f>CONCATENATE(Programme!D8580,Programme!E8580,Programme!F8580,Programme!G8580,Programme!H8580,Programme!I8580,Programme!J8580)</f>
        <v>&lt;cellule&gt;&lt;codeEdi&gt;1085&lt;/codeEdi&gt;&lt;/cellule&gt;</v>
      </c>
    </row>
    <row r="8580" spans="1:1" x14ac:dyDescent="0.2">
      <c r="A8580" s="996" t="str">
        <f>CONCATENATE(Programme!D8581,Programme!E8581,Programme!F8581,Programme!G8581,Programme!H8581,Programme!I8581,Programme!J8581)</f>
        <v>&lt;valeur&gt;&lt;/valeur&gt;</v>
      </c>
    </row>
    <row r="8581" spans="1:1" x14ac:dyDescent="0.2">
      <c r="A8581" s="996" t="str">
        <f>CONCATENATE(Programme!D8582,Programme!E8582,Programme!F8582,Programme!G8582,Programme!H8582,Programme!I8582,Programme!J8582)</f>
        <v>&lt;numeroLigne&gt;8&lt;/numeroLigne&gt;</v>
      </c>
    </row>
    <row r="8582" spans="1:1" x14ac:dyDescent="0.2">
      <c r="A8582" s="996" t="str">
        <f>CONCATENATE(Programme!D8583,Programme!E8583,Programme!F8583,Programme!G8583,Programme!H8583,Programme!I8583,Programme!J8583)</f>
        <v>&lt;/ValeurCellule&gt;</v>
      </c>
    </row>
    <row r="8583" spans="1:1" x14ac:dyDescent="0.2">
      <c r="A8583" s="996" t="str">
        <f>CONCATENATE(Programme!D8584,Programme!E8584,Programme!F8584,Programme!G8584,Programme!H8584,Programme!I8584,Programme!J8584)</f>
        <v>&lt;ValeurCellule&gt;</v>
      </c>
    </row>
    <row r="8584" spans="1:1" x14ac:dyDescent="0.2">
      <c r="A8584" s="996" t="str">
        <f>CONCATENATE(Programme!D8585,Programme!E8585,Programme!F8585,Programme!G8585,Programme!H8585,Programme!I8585,Programme!J8585)</f>
        <v>&lt;cellule&gt;&lt;codeEdi&gt;1086&lt;/codeEdi&gt;&lt;/cellule&gt;</v>
      </c>
    </row>
    <row r="8585" spans="1:1" x14ac:dyDescent="0.2">
      <c r="A8585" s="996" t="str">
        <f>CONCATENATE(Programme!D8586,Programme!E8586,Programme!F8586,Programme!G8586,Programme!H8586,Programme!I8586,Programme!J8586)</f>
        <v>&lt;valeur&gt;&lt;/valeur&gt;</v>
      </c>
    </row>
    <row r="8586" spans="1:1" x14ac:dyDescent="0.2">
      <c r="A8586" s="996" t="str">
        <f>CONCATENATE(Programme!D8587,Programme!E8587,Programme!F8587,Programme!G8587,Programme!H8587,Programme!I8587,Programme!J8587)</f>
        <v>&lt;numeroLigne&gt;8&lt;/numeroLigne&gt;</v>
      </c>
    </row>
    <row r="8587" spans="1:1" x14ac:dyDescent="0.2">
      <c r="A8587" s="996" t="str">
        <f>CONCATENATE(Programme!D8588,Programme!E8588,Programme!F8588,Programme!G8588,Programme!H8588,Programme!I8588,Programme!J8588)</f>
        <v>&lt;/ValeurCellule&gt;</v>
      </c>
    </row>
    <row r="8588" spans="1:1" x14ac:dyDescent="0.2">
      <c r="A8588" s="996" t="str">
        <f>CONCATENATE(Programme!D8589,Programme!E8589,Programme!F8589,Programme!G8589,Programme!H8589,Programme!I8589,Programme!J8589)</f>
        <v>&lt;ValeurCellule&gt;</v>
      </c>
    </row>
    <row r="8589" spans="1:1" x14ac:dyDescent="0.2">
      <c r="A8589" s="996" t="str">
        <f>CONCATENATE(Programme!D8590,Programme!E8590,Programme!F8590,Programme!G8590,Programme!H8590,Programme!I8590,Programme!J8590)</f>
        <v>&lt;cellule&gt;&lt;codeEdi&gt;10061&lt;/codeEdi&gt;&lt;/cellule&gt;</v>
      </c>
    </row>
    <row r="8590" spans="1:1" x14ac:dyDescent="0.2">
      <c r="A8590" s="996" t="str">
        <f>CONCATENATE(Programme!D8591,Programme!E8591,Programme!F8591,Programme!G8591,Programme!H8591,Programme!I8591,Programme!J8591)</f>
        <v>&lt;valeur&gt;&lt;/valeur&gt;</v>
      </c>
    </row>
    <row r="8591" spans="1:1" x14ac:dyDescent="0.2">
      <c r="A8591" s="996" t="str">
        <f>CONCATENATE(Programme!D8592,Programme!E8592,Programme!F8592,Programme!G8592,Programme!H8592,Programme!I8592,Programme!J8592)</f>
        <v>&lt;numeroLigne&gt;9&lt;/numeroLigne&gt;</v>
      </c>
    </row>
    <row r="8592" spans="1:1" x14ac:dyDescent="0.2">
      <c r="A8592" s="996" t="str">
        <f>CONCATENATE(Programme!D8593,Programme!E8593,Programme!F8593,Programme!G8593,Programme!H8593,Programme!I8593,Programme!J8593)</f>
        <v>&lt;/ValeurCellule&gt;</v>
      </c>
    </row>
    <row r="8593" spans="1:1" x14ac:dyDescent="0.2">
      <c r="A8593" s="996" t="str">
        <f>CONCATENATE(Programme!D8594,Programme!E8594,Programme!F8594,Programme!G8594,Programme!H8594,Programme!I8594,Programme!J8594)</f>
        <v>&lt;ValeurCellule&gt;</v>
      </c>
    </row>
    <row r="8594" spans="1:1" x14ac:dyDescent="0.2">
      <c r="A8594" s="996" t="str">
        <f>CONCATENATE(Programme!D8595,Programme!E8595,Programme!F8595,Programme!G8595,Programme!H8595,Programme!I8595,Programme!J8595)</f>
        <v>&lt;cellule&gt;&lt;codeEdi&gt;1078&lt;/codeEdi&gt;&lt;/cellule&gt;</v>
      </c>
    </row>
    <row r="8595" spans="1:1" x14ac:dyDescent="0.2">
      <c r="A8595" s="996" t="str">
        <f>CONCATENATE(Programme!D8596,Programme!E8596,Programme!F8596,Programme!G8596,Programme!H8596,Programme!I8596,Programme!J8596)</f>
        <v>&lt;valeur&gt;&lt;/valeur&gt;</v>
      </c>
    </row>
    <row r="8596" spans="1:1" x14ac:dyDescent="0.2">
      <c r="A8596" s="996" t="str">
        <f>CONCATENATE(Programme!D8597,Programme!E8597,Programme!F8597,Programme!G8597,Programme!H8597,Programme!I8597,Programme!J8597)</f>
        <v>&lt;numeroLigne&gt;9&lt;/numeroLigne&gt;</v>
      </c>
    </row>
    <row r="8597" spans="1:1" x14ac:dyDescent="0.2">
      <c r="A8597" s="996" t="str">
        <f>CONCATENATE(Programme!D8598,Programme!E8598,Programme!F8598,Programme!G8598,Programme!H8598,Programme!I8598,Programme!J8598)</f>
        <v>&lt;/ValeurCellule&gt;</v>
      </c>
    </row>
    <row r="8598" spans="1:1" x14ac:dyDescent="0.2">
      <c r="A8598" s="996" t="str">
        <f>CONCATENATE(Programme!D8599,Programme!E8599,Programme!F8599,Programme!G8599,Programme!H8599,Programme!I8599,Programme!J8599)</f>
        <v>&lt;ValeurCellule&gt;</v>
      </c>
    </row>
    <row r="8599" spans="1:1" x14ac:dyDescent="0.2">
      <c r="A8599" s="996" t="str">
        <f>CONCATENATE(Programme!D8600,Programme!E8600,Programme!F8600,Programme!G8600,Programme!H8600,Programme!I8600,Programme!J8600)</f>
        <v>&lt;cellule&gt;&lt;codeEdi&gt;1079&lt;/codeEdi&gt;&lt;/cellule&gt;</v>
      </c>
    </row>
    <row r="8600" spans="1:1" x14ac:dyDescent="0.2">
      <c r="A8600" s="996" t="str">
        <f>CONCATENATE(Programme!D8601,Programme!E8601,Programme!F8601,Programme!G8601,Programme!H8601,Programme!I8601,Programme!J8601)</f>
        <v>&lt;valeur&gt;&lt;/valeur&gt;</v>
      </c>
    </row>
    <row r="8601" spans="1:1" x14ac:dyDescent="0.2">
      <c r="A8601" s="996" t="str">
        <f>CONCATENATE(Programme!D8602,Programme!E8602,Programme!F8602,Programme!G8602,Programme!H8602,Programme!I8602,Programme!J8602)</f>
        <v>&lt;numeroLigne&gt;9&lt;/numeroLigne&gt;</v>
      </c>
    </row>
    <row r="8602" spans="1:1" x14ac:dyDescent="0.2">
      <c r="A8602" s="996" t="str">
        <f>CONCATENATE(Programme!D8603,Programme!E8603,Programme!F8603,Programme!G8603,Programme!H8603,Programme!I8603,Programme!J8603)</f>
        <v>&lt;/ValeurCellule&gt;</v>
      </c>
    </row>
    <row r="8603" spans="1:1" x14ac:dyDescent="0.2">
      <c r="A8603" s="996" t="str">
        <f>CONCATENATE(Programme!D8604,Programme!E8604,Programme!F8604,Programme!G8604,Programme!H8604,Programme!I8604,Programme!J8604)</f>
        <v>&lt;ValeurCellule&gt;</v>
      </c>
    </row>
    <row r="8604" spans="1:1" x14ac:dyDescent="0.2">
      <c r="A8604" s="996" t="str">
        <f>CONCATENATE(Programme!D8605,Programme!E8605,Programme!F8605,Programme!G8605,Programme!H8605,Programme!I8605,Programme!J8605)</f>
        <v>&lt;cellule&gt;&lt;codeEdi&gt;1080&lt;/codeEdi&gt;&lt;/cellule&gt;</v>
      </c>
    </row>
    <row r="8605" spans="1:1" x14ac:dyDescent="0.2">
      <c r="A8605" s="996" t="str">
        <f>CONCATENATE(Programme!D8606,Programme!E8606,Programme!F8606,Programme!G8606,Programme!H8606,Programme!I8606,Programme!J8606)</f>
        <v>&lt;valeur&gt;&lt;/valeur&gt;</v>
      </c>
    </row>
    <row r="8606" spans="1:1" x14ac:dyDescent="0.2">
      <c r="A8606" s="996" t="str">
        <f>CONCATENATE(Programme!D8607,Programme!E8607,Programme!F8607,Programme!G8607,Programme!H8607,Programme!I8607,Programme!J8607)</f>
        <v>&lt;numeroLigne&gt;9&lt;/numeroLigne&gt;</v>
      </c>
    </row>
    <row r="8607" spans="1:1" x14ac:dyDescent="0.2">
      <c r="A8607" s="996" t="str">
        <f>CONCATENATE(Programme!D8608,Programme!E8608,Programme!F8608,Programme!G8608,Programme!H8608,Programme!I8608,Programme!J8608)</f>
        <v>&lt;/ValeurCellule&gt;</v>
      </c>
    </row>
    <row r="8608" spans="1:1" x14ac:dyDescent="0.2">
      <c r="A8608" s="996" t="str">
        <f>CONCATENATE(Programme!D8609,Programme!E8609,Programme!F8609,Programme!G8609,Programme!H8609,Programme!I8609,Programme!J8609)</f>
        <v>&lt;ValeurCellule&gt;</v>
      </c>
    </row>
    <row r="8609" spans="1:1" x14ac:dyDescent="0.2">
      <c r="A8609" s="996" t="str">
        <f>CONCATENATE(Programme!D8610,Programme!E8610,Programme!F8610,Programme!G8610,Programme!H8610,Programme!I8610,Programme!J8610)</f>
        <v>&lt;cellule&gt;&lt;codeEdi&gt;1081&lt;/codeEdi&gt;&lt;/cellule&gt;</v>
      </c>
    </row>
    <row r="8610" spans="1:1" x14ac:dyDescent="0.2">
      <c r="A8610" s="996" t="str">
        <f>CONCATENATE(Programme!D8611,Programme!E8611,Programme!F8611,Programme!G8611,Programme!H8611,Programme!I8611,Programme!J8611)</f>
        <v>&lt;valeur&gt;&lt;/valeur&gt;</v>
      </c>
    </row>
    <row r="8611" spans="1:1" x14ac:dyDescent="0.2">
      <c r="A8611" s="996" t="str">
        <f>CONCATENATE(Programme!D8612,Programme!E8612,Programme!F8612,Programme!G8612,Programme!H8612,Programme!I8612,Programme!J8612)</f>
        <v>&lt;numeroLigne&gt;9&lt;/numeroLigne&gt;</v>
      </c>
    </row>
    <row r="8612" spans="1:1" x14ac:dyDescent="0.2">
      <c r="A8612" s="996" t="str">
        <f>CONCATENATE(Programme!D8613,Programme!E8613,Programme!F8613,Programme!G8613,Programme!H8613,Programme!I8613,Programme!J8613)</f>
        <v>&lt;/ValeurCellule&gt;</v>
      </c>
    </row>
    <row r="8613" spans="1:1" x14ac:dyDescent="0.2">
      <c r="A8613" s="996" t="str">
        <f>CONCATENATE(Programme!D8614,Programme!E8614,Programme!F8614,Programme!G8614,Programme!H8614,Programme!I8614,Programme!J8614)</f>
        <v>&lt;ValeurCellule&gt;</v>
      </c>
    </row>
    <row r="8614" spans="1:1" x14ac:dyDescent="0.2">
      <c r="A8614" s="996" t="str">
        <f>CONCATENATE(Programme!D8615,Programme!E8615,Programme!F8615,Programme!G8615,Programme!H8615,Programme!I8615,Programme!J8615)</f>
        <v>&lt;cellule&gt;&lt;codeEdi&gt;1082&lt;/codeEdi&gt;&lt;/cellule&gt;</v>
      </c>
    </row>
    <row r="8615" spans="1:1" x14ac:dyDescent="0.2">
      <c r="A8615" s="996" t="str">
        <f>CONCATENATE(Programme!D8616,Programme!E8616,Programme!F8616,Programme!G8616,Programme!H8616,Programme!I8616,Programme!J8616)</f>
        <v>&lt;valeur&gt;&lt;/valeur&gt;</v>
      </c>
    </row>
    <row r="8616" spans="1:1" x14ac:dyDescent="0.2">
      <c r="A8616" s="996" t="str">
        <f>CONCATENATE(Programme!D8617,Programme!E8617,Programme!F8617,Programme!G8617,Programme!H8617,Programme!I8617,Programme!J8617)</f>
        <v>&lt;numeroLigne&gt;9&lt;/numeroLigne&gt;</v>
      </c>
    </row>
    <row r="8617" spans="1:1" x14ac:dyDescent="0.2">
      <c r="A8617" s="996" t="str">
        <f>CONCATENATE(Programme!D8618,Programme!E8618,Programme!F8618,Programme!G8618,Programme!H8618,Programme!I8618,Programme!J8618)</f>
        <v>&lt;/ValeurCellule&gt;</v>
      </c>
    </row>
    <row r="8618" spans="1:1" x14ac:dyDescent="0.2">
      <c r="A8618" s="996" t="str">
        <f>CONCATENATE(Programme!D8619,Programme!E8619,Programme!F8619,Programme!G8619,Programme!H8619,Programme!I8619,Programme!J8619)</f>
        <v>&lt;ValeurCellule&gt;</v>
      </c>
    </row>
    <row r="8619" spans="1:1" x14ac:dyDescent="0.2">
      <c r="A8619" s="996" t="str">
        <f>CONCATENATE(Programme!D8620,Programme!E8620,Programme!F8620,Programme!G8620,Programme!H8620,Programme!I8620,Programme!J8620)</f>
        <v>&lt;cellule&gt;&lt;codeEdi&gt;1083&lt;/codeEdi&gt;&lt;/cellule&gt;</v>
      </c>
    </row>
    <row r="8620" spans="1:1" x14ac:dyDescent="0.2">
      <c r="A8620" s="996" t="str">
        <f>CONCATENATE(Programme!D8621,Programme!E8621,Programme!F8621,Programme!G8621,Programme!H8621,Programme!I8621,Programme!J8621)</f>
        <v>&lt;valeur&gt;&lt;/valeur&gt;</v>
      </c>
    </row>
    <row r="8621" spans="1:1" x14ac:dyDescent="0.2">
      <c r="A8621" s="996" t="str">
        <f>CONCATENATE(Programme!D8622,Programme!E8622,Programme!F8622,Programme!G8622,Programme!H8622,Programme!I8622,Programme!J8622)</f>
        <v>&lt;numeroLigne&gt;9&lt;/numeroLigne&gt;</v>
      </c>
    </row>
    <row r="8622" spans="1:1" x14ac:dyDescent="0.2">
      <c r="A8622" s="996" t="str">
        <f>CONCATENATE(Programme!D8623,Programme!E8623,Programme!F8623,Programme!G8623,Programme!H8623,Programme!I8623,Programme!J8623)</f>
        <v>&lt;/ValeurCellule&gt;</v>
      </c>
    </row>
    <row r="8623" spans="1:1" x14ac:dyDescent="0.2">
      <c r="A8623" s="996" t="str">
        <f>CONCATENATE(Programme!D8624,Programme!E8624,Programme!F8624,Programme!G8624,Programme!H8624,Programme!I8624,Programme!J8624)</f>
        <v>&lt;ValeurCellule&gt;</v>
      </c>
    </row>
    <row r="8624" spans="1:1" x14ac:dyDescent="0.2">
      <c r="A8624" s="996" t="str">
        <f>CONCATENATE(Programme!D8625,Programme!E8625,Programme!F8625,Programme!G8625,Programme!H8625,Programme!I8625,Programme!J8625)</f>
        <v>&lt;cellule&gt;&lt;codeEdi&gt;1084&lt;/codeEdi&gt;&lt;/cellule&gt;</v>
      </c>
    </row>
    <row r="8625" spans="1:1" x14ac:dyDescent="0.2">
      <c r="A8625" s="996" t="str">
        <f>CONCATENATE(Programme!D8626,Programme!E8626,Programme!F8626,Programme!G8626,Programme!H8626,Programme!I8626,Programme!J8626)</f>
        <v>&lt;valeur&gt;&lt;/valeur&gt;</v>
      </c>
    </row>
    <row r="8626" spans="1:1" x14ac:dyDescent="0.2">
      <c r="A8626" s="996" t="str">
        <f>CONCATENATE(Programme!D8627,Programme!E8627,Programme!F8627,Programme!G8627,Programme!H8627,Programme!I8627,Programme!J8627)</f>
        <v>&lt;numeroLigne&gt;9&lt;/numeroLigne&gt;</v>
      </c>
    </row>
    <row r="8627" spans="1:1" x14ac:dyDescent="0.2">
      <c r="A8627" s="996" t="str">
        <f>CONCATENATE(Programme!D8628,Programme!E8628,Programme!F8628,Programme!G8628,Programme!H8628,Programme!I8628,Programme!J8628)</f>
        <v>&lt;/ValeurCellule&gt;</v>
      </c>
    </row>
    <row r="8628" spans="1:1" x14ac:dyDescent="0.2">
      <c r="A8628" s="996" t="str">
        <f>CONCATENATE(Programme!D8629,Programme!E8629,Programme!F8629,Programme!G8629,Programme!H8629,Programme!I8629,Programme!J8629)</f>
        <v>&lt;ValeurCellule&gt;</v>
      </c>
    </row>
    <row r="8629" spans="1:1" x14ac:dyDescent="0.2">
      <c r="A8629" s="996" t="str">
        <f>CONCATENATE(Programme!D8630,Programme!E8630,Programme!F8630,Programme!G8630,Programme!H8630,Programme!I8630,Programme!J8630)</f>
        <v>&lt;cellule&gt;&lt;codeEdi&gt;1085&lt;/codeEdi&gt;&lt;/cellule&gt;</v>
      </c>
    </row>
    <row r="8630" spans="1:1" x14ac:dyDescent="0.2">
      <c r="A8630" s="996" t="str">
        <f>CONCATENATE(Programme!D8631,Programme!E8631,Programme!F8631,Programme!G8631,Programme!H8631,Programme!I8631,Programme!J8631)</f>
        <v>&lt;valeur&gt;&lt;/valeur&gt;</v>
      </c>
    </row>
    <row r="8631" spans="1:1" x14ac:dyDescent="0.2">
      <c r="A8631" s="996" t="str">
        <f>CONCATENATE(Programme!D8632,Programme!E8632,Programme!F8632,Programme!G8632,Programme!H8632,Programme!I8632,Programme!J8632)</f>
        <v>&lt;numeroLigne&gt;9&lt;/numeroLigne&gt;</v>
      </c>
    </row>
    <row r="8632" spans="1:1" x14ac:dyDescent="0.2">
      <c r="A8632" s="996" t="str">
        <f>CONCATENATE(Programme!D8633,Programme!E8633,Programme!F8633,Programme!G8633,Programme!H8633,Programme!I8633,Programme!J8633)</f>
        <v>&lt;/ValeurCellule&gt;</v>
      </c>
    </row>
    <row r="8633" spans="1:1" x14ac:dyDescent="0.2">
      <c r="A8633" s="996" t="str">
        <f>CONCATENATE(Programme!D8634,Programme!E8634,Programme!F8634,Programme!G8634,Programme!H8634,Programme!I8634,Programme!J8634)</f>
        <v>&lt;ValeurCellule&gt;</v>
      </c>
    </row>
    <row r="8634" spans="1:1" x14ac:dyDescent="0.2">
      <c r="A8634" s="996" t="str">
        <f>CONCATENATE(Programme!D8635,Programme!E8635,Programme!F8635,Programme!G8635,Programme!H8635,Programme!I8635,Programme!J8635)</f>
        <v>&lt;cellule&gt;&lt;codeEdi&gt;1086&lt;/codeEdi&gt;&lt;/cellule&gt;</v>
      </c>
    </row>
    <row r="8635" spans="1:1" x14ac:dyDescent="0.2">
      <c r="A8635" s="996" t="str">
        <f>CONCATENATE(Programme!D8636,Programme!E8636,Programme!F8636,Programme!G8636,Programme!H8636,Programme!I8636,Programme!J8636)</f>
        <v>&lt;valeur&gt;&lt;/valeur&gt;</v>
      </c>
    </row>
    <row r="8636" spans="1:1" x14ac:dyDescent="0.2">
      <c r="A8636" s="996" t="str">
        <f>CONCATENATE(Programme!D8637,Programme!E8637,Programme!F8637,Programme!G8637,Programme!H8637,Programme!I8637,Programme!J8637)</f>
        <v>&lt;numeroLigne&gt;9&lt;/numeroLigne&gt;</v>
      </c>
    </row>
    <row r="8637" spans="1:1" x14ac:dyDescent="0.2">
      <c r="A8637" s="996" t="str">
        <f>CONCATENATE(Programme!D8638,Programme!E8638,Programme!F8638,Programme!G8638,Programme!H8638,Programme!I8638,Programme!J8638)</f>
        <v>&lt;/ValeurCellule&gt;</v>
      </c>
    </row>
    <row r="8638" spans="1:1" x14ac:dyDescent="0.2">
      <c r="A8638" s="996" t="str">
        <f>CONCATENATE(Programme!D8639,Programme!E8639,Programme!F8639,Programme!G8639,Programme!H8639,Programme!I8639,Programme!J8639)</f>
        <v>&lt;ValeurCellule&gt;</v>
      </c>
    </row>
    <row r="8639" spans="1:1" x14ac:dyDescent="0.2">
      <c r="A8639" s="996" t="str">
        <f>CONCATENATE(Programme!D8640,Programme!E8640,Programme!F8640,Programme!G8640,Programme!H8640,Programme!I8640,Programme!J8640)</f>
        <v>&lt;cellule&gt;&lt;codeEdi&gt;10061&lt;/codeEdi&gt;&lt;/cellule&gt;</v>
      </c>
    </row>
    <row r="8640" spans="1:1" x14ac:dyDescent="0.2">
      <c r="A8640" s="996" t="str">
        <f>CONCATENATE(Programme!D8641,Programme!E8641,Programme!F8641,Programme!G8641,Programme!H8641,Programme!I8641,Programme!J8641)</f>
        <v>&lt;valeur&gt;&lt;/valeur&gt;</v>
      </c>
    </row>
    <row r="8641" spans="1:1" x14ac:dyDescent="0.2">
      <c r="A8641" s="996" t="str">
        <f>CONCATENATE(Programme!D8642,Programme!E8642,Programme!F8642,Programme!G8642,Programme!H8642,Programme!I8642,Programme!J8642)</f>
        <v>&lt;numeroLigne&gt;10&lt;/numeroLigne&gt;</v>
      </c>
    </row>
    <row r="8642" spans="1:1" x14ac:dyDescent="0.2">
      <c r="A8642" s="996" t="str">
        <f>CONCATENATE(Programme!D8643,Programme!E8643,Programme!F8643,Programme!G8643,Programme!H8643,Programme!I8643,Programme!J8643)</f>
        <v>&lt;/ValeurCellule&gt;</v>
      </c>
    </row>
    <row r="8643" spans="1:1" x14ac:dyDescent="0.2">
      <c r="A8643" s="996" t="str">
        <f>CONCATENATE(Programme!D8644,Programme!E8644,Programme!F8644,Programme!G8644,Programme!H8644,Programme!I8644,Programme!J8644)</f>
        <v>&lt;ValeurCellule&gt;</v>
      </c>
    </row>
    <row r="8644" spans="1:1" x14ac:dyDescent="0.2">
      <c r="A8644" s="996" t="str">
        <f>CONCATENATE(Programme!D8645,Programme!E8645,Programme!F8645,Programme!G8645,Programme!H8645,Programme!I8645,Programme!J8645)</f>
        <v>&lt;cellule&gt;&lt;codeEdi&gt;1078&lt;/codeEdi&gt;&lt;/cellule&gt;</v>
      </c>
    </row>
    <row r="8645" spans="1:1" x14ac:dyDescent="0.2">
      <c r="A8645" s="996" t="str">
        <f>CONCATENATE(Programme!D8646,Programme!E8646,Programme!F8646,Programme!G8646,Programme!H8646,Programme!I8646,Programme!J8646)</f>
        <v>&lt;valeur&gt;&lt;/valeur&gt;</v>
      </c>
    </row>
    <row r="8646" spans="1:1" x14ac:dyDescent="0.2">
      <c r="A8646" s="996" t="str">
        <f>CONCATENATE(Programme!D8647,Programme!E8647,Programme!F8647,Programme!G8647,Programme!H8647,Programme!I8647,Programme!J8647)</f>
        <v>&lt;numeroLigne&gt;10&lt;/numeroLigne&gt;</v>
      </c>
    </row>
    <row r="8647" spans="1:1" x14ac:dyDescent="0.2">
      <c r="A8647" s="996" t="str">
        <f>CONCATENATE(Programme!D8648,Programme!E8648,Programme!F8648,Programme!G8648,Programme!H8648,Programme!I8648,Programme!J8648)</f>
        <v>&lt;/ValeurCellule&gt;</v>
      </c>
    </row>
    <row r="8648" spans="1:1" x14ac:dyDescent="0.2">
      <c r="A8648" s="996" t="str">
        <f>CONCATENATE(Programme!D8649,Programme!E8649,Programme!F8649,Programme!G8649,Programme!H8649,Programme!I8649,Programme!J8649)</f>
        <v>&lt;ValeurCellule&gt;</v>
      </c>
    </row>
    <row r="8649" spans="1:1" x14ac:dyDescent="0.2">
      <c r="A8649" s="996" t="str">
        <f>CONCATENATE(Programme!D8650,Programme!E8650,Programme!F8650,Programme!G8650,Programme!H8650,Programme!I8650,Programme!J8650)</f>
        <v>&lt;cellule&gt;&lt;codeEdi&gt;1079&lt;/codeEdi&gt;&lt;/cellule&gt;</v>
      </c>
    </row>
    <row r="8650" spans="1:1" x14ac:dyDescent="0.2">
      <c r="A8650" s="996" t="str">
        <f>CONCATENATE(Programme!D8651,Programme!E8651,Programme!F8651,Programme!G8651,Programme!H8651,Programme!I8651,Programme!J8651)</f>
        <v>&lt;valeur&gt;&lt;/valeur&gt;</v>
      </c>
    </row>
    <row r="8651" spans="1:1" x14ac:dyDescent="0.2">
      <c r="A8651" s="996" t="str">
        <f>CONCATENATE(Programme!D8652,Programme!E8652,Programme!F8652,Programme!G8652,Programme!H8652,Programme!I8652,Programme!J8652)</f>
        <v>&lt;numeroLigne&gt;10&lt;/numeroLigne&gt;</v>
      </c>
    </row>
    <row r="8652" spans="1:1" x14ac:dyDescent="0.2">
      <c r="A8652" s="996" t="str">
        <f>CONCATENATE(Programme!D8653,Programme!E8653,Programme!F8653,Programme!G8653,Programme!H8653,Programme!I8653,Programme!J8653)</f>
        <v>&lt;/ValeurCellule&gt;</v>
      </c>
    </row>
    <row r="8653" spans="1:1" x14ac:dyDescent="0.2">
      <c r="A8653" s="996" t="str">
        <f>CONCATENATE(Programme!D8654,Programme!E8654,Programme!F8654,Programme!G8654,Programme!H8654,Programme!I8654,Programme!J8654)</f>
        <v>&lt;ValeurCellule&gt;</v>
      </c>
    </row>
    <row r="8654" spans="1:1" x14ac:dyDescent="0.2">
      <c r="A8654" s="996" t="str">
        <f>CONCATENATE(Programme!D8655,Programme!E8655,Programme!F8655,Programme!G8655,Programme!H8655,Programme!I8655,Programme!J8655)</f>
        <v>&lt;cellule&gt;&lt;codeEdi&gt;1080&lt;/codeEdi&gt;&lt;/cellule&gt;</v>
      </c>
    </row>
    <row r="8655" spans="1:1" x14ac:dyDescent="0.2">
      <c r="A8655" s="996" t="str">
        <f>CONCATENATE(Programme!D8656,Programme!E8656,Programme!F8656,Programme!G8656,Programme!H8656,Programme!I8656,Programme!J8656)</f>
        <v>&lt;valeur&gt;&lt;/valeur&gt;</v>
      </c>
    </row>
    <row r="8656" spans="1:1" x14ac:dyDescent="0.2">
      <c r="A8656" s="996" t="str">
        <f>CONCATENATE(Programme!D8657,Programme!E8657,Programme!F8657,Programme!G8657,Programme!H8657,Programme!I8657,Programme!J8657)</f>
        <v>&lt;numeroLigne&gt;10&lt;/numeroLigne&gt;</v>
      </c>
    </row>
    <row r="8657" spans="1:1" x14ac:dyDescent="0.2">
      <c r="A8657" s="996" t="str">
        <f>CONCATENATE(Programme!D8658,Programme!E8658,Programme!F8658,Programme!G8658,Programme!H8658,Programme!I8658,Programme!J8658)</f>
        <v>&lt;/ValeurCellule&gt;</v>
      </c>
    </row>
    <row r="8658" spans="1:1" x14ac:dyDescent="0.2">
      <c r="A8658" s="996" t="str">
        <f>CONCATENATE(Programme!D8659,Programme!E8659,Programme!F8659,Programme!G8659,Programme!H8659,Programme!I8659,Programme!J8659)</f>
        <v>&lt;ValeurCellule&gt;</v>
      </c>
    </row>
    <row r="8659" spans="1:1" x14ac:dyDescent="0.2">
      <c r="A8659" s="996" t="str">
        <f>CONCATENATE(Programme!D8660,Programme!E8660,Programme!F8660,Programme!G8660,Programme!H8660,Programme!I8660,Programme!J8660)</f>
        <v>&lt;cellule&gt;&lt;codeEdi&gt;1081&lt;/codeEdi&gt;&lt;/cellule&gt;</v>
      </c>
    </row>
    <row r="8660" spans="1:1" x14ac:dyDescent="0.2">
      <c r="A8660" s="996" t="str">
        <f>CONCATENATE(Programme!D8661,Programme!E8661,Programme!F8661,Programme!G8661,Programme!H8661,Programme!I8661,Programme!J8661)</f>
        <v>&lt;valeur&gt;&lt;/valeur&gt;</v>
      </c>
    </row>
    <row r="8661" spans="1:1" x14ac:dyDescent="0.2">
      <c r="A8661" s="996" t="str">
        <f>CONCATENATE(Programme!D8662,Programme!E8662,Programme!F8662,Programme!G8662,Programme!H8662,Programme!I8662,Programme!J8662)</f>
        <v>&lt;numeroLigne&gt;10&lt;/numeroLigne&gt;</v>
      </c>
    </row>
    <row r="8662" spans="1:1" x14ac:dyDescent="0.2">
      <c r="A8662" s="996" t="str">
        <f>CONCATENATE(Programme!D8663,Programme!E8663,Programme!F8663,Programme!G8663,Programme!H8663,Programme!I8663,Programme!J8663)</f>
        <v>&lt;/ValeurCellule&gt;</v>
      </c>
    </row>
    <row r="8663" spans="1:1" x14ac:dyDescent="0.2">
      <c r="A8663" s="996" t="str">
        <f>CONCATENATE(Programme!D8664,Programme!E8664,Programme!F8664,Programme!G8664,Programme!H8664,Programme!I8664,Programme!J8664)</f>
        <v>&lt;ValeurCellule&gt;</v>
      </c>
    </row>
    <row r="8664" spans="1:1" x14ac:dyDescent="0.2">
      <c r="A8664" s="996" t="str">
        <f>CONCATENATE(Programme!D8665,Programme!E8665,Programme!F8665,Programme!G8665,Programme!H8665,Programme!I8665,Programme!J8665)</f>
        <v>&lt;cellule&gt;&lt;codeEdi&gt;1082&lt;/codeEdi&gt;&lt;/cellule&gt;</v>
      </c>
    </row>
    <row r="8665" spans="1:1" x14ac:dyDescent="0.2">
      <c r="A8665" s="996" t="str">
        <f>CONCATENATE(Programme!D8666,Programme!E8666,Programme!F8666,Programme!G8666,Programme!H8666,Programme!I8666,Programme!J8666)</f>
        <v>&lt;valeur&gt;&lt;/valeur&gt;</v>
      </c>
    </row>
    <row r="8666" spans="1:1" x14ac:dyDescent="0.2">
      <c r="A8666" s="996" t="str">
        <f>CONCATENATE(Programme!D8667,Programme!E8667,Programme!F8667,Programme!G8667,Programme!H8667,Programme!I8667,Programme!J8667)</f>
        <v>&lt;numeroLigne&gt;10&lt;/numeroLigne&gt;</v>
      </c>
    </row>
    <row r="8667" spans="1:1" x14ac:dyDescent="0.2">
      <c r="A8667" s="996" t="str">
        <f>CONCATENATE(Programme!D8668,Programme!E8668,Programme!F8668,Programme!G8668,Programme!H8668,Programme!I8668,Programme!J8668)</f>
        <v>&lt;/ValeurCellule&gt;</v>
      </c>
    </row>
    <row r="8668" spans="1:1" x14ac:dyDescent="0.2">
      <c r="A8668" s="996" t="str">
        <f>CONCATENATE(Programme!D8669,Programme!E8669,Programme!F8669,Programme!G8669,Programme!H8669,Programme!I8669,Programme!J8669)</f>
        <v>&lt;ValeurCellule&gt;</v>
      </c>
    </row>
    <row r="8669" spans="1:1" x14ac:dyDescent="0.2">
      <c r="A8669" s="996" t="str">
        <f>CONCATENATE(Programme!D8670,Programme!E8670,Programme!F8670,Programme!G8670,Programme!H8670,Programme!I8670,Programme!J8670)</f>
        <v>&lt;cellule&gt;&lt;codeEdi&gt;1083&lt;/codeEdi&gt;&lt;/cellule&gt;</v>
      </c>
    </row>
    <row r="8670" spans="1:1" x14ac:dyDescent="0.2">
      <c r="A8670" s="996" t="str">
        <f>CONCATENATE(Programme!D8671,Programme!E8671,Programme!F8671,Programme!G8671,Programme!H8671,Programme!I8671,Programme!J8671)</f>
        <v>&lt;valeur&gt;&lt;/valeur&gt;</v>
      </c>
    </row>
    <row r="8671" spans="1:1" x14ac:dyDescent="0.2">
      <c r="A8671" s="996" t="str">
        <f>CONCATENATE(Programme!D8672,Programme!E8672,Programme!F8672,Programme!G8672,Programme!H8672,Programme!I8672,Programme!J8672)</f>
        <v>&lt;numeroLigne&gt;10&lt;/numeroLigne&gt;</v>
      </c>
    </row>
    <row r="8672" spans="1:1" x14ac:dyDescent="0.2">
      <c r="A8672" s="996" t="str">
        <f>CONCATENATE(Programme!D8673,Programme!E8673,Programme!F8673,Programme!G8673,Programme!H8673,Programme!I8673,Programme!J8673)</f>
        <v>&lt;/ValeurCellule&gt;</v>
      </c>
    </row>
    <row r="8673" spans="1:1" x14ac:dyDescent="0.2">
      <c r="A8673" s="996" t="str">
        <f>CONCATENATE(Programme!D8674,Programme!E8674,Programme!F8674,Programme!G8674,Programme!H8674,Programme!I8674,Programme!J8674)</f>
        <v>&lt;ValeurCellule&gt;</v>
      </c>
    </row>
    <row r="8674" spans="1:1" x14ac:dyDescent="0.2">
      <c r="A8674" s="996" t="str">
        <f>CONCATENATE(Programme!D8675,Programme!E8675,Programme!F8675,Programme!G8675,Programme!H8675,Programme!I8675,Programme!J8675)</f>
        <v>&lt;cellule&gt;&lt;codeEdi&gt;1084&lt;/codeEdi&gt;&lt;/cellule&gt;</v>
      </c>
    </row>
    <row r="8675" spans="1:1" x14ac:dyDescent="0.2">
      <c r="A8675" s="996" t="str">
        <f>CONCATENATE(Programme!D8676,Programme!E8676,Programme!F8676,Programme!G8676,Programme!H8676,Programme!I8676,Programme!J8676)</f>
        <v>&lt;valeur&gt;&lt;/valeur&gt;</v>
      </c>
    </row>
    <row r="8676" spans="1:1" x14ac:dyDescent="0.2">
      <c r="A8676" s="996" t="str">
        <f>CONCATENATE(Programme!D8677,Programme!E8677,Programme!F8677,Programme!G8677,Programme!H8677,Programme!I8677,Programme!J8677)</f>
        <v>&lt;numeroLigne&gt;10&lt;/numeroLigne&gt;</v>
      </c>
    </row>
    <row r="8677" spans="1:1" x14ac:dyDescent="0.2">
      <c r="A8677" s="996" t="str">
        <f>CONCATENATE(Programme!D8678,Programme!E8678,Programme!F8678,Programme!G8678,Programme!H8678,Programme!I8678,Programme!J8678)</f>
        <v>&lt;/ValeurCellule&gt;</v>
      </c>
    </row>
    <row r="8678" spans="1:1" x14ac:dyDescent="0.2">
      <c r="A8678" s="996" t="str">
        <f>CONCATENATE(Programme!D8679,Programme!E8679,Programme!F8679,Programme!G8679,Programme!H8679,Programme!I8679,Programme!J8679)</f>
        <v>&lt;ValeurCellule&gt;</v>
      </c>
    </row>
    <row r="8679" spans="1:1" x14ac:dyDescent="0.2">
      <c r="A8679" s="996" t="str">
        <f>CONCATENATE(Programme!D8680,Programme!E8680,Programme!F8680,Programme!G8680,Programme!H8680,Programme!I8680,Programme!J8680)</f>
        <v>&lt;cellule&gt;&lt;codeEdi&gt;1085&lt;/codeEdi&gt;&lt;/cellule&gt;</v>
      </c>
    </row>
    <row r="8680" spans="1:1" x14ac:dyDescent="0.2">
      <c r="A8680" s="996" t="str">
        <f>CONCATENATE(Programme!D8681,Programme!E8681,Programme!F8681,Programme!G8681,Programme!H8681,Programme!I8681,Programme!J8681)</f>
        <v>&lt;valeur&gt;&lt;/valeur&gt;</v>
      </c>
    </row>
    <row r="8681" spans="1:1" x14ac:dyDescent="0.2">
      <c r="A8681" s="996" t="str">
        <f>CONCATENATE(Programme!D8682,Programme!E8682,Programme!F8682,Programme!G8682,Programme!H8682,Programme!I8682,Programme!J8682)</f>
        <v>&lt;numeroLigne&gt;10&lt;/numeroLigne&gt;</v>
      </c>
    </row>
    <row r="8682" spans="1:1" x14ac:dyDescent="0.2">
      <c r="A8682" s="996" t="str">
        <f>CONCATENATE(Programme!D8683,Programme!E8683,Programme!F8683,Programme!G8683,Programme!H8683,Programme!I8683,Programme!J8683)</f>
        <v>&lt;/ValeurCellule&gt;</v>
      </c>
    </row>
    <row r="8683" spans="1:1" x14ac:dyDescent="0.2">
      <c r="A8683" s="996" t="str">
        <f>CONCATENATE(Programme!D8684,Programme!E8684,Programme!F8684,Programme!G8684,Programme!H8684,Programme!I8684,Programme!J8684)</f>
        <v>&lt;ValeurCellule&gt;</v>
      </c>
    </row>
    <row r="8684" spans="1:1" x14ac:dyDescent="0.2">
      <c r="A8684" s="996" t="str">
        <f>CONCATENATE(Programme!D8685,Programme!E8685,Programme!F8685,Programme!G8685,Programme!H8685,Programme!I8685,Programme!J8685)</f>
        <v>&lt;cellule&gt;&lt;codeEdi&gt;1086&lt;/codeEdi&gt;&lt;/cellule&gt;</v>
      </c>
    </row>
    <row r="8685" spans="1:1" x14ac:dyDescent="0.2">
      <c r="A8685" s="996" t="str">
        <f>CONCATENATE(Programme!D8686,Programme!E8686,Programme!F8686,Programme!G8686,Programme!H8686,Programme!I8686,Programme!J8686)</f>
        <v>&lt;valeur&gt;&lt;/valeur&gt;</v>
      </c>
    </row>
    <row r="8686" spans="1:1" x14ac:dyDescent="0.2">
      <c r="A8686" s="996" t="str">
        <f>CONCATENATE(Programme!D8687,Programme!E8687,Programme!F8687,Programme!G8687,Programme!H8687,Programme!I8687,Programme!J8687)</f>
        <v>&lt;numeroLigne&gt;10&lt;/numeroLigne&gt;</v>
      </c>
    </row>
    <row r="8687" spans="1:1" x14ac:dyDescent="0.2">
      <c r="A8687" s="996" t="str">
        <f>CONCATENATE(Programme!D8688,Programme!E8688,Programme!F8688,Programme!G8688,Programme!H8688,Programme!I8688,Programme!J8688)</f>
        <v>&lt;/ValeurCellule&gt;</v>
      </c>
    </row>
    <row r="8688" spans="1:1" x14ac:dyDescent="0.2">
      <c r="A8688" s="996" t="str">
        <f>CONCATENATE(Programme!D8689,Programme!E8689,Programme!F8689,Programme!G8689,Programme!H8689,Programme!I8689,Programme!J8689)</f>
        <v>&lt;ValeurCellule&gt;</v>
      </c>
    </row>
    <row r="8689" spans="1:1" x14ac:dyDescent="0.2">
      <c r="A8689" s="996" t="str">
        <f>CONCATENATE(Programme!D8690,Programme!E8690,Programme!F8690,Programme!G8690,Programme!H8690,Programme!I8690,Programme!J8690)</f>
        <v>&lt;cellule&gt;&lt;codeEdi&gt;10061&lt;/codeEdi&gt;&lt;/cellule&gt;</v>
      </c>
    </row>
    <row r="8690" spans="1:1" x14ac:dyDescent="0.2">
      <c r="A8690" s="996" t="str">
        <f>CONCATENATE(Programme!D8691,Programme!E8691,Programme!F8691,Programme!G8691,Programme!H8691,Programme!I8691,Programme!J8691)</f>
        <v>&lt;valeur&gt;&lt;/valeur&gt;</v>
      </c>
    </row>
    <row r="8691" spans="1:1" x14ac:dyDescent="0.2">
      <c r="A8691" s="996" t="str">
        <f>CONCATENATE(Programme!D8692,Programme!E8692,Programme!F8692,Programme!G8692,Programme!H8692,Programme!I8692,Programme!J8692)</f>
        <v>&lt;numeroLigne&gt;11&lt;/numeroLigne&gt;</v>
      </c>
    </row>
    <row r="8692" spans="1:1" x14ac:dyDescent="0.2">
      <c r="A8692" s="996" t="str">
        <f>CONCATENATE(Programme!D8693,Programme!E8693,Programme!F8693,Programme!G8693,Programme!H8693,Programme!I8693,Programme!J8693)</f>
        <v>&lt;/ValeurCellule&gt;</v>
      </c>
    </row>
    <row r="8693" spans="1:1" x14ac:dyDescent="0.2">
      <c r="A8693" s="996" t="str">
        <f>CONCATENATE(Programme!D8694,Programme!E8694,Programme!F8694,Programme!G8694,Programme!H8694,Programme!I8694,Programme!J8694)</f>
        <v>&lt;ValeurCellule&gt;</v>
      </c>
    </row>
    <row r="8694" spans="1:1" x14ac:dyDescent="0.2">
      <c r="A8694" s="996" t="str">
        <f>CONCATENATE(Programme!D8695,Programme!E8695,Programme!F8695,Programme!G8695,Programme!H8695,Programme!I8695,Programme!J8695)</f>
        <v>&lt;cellule&gt;&lt;codeEdi&gt;1078&lt;/codeEdi&gt;&lt;/cellule&gt;</v>
      </c>
    </row>
    <row r="8695" spans="1:1" x14ac:dyDescent="0.2">
      <c r="A8695" s="996" t="str">
        <f>CONCATENATE(Programme!D8696,Programme!E8696,Programme!F8696,Programme!G8696,Programme!H8696,Programme!I8696,Programme!J8696)</f>
        <v>&lt;valeur&gt;&lt;/valeur&gt;</v>
      </c>
    </row>
    <row r="8696" spans="1:1" x14ac:dyDescent="0.2">
      <c r="A8696" s="996" t="str">
        <f>CONCATENATE(Programme!D8697,Programme!E8697,Programme!F8697,Programme!G8697,Programme!H8697,Programme!I8697,Programme!J8697)</f>
        <v>&lt;numeroLigne&gt;11&lt;/numeroLigne&gt;</v>
      </c>
    </row>
    <row r="8697" spans="1:1" x14ac:dyDescent="0.2">
      <c r="A8697" s="996" t="str">
        <f>CONCATENATE(Programme!D8698,Programme!E8698,Programme!F8698,Programme!G8698,Programme!H8698,Programme!I8698,Programme!J8698)</f>
        <v>&lt;/ValeurCellule&gt;</v>
      </c>
    </row>
    <row r="8698" spans="1:1" x14ac:dyDescent="0.2">
      <c r="A8698" s="996" t="str">
        <f>CONCATENATE(Programme!D8699,Programme!E8699,Programme!F8699,Programme!G8699,Programme!H8699,Programme!I8699,Programme!J8699)</f>
        <v>&lt;ValeurCellule&gt;</v>
      </c>
    </row>
    <row r="8699" spans="1:1" x14ac:dyDescent="0.2">
      <c r="A8699" s="996" t="str">
        <f>CONCATENATE(Programme!D8700,Programme!E8700,Programme!F8700,Programme!G8700,Programme!H8700,Programme!I8700,Programme!J8700)</f>
        <v>&lt;cellule&gt;&lt;codeEdi&gt;1079&lt;/codeEdi&gt;&lt;/cellule&gt;</v>
      </c>
    </row>
    <row r="8700" spans="1:1" x14ac:dyDescent="0.2">
      <c r="A8700" s="996" t="str">
        <f>CONCATENATE(Programme!D8701,Programme!E8701,Programme!F8701,Programme!G8701,Programme!H8701,Programme!I8701,Programme!J8701)</f>
        <v>&lt;valeur&gt;&lt;/valeur&gt;</v>
      </c>
    </row>
    <row r="8701" spans="1:1" x14ac:dyDescent="0.2">
      <c r="A8701" s="996" t="str">
        <f>CONCATENATE(Programme!D8702,Programme!E8702,Programme!F8702,Programme!G8702,Programme!H8702,Programme!I8702,Programme!J8702)</f>
        <v>&lt;numeroLigne&gt;11&lt;/numeroLigne&gt;</v>
      </c>
    </row>
    <row r="8702" spans="1:1" x14ac:dyDescent="0.2">
      <c r="A8702" s="996" t="str">
        <f>CONCATENATE(Programme!D8703,Programme!E8703,Programme!F8703,Programme!G8703,Programme!H8703,Programme!I8703,Programme!J8703)</f>
        <v>&lt;/ValeurCellule&gt;</v>
      </c>
    </row>
    <row r="8703" spans="1:1" x14ac:dyDescent="0.2">
      <c r="A8703" s="996" t="str">
        <f>CONCATENATE(Programme!D8704,Programme!E8704,Programme!F8704,Programme!G8704,Programme!H8704,Programme!I8704,Programme!J8704)</f>
        <v>&lt;ValeurCellule&gt;</v>
      </c>
    </row>
    <row r="8704" spans="1:1" x14ac:dyDescent="0.2">
      <c r="A8704" s="996" t="str">
        <f>CONCATENATE(Programme!D8705,Programme!E8705,Programme!F8705,Programme!G8705,Programme!H8705,Programme!I8705,Programme!J8705)</f>
        <v>&lt;cellule&gt;&lt;codeEdi&gt;1080&lt;/codeEdi&gt;&lt;/cellule&gt;</v>
      </c>
    </row>
    <row r="8705" spans="1:1" x14ac:dyDescent="0.2">
      <c r="A8705" s="996" t="str">
        <f>CONCATENATE(Programme!D8706,Programme!E8706,Programme!F8706,Programme!G8706,Programme!H8706,Programme!I8706,Programme!J8706)</f>
        <v>&lt;valeur&gt;&lt;/valeur&gt;</v>
      </c>
    </row>
    <row r="8706" spans="1:1" x14ac:dyDescent="0.2">
      <c r="A8706" s="996" t="str">
        <f>CONCATENATE(Programme!D8707,Programme!E8707,Programme!F8707,Programme!G8707,Programme!H8707,Programme!I8707,Programme!J8707)</f>
        <v>&lt;numeroLigne&gt;11&lt;/numeroLigne&gt;</v>
      </c>
    </row>
    <row r="8707" spans="1:1" x14ac:dyDescent="0.2">
      <c r="A8707" s="996" t="str">
        <f>CONCATENATE(Programme!D8708,Programme!E8708,Programme!F8708,Programme!G8708,Programme!H8708,Programme!I8708,Programme!J8708)</f>
        <v>&lt;/ValeurCellule&gt;</v>
      </c>
    </row>
    <row r="8708" spans="1:1" x14ac:dyDescent="0.2">
      <c r="A8708" s="996" t="str">
        <f>CONCATENATE(Programme!D8709,Programme!E8709,Programme!F8709,Programme!G8709,Programme!H8709,Programme!I8709,Programme!J8709)</f>
        <v>&lt;ValeurCellule&gt;</v>
      </c>
    </row>
    <row r="8709" spans="1:1" x14ac:dyDescent="0.2">
      <c r="A8709" s="996" t="str">
        <f>CONCATENATE(Programme!D8710,Programme!E8710,Programme!F8710,Programme!G8710,Programme!H8710,Programme!I8710,Programme!J8710)</f>
        <v>&lt;cellule&gt;&lt;codeEdi&gt;1081&lt;/codeEdi&gt;&lt;/cellule&gt;</v>
      </c>
    </row>
    <row r="8710" spans="1:1" x14ac:dyDescent="0.2">
      <c r="A8710" s="996" t="str">
        <f>CONCATENATE(Programme!D8711,Programme!E8711,Programme!F8711,Programme!G8711,Programme!H8711,Programme!I8711,Programme!J8711)</f>
        <v>&lt;valeur&gt;&lt;/valeur&gt;</v>
      </c>
    </row>
    <row r="8711" spans="1:1" x14ac:dyDescent="0.2">
      <c r="A8711" s="996" t="str">
        <f>CONCATENATE(Programme!D8712,Programme!E8712,Programme!F8712,Programme!G8712,Programme!H8712,Programme!I8712,Programme!J8712)</f>
        <v>&lt;numeroLigne&gt;11&lt;/numeroLigne&gt;</v>
      </c>
    </row>
    <row r="8712" spans="1:1" x14ac:dyDescent="0.2">
      <c r="A8712" s="996" t="str">
        <f>CONCATENATE(Programme!D8713,Programme!E8713,Programme!F8713,Programme!G8713,Programme!H8713,Programme!I8713,Programme!J8713)</f>
        <v>&lt;/ValeurCellule&gt;</v>
      </c>
    </row>
    <row r="8713" spans="1:1" x14ac:dyDescent="0.2">
      <c r="A8713" s="996" t="str">
        <f>CONCATENATE(Programme!D8714,Programme!E8714,Programme!F8714,Programme!G8714,Programme!H8714,Programme!I8714,Programme!J8714)</f>
        <v>&lt;ValeurCellule&gt;</v>
      </c>
    </row>
    <row r="8714" spans="1:1" x14ac:dyDescent="0.2">
      <c r="A8714" s="996" t="str">
        <f>CONCATENATE(Programme!D8715,Programme!E8715,Programme!F8715,Programme!G8715,Programme!H8715,Programme!I8715,Programme!J8715)</f>
        <v>&lt;cellule&gt;&lt;codeEdi&gt;1082&lt;/codeEdi&gt;&lt;/cellule&gt;</v>
      </c>
    </row>
    <row r="8715" spans="1:1" x14ac:dyDescent="0.2">
      <c r="A8715" s="996" t="str">
        <f>CONCATENATE(Programme!D8716,Programme!E8716,Programme!F8716,Programme!G8716,Programme!H8716,Programme!I8716,Programme!J8716)</f>
        <v>&lt;valeur&gt;&lt;/valeur&gt;</v>
      </c>
    </row>
    <row r="8716" spans="1:1" x14ac:dyDescent="0.2">
      <c r="A8716" s="996" t="str">
        <f>CONCATENATE(Programme!D8717,Programme!E8717,Programme!F8717,Programme!G8717,Programme!H8717,Programme!I8717,Programme!J8717)</f>
        <v>&lt;numeroLigne&gt;11&lt;/numeroLigne&gt;</v>
      </c>
    </row>
    <row r="8717" spans="1:1" x14ac:dyDescent="0.2">
      <c r="A8717" s="996" t="str">
        <f>CONCATENATE(Programme!D8718,Programme!E8718,Programme!F8718,Programme!G8718,Programme!H8718,Programme!I8718,Programme!J8718)</f>
        <v>&lt;/ValeurCellule&gt;</v>
      </c>
    </row>
    <row r="8718" spans="1:1" x14ac:dyDescent="0.2">
      <c r="A8718" s="996" t="str">
        <f>CONCATENATE(Programme!D8719,Programme!E8719,Programme!F8719,Programme!G8719,Programme!H8719,Programme!I8719,Programme!J8719)</f>
        <v>&lt;ValeurCellule&gt;</v>
      </c>
    </row>
    <row r="8719" spans="1:1" x14ac:dyDescent="0.2">
      <c r="A8719" s="996" t="str">
        <f>CONCATENATE(Programme!D8720,Programme!E8720,Programme!F8720,Programme!G8720,Programme!H8720,Programme!I8720,Programme!J8720)</f>
        <v>&lt;cellule&gt;&lt;codeEdi&gt;1083&lt;/codeEdi&gt;&lt;/cellule&gt;</v>
      </c>
    </row>
    <row r="8720" spans="1:1" x14ac:dyDescent="0.2">
      <c r="A8720" s="996" t="str">
        <f>CONCATENATE(Programme!D8721,Programme!E8721,Programme!F8721,Programme!G8721,Programme!H8721,Programme!I8721,Programme!J8721)</f>
        <v>&lt;valeur&gt;&lt;/valeur&gt;</v>
      </c>
    </row>
    <row r="8721" spans="1:1" x14ac:dyDescent="0.2">
      <c r="A8721" s="996" t="str">
        <f>CONCATENATE(Programme!D8722,Programme!E8722,Programme!F8722,Programme!G8722,Programme!H8722,Programme!I8722,Programme!J8722)</f>
        <v>&lt;numeroLigne&gt;11&lt;/numeroLigne&gt;</v>
      </c>
    </row>
    <row r="8722" spans="1:1" x14ac:dyDescent="0.2">
      <c r="A8722" s="996" t="str">
        <f>CONCATENATE(Programme!D8723,Programme!E8723,Programme!F8723,Programme!G8723,Programme!H8723,Programme!I8723,Programme!J8723)</f>
        <v>&lt;/ValeurCellule&gt;</v>
      </c>
    </row>
    <row r="8723" spans="1:1" x14ac:dyDescent="0.2">
      <c r="A8723" s="996" t="str">
        <f>CONCATENATE(Programme!D8724,Programme!E8724,Programme!F8724,Programme!G8724,Programme!H8724,Programme!I8724,Programme!J8724)</f>
        <v>&lt;ValeurCellule&gt;</v>
      </c>
    </row>
    <row r="8724" spans="1:1" x14ac:dyDescent="0.2">
      <c r="A8724" s="996" t="str">
        <f>CONCATENATE(Programme!D8725,Programme!E8725,Programme!F8725,Programme!G8725,Programme!H8725,Programme!I8725,Programme!J8725)</f>
        <v>&lt;cellule&gt;&lt;codeEdi&gt;1084&lt;/codeEdi&gt;&lt;/cellule&gt;</v>
      </c>
    </row>
    <row r="8725" spans="1:1" x14ac:dyDescent="0.2">
      <c r="A8725" s="996" t="str">
        <f>CONCATENATE(Programme!D8726,Programme!E8726,Programme!F8726,Programme!G8726,Programme!H8726,Programme!I8726,Programme!J8726)</f>
        <v>&lt;valeur&gt;&lt;/valeur&gt;</v>
      </c>
    </row>
    <row r="8726" spans="1:1" x14ac:dyDescent="0.2">
      <c r="A8726" s="996" t="str">
        <f>CONCATENATE(Programme!D8727,Programme!E8727,Programme!F8727,Programme!G8727,Programme!H8727,Programme!I8727,Programme!J8727)</f>
        <v>&lt;numeroLigne&gt;11&lt;/numeroLigne&gt;</v>
      </c>
    </row>
    <row r="8727" spans="1:1" x14ac:dyDescent="0.2">
      <c r="A8727" s="996" t="str">
        <f>CONCATENATE(Programme!D8728,Programme!E8728,Programme!F8728,Programme!G8728,Programme!H8728,Programme!I8728,Programme!J8728)</f>
        <v>&lt;/ValeurCellule&gt;</v>
      </c>
    </row>
    <row r="8728" spans="1:1" x14ac:dyDescent="0.2">
      <c r="A8728" s="996" t="str">
        <f>CONCATENATE(Programme!D8729,Programme!E8729,Programme!F8729,Programme!G8729,Programme!H8729,Programme!I8729,Programme!J8729)</f>
        <v>&lt;ValeurCellule&gt;</v>
      </c>
    </row>
    <row r="8729" spans="1:1" x14ac:dyDescent="0.2">
      <c r="A8729" s="996" t="str">
        <f>CONCATENATE(Programme!D8730,Programme!E8730,Programme!F8730,Programme!G8730,Programme!H8730,Programme!I8730,Programme!J8730)</f>
        <v>&lt;cellule&gt;&lt;codeEdi&gt;1085&lt;/codeEdi&gt;&lt;/cellule&gt;</v>
      </c>
    </row>
    <row r="8730" spans="1:1" x14ac:dyDescent="0.2">
      <c r="A8730" s="996" t="str">
        <f>CONCATENATE(Programme!D8731,Programme!E8731,Programme!F8731,Programme!G8731,Programme!H8731,Programme!I8731,Programme!J8731)</f>
        <v>&lt;valeur&gt;&lt;/valeur&gt;</v>
      </c>
    </row>
    <row r="8731" spans="1:1" x14ac:dyDescent="0.2">
      <c r="A8731" s="996" t="str">
        <f>CONCATENATE(Programme!D8732,Programme!E8732,Programme!F8732,Programme!G8732,Programme!H8732,Programme!I8732,Programme!J8732)</f>
        <v>&lt;numeroLigne&gt;11&lt;/numeroLigne&gt;</v>
      </c>
    </row>
    <row r="8732" spans="1:1" x14ac:dyDescent="0.2">
      <c r="A8732" s="996" t="str">
        <f>CONCATENATE(Programme!D8733,Programme!E8733,Programme!F8733,Programme!G8733,Programme!H8733,Programme!I8733,Programme!J8733)</f>
        <v>&lt;/ValeurCellule&gt;</v>
      </c>
    </row>
    <row r="8733" spans="1:1" x14ac:dyDescent="0.2">
      <c r="A8733" s="996" t="str">
        <f>CONCATENATE(Programme!D8734,Programme!E8734,Programme!F8734,Programme!G8734,Programme!H8734,Programme!I8734,Programme!J8734)</f>
        <v>&lt;ValeurCellule&gt;</v>
      </c>
    </row>
    <row r="8734" spans="1:1" x14ac:dyDescent="0.2">
      <c r="A8734" s="996" t="str">
        <f>CONCATENATE(Programme!D8735,Programme!E8735,Programme!F8735,Programme!G8735,Programme!H8735,Programme!I8735,Programme!J8735)</f>
        <v>&lt;cellule&gt;&lt;codeEdi&gt;1086&lt;/codeEdi&gt;&lt;/cellule&gt;</v>
      </c>
    </row>
    <row r="8735" spans="1:1" x14ac:dyDescent="0.2">
      <c r="A8735" s="996" t="str">
        <f>CONCATENATE(Programme!D8736,Programme!E8736,Programme!F8736,Programme!G8736,Programme!H8736,Programme!I8736,Programme!J8736)</f>
        <v>&lt;valeur&gt;&lt;/valeur&gt;</v>
      </c>
    </row>
    <row r="8736" spans="1:1" x14ac:dyDescent="0.2">
      <c r="A8736" s="996" t="str">
        <f>CONCATENATE(Programme!D8737,Programme!E8737,Programme!F8737,Programme!G8737,Programme!H8737,Programme!I8737,Programme!J8737)</f>
        <v>&lt;numeroLigne&gt;11&lt;/numeroLigne&gt;</v>
      </c>
    </row>
    <row r="8737" spans="1:1" x14ac:dyDescent="0.2">
      <c r="A8737" s="996" t="str">
        <f>CONCATENATE(Programme!D8738,Programme!E8738,Programme!F8738,Programme!G8738,Programme!H8738,Programme!I8738,Programme!J8738)</f>
        <v>&lt;/ValeurCellule&gt;</v>
      </c>
    </row>
    <row r="8738" spans="1:1" x14ac:dyDescent="0.2">
      <c r="A8738" s="996" t="str">
        <f>CONCATENATE(Programme!D8739,Programme!E8739,Programme!F8739,Programme!G8739,Programme!H8739,Programme!I8739,Programme!J8739)</f>
        <v>&lt;ValeurCellule&gt;</v>
      </c>
    </row>
    <row r="8739" spans="1:1" x14ac:dyDescent="0.2">
      <c r="A8739" s="996" t="str">
        <f>CONCATENATE(Programme!D8740,Programme!E8740,Programme!F8740,Programme!G8740,Programme!H8740,Programme!I8740,Programme!J8740)</f>
        <v>&lt;cellule&gt;&lt;codeEdi&gt;10061&lt;/codeEdi&gt;&lt;/cellule&gt;</v>
      </c>
    </row>
    <row r="8740" spans="1:1" x14ac:dyDescent="0.2">
      <c r="A8740" s="996" t="str">
        <f>CONCATENATE(Programme!D8741,Programme!E8741,Programme!F8741,Programme!G8741,Programme!H8741,Programme!I8741,Programme!J8741)</f>
        <v>&lt;valeur&gt;&lt;/valeur&gt;</v>
      </c>
    </row>
    <row r="8741" spans="1:1" x14ac:dyDescent="0.2">
      <c r="A8741" s="996" t="str">
        <f>CONCATENATE(Programme!D8742,Programme!E8742,Programme!F8742,Programme!G8742,Programme!H8742,Programme!I8742,Programme!J8742)</f>
        <v>&lt;numeroLigne&gt;12&lt;/numeroLigne&gt;</v>
      </c>
    </row>
    <row r="8742" spans="1:1" x14ac:dyDescent="0.2">
      <c r="A8742" s="996" t="str">
        <f>CONCATENATE(Programme!D8743,Programme!E8743,Programme!F8743,Programme!G8743,Programme!H8743,Programme!I8743,Programme!J8743)</f>
        <v>&lt;/ValeurCellule&gt;</v>
      </c>
    </row>
    <row r="8743" spans="1:1" x14ac:dyDescent="0.2">
      <c r="A8743" s="996" t="str">
        <f>CONCATENATE(Programme!D8744,Programme!E8744,Programme!F8744,Programme!G8744,Programme!H8744,Programme!I8744,Programme!J8744)</f>
        <v>&lt;ValeurCellule&gt;</v>
      </c>
    </row>
    <row r="8744" spans="1:1" x14ac:dyDescent="0.2">
      <c r="A8744" s="996" t="str">
        <f>CONCATENATE(Programme!D8745,Programme!E8745,Programme!F8745,Programme!G8745,Programme!H8745,Programme!I8745,Programme!J8745)</f>
        <v>&lt;cellule&gt;&lt;codeEdi&gt;1078&lt;/codeEdi&gt;&lt;/cellule&gt;</v>
      </c>
    </row>
    <row r="8745" spans="1:1" x14ac:dyDescent="0.2">
      <c r="A8745" s="996" t="str">
        <f>CONCATENATE(Programme!D8746,Programme!E8746,Programme!F8746,Programme!G8746,Programme!H8746,Programme!I8746,Programme!J8746)</f>
        <v>&lt;valeur&gt;&lt;/valeur&gt;</v>
      </c>
    </row>
    <row r="8746" spans="1:1" x14ac:dyDescent="0.2">
      <c r="A8746" s="996" t="str">
        <f>CONCATENATE(Programme!D8747,Programme!E8747,Programme!F8747,Programme!G8747,Programme!H8747,Programme!I8747,Programme!J8747)</f>
        <v>&lt;numeroLigne&gt;12&lt;/numeroLigne&gt;</v>
      </c>
    </row>
    <row r="8747" spans="1:1" x14ac:dyDescent="0.2">
      <c r="A8747" s="996" t="str">
        <f>CONCATENATE(Programme!D8748,Programme!E8748,Programme!F8748,Programme!G8748,Programme!H8748,Programme!I8748,Programme!J8748)</f>
        <v>&lt;/ValeurCellule&gt;</v>
      </c>
    </row>
    <row r="8748" spans="1:1" x14ac:dyDescent="0.2">
      <c r="A8748" s="996" t="str">
        <f>CONCATENATE(Programme!D8749,Programme!E8749,Programme!F8749,Programme!G8749,Programme!H8749,Programme!I8749,Programme!J8749)</f>
        <v>&lt;ValeurCellule&gt;</v>
      </c>
    </row>
    <row r="8749" spans="1:1" x14ac:dyDescent="0.2">
      <c r="A8749" s="996" t="str">
        <f>CONCATENATE(Programme!D8750,Programme!E8750,Programme!F8750,Programme!G8750,Programme!H8750,Programme!I8750,Programme!J8750)</f>
        <v>&lt;cellule&gt;&lt;codeEdi&gt;1079&lt;/codeEdi&gt;&lt;/cellule&gt;</v>
      </c>
    </row>
    <row r="8750" spans="1:1" x14ac:dyDescent="0.2">
      <c r="A8750" s="996" t="str">
        <f>CONCATENATE(Programme!D8751,Programme!E8751,Programme!F8751,Programme!G8751,Programme!H8751,Programme!I8751,Programme!J8751)</f>
        <v>&lt;valeur&gt;&lt;/valeur&gt;</v>
      </c>
    </row>
    <row r="8751" spans="1:1" x14ac:dyDescent="0.2">
      <c r="A8751" s="996" t="str">
        <f>CONCATENATE(Programme!D8752,Programme!E8752,Programme!F8752,Programme!G8752,Programme!H8752,Programme!I8752,Programme!J8752)</f>
        <v>&lt;numeroLigne&gt;12&lt;/numeroLigne&gt;</v>
      </c>
    </row>
    <row r="8752" spans="1:1" x14ac:dyDescent="0.2">
      <c r="A8752" s="996" t="str">
        <f>CONCATENATE(Programme!D8753,Programme!E8753,Programme!F8753,Programme!G8753,Programme!H8753,Programme!I8753,Programme!J8753)</f>
        <v>&lt;/ValeurCellule&gt;</v>
      </c>
    </row>
    <row r="8753" spans="1:1" x14ac:dyDescent="0.2">
      <c r="A8753" s="996" t="str">
        <f>CONCATENATE(Programme!D8754,Programme!E8754,Programme!F8754,Programme!G8754,Programme!H8754,Programme!I8754,Programme!J8754)</f>
        <v>&lt;ValeurCellule&gt;</v>
      </c>
    </row>
    <row r="8754" spans="1:1" x14ac:dyDescent="0.2">
      <c r="A8754" s="996" t="str">
        <f>CONCATENATE(Programme!D8755,Programme!E8755,Programme!F8755,Programme!G8755,Programme!H8755,Programme!I8755,Programme!J8755)</f>
        <v>&lt;cellule&gt;&lt;codeEdi&gt;1080&lt;/codeEdi&gt;&lt;/cellule&gt;</v>
      </c>
    </row>
    <row r="8755" spans="1:1" x14ac:dyDescent="0.2">
      <c r="A8755" s="996" t="str">
        <f>CONCATENATE(Programme!D8756,Programme!E8756,Programme!F8756,Programme!G8756,Programme!H8756,Programme!I8756,Programme!J8756)</f>
        <v>&lt;valeur&gt;&lt;/valeur&gt;</v>
      </c>
    </row>
    <row r="8756" spans="1:1" x14ac:dyDescent="0.2">
      <c r="A8756" s="996" t="str">
        <f>CONCATENATE(Programme!D8757,Programme!E8757,Programme!F8757,Programme!G8757,Programme!H8757,Programme!I8757,Programme!J8757)</f>
        <v>&lt;numeroLigne&gt;12&lt;/numeroLigne&gt;</v>
      </c>
    </row>
    <row r="8757" spans="1:1" x14ac:dyDescent="0.2">
      <c r="A8757" s="996" t="str">
        <f>CONCATENATE(Programme!D8758,Programme!E8758,Programme!F8758,Programme!G8758,Programme!H8758,Programme!I8758,Programme!J8758)</f>
        <v>&lt;/ValeurCellule&gt;</v>
      </c>
    </row>
    <row r="8758" spans="1:1" x14ac:dyDescent="0.2">
      <c r="A8758" s="996" t="str">
        <f>CONCATENATE(Programme!D8759,Programme!E8759,Programme!F8759,Programme!G8759,Programme!H8759,Programme!I8759,Programme!J8759)</f>
        <v>&lt;ValeurCellule&gt;</v>
      </c>
    </row>
    <row r="8759" spans="1:1" x14ac:dyDescent="0.2">
      <c r="A8759" s="996" t="str">
        <f>CONCATENATE(Programme!D8760,Programme!E8760,Programme!F8760,Programme!G8760,Programme!H8760,Programme!I8760,Programme!J8760)</f>
        <v>&lt;cellule&gt;&lt;codeEdi&gt;1081&lt;/codeEdi&gt;&lt;/cellule&gt;</v>
      </c>
    </row>
    <row r="8760" spans="1:1" x14ac:dyDescent="0.2">
      <c r="A8760" s="996" t="str">
        <f>CONCATENATE(Programme!D8761,Programme!E8761,Programme!F8761,Programme!G8761,Programme!H8761,Programme!I8761,Programme!J8761)</f>
        <v>&lt;valeur&gt;&lt;/valeur&gt;</v>
      </c>
    </row>
    <row r="8761" spans="1:1" x14ac:dyDescent="0.2">
      <c r="A8761" s="996" t="str">
        <f>CONCATENATE(Programme!D8762,Programme!E8762,Programme!F8762,Programme!G8762,Programme!H8762,Programme!I8762,Programme!J8762)</f>
        <v>&lt;numeroLigne&gt;12&lt;/numeroLigne&gt;</v>
      </c>
    </row>
    <row r="8762" spans="1:1" x14ac:dyDescent="0.2">
      <c r="A8762" s="996" t="str">
        <f>CONCATENATE(Programme!D8763,Programme!E8763,Programme!F8763,Programme!G8763,Programme!H8763,Programme!I8763,Programme!J8763)</f>
        <v>&lt;/ValeurCellule&gt;</v>
      </c>
    </row>
    <row r="8763" spans="1:1" x14ac:dyDescent="0.2">
      <c r="A8763" s="996" t="str">
        <f>CONCATENATE(Programme!D8764,Programme!E8764,Programme!F8764,Programme!G8764,Programme!H8764,Programme!I8764,Programme!J8764)</f>
        <v>&lt;ValeurCellule&gt;</v>
      </c>
    </row>
    <row r="8764" spans="1:1" x14ac:dyDescent="0.2">
      <c r="A8764" s="996" t="str">
        <f>CONCATENATE(Programme!D8765,Programme!E8765,Programme!F8765,Programme!G8765,Programme!H8765,Programme!I8765,Programme!J8765)</f>
        <v>&lt;cellule&gt;&lt;codeEdi&gt;1082&lt;/codeEdi&gt;&lt;/cellule&gt;</v>
      </c>
    </row>
    <row r="8765" spans="1:1" x14ac:dyDescent="0.2">
      <c r="A8765" s="996" t="str">
        <f>CONCATENATE(Programme!D8766,Programme!E8766,Programme!F8766,Programme!G8766,Programme!H8766,Programme!I8766,Programme!J8766)</f>
        <v>&lt;valeur&gt;&lt;/valeur&gt;</v>
      </c>
    </row>
    <row r="8766" spans="1:1" x14ac:dyDescent="0.2">
      <c r="A8766" s="996" t="str">
        <f>CONCATENATE(Programme!D8767,Programme!E8767,Programme!F8767,Programme!G8767,Programme!H8767,Programme!I8767,Programme!J8767)</f>
        <v>&lt;numeroLigne&gt;12&lt;/numeroLigne&gt;</v>
      </c>
    </row>
    <row r="8767" spans="1:1" x14ac:dyDescent="0.2">
      <c r="A8767" s="996" t="str">
        <f>CONCATENATE(Programme!D8768,Programme!E8768,Programme!F8768,Programme!G8768,Programme!H8768,Programme!I8768,Programme!J8768)</f>
        <v>&lt;/ValeurCellule&gt;</v>
      </c>
    </row>
    <row r="8768" spans="1:1" x14ac:dyDescent="0.2">
      <c r="A8768" s="996" t="str">
        <f>CONCATENATE(Programme!D8769,Programme!E8769,Programme!F8769,Programme!G8769,Programme!H8769,Programme!I8769,Programme!J8769)</f>
        <v>&lt;ValeurCellule&gt;</v>
      </c>
    </row>
    <row r="8769" spans="1:1" x14ac:dyDescent="0.2">
      <c r="A8769" s="996" t="str">
        <f>CONCATENATE(Programme!D8770,Programme!E8770,Programme!F8770,Programme!G8770,Programme!H8770,Programme!I8770,Programme!J8770)</f>
        <v>&lt;cellule&gt;&lt;codeEdi&gt;1083&lt;/codeEdi&gt;&lt;/cellule&gt;</v>
      </c>
    </row>
    <row r="8770" spans="1:1" x14ac:dyDescent="0.2">
      <c r="A8770" s="996" t="str">
        <f>CONCATENATE(Programme!D8771,Programme!E8771,Programme!F8771,Programme!G8771,Programme!H8771,Programme!I8771,Programme!J8771)</f>
        <v>&lt;valeur&gt;&lt;/valeur&gt;</v>
      </c>
    </row>
    <row r="8771" spans="1:1" x14ac:dyDescent="0.2">
      <c r="A8771" s="996" t="str">
        <f>CONCATENATE(Programme!D8772,Programme!E8772,Programme!F8772,Programme!G8772,Programme!H8772,Programme!I8772,Programme!J8772)</f>
        <v>&lt;numeroLigne&gt;12&lt;/numeroLigne&gt;</v>
      </c>
    </row>
    <row r="8772" spans="1:1" x14ac:dyDescent="0.2">
      <c r="A8772" s="996" t="str">
        <f>CONCATENATE(Programme!D8773,Programme!E8773,Programme!F8773,Programme!G8773,Programme!H8773,Programme!I8773,Programme!J8773)</f>
        <v>&lt;/ValeurCellule&gt;</v>
      </c>
    </row>
    <row r="8773" spans="1:1" x14ac:dyDescent="0.2">
      <c r="A8773" s="996" t="str">
        <f>CONCATENATE(Programme!D8774,Programme!E8774,Programme!F8774,Programme!G8774,Programme!H8774,Programme!I8774,Programme!J8774)</f>
        <v>&lt;ValeurCellule&gt;</v>
      </c>
    </row>
    <row r="8774" spans="1:1" x14ac:dyDescent="0.2">
      <c r="A8774" s="996" t="str">
        <f>CONCATENATE(Programme!D8775,Programme!E8775,Programme!F8775,Programme!G8775,Programme!H8775,Programme!I8775,Programme!J8775)</f>
        <v>&lt;cellule&gt;&lt;codeEdi&gt;1084&lt;/codeEdi&gt;&lt;/cellule&gt;</v>
      </c>
    </row>
    <row r="8775" spans="1:1" x14ac:dyDescent="0.2">
      <c r="A8775" s="996" t="str">
        <f>CONCATENATE(Programme!D8776,Programme!E8776,Programme!F8776,Programme!G8776,Programme!H8776,Programme!I8776,Programme!J8776)</f>
        <v>&lt;valeur&gt;&lt;/valeur&gt;</v>
      </c>
    </row>
    <row r="8776" spans="1:1" x14ac:dyDescent="0.2">
      <c r="A8776" s="996" t="str">
        <f>CONCATENATE(Programme!D8777,Programme!E8777,Programme!F8777,Programme!G8777,Programme!H8777,Programme!I8777,Programme!J8777)</f>
        <v>&lt;numeroLigne&gt;12&lt;/numeroLigne&gt;</v>
      </c>
    </row>
    <row r="8777" spans="1:1" x14ac:dyDescent="0.2">
      <c r="A8777" s="996" t="str">
        <f>CONCATENATE(Programme!D8778,Programme!E8778,Programme!F8778,Programme!G8778,Programme!H8778,Programme!I8778,Programme!J8778)</f>
        <v>&lt;/ValeurCellule&gt;</v>
      </c>
    </row>
    <row r="8778" spans="1:1" x14ac:dyDescent="0.2">
      <c r="A8778" s="996" t="str">
        <f>CONCATENATE(Programme!D8779,Programme!E8779,Programme!F8779,Programme!G8779,Programme!H8779,Programme!I8779,Programme!J8779)</f>
        <v>&lt;ValeurCellule&gt;</v>
      </c>
    </row>
    <row r="8779" spans="1:1" x14ac:dyDescent="0.2">
      <c r="A8779" s="996" t="str">
        <f>CONCATENATE(Programme!D8780,Programme!E8780,Programme!F8780,Programme!G8780,Programme!H8780,Programme!I8780,Programme!J8780)</f>
        <v>&lt;cellule&gt;&lt;codeEdi&gt;1085&lt;/codeEdi&gt;&lt;/cellule&gt;</v>
      </c>
    </row>
    <row r="8780" spans="1:1" x14ac:dyDescent="0.2">
      <c r="A8780" s="996" t="str">
        <f>CONCATENATE(Programme!D8781,Programme!E8781,Programme!F8781,Programme!G8781,Programme!H8781,Programme!I8781,Programme!J8781)</f>
        <v>&lt;valeur&gt;&lt;/valeur&gt;</v>
      </c>
    </row>
    <row r="8781" spans="1:1" x14ac:dyDescent="0.2">
      <c r="A8781" s="996" t="str">
        <f>CONCATENATE(Programme!D8782,Programme!E8782,Programme!F8782,Programme!G8782,Programme!H8782,Programme!I8782,Programme!J8782)</f>
        <v>&lt;numeroLigne&gt;12&lt;/numeroLigne&gt;</v>
      </c>
    </row>
    <row r="8782" spans="1:1" x14ac:dyDescent="0.2">
      <c r="A8782" s="996" t="str">
        <f>CONCATENATE(Programme!D8783,Programme!E8783,Programme!F8783,Programme!G8783,Programme!H8783,Programme!I8783,Programme!J8783)</f>
        <v>&lt;/ValeurCellule&gt;</v>
      </c>
    </row>
    <row r="8783" spans="1:1" x14ac:dyDescent="0.2">
      <c r="A8783" s="996" t="str">
        <f>CONCATENATE(Programme!D8784,Programme!E8784,Programme!F8784,Programme!G8784,Programme!H8784,Programme!I8784,Programme!J8784)</f>
        <v>&lt;ValeurCellule&gt;</v>
      </c>
    </row>
    <row r="8784" spans="1:1" x14ac:dyDescent="0.2">
      <c r="A8784" s="996" t="str">
        <f>CONCATENATE(Programme!D8785,Programme!E8785,Programme!F8785,Programme!G8785,Programme!H8785,Programme!I8785,Programme!J8785)</f>
        <v>&lt;cellule&gt;&lt;codeEdi&gt;1086&lt;/codeEdi&gt;&lt;/cellule&gt;</v>
      </c>
    </row>
    <row r="8785" spans="1:1" x14ac:dyDescent="0.2">
      <c r="A8785" s="996" t="str">
        <f>CONCATENATE(Programme!D8786,Programme!E8786,Programme!F8786,Programme!G8786,Programme!H8786,Programme!I8786,Programme!J8786)</f>
        <v>&lt;valeur&gt;&lt;/valeur&gt;</v>
      </c>
    </row>
    <row r="8786" spans="1:1" x14ac:dyDescent="0.2">
      <c r="A8786" s="996" t="str">
        <f>CONCATENATE(Programme!D8787,Programme!E8787,Programme!F8787,Programme!G8787,Programme!H8787,Programme!I8787,Programme!J8787)</f>
        <v>&lt;numeroLigne&gt;12&lt;/numeroLigne&gt;</v>
      </c>
    </row>
    <row r="8787" spans="1:1" x14ac:dyDescent="0.2">
      <c r="A8787" s="996" t="str">
        <f>CONCATENATE(Programme!D8788,Programme!E8788,Programme!F8788,Programme!G8788,Programme!H8788,Programme!I8788,Programme!J8788)</f>
        <v>&lt;/ValeurCellule&gt;</v>
      </c>
    </row>
    <row r="8788" spans="1:1" x14ac:dyDescent="0.2">
      <c r="A8788" s="996" t="str">
        <f>CONCATENATE(Programme!D8789,Programme!E8789,Programme!F8789,Programme!G8789,Programme!H8789,Programme!I8789,Programme!J8789)</f>
        <v>&lt;ValeurCellule&gt;</v>
      </c>
    </row>
    <row r="8789" spans="1:1" x14ac:dyDescent="0.2">
      <c r="A8789" s="996" t="str">
        <f>CONCATENATE(Programme!D8790,Programme!E8790,Programme!F8790,Programme!G8790,Programme!H8790,Programme!I8790,Programme!J8790)</f>
        <v>&lt;cellule&gt;&lt;codeEdi&gt;10061&lt;/codeEdi&gt;&lt;/cellule&gt;</v>
      </c>
    </row>
    <row r="8790" spans="1:1" x14ac:dyDescent="0.2">
      <c r="A8790" s="996" t="str">
        <f>CONCATENATE(Programme!D8791,Programme!E8791,Programme!F8791,Programme!G8791,Programme!H8791,Programme!I8791,Programme!J8791)</f>
        <v>&lt;valeur&gt;&lt;/valeur&gt;</v>
      </c>
    </row>
    <row r="8791" spans="1:1" x14ac:dyDescent="0.2">
      <c r="A8791" s="996" t="str">
        <f>CONCATENATE(Programme!D8792,Programme!E8792,Programme!F8792,Programme!G8792,Programme!H8792,Programme!I8792,Programme!J8792)</f>
        <v>&lt;numeroLigne&gt;13&lt;/numeroLigne&gt;</v>
      </c>
    </row>
    <row r="8792" spans="1:1" x14ac:dyDescent="0.2">
      <c r="A8792" s="996" t="str">
        <f>CONCATENATE(Programme!D8793,Programme!E8793,Programme!F8793,Programme!G8793,Programme!H8793,Programme!I8793,Programme!J8793)</f>
        <v>&lt;/ValeurCellule&gt;</v>
      </c>
    </row>
    <row r="8793" spans="1:1" x14ac:dyDescent="0.2">
      <c r="A8793" s="996" t="str">
        <f>CONCATENATE(Programme!D8794,Programme!E8794,Programme!F8794,Programme!G8794,Programme!H8794,Programme!I8794,Programme!J8794)</f>
        <v>&lt;ValeurCellule&gt;</v>
      </c>
    </row>
    <row r="8794" spans="1:1" x14ac:dyDescent="0.2">
      <c r="A8794" s="996" t="str">
        <f>CONCATENATE(Programme!D8795,Programme!E8795,Programme!F8795,Programme!G8795,Programme!H8795,Programme!I8795,Programme!J8795)</f>
        <v>&lt;cellule&gt;&lt;codeEdi&gt;1078&lt;/codeEdi&gt;&lt;/cellule&gt;</v>
      </c>
    </row>
    <row r="8795" spans="1:1" x14ac:dyDescent="0.2">
      <c r="A8795" s="996" t="str">
        <f>CONCATENATE(Programme!D8796,Programme!E8796,Programme!F8796,Programme!G8796,Programme!H8796,Programme!I8796,Programme!J8796)</f>
        <v>&lt;valeur&gt;&lt;/valeur&gt;</v>
      </c>
    </row>
    <row r="8796" spans="1:1" x14ac:dyDescent="0.2">
      <c r="A8796" s="996" t="str">
        <f>CONCATENATE(Programme!D8797,Programme!E8797,Programme!F8797,Programme!G8797,Programme!H8797,Programme!I8797,Programme!J8797)</f>
        <v>&lt;numeroLigne&gt;13&lt;/numeroLigne&gt;</v>
      </c>
    </row>
    <row r="8797" spans="1:1" x14ac:dyDescent="0.2">
      <c r="A8797" s="996" t="str">
        <f>CONCATENATE(Programme!D8798,Programme!E8798,Programme!F8798,Programme!G8798,Programme!H8798,Programme!I8798,Programme!J8798)</f>
        <v>&lt;/ValeurCellule&gt;</v>
      </c>
    </row>
    <row r="8798" spans="1:1" x14ac:dyDescent="0.2">
      <c r="A8798" s="996" t="str">
        <f>CONCATENATE(Programme!D8799,Programme!E8799,Programme!F8799,Programme!G8799,Programme!H8799,Programme!I8799,Programme!J8799)</f>
        <v>&lt;ValeurCellule&gt;</v>
      </c>
    </row>
    <row r="8799" spans="1:1" x14ac:dyDescent="0.2">
      <c r="A8799" s="996" t="str">
        <f>CONCATENATE(Programme!D8800,Programme!E8800,Programme!F8800,Programme!G8800,Programme!H8800,Programme!I8800,Programme!J8800)</f>
        <v>&lt;cellule&gt;&lt;codeEdi&gt;1079&lt;/codeEdi&gt;&lt;/cellule&gt;</v>
      </c>
    </row>
    <row r="8800" spans="1:1" x14ac:dyDescent="0.2">
      <c r="A8800" s="996" t="str">
        <f>CONCATENATE(Programme!D8801,Programme!E8801,Programme!F8801,Programme!G8801,Programme!H8801,Programme!I8801,Programme!J8801)</f>
        <v>&lt;valeur&gt;&lt;/valeur&gt;</v>
      </c>
    </row>
    <row r="8801" spans="1:1" x14ac:dyDescent="0.2">
      <c r="A8801" s="996" t="str">
        <f>CONCATENATE(Programme!D8802,Programme!E8802,Programme!F8802,Programme!G8802,Programme!H8802,Programme!I8802,Programme!J8802)</f>
        <v>&lt;numeroLigne&gt;13&lt;/numeroLigne&gt;</v>
      </c>
    </row>
    <row r="8802" spans="1:1" x14ac:dyDescent="0.2">
      <c r="A8802" s="996" t="str">
        <f>CONCATENATE(Programme!D8803,Programme!E8803,Programme!F8803,Programme!G8803,Programme!H8803,Programme!I8803,Programme!J8803)</f>
        <v>&lt;/ValeurCellule&gt;</v>
      </c>
    </row>
    <row r="8803" spans="1:1" x14ac:dyDescent="0.2">
      <c r="A8803" s="996" t="str">
        <f>CONCATENATE(Programme!D8804,Programme!E8804,Programme!F8804,Programme!G8804,Programme!H8804,Programme!I8804,Programme!J8804)</f>
        <v>&lt;ValeurCellule&gt;</v>
      </c>
    </row>
    <row r="8804" spans="1:1" x14ac:dyDescent="0.2">
      <c r="A8804" s="996" t="str">
        <f>CONCATENATE(Programme!D8805,Programme!E8805,Programme!F8805,Programme!G8805,Programme!H8805,Programme!I8805,Programme!J8805)</f>
        <v>&lt;cellule&gt;&lt;codeEdi&gt;1080&lt;/codeEdi&gt;&lt;/cellule&gt;</v>
      </c>
    </row>
    <row r="8805" spans="1:1" x14ac:dyDescent="0.2">
      <c r="A8805" s="996" t="str">
        <f>CONCATENATE(Programme!D8806,Programme!E8806,Programme!F8806,Programme!G8806,Programme!H8806,Programme!I8806,Programme!J8806)</f>
        <v>&lt;valeur&gt;&lt;/valeur&gt;</v>
      </c>
    </row>
    <row r="8806" spans="1:1" x14ac:dyDescent="0.2">
      <c r="A8806" s="996" t="str">
        <f>CONCATENATE(Programme!D8807,Programme!E8807,Programme!F8807,Programme!G8807,Programme!H8807,Programme!I8807,Programme!J8807)</f>
        <v>&lt;numeroLigne&gt;13&lt;/numeroLigne&gt;</v>
      </c>
    </row>
    <row r="8807" spans="1:1" x14ac:dyDescent="0.2">
      <c r="A8807" s="996" t="str">
        <f>CONCATENATE(Programme!D8808,Programme!E8808,Programme!F8808,Programme!G8808,Programme!H8808,Programme!I8808,Programme!J8808)</f>
        <v>&lt;/ValeurCellule&gt;</v>
      </c>
    </row>
    <row r="8808" spans="1:1" x14ac:dyDescent="0.2">
      <c r="A8808" s="996" t="str">
        <f>CONCATENATE(Programme!D8809,Programme!E8809,Programme!F8809,Programme!G8809,Programme!H8809,Programme!I8809,Programme!J8809)</f>
        <v>&lt;ValeurCellule&gt;</v>
      </c>
    </row>
    <row r="8809" spans="1:1" x14ac:dyDescent="0.2">
      <c r="A8809" s="996" t="str">
        <f>CONCATENATE(Programme!D8810,Programme!E8810,Programme!F8810,Programme!G8810,Programme!H8810,Programme!I8810,Programme!J8810)</f>
        <v>&lt;cellule&gt;&lt;codeEdi&gt;1081&lt;/codeEdi&gt;&lt;/cellule&gt;</v>
      </c>
    </row>
    <row r="8810" spans="1:1" x14ac:dyDescent="0.2">
      <c r="A8810" s="996" t="str">
        <f>CONCATENATE(Programme!D8811,Programme!E8811,Programme!F8811,Programme!G8811,Programme!H8811,Programme!I8811,Programme!J8811)</f>
        <v>&lt;valeur&gt;&lt;/valeur&gt;</v>
      </c>
    </row>
    <row r="8811" spans="1:1" x14ac:dyDescent="0.2">
      <c r="A8811" s="996" t="str">
        <f>CONCATENATE(Programme!D8812,Programme!E8812,Programme!F8812,Programme!G8812,Programme!H8812,Programme!I8812,Programme!J8812)</f>
        <v>&lt;numeroLigne&gt;13&lt;/numeroLigne&gt;</v>
      </c>
    </row>
    <row r="8812" spans="1:1" x14ac:dyDescent="0.2">
      <c r="A8812" s="996" t="str">
        <f>CONCATENATE(Programme!D8813,Programme!E8813,Programme!F8813,Programme!G8813,Programme!H8813,Programme!I8813,Programme!J8813)</f>
        <v>&lt;/ValeurCellule&gt;</v>
      </c>
    </row>
    <row r="8813" spans="1:1" x14ac:dyDescent="0.2">
      <c r="A8813" s="996" t="str">
        <f>CONCATENATE(Programme!D8814,Programme!E8814,Programme!F8814,Programme!G8814,Programme!H8814,Programme!I8814,Programme!J8814)</f>
        <v>&lt;ValeurCellule&gt;</v>
      </c>
    </row>
    <row r="8814" spans="1:1" x14ac:dyDescent="0.2">
      <c r="A8814" s="996" t="str">
        <f>CONCATENATE(Programme!D8815,Programme!E8815,Programme!F8815,Programme!G8815,Programme!H8815,Programme!I8815,Programme!J8815)</f>
        <v>&lt;cellule&gt;&lt;codeEdi&gt;1082&lt;/codeEdi&gt;&lt;/cellule&gt;</v>
      </c>
    </row>
    <row r="8815" spans="1:1" x14ac:dyDescent="0.2">
      <c r="A8815" s="996" t="str">
        <f>CONCATENATE(Programme!D8816,Programme!E8816,Programme!F8816,Programme!G8816,Programme!H8816,Programme!I8816,Programme!J8816)</f>
        <v>&lt;valeur&gt;&lt;/valeur&gt;</v>
      </c>
    </row>
    <row r="8816" spans="1:1" x14ac:dyDescent="0.2">
      <c r="A8816" s="996" t="str">
        <f>CONCATENATE(Programme!D8817,Programme!E8817,Programme!F8817,Programme!G8817,Programme!H8817,Programme!I8817,Programme!J8817)</f>
        <v>&lt;numeroLigne&gt;13&lt;/numeroLigne&gt;</v>
      </c>
    </row>
    <row r="8817" spans="1:1" x14ac:dyDescent="0.2">
      <c r="A8817" s="996" t="str">
        <f>CONCATENATE(Programme!D8818,Programme!E8818,Programme!F8818,Programme!G8818,Programme!H8818,Programme!I8818,Programme!J8818)</f>
        <v>&lt;/ValeurCellule&gt;</v>
      </c>
    </row>
    <row r="8818" spans="1:1" x14ac:dyDescent="0.2">
      <c r="A8818" s="996" t="str">
        <f>CONCATENATE(Programme!D8819,Programme!E8819,Programme!F8819,Programme!G8819,Programme!H8819,Programme!I8819,Programme!J8819)</f>
        <v>&lt;ValeurCellule&gt;</v>
      </c>
    </row>
    <row r="8819" spans="1:1" x14ac:dyDescent="0.2">
      <c r="A8819" s="996" t="str">
        <f>CONCATENATE(Programme!D8820,Programme!E8820,Programme!F8820,Programme!G8820,Programme!H8820,Programme!I8820,Programme!J8820)</f>
        <v>&lt;cellule&gt;&lt;codeEdi&gt;1083&lt;/codeEdi&gt;&lt;/cellule&gt;</v>
      </c>
    </row>
    <row r="8820" spans="1:1" x14ac:dyDescent="0.2">
      <c r="A8820" s="996" t="str">
        <f>CONCATENATE(Programme!D8821,Programme!E8821,Programme!F8821,Programme!G8821,Programme!H8821,Programme!I8821,Programme!J8821)</f>
        <v>&lt;valeur&gt;&lt;/valeur&gt;</v>
      </c>
    </row>
    <row r="8821" spans="1:1" x14ac:dyDescent="0.2">
      <c r="A8821" s="996" t="str">
        <f>CONCATENATE(Programme!D8822,Programme!E8822,Programme!F8822,Programme!G8822,Programme!H8822,Programme!I8822,Programme!J8822)</f>
        <v>&lt;numeroLigne&gt;13&lt;/numeroLigne&gt;</v>
      </c>
    </row>
    <row r="8822" spans="1:1" x14ac:dyDescent="0.2">
      <c r="A8822" s="996" t="str">
        <f>CONCATENATE(Programme!D8823,Programme!E8823,Programme!F8823,Programme!G8823,Programme!H8823,Programme!I8823,Programme!J8823)</f>
        <v>&lt;/ValeurCellule&gt;</v>
      </c>
    </row>
    <row r="8823" spans="1:1" x14ac:dyDescent="0.2">
      <c r="A8823" s="996" t="str">
        <f>CONCATENATE(Programme!D8824,Programme!E8824,Programme!F8824,Programme!G8824,Programme!H8824,Programme!I8824,Programme!J8824)</f>
        <v>&lt;ValeurCellule&gt;</v>
      </c>
    </row>
    <row r="8824" spans="1:1" x14ac:dyDescent="0.2">
      <c r="A8824" s="996" t="str">
        <f>CONCATENATE(Programme!D8825,Programme!E8825,Programme!F8825,Programme!G8825,Programme!H8825,Programme!I8825,Programme!J8825)</f>
        <v>&lt;cellule&gt;&lt;codeEdi&gt;1084&lt;/codeEdi&gt;&lt;/cellule&gt;</v>
      </c>
    </row>
    <row r="8825" spans="1:1" x14ac:dyDescent="0.2">
      <c r="A8825" s="996" t="str">
        <f>CONCATENATE(Programme!D8826,Programme!E8826,Programme!F8826,Programme!G8826,Programme!H8826,Programme!I8826,Programme!J8826)</f>
        <v>&lt;valeur&gt;&lt;/valeur&gt;</v>
      </c>
    </row>
    <row r="8826" spans="1:1" x14ac:dyDescent="0.2">
      <c r="A8826" s="996" t="str">
        <f>CONCATENATE(Programme!D8827,Programme!E8827,Programme!F8827,Programme!G8827,Programme!H8827,Programme!I8827,Programme!J8827)</f>
        <v>&lt;numeroLigne&gt;13&lt;/numeroLigne&gt;</v>
      </c>
    </row>
    <row r="8827" spans="1:1" x14ac:dyDescent="0.2">
      <c r="A8827" s="996" t="str">
        <f>CONCATENATE(Programme!D8828,Programme!E8828,Programme!F8828,Programme!G8828,Programme!H8828,Programme!I8828,Programme!J8828)</f>
        <v>&lt;/ValeurCellule&gt;</v>
      </c>
    </row>
    <row r="8828" spans="1:1" x14ac:dyDescent="0.2">
      <c r="A8828" s="996" t="str">
        <f>CONCATENATE(Programme!D8829,Programme!E8829,Programme!F8829,Programme!G8829,Programme!H8829,Programme!I8829,Programme!J8829)</f>
        <v>&lt;ValeurCellule&gt;</v>
      </c>
    </row>
    <row r="8829" spans="1:1" x14ac:dyDescent="0.2">
      <c r="A8829" s="996" t="str">
        <f>CONCATENATE(Programme!D8830,Programme!E8830,Programme!F8830,Programme!G8830,Programme!H8830,Programme!I8830,Programme!J8830)</f>
        <v>&lt;cellule&gt;&lt;codeEdi&gt;1085&lt;/codeEdi&gt;&lt;/cellule&gt;</v>
      </c>
    </row>
    <row r="8830" spans="1:1" x14ac:dyDescent="0.2">
      <c r="A8830" s="996" t="str">
        <f>CONCATENATE(Programme!D8831,Programme!E8831,Programme!F8831,Programme!G8831,Programme!H8831,Programme!I8831,Programme!J8831)</f>
        <v>&lt;valeur&gt;&lt;/valeur&gt;</v>
      </c>
    </row>
    <row r="8831" spans="1:1" x14ac:dyDescent="0.2">
      <c r="A8831" s="996" t="str">
        <f>CONCATENATE(Programme!D8832,Programme!E8832,Programme!F8832,Programme!G8832,Programme!H8832,Programme!I8832,Programme!J8832)</f>
        <v>&lt;numeroLigne&gt;13&lt;/numeroLigne&gt;</v>
      </c>
    </row>
    <row r="8832" spans="1:1" x14ac:dyDescent="0.2">
      <c r="A8832" s="996" t="str">
        <f>CONCATENATE(Programme!D8833,Programme!E8833,Programme!F8833,Programme!G8833,Programme!H8833,Programme!I8833,Programme!J8833)</f>
        <v>&lt;/ValeurCellule&gt;</v>
      </c>
    </row>
    <row r="8833" spans="1:1" x14ac:dyDescent="0.2">
      <c r="A8833" s="996" t="str">
        <f>CONCATENATE(Programme!D8834,Programme!E8834,Programme!F8834,Programme!G8834,Programme!H8834,Programme!I8834,Programme!J8834)</f>
        <v>&lt;ValeurCellule&gt;</v>
      </c>
    </row>
    <row r="8834" spans="1:1" x14ac:dyDescent="0.2">
      <c r="A8834" s="996" t="str">
        <f>CONCATENATE(Programme!D8835,Programme!E8835,Programme!F8835,Programme!G8835,Programme!H8835,Programme!I8835,Programme!J8835)</f>
        <v>&lt;cellule&gt;&lt;codeEdi&gt;1086&lt;/codeEdi&gt;&lt;/cellule&gt;</v>
      </c>
    </row>
    <row r="8835" spans="1:1" x14ac:dyDescent="0.2">
      <c r="A8835" s="996" t="str">
        <f>CONCATENATE(Programme!D8836,Programme!E8836,Programme!F8836,Programme!G8836,Programme!H8836,Programme!I8836,Programme!J8836)</f>
        <v>&lt;valeur&gt;&lt;/valeur&gt;</v>
      </c>
    </row>
    <row r="8836" spans="1:1" x14ac:dyDescent="0.2">
      <c r="A8836" s="996" t="str">
        <f>CONCATENATE(Programme!D8837,Programme!E8837,Programme!F8837,Programme!G8837,Programme!H8837,Programme!I8837,Programme!J8837)</f>
        <v>&lt;numeroLigne&gt;13&lt;/numeroLigne&gt;</v>
      </c>
    </row>
    <row r="8837" spans="1:1" x14ac:dyDescent="0.2">
      <c r="A8837" s="996" t="str">
        <f>CONCATENATE(Programme!D8838,Programme!E8838,Programme!F8838,Programme!G8838,Programme!H8838,Programme!I8838,Programme!J8838)</f>
        <v>&lt;/ValeurCellule&gt;</v>
      </c>
    </row>
    <row r="8838" spans="1:1" x14ac:dyDescent="0.2">
      <c r="A8838" s="996" t="str">
        <f>CONCATENATE(Programme!D8839,Programme!E8839,Programme!F8839,Programme!G8839,Programme!H8839,Programme!I8839,Programme!J8839)</f>
        <v>&lt;ValeurCellule&gt;</v>
      </c>
    </row>
    <row r="8839" spans="1:1" x14ac:dyDescent="0.2">
      <c r="A8839" s="996" t="str">
        <f>CONCATENATE(Programme!D8840,Programme!E8840,Programme!F8840,Programme!G8840,Programme!H8840,Programme!I8840,Programme!J8840)</f>
        <v>&lt;cellule&gt;&lt;codeEdi&gt;10061&lt;/codeEdi&gt;&lt;/cellule&gt;</v>
      </c>
    </row>
    <row r="8840" spans="1:1" x14ac:dyDescent="0.2">
      <c r="A8840" s="996" t="str">
        <f>CONCATENATE(Programme!D8841,Programme!E8841,Programme!F8841,Programme!G8841,Programme!H8841,Programme!I8841,Programme!J8841)</f>
        <v>&lt;valeur&gt;&lt;/valeur&gt;</v>
      </c>
    </row>
    <row r="8841" spans="1:1" x14ac:dyDescent="0.2">
      <c r="A8841" s="996" t="str">
        <f>CONCATENATE(Programme!D8842,Programme!E8842,Programme!F8842,Programme!G8842,Programme!H8842,Programme!I8842,Programme!J8842)</f>
        <v>&lt;numeroLigne&gt;14&lt;/numeroLigne&gt;</v>
      </c>
    </row>
    <row r="8842" spans="1:1" x14ac:dyDescent="0.2">
      <c r="A8842" s="996" t="str">
        <f>CONCATENATE(Programme!D8843,Programme!E8843,Programme!F8843,Programme!G8843,Programme!H8843,Programme!I8843,Programme!J8843)</f>
        <v>&lt;/ValeurCellule&gt;</v>
      </c>
    </row>
    <row r="8843" spans="1:1" x14ac:dyDescent="0.2">
      <c r="A8843" s="996" t="str">
        <f>CONCATENATE(Programme!D8844,Programme!E8844,Programme!F8844,Programme!G8844,Programme!H8844,Programme!I8844,Programme!J8844)</f>
        <v>&lt;ValeurCellule&gt;</v>
      </c>
    </row>
    <row r="8844" spans="1:1" x14ac:dyDescent="0.2">
      <c r="A8844" s="996" t="str">
        <f>CONCATENATE(Programme!D8845,Programme!E8845,Programme!F8845,Programme!G8845,Programme!H8845,Programme!I8845,Programme!J8845)</f>
        <v>&lt;cellule&gt;&lt;codeEdi&gt;1078&lt;/codeEdi&gt;&lt;/cellule&gt;</v>
      </c>
    </row>
    <row r="8845" spans="1:1" x14ac:dyDescent="0.2">
      <c r="A8845" s="996" t="str">
        <f>CONCATENATE(Programme!D8846,Programme!E8846,Programme!F8846,Programme!G8846,Programme!H8846,Programme!I8846,Programme!J8846)</f>
        <v>&lt;valeur&gt;&lt;/valeur&gt;</v>
      </c>
    </row>
    <row r="8846" spans="1:1" x14ac:dyDescent="0.2">
      <c r="A8846" s="996" t="str">
        <f>CONCATENATE(Programme!D8847,Programme!E8847,Programme!F8847,Programme!G8847,Programme!H8847,Programme!I8847,Programme!J8847)</f>
        <v>&lt;numeroLigne&gt;14&lt;/numeroLigne&gt;</v>
      </c>
    </row>
    <row r="8847" spans="1:1" x14ac:dyDescent="0.2">
      <c r="A8847" s="996" t="str">
        <f>CONCATENATE(Programme!D8848,Programme!E8848,Programme!F8848,Programme!G8848,Programme!H8848,Programme!I8848,Programme!J8848)</f>
        <v>&lt;/ValeurCellule&gt;</v>
      </c>
    </row>
    <row r="8848" spans="1:1" x14ac:dyDescent="0.2">
      <c r="A8848" s="996" t="str">
        <f>CONCATENATE(Programme!D8849,Programme!E8849,Programme!F8849,Programme!G8849,Programme!H8849,Programme!I8849,Programme!J8849)</f>
        <v>&lt;ValeurCellule&gt;</v>
      </c>
    </row>
    <row r="8849" spans="1:1" x14ac:dyDescent="0.2">
      <c r="A8849" s="996" t="str">
        <f>CONCATENATE(Programme!D8850,Programme!E8850,Programme!F8850,Programme!G8850,Programme!H8850,Programme!I8850,Programme!J8850)</f>
        <v>&lt;cellule&gt;&lt;codeEdi&gt;1079&lt;/codeEdi&gt;&lt;/cellule&gt;</v>
      </c>
    </row>
    <row r="8850" spans="1:1" x14ac:dyDescent="0.2">
      <c r="A8850" s="996" t="str">
        <f>CONCATENATE(Programme!D8851,Programme!E8851,Programme!F8851,Programme!G8851,Programme!H8851,Programme!I8851,Programme!J8851)</f>
        <v>&lt;valeur&gt;&lt;/valeur&gt;</v>
      </c>
    </row>
    <row r="8851" spans="1:1" x14ac:dyDescent="0.2">
      <c r="A8851" s="996" t="str">
        <f>CONCATENATE(Programme!D8852,Programme!E8852,Programme!F8852,Programme!G8852,Programme!H8852,Programme!I8852,Programme!J8852)</f>
        <v>&lt;numeroLigne&gt;14&lt;/numeroLigne&gt;</v>
      </c>
    </row>
    <row r="8852" spans="1:1" x14ac:dyDescent="0.2">
      <c r="A8852" s="996" t="str">
        <f>CONCATENATE(Programme!D8853,Programme!E8853,Programme!F8853,Programme!G8853,Programme!H8853,Programme!I8853,Programme!J8853)</f>
        <v>&lt;/ValeurCellule&gt;</v>
      </c>
    </row>
    <row r="8853" spans="1:1" x14ac:dyDescent="0.2">
      <c r="A8853" s="996" t="str">
        <f>CONCATENATE(Programme!D8854,Programme!E8854,Programme!F8854,Programme!G8854,Programme!H8854,Programme!I8854,Programme!J8854)</f>
        <v>&lt;ValeurCellule&gt;</v>
      </c>
    </row>
    <row r="8854" spans="1:1" x14ac:dyDescent="0.2">
      <c r="A8854" s="996" t="str">
        <f>CONCATENATE(Programme!D8855,Programme!E8855,Programme!F8855,Programme!G8855,Programme!H8855,Programme!I8855,Programme!J8855)</f>
        <v>&lt;cellule&gt;&lt;codeEdi&gt;1080&lt;/codeEdi&gt;&lt;/cellule&gt;</v>
      </c>
    </row>
    <row r="8855" spans="1:1" x14ac:dyDescent="0.2">
      <c r="A8855" s="996" t="str">
        <f>CONCATENATE(Programme!D8856,Programme!E8856,Programme!F8856,Programme!G8856,Programme!H8856,Programme!I8856,Programme!J8856)</f>
        <v>&lt;valeur&gt;&lt;/valeur&gt;</v>
      </c>
    </row>
    <row r="8856" spans="1:1" x14ac:dyDescent="0.2">
      <c r="A8856" s="996" t="str">
        <f>CONCATENATE(Programme!D8857,Programme!E8857,Programme!F8857,Programme!G8857,Programme!H8857,Programme!I8857,Programme!J8857)</f>
        <v>&lt;numeroLigne&gt;14&lt;/numeroLigne&gt;</v>
      </c>
    </row>
    <row r="8857" spans="1:1" x14ac:dyDescent="0.2">
      <c r="A8857" s="996" t="str">
        <f>CONCATENATE(Programme!D8858,Programme!E8858,Programme!F8858,Programme!G8858,Programme!H8858,Programme!I8858,Programme!J8858)</f>
        <v>&lt;/ValeurCellule&gt;</v>
      </c>
    </row>
    <row r="8858" spans="1:1" x14ac:dyDescent="0.2">
      <c r="A8858" s="996" t="str">
        <f>CONCATENATE(Programme!D8859,Programme!E8859,Programme!F8859,Programme!G8859,Programme!H8859,Programme!I8859,Programme!J8859)</f>
        <v>&lt;ValeurCellule&gt;</v>
      </c>
    </row>
    <row r="8859" spans="1:1" x14ac:dyDescent="0.2">
      <c r="A8859" s="996" t="str">
        <f>CONCATENATE(Programme!D8860,Programme!E8860,Programme!F8860,Programme!G8860,Programme!H8860,Programme!I8860,Programme!J8860)</f>
        <v>&lt;cellule&gt;&lt;codeEdi&gt;1081&lt;/codeEdi&gt;&lt;/cellule&gt;</v>
      </c>
    </row>
    <row r="8860" spans="1:1" x14ac:dyDescent="0.2">
      <c r="A8860" s="996" t="str">
        <f>CONCATENATE(Programme!D8861,Programme!E8861,Programme!F8861,Programme!G8861,Programme!H8861,Programme!I8861,Programme!J8861)</f>
        <v>&lt;valeur&gt;&lt;/valeur&gt;</v>
      </c>
    </row>
    <row r="8861" spans="1:1" x14ac:dyDescent="0.2">
      <c r="A8861" s="996" t="str">
        <f>CONCATENATE(Programme!D8862,Programme!E8862,Programme!F8862,Programme!G8862,Programme!H8862,Programme!I8862,Programme!J8862)</f>
        <v>&lt;numeroLigne&gt;14&lt;/numeroLigne&gt;</v>
      </c>
    </row>
    <row r="8862" spans="1:1" x14ac:dyDescent="0.2">
      <c r="A8862" s="996" t="str">
        <f>CONCATENATE(Programme!D8863,Programme!E8863,Programme!F8863,Programme!G8863,Programme!H8863,Programme!I8863,Programme!J8863)</f>
        <v>&lt;/ValeurCellule&gt;</v>
      </c>
    </row>
    <row r="8863" spans="1:1" x14ac:dyDescent="0.2">
      <c r="A8863" s="996" t="str">
        <f>CONCATENATE(Programme!D8864,Programme!E8864,Programme!F8864,Programme!G8864,Programme!H8864,Programme!I8864,Programme!J8864)</f>
        <v>&lt;ValeurCellule&gt;</v>
      </c>
    </row>
    <row r="8864" spans="1:1" x14ac:dyDescent="0.2">
      <c r="A8864" s="996" t="str">
        <f>CONCATENATE(Programme!D8865,Programme!E8865,Programme!F8865,Programme!G8865,Programme!H8865,Programme!I8865,Programme!J8865)</f>
        <v>&lt;cellule&gt;&lt;codeEdi&gt;1082&lt;/codeEdi&gt;&lt;/cellule&gt;</v>
      </c>
    </row>
    <row r="8865" spans="1:1" x14ac:dyDescent="0.2">
      <c r="A8865" s="996" t="str">
        <f>CONCATENATE(Programme!D8866,Programme!E8866,Programme!F8866,Programme!G8866,Programme!H8866,Programme!I8866,Programme!J8866)</f>
        <v>&lt;valeur&gt;&lt;/valeur&gt;</v>
      </c>
    </row>
    <row r="8866" spans="1:1" x14ac:dyDescent="0.2">
      <c r="A8866" s="996" t="str">
        <f>CONCATENATE(Programme!D8867,Programme!E8867,Programme!F8867,Programme!G8867,Programme!H8867,Programme!I8867,Programme!J8867)</f>
        <v>&lt;numeroLigne&gt;14&lt;/numeroLigne&gt;</v>
      </c>
    </row>
    <row r="8867" spans="1:1" x14ac:dyDescent="0.2">
      <c r="A8867" s="996" t="str">
        <f>CONCATENATE(Programme!D8868,Programme!E8868,Programme!F8868,Programme!G8868,Programme!H8868,Programme!I8868,Programme!J8868)</f>
        <v>&lt;/ValeurCellule&gt;</v>
      </c>
    </row>
    <row r="8868" spans="1:1" x14ac:dyDescent="0.2">
      <c r="A8868" s="996" t="str">
        <f>CONCATENATE(Programme!D8869,Programme!E8869,Programme!F8869,Programme!G8869,Programme!H8869,Programme!I8869,Programme!J8869)</f>
        <v>&lt;ValeurCellule&gt;</v>
      </c>
    </row>
    <row r="8869" spans="1:1" x14ac:dyDescent="0.2">
      <c r="A8869" s="996" t="str">
        <f>CONCATENATE(Programme!D8870,Programme!E8870,Programme!F8870,Programme!G8870,Programme!H8870,Programme!I8870,Programme!J8870)</f>
        <v>&lt;cellule&gt;&lt;codeEdi&gt;1083&lt;/codeEdi&gt;&lt;/cellule&gt;</v>
      </c>
    </row>
    <row r="8870" spans="1:1" x14ac:dyDescent="0.2">
      <c r="A8870" s="996" t="str">
        <f>CONCATENATE(Programme!D8871,Programme!E8871,Programme!F8871,Programme!G8871,Programme!H8871,Programme!I8871,Programme!J8871)</f>
        <v>&lt;valeur&gt;&lt;/valeur&gt;</v>
      </c>
    </row>
    <row r="8871" spans="1:1" x14ac:dyDescent="0.2">
      <c r="A8871" s="996" t="str">
        <f>CONCATENATE(Programme!D8872,Programme!E8872,Programme!F8872,Programme!G8872,Programme!H8872,Programme!I8872,Programme!J8872)</f>
        <v>&lt;numeroLigne&gt;14&lt;/numeroLigne&gt;</v>
      </c>
    </row>
    <row r="8872" spans="1:1" x14ac:dyDescent="0.2">
      <c r="A8872" s="996" t="str">
        <f>CONCATENATE(Programme!D8873,Programme!E8873,Programme!F8873,Programme!G8873,Programme!H8873,Programme!I8873,Programme!J8873)</f>
        <v>&lt;/ValeurCellule&gt;</v>
      </c>
    </row>
    <row r="8873" spans="1:1" x14ac:dyDescent="0.2">
      <c r="A8873" s="996" t="str">
        <f>CONCATENATE(Programme!D8874,Programme!E8874,Programme!F8874,Programme!G8874,Programme!H8874,Programme!I8874,Programme!J8874)</f>
        <v>&lt;ValeurCellule&gt;</v>
      </c>
    </row>
    <row r="8874" spans="1:1" x14ac:dyDescent="0.2">
      <c r="A8874" s="996" t="str">
        <f>CONCATENATE(Programme!D8875,Programme!E8875,Programme!F8875,Programme!G8875,Programme!H8875,Programme!I8875,Programme!J8875)</f>
        <v>&lt;cellule&gt;&lt;codeEdi&gt;1084&lt;/codeEdi&gt;&lt;/cellule&gt;</v>
      </c>
    </row>
    <row r="8875" spans="1:1" x14ac:dyDescent="0.2">
      <c r="A8875" s="996" t="str">
        <f>CONCATENATE(Programme!D8876,Programme!E8876,Programme!F8876,Programme!G8876,Programme!H8876,Programme!I8876,Programme!J8876)</f>
        <v>&lt;valeur&gt;&lt;/valeur&gt;</v>
      </c>
    </row>
    <row r="8876" spans="1:1" x14ac:dyDescent="0.2">
      <c r="A8876" s="996" t="str">
        <f>CONCATENATE(Programme!D8877,Programme!E8877,Programme!F8877,Programme!G8877,Programme!H8877,Programme!I8877,Programme!J8877)</f>
        <v>&lt;numeroLigne&gt;14&lt;/numeroLigne&gt;</v>
      </c>
    </row>
    <row r="8877" spans="1:1" x14ac:dyDescent="0.2">
      <c r="A8877" s="996" t="str">
        <f>CONCATENATE(Programme!D8878,Programme!E8878,Programme!F8878,Programme!G8878,Programme!H8878,Programme!I8878,Programme!J8878)</f>
        <v>&lt;/ValeurCellule&gt;</v>
      </c>
    </row>
    <row r="8878" spans="1:1" x14ac:dyDescent="0.2">
      <c r="A8878" s="996" t="str">
        <f>CONCATENATE(Programme!D8879,Programme!E8879,Programme!F8879,Programme!G8879,Programme!H8879,Programme!I8879,Programme!J8879)</f>
        <v>&lt;ValeurCellule&gt;</v>
      </c>
    </row>
    <row r="8879" spans="1:1" x14ac:dyDescent="0.2">
      <c r="A8879" s="996" t="str">
        <f>CONCATENATE(Programme!D8880,Programme!E8880,Programme!F8880,Programme!G8880,Programme!H8880,Programme!I8880,Programme!J8880)</f>
        <v>&lt;cellule&gt;&lt;codeEdi&gt;1085&lt;/codeEdi&gt;&lt;/cellule&gt;</v>
      </c>
    </row>
    <row r="8880" spans="1:1" x14ac:dyDescent="0.2">
      <c r="A8880" s="996" t="str">
        <f>CONCATENATE(Programme!D8881,Programme!E8881,Programme!F8881,Programme!G8881,Programme!H8881,Programme!I8881,Programme!J8881)</f>
        <v>&lt;valeur&gt;&lt;/valeur&gt;</v>
      </c>
    </row>
    <row r="8881" spans="1:1" x14ac:dyDescent="0.2">
      <c r="A8881" s="996" t="str">
        <f>CONCATENATE(Programme!D8882,Programme!E8882,Programme!F8882,Programme!G8882,Programme!H8882,Programme!I8882,Programme!J8882)</f>
        <v>&lt;numeroLigne&gt;14&lt;/numeroLigne&gt;</v>
      </c>
    </row>
    <row r="8882" spans="1:1" x14ac:dyDescent="0.2">
      <c r="A8882" s="996" t="str">
        <f>CONCATENATE(Programme!D8883,Programme!E8883,Programme!F8883,Programme!G8883,Programme!H8883,Programme!I8883,Programme!J8883)</f>
        <v>&lt;/ValeurCellule&gt;</v>
      </c>
    </row>
    <row r="8883" spans="1:1" x14ac:dyDescent="0.2">
      <c r="A8883" s="996" t="str">
        <f>CONCATENATE(Programme!D8884,Programme!E8884,Programme!F8884,Programme!G8884,Programme!H8884,Programme!I8884,Programme!J8884)</f>
        <v>&lt;ValeurCellule&gt;</v>
      </c>
    </row>
    <row r="8884" spans="1:1" x14ac:dyDescent="0.2">
      <c r="A8884" s="996" t="str">
        <f>CONCATENATE(Programme!D8885,Programme!E8885,Programme!F8885,Programme!G8885,Programme!H8885,Programme!I8885,Programme!J8885)</f>
        <v>&lt;cellule&gt;&lt;codeEdi&gt;1086&lt;/codeEdi&gt;&lt;/cellule&gt;</v>
      </c>
    </row>
    <row r="8885" spans="1:1" x14ac:dyDescent="0.2">
      <c r="A8885" s="996" t="str">
        <f>CONCATENATE(Programme!D8886,Programme!E8886,Programme!F8886,Programme!G8886,Programme!H8886,Programme!I8886,Programme!J8886)</f>
        <v>&lt;valeur&gt;&lt;/valeur&gt;</v>
      </c>
    </row>
    <row r="8886" spans="1:1" x14ac:dyDescent="0.2">
      <c r="A8886" s="996" t="str">
        <f>CONCATENATE(Programme!D8887,Programme!E8887,Programme!F8887,Programme!G8887,Programme!H8887,Programme!I8887,Programme!J8887)</f>
        <v>&lt;numeroLigne&gt;14&lt;/numeroLigne&gt;</v>
      </c>
    </row>
    <row r="8887" spans="1:1" x14ac:dyDescent="0.2">
      <c r="A8887" s="996" t="str">
        <f>CONCATENATE(Programme!D8888,Programme!E8888,Programme!F8888,Programme!G8888,Programme!H8888,Programme!I8888,Programme!J8888)</f>
        <v>&lt;/ValeurCellule&gt;</v>
      </c>
    </row>
    <row r="8888" spans="1:1" x14ac:dyDescent="0.2">
      <c r="A8888" s="996" t="str">
        <f>CONCATENATE(Programme!D8889,Programme!E8889,Programme!F8889,Programme!G8889,Programme!H8889,Programme!I8889,Programme!J8889)</f>
        <v>&lt;ValeurCellule&gt;</v>
      </c>
    </row>
    <row r="8889" spans="1:1" x14ac:dyDescent="0.2">
      <c r="A8889" s="996" t="str">
        <f>CONCATENATE(Programme!D8890,Programme!E8890,Programme!F8890,Programme!G8890,Programme!H8890,Programme!I8890,Programme!J8890)</f>
        <v>&lt;cellule&gt;&lt;codeEdi&gt;10061&lt;/codeEdi&gt;&lt;/cellule&gt;</v>
      </c>
    </row>
    <row r="8890" spans="1:1" x14ac:dyDescent="0.2">
      <c r="A8890" s="996" t="str">
        <f>CONCATENATE(Programme!D8891,Programme!E8891,Programme!F8891,Programme!G8891,Programme!H8891,Programme!I8891,Programme!J8891)</f>
        <v>&lt;valeur&gt;&lt;/valeur&gt;</v>
      </c>
    </row>
    <row r="8891" spans="1:1" x14ac:dyDescent="0.2">
      <c r="A8891" s="996" t="str">
        <f>CONCATENATE(Programme!D8892,Programme!E8892,Programme!F8892,Programme!G8892,Programme!H8892,Programme!I8892,Programme!J8892)</f>
        <v>&lt;numeroLigne&gt;15&lt;/numeroLigne&gt;</v>
      </c>
    </row>
    <row r="8892" spans="1:1" x14ac:dyDescent="0.2">
      <c r="A8892" s="996" t="str">
        <f>CONCATENATE(Programme!D8893,Programme!E8893,Programme!F8893,Programme!G8893,Programme!H8893,Programme!I8893,Programme!J8893)</f>
        <v>&lt;/ValeurCellule&gt;</v>
      </c>
    </row>
    <row r="8893" spans="1:1" x14ac:dyDescent="0.2">
      <c r="A8893" s="996" t="str">
        <f>CONCATENATE(Programme!D8894,Programme!E8894,Programme!F8894,Programme!G8894,Programme!H8894,Programme!I8894,Programme!J8894)</f>
        <v>&lt;ValeurCellule&gt;</v>
      </c>
    </row>
    <row r="8894" spans="1:1" x14ac:dyDescent="0.2">
      <c r="A8894" s="996" t="str">
        <f>CONCATENATE(Programme!D8895,Programme!E8895,Programme!F8895,Programme!G8895,Programme!H8895,Programme!I8895,Programme!J8895)</f>
        <v>&lt;cellule&gt;&lt;codeEdi&gt;1078&lt;/codeEdi&gt;&lt;/cellule&gt;</v>
      </c>
    </row>
    <row r="8895" spans="1:1" x14ac:dyDescent="0.2">
      <c r="A8895" s="996" t="str">
        <f>CONCATENATE(Programme!D8896,Programme!E8896,Programme!F8896,Programme!G8896,Programme!H8896,Programme!I8896,Programme!J8896)</f>
        <v>&lt;valeur&gt;&lt;/valeur&gt;</v>
      </c>
    </row>
    <row r="8896" spans="1:1" x14ac:dyDescent="0.2">
      <c r="A8896" s="996" t="str">
        <f>CONCATENATE(Programme!D8897,Programme!E8897,Programme!F8897,Programme!G8897,Programme!H8897,Programme!I8897,Programme!J8897)</f>
        <v>&lt;numeroLigne&gt;15&lt;/numeroLigne&gt;</v>
      </c>
    </row>
    <row r="8897" spans="1:1" x14ac:dyDescent="0.2">
      <c r="A8897" s="996" t="str">
        <f>CONCATENATE(Programme!D8898,Programme!E8898,Programme!F8898,Programme!G8898,Programme!H8898,Programme!I8898,Programme!J8898)</f>
        <v>&lt;/ValeurCellule&gt;</v>
      </c>
    </row>
    <row r="8898" spans="1:1" x14ac:dyDescent="0.2">
      <c r="A8898" s="996" t="str">
        <f>CONCATENATE(Programme!D8899,Programme!E8899,Programme!F8899,Programme!G8899,Programme!H8899,Programme!I8899,Programme!J8899)</f>
        <v>&lt;ValeurCellule&gt;</v>
      </c>
    </row>
    <row r="8899" spans="1:1" x14ac:dyDescent="0.2">
      <c r="A8899" s="996" t="str">
        <f>CONCATENATE(Programme!D8900,Programme!E8900,Programme!F8900,Programme!G8900,Programme!H8900,Programme!I8900,Programme!J8900)</f>
        <v>&lt;cellule&gt;&lt;codeEdi&gt;1079&lt;/codeEdi&gt;&lt;/cellule&gt;</v>
      </c>
    </row>
    <row r="8900" spans="1:1" x14ac:dyDescent="0.2">
      <c r="A8900" s="996" t="str">
        <f>CONCATENATE(Programme!D8901,Programme!E8901,Programme!F8901,Programme!G8901,Programme!H8901,Programme!I8901,Programme!J8901)</f>
        <v>&lt;valeur&gt;&lt;/valeur&gt;</v>
      </c>
    </row>
    <row r="8901" spans="1:1" x14ac:dyDescent="0.2">
      <c r="A8901" s="996" t="str">
        <f>CONCATENATE(Programme!D8902,Programme!E8902,Programme!F8902,Programme!G8902,Programme!H8902,Programme!I8902,Programme!J8902)</f>
        <v>&lt;numeroLigne&gt;15&lt;/numeroLigne&gt;</v>
      </c>
    </row>
    <row r="8902" spans="1:1" x14ac:dyDescent="0.2">
      <c r="A8902" s="996" t="str">
        <f>CONCATENATE(Programme!D8903,Programme!E8903,Programme!F8903,Programme!G8903,Programme!H8903,Programme!I8903,Programme!J8903)</f>
        <v>&lt;/ValeurCellule&gt;</v>
      </c>
    </row>
    <row r="8903" spans="1:1" x14ac:dyDescent="0.2">
      <c r="A8903" s="996" t="str">
        <f>CONCATENATE(Programme!D8904,Programme!E8904,Programme!F8904,Programme!G8904,Programme!H8904,Programme!I8904,Programme!J8904)</f>
        <v>&lt;ValeurCellule&gt;</v>
      </c>
    </row>
    <row r="8904" spans="1:1" x14ac:dyDescent="0.2">
      <c r="A8904" s="996" t="str">
        <f>CONCATENATE(Programme!D8905,Programme!E8905,Programme!F8905,Programme!G8905,Programme!H8905,Programme!I8905,Programme!J8905)</f>
        <v>&lt;cellule&gt;&lt;codeEdi&gt;1080&lt;/codeEdi&gt;&lt;/cellule&gt;</v>
      </c>
    </row>
    <row r="8905" spans="1:1" x14ac:dyDescent="0.2">
      <c r="A8905" s="996" t="str">
        <f>CONCATENATE(Programme!D8906,Programme!E8906,Programme!F8906,Programme!G8906,Programme!H8906,Programme!I8906,Programme!J8906)</f>
        <v>&lt;valeur&gt;&lt;/valeur&gt;</v>
      </c>
    </row>
    <row r="8906" spans="1:1" x14ac:dyDescent="0.2">
      <c r="A8906" s="996" t="str">
        <f>CONCATENATE(Programme!D8907,Programme!E8907,Programme!F8907,Programme!G8907,Programme!H8907,Programme!I8907,Programme!J8907)</f>
        <v>&lt;numeroLigne&gt;15&lt;/numeroLigne&gt;</v>
      </c>
    </row>
    <row r="8907" spans="1:1" x14ac:dyDescent="0.2">
      <c r="A8907" s="996" t="str">
        <f>CONCATENATE(Programme!D8908,Programme!E8908,Programme!F8908,Programme!G8908,Programme!H8908,Programme!I8908,Programme!J8908)</f>
        <v>&lt;/ValeurCellule&gt;</v>
      </c>
    </row>
    <row r="8908" spans="1:1" x14ac:dyDescent="0.2">
      <c r="A8908" s="996" t="str">
        <f>CONCATENATE(Programme!D8909,Programme!E8909,Programme!F8909,Programme!G8909,Programme!H8909,Programme!I8909,Programme!J8909)</f>
        <v>&lt;ValeurCellule&gt;</v>
      </c>
    </row>
    <row r="8909" spans="1:1" x14ac:dyDescent="0.2">
      <c r="A8909" s="996" t="str">
        <f>CONCATENATE(Programme!D8910,Programme!E8910,Programme!F8910,Programme!G8910,Programme!H8910,Programme!I8910,Programme!J8910)</f>
        <v>&lt;cellule&gt;&lt;codeEdi&gt;1081&lt;/codeEdi&gt;&lt;/cellule&gt;</v>
      </c>
    </row>
    <row r="8910" spans="1:1" x14ac:dyDescent="0.2">
      <c r="A8910" s="996" t="str">
        <f>CONCATENATE(Programme!D8911,Programme!E8911,Programme!F8911,Programme!G8911,Programme!H8911,Programme!I8911,Programme!J8911)</f>
        <v>&lt;valeur&gt;&lt;/valeur&gt;</v>
      </c>
    </row>
    <row r="8911" spans="1:1" x14ac:dyDescent="0.2">
      <c r="A8911" s="996" t="str">
        <f>CONCATENATE(Programme!D8912,Programme!E8912,Programme!F8912,Programme!G8912,Programme!H8912,Programme!I8912,Programme!J8912)</f>
        <v>&lt;numeroLigne&gt;15&lt;/numeroLigne&gt;</v>
      </c>
    </row>
    <row r="8912" spans="1:1" x14ac:dyDescent="0.2">
      <c r="A8912" s="996" t="str">
        <f>CONCATENATE(Programme!D8913,Programme!E8913,Programme!F8913,Programme!G8913,Programme!H8913,Programme!I8913,Programme!J8913)</f>
        <v>&lt;/ValeurCellule&gt;</v>
      </c>
    </row>
    <row r="8913" spans="1:1" x14ac:dyDescent="0.2">
      <c r="A8913" s="996" t="str">
        <f>CONCATENATE(Programme!D8914,Programme!E8914,Programme!F8914,Programme!G8914,Programme!H8914,Programme!I8914,Programme!J8914)</f>
        <v>&lt;ValeurCellule&gt;</v>
      </c>
    </row>
    <row r="8914" spans="1:1" x14ac:dyDescent="0.2">
      <c r="A8914" s="996" t="str">
        <f>CONCATENATE(Programme!D8915,Programme!E8915,Programme!F8915,Programme!G8915,Programme!H8915,Programme!I8915,Programme!J8915)</f>
        <v>&lt;cellule&gt;&lt;codeEdi&gt;1082&lt;/codeEdi&gt;&lt;/cellule&gt;</v>
      </c>
    </row>
    <row r="8915" spans="1:1" x14ac:dyDescent="0.2">
      <c r="A8915" s="996" t="str">
        <f>CONCATENATE(Programme!D8916,Programme!E8916,Programme!F8916,Programme!G8916,Programme!H8916,Programme!I8916,Programme!J8916)</f>
        <v>&lt;valeur&gt;&lt;/valeur&gt;</v>
      </c>
    </row>
    <row r="8916" spans="1:1" x14ac:dyDescent="0.2">
      <c r="A8916" s="996" t="str">
        <f>CONCATENATE(Programme!D8917,Programme!E8917,Programme!F8917,Programme!G8917,Programme!H8917,Programme!I8917,Programme!J8917)</f>
        <v>&lt;numeroLigne&gt;15&lt;/numeroLigne&gt;</v>
      </c>
    </row>
    <row r="8917" spans="1:1" x14ac:dyDescent="0.2">
      <c r="A8917" s="996" t="str">
        <f>CONCATENATE(Programme!D8918,Programme!E8918,Programme!F8918,Programme!G8918,Programme!H8918,Programme!I8918,Programme!J8918)</f>
        <v>&lt;/ValeurCellule&gt;</v>
      </c>
    </row>
    <row r="8918" spans="1:1" x14ac:dyDescent="0.2">
      <c r="A8918" s="996" t="str">
        <f>CONCATENATE(Programme!D8919,Programme!E8919,Programme!F8919,Programme!G8919,Programme!H8919,Programme!I8919,Programme!J8919)</f>
        <v>&lt;ValeurCellule&gt;</v>
      </c>
    </row>
    <row r="8919" spans="1:1" x14ac:dyDescent="0.2">
      <c r="A8919" s="996" t="str">
        <f>CONCATENATE(Programme!D8920,Programme!E8920,Programme!F8920,Programme!G8920,Programme!H8920,Programme!I8920,Programme!J8920)</f>
        <v>&lt;cellule&gt;&lt;codeEdi&gt;1083&lt;/codeEdi&gt;&lt;/cellule&gt;</v>
      </c>
    </row>
    <row r="8920" spans="1:1" x14ac:dyDescent="0.2">
      <c r="A8920" s="996" t="str">
        <f>CONCATENATE(Programme!D8921,Programme!E8921,Programme!F8921,Programme!G8921,Programme!H8921,Programme!I8921,Programme!J8921)</f>
        <v>&lt;valeur&gt;&lt;/valeur&gt;</v>
      </c>
    </row>
    <row r="8921" spans="1:1" x14ac:dyDescent="0.2">
      <c r="A8921" s="996" t="str">
        <f>CONCATENATE(Programme!D8922,Programme!E8922,Programme!F8922,Programme!G8922,Programme!H8922,Programme!I8922,Programme!J8922)</f>
        <v>&lt;numeroLigne&gt;15&lt;/numeroLigne&gt;</v>
      </c>
    </row>
    <row r="8922" spans="1:1" x14ac:dyDescent="0.2">
      <c r="A8922" s="996" t="str">
        <f>CONCATENATE(Programme!D8923,Programme!E8923,Programme!F8923,Programme!G8923,Programme!H8923,Programme!I8923,Programme!J8923)</f>
        <v>&lt;/ValeurCellule&gt;</v>
      </c>
    </row>
    <row r="8923" spans="1:1" x14ac:dyDescent="0.2">
      <c r="A8923" s="996" t="str">
        <f>CONCATENATE(Programme!D8924,Programme!E8924,Programme!F8924,Programme!G8924,Programme!H8924,Programme!I8924,Programme!J8924)</f>
        <v>&lt;ValeurCellule&gt;</v>
      </c>
    </row>
    <row r="8924" spans="1:1" x14ac:dyDescent="0.2">
      <c r="A8924" s="996" t="str">
        <f>CONCATENATE(Programme!D8925,Programme!E8925,Programme!F8925,Programme!G8925,Programme!H8925,Programme!I8925,Programme!J8925)</f>
        <v>&lt;cellule&gt;&lt;codeEdi&gt;1084&lt;/codeEdi&gt;&lt;/cellule&gt;</v>
      </c>
    </row>
    <row r="8925" spans="1:1" x14ac:dyDescent="0.2">
      <c r="A8925" s="996" t="str">
        <f>CONCATENATE(Programme!D8926,Programme!E8926,Programme!F8926,Programme!G8926,Programme!H8926,Programme!I8926,Programme!J8926)</f>
        <v>&lt;valeur&gt;&lt;/valeur&gt;</v>
      </c>
    </row>
    <row r="8926" spans="1:1" x14ac:dyDescent="0.2">
      <c r="A8926" s="996" t="str">
        <f>CONCATENATE(Programme!D8927,Programme!E8927,Programme!F8927,Programme!G8927,Programme!H8927,Programme!I8927,Programme!J8927)</f>
        <v>&lt;numeroLigne&gt;15&lt;/numeroLigne&gt;</v>
      </c>
    </row>
    <row r="8927" spans="1:1" x14ac:dyDescent="0.2">
      <c r="A8927" s="996" t="str">
        <f>CONCATENATE(Programme!D8928,Programme!E8928,Programme!F8928,Programme!G8928,Programme!H8928,Programme!I8928,Programme!J8928)</f>
        <v>&lt;/ValeurCellule&gt;</v>
      </c>
    </row>
    <row r="8928" spans="1:1" x14ac:dyDescent="0.2">
      <c r="A8928" s="996" t="str">
        <f>CONCATENATE(Programme!D8929,Programme!E8929,Programme!F8929,Programme!G8929,Programme!H8929,Programme!I8929,Programme!J8929)</f>
        <v>&lt;ValeurCellule&gt;</v>
      </c>
    </row>
    <row r="8929" spans="1:1" x14ac:dyDescent="0.2">
      <c r="A8929" s="996" t="str">
        <f>CONCATENATE(Programme!D8930,Programme!E8930,Programme!F8930,Programme!G8930,Programme!H8930,Programme!I8930,Programme!J8930)</f>
        <v>&lt;cellule&gt;&lt;codeEdi&gt;1085&lt;/codeEdi&gt;&lt;/cellule&gt;</v>
      </c>
    </row>
    <row r="8930" spans="1:1" x14ac:dyDescent="0.2">
      <c r="A8930" s="996" t="str">
        <f>CONCATENATE(Programme!D8931,Programme!E8931,Programme!F8931,Programme!G8931,Programme!H8931,Programme!I8931,Programme!J8931)</f>
        <v>&lt;valeur&gt;&lt;/valeur&gt;</v>
      </c>
    </row>
    <row r="8931" spans="1:1" x14ac:dyDescent="0.2">
      <c r="A8931" s="996" t="str">
        <f>CONCATENATE(Programme!D8932,Programme!E8932,Programme!F8932,Programme!G8932,Programme!H8932,Programme!I8932,Programme!J8932)</f>
        <v>&lt;numeroLigne&gt;15&lt;/numeroLigne&gt;</v>
      </c>
    </row>
    <row r="8932" spans="1:1" x14ac:dyDescent="0.2">
      <c r="A8932" s="996" t="str">
        <f>CONCATENATE(Programme!D8933,Programme!E8933,Programme!F8933,Programme!G8933,Programme!H8933,Programme!I8933,Programme!J8933)</f>
        <v>&lt;/ValeurCellule&gt;</v>
      </c>
    </row>
    <row r="8933" spans="1:1" x14ac:dyDescent="0.2">
      <c r="A8933" s="996" t="str">
        <f>CONCATENATE(Programme!D8934,Programme!E8934,Programme!F8934,Programme!G8934,Programme!H8934,Programme!I8934,Programme!J8934)</f>
        <v>&lt;ValeurCellule&gt;</v>
      </c>
    </row>
    <row r="8934" spans="1:1" x14ac:dyDescent="0.2">
      <c r="A8934" s="996" t="str">
        <f>CONCATENATE(Programme!D8935,Programme!E8935,Programme!F8935,Programme!G8935,Programme!H8935,Programme!I8935,Programme!J8935)</f>
        <v>&lt;cellule&gt;&lt;codeEdi&gt;1086&lt;/codeEdi&gt;&lt;/cellule&gt;</v>
      </c>
    </row>
    <row r="8935" spans="1:1" x14ac:dyDescent="0.2">
      <c r="A8935" s="996" t="str">
        <f>CONCATENATE(Programme!D8936,Programme!E8936,Programme!F8936,Programme!G8936,Programme!H8936,Programme!I8936,Programme!J8936)</f>
        <v>&lt;valeur&gt;&lt;/valeur&gt;</v>
      </c>
    </row>
    <row r="8936" spans="1:1" x14ac:dyDescent="0.2">
      <c r="A8936" s="996" t="str">
        <f>CONCATENATE(Programme!D8937,Programme!E8937,Programme!F8937,Programme!G8937,Programme!H8937,Programme!I8937,Programme!J8937)</f>
        <v>&lt;numeroLigne&gt;15&lt;/numeroLigne&gt;</v>
      </c>
    </row>
    <row r="8937" spans="1:1" x14ac:dyDescent="0.2">
      <c r="A8937" s="996" t="str">
        <f>CONCATENATE(Programme!D8938,Programme!E8938,Programme!F8938,Programme!G8938,Programme!H8938,Programme!I8938,Programme!J8938)</f>
        <v>&lt;/ValeurCellule&gt;</v>
      </c>
    </row>
    <row r="8938" spans="1:1" x14ac:dyDescent="0.2">
      <c r="A8938" s="996" t="str">
        <f>CONCATENATE(Programme!D8939,Programme!E8939,Programme!F8939,Programme!G8939,Programme!H8939,Programme!I8939,Programme!J8939)</f>
        <v>&lt;ValeurCellule&gt;</v>
      </c>
    </row>
    <row r="8939" spans="1:1" x14ac:dyDescent="0.2">
      <c r="A8939" s="996" t="str">
        <f>CONCATENATE(Programme!D8940,Programme!E8940,Programme!F8940,Programme!G8940,Programme!H8940,Programme!I8940,Programme!J8940)</f>
        <v>&lt;cellule&gt;&lt;codeEdi&gt;10061&lt;/codeEdi&gt;&lt;/cellule&gt;</v>
      </c>
    </row>
    <row r="8940" spans="1:1" x14ac:dyDescent="0.2">
      <c r="A8940" s="996" t="str">
        <f>CONCATENATE(Programme!D8941,Programme!E8941,Programme!F8941,Programme!G8941,Programme!H8941,Programme!I8941,Programme!J8941)</f>
        <v>&lt;valeur&gt;&lt;/valeur&gt;</v>
      </c>
    </row>
    <row r="8941" spans="1:1" x14ac:dyDescent="0.2">
      <c r="A8941" s="996" t="str">
        <f>CONCATENATE(Programme!D8942,Programme!E8942,Programme!F8942,Programme!G8942,Programme!H8942,Programme!I8942,Programme!J8942)</f>
        <v>&lt;numeroLigne&gt;16&lt;/numeroLigne&gt;</v>
      </c>
    </row>
    <row r="8942" spans="1:1" x14ac:dyDescent="0.2">
      <c r="A8942" s="996" t="str">
        <f>CONCATENATE(Programme!D8943,Programme!E8943,Programme!F8943,Programme!G8943,Programme!H8943,Programme!I8943,Programme!J8943)</f>
        <v>&lt;/ValeurCellule&gt;</v>
      </c>
    </row>
    <row r="8943" spans="1:1" x14ac:dyDescent="0.2">
      <c r="A8943" s="996" t="str">
        <f>CONCATENATE(Programme!D8944,Programme!E8944,Programme!F8944,Programme!G8944,Programme!H8944,Programme!I8944,Programme!J8944)</f>
        <v>&lt;ValeurCellule&gt;</v>
      </c>
    </row>
    <row r="8944" spans="1:1" x14ac:dyDescent="0.2">
      <c r="A8944" s="996" t="str">
        <f>CONCATENATE(Programme!D8945,Programme!E8945,Programme!F8945,Programme!G8945,Programme!H8945,Programme!I8945,Programme!J8945)</f>
        <v>&lt;cellule&gt;&lt;codeEdi&gt;1078&lt;/codeEdi&gt;&lt;/cellule&gt;</v>
      </c>
    </row>
    <row r="8945" spans="1:1" x14ac:dyDescent="0.2">
      <c r="A8945" s="996" t="str">
        <f>CONCATENATE(Programme!D8946,Programme!E8946,Programme!F8946,Programme!G8946,Programme!H8946,Programme!I8946,Programme!J8946)</f>
        <v>&lt;valeur&gt;&lt;/valeur&gt;</v>
      </c>
    </row>
    <row r="8946" spans="1:1" x14ac:dyDescent="0.2">
      <c r="A8946" s="996" t="str">
        <f>CONCATENATE(Programme!D8947,Programme!E8947,Programme!F8947,Programme!G8947,Programme!H8947,Programme!I8947,Programme!J8947)</f>
        <v>&lt;numeroLigne&gt;16&lt;/numeroLigne&gt;</v>
      </c>
    </row>
    <row r="8947" spans="1:1" x14ac:dyDescent="0.2">
      <c r="A8947" s="996" t="str">
        <f>CONCATENATE(Programme!D8948,Programme!E8948,Programme!F8948,Programme!G8948,Programme!H8948,Programme!I8948,Programme!J8948)</f>
        <v>&lt;/ValeurCellule&gt;</v>
      </c>
    </row>
    <row r="8948" spans="1:1" x14ac:dyDescent="0.2">
      <c r="A8948" s="996" t="str">
        <f>CONCATENATE(Programme!D8949,Programme!E8949,Programme!F8949,Programme!G8949,Programme!H8949,Programme!I8949,Programme!J8949)</f>
        <v>&lt;ValeurCellule&gt;</v>
      </c>
    </row>
    <row r="8949" spans="1:1" x14ac:dyDescent="0.2">
      <c r="A8949" s="996" t="str">
        <f>CONCATENATE(Programme!D8950,Programme!E8950,Programme!F8950,Programme!G8950,Programme!H8950,Programme!I8950,Programme!J8950)</f>
        <v>&lt;cellule&gt;&lt;codeEdi&gt;1079&lt;/codeEdi&gt;&lt;/cellule&gt;</v>
      </c>
    </row>
    <row r="8950" spans="1:1" x14ac:dyDescent="0.2">
      <c r="A8950" s="996" t="str">
        <f>CONCATENATE(Programme!D8951,Programme!E8951,Programme!F8951,Programme!G8951,Programme!H8951,Programme!I8951,Programme!J8951)</f>
        <v>&lt;valeur&gt;&lt;/valeur&gt;</v>
      </c>
    </row>
    <row r="8951" spans="1:1" x14ac:dyDescent="0.2">
      <c r="A8951" s="996" t="str">
        <f>CONCATENATE(Programme!D8952,Programme!E8952,Programme!F8952,Programme!G8952,Programme!H8952,Programme!I8952,Programme!J8952)</f>
        <v>&lt;numeroLigne&gt;16&lt;/numeroLigne&gt;</v>
      </c>
    </row>
    <row r="8952" spans="1:1" x14ac:dyDescent="0.2">
      <c r="A8952" s="996" t="str">
        <f>CONCATENATE(Programme!D8953,Programme!E8953,Programme!F8953,Programme!G8953,Programme!H8953,Programme!I8953,Programme!J8953)</f>
        <v>&lt;/ValeurCellule&gt;</v>
      </c>
    </row>
    <row r="8953" spans="1:1" x14ac:dyDescent="0.2">
      <c r="A8953" s="996" t="str">
        <f>CONCATENATE(Programme!D8954,Programme!E8954,Programme!F8954,Programme!G8954,Programme!H8954,Programme!I8954,Programme!J8954)</f>
        <v>&lt;ValeurCellule&gt;</v>
      </c>
    </row>
    <row r="8954" spans="1:1" x14ac:dyDescent="0.2">
      <c r="A8954" s="996" t="str">
        <f>CONCATENATE(Programme!D8955,Programme!E8955,Programme!F8955,Programme!G8955,Programme!H8955,Programme!I8955,Programme!J8955)</f>
        <v>&lt;cellule&gt;&lt;codeEdi&gt;1080&lt;/codeEdi&gt;&lt;/cellule&gt;</v>
      </c>
    </row>
    <row r="8955" spans="1:1" x14ac:dyDescent="0.2">
      <c r="A8955" s="996" t="str">
        <f>CONCATENATE(Programme!D8956,Programme!E8956,Programme!F8956,Programme!G8956,Programme!H8956,Programme!I8956,Programme!J8956)</f>
        <v>&lt;valeur&gt;&lt;/valeur&gt;</v>
      </c>
    </row>
    <row r="8956" spans="1:1" x14ac:dyDescent="0.2">
      <c r="A8956" s="996" t="str">
        <f>CONCATENATE(Programme!D8957,Programme!E8957,Programme!F8957,Programme!G8957,Programme!H8957,Programme!I8957,Programme!J8957)</f>
        <v>&lt;numeroLigne&gt;16&lt;/numeroLigne&gt;</v>
      </c>
    </row>
    <row r="8957" spans="1:1" x14ac:dyDescent="0.2">
      <c r="A8957" s="996" t="str">
        <f>CONCATENATE(Programme!D8958,Programme!E8958,Programme!F8958,Programme!G8958,Programme!H8958,Programme!I8958,Programme!J8958)</f>
        <v>&lt;/ValeurCellule&gt;</v>
      </c>
    </row>
    <row r="8958" spans="1:1" x14ac:dyDescent="0.2">
      <c r="A8958" s="996" t="str">
        <f>CONCATENATE(Programme!D8959,Programme!E8959,Programme!F8959,Programme!G8959,Programme!H8959,Programme!I8959,Programme!J8959)</f>
        <v>&lt;ValeurCellule&gt;</v>
      </c>
    </row>
    <row r="8959" spans="1:1" x14ac:dyDescent="0.2">
      <c r="A8959" s="996" t="str">
        <f>CONCATENATE(Programme!D8960,Programme!E8960,Programme!F8960,Programme!G8960,Programme!H8960,Programme!I8960,Programme!J8960)</f>
        <v>&lt;cellule&gt;&lt;codeEdi&gt;1081&lt;/codeEdi&gt;&lt;/cellule&gt;</v>
      </c>
    </row>
    <row r="8960" spans="1:1" x14ac:dyDescent="0.2">
      <c r="A8960" s="996" t="str">
        <f>CONCATENATE(Programme!D8961,Programme!E8961,Programme!F8961,Programme!G8961,Programme!H8961,Programme!I8961,Programme!J8961)</f>
        <v>&lt;valeur&gt;&lt;/valeur&gt;</v>
      </c>
    </row>
    <row r="8961" spans="1:1" x14ac:dyDescent="0.2">
      <c r="A8961" s="996" t="str">
        <f>CONCATENATE(Programme!D8962,Programme!E8962,Programme!F8962,Programme!G8962,Programme!H8962,Programme!I8962,Programme!J8962)</f>
        <v>&lt;numeroLigne&gt;16&lt;/numeroLigne&gt;</v>
      </c>
    </row>
    <row r="8962" spans="1:1" x14ac:dyDescent="0.2">
      <c r="A8962" s="996" t="str">
        <f>CONCATENATE(Programme!D8963,Programme!E8963,Programme!F8963,Programme!G8963,Programme!H8963,Programme!I8963,Programme!J8963)</f>
        <v>&lt;/ValeurCellule&gt;</v>
      </c>
    </row>
    <row r="8963" spans="1:1" x14ac:dyDescent="0.2">
      <c r="A8963" s="996" t="str">
        <f>CONCATENATE(Programme!D8964,Programme!E8964,Programme!F8964,Programme!G8964,Programme!H8964,Programme!I8964,Programme!J8964)</f>
        <v>&lt;ValeurCellule&gt;</v>
      </c>
    </row>
    <row r="8964" spans="1:1" x14ac:dyDescent="0.2">
      <c r="A8964" s="996" t="str">
        <f>CONCATENATE(Programme!D8965,Programme!E8965,Programme!F8965,Programme!G8965,Programme!H8965,Programme!I8965,Programme!J8965)</f>
        <v>&lt;cellule&gt;&lt;codeEdi&gt;1082&lt;/codeEdi&gt;&lt;/cellule&gt;</v>
      </c>
    </row>
    <row r="8965" spans="1:1" x14ac:dyDescent="0.2">
      <c r="A8965" s="996" t="str">
        <f>CONCATENATE(Programme!D8966,Programme!E8966,Programme!F8966,Programme!G8966,Programme!H8966,Programme!I8966,Programme!J8966)</f>
        <v>&lt;valeur&gt;&lt;/valeur&gt;</v>
      </c>
    </row>
    <row r="8966" spans="1:1" x14ac:dyDescent="0.2">
      <c r="A8966" s="996" t="str">
        <f>CONCATENATE(Programme!D8967,Programme!E8967,Programme!F8967,Programme!G8967,Programme!H8967,Programme!I8967,Programme!J8967)</f>
        <v>&lt;numeroLigne&gt;16&lt;/numeroLigne&gt;</v>
      </c>
    </row>
    <row r="8967" spans="1:1" x14ac:dyDescent="0.2">
      <c r="A8967" s="996" t="str">
        <f>CONCATENATE(Programme!D8968,Programme!E8968,Programme!F8968,Programme!G8968,Programme!H8968,Programme!I8968,Programme!J8968)</f>
        <v>&lt;/ValeurCellule&gt;</v>
      </c>
    </row>
    <row r="8968" spans="1:1" x14ac:dyDescent="0.2">
      <c r="A8968" s="996" t="str">
        <f>CONCATENATE(Programme!D8969,Programme!E8969,Programme!F8969,Programme!G8969,Programme!H8969,Programme!I8969,Programme!J8969)</f>
        <v>&lt;ValeurCellule&gt;</v>
      </c>
    </row>
    <row r="8969" spans="1:1" x14ac:dyDescent="0.2">
      <c r="A8969" s="996" t="str">
        <f>CONCATENATE(Programme!D8970,Programme!E8970,Programme!F8970,Programme!G8970,Programme!H8970,Programme!I8970,Programme!J8970)</f>
        <v>&lt;cellule&gt;&lt;codeEdi&gt;1083&lt;/codeEdi&gt;&lt;/cellule&gt;</v>
      </c>
    </row>
    <row r="8970" spans="1:1" x14ac:dyDescent="0.2">
      <c r="A8970" s="996" t="str">
        <f>CONCATENATE(Programme!D8971,Programme!E8971,Programme!F8971,Programme!G8971,Programme!H8971,Programme!I8971,Programme!J8971)</f>
        <v>&lt;valeur&gt;&lt;/valeur&gt;</v>
      </c>
    </row>
    <row r="8971" spans="1:1" x14ac:dyDescent="0.2">
      <c r="A8971" s="996" t="str">
        <f>CONCATENATE(Programme!D8972,Programme!E8972,Programme!F8972,Programme!G8972,Programme!H8972,Programme!I8972,Programme!J8972)</f>
        <v>&lt;numeroLigne&gt;16&lt;/numeroLigne&gt;</v>
      </c>
    </row>
    <row r="8972" spans="1:1" x14ac:dyDescent="0.2">
      <c r="A8972" s="996" t="str">
        <f>CONCATENATE(Programme!D8973,Programme!E8973,Programme!F8973,Programme!G8973,Programme!H8973,Programme!I8973,Programme!J8973)</f>
        <v>&lt;/ValeurCellule&gt;</v>
      </c>
    </row>
    <row r="8973" spans="1:1" x14ac:dyDescent="0.2">
      <c r="A8973" s="996" t="str">
        <f>CONCATENATE(Programme!D8974,Programme!E8974,Programme!F8974,Programme!G8974,Programme!H8974,Programme!I8974,Programme!J8974)</f>
        <v>&lt;ValeurCellule&gt;</v>
      </c>
    </row>
    <row r="8974" spans="1:1" x14ac:dyDescent="0.2">
      <c r="A8974" s="996" t="str">
        <f>CONCATENATE(Programme!D8975,Programme!E8975,Programme!F8975,Programme!G8975,Programme!H8975,Programme!I8975,Programme!J8975)</f>
        <v>&lt;cellule&gt;&lt;codeEdi&gt;1084&lt;/codeEdi&gt;&lt;/cellule&gt;</v>
      </c>
    </row>
    <row r="8975" spans="1:1" x14ac:dyDescent="0.2">
      <c r="A8975" s="996" t="str">
        <f>CONCATENATE(Programme!D8976,Programme!E8976,Programme!F8976,Programme!G8976,Programme!H8976,Programme!I8976,Programme!J8976)</f>
        <v>&lt;valeur&gt;&lt;/valeur&gt;</v>
      </c>
    </row>
    <row r="8976" spans="1:1" x14ac:dyDescent="0.2">
      <c r="A8976" s="996" t="str">
        <f>CONCATENATE(Programme!D8977,Programme!E8977,Programme!F8977,Programme!G8977,Programme!H8977,Programme!I8977,Programme!J8977)</f>
        <v>&lt;numeroLigne&gt;16&lt;/numeroLigne&gt;</v>
      </c>
    </row>
    <row r="8977" spans="1:1" x14ac:dyDescent="0.2">
      <c r="A8977" s="996" t="str">
        <f>CONCATENATE(Programme!D8978,Programme!E8978,Programme!F8978,Programme!G8978,Programme!H8978,Programme!I8978,Programme!J8978)</f>
        <v>&lt;/ValeurCellule&gt;</v>
      </c>
    </row>
    <row r="8978" spans="1:1" x14ac:dyDescent="0.2">
      <c r="A8978" s="996" t="str">
        <f>CONCATENATE(Programme!D8979,Programme!E8979,Programme!F8979,Programme!G8979,Programme!H8979,Programme!I8979,Programme!J8979)</f>
        <v>&lt;ValeurCellule&gt;</v>
      </c>
    </row>
    <row r="8979" spans="1:1" x14ac:dyDescent="0.2">
      <c r="A8979" s="996" t="str">
        <f>CONCATENATE(Programme!D8980,Programme!E8980,Programme!F8980,Programme!G8980,Programme!H8980,Programme!I8980,Programme!J8980)</f>
        <v>&lt;cellule&gt;&lt;codeEdi&gt;1085&lt;/codeEdi&gt;&lt;/cellule&gt;</v>
      </c>
    </row>
    <row r="8980" spans="1:1" x14ac:dyDescent="0.2">
      <c r="A8980" s="996" t="str">
        <f>CONCATENATE(Programme!D8981,Programme!E8981,Programme!F8981,Programme!G8981,Programme!H8981,Programme!I8981,Programme!J8981)</f>
        <v>&lt;valeur&gt;&lt;/valeur&gt;</v>
      </c>
    </row>
    <row r="8981" spans="1:1" x14ac:dyDescent="0.2">
      <c r="A8981" s="996" t="str">
        <f>CONCATENATE(Programme!D8982,Programme!E8982,Programme!F8982,Programme!G8982,Programme!H8982,Programme!I8982,Programme!J8982)</f>
        <v>&lt;numeroLigne&gt;16&lt;/numeroLigne&gt;</v>
      </c>
    </row>
    <row r="8982" spans="1:1" x14ac:dyDescent="0.2">
      <c r="A8982" s="996" t="str">
        <f>CONCATENATE(Programme!D8983,Programme!E8983,Programme!F8983,Programme!G8983,Programme!H8983,Programme!I8983,Programme!J8983)</f>
        <v>&lt;/ValeurCellule&gt;</v>
      </c>
    </row>
    <row r="8983" spans="1:1" x14ac:dyDescent="0.2">
      <c r="A8983" s="996" t="str">
        <f>CONCATENATE(Programme!D8984,Programme!E8984,Programme!F8984,Programme!G8984,Programme!H8984,Programme!I8984,Programme!J8984)</f>
        <v>&lt;ValeurCellule&gt;</v>
      </c>
    </row>
    <row r="8984" spans="1:1" x14ac:dyDescent="0.2">
      <c r="A8984" s="996" t="str">
        <f>CONCATENATE(Programme!D8985,Programme!E8985,Programme!F8985,Programme!G8985,Programme!H8985,Programme!I8985,Programme!J8985)</f>
        <v>&lt;cellule&gt;&lt;codeEdi&gt;1086&lt;/codeEdi&gt;&lt;/cellule&gt;</v>
      </c>
    </row>
    <row r="8985" spans="1:1" x14ac:dyDescent="0.2">
      <c r="A8985" s="996" t="str">
        <f>CONCATENATE(Programme!D8986,Programme!E8986,Programme!F8986,Programme!G8986,Programme!H8986,Programme!I8986,Programme!J8986)</f>
        <v>&lt;valeur&gt;&lt;/valeur&gt;</v>
      </c>
    </row>
    <row r="8986" spans="1:1" x14ac:dyDescent="0.2">
      <c r="A8986" s="996" t="str">
        <f>CONCATENATE(Programme!D8987,Programme!E8987,Programme!F8987,Programme!G8987,Programme!H8987,Programme!I8987,Programme!J8987)</f>
        <v>&lt;numeroLigne&gt;16&lt;/numeroLigne&gt;</v>
      </c>
    </row>
    <row r="8987" spans="1:1" x14ac:dyDescent="0.2">
      <c r="A8987" s="996" t="str">
        <f>CONCATENATE(Programme!D8988,Programme!E8988,Programme!F8988,Programme!G8988,Programme!H8988,Programme!I8988,Programme!J8988)</f>
        <v>&lt;/ValeurCellule&gt;</v>
      </c>
    </row>
    <row r="8988" spans="1:1" x14ac:dyDescent="0.2">
      <c r="A8988" s="996" t="str">
        <f>CONCATENATE(Programme!D8989,Programme!E8989,Programme!F8989,Programme!G8989,Programme!H8989,Programme!I8989,Programme!J8989)</f>
        <v>&lt;ValeurCellule&gt;</v>
      </c>
    </row>
    <row r="8989" spans="1:1" x14ac:dyDescent="0.2">
      <c r="A8989" s="996" t="str">
        <f>CONCATENATE(Programme!D8990,Programme!E8990,Programme!F8990,Programme!G8990,Programme!H8990,Programme!I8990,Programme!J8990)</f>
        <v>&lt;cellule&gt;&lt;codeEdi&gt;10061&lt;/codeEdi&gt;&lt;/cellule&gt;</v>
      </c>
    </row>
    <row r="8990" spans="1:1" x14ac:dyDescent="0.2">
      <c r="A8990" s="996" t="str">
        <f>CONCATENATE(Programme!D8991,Programme!E8991,Programme!F8991,Programme!G8991,Programme!H8991,Programme!I8991,Programme!J8991)</f>
        <v>&lt;valeur&gt;&lt;/valeur&gt;</v>
      </c>
    </row>
    <row r="8991" spans="1:1" x14ac:dyDescent="0.2">
      <c r="A8991" s="996" t="str">
        <f>CONCATENATE(Programme!D8992,Programme!E8992,Programme!F8992,Programme!G8992,Programme!H8992,Programme!I8992,Programme!J8992)</f>
        <v>&lt;numeroLigne&gt;17&lt;/numeroLigne&gt;</v>
      </c>
    </row>
    <row r="8992" spans="1:1" x14ac:dyDescent="0.2">
      <c r="A8992" s="996" t="str">
        <f>CONCATENATE(Programme!D8993,Programme!E8993,Programme!F8993,Programme!G8993,Programme!H8993,Programme!I8993,Programme!J8993)</f>
        <v>&lt;/ValeurCellule&gt;</v>
      </c>
    </row>
    <row r="8993" spans="1:1" x14ac:dyDescent="0.2">
      <c r="A8993" s="996" t="str">
        <f>CONCATENATE(Programme!D8994,Programme!E8994,Programme!F8994,Programme!G8994,Programme!H8994,Programme!I8994,Programme!J8994)</f>
        <v>&lt;ValeurCellule&gt;</v>
      </c>
    </row>
    <row r="8994" spans="1:1" x14ac:dyDescent="0.2">
      <c r="A8994" s="996" t="str">
        <f>CONCATENATE(Programme!D8995,Programme!E8995,Programme!F8995,Programme!G8995,Programme!H8995,Programme!I8995,Programme!J8995)</f>
        <v>&lt;cellule&gt;&lt;codeEdi&gt;1078&lt;/codeEdi&gt;&lt;/cellule&gt;</v>
      </c>
    </row>
    <row r="8995" spans="1:1" x14ac:dyDescent="0.2">
      <c r="A8995" s="996" t="str">
        <f>CONCATENATE(Programme!D8996,Programme!E8996,Programme!F8996,Programme!G8996,Programme!H8996,Programme!I8996,Programme!J8996)</f>
        <v>&lt;valeur&gt;&lt;/valeur&gt;</v>
      </c>
    </row>
    <row r="8996" spans="1:1" x14ac:dyDescent="0.2">
      <c r="A8996" s="996" t="str">
        <f>CONCATENATE(Programme!D8997,Programme!E8997,Programme!F8997,Programme!G8997,Programme!H8997,Programme!I8997,Programme!J8997)</f>
        <v>&lt;numeroLigne&gt;17&lt;/numeroLigne&gt;</v>
      </c>
    </row>
    <row r="8997" spans="1:1" x14ac:dyDescent="0.2">
      <c r="A8997" s="996" t="str">
        <f>CONCATENATE(Programme!D8998,Programme!E8998,Programme!F8998,Programme!G8998,Programme!H8998,Programme!I8998,Programme!J8998)</f>
        <v>&lt;/ValeurCellule&gt;</v>
      </c>
    </row>
    <row r="8998" spans="1:1" x14ac:dyDescent="0.2">
      <c r="A8998" s="996" t="str">
        <f>CONCATENATE(Programme!D8999,Programme!E8999,Programme!F8999,Programme!G8999,Programme!H8999,Programme!I8999,Programme!J8999)</f>
        <v>&lt;ValeurCellule&gt;</v>
      </c>
    </row>
    <row r="8999" spans="1:1" x14ac:dyDescent="0.2">
      <c r="A8999" s="996" t="str">
        <f>CONCATENATE(Programme!D9000,Programme!E9000,Programme!F9000,Programme!G9000,Programme!H9000,Programme!I9000,Programme!J9000)</f>
        <v>&lt;cellule&gt;&lt;codeEdi&gt;1079&lt;/codeEdi&gt;&lt;/cellule&gt;</v>
      </c>
    </row>
    <row r="9000" spans="1:1" x14ac:dyDescent="0.2">
      <c r="A9000" s="996" t="str">
        <f>CONCATENATE(Programme!D9001,Programme!E9001,Programme!F9001,Programme!G9001,Programme!H9001,Programme!I9001,Programme!J9001)</f>
        <v>&lt;valeur&gt;&lt;/valeur&gt;</v>
      </c>
    </row>
    <row r="9001" spans="1:1" x14ac:dyDescent="0.2">
      <c r="A9001" s="996" t="str">
        <f>CONCATENATE(Programme!D9002,Programme!E9002,Programme!F9002,Programme!G9002,Programme!H9002,Programme!I9002,Programme!J9002)</f>
        <v>&lt;numeroLigne&gt;17&lt;/numeroLigne&gt;</v>
      </c>
    </row>
    <row r="9002" spans="1:1" x14ac:dyDescent="0.2">
      <c r="A9002" s="996" t="str">
        <f>CONCATENATE(Programme!D9003,Programme!E9003,Programme!F9003,Programme!G9003,Programme!H9003,Programme!I9003,Programme!J9003)</f>
        <v>&lt;/ValeurCellule&gt;</v>
      </c>
    </row>
    <row r="9003" spans="1:1" x14ac:dyDescent="0.2">
      <c r="A9003" s="996" t="str">
        <f>CONCATENATE(Programme!D9004,Programme!E9004,Programme!F9004,Programme!G9004,Programme!H9004,Programme!I9004,Programme!J9004)</f>
        <v>&lt;ValeurCellule&gt;</v>
      </c>
    </row>
    <row r="9004" spans="1:1" x14ac:dyDescent="0.2">
      <c r="A9004" s="996" t="str">
        <f>CONCATENATE(Programme!D9005,Programme!E9005,Programme!F9005,Programme!G9005,Programme!H9005,Programme!I9005,Programme!J9005)</f>
        <v>&lt;cellule&gt;&lt;codeEdi&gt;1080&lt;/codeEdi&gt;&lt;/cellule&gt;</v>
      </c>
    </row>
    <row r="9005" spans="1:1" x14ac:dyDescent="0.2">
      <c r="A9005" s="996" t="str">
        <f>CONCATENATE(Programme!D9006,Programme!E9006,Programme!F9006,Programme!G9006,Programme!H9006,Programme!I9006,Programme!J9006)</f>
        <v>&lt;valeur&gt;&lt;/valeur&gt;</v>
      </c>
    </row>
    <row r="9006" spans="1:1" x14ac:dyDescent="0.2">
      <c r="A9006" s="996" t="str">
        <f>CONCATENATE(Programme!D9007,Programme!E9007,Programme!F9007,Programme!G9007,Programme!H9007,Programme!I9007,Programme!J9007)</f>
        <v>&lt;numeroLigne&gt;17&lt;/numeroLigne&gt;</v>
      </c>
    </row>
    <row r="9007" spans="1:1" x14ac:dyDescent="0.2">
      <c r="A9007" s="996" t="str">
        <f>CONCATENATE(Programme!D9008,Programme!E9008,Programme!F9008,Programme!G9008,Programme!H9008,Programme!I9008,Programme!J9008)</f>
        <v>&lt;/ValeurCellule&gt;</v>
      </c>
    </row>
    <row r="9008" spans="1:1" x14ac:dyDescent="0.2">
      <c r="A9008" s="996" t="str">
        <f>CONCATENATE(Programme!D9009,Programme!E9009,Programme!F9009,Programme!G9009,Programme!H9009,Programme!I9009,Programme!J9009)</f>
        <v>&lt;ValeurCellule&gt;</v>
      </c>
    </row>
    <row r="9009" spans="1:1" x14ac:dyDescent="0.2">
      <c r="A9009" s="996" t="str">
        <f>CONCATENATE(Programme!D9010,Programme!E9010,Programme!F9010,Programme!G9010,Programme!H9010,Programme!I9010,Programme!J9010)</f>
        <v>&lt;cellule&gt;&lt;codeEdi&gt;1081&lt;/codeEdi&gt;&lt;/cellule&gt;</v>
      </c>
    </row>
    <row r="9010" spans="1:1" x14ac:dyDescent="0.2">
      <c r="A9010" s="996" t="str">
        <f>CONCATENATE(Programme!D9011,Programme!E9011,Programme!F9011,Programme!G9011,Programme!H9011,Programme!I9011,Programme!J9011)</f>
        <v>&lt;valeur&gt;&lt;/valeur&gt;</v>
      </c>
    </row>
    <row r="9011" spans="1:1" x14ac:dyDescent="0.2">
      <c r="A9011" s="996" t="str">
        <f>CONCATENATE(Programme!D9012,Programme!E9012,Programme!F9012,Programme!G9012,Programme!H9012,Programme!I9012,Programme!J9012)</f>
        <v>&lt;numeroLigne&gt;17&lt;/numeroLigne&gt;</v>
      </c>
    </row>
    <row r="9012" spans="1:1" x14ac:dyDescent="0.2">
      <c r="A9012" s="996" t="str">
        <f>CONCATENATE(Programme!D9013,Programme!E9013,Programme!F9013,Programme!G9013,Programme!H9013,Programme!I9013,Programme!J9013)</f>
        <v>&lt;/ValeurCellule&gt;</v>
      </c>
    </row>
    <row r="9013" spans="1:1" x14ac:dyDescent="0.2">
      <c r="A9013" s="996" t="str">
        <f>CONCATENATE(Programme!D9014,Programme!E9014,Programme!F9014,Programme!G9014,Programme!H9014,Programme!I9014,Programme!J9014)</f>
        <v>&lt;ValeurCellule&gt;</v>
      </c>
    </row>
    <row r="9014" spans="1:1" x14ac:dyDescent="0.2">
      <c r="A9014" s="996" t="str">
        <f>CONCATENATE(Programme!D9015,Programme!E9015,Programme!F9015,Programme!G9015,Programme!H9015,Programme!I9015,Programme!J9015)</f>
        <v>&lt;cellule&gt;&lt;codeEdi&gt;1082&lt;/codeEdi&gt;&lt;/cellule&gt;</v>
      </c>
    </row>
    <row r="9015" spans="1:1" x14ac:dyDescent="0.2">
      <c r="A9015" s="996" t="str">
        <f>CONCATENATE(Programme!D9016,Programme!E9016,Programme!F9016,Programme!G9016,Programme!H9016,Programme!I9016,Programme!J9016)</f>
        <v>&lt;valeur&gt;&lt;/valeur&gt;</v>
      </c>
    </row>
    <row r="9016" spans="1:1" x14ac:dyDescent="0.2">
      <c r="A9016" s="996" t="str">
        <f>CONCATENATE(Programme!D9017,Programme!E9017,Programme!F9017,Programme!G9017,Programme!H9017,Programme!I9017,Programme!J9017)</f>
        <v>&lt;numeroLigne&gt;17&lt;/numeroLigne&gt;</v>
      </c>
    </row>
    <row r="9017" spans="1:1" x14ac:dyDescent="0.2">
      <c r="A9017" s="996" t="str">
        <f>CONCATENATE(Programme!D9018,Programme!E9018,Programme!F9018,Programme!G9018,Programme!H9018,Programme!I9018,Programme!J9018)</f>
        <v>&lt;/ValeurCellule&gt;</v>
      </c>
    </row>
    <row r="9018" spans="1:1" x14ac:dyDescent="0.2">
      <c r="A9018" s="996" t="str">
        <f>CONCATENATE(Programme!D9019,Programme!E9019,Programme!F9019,Programme!G9019,Programme!H9019,Programme!I9019,Programme!J9019)</f>
        <v>&lt;ValeurCellule&gt;</v>
      </c>
    </row>
    <row r="9019" spans="1:1" x14ac:dyDescent="0.2">
      <c r="A9019" s="996" t="str">
        <f>CONCATENATE(Programme!D9020,Programme!E9020,Programme!F9020,Programme!G9020,Programme!H9020,Programme!I9020,Programme!J9020)</f>
        <v>&lt;cellule&gt;&lt;codeEdi&gt;1083&lt;/codeEdi&gt;&lt;/cellule&gt;</v>
      </c>
    </row>
    <row r="9020" spans="1:1" x14ac:dyDescent="0.2">
      <c r="A9020" s="996" t="str">
        <f>CONCATENATE(Programme!D9021,Programme!E9021,Programme!F9021,Programme!G9021,Programme!H9021,Programme!I9021,Programme!J9021)</f>
        <v>&lt;valeur&gt;&lt;/valeur&gt;</v>
      </c>
    </row>
    <row r="9021" spans="1:1" x14ac:dyDescent="0.2">
      <c r="A9021" s="996" t="str">
        <f>CONCATENATE(Programme!D9022,Programme!E9022,Programme!F9022,Programme!G9022,Programme!H9022,Programme!I9022,Programme!J9022)</f>
        <v>&lt;numeroLigne&gt;17&lt;/numeroLigne&gt;</v>
      </c>
    </row>
    <row r="9022" spans="1:1" x14ac:dyDescent="0.2">
      <c r="A9022" s="996" t="str">
        <f>CONCATENATE(Programme!D9023,Programme!E9023,Programme!F9023,Programme!G9023,Programme!H9023,Programme!I9023,Programme!J9023)</f>
        <v>&lt;/ValeurCellule&gt;</v>
      </c>
    </row>
    <row r="9023" spans="1:1" x14ac:dyDescent="0.2">
      <c r="A9023" s="996" t="str">
        <f>CONCATENATE(Programme!D9024,Programme!E9024,Programme!F9024,Programme!G9024,Programme!H9024,Programme!I9024,Programme!J9024)</f>
        <v>&lt;ValeurCellule&gt;</v>
      </c>
    </row>
    <row r="9024" spans="1:1" x14ac:dyDescent="0.2">
      <c r="A9024" s="996" t="str">
        <f>CONCATENATE(Programme!D9025,Programme!E9025,Programme!F9025,Programme!G9025,Programme!H9025,Programme!I9025,Programme!J9025)</f>
        <v>&lt;cellule&gt;&lt;codeEdi&gt;1084&lt;/codeEdi&gt;&lt;/cellule&gt;</v>
      </c>
    </row>
    <row r="9025" spans="1:1" x14ac:dyDescent="0.2">
      <c r="A9025" s="996" t="str">
        <f>CONCATENATE(Programme!D9026,Programme!E9026,Programme!F9026,Programme!G9026,Programme!H9026,Programme!I9026,Programme!J9026)</f>
        <v>&lt;valeur&gt;&lt;/valeur&gt;</v>
      </c>
    </row>
    <row r="9026" spans="1:1" x14ac:dyDescent="0.2">
      <c r="A9026" s="996" t="str">
        <f>CONCATENATE(Programme!D9027,Programme!E9027,Programme!F9027,Programme!G9027,Programme!H9027,Programme!I9027,Programme!J9027)</f>
        <v>&lt;numeroLigne&gt;17&lt;/numeroLigne&gt;</v>
      </c>
    </row>
    <row r="9027" spans="1:1" x14ac:dyDescent="0.2">
      <c r="A9027" s="996" t="str">
        <f>CONCATENATE(Programme!D9028,Programme!E9028,Programme!F9028,Programme!G9028,Programme!H9028,Programme!I9028,Programme!J9028)</f>
        <v>&lt;/ValeurCellule&gt;</v>
      </c>
    </row>
    <row r="9028" spans="1:1" x14ac:dyDescent="0.2">
      <c r="A9028" s="996" t="str">
        <f>CONCATENATE(Programme!D9029,Programme!E9029,Programme!F9029,Programme!G9029,Programme!H9029,Programme!I9029,Programme!J9029)</f>
        <v>&lt;ValeurCellule&gt;</v>
      </c>
    </row>
    <row r="9029" spans="1:1" x14ac:dyDescent="0.2">
      <c r="A9029" s="996" t="str">
        <f>CONCATENATE(Programme!D9030,Programme!E9030,Programme!F9030,Programme!G9030,Programme!H9030,Programme!I9030,Programme!J9030)</f>
        <v>&lt;cellule&gt;&lt;codeEdi&gt;1085&lt;/codeEdi&gt;&lt;/cellule&gt;</v>
      </c>
    </row>
    <row r="9030" spans="1:1" x14ac:dyDescent="0.2">
      <c r="A9030" s="996" t="str">
        <f>CONCATENATE(Programme!D9031,Programme!E9031,Programme!F9031,Programme!G9031,Programme!H9031,Programme!I9031,Programme!J9031)</f>
        <v>&lt;valeur&gt;&lt;/valeur&gt;</v>
      </c>
    </row>
    <row r="9031" spans="1:1" x14ac:dyDescent="0.2">
      <c r="A9031" s="996" t="str">
        <f>CONCATENATE(Programme!D9032,Programme!E9032,Programme!F9032,Programme!G9032,Programme!H9032,Programme!I9032,Programme!J9032)</f>
        <v>&lt;numeroLigne&gt;17&lt;/numeroLigne&gt;</v>
      </c>
    </row>
    <row r="9032" spans="1:1" x14ac:dyDescent="0.2">
      <c r="A9032" s="996" t="str">
        <f>CONCATENATE(Programme!D9033,Programme!E9033,Programme!F9033,Programme!G9033,Programme!H9033,Programme!I9033,Programme!J9033)</f>
        <v>&lt;/ValeurCellule&gt;</v>
      </c>
    </row>
    <row r="9033" spans="1:1" x14ac:dyDescent="0.2">
      <c r="A9033" s="996" t="str">
        <f>CONCATENATE(Programme!D9034,Programme!E9034,Programme!F9034,Programme!G9034,Programme!H9034,Programme!I9034,Programme!J9034)</f>
        <v>&lt;ValeurCellule&gt;</v>
      </c>
    </row>
    <row r="9034" spans="1:1" x14ac:dyDescent="0.2">
      <c r="A9034" s="996" t="str">
        <f>CONCATENATE(Programme!D9035,Programme!E9035,Programme!F9035,Programme!G9035,Programme!H9035,Programme!I9035,Programme!J9035)</f>
        <v>&lt;cellule&gt;&lt;codeEdi&gt;1086&lt;/codeEdi&gt;&lt;/cellule&gt;</v>
      </c>
    </row>
    <row r="9035" spans="1:1" x14ac:dyDescent="0.2">
      <c r="A9035" s="996" t="str">
        <f>CONCATENATE(Programme!D9036,Programme!E9036,Programme!F9036,Programme!G9036,Programme!H9036,Programme!I9036,Programme!J9036)</f>
        <v>&lt;valeur&gt;&lt;/valeur&gt;</v>
      </c>
    </row>
    <row r="9036" spans="1:1" x14ac:dyDescent="0.2">
      <c r="A9036" s="996" t="str">
        <f>CONCATENATE(Programme!D9037,Programme!E9037,Programme!F9037,Programme!G9037,Programme!H9037,Programme!I9037,Programme!J9037)</f>
        <v>&lt;numeroLigne&gt;17&lt;/numeroLigne&gt;</v>
      </c>
    </row>
    <row r="9037" spans="1:1" x14ac:dyDescent="0.2">
      <c r="A9037" s="996" t="str">
        <f>CONCATENATE(Programme!D9038,Programme!E9038,Programme!F9038,Programme!G9038,Programme!H9038,Programme!I9038,Programme!J9038)</f>
        <v>&lt;/ValeurCellule&gt;</v>
      </c>
    </row>
    <row r="9038" spans="1:1" x14ac:dyDescent="0.2">
      <c r="A9038" s="996" t="str">
        <f>CONCATENATE(Programme!D9039,Programme!E9039,Programme!F9039,Programme!G9039,Programme!H9039,Programme!I9039,Programme!J9039)</f>
        <v>&lt;ValeurCellule&gt;</v>
      </c>
    </row>
    <row r="9039" spans="1:1" x14ac:dyDescent="0.2">
      <c r="A9039" s="996" t="str">
        <f>CONCATENATE(Programme!D9040,Programme!E9040,Programme!F9040,Programme!G9040,Programme!H9040,Programme!I9040,Programme!J9040)</f>
        <v>&lt;cellule&gt;&lt;codeEdi&gt;10061&lt;/codeEdi&gt;&lt;/cellule&gt;</v>
      </c>
    </row>
    <row r="9040" spans="1:1" x14ac:dyDescent="0.2">
      <c r="A9040" s="996" t="str">
        <f>CONCATENATE(Programme!D9041,Programme!E9041,Programme!F9041,Programme!G9041,Programme!H9041,Programme!I9041,Programme!J9041)</f>
        <v>&lt;valeur&gt;&lt;/valeur&gt;</v>
      </c>
    </row>
    <row r="9041" spans="1:1" x14ac:dyDescent="0.2">
      <c r="A9041" s="996" t="str">
        <f>CONCATENATE(Programme!D9042,Programme!E9042,Programme!F9042,Programme!G9042,Programme!H9042,Programme!I9042,Programme!J9042)</f>
        <v>&lt;numeroLigne&gt;18&lt;/numeroLigne&gt;</v>
      </c>
    </row>
    <row r="9042" spans="1:1" x14ac:dyDescent="0.2">
      <c r="A9042" s="996" t="str">
        <f>CONCATENATE(Programme!D9043,Programme!E9043,Programme!F9043,Programme!G9043,Programme!H9043,Programme!I9043,Programme!J9043)</f>
        <v>&lt;/ValeurCellule&gt;</v>
      </c>
    </row>
    <row r="9043" spans="1:1" x14ac:dyDescent="0.2">
      <c r="A9043" s="996" t="str">
        <f>CONCATENATE(Programme!D9044,Programme!E9044,Programme!F9044,Programme!G9044,Programme!H9044,Programme!I9044,Programme!J9044)</f>
        <v>&lt;ValeurCellule&gt;</v>
      </c>
    </row>
    <row r="9044" spans="1:1" x14ac:dyDescent="0.2">
      <c r="A9044" s="996" t="str">
        <f>CONCATENATE(Programme!D9045,Programme!E9045,Programme!F9045,Programme!G9045,Programme!H9045,Programme!I9045,Programme!J9045)</f>
        <v>&lt;cellule&gt;&lt;codeEdi&gt;1078&lt;/codeEdi&gt;&lt;/cellule&gt;</v>
      </c>
    </row>
    <row r="9045" spans="1:1" x14ac:dyDescent="0.2">
      <c r="A9045" s="996" t="str">
        <f>CONCATENATE(Programme!D9046,Programme!E9046,Programme!F9046,Programme!G9046,Programme!H9046,Programme!I9046,Programme!J9046)</f>
        <v>&lt;valeur&gt;&lt;/valeur&gt;</v>
      </c>
    </row>
    <row r="9046" spans="1:1" x14ac:dyDescent="0.2">
      <c r="A9046" s="996" t="str">
        <f>CONCATENATE(Programme!D9047,Programme!E9047,Programme!F9047,Programme!G9047,Programme!H9047,Programme!I9047,Programme!J9047)</f>
        <v>&lt;numeroLigne&gt;18&lt;/numeroLigne&gt;</v>
      </c>
    </row>
    <row r="9047" spans="1:1" x14ac:dyDescent="0.2">
      <c r="A9047" s="996" t="str">
        <f>CONCATENATE(Programme!D9048,Programme!E9048,Programme!F9048,Programme!G9048,Programme!H9048,Programme!I9048,Programme!J9048)</f>
        <v>&lt;/ValeurCellule&gt;</v>
      </c>
    </row>
    <row r="9048" spans="1:1" x14ac:dyDescent="0.2">
      <c r="A9048" s="996" t="str">
        <f>CONCATENATE(Programme!D9049,Programme!E9049,Programme!F9049,Programme!G9049,Programme!H9049,Programme!I9049,Programme!J9049)</f>
        <v>&lt;ValeurCellule&gt;</v>
      </c>
    </row>
    <row r="9049" spans="1:1" x14ac:dyDescent="0.2">
      <c r="A9049" s="996" t="str">
        <f>CONCATENATE(Programme!D9050,Programme!E9050,Programme!F9050,Programme!G9050,Programme!H9050,Programme!I9050,Programme!J9050)</f>
        <v>&lt;cellule&gt;&lt;codeEdi&gt;1079&lt;/codeEdi&gt;&lt;/cellule&gt;</v>
      </c>
    </row>
    <row r="9050" spans="1:1" x14ac:dyDescent="0.2">
      <c r="A9050" s="996" t="str">
        <f>CONCATENATE(Programme!D9051,Programme!E9051,Programme!F9051,Programme!G9051,Programme!H9051,Programme!I9051,Programme!J9051)</f>
        <v>&lt;valeur&gt;&lt;/valeur&gt;</v>
      </c>
    </row>
    <row r="9051" spans="1:1" x14ac:dyDescent="0.2">
      <c r="A9051" s="996" t="str">
        <f>CONCATENATE(Programme!D9052,Programme!E9052,Programme!F9052,Programme!G9052,Programme!H9052,Programme!I9052,Programme!J9052)</f>
        <v>&lt;numeroLigne&gt;18&lt;/numeroLigne&gt;</v>
      </c>
    </row>
    <row r="9052" spans="1:1" x14ac:dyDescent="0.2">
      <c r="A9052" s="996" t="str">
        <f>CONCATENATE(Programme!D9053,Programme!E9053,Programme!F9053,Programme!G9053,Programme!H9053,Programme!I9053,Programme!J9053)</f>
        <v>&lt;/ValeurCellule&gt;</v>
      </c>
    </row>
    <row r="9053" spans="1:1" x14ac:dyDescent="0.2">
      <c r="A9053" s="996" t="str">
        <f>CONCATENATE(Programme!D9054,Programme!E9054,Programme!F9054,Programme!G9054,Programme!H9054,Programme!I9054,Programme!J9054)</f>
        <v>&lt;ValeurCellule&gt;</v>
      </c>
    </row>
    <row r="9054" spans="1:1" x14ac:dyDescent="0.2">
      <c r="A9054" s="996" t="str">
        <f>CONCATENATE(Programme!D9055,Programme!E9055,Programme!F9055,Programme!G9055,Programme!H9055,Programme!I9055,Programme!J9055)</f>
        <v>&lt;cellule&gt;&lt;codeEdi&gt;1080&lt;/codeEdi&gt;&lt;/cellule&gt;</v>
      </c>
    </row>
    <row r="9055" spans="1:1" x14ac:dyDescent="0.2">
      <c r="A9055" s="996" t="str">
        <f>CONCATENATE(Programme!D9056,Programme!E9056,Programme!F9056,Programme!G9056,Programme!H9056,Programme!I9056,Programme!J9056)</f>
        <v>&lt;valeur&gt;&lt;/valeur&gt;</v>
      </c>
    </row>
    <row r="9056" spans="1:1" x14ac:dyDescent="0.2">
      <c r="A9056" s="996" t="str">
        <f>CONCATENATE(Programme!D9057,Programme!E9057,Programme!F9057,Programme!G9057,Programme!H9057,Programme!I9057,Programme!J9057)</f>
        <v>&lt;numeroLigne&gt;18&lt;/numeroLigne&gt;</v>
      </c>
    </row>
    <row r="9057" spans="1:1" x14ac:dyDescent="0.2">
      <c r="A9057" s="996" t="str">
        <f>CONCATENATE(Programme!D9058,Programme!E9058,Programme!F9058,Programme!G9058,Programme!H9058,Programme!I9058,Programme!J9058)</f>
        <v>&lt;/ValeurCellule&gt;</v>
      </c>
    </row>
    <row r="9058" spans="1:1" x14ac:dyDescent="0.2">
      <c r="A9058" s="996" t="str">
        <f>CONCATENATE(Programme!D9059,Programme!E9059,Programme!F9059,Programme!G9059,Programme!H9059,Programme!I9059,Programme!J9059)</f>
        <v>&lt;ValeurCellule&gt;</v>
      </c>
    </row>
    <row r="9059" spans="1:1" x14ac:dyDescent="0.2">
      <c r="A9059" s="996" t="str">
        <f>CONCATENATE(Programme!D9060,Programme!E9060,Programme!F9060,Programme!G9060,Programme!H9060,Programme!I9060,Programme!J9060)</f>
        <v>&lt;cellule&gt;&lt;codeEdi&gt;1081&lt;/codeEdi&gt;&lt;/cellule&gt;</v>
      </c>
    </row>
    <row r="9060" spans="1:1" x14ac:dyDescent="0.2">
      <c r="A9060" s="996" t="str">
        <f>CONCATENATE(Programme!D9061,Programme!E9061,Programme!F9061,Programme!G9061,Programme!H9061,Programme!I9061,Programme!J9061)</f>
        <v>&lt;valeur&gt;&lt;/valeur&gt;</v>
      </c>
    </row>
    <row r="9061" spans="1:1" x14ac:dyDescent="0.2">
      <c r="A9061" s="996" t="str">
        <f>CONCATENATE(Programme!D9062,Programme!E9062,Programme!F9062,Programme!G9062,Programme!H9062,Programme!I9062,Programme!J9062)</f>
        <v>&lt;numeroLigne&gt;18&lt;/numeroLigne&gt;</v>
      </c>
    </row>
    <row r="9062" spans="1:1" x14ac:dyDescent="0.2">
      <c r="A9062" s="996" t="str">
        <f>CONCATENATE(Programme!D9063,Programme!E9063,Programme!F9063,Programme!G9063,Programme!H9063,Programme!I9063,Programme!J9063)</f>
        <v>&lt;/ValeurCellule&gt;</v>
      </c>
    </row>
    <row r="9063" spans="1:1" x14ac:dyDescent="0.2">
      <c r="A9063" s="996" t="str">
        <f>CONCATENATE(Programme!D9064,Programme!E9064,Programme!F9064,Programme!G9064,Programme!H9064,Programme!I9064,Programme!J9064)</f>
        <v>&lt;ValeurCellule&gt;</v>
      </c>
    </row>
    <row r="9064" spans="1:1" x14ac:dyDescent="0.2">
      <c r="A9064" s="996" t="str">
        <f>CONCATENATE(Programme!D9065,Programme!E9065,Programme!F9065,Programme!G9065,Programme!H9065,Programme!I9065,Programme!J9065)</f>
        <v>&lt;cellule&gt;&lt;codeEdi&gt;1082&lt;/codeEdi&gt;&lt;/cellule&gt;</v>
      </c>
    </row>
    <row r="9065" spans="1:1" x14ac:dyDescent="0.2">
      <c r="A9065" s="996" t="str">
        <f>CONCATENATE(Programme!D9066,Programme!E9066,Programme!F9066,Programme!G9066,Programme!H9066,Programme!I9066,Programme!J9066)</f>
        <v>&lt;valeur&gt;&lt;/valeur&gt;</v>
      </c>
    </row>
    <row r="9066" spans="1:1" x14ac:dyDescent="0.2">
      <c r="A9066" s="996" t="str">
        <f>CONCATENATE(Programme!D9067,Programme!E9067,Programme!F9067,Programme!G9067,Programme!H9067,Programme!I9067,Programme!J9067)</f>
        <v>&lt;numeroLigne&gt;18&lt;/numeroLigne&gt;</v>
      </c>
    </row>
    <row r="9067" spans="1:1" x14ac:dyDescent="0.2">
      <c r="A9067" s="996" t="str">
        <f>CONCATENATE(Programme!D9068,Programme!E9068,Programme!F9068,Programme!G9068,Programme!H9068,Programme!I9068,Programme!J9068)</f>
        <v>&lt;/ValeurCellule&gt;</v>
      </c>
    </row>
    <row r="9068" spans="1:1" x14ac:dyDescent="0.2">
      <c r="A9068" s="996" t="str">
        <f>CONCATENATE(Programme!D9069,Programme!E9069,Programme!F9069,Programme!G9069,Programme!H9069,Programme!I9069,Programme!J9069)</f>
        <v>&lt;ValeurCellule&gt;</v>
      </c>
    </row>
    <row r="9069" spans="1:1" x14ac:dyDescent="0.2">
      <c r="A9069" s="996" t="str">
        <f>CONCATENATE(Programme!D9070,Programme!E9070,Programme!F9070,Programme!G9070,Programme!H9070,Programme!I9070,Programme!J9070)</f>
        <v>&lt;cellule&gt;&lt;codeEdi&gt;1083&lt;/codeEdi&gt;&lt;/cellule&gt;</v>
      </c>
    </row>
    <row r="9070" spans="1:1" x14ac:dyDescent="0.2">
      <c r="A9070" s="996" t="str">
        <f>CONCATENATE(Programme!D9071,Programme!E9071,Programme!F9071,Programme!G9071,Programme!H9071,Programme!I9071,Programme!J9071)</f>
        <v>&lt;valeur&gt;&lt;/valeur&gt;</v>
      </c>
    </row>
    <row r="9071" spans="1:1" x14ac:dyDescent="0.2">
      <c r="A9071" s="996" t="str">
        <f>CONCATENATE(Programme!D9072,Programme!E9072,Programme!F9072,Programme!G9072,Programme!H9072,Programme!I9072,Programme!J9072)</f>
        <v>&lt;numeroLigne&gt;18&lt;/numeroLigne&gt;</v>
      </c>
    </row>
    <row r="9072" spans="1:1" x14ac:dyDescent="0.2">
      <c r="A9072" s="996" t="str">
        <f>CONCATENATE(Programme!D9073,Programme!E9073,Programme!F9073,Programme!G9073,Programme!H9073,Programme!I9073,Programme!J9073)</f>
        <v>&lt;/ValeurCellule&gt;</v>
      </c>
    </row>
    <row r="9073" spans="1:1" x14ac:dyDescent="0.2">
      <c r="A9073" s="996" t="str">
        <f>CONCATENATE(Programme!D9074,Programme!E9074,Programme!F9074,Programme!G9074,Programme!H9074,Programme!I9074,Programme!J9074)</f>
        <v>&lt;ValeurCellule&gt;</v>
      </c>
    </row>
    <row r="9074" spans="1:1" x14ac:dyDescent="0.2">
      <c r="A9074" s="996" t="str">
        <f>CONCATENATE(Programme!D9075,Programme!E9075,Programme!F9075,Programme!G9075,Programme!H9075,Programme!I9075,Programme!J9075)</f>
        <v>&lt;cellule&gt;&lt;codeEdi&gt;1084&lt;/codeEdi&gt;&lt;/cellule&gt;</v>
      </c>
    </row>
    <row r="9075" spans="1:1" x14ac:dyDescent="0.2">
      <c r="A9075" s="996" t="str">
        <f>CONCATENATE(Programme!D9076,Programme!E9076,Programme!F9076,Programme!G9076,Programme!H9076,Programme!I9076,Programme!J9076)</f>
        <v>&lt;valeur&gt;&lt;/valeur&gt;</v>
      </c>
    </row>
    <row r="9076" spans="1:1" x14ac:dyDescent="0.2">
      <c r="A9076" s="996" t="str">
        <f>CONCATENATE(Programme!D9077,Programme!E9077,Programme!F9077,Programme!G9077,Programme!H9077,Programme!I9077,Programme!J9077)</f>
        <v>&lt;numeroLigne&gt;18&lt;/numeroLigne&gt;</v>
      </c>
    </row>
    <row r="9077" spans="1:1" x14ac:dyDescent="0.2">
      <c r="A9077" s="996" t="str">
        <f>CONCATENATE(Programme!D9078,Programme!E9078,Programme!F9078,Programme!G9078,Programme!H9078,Programme!I9078,Programme!J9078)</f>
        <v>&lt;/ValeurCellule&gt;</v>
      </c>
    </row>
    <row r="9078" spans="1:1" x14ac:dyDescent="0.2">
      <c r="A9078" s="996" t="str">
        <f>CONCATENATE(Programme!D9079,Programme!E9079,Programme!F9079,Programme!G9079,Programme!H9079,Programme!I9079,Programme!J9079)</f>
        <v>&lt;ValeurCellule&gt;</v>
      </c>
    </row>
    <row r="9079" spans="1:1" x14ac:dyDescent="0.2">
      <c r="A9079" s="996" t="str">
        <f>CONCATENATE(Programme!D9080,Programme!E9080,Programme!F9080,Programme!G9080,Programme!H9080,Programme!I9080,Programme!J9080)</f>
        <v>&lt;cellule&gt;&lt;codeEdi&gt;1085&lt;/codeEdi&gt;&lt;/cellule&gt;</v>
      </c>
    </row>
    <row r="9080" spans="1:1" x14ac:dyDescent="0.2">
      <c r="A9080" s="996" t="str">
        <f>CONCATENATE(Programme!D9081,Programme!E9081,Programme!F9081,Programme!G9081,Programme!H9081,Programme!I9081,Programme!J9081)</f>
        <v>&lt;valeur&gt;&lt;/valeur&gt;</v>
      </c>
    </row>
    <row r="9081" spans="1:1" x14ac:dyDescent="0.2">
      <c r="A9081" s="996" t="str">
        <f>CONCATENATE(Programme!D9082,Programme!E9082,Programme!F9082,Programme!G9082,Programme!H9082,Programme!I9082,Programme!J9082)</f>
        <v>&lt;numeroLigne&gt;18&lt;/numeroLigne&gt;</v>
      </c>
    </row>
    <row r="9082" spans="1:1" x14ac:dyDescent="0.2">
      <c r="A9082" s="996" t="str">
        <f>CONCATENATE(Programme!D9083,Programme!E9083,Programme!F9083,Programme!G9083,Programme!H9083,Programme!I9083,Programme!J9083)</f>
        <v>&lt;/ValeurCellule&gt;</v>
      </c>
    </row>
    <row r="9083" spans="1:1" x14ac:dyDescent="0.2">
      <c r="A9083" s="996" t="str">
        <f>CONCATENATE(Programme!D9084,Programme!E9084,Programme!F9084,Programme!G9084,Programme!H9084,Programme!I9084,Programme!J9084)</f>
        <v>&lt;ValeurCellule&gt;</v>
      </c>
    </row>
    <row r="9084" spans="1:1" x14ac:dyDescent="0.2">
      <c r="A9084" s="996" t="str">
        <f>CONCATENATE(Programme!D9085,Programme!E9085,Programme!F9085,Programme!G9085,Programme!H9085,Programme!I9085,Programme!J9085)</f>
        <v>&lt;cellule&gt;&lt;codeEdi&gt;1086&lt;/codeEdi&gt;&lt;/cellule&gt;</v>
      </c>
    </row>
    <row r="9085" spans="1:1" x14ac:dyDescent="0.2">
      <c r="A9085" s="996" t="str">
        <f>CONCATENATE(Programme!D9086,Programme!E9086,Programme!F9086,Programme!G9086,Programme!H9086,Programme!I9086,Programme!J9086)</f>
        <v>&lt;valeur&gt;&lt;/valeur&gt;</v>
      </c>
    </row>
    <row r="9086" spans="1:1" x14ac:dyDescent="0.2">
      <c r="A9086" s="996" t="str">
        <f>CONCATENATE(Programme!D9087,Programme!E9087,Programme!F9087,Programme!G9087,Programme!H9087,Programme!I9087,Programme!J9087)</f>
        <v>&lt;numeroLigne&gt;18&lt;/numeroLigne&gt;</v>
      </c>
    </row>
    <row r="9087" spans="1:1" x14ac:dyDescent="0.2">
      <c r="A9087" s="996" t="str">
        <f>CONCATENATE(Programme!D9088,Programme!E9088,Programme!F9088,Programme!G9088,Programme!H9088,Programme!I9088,Programme!J9088)</f>
        <v>&lt;/ValeurCellule&gt;</v>
      </c>
    </row>
    <row r="9088" spans="1:1" x14ac:dyDescent="0.2">
      <c r="A9088" s="996" t="str">
        <f>CONCATENATE(Programme!D9089,Programme!E9089,Programme!F9089,Programme!G9089,Programme!H9089,Programme!I9089,Programme!J9089)</f>
        <v>&lt;ValeurCellule&gt;</v>
      </c>
    </row>
    <row r="9089" spans="1:1" x14ac:dyDescent="0.2">
      <c r="A9089" s="996" t="str">
        <f>CONCATENATE(Programme!D9090,Programme!E9090,Programme!F9090,Programme!G9090,Programme!H9090,Programme!I9090,Programme!J9090)</f>
        <v>&lt;cellule&gt;&lt;codeEdi&gt;10061&lt;/codeEdi&gt;&lt;/cellule&gt;</v>
      </c>
    </row>
    <row r="9090" spans="1:1" x14ac:dyDescent="0.2">
      <c r="A9090" s="996" t="str">
        <f>CONCATENATE(Programme!D9091,Programme!E9091,Programme!F9091,Programme!G9091,Programme!H9091,Programme!I9091,Programme!J9091)</f>
        <v>&lt;valeur&gt;&lt;/valeur&gt;</v>
      </c>
    </row>
    <row r="9091" spans="1:1" x14ac:dyDescent="0.2">
      <c r="A9091" s="996" t="str">
        <f>CONCATENATE(Programme!D9092,Programme!E9092,Programme!F9092,Programme!G9092,Programme!H9092,Programme!I9092,Programme!J9092)</f>
        <v>&lt;numeroLigne&gt;19&lt;/numeroLigne&gt;</v>
      </c>
    </row>
    <row r="9092" spans="1:1" x14ac:dyDescent="0.2">
      <c r="A9092" s="996" t="str">
        <f>CONCATENATE(Programme!D9093,Programme!E9093,Programme!F9093,Programme!G9093,Programme!H9093,Programme!I9093,Programme!J9093)</f>
        <v>&lt;/ValeurCellule&gt;</v>
      </c>
    </row>
    <row r="9093" spans="1:1" x14ac:dyDescent="0.2">
      <c r="A9093" s="996" t="str">
        <f>CONCATENATE(Programme!D9094,Programme!E9094,Programme!F9094,Programme!G9094,Programme!H9094,Programme!I9094,Programme!J9094)</f>
        <v>&lt;ValeurCellule&gt;</v>
      </c>
    </row>
    <row r="9094" spans="1:1" x14ac:dyDescent="0.2">
      <c r="A9094" s="996" t="str">
        <f>CONCATENATE(Programme!D9095,Programme!E9095,Programme!F9095,Programme!G9095,Programme!H9095,Programme!I9095,Programme!J9095)</f>
        <v>&lt;cellule&gt;&lt;codeEdi&gt;1078&lt;/codeEdi&gt;&lt;/cellule&gt;</v>
      </c>
    </row>
    <row r="9095" spans="1:1" x14ac:dyDescent="0.2">
      <c r="A9095" s="996" t="str">
        <f>CONCATENATE(Programme!D9096,Programme!E9096,Programme!F9096,Programme!G9096,Programme!H9096,Programme!I9096,Programme!J9096)</f>
        <v>&lt;valeur&gt;&lt;/valeur&gt;</v>
      </c>
    </row>
    <row r="9096" spans="1:1" x14ac:dyDescent="0.2">
      <c r="A9096" s="996" t="str">
        <f>CONCATENATE(Programme!D9097,Programme!E9097,Programme!F9097,Programme!G9097,Programme!H9097,Programme!I9097,Programme!J9097)</f>
        <v>&lt;numeroLigne&gt;19&lt;/numeroLigne&gt;</v>
      </c>
    </row>
    <row r="9097" spans="1:1" x14ac:dyDescent="0.2">
      <c r="A9097" s="996" t="str">
        <f>CONCATENATE(Programme!D9098,Programme!E9098,Programme!F9098,Programme!G9098,Programme!H9098,Programme!I9098,Programme!J9098)</f>
        <v>&lt;/ValeurCellule&gt;</v>
      </c>
    </row>
    <row r="9098" spans="1:1" x14ac:dyDescent="0.2">
      <c r="A9098" s="996" t="str">
        <f>CONCATENATE(Programme!D9099,Programme!E9099,Programme!F9099,Programme!G9099,Programme!H9099,Programme!I9099,Programme!J9099)</f>
        <v>&lt;ValeurCellule&gt;</v>
      </c>
    </row>
    <row r="9099" spans="1:1" x14ac:dyDescent="0.2">
      <c r="A9099" s="996" t="str">
        <f>CONCATENATE(Programme!D9100,Programme!E9100,Programme!F9100,Programme!G9100,Programme!H9100,Programme!I9100,Programme!J9100)</f>
        <v>&lt;cellule&gt;&lt;codeEdi&gt;1079&lt;/codeEdi&gt;&lt;/cellule&gt;</v>
      </c>
    </row>
    <row r="9100" spans="1:1" x14ac:dyDescent="0.2">
      <c r="A9100" s="996" t="str">
        <f>CONCATENATE(Programme!D9101,Programme!E9101,Programme!F9101,Programme!G9101,Programme!H9101,Programme!I9101,Programme!J9101)</f>
        <v>&lt;valeur&gt;&lt;/valeur&gt;</v>
      </c>
    </row>
    <row r="9101" spans="1:1" x14ac:dyDescent="0.2">
      <c r="A9101" s="996" t="str">
        <f>CONCATENATE(Programme!D9102,Programme!E9102,Programme!F9102,Programme!G9102,Programme!H9102,Programme!I9102,Programme!J9102)</f>
        <v>&lt;numeroLigne&gt;19&lt;/numeroLigne&gt;</v>
      </c>
    </row>
    <row r="9102" spans="1:1" x14ac:dyDescent="0.2">
      <c r="A9102" s="996" t="str">
        <f>CONCATENATE(Programme!D9103,Programme!E9103,Programme!F9103,Programme!G9103,Programme!H9103,Programme!I9103,Programme!J9103)</f>
        <v>&lt;/ValeurCellule&gt;</v>
      </c>
    </row>
    <row r="9103" spans="1:1" x14ac:dyDescent="0.2">
      <c r="A9103" s="996" t="str">
        <f>CONCATENATE(Programme!D9104,Programme!E9104,Programme!F9104,Programme!G9104,Programme!H9104,Programme!I9104,Programme!J9104)</f>
        <v>&lt;ValeurCellule&gt;</v>
      </c>
    </row>
    <row r="9104" spans="1:1" x14ac:dyDescent="0.2">
      <c r="A9104" s="996" t="str">
        <f>CONCATENATE(Programme!D9105,Programme!E9105,Programme!F9105,Programme!G9105,Programme!H9105,Programme!I9105,Programme!J9105)</f>
        <v>&lt;cellule&gt;&lt;codeEdi&gt;1080&lt;/codeEdi&gt;&lt;/cellule&gt;</v>
      </c>
    </row>
    <row r="9105" spans="1:1" x14ac:dyDescent="0.2">
      <c r="A9105" s="996" t="str">
        <f>CONCATENATE(Programme!D9106,Programme!E9106,Programme!F9106,Programme!G9106,Programme!H9106,Programme!I9106,Programme!J9106)</f>
        <v>&lt;valeur&gt;&lt;/valeur&gt;</v>
      </c>
    </row>
    <row r="9106" spans="1:1" x14ac:dyDescent="0.2">
      <c r="A9106" s="996" t="str">
        <f>CONCATENATE(Programme!D9107,Programme!E9107,Programme!F9107,Programme!G9107,Programme!H9107,Programme!I9107,Programme!J9107)</f>
        <v>&lt;numeroLigne&gt;19&lt;/numeroLigne&gt;</v>
      </c>
    </row>
    <row r="9107" spans="1:1" x14ac:dyDescent="0.2">
      <c r="A9107" s="996" t="str">
        <f>CONCATENATE(Programme!D9108,Programme!E9108,Programme!F9108,Programme!G9108,Programme!H9108,Programme!I9108,Programme!J9108)</f>
        <v>&lt;/ValeurCellule&gt;</v>
      </c>
    </row>
    <row r="9108" spans="1:1" x14ac:dyDescent="0.2">
      <c r="A9108" s="996" t="str">
        <f>CONCATENATE(Programme!D9109,Programme!E9109,Programme!F9109,Programme!G9109,Programme!H9109,Programme!I9109,Programme!J9109)</f>
        <v>&lt;ValeurCellule&gt;</v>
      </c>
    </row>
    <row r="9109" spans="1:1" x14ac:dyDescent="0.2">
      <c r="A9109" s="996" t="str">
        <f>CONCATENATE(Programme!D9110,Programme!E9110,Programme!F9110,Programme!G9110,Programme!H9110,Programme!I9110,Programme!J9110)</f>
        <v>&lt;cellule&gt;&lt;codeEdi&gt;1081&lt;/codeEdi&gt;&lt;/cellule&gt;</v>
      </c>
    </row>
    <row r="9110" spans="1:1" x14ac:dyDescent="0.2">
      <c r="A9110" s="996" t="str">
        <f>CONCATENATE(Programme!D9111,Programme!E9111,Programme!F9111,Programme!G9111,Programme!H9111,Programme!I9111,Programme!J9111)</f>
        <v>&lt;valeur&gt;&lt;/valeur&gt;</v>
      </c>
    </row>
    <row r="9111" spans="1:1" x14ac:dyDescent="0.2">
      <c r="A9111" s="996" t="str">
        <f>CONCATENATE(Programme!D9112,Programme!E9112,Programme!F9112,Programme!G9112,Programme!H9112,Programme!I9112,Programme!J9112)</f>
        <v>&lt;numeroLigne&gt;19&lt;/numeroLigne&gt;</v>
      </c>
    </row>
    <row r="9112" spans="1:1" x14ac:dyDescent="0.2">
      <c r="A9112" s="996" t="str">
        <f>CONCATENATE(Programme!D9113,Programme!E9113,Programme!F9113,Programme!G9113,Programme!H9113,Programme!I9113,Programme!J9113)</f>
        <v>&lt;/ValeurCellule&gt;</v>
      </c>
    </row>
    <row r="9113" spans="1:1" x14ac:dyDescent="0.2">
      <c r="A9113" s="996" t="str">
        <f>CONCATENATE(Programme!D9114,Programme!E9114,Programme!F9114,Programme!G9114,Programme!H9114,Programme!I9114,Programme!J9114)</f>
        <v>&lt;ValeurCellule&gt;</v>
      </c>
    </row>
    <row r="9114" spans="1:1" x14ac:dyDescent="0.2">
      <c r="A9114" s="996" t="str">
        <f>CONCATENATE(Programme!D9115,Programme!E9115,Programme!F9115,Programme!G9115,Programme!H9115,Programme!I9115,Programme!J9115)</f>
        <v>&lt;cellule&gt;&lt;codeEdi&gt;1082&lt;/codeEdi&gt;&lt;/cellule&gt;</v>
      </c>
    </row>
    <row r="9115" spans="1:1" x14ac:dyDescent="0.2">
      <c r="A9115" s="996" t="str">
        <f>CONCATENATE(Programme!D9116,Programme!E9116,Programme!F9116,Programme!G9116,Programme!H9116,Programme!I9116,Programme!J9116)</f>
        <v>&lt;valeur&gt;&lt;/valeur&gt;</v>
      </c>
    </row>
    <row r="9116" spans="1:1" x14ac:dyDescent="0.2">
      <c r="A9116" s="996" t="str">
        <f>CONCATENATE(Programme!D9117,Programme!E9117,Programme!F9117,Programme!G9117,Programme!H9117,Programme!I9117,Programme!J9117)</f>
        <v>&lt;numeroLigne&gt;19&lt;/numeroLigne&gt;</v>
      </c>
    </row>
    <row r="9117" spans="1:1" x14ac:dyDescent="0.2">
      <c r="A9117" s="996" t="str">
        <f>CONCATENATE(Programme!D9118,Programme!E9118,Programme!F9118,Programme!G9118,Programme!H9118,Programme!I9118,Programme!J9118)</f>
        <v>&lt;/ValeurCellule&gt;</v>
      </c>
    </row>
    <row r="9118" spans="1:1" x14ac:dyDescent="0.2">
      <c r="A9118" s="996" t="str">
        <f>CONCATENATE(Programme!D9119,Programme!E9119,Programme!F9119,Programme!G9119,Programme!H9119,Programme!I9119,Programme!J9119)</f>
        <v>&lt;ValeurCellule&gt;</v>
      </c>
    </row>
    <row r="9119" spans="1:1" x14ac:dyDescent="0.2">
      <c r="A9119" s="996" t="str">
        <f>CONCATENATE(Programme!D9120,Programme!E9120,Programme!F9120,Programme!G9120,Programme!H9120,Programme!I9120,Programme!J9120)</f>
        <v>&lt;cellule&gt;&lt;codeEdi&gt;1083&lt;/codeEdi&gt;&lt;/cellule&gt;</v>
      </c>
    </row>
    <row r="9120" spans="1:1" x14ac:dyDescent="0.2">
      <c r="A9120" s="996" t="str">
        <f>CONCATENATE(Programme!D9121,Programme!E9121,Programme!F9121,Programme!G9121,Programme!H9121,Programme!I9121,Programme!J9121)</f>
        <v>&lt;valeur&gt;&lt;/valeur&gt;</v>
      </c>
    </row>
    <row r="9121" spans="1:1" x14ac:dyDescent="0.2">
      <c r="A9121" s="996" t="str">
        <f>CONCATENATE(Programme!D9122,Programme!E9122,Programme!F9122,Programme!G9122,Programme!H9122,Programme!I9122,Programme!J9122)</f>
        <v>&lt;numeroLigne&gt;19&lt;/numeroLigne&gt;</v>
      </c>
    </row>
    <row r="9122" spans="1:1" x14ac:dyDescent="0.2">
      <c r="A9122" s="996" t="str">
        <f>CONCATENATE(Programme!D9123,Programme!E9123,Programme!F9123,Programme!G9123,Programme!H9123,Programme!I9123,Programme!J9123)</f>
        <v>&lt;/ValeurCellule&gt;</v>
      </c>
    </row>
    <row r="9123" spans="1:1" x14ac:dyDescent="0.2">
      <c r="A9123" s="996" t="str">
        <f>CONCATENATE(Programme!D9124,Programme!E9124,Programme!F9124,Programme!G9124,Programme!H9124,Programme!I9124,Programme!J9124)</f>
        <v>&lt;ValeurCellule&gt;</v>
      </c>
    </row>
    <row r="9124" spans="1:1" x14ac:dyDescent="0.2">
      <c r="A9124" s="996" t="str">
        <f>CONCATENATE(Programme!D9125,Programme!E9125,Programme!F9125,Programme!G9125,Programme!H9125,Programme!I9125,Programme!J9125)</f>
        <v>&lt;cellule&gt;&lt;codeEdi&gt;1084&lt;/codeEdi&gt;&lt;/cellule&gt;</v>
      </c>
    </row>
    <row r="9125" spans="1:1" x14ac:dyDescent="0.2">
      <c r="A9125" s="996" t="str">
        <f>CONCATENATE(Programme!D9126,Programme!E9126,Programme!F9126,Programme!G9126,Programme!H9126,Programme!I9126,Programme!J9126)</f>
        <v>&lt;valeur&gt;&lt;/valeur&gt;</v>
      </c>
    </row>
    <row r="9126" spans="1:1" x14ac:dyDescent="0.2">
      <c r="A9126" s="996" t="str">
        <f>CONCATENATE(Programme!D9127,Programme!E9127,Programme!F9127,Programme!G9127,Programme!H9127,Programme!I9127,Programme!J9127)</f>
        <v>&lt;numeroLigne&gt;19&lt;/numeroLigne&gt;</v>
      </c>
    </row>
    <row r="9127" spans="1:1" x14ac:dyDescent="0.2">
      <c r="A9127" s="996" t="str">
        <f>CONCATENATE(Programme!D9128,Programme!E9128,Programme!F9128,Programme!G9128,Programme!H9128,Programme!I9128,Programme!J9128)</f>
        <v>&lt;/ValeurCellule&gt;</v>
      </c>
    </row>
    <row r="9128" spans="1:1" x14ac:dyDescent="0.2">
      <c r="A9128" s="996" t="str">
        <f>CONCATENATE(Programme!D9129,Programme!E9129,Programme!F9129,Programme!G9129,Programme!H9129,Programme!I9129,Programme!J9129)</f>
        <v>&lt;ValeurCellule&gt;</v>
      </c>
    </row>
    <row r="9129" spans="1:1" x14ac:dyDescent="0.2">
      <c r="A9129" s="996" t="str">
        <f>CONCATENATE(Programme!D9130,Programme!E9130,Programme!F9130,Programme!G9130,Programme!H9130,Programme!I9130,Programme!J9130)</f>
        <v>&lt;cellule&gt;&lt;codeEdi&gt;1085&lt;/codeEdi&gt;&lt;/cellule&gt;</v>
      </c>
    </row>
    <row r="9130" spans="1:1" x14ac:dyDescent="0.2">
      <c r="A9130" s="996" t="str">
        <f>CONCATENATE(Programme!D9131,Programme!E9131,Programme!F9131,Programme!G9131,Programme!H9131,Programme!I9131,Programme!J9131)</f>
        <v>&lt;valeur&gt;&lt;/valeur&gt;</v>
      </c>
    </row>
    <row r="9131" spans="1:1" x14ac:dyDescent="0.2">
      <c r="A9131" s="996" t="str">
        <f>CONCATENATE(Programme!D9132,Programme!E9132,Programme!F9132,Programme!G9132,Programme!H9132,Programme!I9132,Programme!J9132)</f>
        <v>&lt;numeroLigne&gt;19&lt;/numeroLigne&gt;</v>
      </c>
    </row>
    <row r="9132" spans="1:1" x14ac:dyDescent="0.2">
      <c r="A9132" s="996" t="str">
        <f>CONCATENATE(Programme!D9133,Programme!E9133,Programme!F9133,Programme!G9133,Programme!H9133,Programme!I9133,Programme!J9133)</f>
        <v>&lt;/ValeurCellule&gt;</v>
      </c>
    </row>
    <row r="9133" spans="1:1" x14ac:dyDescent="0.2">
      <c r="A9133" s="996" t="str">
        <f>CONCATENATE(Programme!D9134,Programme!E9134,Programme!F9134,Programme!G9134,Programme!H9134,Programme!I9134,Programme!J9134)</f>
        <v>&lt;ValeurCellule&gt;</v>
      </c>
    </row>
    <row r="9134" spans="1:1" x14ac:dyDescent="0.2">
      <c r="A9134" s="996" t="str">
        <f>CONCATENATE(Programme!D9135,Programme!E9135,Programme!F9135,Programme!G9135,Programme!H9135,Programme!I9135,Programme!J9135)</f>
        <v>&lt;cellule&gt;&lt;codeEdi&gt;1086&lt;/codeEdi&gt;&lt;/cellule&gt;</v>
      </c>
    </row>
    <row r="9135" spans="1:1" x14ac:dyDescent="0.2">
      <c r="A9135" s="996" t="str">
        <f>CONCATENATE(Programme!D9136,Programme!E9136,Programme!F9136,Programme!G9136,Programme!H9136,Programme!I9136,Programme!J9136)</f>
        <v>&lt;valeur&gt;&lt;/valeur&gt;</v>
      </c>
    </row>
    <row r="9136" spans="1:1" x14ac:dyDescent="0.2">
      <c r="A9136" s="996" t="str">
        <f>CONCATENATE(Programme!D9137,Programme!E9137,Programme!F9137,Programme!G9137,Programme!H9137,Programme!I9137,Programme!J9137)</f>
        <v>&lt;numeroLigne&gt;19&lt;/numeroLigne&gt;</v>
      </c>
    </row>
    <row r="9137" spans="1:1" x14ac:dyDescent="0.2">
      <c r="A9137" s="996" t="str">
        <f>CONCATENATE(Programme!D9138,Programme!E9138,Programme!F9138,Programme!G9138,Programme!H9138,Programme!I9138,Programme!J9138)</f>
        <v>&lt;/ValeurCellule&gt;</v>
      </c>
    </row>
    <row r="9138" spans="1:1" x14ac:dyDescent="0.2">
      <c r="A9138" s="996" t="str">
        <f>CONCATENATE(Programme!D9139,Programme!E9139,Programme!F9139,Programme!G9139,Programme!H9139,Programme!I9139,Programme!J9139)</f>
        <v>&lt;ValeurCellule&gt;</v>
      </c>
    </row>
    <row r="9139" spans="1:1" x14ac:dyDescent="0.2">
      <c r="A9139" s="996" t="str">
        <f>CONCATENATE(Programme!D9140,Programme!E9140,Programme!F9140,Programme!G9140,Programme!H9140,Programme!I9140,Programme!J9140)</f>
        <v>&lt;cellule&gt;&lt;codeEdi&gt;10061&lt;/codeEdi&gt;&lt;/cellule&gt;</v>
      </c>
    </row>
    <row r="9140" spans="1:1" x14ac:dyDescent="0.2">
      <c r="A9140" s="996" t="str">
        <f>CONCATENATE(Programme!D9141,Programme!E9141,Programme!F9141,Programme!G9141,Programme!H9141,Programme!I9141,Programme!J9141)</f>
        <v>&lt;valeur&gt;&lt;/valeur&gt;</v>
      </c>
    </row>
    <row r="9141" spans="1:1" x14ac:dyDescent="0.2">
      <c r="A9141" s="996" t="str">
        <f>CONCATENATE(Programme!D9142,Programme!E9142,Programme!F9142,Programme!G9142,Programme!H9142,Programme!I9142,Programme!J9142)</f>
        <v>&lt;numeroLigne&gt;20&lt;/numeroLigne&gt;</v>
      </c>
    </row>
    <row r="9142" spans="1:1" x14ac:dyDescent="0.2">
      <c r="A9142" s="996" t="str">
        <f>CONCATENATE(Programme!D9143,Programme!E9143,Programme!F9143,Programme!G9143,Programme!H9143,Programme!I9143,Programme!J9143)</f>
        <v>&lt;/ValeurCellule&gt;</v>
      </c>
    </row>
    <row r="9143" spans="1:1" x14ac:dyDescent="0.2">
      <c r="A9143" s="996" t="str">
        <f>CONCATENATE(Programme!D9144,Programme!E9144,Programme!F9144,Programme!G9144,Programme!H9144,Programme!I9144,Programme!J9144)</f>
        <v>&lt;ValeurCellule&gt;</v>
      </c>
    </row>
    <row r="9144" spans="1:1" x14ac:dyDescent="0.2">
      <c r="A9144" s="996" t="str">
        <f>CONCATENATE(Programme!D9145,Programme!E9145,Programme!F9145,Programme!G9145,Programme!H9145,Programme!I9145,Programme!J9145)</f>
        <v>&lt;cellule&gt;&lt;codeEdi&gt;1078&lt;/codeEdi&gt;&lt;/cellule&gt;</v>
      </c>
    </row>
    <row r="9145" spans="1:1" x14ac:dyDescent="0.2">
      <c r="A9145" s="996" t="str">
        <f>CONCATENATE(Programme!D9146,Programme!E9146,Programme!F9146,Programme!G9146,Programme!H9146,Programme!I9146,Programme!J9146)</f>
        <v>&lt;valeur&gt;&lt;/valeur&gt;</v>
      </c>
    </row>
    <row r="9146" spans="1:1" x14ac:dyDescent="0.2">
      <c r="A9146" s="996" t="str">
        <f>CONCATENATE(Programme!D9147,Programme!E9147,Programme!F9147,Programme!G9147,Programme!H9147,Programme!I9147,Programme!J9147)</f>
        <v>&lt;numeroLigne&gt;20&lt;/numeroLigne&gt;</v>
      </c>
    </row>
    <row r="9147" spans="1:1" x14ac:dyDescent="0.2">
      <c r="A9147" s="996" t="str">
        <f>CONCATENATE(Programme!D9148,Programme!E9148,Programme!F9148,Programme!G9148,Programme!H9148,Programme!I9148,Programme!J9148)</f>
        <v>&lt;/ValeurCellule&gt;</v>
      </c>
    </row>
    <row r="9148" spans="1:1" x14ac:dyDescent="0.2">
      <c r="A9148" s="996" t="str">
        <f>CONCATENATE(Programme!D9149,Programme!E9149,Programme!F9149,Programme!G9149,Programme!H9149,Programme!I9149,Programme!J9149)</f>
        <v>&lt;ValeurCellule&gt;</v>
      </c>
    </row>
    <row r="9149" spans="1:1" x14ac:dyDescent="0.2">
      <c r="A9149" s="996" t="str">
        <f>CONCATENATE(Programme!D9150,Programme!E9150,Programme!F9150,Programme!G9150,Programme!H9150,Programme!I9150,Programme!J9150)</f>
        <v>&lt;cellule&gt;&lt;codeEdi&gt;1079&lt;/codeEdi&gt;&lt;/cellule&gt;</v>
      </c>
    </row>
    <row r="9150" spans="1:1" x14ac:dyDescent="0.2">
      <c r="A9150" s="996" t="str">
        <f>CONCATENATE(Programme!D9151,Programme!E9151,Programme!F9151,Programme!G9151,Programme!H9151,Programme!I9151,Programme!J9151)</f>
        <v>&lt;valeur&gt;&lt;/valeur&gt;</v>
      </c>
    </row>
    <row r="9151" spans="1:1" x14ac:dyDescent="0.2">
      <c r="A9151" s="996" t="str">
        <f>CONCATENATE(Programme!D9152,Programme!E9152,Programme!F9152,Programme!G9152,Programme!H9152,Programme!I9152,Programme!J9152)</f>
        <v>&lt;numeroLigne&gt;20&lt;/numeroLigne&gt;</v>
      </c>
    </row>
    <row r="9152" spans="1:1" x14ac:dyDescent="0.2">
      <c r="A9152" s="996" t="str">
        <f>CONCATENATE(Programme!D9153,Programme!E9153,Programme!F9153,Programme!G9153,Programme!H9153,Programme!I9153,Programme!J9153)</f>
        <v>&lt;/ValeurCellule&gt;</v>
      </c>
    </row>
    <row r="9153" spans="1:1" x14ac:dyDescent="0.2">
      <c r="A9153" s="996" t="str">
        <f>CONCATENATE(Programme!D9154,Programme!E9154,Programme!F9154,Programme!G9154,Programme!H9154,Programme!I9154,Programme!J9154)</f>
        <v>&lt;ValeurCellule&gt;</v>
      </c>
    </row>
    <row r="9154" spans="1:1" x14ac:dyDescent="0.2">
      <c r="A9154" s="996" t="str">
        <f>CONCATENATE(Programme!D9155,Programme!E9155,Programme!F9155,Programme!G9155,Programme!H9155,Programme!I9155,Programme!J9155)</f>
        <v>&lt;cellule&gt;&lt;codeEdi&gt;1080&lt;/codeEdi&gt;&lt;/cellule&gt;</v>
      </c>
    </row>
    <row r="9155" spans="1:1" x14ac:dyDescent="0.2">
      <c r="A9155" s="996" t="str">
        <f>CONCATENATE(Programme!D9156,Programme!E9156,Programme!F9156,Programme!G9156,Programme!H9156,Programme!I9156,Programme!J9156)</f>
        <v>&lt;valeur&gt;&lt;/valeur&gt;</v>
      </c>
    </row>
    <row r="9156" spans="1:1" x14ac:dyDescent="0.2">
      <c r="A9156" s="996" t="str">
        <f>CONCATENATE(Programme!D9157,Programme!E9157,Programme!F9157,Programme!G9157,Programme!H9157,Programme!I9157,Programme!J9157)</f>
        <v>&lt;numeroLigne&gt;20&lt;/numeroLigne&gt;</v>
      </c>
    </row>
    <row r="9157" spans="1:1" x14ac:dyDescent="0.2">
      <c r="A9157" s="996" t="str">
        <f>CONCATENATE(Programme!D9158,Programme!E9158,Programme!F9158,Programme!G9158,Programme!H9158,Programme!I9158,Programme!J9158)</f>
        <v>&lt;/ValeurCellule&gt;</v>
      </c>
    </row>
    <row r="9158" spans="1:1" x14ac:dyDescent="0.2">
      <c r="A9158" s="996" t="str">
        <f>CONCATENATE(Programme!D9159,Programme!E9159,Programme!F9159,Programme!G9159,Programme!H9159,Programme!I9159,Programme!J9159)</f>
        <v>&lt;ValeurCellule&gt;</v>
      </c>
    </row>
    <row r="9159" spans="1:1" x14ac:dyDescent="0.2">
      <c r="A9159" s="996" t="str">
        <f>CONCATENATE(Programme!D9160,Programme!E9160,Programme!F9160,Programme!G9160,Programme!H9160,Programme!I9160,Programme!J9160)</f>
        <v>&lt;cellule&gt;&lt;codeEdi&gt;1081&lt;/codeEdi&gt;&lt;/cellule&gt;</v>
      </c>
    </row>
    <row r="9160" spans="1:1" x14ac:dyDescent="0.2">
      <c r="A9160" s="996" t="str">
        <f>CONCATENATE(Programme!D9161,Programme!E9161,Programme!F9161,Programme!G9161,Programme!H9161,Programme!I9161,Programme!J9161)</f>
        <v>&lt;valeur&gt;&lt;/valeur&gt;</v>
      </c>
    </row>
    <row r="9161" spans="1:1" x14ac:dyDescent="0.2">
      <c r="A9161" s="996" t="str">
        <f>CONCATENATE(Programme!D9162,Programme!E9162,Programme!F9162,Programme!G9162,Programme!H9162,Programme!I9162,Programme!J9162)</f>
        <v>&lt;numeroLigne&gt;20&lt;/numeroLigne&gt;</v>
      </c>
    </row>
    <row r="9162" spans="1:1" x14ac:dyDescent="0.2">
      <c r="A9162" s="996" t="str">
        <f>CONCATENATE(Programme!D9163,Programme!E9163,Programme!F9163,Programme!G9163,Programme!H9163,Programme!I9163,Programme!J9163)</f>
        <v>&lt;/ValeurCellule&gt;</v>
      </c>
    </row>
    <row r="9163" spans="1:1" x14ac:dyDescent="0.2">
      <c r="A9163" s="996" t="str">
        <f>CONCATENATE(Programme!D9164,Programme!E9164,Programme!F9164,Programme!G9164,Programme!H9164,Programme!I9164,Programme!J9164)</f>
        <v>&lt;ValeurCellule&gt;</v>
      </c>
    </row>
    <row r="9164" spans="1:1" x14ac:dyDescent="0.2">
      <c r="A9164" s="996" t="str">
        <f>CONCATENATE(Programme!D9165,Programme!E9165,Programme!F9165,Programme!G9165,Programme!H9165,Programme!I9165,Programme!J9165)</f>
        <v>&lt;cellule&gt;&lt;codeEdi&gt;1082&lt;/codeEdi&gt;&lt;/cellule&gt;</v>
      </c>
    </row>
    <row r="9165" spans="1:1" x14ac:dyDescent="0.2">
      <c r="A9165" s="996" t="str">
        <f>CONCATENATE(Programme!D9166,Programme!E9166,Programme!F9166,Programme!G9166,Programme!H9166,Programme!I9166,Programme!J9166)</f>
        <v>&lt;valeur&gt;&lt;/valeur&gt;</v>
      </c>
    </row>
    <row r="9166" spans="1:1" x14ac:dyDescent="0.2">
      <c r="A9166" s="996" t="str">
        <f>CONCATENATE(Programme!D9167,Programme!E9167,Programme!F9167,Programme!G9167,Programme!H9167,Programme!I9167,Programme!J9167)</f>
        <v>&lt;numeroLigne&gt;20&lt;/numeroLigne&gt;</v>
      </c>
    </row>
    <row r="9167" spans="1:1" x14ac:dyDescent="0.2">
      <c r="A9167" s="996" t="str">
        <f>CONCATENATE(Programme!D9168,Programme!E9168,Programme!F9168,Programme!G9168,Programme!H9168,Programme!I9168,Programme!J9168)</f>
        <v>&lt;/ValeurCellule&gt;</v>
      </c>
    </row>
    <row r="9168" spans="1:1" x14ac:dyDescent="0.2">
      <c r="A9168" s="996" t="str">
        <f>CONCATENATE(Programme!D9169,Programme!E9169,Programme!F9169,Programme!G9169,Programme!H9169,Programme!I9169,Programme!J9169)</f>
        <v>&lt;ValeurCellule&gt;</v>
      </c>
    </row>
    <row r="9169" spans="1:1" x14ac:dyDescent="0.2">
      <c r="A9169" s="996" t="str">
        <f>CONCATENATE(Programme!D9170,Programme!E9170,Programme!F9170,Programme!G9170,Programme!H9170,Programme!I9170,Programme!J9170)</f>
        <v>&lt;cellule&gt;&lt;codeEdi&gt;1083&lt;/codeEdi&gt;&lt;/cellule&gt;</v>
      </c>
    </row>
    <row r="9170" spans="1:1" x14ac:dyDescent="0.2">
      <c r="A9170" s="996" t="str">
        <f>CONCATENATE(Programme!D9171,Programme!E9171,Programme!F9171,Programme!G9171,Programme!H9171,Programme!I9171,Programme!J9171)</f>
        <v>&lt;valeur&gt;&lt;/valeur&gt;</v>
      </c>
    </row>
    <row r="9171" spans="1:1" x14ac:dyDescent="0.2">
      <c r="A9171" s="996" t="str">
        <f>CONCATENATE(Programme!D9172,Programme!E9172,Programme!F9172,Programme!G9172,Programme!H9172,Programme!I9172,Programme!J9172)</f>
        <v>&lt;numeroLigne&gt;20&lt;/numeroLigne&gt;</v>
      </c>
    </row>
    <row r="9172" spans="1:1" x14ac:dyDescent="0.2">
      <c r="A9172" s="996" t="str">
        <f>CONCATENATE(Programme!D9173,Programme!E9173,Programme!F9173,Programme!G9173,Programme!H9173,Programme!I9173,Programme!J9173)</f>
        <v>&lt;/ValeurCellule&gt;</v>
      </c>
    </row>
    <row r="9173" spans="1:1" x14ac:dyDescent="0.2">
      <c r="A9173" s="996" t="str">
        <f>CONCATENATE(Programme!D9174,Programme!E9174,Programme!F9174,Programme!G9174,Programme!H9174,Programme!I9174,Programme!J9174)</f>
        <v>&lt;ValeurCellule&gt;</v>
      </c>
    </row>
    <row r="9174" spans="1:1" x14ac:dyDescent="0.2">
      <c r="A9174" s="996" t="str">
        <f>CONCATENATE(Programme!D9175,Programme!E9175,Programme!F9175,Programme!G9175,Programme!H9175,Programme!I9175,Programme!J9175)</f>
        <v>&lt;cellule&gt;&lt;codeEdi&gt;1084&lt;/codeEdi&gt;&lt;/cellule&gt;</v>
      </c>
    </row>
    <row r="9175" spans="1:1" x14ac:dyDescent="0.2">
      <c r="A9175" s="996" t="str">
        <f>CONCATENATE(Programme!D9176,Programme!E9176,Programme!F9176,Programme!G9176,Programme!H9176,Programme!I9176,Programme!J9176)</f>
        <v>&lt;valeur&gt;&lt;/valeur&gt;</v>
      </c>
    </row>
    <row r="9176" spans="1:1" x14ac:dyDescent="0.2">
      <c r="A9176" s="996" t="str">
        <f>CONCATENATE(Programme!D9177,Programme!E9177,Programme!F9177,Programme!G9177,Programme!H9177,Programme!I9177,Programme!J9177)</f>
        <v>&lt;numeroLigne&gt;20&lt;/numeroLigne&gt;</v>
      </c>
    </row>
    <row r="9177" spans="1:1" x14ac:dyDescent="0.2">
      <c r="A9177" s="996" t="str">
        <f>CONCATENATE(Programme!D9178,Programme!E9178,Programme!F9178,Programme!G9178,Programme!H9178,Programme!I9178,Programme!J9178)</f>
        <v>&lt;/ValeurCellule&gt;</v>
      </c>
    </row>
    <row r="9178" spans="1:1" x14ac:dyDescent="0.2">
      <c r="A9178" s="996" t="str">
        <f>CONCATENATE(Programme!D9179,Programme!E9179,Programme!F9179,Programme!G9179,Programme!H9179,Programme!I9179,Programme!J9179)</f>
        <v>&lt;ValeurCellule&gt;</v>
      </c>
    </row>
    <row r="9179" spans="1:1" x14ac:dyDescent="0.2">
      <c r="A9179" s="996" t="str">
        <f>CONCATENATE(Programme!D9180,Programme!E9180,Programme!F9180,Programme!G9180,Programme!H9180,Programme!I9180,Programme!J9180)</f>
        <v>&lt;cellule&gt;&lt;codeEdi&gt;1085&lt;/codeEdi&gt;&lt;/cellule&gt;</v>
      </c>
    </row>
    <row r="9180" spans="1:1" x14ac:dyDescent="0.2">
      <c r="A9180" s="996" t="str">
        <f>CONCATENATE(Programme!D9181,Programme!E9181,Programme!F9181,Programme!G9181,Programme!H9181,Programme!I9181,Programme!J9181)</f>
        <v>&lt;valeur&gt;&lt;/valeur&gt;</v>
      </c>
    </row>
    <row r="9181" spans="1:1" x14ac:dyDescent="0.2">
      <c r="A9181" s="996" t="str">
        <f>CONCATENATE(Programme!D9182,Programme!E9182,Programme!F9182,Programme!G9182,Programme!H9182,Programme!I9182,Programme!J9182)</f>
        <v>&lt;numeroLigne&gt;20&lt;/numeroLigne&gt;</v>
      </c>
    </row>
    <row r="9182" spans="1:1" x14ac:dyDescent="0.2">
      <c r="A9182" s="996" t="str">
        <f>CONCATENATE(Programme!D9183,Programme!E9183,Programme!F9183,Programme!G9183,Programme!H9183,Programme!I9183,Programme!J9183)</f>
        <v>&lt;/ValeurCellule&gt;</v>
      </c>
    </row>
    <row r="9183" spans="1:1" x14ac:dyDescent="0.2">
      <c r="A9183" s="996" t="str">
        <f>CONCATENATE(Programme!D9184,Programme!E9184,Programme!F9184,Programme!G9184,Programme!H9184,Programme!I9184,Programme!J9184)</f>
        <v>&lt;ValeurCellule&gt;</v>
      </c>
    </row>
    <row r="9184" spans="1:1" x14ac:dyDescent="0.2">
      <c r="A9184" s="996" t="str">
        <f>CONCATENATE(Programme!D9185,Programme!E9185,Programme!F9185,Programme!G9185,Programme!H9185,Programme!I9185,Programme!J9185)</f>
        <v>&lt;cellule&gt;&lt;codeEdi&gt;1086&lt;/codeEdi&gt;&lt;/cellule&gt;</v>
      </c>
    </row>
    <row r="9185" spans="1:1" x14ac:dyDescent="0.2">
      <c r="A9185" s="996" t="str">
        <f>CONCATENATE(Programme!D9186,Programme!E9186,Programme!F9186,Programme!G9186,Programme!H9186,Programme!I9186,Programme!J9186)</f>
        <v>&lt;valeur&gt;&lt;/valeur&gt;</v>
      </c>
    </row>
    <row r="9186" spans="1:1" x14ac:dyDescent="0.2">
      <c r="A9186" s="996" t="str">
        <f>CONCATENATE(Programme!D9187,Programme!E9187,Programme!F9187,Programme!G9187,Programme!H9187,Programme!I9187,Programme!J9187)</f>
        <v>&lt;numeroLigne&gt;20&lt;/numeroLigne&gt;</v>
      </c>
    </row>
    <row r="9187" spans="1:1" x14ac:dyDescent="0.2">
      <c r="A9187" s="996" t="str">
        <f>CONCATENATE(Programme!D9188,Programme!E9188,Programme!F9188,Programme!G9188,Programme!H9188,Programme!I9188,Programme!J9188)</f>
        <v>&lt;/ValeurCellule&gt;</v>
      </c>
    </row>
    <row r="9188" spans="1:1" x14ac:dyDescent="0.2">
      <c r="A9188" s="996" t="str">
        <f>CONCATENATE(Programme!D9189,Programme!E9189,Programme!F9189,Programme!G9189,Programme!H9189,Programme!I9189,Programme!J9189)</f>
        <v>&lt;ValeurCellule&gt;</v>
      </c>
    </row>
    <row r="9189" spans="1:1" x14ac:dyDescent="0.2">
      <c r="A9189" s="996" t="str">
        <f>CONCATENATE(Programme!D9190,Programme!E9190,Programme!F9190,Programme!G9190,Programme!H9190,Programme!I9190,Programme!J9190)</f>
        <v>&lt;cellule&gt;&lt;codeEdi&gt;10061&lt;/codeEdi&gt;&lt;/cellule&gt;</v>
      </c>
    </row>
    <row r="9190" spans="1:1" x14ac:dyDescent="0.2">
      <c r="A9190" s="996" t="str">
        <f>CONCATENATE(Programme!D9191,Programme!E9191,Programme!F9191,Programme!G9191,Programme!H9191,Programme!I9191,Programme!J9191)</f>
        <v>&lt;valeur&gt;&lt;/valeur&gt;</v>
      </c>
    </row>
    <row r="9191" spans="1:1" x14ac:dyDescent="0.2">
      <c r="A9191" s="996" t="str">
        <f>CONCATENATE(Programme!D9192,Programme!E9192,Programme!F9192,Programme!G9192,Programme!H9192,Programme!I9192,Programme!J9192)</f>
        <v>&lt;numeroLigne&gt;21&lt;/numeroLigne&gt;</v>
      </c>
    </row>
    <row r="9192" spans="1:1" x14ac:dyDescent="0.2">
      <c r="A9192" s="996" t="str">
        <f>CONCATENATE(Programme!D9193,Programme!E9193,Programme!F9193,Programme!G9193,Programme!H9193,Programme!I9193,Programme!J9193)</f>
        <v>&lt;/ValeurCellule&gt;</v>
      </c>
    </row>
    <row r="9193" spans="1:1" x14ac:dyDescent="0.2">
      <c r="A9193" s="996" t="str">
        <f>CONCATENATE(Programme!D9194,Programme!E9194,Programme!F9194,Programme!G9194,Programme!H9194,Programme!I9194,Programme!J9194)</f>
        <v>&lt;ValeurCellule&gt;</v>
      </c>
    </row>
    <row r="9194" spans="1:1" x14ac:dyDescent="0.2">
      <c r="A9194" s="996" t="str">
        <f>CONCATENATE(Programme!D9195,Programme!E9195,Programme!F9195,Programme!G9195,Programme!H9195,Programme!I9195,Programme!J9195)</f>
        <v>&lt;cellule&gt;&lt;codeEdi&gt;1078&lt;/codeEdi&gt;&lt;/cellule&gt;</v>
      </c>
    </row>
    <row r="9195" spans="1:1" x14ac:dyDescent="0.2">
      <c r="A9195" s="996" t="str">
        <f>CONCATENATE(Programme!D9196,Programme!E9196,Programme!F9196,Programme!G9196,Programme!H9196,Programme!I9196,Programme!J9196)</f>
        <v>&lt;valeur&gt;&lt;/valeur&gt;</v>
      </c>
    </row>
    <row r="9196" spans="1:1" x14ac:dyDescent="0.2">
      <c r="A9196" s="996" t="str">
        <f>CONCATENATE(Programme!D9197,Programme!E9197,Programme!F9197,Programme!G9197,Programme!H9197,Programme!I9197,Programme!J9197)</f>
        <v>&lt;numeroLigne&gt;21&lt;/numeroLigne&gt;</v>
      </c>
    </row>
    <row r="9197" spans="1:1" x14ac:dyDescent="0.2">
      <c r="A9197" s="996" t="str">
        <f>CONCATENATE(Programme!D9198,Programme!E9198,Programme!F9198,Programme!G9198,Programme!H9198,Programme!I9198,Programme!J9198)</f>
        <v>&lt;/ValeurCellule&gt;</v>
      </c>
    </row>
    <row r="9198" spans="1:1" x14ac:dyDescent="0.2">
      <c r="A9198" s="996" t="str">
        <f>CONCATENATE(Programme!D9199,Programme!E9199,Programme!F9199,Programme!G9199,Programme!H9199,Programme!I9199,Programme!J9199)</f>
        <v>&lt;ValeurCellule&gt;</v>
      </c>
    </row>
    <row r="9199" spans="1:1" x14ac:dyDescent="0.2">
      <c r="A9199" s="996" t="str">
        <f>CONCATENATE(Programme!D9200,Programme!E9200,Programme!F9200,Programme!G9200,Programme!H9200,Programme!I9200,Programme!J9200)</f>
        <v>&lt;cellule&gt;&lt;codeEdi&gt;1079&lt;/codeEdi&gt;&lt;/cellule&gt;</v>
      </c>
    </row>
    <row r="9200" spans="1:1" x14ac:dyDescent="0.2">
      <c r="A9200" s="996" t="str">
        <f>CONCATENATE(Programme!D9201,Programme!E9201,Programme!F9201,Programme!G9201,Programme!H9201,Programme!I9201,Programme!J9201)</f>
        <v>&lt;valeur&gt;&lt;/valeur&gt;</v>
      </c>
    </row>
    <row r="9201" spans="1:1" x14ac:dyDescent="0.2">
      <c r="A9201" s="996" t="str">
        <f>CONCATENATE(Programme!D9202,Programme!E9202,Programme!F9202,Programme!G9202,Programme!H9202,Programme!I9202,Programme!J9202)</f>
        <v>&lt;numeroLigne&gt;21&lt;/numeroLigne&gt;</v>
      </c>
    </row>
    <row r="9202" spans="1:1" x14ac:dyDescent="0.2">
      <c r="A9202" s="996" t="str">
        <f>CONCATENATE(Programme!D9203,Programme!E9203,Programme!F9203,Programme!G9203,Programme!H9203,Programme!I9203,Programme!J9203)</f>
        <v>&lt;/ValeurCellule&gt;</v>
      </c>
    </row>
    <row r="9203" spans="1:1" x14ac:dyDescent="0.2">
      <c r="A9203" s="996" t="str">
        <f>CONCATENATE(Programme!D9204,Programme!E9204,Programme!F9204,Programme!G9204,Programme!H9204,Programme!I9204,Programme!J9204)</f>
        <v>&lt;ValeurCellule&gt;</v>
      </c>
    </row>
    <row r="9204" spans="1:1" x14ac:dyDescent="0.2">
      <c r="A9204" s="996" t="str">
        <f>CONCATENATE(Programme!D9205,Programme!E9205,Programme!F9205,Programme!G9205,Programme!H9205,Programme!I9205,Programme!J9205)</f>
        <v>&lt;cellule&gt;&lt;codeEdi&gt;1080&lt;/codeEdi&gt;&lt;/cellule&gt;</v>
      </c>
    </row>
    <row r="9205" spans="1:1" x14ac:dyDescent="0.2">
      <c r="A9205" s="996" t="str">
        <f>CONCATENATE(Programme!D9206,Programme!E9206,Programme!F9206,Programme!G9206,Programme!H9206,Programme!I9206,Programme!J9206)</f>
        <v>&lt;valeur&gt;&lt;/valeur&gt;</v>
      </c>
    </row>
    <row r="9206" spans="1:1" x14ac:dyDescent="0.2">
      <c r="A9206" s="996" t="str">
        <f>CONCATENATE(Programme!D9207,Programme!E9207,Programme!F9207,Programme!G9207,Programme!H9207,Programme!I9207,Programme!J9207)</f>
        <v>&lt;numeroLigne&gt;21&lt;/numeroLigne&gt;</v>
      </c>
    </row>
    <row r="9207" spans="1:1" x14ac:dyDescent="0.2">
      <c r="A9207" s="996" t="str">
        <f>CONCATENATE(Programme!D9208,Programme!E9208,Programme!F9208,Programme!G9208,Programme!H9208,Programme!I9208,Programme!J9208)</f>
        <v>&lt;/ValeurCellule&gt;</v>
      </c>
    </row>
    <row r="9208" spans="1:1" x14ac:dyDescent="0.2">
      <c r="A9208" s="996" t="str">
        <f>CONCATENATE(Programme!D9209,Programme!E9209,Programme!F9209,Programme!G9209,Programme!H9209,Programme!I9209,Programme!J9209)</f>
        <v>&lt;ValeurCellule&gt;</v>
      </c>
    </row>
    <row r="9209" spans="1:1" x14ac:dyDescent="0.2">
      <c r="A9209" s="996" t="str">
        <f>CONCATENATE(Programme!D9210,Programme!E9210,Programme!F9210,Programme!G9210,Programme!H9210,Programme!I9210,Programme!J9210)</f>
        <v>&lt;cellule&gt;&lt;codeEdi&gt;1081&lt;/codeEdi&gt;&lt;/cellule&gt;</v>
      </c>
    </row>
    <row r="9210" spans="1:1" x14ac:dyDescent="0.2">
      <c r="A9210" s="996" t="str">
        <f>CONCATENATE(Programme!D9211,Programme!E9211,Programme!F9211,Programme!G9211,Programme!H9211,Programme!I9211,Programme!J9211)</f>
        <v>&lt;valeur&gt;&lt;/valeur&gt;</v>
      </c>
    </row>
    <row r="9211" spans="1:1" x14ac:dyDescent="0.2">
      <c r="A9211" s="996" t="str">
        <f>CONCATENATE(Programme!D9212,Programme!E9212,Programme!F9212,Programme!G9212,Programme!H9212,Programme!I9212,Programme!J9212)</f>
        <v>&lt;numeroLigne&gt;21&lt;/numeroLigne&gt;</v>
      </c>
    </row>
    <row r="9212" spans="1:1" x14ac:dyDescent="0.2">
      <c r="A9212" s="996" t="str">
        <f>CONCATENATE(Programme!D9213,Programme!E9213,Programme!F9213,Programme!G9213,Programme!H9213,Programme!I9213,Programme!J9213)</f>
        <v>&lt;/ValeurCellule&gt;</v>
      </c>
    </row>
    <row r="9213" spans="1:1" x14ac:dyDescent="0.2">
      <c r="A9213" s="996" t="str">
        <f>CONCATENATE(Programme!D9214,Programme!E9214,Programme!F9214,Programme!G9214,Programme!H9214,Programme!I9214,Programme!J9214)</f>
        <v>&lt;ValeurCellule&gt;</v>
      </c>
    </row>
    <row r="9214" spans="1:1" x14ac:dyDescent="0.2">
      <c r="A9214" s="996" t="str">
        <f>CONCATENATE(Programme!D9215,Programme!E9215,Programme!F9215,Programme!G9215,Programme!H9215,Programme!I9215,Programme!J9215)</f>
        <v>&lt;cellule&gt;&lt;codeEdi&gt;1082&lt;/codeEdi&gt;&lt;/cellule&gt;</v>
      </c>
    </row>
    <row r="9215" spans="1:1" x14ac:dyDescent="0.2">
      <c r="A9215" s="996" t="str">
        <f>CONCATENATE(Programme!D9216,Programme!E9216,Programme!F9216,Programme!G9216,Programme!H9216,Programme!I9216,Programme!J9216)</f>
        <v>&lt;valeur&gt;&lt;/valeur&gt;</v>
      </c>
    </row>
    <row r="9216" spans="1:1" x14ac:dyDescent="0.2">
      <c r="A9216" s="996" t="str">
        <f>CONCATENATE(Programme!D9217,Programme!E9217,Programme!F9217,Programme!G9217,Programme!H9217,Programme!I9217,Programme!J9217)</f>
        <v>&lt;numeroLigne&gt;21&lt;/numeroLigne&gt;</v>
      </c>
    </row>
    <row r="9217" spans="1:1" x14ac:dyDescent="0.2">
      <c r="A9217" s="996" t="str">
        <f>CONCATENATE(Programme!D9218,Programme!E9218,Programme!F9218,Programme!G9218,Programme!H9218,Programme!I9218,Programme!J9218)</f>
        <v>&lt;/ValeurCellule&gt;</v>
      </c>
    </row>
    <row r="9218" spans="1:1" x14ac:dyDescent="0.2">
      <c r="A9218" s="996" t="str">
        <f>CONCATENATE(Programme!D9219,Programme!E9219,Programme!F9219,Programme!G9219,Programme!H9219,Programme!I9219,Programme!J9219)</f>
        <v>&lt;ValeurCellule&gt;</v>
      </c>
    </row>
    <row r="9219" spans="1:1" x14ac:dyDescent="0.2">
      <c r="A9219" s="996" t="str">
        <f>CONCATENATE(Programme!D9220,Programme!E9220,Programme!F9220,Programme!G9220,Programme!H9220,Programme!I9220,Programme!J9220)</f>
        <v>&lt;cellule&gt;&lt;codeEdi&gt;1083&lt;/codeEdi&gt;&lt;/cellule&gt;</v>
      </c>
    </row>
    <row r="9220" spans="1:1" x14ac:dyDescent="0.2">
      <c r="A9220" s="996" t="str">
        <f>CONCATENATE(Programme!D9221,Programme!E9221,Programme!F9221,Programme!G9221,Programme!H9221,Programme!I9221,Programme!J9221)</f>
        <v>&lt;valeur&gt;&lt;/valeur&gt;</v>
      </c>
    </row>
    <row r="9221" spans="1:1" x14ac:dyDescent="0.2">
      <c r="A9221" s="996" t="str">
        <f>CONCATENATE(Programme!D9222,Programme!E9222,Programme!F9222,Programme!G9222,Programme!H9222,Programme!I9222,Programme!J9222)</f>
        <v>&lt;numeroLigne&gt;21&lt;/numeroLigne&gt;</v>
      </c>
    </row>
    <row r="9222" spans="1:1" x14ac:dyDescent="0.2">
      <c r="A9222" s="996" t="str">
        <f>CONCATENATE(Programme!D9223,Programme!E9223,Programme!F9223,Programme!G9223,Programme!H9223,Programme!I9223,Programme!J9223)</f>
        <v>&lt;/ValeurCellule&gt;</v>
      </c>
    </row>
    <row r="9223" spans="1:1" x14ac:dyDescent="0.2">
      <c r="A9223" s="996" t="str">
        <f>CONCATENATE(Programme!D9224,Programme!E9224,Programme!F9224,Programme!G9224,Programme!H9224,Programme!I9224,Programme!J9224)</f>
        <v>&lt;ValeurCellule&gt;</v>
      </c>
    </row>
    <row r="9224" spans="1:1" x14ac:dyDescent="0.2">
      <c r="A9224" s="996" t="str">
        <f>CONCATENATE(Programme!D9225,Programme!E9225,Programme!F9225,Programme!G9225,Programme!H9225,Programme!I9225,Programme!J9225)</f>
        <v>&lt;cellule&gt;&lt;codeEdi&gt;1084&lt;/codeEdi&gt;&lt;/cellule&gt;</v>
      </c>
    </row>
    <row r="9225" spans="1:1" x14ac:dyDescent="0.2">
      <c r="A9225" s="996" t="str">
        <f>CONCATENATE(Programme!D9226,Programme!E9226,Programme!F9226,Programme!G9226,Programme!H9226,Programme!I9226,Programme!J9226)</f>
        <v>&lt;valeur&gt;&lt;/valeur&gt;</v>
      </c>
    </row>
    <row r="9226" spans="1:1" x14ac:dyDescent="0.2">
      <c r="A9226" s="996" t="str">
        <f>CONCATENATE(Programme!D9227,Programme!E9227,Programme!F9227,Programme!G9227,Programme!H9227,Programme!I9227,Programme!J9227)</f>
        <v>&lt;numeroLigne&gt;21&lt;/numeroLigne&gt;</v>
      </c>
    </row>
    <row r="9227" spans="1:1" x14ac:dyDescent="0.2">
      <c r="A9227" s="996" t="str">
        <f>CONCATENATE(Programme!D9228,Programme!E9228,Programme!F9228,Programme!G9228,Programme!H9228,Programme!I9228,Programme!J9228)</f>
        <v>&lt;/ValeurCellule&gt;</v>
      </c>
    </row>
    <row r="9228" spans="1:1" x14ac:dyDescent="0.2">
      <c r="A9228" s="996" t="str">
        <f>CONCATENATE(Programme!D9229,Programme!E9229,Programme!F9229,Programme!G9229,Programme!H9229,Programme!I9229,Programme!J9229)</f>
        <v>&lt;ValeurCellule&gt;</v>
      </c>
    </row>
    <row r="9229" spans="1:1" x14ac:dyDescent="0.2">
      <c r="A9229" s="996" t="str">
        <f>CONCATENATE(Programme!D9230,Programme!E9230,Programme!F9230,Programme!G9230,Programme!H9230,Programme!I9230,Programme!J9230)</f>
        <v>&lt;cellule&gt;&lt;codeEdi&gt;1085&lt;/codeEdi&gt;&lt;/cellule&gt;</v>
      </c>
    </row>
    <row r="9230" spans="1:1" x14ac:dyDescent="0.2">
      <c r="A9230" s="996" t="str">
        <f>CONCATENATE(Programme!D9231,Programme!E9231,Programme!F9231,Programme!G9231,Programme!H9231,Programme!I9231,Programme!J9231)</f>
        <v>&lt;valeur&gt;&lt;/valeur&gt;</v>
      </c>
    </row>
    <row r="9231" spans="1:1" x14ac:dyDescent="0.2">
      <c r="A9231" s="996" t="str">
        <f>CONCATENATE(Programme!D9232,Programme!E9232,Programme!F9232,Programme!G9232,Programme!H9232,Programme!I9232,Programme!J9232)</f>
        <v>&lt;numeroLigne&gt;21&lt;/numeroLigne&gt;</v>
      </c>
    </row>
    <row r="9232" spans="1:1" x14ac:dyDescent="0.2">
      <c r="A9232" s="996" t="str">
        <f>CONCATENATE(Programme!D9233,Programme!E9233,Programme!F9233,Programme!G9233,Programme!H9233,Programme!I9233,Programme!J9233)</f>
        <v>&lt;/ValeurCellule&gt;</v>
      </c>
    </row>
    <row r="9233" spans="1:1" x14ac:dyDescent="0.2">
      <c r="A9233" s="996" t="str">
        <f>CONCATENATE(Programme!D9234,Programme!E9234,Programme!F9234,Programme!G9234,Programme!H9234,Programme!I9234,Programme!J9234)</f>
        <v>&lt;ValeurCellule&gt;</v>
      </c>
    </row>
    <row r="9234" spans="1:1" x14ac:dyDescent="0.2">
      <c r="A9234" s="996" t="str">
        <f>CONCATENATE(Programme!D9235,Programme!E9235,Programme!F9235,Programme!G9235,Programme!H9235,Programme!I9235,Programme!J9235)</f>
        <v>&lt;cellule&gt;&lt;codeEdi&gt;1086&lt;/codeEdi&gt;&lt;/cellule&gt;</v>
      </c>
    </row>
    <row r="9235" spans="1:1" x14ac:dyDescent="0.2">
      <c r="A9235" s="996" t="str">
        <f>CONCATENATE(Programme!D9236,Programme!E9236,Programme!F9236,Programme!G9236,Programme!H9236,Programme!I9236,Programme!J9236)</f>
        <v>&lt;valeur&gt;&lt;/valeur&gt;</v>
      </c>
    </row>
    <row r="9236" spans="1:1" x14ac:dyDescent="0.2">
      <c r="A9236" s="996" t="str">
        <f>CONCATENATE(Programme!D9237,Programme!E9237,Programme!F9237,Programme!G9237,Programme!H9237,Programme!I9237,Programme!J9237)</f>
        <v>&lt;numeroLigne&gt;21&lt;/numeroLigne&gt;</v>
      </c>
    </row>
    <row r="9237" spans="1:1" x14ac:dyDescent="0.2">
      <c r="A9237" s="996" t="str">
        <f>CONCATENATE(Programme!D9238,Programme!E9238,Programme!F9238,Programme!G9238,Programme!H9238,Programme!I9238,Programme!J9238)</f>
        <v>&lt;/ValeurCellule&gt;</v>
      </c>
    </row>
    <row r="9238" spans="1:1" x14ac:dyDescent="0.2">
      <c r="A9238" s="996" t="str">
        <f>CONCATENATE(Programme!D9239,Programme!E9239,Programme!F9239,Programme!G9239,Programme!H9239,Programme!I9239,Programme!J9239)</f>
        <v>&lt;ValeurCellule&gt;</v>
      </c>
    </row>
    <row r="9239" spans="1:1" x14ac:dyDescent="0.2">
      <c r="A9239" s="996" t="str">
        <f>CONCATENATE(Programme!D9240,Programme!E9240,Programme!F9240,Programme!G9240,Programme!H9240,Programme!I9240,Programme!J9240)</f>
        <v>&lt;cellule&gt;&lt;codeEdi&gt;10061&lt;/codeEdi&gt;&lt;/cellule&gt;</v>
      </c>
    </row>
    <row r="9240" spans="1:1" x14ac:dyDescent="0.2">
      <c r="A9240" s="996" t="str">
        <f>CONCATENATE(Programme!D9241,Programme!E9241,Programme!F9241,Programme!G9241,Programme!H9241,Programme!I9241,Programme!J9241)</f>
        <v>&lt;valeur&gt;&lt;/valeur&gt;</v>
      </c>
    </row>
    <row r="9241" spans="1:1" x14ac:dyDescent="0.2">
      <c r="A9241" s="996" t="str">
        <f>CONCATENATE(Programme!D9242,Programme!E9242,Programme!F9242,Programme!G9242,Programme!H9242,Programme!I9242,Programme!J9242)</f>
        <v>&lt;numeroLigne&gt;22&lt;/numeroLigne&gt;</v>
      </c>
    </row>
    <row r="9242" spans="1:1" x14ac:dyDescent="0.2">
      <c r="A9242" s="996" t="str">
        <f>CONCATENATE(Programme!D9243,Programme!E9243,Programme!F9243,Programme!G9243,Programme!H9243,Programme!I9243,Programme!J9243)</f>
        <v>&lt;/ValeurCellule&gt;</v>
      </c>
    </row>
    <row r="9243" spans="1:1" x14ac:dyDescent="0.2">
      <c r="A9243" s="996" t="str">
        <f>CONCATENATE(Programme!D9244,Programme!E9244,Programme!F9244,Programme!G9244,Programme!H9244,Programme!I9244,Programme!J9244)</f>
        <v>&lt;ValeurCellule&gt;</v>
      </c>
    </row>
    <row r="9244" spans="1:1" x14ac:dyDescent="0.2">
      <c r="A9244" s="996" t="str">
        <f>CONCATENATE(Programme!D9245,Programme!E9245,Programme!F9245,Programme!G9245,Programme!H9245,Programme!I9245,Programme!J9245)</f>
        <v>&lt;cellule&gt;&lt;codeEdi&gt;1078&lt;/codeEdi&gt;&lt;/cellule&gt;</v>
      </c>
    </row>
    <row r="9245" spans="1:1" x14ac:dyDescent="0.2">
      <c r="A9245" s="996" t="str">
        <f>CONCATENATE(Programme!D9246,Programme!E9246,Programme!F9246,Programme!G9246,Programme!H9246,Programme!I9246,Programme!J9246)</f>
        <v>&lt;valeur&gt;&lt;/valeur&gt;</v>
      </c>
    </row>
    <row r="9246" spans="1:1" x14ac:dyDescent="0.2">
      <c r="A9246" s="996" t="str">
        <f>CONCATENATE(Programme!D9247,Programme!E9247,Programme!F9247,Programme!G9247,Programme!H9247,Programme!I9247,Programme!J9247)</f>
        <v>&lt;numeroLigne&gt;22&lt;/numeroLigne&gt;</v>
      </c>
    </row>
    <row r="9247" spans="1:1" x14ac:dyDescent="0.2">
      <c r="A9247" s="996" t="str">
        <f>CONCATENATE(Programme!D9248,Programme!E9248,Programme!F9248,Programme!G9248,Programme!H9248,Programme!I9248,Programme!J9248)</f>
        <v>&lt;/ValeurCellule&gt;</v>
      </c>
    </row>
    <row r="9248" spans="1:1" x14ac:dyDescent="0.2">
      <c r="A9248" s="996" t="str">
        <f>CONCATENATE(Programme!D9249,Programme!E9249,Programme!F9249,Programme!G9249,Programme!H9249,Programme!I9249,Programme!J9249)</f>
        <v>&lt;ValeurCellule&gt;</v>
      </c>
    </row>
    <row r="9249" spans="1:1" x14ac:dyDescent="0.2">
      <c r="A9249" s="996" t="str">
        <f>CONCATENATE(Programme!D9250,Programme!E9250,Programme!F9250,Programme!G9250,Programme!H9250,Programme!I9250,Programme!J9250)</f>
        <v>&lt;cellule&gt;&lt;codeEdi&gt;1079&lt;/codeEdi&gt;&lt;/cellule&gt;</v>
      </c>
    </row>
    <row r="9250" spans="1:1" x14ac:dyDescent="0.2">
      <c r="A9250" s="996" t="str">
        <f>CONCATENATE(Programme!D9251,Programme!E9251,Programme!F9251,Programme!G9251,Programme!H9251,Programme!I9251,Programme!J9251)</f>
        <v>&lt;valeur&gt;&lt;/valeur&gt;</v>
      </c>
    </row>
    <row r="9251" spans="1:1" x14ac:dyDescent="0.2">
      <c r="A9251" s="996" t="str">
        <f>CONCATENATE(Programme!D9252,Programme!E9252,Programme!F9252,Programme!G9252,Programme!H9252,Programme!I9252,Programme!J9252)</f>
        <v>&lt;numeroLigne&gt;22&lt;/numeroLigne&gt;</v>
      </c>
    </row>
    <row r="9252" spans="1:1" x14ac:dyDescent="0.2">
      <c r="A9252" s="996" t="str">
        <f>CONCATENATE(Programme!D9253,Programme!E9253,Programme!F9253,Programme!G9253,Programme!H9253,Programme!I9253,Programme!J9253)</f>
        <v>&lt;/ValeurCellule&gt;</v>
      </c>
    </row>
    <row r="9253" spans="1:1" x14ac:dyDescent="0.2">
      <c r="A9253" s="996" t="str">
        <f>CONCATENATE(Programme!D9254,Programme!E9254,Programme!F9254,Programme!G9254,Programme!H9254,Programme!I9254,Programme!J9254)</f>
        <v>&lt;ValeurCellule&gt;</v>
      </c>
    </row>
    <row r="9254" spans="1:1" x14ac:dyDescent="0.2">
      <c r="A9254" s="996" t="str">
        <f>CONCATENATE(Programme!D9255,Programme!E9255,Programme!F9255,Programme!G9255,Programme!H9255,Programme!I9255,Programme!J9255)</f>
        <v>&lt;cellule&gt;&lt;codeEdi&gt;1080&lt;/codeEdi&gt;&lt;/cellule&gt;</v>
      </c>
    </row>
    <row r="9255" spans="1:1" x14ac:dyDescent="0.2">
      <c r="A9255" s="996" t="str">
        <f>CONCATENATE(Programme!D9256,Programme!E9256,Programme!F9256,Programme!G9256,Programme!H9256,Programme!I9256,Programme!J9256)</f>
        <v>&lt;valeur&gt;&lt;/valeur&gt;</v>
      </c>
    </row>
    <row r="9256" spans="1:1" x14ac:dyDescent="0.2">
      <c r="A9256" s="996" t="str">
        <f>CONCATENATE(Programme!D9257,Programme!E9257,Programme!F9257,Programme!G9257,Programme!H9257,Programme!I9257,Programme!J9257)</f>
        <v>&lt;numeroLigne&gt;22&lt;/numeroLigne&gt;</v>
      </c>
    </row>
    <row r="9257" spans="1:1" x14ac:dyDescent="0.2">
      <c r="A9257" s="996" t="str">
        <f>CONCATENATE(Programme!D9258,Programme!E9258,Programme!F9258,Programme!G9258,Programme!H9258,Programme!I9258,Programme!J9258)</f>
        <v>&lt;/ValeurCellule&gt;</v>
      </c>
    </row>
    <row r="9258" spans="1:1" x14ac:dyDescent="0.2">
      <c r="A9258" s="996" t="str">
        <f>CONCATENATE(Programme!D9259,Programme!E9259,Programme!F9259,Programme!G9259,Programme!H9259,Programme!I9259,Programme!J9259)</f>
        <v>&lt;ValeurCellule&gt;</v>
      </c>
    </row>
    <row r="9259" spans="1:1" x14ac:dyDescent="0.2">
      <c r="A9259" s="996" t="str">
        <f>CONCATENATE(Programme!D9260,Programme!E9260,Programme!F9260,Programme!G9260,Programme!H9260,Programme!I9260,Programme!J9260)</f>
        <v>&lt;cellule&gt;&lt;codeEdi&gt;1081&lt;/codeEdi&gt;&lt;/cellule&gt;</v>
      </c>
    </row>
    <row r="9260" spans="1:1" x14ac:dyDescent="0.2">
      <c r="A9260" s="996" t="str">
        <f>CONCATENATE(Programme!D9261,Programme!E9261,Programme!F9261,Programme!G9261,Programme!H9261,Programme!I9261,Programme!J9261)</f>
        <v>&lt;valeur&gt;&lt;/valeur&gt;</v>
      </c>
    </row>
    <row r="9261" spans="1:1" x14ac:dyDescent="0.2">
      <c r="A9261" s="996" t="str">
        <f>CONCATENATE(Programme!D9262,Programme!E9262,Programme!F9262,Programme!G9262,Programme!H9262,Programme!I9262,Programme!J9262)</f>
        <v>&lt;numeroLigne&gt;22&lt;/numeroLigne&gt;</v>
      </c>
    </row>
    <row r="9262" spans="1:1" x14ac:dyDescent="0.2">
      <c r="A9262" s="996" t="str">
        <f>CONCATENATE(Programme!D9263,Programme!E9263,Programme!F9263,Programme!G9263,Programme!H9263,Programme!I9263,Programme!J9263)</f>
        <v>&lt;/ValeurCellule&gt;</v>
      </c>
    </row>
    <row r="9263" spans="1:1" x14ac:dyDescent="0.2">
      <c r="A9263" s="996" t="str">
        <f>CONCATENATE(Programme!D9264,Programme!E9264,Programme!F9264,Programme!G9264,Programme!H9264,Programme!I9264,Programme!J9264)</f>
        <v>&lt;ValeurCellule&gt;</v>
      </c>
    </row>
    <row r="9264" spans="1:1" x14ac:dyDescent="0.2">
      <c r="A9264" s="996" t="str">
        <f>CONCATENATE(Programme!D9265,Programme!E9265,Programme!F9265,Programme!G9265,Programme!H9265,Programme!I9265,Programme!J9265)</f>
        <v>&lt;cellule&gt;&lt;codeEdi&gt;1082&lt;/codeEdi&gt;&lt;/cellule&gt;</v>
      </c>
    </row>
    <row r="9265" spans="1:1" x14ac:dyDescent="0.2">
      <c r="A9265" s="996" t="str">
        <f>CONCATENATE(Programme!D9266,Programme!E9266,Programme!F9266,Programme!G9266,Programme!H9266,Programme!I9266,Programme!J9266)</f>
        <v>&lt;valeur&gt;&lt;/valeur&gt;</v>
      </c>
    </row>
    <row r="9266" spans="1:1" x14ac:dyDescent="0.2">
      <c r="A9266" s="996" t="str">
        <f>CONCATENATE(Programme!D9267,Programme!E9267,Programme!F9267,Programme!G9267,Programme!H9267,Programme!I9267,Programme!J9267)</f>
        <v>&lt;numeroLigne&gt;22&lt;/numeroLigne&gt;</v>
      </c>
    </row>
    <row r="9267" spans="1:1" x14ac:dyDescent="0.2">
      <c r="A9267" s="996" t="str">
        <f>CONCATENATE(Programme!D9268,Programme!E9268,Programme!F9268,Programme!G9268,Programme!H9268,Programme!I9268,Programme!J9268)</f>
        <v>&lt;/ValeurCellule&gt;</v>
      </c>
    </row>
    <row r="9268" spans="1:1" x14ac:dyDescent="0.2">
      <c r="A9268" s="996" t="str">
        <f>CONCATENATE(Programme!D9269,Programme!E9269,Programme!F9269,Programme!G9269,Programme!H9269,Programme!I9269,Programme!J9269)</f>
        <v>&lt;ValeurCellule&gt;</v>
      </c>
    </row>
    <row r="9269" spans="1:1" x14ac:dyDescent="0.2">
      <c r="A9269" s="996" t="str">
        <f>CONCATENATE(Programme!D9270,Programme!E9270,Programme!F9270,Programme!G9270,Programme!H9270,Programme!I9270,Programme!J9270)</f>
        <v>&lt;cellule&gt;&lt;codeEdi&gt;1083&lt;/codeEdi&gt;&lt;/cellule&gt;</v>
      </c>
    </row>
    <row r="9270" spans="1:1" x14ac:dyDescent="0.2">
      <c r="A9270" s="996" t="str">
        <f>CONCATENATE(Programme!D9271,Programme!E9271,Programme!F9271,Programme!G9271,Programme!H9271,Programme!I9271,Programme!J9271)</f>
        <v>&lt;valeur&gt;&lt;/valeur&gt;</v>
      </c>
    </row>
    <row r="9271" spans="1:1" x14ac:dyDescent="0.2">
      <c r="A9271" s="996" t="str">
        <f>CONCATENATE(Programme!D9272,Programme!E9272,Programme!F9272,Programme!G9272,Programme!H9272,Programme!I9272,Programme!J9272)</f>
        <v>&lt;numeroLigne&gt;22&lt;/numeroLigne&gt;</v>
      </c>
    </row>
    <row r="9272" spans="1:1" x14ac:dyDescent="0.2">
      <c r="A9272" s="996" t="str">
        <f>CONCATENATE(Programme!D9273,Programme!E9273,Programme!F9273,Programme!G9273,Programme!H9273,Programme!I9273,Programme!J9273)</f>
        <v>&lt;/ValeurCellule&gt;</v>
      </c>
    </row>
    <row r="9273" spans="1:1" x14ac:dyDescent="0.2">
      <c r="A9273" s="996" t="str">
        <f>CONCATENATE(Programme!D9274,Programme!E9274,Programme!F9274,Programme!G9274,Programme!H9274,Programme!I9274,Programme!J9274)</f>
        <v>&lt;ValeurCellule&gt;</v>
      </c>
    </row>
    <row r="9274" spans="1:1" x14ac:dyDescent="0.2">
      <c r="A9274" s="996" t="str">
        <f>CONCATENATE(Programme!D9275,Programme!E9275,Programme!F9275,Programme!G9275,Programme!H9275,Programme!I9275,Programme!J9275)</f>
        <v>&lt;cellule&gt;&lt;codeEdi&gt;1084&lt;/codeEdi&gt;&lt;/cellule&gt;</v>
      </c>
    </row>
    <row r="9275" spans="1:1" x14ac:dyDescent="0.2">
      <c r="A9275" s="996" t="str">
        <f>CONCATENATE(Programme!D9276,Programme!E9276,Programme!F9276,Programme!G9276,Programme!H9276,Programme!I9276,Programme!J9276)</f>
        <v>&lt;valeur&gt;&lt;/valeur&gt;</v>
      </c>
    </row>
    <row r="9276" spans="1:1" x14ac:dyDescent="0.2">
      <c r="A9276" s="996" t="str">
        <f>CONCATENATE(Programme!D9277,Programme!E9277,Programme!F9277,Programme!G9277,Programme!H9277,Programme!I9277,Programme!J9277)</f>
        <v>&lt;numeroLigne&gt;22&lt;/numeroLigne&gt;</v>
      </c>
    </row>
    <row r="9277" spans="1:1" x14ac:dyDescent="0.2">
      <c r="A9277" s="996" t="str">
        <f>CONCATENATE(Programme!D9278,Programme!E9278,Programme!F9278,Programme!G9278,Programme!H9278,Programme!I9278,Programme!J9278)</f>
        <v>&lt;/ValeurCellule&gt;</v>
      </c>
    </row>
    <row r="9278" spans="1:1" x14ac:dyDescent="0.2">
      <c r="A9278" s="996" t="str">
        <f>CONCATENATE(Programme!D9279,Programme!E9279,Programme!F9279,Programme!G9279,Programme!H9279,Programme!I9279,Programme!J9279)</f>
        <v>&lt;ValeurCellule&gt;</v>
      </c>
    </row>
    <row r="9279" spans="1:1" x14ac:dyDescent="0.2">
      <c r="A9279" s="996" t="str">
        <f>CONCATENATE(Programme!D9280,Programme!E9280,Programme!F9280,Programme!G9280,Programme!H9280,Programme!I9280,Programme!J9280)</f>
        <v>&lt;cellule&gt;&lt;codeEdi&gt;1085&lt;/codeEdi&gt;&lt;/cellule&gt;</v>
      </c>
    </row>
    <row r="9280" spans="1:1" x14ac:dyDescent="0.2">
      <c r="A9280" s="996" t="str">
        <f>CONCATENATE(Programme!D9281,Programme!E9281,Programme!F9281,Programme!G9281,Programme!H9281,Programme!I9281,Programme!J9281)</f>
        <v>&lt;valeur&gt;&lt;/valeur&gt;</v>
      </c>
    </row>
    <row r="9281" spans="1:1" x14ac:dyDescent="0.2">
      <c r="A9281" s="996" t="str">
        <f>CONCATENATE(Programme!D9282,Programme!E9282,Programme!F9282,Programme!G9282,Programme!H9282,Programme!I9282,Programme!J9282)</f>
        <v>&lt;numeroLigne&gt;22&lt;/numeroLigne&gt;</v>
      </c>
    </row>
    <row r="9282" spans="1:1" x14ac:dyDescent="0.2">
      <c r="A9282" s="996" t="str">
        <f>CONCATENATE(Programme!D9283,Programme!E9283,Programme!F9283,Programme!G9283,Programme!H9283,Programme!I9283,Programme!J9283)</f>
        <v>&lt;/ValeurCellule&gt;</v>
      </c>
    </row>
    <row r="9283" spans="1:1" x14ac:dyDescent="0.2">
      <c r="A9283" s="996" t="str">
        <f>CONCATENATE(Programme!D9284,Programme!E9284,Programme!F9284,Programme!G9284,Programme!H9284,Programme!I9284,Programme!J9284)</f>
        <v>&lt;ValeurCellule&gt;</v>
      </c>
    </row>
    <row r="9284" spans="1:1" x14ac:dyDescent="0.2">
      <c r="A9284" s="996" t="str">
        <f>CONCATENATE(Programme!D9285,Programme!E9285,Programme!F9285,Programme!G9285,Programme!H9285,Programme!I9285,Programme!J9285)</f>
        <v>&lt;cellule&gt;&lt;codeEdi&gt;1086&lt;/codeEdi&gt;&lt;/cellule&gt;</v>
      </c>
    </row>
    <row r="9285" spans="1:1" x14ac:dyDescent="0.2">
      <c r="A9285" s="996" t="str">
        <f>CONCATENATE(Programme!D9286,Programme!E9286,Programme!F9286,Programme!G9286,Programme!H9286,Programme!I9286,Programme!J9286)</f>
        <v>&lt;valeur&gt;&lt;/valeur&gt;</v>
      </c>
    </row>
    <row r="9286" spans="1:1" x14ac:dyDescent="0.2">
      <c r="A9286" s="996" t="str">
        <f>CONCATENATE(Programme!D9287,Programme!E9287,Programme!F9287,Programme!G9287,Programme!H9287,Programme!I9287,Programme!J9287)</f>
        <v>&lt;numeroLigne&gt;22&lt;/numeroLigne&gt;</v>
      </c>
    </row>
    <row r="9287" spans="1:1" x14ac:dyDescent="0.2">
      <c r="A9287" s="996" t="str">
        <f>CONCATENATE(Programme!D9288,Programme!E9288,Programme!F9288,Programme!G9288,Programme!H9288,Programme!I9288,Programme!J9288)</f>
        <v>&lt;/ValeurCellule&gt;</v>
      </c>
    </row>
    <row r="9288" spans="1:1" x14ac:dyDescent="0.2">
      <c r="A9288" s="996" t="str">
        <f>CONCATENATE(Programme!D9289,Programme!E9289,Programme!F9289,Programme!G9289,Programme!H9289,Programme!I9289,Programme!J9289)</f>
        <v>&lt;ValeurCellule&gt;</v>
      </c>
    </row>
    <row r="9289" spans="1:1" x14ac:dyDescent="0.2">
      <c r="A9289" s="996" t="str">
        <f>CONCATENATE(Programme!D9290,Programme!E9290,Programme!F9290,Programme!G9290,Programme!H9290,Programme!I9290,Programme!J9290)</f>
        <v>&lt;cellule&gt;&lt;codeEdi&gt;10061&lt;/codeEdi&gt;&lt;/cellule&gt;</v>
      </c>
    </row>
    <row r="9290" spans="1:1" x14ac:dyDescent="0.2">
      <c r="A9290" s="996" t="str">
        <f>CONCATENATE(Programme!D9291,Programme!E9291,Programme!F9291,Programme!G9291,Programme!H9291,Programme!I9291,Programme!J9291)</f>
        <v>&lt;valeur&gt;&lt;/valeur&gt;</v>
      </c>
    </row>
    <row r="9291" spans="1:1" x14ac:dyDescent="0.2">
      <c r="A9291" s="996" t="str">
        <f>CONCATENATE(Programme!D9292,Programme!E9292,Programme!F9292,Programme!G9292,Programme!H9292,Programme!I9292,Programme!J9292)</f>
        <v>&lt;numeroLigne&gt;23&lt;/numeroLigne&gt;</v>
      </c>
    </row>
    <row r="9292" spans="1:1" x14ac:dyDescent="0.2">
      <c r="A9292" s="996" t="str">
        <f>CONCATENATE(Programme!D9293,Programme!E9293,Programme!F9293,Programme!G9293,Programme!H9293,Programme!I9293,Programme!J9293)</f>
        <v>&lt;/ValeurCellule&gt;</v>
      </c>
    </row>
    <row r="9293" spans="1:1" x14ac:dyDescent="0.2">
      <c r="A9293" s="996" t="str">
        <f>CONCATENATE(Programme!D9294,Programme!E9294,Programme!F9294,Programme!G9294,Programme!H9294,Programme!I9294,Programme!J9294)</f>
        <v>&lt;ValeurCellule&gt;</v>
      </c>
    </row>
    <row r="9294" spans="1:1" x14ac:dyDescent="0.2">
      <c r="A9294" s="996" t="str">
        <f>CONCATENATE(Programme!D9295,Programme!E9295,Programme!F9295,Programme!G9295,Programme!H9295,Programme!I9295,Programme!J9295)</f>
        <v>&lt;cellule&gt;&lt;codeEdi&gt;1078&lt;/codeEdi&gt;&lt;/cellule&gt;</v>
      </c>
    </row>
    <row r="9295" spans="1:1" x14ac:dyDescent="0.2">
      <c r="A9295" s="996" t="str">
        <f>CONCATENATE(Programme!D9296,Programme!E9296,Programme!F9296,Programme!G9296,Programme!H9296,Programme!I9296,Programme!J9296)</f>
        <v>&lt;valeur&gt;&lt;/valeur&gt;</v>
      </c>
    </row>
    <row r="9296" spans="1:1" x14ac:dyDescent="0.2">
      <c r="A9296" s="996" t="str">
        <f>CONCATENATE(Programme!D9297,Programme!E9297,Programme!F9297,Programme!G9297,Programme!H9297,Programme!I9297,Programme!J9297)</f>
        <v>&lt;numeroLigne&gt;23&lt;/numeroLigne&gt;</v>
      </c>
    </row>
    <row r="9297" spans="1:1" x14ac:dyDescent="0.2">
      <c r="A9297" s="996" t="str">
        <f>CONCATENATE(Programme!D9298,Programme!E9298,Programme!F9298,Programme!G9298,Programme!H9298,Programme!I9298,Programme!J9298)</f>
        <v>&lt;/ValeurCellule&gt;</v>
      </c>
    </row>
    <row r="9298" spans="1:1" x14ac:dyDescent="0.2">
      <c r="A9298" s="996" t="str">
        <f>CONCATENATE(Programme!D9299,Programme!E9299,Programme!F9299,Programme!G9299,Programme!H9299,Programme!I9299,Programme!J9299)</f>
        <v>&lt;ValeurCellule&gt;</v>
      </c>
    </row>
    <row r="9299" spans="1:1" x14ac:dyDescent="0.2">
      <c r="A9299" s="996" t="str">
        <f>CONCATENATE(Programme!D9300,Programme!E9300,Programme!F9300,Programme!G9300,Programme!H9300,Programme!I9300,Programme!J9300)</f>
        <v>&lt;cellule&gt;&lt;codeEdi&gt;1079&lt;/codeEdi&gt;&lt;/cellule&gt;</v>
      </c>
    </row>
    <row r="9300" spans="1:1" x14ac:dyDescent="0.2">
      <c r="A9300" s="996" t="str">
        <f>CONCATENATE(Programme!D9301,Programme!E9301,Programme!F9301,Programme!G9301,Programme!H9301,Programme!I9301,Programme!J9301)</f>
        <v>&lt;valeur&gt;&lt;/valeur&gt;</v>
      </c>
    </row>
    <row r="9301" spans="1:1" x14ac:dyDescent="0.2">
      <c r="A9301" s="996" t="str">
        <f>CONCATENATE(Programme!D9302,Programme!E9302,Programme!F9302,Programme!G9302,Programme!H9302,Programme!I9302,Programme!J9302)</f>
        <v>&lt;numeroLigne&gt;23&lt;/numeroLigne&gt;</v>
      </c>
    </row>
    <row r="9302" spans="1:1" x14ac:dyDescent="0.2">
      <c r="A9302" s="996" t="str">
        <f>CONCATENATE(Programme!D9303,Programme!E9303,Programme!F9303,Programme!G9303,Programme!H9303,Programme!I9303,Programme!J9303)</f>
        <v>&lt;/ValeurCellule&gt;</v>
      </c>
    </row>
    <row r="9303" spans="1:1" x14ac:dyDescent="0.2">
      <c r="A9303" s="996" t="str">
        <f>CONCATENATE(Programme!D9304,Programme!E9304,Programme!F9304,Programme!G9304,Programme!H9304,Programme!I9304,Programme!J9304)</f>
        <v>&lt;ValeurCellule&gt;</v>
      </c>
    </row>
    <row r="9304" spans="1:1" x14ac:dyDescent="0.2">
      <c r="A9304" s="996" t="str">
        <f>CONCATENATE(Programme!D9305,Programme!E9305,Programme!F9305,Programme!G9305,Programme!H9305,Programme!I9305,Programme!J9305)</f>
        <v>&lt;cellule&gt;&lt;codeEdi&gt;1080&lt;/codeEdi&gt;&lt;/cellule&gt;</v>
      </c>
    </row>
    <row r="9305" spans="1:1" x14ac:dyDescent="0.2">
      <c r="A9305" s="996" t="str">
        <f>CONCATENATE(Programme!D9306,Programme!E9306,Programme!F9306,Programme!G9306,Programme!H9306,Programme!I9306,Programme!J9306)</f>
        <v>&lt;valeur&gt;&lt;/valeur&gt;</v>
      </c>
    </row>
    <row r="9306" spans="1:1" x14ac:dyDescent="0.2">
      <c r="A9306" s="996" t="str">
        <f>CONCATENATE(Programme!D9307,Programme!E9307,Programme!F9307,Programme!G9307,Programme!H9307,Programme!I9307,Programme!J9307)</f>
        <v>&lt;numeroLigne&gt;23&lt;/numeroLigne&gt;</v>
      </c>
    </row>
    <row r="9307" spans="1:1" x14ac:dyDescent="0.2">
      <c r="A9307" s="996" t="str">
        <f>CONCATENATE(Programme!D9308,Programme!E9308,Programme!F9308,Programme!G9308,Programme!H9308,Programme!I9308,Programme!J9308)</f>
        <v>&lt;/ValeurCellule&gt;</v>
      </c>
    </row>
    <row r="9308" spans="1:1" x14ac:dyDescent="0.2">
      <c r="A9308" s="996" t="str">
        <f>CONCATENATE(Programme!D9309,Programme!E9309,Programme!F9309,Programme!G9309,Programme!H9309,Programme!I9309,Programme!J9309)</f>
        <v>&lt;ValeurCellule&gt;</v>
      </c>
    </row>
    <row r="9309" spans="1:1" x14ac:dyDescent="0.2">
      <c r="A9309" s="996" t="str">
        <f>CONCATENATE(Programme!D9310,Programme!E9310,Programme!F9310,Programme!G9310,Programme!H9310,Programme!I9310,Programme!J9310)</f>
        <v>&lt;cellule&gt;&lt;codeEdi&gt;1081&lt;/codeEdi&gt;&lt;/cellule&gt;</v>
      </c>
    </row>
    <row r="9310" spans="1:1" x14ac:dyDescent="0.2">
      <c r="A9310" s="996" t="str">
        <f>CONCATENATE(Programme!D9311,Programme!E9311,Programme!F9311,Programme!G9311,Programme!H9311,Programme!I9311,Programme!J9311)</f>
        <v>&lt;valeur&gt;&lt;/valeur&gt;</v>
      </c>
    </row>
    <row r="9311" spans="1:1" x14ac:dyDescent="0.2">
      <c r="A9311" s="996" t="str">
        <f>CONCATENATE(Programme!D9312,Programme!E9312,Programme!F9312,Programme!G9312,Programme!H9312,Programme!I9312,Programme!J9312)</f>
        <v>&lt;numeroLigne&gt;23&lt;/numeroLigne&gt;</v>
      </c>
    </row>
    <row r="9312" spans="1:1" x14ac:dyDescent="0.2">
      <c r="A9312" s="996" t="str">
        <f>CONCATENATE(Programme!D9313,Programme!E9313,Programme!F9313,Programme!G9313,Programme!H9313,Programme!I9313,Programme!J9313)</f>
        <v>&lt;/ValeurCellule&gt;</v>
      </c>
    </row>
    <row r="9313" spans="1:1" x14ac:dyDescent="0.2">
      <c r="A9313" s="996" t="str">
        <f>CONCATENATE(Programme!D9314,Programme!E9314,Programme!F9314,Programme!G9314,Programme!H9314,Programme!I9314,Programme!J9314)</f>
        <v>&lt;ValeurCellule&gt;</v>
      </c>
    </row>
    <row r="9314" spans="1:1" x14ac:dyDescent="0.2">
      <c r="A9314" s="996" t="str">
        <f>CONCATENATE(Programme!D9315,Programme!E9315,Programme!F9315,Programme!G9315,Programme!H9315,Programme!I9315,Programme!J9315)</f>
        <v>&lt;cellule&gt;&lt;codeEdi&gt;1082&lt;/codeEdi&gt;&lt;/cellule&gt;</v>
      </c>
    </row>
    <row r="9315" spans="1:1" x14ac:dyDescent="0.2">
      <c r="A9315" s="996" t="str">
        <f>CONCATENATE(Programme!D9316,Programme!E9316,Programme!F9316,Programme!G9316,Programme!H9316,Programme!I9316,Programme!J9316)</f>
        <v>&lt;valeur&gt;&lt;/valeur&gt;</v>
      </c>
    </row>
    <row r="9316" spans="1:1" x14ac:dyDescent="0.2">
      <c r="A9316" s="996" t="str">
        <f>CONCATENATE(Programme!D9317,Programme!E9317,Programme!F9317,Programme!G9317,Programme!H9317,Programme!I9317,Programme!J9317)</f>
        <v>&lt;numeroLigne&gt;23&lt;/numeroLigne&gt;</v>
      </c>
    </row>
    <row r="9317" spans="1:1" x14ac:dyDescent="0.2">
      <c r="A9317" s="996" t="str">
        <f>CONCATENATE(Programme!D9318,Programme!E9318,Programme!F9318,Programme!G9318,Programme!H9318,Programme!I9318,Programme!J9318)</f>
        <v>&lt;/ValeurCellule&gt;</v>
      </c>
    </row>
    <row r="9318" spans="1:1" x14ac:dyDescent="0.2">
      <c r="A9318" s="996" t="str">
        <f>CONCATENATE(Programme!D9319,Programme!E9319,Programme!F9319,Programme!G9319,Programme!H9319,Programme!I9319,Programme!J9319)</f>
        <v>&lt;ValeurCellule&gt;</v>
      </c>
    </row>
    <row r="9319" spans="1:1" x14ac:dyDescent="0.2">
      <c r="A9319" s="996" t="str">
        <f>CONCATENATE(Programme!D9320,Programme!E9320,Programme!F9320,Programme!G9320,Programme!H9320,Programme!I9320,Programme!J9320)</f>
        <v>&lt;cellule&gt;&lt;codeEdi&gt;1083&lt;/codeEdi&gt;&lt;/cellule&gt;</v>
      </c>
    </row>
    <row r="9320" spans="1:1" x14ac:dyDescent="0.2">
      <c r="A9320" s="996" t="str">
        <f>CONCATENATE(Programme!D9321,Programme!E9321,Programme!F9321,Programme!G9321,Programme!H9321,Programme!I9321,Programme!J9321)</f>
        <v>&lt;valeur&gt;&lt;/valeur&gt;</v>
      </c>
    </row>
    <row r="9321" spans="1:1" x14ac:dyDescent="0.2">
      <c r="A9321" s="996" t="str">
        <f>CONCATENATE(Programme!D9322,Programme!E9322,Programme!F9322,Programme!G9322,Programme!H9322,Programme!I9322,Programme!J9322)</f>
        <v>&lt;numeroLigne&gt;23&lt;/numeroLigne&gt;</v>
      </c>
    </row>
    <row r="9322" spans="1:1" x14ac:dyDescent="0.2">
      <c r="A9322" s="996" t="str">
        <f>CONCATENATE(Programme!D9323,Programme!E9323,Programme!F9323,Programme!G9323,Programme!H9323,Programme!I9323,Programme!J9323)</f>
        <v>&lt;/ValeurCellule&gt;</v>
      </c>
    </row>
    <row r="9323" spans="1:1" x14ac:dyDescent="0.2">
      <c r="A9323" s="996" t="str">
        <f>CONCATENATE(Programme!D9324,Programme!E9324,Programme!F9324,Programme!G9324,Programme!H9324,Programme!I9324,Programme!J9324)</f>
        <v>&lt;ValeurCellule&gt;</v>
      </c>
    </row>
    <row r="9324" spans="1:1" x14ac:dyDescent="0.2">
      <c r="A9324" s="996" t="str">
        <f>CONCATENATE(Programme!D9325,Programme!E9325,Programme!F9325,Programme!G9325,Programme!H9325,Programme!I9325,Programme!J9325)</f>
        <v>&lt;cellule&gt;&lt;codeEdi&gt;1084&lt;/codeEdi&gt;&lt;/cellule&gt;</v>
      </c>
    </row>
    <row r="9325" spans="1:1" x14ac:dyDescent="0.2">
      <c r="A9325" s="996" t="str">
        <f>CONCATENATE(Programme!D9326,Programme!E9326,Programme!F9326,Programme!G9326,Programme!H9326,Programme!I9326,Programme!J9326)</f>
        <v>&lt;valeur&gt;&lt;/valeur&gt;</v>
      </c>
    </row>
    <row r="9326" spans="1:1" x14ac:dyDescent="0.2">
      <c r="A9326" s="996" t="str">
        <f>CONCATENATE(Programme!D9327,Programme!E9327,Programme!F9327,Programme!G9327,Programme!H9327,Programme!I9327,Programme!J9327)</f>
        <v>&lt;numeroLigne&gt;23&lt;/numeroLigne&gt;</v>
      </c>
    </row>
    <row r="9327" spans="1:1" x14ac:dyDescent="0.2">
      <c r="A9327" s="996" t="str">
        <f>CONCATENATE(Programme!D9328,Programme!E9328,Programme!F9328,Programme!G9328,Programme!H9328,Programme!I9328,Programme!J9328)</f>
        <v>&lt;/ValeurCellule&gt;</v>
      </c>
    </row>
    <row r="9328" spans="1:1" x14ac:dyDescent="0.2">
      <c r="A9328" s="996" t="str">
        <f>CONCATENATE(Programme!D9329,Programme!E9329,Programme!F9329,Programme!G9329,Programme!H9329,Programme!I9329,Programme!J9329)</f>
        <v>&lt;ValeurCellule&gt;</v>
      </c>
    </row>
    <row r="9329" spans="1:1" x14ac:dyDescent="0.2">
      <c r="A9329" s="996" t="str">
        <f>CONCATENATE(Programme!D9330,Programme!E9330,Programme!F9330,Programme!G9330,Programme!H9330,Programme!I9330,Programme!J9330)</f>
        <v>&lt;cellule&gt;&lt;codeEdi&gt;1085&lt;/codeEdi&gt;&lt;/cellule&gt;</v>
      </c>
    </row>
    <row r="9330" spans="1:1" x14ac:dyDescent="0.2">
      <c r="A9330" s="996" t="str">
        <f>CONCATENATE(Programme!D9331,Programme!E9331,Programme!F9331,Programme!G9331,Programme!H9331,Programme!I9331,Programme!J9331)</f>
        <v>&lt;valeur&gt;&lt;/valeur&gt;</v>
      </c>
    </row>
    <row r="9331" spans="1:1" x14ac:dyDescent="0.2">
      <c r="A9331" s="996" t="str">
        <f>CONCATENATE(Programme!D9332,Programme!E9332,Programme!F9332,Programme!G9332,Programme!H9332,Programme!I9332,Programme!J9332)</f>
        <v>&lt;numeroLigne&gt;23&lt;/numeroLigne&gt;</v>
      </c>
    </row>
    <row r="9332" spans="1:1" x14ac:dyDescent="0.2">
      <c r="A9332" s="996" t="str">
        <f>CONCATENATE(Programme!D9333,Programme!E9333,Programme!F9333,Programme!G9333,Programme!H9333,Programme!I9333,Programme!J9333)</f>
        <v>&lt;/ValeurCellule&gt;</v>
      </c>
    </row>
    <row r="9333" spans="1:1" x14ac:dyDescent="0.2">
      <c r="A9333" s="996" t="str">
        <f>CONCATENATE(Programme!D9334,Programme!E9334,Programme!F9334,Programme!G9334,Programme!H9334,Programme!I9334,Programme!J9334)</f>
        <v>&lt;ValeurCellule&gt;</v>
      </c>
    </row>
    <row r="9334" spans="1:1" x14ac:dyDescent="0.2">
      <c r="A9334" s="996" t="str">
        <f>CONCATENATE(Programme!D9335,Programme!E9335,Programme!F9335,Programme!G9335,Programme!H9335,Programme!I9335,Programme!J9335)</f>
        <v>&lt;cellule&gt;&lt;codeEdi&gt;1086&lt;/codeEdi&gt;&lt;/cellule&gt;</v>
      </c>
    </row>
    <row r="9335" spans="1:1" x14ac:dyDescent="0.2">
      <c r="A9335" s="996" t="str">
        <f>CONCATENATE(Programme!D9336,Programme!E9336,Programme!F9336,Programme!G9336,Programme!H9336,Programme!I9336,Programme!J9336)</f>
        <v>&lt;valeur&gt;&lt;/valeur&gt;</v>
      </c>
    </row>
    <row r="9336" spans="1:1" x14ac:dyDescent="0.2">
      <c r="A9336" s="996" t="str">
        <f>CONCATENATE(Programme!D9337,Programme!E9337,Programme!F9337,Programme!G9337,Programme!H9337,Programme!I9337,Programme!J9337)</f>
        <v>&lt;numeroLigne&gt;23&lt;/numeroLigne&gt;</v>
      </c>
    </row>
    <row r="9337" spans="1:1" x14ac:dyDescent="0.2">
      <c r="A9337" s="996" t="str">
        <f>CONCATENATE(Programme!D9338,Programme!E9338,Programme!F9338,Programme!G9338,Programme!H9338,Programme!I9338,Programme!J9338)</f>
        <v>&lt;/ValeurCellule&gt;</v>
      </c>
    </row>
    <row r="9338" spans="1:1" x14ac:dyDescent="0.2">
      <c r="A9338" s="996" t="str">
        <f>CONCATENATE(Programme!D9339,Programme!E9339,Programme!F9339,Programme!G9339,Programme!H9339,Programme!I9339,Programme!J9339)</f>
        <v>&lt;ValeurCellule&gt;</v>
      </c>
    </row>
    <row r="9339" spans="1:1" x14ac:dyDescent="0.2">
      <c r="A9339" s="996" t="str">
        <f>CONCATENATE(Programme!D9340,Programme!E9340,Programme!F9340,Programme!G9340,Programme!H9340,Programme!I9340,Programme!J9340)</f>
        <v>&lt;cellule&gt;&lt;codeEdi&gt;10061&lt;/codeEdi&gt;&lt;/cellule&gt;</v>
      </c>
    </row>
    <row r="9340" spans="1:1" x14ac:dyDescent="0.2">
      <c r="A9340" s="996" t="str">
        <f>CONCATENATE(Programme!D9341,Programme!E9341,Programme!F9341,Programme!G9341,Programme!H9341,Programme!I9341,Programme!J9341)</f>
        <v>&lt;valeur&gt;&lt;/valeur&gt;</v>
      </c>
    </row>
    <row r="9341" spans="1:1" x14ac:dyDescent="0.2">
      <c r="A9341" s="996" t="str">
        <f>CONCATENATE(Programme!D9342,Programme!E9342,Programme!F9342,Programme!G9342,Programme!H9342,Programme!I9342,Programme!J9342)</f>
        <v>&lt;numeroLigne&gt;24&lt;/numeroLigne&gt;</v>
      </c>
    </row>
    <row r="9342" spans="1:1" x14ac:dyDescent="0.2">
      <c r="A9342" s="996" t="str">
        <f>CONCATENATE(Programme!D9343,Programme!E9343,Programme!F9343,Programme!G9343,Programme!H9343,Programme!I9343,Programme!J9343)</f>
        <v>&lt;/ValeurCellule&gt;</v>
      </c>
    </row>
    <row r="9343" spans="1:1" x14ac:dyDescent="0.2">
      <c r="A9343" s="996" t="str">
        <f>CONCATENATE(Programme!D9344,Programme!E9344,Programme!F9344,Programme!G9344,Programme!H9344,Programme!I9344,Programme!J9344)</f>
        <v>&lt;ValeurCellule&gt;</v>
      </c>
    </row>
    <row r="9344" spans="1:1" x14ac:dyDescent="0.2">
      <c r="A9344" s="996" t="str">
        <f>CONCATENATE(Programme!D9345,Programme!E9345,Programme!F9345,Programme!G9345,Programme!H9345,Programme!I9345,Programme!J9345)</f>
        <v>&lt;cellule&gt;&lt;codeEdi&gt;1078&lt;/codeEdi&gt;&lt;/cellule&gt;</v>
      </c>
    </row>
    <row r="9345" spans="1:1" x14ac:dyDescent="0.2">
      <c r="A9345" s="996" t="str">
        <f>CONCATENATE(Programme!D9346,Programme!E9346,Programme!F9346,Programme!G9346,Programme!H9346,Programme!I9346,Programme!J9346)</f>
        <v>&lt;valeur&gt;&lt;/valeur&gt;</v>
      </c>
    </row>
    <row r="9346" spans="1:1" x14ac:dyDescent="0.2">
      <c r="A9346" s="996" t="str">
        <f>CONCATENATE(Programme!D9347,Programme!E9347,Programme!F9347,Programme!G9347,Programme!H9347,Programme!I9347,Programme!J9347)</f>
        <v>&lt;numeroLigne&gt;24&lt;/numeroLigne&gt;</v>
      </c>
    </row>
    <row r="9347" spans="1:1" x14ac:dyDescent="0.2">
      <c r="A9347" s="996" t="str">
        <f>CONCATENATE(Programme!D9348,Programme!E9348,Programme!F9348,Programme!G9348,Programme!H9348,Programme!I9348,Programme!J9348)</f>
        <v>&lt;/ValeurCellule&gt;</v>
      </c>
    </row>
    <row r="9348" spans="1:1" x14ac:dyDescent="0.2">
      <c r="A9348" s="996" t="str">
        <f>CONCATENATE(Programme!D9349,Programme!E9349,Programme!F9349,Programme!G9349,Programme!H9349,Programme!I9349,Programme!J9349)</f>
        <v>&lt;ValeurCellule&gt;</v>
      </c>
    </row>
    <row r="9349" spans="1:1" x14ac:dyDescent="0.2">
      <c r="A9349" s="996" t="str">
        <f>CONCATENATE(Programme!D9350,Programme!E9350,Programme!F9350,Programme!G9350,Programme!H9350,Programme!I9350,Programme!J9350)</f>
        <v>&lt;cellule&gt;&lt;codeEdi&gt;1079&lt;/codeEdi&gt;&lt;/cellule&gt;</v>
      </c>
    </row>
    <row r="9350" spans="1:1" x14ac:dyDescent="0.2">
      <c r="A9350" s="996" t="str">
        <f>CONCATENATE(Programme!D9351,Programme!E9351,Programme!F9351,Programme!G9351,Programme!H9351,Programme!I9351,Programme!J9351)</f>
        <v>&lt;valeur&gt;&lt;/valeur&gt;</v>
      </c>
    </row>
    <row r="9351" spans="1:1" x14ac:dyDescent="0.2">
      <c r="A9351" s="996" t="str">
        <f>CONCATENATE(Programme!D9352,Programme!E9352,Programme!F9352,Programme!G9352,Programme!H9352,Programme!I9352,Programme!J9352)</f>
        <v>&lt;numeroLigne&gt;24&lt;/numeroLigne&gt;</v>
      </c>
    </row>
    <row r="9352" spans="1:1" x14ac:dyDescent="0.2">
      <c r="A9352" s="996" t="str">
        <f>CONCATENATE(Programme!D9353,Programme!E9353,Programme!F9353,Programme!G9353,Programme!H9353,Programme!I9353,Programme!J9353)</f>
        <v>&lt;/ValeurCellule&gt;</v>
      </c>
    </row>
    <row r="9353" spans="1:1" x14ac:dyDescent="0.2">
      <c r="A9353" s="996" t="str">
        <f>CONCATENATE(Programme!D9354,Programme!E9354,Programme!F9354,Programme!G9354,Programme!H9354,Programme!I9354,Programme!J9354)</f>
        <v>&lt;ValeurCellule&gt;</v>
      </c>
    </row>
    <row r="9354" spans="1:1" x14ac:dyDescent="0.2">
      <c r="A9354" s="996" t="str">
        <f>CONCATENATE(Programme!D9355,Programme!E9355,Programme!F9355,Programme!G9355,Programme!H9355,Programme!I9355,Programme!J9355)</f>
        <v>&lt;cellule&gt;&lt;codeEdi&gt;1080&lt;/codeEdi&gt;&lt;/cellule&gt;</v>
      </c>
    </row>
    <row r="9355" spans="1:1" x14ac:dyDescent="0.2">
      <c r="A9355" s="996" t="str">
        <f>CONCATENATE(Programme!D9356,Programme!E9356,Programme!F9356,Programme!G9356,Programme!H9356,Programme!I9356,Programme!J9356)</f>
        <v>&lt;valeur&gt;&lt;/valeur&gt;</v>
      </c>
    </row>
    <row r="9356" spans="1:1" x14ac:dyDescent="0.2">
      <c r="A9356" s="996" t="str">
        <f>CONCATENATE(Programme!D9357,Programme!E9357,Programme!F9357,Programme!G9357,Programme!H9357,Programme!I9357,Programme!J9357)</f>
        <v>&lt;numeroLigne&gt;24&lt;/numeroLigne&gt;</v>
      </c>
    </row>
    <row r="9357" spans="1:1" x14ac:dyDescent="0.2">
      <c r="A9357" s="996" t="str">
        <f>CONCATENATE(Programme!D9358,Programme!E9358,Programme!F9358,Programme!G9358,Programme!H9358,Programme!I9358,Programme!J9358)</f>
        <v>&lt;/ValeurCellule&gt;</v>
      </c>
    </row>
    <row r="9358" spans="1:1" x14ac:dyDescent="0.2">
      <c r="A9358" s="996" t="str">
        <f>CONCATENATE(Programme!D9359,Programme!E9359,Programme!F9359,Programme!G9359,Programme!H9359,Programme!I9359,Programme!J9359)</f>
        <v>&lt;ValeurCellule&gt;</v>
      </c>
    </row>
    <row r="9359" spans="1:1" x14ac:dyDescent="0.2">
      <c r="A9359" s="996" t="str">
        <f>CONCATENATE(Programme!D9360,Programme!E9360,Programme!F9360,Programme!G9360,Programme!H9360,Programme!I9360,Programme!J9360)</f>
        <v>&lt;cellule&gt;&lt;codeEdi&gt;1081&lt;/codeEdi&gt;&lt;/cellule&gt;</v>
      </c>
    </row>
    <row r="9360" spans="1:1" x14ac:dyDescent="0.2">
      <c r="A9360" s="996" t="str">
        <f>CONCATENATE(Programme!D9361,Programme!E9361,Programme!F9361,Programme!G9361,Programme!H9361,Programme!I9361,Programme!J9361)</f>
        <v>&lt;valeur&gt;&lt;/valeur&gt;</v>
      </c>
    </row>
    <row r="9361" spans="1:1" x14ac:dyDescent="0.2">
      <c r="A9361" s="996" t="str">
        <f>CONCATENATE(Programme!D9362,Programme!E9362,Programme!F9362,Programme!G9362,Programme!H9362,Programme!I9362,Programme!J9362)</f>
        <v>&lt;numeroLigne&gt;24&lt;/numeroLigne&gt;</v>
      </c>
    </row>
    <row r="9362" spans="1:1" x14ac:dyDescent="0.2">
      <c r="A9362" s="996" t="str">
        <f>CONCATENATE(Programme!D9363,Programme!E9363,Programme!F9363,Programme!G9363,Programme!H9363,Programme!I9363,Programme!J9363)</f>
        <v>&lt;/ValeurCellule&gt;</v>
      </c>
    </row>
    <row r="9363" spans="1:1" x14ac:dyDescent="0.2">
      <c r="A9363" s="996" t="str">
        <f>CONCATENATE(Programme!D9364,Programme!E9364,Programme!F9364,Programme!G9364,Programme!H9364,Programme!I9364,Programme!J9364)</f>
        <v>&lt;ValeurCellule&gt;</v>
      </c>
    </row>
    <row r="9364" spans="1:1" x14ac:dyDescent="0.2">
      <c r="A9364" s="996" t="str">
        <f>CONCATENATE(Programme!D9365,Programme!E9365,Programme!F9365,Programme!G9365,Programme!H9365,Programme!I9365,Programme!J9365)</f>
        <v>&lt;cellule&gt;&lt;codeEdi&gt;1082&lt;/codeEdi&gt;&lt;/cellule&gt;</v>
      </c>
    </row>
    <row r="9365" spans="1:1" x14ac:dyDescent="0.2">
      <c r="A9365" s="996" t="str">
        <f>CONCATENATE(Programme!D9366,Programme!E9366,Programme!F9366,Programme!G9366,Programme!H9366,Programme!I9366,Programme!J9366)</f>
        <v>&lt;valeur&gt;&lt;/valeur&gt;</v>
      </c>
    </row>
    <row r="9366" spans="1:1" x14ac:dyDescent="0.2">
      <c r="A9366" s="996" t="str">
        <f>CONCATENATE(Programme!D9367,Programme!E9367,Programme!F9367,Programme!G9367,Programme!H9367,Programme!I9367,Programme!J9367)</f>
        <v>&lt;numeroLigne&gt;24&lt;/numeroLigne&gt;</v>
      </c>
    </row>
    <row r="9367" spans="1:1" x14ac:dyDescent="0.2">
      <c r="A9367" s="996" t="str">
        <f>CONCATENATE(Programme!D9368,Programme!E9368,Programme!F9368,Programme!G9368,Programme!H9368,Programme!I9368,Programme!J9368)</f>
        <v>&lt;/ValeurCellule&gt;</v>
      </c>
    </row>
    <row r="9368" spans="1:1" x14ac:dyDescent="0.2">
      <c r="A9368" s="996" t="str">
        <f>CONCATENATE(Programme!D9369,Programme!E9369,Programme!F9369,Programme!G9369,Programme!H9369,Programme!I9369,Programme!J9369)</f>
        <v>&lt;ValeurCellule&gt;</v>
      </c>
    </row>
    <row r="9369" spans="1:1" x14ac:dyDescent="0.2">
      <c r="A9369" s="996" t="str">
        <f>CONCATENATE(Programme!D9370,Programme!E9370,Programme!F9370,Programme!G9370,Programme!H9370,Programme!I9370,Programme!J9370)</f>
        <v>&lt;cellule&gt;&lt;codeEdi&gt;1083&lt;/codeEdi&gt;&lt;/cellule&gt;</v>
      </c>
    </row>
    <row r="9370" spans="1:1" x14ac:dyDescent="0.2">
      <c r="A9370" s="996" t="str">
        <f>CONCATENATE(Programme!D9371,Programme!E9371,Programme!F9371,Programme!G9371,Programme!H9371,Programme!I9371,Programme!J9371)</f>
        <v>&lt;valeur&gt;&lt;/valeur&gt;</v>
      </c>
    </row>
    <row r="9371" spans="1:1" x14ac:dyDescent="0.2">
      <c r="A9371" s="996" t="str">
        <f>CONCATENATE(Programme!D9372,Programme!E9372,Programme!F9372,Programme!G9372,Programme!H9372,Programme!I9372,Programme!J9372)</f>
        <v>&lt;numeroLigne&gt;24&lt;/numeroLigne&gt;</v>
      </c>
    </row>
    <row r="9372" spans="1:1" x14ac:dyDescent="0.2">
      <c r="A9372" s="996" t="str">
        <f>CONCATENATE(Programme!D9373,Programme!E9373,Programme!F9373,Programme!G9373,Programme!H9373,Programme!I9373,Programme!J9373)</f>
        <v>&lt;/ValeurCellule&gt;</v>
      </c>
    </row>
    <row r="9373" spans="1:1" x14ac:dyDescent="0.2">
      <c r="A9373" s="996" t="str">
        <f>CONCATENATE(Programme!D9374,Programme!E9374,Programme!F9374,Programme!G9374,Programme!H9374,Programme!I9374,Programme!J9374)</f>
        <v>&lt;ValeurCellule&gt;</v>
      </c>
    </row>
    <row r="9374" spans="1:1" x14ac:dyDescent="0.2">
      <c r="A9374" s="996" t="str">
        <f>CONCATENATE(Programme!D9375,Programme!E9375,Programme!F9375,Programme!G9375,Programme!H9375,Programme!I9375,Programme!J9375)</f>
        <v>&lt;cellule&gt;&lt;codeEdi&gt;1084&lt;/codeEdi&gt;&lt;/cellule&gt;</v>
      </c>
    </row>
    <row r="9375" spans="1:1" x14ac:dyDescent="0.2">
      <c r="A9375" s="996" t="str">
        <f>CONCATENATE(Programme!D9376,Programme!E9376,Programme!F9376,Programme!G9376,Programme!H9376,Programme!I9376,Programme!J9376)</f>
        <v>&lt;valeur&gt;&lt;/valeur&gt;</v>
      </c>
    </row>
    <row r="9376" spans="1:1" x14ac:dyDescent="0.2">
      <c r="A9376" s="996" t="str">
        <f>CONCATENATE(Programme!D9377,Programme!E9377,Programme!F9377,Programme!G9377,Programme!H9377,Programme!I9377,Programme!J9377)</f>
        <v>&lt;numeroLigne&gt;24&lt;/numeroLigne&gt;</v>
      </c>
    </row>
    <row r="9377" spans="1:1" x14ac:dyDescent="0.2">
      <c r="A9377" s="996" t="str">
        <f>CONCATENATE(Programme!D9378,Programme!E9378,Programme!F9378,Programme!G9378,Programme!H9378,Programme!I9378,Programme!J9378)</f>
        <v>&lt;/ValeurCellule&gt;</v>
      </c>
    </row>
    <row r="9378" spans="1:1" x14ac:dyDescent="0.2">
      <c r="A9378" s="996" t="str">
        <f>CONCATENATE(Programme!D9379,Programme!E9379,Programme!F9379,Programme!G9379,Programme!H9379,Programme!I9379,Programme!J9379)</f>
        <v>&lt;ValeurCellule&gt;</v>
      </c>
    </row>
    <row r="9379" spans="1:1" x14ac:dyDescent="0.2">
      <c r="A9379" s="996" t="str">
        <f>CONCATENATE(Programme!D9380,Programme!E9380,Programme!F9380,Programme!G9380,Programme!H9380,Programme!I9380,Programme!J9380)</f>
        <v>&lt;cellule&gt;&lt;codeEdi&gt;1085&lt;/codeEdi&gt;&lt;/cellule&gt;</v>
      </c>
    </row>
    <row r="9380" spans="1:1" x14ac:dyDescent="0.2">
      <c r="A9380" s="996" t="str">
        <f>CONCATENATE(Programme!D9381,Programme!E9381,Programme!F9381,Programme!G9381,Programme!H9381,Programme!I9381,Programme!J9381)</f>
        <v>&lt;valeur&gt;&lt;/valeur&gt;</v>
      </c>
    </row>
    <row r="9381" spans="1:1" x14ac:dyDescent="0.2">
      <c r="A9381" s="996" t="str">
        <f>CONCATENATE(Programme!D9382,Programme!E9382,Programme!F9382,Programme!G9382,Programme!H9382,Programme!I9382,Programme!J9382)</f>
        <v>&lt;numeroLigne&gt;24&lt;/numeroLigne&gt;</v>
      </c>
    </row>
    <row r="9382" spans="1:1" x14ac:dyDescent="0.2">
      <c r="A9382" s="996" t="str">
        <f>CONCATENATE(Programme!D9383,Programme!E9383,Programme!F9383,Programme!G9383,Programme!H9383,Programme!I9383,Programme!J9383)</f>
        <v>&lt;/ValeurCellule&gt;</v>
      </c>
    </row>
    <row r="9383" spans="1:1" x14ac:dyDescent="0.2">
      <c r="A9383" s="996" t="str">
        <f>CONCATENATE(Programme!D9384,Programme!E9384,Programme!F9384,Programme!G9384,Programme!H9384,Programme!I9384,Programme!J9384)</f>
        <v>&lt;ValeurCellule&gt;</v>
      </c>
    </row>
    <row r="9384" spans="1:1" x14ac:dyDescent="0.2">
      <c r="A9384" s="996" t="str">
        <f>CONCATENATE(Programme!D9385,Programme!E9385,Programme!F9385,Programme!G9385,Programme!H9385,Programme!I9385,Programme!J9385)</f>
        <v>&lt;cellule&gt;&lt;codeEdi&gt;1086&lt;/codeEdi&gt;&lt;/cellule&gt;</v>
      </c>
    </row>
    <row r="9385" spans="1:1" x14ac:dyDescent="0.2">
      <c r="A9385" s="996" t="str">
        <f>CONCATENATE(Programme!D9386,Programme!E9386,Programme!F9386,Programme!G9386,Programme!H9386,Programme!I9386,Programme!J9386)</f>
        <v>&lt;valeur&gt;&lt;/valeur&gt;</v>
      </c>
    </row>
    <row r="9386" spans="1:1" x14ac:dyDescent="0.2">
      <c r="A9386" s="996" t="str">
        <f>CONCATENATE(Programme!D9387,Programme!E9387,Programme!F9387,Programme!G9387,Programme!H9387,Programme!I9387,Programme!J9387)</f>
        <v>&lt;numeroLigne&gt;24&lt;/numeroLigne&gt;</v>
      </c>
    </row>
    <row r="9387" spans="1:1" x14ac:dyDescent="0.2">
      <c r="A9387" s="996" t="str">
        <f>CONCATENATE(Programme!D9388,Programme!E9388,Programme!F9388,Programme!G9388,Programme!H9388,Programme!I9388,Programme!J9388)</f>
        <v>&lt;/ValeurCellule&gt;</v>
      </c>
    </row>
    <row r="9388" spans="1:1" x14ac:dyDescent="0.2">
      <c r="A9388" s="996" t="str">
        <f>CONCATENATE(Programme!D9389,Programme!E9389,Programme!F9389,Programme!G9389,Programme!H9389,Programme!I9389,Programme!J9389)</f>
        <v>&lt;ValeurCellule&gt;</v>
      </c>
    </row>
    <row r="9389" spans="1:1" x14ac:dyDescent="0.2">
      <c r="A9389" s="996" t="str">
        <f>CONCATENATE(Programme!D9390,Programme!E9390,Programme!F9390,Programme!G9390,Programme!H9390,Programme!I9390,Programme!J9390)</f>
        <v>&lt;cellule&gt;&lt;codeEdi&gt;10061&lt;/codeEdi&gt;&lt;/cellule&gt;</v>
      </c>
    </row>
    <row r="9390" spans="1:1" x14ac:dyDescent="0.2">
      <c r="A9390" s="996" t="str">
        <f>CONCATENATE(Programme!D9391,Programme!E9391,Programme!F9391,Programme!G9391,Programme!H9391,Programme!I9391,Programme!J9391)</f>
        <v>&lt;valeur&gt;&lt;/valeur&gt;</v>
      </c>
    </row>
    <row r="9391" spans="1:1" x14ac:dyDescent="0.2">
      <c r="A9391" s="996" t="str">
        <f>CONCATENATE(Programme!D9392,Programme!E9392,Programme!F9392,Programme!G9392,Programme!H9392,Programme!I9392,Programme!J9392)</f>
        <v>&lt;numeroLigne&gt;25&lt;/numeroLigne&gt;</v>
      </c>
    </row>
    <row r="9392" spans="1:1" x14ac:dyDescent="0.2">
      <c r="A9392" s="996" t="str">
        <f>CONCATENATE(Programme!D9393,Programme!E9393,Programme!F9393,Programme!G9393,Programme!H9393,Programme!I9393,Programme!J9393)</f>
        <v>&lt;/ValeurCellule&gt;</v>
      </c>
    </row>
    <row r="9393" spans="1:1" x14ac:dyDescent="0.2">
      <c r="A9393" s="996" t="str">
        <f>CONCATENATE(Programme!D9394,Programme!E9394,Programme!F9394,Programme!G9394,Programme!H9394,Programme!I9394,Programme!J9394)</f>
        <v>&lt;ValeurCellule&gt;</v>
      </c>
    </row>
    <row r="9394" spans="1:1" x14ac:dyDescent="0.2">
      <c r="A9394" s="996" t="str">
        <f>CONCATENATE(Programme!D9395,Programme!E9395,Programme!F9395,Programme!G9395,Programme!H9395,Programme!I9395,Programme!J9395)</f>
        <v>&lt;cellule&gt;&lt;codeEdi&gt;1078&lt;/codeEdi&gt;&lt;/cellule&gt;</v>
      </c>
    </row>
    <row r="9395" spans="1:1" x14ac:dyDescent="0.2">
      <c r="A9395" s="996" t="str">
        <f>CONCATENATE(Programme!D9396,Programme!E9396,Programme!F9396,Programme!G9396,Programme!H9396,Programme!I9396,Programme!J9396)</f>
        <v>&lt;valeur&gt;&lt;/valeur&gt;</v>
      </c>
    </row>
    <row r="9396" spans="1:1" x14ac:dyDescent="0.2">
      <c r="A9396" s="996" t="str">
        <f>CONCATENATE(Programme!D9397,Programme!E9397,Programme!F9397,Programme!G9397,Programme!H9397,Programme!I9397,Programme!J9397)</f>
        <v>&lt;numeroLigne&gt;25&lt;/numeroLigne&gt;</v>
      </c>
    </row>
    <row r="9397" spans="1:1" x14ac:dyDescent="0.2">
      <c r="A9397" s="996" t="str">
        <f>CONCATENATE(Programme!D9398,Programme!E9398,Programme!F9398,Programme!G9398,Programme!H9398,Programme!I9398,Programme!J9398)</f>
        <v>&lt;/ValeurCellule&gt;</v>
      </c>
    </row>
    <row r="9398" spans="1:1" x14ac:dyDescent="0.2">
      <c r="A9398" s="996" t="str">
        <f>CONCATENATE(Programme!D9399,Programme!E9399,Programme!F9399,Programme!G9399,Programme!H9399,Programme!I9399,Programme!J9399)</f>
        <v>&lt;ValeurCellule&gt;</v>
      </c>
    </row>
    <row r="9399" spans="1:1" x14ac:dyDescent="0.2">
      <c r="A9399" s="996" t="str">
        <f>CONCATENATE(Programme!D9400,Programme!E9400,Programme!F9400,Programme!G9400,Programme!H9400,Programme!I9400,Programme!J9400)</f>
        <v>&lt;cellule&gt;&lt;codeEdi&gt;1079&lt;/codeEdi&gt;&lt;/cellule&gt;</v>
      </c>
    </row>
    <row r="9400" spans="1:1" x14ac:dyDescent="0.2">
      <c r="A9400" s="996" t="str">
        <f>CONCATENATE(Programme!D9401,Programme!E9401,Programme!F9401,Programme!G9401,Programme!H9401,Programme!I9401,Programme!J9401)</f>
        <v>&lt;valeur&gt;&lt;/valeur&gt;</v>
      </c>
    </row>
    <row r="9401" spans="1:1" x14ac:dyDescent="0.2">
      <c r="A9401" s="996" t="str">
        <f>CONCATENATE(Programme!D9402,Programme!E9402,Programme!F9402,Programme!G9402,Programme!H9402,Programme!I9402,Programme!J9402)</f>
        <v>&lt;numeroLigne&gt;25&lt;/numeroLigne&gt;</v>
      </c>
    </row>
    <row r="9402" spans="1:1" x14ac:dyDescent="0.2">
      <c r="A9402" s="996" t="str">
        <f>CONCATENATE(Programme!D9403,Programme!E9403,Programme!F9403,Programme!G9403,Programme!H9403,Programme!I9403,Programme!J9403)</f>
        <v>&lt;/ValeurCellule&gt;</v>
      </c>
    </row>
    <row r="9403" spans="1:1" x14ac:dyDescent="0.2">
      <c r="A9403" s="996" t="str">
        <f>CONCATENATE(Programme!D9404,Programme!E9404,Programme!F9404,Programme!G9404,Programme!H9404,Programme!I9404,Programme!J9404)</f>
        <v>&lt;ValeurCellule&gt;</v>
      </c>
    </row>
    <row r="9404" spans="1:1" x14ac:dyDescent="0.2">
      <c r="A9404" s="996" t="str">
        <f>CONCATENATE(Programme!D9405,Programme!E9405,Programme!F9405,Programme!G9405,Programme!H9405,Programme!I9405,Programme!J9405)</f>
        <v>&lt;cellule&gt;&lt;codeEdi&gt;1080&lt;/codeEdi&gt;&lt;/cellule&gt;</v>
      </c>
    </row>
    <row r="9405" spans="1:1" x14ac:dyDescent="0.2">
      <c r="A9405" s="996" t="str">
        <f>CONCATENATE(Programme!D9406,Programme!E9406,Programme!F9406,Programme!G9406,Programme!H9406,Programme!I9406,Programme!J9406)</f>
        <v>&lt;valeur&gt;&lt;/valeur&gt;</v>
      </c>
    </row>
    <row r="9406" spans="1:1" x14ac:dyDescent="0.2">
      <c r="A9406" s="996" t="str">
        <f>CONCATENATE(Programme!D9407,Programme!E9407,Programme!F9407,Programme!G9407,Programme!H9407,Programme!I9407,Programme!J9407)</f>
        <v>&lt;numeroLigne&gt;25&lt;/numeroLigne&gt;</v>
      </c>
    </row>
    <row r="9407" spans="1:1" x14ac:dyDescent="0.2">
      <c r="A9407" s="996" t="str">
        <f>CONCATENATE(Programme!D9408,Programme!E9408,Programme!F9408,Programme!G9408,Programme!H9408,Programme!I9408,Programme!J9408)</f>
        <v>&lt;/ValeurCellule&gt;</v>
      </c>
    </row>
    <row r="9408" spans="1:1" x14ac:dyDescent="0.2">
      <c r="A9408" s="996" t="str">
        <f>CONCATENATE(Programme!D9409,Programme!E9409,Programme!F9409,Programme!G9409,Programme!H9409,Programme!I9409,Programme!J9409)</f>
        <v>&lt;ValeurCellule&gt;</v>
      </c>
    </row>
    <row r="9409" spans="1:1" x14ac:dyDescent="0.2">
      <c r="A9409" s="996" t="str">
        <f>CONCATENATE(Programme!D9410,Programme!E9410,Programme!F9410,Programme!G9410,Programme!H9410,Programme!I9410,Programme!J9410)</f>
        <v>&lt;cellule&gt;&lt;codeEdi&gt;1081&lt;/codeEdi&gt;&lt;/cellule&gt;</v>
      </c>
    </row>
    <row r="9410" spans="1:1" x14ac:dyDescent="0.2">
      <c r="A9410" s="996" t="str">
        <f>CONCATENATE(Programme!D9411,Programme!E9411,Programme!F9411,Programme!G9411,Programme!H9411,Programme!I9411,Programme!J9411)</f>
        <v>&lt;valeur&gt;&lt;/valeur&gt;</v>
      </c>
    </row>
    <row r="9411" spans="1:1" x14ac:dyDescent="0.2">
      <c r="A9411" s="996" t="str">
        <f>CONCATENATE(Programme!D9412,Programme!E9412,Programme!F9412,Programme!G9412,Programme!H9412,Programme!I9412,Programme!J9412)</f>
        <v>&lt;numeroLigne&gt;25&lt;/numeroLigne&gt;</v>
      </c>
    </row>
    <row r="9412" spans="1:1" x14ac:dyDescent="0.2">
      <c r="A9412" s="996" t="str">
        <f>CONCATENATE(Programme!D9413,Programme!E9413,Programme!F9413,Programme!G9413,Programme!H9413,Programme!I9413,Programme!J9413)</f>
        <v>&lt;/ValeurCellule&gt;</v>
      </c>
    </row>
    <row r="9413" spans="1:1" x14ac:dyDescent="0.2">
      <c r="A9413" s="996" t="str">
        <f>CONCATENATE(Programme!D9414,Programme!E9414,Programme!F9414,Programme!G9414,Programme!H9414,Programme!I9414,Programme!J9414)</f>
        <v>&lt;ValeurCellule&gt;</v>
      </c>
    </row>
    <row r="9414" spans="1:1" x14ac:dyDescent="0.2">
      <c r="A9414" s="996" t="str">
        <f>CONCATENATE(Programme!D9415,Programme!E9415,Programme!F9415,Programme!G9415,Programme!H9415,Programme!I9415,Programme!J9415)</f>
        <v>&lt;cellule&gt;&lt;codeEdi&gt;1082&lt;/codeEdi&gt;&lt;/cellule&gt;</v>
      </c>
    </row>
    <row r="9415" spans="1:1" x14ac:dyDescent="0.2">
      <c r="A9415" s="996" t="str">
        <f>CONCATENATE(Programme!D9416,Programme!E9416,Programme!F9416,Programme!G9416,Programme!H9416,Programme!I9416,Programme!J9416)</f>
        <v>&lt;valeur&gt;&lt;/valeur&gt;</v>
      </c>
    </row>
    <row r="9416" spans="1:1" x14ac:dyDescent="0.2">
      <c r="A9416" s="996" t="str">
        <f>CONCATENATE(Programme!D9417,Programme!E9417,Programme!F9417,Programme!G9417,Programme!H9417,Programme!I9417,Programme!J9417)</f>
        <v>&lt;numeroLigne&gt;25&lt;/numeroLigne&gt;</v>
      </c>
    </row>
    <row r="9417" spans="1:1" x14ac:dyDescent="0.2">
      <c r="A9417" s="996" t="str">
        <f>CONCATENATE(Programme!D9418,Programme!E9418,Programme!F9418,Programme!G9418,Programme!H9418,Programme!I9418,Programme!J9418)</f>
        <v>&lt;/ValeurCellule&gt;</v>
      </c>
    </row>
    <row r="9418" spans="1:1" x14ac:dyDescent="0.2">
      <c r="A9418" s="996" t="str">
        <f>CONCATENATE(Programme!D9419,Programme!E9419,Programme!F9419,Programme!G9419,Programme!H9419,Programme!I9419,Programme!J9419)</f>
        <v>&lt;ValeurCellule&gt;</v>
      </c>
    </row>
    <row r="9419" spans="1:1" x14ac:dyDescent="0.2">
      <c r="A9419" s="996" t="str">
        <f>CONCATENATE(Programme!D9420,Programme!E9420,Programme!F9420,Programme!G9420,Programme!H9420,Programme!I9420,Programme!J9420)</f>
        <v>&lt;cellule&gt;&lt;codeEdi&gt;1083&lt;/codeEdi&gt;&lt;/cellule&gt;</v>
      </c>
    </row>
    <row r="9420" spans="1:1" x14ac:dyDescent="0.2">
      <c r="A9420" s="996" t="str">
        <f>CONCATENATE(Programme!D9421,Programme!E9421,Programme!F9421,Programme!G9421,Programme!H9421,Programme!I9421,Programme!J9421)</f>
        <v>&lt;valeur&gt;&lt;/valeur&gt;</v>
      </c>
    </row>
    <row r="9421" spans="1:1" x14ac:dyDescent="0.2">
      <c r="A9421" s="996" t="str">
        <f>CONCATENATE(Programme!D9422,Programme!E9422,Programme!F9422,Programme!G9422,Programme!H9422,Programme!I9422,Programme!J9422)</f>
        <v>&lt;numeroLigne&gt;25&lt;/numeroLigne&gt;</v>
      </c>
    </row>
    <row r="9422" spans="1:1" x14ac:dyDescent="0.2">
      <c r="A9422" s="996" t="str">
        <f>CONCATENATE(Programme!D9423,Programme!E9423,Programme!F9423,Programme!G9423,Programme!H9423,Programme!I9423,Programme!J9423)</f>
        <v>&lt;/ValeurCellule&gt;</v>
      </c>
    </row>
    <row r="9423" spans="1:1" x14ac:dyDescent="0.2">
      <c r="A9423" s="996" t="str">
        <f>CONCATENATE(Programme!D9424,Programme!E9424,Programme!F9424,Programme!G9424,Programme!H9424,Programme!I9424,Programme!J9424)</f>
        <v>&lt;ValeurCellule&gt;</v>
      </c>
    </row>
    <row r="9424" spans="1:1" x14ac:dyDescent="0.2">
      <c r="A9424" s="996" t="str">
        <f>CONCATENATE(Programme!D9425,Programme!E9425,Programme!F9425,Programme!G9425,Programme!H9425,Programme!I9425,Programme!J9425)</f>
        <v>&lt;cellule&gt;&lt;codeEdi&gt;1084&lt;/codeEdi&gt;&lt;/cellule&gt;</v>
      </c>
    </row>
    <row r="9425" spans="1:1" x14ac:dyDescent="0.2">
      <c r="A9425" s="996" t="str">
        <f>CONCATENATE(Programme!D9426,Programme!E9426,Programme!F9426,Programme!G9426,Programme!H9426,Programme!I9426,Programme!J9426)</f>
        <v>&lt;valeur&gt;&lt;/valeur&gt;</v>
      </c>
    </row>
    <row r="9426" spans="1:1" x14ac:dyDescent="0.2">
      <c r="A9426" s="996" t="str">
        <f>CONCATENATE(Programme!D9427,Programme!E9427,Programme!F9427,Programme!G9427,Programme!H9427,Programme!I9427,Programme!J9427)</f>
        <v>&lt;numeroLigne&gt;25&lt;/numeroLigne&gt;</v>
      </c>
    </row>
    <row r="9427" spans="1:1" x14ac:dyDescent="0.2">
      <c r="A9427" s="996" t="str">
        <f>CONCATENATE(Programme!D9428,Programme!E9428,Programme!F9428,Programme!G9428,Programme!H9428,Programme!I9428,Programme!J9428)</f>
        <v>&lt;/ValeurCellule&gt;</v>
      </c>
    </row>
    <row r="9428" spans="1:1" x14ac:dyDescent="0.2">
      <c r="A9428" s="996" t="str">
        <f>CONCATENATE(Programme!D9429,Programme!E9429,Programme!F9429,Programme!G9429,Programme!H9429,Programme!I9429,Programme!J9429)</f>
        <v>&lt;ValeurCellule&gt;</v>
      </c>
    </row>
    <row r="9429" spans="1:1" x14ac:dyDescent="0.2">
      <c r="A9429" s="996" t="str">
        <f>CONCATENATE(Programme!D9430,Programme!E9430,Programme!F9430,Programme!G9430,Programme!H9430,Programme!I9430,Programme!J9430)</f>
        <v>&lt;cellule&gt;&lt;codeEdi&gt;1085&lt;/codeEdi&gt;&lt;/cellule&gt;</v>
      </c>
    </row>
    <row r="9430" spans="1:1" x14ac:dyDescent="0.2">
      <c r="A9430" s="996" t="str">
        <f>CONCATENATE(Programme!D9431,Programme!E9431,Programme!F9431,Programme!G9431,Programme!H9431,Programme!I9431,Programme!J9431)</f>
        <v>&lt;valeur&gt;&lt;/valeur&gt;</v>
      </c>
    </row>
    <row r="9431" spans="1:1" x14ac:dyDescent="0.2">
      <c r="A9431" s="996" t="str">
        <f>CONCATENATE(Programme!D9432,Programme!E9432,Programme!F9432,Programme!G9432,Programme!H9432,Programme!I9432,Programme!J9432)</f>
        <v>&lt;numeroLigne&gt;25&lt;/numeroLigne&gt;</v>
      </c>
    </row>
    <row r="9432" spans="1:1" x14ac:dyDescent="0.2">
      <c r="A9432" s="996" t="str">
        <f>CONCATENATE(Programme!D9433,Programme!E9433,Programme!F9433,Programme!G9433,Programme!H9433,Programme!I9433,Programme!J9433)</f>
        <v>&lt;/ValeurCellule&gt;</v>
      </c>
    </row>
    <row r="9433" spans="1:1" x14ac:dyDescent="0.2">
      <c r="A9433" s="996" t="str">
        <f>CONCATENATE(Programme!D9434,Programme!E9434,Programme!F9434,Programme!G9434,Programme!H9434,Programme!I9434,Programme!J9434)</f>
        <v>&lt;ValeurCellule&gt;</v>
      </c>
    </row>
    <row r="9434" spans="1:1" x14ac:dyDescent="0.2">
      <c r="A9434" s="996" t="str">
        <f>CONCATENATE(Programme!D9435,Programme!E9435,Programme!F9435,Programme!G9435,Programme!H9435,Programme!I9435,Programme!J9435)</f>
        <v>&lt;cellule&gt;&lt;codeEdi&gt;1086&lt;/codeEdi&gt;&lt;/cellule&gt;</v>
      </c>
    </row>
    <row r="9435" spans="1:1" x14ac:dyDescent="0.2">
      <c r="A9435" s="996" t="str">
        <f>CONCATENATE(Programme!D9436,Programme!E9436,Programme!F9436,Programme!G9436,Programme!H9436,Programme!I9436,Programme!J9436)</f>
        <v>&lt;valeur&gt;&lt;/valeur&gt;</v>
      </c>
    </row>
    <row r="9436" spans="1:1" x14ac:dyDescent="0.2">
      <c r="A9436" s="996" t="str">
        <f>CONCATENATE(Programme!D9437,Programme!E9437,Programme!F9437,Programme!G9437,Programme!H9437,Programme!I9437,Programme!J9437)</f>
        <v>&lt;numeroLigne&gt;25&lt;/numeroLigne&gt;</v>
      </c>
    </row>
    <row r="9437" spans="1:1" x14ac:dyDescent="0.2">
      <c r="A9437" s="996" t="str">
        <f>CONCATENATE(Programme!D9438,Programme!E9438,Programme!F9438,Programme!G9438,Programme!H9438,Programme!I9438,Programme!J9438)</f>
        <v>&lt;/ValeurCellule&gt;</v>
      </c>
    </row>
    <row r="9438" spans="1:1" x14ac:dyDescent="0.2">
      <c r="A9438" s="996" t="str">
        <f>CONCATENATE(Programme!D9439,Programme!E9439,Programme!F9439,Programme!G9439,Programme!H9439,Programme!I9439,Programme!J9439)</f>
        <v>&lt;ValeurCellule&gt;</v>
      </c>
    </row>
    <row r="9439" spans="1:1" x14ac:dyDescent="0.2">
      <c r="A9439" s="996" t="str">
        <f>CONCATENATE(Programme!D9440,Programme!E9440,Programme!F9440,Programme!G9440,Programme!H9440,Programme!I9440,Programme!J9440)</f>
        <v>&lt;cellule&gt;&lt;codeEdi&gt;10061&lt;/codeEdi&gt;&lt;/cellule&gt;</v>
      </c>
    </row>
    <row r="9440" spans="1:1" x14ac:dyDescent="0.2">
      <c r="A9440" s="996" t="str">
        <f>CONCATENATE(Programme!D9441,Programme!E9441,Programme!F9441,Programme!G9441,Programme!H9441,Programme!I9441,Programme!J9441)</f>
        <v>&lt;valeur&gt;&lt;/valeur&gt;</v>
      </c>
    </row>
    <row r="9441" spans="1:1" x14ac:dyDescent="0.2">
      <c r="A9441" s="996" t="str">
        <f>CONCATENATE(Programme!D9442,Programme!E9442,Programme!F9442,Programme!G9442,Programme!H9442,Programme!I9442,Programme!J9442)</f>
        <v>&lt;numeroLigne&gt;26&lt;/numeroLigne&gt;</v>
      </c>
    </row>
    <row r="9442" spans="1:1" x14ac:dyDescent="0.2">
      <c r="A9442" s="996" t="str">
        <f>CONCATENATE(Programme!D9443,Programme!E9443,Programme!F9443,Programme!G9443,Programme!H9443,Programme!I9443,Programme!J9443)</f>
        <v>&lt;/ValeurCellule&gt;</v>
      </c>
    </row>
    <row r="9443" spans="1:1" x14ac:dyDescent="0.2">
      <c r="A9443" s="996" t="str">
        <f>CONCATENATE(Programme!D9444,Programme!E9444,Programme!F9444,Programme!G9444,Programme!H9444,Programme!I9444,Programme!J9444)</f>
        <v>&lt;ValeurCellule&gt;</v>
      </c>
    </row>
    <row r="9444" spans="1:1" x14ac:dyDescent="0.2">
      <c r="A9444" s="996" t="str">
        <f>CONCATENATE(Programme!D9445,Programme!E9445,Programme!F9445,Programme!G9445,Programme!H9445,Programme!I9445,Programme!J9445)</f>
        <v>&lt;cellule&gt;&lt;codeEdi&gt;1078&lt;/codeEdi&gt;&lt;/cellule&gt;</v>
      </c>
    </row>
    <row r="9445" spans="1:1" x14ac:dyDescent="0.2">
      <c r="A9445" s="996" t="str">
        <f>CONCATENATE(Programme!D9446,Programme!E9446,Programme!F9446,Programme!G9446,Programme!H9446,Programme!I9446,Programme!J9446)</f>
        <v>&lt;valeur&gt;&lt;/valeur&gt;</v>
      </c>
    </row>
    <row r="9446" spans="1:1" x14ac:dyDescent="0.2">
      <c r="A9446" s="996" t="str">
        <f>CONCATENATE(Programme!D9447,Programme!E9447,Programme!F9447,Programme!G9447,Programme!H9447,Programme!I9447,Programme!J9447)</f>
        <v>&lt;numeroLigne&gt;26&lt;/numeroLigne&gt;</v>
      </c>
    </row>
    <row r="9447" spans="1:1" x14ac:dyDescent="0.2">
      <c r="A9447" s="996" t="str">
        <f>CONCATENATE(Programme!D9448,Programme!E9448,Programme!F9448,Programme!G9448,Programme!H9448,Programme!I9448,Programme!J9448)</f>
        <v>&lt;/ValeurCellule&gt;</v>
      </c>
    </row>
    <row r="9448" spans="1:1" x14ac:dyDescent="0.2">
      <c r="A9448" s="996" t="str">
        <f>CONCATENATE(Programme!D9449,Programme!E9449,Programme!F9449,Programme!G9449,Programme!H9449,Programme!I9449,Programme!J9449)</f>
        <v>&lt;ValeurCellule&gt;</v>
      </c>
    </row>
    <row r="9449" spans="1:1" x14ac:dyDescent="0.2">
      <c r="A9449" s="996" t="str">
        <f>CONCATENATE(Programme!D9450,Programme!E9450,Programme!F9450,Programme!G9450,Programme!H9450,Programme!I9450,Programme!J9450)</f>
        <v>&lt;cellule&gt;&lt;codeEdi&gt;1079&lt;/codeEdi&gt;&lt;/cellule&gt;</v>
      </c>
    </row>
    <row r="9450" spans="1:1" x14ac:dyDescent="0.2">
      <c r="A9450" s="996" t="str">
        <f>CONCATENATE(Programme!D9451,Programme!E9451,Programme!F9451,Programme!G9451,Programme!H9451,Programme!I9451,Programme!J9451)</f>
        <v>&lt;valeur&gt;&lt;/valeur&gt;</v>
      </c>
    </row>
    <row r="9451" spans="1:1" x14ac:dyDescent="0.2">
      <c r="A9451" s="996" t="str">
        <f>CONCATENATE(Programme!D9452,Programme!E9452,Programme!F9452,Programme!G9452,Programme!H9452,Programme!I9452,Programme!J9452)</f>
        <v>&lt;numeroLigne&gt;26&lt;/numeroLigne&gt;</v>
      </c>
    </row>
    <row r="9452" spans="1:1" x14ac:dyDescent="0.2">
      <c r="A9452" s="996" t="str">
        <f>CONCATENATE(Programme!D9453,Programme!E9453,Programme!F9453,Programme!G9453,Programme!H9453,Programme!I9453,Programme!J9453)</f>
        <v>&lt;/ValeurCellule&gt;</v>
      </c>
    </row>
    <row r="9453" spans="1:1" x14ac:dyDescent="0.2">
      <c r="A9453" s="996" t="str">
        <f>CONCATENATE(Programme!D9454,Programme!E9454,Programme!F9454,Programme!G9454,Programme!H9454,Programme!I9454,Programme!J9454)</f>
        <v>&lt;ValeurCellule&gt;</v>
      </c>
    </row>
    <row r="9454" spans="1:1" x14ac:dyDescent="0.2">
      <c r="A9454" s="996" t="str">
        <f>CONCATENATE(Programme!D9455,Programme!E9455,Programme!F9455,Programme!G9455,Programme!H9455,Programme!I9455,Programme!J9455)</f>
        <v>&lt;cellule&gt;&lt;codeEdi&gt;1080&lt;/codeEdi&gt;&lt;/cellule&gt;</v>
      </c>
    </row>
    <row r="9455" spans="1:1" x14ac:dyDescent="0.2">
      <c r="A9455" s="996" t="str">
        <f>CONCATENATE(Programme!D9456,Programme!E9456,Programme!F9456,Programme!G9456,Programme!H9456,Programme!I9456,Programme!J9456)</f>
        <v>&lt;valeur&gt;&lt;/valeur&gt;</v>
      </c>
    </row>
    <row r="9456" spans="1:1" x14ac:dyDescent="0.2">
      <c r="A9456" s="996" t="str">
        <f>CONCATENATE(Programme!D9457,Programme!E9457,Programme!F9457,Programme!G9457,Programme!H9457,Programme!I9457,Programme!J9457)</f>
        <v>&lt;numeroLigne&gt;26&lt;/numeroLigne&gt;</v>
      </c>
    </row>
    <row r="9457" spans="1:1" x14ac:dyDescent="0.2">
      <c r="A9457" s="996" t="str">
        <f>CONCATENATE(Programme!D9458,Programme!E9458,Programme!F9458,Programme!G9458,Programme!H9458,Programme!I9458,Programme!J9458)</f>
        <v>&lt;/ValeurCellule&gt;</v>
      </c>
    </row>
    <row r="9458" spans="1:1" x14ac:dyDescent="0.2">
      <c r="A9458" s="996" t="str">
        <f>CONCATENATE(Programme!D9459,Programme!E9459,Programme!F9459,Programme!G9459,Programme!H9459,Programme!I9459,Programme!J9459)</f>
        <v>&lt;ValeurCellule&gt;</v>
      </c>
    </row>
    <row r="9459" spans="1:1" x14ac:dyDescent="0.2">
      <c r="A9459" s="996" t="str">
        <f>CONCATENATE(Programme!D9460,Programme!E9460,Programme!F9460,Programme!G9460,Programme!H9460,Programme!I9460,Programme!J9460)</f>
        <v>&lt;cellule&gt;&lt;codeEdi&gt;1081&lt;/codeEdi&gt;&lt;/cellule&gt;</v>
      </c>
    </row>
    <row r="9460" spans="1:1" x14ac:dyDescent="0.2">
      <c r="A9460" s="996" t="str">
        <f>CONCATENATE(Programme!D9461,Programme!E9461,Programme!F9461,Programme!G9461,Programme!H9461,Programme!I9461,Programme!J9461)</f>
        <v>&lt;valeur&gt;&lt;/valeur&gt;</v>
      </c>
    </row>
    <row r="9461" spans="1:1" x14ac:dyDescent="0.2">
      <c r="A9461" s="996" t="str">
        <f>CONCATENATE(Programme!D9462,Programme!E9462,Programme!F9462,Programme!G9462,Programme!H9462,Programme!I9462,Programme!J9462)</f>
        <v>&lt;numeroLigne&gt;26&lt;/numeroLigne&gt;</v>
      </c>
    </row>
    <row r="9462" spans="1:1" x14ac:dyDescent="0.2">
      <c r="A9462" s="996" t="str">
        <f>CONCATENATE(Programme!D9463,Programme!E9463,Programme!F9463,Programme!G9463,Programme!H9463,Programme!I9463,Programme!J9463)</f>
        <v>&lt;/ValeurCellule&gt;</v>
      </c>
    </row>
    <row r="9463" spans="1:1" x14ac:dyDescent="0.2">
      <c r="A9463" s="996" t="str">
        <f>CONCATENATE(Programme!D9464,Programme!E9464,Programme!F9464,Programme!G9464,Programme!H9464,Programme!I9464,Programme!J9464)</f>
        <v>&lt;ValeurCellule&gt;</v>
      </c>
    </row>
    <row r="9464" spans="1:1" x14ac:dyDescent="0.2">
      <c r="A9464" s="996" t="str">
        <f>CONCATENATE(Programme!D9465,Programme!E9465,Programme!F9465,Programme!G9465,Programme!H9465,Programme!I9465,Programme!J9465)</f>
        <v>&lt;cellule&gt;&lt;codeEdi&gt;1082&lt;/codeEdi&gt;&lt;/cellule&gt;</v>
      </c>
    </row>
    <row r="9465" spans="1:1" x14ac:dyDescent="0.2">
      <c r="A9465" s="996" t="str">
        <f>CONCATENATE(Programme!D9466,Programme!E9466,Programme!F9466,Programme!G9466,Programme!H9466,Programme!I9466,Programme!J9466)</f>
        <v>&lt;valeur&gt;&lt;/valeur&gt;</v>
      </c>
    </row>
    <row r="9466" spans="1:1" x14ac:dyDescent="0.2">
      <c r="A9466" s="996" t="str">
        <f>CONCATENATE(Programme!D9467,Programme!E9467,Programme!F9467,Programme!G9467,Programme!H9467,Programme!I9467,Programme!J9467)</f>
        <v>&lt;numeroLigne&gt;26&lt;/numeroLigne&gt;</v>
      </c>
    </row>
    <row r="9467" spans="1:1" x14ac:dyDescent="0.2">
      <c r="A9467" s="996" t="str">
        <f>CONCATENATE(Programme!D9468,Programme!E9468,Programme!F9468,Programme!G9468,Programme!H9468,Programme!I9468,Programme!J9468)</f>
        <v>&lt;/ValeurCellule&gt;</v>
      </c>
    </row>
    <row r="9468" spans="1:1" x14ac:dyDescent="0.2">
      <c r="A9468" s="996" t="str">
        <f>CONCATENATE(Programme!D9469,Programme!E9469,Programme!F9469,Programme!G9469,Programme!H9469,Programme!I9469,Programme!J9469)</f>
        <v>&lt;ValeurCellule&gt;</v>
      </c>
    </row>
    <row r="9469" spans="1:1" x14ac:dyDescent="0.2">
      <c r="A9469" s="996" t="str">
        <f>CONCATENATE(Programme!D9470,Programme!E9470,Programme!F9470,Programme!G9470,Programme!H9470,Programme!I9470,Programme!J9470)</f>
        <v>&lt;cellule&gt;&lt;codeEdi&gt;1083&lt;/codeEdi&gt;&lt;/cellule&gt;</v>
      </c>
    </row>
    <row r="9470" spans="1:1" x14ac:dyDescent="0.2">
      <c r="A9470" s="996" t="str">
        <f>CONCATENATE(Programme!D9471,Programme!E9471,Programme!F9471,Programme!G9471,Programme!H9471,Programme!I9471,Programme!J9471)</f>
        <v>&lt;valeur&gt;&lt;/valeur&gt;</v>
      </c>
    </row>
    <row r="9471" spans="1:1" x14ac:dyDescent="0.2">
      <c r="A9471" s="996" t="str">
        <f>CONCATENATE(Programme!D9472,Programme!E9472,Programme!F9472,Programme!G9472,Programme!H9472,Programme!I9472,Programme!J9472)</f>
        <v>&lt;numeroLigne&gt;26&lt;/numeroLigne&gt;</v>
      </c>
    </row>
    <row r="9472" spans="1:1" x14ac:dyDescent="0.2">
      <c r="A9472" s="996" t="str">
        <f>CONCATENATE(Programme!D9473,Programme!E9473,Programme!F9473,Programme!G9473,Programme!H9473,Programme!I9473,Programme!J9473)</f>
        <v>&lt;/ValeurCellule&gt;</v>
      </c>
    </row>
    <row r="9473" spans="1:1" x14ac:dyDescent="0.2">
      <c r="A9473" s="996" t="str">
        <f>CONCATENATE(Programme!D9474,Programme!E9474,Programme!F9474,Programme!G9474,Programme!H9474,Programme!I9474,Programme!J9474)</f>
        <v>&lt;ValeurCellule&gt;</v>
      </c>
    </row>
    <row r="9474" spans="1:1" x14ac:dyDescent="0.2">
      <c r="A9474" s="996" t="str">
        <f>CONCATENATE(Programme!D9475,Programme!E9475,Programme!F9475,Programme!G9475,Programme!H9475,Programme!I9475,Programme!J9475)</f>
        <v>&lt;cellule&gt;&lt;codeEdi&gt;1084&lt;/codeEdi&gt;&lt;/cellule&gt;</v>
      </c>
    </row>
    <row r="9475" spans="1:1" x14ac:dyDescent="0.2">
      <c r="A9475" s="996" t="str">
        <f>CONCATENATE(Programme!D9476,Programme!E9476,Programme!F9476,Programme!G9476,Programme!H9476,Programme!I9476,Programme!J9476)</f>
        <v>&lt;valeur&gt;&lt;/valeur&gt;</v>
      </c>
    </row>
    <row r="9476" spans="1:1" x14ac:dyDescent="0.2">
      <c r="A9476" s="996" t="str">
        <f>CONCATENATE(Programme!D9477,Programme!E9477,Programme!F9477,Programme!G9477,Programme!H9477,Programme!I9477,Programme!J9477)</f>
        <v>&lt;numeroLigne&gt;26&lt;/numeroLigne&gt;</v>
      </c>
    </row>
    <row r="9477" spans="1:1" x14ac:dyDescent="0.2">
      <c r="A9477" s="996" t="str">
        <f>CONCATENATE(Programme!D9478,Programme!E9478,Programme!F9478,Programme!G9478,Programme!H9478,Programme!I9478,Programme!J9478)</f>
        <v>&lt;/ValeurCellule&gt;</v>
      </c>
    </row>
    <row r="9478" spans="1:1" x14ac:dyDescent="0.2">
      <c r="A9478" s="996" t="str">
        <f>CONCATENATE(Programme!D9479,Programme!E9479,Programme!F9479,Programme!G9479,Programme!H9479,Programme!I9479,Programme!J9479)</f>
        <v>&lt;ValeurCellule&gt;</v>
      </c>
    </row>
    <row r="9479" spans="1:1" x14ac:dyDescent="0.2">
      <c r="A9479" s="996" t="str">
        <f>CONCATENATE(Programme!D9480,Programme!E9480,Programme!F9480,Programme!G9480,Programme!H9480,Programme!I9480,Programme!J9480)</f>
        <v>&lt;cellule&gt;&lt;codeEdi&gt;1085&lt;/codeEdi&gt;&lt;/cellule&gt;</v>
      </c>
    </row>
    <row r="9480" spans="1:1" x14ac:dyDescent="0.2">
      <c r="A9480" s="996" t="str">
        <f>CONCATENATE(Programme!D9481,Programme!E9481,Programme!F9481,Programme!G9481,Programme!H9481,Programme!I9481,Programme!J9481)</f>
        <v>&lt;valeur&gt;&lt;/valeur&gt;</v>
      </c>
    </row>
    <row r="9481" spans="1:1" x14ac:dyDescent="0.2">
      <c r="A9481" s="996" t="str">
        <f>CONCATENATE(Programme!D9482,Programme!E9482,Programme!F9482,Programme!G9482,Programme!H9482,Programme!I9482,Programme!J9482)</f>
        <v>&lt;numeroLigne&gt;26&lt;/numeroLigne&gt;</v>
      </c>
    </row>
    <row r="9482" spans="1:1" x14ac:dyDescent="0.2">
      <c r="A9482" s="996" t="str">
        <f>CONCATENATE(Programme!D9483,Programme!E9483,Programme!F9483,Programme!G9483,Programme!H9483,Programme!I9483,Programme!J9483)</f>
        <v>&lt;/ValeurCellule&gt;</v>
      </c>
    </row>
    <row r="9483" spans="1:1" x14ac:dyDescent="0.2">
      <c r="A9483" s="996" t="str">
        <f>CONCATENATE(Programme!D9484,Programme!E9484,Programme!F9484,Programme!G9484,Programme!H9484,Programme!I9484,Programme!J9484)</f>
        <v>&lt;ValeurCellule&gt;</v>
      </c>
    </row>
    <row r="9484" spans="1:1" x14ac:dyDescent="0.2">
      <c r="A9484" s="996" t="str">
        <f>CONCATENATE(Programme!D9485,Programme!E9485,Programme!F9485,Programme!G9485,Programme!H9485,Programme!I9485,Programme!J9485)</f>
        <v>&lt;cellule&gt;&lt;codeEdi&gt;1086&lt;/codeEdi&gt;&lt;/cellule&gt;</v>
      </c>
    </row>
    <row r="9485" spans="1:1" x14ac:dyDescent="0.2">
      <c r="A9485" s="996" t="str">
        <f>CONCATENATE(Programme!D9486,Programme!E9486,Programme!F9486,Programme!G9486,Programme!H9486,Programme!I9486,Programme!J9486)</f>
        <v>&lt;valeur&gt;&lt;/valeur&gt;</v>
      </c>
    </row>
    <row r="9486" spans="1:1" x14ac:dyDescent="0.2">
      <c r="A9486" s="996" t="str">
        <f>CONCATENATE(Programme!D9487,Programme!E9487,Programme!F9487,Programme!G9487,Programme!H9487,Programme!I9487,Programme!J9487)</f>
        <v>&lt;numeroLigne&gt;26&lt;/numeroLigne&gt;</v>
      </c>
    </row>
    <row r="9487" spans="1:1" x14ac:dyDescent="0.2">
      <c r="A9487" s="996" t="str">
        <f>CONCATENATE(Programme!D9488,Programme!E9488,Programme!F9488,Programme!G9488,Programme!H9488,Programme!I9488,Programme!J9488)</f>
        <v>&lt;/ValeurCellule&gt;</v>
      </c>
    </row>
    <row r="9488" spans="1:1" x14ac:dyDescent="0.2">
      <c r="A9488" s="996" t="str">
        <f>CONCATENATE(Programme!D9489,Programme!E9489,Programme!F9489,Programme!G9489,Programme!H9489,Programme!I9489,Programme!J9489)</f>
        <v>&lt;ValeurCellule&gt;</v>
      </c>
    </row>
    <row r="9489" spans="1:1" x14ac:dyDescent="0.2">
      <c r="A9489" s="996" t="str">
        <f>CONCATENATE(Programme!D9490,Programme!E9490,Programme!F9490,Programme!G9490,Programme!H9490,Programme!I9490,Programme!J9490)</f>
        <v>&lt;cellule&gt;&lt;codeEdi&gt;10061&lt;/codeEdi&gt;&lt;/cellule&gt;</v>
      </c>
    </row>
    <row r="9490" spans="1:1" x14ac:dyDescent="0.2">
      <c r="A9490" s="996" t="str">
        <f>CONCATENATE(Programme!D9491,Programme!E9491,Programme!F9491,Programme!G9491,Programme!H9491,Programme!I9491,Programme!J9491)</f>
        <v>&lt;valeur&gt;&lt;/valeur&gt;</v>
      </c>
    </row>
    <row r="9491" spans="1:1" x14ac:dyDescent="0.2">
      <c r="A9491" s="996" t="str">
        <f>CONCATENATE(Programme!D9492,Programme!E9492,Programme!F9492,Programme!G9492,Programme!H9492,Programme!I9492,Programme!J9492)</f>
        <v>&lt;numeroLigne&gt;27&lt;/numeroLigne&gt;</v>
      </c>
    </row>
    <row r="9492" spans="1:1" x14ac:dyDescent="0.2">
      <c r="A9492" s="996" t="str">
        <f>CONCATENATE(Programme!D9493,Programme!E9493,Programme!F9493,Programme!G9493,Programme!H9493,Programme!I9493,Programme!J9493)</f>
        <v>&lt;/ValeurCellule&gt;</v>
      </c>
    </row>
    <row r="9493" spans="1:1" x14ac:dyDescent="0.2">
      <c r="A9493" s="996" t="str">
        <f>CONCATENATE(Programme!D9494,Programme!E9494,Programme!F9494,Programme!G9494,Programme!H9494,Programme!I9494,Programme!J9494)</f>
        <v>&lt;ValeurCellule&gt;</v>
      </c>
    </row>
    <row r="9494" spans="1:1" x14ac:dyDescent="0.2">
      <c r="A9494" s="996" t="str">
        <f>CONCATENATE(Programme!D9495,Programme!E9495,Programme!F9495,Programme!G9495,Programme!H9495,Programme!I9495,Programme!J9495)</f>
        <v>&lt;cellule&gt;&lt;codeEdi&gt;1078&lt;/codeEdi&gt;&lt;/cellule&gt;</v>
      </c>
    </row>
    <row r="9495" spans="1:1" x14ac:dyDescent="0.2">
      <c r="A9495" s="996" t="str">
        <f>CONCATENATE(Programme!D9496,Programme!E9496,Programme!F9496,Programme!G9496,Programme!H9496,Programme!I9496,Programme!J9496)</f>
        <v>&lt;valeur&gt;&lt;/valeur&gt;</v>
      </c>
    </row>
    <row r="9496" spans="1:1" x14ac:dyDescent="0.2">
      <c r="A9496" s="996" t="str">
        <f>CONCATENATE(Programme!D9497,Programme!E9497,Programme!F9497,Programme!G9497,Programme!H9497,Programme!I9497,Programme!J9497)</f>
        <v>&lt;numeroLigne&gt;27&lt;/numeroLigne&gt;</v>
      </c>
    </row>
    <row r="9497" spans="1:1" x14ac:dyDescent="0.2">
      <c r="A9497" s="996" t="str">
        <f>CONCATENATE(Programme!D9498,Programme!E9498,Programme!F9498,Programme!G9498,Programme!H9498,Programme!I9498,Programme!J9498)</f>
        <v>&lt;/ValeurCellule&gt;</v>
      </c>
    </row>
    <row r="9498" spans="1:1" x14ac:dyDescent="0.2">
      <c r="A9498" s="996" t="str">
        <f>CONCATENATE(Programme!D9499,Programme!E9499,Programme!F9499,Programme!G9499,Programme!H9499,Programme!I9499,Programme!J9499)</f>
        <v>&lt;ValeurCellule&gt;</v>
      </c>
    </row>
    <row r="9499" spans="1:1" x14ac:dyDescent="0.2">
      <c r="A9499" s="996" t="str">
        <f>CONCATENATE(Programme!D9500,Programme!E9500,Programme!F9500,Programme!G9500,Programme!H9500,Programme!I9500,Programme!J9500)</f>
        <v>&lt;cellule&gt;&lt;codeEdi&gt;1079&lt;/codeEdi&gt;&lt;/cellule&gt;</v>
      </c>
    </row>
    <row r="9500" spans="1:1" x14ac:dyDescent="0.2">
      <c r="A9500" s="996" t="str">
        <f>CONCATENATE(Programme!D9501,Programme!E9501,Programme!F9501,Programme!G9501,Programme!H9501,Programme!I9501,Programme!J9501)</f>
        <v>&lt;valeur&gt;&lt;/valeur&gt;</v>
      </c>
    </row>
    <row r="9501" spans="1:1" x14ac:dyDescent="0.2">
      <c r="A9501" s="996" t="str">
        <f>CONCATENATE(Programme!D9502,Programme!E9502,Programme!F9502,Programme!G9502,Programme!H9502,Programme!I9502,Programme!J9502)</f>
        <v>&lt;numeroLigne&gt;27&lt;/numeroLigne&gt;</v>
      </c>
    </row>
    <row r="9502" spans="1:1" x14ac:dyDescent="0.2">
      <c r="A9502" s="996" t="str">
        <f>CONCATENATE(Programme!D9503,Programme!E9503,Programme!F9503,Programme!G9503,Programme!H9503,Programme!I9503,Programme!J9503)</f>
        <v>&lt;/ValeurCellule&gt;</v>
      </c>
    </row>
    <row r="9503" spans="1:1" x14ac:dyDescent="0.2">
      <c r="A9503" s="996" t="str">
        <f>CONCATENATE(Programme!D9504,Programme!E9504,Programme!F9504,Programme!G9504,Programme!H9504,Programme!I9504,Programme!J9504)</f>
        <v>&lt;ValeurCellule&gt;</v>
      </c>
    </row>
    <row r="9504" spans="1:1" x14ac:dyDescent="0.2">
      <c r="A9504" s="996" t="str">
        <f>CONCATENATE(Programme!D9505,Programme!E9505,Programme!F9505,Programme!G9505,Programme!H9505,Programme!I9505,Programme!J9505)</f>
        <v>&lt;cellule&gt;&lt;codeEdi&gt;1080&lt;/codeEdi&gt;&lt;/cellule&gt;</v>
      </c>
    </row>
    <row r="9505" spans="1:1" x14ac:dyDescent="0.2">
      <c r="A9505" s="996" t="str">
        <f>CONCATENATE(Programme!D9506,Programme!E9506,Programme!F9506,Programme!G9506,Programme!H9506,Programme!I9506,Programme!J9506)</f>
        <v>&lt;valeur&gt;&lt;/valeur&gt;</v>
      </c>
    </row>
    <row r="9506" spans="1:1" x14ac:dyDescent="0.2">
      <c r="A9506" s="996" t="str">
        <f>CONCATENATE(Programme!D9507,Programme!E9507,Programme!F9507,Programme!G9507,Programme!H9507,Programme!I9507,Programme!J9507)</f>
        <v>&lt;numeroLigne&gt;27&lt;/numeroLigne&gt;</v>
      </c>
    </row>
    <row r="9507" spans="1:1" x14ac:dyDescent="0.2">
      <c r="A9507" s="996" t="str">
        <f>CONCATENATE(Programme!D9508,Programme!E9508,Programme!F9508,Programme!G9508,Programme!H9508,Programme!I9508,Programme!J9508)</f>
        <v>&lt;/ValeurCellule&gt;</v>
      </c>
    </row>
    <row r="9508" spans="1:1" x14ac:dyDescent="0.2">
      <c r="A9508" s="996" t="str">
        <f>CONCATENATE(Programme!D9509,Programme!E9509,Programme!F9509,Programme!G9509,Programme!H9509,Programme!I9509,Programme!J9509)</f>
        <v>&lt;ValeurCellule&gt;</v>
      </c>
    </row>
    <row r="9509" spans="1:1" x14ac:dyDescent="0.2">
      <c r="A9509" s="996" t="str">
        <f>CONCATENATE(Programme!D9510,Programme!E9510,Programme!F9510,Programme!G9510,Programme!H9510,Programme!I9510,Programme!J9510)</f>
        <v>&lt;cellule&gt;&lt;codeEdi&gt;1081&lt;/codeEdi&gt;&lt;/cellule&gt;</v>
      </c>
    </row>
    <row r="9510" spans="1:1" x14ac:dyDescent="0.2">
      <c r="A9510" s="996" t="str">
        <f>CONCATENATE(Programme!D9511,Programme!E9511,Programme!F9511,Programme!G9511,Programme!H9511,Programme!I9511,Programme!J9511)</f>
        <v>&lt;valeur&gt;&lt;/valeur&gt;</v>
      </c>
    </row>
    <row r="9511" spans="1:1" x14ac:dyDescent="0.2">
      <c r="A9511" s="996" t="str">
        <f>CONCATENATE(Programme!D9512,Programme!E9512,Programme!F9512,Programme!G9512,Programme!H9512,Programme!I9512,Programme!J9512)</f>
        <v>&lt;numeroLigne&gt;27&lt;/numeroLigne&gt;</v>
      </c>
    </row>
    <row r="9512" spans="1:1" x14ac:dyDescent="0.2">
      <c r="A9512" s="996" t="str">
        <f>CONCATENATE(Programme!D9513,Programme!E9513,Programme!F9513,Programme!G9513,Programme!H9513,Programme!I9513,Programme!J9513)</f>
        <v>&lt;/ValeurCellule&gt;</v>
      </c>
    </row>
    <row r="9513" spans="1:1" x14ac:dyDescent="0.2">
      <c r="A9513" s="996" t="str">
        <f>CONCATENATE(Programme!D9514,Programme!E9514,Programme!F9514,Programme!G9514,Programme!H9514,Programme!I9514,Programme!J9514)</f>
        <v>&lt;ValeurCellule&gt;</v>
      </c>
    </row>
    <row r="9514" spans="1:1" x14ac:dyDescent="0.2">
      <c r="A9514" s="996" t="str">
        <f>CONCATENATE(Programme!D9515,Programme!E9515,Programme!F9515,Programme!G9515,Programme!H9515,Programme!I9515,Programme!J9515)</f>
        <v>&lt;cellule&gt;&lt;codeEdi&gt;1082&lt;/codeEdi&gt;&lt;/cellule&gt;</v>
      </c>
    </row>
    <row r="9515" spans="1:1" x14ac:dyDescent="0.2">
      <c r="A9515" s="996" t="str">
        <f>CONCATENATE(Programme!D9516,Programme!E9516,Programme!F9516,Programme!G9516,Programme!H9516,Programme!I9516,Programme!J9516)</f>
        <v>&lt;valeur&gt;&lt;/valeur&gt;</v>
      </c>
    </row>
    <row r="9516" spans="1:1" x14ac:dyDescent="0.2">
      <c r="A9516" s="996" t="str">
        <f>CONCATENATE(Programme!D9517,Programme!E9517,Programme!F9517,Programme!G9517,Programme!H9517,Programme!I9517,Programme!J9517)</f>
        <v>&lt;numeroLigne&gt;27&lt;/numeroLigne&gt;</v>
      </c>
    </row>
    <row r="9517" spans="1:1" x14ac:dyDescent="0.2">
      <c r="A9517" s="996" t="str">
        <f>CONCATENATE(Programme!D9518,Programme!E9518,Programme!F9518,Programme!G9518,Programme!H9518,Programme!I9518,Programme!J9518)</f>
        <v>&lt;/ValeurCellule&gt;</v>
      </c>
    </row>
    <row r="9518" spans="1:1" x14ac:dyDescent="0.2">
      <c r="A9518" s="996" t="str">
        <f>CONCATENATE(Programme!D9519,Programme!E9519,Programme!F9519,Programme!G9519,Programme!H9519,Programme!I9519,Programme!J9519)</f>
        <v>&lt;ValeurCellule&gt;</v>
      </c>
    </row>
    <row r="9519" spans="1:1" x14ac:dyDescent="0.2">
      <c r="A9519" s="996" t="str">
        <f>CONCATENATE(Programme!D9520,Programme!E9520,Programme!F9520,Programme!G9520,Programme!H9520,Programme!I9520,Programme!J9520)</f>
        <v>&lt;cellule&gt;&lt;codeEdi&gt;1083&lt;/codeEdi&gt;&lt;/cellule&gt;</v>
      </c>
    </row>
    <row r="9520" spans="1:1" x14ac:dyDescent="0.2">
      <c r="A9520" s="996" t="str">
        <f>CONCATENATE(Programme!D9521,Programme!E9521,Programme!F9521,Programme!G9521,Programme!H9521,Programme!I9521,Programme!J9521)</f>
        <v>&lt;valeur&gt;&lt;/valeur&gt;</v>
      </c>
    </row>
    <row r="9521" spans="1:1" x14ac:dyDescent="0.2">
      <c r="A9521" s="996" t="str">
        <f>CONCATENATE(Programme!D9522,Programme!E9522,Programme!F9522,Programme!G9522,Programme!H9522,Programme!I9522,Programme!J9522)</f>
        <v>&lt;numeroLigne&gt;27&lt;/numeroLigne&gt;</v>
      </c>
    </row>
    <row r="9522" spans="1:1" x14ac:dyDescent="0.2">
      <c r="A9522" s="996" t="str">
        <f>CONCATENATE(Programme!D9523,Programme!E9523,Programme!F9523,Programme!G9523,Programme!H9523,Programme!I9523,Programme!J9523)</f>
        <v>&lt;/ValeurCellule&gt;</v>
      </c>
    </row>
    <row r="9523" spans="1:1" x14ac:dyDescent="0.2">
      <c r="A9523" s="996" t="str">
        <f>CONCATENATE(Programme!D9524,Programme!E9524,Programme!F9524,Programme!G9524,Programme!H9524,Programme!I9524,Programme!J9524)</f>
        <v>&lt;ValeurCellule&gt;</v>
      </c>
    </row>
    <row r="9524" spans="1:1" x14ac:dyDescent="0.2">
      <c r="A9524" s="996" t="str">
        <f>CONCATENATE(Programme!D9525,Programme!E9525,Programme!F9525,Programme!G9525,Programme!H9525,Programme!I9525,Programme!J9525)</f>
        <v>&lt;cellule&gt;&lt;codeEdi&gt;1084&lt;/codeEdi&gt;&lt;/cellule&gt;</v>
      </c>
    </row>
    <row r="9525" spans="1:1" x14ac:dyDescent="0.2">
      <c r="A9525" s="996" t="str">
        <f>CONCATENATE(Programme!D9526,Programme!E9526,Programme!F9526,Programme!G9526,Programme!H9526,Programme!I9526,Programme!J9526)</f>
        <v>&lt;valeur&gt;&lt;/valeur&gt;</v>
      </c>
    </row>
    <row r="9526" spans="1:1" x14ac:dyDescent="0.2">
      <c r="A9526" s="996" t="str">
        <f>CONCATENATE(Programme!D9527,Programme!E9527,Programme!F9527,Programme!G9527,Programme!H9527,Programme!I9527,Programme!J9527)</f>
        <v>&lt;numeroLigne&gt;27&lt;/numeroLigne&gt;</v>
      </c>
    </row>
    <row r="9527" spans="1:1" x14ac:dyDescent="0.2">
      <c r="A9527" s="996" t="str">
        <f>CONCATENATE(Programme!D9528,Programme!E9528,Programme!F9528,Programme!G9528,Programme!H9528,Programme!I9528,Programme!J9528)</f>
        <v>&lt;/ValeurCellule&gt;</v>
      </c>
    </row>
    <row r="9528" spans="1:1" x14ac:dyDescent="0.2">
      <c r="A9528" s="996" t="str">
        <f>CONCATENATE(Programme!D9529,Programme!E9529,Programme!F9529,Programme!G9529,Programme!H9529,Programme!I9529,Programme!J9529)</f>
        <v>&lt;ValeurCellule&gt;</v>
      </c>
    </row>
    <row r="9529" spans="1:1" x14ac:dyDescent="0.2">
      <c r="A9529" s="996" t="str">
        <f>CONCATENATE(Programme!D9530,Programme!E9530,Programme!F9530,Programme!G9530,Programme!H9530,Programme!I9530,Programme!J9530)</f>
        <v>&lt;cellule&gt;&lt;codeEdi&gt;1085&lt;/codeEdi&gt;&lt;/cellule&gt;</v>
      </c>
    </row>
    <row r="9530" spans="1:1" x14ac:dyDescent="0.2">
      <c r="A9530" s="996" t="str">
        <f>CONCATENATE(Programme!D9531,Programme!E9531,Programme!F9531,Programme!G9531,Programme!H9531,Programme!I9531,Programme!J9531)</f>
        <v>&lt;valeur&gt;&lt;/valeur&gt;</v>
      </c>
    </row>
    <row r="9531" spans="1:1" x14ac:dyDescent="0.2">
      <c r="A9531" s="996" t="str">
        <f>CONCATENATE(Programme!D9532,Programme!E9532,Programme!F9532,Programme!G9532,Programme!H9532,Programme!I9532,Programme!J9532)</f>
        <v>&lt;numeroLigne&gt;27&lt;/numeroLigne&gt;</v>
      </c>
    </row>
    <row r="9532" spans="1:1" x14ac:dyDescent="0.2">
      <c r="A9532" s="996" t="str">
        <f>CONCATENATE(Programme!D9533,Programme!E9533,Programme!F9533,Programme!G9533,Programme!H9533,Programme!I9533,Programme!J9533)</f>
        <v>&lt;/ValeurCellule&gt;</v>
      </c>
    </row>
    <row r="9533" spans="1:1" x14ac:dyDescent="0.2">
      <c r="A9533" s="996" t="str">
        <f>CONCATENATE(Programme!D9534,Programme!E9534,Programme!F9534,Programme!G9534,Programme!H9534,Programme!I9534,Programme!J9534)</f>
        <v>&lt;ValeurCellule&gt;</v>
      </c>
    </row>
    <row r="9534" spans="1:1" x14ac:dyDescent="0.2">
      <c r="A9534" s="996" t="str">
        <f>CONCATENATE(Programme!D9535,Programme!E9535,Programme!F9535,Programme!G9535,Programme!H9535,Programme!I9535,Programme!J9535)</f>
        <v>&lt;cellule&gt;&lt;codeEdi&gt;1086&lt;/codeEdi&gt;&lt;/cellule&gt;</v>
      </c>
    </row>
    <row r="9535" spans="1:1" x14ac:dyDescent="0.2">
      <c r="A9535" s="996" t="str">
        <f>CONCATENATE(Programme!D9536,Programme!E9536,Programme!F9536,Programme!G9536,Programme!H9536,Programme!I9536,Programme!J9536)</f>
        <v>&lt;valeur&gt;&lt;/valeur&gt;</v>
      </c>
    </row>
    <row r="9536" spans="1:1" x14ac:dyDescent="0.2">
      <c r="A9536" s="996" t="str">
        <f>CONCATENATE(Programme!D9537,Programme!E9537,Programme!F9537,Programme!G9537,Programme!H9537,Programme!I9537,Programme!J9537)</f>
        <v>&lt;numeroLigne&gt;27&lt;/numeroLigne&gt;</v>
      </c>
    </row>
    <row r="9537" spans="1:1" x14ac:dyDescent="0.2">
      <c r="A9537" s="996" t="str">
        <f>CONCATENATE(Programme!D9538,Programme!E9538,Programme!F9538,Programme!G9538,Programme!H9538,Programme!I9538,Programme!J9538)</f>
        <v>&lt;/ValeurCellule&gt;</v>
      </c>
    </row>
    <row r="9538" spans="1:1" x14ac:dyDescent="0.2">
      <c r="A9538" s="996" t="str">
        <f>CONCATENATE(Programme!D9539,Programme!E9539,Programme!F9539,Programme!G9539,Programme!H9539,Programme!I9539,Programme!J9539)</f>
        <v>&lt;ValeurCellule&gt;</v>
      </c>
    </row>
    <row r="9539" spans="1:1" x14ac:dyDescent="0.2">
      <c r="A9539" s="996" t="str">
        <f>CONCATENATE(Programme!D9540,Programme!E9540,Programme!F9540,Programme!G9540,Programme!H9540,Programme!I9540,Programme!J9540)</f>
        <v>&lt;cellule&gt;&lt;codeEdi&gt;10061&lt;/codeEdi&gt;&lt;/cellule&gt;</v>
      </c>
    </row>
    <row r="9540" spans="1:1" x14ac:dyDescent="0.2">
      <c r="A9540" s="996" t="str">
        <f>CONCATENATE(Programme!D9541,Programme!E9541,Programme!F9541,Programme!G9541,Programme!H9541,Programme!I9541,Programme!J9541)</f>
        <v>&lt;valeur&gt;&lt;/valeur&gt;</v>
      </c>
    </row>
    <row r="9541" spans="1:1" x14ac:dyDescent="0.2">
      <c r="A9541" s="996" t="str">
        <f>CONCATENATE(Programme!D9542,Programme!E9542,Programme!F9542,Programme!G9542,Programme!H9542,Programme!I9542,Programme!J9542)</f>
        <v>&lt;numeroLigne&gt;28&lt;/numeroLigne&gt;</v>
      </c>
    </row>
    <row r="9542" spans="1:1" x14ac:dyDescent="0.2">
      <c r="A9542" s="996" t="str">
        <f>CONCATENATE(Programme!D9543,Programme!E9543,Programme!F9543,Programme!G9543,Programme!H9543,Programme!I9543,Programme!J9543)</f>
        <v>&lt;/ValeurCellule&gt;</v>
      </c>
    </row>
    <row r="9543" spans="1:1" x14ac:dyDescent="0.2">
      <c r="A9543" s="996" t="str">
        <f>CONCATENATE(Programme!D9544,Programme!E9544,Programme!F9544,Programme!G9544,Programme!H9544,Programme!I9544,Programme!J9544)</f>
        <v>&lt;ValeurCellule&gt;</v>
      </c>
    </row>
    <row r="9544" spans="1:1" x14ac:dyDescent="0.2">
      <c r="A9544" s="996" t="str">
        <f>CONCATENATE(Programme!D9545,Programme!E9545,Programme!F9545,Programme!G9545,Programme!H9545,Programme!I9545,Programme!J9545)</f>
        <v>&lt;cellule&gt;&lt;codeEdi&gt;1078&lt;/codeEdi&gt;&lt;/cellule&gt;</v>
      </c>
    </row>
    <row r="9545" spans="1:1" x14ac:dyDescent="0.2">
      <c r="A9545" s="996" t="str">
        <f>CONCATENATE(Programme!D9546,Programme!E9546,Programme!F9546,Programme!G9546,Programme!H9546,Programme!I9546,Programme!J9546)</f>
        <v>&lt;valeur&gt;&lt;/valeur&gt;</v>
      </c>
    </row>
    <row r="9546" spans="1:1" x14ac:dyDescent="0.2">
      <c r="A9546" s="996" t="str">
        <f>CONCATENATE(Programme!D9547,Programme!E9547,Programme!F9547,Programme!G9547,Programme!H9547,Programme!I9547,Programme!J9547)</f>
        <v>&lt;numeroLigne&gt;28&lt;/numeroLigne&gt;</v>
      </c>
    </row>
    <row r="9547" spans="1:1" x14ac:dyDescent="0.2">
      <c r="A9547" s="996" t="str">
        <f>CONCATENATE(Programme!D9548,Programme!E9548,Programme!F9548,Programme!G9548,Programme!H9548,Programme!I9548,Programme!J9548)</f>
        <v>&lt;/ValeurCellule&gt;</v>
      </c>
    </row>
    <row r="9548" spans="1:1" x14ac:dyDescent="0.2">
      <c r="A9548" s="996" t="str">
        <f>CONCATENATE(Programme!D9549,Programme!E9549,Programme!F9549,Programme!G9549,Programme!H9549,Programme!I9549,Programme!J9549)</f>
        <v>&lt;ValeurCellule&gt;</v>
      </c>
    </row>
    <row r="9549" spans="1:1" x14ac:dyDescent="0.2">
      <c r="A9549" s="996" t="str">
        <f>CONCATENATE(Programme!D9550,Programme!E9550,Programme!F9550,Programme!G9550,Programme!H9550,Programme!I9550,Programme!J9550)</f>
        <v>&lt;cellule&gt;&lt;codeEdi&gt;1079&lt;/codeEdi&gt;&lt;/cellule&gt;</v>
      </c>
    </row>
    <row r="9550" spans="1:1" x14ac:dyDescent="0.2">
      <c r="A9550" s="996" t="str">
        <f>CONCATENATE(Programme!D9551,Programme!E9551,Programme!F9551,Programme!G9551,Programme!H9551,Programme!I9551,Programme!J9551)</f>
        <v>&lt;valeur&gt;&lt;/valeur&gt;</v>
      </c>
    </row>
    <row r="9551" spans="1:1" x14ac:dyDescent="0.2">
      <c r="A9551" s="996" t="str">
        <f>CONCATENATE(Programme!D9552,Programme!E9552,Programme!F9552,Programme!G9552,Programme!H9552,Programme!I9552,Programme!J9552)</f>
        <v>&lt;numeroLigne&gt;28&lt;/numeroLigne&gt;</v>
      </c>
    </row>
    <row r="9552" spans="1:1" x14ac:dyDescent="0.2">
      <c r="A9552" s="996" t="str">
        <f>CONCATENATE(Programme!D9553,Programme!E9553,Programme!F9553,Programme!G9553,Programme!H9553,Programme!I9553,Programme!J9553)</f>
        <v>&lt;/ValeurCellule&gt;</v>
      </c>
    </row>
    <row r="9553" spans="1:1" x14ac:dyDescent="0.2">
      <c r="A9553" s="996" t="str">
        <f>CONCATENATE(Programme!D9554,Programme!E9554,Programme!F9554,Programme!G9554,Programme!H9554,Programme!I9554,Programme!J9554)</f>
        <v>&lt;ValeurCellule&gt;</v>
      </c>
    </row>
    <row r="9554" spans="1:1" x14ac:dyDescent="0.2">
      <c r="A9554" s="996" t="str">
        <f>CONCATENATE(Programme!D9555,Programme!E9555,Programme!F9555,Programme!G9555,Programme!H9555,Programme!I9555,Programme!J9555)</f>
        <v>&lt;cellule&gt;&lt;codeEdi&gt;1080&lt;/codeEdi&gt;&lt;/cellule&gt;</v>
      </c>
    </row>
    <row r="9555" spans="1:1" x14ac:dyDescent="0.2">
      <c r="A9555" s="996" t="str">
        <f>CONCATENATE(Programme!D9556,Programme!E9556,Programme!F9556,Programme!G9556,Programme!H9556,Programme!I9556,Programme!J9556)</f>
        <v>&lt;valeur&gt;&lt;/valeur&gt;</v>
      </c>
    </row>
    <row r="9556" spans="1:1" x14ac:dyDescent="0.2">
      <c r="A9556" s="996" t="str">
        <f>CONCATENATE(Programme!D9557,Programme!E9557,Programme!F9557,Programme!G9557,Programme!H9557,Programme!I9557,Programme!J9557)</f>
        <v>&lt;numeroLigne&gt;28&lt;/numeroLigne&gt;</v>
      </c>
    </row>
    <row r="9557" spans="1:1" x14ac:dyDescent="0.2">
      <c r="A9557" s="996" t="str">
        <f>CONCATENATE(Programme!D9558,Programme!E9558,Programme!F9558,Programme!G9558,Programme!H9558,Programme!I9558,Programme!J9558)</f>
        <v>&lt;/ValeurCellule&gt;</v>
      </c>
    </row>
    <row r="9558" spans="1:1" x14ac:dyDescent="0.2">
      <c r="A9558" s="996" t="str">
        <f>CONCATENATE(Programme!D9559,Programme!E9559,Programme!F9559,Programme!G9559,Programme!H9559,Programme!I9559,Programme!J9559)</f>
        <v>&lt;ValeurCellule&gt;</v>
      </c>
    </row>
    <row r="9559" spans="1:1" x14ac:dyDescent="0.2">
      <c r="A9559" s="996" t="str">
        <f>CONCATENATE(Programme!D9560,Programme!E9560,Programme!F9560,Programme!G9560,Programme!H9560,Programme!I9560,Programme!J9560)</f>
        <v>&lt;cellule&gt;&lt;codeEdi&gt;1081&lt;/codeEdi&gt;&lt;/cellule&gt;</v>
      </c>
    </row>
    <row r="9560" spans="1:1" x14ac:dyDescent="0.2">
      <c r="A9560" s="996" t="str">
        <f>CONCATENATE(Programme!D9561,Programme!E9561,Programme!F9561,Programme!G9561,Programme!H9561,Programme!I9561,Programme!J9561)</f>
        <v>&lt;valeur&gt;&lt;/valeur&gt;</v>
      </c>
    </row>
    <row r="9561" spans="1:1" x14ac:dyDescent="0.2">
      <c r="A9561" s="996" t="str">
        <f>CONCATENATE(Programme!D9562,Programme!E9562,Programme!F9562,Programme!G9562,Programme!H9562,Programme!I9562,Programme!J9562)</f>
        <v>&lt;numeroLigne&gt;28&lt;/numeroLigne&gt;</v>
      </c>
    </row>
    <row r="9562" spans="1:1" x14ac:dyDescent="0.2">
      <c r="A9562" s="996" t="str">
        <f>CONCATENATE(Programme!D9563,Programme!E9563,Programme!F9563,Programme!G9563,Programme!H9563,Programme!I9563,Programme!J9563)</f>
        <v>&lt;/ValeurCellule&gt;</v>
      </c>
    </row>
    <row r="9563" spans="1:1" x14ac:dyDescent="0.2">
      <c r="A9563" s="996" t="str">
        <f>CONCATENATE(Programme!D9564,Programme!E9564,Programme!F9564,Programme!G9564,Programme!H9564,Programme!I9564,Programme!J9564)</f>
        <v>&lt;ValeurCellule&gt;</v>
      </c>
    </row>
    <row r="9564" spans="1:1" x14ac:dyDescent="0.2">
      <c r="A9564" s="996" t="str">
        <f>CONCATENATE(Programme!D9565,Programme!E9565,Programme!F9565,Programme!G9565,Programme!H9565,Programme!I9565,Programme!J9565)</f>
        <v>&lt;cellule&gt;&lt;codeEdi&gt;1082&lt;/codeEdi&gt;&lt;/cellule&gt;</v>
      </c>
    </row>
    <row r="9565" spans="1:1" x14ac:dyDescent="0.2">
      <c r="A9565" s="996" t="str">
        <f>CONCATENATE(Programme!D9566,Programme!E9566,Programme!F9566,Programme!G9566,Programme!H9566,Programme!I9566,Programme!J9566)</f>
        <v>&lt;valeur&gt;&lt;/valeur&gt;</v>
      </c>
    </row>
    <row r="9566" spans="1:1" x14ac:dyDescent="0.2">
      <c r="A9566" s="996" t="str">
        <f>CONCATENATE(Programme!D9567,Programme!E9567,Programme!F9567,Programme!G9567,Programme!H9567,Programme!I9567,Programme!J9567)</f>
        <v>&lt;numeroLigne&gt;28&lt;/numeroLigne&gt;</v>
      </c>
    </row>
    <row r="9567" spans="1:1" x14ac:dyDescent="0.2">
      <c r="A9567" s="996" t="str">
        <f>CONCATENATE(Programme!D9568,Programme!E9568,Programme!F9568,Programme!G9568,Programme!H9568,Programme!I9568,Programme!J9568)</f>
        <v>&lt;/ValeurCellule&gt;</v>
      </c>
    </row>
    <row r="9568" spans="1:1" x14ac:dyDescent="0.2">
      <c r="A9568" s="996" t="str">
        <f>CONCATENATE(Programme!D9569,Programme!E9569,Programme!F9569,Programme!G9569,Programme!H9569,Programme!I9569,Programme!J9569)</f>
        <v>&lt;ValeurCellule&gt;</v>
      </c>
    </row>
    <row r="9569" spans="1:1" x14ac:dyDescent="0.2">
      <c r="A9569" s="996" t="str">
        <f>CONCATENATE(Programme!D9570,Programme!E9570,Programme!F9570,Programme!G9570,Programme!H9570,Programme!I9570,Programme!J9570)</f>
        <v>&lt;cellule&gt;&lt;codeEdi&gt;1083&lt;/codeEdi&gt;&lt;/cellule&gt;</v>
      </c>
    </row>
    <row r="9570" spans="1:1" x14ac:dyDescent="0.2">
      <c r="A9570" s="996" t="str">
        <f>CONCATENATE(Programme!D9571,Programme!E9571,Programme!F9571,Programme!G9571,Programme!H9571,Programme!I9571,Programme!J9571)</f>
        <v>&lt;valeur&gt;&lt;/valeur&gt;</v>
      </c>
    </row>
    <row r="9571" spans="1:1" x14ac:dyDescent="0.2">
      <c r="A9571" s="996" t="str">
        <f>CONCATENATE(Programme!D9572,Programme!E9572,Programme!F9572,Programme!G9572,Programme!H9572,Programme!I9572,Programme!J9572)</f>
        <v>&lt;numeroLigne&gt;28&lt;/numeroLigne&gt;</v>
      </c>
    </row>
    <row r="9572" spans="1:1" x14ac:dyDescent="0.2">
      <c r="A9572" s="996" t="str">
        <f>CONCATENATE(Programme!D9573,Programme!E9573,Programme!F9573,Programme!G9573,Programme!H9573,Programme!I9573,Programme!J9573)</f>
        <v>&lt;/ValeurCellule&gt;</v>
      </c>
    </row>
    <row r="9573" spans="1:1" x14ac:dyDescent="0.2">
      <c r="A9573" s="996" t="str">
        <f>CONCATENATE(Programme!D9574,Programme!E9574,Programme!F9574,Programme!G9574,Programme!H9574,Programme!I9574,Programme!J9574)</f>
        <v>&lt;ValeurCellule&gt;</v>
      </c>
    </row>
    <row r="9574" spans="1:1" x14ac:dyDescent="0.2">
      <c r="A9574" s="996" t="str">
        <f>CONCATENATE(Programme!D9575,Programme!E9575,Programme!F9575,Programme!G9575,Programme!H9575,Programme!I9575,Programme!J9575)</f>
        <v>&lt;cellule&gt;&lt;codeEdi&gt;1084&lt;/codeEdi&gt;&lt;/cellule&gt;</v>
      </c>
    </row>
    <row r="9575" spans="1:1" x14ac:dyDescent="0.2">
      <c r="A9575" s="996" t="str">
        <f>CONCATENATE(Programme!D9576,Programme!E9576,Programme!F9576,Programme!G9576,Programme!H9576,Programme!I9576,Programme!J9576)</f>
        <v>&lt;valeur&gt;&lt;/valeur&gt;</v>
      </c>
    </row>
    <row r="9576" spans="1:1" x14ac:dyDescent="0.2">
      <c r="A9576" s="996" t="str">
        <f>CONCATENATE(Programme!D9577,Programme!E9577,Programme!F9577,Programme!G9577,Programme!H9577,Programme!I9577,Programme!J9577)</f>
        <v>&lt;numeroLigne&gt;28&lt;/numeroLigne&gt;</v>
      </c>
    </row>
    <row r="9577" spans="1:1" x14ac:dyDescent="0.2">
      <c r="A9577" s="996" t="str">
        <f>CONCATENATE(Programme!D9578,Programme!E9578,Programme!F9578,Programme!G9578,Programme!H9578,Programme!I9578,Programme!J9578)</f>
        <v>&lt;/ValeurCellule&gt;</v>
      </c>
    </row>
    <row r="9578" spans="1:1" x14ac:dyDescent="0.2">
      <c r="A9578" s="996" t="str">
        <f>CONCATENATE(Programme!D9579,Programme!E9579,Programme!F9579,Programme!G9579,Programme!H9579,Programme!I9579,Programme!J9579)</f>
        <v>&lt;ValeurCellule&gt;</v>
      </c>
    </row>
    <row r="9579" spans="1:1" x14ac:dyDescent="0.2">
      <c r="A9579" s="996" t="str">
        <f>CONCATENATE(Programme!D9580,Programme!E9580,Programme!F9580,Programme!G9580,Programme!H9580,Programme!I9580,Programme!J9580)</f>
        <v>&lt;cellule&gt;&lt;codeEdi&gt;1085&lt;/codeEdi&gt;&lt;/cellule&gt;</v>
      </c>
    </row>
    <row r="9580" spans="1:1" x14ac:dyDescent="0.2">
      <c r="A9580" s="996" t="str">
        <f>CONCATENATE(Programme!D9581,Programme!E9581,Programme!F9581,Programme!G9581,Programme!H9581,Programme!I9581,Programme!J9581)</f>
        <v>&lt;valeur&gt;&lt;/valeur&gt;</v>
      </c>
    </row>
    <row r="9581" spans="1:1" x14ac:dyDescent="0.2">
      <c r="A9581" s="996" t="str">
        <f>CONCATENATE(Programme!D9582,Programme!E9582,Programme!F9582,Programme!G9582,Programme!H9582,Programme!I9582,Programme!J9582)</f>
        <v>&lt;numeroLigne&gt;28&lt;/numeroLigne&gt;</v>
      </c>
    </row>
    <row r="9582" spans="1:1" x14ac:dyDescent="0.2">
      <c r="A9582" s="996" t="str">
        <f>CONCATENATE(Programme!D9583,Programme!E9583,Programme!F9583,Programme!G9583,Programme!H9583,Programme!I9583,Programme!J9583)</f>
        <v>&lt;/ValeurCellule&gt;</v>
      </c>
    </row>
    <row r="9583" spans="1:1" x14ac:dyDescent="0.2">
      <c r="A9583" s="996" t="str">
        <f>CONCATENATE(Programme!D9584,Programme!E9584,Programme!F9584,Programme!G9584,Programme!H9584,Programme!I9584,Programme!J9584)</f>
        <v>&lt;ValeurCellule&gt;</v>
      </c>
    </row>
    <row r="9584" spans="1:1" x14ac:dyDescent="0.2">
      <c r="A9584" s="996" t="str">
        <f>CONCATENATE(Programme!D9585,Programme!E9585,Programme!F9585,Programme!G9585,Programme!H9585,Programme!I9585,Programme!J9585)</f>
        <v>&lt;cellule&gt;&lt;codeEdi&gt;1086&lt;/codeEdi&gt;&lt;/cellule&gt;</v>
      </c>
    </row>
    <row r="9585" spans="1:1" x14ac:dyDescent="0.2">
      <c r="A9585" s="996" t="str">
        <f>CONCATENATE(Programme!D9586,Programme!E9586,Programme!F9586,Programme!G9586,Programme!H9586,Programme!I9586,Programme!J9586)</f>
        <v>&lt;valeur&gt;&lt;/valeur&gt;</v>
      </c>
    </row>
    <row r="9586" spans="1:1" x14ac:dyDescent="0.2">
      <c r="A9586" s="996" t="str">
        <f>CONCATENATE(Programme!D9587,Programme!E9587,Programme!F9587,Programme!G9587,Programme!H9587,Programme!I9587,Programme!J9587)</f>
        <v>&lt;numeroLigne&gt;28&lt;/numeroLigne&gt;</v>
      </c>
    </row>
    <row r="9587" spans="1:1" x14ac:dyDescent="0.2">
      <c r="A9587" s="996" t="str">
        <f>CONCATENATE(Programme!D9588,Programme!E9588,Programme!F9588,Programme!G9588,Programme!H9588,Programme!I9588,Programme!J9588)</f>
        <v>&lt;/ValeurCellule&gt;</v>
      </c>
    </row>
    <row r="9588" spans="1:1" x14ac:dyDescent="0.2">
      <c r="A9588" s="996" t="str">
        <f>CONCATENATE(Programme!D9589,Programme!E9589,Programme!F9589,Programme!G9589,Programme!H9589,Programme!I9589,Programme!J9589)</f>
        <v>&lt;ValeurCellule&gt;</v>
      </c>
    </row>
    <row r="9589" spans="1:1" x14ac:dyDescent="0.2">
      <c r="A9589" s="996" t="str">
        <f>CONCATENATE(Programme!D9590,Programme!E9590,Programme!F9590,Programme!G9590,Programme!H9590,Programme!I9590,Programme!J9590)</f>
        <v>&lt;cellule&gt;&lt;codeEdi&gt;10061&lt;/codeEdi&gt;&lt;/cellule&gt;</v>
      </c>
    </row>
    <row r="9590" spans="1:1" x14ac:dyDescent="0.2">
      <c r="A9590" s="996" t="str">
        <f>CONCATENATE(Programme!D9591,Programme!E9591,Programme!F9591,Programme!G9591,Programme!H9591,Programme!I9591,Programme!J9591)</f>
        <v>&lt;valeur&gt;&lt;/valeur&gt;</v>
      </c>
    </row>
    <row r="9591" spans="1:1" x14ac:dyDescent="0.2">
      <c r="A9591" s="996" t="str">
        <f>CONCATENATE(Programme!D9592,Programme!E9592,Programme!F9592,Programme!G9592,Programme!H9592,Programme!I9592,Programme!J9592)</f>
        <v>&lt;numeroLigne&gt;29&lt;/numeroLigne&gt;</v>
      </c>
    </row>
    <row r="9592" spans="1:1" x14ac:dyDescent="0.2">
      <c r="A9592" s="996" t="str">
        <f>CONCATENATE(Programme!D9593,Programme!E9593,Programme!F9593,Programme!G9593,Programme!H9593,Programme!I9593,Programme!J9593)</f>
        <v>&lt;/ValeurCellule&gt;</v>
      </c>
    </row>
    <row r="9593" spans="1:1" x14ac:dyDescent="0.2">
      <c r="A9593" s="996" t="str">
        <f>CONCATENATE(Programme!D9594,Programme!E9594,Programme!F9594,Programme!G9594,Programme!H9594,Programme!I9594,Programme!J9594)</f>
        <v>&lt;ValeurCellule&gt;</v>
      </c>
    </row>
    <row r="9594" spans="1:1" x14ac:dyDescent="0.2">
      <c r="A9594" s="996" t="str">
        <f>CONCATENATE(Programme!D9595,Programme!E9595,Programme!F9595,Programme!G9595,Programme!H9595,Programme!I9595,Programme!J9595)</f>
        <v>&lt;cellule&gt;&lt;codeEdi&gt;1078&lt;/codeEdi&gt;&lt;/cellule&gt;</v>
      </c>
    </row>
    <row r="9595" spans="1:1" x14ac:dyDescent="0.2">
      <c r="A9595" s="996" t="str">
        <f>CONCATENATE(Programme!D9596,Programme!E9596,Programme!F9596,Programme!G9596,Programme!H9596,Programme!I9596,Programme!J9596)</f>
        <v>&lt;valeur&gt;&lt;/valeur&gt;</v>
      </c>
    </row>
    <row r="9596" spans="1:1" x14ac:dyDescent="0.2">
      <c r="A9596" s="996" t="str">
        <f>CONCATENATE(Programme!D9597,Programme!E9597,Programme!F9597,Programme!G9597,Programme!H9597,Programme!I9597,Programme!J9597)</f>
        <v>&lt;numeroLigne&gt;29&lt;/numeroLigne&gt;</v>
      </c>
    </row>
    <row r="9597" spans="1:1" x14ac:dyDescent="0.2">
      <c r="A9597" s="996" t="str">
        <f>CONCATENATE(Programme!D9598,Programme!E9598,Programme!F9598,Programme!G9598,Programme!H9598,Programme!I9598,Programme!J9598)</f>
        <v>&lt;/ValeurCellule&gt;</v>
      </c>
    </row>
    <row r="9598" spans="1:1" x14ac:dyDescent="0.2">
      <c r="A9598" s="996" t="str">
        <f>CONCATENATE(Programme!D9599,Programme!E9599,Programme!F9599,Programme!G9599,Programme!H9599,Programme!I9599,Programme!J9599)</f>
        <v>&lt;ValeurCellule&gt;</v>
      </c>
    </row>
    <row r="9599" spans="1:1" x14ac:dyDescent="0.2">
      <c r="A9599" s="996" t="str">
        <f>CONCATENATE(Programme!D9600,Programme!E9600,Programme!F9600,Programme!G9600,Programme!H9600,Programme!I9600,Programme!J9600)</f>
        <v>&lt;cellule&gt;&lt;codeEdi&gt;1079&lt;/codeEdi&gt;&lt;/cellule&gt;</v>
      </c>
    </row>
    <row r="9600" spans="1:1" x14ac:dyDescent="0.2">
      <c r="A9600" s="996" t="str">
        <f>CONCATENATE(Programme!D9601,Programme!E9601,Programme!F9601,Programme!G9601,Programme!H9601,Programme!I9601,Programme!J9601)</f>
        <v>&lt;valeur&gt;&lt;/valeur&gt;</v>
      </c>
    </row>
    <row r="9601" spans="1:1" x14ac:dyDescent="0.2">
      <c r="A9601" s="996" t="str">
        <f>CONCATENATE(Programme!D9602,Programme!E9602,Programme!F9602,Programme!G9602,Programme!H9602,Programme!I9602,Programme!J9602)</f>
        <v>&lt;numeroLigne&gt;29&lt;/numeroLigne&gt;</v>
      </c>
    </row>
    <row r="9602" spans="1:1" x14ac:dyDescent="0.2">
      <c r="A9602" s="996" t="str">
        <f>CONCATENATE(Programme!D9603,Programme!E9603,Programme!F9603,Programme!G9603,Programme!H9603,Programme!I9603,Programme!J9603)</f>
        <v>&lt;/ValeurCellule&gt;</v>
      </c>
    </row>
    <row r="9603" spans="1:1" x14ac:dyDescent="0.2">
      <c r="A9603" s="996" t="str">
        <f>CONCATENATE(Programme!D9604,Programme!E9604,Programme!F9604,Programme!G9604,Programme!H9604,Programme!I9604,Programme!J9604)</f>
        <v>&lt;ValeurCellule&gt;</v>
      </c>
    </row>
    <row r="9604" spans="1:1" x14ac:dyDescent="0.2">
      <c r="A9604" s="996" t="str">
        <f>CONCATENATE(Programme!D9605,Programme!E9605,Programme!F9605,Programme!G9605,Programme!H9605,Programme!I9605,Programme!J9605)</f>
        <v>&lt;cellule&gt;&lt;codeEdi&gt;1080&lt;/codeEdi&gt;&lt;/cellule&gt;</v>
      </c>
    </row>
    <row r="9605" spans="1:1" x14ac:dyDescent="0.2">
      <c r="A9605" s="996" t="str">
        <f>CONCATENATE(Programme!D9606,Programme!E9606,Programme!F9606,Programme!G9606,Programme!H9606,Programme!I9606,Programme!J9606)</f>
        <v>&lt;valeur&gt;&lt;/valeur&gt;</v>
      </c>
    </row>
    <row r="9606" spans="1:1" x14ac:dyDescent="0.2">
      <c r="A9606" s="996" t="str">
        <f>CONCATENATE(Programme!D9607,Programme!E9607,Programme!F9607,Programme!G9607,Programme!H9607,Programme!I9607,Programme!J9607)</f>
        <v>&lt;numeroLigne&gt;29&lt;/numeroLigne&gt;</v>
      </c>
    </row>
    <row r="9607" spans="1:1" x14ac:dyDescent="0.2">
      <c r="A9607" s="996" t="str">
        <f>CONCATENATE(Programme!D9608,Programme!E9608,Programme!F9608,Programme!G9608,Programme!H9608,Programme!I9608,Programme!J9608)</f>
        <v>&lt;/ValeurCellule&gt;</v>
      </c>
    </row>
    <row r="9608" spans="1:1" x14ac:dyDescent="0.2">
      <c r="A9608" s="996" t="str">
        <f>CONCATENATE(Programme!D9609,Programme!E9609,Programme!F9609,Programme!G9609,Programme!H9609,Programme!I9609,Programme!J9609)</f>
        <v>&lt;ValeurCellule&gt;</v>
      </c>
    </row>
    <row r="9609" spans="1:1" x14ac:dyDescent="0.2">
      <c r="A9609" s="996" t="str">
        <f>CONCATENATE(Programme!D9610,Programme!E9610,Programme!F9610,Programme!G9610,Programme!H9610,Programme!I9610,Programme!J9610)</f>
        <v>&lt;cellule&gt;&lt;codeEdi&gt;1081&lt;/codeEdi&gt;&lt;/cellule&gt;</v>
      </c>
    </row>
    <row r="9610" spans="1:1" x14ac:dyDescent="0.2">
      <c r="A9610" s="996" t="str">
        <f>CONCATENATE(Programme!D9611,Programme!E9611,Programme!F9611,Programme!G9611,Programme!H9611,Programme!I9611,Programme!J9611)</f>
        <v>&lt;valeur&gt;&lt;/valeur&gt;</v>
      </c>
    </row>
    <row r="9611" spans="1:1" x14ac:dyDescent="0.2">
      <c r="A9611" s="996" t="str">
        <f>CONCATENATE(Programme!D9612,Programme!E9612,Programme!F9612,Programme!G9612,Programme!H9612,Programme!I9612,Programme!J9612)</f>
        <v>&lt;numeroLigne&gt;29&lt;/numeroLigne&gt;</v>
      </c>
    </row>
    <row r="9612" spans="1:1" x14ac:dyDescent="0.2">
      <c r="A9612" s="996" t="str">
        <f>CONCATENATE(Programme!D9613,Programme!E9613,Programme!F9613,Programme!G9613,Programme!H9613,Programme!I9613,Programme!J9613)</f>
        <v>&lt;/ValeurCellule&gt;</v>
      </c>
    </row>
    <row r="9613" spans="1:1" x14ac:dyDescent="0.2">
      <c r="A9613" s="996" t="str">
        <f>CONCATENATE(Programme!D9614,Programme!E9614,Programme!F9614,Programme!G9614,Programme!H9614,Programme!I9614,Programme!J9614)</f>
        <v>&lt;ValeurCellule&gt;</v>
      </c>
    </row>
    <row r="9614" spans="1:1" x14ac:dyDescent="0.2">
      <c r="A9614" s="996" t="str">
        <f>CONCATENATE(Programme!D9615,Programme!E9615,Programme!F9615,Programme!G9615,Programme!H9615,Programme!I9615,Programme!J9615)</f>
        <v>&lt;cellule&gt;&lt;codeEdi&gt;1082&lt;/codeEdi&gt;&lt;/cellule&gt;</v>
      </c>
    </row>
    <row r="9615" spans="1:1" x14ac:dyDescent="0.2">
      <c r="A9615" s="996" t="str">
        <f>CONCATENATE(Programme!D9616,Programme!E9616,Programme!F9616,Programme!G9616,Programme!H9616,Programme!I9616,Programme!J9616)</f>
        <v>&lt;valeur&gt;&lt;/valeur&gt;</v>
      </c>
    </row>
    <row r="9616" spans="1:1" x14ac:dyDescent="0.2">
      <c r="A9616" s="996" t="str">
        <f>CONCATENATE(Programme!D9617,Programme!E9617,Programme!F9617,Programme!G9617,Programme!H9617,Programme!I9617,Programme!J9617)</f>
        <v>&lt;numeroLigne&gt;29&lt;/numeroLigne&gt;</v>
      </c>
    </row>
    <row r="9617" spans="1:1" x14ac:dyDescent="0.2">
      <c r="A9617" s="996" t="str">
        <f>CONCATENATE(Programme!D9618,Programme!E9618,Programme!F9618,Programme!G9618,Programme!H9618,Programme!I9618,Programme!J9618)</f>
        <v>&lt;/ValeurCellule&gt;</v>
      </c>
    </row>
    <row r="9618" spans="1:1" x14ac:dyDescent="0.2">
      <c r="A9618" s="996" t="str">
        <f>CONCATENATE(Programme!D9619,Programme!E9619,Programme!F9619,Programme!G9619,Programme!H9619,Programme!I9619,Programme!J9619)</f>
        <v>&lt;ValeurCellule&gt;</v>
      </c>
    </row>
    <row r="9619" spans="1:1" x14ac:dyDescent="0.2">
      <c r="A9619" s="996" t="str">
        <f>CONCATENATE(Programme!D9620,Programme!E9620,Programme!F9620,Programme!G9620,Programme!H9620,Programme!I9620,Programme!J9620)</f>
        <v>&lt;cellule&gt;&lt;codeEdi&gt;1083&lt;/codeEdi&gt;&lt;/cellule&gt;</v>
      </c>
    </row>
    <row r="9620" spans="1:1" x14ac:dyDescent="0.2">
      <c r="A9620" s="996" t="str">
        <f>CONCATENATE(Programme!D9621,Programme!E9621,Programme!F9621,Programme!G9621,Programme!H9621,Programme!I9621,Programme!J9621)</f>
        <v>&lt;valeur&gt;&lt;/valeur&gt;</v>
      </c>
    </row>
    <row r="9621" spans="1:1" x14ac:dyDescent="0.2">
      <c r="A9621" s="996" t="str">
        <f>CONCATENATE(Programme!D9622,Programme!E9622,Programme!F9622,Programme!G9622,Programme!H9622,Programme!I9622,Programme!J9622)</f>
        <v>&lt;numeroLigne&gt;29&lt;/numeroLigne&gt;</v>
      </c>
    </row>
    <row r="9622" spans="1:1" x14ac:dyDescent="0.2">
      <c r="A9622" s="996" t="str">
        <f>CONCATENATE(Programme!D9623,Programme!E9623,Programme!F9623,Programme!G9623,Programme!H9623,Programme!I9623,Programme!J9623)</f>
        <v>&lt;/ValeurCellule&gt;</v>
      </c>
    </row>
    <row r="9623" spans="1:1" x14ac:dyDescent="0.2">
      <c r="A9623" s="996" t="str">
        <f>CONCATENATE(Programme!D9624,Programme!E9624,Programme!F9624,Programme!G9624,Programme!H9624,Programme!I9624,Programme!J9624)</f>
        <v>&lt;ValeurCellule&gt;</v>
      </c>
    </row>
    <row r="9624" spans="1:1" x14ac:dyDescent="0.2">
      <c r="A9624" s="996" t="str">
        <f>CONCATENATE(Programme!D9625,Programme!E9625,Programme!F9625,Programme!G9625,Programme!H9625,Programme!I9625,Programme!J9625)</f>
        <v>&lt;cellule&gt;&lt;codeEdi&gt;1084&lt;/codeEdi&gt;&lt;/cellule&gt;</v>
      </c>
    </row>
    <row r="9625" spans="1:1" x14ac:dyDescent="0.2">
      <c r="A9625" s="996" t="str">
        <f>CONCATENATE(Programme!D9626,Programme!E9626,Programme!F9626,Programme!G9626,Programme!H9626,Programme!I9626,Programme!J9626)</f>
        <v>&lt;valeur&gt;&lt;/valeur&gt;</v>
      </c>
    </row>
    <row r="9626" spans="1:1" x14ac:dyDescent="0.2">
      <c r="A9626" s="996" t="str">
        <f>CONCATENATE(Programme!D9627,Programme!E9627,Programme!F9627,Programme!G9627,Programme!H9627,Programme!I9627,Programme!J9627)</f>
        <v>&lt;numeroLigne&gt;29&lt;/numeroLigne&gt;</v>
      </c>
    </row>
    <row r="9627" spans="1:1" x14ac:dyDescent="0.2">
      <c r="A9627" s="996" t="str">
        <f>CONCATENATE(Programme!D9628,Programme!E9628,Programme!F9628,Programme!G9628,Programme!H9628,Programme!I9628,Programme!J9628)</f>
        <v>&lt;/ValeurCellule&gt;</v>
      </c>
    </row>
    <row r="9628" spans="1:1" x14ac:dyDescent="0.2">
      <c r="A9628" s="996" t="str">
        <f>CONCATENATE(Programme!D9629,Programme!E9629,Programme!F9629,Programme!G9629,Programme!H9629,Programme!I9629,Programme!J9629)</f>
        <v>&lt;ValeurCellule&gt;</v>
      </c>
    </row>
    <row r="9629" spans="1:1" x14ac:dyDescent="0.2">
      <c r="A9629" s="996" t="str">
        <f>CONCATENATE(Programme!D9630,Programme!E9630,Programme!F9630,Programme!G9630,Programme!H9630,Programme!I9630,Programme!J9630)</f>
        <v>&lt;cellule&gt;&lt;codeEdi&gt;1085&lt;/codeEdi&gt;&lt;/cellule&gt;</v>
      </c>
    </row>
    <row r="9630" spans="1:1" x14ac:dyDescent="0.2">
      <c r="A9630" s="996" t="str">
        <f>CONCATENATE(Programme!D9631,Programme!E9631,Programme!F9631,Programme!G9631,Programme!H9631,Programme!I9631,Programme!J9631)</f>
        <v>&lt;valeur&gt;&lt;/valeur&gt;</v>
      </c>
    </row>
    <row r="9631" spans="1:1" x14ac:dyDescent="0.2">
      <c r="A9631" s="996" t="str">
        <f>CONCATENATE(Programme!D9632,Programme!E9632,Programme!F9632,Programme!G9632,Programme!H9632,Programme!I9632,Programme!J9632)</f>
        <v>&lt;numeroLigne&gt;29&lt;/numeroLigne&gt;</v>
      </c>
    </row>
    <row r="9632" spans="1:1" x14ac:dyDescent="0.2">
      <c r="A9632" s="996" t="str">
        <f>CONCATENATE(Programme!D9633,Programme!E9633,Programme!F9633,Programme!G9633,Programme!H9633,Programme!I9633,Programme!J9633)</f>
        <v>&lt;/ValeurCellule&gt;</v>
      </c>
    </row>
    <row r="9633" spans="1:1" x14ac:dyDescent="0.2">
      <c r="A9633" s="996" t="str">
        <f>CONCATENATE(Programme!D9634,Programme!E9634,Programme!F9634,Programme!G9634,Programme!H9634,Programme!I9634,Programme!J9634)</f>
        <v>&lt;ValeurCellule&gt;</v>
      </c>
    </row>
    <row r="9634" spans="1:1" x14ac:dyDescent="0.2">
      <c r="A9634" s="996" t="str">
        <f>CONCATENATE(Programme!D9635,Programme!E9635,Programme!F9635,Programme!G9635,Programme!H9635,Programme!I9635,Programme!J9635)</f>
        <v>&lt;cellule&gt;&lt;codeEdi&gt;1086&lt;/codeEdi&gt;&lt;/cellule&gt;</v>
      </c>
    </row>
    <row r="9635" spans="1:1" x14ac:dyDescent="0.2">
      <c r="A9635" s="996" t="str">
        <f>CONCATENATE(Programme!D9636,Programme!E9636,Programme!F9636,Programme!G9636,Programme!H9636,Programme!I9636,Programme!J9636)</f>
        <v>&lt;valeur&gt;&lt;/valeur&gt;</v>
      </c>
    </row>
    <row r="9636" spans="1:1" x14ac:dyDescent="0.2">
      <c r="A9636" s="996" t="str">
        <f>CONCATENATE(Programme!D9637,Programme!E9637,Programme!F9637,Programme!G9637,Programme!H9637,Programme!I9637,Programme!J9637)</f>
        <v>&lt;numeroLigne&gt;29&lt;/numeroLigne&gt;</v>
      </c>
    </row>
    <row r="9637" spans="1:1" x14ac:dyDescent="0.2">
      <c r="A9637" s="996" t="str">
        <f>CONCATENATE(Programme!D9638,Programme!E9638,Programme!F9638,Programme!G9638,Programme!H9638,Programme!I9638,Programme!J9638)</f>
        <v>&lt;/ValeurCellule&gt;</v>
      </c>
    </row>
    <row r="9638" spans="1:1" x14ac:dyDescent="0.2">
      <c r="A9638" s="996" t="str">
        <f>CONCATENATE(Programme!D9639,Programme!E9639,Programme!F9639,Programme!G9639,Programme!H9639,Programme!I9639,Programme!J9639)</f>
        <v>&lt;ValeurCellule&gt;</v>
      </c>
    </row>
    <row r="9639" spans="1:1" x14ac:dyDescent="0.2">
      <c r="A9639" s="996" t="str">
        <f>CONCATENATE(Programme!D9640,Programme!E9640,Programme!F9640,Programme!G9640,Programme!H9640,Programme!I9640,Programme!J9640)</f>
        <v>&lt;cellule&gt;&lt;codeEdi&gt;10061&lt;/codeEdi&gt;&lt;/cellule&gt;</v>
      </c>
    </row>
    <row r="9640" spans="1:1" x14ac:dyDescent="0.2">
      <c r="A9640" s="996" t="str">
        <f>CONCATENATE(Programme!D9641,Programme!E9641,Programme!F9641,Programme!G9641,Programme!H9641,Programme!I9641,Programme!J9641)</f>
        <v>&lt;valeur&gt;&lt;/valeur&gt;</v>
      </c>
    </row>
    <row r="9641" spans="1:1" x14ac:dyDescent="0.2">
      <c r="A9641" s="996" t="str">
        <f>CONCATENATE(Programme!D9642,Programme!E9642,Programme!F9642,Programme!G9642,Programme!H9642,Programme!I9642,Programme!J9642)</f>
        <v>&lt;numeroLigne&gt;30&lt;/numeroLigne&gt;</v>
      </c>
    </row>
    <row r="9642" spans="1:1" x14ac:dyDescent="0.2">
      <c r="A9642" s="996" t="str">
        <f>CONCATENATE(Programme!D9643,Programme!E9643,Programme!F9643,Programme!G9643,Programme!H9643,Programme!I9643,Programme!J9643)</f>
        <v>&lt;/ValeurCellule&gt;</v>
      </c>
    </row>
    <row r="9643" spans="1:1" x14ac:dyDescent="0.2">
      <c r="A9643" s="996" t="str">
        <f>CONCATENATE(Programme!D9644,Programme!E9644,Programme!F9644,Programme!G9644,Programme!H9644,Programme!I9644,Programme!J9644)</f>
        <v>&lt;ValeurCellule&gt;</v>
      </c>
    </row>
    <row r="9644" spans="1:1" x14ac:dyDescent="0.2">
      <c r="A9644" s="996" t="str">
        <f>CONCATENATE(Programme!D9645,Programme!E9645,Programme!F9645,Programme!G9645,Programme!H9645,Programme!I9645,Programme!J9645)</f>
        <v>&lt;cellule&gt;&lt;codeEdi&gt;1078&lt;/codeEdi&gt;&lt;/cellule&gt;</v>
      </c>
    </row>
    <row r="9645" spans="1:1" x14ac:dyDescent="0.2">
      <c r="A9645" s="996" t="str">
        <f>CONCATENATE(Programme!D9646,Programme!E9646,Programme!F9646,Programme!G9646,Programme!H9646,Programme!I9646,Programme!J9646)</f>
        <v>&lt;valeur&gt;&lt;/valeur&gt;</v>
      </c>
    </row>
    <row r="9646" spans="1:1" x14ac:dyDescent="0.2">
      <c r="A9646" s="996" t="str">
        <f>CONCATENATE(Programme!D9647,Programme!E9647,Programme!F9647,Programme!G9647,Programme!H9647,Programme!I9647,Programme!J9647)</f>
        <v>&lt;numeroLigne&gt;30&lt;/numeroLigne&gt;</v>
      </c>
    </row>
    <row r="9647" spans="1:1" x14ac:dyDescent="0.2">
      <c r="A9647" s="996" t="str">
        <f>CONCATENATE(Programme!D9648,Programme!E9648,Programme!F9648,Programme!G9648,Programme!H9648,Programme!I9648,Programme!J9648)</f>
        <v>&lt;/ValeurCellule&gt;</v>
      </c>
    </row>
    <row r="9648" spans="1:1" x14ac:dyDescent="0.2">
      <c r="A9648" s="996" t="str">
        <f>CONCATENATE(Programme!D9649,Programme!E9649,Programme!F9649,Programme!G9649,Programme!H9649,Programme!I9649,Programme!J9649)</f>
        <v>&lt;ValeurCellule&gt;</v>
      </c>
    </row>
    <row r="9649" spans="1:1" x14ac:dyDescent="0.2">
      <c r="A9649" s="996" t="str">
        <f>CONCATENATE(Programme!D9650,Programme!E9650,Programme!F9650,Programme!G9650,Programme!H9650,Programme!I9650,Programme!J9650)</f>
        <v>&lt;cellule&gt;&lt;codeEdi&gt;1079&lt;/codeEdi&gt;&lt;/cellule&gt;</v>
      </c>
    </row>
    <row r="9650" spans="1:1" x14ac:dyDescent="0.2">
      <c r="A9650" s="996" t="str">
        <f>CONCATENATE(Programme!D9651,Programme!E9651,Programme!F9651,Programme!G9651,Programme!H9651,Programme!I9651,Programme!J9651)</f>
        <v>&lt;valeur&gt;&lt;/valeur&gt;</v>
      </c>
    </row>
    <row r="9651" spans="1:1" x14ac:dyDescent="0.2">
      <c r="A9651" s="996" t="str">
        <f>CONCATENATE(Programme!D9652,Programme!E9652,Programme!F9652,Programme!G9652,Programme!H9652,Programme!I9652,Programme!J9652)</f>
        <v>&lt;numeroLigne&gt;30&lt;/numeroLigne&gt;</v>
      </c>
    </row>
    <row r="9652" spans="1:1" x14ac:dyDescent="0.2">
      <c r="A9652" s="996" t="str">
        <f>CONCATENATE(Programme!D9653,Programme!E9653,Programme!F9653,Programme!G9653,Programme!H9653,Programme!I9653,Programme!J9653)</f>
        <v>&lt;/ValeurCellule&gt;</v>
      </c>
    </row>
    <row r="9653" spans="1:1" x14ac:dyDescent="0.2">
      <c r="A9653" s="996" t="str">
        <f>CONCATENATE(Programme!D9654,Programme!E9654,Programme!F9654,Programme!G9654,Programme!H9654,Programme!I9654,Programme!J9654)</f>
        <v>&lt;ValeurCellule&gt;</v>
      </c>
    </row>
    <row r="9654" spans="1:1" x14ac:dyDescent="0.2">
      <c r="A9654" s="996" t="str">
        <f>CONCATENATE(Programme!D9655,Programme!E9655,Programme!F9655,Programme!G9655,Programme!H9655,Programme!I9655,Programme!J9655)</f>
        <v>&lt;cellule&gt;&lt;codeEdi&gt;1080&lt;/codeEdi&gt;&lt;/cellule&gt;</v>
      </c>
    </row>
    <row r="9655" spans="1:1" x14ac:dyDescent="0.2">
      <c r="A9655" s="996" t="str">
        <f>CONCATENATE(Programme!D9656,Programme!E9656,Programme!F9656,Programme!G9656,Programme!H9656,Programme!I9656,Programme!J9656)</f>
        <v>&lt;valeur&gt;&lt;/valeur&gt;</v>
      </c>
    </row>
    <row r="9656" spans="1:1" x14ac:dyDescent="0.2">
      <c r="A9656" s="996" t="str">
        <f>CONCATENATE(Programme!D9657,Programme!E9657,Programme!F9657,Programme!G9657,Programme!H9657,Programme!I9657,Programme!J9657)</f>
        <v>&lt;numeroLigne&gt;30&lt;/numeroLigne&gt;</v>
      </c>
    </row>
    <row r="9657" spans="1:1" x14ac:dyDescent="0.2">
      <c r="A9657" s="996" t="str">
        <f>CONCATENATE(Programme!D9658,Programme!E9658,Programme!F9658,Programme!G9658,Programme!H9658,Programme!I9658,Programme!J9658)</f>
        <v>&lt;/ValeurCellule&gt;</v>
      </c>
    </row>
    <row r="9658" spans="1:1" x14ac:dyDescent="0.2">
      <c r="A9658" s="996" t="str">
        <f>CONCATENATE(Programme!D9659,Programme!E9659,Programme!F9659,Programme!G9659,Programme!H9659,Programme!I9659,Programme!J9659)</f>
        <v>&lt;ValeurCellule&gt;</v>
      </c>
    </row>
    <row r="9659" spans="1:1" x14ac:dyDescent="0.2">
      <c r="A9659" s="996" t="str">
        <f>CONCATENATE(Programme!D9660,Programme!E9660,Programme!F9660,Programme!G9660,Programme!H9660,Programme!I9660,Programme!J9660)</f>
        <v>&lt;cellule&gt;&lt;codeEdi&gt;1081&lt;/codeEdi&gt;&lt;/cellule&gt;</v>
      </c>
    </row>
    <row r="9660" spans="1:1" x14ac:dyDescent="0.2">
      <c r="A9660" s="996" t="str">
        <f>CONCATENATE(Programme!D9661,Programme!E9661,Programme!F9661,Programme!G9661,Programme!H9661,Programme!I9661,Programme!J9661)</f>
        <v>&lt;valeur&gt;&lt;/valeur&gt;</v>
      </c>
    </row>
    <row r="9661" spans="1:1" x14ac:dyDescent="0.2">
      <c r="A9661" s="996" t="str">
        <f>CONCATENATE(Programme!D9662,Programme!E9662,Programme!F9662,Programme!G9662,Programme!H9662,Programme!I9662,Programme!J9662)</f>
        <v>&lt;numeroLigne&gt;30&lt;/numeroLigne&gt;</v>
      </c>
    </row>
    <row r="9662" spans="1:1" x14ac:dyDescent="0.2">
      <c r="A9662" s="996" t="str">
        <f>CONCATENATE(Programme!D9663,Programme!E9663,Programme!F9663,Programme!G9663,Programme!H9663,Programme!I9663,Programme!J9663)</f>
        <v>&lt;/ValeurCellule&gt;</v>
      </c>
    </row>
    <row r="9663" spans="1:1" x14ac:dyDescent="0.2">
      <c r="A9663" s="996" t="str">
        <f>CONCATENATE(Programme!D9664,Programme!E9664,Programme!F9664,Programme!G9664,Programme!H9664,Programme!I9664,Programme!J9664)</f>
        <v>&lt;ValeurCellule&gt;</v>
      </c>
    </row>
    <row r="9664" spans="1:1" x14ac:dyDescent="0.2">
      <c r="A9664" s="996" t="str">
        <f>CONCATENATE(Programme!D9665,Programme!E9665,Programme!F9665,Programme!G9665,Programme!H9665,Programme!I9665,Programme!J9665)</f>
        <v>&lt;cellule&gt;&lt;codeEdi&gt;1082&lt;/codeEdi&gt;&lt;/cellule&gt;</v>
      </c>
    </row>
    <row r="9665" spans="1:1" x14ac:dyDescent="0.2">
      <c r="A9665" s="996" t="str">
        <f>CONCATENATE(Programme!D9666,Programme!E9666,Programme!F9666,Programme!G9666,Programme!H9666,Programme!I9666,Programme!J9666)</f>
        <v>&lt;valeur&gt;&lt;/valeur&gt;</v>
      </c>
    </row>
    <row r="9666" spans="1:1" x14ac:dyDescent="0.2">
      <c r="A9666" s="996" t="str">
        <f>CONCATENATE(Programme!D9667,Programme!E9667,Programme!F9667,Programme!G9667,Programme!H9667,Programme!I9667,Programme!J9667)</f>
        <v>&lt;numeroLigne&gt;30&lt;/numeroLigne&gt;</v>
      </c>
    </row>
    <row r="9667" spans="1:1" x14ac:dyDescent="0.2">
      <c r="A9667" s="996" t="str">
        <f>CONCATENATE(Programme!D9668,Programme!E9668,Programme!F9668,Programme!G9668,Programme!H9668,Programme!I9668,Programme!J9668)</f>
        <v>&lt;/ValeurCellule&gt;</v>
      </c>
    </row>
    <row r="9668" spans="1:1" x14ac:dyDescent="0.2">
      <c r="A9668" s="996" t="str">
        <f>CONCATENATE(Programme!D9669,Programme!E9669,Programme!F9669,Programme!G9669,Programme!H9669,Programme!I9669,Programme!J9669)</f>
        <v>&lt;ValeurCellule&gt;</v>
      </c>
    </row>
    <row r="9669" spans="1:1" x14ac:dyDescent="0.2">
      <c r="A9669" s="996" t="str">
        <f>CONCATENATE(Programme!D9670,Programme!E9670,Programme!F9670,Programme!G9670,Programme!H9670,Programme!I9670,Programme!J9670)</f>
        <v>&lt;cellule&gt;&lt;codeEdi&gt;1083&lt;/codeEdi&gt;&lt;/cellule&gt;</v>
      </c>
    </row>
    <row r="9670" spans="1:1" x14ac:dyDescent="0.2">
      <c r="A9670" s="996" t="str">
        <f>CONCATENATE(Programme!D9671,Programme!E9671,Programme!F9671,Programme!G9671,Programme!H9671,Programme!I9671,Programme!J9671)</f>
        <v>&lt;valeur&gt;&lt;/valeur&gt;</v>
      </c>
    </row>
    <row r="9671" spans="1:1" x14ac:dyDescent="0.2">
      <c r="A9671" s="996" t="str">
        <f>CONCATENATE(Programme!D9672,Programme!E9672,Programme!F9672,Programme!G9672,Programme!H9672,Programme!I9672,Programme!J9672)</f>
        <v>&lt;numeroLigne&gt;30&lt;/numeroLigne&gt;</v>
      </c>
    </row>
    <row r="9672" spans="1:1" x14ac:dyDescent="0.2">
      <c r="A9672" s="996" t="str">
        <f>CONCATENATE(Programme!D9673,Programme!E9673,Programme!F9673,Programme!G9673,Programme!H9673,Programme!I9673,Programme!J9673)</f>
        <v>&lt;/ValeurCellule&gt;</v>
      </c>
    </row>
    <row r="9673" spans="1:1" x14ac:dyDescent="0.2">
      <c r="A9673" s="996" t="str">
        <f>CONCATENATE(Programme!D9674,Programme!E9674,Programme!F9674,Programme!G9674,Programme!H9674,Programme!I9674,Programme!J9674)</f>
        <v>&lt;ValeurCellule&gt;</v>
      </c>
    </row>
    <row r="9674" spans="1:1" x14ac:dyDescent="0.2">
      <c r="A9674" s="996" t="str">
        <f>CONCATENATE(Programme!D9675,Programme!E9675,Programme!F9675,Programme!G9675,Programme!H9675,Programme!I9675,Programme!J9675)</f>
        <v>&lt;cellule&gt;&lt;codeEdi&gt;1084&lt;/codeEdi&gt;&lt;/cellule&gt;</v>
      </c>
    </row>
    <row r="9675" spans="1:1" x14ac:dyDescent="0.2">
      <c r="A9675" s="996" t="str">
        <f>CONCATENATE(Programme!D9676,Programme!E9676,Programme!F9676,Programme!G9676,Programme!H9676,Programme!I9676,Programme!J9676)</f>
        <v>&lt;valeur&gt;&lt;/valeur&gt;</v>
      </c>
    </row>
    <row r="9676" spans="1:1" x14ac:dyDescent="0.2">
      <c r="A9676" s="996" t="str">
        <f>CONCATENATE(Programme!D9677,Programme!E9677,Programme!F9677,Programme!G9677,Programme!H9677,Programme!I9677,Programme!J9677)</f>
        <v>&lt;numeroLigne&gt;30&lt;/numeroLigne&gt;</v>
      </c>
    </row>
    <row r="9677" spans="1:1" x14ac:dyDescent="0.2">
      <c r="A9677" s="996" t="str">
        <f>CONCATENATE(Programme!D9678,Programme!E9678,Programme!F9678,Programme!G9678,Programme!H9678,Programme!I9678,Programme!J9678)</f>
        <v>&lt;/ValeurCellule&gt;</v>
      </c>
    </row>
    <row r="9678" spans="1:1" x14ac:dyDescent="0.2">
      <c r="A9678" s="996" t="str">
        <f>CONCATENATE(Programme!D9679,Programme!E9679,Programme!F9679,Programme!G9679,Programme!H9679,Programme!I9679,Programme!J9679)</f>
        <v>&lt;ValeurCellule&gt;</v>
      </c>
    </row>
    <row r="9679" spans="1:1" x14ac:dyDescent="0.2">
      <c r="A9679" s="996" t="str">
        <f>CONCATENATE(Programme!D9680,Programme!E9680,Programme!F9680,Programme!G9680,Programme!H9680,Programme!I9680,Programme!J9680)</f>
        <v>&lt;cellule&gt;&lt;codeEdi&gt;1085&lt;/codeEdi&gt;&lt;/cellule&gt;</v>
      </c>
    </row>
    <row r="9680" spans="1:1" x14ac:dyDescent="0.2">
      <c r="A9680" s="996" t="str">
        <f>CONCATENATE(Programme!D9681,Programme!E9681,Programme!F9681,Programme!G9681,Programme!H9681,Programme!I9681,Programme!J9681)</f>
        <v>&lt;valeur&gt;&lt;/valeur&gt;</v>
      </c>
    </row>
    <row r="9681" spans="1:1" x14ac:dyDescent="0.2">
      <c r="A9681" s="996" t="str">
        <f>CONCATENATE(Programme!D9682,Programme!E9682,Programme!F9682,Programme!G9682,Programme!H9682,Programme!I9682,Programme!J9682)</f>
        <v>&lt;numeroLigne&gt;30&lt;/numeroLigne&gt;</v>
      </c>
    </row>
    <row r="9682" spans="1:1" x14ac:dyDescent="0.2">
      <c r="A9682" s="996" t="str">
        <f>CONCATENATE(Programme!D9683,Programme!E9683,Programme!F9683,Programme!G9683,Programme!H9683,Programme!I9683,Programme!J9683)</f>
        <v>&lt;/ValeurCellule&gt;</v>
      </c>
    </row>
    <row r="9683" spans="1:1" x14ac:dyDescent="0.2">
      <c r="A9683" s="996" t="str">
        <f>CONCATENATE(Programme!D9684,Programme!E9684,Programme!F9684,Programme!G9684,Programme!H9684,Programme!I9684,Programme!J9684)</f>
        <v>&lt;ValeurCellule&gt;</v>
      </c>
    </row>
    <row r="9684" spans="1:1" x14ac:dyDescent="0.2">
      <c r="A9684" s="996" t="str">
        <f>CONCATENATE(Programme!D9685,Programme!E9685,Programme!F9685,Programme!G9685,Programme!H9685,Programme!I9685,Programme!J9685)</f>
        <v>&lt;cellule&gt;&lt;codeEdi&gt;1086&lt;/codeEdi&gt;&lt;/cellule&gt;</v>
      </c>
    </row>
    <row r="9685" spans="1:1" x14ac:dyDescent="0.2">
      <c r="A9685" s="996" t="str">
        <f>CONCATENATE(Programme!D9686,Programme!E9686,Programme!F9686,Programme!G9686,Programme!H9686,Programme!I9686,Programme!J9686)</f>
        <v>&lt;valeur&gt;&lt;/valeur&gt;</v>
      </c>
    </row>
    <row r="9686" spans="1:1" x14ac:dyDescent="0.2">
      <c r="A9686" s="996" t="str">
        <f>CONCATENATE(Programme!D9687,Programme!E9687,Programme!F9687,Programme!G9687,Programme!H9687,Programme!I9687,Programme!J9687)</f>
        <v>&lt;numeroLigne&gt;30&lt;/numeroLigne&gt;</v>
      </c>
    </row>
    <row r="9687" spans="1:1" x14ac:dyDescent="0.2">
      <c r="A9687" s="996" t="str">
        <f>CONCATENATE(Programme!D9688,Programme!E9688,Programme!F9688,Programme!G9688,Programme!H9688,Programme!I9688,Programme!J9688)</f>
        <v>&lt;/ValeurCellule&gt;</v>
      </c>
    </row>
    <row r="9688" spans="1:1" x14ac:dyDescent="0.2">
      <c r="A9688" s="996" t="str">
        <f>CONCATENATE(Programme!D9689,Programme!E9689,Programme!F9689,Programme!G9689,Programme!H9689,Programme!I9689,Programme!J9689)</f>
        <v>&lt;ValeurCellule&gt;</v>
      </c>
    </row>
    <row r="9689" spans="1:1" x14ac:dyDescent="0.2">
      <c r="A9689" s="996" t="str">
        <f>CONCATENATE(Programme!D9690,Programme!E9690,Programme!F9690,Programme!G9690,Programme!H9690,Programme!I9690,Programme!J9690)</f>
        <v>&lt;cellule&gt;&lt;codeEdi&gt;10061&lt;/codeEdi&gt;&lt;/cellule&gt;</v>
      </c>
    </row>
    <row r="9690" spans="1:1" x14ac:dyDescent="0.2">
      <c r="A9690" s="996" t="str">
        <f>CONCATENATE(Programme!D9691,Programme!E9691,Programme!F9691,Programme!G9691,Programme!H9691,Programme!I9691,Programme!J9691)</f>
        <v>&lt;valeur&gt;&lt;/valeur&gt;</v>
      </c>
    </row>
    <row r="9691" spans="1:1" x14ac:dyDescent="0.2">
      <c r="A9691" s="996" t="str">
        <f>CONCATENATE(Programme!D9692,Programme!E9692,Programme!F9692,Programme!G9692,Programme!H9692,Programme!I9692,Programme!J9692)</f>
        <v>&lt;numeroLigne&gt;31&lt;/numeroLigne&gt;</v>
      </c>
    </row>
    <row r="9692" spans="1:1" x14ac:dyDescent="0.2">
      <c r="A9692" s="996" t="str">
        <f>CONCATENATE(Programme!D9693,Programme!E9693,Programme!F9693,Programme!G9693,Programme!H9693,Programme!I9693,Programme!J9693)</f>
        <v>&lt;/ValeurCellule&gt;</v>
      </c>
    </row>
    <row r="9693" spans="1:1" x14ac:dyDescent="0.2">
      <c r="A9693" s="996" t="str">
        <f>CONCATENATE(Programme!D9694,Programme!E9694,Programme!F9694,Programme!G9694,Programme!H9694,Programme!I9694,Programme!J9694)</f>
        <v>&lt;ValeurCellule&gt;</v>
      </c>
    </row>
    <row r="9694" spans="1:1" x14ac:dyDescent="0.2">
      <c r="A9694" s="996" t="str">
        <f>CONCATENATE(Programme!D9695,Programme!E9695,Programme!F9695,Programme!G9695,Programme!H9695,Programme!I9695,Programme!J9695)</f>
        <v>&lt;cellule&gt;&lt;codeEdi&gt;1078&lt;/codeEdi&gt;&lt;/cellule&gt;</v>
      </c>
    </row>
    <row r="9695" spans="1:1" x14ac:dyDescent="0.2">
      <c r="A9695" s="996" t="str">
        <f>CONCATENATE(Programme!D9696,Programme!E9696,Programme!F9696,Programme!G9696,Programme!H9696,Programme!I9696,Programme!J9696)</f>
        <v>&lt;valeur&gt;&lt;/valeur&gt;</v>
      </c>
    </row>
    <row r="9696" spans="1:1" x14ac:dyDescent="0.2">
      <c r="A9696" s="996" t="str">
        <f>CONCATENATE(Programme!D9697,Programme!E9697,Programme!F9697,Programme!G9697,Programme!H9697,Programme!I9697,Programme!J9697)</f>
        <v>&lt;numeroLigne&gt;31&lt;/numeroLigne&gt;</v>
      </c>
    </row>
    <row r="9697" spans="1:1" x14ac:dyDescent="0.2">
      <c r="A9697" s="996" t="str">
        <f>CONCATENATE(Programme!D9698,Programme!E9698,Programme!F9698,Programme!G9698,Programme!H9698,Programme!I9698,Programme!J9698)</f>
        <v>&lt;/ValeurCellule&gt;</v>
      </c>
    </row>
    <row r="9698" spans="1:1" x14ac:dyDescent="0.2">
      <c r="A9698" s="996" t="str">
        <f>CONCATENATE(Programme!D9699,Programme!E9699,Programme!F9699,Programme!G9699,Programme!H9699,Programme!I9699,Programme!J9699)</f>
        <v>&lt;ValeurCellule&gt;</v>
      </c>
    </row>
    <row r="9699" spans="1:1" x14ac:dyDescent="0.2">
      <c r="A9699" s="996" t="str">
        <f>CONCATENATE(Programme!D9700,Programme!E9700,Programme!F9700,Programme!G9700,Programme!H9700,Programme!I9700,Programme!J9700)</f>
        <v>&lt;cellule&gt;&lt;codeEdi&gt;1079&lt;/codeEdi&gt;&lt;/cellule&gt;</v>
      </c>
    </row>
    <row r="9700" spans="1:1" x14ac:dyDescent="0.2">
      <c r="A9700" s="996" t="str">
        <f>CONCATENATE(Programme!D9701,Programme!E9701,Programme!F9701,Programme!G9701,Programme!H9701,Programme!I9701,Programme!J9701)</f>
        <v>&lt;valeur&gt;&lt;/valeur&gt;</v>
      </c>
    </row>
    <row r="9701" spans="1:1" x14ac:dyDescent="0.2">
      <c r="A9701" s="996" t="str">
        <f>CONCATENATE(Programme!D9702,Programme!E9702,Programme!F9702,Programme!G9702,Programme!H9702,Programme!I9702,Programme!J9702)</f>
        <v>&lt;numeroLigne&gt;31&lt;/numeroLigne&gt;</v>
      </c>
    </row>
    <row r="9702" spans="1:1" x14ac:dyDescent="0.2">
      <c r="A9702" s="996" t="str">
        <f>CONCATENATE(Programme!D9703,Programme!E9703,Programme!F9703,Programme!G9703,Programme!H9703,Programme!I9703,Programme!J9703)</f>
        <v>&lt;/ValeurCellule&gt;</v>
      </c>
    </row>
    <row r="9703" spans="1:1" x14ac:dyDescent="0.2">
      <c r="A9703" s="996" t="str">
        <f>CONCATENATE(Programme!D9704,Programme!E9704,Programme!F9704,Programme!G9704,Programme!H9704,Programme!I9704,Programme!J9704)</f>
        <v>&lt;ValeurCellule&gt;</v>
      </c>
    </row>
    <row r="9704" spans="1:1" x14ac:dyDescent="0.2">
      <c r="A9704" s="996" t="str">
        <f>CONCATENATE(Programme!D9705,Programme!E9705,Programme!F9705,Programme!G9705,Programme!H9705,Programme!I9705,Programme!J9705)</f>
        <v>&lt;cellule&gt;&lt;codeEdi&gt;1080&lt;/codeEdi&gt;&lt;/cellule&gt;</v>
      </c>
    </row>
    <row r="9705" spans="1:1" x14ac:dyDescent="0.2">
      <c r="A9705" s="996" t="str">
        <f>CONCATENATE(Programme!D9706,Programme!E9706,Programme!F9706,Programme!G9706,Programme!H9706,Programme!I9706,Programme!J9706)</f>
        <v>&lt;valeur&gt;&lt;/valeur&gt;</v>
      </c>
    </row>
    <row r="9706" spans="1:1" x14ac:dyDescent="0.2">
      <c r="A9706" s="996" t="str">
        <f>CONCATENATE(Programme!D9707,Programme!E9707,Programme!F9707,Programme!G9707,Programme!H9707,Programme!I9707,Programme!J9707)</f>
        <v>&lt;numeroLigne&gt;31&lt;/numeroLigne&gt;</v>
      </c>
    </row>
    <row r="9707" spans="1:1" x14ac:dyDescent="0.2">
      <c r="A9707" s="996" t="str">
        <f>CONCATENATE(Programme!D9708,Programme!E9708,Programme!F9708,Programme!G9708,Programme!H9708,Programme!I9708,Programme!J9708)</f>
        <v>&lt;/ValeurCellule&gt;</v>
      </c>
    </row>
    <row r="9708" spans="1:1" x14ac:dyDescent="0.2">
      <c r="A9708" s="996" t="str">
        <f>CONCATENATE(Programme!D9709,Programme!E9709,Programme!F9709,Programme!G9709,Programme!H9709,Programme!I9709,Programme!J9709)</f>
        <v>&lt;ValeurCellule&gt;</v>
      </c>
    </row>
    <row r="9709" spans="1:1" x14ac:dyDescent="0.2">
      <c r="A9709" s="996" t="str">
        <f>CONCATENATE(Programme!D9710,Programme!E9710,Programme!F9710,Programme!G9710,Programme!H9710,Programme!I9710,Programme!J9710)</f>
        <v>&lt;cellule&gt;&lt;codeEdi&gt;1081&lt;/codeEdi&gt;&lt;/cellule&gt;</v>
      </c>
    </row>
    <row r="9710" spans="1:1" x14ac:dyDescent="0.2">
      <c r="A9710" s="996" t="str">
        <f>CONCATENATE(Programme!D9711,Programme!E9711,Programme!F9711,Programme!G9711,Programme!H9711,Programme!I9711,Programme!J9711)</f>
        <v>&lt;valeur&gt;&lt;/valeur&gt;</v>
      </c>
    </row>
    <row r="9711" spans="1:1" x14ac:dyDescent="0.2">
      <c r="A9711" s="996" t="str">
        <f>CONCATENATE(Programme!D9712,Programme!E9712,Programme!F9712,Programme!G9712,Programme!H9712,Programme!I9712,Programme!J9712)</f>
        <v>&lt;numeroLigne&gt;31&lt;/numeroLigne&gt;</v>
      </c>
    </row>
    <row r="9712" spans="1:1" x14ac:dyDescent="0.2">
      <c r="A9712" s="996" t="str">
        <f>CONCATENATE(Programme!D9713,Programme!E9713,Programme!F9713,Programme!G9713,Programme!H9713,Programme!I9713,Programme!J9713)</f>
        <v>&lt;/ValeurCellule&gt;</v>
      </c>
    </row>
    <row r="9713" spans="1:1" x14ac:dyDescent="0.2">
      <c r="A9713" s="996" t="str">
        <f>CONCATENATE(Programme!D9714,Programme!E9714,Programme!F9714,Programme!G9714,Programme!H9714,Programme!I9714,Programme!J9714)</f>
        <v>&lt;ValeurCellule&gt;</v>
      </c>
    </row>
    <row r="9714" spans="1:1" x14ac:dyDescent="0.2">
      <c r="A9714" s="996" t="str">
        <f>CONCATENATE(Programme!D9715,Programme!E9715,Programme!F9715,Programme!G9715,Programme!H9715,Programme!I9715,Programme!J9715)</f>
        <v>&lt;cellule&gt;&lt;codeEdi&gt;1082&lt;/codeEdi&gt;&lt;/cellule&gt;</v>
      </c>
    </row>
    <row r="9715" spans="1:1" x14ac:dyDescent="0.2">
      <c r="A9715" s="996" t="str">
        <f>CONCATENATE(Programme!D9716,Programme!E9716,Programme!F9716,Programme!G9716,Programme!H9716,Programme!I9716,Programme!J9716)</f>
        <v>&lt;valeur&gt;&lt;/valeur&gt;</v>
      </c>
    </row>
    <row r="9716" spans="1:1" x14ac:dyDescent="0.2">
      <c r="A9716" s="996" t="str">
        <f>CONCATENATE(Programme!D9717,Programme!E9717,Programme!F9717,Programme!G9717,Programme!H9717,Programme!I9717,Programme!J9717)</f>
        <v>&lt;numeroLigne&gt;31&lt;/numeroLigne&gt;</v>
      </c>
    </row>
    <row r="9717" spans="1:1" x14ac:dyDescent="0.2">
      <c r="A9717" s="996" t="str">
        <f>CONCATENATE(Programme!D9718,Programme!E9718,Programme!F9718,Programme!G9718,Programme!H9718,Programme!I9718,Programme!J9718)</f>
        <v>&lt;/ValeurCellule&gt;</v>
      </c>
    </row>
    <row r="9718" spans="1:1" x14ac:dyDescent="0.2">
      <c r="A9718" s="996" t="str">
        <f>CONCATENATE(Programme!D9719,Programme!E9719,Programme!F9719,Programme!G9719,Programme!H9719,Programme!I9719,Programme!J9719)</f>
        <v>&lt;ValeurCellule&gt;</v>
      </c>
    </row>
    <row r="9719" spans="1:1" x14ac:dyDescent="0.2">
      <c r="A9719" s="996" t="str">
        <f>CONCATENATE(Programme!D9720,Programme!E9720,Programme!F9720,Programme!G9720,Programme!H9720,Programme!I9720,Programme!J9720)</f>
        <v>&lt;cellule&gt;&lt;codeEdi&gt;1083&lt;/codeEdi&gt;&lt;/cellule&gt;</v>
      </c>
    </row>
    <row r="9720" spans="1:1" x14ac:dyDescent="0.2">
      <c r="A9720" s="996" t="str">
        <f>CONCATENATE(Programme!D9721,Programme!E9721,Programme!F9721,Programme!G9721,Programme!H9721,Programme!I9721,Programme!J9721)</f>
        <v>&lt;valeur&gt;&lt;/valeur&gt;</v>
      </c>
    </row>
    <row r="9721" spans="1:1" x14ac:dyDescent="0.2">
      <c r="A9721" s="996" t="str">
        <f>CONCATENATE(Programme!D9722,Programme!E9722,Programme!F9722,Programme!G9722,Programme!H9722,Programme!I9722,Programme!J9722)</f>
        <v>&lt;numeroLigne&gt;31&lt;/numeroLigne&gt;</v>
      </c>
    </row>
    <row r="9722" spans="1:1" x14ac:dyDescent="0.2">
      <c r="A9722" s="996" t="str">
        <f>CONCATENATE(Programme!D9723,Programme!E9723,Programme!F9723,Programme!G9723,Programme!H9723,Programme!I9723,Programme!J9723)</f>
        <v>&lt;/ValeurCellule&gt;</v>
      </c>
    </row>
    <row r="9723" spans="1:1" x14ac:dyDescent="0.2">
      <c r="A9723" s="996" t="str">
        <f>CONCATENATE(Programme!D9724,Programme!E9724,Programme!F9724,Programme!G9724,Programme!H9724,Programme!I9724,Programme!J9724)</f>
        <v>&lt;ValeurCellule&gt;</v>
      </c>
    </row>
    <row r="9724" spans="1:1" x14ac:dyDescent="0.2">
      <c r="A9724" s="996" t="str">
        <f>CONCATENATE(Programme!D9725,Programme!E9725,Programme!F9725,Programme!G9725,Programme!H9725,Programme!I9725,Programme!J9725)</f>
        <v>&lt;cellule&gt;&lt;codeEdi&gt;1084&lt;/codeEdi&gt;&lt;/cellule&gt;</v>
      </c>
    </row>
    <row r="9725" spans="1:1" x14ac:dyDescent="0.2">
      <c r="A9725" s="996" t="str">
        <f>CONCATENATE(Programme!D9726,Programme!E9726,Programme!F9726,Programme!G9726,Programme!H9726,Programme!I9726,Programme!J9726)</f>
        <v>&lt;valeur&gt;&lt;/valeur&gt;</v>
      </c>
    </row>
    <row r="9726" spans="1:1" x14ac:dyDescent="0.2">
      <c r="A9726" s="996" t="str">
        <f>CONCATENATE(Programme!D9727,Programme!E9727,Programme!F9727,Programme!G9727,Programme!H9727,Programme!I9727,Programme!J9727)</f>
        <v>&lt;numeroLigne&gt;31&lt;/numeroLigne&gt;</v>
      </c>
    </row>
    <row r="9727" spans="1:1" x14ac:dyDescent="0.2">
      <c r="A9727" s="996" t="str">
        <f>CONCATENATE(Programme!D9728,Programme!E9728,Programme!F9728,Programme!G9728,Programme!H9728,Programme!I9728,Programme!J9728)</f>
        <v>&lt;/ValeurCellule&gt;</v>
      </c>
    </row>
    <row r="9728" spans="1:1" x14ac:dyDescent="0.2">
      <c r="A9728" s="996" t="str">
        <f>CONCATENATE(Programme!D9729,Programme!E9729,Programme!F9729,Programme!G9729,Programme!H9729,Programme!I9729,Programme!J9729)</f>
        <v>&lt;ValeurCellule&gt;</v>
      </c>
    </row>
    <row r="9729" spans="1:1" x14ac:dyDescent="0.2">
      <c r="A9729" s="996" t="str">
        <f>CONCATENATE(Programme!D9730,Programme!E9730,Programme!F9730,Programme!G9730,Programme!H9730,Programme!I9730,Programme!J9730)</f>
        <v>&lt;cellule&gt;&lt;codeEdi&gt;1085&lt;/codeEdi&gt;&lt;/cellule&gt;</v>
      </c>
    </row>
    <row r="9730" spans="1:1" x14ac:dyDescent="0.2">
      <c r="A9730" s="996" t="str">
        <f>CONCATENATE(Programme!D9731,Programme!E9731,Programme!F9731,Programme!G9731,Programme!H9731,Programme!I9731,Programme!J9731)</f>
        <v>&lt;valeur&gt;&lt;/valeur&gt;</v>
      </c>
    </row>
    <row r="9731" spans="1:1" x14ac:dyDescent="0.2">
      <c r="A9731" s="996" t="str">
        <f>CONCATENATE(Programme!D9732,Programme!E9732,Programme!F9732,Programme!G9732,Programme!H9732,Programme!I9732,Programme!J9732)</f>
        <v>&lt;numeroLigne&gt;31&lt;/numeroLigne&gt;</v>
      </c>
    </row>
    <row r="9732" spans="1:1" x14ac:dyDescent="0.2">
      <c r="A9732" s="996" t="str">
        <f>CONCATENATE(Programme!D9733,Programme!E9733,Programme!F9733,Programme!G9733,Programme!H9733,Programme!I9733,Programme!J9733)</f>
        <v>&lt;/ValeurCellule&gt;</v>
      </c>
    </row>
    <row r="9733" spans="1:1" x14ac:dyDescent="0.2">
      <c r="A9733" s="996" t="str">
        <f>CONCATENATE(Programme!D9734,Programme!E9734,Programme!F9734,Programme!G9734,Programme!H9734,Programme!I9734,Programme!J9734)</f>
        <v>&lt;ValeurCellule&gt;</v>
      </c>
    </row>
    <row r="9734" spans="1:1" x14ac:dyDescent="0.2">
      <c r="A9734" s="996" t="str">
        <f>CONCATENATE(Programme!D9735,Programme!E9735,Programme!F9735,Programme!G9735,Programme!H9735,Programme!I9735,Programme!J9735)</f>
        <v>&lt;cellule&gt;&lt;codeEdi&gt;1086&lt;/codeEdi&gt;&lt;/cellule&gt;</v>
      </c>
    </row>
    <row r="9735" spans="1:1" x14ac:dyDescent="0.2">
      <c r="A9735" s="996" t="str">
        <f>CONCATENATE(Programme!D9736,Programme!E9736,Programme!F9736,Programme!G9736,Programme!H9736,Programme!I9736,Programme!J9736)</f>
        <v>&lt;valeur&gt;&lt;/valeur&gt;</v>
      </c>
    </row>
    <row r="9736" spans="1:1" x14ac:dyDescent="0.2">
      <c r="A9736" s="996" t="str">
        <f>CONCATENATE(Programme!D9737,Programme!E9737,Programme!F9737,Programme!G9737,Programme!H9737,Programme!I9737,Programme!J9737)</f>
        <v>&lt;numeroLigne&gt;31&lt;/numeroLigne&gt;</v>
      </c>
    </row>
    <row r="9737" spans="1:1" x14ac:dyDescent="0.2">
      <c r="A9737" s="996" t="str">
        <f>CONCATENATE(Programme!D9738,Programme!E9738,Programme!F9738,Programme!G9738,Programme!H9738,Programme!I9738,Programme!J9738)</f>
        <v>&lt;/ValeurCellule&gt;</v>
      </c>
    </row>
    <row r="9738" spans="1:1" x14ac:dyDescent="0.2">
      <c r="A9738" s="996" t="str">
        <f>CONCATENATE(Programme!D9739,Programme!E9739,Programme!F9739,Programme!G9739,Programme!H9739,Programme!I9739,Programme!J9739)</f>
        <v>&lt;ValeurCellule&gt;</v>
      </c>
    </row>
    <row r="9739" spans="1:1" x14ac:dyDescent="0.2">
      <c r="A9739" s="996" t="str">
        <f>CONCATENATE(Programme!D9740,Programme!E9740,Programme!F9740,Programme!G9740,Programme!H9740,Programme!I9740,Programme!J9740)</f>
        <v>&lt;cellule&gt;&lt;codeEdi&gt;10061&lt;/codeEdi&gt;&lt;/cellule&gt;</v>
      </c>
    </row>
    <row r="9740" spans="1:1" x14ac:dyDescent="0.2">
      <c r="A9740" s="996" t="str">
        <f>CONCATENATE(Programme!D9741,Programme!E9741,Programme!F9741,Programme!G9741,Programme!H9741,Programme!I9741,Programme!J9741)</f>
        <v>&lt;valeur&gt;&lt;/valeur&gt;</v>
      </c>
    </row>
    <row r="9741" spans="1:1" x14ac:dyDescent="0.2">
      <c r="A9741" s="996" t="str">
        <f>CONCATENATE(Programme!D9742,Programme!E9742,Programme!F9742,Programme!G9742,Programme!H9742,Programme!I9742,Programme!J9742)</f>
        <v>&lt;numeroLigne&gt;32&lt;/numeroLigne&gt;</v>
      </c>
    </row>
    <row r="9742" spans="1:1" x14ac:dyDescent="0.2">
      <c r="A9742" s="996" t="str">
        <f>CONCATENATE(Programme!D9743,Programme!E9743,Programme!F9743,Programme!G9743,Programme!H9743,Programme!I9743,Programme!J9743)</f>
        <v>&lt;/ValeurCellule&gt;</v>
      </c>
    </row>
    <row r="9743" spans="1:1" x14ac:dyDescent="0.2">
      <c r="A9743" s="996" t="str">
        <f>CONCATENATE(Programme!D9744,Programme!E9744,Programme!F9744,Programme!G9744,Programme!H9744,Programme!I9744,Programme!J9744)</f>
        <v>&lt;ValeurCellule&gt;</v>
      </c>
    </row>
    <row r="9744" spans="1:1" x14ac:dyDescent="0.2">
      <c r="A9744" s="996" t="str">
        <f>CONCATENATE(Programme!D9745,Programme!E9745,Programme!F9745,Programme!G9745,Programme!H9745,Programme!I9745,Programme!J9745)</f>
        <v>&lt;cellule&gt;&lt;codeEdi&gt;1078&lt;/codeEdi&gt;&lt;/cellule&gt;</v>
      </c>
    </row>
    <row r="9745" spans="1:1" x14ac:dyDescent="0.2">
      <c r="A9745" s="996" t="str">
        <f>CONCATENATE(Programme!D9746,Programme!E9746,Programme!F9746,Programme!G9746,Programme!H9746,Programme!I9746,Programme!J9746)</f>
        <v>&lt;valeur&gt;&lt;/valeur&gt;</v>
      </c>
    </row>
    <row r="9746" spans="1:1" x14ac:dyDescent="0.2">
      <c r="A9746" s="996" t="str">
        <f>CONCATENATE(Programme!D9747,Programme!E9747,Programme!F9747,Programme!G9747,Programme!H9747,Programme!I9747,Programme!J9747)</f>
        <v>&lt;numeroLigne&gt;32&lt;/numeroLigne&gt;</v>
      </c>
    </row>
    <row r="9747" spans="1:1" x14ac:dyDescent="0.2">
      <c r="A9747" s="996" t="str">
        <f>CONCATENATE(Programme!D9748,Programme!E9748,Programme!F9748,Programme!G9748,Programme!H9748,Programme!I9748,Programme!J9748)</f>
        <v>&lt;/ValeurCellule&gt;</v>
      </c>
    </row>
    <row r="9748" spans="1:1" x14ac:dyDescent="0.2">
      <c r="A9748" s="996" t="str">
        <f>CONCATENATE(Programme!D9749,Programme!E9749,Programme!F9749,Programme!G9749,Programme!H9749,Programme!I9749,Programme!J9749)</f>
        <v>&lt;ValeurCellule&gt;</v>
      </c>
    </row>
    <row r="9749" spans="1:1" x14ac:dyDescent="0.2">
      <c r="A9749" s="996" t="str">
        <f>CONCATENATE(Programme!D9750,Programme!E9750,Programme!F9750,Programme!G9750,Programme!H9750,Programme!I9750,Programme!J9750)</f>
        <v>&lt;cellule&gt;&lt;codeEdi&gt;1079&lt;/codeEdi&gt;&lt;/cellule&gt;</v>
      </c>
    </row>
    <row r="9750" spans="1:1" x14ac:dyDescent="0.2">
      <c r="A9750" s="996" t="str">
        <f>CONCATENATE(Programme!D9751,Programme!E9751,Programme!F9751,Programme!G9751,Programme!H9751,Programme!I9751,Programme!J9751)</f>
        <v>&lt;valeur&gt;&lt;/valeur&gt;</v>
      </c>
    </row>
    <row r="9751" spans="1:1" x14ac:dyDescent="0.2">
      <c r="A9751" s="996" t="str">
        <f>CONCATENATE(Programme!D9752,Programme!E9752,Programme!F9752,Programme!G9752,Programme!H9752,Programme!I9752,Programme!J9752)</f>
        <v>&lt;numeroLigne&gt;32&lt;/numeroLigne&gt;</v>
      </c>
    </row>
    <row r="9752" spans="1:1" x14ac:dyDescent="0.2">
      <c r="A9752" s="996" t="str">
        <f>CONCATENATE(Programme!D9753,Programme!E9753,Programme!F9753,Programme!G9753,Programme!H9753,Programme!I9753,Programme!J9753)</f>
        <v>&lt;/ValeurCellule&gt;</v>
      </c>
    </row>
    <row r="9753" spans="1:1" x14ac:dyDescent="0.2">
      <c r="A9753" s="996" t="str">
        <f>CONCATENATE(Programme!D9754,Programme!E9754,Programme!F9754,Programme!G9754,Programme!H9754,Programme!I9754,Programme!J9754)</f>
        <v>&lt;ValeurCellule&gt;</v>
      </c>
    </row>
    <row r="9754" spans="1:1" x14ac:dyDescent="0.2">
      <c r="A9754" s="996" t="str">
        <f>CONCATENATE(Programme!D9755,Programme!E9755,Programme!F9755,Programme!G9755,Programme!H9755,Programme!I9755,Programme!J9755)</f>
        <v>&lt;cellule&gt;&lt;codeEdi&gt;1080&lt;/codeEdi&gt;&lt;/cellule&gt;</v>
      </c>
    </row>
    <row r="9755" spans="1:1" x14ac:dyDescent="0.2">
      <c r="A9755" s="996" t="str">
        <f>CONCATENATE(Programme!D9756,Programme!E9756,Programme!F9756,Programme!G9756,Programme!H9756,Programme!I9756,Programme!J9756)</f>
        <v>&lt;valeur&gt;&lt;/valeur&gt;</v>
      </c>
    </row>
    <row r="9756" spans="1:1" x14ac:dyDescent="0.2">
      <c r="A9756" s="996" t="str">
        <f>CONCATENATE(Programme!D9757,Programme!E9757,Programme!F9757,Programme!G9757,Programme!H9757,Programme!I9757,Programme!J9757)</f>
        <v>&lt;numeroLigne&gt;32&lt;/numeroLigne&gt;</v>
      </c>
    </row>
    <row r="9757" spans="1:1" x14ac:dyDescent="0.2">
      <c r="A9757" s="996" t="str">
        <f>CONCATENATE(Programme!D9758,Programme!E9758,Programme!F9758,Programme!G9758,Programme!H9758,Programme!I9758,Programme!J9758)</f>
        <v>&lt;/ValeurCellule&gt;</v>
      </c>
    </row>
    <row r="9758" spans="1:1" x14ac:dyDescent="0.2">
      <c r="A9758" s="996" t="str">
        <f>CONCATENATE(Programme!D9759,Programme!E9759,Programme!F9759,Programme!G9759,Programme!H9759,Programme!I9759,Programme!J9759)</f>
        <v>&lt;ValeurCellule&gt;</v>
      </c>
    </row>
    <row r="9759" spans="1:1" x14ac:dyDescent="0.2">
      <c r="A9759" s="996" t="str">
        <f>CONCATENATE(Programme!D9760,Programme!E9760,Programme!F9760,Programme!G9760,Programme!H9760,Programme!I9760,Programme!J9760)</f>
        <v>&lt;cellule&gt;&lt;codeEdi&gt;1081&lt;/codeEdi&gt;&lt;/cellule&gt;</v>
      </c>
    </row>
    <row r="9760" spans="1:1" x14ac:dyDescent="0.2">
      <c r="A9760" s="996" t="str">
        <f>CONCATENATE(Programme!D9761,Programme!E9761,Programme!F9761,Programme!G9761,Programme!H9761,Programme!I9761,Programme!J9761)</f>
        <v>&lt;valeur&gt;&lt;/valeur&gt;</v>
      </c>
    </row>
    <row r="9761" spans="1:1" x14ac:dyDescent="0.2">
      <c r="A9761" s="996" t="str">
        <f>CONCATENATE(Programme!D9762,Programme!E9762,Programme!F9762,Programme!G9762,Programme!H9762,Programme!I9762,Programme!J9762)</f>
        <v>&lt;numeroLigne&gt;32&lt;/numeroLigne&gt;</v>
      </c>
    </row>
    <row r="9762" spans="1:1" x14ac:dyDescent="0.2">
      <c r="A9762" s="996" t="str">
        <f>CONCATENATE(Programme!D9763,Programme!E9763,Programme!F9763,Programme!G9763,Programme!H9763,Programme!I9763,Programme!J9763)</f>
        <v>&lt;/ValeurCellule&gt;</v>
      </c>
    </row>
    <row r="9763" spans="1:1" x14ac:dyDescent="0.2">
      <c r="A9763" s="996" t="str">
        <f>CONCATENATE(Programme!D9764,Programme!E9764,Programme!F9764,Programme!G9764,Programme!H9764,Programme!I9764,Programme!J9764)</f>
        <v>&lt;ValeurCellule&gt;</v>
      </c>
    </row>
    <row r="9764" spans="1:1" x14ac:dyDescent="0.2">
      <c r="A9764" s="996" t="str">
        <f>CONCATENATE(Programme!D9765,Programme!E9765,Programme!F9765,Programme!G9765,Programme!H9765,Programme!I9765,Programme!J9765)</f>
        <v>&lt;cellule&gt;&lt;codeEdi&gt;1082&lt;/codeEdi&gt;&lt;/cellule&gt;</v>
      </c>
    </row>
    <row r="9765" spans="1:1" x14ac:dyDescent="0.2">
      <c r="A9765" s="996" t="str">
        <f>CONCATENATE(Programme!D9766,Programme!E9766,Programme!F9766,Programme!G9766,Programme!H9766,Programme!I9766,Programme!J9766)</f>
        <v>&lt;valeur&gt;&lt;/valeur&gt;</v>
      </c>
    </row>
    <row r="9766" spans="1:1" x14ac:dyDescent="0.2">
      <c r="A9766" s="996" t="str">
        <f>CONCATENATE(Programme!D9767,Programme!E9767,Programme!F9767,Programme!G9767,Programme!H9767,Programme!I9767,Programme!J9767)</f>
        <v>&lt;numeroLigne&gt;32&lt;/numeroLigne&gt;</v>
      </c>
    </row>
    <row r="9767" spans="1:1" x14ac:dyDescent="0.2">
      <c r="A9767" s="996" t="str">
        <f>CONCATENATE(Programme!D9768,Programme!E9768,Programme!F9768,Programme!G9768,Programme!H9768,Programme!I9768,Programme!J9768)</f>
        <v>&lt;/ValeurCellule&gt;</v>
      </c>
    </row>
    <row r="9768" spans="1:1" x14ac:dyDescent="0.2">
      <c r="A9768" s="996" t="str">
        <f>CONCATENATE(Programme!D9769,Programme!E9769,Programme!F9769,Programme!G9769,Programme!H9769,Programme!I9769,Programme!J9769)</f>
        <v>&lt;ValeurCellule&gt;</v>
      </c>
    </row>
    <row r="9769" spans="1:1" x14ac:dyDescent="0.2">
      <c r="A9769" s="996" t="str">
        <f>CONCATENATE(Programme!D9770,Programme!E9770,Programme!F9770,Programme!G9770,Programme!H9770,Programme!I9770,Programme!J9770)</f>
        <v>&lt;cellule&gt;&lt;codeEdi&gt;1083&lt;/codeEdi&gt;&lt;/cellule&gt;</v>
      </c>
    </row>
    <row r="9770" spans="1:1" x14ac:dyDescent="0.2">
      <c r="A9770" s="996" t="str">
        <f>CONCATENATE(Programme!D9771,Programme!E9771,Programme!F9771,Programme!G9771,Programme!H9771,Programme!I9771,Programme!J9771)</f>
        <v>&lt;valeur&gt;&lt;/valeur&gt;</v>
      </c>
    </row>
    <row r="9771" spans="1:1" x14ac:dyDescent="0.2">
      <c r="A9771" s="996" t="str">
        <f>CONCATENATE(Programme!D9772,Programme!E9772,Programme!F9772,Programme!G9772,Programme!H9772,Programme!I9772,Programme!J9772)</f>
        <v>&lt;numeroLigne&gt;32&lt;/numeroLigne&gt;</v>
      </c>
    </row>
    <row r="9772" spans="1:1" x14ac:dyDescent="0.2">
      <c r="A9772" s="996" t="str">
        <f>CONCATENATE(Programme!D9773,Programme!E9773,Programme!F9773,Programme!G9773,Programme!H9773,Programme!I9773,Programme!J9773)</f>
        <v>&lt;/ValeurCellule&gt;</v>
      </c>
    </row>
    <row r="9773" spans="1:1" x14ac:dyDescent="0.2">
      <c r="A9773" s="996" t="str">
        <f>CONCATENATE(Programme!D9774,Programme!E9774,Programme!F9774,Programme!G9774,Programme!H9774,Programme!I9774,Programme!J9774)</f>
        <v>&lt;ValeurCellule&gt;</v>
      </c>
    </row>
    <row r="9774" spans="1:1" x14ac:dyDescent="0.2">
      <c r="A9774" s="996" t="str">
        <f>CONCATENATE(Programme!D9775,Programme!E9775,Programme!F9775,Programme!G9775,Programme!H9775,Programme!I9775,Programme!J9775)</f>
        <v>&lt;cellule&gt;&lt;codeEdi&gt;1084&lt;/codeEdi&gt;&lt;/cellule&gt;</v>
      </c>
    </row>
    <row r="9775" spans="1:1" x14ac:dyDescent="0.2">
      <c r="A9775" s="996" t="str">
        <f>CONCATENATE(Programme!D9776,Programme!E9776,Programme!F9776,Programme!G9776,Programme!H9776,Programme!I9776,Programme!J9776)</f>
        <v>&lt;valeur&gt;&lt;/valeur&gt;</v>
      </c>
    </row>
    <row r="9776" spans="1:1" x14ac:dyDescent="0.2">
      <c r="A9776" s="996" t="str">
        <f>CONCATENATE(Programme!D9777,Programme!E9777,Programme!F9777,Programme!G9777,Programme!H9777,Programme!I9777,Programme!J9777)</f>
        <v>&lt;numeroLigne&gt;32&lt;/numeroLigne&gt;</v>
      </c>
    </row>
    <row r="9777" spans="1:1" x14ac:dyDescent="0.2">
      <c r="A9777" s="996" t="str">
        <f>CONCATENATE(Programme!D9778,Programme!E9778,Programme!F9778,Programme!G9778,Programme!H9778,Programme!I9778,Programme!J9778)</f>
        <v>&lt;/ValeurCellule&gt;</v>
      </c>
    </row>
    <row r="9778" spans="1:1" x14ac:dyDescent="0.2">
      <c r="A9778" s="996" t="str">
        <f>CONCATENATE(Programme!D9779,Programme!E9779,Programme!F9779,Programme!G9779,Programme!H9779,Programme!I9779,Programme!J9779)</f>
        <v>&lt;ValeurCellule&gt;</v>
      </c>
    </row>
    <row r="9779" spans="1:1" x14ac:dyDescent="0.2">
      <c r="A9779" s="996" t="str">
        <f>CONCATENATE(Programme!D9780,Programme!E9780,Programme!F9780,Programme!G9780,Programme!H9780,Programme!I9780,Programme!J9780)</f>
        <v>&lt;cellule&gt;&lt;codeEdi&gt;1085&lt;/codeEdi&gt;&lt;/cellule&gt;</v>
      </c>
    </row>
    <row r="9780" spans="1:1" x14ac:dyDescent="0.2">
      <c r="A9780" s="996" t="str">
        <f>CONCATENATE(Programme!D9781,Programme!E9781,Programme!F9781,Programme!G9781,Programme!H9781,Programme!I9781,Programme!J9781)</f>
        <v>&lt;valeur&gt;&lt;/valeur&gt;</v>
      </c>
    </row>
    <row r="9781" spans="1:1" x14ac:dyDescent="0.2">
      <c r="A9781" s="996" t="str">
        <f>CONCATENATE(Programme!D9782,Programme!E9782,Programme!F9782,Programme!G9782,Programme!H9782,Programme!I9782,Programme!J9782)</f>
        <v>&lt;numeroLigne&gt;32&lt;/numeroLigne&gt;</v>
      </c>
    </row>
    <row r="9782" spans="1:1" x14ac:dyDescent="0.2">
      <c r="A9782" s="996" t="str">
        <f>CONCATENATE(Programme!D9783,Programme!E9783,Programme!F9783,Programme!G9783,Programme!H9783,Programme!I9783,Programme!J9783)</f>
        <v>&lt;/ValeurCellule&gt;</v>
      </c>
    </row>
    <row r="9783" spans="1:1" x14ac:dyDescent="0.2">
      <c r="A9783" s="996" t="str">
        <f>CONCATENATE(Programme!D9784,Programme!E9784,Programme!F9784,Programme!G9784,Programme!H9784,Programme!I9784,Programme!J9784)</f>
        <v>&lt;ValeurCellule&gt;</v>
      </c>
    </row>
    <row r="9784" spans="1:1" x14ac:dyDescent="0.2">
      <c r="A9784" s="996" t="str">
        <f>CONCATENATE(Programme!D9785,Programme!E9785,Programme!F9785,Programme!G9785,Programme!H9785,Programme!I9785,Programme!J9785)</f>
        <v>&lt;cellule&gt;&lt;codeEdi&gt;1086&lt;/codeEdi&gt;&lt;/cellule&gt;</v>
      </c>
    </row>
    <row r="9785" spans="1:1" x14ac:dyDescent="0.2">
      <c r="A9785" s="996" t="str">
        <f>CONCATENATE(Programme!D9786,Programme!E9786,Programme!F9786,Programme!G9786,Programme!H9786,Programme!I9786,Programme!J9786)</f>
        <v>&lt;valeur&gt;&lt;/valeur&gt;</v>
      </c>
    </row>
    <row r="9786" spans="1:1" x14ac:dyDescent="0.2">
      <c r="A9786" s="996" t="str">
        <f>CONCATENATE(Programme!D9787,Programme!E9787,Programme!F9787,Programme!G9787,Programme!H9787,Programme!I9787,Programme!J9787)</f>
        <v>&lt;numeroLigne&gt;32&lt;/numeroLigne&gt;</v>
      </c>
    </row>
    <row r="9787" spans="1:1" x14ac:dyDescent="0.2">
      <c r="A9787" s="996" t="str">
        <f>CONCATENATE(Programme!D9788,Programme!E9788,Programme!F9788,Programme!G9788,Programme!H9788,Programme!I9788,Programme!J9788)</f>
        <v>&lt;/ValeurCellule&gt;</v>
      </c>
    </row>
    <row r="9788" spans="1:1" x14ac:dyDescent="0.2">
      <c r="A9788" s="996" t="str">
        <f>CONCATENATE(Programme!D9789,Programme!E9789,Programme!F9789,Programme!G9789,Programme!H9789,Programme!I9789,Programme!J9789)</f>
        <v>&lt;ValeurCellule&gt;</v>
      </c>
    </row>
    <row r="9789" spans="1:1" x14ac:dyDescent="0.2">
      <c r="A9789" s="996" t="str">
        <f>CONCATENATE(Programme!D9790,Programme!E9790,Programme!F9790,Programme!G9790,Programme!H9790,Programme!I9790,Programme!J9790)</f>
        <v>&lt;cellule&gt;&lt;codeEdi&gt;10061&lt;/codeEdi&gt;&lt;/cellule&gt;</v>
      </c>
    </row>
    <row r="9790" spans="1:1" x14ac:dyDescent="0.2">
      <c r="A9790" s="996" t="str">
        <f>CONCATENATE(Programme!D9791,Programme!E9791,Programme!F9791,Programme!G9791,Programme!H9791,Programme!I9791,Programme!J9791)</f>
        <v>&lt;valeur&gt;&lt;/valeur&gt;</v>
      </c>
    </row>
    <row r="9791" spans="1:1" x14ac:dyDescent="0.2">
      <c r="A9791" s="996" t="str">
        <f>CONCATENATE(Programme!D9792,Programme!E9792,Programme!F9792,Programme!G9792,Programme!H9792,Programme!I9792,Programme!J9792)</f>
        <v>&lt;numeroLigne&gt;33&lt;/numeroLigne&gt;</v>
      </c>
    </row>
    <row r="9792" spans="1:1" x14ac:dyDescent="0.2">
      <c r="A9792" s="996" t="str">
        <f>CONCATENATE(Programme!D9793,Programme!E9793,Programme!F9793,Programme!G9793,Programme!H9793,Programme!I9793,Programme!J9793)</f>
        <v>&lt;/ValeurCellule&gt;</v>
      </c>
    </row>
    <row r="9793" spans="1:1" x14ac:dyDescent="0.2">
      <c r="A9793" s="996" t="str">
        <f>CONCATENATE(Programme!D9794,Programme!E9794,Programme!F9794,Programme!G9794,Programme!H9794,Programme!I9794,Programme!J9794)</f>
        <v>&lt;ValeurCellule&gt;</v>
      </c>
    </row>
    <row r="9794" spans="1:1" x14ac:dyDescent="0.2">
      <c r="A9794" s="996" t="str">
        <f>CONCATENATE(Programme!D9795,Programme!E9795,Programme!F9795,Programme!G9795,Programme!H9795,Programme!I9795,Programme!J9795)</f>
        <v>&lt;cellule&gt;&lt;codeEdi&gt;1078&lt;/codeEdi&gt;&lt;/cellule&gt;</v>
      </c>
    </row>
    <row r="9795" spans="1:1" x14ac:dyDescent="0.2">
      <c r="A9795" s="996" t="str">
        <f>CONCATENATE(Programme!D9796,Programme!E9796,Programme!F9796,Programme!G9796,Programme!H9796,Programme!I9796,Programme!J9796)</f>
        <v>&lt;valeur&gt;&lt;/valeur&gt;</v>
      </c>
    </row>
    <row r="9796" spans="1:1" x14ac:dyDescent="0.2">
      <c r="A9796" s="996" t="str">
        <f>CONCATENATE(Programme!D9797,Programme!E9797,Programme!F9797,Programme!G9797,Programme!H9797,Programme!I9797,Programme!J9797)</f>
        <v>&lt;numeroLigne&gt;33&lt;/numeroLigne&gt;</v>
      </c>
    </row>
    <row r="9797" spans="1:1" x14ac:dyDescent="0.2">
      <c r="A9797" s="996" t="str">
        <f>CONCATENATE(Programme!D9798,Programme!E9798,Programme!F9798,Programme!G9798,Programme!H9798,Programme!I9798,Programme!J9798)</f>
        <v>&lt;/ValeurCellule&gt;</v>
      </c>
    </row>
    <row r="9798" spans="1:1" x14ac:dyDescent="0.2">
      <c r="A9798" s="996" t="str">
        <f>CONCATENATE(Programme!D9799,Programme!E9799,Programme!F9799,Programme!G9799,Programme!H9799,Programme!I9799,Programme!J9799)</f>
        <v>&lt;ValeurCellule&gt;</v>
      </c>
    </row>
    <row r="9799" spans="1:1" x14ac:dyDescent="0.2">
      <c r="A9799" s="996" t="str">
        <f>CONCATENATE(Programme!D9800,Programme!E9800,Programme!F9800,Programme!G9800,Programme!H9800,Programme!I9800,Programme!J9800)</f>
        <v>&lt;cellule&gt;&lt;codeEdi&gt;1079&lt;/codeEdi&gt;&lt;/cellule&gt;</v>
      </c>
    </row>
    <row r="9800" spans="1:1" x14ac:dyDescent="0.2">
      <c r="A9800" s="996" t="str">
        <f>CONCATENATE(Programme!D9801,Programme!E9801,Programme!F9801,Programme!G9801,Programme!H9801,Programme!I9801,Programme!J9801)</f>
        <v>&lt;valeur&gt;&lt;/valeur&gt;</v>
      </c>
    </row>
    <row r="9801" spans="1:1" x14ac:dyDescent="0.2">
      <c r="A9801" s="996" t="str">
        <f>CONCATENATE(Programme!D9802,Programme!E9802,Programme!F9802,Programme!G9802,Programme!H9802,Programme!I9802,Programme!J9802)</f>
        <v>&lt;numeroLigne&gt;33&lt;/numeroLigne&gt;</v>
      </c>
    </row>
    <row r="9802" spans="1:1" x14ac:dyDescent="0.2">
      <c r="A9802" s="996" t="str">
        <f>CONCATENATE(Programme!D9803,Programme!E9803,Programme!F9803,Programme!G9803,Programme!H9803,Programme!I9803,Programme!J9803)</f>
        <v>&lt;/ValeurCellule&gt;</v>
      </c>
    </row>
    <row r="9803" spans="1:1" x14ac:dyDescent="0.2">
      <c r="A9803" s="996" t="str">
        <f>CONCATENATE(Programme!D9804,Programme!E9804,Programme!F9804,Programme!G9804,Programme!H9804,Programme!I9804,Programme!J9804)</f>
        <v>&lt;ValeurCellule&gt;</v>
      </c>
    </row>
    <row r="9804" spans="1:1" x14ac:dyDescent="0.2">
      <c r="A9804" s="996" t="str">
        <f>CONCATENATE(Programme!D9805,Programme!E9805,Programme!F9805,Programme!G9805,Programme!H9805,Programme!I9805,Programme!J9805)</f>
        <v>&lt;cellule&gt;&lt;codeEdi&gt;1080&lt;/codeEdi&gt;&lt;/cellule&gt;</v>
      </c>
    </row>
    <row r="9805" spans="1:1" x14ac:dyDescent="0.2">
      <c r="A9805" s="996" t="str">
        <f>CONCATENATE(Programme!D9806,Programme!E9806,Programme!F9806,Programme!G9806,Programme!H9806,Programme!I9806,Programme!J9806)</f>
        <v>&lt;valeur&gt;&lt;/valeur&gt;</v>
      </c>
    </row>
    <row r="9806" spans="1:1" x14ac:dyDescent="0.2">
      <c r="A9806" s="996" t="str">
        <f>CONCATENATE(Programme!D9807,Programme!E9807,Programme!F9807,Programme!G9807,Programme!H9807,Programme!I9807,Programme!J9807)</f>
        <v>&lt;numeroLigne&gt;33&lt;/numeroLigne&gt;</v>
      </c>
    </row>
    <row r="9807" spans="1:1" x14ac:dyDescent="0.2">
      <c r="A9807" s="996" t="str">
        <f>CONCATENATE(Programme!D9808,Programme!E9808,Programme!F9808,Programme!G9808,Programme!H9808,Programme!I9808,Programme!J9808)</f>
        <v>&lt;/ValeurCellule&gt;</v>
      </c>
    </row>
    <row r="9808" spans="1:1" x14ac:dyDescent="0.2">
      <c r="A9808" s="996" t="str">
        <f>CONCATENATE(Programme!D9809,Programme!E9809,Programme!F9809,Programme!G9809,Programme!H9809,Programme!I9809,Programme!J9809)</f>
        <v>&lt;ValeurCellule&gt;</v>
      </c>
    </row>
    <row r="9809" spans="1:1" x14ac:dyDescent="0.2">
      <c r="A9809" s="996" t="str">
        <f>CONCATENATE(Programme!D9810,Programme!E9810,Programme!F9810,Programme!G9810,Programme!H9810,Programme!I9810,Programme!J9810)</f>
        <v>&lt;cellule&gt;&lt;codeEdi&gt;1081&lt;/codeEdi&gt;&lt;/cellule&gt;</v>
      </c>
    </row>
    <row r="9810" spans="1:1" x14ac:dyDescent="0.2">
      <c r="A9810" s="996" t="str">
        <f>CONCATENATE(Programme!D9811,Programme!E9811,Programme!F9811,Programme!G9811,Programme!H9811,Programme!I9811,Programme!J9811)</f>
        <v>&lt;valeur&gt;&lt;/valeur&gt;</v>
      </c>
    </row>
    <row r="9811" spans="1:1" x14ac:dyDescent="0.2">
      <c r="A9811" s="996" t="str">
        <f>CONCATENATE(Programme!D9812,Programme!E9812,Programme!F9812,Programme!G9812,Programme!H9812,Programme!I9812,Programme!J9812)</f>
        <v>&lt;numeroLigne&gt;33&lt;/numeroLigne&gt;</v>
      </c>
    </row>
    <row r="9812" spans="1:1" x14ac:dyDescent="0.2">
      <c r="A9812" s="996" t="str">
        <f>CONCATENATE(Programme!D9813,Programme!E9813,Programme!F9813,Programme!G9813,Programme!H9813,Programme!I9813,Programme!J9813)</f>
        <v>&lt;/ValeurCellule&gt;</v>
      </c>
    </row>
    <row r="9813" spans="1:1" x14ac:dyDescent="0.2">
      <c r="A9813" s="996" t="str">
        <f>CONCATENATE(Programme!D9814,Programme!E9814,Programme!F9814,Programme!G9814,Programme!H9814,Programme!I9814,Programme!J9814)</f>
        <v>&lt;ValeurCellule&gt;</v>
      </c>
    </row>
    <row r="9814" spans="1:1" x14ac:dyDescent="0.2">
      <c r="A9814" s="996" t="str">
        <f>CONCATENATE(Programme!D9815,Programme!E9815,Programme!F9815,Programme!G9815,Programme!H9815,Programme!I9815,Programme!J9815)</f>
        <v>&lt;cellule&gt;&lt;codeEdi&gt;1082&lt;/codeEdi&gt;&lt;/cellule&gt;</v>
      </c>
    </row>
    <row r="9815" spans="1:1" x14ac:dyDescent="0.2">
      <c r="A9815" s="996" t="str">
        <f>CONCATENATE(Programme!D9816,Programme!E9816,Programme!F9816,Programme!G9816,Programme!H9816,Programme!I9816,Programme!J9816)</f>
        <v>&lt;valeur&gt;&lt;/valeur&gt;</v>
      </c>
    </row>
    <row r="9816" spans="1:1" x14ac:dyDescent="0.2">
      <c r="A9816" s="996" t="str">
        <f>CONCATENATE(Programme!D9817,Programme!E9817,Programme!F9817,Programme!G9817,Programme!H9817,Programme!I9817,Programme!J9817)</f>
        <v>&lt;numeroLigne&gt;33&lt;/numeroLigne&gt;</v>
      </c>
    </row>
    <row r="9817" spans="1:1" x14ac:dyDescent="0.2">
      <c r="A9817" s="996" t="str">
        <f>CONCATENATE(Programme!D9818,Programme!E9818,Programme!F9818,Programme!G9818,Programme!H9818,Programme!I9818,Programme!J9818)</f>
        <v>&lt;/ValeurCellule&gt;</v>
      </c>
    </row>
    <row r="9818" spans="1:1" x14ac:dyDescent="0.2">
      <c r="A9818" s="996" t="str">
        <f>CONCATENATE(Programme!D9819,Programme!E9819,Programme!F9819,Programme!G9819,Programme!H9819,Programme!I9819,Programme!J9819)</f>
        <v>&lt;ValeurCellule&gt;</v>
      </c>
    </row>
    <row r="9819" spans="1:1" x14ac:dyDescent="0.2">
      <c r="A9819" s="996" t="str">
        <f>CONCATENATE(Programme!D9820,Programme!E9820,Programme!F9820,Programme!G9820,Programme!H9820,Programme!I9820,Programme!J9820)</f>
        <v>&lt;cellule&gt;&lt;codeEdi&gt;1083&lt;/codeEdi&gt;&lt;/cellule&gt;</v>
      </c>
    </row>
    <row r="9820" spans="1:1" x14ac:dyDescent="0.2">
      <c r="A9820" s="996" t="str">
        <f>CONCATENATE(Programme!D9821,Programme!E9821,Programme!F9821,Programme!G9821,Programme!H9821,Programme!I9821,Programme!J9821)</f>
        <v>&lt;valeur&gt;&lt;/valeur&gt;</v>
      </c>
    </row>
    <row r="9821" spans="1:1" x14ac:dyDescent="0.2">
      <c r="A9821" s="996" t="str">
        <f>CONCATENATE(Programme!D9822,Programme!E9822,Programme!F9822,Programme!G9822,Programme!H9822,Programme!I9822,Programme!J9822)</f>
        <v>&lt;numeroLigne&gt;33&lt;/numeroLigne&gt;</v>
      </c>
    </row>
    <row r="9822" spans="1:1" x14ac:dyDescent="0.2">
      <c r="A9822" s="996" t="str">
        <f>CONCATENATE(Programme!D9823,Programme!E9823,Programme!F9823,Programme!G9823,Programme!H9823,Programme!I9823,Programme!J9823)</f>
        <v>&lt;/ValeurCellule&gt;</v>
      </c>
    </row>
    <row r="9823" spans="1:1" x14ac:dyDescent="0.2">
      <c r="A9823" s="996" t="str">
        <f>CONCATENATE(Programme!D9824,Programme!E9824,Programme!F9824,Programme!G9824,Programme!H9824,Programme!I9824,Programme!J9824)</f>
        <v>&lt;ValeurCellule&gt;</v>
      </c>
    </row>
    <row r="9824" spans="1:1" x14ac:dyDescent="0.2">
      <c r="A9824" s="996" t="str">
        <f>CONCATENATE(Programme!D9825,Programme!E9825,Programme!F9825,Programme!G9825,Programme!H9825,Programme!I9825,Programme!J9825)</f>
        <v>&lt;cellule&gt;&lt;codeEdi&gt;1084&lt;/codeEdi&gt;&lt;/cellule&gt;</v>
      </c>
    </row>
    <row r="9825" spans="1:1" x14ac:dyDescent="0.2">
      <c r="A9825" s="996" t="str">
        <f>CONCATENATE(Programme!D9826,Programme!E9826,Programme!F9826,Programme!G9826,Programme!H9826,Programme!I9826,Programme!J9826)</f>
        <v>&lt;valeur&gt;&lt;/valeur&gt;</v>
      </c>
    </row>
    <row r="9826" spans="1:1" x14ac:dyDescent="0.2">
      <c r="A9826" s="996" t="str">
        <f>CONCATENATE(Programme!D9827,Programme!E9827,Programme!F9827,Programme!G9827,Programme!H9827,Programme!I9827,Programme!J9827)</f>
        <v>&lt;numeroLigne&gt;33&lt;/numeroLigne&gt;</v>
      </c>
    </row>
    <row r="9827" spans="1:1" x14ac:dyDescent="0.2">
      <c r="A9827" s="996" t="str">
        <f>CONCATENATE(Programme!D9828,Programme!E9828,Programme!F9828,Programme!G9828,Programme!H9828,Programme!I9828,Programme!J9828)</f>
        <v>&lt;/ValeurCellule&gt;</v>
      </c>
    </row>
    <row r="9828" spans="1:1" x14ac:dyDescent="0.2">
      <c r="A9828" s="996" t="str">
        <f>CONCATENATE(Programme!D9829,Programme!E9829,Programme!F9829,Programme!G9829,Programme!H9829,Programme!I9829,Programme!J9829)</f>
        <v>&lt;ValeurCellule&gt;</v>
      </c>
    </row>
    <row r="9829" spans="1:1" x14ac:dyDescent="0.2">
      <c r="A9829" s="996" t="str">
        <f>CONCATENATE(Programme!D9830,Programme!E9830,Programme!F9830,Programme!G9830,Programme!H9830,Programme!I9830,Programme!J9830)</f>
        <v>&lt;cellule&gt;&lt;codeEdi&gt;1085&lt;/codeEdi&gt;&lt;/cellule&gt;</v>
      </c>
    </row>
    <row r="9830" spans="1:1" x14ac:dyDescent="0.2">
      <c r="A9830" s="996" t="str">
        <f>CONCATENATE(Programme!D9831,Programme!E9831,Programme!F9831,Programme!G9831,Programme!H9831,Programme!I9831,Programme!J9831)</f>
        <v>&lt;valeur&gt;&lt;/valeur&gt;</v>
      </c>
    </row>
    <row r="9831" spans="1:1" x14ac:dyDescent="0.2">
      <c r="A9831" s="996" t="str">
        <f>CONCATENATE(Programme!D9832,Programme!E9832,Programme!F9832,Programme!G9832,Programme!H9832,Programme!I9832,Programme!J9832)</f>
        <v>&lt;numeroLigne&gt;33&lt;/numeroLigne&gt;</v>
      </c>
    </row>
    <row r="9832" spans="1:1" x14ac:dyDescent="0.2">
      <c r="A9832" s="996" t="str">
        <f>CONCATENATE(Programme!D9833,Programme!E9833,Programme!F9833,Programme!G9833,Programme!H9833,Programme!I9833,Programme!J9833)</f>
        <v>&lt;/ValeurCellule&gt;</v>
      </c>
    </row>
    <row r="9833" spans="1:1" x14ac:dyDescent="0.2">
      <c r="A9833" s="996" t="str">
        <f>CONCATENATE(Programme!D9834,Programme!E9834,Programme!F9834,Programme!G9834,Programme!H9834,Programme!I9834,Programme!J9834)</f>
        <v>&lt;ValeurCellule&gt;</v>
      </c>
    </row>
    <row r="9834" spans="1:1" x14ac:dyDescent="0.2">
      <c r="A9834" s="996" t="str">
        <f>CONCATENATE(Programme!D9835,Programme!E9835,Programme!F9835,Programme!G9835,Programme!H9835,Programme!I9835,Programme!J9835)</f>
        <v>&lt;cellule&gt;&lt;codeEdi&gt;1086&lt;/codeEdi&gt;&lt;/cellule&gt;</v>
      </c>
    </row>
    <row r="9835" spans="1:1" x14ac:dyDescent="0.2">
      <c r="A9835" s="996" t="str">
        <f>CONCATENATE(Programme!D9836,Programme!E9836,Programme!F9836,Programme!G9836,Programme!H9836,Programme!I9836,Programme!J9836)</f>
        <v>&lt;valeur&gt;&lt;/valeur&gt;</v>
      </c>
    </row>
    <row r="9836" spans="1:1" x14ac:dyDescent="0.2">
      <c r="A9836" s="996" t="str">
        <f>CONCATENATE(Programme!D9837,Programme!E9837,Programme!F9837,Programme!G9837,Programme!H9837,Programme!I9837,Programme!J9837)</f>
        <v>&lt;numeroLigne&gt;33&lt;/numeroLigne&gt;</v>
      </c>
    </row>
    <row r="9837" spans="1:1" x14ac:dyDescent="0.2">
      <c r="A9837" s="996" t="str">
        <f>CONCATENATE(Programme!D9838,Programme!E9838,Programme!F9838,Programme!G9838,Programme!H9838,Programme!I9838,Programme!J9838)</f>
        <v>&lt;/ValeurCellule&gt;</v>
      </c>
    </row>
    <row r="9838" spans="1:1" x14ac:dyDescent="0.2">
      <c r="A9838" s="996" t="str">
        <f>CONCATENATE(Programme!D9839,Programme!E9839,Programme!F9839,Programme!G9839,Programme!H9839,Programme!I9839,Programme!J9839)</f>
        <v>&lt;ValeurCellule&gt;</v>
      </c>
    </row>
    <row r="9839" spans="1:1" x14ac:dyDescent="0.2">
      <c r="A9839" s="996" t="str">
        <f>CONCATENATE(Programme!D9840,Programme!E9840,Programme!F9840,Programme!G9840,Programme!H9840,Programme!I9840,Programme!J9840)</f>
        <v>&lt;cellule&gt;&lt;codeEdi&gt;10061&lt;/codeEdi&gt;&lt;/cellule&gt;</v>
      </c>
    </row>
    <row r="9840" spans="1:1" x14ac:dyDescent="0.2">
      <c r="A9840" s="996" t="str">
        <f>CONCATENATE(Programme!D9841,Programme!E9841,Programme!F9841,Programme!G9841,Programme!H9841,Programme!I9841,Programme!J9841)</f>
        <v>&lt;valeur&gt;&lt;/valeur&gt;</v>
      </c>
    </row>
    <row r="9841" spans="1:1" x14ac:dyDescent="0.2">
      <c r="A9841" s="996" t="str">
        <f>CONCATENATE(Programme!D9842,Programme!E9842,Programme!F9842,Programme!G9842,Programme!H9842,Programme!I9842,Programme!J9842)</f>
        <v>&lt;numeroLigne&gt;34&lt;/numeroLigne&gt;</v>
      </c>
    </row>
    <row r="9842" spans="1:1" x14ac:dyDescent="0.2">
      <c r="A9842" s="996" t="str">
        <f>CONCATENATE(Programme!D9843,Programme!E9843,Programme!F9843,Programme!G9843,Programme!H9843,Programme!I9843,Programme!J9843)</f>
        <v>&lt;/ValeurCellule&gt;</v>
      </c>
    </row>
    <row r="9843" spans="1:1" x14ac:dyDescent="0.2">
      <c r="A9843" s="996" t="str">
        <f>CONCATENATE(Programme!D9844,Programme!E9844,Programme!F9844,Programme!G9844,Programme!H9844,Programme!I9844,Programme!J9844)</f>
        <v>&lt;ValeurCellule&gt;</v>
      </c>
    </row>
    <row r="9844" spans="1:1" x14ac:dyDescent="0.2">
      <c r="A9844" s="996" t="str">
        <f>CONCATENATE(Programme!D9845,Programme!E9845,Programme!F9845,Programme!G9845,Programme!H9845,Programme!I9845,Programme!J9845)</f>
        <v>&lt;cellule&gt;&lt;codeEdi&gt;1078&lt;/codeEdi&gt;&lt;/cellule&gt;</v>
      </c>
    </row>
    <row r="9845" spans="1:1" x14ac:dyDescent="0.2">
      <c r="A9845" s="996" t="str">
        <f>CONCATENATE(Programme!D9846,Programme!E9846,Programme!F9846,Programme!G9846,Programme!H9846,Programme!I9846,Programme!J9846)</f>
        <v>&lt;valeur&gt;&lt;/valeur&gt;</v>
      </c>
    </row>
    <row r="9846" spans="1:1" x14ac:dyDescent="0.2">
      <c r="A9846" s="996" t="str">
        <f>CONCATENATE(Programme!D9847,Programme!E9847,Programme!F9847,Programme!G9847,Programme!H9847,Programme!I9847,Programme!J9847)</f>
        <v>&lt;numeroLigne&gt;34&lt;/numeroLigne&gt;</v>
      </c>
    </row>
    <row r="9847" spans="1:1" x14ac:dyDescent="0.2">
      <c r="A9847" s="996" t="str">
        <f>CONCATENATE(Programme!D9848,Programme!E9848,Programme!F9848,Programme!G9848,Programme!H9848,Programme!I9848,Programme!J9848)</f>
        <v>&lt;/ValeurCellule&gt;</v>
      </c>
    </row>
    <row r="9848" spans="1:1" x14ac:dyDescent="0.2">
      <c r="A9848" s="996" t="str">
        <f>CONCATENATE(Programme!D9849,Programme!E9849,Programme!F9849,Programme!G9849,Programme!H9849,Programme!I9849,Programme!J9849)</f>
        <v>&lt;ValeurCellule&gt;</v>
      </c>
    </row>
    <row r="9849" spans="1:1" x14ac:dyDescent="0.2">
      <c r="A9849" s="996" t="str">
        <f>CONCATENATE(Programme!D9850,Programme!E9850,Programme!F9850,Programme!G9850,Programme!H9850,Programme!I9850,Programme!J9850)</f>
        <v>&lt;cellule&gt;&lt;codeEdi&gt;1079&lt;/codeEdi&gt;&lt;/cellule&gt;</v>
      </c>
    </row>
    <row r="9850" spans="1:1" x14ac:dyDescent="0.2">
      <c r="A9850" s="996" t="str">
        <f>CONCATENATE(Programme!D9851,Programme!E9851,Programme!F9851,Programme!G9851,Programme!H9851,Programme!I9851,Programme!J9851)</f>
        <v>&lt;valeur&gt;&lt;/valeur&gt;</v>
      </c>
    </row>
    <row r="9851" spans="1:1" x14ac:dyDescent="0.2">
      <c r="A9851" s="996" t="str">
        <f>CONCATENATE(Programme!D9852,Programme!E9852,Programme!F9852,Programme!G9852,Programme!H9852,Programme!I9852,Programme!J9852)</f>
        <v>&lt;numeroLigne&gt;34&lt;/numeroLigne&gt;</v>
      </c>
    </row>
    <row r="9852" spans="1:1" x14ac:dyDescent="0.2">
      <c r="A9852" s="996" t="str">
        <f>CONCATENATE(Programme!D9853,Programme!E9853,Programme!F9853,Programme!G9853,Programme!H9853,Programme!I9853,Programme!J9853)</f>
        <v>&lt;/ValeurCellule&gt;</v>
      </c>
    </row>
    <row r="9853" spans="1:1" x14ac:dyDescent="0.2">
      <c r="A9853" s="996" t="str">
        <f>CONCATENATE(Programme!D9854,Programme!E9854,Programme!F9854,Programme!G9854,Programme!H9854,Programme!I9854,Programme!J9854)</f>
        <v>&lt;ValeurCellule&gt;</v>
      </c>
    </row>
    <row r="9854" spans="1:1" x14ac:dyDescent="0.2">
      <c r="A9854" s="996" t="str">
        <f>CONCATENATE(Programme!D9855,Programme!E9855,Programme!F9855,Programme!G9855,Programme!H9855,Programme!I9855,Programme!J9855)</f>
        <v>&lt;cellule&gt;&lt;codeEdi&gt;1080&lt;/codeEdi&gt;&lt;/cellule&gt;</v>
      </c>
    </row>
    <row r="9855" spans="1:1" x14ac:dyDescent="0.2">
      <c r="A9855" s="996" t="str">
        <f>CONCATENATE(Programme!D9856,Programme!E9856,Programme!F9856,Programme!G9856,Programme!H9856,Programme!I9856,Programme!J9856)</f>
        <v>&lt;valeur&gt;&lt;/valeur&gt;</v>
      </c>
    </row>
    <row r="9856" spans="1:1" x14ac:dyDescent="0.2">
      <c r="A9856" s="996" t="str">
        <f>CONCATENATE(Programme!D9857,Programme!E9857,Programme!F9857,Programme!G9857,Programme!H9857,Programme!I9857,Programme!J9857)</f>
        <v>&lt;numeroLigne&gt;34&lt;/numeroLigne&gt;</v>
      </c>
    </row>
    <row r="9857" spans="1:1" x14ac:dyDescent="0.2">
      <c r="A9857" s="996" t="str">
        <f>CONCATENATE(Programme!D9858,Programme!E9858,Programme!F9858,Programme!G9858,Programme!H9858,Programme!I9858,Programme!J9858)</f>
        <v>&lt;/ValeurCellule&gt;</v>
      </c>
    </row>
    <row r="9858" spans="1:1" x14ac:dyDescent="0.2">
      <c r="A9858" s="996" t="str">
        <f>CONCATENATE(Programme!D9859,Programme!E9859,Programme!F9859,Programme!G9859,Programme!H9859,Programme!I9859,Programme!J9859)</f>
        <v>&lt;ValeurCellule&gt;</v>
      </c>
    </row>
    <row r="9859" spans="1:1" x14ac:dyDescent="0.2">
      <c r="A9859" s="996" t="str">
        <f>CONCATENATE(Programme!D9860,Programme!E9860,Programme!F9860,Programme!G9860,Programme!H9860,Programme!I9860,Programme!J9860)</f>
        <v>&lt;cellule&gt;&lt;codeEdi&gt;1081&lt;/codeEdi&gt;&lt;/cellule&gt;</v>
      </c>
    </row>
    <row r="9860" spans="1:1" x14ac:dyDescent="0.2">
      <c r="A9860" s="996" t="str">
        <f>CONCATENATE(Programme!D9861,Programme!E9861,Programme!F9861,Programme!G9861,Programme!H9861,Programme!I9861,Programme!J9861)</f>
        <v>&lt;valeur&gt;&lt;/valeur&gt;</v>
      </c>
    </row>
    <row r="9861" spans="1:1" x14ac:dyDescent="0.2">
      <c r="A9861" s="996" t="str">
        <f>CONCATENATE(Programme!D9862,Programme!E9862,Programme!F9862,Programme!G9862,Programme!H9862,Programme!I9862,Programme!J9862)</f>
        <v>&lt;numeroLigne&gt;34&lt;/numeroLigne&gt;</v>
      </c>
    </row>
    <row r="9862" spans="1:1" x14ac:dyDescent="0.2">
      <c r="A9862" s="996" t="str">
        <f>CONCATENATE(Programme!D9863,Programme!E9863,Programme!F9863,Programme!G9863,Programme!H9863,Programme!I9863,Programme!J9863)</f>
        <v>&lt;/ValeurCellule&gt;</v>
      </c>
    </row>
    <row r="9863" spans="1:1" x14ac:dyDescent="0.2">
      <c r="A9863" s="996" t="str">
        <f>CONCATENATE(Programme!D9864,Programme!E9864,Programme!F9864,Programme!G9864,Programme!H9864,Programme!I9864,Programme!J9864)</f>
        <v>&lt;ValeurCellule&gt;</v>
      </c>
    </row>
    <row r="9864" spans="1:1" x14ac:dyDescent="0.2">
      <c r="A9864" s="996" t="str">
        <f>CONCATENATE(Programme!D9865,Programme!E9865,Programme!F9865,Programme!G9865,Programme!H9865,Programme!I9865,Programme!J9865)</f>
        <v>&lt;cellule&gt;&lt;codeEdi&gt;1082&lt;/codeEdi&gt;&lt;/cellule&gt;</v>
      </c>
    </row>
    <row r="9865" spans="1:1" x14ac:dyDescent="0.2">
      <c r="A9865" s="996" t="str">
        <f>CONCATENATE(Programme!D9866,Programme!E9866,Programme!F9866,Programme!G9866,Programme!H9866,Programme!I9866,Programme!J9866)</f>
        <v>&lt;valeur&gt;&lt;/valeur&gt;</v>
      </c>
    </row>
    <row r="9866" spans="1:1" x14ac:dyDescent="0.2">
      <c r="A9866" s="996" t="str">
        <f>CONCATENATE(Programme!D9867,Programme!E9867,Programme!F9867,Programme!G9867,Programme!H9867,Programme!I9867,Programme!J9867)</f>
        <v>&lt;numeroLigne&gt;34&lt;/numeroLigne&gt;</v>
      </c>
    </row>
    <row r="9867" spans="1:1" x14ac:dyDescent="0.2">
      <c r="A9867" s="996" t="str">
        <f>CONCATENATE(Programme!D9868,Programme!E9868,Programme!F9868,Programme!G9868,Programme!H9868,Programme!I9868,Programme!J9868)</f>
        <v>&lt;/ValeurCellule&gt;</v>
      </c>
    </row>
    <row r="9868" spans="1:1" x14ac:dyDescent="0.2">
      <c r="A9868" s="996" t="str">
        <f>CONCATENATE(Programme!D9869,Programme!E9869,Programme!F9869,Programme!G9869,Programme!H9869,Programme!I9869,Programme!J9869)</f>
        <v>&lt;ValeurCellule&gt;</v>
      </c>
    </row>
    <row r="9869" spans="1:1" x14ac:dyDescent="0.2">
      <c r="A9869" s="996" t="str">
        <f>CONCATENATE(Programme!D9870,Programme!E9870,Programme!F9870,Programme!G9870,Programme!H9870,Programme!I9870,Programme!J9870)</f>
        <v>&lt;cellule&gt;&lt;codeEdi&gt;1083&lt;/codeEdi&gt;&lt;/cellule&gt;</v>
      </c>
    </row>
    <row r="9870" spans="1:1" x14ac:dyDescent="0.2">
      <c r="A9870" s="996" t="str">
        <f>CONCATENATE(Programme!D9871,Programme!E9871,Programme!F9871,Programme!G9871,Programme!H9871,Programme!I9871,Programme!J9871)</f>
        <v>&lt;valeur&gt;&lt;/valeur&gt;</v>
      </c>
    </row>
    <row r="9871" spans="1:1" x14ac:dyDescent="0.2">
      <c r="A9871" s="996" t="str">
        <f>CONCATENATE(Programme!D9872,Programme!E9872,Programme!F9872,Programme!G9872,Programme!H9872,Programme!I9872,Programme!J9872)</f>
        <v>&lt;numeroLigne&gt;34&lt;/numeroLigne&gt;</v>
      </c>
    </row>
    <row r="9872" spans="1:1" x14ac:dyDescent="0.2">
      <c r="A9872" s="996" t="str">
        <f>CONCATENATE(Programme!D9873,Programme!E9873,Programme!F9873,Programme!G9873,Programme!H9873,Programme!I9873,Programme!J9873)</f>
        <v>&lt;/ValeurCellule&gt;</v>
      </c>
    </row>
    <row r="9873" spans="1:1" x14ac:dyDescent="0.2">
      <c r="A9873" s="996" t="str">
        <f>CONCATENATE(Programme!D9874,Programme!E9874,Programme!F9874,Programme!G9874,Programme!H9874,Programme!I9874,Programme!J9874)</f>
        <v>&lt;ValeurCellule&gt;</v>
      </c>
    </row>
    <row r="9874" spans="1:1" x14ac:dyDescent="0.2">
      <c r="A9874" s="996" t="str">
        <f>CONCATENATE(Programme!D9875,Programme!E9875,Programme!F9875,Programme!G9875,Programme!H9875,Programme!I9875,Programme!J9875)</f>
        <v>&lt;cellule&gt;&lt;codeEdi&gt;1084&lt;/codeEdi&gt;&lt;/cellule&gt;</v>
      </c>
    </row>
    <row r="9875" spans="1:1" x14ac:dyDescent="0.2">
      <c r="A9875" s="996" t="str">
        <f>CONCATENATE(Programme!D9876,Programme!E9876,Programme!F9876,Programme!G9876,Programme!H9876,Programme!I9876,Programme!J9876)</f>
        <v>&lt;valeur&gt;&lt;/valeur&gt;</v>
      </c>
    </row>
    <row r="9876" spans="1:1" x14ac:dyDescent="0.2">
      <c r="A9876" s="996" t="str">
        <f>CONCATENATE(Programme!D9877,Programme!E9877,Programme!F9877,Programme!G9877,Programme!H9877,Programme!I9877,Programme!J9877)</f>
        <v>&lt;numeroLigne&gt;34&lt;/numeroLigne&gt;</v>
      </c>
    </row>
    <row r="9877" spans="1:1" x14ac:dyDescent="0.2">
      <c r="A9877" s="996" t="str">
        <f>CONCATENATE(Programme!D9878,Programme!E9878,Programme!F9878,Programme!G9878,Programme!H9878,Programme!I9878,Programme!J9878)</f>
        <v>&lt;/ValeurCellule&gt;</v>
      </c>
    </row>
    <row r="9878" spans="1:1" x14ac:dyDescent="0.2">
      <c r="A9878" s="996" t="str">
        <f>CONCATENATE(Programme!D9879,Programme!E9879,Programme!F9879,Programme!G9879,Programme!H9879,Programme!I9879,Programme!J9879)</f>
        <v>&lt;ValeurCellule&gt;</v>
      </c>
    </row>
    <row r="9879" spans="1:1" x14ac:dyDescent="0.2">
      <c r="A9879" s="996" t="str">
        <f>CONCATENATE(Programme!D9880,Programme!E9880,Programme!F9880,Programme!G9880,Programme!H9880,Programme!I9880,Programme!J9880)</f>
        <v>&lt;cellule&gt;&lt;codeEdi&gt;1085&lt;/codeEdi&gt;&lt;/cellule&gt;</v>
      </c>
    </row>
    <row r="9880" spans="1:1" x14ac:dyDescent="0.2">
      <c r="A9880" s="996" t="str">
        <f>CONCATENATE(Programme!D9881,Programme!E9881,Programme!F9881,Programme!G9881,Programme!H9881,Programme!I9881,Programme!J9881)</f>
        <v>&lt;valeur&gt;&lt;/valeur&gt;</v>
      </c>
    </row>
    <row r="9881" spans="1:1" x14ac:dyDescent="0.2">
      <c r="A9881" s="996" t="str">
        <f>CONCATENATE(Programme!D9882,Programme!E9882,Programme!F9882,Programme!G9882,Programme!H9882,Programme!I9882,Programme!J9882)</f>
        <v>&lt;numeroLigne&gt;34&lt;/numeroLigne&gt;</v>
      </c>
    </row>
    <row r="9882" spans="1:1" x14ac:dyDescent="0.2">
      <c r="A9882" s="996" t="str">
        <f>CONCATENATE(Programme!D9883,Programme!E9883,Programme!F9883,Programme!G9883,Programme!H9883,Programme!I9883,Programme!J9883)</f>
        <v>&lt;/ValeurCellule&gt;</v>
      </c>
    </row>
    <row r="9883" spans="1:1" x14ac:dyDescent="0.2">
      <c r="A9883" s="996" t="str">
        <f>CONCATENATE(Programme!D9884,Programme!E9884,Programme!F9884,Programme!G9884,Programme!H9884,Programme!I9884,Programme!J9884)</f>
        <v>&lt;ValeurCellule&gt;</v>
      </c>
    </row>
    <row r="9884" spans="1:1" x14ac:dyDescent="0.2">
      <c r="A9884" s="996" t="str">
        <f>CONCATENATE(Programme!D9885,Programme!E9885,Programme!F9885,Programme!G9885,Programme!H9885,Programme!I9885,Programme!J9885)</f>
        <v>&lt;cellule&gt;&lt;codeEdi&gt;1086&lt;/codeEdi&gt;&lt;/cellule&gt;</v>
      </c>
    </row>
    <row r="9885" spans="1:1" x14ac:dyDescent="0.2">
      <c r="A9885" s="996" t="str">
        <f>CONCATENATE(Programme!D9886,Programme!E9886,Programme!F9886,Programme!G9886,Programme!H9886,Programme!I9886,Programme!J9886)</f>
        <v>&lt;valeur&gt;&lt;/valeur&gt;</v>
      </c>
    </row>
    <row r="9886" spans="1:1" x14ac:dyDescent="0.2">
      <c r="A9886" s="996" t="str">
        <f>CONCATENATE(Programme!D9887,Programme!E9887,Programme!F9887,Programme!G9887,Programme!H9887,Programme!I9887,Programme!J9887)</f>
        <v>&lt;numeroLigne&gt;34&lt;/numeroLigne&gt;</v>
      </c>
    </row>
    <row r="9887" spans="1:1" x14ac:dyDescent="0.2">
      <c r="A9887" s="996" t="str">
        <f>CONCATENATE(Programme!D9888,Programme!E9888,Programme!F9888,Programme!G9888,Programme!H9888,Programme!I9888,Programme!J9888)</f>
        <v>&lt;/ValeurCellule&gt;</v>
      </c>
    </row>
    <row r="9888" spans="1:1" x14ac:dyDescent="0.2">
      <c r="A9888" s="996" t="str">
        <f>CONCATENATE(Programme!D9889,Programme!E9889,Programme!F9889,Programme!G9889,Programme!H9889,Programme!I9889,Programme!J9889)</f>
        <v>&lt;ValeurCellule&gt;</v>
      </c>
    </row>
    <row r="9889" spans="1:1" x14ac:dyDescent="0.2">
      <c r="A9889" s="996" t="str">
        <f>CONCATENATE(Programme!D9890,Programme!E9890,Programme!F9890,Programme!G9890,Programme!H9890,Programme!I9890,Programme!J9890)</f>
        <v>&lt;cellule&gt;&lt;codeEdi&gt;10061&lt;/codeEdi&gt;&lt;/cellule&gt;</v>
      </c>
    </row>
    <row r="9890" spans="1:1" x14ac:dyDescent="0.2">
      <c r="A9890" s="996" t="str">
        <f>CONCATENATE(Programme!D9891,Programme!E9891,Programme!F9891,Programme!G9891,Programme!H9891,Programme!I9891,Programme!J9891)</f>
        <v>&lt;valeur&gt;&lt;/valeur&gt;</v>
      </c>
    </row>
    <row r="9891" spans="1:1" x14ac:dyDescent="0.2">
      <c r="A9891" s="996" t="str">
        <f>CONCATENATE(Programme!D9892,Programme!E9892,Programme!F9892,Programme!G9892,Programme!H9892,Programme!I9892,Programme!J9892)</f>
        <v>&lt;numeroLigne&gt;35&lt;/numeroLigne&gt;</v>
      </c>
    </row>
    <row r="9892" spans="1:1" x14ac:dyDescent="0.2">
      <c r="A9892" s="996" t="str">
        <f>CONCATENATE(Programme!D9893,Programme!E9893,Programme!F9893,Programme!G9893,Programme!H9893,Programme!I9893,Programme!J9893)</f>
        <v>&lt;/ValeurCellule&gt;</v>
      </c>
    </row>
    <row r="9893" spans="1:1" x14ac:dyDescent="0.2">
      <c r="A9893" s="996" t="str">
        <f>CONCATENATE(Programme!D9894,Programme!E9894,Programme!F9894,Programme!G9894,Programme!H9894,Programme!I9894,Programme!J9894)</f>
        <v>&lt;ValeurCellule&gt;</v>
      </c>
    </row>
    <row r="9894" spans="1:1" x14ac:dyDescent="0.2">
      <c r="A9894" s="996" t="str">
        <f>CONCATENATE(Programme!D9895,Programme!E9895,Programme!F9895,Programme!G9895,Programme!H9895,Programme!I9895,Programme!J9895)</f>
        <v>&lt;cellule&gt;&lt;codeEdi&gt;1078&lt;/codeEdi&gt;&lt;/cellule&gt;</v>
      </c>
    </row>
    <row r="9895" spans="1:1" x14ac:dyDescent="0.2">
      <c r="A9895" s="996" t="str">
        <f>CONCATENATE(Programme!D9896,Programme!E9896,Programme!F9896,Programme!G9896,Programme!H9896,Programme!I9896,Programme!J9896)</f>
        <v>&lt;valeur&gt;&lt;/valeur&gt;</v>
      </c>
    </row>
    <row r="9896" spans="1:1" x14ac:dyDescent="0.2">
      <c r="A9896" s="996" t="str">
        <f>CONCATENATE(Programme!D9897,Programme!E9897,Programme!F9897,Programme!G9897,Programme!H9897,Programme!I9897,Programme!J9897)</f>
        <v>&lt;numeroLigne&gt;35&lt;/numeroLigne&gt;</v>
      </c>
    </row>
    <row r="9897" spans="1:1" x14ac:dyDescent="0.2">
      <c r="A9897" s="996" t="str">
        <f>CONCATENATE(Programme!D9898,Programme!E9898,Programme!F9898,Programme!G9898,Programme!H9898,Programme!I9898,Programme!J9898)</f>
        <v>&lt;/ValeurCellule&gt;</v>
      </c>
    </row>
    <row r="9898" spans="1:1" x14ac:dyDescent="0.2">
      <c r="A9898" s="996" t="str">
        <f>CONCATENATE(Programme!D9899,Programme!E9899,Programme!F9899,Programme!G9899,Programme!H9899,Programme!I9899,Programme!J9899)</f>
        <v>&lt;ValeurCellule&gt;</v>
      </c>
    </row>
    <row r="9899" spans="1:1" x14ac:dyDescent="0.2">
      <c r="A9899" s="996" t="str">
        <f>CONCATENATE(Programme!D9900,Programme!E9900,Programme!F9900,Programme!G9900,Programme!H9900,Programme!I9900,Programme!J9900)</f>
        <v>&lt;cellule&gt;&lt;codeEdi&gt;1079&lt;/codeEdi&gt;&lt;/cellule&gt;</v>
      </c>
    </row>
    <row r="9900" spans="1:1" x14ac:dyDescent="0.2">
      <c r="A9900" s="996" t="str">
        <f>CONCATENATE(Programme!D9901,Programme!E9901,Programme!F9901,Programme!G9901,Programme!H9901,Programme!I9901,Programme!J9901)</f>
        <v>&lt;valeur&gt;&lt;/valeur&gt;</v>
      </c>
    </row>
    <row r="9901" spans="1:1" x14ac:dyDescent="0.2">
      <c r="A9901" s="996" t="str">
        <f>CONCATENATE(Programme!D9902,Programme!E9902,Programme!F9902,Programme!G9902,Programme!H9902,Programme!I9902,Programme!J9902)</f>
        <v>&lt;numeroLigne&gt;35&lt;/numeroLigne&gt;</v>
      </c>
    </row>
    <row r="9902" spans="1:1" x14ac:dyDescent="0.2">
      <c r="A9902" s="996" t="str">
        <f>CONCATENATE(Programme!D9903,Programme!E9903,Programme!F9903,Programme!G9903,Programme!H9903,Programme!I9903,Programme!J9903)</f>
        <v>&lt;/ValeurCellule&gt;</v>
      </c>
    </row>
    <row r="9903" spans="1:1" x14ac:dyDescent="0.2">
      <c r="A9903" s="996" t="str">
        <f>CONCATENATE(Programme!D9904,Programme!E9904,Programme!F9904,Programme!G9904,Programme!H9904,Programme!I9904,Programme!J9904)</f>
        <v>&lt;ValeurCellule&gt;</v>
      </c>
    </row>
    <row r="9904" spans="1:1" x14ac:dyDescent="0.2">
      <c r="A9904" s="996" t="str">
        <f>CONCATENATE(Programme!D9905,Programme!E9905,Programme!F9905,Programme!G9905,Programme!H9905,Programme!I9905,Programme!J9905)</f>
        <v>&lt;cellule&gt;&lt;codeEdi&gt;1080&lt;/codeEdi&gt;&lt;/cellule&gt;</v>
      </c>
    </row>
    <row r="9905" spans="1:1" x14ac:dyDescent="0.2">
      <c r="A9905" s="996" t="str">
        <f>CONCATENATE(Programme!D9906,Programme!E9906,Programme!F9906,Programme!G9906,Programme!H9906,Programme!I9906,Programme!J9906)</f>
        <v>&lt;valeur&gt;&lt;/valeur&gt;</v>
      </c>
    </row>
    <row r="9906" spans="1:1" x14ac:dyDescent="0.2">
      <c r="A9906" s="996" t="str">
        <f>CONCATENATE(Programme!D9907,Programme!E9907,Programme!F9907,Programme!G9907,Programme!H9907,Programme!I9907,Programme!J9907)</f>
        <v>&lt;numeroLigne&gt;35&lt;/numeroLigne&gt;</v>
      </c>
    </row>
    <row r="9907" spans="1:1" x14ac:dyDescent="0.2">
      <c r="A9907" s="996" t="str">
        <f>CONCATENATE(Programme!D9908,Programme!E9908,Programme!F9908,Programme!G9908,Programme!H9908,Programme!I9908,Programme!J9908)</f>
        <v>&lt;/ValeurCellule&gt;</v>
      </c>
    </row>
    <row r="9908" spans="1:1" x14ac:dyDescent="0.2">
      <c r="A9908" s="996" t="str">
        <f>CONCATENATE(Programme!D9909,Programme!E9909,Programme!F9909,Programme!G9909,Programme!H9909,Programme!I9909,Programme!J9909)</f>
        <v>&lt;ValeurCellule&gt;</v>
      </c>
    </row>
    <row r="9909" spans="1:1" x14ac:dyDescent="0.2">
      <c r="A9909" s="996" t="str">
        <f>CONCATENATE(Programme!D9910,Programme!E9910,Programme!F9910,Programme!G9910,Programme!H9910,Programme!I9910,Programme!J9910)</f>
        <v>&lt;cellule&gt;&lt;codeEdi&gt;1081&lt;/codeEdi&gt;&lt;/cellule&gt;</v>
      </c>
    </row>
    <row r="9910" spans="1:1" x14ac:dyDescent="0.2">
      <c r="A9910" s="996" t="str">
        <f>CONCATENATE(Programme!D9911,Programme!E9911,Programme!F9911,Programme!G9911,Programme!H9911,Programme!I9911,Programme!J9911)</f>
        <v>&lt;valeur&gt;&lt;/valeur&gt;</v>
      </c>
    </row>
    <row r="9911" spans="1:1" x14ac:dyDescent="0.2">
      <c r="A9911" s="996" t="str">
        <f>CONCATENATE(Programme!D9912,Programme!E9912,Programme!F9912,Programme!G9912,Programme!H9912,Programme!I9912,Programme!J9912)</f>
        <v>&lt;numeroLigne&gt;35&lt;/numeroLigne&gt;</v>
      </c>
    </row>
    <row r="9912" spans="1:1" x14ac:dyDescent="0.2">
      <c r="A9912" s="996" t="str">
        <f>CONCATENATE(Programme!D9913,Programme!E9913,Programme!F9913,Programme!G9913,Programme!H9913,Programme!I9913,Programme!J9913)</f>
        <v>&lt;/ValeurCellule&gt;</v>
      </c>
    </row>
    <row r="9913" spans="1:1" x14ac:dyDescent="0.2">
      <c r="A9913" s="996" t="str">
        <f>CONCATENATE(Programme!D9914,Programme!E9914,Programme!F9914,Programme!G9914,Programme!H9914,Programme!I9914,Programme!J9914)</f>
        <v>&lt;ValeurCellule&gt;</v>
      </c>
    </row>
    <row r="9914" spans="1:1" x14ac:dyDescent="0.2">
      <c r="A9914" s="996" t="str">
        <f>CONCATENATE(Programme!D9915,Programme!E9915,Programme!F9915,Programme!G9915,Programme!H9915,Programme!I9915,Programme!J9915)</f>
        <v>&lt;cellule&gt;&lt;codeEdi&gt;1082&lt;/codeEdi&gt;&lt;/cellule&gt;</v>
      </c>
    </row>
    <row r="9915" spans="1:1" x14ac:dyDescent="0.2">
      <c r="A9915" s="996" t="str">
        <f>CONCATENATE(Programme!D9916,Programme!E9916,Programme!F9916,Programme!G9916,Programme!H9916,Programme!I9916,Programme!J9916)</f>
        <v>&lt;valeur&gt;&lt;/valeur&gt;</v>
      </c>
    </row>
    <row r="9916" spans="1:1" x14ac:dyDescent="0.2">
      <c r="A9916" s="996" t="str">
        <f>CONCATENATE(Programme!D9917,Programme!E9917,Programme!F9917,Programme!G9917,Programme!H9917,Programme!I9917,Programme!J9917)</f>
        <v>&lt;numeroLigne&gt;35&lt;/numeroLigne&gt;</v>
      </c>
    </row>
    <row r="9917" spans="1:1" x14ac:dyDescent="0.2">
      <c r="A9917" s="996" t="str">
        <f>CONCATENATE(Programme!D9918,Programme!E9918,Programme!F9918,Programme!G9918,Programme!H9918,Programme!I9918,Programme!J9918)</f>
        <v>&lt;/ValeurCellule&gt;</v>
      </c>
    </row>
    <row r="9918" spans="1:1" x14ac:dyDescent="0.2">
      <c r="A9918" s="996" t="str">
        <f>CONCATENATE(Programme!D9919,Programme!E9919,Programme!F9919,Programme!G9919,Programme!H9919,Programme!I9919,Programme!J9919)</f>
        <v>&lt;ValeurCellule&gt;</v>
      </c>
    </row>
    <row r="9919" spans="1:1" x14ac:dyDescent="0.2">
      <c r="A9919" s="996" t="str">
        <f>CONCATENATE(Programme!D9920,Programme!E9920,Programme!F9920,Programme!G9920,Programme!H9920,Programme!I9920,Programme!J9920)</f>
        <v>&lt;cellule&gt;&lt;codeEdi&gt;1083&lt;/codeEdi&gt;&lt;/cellule&gt;</v>
      </c>
    </row>
    <row r="9920" spans="1:1" x14ac:dyDescent="0.2">
      <c r="A9920" s="996" t="str">
        <f>CONCATENATE(Programme!D9921,Programme!E9921,Programme!F9921,Programme!G9921,Programme!H9921,Programme!I9921,Programme!J9921)</f>
        <v>&lt;valeur&gt;&lt;/valeur&gt;</v>
      </c>
    </row>
    <row r="9921" spans="1:1" x14ac:dyDescent="0.2">
      <c r="A9921" s="996" t="str">
        <f>CONCATENATE(Programme!D9922,Programme!E9922,Programme!F9922,Programme!G9922,Programme!H9922,Programme!I9922,Programme!J9922)</f>
        <v>&lt;numeroLigne&gt;35&lt;/numeroLigne&gt;</v>
      </c>
    </row>
    <row r="9922" spans="1:1" x14ac:dyDescent="0.2">
      <c r="A9922" s="996" t="str">
        <f>CONCATENATE(Programme!D9923,Programme!E9923,Programme!F9923,Programme!G9923,Programme!H9923,Programme!I9923,Programme!J9923)</f>
        <v>&lt;/ValeurCellule&gt;</v>
      </c>
    </row>
    <row r="9923" spans="1:1" x14ac:dyDescent="0.2">
      <c r="A9923" s="996" t="str">
        <f>CONCATENATE(Programme!D9924,Programme!E9924,Programme!F9924,Programme!G9924,Programme!H9924,Programme!I9924,Programme!J9924)</f>
        <v>&lt;ValeurCellule&gt;</v>
      </c>
    </row>
    <row r="9924" spans="1:1" x14ac:dyDescent="0.2">
      <c r="A9924" s="996" t="str">
        <f>CONCATENATE(Programme!D9925,Programme!E9925,Programme!F9925,Programme!G9925,Programme!H9925,Programme!I9925,Programme!J9925)</f>
        <v>&lt;cellule&gt;&lt;codeEdi&gt;1084&lt;/codeEdi&gt;&lt;/cellule&gt;</v>
      </c>
    </row>
    <row r="9925" spans="1:1" x14ac:dyDescent="0.2">
      <c r="A9925" s="996" t="str">
        <f>CONCATENATE(Programme!D9926,Programme!E9926,Programme!F9926,Programme!G9926,Programme!H9926,Programme!I9926,Programme!J9926)</f>
        <v>&lt;valeur&gt;&lt;/valeur&gt;</v>
      </c>
    </row>
    <row r="9926" spans="1:1" x14ac:dyDescent="0.2">
      <c r="A9926" s="996" t="str">
        <f>CONCATENATE(Programme!D9927,Programme!E9927,Programme!F9927,Programme!G9927,Programme!H9927,Programme!I9927,Programme!J9927)</f>
        <v>&lt;numeroLigne&gt;35&lt;/numeroLigne&gt;</v>
      </c>
    </row>
    <row r="9927" spans="1:1" x14ac:dyDescent="0.2">
      <c r="A9927" s="996" t="str">
        <f>CONCATENATE(Programme!D9928,Programme!E9928,Programme!F9928,Programme!G9928,Programme!H9928,Programme!I9928,Programme!J9928)</f>
        <v>&lt;/ValeurCellule&gt;</v>
      </c>
    </row>
    <row r="9928" spans="1:1" x14ac:dyDescent="0.2">
      <c r="A9928" s="996" t="str">
        <f>CONCATENATE(Programme!D9929,Programme!E9929,Programme!F9929,Programme!G9929,Programme!H9929,Programme!I9929,Programme!J9929)</f>
        <v>&lt;ValeurCellule&gt;</v>
      </c>
    </row>
    <row r="9929" spans="1:1" x14ac:dyDescent="0.2">
      <c r="A9929" s="996" t="str">
        <f>CONCATENATE(Programme!D9930,Programme!E9930,Programme!F9930,Programme!G9930,Programme!H9930,Programme!I9930,Programme!J9930)</f>
        <v>&lt;cellule&gt;&lt;codeEdi&gt;1085&lt;/codeEdi&gt;&lt;/cellule&gt;</v>
      </c>
    </row>
    <row r="9930" spans="1:1" x14ac:dyDescent="0.2">
      <c r="A9930" s="996" t="str">
        <f>CONCATENATE(Programme!D9931,Programme!E9931,Programme!F9931,Programme!G9931,Programme!H9931,Programme!I9931,Programme!J9931)</f>
        <v>&lt;valeur&gt;&lt;/valeur&gt;</v>
      </c>
    </row>
    <row r="9931" spans="1:1" x14ac:dyDescent="0.2">
      <c r="A9931" s="996" t="str">
        <f>CONCATENATE(Programme!D9932,Programme!E9932,Programme!F9932,Programme!G9932,Programme!H9932,Programme!I9932,Programme!J9932)</f>
        <v>&lt;numeroLigne&gt;35&lt;/numeroLigne&gt;</v>
      </c>
    </row>
    <row r="9932" spans="1:1" x14ac:dyDescent="0.2">
      <c r="A9932" s="996" t="str">
        <f>CONCATENATE(Programme!D9933,Programme!E9933,Programme!F9933,Programme!G9933,Programme!H9933,Programme!I9933,Programme!J9933)</f>
        <v>&lt;/ValeurCellule&gt;</v>
      </c>
    </row>
    <row r="9933" spans="1:1" x14ac:dyDescent="0.2">
      <c r="A9933" s="996" t="str">
        <f>CONCATENATE(Programme!D9934,Programme!E9934,Programme!F9934,Programme!G9934,Programme!H9934,Programme!I9934,Programme!J9934)</f>
        <v>&lt;ValeurCellule&gt;</v>
      </c>
    </row>
    <row r="9934" spans="1:1" x14ac:dyDescent="0.2">
      <c r="A9934" s="996" t="str">
        <f>CONCATENATE(Programme!D9935,Programme!E9935,Programme!F9935,Programme!G9935,Programme!H9935,Programme!I9935,Programme!J9935)</f>
        <v>&lt;cellule&gt;&lt;codeEdi&gt;1086&lt;/codeEdi&gt;&lt;/cellule&gt;</v>
      </c>
    </row>
    <row r="9935" spans="1:1" x14ac:dyDescent="0.2">
      <c r="A9935" s="996" t="str">
        <f>CONCATENATE(Programme!D9936,Programme!E9936,Programme!F9936,Programme!G9936,Programme!H9936,Programme!I9936,Programme!J9936)</f>
        <v>&lt;valeur&gt;&lt;/valeur&gt;</v>
      </c>
    </row>
    <row r="9936" spans="1:1" x14ac:dyDescent="0.2">
      <c r="A9936" s="996" t="str">
        <f>CONCATENATE(Programme!D9937,Programme!E9937,Programme!F9937,Programme!G9937,Programme!H9937,Programme!I9937,Programme!J9937)</f>
        <v>&lt;numeroLigne&gt;35&lt;/numeroLigne&gt;</v>
      </c>
    </row>
    <row r="9937" spans="1:1" x14ac:dyDescent="0.2">
      <c r="A9937" s="996" t="str">
        <f>CONCATENATE(Programme!D9938,Programme!E9938,Programme!F9938,Programme!G9938,Programme!H9938,Programme!I9938,Programme!J9938)</f>
        <v>&lt;/ValeurCellule&gt;</v>
      </c>
    </row>
    <row r="9938" spans="1:1" x14ac:dyDescent="0.2">
      <c r="A9938" s="996" t="str">
        <f>CONCATENATE(Programme!D9939,Programme!E9939,Programme!F9939,Programme!G9939,Programme!H9939,Programme!I9939,Programme!J9939)</f>
        <v>&lt;ValeurCellule&gt;</v>
      </c>
    </row>
    <row r="9939" spans="1:1" x14ac:dyDescent="0.2">
      <c r="A9939" s="996" t="str">
        <f>CONCATENATE(Programme!D9940,Programme!E9940,Programme!F9940,Programme!G9940,Programme!H9940,Programme!I9940,Programme!J9940)</f>
        <v>&lt;cellule&gt;&lt;codeEdi&gt;10061&lt;/codeEdi&gt;&lt;/cellule&gt;</v>
      </c>
    </row>
    <row r="9940" spans="1:1" x14ac:dyDescent="0.2">
      <c r="A9940" s="996" t="str">
        <f>CONCATENATE(Programme!D9941,Programme!E9941,Programme!F9941,Programme!G9941,Programme!H9941,Programme!I9941,Programme!J9941)</f>
        <v>&lt;valeur&gt;&lt;/valeur&gt;</v>
      </c>
    </row>
    <row r="9941" spans="1:1" x14ac:dyDescent="0.2">
      <c r="A9941" s="996" t="str">
        <f>CONCATENATE(Programme!D9942,Programme!E9942,Programme!F9942,Programme!G9942,Programme!H9942,Programme!I9942,Programme!J9942)</f>
        <v>&lt;numeroLigne&gt;36&lt;/numeroLigne&gt;</v>
      </c>
    </row>
    <row r="9942" spans="1:1" x14ac:dyDescent="0.2">
      <c r="A9942" s="996" t="str">
        <f>CONCATENATE(Programme!D9943,Programme!E9943,Programme!F9943,Programme!G9943,Programme!H9943,Programme!I9943,Programme!J9943)</f>
        <v>&lt;/ValeurCellule&gt;</v>
      </c>
    </row>
    <row r="9943" spans="1:1" x14ac:dyDescent="0.2">
      <c r="A9943" s="996" t="str">
        <f>CONCATENATE(Programme!D9944,Programme!E9944,Programme!F9944,Programme!G9944,Programme!H9944,Programme!I9944,Programme!J9944)</f>
        <v>&lt;ValeurCellule&gt;</v>
      </c>
    </row>
    <row r="9944" spans="1:1" x14ac:dyDescent="0.2">
      <c r="A9944" s="996" t="str">
        <f>CONCATENATE(Programme!D9945,Programme!E9945,Programme!F9945,Programme!G9945,Programme!H9945,Programme!I9945,Programme!J9945)</f>
        <v>&lt;cellule&gt;&lt;codeEdi&gt;1078&lt;/codeEdi&gt;&lt;/cellule&gt;</v>
      </c>
    </row>
    <row r="9945" spans="1:1" x14ac:dyDescent="0.2">
      <c r="A9945" s="996" t="str">
        <f>CONCATENATE(Programme!D9946,Programme!E9946,Programme!F9946,Programme!G9946,Programme!H9946,Programme!I9946,Programme!J9946)</f>
        <v>&lt;valeur&gt;&lt;/valeur&gt;</v>
      </c>
    </row>
    <row r="9946" spans="1:1" x14ac:dyDescent="0.2">
      <c r="A9946" s="996" t="str">
        <f>CONCATENATE(Programme!D9947,Programme!E9947,Programme!F9947,Programme!G9947,Programme!H9947,Programme!I9947,Programme!J9947)</f>
        <v>&lt;numeroLigne&gt;36&lt;/numeroLigne&gt;</v>
      </c>
    </row>
    <row r="9947" spans="1:1" x14ac:dyDescent="0.2">
      <c r="A9947" s="996" t="str">
        <f>CONCATENATE(Programme!D9948,Programme!E9948,Programme!F9948,Programme!G9948,Programme!H9948,Programme!I9948,Programme!J9948)</f>
        <v>&lt;/ValeurCellule&gt;</v>
      </c>
    </row>
    <row r="9948" spans="1:1" x14ac:dyDescent="0.2">
      <c r="A9948" s="996" t="str">
        <f>CONCATENATE(Programme!D9949,Programme!E9949,Programme!F9949,Programme!G9949,Programme!H9949,Programme!I9949,Programme!J9949)</f>
        <v>&lt;ValeurCellule&gt;</v>
      </c>
    </row>
    <row r="9949" spans="1:1" x14ac:dyDescent="0.2">
      <c r="A9949" s="996" t="str">
        <f>CONCATENATE(Programme!D9950,Programme!E9950,Programme!F9950,Programme!G9950,Programme!H9950,Programme!I9950,Programme!J9950)</f>
        <v>&lt;cellule&gt;&lt;codeEdi&gt;1079&lt;/codeEdi&gt;&lt;/cellule&gt;</v>
      </c>
    </row>
    <row r="9950" spans="1:1" x14ac:dyDescent="0.2">
      <c r="A9950" s="996" t="str">
        <f>CONCATENATE(Programme!D9951,Programme!E9951,Programme!F9951,Programme!G9951,Programme!H9951,Programme!I9951,Programme!J9951)</f>
        <v>&lt;valeur&gt;&lt;/valeur&gt;</v>
      </c>
    </row>
    <row r="9951" spans="1:1" x14ac:dyDescent="0.2">
      <c r="A9951" s="996" t="str">
        <f>CONCATENATE(Programme!D9952,Programme!E9952,Programme!F9952,Programme!G9952,Programme!H9952,Programme!I9952,Programme!J9952)</f>
        <v>&lt;numeroLigne&gt;36&lt;/numeroLigne&gt;</v>
      </c>
    </row>
    <row r="9952" spans="1:1" x14ac:dyDescent="0.2">
      <c r="A9952" s="996" t="str">
        <f>CONCATENATE(Programme!D9953,Programme!E9953,Programme!F9953,Programme!G9953,Programme!H9953,Programme!I9953,Programme!J9953)</f>
        <v>&lt;/ValeurCellule&gt;</v>
      </c>
    </row>
    <row r="9953" spans="1:1" x14ac:dyDescent="0.2">
      <c r="A9953" s="996" t="str">
        <f>CONCATENATE(Programme!D9954,Programme!E9954,Programme!F9954,Programme!G9954,Programme!H9954,Programme!I9954,Programme!J9954)</f>
        <v>&lt;ValeurCellule&gt;</v>
      </c>
    </row>
    <row r="9954" spans="1:1" x14ac:dyDescent="0.2">
      <c r="A9954" s="996" t="str">
        <f>CONCATENATE(Programme!D9955,Programme!E9955,Programme!F9955,Programme!G9955,Programme!H9955,Programme!I9955,Programme!J9955)</f>
        <v>&lt;cellule&gt;&lt;codeEdi&gt;1080&lt;/codeEdi&gt;&lt;/cellule&gt;</v>
      </c>
    </row>
    <row r="9955" spans="1:1" x14ac:dyDescent="0.2">
      <c r="A9955" s="996" t="str">
        <f>CONCATENATE(Programme!D9956,Programme!E9956,Programme!F9956,Programme!G9956,Programme!H9956,Programme!I9956,Programme!J9956)</f>
        <v>&lt;valeur&gt;&lt;/valeur&gt;</v>
      </c>
    </row>
    <row r="9956" spans="1:1" x14ac:dyDescent="0.2">
      <c r="A9956" s="996" t="str">
        <f>CONCATENATE(Programme!D9957,Programme!E9957,Programme!F9957,Programme!G9957,Programme!H9957,Programme!I9957,Programme!J9957)</f>
        <v>&lt;numeroLigne&gt;36&lt;/numeroLigne&gt;</v>
      </c>
    </row>
    <row r="9957" spans="1:1" x14ac:dyDescent="0.2">
      <c r="A9957" s="996" t="str">
        <f>CONCATENATE(Programme!D9958,Programme!E9958,Programme!F9958,Programme!G9958,Programme!H9958,Programme!I9958,Programme!J9958)</f>
        <v>&lt;/ValeurCellule&gt;</v>
      </c>
    </row>
    <row r="9958" spans="1:1" x14ac:dyDescent="0.2">
      <c r="A9958" s="996" t="str">
        <f>CONCATENATE(Programme!D9959,Programme!E9959,Programme!F9959,Programme!G9959,Programme!H9959,Programme!I9959,Programme!J9959)</f>
        <v>&lt;ValeurCellule&gt;</v>
      </c>
    </row>
    <row r="9959" spans="1:1" x14ac:dyDescent="0.2">
      <c r="A9959" s="996" t="str">
        <f>CONCATENATE(Programme!D9960,Programme!E9960,Programme!F9960,Programme!G9960,Programme!H9960,Programme!I9960,Programme!J9960)</f>
        <v>&lt;cellule&gt;&lt;codeEdi&gt;1081&lt;/codeEdi&gt;&lt;/cellule&gt;</v>
      </c>
    </row>
    <row r="9960" spans="1:1" x14ac:dyDescent="0.2">
      <c r="A9960" s="996" t="str">
        <f>CONCATENATE(Programme!D9961,Programme!E9961,Programme!F9961,Programme!G9961,Programme!H9961,Programme!I9961,Programme!J9961)</f>
        <v>&lt;valeur&gt;&lt;/valeur&gt;</v>
      </c>
    </row>
    <row r="9961" spans="1:1" x14ac:dyDescent="0.2">
      <c r="A9961" s="996" t="str">
        <f>CONCATENATE(Programme!D9962,Programme!E9962,Programme!F9962,Programme!G9962,Programme!H9962,Programme!I9962,Programme!J9962)</f>
        <v>&lt;numeroLigne&gt;36&lt;/numeroLigne&gt;</v>
      </c>
    </row>
    <row r="9962" spans="1:1" x14ac:dyDescent="0.2">
      <c r="A9962" s="996" t="str">
        <f>CONCATENATE(Programme!D9963,Programme!E9963,Programme!F9963,Programme!G9963,Programme!H9963,Programme!I9963,Programme!J9963)</f>
        <v>&lt;/ValeurCellule&gt;</v>
      </c>
    </row>
    <row r="9963" spans="1:1" x14ac:dyDescent="0.2">
      <c r="A9963" s="996" t="str">
        <f>CONCATENATE(Programme!D9964,Programme!E9964,Programme!F9964,Programme!G9964,Programme!H9964,Programme!I9964,Programme!J9964)</f>
        <v>&lt;ValeurCellule&gt;</v>
      </c>
    </row>
    <row r="9964" spans="1:1" x14ac:dyDescent="0.2">
      <c r="A9964" s="996" t="str">
        <f>CONCATENATE(Programme!D9965,Programme!E9965,Programme!F9965,Programme!G9965,Programme!H9965,Programme!I9965,Programme!J9965)</f>
        <v>&lt;cellule&gt;&lt;codeEdi&gt;1082&lt;/codeEdi&gt;&lt;/cellule&gt;</v>
      </c>
    </row>
    <row r="9965" spans="1:1" x14ac:dyDescent="0.2">
      <c r="A9965" s="996" t="str">
        <f>CONCATENATE(Programme!D9966,Programme!E9966,Programme!F9966,Programme!G9966,Programme!H9966,Programme!I9966,Programme!J9966)</f>
        <v>&lt;valeur&gt;&lt;/valeur&gt;</v>
      </c>
    </row>
    <row r="9966" spans="1:1" x14ac:dyDescent="0.2">
      <c r="A9966" s="996" t="str">
        <f>CONCATENATE(Programme!D9967,Programme!E9967,Programme!F9967,Programme!G9967,Programme!H9967,Programme!I9967,Programme!J9967)</f>
        <v>&lt;numeroLigne&gt;36&lt;/numeroLigne&gt;</v>
      </c>
    </row>
    <row r="9967" spans="1:1" x14ac:dyDescent="0.2">
      <c r="A9967" s="996" t="str">
        <f>CONCATENATE(Programme!D9968,Programme!E9968,Programme!F9968,Programme!G9968,Programme!H9968,Programme!I9968,Programme!J9968)</f>
        <v>&lt;/ValeurCellule&gt;</v>
      </c>
    </row>
    <row r="9968" spans="1:1" x14ac:dyDescent="0.2">
      <c r="A9968" s="996" t="str">
        <f>CONCATENATE(Programme!D9969,Programme!E9969,Programme!F9969,Programme!G9969,Programme!H9969,Programme!I9969,Programme!J9969)</f>
        <v>&lt;ValeurCellule&gt;</v>
      </c>
    </row>
    <row r="9969" spans="1:1" x14ac:dyDescent="0.2">
      <c r="A9969" s="996" t="str">
        <f>CONCATENATE(Programme!D9970,Programme!E9970,Programme!F9970,Programme!G9970,Programme!H9970,Programme!I9970,Programme!J9970)</f>
        <v>&lt;cellule&gt;&lt;codeEdi&gt;1083&lt;/codeEdi&gt;&lt;/cellule&gt;</v>
      </c>
    </row>
    <row r="9970" spans="1:1" x14ac:dyDescent="0.2">
      <c r="A9970" s="996" t="str">
        <f>CONCATENATE(Programme!D9971,Programme!E9971,Programme!F9971,Programme!G9971,Programme!H9971,Programme!I9971,Programme!J9971)</f>
        <v>&lt;valeur&gt;&lt;/valeur&gt;</v>
      </c>
    </row>
    <row r="9971" spans="1:1" x14ac:dyDescent="0.2">
      <c r="A9971" s="996" t="str">
        <f>CONCATENATE(Programme!D9972,Programme!E9972,Programme!F9972,Programme!G9972,Programme!H9972,Programme!I9972,Programme!J9972)</f>
        <v>&lt;numeroLigne&gt;36&lt;/numeroLigne&gt;</v>
      </c>
    </row>
    <row r="9972" spans="1:1" x14ac:dyDescent="0.2">
      <c r="A9972" s="996" t="str">
        <f>CONCATENATE(Programme!D9973,Programme!E9973,Programme!F9973,Programme!G9973,Programme!H9973,Programme!I9973,Programme!J9973)</f>
        <v>&lt;/ValeurCellule&gt;</v>
      </c>
    </row>
    <row r="9973" spans="1:1" x14ac:dyDescent="0.2">
      <c r="A9973" s="996" t="str">
        <f>CONCATENATE(Programme!D9974,Programme!E9974,Programme!F9974,Programme!G9974,Programme!H9974,Programme!I9974,Programme!J9974)</f>
        <v>&lt;ValeurCellule&gt;</v>
      </c>
    </row>
    <row r="9974" spans="1:1" x14ac:dyDescent="0.2">
      <c r="A9974" s="996" t="str">
        <f>CONCATENATE(Programme!D9975,Programme!E9975,Programme!F9975,Programme!G9975,Programme!H9975,Programme!I9975,Programme!J9975)</f>
        <v>&lt;cellule&gt;&lt;codeEdi&gt;1084&lt;/codeEdi&gt;&lt;/cellule&gt;</v>
      </c>
    </row>
    <row r="9975" spans="1:1" x14ac:dyDescent="0.2">
      <c r="A9975" s="996" t="str">
        <f>CONCATENATE(Programme!D9976,Programme!E9976,Programme!F9976,Programme!G9976,Programme!H9976,Programme!I9976,Programme!J9976)</f>
        <v>&lt;valeur&gt;&lt;/valeur&gt;</v>
      </c>
    </row>
    <row r="9976" spans="1:1" x14ac:dyDescent="0.2">
      <c r="A9976" s="996" t="str">
        <f>CONCATENATE(Programme!D9977,Programme!E9977,Programme!F9977,Programme!G9977,Programme!H9977,Programme!I9977,Programme!J9977)</f>
        <v>&lt;numeroLigne&gt;36&lt;/numeroLigne&gt;</v>
      </c>
    </row>
    <row r="9977" spans="1:1" x14ac:dyDescent="0.2">
      <c r="A9977" s="996" t="str">
        <f>CONCATENATE(Programme!D9978,Programme!E9978,Programme!F9978,Programme!G9978,Programme!H9978,Programme!I9978,Programme!J9978)</f>
        <v>&lt;/ValeurCellule&gt;</v>
      </c>
    </row>
    <row r="9978" spans="1:1" x14ac:dyDescent="0.2">
      <c r="A9978" s="996" t="str">
        <f>CONCATENATE(Programme!D9979,Programme!E9979,Programme!F9979,Programme!G9979,Programme!H9979,Programme!I9979,Programme!J9979)</f>
        <v>&lt;ValeurCellule&gt;</v>
      </c>
    </row>
    <row r="9979" spans="1:1" x14ac:dyDescent="0.2">
      <c r="A9979" s="996" t="str">
        <f>CONCATENATE(Programme!D9980,Programme!E9980,Programme!F9980,Programme!G9980,Programme!H9980,Programme!I9980,Programme!J9980)</f>
        <v>&lt;cellule&gt;&lt;codeEdi&gt;1085&lt;/codeEdi&gt;&lt;/cellule&gt;</v>
      </c>
    </row>
    <row r="9980" spans="1:1" x14ac:dyDescent="0.2">
      <c r="A9980" s="996" t="str">
        <f>CONCATENATE(Programme!D9981,Programme!E9981,Programme!F9981,Programme!G9981,Programme!H9981,Programme!I9981,Programme!J9981)</f>
        <v>&lt;valeur&gt;&lt;/valeur&gt;</v>
      </c>
    </row>
    <row r="9981" spans="1:1" x14ac:dyDescent="0.2">
      <c r="A9981" s="996" t="str">
        <f>CONCATENATE(Programme!D9982,Programme!E9982,Programme!F9982,Programme!G9982,Programme!H9982,Programme!I9982,Programme!J9982)</f>
        <v>&lt;numeroLigne&gt;36&lt;/numeroLigne&gt;</v>
      </c>
    </row>
    <row r="9982" spans="1:1" x14ac:dyDescent="0.2">
      <c r="A9982" s="996" t="str">
        <f>CONCATENATE(Programme!D9983,Programme!E9983,Programme!F9983,Programme!G9983,Programme!H9983,Programme!I9983,Programme!J9983)</f>
        <v>&lt;/ValeurCellule&gt;</v>
      </c>
    </row>
    <row r="9983" spans="1:1" x14ac:dyDescent="0.2">
      <c r="A9983" s="996" t="str">
        <f>CONCATENATE(Programme!D9984,Programme!E9984,Programme!F9984,Programme!G9984,Programme!H9984,Programme!I9984,Programme!J9984)</f>
        <v>&lt;ValeurCellule&gt;</v>
      </c>
    </row>
    <row r="9984" spans="1:1" x14ac:dyDescent="0.2">
      <c r="A9984" s="996" t="str">
        <f>CONCATENATE(Programme!D9985,Programme!E9985,Programme!F9985,Programme!G9985,Programme!H9985,Programme!I9985,Programme!J9985)</f>
        <v>&lt;cellule&gt;&lt;codeEdi&gt;1086&lt;/codeEdi&gt;&lt;/cellule&gt;</v>
      </c>
    </row>
    <row r="9985" spans="1:1" x14ac:dyDescent="0.2">
      <c r="A9985" s="996" t="str">
        <f>CONCATENATE(Programme!D9986,Programme!E9986,Programme!F9986,Programme!G9986,Programme!H9986,Programme!I9986,Programme!J9986)</f>
        <v>&lt;valeur&gt;&lt;/valeur&gt;</v>
      </c>
    </row>
    <row r="9986" spans="1:1" x14ac:dyDescent="0.2">
      <c r="A9986" s="996" t="str">
        <f>CONCATENATE(Programme!D9987,Programme!E9987,Programme!F9987,Programme!G9987,Programme!H9987,Programme!I9987,Programme!J9987)</f>
        <v>&lt;numeroLigne&gt;36&lt;/numeroLigne&gt;</v>
      </c>
    </row>
    <row r="9987" spans="1:1" x14ac:dyDescent="0.2">
      <c r="A9987" s="996" t="str">
        <f>CONCATENATE(Programme!D9988,Programme!E9988,Programme!F9988,Programme!G9988,Programme!H9988,Programme!I9988,Programme!J9988)</f>
        <v>&lt;/ValeurCellule&gt;</v>
      </c>
    </row>
    <row r="9988" spans="1:1" x14ac:dyDescent="0.2">
      <c r="A9988" s="996" t="str">
        <f>CONCATENATE(Programme!D9989,Programme!E9989,Programme!F9989,Programme!G9989,Programme!H9989,Programme!I9989,Programme!J9989)</f>
        <v>&lt;ValeurCellule&gt;</v>
      </c>
    </row>
    <row r="9989" spans="1:1" x14ac:dyDescent="0.2">
      <c r="A9989" s="996" t="str">
        <f>CONCATENATE(Programme!D9990,Programme!E9990,Programme!F9990,Programme!G9990,Programme!H9990,Programme!I9990,Programme!J9990)</f>
        <v>&lt;cellule&gt;&lt;codeEdi&gt;10061&lt;/codeEdi&gt;&lt;/cellule&gt;</v>
      </c>
    </row>
    <row r="9990" spans="1:1" x14ac:dyDescent="0.2">
      <c r="A9990" s="996" t="str">
        <f>CONCATENATE(Programme!D9991,Programme!E9991,Programme!F9991,Programme!G9991,Programme!H9991,Programme!I9991,Programme!J9991)</f>
        <v>&lt;valeur&gt;&lt;/valeur&gt;</v>
      </c>
    </row>
    <row r="9991" spans="1:1" x14ac:dyDescent="0.2">
      <c r="A9991" s="996" t="str">
        <f>CONCATENATE(Programme!D9992,Programme!E9992,Programme!F9992,Programme!G9992,Programme!H9992,Programme!I9992,Programme!J9992)</f>
        <v>&lt;numeroLigne&gt;37&lt;/numeroLigne&gt;</v>
      </c>
    </row>
    <row r="9992" spans="1:1" x14ac:dyDescent="0.2">
      <c r="A9992" s="996" t="str">
        <f>CONCATENATE(Programme!D9993,Programme!E9993,Programme!F9993,Programme!G9993,Programme!H9993,Programme!I9993,Programme!J9993)</f>
        <v>&lt;/ValeurCellule&gt;</v>
      </c>
    </row>
    <row r="9993" spans="1:1" x14ac:dyDescent="0.2">
      <c r="A9993" s="996" t="str">
        <f>CONCATENATE(Programme!D9994,Programme!E9994,Programme!F9994,Programme!G9994,Programme!H9994,Programme!I9994,Programme!J9994)</f>
        <v>&lt;ValeurCellule&gt;</v>
      </c>
    </row>
    <row r="9994" spans="1:1" x14ac:dyDescent="0.2">
      <c r="A9994" s="996" t="str">
        <f>CONCATENATE(Programme!D9995,Programme!E9995,Programme!F9995,Programme!G9995,Programme!H9995,Programme!I9995,Programme!J9995)</f>
        <v>&lt;cellule&gt;&lt;codeEdi&gt;1078&lt;/codeEdi&gt;&lt;/cellule&gt;</v>
      </c>
    </row>
    <row r="9995" spans="1:1" x14ac:dyDescent="0.2">
      <c r="A9995" s="996" t="str">
        <f>CONCATENATE(Programme!D9996,Programme!E9996,Programme!F9996,Programme!G9996,Programme!H9996,Programme!I9996,Programme!J9996)</f>
        <v>&lt;valeur&gt;&lt;/valeur&gt;</v>
      </c>
    </row>
    <row r="9996" spans="1:1" x14ac:dyDescent="0.2">
      <c r="A9996" s="996" t="str">
        <f>CONCATENATE(Programme!D9997,Programme!E9997,Programme!F9997,Programme!G9997,Programme!H9997,Programme!I9997,Programme!J9997)</f>
        <v>&lt;numeroLigne&gt;37&lt;/numeroLigne&gt;</v>
      </c>
    </row>
    <row r="9997" spans="1:1" x14ac:dyDescent="0.2">
      <c r="A9997" s="996" t="str">
        <f>CONCATENATE(Programme!D9998,Programme!E9998,Programme!F9998,Programme!G9998,Programme!H9998,Programme!I9998,Programme!J9998)</f>
        <v>&lt;/ValeurCellule&gt;</v>
      </c>
    </row>
    <row r="9998" spans="1:1" x14ac:dyDescent="0.2">
      <c r="A9998" s="996" t="str">
        <f>CONCATENATE(Programme!D9999,Programme!E9999,Programme!F9999,Programme!G9999,Programme!H9999,Programme!I9999,Programme!J9999)</f>
        <v>&lt;ValeurCellule&gt;</v>
      </c>
    </row>
    <row r="9999" spans="1:1" x14ac:dyDescent="0.2">
      <c r="A9999" s="996" t="str">
        <f>CONCATENATE(Programme!D10000,Programme!E10000,Programme!F10000,Programme!G10000,Programme!H10000,Programme!I10000,Programme!J10000)</f>
        <v>&lt;cellule&gt;&lt;codeEdi&gt;1079&lt;/codeEdi&gt;&lt;/cellule&gt;</v>
      </c>
    </row>
    <row r="10000" spans="1:1" x14ac:dyDescent="0.2">
      <c r="A10000" s="996" t="str">
        <f>CONCATENATE(Programme!D10001,Programme!E10001,Programme!F10001,Programme!G10001,Programme!H10001,Programme!I10001,Programme!J10001)</f>
        <v>&lt;valeur&gt;&lt;/valeur&gt;</v>
      </c>
    </row>
    <row r="10001" spans="1:1" x14ac:dyDescent="0.2">
      <c r="A10001" s="996" t="str">
        <f>CONCATENATE(Programme!D10002,Programme!E10002,Programme!F10002,Programme!G10002,Programme!H10002,Programme!I10002,Programme!J10002)</f>
        <v>&lt;numeroLigne&gt;37&lt;/numeroLigne&gt;</v>
      </c>
    </row>
    <row r="10002" spans="1:1" x14ac:dyDescent="0.2">
      <c r="A10002" s="996" t="str">
        <f>CONCATENATE(Programme!D10003,Programme!E10003,Programme!F10003,Programme!G10003,Programme!H10003,Programme!I10003,Programme!J10003)</f>
        <v>&lt;/ValeurCellule&gt;</v>
      </c>
    </row>
    <row r="10003" spans="1:1" x14ac:dyDescent="0.2">
      <c r="A10003" s="996" t="str">
        <f>CONCATENATE(Programme!D10004,Programme!E10004,Programme!F10004,Programme!G10004,Programme!H10004,Programme!I10004,Programme!J10004)</f>
        <v>&lt;ValeurCellule&gt;</v>
      </c>
    </row>
    <row r="10004" spans="1:1" x14ac:dyDescent="0.2">
      <c r="A10004" s="996" t="str">
        <f>CONCATENATE(Programme!D10005,Programme!E10005,Programme!F10005,Programme!G10005,Programme!H10005,Programme!I10005,Programme!J10005)</f>
        <v>&lt;cellule&gt;&lt;codeEdi&gt;1080&lt;/codeEdi&gt;&lt;/cellule&gt;</v>
      </c>
    </row>
    <row r="10005" spans="1:1" x14ac:dyDescent="0.2">
      <c r="A10005" s="996" t="str">
        <f>CONCATENATE(Programme!D10006,Programme!E10006,Programme!F10006,Programme!G10006,Programme!H10006,Programme!I10006,Programme!J10006)</f>
        <v>&lt;valeur&gt;&lt;/valeur&gt;</v>
      </c>
    </row>
    <row r="10006" spans="1:1" x14ac:dyDescent="0.2">
      <c r="A10006" s="996" t="str">
        <f>CONCATENATE(Programme!D10007,Programme!E10007,Programme!F10007,Programme!G10007,Programme!H10007,Programme!I10007,Programme!J10007)</f>
        <v>&lt;numeroLigne&gt;37&lt;/numeroLigne&gt;</v>
      </c>
    </row>
    <row r="10007" spans="1:1" x14ac:dyDescent="0.2">
      <c r="A10007" s="996" t="str">
        <f>CONCATENATE(Programme!D10008,Programme!E10008,Programme!F10008,Programme!G10008,Programme!H10008,Programme!I10008,Programme!J10008)</f>
        <v>&lt;/ValeurCellule&gt;</v>
      </c>
    </row>
    <row r="10008" spans="1:1" x14ac:dyDescent="0.2">
      <c r="A10008" s="996" t="str">
        <f>CONCATENATE(Programme!D10009,Programme!E10009,Programme!F10009,Programme!G10009,Programme!H10009,Programme!I10009,Programme!J10009)</f>
        <v>&lt;ValeurCellule&gt;</v>
      </c>
    </row>
    <row r="10009" spans="1:1" x14ac:dyDescent="0.2">
      <c r="A10009" s="996" t="str">
        <f>CONCATENATE(Programme!D10010,Programme!E10010,Programme!F10010,Programme!G10010,Programme!H10010,Programme!I10010,Programme!J10010)</f>
        <v>&lt;cellule&gt;&lt;codeEdi&gt;1081&lt;/codeEdi&gt;&lt;/cellule&gt;</v>
      </c>
    </row>
    <row r="10010" spans="1:1" x14ac:dyDescent="0.2">
      <c r="A10010" s="996" t="str">
        <f>CONCATENATE(Programme!D10011,Programme!E10011,Programme!F10011,Programme!G10011,Programme!H10011,Programme!I10011,Programme!J10011)</f>
        <v>&lt;valeur&gt;&lt;/valeur&gt;</v>
      </c>
    </row>
    <row r="10011" spans="1:1" x14ac:dyDescent="0.2">
      <c r="A10011" s="996" t="str">
        <f>CONCATENATE(Programme!D10012,Programme!E10012,Programme!F10012,Programme!G10012,Programme!H10012,Programme!I10012,Programme!J10012)</f>
        <v>&lt;numeroLigne&gt;37&lt;/numeroLigne&gt;</v>
      </c>
    </row>
    <row r="10012" spans="1:1" x14ac:dyDescent="0.2">
      <c r="A10012" s="996" t="str">
        <f>CONCATENATE(Programme!D10013,Programme!E10013,Programme!F10013,Programme!G10013,Programme!H10013,Programme!I10013,Programme!J10013)</f>
        <v>&lt;/ValeurCellule&gt;</v>
      </c>
    </row>
    <row r="10013" spans="1:1" x14ac:dyDescent="0.2">
      <c r="A10013" s="996" t="str">
        <f>CONCATENATE(Programme!D10014,Programme!E10014,Programme!F10014,Programme!G10014,Programme!H10014,Programme!I10014,Programme!J10014)</f>
        <v>&lt;ValeurCellule&gt;</v>
      </c>
    </row>
    <row r="10014" spans="1:1" x14ac:dyDescent="0.2">
      <c r="A10014" s="996" t="str">
        <f>CONCATENATE(Programme!D10015,Programme!E10015,Programme!F10015,Programme!G10015,Programme!H10015,Programme!I10015,Programme!J10015)</f>
        <v>&lt;cellule&gt;&lt;codeEdi&gt;1082&lt;/codeEdi&gt;&lt;/cellule&gt;</v>
      </c>
    </row>
    <row r="10015" spans="1:1" x14ac:dyDescent="0.2">
      <c r="A10015" s="996" t="str">
        <f>CONCATENATE(Programme!D10016,Programme!E10016,Programme!F10016,Programme!G10016,Programme!H10016,Programme!I10016,Programme!J10016)</f>
        <v>&lt;valeur&gt;&lt;/valeur&gt;</v>
      </c>
    </row>
    <row r="10016" spans="1:1" x14ac:dyDescent="0.2">
      <c r="A10016" s="996" t="str">
        <f>CONCATENATE(Programme!D10017,Programme!E10017,Programme!F10017,Programme!G10017,Programme!H10017,Programme!I10017,Programme!J10017)</f>
        <v>&lt;numeroLigne&gt;37&lt;/numeroLigne&gt;</v>
      </c>
    </row>
    <row r="10017" spans="1:1" x14ac:dyDescent="0.2">
      <c r="A10017" s="996" t="str">
        <f>CONCATENATE(Programme!D10018,Programme!E10018,Programme!F10018,Programme!G10018,Programme!H10018,Programme!I10018,Programme!J10018)</f>
        <v>&lt;/ValeurCellule&gt;</v>
      </c>
    </row>
    <row r="10018" spans="1:1" x14ac:dyDescent="0.2">
      <c r="A10018" s="996" t="str">
        <f>CONCATENATE(Programme!D10019,Programme!E10019,Programme!F10019,Programme!G10019,Programme!H10019,Programme!I10019,Programme!J10019)</f>
        <v>&lt;ValeurCellule&gt;</v>
      </c>
    </row>
    <row r="10019" spans="1:1" x14ac:dyDescent="0.2">
      <c r="A10019" s="996" t="str">
        <f>CONCATENATE(Programme!D10020,Programme!E10020,Programme!F10020,Programme!G10020,Programme!H10020,Programme!I10020,Programme!J10020)</f>
        <v>&lt;cellule&gt;&lt;codeEdi&gt;1083&lt;/codeEdi&gt;&lt;/cellule&gt;</v>
      </c>
    </row>
    <row r="10020" spans="1:1" x14ac:dyDescent="0.2">
      <c r="A10020" s="996" t="str">
        <f>CONCATENATE(Programme!D10021,Programme!E10021,Programme!F10021,Programme!G10021,Programme!H10021,Programme!I10021,Programme!J10021)</f>
        <v>&lt;valeur&gt;&lt;/valeur&gt;</v>
      </c>
    </row>
    <row r="10021" spans="1:1" x14ac:dyDescent="0.2">
      <c r="A10021" s="996" t="str">
        <f>CONCATENATE(Programme!D10022,Programme!E10022,Programme!F10022,Programme!G10022,Programme!H10022,Programme!I10022,Programme!J10022)</f>
        <v>&lt;numeroLigne&gt;37&lt;/numeroLigne&gt;</v>
      </c>
    </row>
    <row r="10022" spans="1:1" x14ac:dyDescent="0.2">
      <c r="A10022" s="996" t="str">
        <f>CONCATENATE(Programme!D10023,Programme!E10023,Programme!F10023,Programme!G10023,Programme!H10023,Programme!I10023,Programme!J10023)</f>
        <v>&lt;/ValeurCellule&gt;</v>
      </c>
    </row>
    <row r="10023" spans="1:1" x14ac:dyDescent="0.2">
      <c r="A10023" s="996" t="str">
        <f>CONCATENATE(Programme!D10024,Programme!E10024,Programme!F10024,Programme!G10024,Programme!H10024,Programme!I10024,Programme!J10024)</f>
        <v>&lt;ValeurCellule&gt;</v>
      </c>
    </row>
    <row r="10024" spans="1:1" x14ac:dyDescent="0.2">
      <c r="A10024" s="996" t="str">
        <f>CONCATENATE(Programme!D10025,Programme!E10025,Programme!F10025,Programme!G10025,Programme!H10025,Programme!I10025,Programme!J10025)</f>
        <v>&lt;cellule&gt;&lt;codeEdi&gt;1084&lt;/codeEdi&gt;&lt;/cellule&gt;</v>
      </c>
    </row>
    <row r="10025" spans="1:1" x14ac:dyDescent="0.2">
      <c r="A10025" s="996" t="str">
        <f>CONCATENATE(Programme!D10026,Programme!E10026,Programme!F10026,Programme!G10026,Programme!H10026,Programme!I10026,Programme!J10026)</f>
        <v>&lt;valeur&gt;&lt;/valeur&gt;</v>
      </c>
    </row>
    <row r="10026" spans="1:1" x14ac:dyDescent="0.2">
      <c r="A10026" s="996" t="str">
        <f>CONCATENATE(Programme!D10027,Programme!E10027,Programme!F10027,Programme!G10027,Programme!H10027,Programme!I10027,Programme!J10027)</f>
        <v>&lt;numeroLigne&gt;37&lt;/numeroLigne&gt;</v>
      </c>
    </row>
    <row r="10027" spans="1:1" x14ac:dyDescent="0.2">
      <c r="A10027" s="996" t="str">
        <f>CONCATENATE(Programme!D10028,Programme!E10028,Programme!F10028,Programme!G10028,Programme!H10028,Programme!I10028,Programme!J10028)</f>
        <v>&lt;/ValeurCellule&gt;</v>
      </c>
    </row>
    <row r="10028" spans="1:1" x14ac:dyDescent="0.2">
      <c r="A10028" s="996" t="str">
        <f>CONCATENATE(Programme!D10029,Programme!E10029,Programme!F10029,Programme!G10029,Programme!H10029,Programme!I10029,Programme!J10029)</f>
        <v>&lt;ValeurCellule&gt;</v>
      </c>
    </row>
    <row r="10029" spans="1:1" x14ac:dyDescent="0.2">
      <c r="A10029" s="996" t="str">
        <f>CONCATENATE(Programme!D10030,Programme!E10030,Programme!F10030,Programme!G10030,Programme!H10030,Programme!I10030,Programme!J10030)</f>
        <v>&lt;cellule&gt;&lt;codeEdi&gt;1085&lt;/codeEdi&gt;&lt;/cellule&gt;</v>
      </c>
    </row>
    <row r="10030" spans="1:1" x14ac:dyDescent="0.2">
      <c r="A10030" s="996" t="str">
        <f>CONCATENATE(Programme!D10031,Programme!E10031,Programme!F10031,Programme!G10031,Programme!H10031,Programme!I10031,Programme!J10031)</f>
        <v>&lt;valeur&gt;&lt;/valeur&gt;</v>
      </c>
    </row>
    <row r="10031" spans="1:1" x14ac:dyDescent="0.2">
      <c r="A10031" s="996" t="str">
        <f>CONCATENATE(Programme!D10032,Programme!E10032,Programme!F10032,Programme!G10032,Programme!H10032,Programme!I10032,Programme!J10032)</f>
        <v>&lt;numeroLigne&gt;37&lt;/numeroLigne&gt;</v>
      </c>
    </row>
    <row r="10032" spans="1:1" x14ac:dyDescent="0.2">
      <c r="A10032" s="996" t="str">
        <f>CONCATENATE(Programme!D10033,Programme!E10033,Programme!F10033,Programme!G10033,Programme!H10033,Programme!I10033,Programme!J10033)</f>
        <v>&lt;/ValeurCellule&gt;</v>
      </c>
    </row>
    <row r="10033" spans="1:1" x14ac:dyDescent="0.2">
      <c r="A10033" s="996" t="str">
        <f>CONCATENATE(Programme!D10034,Programme!E10034,Programme!F10034,Programme!G10034,Programme!H10034,Programme!I10034,Programme!J10034)</f>
        <v>&lt;ValeurCellule&gt;</v>
      </c>
    </row>
    <row r="10034" spans="1:1" x14ac:dyDescent="0.2">
      <c r="A10034" s="996" t="str">
        <f>CONCATENATE(Programme!D10035,Programme!E10035,Programme!F10035,Programme!G10035,Programme!H10035,Programme!I10035,Programme!J10035)</f>
        <v>&lt;cellule&gt;&lt;codeEdi&gt;1086&lt;/codeEdi&gt;&lt;/cellule&gt;</v>
      </c>
    </row>
    <row r="10035" spans="1:1" x14ac:dyDescent="0.2">
      <c r="A10035" s="996" t="str">
        <f>CONCATENATE(Programme!D10036,Programme!E10036,Programme!F10036,Programme!G10036,Programme!H10036,Programme!I10036,Programme!J10036)</f>
        <v>&lt;valeur&gt;&lt;/valeur&gt;</v>
      </c>
    </row>
    <row r="10036" spans="1:1" x14ac:dyDescent="0.2">
      <c r="A10036" s="996" t="str">
        <f>CONCATENATE(Programme!D10037,Programme!E10037,Programme!F10037,Programme!G10037,Programme!H10037,Programme!I10037,Programme!J10037)</f>
        <v>&lt;numeroLigne&gt;37&lt;/numeroLigne&gt;</v>
      </c>
    </row>
    <row r="10037" spans="1:1" x14ac:dyDescent="0.2">
      <c r="A10037" s="996" t="str">
        <f>CONCATENATE(Programme!D10038,Programme!E10038,Programme!F10038,Programme!G10038,Programme!H10038,Programme!I10038,Programme!J10038)</f>
        <v>&lt;/ValeurCellule&gt;</v>
      </c>
    </row>
    <row r="10038" spans="1:1" x14ac:dyDescent="0.2">
      <c r="A10038" s="996" t="str">
        <f>CONCATENATE(Programme!D10039,Programme!E10039,Programme!F10039,Programme!G10039,Programme!H10039,Programme!I10039,Programme!J10039)</f>
        <v>&lt;ValeurCellule&gt;</v>
      </c>
    </row>
    <row r="10039" spans="1:1" x14ac:dyDescent="0.2">
      <c r="A10039" s="996" t="str">
        <f>CONCATENATE(Programme!D10040,Programme!E10040,Programme!F10040,Programme!G10040,Programme!H10040,Programme!I10040,Programme!J10040)</f>
        <v>&lt;cellule&gt;&lt;codeEdi&gt;10061&lt;/codeEdi&gt;&lt;/cellule&gt;</v>
      </c>
    </row>
    <row r="10040" spans="1:1" x14ac:dyDescent="0.2">
      <c r="A10040" s="996" t="str">
        <f>CONCATENATE(Programme!D10041,Programme!E10041,Programme!F10041,Programme!G10041,Programme!H10041,Programme!I10041,Programme!J10041)</f>
        <v>&lt;valeur&gt;&lt;/valeur&gt;</v>
      </c>
    </row>
    <row r="10041" spans="1:1" x14ac:dyDescent="0.2">
      <c r="A10041" s="996" t="str">
        <f>CONCATENATE(Programme!D10042,Programme!E10042,Programme!F10042,Programme!G10042,Programme!H10042,Programme!I10042,Programme!J10042)</f>
        <v>&lt;numeroLigne&gt;38&lt;/numeroLigne&gt;</v>
      </c>
    </row>
    <row r="10042" spans="1:1" x14ac:dyDescent="0.2">
      <c r="A10042" s="996" t="str">
        <f>CONCATENATE(Programme!D10043,Programme!E10043,Programme!F10043,Programme!G10043,Programme!H10043,Programme!I10043,Programme!J10043)</f>
        <v>&lt;/ValeurCellule&gt;</v>
      </c>
    </row>
    <row r="10043" spans="1:1" x14ac:dyDescent="0.2">
      <c r="A10043" s="996" t="str">
        <f>CONCATENATE(Programme!D10044,Programme!E10044,Programme!F10044,Programme!G10044,Programme!H10044,Programme!I10044,Programme!J10044)</f>
        <v>&lt;ValeurCellule&gt;</v>
      </c>
    </row>
    <row r="10044" spans="1:1" x14ac:dyDescent="0.2">
      <c r="A10044" s="996" t="str">
        <f>CONCATENATE(Programme!D10045,Programme!E10045,Programme!F10045,Programme!G10045,Programme!H10045,Programme!I10045,Programme!J10045)</f>
        <v>&lt;cellule&gt;&lt;codeEdi&gt;1078&lt;/codeEdi&gt;&lt;/cellule&gt;</v>
      </c>
    </row>
    <row r="10045" spans="1:1" x14ac:dyDescent="0.2">
      <c r="A10045" s="996" t="str">
        <f>CONCATENATE(Programme!D10046,Programme!E10046,Programme!F10046,Programme!G10046,Programme!H10046,Programme!I10046,Programme!J10046)</f>
        <v>&lt;valeur&gt;&lt;/valeur&gt;</v>
      </c>
    </row>
    <row r="10046" spans="1:1" x14ac:dyDescent="0.2">
      <c r="A10046" s="996" t="str">
        <f>CONCATENATE(Programme!D10047,Programme!E10047,Programme!F10047,Programme!G10047,Programme!H10047,Programme!I10047,Programme!J10047)</f>
        <v>&lt;numeroLigne&gt;38&lt;/numeroLigne&gt;</v>
      </c>
    </row>
    <row r="10047" spans="1:1" x14ac:dyDescent="0.2">
      <c r="A10047" s="996" t="str">
        <f>CONCATENATE(Programme!D10048,Programme!E10048,Programme!F10048,Programme!G10048,Programme!H10048,Programme!I10048,Programme!J10048)</f>
        <v>&lt;/ValeurCellule&gt;</v>
      </c>
    </row>
    <row r="10048" spans="1:1" x14ac:dyDescent="0.2">
      <c r="A10048" s="996" t="str">
        <f>CONCATENATE(Programme!D10049,Programme!E10049,Programme!F10049,Programme!G10049,Programme!H10049,Programme!I10049,Programme!J10049)</f>
        <v>&lt;ValeurCellule&gt;</v>
      </c>
    </row>
    <row r="10049" spans="1:1" x14ac:dyDescent="0.2">
      <c r="A10049" s="996" t="str">
        <f>CONCATENATE(Programme!D10050,Programme!E10050,Programme!F10050,Programme!G10050,Programme!H10050,Programme!I10050,Programme!J10050)</f>
        <v>&lt;cellule&gt;&lt;codeEdi&gt;1079&lt;/codeEdi&gt;&lt;/cellule&gt;</v>
      </c>
    </row>
    <row r="10050" spans="1:1" x14ac:dyDescent="0.2">
      <c r="A10050" s="996" t="str">
        <f>CONCATENATE(Programme!D10051,Programme!E10051,Programme!F10051,Programme!G10051,Programme!H10051,Programme!I10051,Programme!J10051)</f>
        <v>&lt;valeur&gt;&lt;/valeur&gt;</v>
      </c>
    </row>
    <row r="10051" spans="1:1" x14ac:dyDescent="0.2">
      <c r="A10051" s="996" t="str">
        <f>CONCATENATE(Programme!D10052,Programme!E10052,Programme!F10052,Programme!G10052,Programme!H10052,Programme!I10052,Programme!J10052)</f>
        <v>&lt;numeroLigne&gt;38&lt;/numeroLigne&gt;</v>
      </c>
    </row>
    <row r="10052" spans="1:1" x14ac:dyDescent="0.2">
      <c r="A10052" s="996" t="str">
        <f>CONCATENATE(Programme!D10053,Programme!E10053,Programme!F10053,Programme!G10053,Programme!H10053,Programme!I10053,Programme!J10053)</f>
        <v>&lt;/ValeurCellule&gt;</v>
      </c>
    </row>
    <row r="10053" spans="1:1" x14ac:dyDescent="0.2">
      <c r="A10053" s="996" t="str">
        <f>CONCATENATE(Programme!D10054,Programme!E10054,Programme!F10054,Programme!G10054,Programme!H10054,Programme!I10054,Programme!J10054)</f>
        <v>&lt;ValeurCellule&gt;</v>
      </c>
    </row>
    <row r="10054" spans="1:1" x14ac:dyDescent="0.2">
      <c r="A10054" s="996" t="str">
        <f>CONCATENATE(Programme!D10055,Programme!E10055,Programme!F10055,Programme!G10055,Programme!H10055,Programme!I10055,Programme!J10055)</f>
        <v>&lt;cellule&gt;&lt;codeEdi&gt;1080&lt;/codeEdi&gt;&lt;/cellule&gt;</v>
      </c>
    </row>
    <row r="10055" spans="1:1" x14ac:dyDescent="0.2">
      <c r="A10055" s="996" t="str">
        <f>CONCATENATE(Programme!D10056,Programme!E10056,Programme!F10056,Programme!G10056,Programme!H10056,Programme!I10056,Programme!J10056)</f>
        <v>&lt;valeur&gt;&lt;/valeur&gt;</v>
      </c>
    </row>
    <row r="10056" spans="1:1" x14ac:dyDescent="0.2">
      <c r="A10056" s="996" t="str">
        <f>CONCATENATE(Programme!D10057,Programme!E10057,Programme!F10057,Programme!G10057,Programme!H10057,Programme!I10057,Programme!J10057)</f>
        <v>&lt;numeroLigne&gt;38&lt;/numeroLigne&gt;</v>
      </c>
    </row>
    <row r="10057" spans="1:1" x14ac:dyDescent="0.2">
      <c r="A10057" s="996" t="str">
        <f>CONCATENATE(Programme!D10058,Programme!E10058,Programme!F10058,Programme!G10058,Programme!H10058,Programme!I10058,Programme!J10058)</f>
        <v>&lt;/ValeurCellule&gt;</v>
      </c>
    </row>
    <row r="10058" spans="1:1" x14ac:dyDescent="0.2">
      <c r="A10058" s="996" t="str">
        <f>CONCATENATE(Programme!D10059,Programme!E10059,Programme!F10059,Programme!G10059,Programme!H10059,Programme!I10059,Programme!J10059)</f>
        <v>&lt;ValeurCellule&gt;</v>
      </c>
    </row>
    <row r="10059" spans="1:1" x14ac:dyDescent="0.2">
      <c r="A10059" s="996" t="str">
        <f>CONCATENATE(Programme!D10060,Programme!E10060,Programme!F10060,Programme!G10060,Programme!H10060,Programme!I10060,Programme!J10060)</f>
        <v>&lt;cellule&gt;&lt;codeEdi&gt;1081&lt;/codeEdi&gt;&lt;/cellule&gt;</v>
      </c>
    </row>
    <row r="10060" spans="1:1" x14ac:dyDescent="0.2">
      <c r="A10060" s="996" t="str">
        <f>CONCATENATE(Programme!D10061,Programme!E10061,Programme!F10061,Programme!G10061,Programme!H10061,Programme!I10061,Programme!J10061)</f>
        <v>&lt;valeur&gt;&lt;/valeur&gt;</v>
      </c>
    </row>
    <row r="10061" spans="1:1" x14ac:dyDescent="0.2">
      <c r="A10061" s="996" t="str">
        <f>CONCATENATE(Programme!D10062,Programme!E10062,Programme!F10062,Programme!G10062,Programme!H10062,Programme!I10062,Programme!J10062)</f>
        <v>&lt;numeroLigne&gt;38&lt;/numeroLigne&gt;</v>
      </c>
    </row>
    <row r="10062" spans="1:1" x14ac:dyDescent="0.2">
      <c r="A10062" s="996" t="str">
        <f>CONCATENATE(Programme!D10063,Programme!E10063,Programme!F10063,Programme!G10063,Programme!H10063,Programme!I10063,Programme!J10063)</f>
        <v>&lt;/ValeurCellule&gt;</v>
      </c>
    </row>
    <row r="10063" spans="1:1" x14ac:dyDescent="0.2">
      <c r="A10063" s="996" t="str">
        <f>CONCATENATE(Programme!D10064,Programme!E10064,Programme!F10064,Programme!G10064,Programme!H10064,Programme!I10064,Programme!J10064)</f>
        <v>&lt;ValeurCellule&gt;</v>
      </c>
    </row>
    <row r="10064" spans="1:1" x14ac:dyDescent="0.2">
      <c r="A10064" s="996" t="str">
        <f>CONCATENATE(Programme!D10065,Programme!E10065,Programme!F10065,Programme!G10065,Programme!H10065,Programme!I10065,Programme!J10065)</f>
        <v>&lt;cellule&gt;&lt;codeEdi&gt;1082&lt;/codeEdi&gt;&lt;/cellule&gt;</v>
      </c>
    </row>
    <row r="10065" spans="1:1" x14ac:dyDescent="0.2">
      <c r="A10065" s="996" t="str">
        <f>CONCATENATE(Programme!D10066,Programme!E10066,Programme!F10066,Programme!G10066,Programme!H10066,Programme!I10066,Programme!J10066)</f>
        <v>&lt;valeur&gt;&lt;/valeur&gt;</v>
      </c>
    </row>
    <row r="10066" spans="1:1" x14ac:dyDescent="0.2">
      <c r="A10066" s="996" t="str">
        <f>CONCATENATE(Programme!D10067,Programme!E10067,Programme!F10067,Programme!G10067,Programme!H10067,Programme!I10067,Programme!J10067)</f>
        <v>&lt;numeroLigne&gt;38&lt;/numeroLigne&gt;</v>
      </c>
    </row>
    <row r="10067" spans="1:1" x14ac:dyDescent="0.2">
      <c r="A10067" s="996" t="str">
        <f>CONCATENATE(Programme!D10068,Programme!E10068,Programme!F10068,Programme!G10068,Programme!H10068,Programme!I10068,Programme!J10068)</f>
        <v>&lt;/ValeurCellule&gt;</v>
      </c>
    </row>
    <row r="10068" spans="1:1" x14ac:dyDescent="0.2">
      <c r="A10068" s="996" t="str">
        <f>CONCATENATE(Programme!D10069,Programme!E10069,Programme!F10069,Programme!G10069,Programme!H10069,Programme!I10069,Programme!J10069)</f>
        <v>&lt;ValeurCellule&gt;</v>
      </c>
    </row>
    <row r="10069" spans="1:1" x14ac:dyDescent="0.2">
      <c r="A10069" s="996" t="str">
        <f>CONCATENATE(Programme!D10070,Programme!E10070,Programme!F10070,Programme!G10070,Programme!H10070,Programme!I10070,Programme!J10070)</f>
        <v>&lt;cellule&gt;&lt;codeEdi&gt;1083&lt;/codeEdi&gt;&lt;/cellule&gt;</v>
      </c>
    </row>
    <row r="10070" spans="1:1" x14ac:dyDescent="0.2">
      <c r="A10070" s="996" t="str">
        <f>CONCATENATE(Programme!D10071,Programme!E10071,Programme!F10071,Programme!G10071,Programme!H10071,Programme!I10071,Programme!J10071)</f>
        <v>&lt;valeur&gt;&lt;/valeur&gt;</v>
      </c>
    </row>
    <row r="10071" spans="1:1" x14ac:dyDescent="0.2">
      <c r="A10071" s="996" t="str">
        <f>CONCATENATE(Programme!D10072,Programme!E10072,Programme!F10072,Programme!G10072,Programme!H10072,Programme!I10072,Programme!J10072)</f>
        <v>&lt;numeroLigne&gt;38&lt;/numeroLigne&gt;</v>
      </c>
    </row>
    <row r="10072" spans="1:1" x14ac:dyDescent="0.2">
      <c r="A10072" s="996" t="str">
        <f>CONCATENATE(Programme!D10073,Programme!E10073,Programme!F10073,Programme!G10073,Programme!H10073,Programme!I10073,Programme!J10073)</f>
        <v>&lt;/ValeurCellule&gt;</v>
      </c>
    </row>
    <row r="10073" spans="1:1" x14ac:dyDescent="0.2">
      <c r="A10073" s="996" t="str">
        <f>CONCATENATE(Programme!D10074,Programme!E10074,Programme!F10074,Programme!G10074,Programme!H10074,Programme!I10074,Programme!J10074)</f>
        <v>&lt;ValeurCellule&gt;</v>
      </c>
    </row>
    <row r="10074" spans="1:1" x14ac:dyDescent="0.2">
      <c r="A10074" s="996" t="str">
        <f>CONCATENATE(Programme!D10075,Programme!E10075,Programme!F10075,Programme!G10075,Programme!H10075,Programme!I10075,Programme!J10075)</f>
        <v>&lt;cellule&gt;&lt;codeEdi&gt;1084&lt;/codeEdi&gt;&lt;/cellule&gt;</v>
      </c>
    </row>
    <row r="10075" spans="1:1" x14ac:dyDescent="0.2">
      <c r="A10075" s="996" t="str">
        <f>CONCATENATE(Programme!D10076,Programme!E10076,Programme!F10076,Programme!G10076,Programme!H10076,Programme!I10076,Programme!J10076)</f>
        <v>&lt;valeur&gt;&lt;/valeur&gt;</v>
      </c>
    </row>
    <row r="10076" spans="1:1" x14ac:dyDescent="0.2">
      <c r="A10076" s="996" t="str">
        <f>CONCATENATE(Programme!D10077,Programme!E10077,Programme!F10077,Programme!G10077,Programme!H10077,Programme!I10077,Programme!J10077)</f>
        <v>&lt;numeroLigne&gt;38&lt;/numeroLigne&gt;</v>
      </c>
    </row>
    <row r="10077" spans="1:1" x14ac:dyDescent="0.2">
      <c r="A10077" s="996" t="str">
        <f>CONCATENATE(Programme!D10078,Programme!E10078,Programme!F10078,Programme!G10078,Programme!H10078,Programme!I10078,Programme!J10078)</f>
        <v>&lt;/ValeurCellule&gt;</v>
      </c>
    </row>
    <row r="10078" spans="1:1" x14ac:dyDescent="0.2">
      <c r="A10078" s="996" t="str">
        <f>CONCATENATE(Programme!D10079,Programme!E10079,Programme!F10079,Programme!G10079,Programme!H10079,Programme!I10079,Programme!J10079)</f>
        <v>&lt;ValeurCellule&gt;</v>
      </c>
    </row>
    <row r="10079" spans="1:1" x14ac:dyDescent="0.2">
      <c r="A10079" s="996" t="str">
        <f>CONCATENATE(Programme!D10080,Programme!E10080,Programme!F10080,Programme!G10080,Programme!H10080,Programme!I10080,Programme!J10080)</f>
        <v>&lt;cellule&gt;&lt;codeEdi&gt;1085&lt;/codeEdi&gt;&lt;/cellule&gt;</v>
      </c>
    </row>
    <row r="10080" spans="1:1" x14ac:dyDescent="0.2">
      <c r="A10080" s="996" t="str">
        <f>CONCATENATE(Programme!D10081,Programme!E10081,Programme!F10081,Programme!G10081,Programme!H10081,Programme!I10081,Programme!J10081)</f>
        <v>&lt;valeur&gt;&lt;/valeur&gt;</v>
      </c>
    </row>
    <row r="10081" spans="1:1" x14ac:dyDescent="0.2">
      <c r="A10081" s="996" t="str">
        <f>CONCATENATE(Programme!D10082,Programme!E10082,Programme!F10082,Programme!G10082,Programme!H10082,Programme!I10082,Programme!J10082)</f>
        <v>&lt;numeroLigne&gt;38&lt;/numeroLigne&gt;</v>
      </c>
    </row>
    <row r="10082" spans="1:1" x14ac:dyDescent="0.2">
      <c r="A10082" s="996" t="str">
        <f>CONCATENATE(Programme!D10083,Programme!E10083,Programme!F10083,Programme!G10083,Programme!H10083,Programme!I10083,Programme!J10083)</f>
        <v>&lt;/ValeurCellule&gt;</v>
      </c>
    </row>
    <row r="10083" spans="1:1" x14ac:dyDescent="0.2">
      <c r="A10083" s="996" t="str">
        <f>CONCATENATE(Programme!D10084,Programme!E10084,Programme!F10084,Programme!G10084,Programme!H10084,Programme!I10084,Programme!J10084)</f>
        <v>&lt;ValeurCellule&gt;</v>
      </c>
    </row>
    <row r="10084" spans="1:1" x14ac:dyDescent="0.2">
      <c r="A10084" s="996" t="str">
        <f>CONCATENATE(Programme!D10085,Programme!E10085,Programme!F10085,Programme!G10085,Programme!H10085,Programme!I10085,Programme!J10085)</f>
        <v>&lt;cellule&gt;&lt;codeEdi&gt;1086&lt;/codeEdi&gt;&lt;/cellule&gt;</v>
      </c>
    </row>
    <row r="10085" spans="1:1" x14ac:dyDescent="0.2">
      <c r="A10085" s="996" t="str">
        <f>CONCATENATE(Programme!D10086,Programme!E10086,Programme!F10086,Programme!G10086,Programme!H10086,Programme!I10086,Programme!J10086)</f>
        <v>&lt;valeur&gt;&lt;/valeur&gt;</v>
      </c>
    </row>
    <row r="10086" spans="1:1" x14ac:dyDescent="0.2">
      <c r="A10086" s="996" t="str">
        <f>CONCATENATE(Programme!D10087,Programme!E10087,Programme!F10087,Programme!G10087,Programme!H10087,Programme!I10087,Programme!J10087)</f>
        <v>&lt;numeroLigne&gt;38&lt;/numeroLigne&gt;</v>
      </c>
    </row>
    <row r="10087" spans="1:1" x14ac:dyDescent="0.2">
      <c r="A10087" s="996" t="str">
        <f>CONCATENATE(Programme!D10088,Programme!E10088,Programme!F10088,Programme!G10088,Programme!H10088,Programme!I10088,Programme!J10088)</f>
        <v>&lt;/ValeurCellule&gt;</v>
      </c>
    </row>
    <row r="10088" spans="1:1" x14ac:dyDescent="0.2">
      <c r="A10088" s="996" t="str">
        <f>CONCATENATE(Programme!D10089,Programme!E10089,Programme!F10089,Programme!G10089,Programme!H10089,Programme!I10089,Programme!J10089)</f>
        <v>&lt;ValeurCellule&gt;</v>
      </c>
    </row>
    <row r="10089" spans="1:1" x14ac:dyDescent="0.2">
      <c r="A10089" s="996" t="str">
        <f>CONCATENATE(Programme!D10090,Programme!E10090,Programme!F10090,Programme!G10090,Programme!H10090,Programme!I10090,Programme!J10090)</f>
        <v>&lt;cellule&gt;&lt;codeEdi&gt;10061&lt;/codeEdi&gt;&lt;/cellule&gt;</v>
      </c>
    </row>
    <row r="10090" spans="1:1" x14ac:dyDescent="0.2">
      <c r="A10090" s="996" t="str">
        <f>CONCATENATE(Programme!D10091,Programme!E10091,Programme!F10091,Programme!G10091,Programme!H10091,Programme!I10091,Programme!J10091)</f>
        <v>&lt;valeur&gt;&lt;/valeur&gt;</v>
      </c>
    </row>
    <row r="10091" spans="1:1" x14ac:dyDescent="0.2">
      <c r="A10091" s="996" t="str">
        <f>CONCATENATE(Programme!D10092,Programme!E10092,Programme!F10092,Programme!G10092,Programme!H10092,Programme!I10092,Programme!J10092)</f>
        <v>&lt;numeroLigne&gt;39&lt;/numeroLigne&gt;</v>
      </c>
    </row>
    <row r="10092" spans="1:1" x14ac:dyDescent="0.2">
      <c r="A10092" s="996" t="str">
        <f>CONCATENATE(Programme!D10093,Programme!E10093,Programme!F10093,Programme!G10093,Programme!H10093,Programme!I10093,Programme!J10093)</f>
        <v>&lt;/ValeurCellule&gt;</v>
      </c>
    </row>
    <row r="10093" spans="1:1" x14ac:dyDescent="0.2">
      <c r="A10093" s="996" t="str">
        <f>CONCATENATE(Programme!D10094,Programme!E10094,Programme!F10094,Programme!G10094,Programme!H10094,Programme!I10094,Programme!J10094)</f>
        <v>&lt;ValeurCellule&gt;</v>
      </c>
    </row>
    <row r="10094" spans="1:1" x14ac:dyDescent="0.2">
      <c r="A10094" s="996" t="str">
        <f>CONCATENATE(Programme!D10095,Programme!E10095,Programme!F10095,Programme!G10095,Programme!H10095,Programme!I10095,Programme!J10095)</f>
        <v>&lt;cellule&gt;&lt;codeEdi&gt;1078&lt;/codeEdi&gt;&lt;/cellule&gt;</v>
      </c>
    </row>
    <row r="10095" spans="1:1" x14ac:dyDescent="0.2">
      <c r="A10095" s="996" t="str">
        <f>CONCATENATE(Programme!D10096,Programme!E10096,Programme!F10096,Programme!G10096,Programme!H10096,Programme!I10096,Programme!J10096)</f>
        <v>&lt;valeur&gt;&lt;/valeur&gt;</v>
      </c>
    </row>
    <row r="10096" spans="1:1" x14ac:dyDescent="0.2">
      <c r="A10096" s="996" t="str">
        <f>CONCATENATE(Programme!D10097,Programme!E10097,Programme!F10097,Programme!G10097,Programme!H10097,Programme!I10097,Programme!J10097)</f>
        <v>&lt;numeroLigne&gt;39&lt;/numeroLigne&gt;</v>
      </c>
    </row>
    <row r="10097" spans="1:1" x14ac:dyDescent="0.2">
      <c r="A10097" s="996" t="str">
        <f>CONCATENATE(Programme!D10098,Programme!E10098,Programme!F10098,Programme!G10098,Programme!H10098,Programme!I10098,Programme!J10098)</f>
        <v>&lt;/ValeurCellule&gt;</v>
      </c>
    </row>
    <row r="10098" spans="1:1" x14ac:dyDescent="0.2">
      <c r="A10098" s="996" t="str">
        <f>CONCATENATE(Programme!D10099,Programme!E10099,Programme!F10099,Programme!G10099,Programme!H10099,Programme!I10099,Programme!J10099)</f>
        <v>&lt;ValeurCellule&gt;</v>
      </c>
    </row>
    <row r="10099" spans="1:1" x14ac:dyDescent="0.2">
      <c r="A10099" s="996" t="str">
        <f>CONCATENATE(Programme!D10100,Programme!E10100,Programme!F10100,Programme!G10100,Programme!H10100,Programme!I10100,Programme!J10100)</f>
        <v>&lt;cellule&gt;&lt;codeEdi&gt;1079&lt;/codeEdi&gt;&lt;/cellule&gt;</v>
      </c>
    </row>
    <row r="10100" spans="1:1" x14ac:dyDescent="0.2">
      <c r="A10100" s="996" t="str">
        <f>CONCATENATE(Programme!D10101,Programme!E10101,Programme!F10101,Programme!G10101,Programme!H10101,Programme!I10101,Programme!J10101)</f>
        <v>&lt;valeur&gt;&lt;/valeur&gt;</v>
      </c>
    </row>
    <row r="10101" spans="1:1" x14ac:dyDescent="0.2">
      <c r="A10101" s="996" t="str">
        <f>CONCATENATE(Programme!D10102,Programme!E10102,Programme!F10102,Programme!G10102,Programme!H10102,Programme!I10102,Programme!J10102)</f>
        <v>&lt;numeroLigne&gt;39&lt;/numeroLigne&gt;</v>
      </c>
    </row>
    <row r="10102" spans="1:1" x14ac:dyDescent="0.2">
      <c r="A10102" s="996" t="str">
        <f>CONCATENATE(Programme!D10103,Programme!E10103,Programme!F10103,Programme!G10103,Programme!H10103,Programme!I10103,Programme!J10103)</f>
        <v>&lt;/ValeurCellule&gt;</v>
      </c>
    </row>
    <row r="10103" spans="1:1" x14ac:dyDescent="0.2">
      <c r="A10103" s="996" t="str">
        <f>CONCATENATE(Programme!D10104,Programme!E10104,Programme!F10104,Programme!G10104,Programme!H10104,Programme!I10104,Programme!J10104)</f>
        <v>&lt;ValeurCellule&gt;</v>
      </c>
    </row>
    <row r="10104" spans="1:1" x14ac:dyDescent="0.2">
      <c r="A10104" s="996" t="str">
        <f>CONCATENATE(Programme!D10105,Programme!E10105,Programme!F10105,Programme!G10105,Programme!H10105,Programme!I10105,Programme!J10105)</f>
        <v>&lt;cellule&gt;&lt;codeEdi&gt;1080&lt;/codeEdi&gt;&lt;/cellule&gt;</v>
      </c>
    </row>
    <row r="10105" spans="1:1" x14ac:dyDescent="0.2">
      <c r="A10105" s="996" t="str">
        <f>CONCATENATE(Programme!D10106,Programme!E10106,Programme!F10106,Programme!G10106,Programme!H10106,Programme!I10106,Programme!J10106)</f>
        <v>&lt;valeur&gt;&lt;/valeur&gt;</v>
      </c>
    </row>
    <row r="10106" spans="1:1" x14ac:dyDescent="0.2">
      <c r="A10106" s="996" t="str">
        <f>CONCATENATE(Programme!D10107,Programme!E10107,Programme!F10107,Programme!G10107,Programme!H10107,Programme!I10107,Programme!J10107)</f>
        <v>&lt;numeroLigne&gt;39&lt;/numeroLigne&gt;</v>
      </c>
    </row>
    <row r="10107" spans="1:1" x14ac:dyDescent="0.2">
      <c r="A10107" s="996" t="str">
        <f>CONCATENATE(Programme!D10108,Programme!E10108,Programme!F10108,Programme!G10108,Programme!H10108,Programme!I10108,Programme!J10108)</f>
        <v>&lt;/ValeurCellule&gt;</v>
      </c>
    </row>
    <row r="10108" spans="1:1" x14ac:dyDescent="0.2">
      <c r="A10108" s="996" t="str">
        <f>CONCATENATE(Programme!D10109,Programme!E10109,Programme!F10109,Programme!G10109,Programme!H10109,Programme!I10109,Programme!J10109)</f>
        <v>&lt;ValeurCellule&gt;</v>
      </c>
    </row>
    <row r="10109" spans="1:1" x14ac:dyDescent="0.2">
      <c r="A10109" s="996" t="str">
        <f>CONCATENATE(Programme!D10110,Programme!E10110,Programme!F10110,Programme!G10110,Programme!H10110,Programme!I10110,Programme!J10110)</f>
        <v>&lt;cellule&gt;&lt;codeEdi&gt;1081&lt;/codeEdi&gt;&lt;/cellule&gt;</v>
      </c>
    </row>
    <row r="10110" spans="1:1" x14ac:dyDescent="0.2">
      <c r="A10110" s="996" t="str">
        <f>CONCATENATE(Programme!D10111,Programme!E10111,Programme!F10111,Programme!G10111,Programme!H10111,Programme!I10111,Programme!J10111)</f>
        <v>&lt;valeur&gt;&lt;/valeur&gt;</v>
      </c>
    </row>
    <row r="10111" spans="1:1" x14ac:dyDescent="0.2">
      <c r="A10111" s="996" t="str">
        <f>CONCATENATE(Programme!D10112,Programme!E10112,Programme!F10112,Programme!G10112,Programme!H10112,Programme!I10112,Programme!J10112)</f>
        <v>&lt;numeroLigne&gt;39&lt;/numeroLigne&gt;</v>
      </c>
    </row>
    <row r="10112" spans="1:1" x14ac:dyDescent="0.2">
      <c r="A10112" s="996" t="str">
        <f>CONCATENATE(Programme!D10113,Programme!E10113,Programme!F10113,Programme!G10113,Programme!H10113,Programme!I10113,Programme!J10113)</f>
        <v>&lt;/ValeurCellule&gt;</v>
      </c>
    </row>
    <row r="10113" spans="1:1" x14ac:dyDescent="0.2">
      <c r="A10113" s="996" t="str">
        <f>CONCATENATE(Programme!D10114,Programme!E10114,Programme!F10114,Programme!G10114,Programme!H10114,Programme!I10114,Programme!J10114)</f>
        <v>&lt;ValeurCellule&gt;</v>
      </c>
    </row>
    <row r="10114" spans="1:1" x14ac:dyDescent="0.2">
      <c r="A10114" s="996" t="str">
        <f>CONCATENATE(Programme!D10115,Programme!E10115,Programme!F10115,Programme!G10115,Programme!H10115,Programme!I10115,Programme!J10115)</f>
        <v>&lt;cellule&gt;&lt;codeEdi&gt;1082&lt;/codeEdi&gt;&lt;/cellule&gt;</v>
      </c>
    </row>
    <row r="10115" spans="1:1" x14ac:dyDescent="0.2">
      <c r="A10115" s="996" t="str">
        <f>CONCATENATE(Programme!D10116,Programme!E10116,Programme!F10116,Programme!G10116,Programme!H10116,Programme!I10116,Programme!J10116)</f>
        <v>&lt;valeur&gt;&lt;/valeur&gt;</v>
      </c>
    </row>
    <row r="10116" spans="1:1" x14ac:dyDescent="0.2">
      <c r="A10116" s="996" t="str">
        <f>CONCATENATE(Programme!D10117,Programme!E10117,Programme!F10117,Programme!G10117,Programme!H10117,Programme!I10117,Programme!J10117)</f>
        <v>&lt;numeroLigne&gt;39&lt;/numeroLigne&gt;</v>
      </c>
    </row>
    <row r="10117" spans="1:1" x14ac:dyDescent="0.2">
      <c r="A10117" s="996" t="str">
        <f>CONCATENATE(Programme!D10118,Programme!E10118,Programme!F10118,Programme!G10118,Programme!H10118,Programme!I10118,Programme!J10118)</f>
        <v>&lt;/ValeurCellule&gt;</v>
      </c>
    </row>
    <row r="10118" spans="1:1" x14ac:dyDescent="0.2">
      <c r="A10118" s="996" t="str">
        <f>CONCATENATE(Programme!D10119,Programme!E10119,Programme!F10119,Programme!G10119,Programme!H10119,Programme!I10119,Programme!J10119)</f>
        <v>&lt;ValeurCellule&gt;</v>
      </c>
    </row>
    <row r="10119" spans="1:1" x14ac:dyDescent="0.2">
      <c r="A10119" s="996" t="str">
        <f>CONCATENATE(Programme!D10120,Programme!E10120,Programme!F10120,Programme!G10120,Programme!H10120,Programme!I10120,Programme!J10120)</f>
        <v>&lt;cellule&gt;&lt;codeEdi&gt;1083&lt;/codeEdi&gt;&lt;/cellule&gt;</v>
      </c>
    </row>
    <row r="10120" spans="1:1" x14ac:dyDescent="0.2">
      <c r="A10120" s="996" t="str">
        <f>CONCATENATE(Programme!D10121,Programme!E10121,Programme!F10121,Programme!G10121,Programme!H10121,Programme!I10121,Programme!J10121)</f>
        <v>&lt;valeur&gt;&lt;/valeur&gt;</v>
      </c>
    </row>
    <row r="10121" spans="1:1" x14ac:dyDescent="0.2">
      <c r="A10121" s="996" t="str">
        <f>CONCATENATE(Programme!D10122,Programme!E10122,Programme!F10122,Programme!G10122,Programme!H10122,Programme!I10122,Programme!J10122)</f>
        <v>&lt;numeroLigne&gt;39&lt;/numeroLigne&gt;</v>
      </c>
    </row>
    <row r="10122" spans="1:1" x14ac:dyDescent="0.2">
      <c r="A10122" s="996" t="str">
        <f>CONCATENATE(Programme!D10123,Programme!E10123,Programme!F10123,Programme!G10123,Programme!H10123,Programme!I10123,Programme!J10123)</f>
        <v>&lt;/ValeurCellule&gt;</v>
      </c>
    </row>
    <row r="10123" spans="1:1" x14ac:dyDescent="0.2">
      <c r="A10123" s="996" t="str">
        <f>CONCATENATE(Programme!D10124,Programme!E10124,Programme!F10124,Programme!G10124,Programme!H10124,Programme!I10124,Programme!J10124)</f>
        <v>&lt;ValeurCellule&gt;</v>
      </c>
    </row>
    <row r="10124" spans="1:1" x14ac:dyDescent="0.2">
      <c r="A10124" s="996" t="str">
        <f>CONCATENATE(Programme!D10125,Programme!E10125,Programme!F10125,Programme!G10125,Programme!H10125,Programme!I10125,Programme!J10125)</f>
        <v>&lt;cellule&gt;&lt;codeEdi&gt;1084&lt;/codeEdi&gt;&lt;/cellule&gt;</v>
      </c>
    </row>
    <row r="10125" spans="1:1" x14ac:dyDescent="0.2">
      <c r="A10125" s="996" t="str">
        <f>CONCATENATE(Programme!D10126,Programme!E10126,Programme!F10126,Programme!G10126,Programme!H10126,Programme!I10126,Programme!J10126)</f>
        <v>&lt;valeur&gt;&lt;/valeur&gt;</v>
      </c>
    </row>
    <row r="10126" spans="1:1" x14ac:dyDescent="0.2">
      <c r="A10126" s="996" t="str">
        <f>CONCATENATE(Programme!D10127,Programme!E10127,Programme!F10127,Programme!G10127,Programme!H10127,Programme!I10127,Programme!J10127)</f>
        <v>&lt;numeroLigne&gt;39&lt;/numeroLigne&gt;</v>
      </c>
    </row>
    <row r="10127" spans="1:1" x14ac:dyDescent="0.2">
      <c r="A10127" s="996" t="str">
        <f>CONCATENATE(Programme!D10128,Programme!E10128,Programme!F10128,Programme!G10128,Programme!H10128,Programme!I10128,Programme!J10128)</f>
        <v>&lt;/ValeurCellule&gt;</v>
      </c>
    </row>
    <row r="10128" spans="1:1" x14ac:dyDescent="0.2">
      <c r="A10128" s="996" t="str">
        <f>CONCATENATE(Programme!D10129,Programme!E10129,Programme!F10129,Programme!G10129,Programme!H10129,Programme!I10129,Programme!J10129)</f>
        <v>&lt;ValeurCellule&gt;</v>
      </c>
    </row>
    <row r="10129" spans="1:1" x14ac:dyDescent="0.2">
      <c r="A10129" s="996" t="str">
        <f>CONCATENATE(Programme!D10130,Programme!E10130,Programme!F10130,Programme!G10130,Programme!H10130,Programme!I10130,Programme!J10130)</f>
        <v>&lt;cellule&gt;&lt;codeEdi&gt;1085&lt;/codeEdi&gt;&lt;/cellule&gt;</v>
      </c>
    </row>
    <row r="10130" spans="1:1" x14ac:dyDescent="0.2">
      <c r="A10130" s="996" t="str">
        <f>CONCATENATE(Programme!D10131,Programme!E10131,Programme!F10131,Programme!G10131,Programme!H10131,Programme!I10131,Programme!J10131)</f>
        <v>&lt;valeur&gt;&lt;/valeur&gt;</v>
      </c>
    </row>
    <row r="10131" spans="1:1" x14ac:dyDescent="0.2">
      <c r="A10131" s="996" t="str">
        <f>CONCATENATE(Programme!D10132,Programme!E10132,Programme!F10132,Programme!G10132,Programme!H10132,Programme!I10132,Programme!J10132)</f>
        <v>&lt;numeroLigne&gt;39&lt;/numeroLigne&gt;</v>
      </c>
    </row>
    <row r="10132" spans="1:1" x14ac:dyDescent="0.2">
      <c r="A10132" s="996" t="str">
        <f>CONCATENATE(Programme!D10133,Programme!E10133,Programme!F10133,Programme!G10133,Programme!H10133,Programme!I10133,Programme!J10133)</f>
        <v>&lt;/ValeurCellule&gt;</v>
      </c>
    </row>
    <row r="10133" spans="1:1" x14ac:dyDescent="0.2">
      <c r="A10133" s="996" t="str">
        <f>CONCATENATE(Programme!D10134,Programme!E10134,Programme!F10134,Programme!G10134,Programme!H10134,Programme!I10134,Programme!J10134)</f>
        <v>&lt;ValeurCellule&gt;</v>
      </c>
    </row>
    <row r="10134" spans="1:1" x14ac:dyDescent="0.2">
      <c r="A10134" s="996" t="str">
        <f>CONCATENATE(Programme!D10135,Programme!E10135,Programme!F10135,Programme!G10135,Programme!H10135,Programme!I10135,Programme!J10135)</f>
        <v>&lt;cellule&gt;&lt;codeEdi&gt;1086&lt;/codeEdi&gt;&lt;/cellule&gt;</v>
      </c>
    </row>
    <row r="10135" spans="1:1" x14ac:dyDescent="0.2">
      <c r="A10135" s="996" t="str">
        <f>CONCATENATE(Programme!D10136,Programme!E10136,Programme!F10136,Programme!G10136,Programme!H10136,Programme!I10136,Programme!J10136)</f>
        <v>&lt;valeur&gt;&lt;/valeur&gt;</v>
      </c>
    </row>
    <row r="10136" spans="1:1" x14ac:dyDescent="0.2">
      <c r="A10136" s="996" t="str">
        <f>CONCATENATE(Programme!D10137,Programme!E10137,Programme!F10137,Programme!G10137,Programme!H10137,Programme!I10137,Programme!J10137)</f>
        <v>&lt;numeroLigne&gt;39&lt;/numeroLigne&gt;</v>
      </c>
    </row>
    <row r="10137" spans="1:1" x14ac:dyDescent="0.2">
      <c r="A10137" s="996" t="str">
        <f>CONCATENATE(Programme!D10138,Programme!E10138,Programme!F10138,Programme!G10138,Programme!H10138,Programme!I10138,Programme!J10138)</f>
        <v>&lt;/ValeurCellule&gt;</v>
      </c>
    </row>
    <row r="10138" spans="1:1" x14ac:dyDescent="0.2">
      <c r="A10138" s="996" t="str">
        <f>CONCATENATE(Programme!D10139,Programme!E10139,Programme!F10139,Programme!G10139,Programme!H10139,Programme!I10139,Programme!J10139)</f>
        <v>&lt;ValeurCellule&gt;</v>
      </c>
    </row>
    <row r="10139" spans="1:1" x14ac:dyDescent="0.2">
      <c r="A10139" s="996" t="str">
        <f>CONCATENATE(Programme!D10140,Programme!E10140,Programme!F10140,Programme!G10140,Programme!H10140,Programme!I10140,Programme!J10140)</f>
        <v>&lt;cellule&gt;&lt;codeEdi&gt;10061&lt;/codeEdi&gt;&lt;/cellule&gt;</v>
      </c>
    </row>
    <row r="10140" spans="1:1" x14ac:dyDescent="0.2">
      <c r="A10140" s="996" t="str">
        <f>CONCATENATE(Programme!D10141,Programme!E10141,Programme!F10141,Programme!G10141,Programme!H10141,Programme!I10141,Programme!J10141)</f>
        <v>&lt;valeur&gt;&lt;/valeur&gt;</v>
      </c>
    </row>
    <row r="10141" spans="1:1" x14ac:dyDescent="0.2">
      <c r="A10141" s="996" t="str">
        <f>CONCATENATE(Programme!D10142,Programme!E10142,Programme!F10142,Programme!G10142,Programme!H10142,Programme!I10142,Programme!J10142)</f>
        <v>&lt;numeroLigne&gt;40&lt;/numeroLigne&gt;</v>
      </c>
    </row>
    <row r="10142" spans="1:1" x14ac:dyDescent="0.2">
      <c r="A10142" s="996" t="str">
        <f>CONCATENATE(Programme!D10143,Programme!E10143,Programme!F10143,Programme!G10143,Programme!H10143,Programme!I10143,Programme!J10143)</f>
        <v>&lt;/ValeurCellule&gt;</v>
      </c>
    </row>
    <row r="10143" spans="1:1" x14ac:dyDescent="0.2">
      <c r="A10143" s="996" t="str">
        <f>CONCATENATE(Programme!D10144,Programme!E10144,Programme!F10144,Programme!G10144,Programme!H10144,Programme!I10144,Programme!J10144)</f>
        <v>&lt;ValeurCellule&gt;</v>
      </c>
    </row>
    <row r="10144" spans="1:1" x14ac:dyDescent="0.2">
      <c r="A10144" s="996" t="str">
        <f>CONCATENATE(Programme!D10145,Programme!E10145,Programme!F10145,Programme!G10145,Programme!H10145,Programme!I10145,Programme!J10145)</f>
        <v>&lt;cellule&gt;&lt;codeEdi&gt;1078&lt;/codeEdi&gt;&lt;/cellule&gt;</v>
      </c>
    </row>
    <row r="10145" spans="1:1" x14ac:dyDescent="0.2">
      <c r="A10145" s="996" t="str">
        <f>CONCATENATE(Programme!D10146,Programme!E10146,Programme!F10146,Programme!G10146,Programme!H10146,Programme!I10146,Programme!J10146)</f>
        <v>&lt;valeur&gt;&lt;/valeur&gt;</v>
      </c>
    </row>
    <row r="10146" spans="1:1" x14ac:dyDescent="0.2">
      <c r="A10146" s="996" t="str">
        <f>CONCATENATE(Programme!D10147,Programme!E10147,Programme!F10147,Programme!G10147,Programme!H10147,Programme!I10147,Programme!J10147)</f>
        <v>&lt;numeroLigne&gt;40&lt;/numeroLigne&gt;</v>
      </c>
    </row>
    <row r="10147" spans="1:1" x14ac:dyDescent="0.2">
      <c r="A10147" s="996" t="str">
        <f>CONCATENATE(Programme!D10148,Programme!E10148,Programme!F10148,Programme!G10148,Programme!H10148,Programme!I10148,Programme!J10148)</f>
        <v>&lt;/ValeurCellule&gt;</v>
      </c>
    </row>
    <row r="10148" spans="1:1" x14ac:dyDescent="0.2">
      <c r="A10148" s="996" t="str">
        <f>CONCATENATE(Programme!D10149,Programme!E10149,Programme!F10149,Programme!G10149,Programme!H10149,Programme!I10149,Programme!J10149)</f>
        <v>&lt;ValeurCellule&gt;</v>
      </c>
    </row>
    <row r="10149" spans="1:1" x14ac:dyDescent="0.2">
      <c r="A10149" s="996" t="str">
        <f>CONCATENATE(Programme!D10150,Programme!E10150,Programme!F10150,Programme!G10150,Programme!H10150,Programme!I10150,Programme!J10150)</f>
        <v>&lt;cellule&gt;&lt;codeEdi&gt;1079&lt;/codeEdi&gt;&lt;/cellule&gt;</v>
      </c>
    </row>
    <row r="10150" spans="1:1" x14ac:dyDescent="0.2">
      <c r="A10150" s="996" t="str">
        <f>CONCATENATE(Programme!D10151,Programme!E10151,Programme!F10151,Programme!G10151,Programme!H10151,Programme!I10151,Programme!J10151)</f>
        <v>&lt;valeur&gt;&lt;/valeur&gt;</v>
      </c>
    </row>
    <row r="10151" spans="1:1" x14ac:dyDescent="0.2">
      <c r="A10151" s="996" t="str">
        <f>CONCATENATE(Programme!D10152,Programme!E10152,Programme!F10152,Programme!G10152,Programme!H10152,Programme!I10152,Programme!J10152)</f>
        <v>&lt;numeroLigne&gt;40&lt;/numeroLigne&gt;</v>
      </c>
    </row>
    <row r="10152" spans="1:1" x14ac:dyDescent="0.2">
      <c r="A10152" s="996" t="str">
        <f>CONCATENATE(Programme!D10153,Programme!E10153,Programme!F10153,Programme!G10153,Programme!H10153,Programme!I10153,Programme!J10153)</f>
        <v>&lt;/ValeurCellule&gt;</v>
      </c>
    </row>
    <row r="10153" spans="1:1" x14ac:dyDescent="0.2">
      <c r="A10153" s="996" t="str">
        <f>CONCATENATE(Programme!D10154,Programme!E10154,Programme!F10154,Programme!G10154,Programme!H10154,Programme!I10154,Programme!J10154)</f>
        <v>&lt;ValeurCellule&gt;</v>
      </c>
    </row>
    <row r="10154" spans="1:1" x14ac:dyDescent="0.2">
      <c r="A10154" s="996" t="str">
        <f>CONCATENATE(Programme!D10155,Programme!E10155,Programme!F10155,Programme!G10155,Programme!H10155,Programme!I10155,Programme!J10155)</f>
        <v>&lt;cellule&gt;&lt;codeEdi&gt;1080&lt;/codeEdi&gt;&lt;/cellule&gt;</v>
      </c>
    </row>
    <row r="10155" spans="1:1" x14ac:dyDescent="0.2">
      <c r="A10155" s="996" t="str">
        <f>CONCATENATE(Programme!D10156,Programme!E10156,Programme!F10156,Programme!G10156,Programme!H10156,Programme!I10156,Programme!J10156)</f>
        <v>&lt;valeur&gt;&lt;/valeur&gt;</v>
      </c>
    </row>
    <row r="10156" spans="1:1" x14ac:dyDescent="0.2">
      <c r="A10156" s="996" t="str">
        <f>CONCATENATE(Programme!D10157,Programme!E10157,Programme!F10157,Programme!G10157,Programme!H10157,Programme!I10157,Programme!J10157)</f>
        <v>&lt;numeroLigne&gt;40&lt;/numeroLigne&gt;</v>
      </c>
    </row>
    <row r="10157" spans="1:1" x14ac:dyDescent="0.2">
      <c r="A10157" s="996" t="str">
        <f>CONCATENATE(Programme!D10158,Programme!E10158,Programme!F10158,Programme!G10158,Programme!H10158,Programme!I10158,Programme!J10158)</f>
        <v>&lt;/ValeurCellule&gt;</v>
      </c>
    </row>
    <row r="10158" spans="1:1" x14ac:dyDescent="0.2">
      <c r="A10158" s="996" t="str">
        <f>CONCATENATE(Programme!D10159,Programme!E10159,Programme!F10159,Programme!G10159,Programme!H10159,Programme!I10159,Programme!J10159)</f>
        <v>&lt;ValeurCellule&gt;</v>
      </c>
    </row>
    <row r="10159" spans="1:1" x14ac:dyDescent="0.2">
      <c r="A10159" s="996" t="str">
        <f>CONCATENATE(Programme!D10160,Programme!E10160,Programme!F10160,Programme!G10160,Programme!H10160,Programme!I10160,Programme!J10160)</f>
        <v>&lt;cellule&gt;&lt;codeEdi&gt;1081&lt;/codeEdi&gt;&lt;/cellule&gt;</v>
      </c>
    </row>
    <row r="10160" spans="1:1" x14ac:dyDescent="0.2">
      <c r="A10160" s="996" t="str">
        <f>CONCATENATE(Programme!D10161,Programme!E10161,Programme!F10161,Programme!G10161,Programme!H10161,Programme!I10161,Programme!J10161)</f>
        <v>&lt;valeur&gt;&lt;/valeur&gt;</v>
      </c>
    </row>
    <row r="10161" spans="1:1" x14ac:dyDescent="0.2">
      <c r="A10161" s="996" t="str">
        <f>CONCATENATE(Programme!D10162,Programme!E10162,Programme!F10162,Programme!G10162,Programme!H10162,Programme!I10162,Programme!J10162)</f>
        <v>&lt;numeroLigne&gt;40&lt;/numeroLigne&gt;</v>
      </c>
    </row>
    <row r="10162" spans="1:1" x14ac:dyDescent="0.2">
      <c r="A10162" s="996" t="str">
        <f>CONCATENATE(Programme!D10163,Programme!E10163,Programme!F10163,Programme!G10163,Programme!H10163,Programme!I10163,Programme!J10163)</f>
        <v>&lt;/ValeurCellule&gt;</v>
      </c>
    </row>
    <row r="10163" spans="1:1" x14ac:dyDescent="0.2">
      <c r="A10163" s="996" t="str">
        <f>CONCATENATE(Programme!D10164,Programme!E10164,Programme!F10164,Programme!G10164,Programme!H10164,Programme!I10164,Programme!J10164)</f>
        <v>&lt;ValeurCellule&gt;</v>
      </c>
    </row>
    <row r="10164" spans="1:1" x14ac:dyDescent="0.2">
      <c r="A10164" s="996" t="str">
        <f>CONCATENATE(Programme!D10165,Programme!E10165,Programme!F10165,Programme!G10165,Programme!H10165,Programme!I10165,Programme!J10165)</f>
        <v>&lt;cellule&gt;&lt;codeEdi&gt;1082&lt;/codeEdi&gt;&lt;/cellule&gt;</v>
      </c>
    </row>
    <row r="10165" spans="1:1" x14ac:dyDescent="0.2">
      <c r="A10165" s="996" t="str">
        <f>CONCATENATE(Programme!D10166,Programme!E10166,Programme!F10166,Programme!G10166,Programme!H10166,Programme!I10166,Programme!J10166)</f>
        <v>&lt;valeur&gt;&lt;/valeur&gt;</v>
      </c>
    </row>
    <row r="10166" spans="1:1" x14ac:dyDescent="0.2">
      <c r="A10166" s="996" t="str">
        <f>CONCATENATE(Programme!D10167,Programme!E10167,Programme!F10167,Programme!G10167,Programme!H10167,Programme!I10167,Programme!J10167)</f>
        <v>&lt;numeroLigne&gt;40&lt;/numeroLigne&gt;</v>
      </c>
    </row>
    <row r="10167" spans="1:1" x14ac:dyDescent="0.2">
      <c r="A10167" s="996" t="str">
        <f>CONCATENATE(Programme!D10168,Programme!E10168,Programme!F10168,Programme!G10168,Programme!H10168,Programme!I10168,Programme!J10168)</f>
        <v>&lt;/ValeurCellule&gt;</v>
      </c>
    </row>
    <row r="10168" spans="1:1" x14ac:dyDescent="0.2">
      <c r="A10168" s="996" t="str">
        <f>CONCATENATE(Programme!D10169,Programme!E10169,Programme!F10169,Programme!G10169,Programme!H10169,Programme!I10169,Programme!J10169)</f>
        <v>&lt;ValeurCellule&gt;</v>
      </c>
    </row>
    <row r="10169" spans="1:1" x14ac:dyDescent="0.2">
      <c r="A10169" s="996" t="str">
        <f>CONCATENATE(Programme!D10170,Programme!E10170,Programme!F10170,Programme!G10170,Programme!H10170,Programme!I10170,Programme!J10170)</f>
        <v>&lt;cellule&gt;&lt;codeEdi&gt;1083&lt;/codeEdi&gt;&lt;/cellule&gt;</v>
      </c>
    </row>
    <row r="10170" spans="1:1" x14ac:dyDescent="0.2">
      <c r="A10170" s="996" t="str">
        <f>CONCATENATE(Programme!D10171,Programme!E10171,Programme!F10171,Programme!G10171,Programme!H10171,Programme!I10171,Programme!J10171)</f>
        <v>&lt;valeur&gt;&lt;/valeur&gt;</v>
      </c>
    </row>
    <row r="10171" spans="1:1" x14ac:dyDescent="0.2">
      <c r="A10171" s="996" t="str">
        <f>CONCATENATE(Programme!D10172,Programme!E10172,Programme!F10172,Programme!G10172,Programme!H10172,Programme!I10172,Programme!J10172)</f>
        <v>&lt;numeroLigne&gt;40&lt;/numeroLigne&gt;</v>
      </c>
    </row>
    <row r="10172" spans="1:1" x14ac:dyDescent="0.2">
      <c r="A10172" s="996" t="str">
        <f>CONCATENATE(Programme!D10173,Programme!E10173,Programme!F10173,Programme!G10173,Programme!H10173,Programme!I10173,Programme!J10173)</f>
        <v>&lt;/ValeurCellule&gt;</v>
      </c>
    </row>
    <row r="10173" spans="1:1" x14ac:dyDescent="0.2">
      <c r="A10173" s="996" t="str">
        <f>CONCATENATE(Programme!D10174,Programme!E10174,Programme!F10174,Programme!G10174,Programme!H10174,Programme!I10174,Programme!J10174)</f>
        <v>&lt;ValeurCellule&gt;</v>
      </c>
    </row>
    <row r="10174" spans="1:1" x14ac:dyDescent="0.2">
      <c r="A10174" s="996" t="str">
        <f>CONCATENATE(Programme!D10175,Programme!E10175,Programme!F10175,Programme!G10175,Programme!H10175,Programme!I10175,Programme!J10175)</f>
        <v>&lt;cellule&gt;&lt;codeEdi&gt;1084&lt;/codeEdi&gt;&lt;/cellule&gt;</v>
      </c>
    </row>
    <row r="10175" spans="1:1" x14ac:dyDescent="0.2">
      <c r="A10175" s="996" t="str">
        <f>CONCATENATE(Programme!D10176,Programme!E10176,Programme!F10176,Programme!G10176,Programme!H10176,Programme!I10176,Programme!J10176)</f>
        <v>&lt;valeur&gt;&lt;/valeur&gt;</v>
      </c>
    </row>
    <row r="10176" spans="1:1" x14ac:dyDescent="0.2">
      <c r="A10176" s="996" t="str">
        <f>CONCATENATE(Programme!D10177,Programme!E10177,Programme!F10177,Programme!G10177,Programme!H10177,Programme!I10177,Programme!J10177)</f>
        <v>&lt;numeroLigne&gt;40&lt;/numeroLigne&gt;</v>
      </c>
    </row>
    <row r="10177" spans="1:1" x14ac:dyDescent="0.2">
      <c r="A10177" s="996" t="str">
        <f>CONCATENATE(Programme!D10178,Programme!E10178,Programme!F10178,Programme!G10178,Programme!H10178,Programme!I10178,Programme!J10178)</f>
        <v>&lt;/ValeurCellule&gt;</v>
      </c>
    </row>
    <row r="10178" spans="1:1" x14ac:dyDescent="0.2">
      <c r="A10178" s="996" t="str">
        <f>CONCATENATE(Programme!D10179,Programme!E10179,Programme!F10179,Programme!G10179,Programme!H10179,Programme!I10179,Programme!J10179)</f>
        <v>&lt;ValeurCellule&gt;</v>
      </c>
    </row>
    <row r="10179" spans="1:1" x14ac:dyDescent="0.2">
      <c r="A10179" s="996" t="str">
        <f>CONCATENATE(Programme!D10180,Programme!E10180,Programme!F10180,Programme!G10180,Programme!H10180,Programme!I10180,Programme!J10180)</f>
        <v>&lt;cellule&gt;&lt;codeEdi&gt;1085&lt;/codeEdi&gt;&lt;/cellule&gt;</v>
      </c>
    </row>
    <row r="10180" spans="1:1" x14ac:dyDescent="0.2">
      <c r="A10180" s="996" t="str">
        <f>CONCATENATE(Programme!D10181,Programme!E10181,Programme!F10181,Programme!G10181,Programme!H10181,Programme!I10181,Programme!J10181)</f>
        <v>&lt;valeur&gt;&lt;/valeur&gt;</v>
      </c>
    </row>
    <row r="10181" spans="1:1" x14ac:dyDescent="0.2">
      <c r="A10181" s="996" t="str">
        <f>CONCATENATE(Programme!D10182,Programme!E10182,Programme!F10182,Programme!G10182,Programme!H10182,Programme!I10182,Programme!J10182)</f>
        <v>&lt;numeroLigne&gt;40&lt;/numeroLigne&gt;</v>
      </c>
    </row>
    <row r="10182" spans="1:1" x14ac:dyDescent="0.2">
      <c r="A10182" s="996" t="str">
        <f>CONCATENATE(Programme!D10183,Programme!E10183,Programme!F10183,Programme!G10183,Programme!H10183,Programme!I10183,Programme!J10183)</f>
        <v>&lt;/ValeurCellule&gt;</v>
      </c>
    </row>
    <row r="10183" spans="1:1" x14ac:dyDescent="0.2">
      <c r="A10183" s="996" t="str">
        <f>CONCATENATE(Programme!D10184,Programme!E10184,Programme!F10184,Programme!G10184,Programme!H10184,Programme!I10184,Programme!J10184)</f>
        <v>&lt;ValeurCellule&gt;</v>
      </c>
    </row>
    <row r="10184" spans="1:1" x14ac:dyDescent="0.2">
      <c r="A10184" s="996" t="str">
        <f>CONCATENATE(Programme!D10185,Programme!E10185,Programme!F10185,Programme!G10185,Programme!H10185,Programme!I10185,Programme!J10185)</f>
        <v>&lt;cellule&gt;&lt;codeEdi&gt;1086&lt;/codeEdi&gt;&lt;/cellule&gt;</v>
      </c>
    </row>
    <row r="10185" spans="1:1" x14ac:dyDescent="0.2">
      <c r="A10185" s="996" t="str">
        <f>CONCATENATE(Programme!D10186,Programme!E10186,Programme!F10186,Programme!G10186,Programme!H10186,Programme!I10186,Programme!J10186)</f>
        <v>&lt;valeur&gt;&lt;/valeur&gt;</v>
      </c>
    </row>
    <row r="10186" spans="1:1" x14ac:dyDescent="0.2">
      <c r="A10186" s="996" t="str">
        <f>CONCATENATE(Programme!D10187,Programme!E10187,Programme!F10187,Programme!G10187,Programme!H10187,Programme!I10187,Programme!J10187)</f>
        <v>&lt;numeroLigne&gt;40&lt;/numeroLigne&gt;</v>
      </c>
    </row>
    <row r="10187" spans="1:1" x14ac:dyDescent="0.2">
      <c r="A10187" s="996" t="str">
        <f>CONCATENATE(Programme!D10188,Programme!E10188,Programme!F10188,Programme!G10188,Programme!H10188,Programme!I10188,Programme!J10188)</f>
        <v>&lt;/ValeurCellule&gt;</v>
      </c>
    </row>
    <row r="10188" spans="1:1" x14ac:dyDescent="0.2">
      <c r="A10188" s="996" t="str">
        <f>CONCATENATE(Programme!D10189,Programme!E10189,Programme!F10189,Programme!G10189,Programme!H10189,Programme!I10189,Programme!J10189)</f>
        <v>&lt;ValeurCellule&gt;</v>
      </c>
    </row>
    <row r="10189" spans="1:1" x14ac:dyDescent="0.2">
      <c r="A10189" s="996" t="str">
        <f>CONCATENATE(Programme!D10190,Programme!E10190,Programme!F10190,Programme!G10190,Programme!H10190,Programme!I10190,Programme!J10190)</f>
        <v>&lt;cellule&gt;&lt;codeEdi&gt;10061&lt;/codeEdi&gt;&lt;/cellule&gt;</v>
      </c>
    </row>
    <row r="10190" spans="1:1" x14ac:dyDescent="0.2">
      <c r="A10190" s="996" t="str">
        <f>CONCATENATE(Programme!D10191,Programme!E10191,Programme!F10191,Programme!G10191,Programme!H10191,Programme!I10191,Programme!J10191)</f>
        <v>&lt;valeur&gt;&lt;/valeur&gt;</v>
      </c>
    </row>
    <row r="10191" spans="1:1" x14ac:dyDescent="0.2">
      <c r="A10191" s="996" t="str">
        <f>CONCATENATE(Programme!D10192,Programme!E10192,Programme!F10192,Programme!G10192,Programme!H10192,Programme!I10192,Programme!J10192)</f>
        <v>&lt;numeroLigne&gt;41&lt;/numeroLigne&gt;</v>
      </c>
    </row>
    <row r="10192" spans="1:1" x14ac:dyDescent="0.2">
      <c r="A10192" s="996" t="str">
        <f>CONCATENATE(Programme!D10193,Programme!E10193,Programme!F10193,Programme!G10193,Programme!H10193,Programme!I10193,Programme!J10193)</f>
        <v>&lt;/ValeurCellule&gt;</v>
      </c>
    </row>
    <row r="10193" spans="1:1" x14ac:dyDescent="0.2">
      <c r="A10193" s="996" t="str">
        <f>CONCATENATE(Programme!D10194,Programme!E10194,Programme!F10194,Programme!G10194,Programme!H10194,Programme!I10194,Programme!J10194)</f>
        <v>&lt;ValeurCellule&gt;</v>
      </c>
    </row>
    <row r="10194" spans="1:1" x14ac:dyDescent="0.2">
      <c r="A10194" s="996" t="str">
        <f>CONCATENATE(Programme!D10195,Programme!E10195,Programme!F10195,Programme!G10195,Programme!H10195,Programme!I10195,Programme!J10195)</f>
        <v>&lt;cellule&gt;&lt;codeEdi&gt;1078&lt;/codeEdi&gt;&lt;/cellule&gt;</v>
      </c>
    </row>
    <row r="10195" spans="1:1" x14ac:dyDescent="0.2">
      <c r="A10195" s="996" t="str">
        <f>CONCATENATE(Programme!D10196,Programme!E10196,Programme!F10196,Programme!G10196,Programme!H10196,Programme!I10196,Programme!J10196)</f>
        <v>&lt;valeur&gt;&lt;/valeur&gt;</v>
      </c>
    </row>
    <row r="10196" spans="1:1" x14ac:dyDescent="0.2">
      <c r="A10196" s="996" t="str">
        <f>CONCATENATE(Programme!D10197,Programme!E10197,Programme!F10197,Programme!G10197,Programme!H10197,Programme!I10197,Programme!J10197)</f>
        <v>&lt;numeroLigne&gt;41&lt;/numeroLigne&gt;</v>
      </c>
    </row>
    <row r="10197" spans="1:1" x14ac:dyDescent="0.2">
      <c r="A10197" s="996" t="str">
        <f>CONCATENATE(Programme!D10198,Programme!E10198,Programme!F10198,Programme!G10198,Programme!H10198,Programme!I10198,Programme!J10198)</f>
        <v>&lt;/ValeurCellule&gt;</v>
      </c>
    </row>
    <row r="10198" spans="1:1" x14ac:dyDescent="0.2">
      <c r="A10198" s="996" t="str">
        <f>CONCATENATE(Programme!D10199,Programme!E10199,Programme!F10199,Programme!G10199,Programme!H10199,Programme!I10199,Programme!J10199)</f>
        <v>&lt;ValeurCellule&gt;</v>
      </c>
    </row>
    <row r="10199" spans="1:1" x14ac:dyDescent="0.2">
      <c r="A10199" s="996" t="str">
        <f>CONCATENATE(Programme!D10200,Programme!E10200,Programme!F10200,Programme!G10200,Programme!H10200,Programme!I10200,Programme!J10200)</f>
        <v>&lt;cellule&gt;&lt;codeEdi&gt;1079&lt;/codeEdi&gt;&lt;/cellule&gt;</v>
      </c>
    </row>
    <row r="10200" spans="1:1" x14ac:dyDescent="0.2">
      <c r="A10200" s="996" t="str">
        <f>CONCATENATE(Programme!D10201,Programme!E10201,Programme!F10201,Programme!G10201,Programme!H10201,Programme!I10201,Programme!J10201)</f>
        <v>&lt;valeur&gt;&lt;/valeur&gt;</v>
      </c>
    </row>
    <row r="10201" spans="1:1" x14ac:dyDescent="0.2">
      <c r="A10201" s="996" t="str">
        <f>CONCATENATE(Programme!D10202,Programme!E10202,Programme!F10202,Programme!G10202,Programme!H10202,Programme!I10202,Programme!J10202)</f>
        <v>&lt;numeroLigne&gt;41&lt;/numeroLigne&gt;</v>
      </c>
    </row>
    <row r="10202" spans="1:1" x14ac:dyDescent="0.2">
      <c r="A10202" s="996" t="str">
        <f>CONCATENATE(Programme!D10203,Programme!E10203,Programme!F10203,Programme!G10203,Programme!H10203,Programme!I10203,Programme!J10203)</f>
        <v>&lt;/ValeurCellule&gt;</v>
      </c>
    </row>
    <row r="10203" spans="1:1" x14ac:dyDescent="0.2">
      <c r="A10203" s="996" t="str">
        <f>CONCATENATE(Programme!D10204,Programme!E10204,Programme!F10204,Programme!G10204,Programme!H10204,Programme!I10204,Programme!J10204)</f>
        <v>&lt;ValeurCellule&gt;</v>
      </c>
    </row>
    <row r="10204" spans="1:1" x14ac:dyDescent="0.2">
      <c r="A10204" s="996" t="str">
        <f>CONCATENATE(Programme!D10205,Programme!E10205,Programme!F10205,Programme!G10205,Programme!H10205,Programme!I10205,Programme!J10205)</f>
        <v>&lt;cellule&gt;&lt;codeEdi&gt;1080&lt;/codeEdi&gt;&lt;/cellule&gt;</v>
      </c>
    </row>
    <row r="10205" spans="1:1" x14ac:dyDescent="0.2">
      <c r="A10205" s="996" t="str">
        <f>CONCATENATE(Programme!D10206,Programme!E10206,Programme!F10206,Programme!G10206,Programme!H10206,Programme!I10206,Programme!J10206)</f>
        <v>&lt;valeur&gt;&lt;/valeur&gt;</v>
      </c>
    </row>
    <row r="10206" spans="1:1" x14ac:dyDescent="0.2">
      <c r="A10206" s="996" t="str">
        <f>CONCATENATE(Programme!D10207,Programme!E10207,Programme!F10207,Programme!G10207,Programme!H10207,Programme!I10207,Programme!J10207)</f>
        <v>&lt;numeroLigne&gt;41&lt;/numeroLigne&gt;</v>
      </c>
    </row>
    <row r="10207" spans="1:1" x14ac:dyDescent="0.2">
      <c r="A10207" s="996" t="str">
        <f>CONCATENATE(Programme!D10208,Programme!E10208,Programme!F10208,Programme!G10208,Programme!H10208,Programme!I10208,Programme!J10208)</f>
        <v>&lt;/ValeurCellule&gt;</v>
      </c>
    </row>
    <row r="10208" spans="1:1" x14ac:dyDescent="0.2">
      <c r="A10208" s="996" t="str">
        <f>CONCATENATE(Programme!D10209,Programme!E10209,Programme!F10209,Programme!G10209,Programme!H10209,Programme!I10209,Programme!J10209)</f>
        <v>&lt;ValeurCellule&gt;</v>
      </c>
    </row>
    <row r="10209" spans="1:1" x14ac:dyDescent="0.2">
      <c r="A10209" s="996" t="str">
        <f>CONCATENATE(Programme!D10210,Programme!E10210,Programme!F10210,Programme!G10210,Programme!H10210,Programme!I10210,Programme!J10210)</f>
        <v>&lt;cellule&gt;&lt;codeEdi&gt;1081&lt;/codeEdi&gt;&lt;/cellule&gt;</v>
      </c>
    </row>
    <row r="10210" spans="1:1" x14ac:dyDescent="0.2">
      <c r="A10210" s="996" t="str">
        <f>CONCATENATE(Programme!D10211,Programme!E10211,Programme!F10211,Programme!G10211,Programme!H10211,Programme!I10211,Programme!J10211)</f>
        <v>&lt;valeur&gt;&lt;/valeur&gt;</v>
      </c>
    </row>
    <row r="10211" spans="1:1" x14ac:dyDescent="0.2">
      <c r="A10211" s="996" t="str">
        <f>CONCATENATE(Programme!D10212,Programme!E10212,Programme!F10212,Programme!G10212,Programme!H10212,Programme!I10212,Programme!J10212)</f>
        <v>&lt;numeroLigne&gt;41&lt;/numeroLigne&gt;</v>
      </c>
    </row>
    <row r="10212" spans="1:1" x14ac:dyDescent="0.2">
      <c r="A10212" s="996" t="str">
        <f>CONCATENATE(Programme!D10213,Programme!E10213,Programme!F10213,Programme!G10213,Programme!H10213,Programme!I10213,Programme!J10213)</f>
        <v>&lt;/ValeurCellule&gt;</v>
      </c>
    </row>
    <row r="10213" spans="1:1" x14ac:dyDescent="0.2">
      <c r="A10213" s="996" t="str">
        <f>CONCATENATE(Programme!D10214,Programme!E10214,Programme!F10214,Programme!G10214,Programme!H10214,Programme!I10214,Programme!J10214)</f>
        <v>&lt;ValeurCellule&gt;</v>
      </c>
    </row>
    <row r="10214" spans="1:1" x14ac:dyDescent="0.2">
      <c r="A10214" s="996" t="str">
        <f>CONCATENATE(Programme!D10215,Programme!E10215,Programme!F10215,Programme!G10215,Programme!H10215,Programme!I10215,Programme!J10215)</f>
        <v>&lt;cellule&gt;&lt;codeEdi&gt;1082&lt;/codeEdi&gt;&lt;/cellule&gt;</v>
      </c>
    </row>
    <row r="10215" spans="1:1" x14ac:dyDescent="0.2">
      <c r="A10215" s="996" t="str">
        <f>CONCATENATE(Programme!D10216,Programme!E10216,Programme!F10216,Programme!G10216,Programme!H10216,Programme!I10216,Programme!J10216)</f>
        <v>&lt;valeur&gt;&lt;/valeur&gt;</v>
      </c>
    </row>
    <row r="10216" spans="1:1" x14ac:dyDescent="0.2">
      <c r="A10216" s="996" t="str">
        <f>CONCATENATE(Programme!D10217,Programme!E10217,Programme!F10217,Programme!G10217,Programme!H10217,Programme!I10217,Programme!J10217)</f>
        <v>&lt;numeroLigne&gt;41&lt;/numeroLigne&gt;</v>
      </c>
    </row>
    <row r="10217" spans="1:1" x14ac:dyDescent="0.2">
      <c r="A10217" s="996" t="str">
        <f>CONCATENATE(Programme!D10218,Programme!E10218,Programme!F10218,Programme!G10218,Programme!H10218,Programme!I10218,Programme!J10218)</f>
        <v>&lt;/ValeurCellule&gt;</v>
      </c>
    </row>
    <row r="10218" spans="1:1" x14ac:dyDescent="0.2">
      <c r="A10218" s="996" t="str">
        <f>CONCATENATE(Programme!D10219,Programme!E10219,Programme!F10219,Programme!G10219,Programme!H10219,Programme!I10219,Programme!J10219)</f>
        <v>&lt;ValeurCellule&gt;</v>
      </c>
    </row>
    <row r="10219" spans="1:1" x14ac:dyDescent="0.2">
      <c r="A10219" s="996" t="str">
        <f>CONCATENATE(Programme!D10220,Programme!E10220,Programme!F10220,Programme!G10220,Programme!H10220,Programme!I10220,Programme!J10220)</f>
        <v>&lt;cellule&gt;&lt;codeEdi&gt;1083&lt;/codeEdi&gt;&lt;/cellule&gt;</v>
      </c>
    </row>
    <row r="10220" spans="1:1" x14ac:dyDescent="0.2">
      <c r="A10220" s="996" t="str">
        <f>CONCATENATE(Programme!D10221,Programme!E10221,Programme!F10221,Programme!G10221,Programme!H10221,Programme!I10221,Programme!J10221)</f>
        <v>&lt;valeur&gt;&lt;/valeur&gt;</v>
      </c>
    </row>
    <row r="10221" spans="1:1" x14ac:dyDescent="0.2">
      <c r="A10221" s="996" t="str">
        <f>CONCATENATE(Programme!D10222,Programme!E10222,Programme!F10222,Programme!G10222,Programme!H10222,Programme!I10222,Programme!J10222)</f>
        <v>&lt;numeroLigne&gt;41&lt;/numeroLigne&gt;</v>
      </c>
    </row>
    <row r="10222" spans="1:1" x14ac:dyDescent="0.2">
      <c r="A10222" s="996" t="str">
        <f>CONCATENATE(Programme!D10223,Programme!E10223,Programme!F10223,Programme!G10223,Programme!H10223,Programme!I10223,Programme!J10223)</f>
        <v>&lt;/ValeurCellule&gt;</v>
      </c>
    </row>
    <row r="10223" spans="1:1" x14ac:dyDescent="0.2">
      <c r="A10223" s="996" t="str">
        <f>CONCATENATE(Programme!D10224,Programme!E10224,Programme!F10224,Programme!G10224,Programme!H10224,Programme!I10224,Programme!J10224)</f>
        <v>&lt;ValeurCellule&gt;</v>
      </c>
    </row>
    <row r="10224" spans="1:1" x14ac:dyDescent="0.2">
      <c r="A10224" s="996" t="str">
        <f>CONCATENATE(Programme!D10225,Programme!E10225,Programme!F10225,Programme!G10225,Programme!H10225,Programme!I10225,Programme!J10225)</f>
        <v>&lt;cellule&gt;&lt;codeEdi&gt;1084&lt;/codeEdi&gt;&lt;/cellule&gt;</v>
      </c>
    </row>
    <row r="10225" spans="1:1" x14ac:dyDescent="0.2">
      <c r="A10225" s="996" t="str">
        <f>CONCATENATE(Programme!D10226,Programme!E10226,Programme!F10226,Programme!G10226,Programme!H10226,Programme!I10226,Programme!J10226)</f>
        <v>&lt;valeur&gt;&lt;/valeur&gt;</v>
      </c>
    </row>
    <row r="10226" spans="1:1" x14ac:dyDescent="0.2">
      <c r="A10226" s="996" t="str">
        <f>CONCATENATE(Programme!D10227,Programme!E10227,Programme!F10227,Programme!G10227,Programme!H10227,Programme!I10227,Programme!J10227)</f>
        <v>&lt;numeroLigne&gt;41&lt;/numeroLigne&gt;</v>
      </c>
    </row>
    <row r="10227" spans="1:1" x14ac:dyDescent="0.2">
      <c r="A10227" s="996" t="str">
        <f>CONCATENATE(Programme!D10228,Programme!E10228,Programme!F10228,Programme!G10228,Programme!H10228,Programme!I10228,Programme!J10228)</f>
        <v>&lt;/ValeurCellule&gt;</v>
      </c>
    </row>
    <row r="10228" spans="1:1" x14ac:dyDescent="0.2">
      <c r="A10228" s="996" t="str">
        <f>CONCATENATE(Programme!D10229,Programme!E10229,Programme!F10229,Programme!G10229,Programme!H10229,Programme!I10229,Programme!J10229)</f>
        <v>&lt;ValeurCellule&gt;</v>
      </c>
    </row>
    <row r="10229" spans="1:1" x14ac:dyDescent="0.2">
      <c r="A10229" s="996" t="str">
        <f>CONCATENATE(Programme!D10230,Programme!E10230,Programme!F10230,Programme!G10230,Programme!H10230,Programme!I10230,Programme!J10230)</f>
        <v>&lt;cellule&gt;&lt;codeEdi&gt;1085&lt;/codeEdi&gt;&lt;/cellule&gt;</v>
      </c>
    </row>
    <row r="10230" spans="1:1" x14ac:dyDescent="0.2">
      <c r="A10230" s="996" t="str">
        <f>CONCATENATE(Programme!D10231,Programme!E10231,Programme!F10231,Programme!G10231,Programme!H10231,Programme!I10231,Programme!J10231)</f>
        <v>&lt;valeur&gt;&lt;/valeur&gt;</v>
      </c>
    </row>
    <row r="10231" spans="1:1" x14ac:dyDescent="0.2">
      <c r="A10231" s="996" t="str">
        <f>CONCATENATE(Programme!D10232,Programme!E10232,Programme!F10232,Programme!G10232,Programme!H10232,Programme!I10232,Programme!J10232)</f>
        <v>&lt;numeroLigne&gt;41&lt;/numeroLigne&gt;</v>
      </c>
    </row>
    <row r="10232" spans="1:1" x14ac:dyDescent="0.2">
      <c r="A10232" s="996" t="str">
        <f>CONCATENATE(Programme!D10233,Programme!E10233,Programme!F10233,Programme!G10233,Programme!H10233,Programme!I10233,Programme!J10233)</f>
        <v>&lt;/ValeurCellule&gt;</v>
      </c>
    </row>
    <row r="10233" spans="1:1" x14ac:dyDescent="0.2">
      <c r="A10233" s="996" t="str">
        <f>CONCATENATE(Programme!D10234,Programme!E10234,Programme!F10234,Programme!G10234,Programme!H10234,Programme!I10234,Programme!J10234)</f>
        <v>&lt;ValeurCellule&gt;</v>
      </c>
    </row>
    <row r="10234" spans="1:1" x14ac:dyDescent="0.2">
      <c r="A10234" s="996" t="str">
        <f>CONCATENATE(Programme!D10235,Programme!E10235,Programme!F10235,Programme!G10235,Programme!H10235,Programme!I10235,Programme!J10235)</f>
        <v>&lt;cellule&gt;&lt;codeEdi&gt;1086&lt;/codeEdi&gt;&lt;/cellule&gt;</v>
      </c>
    </row>
    <row r="10235" spans="1:1" x14ac:dyDescent="0.2">
      <c r="A10235" s="996" t="str">
        <f>CONCATENATE(Programme!D10236,Programme!E10236,Programme!F10236,Programme!G10236,Programme!H10236,Programme!I10236,Programme!J10236)</f>
        <v>&lt;valeur&gt;&lt;/valeur&gt;</v>
      </c>
    </row>
    <row r="10236" spans="1:1" x14ac:dyDescent="0.2">
      <c r="A10236" s="996" t="str">
        <f>CONCATENATE(Programme!D10237,Programme!E10237,Programme!F10237,Programme!G10237,Programme!H10237,Programme!I10237,Programme!J10237)</f>
        <v>&lt;numeroLigne&gt;41&lt;/numeroLigne&gt;</v>
      </c>
    </row>
    <row r="10237" spans="1:1" x14ac:dyDescent="0.2">
      <c r="A10237" s="996" t="str">
        <f>CONCATENATE(Programme!D10238,Programme!E10238,Programme!F10238,Programme!G10238,Programme!H10238,Programme!I10238,Programme!J10238)</f>
        <v>&lt;/ValeurCellule&gt;</v>
      </c>
    </row>
    <row r="10238" spans="1:1" x14ac:dyDescent="0.2">
      <c r="A10238" s="996" t="str">
        <f>CONCATENATE(Programme!D10239,Programme!E10239,Programme!F10239,Programme!G10239,Programme!H10239,Programme!I10239,Programme!J10239)</f>
        <v>&lt;ValeurCellule&gt;</v>
      </c>
    </row>
    <row r="10239" spans="1:1" x14ac:dyDescent="0.2">
      <c r="A10239" s="996" t="str">
        <f>CONCATENATE(Programme!D10240,Programme!E10240,Programme!F10240,Programme!G10240,Programme!H10240,Programme!I10240,Programme!J10240)</f>
        <v>&lt;cellule&gt;&lt;codeEdi&gt;10061&lt;/codeEdi&gt;&lt;/cellule&gt;</v>
      </c>
    </row>
    <row r="10240" spans="1:1" x14ac:dyDescent="0.2">
      <c r="A10240" s="996" t="str">
        <f>CONCATENATE(Programme!D10241,Programme!E10241,Programme!F10241,Programme!G10241,Programme!H10241,Programme!I10241,Programme!J10241)</f>
        <v>&lt;valeur&gt;&lt;/valeur&gt;</v>
      </c>
    </row>
    <row r="10241" spans="1:1" x14ac:dyDescent="0.2">
      <c r="A10241" s="996" t="str">
        <f>CONCATENATE(Programme!D10242,Programme!E10242,Programme!F10242,Programme!G10242,Programme!H10242,Programme!I10242,Programme!J10242)</f>
        <v>&lt;numeroLigne&gt;42&lt;/numeroLigne&gt;</v>
      </c>
    </row>
    <row r="10242" spans="1:1" x14ac:dyDescent="0.2">
      <c r="A10242" s="996" t="str">
        <f>CONCATENATE(Programme!D10243,Programme!E10243,Programme!F10243,Programme!G10243,Programme!H10243,Programme!I10243,Programme!J10243)</f>
        <v>&lt;/ValeurCellule&gt;</v>
      </c>
    </row>
    <row r="10243" spans="1:1" x14ac:dyDescent="0.2">
      <c r="A10243" s="996" t="str">
        <f>CONCATENATE(Programme!D10244,Programme!E10244,Programme!F10244,Programme!G10244,Programme!H10244,Programme!I10244,Programme!J10244)</f>
        <v>&lt;ValeurCellule&gt;</v>
      </c>
    </row>
    <row r="10244" spans="1:1" x14ac:dyDescent="0.2">
      <c r="A10244" s="996" t="str">
        <f>CONCATENATE(Programme!D10245,Programme!E10245,Programme!F10245,Programme!G10245,Programme!H10245,Programme!I10245,Programme!J10245)</f>
        <v>&lt;cellule&gt;&lt;codeEdi&gt;1078&lt;/codeEdi&gt;&lt;/cellule&gt;</v>
      </c>
    </row>
    <row r="10245" spans="1:1" x14ac:dyDescent="0.2">
      <c r="A10245" s="996" t="str">
        <f>CONCATENATE(Programme!D10246,Programme!E10246,Programme!F10246,Programme!G10246,Programme!H10246,Programme!I10246,Programme!J10246)</f>
        <v>&lt;valeur&gt;&lt;/valeur&gt;</v>
      </c>
    </row>
    <row r="10246" spans="1:1" x14ac:dyDescent="0.2">
      <c r="A10246" s="996" t="str">
        <f>CONCATENATE(Programme!D10247,Programme!E10247,Programme!F10247,Programme!G10247,Programme!H10247,Programme!I10247,Programme!J10247)</f>
        <v>&lt;numeroLigne&gt;42&lt;/numeroLigne&gt;</v>
      </c>
    </row>
    <row r="10247" spans="1:1" x14ac:dyDescent="0.2">
      <c r="A10247" s="996" t="str">
        <f>CONCATENATE(Programme!D10248,Programme!E10248,Programme!F10248,Programme!G10248,Programme!H10248,Programme!I10248,Programme!J10248)</f>
        <v>&lt;/ValeurCellule&gt;</v>
      </c>
    </row>
    <row r="10248" spans="1:1" x14ac:dyDescent="0.2">
      <c r="A10248" s="996" t="str">
        <f>CONCATENATE(Programme!D10249,Programme!E10249,Programme!F10249,Programme!G10249,Programme!H10249,Programme!I10249,Programme!J10249)</f>
        <v>&lt;ValeurCellule&gt;</v>
      </c>
    </row>
    <row r="10249" spans="1:1" x14ac:dyDescent="0.2">
      <c r="A10249" s="996" t="str">
        <f>CONCATENATE(Programme!D10250,Programme!E10250,Programme!F10250,Programme!G10250,Programme!H10250,Programme!I10250,Programme!J10250)</f>
        <v>&lt;cellule&gt;&lt;codeEdi&gt;1079&lt;/codeEdi&gt;&lt;/cellule&gt;</v>
      </c>
    </row>
    <row r="10250" spans="1:1" x14ac:dyDescent="0.2">
      <c r="A10250" s="996" t="str">
        <f>CONCATENATE(Programme!D10251,Programme!E10251,Programme!F10251,Programme!G10251,Programme!H10251,Programme!I10251,Programme!J10251)</f>
        <v>&lt;valeur&gt;&lt;/valeur&gt;</v>
      </c>
    </row>
    <row r="10251" spans="1:1" x14ac:dyDescent="0.2">
      <c r="A10251" s="996" t="str">
        <f>CONCATENATE(Programme!D10252,Programme!E10252,Programme!F10252,Programme!G10252,Programme!H10252,Programme!I10252,Programme!J10252)</f>
        <v>&lt;numeroLigne&gt;42&lt;/numeroLigne&gt;</v>
      </c>
    </row>
    <row r="10252" spans="1:1" x14ac:dyDescent="0.2">
      <c r="A10252" s="996" t="str">
        <f>CONCATENATE(Programme!D10253,Programme!E10253,Programme!F10253,Programme!G10253,Programme!H10253,Programme!I10253,Programme!J10253)</f>
        <v>&lt;/ValeurCellule&gt;</v>
      </c>
    </row>
    <row r="10253" spans="1:1" x14ac:dyDescent="0.2">
      <c r="A10253" s="996" t="str">
        <f>CONCATENATE(Programme!D10254,Programme!E10254,Programme!F10254,Programme!G10254,Programme!H10254,Programme!I10254,Programme!J10254)</f>
        <v>&lt;ValeurCellule&gt;</v>
      </c>
    </row>
    <row r="10254" spans="1:1" x14ac:dyDescent="0.2">
      <c r="A10254" s="996" t="str">
        <f>CONCATENATE(Programme!D10255,Programme!E10255,Programme!F10255,Programme!G10255,Programme!H10255,Programme!I10255,Programme!J10255)</f>
        <v>&lt;cellule&gt;&lt;codeEdi&gt;1080&lt;/codeEdi&gt;&lt;/cellule&gt;</v>
      </c>
    </row>
    <row r="10255" spans="1:1" x14ac:dyDescent="0.2">
      <c r="A10255" s="996" t="str">
        <f>CONCATENATE(Programme!D10256,Programme!E10256,Programme!F10256,Programme!G10256,Programme!H10256,Programme!I10256,Programme!J10256)</f>
        <v>&lt;valeur&gt;&lt;/valeur&gt;</v>
      </c>
    </row>
    <row r="10256" spans="1:1" x14ac:dyDescent="0.2">
      <c r="A10256" s="996" t="str">
        <f>CONCATENATE(Programme!D10257,Programme!E10257,Programme!F10257,Programme!G10257,Programme!H10257,Programme!I10257,Programme!J10257)</f>
        <v>&lt;numeroLigne&gt;42&lt;/numeroLigne&gt;</v>
      </c>
    </row>
    <row r="10257" spans="1:1" x14ac:dyDescent="0.2">
      <c r="A10257" s="996" t="str">
        <f>CONCATENATE(Programme!D10258,Programme!E10258,Programme!F10258,Programme!G10258,Programme!H10258,Programme!I10258,Programme!J10258)</f>
        <v>&lt;/ValeurCellule&gt;</v>
      </c>
    </row>
    <row r="10258" spans="1:1" x14ac:dyDescent="0.2">
      <c r="A10258" s="996" t="str">
        <f>CONCATENATE(Programme!D10259,Programme!E10259,Programme!F10259,Programme!G10259,Programme!H10259,Programme!I10259,Programme!J10259)</f>
        <v>&lt;ValeurCellule&gt;</v>
      </c>
    </row>
    <row r="10259" spans="1:1" x14ac:dyDescent="0.2">
      <c r="A10259" s="996" t="str">
        <f>CONCATENATE(Programme!D10260,Programme!E10260,Programme!F10260,Programme!G10260,Programme!H10260,Programme!I10260,Programme!J10260)</f>
        <v>&lt;cellule&gt;&lt;codeEdi&gt;1081&lt;/codeEdi&gt;&lt;/cellule&gt;</v>
      </c>
    </row>
    <row r="10260" spans="1:1" x14ac:dyDescent="0.2">
      <c r="A10260" s="996" t="str">
        <f>CONCATENATE(Programme!D10261,Programme!E10261,Programme!F10261,Programme!G10261,Programme!H10261,Programme!I10261,Programme!J10261)</f>
        <v>&lt;valeur&gt;&lt;/valeur&gt;</v>
      </c>
    </row>
    <row r="10261" spans="1:1" x14ac:dyDescent="0.2">
      <c r="A10261" s="996" t="str">
        <f>CONCATENATE(Programme!D10262,Programme!E10262,Programme!F10262,Programme!G10262,Programme!H10262,Programme!I10262,Programme!J10262)</f>
        <v>&lt;numeroLigne&gt;42&lt;/numeroLigne&gt;</v>
      </c>
    </row>
    <row r="10262" spans="1:1" x14ac:dyDescent="0.2">
      <c r="A10262" s="996" t="str">
        <f>CONCATENATE(Programme!D10263,Programme!E10263,Programme!F10263,Programme!G10263,Programme!H10263,Programme!I10263,Programme!J10263)</f>
        <v>&lt;/ValeurCellule&gt;</v>
      </c>
    </row>
    <row r="10263" spans="1:1" x14ac:dyDescent="0.2">
      <c r="A10263" s="996" t="str">
        <f>CONCATENATE(Programme!D10264,Programme!E10264,Programme!F10264,Programme!G10264,Programme!H10264,Programme!I10264,Programme!J10264)</f>
        <v>&lt;ValeurCellule&gt;</v>
      </c>
    </row>
    <row r="10264" spans="1:1" x14ac:dyDescent="0.2">
      <c r="A10264" s="996" t="str">
        <f>CONCATENATE(Programme!D10265,Programme!E10265,Programme!F10265,Programme!G10265,Programme!H10265,Programme!I10265,Programme!J10265)</f>
        <v>&lt;cellule&gt;&lt;codeEdi&gt;1082&lt;/codeEdi&gt;&lt;/cellule&gt;</v>
      </c>
    </row>
    <row r="10265" spans="1:1" x14ac:dyDescent="0.2">
      <c r="A10265" s="996" t="str">
        <f>CONCATENATE(Programme!D10266,Programme!E10266,Programme!F10266,Programme!G10266,Programme!H10266,Programme!I10266,Programme!J10266)</f>
        <v>&lt;valeur&gt;&lt;/valeur&gt;</v>
      </c>
    </row>
    <row r="10266" spans="1:1" x14ac:dyDescent="0.2">
      <c r="A10266" s="996" t="str">
        <f>CONCATENATE(Programme!D10267,Programme!E10267,Programme!F10267,Programme!G10267,Programme!H10267,Programme!I10267,Programme!J10267)</f>
        <v>&lt;numeroLigne&gt;42&lt;/numeroLigne&gt;</v>
      </c>
    </row>
    <row r="10267" spans="1:1" x14ac:dyDescent="0.2">
      <c r="A10267" s="996" t="str">
        <f>CONCATENATE(Programme!D10268,Programme!E10268,Programme!F10268,Programme!G10268,Programme!H10268,Programme!I10268,Programme!J10268)</f>
        <v>&lt;/ValeurCellule&gt;</v>
      </c>
    </row>
    <row r="10268" spans="1:1" x14ac:dyDescent="0.2">
      <c r="A10268" s="996" t="str">
        <f>CONCATENATE(Programme!D10269,Programme!E10269,Programme!F10269,Programme!G10269,Programme!H10269,Programme!I10269,Programme!J10269)</f>
        <v>&lt;ValeurCellule&gt;</v>
      </c>
    </row>
    <row r="10269" spans="1:1" x14ac:dyDescent="0.2">
      <c r="A10269" s="996" t="str">
        <f>CONCATENATE(Programme!D10270,Programme!E10270,Programme!F10270,Programme!G10270,Programme!H10270,Programme!I10270,Programme!J10270)</f>
        <v>&lt;cellule&gt;&lt;codeEdi&gt;1083&lt;/codeEdi&gt;&lt;/cellule&gt;</v>
      </c>
    </row>
    <row r="10270" spans="1:1" x14ac:dyDescent="0.2">
      <c r="A10270" s="996" t="str">
        <f>CONCATENATE(Programme!D10271,Programme!E10271,Programme!F10271,Programme!G10271,Programme!H10271,Programme!I10271,Programme!J10271)</f>
        <v>&lt;valeur&gt;&lt;/valeur&gt;</v>
      </c>
    </row>
    <row r="10271" spans="1:1" x14ac:dyDescent="0.2">
      <c r="A10271" s="996" t="str">
        <f>CONCATENATE(Programme!D10272,Programme!E10272,Programme!F10272,Programme!G10272,Programme!H10272,Programme!I10272,Programme!J10272)</f>
        <v>&lt;numeroLigne&gt;42&lt;/numeroLigne&gt;</v>
      </c>
    </row>
    <row r="10272" spans="1:1" x14ac:dyDescent="0.2">
      <c r="A10272" s="996" t="str">
        <f>CONCATENATE(Programme!D10273,Programme!E10273,Programme!F10273,Programme!G10273,Programme!H10273,Programme!I10273,Programme!J10273)</f>
        <v>&lt;/ValeurCellule&gt;</v>
      </c>
    </row>
    <row r="10273" spans="1:1" x14ac:dyDescent="0.2">
      <c r="A10273" s="996" t="str">
        <f>CONCATENATE(Programme!D10274,Programme!E10274,Programme!F10274,Programme!G10274,Programme!H10274,Programme!I10274,Programme!J10274)</f>
        <v>&lt;ValeurCellule&gt;</v>
      </c>
    </row>
    <row r="10274" spans="1:1" x14ac:dyDescent="0.2">
      <c r="A10274" s="996" t="str">
        <f>CONCATENATE(Programme!D10275,Programme!E10275,Programme!F10275,Programme!G10275,Programme!H10275,Programme!I10275,Programme!J10275)</f>
        <v>&lt;cellule&gt;&lt;codeEdi&gt;1084&lt;/codeEdi&gt;&lt;/cellule&gt;</v>
      </c>
    </row>
    <row r="10275" spans="1:1" x14ac:dyDescent="0.2">
      <c r="A10275" s="996" t="str">
        <f>CONCATENATE(Programme!D10276,Programme!E10276,Programme!F10276,Programme!G10276,Programme!H10276,Programme!I10276,Programme!J10276)</f>
        <v>&lt;valeur&gt;&lt;/valeur&gt;</v>
      </c>
    </row>
    <row r="10276" spans="1:1" x14ac:dyDescent="0.2">
      <c r="A10276" s="996" t="str">
        <f>CONCATENATE(Programme!D10277,Programme!E10277,Programme!F10277,Programme!G10277,Programme!H10277,Programme!I10277,Programme!J10277)</f>
        <v>&lt;numeroLigne&gt;42&lt;/numeroLigne&gt;</v>
      </c>
    </row>
    <row r="10277" spans="1:1" x14ac:dyDescent="0.2">
      <c r="A10277" s="996" t="str">
        <f>CONCATENATE(Programme!D10278,Programme!E10278,Programme!F10278,Programme!G10278,Programme!H10278,Programme!I10278,Programme!J10278)</f>
        <v>&lt;/ValeurCellule&gt;</v>
      </c>
    </row>
    <row r="10278" spans="1:1" x14ac:dyDescent="0.2">
      <c r="A10278" s="996" t="str">
        <f>CONCATENATE(Programme!D10279,Programme!E10279,Programme!F10279,Programme!G10279,Programme!H10279,Programme!I10279,Programme!J10279)</f>
        <v>&lt;ValeurCellule&gt;</v>
      </c>
    </row>
    <row r="10279" spans="1:1" x14ac:dyDescent="0.2">
      <c r="A10279" s="996" t="str">
        <f>CONCATENATE(Programme!D10280,Programme!E10280,Programme!F10280,Programme!G10280,Programme!H10280,Programme!I10280,Programme!J10280)</f>
        <v>&lt;cellule&gt;&lt;codeEdi&gt;1085&lt;/codeEdi&gt;&lt;/cellule&gt;</v>
      </c>
    </row>
    <row r="10280" spans="1:1" x14ac:dyDescent="0.2">
      <c r="A10280" s="996" t="str">
        <f>CONCATENATE(Programme!D10281,Programme!E10281,Programme!F10281,Programme!G10281,Programme!H10281,Programme!I10281,Programme!J10281)</f>
        <v>&lt;valeur&gt;&lt;/valeur&gt;</v>
      </c>
    </row>
    <row r="10281" spans="1:1" x14ac:dyDescent="0.2">
      <c r="A10281" s="996" t="str">
        <f>CONCATENATE(Programme!D10282,Programme!E10282,Programme!F10282,Programme!G10282,Programme!H10282,Programme!I10282,Programme!J10282)</f>
        <v>&lt;numeroLigne&gt;42&lt;/numeroLigne&gt;</v>
      </c>
    </row>
    <row r="10282" spans="1:1" x14ac:dyDescent="0.2">
      <c r="A10282" s="996" t="str">
        <f>CONCATENATE(Programme!D10283,Programme!E10283,Programme!F10283,Programme!G10283,Programme!H10283,Programme!I10283,Programme!J10283)</f>
        <v>&lt;/ValeurCellule&gt;</v>
      </c>
    </row>
    <row r="10283" spans="1:1" x14ac:dyDescent="0.2">
      <c r="A10283" s="996" t="str">
        <f>CONCATENATE(Programme!D10284,Programme!E10284,Programme!F10284,Programme!G10284,Programme!H10284,Programme!I10284,Programme!J10284)</f>
        <v>&lt;ValeurCellule&gt;</v>
      </c>
    </row>
    <row r="10284" spans="1:1" x14ac:dyDescent="0.2">
      <c r="A10284" s="996" t="str">
        <f>CONCATENATE(Programme!D10285,Programme!E10285,Programme!F10285,Programme!G10285,Programme!H10285,Programme!I10285,Programme!J10285)</f>
        <v>&lt;cellule&gt;&lt;codeEdi&gt;1086&lt;/codeEdi&gt;&lt;/cellule&gt;</v>
      </c>
    </row>
    <row r="10285" spans="1:1" x14ac:dyDescent="0.2">
      <c r="A10285" s="996" t="str">
        <f>CONCATENATE(Programme!D10286,Programme!E10286,Programme!F10286,Programme!G10286,Programme!H10286,Programme!I10286,Programme!J10286)</f>
        <v>&lt;valeur&gt;&lt;/valeur&gt;</v>
      </c>
    </row>
    <row r="10286" spans="1:1" x14ac:dyDescent="0.2">
      <c r="A10286" s="996" t="str">
        <f>CONCATENATE(Programme!D10287,Programme!E10287,Programme!F10287,Programme!G10287,Programme!H10287,Programme!I10287,Programme!J10287)</f>
        <v>&lt;numeroLigne&gt;42&lt;/numeroLigne&gt;</v>
      </c>
    </row>
    <row r="10287" spans="1:1" x14ac:dyDescent="0.2">
      <c r="A10287" s="996" t="str">
        <f>CONCATENATE(Programme!D10288,Programme!E10288,Programme!F10288,Programme!G10288,Programme!H10288,Programme!I10288,Programme!J10288)</f>
        <v>&lt;/ValeurCellule&gt;</v>
      </c>
    </row>
    <row r="10288" spans="1:1" x14ac:dyDescent="0.2">
      <c r="A10288" s="996" t="str">
        <f>CONCATENATE(Programme!D10289,Programme!E10289,Programme!F10289,Programme!G10289,Programme!H10289,Programme!I10289,Programme!J10289)</f>
        <v>&lt;ValeurCellule&gt;</v>
      </c>
    </row>
    <row r="10289" spans="1:1" x14ac:dyDescent="0.2">
      <c r="A10289" s="996" t="str">
        <f>CONCATENATE(Programme!D10290,Programme!E10290,Programme!F10290,Programme!G10290,Programme!H10290,Programme!I10290,Programme!J10290)</f>
        <v>&lt;cellule&gt;&lt;codeEdi&gt;10061&lt;/codeEdi&gt;&lt;/cellule&gt;</v>
      </c>
    </row>
    <row r="10290" spans="1:1" x14ac:dyDescent="0.2">
      <c r="A10290" s="996" t="str">
        <f>CONCATENATE(Programme!D10291,Programme!E10291,Programme!F10291,Programme!G10291,Programme!H10291,Programme!I10291,Programme!J10291)</f>
        <v>&lt;valeur&gt;&lt;/valeur&gt;</v>
      </c>
    </row>
    <row r="10291" spans="1:1" x14ac:dyDescent="0.2">
      <c r="A10291" s="996" t="str">
        <f>CONCATENATE(Programme!D10292,Programme!E10292,Programme!F10292,Programme!G10292,Programme!H10292,Programme!I10292,Programme!J10292)</f>
        <v>&lt;numeroLigne&gt;43&lt;/numeroLigne&gt;</v>
      </c>
    </row>
    <row r="10292" spans="1:1" x14ac:dyDescent="0.2">
      <c r="A10292" s="996" t="str">
        <f>CONCATENATE(Programme!D10293,Programme!E10293,Programme!F10293,Programme!G10293,Programme!H10293,Programme!I10293,Programme!J10293)</f>
        <v>&lt;/ValeurCellule&gt;</v>
      </c>
    </row>
    <row r="10293" spans="1:1" x14ac:dyDescent="0.2">
      <c r="A10293" s="996" t="str">
        <f>CONCATENATE(Programme!D10294,Programme!E10294,Programme!F10294,Programme!G10294,Programme!H10294,Programme!I10294,Programme!J10294)</f>
        <v>&lt;ValeurCellule&gt;</v>
      </c>
    </row>
    <row r="10294" spans="1:1" x14ac:dyDescent="0.2">
      <c r="A10294" s="996" t="str">
        <f>CONCATENATE(Programme!D10295,Programme!E10295,Programme!F10295,Programme!G10295,Programme!H10295,Programme!I10295,Programme!J10295)</f>
        <v>&lt;cellule&gt;&lt;codeEdi&gt;1078&lt;/codeEdi&gt;&lt;/cellule&gt;</v>
      </c>
    </row>
    <row r="10295" spans="1:1" x14ac:dyDescent="0.2">
      <c r="A10295" s="996" t="str">
        <f>CONCATENATE(Programme!D10296,Programme!E10296,Programme!F10296,Programme!G10296,Programme!H10296,Programme!I10296,Programme!J10296)</f>
        <v>&lt;valeur&gt;&lt;/valeur&gt;</v>
      </c>
    </row>
    <row r="10296" spans="1:1" x14ac:dyDescent="0.2">
      <c r="A10296" s="996" t="str">
        <f>CONCATENATE(Programme!D10297,Programme!E10297,Programme!F10297,Programme!G10297,Programme!H10297,Programme!I10297,Programme!J10297)</f>
        <v>&lt;numeroLigne&gt;43&lt;/numeroLigne&gt;</v>
      </c>
    </row>
    <row r="10297" spans="1:1" x14ac:dyDescent="0.2">
      <c r="A10297" s="996" t="str">
        <f>CONCATENATE(Programme!D10298,Programme!E10298,Programme!F10298,Programme!G10298,Programme!H10298,Programme!I10298,Programme!J10298)</f>
        <v>&lt;/ValeurCellule&gt;</v>
      </c>
    </row>
    <row r="10298" spans="1:1" x14ac:dyDescent="0.2">
      <c r="A10298" s="996" t="str">
        <f>CONCATENATE(Programme!D10299,Programme!E10299,Programme!F10299,Programme!G10299,Programme!H10299,Programme!I10299,Programme!J10299)</f>
        <v>&lt;ValeurCellule&gt;</v>
      </c>
    </row>
    <row r="10299" spans="1:1" x14ac:dyDescent="0.2">
      <c r="A10299" s="996" t="str">
        <f>CONCATENATE(Programme!D10300,Programme!E10300,Programme!F10300,Programme!G10300,Programme!H10300,Programme!I10300,Programme!J10300)</f>
        <v>&lt;cellule&gt;&lt;codeEdi&gt;1079&lt;/codeEdi&gt;&lt;/cellule&gt;</v>
      </c>
    </row>
    <row r="10300" spans="1:1" x14ac:dyDescent="0.2">
      <c r="A10300" s="996" t="str">
        <f>CONCATENATE(Programme!D10301,Programme!E10301,Programme!F10301,Programme!G10301,Programme!H10301,Programme!I10301,Programme!J10301)</f>
        <v>&lt;valeur&gt;&lt;/valeur&gt;</v>
      </c>
    </row>
    <row r="10301" spans="1:1" x14ac:dyDescent="0.2">
      <c r="A10301" s="996" t="str">
        <f>CONCATENATE(Programme!D10302,Programme!E10302,Programme!F10302,Programme!G10302,Programme!H10302,Programme!I10302,Programme!J10302)</f>
        <v>&lt;numeroLigne&gt;43&lt;/numeroLigne&gt;</v>
      </c>
    </row>
    <row r="10302" spans="1:1" x14ac:dyDescent="0.2">
      <c r="A10302" s="996" t="str">
        <f>CONCATENATE(Programme!D10303,Programme!E10303,Programme!F10303,Programme!G10303,Programme!H10303,Programme!I10303,Programme!J10303)</f>
        <v>&lt;/ValeurCellule&gt;</v>
      </c>
    </row>
    <row r="10303" spans="1:1" x14ac:dyDescent="0.2">
      <c r="A10303" s="996" t="str">
        <f>CONCATENATE(Programme!D10304,Programme!E10304,Programme!F10304,Programme!G10304,Programme!H10304,Programme!I10304,Programme!J10304)</f>
        <v>&lt;ValeurCellule&gt;</v>
      </c>
    </row>
    <row r="10304" spans="1:1" x14ac:dyDescent="0.2">
      <c r="A10304" s="996" t="str">
        <f>CONCATENATE(Programme!D10305,Programme!E10305,Programme!F10305,Programme!G10305,Programme!H10305,Programme!I10305,Programme!J10305)</f>
        <v>&lt;cellule&gt;&lt;codeEdi&gt;1080&lt;/codeEdi&gt;&lt;/cellule&gt;</v>
      </c>
    </row>
    <row r="10305" spans="1:1" x14ac:dyDescent="0.2">
      <c r="A10305" s="996" t="str">
        <f>CONCATENATE(Programme!D10306,Programme!E10306,Programme!F10306,Programme!G10306,Programme!H10306,Programme!I10306,Programme!J10306)</f>
        <v>&lt;valeur&gt;&lt;/valeur&gt;</v>
      </c>
    </row>
    <row r="10306" spans="1:1" x14ac:dyDescent="0.2">
      <c r="A10306" s="996" t="str">
        <f>CONCATENATE(Programme!D10307,Programme!E10307,Programme!F10307,Programme!G10307,Programme!H10307,Programme!I10307,Programme!J10307)</f>
        <v>&lt;numeroLigne&gt;43&lt;/numeroLigne&gt;</v>
      </c>
    </row>
    <row r="10307" spans="1:1" x14ac:dyDescent="0.2">
      <c r="A10307" s="996" t="str">
        <f>CONCATENATE(Programme!D10308,Programme!E10308,Programme!F10308,Programme!G10308,Programme!H10308,Programme!I10308,Programme!J10308)</f>
        <v>&lt;/ValeurCellule&gt;</v>
      </c>
    </row>
    <row r="10308" spans="1:1" x14ac:dyDescent="0.2">
      <c r="A10308" s="996" t="str">
        <f>CONCATENATE(Programme!D10309,Programme!E10309,Programme!F10309,Programme!G10309,Programme!H10309,Programme!I10309,Programme!J10309)</f>
        <v>&lt;ValeurCellule&gt;</v>
      </c>
    </row>
    <row r="10309" spans="1:1" x14ac:dyDescent="0.2">
      <c r="A10309" s="996" t="str">
        <f>CONCATENATE(Programme!D10310,Programme!E10310,Programme!F10310,Programme!G10310,Programme!H10310,Programme!I10310,Programme!J10310)</f>
        <v>&lt;cellule&gt;&lt;codeEdi&gt;1081&lt;/codeEdi&gt;&lt;/cellule&gt;</v>
      </c>
    </row>
    <row r="10310" spans="1:1" x14ac:dyDescent="0.2">
      <c r="A10310" s="996" t="str">
        <f>CONCATENATE(Programme!D10311,Programme!E10311,Programme!F10311,Programme!G10311,Programme!H10311,Programme!I10311,Programme!J10311)</f>
        <v>&lt;valeur&gt;&lt;/valeur&gt;</v>
      </c>
    </row>
    <row r="10311" spans="1:1" x14ac:dyDescent="0.2">
      <c r="A10311" s="996" t="str">
        <f>CONCATENATE(Programme!D10312,Programme!E10312,Programme!F10312,Programme!G10312,Programme!H10312,Programme!I10312,Programme!J10312)</f>
        <v>&lt;numeroLigne&gt;43&lt;/numeroLigne&gt;</v>
      </c>
    </row>
    <row r="10312" spans="1:1" x14ac:dyDescent="0.2">
      <c r="A10312" s="996" t="str">
        <f>CONCATENATE(Programme!D10313,Programme!E10313,Programme!F10313,Programme!G10313,Programme!H10313,Programme!I10313,Programme!J10313)</f>
        <v>&lt;/ValeurCellule&gt;</v>
      </c>
    </row>
    <row r="10313" spans="1:1" x14ac:dyDescent="0.2">
      <c r="A10313" s="996" t="str">
        <f>CONCATENATE(Programme!D10314,Programme!E10314,Programme!F10314,Programme!G10314,Programme!H10314,Programme!I10314,Programme!J10314)</f>
        <v>&lt;ValeurCellule&gt;</v>
      </c>
    </row>
    <row r="10314" spans="1:1" x14ac:dyDescent="0.2">
      <c r="A10314" s="996" t="str">
        <f>CONCATENATE(Programme!D10315,Programme!E10315,Programme!F10315,Programme!G10315,Programme!H10315,Programme!I10315,Programme!J10315)</f>
        <v>&lt;cellule&gt;&lt;codeEdi&gt;1082&lt;/codeEdi&gt;&lt;/cellule&gt;</v>
      </c>
    </row>
    <row r="10315" spans="1:1" x14ac:dyDescent="0.2">
      <c r="A10315" s="996" t="str">
        <f>CONCATENATE(Programme!D10316,Programme!E10316,Programme!F10316,Programme!G10316,Programme!H10316,Programme!I10316,Programme!J10316)</f>
        <v>&lt;valeur&gt;&lt;/valeur&gt;</v>
      </c>
    </row>
    <row r="10316" spans="1:1" x14ac:dyDescent="0.2">
      <c r="A10316" s="996" t="str">
        <f>CONCATENATE(Programme!D10317,Programme!E10317,Programme!F10317,Programme!G10317,Programme!H10317,Programme!I10317,Programme!J10317)</f>
        <v>&lt;numeroLigne&gt;43&lt;/numeroLigne&gt;</v>
      </c>
    </row>
    <row r="10317" spans="1:1" x14ac:dyDescent="0.2">
      <c r="A10317" s="996" t="str">
        <f>CONCATENATE(Programme!D10318,Programme!E10318,Programme!F10318,Programme!G10318,Programme!H10318,Programme!I10318,Programme!J10318)</f>
        <v>&lt;/ValeurCellule&gt;</v>
      </c>
    </row>
    <row r="10318" spans="1:1" x14ac:dyDescent="0.2">
      <c r="A10318" s="996" t="str">
        <f>CONCATENATE(Programme!D10319,Programme!E10319,Programme!F10319,Programme!G10319,Programme!H10319,Programme!I10319,Programme!J10319)</f>
        <v>&lt;ValeurCellule&gt;</v>
      </c>
    </row>
    <row r="10319" spans="1:1" x14ac:dyDescent="0.2">
      <c r="A10319" s="996" t="str">
        <f>CONCATENATE(Programme!D10320,Programme!E10320,Programme!F10320,Programme!G10320,Programme!H10320,Programme!I10320,Programme!J10320)</f>
        <v>&lt;cellule&gt;&lt;codeEdi&gt;1083&lt;/codeEdi&gt;&lt;/cellule&gt;</v>
      </c>
    </row>
    <row r="10320" spans="1:1" x14ac:dyDescent="0.2">
      <c r="A10320" s="996" t="str">
        <f>CONCATENATE(Programme!D10321,Programme!E10321,Programme!F10321,Programme!G10321,Programme!H10321,Programme!I10321,Programme!J10321)</f>
        <v>&lt;valeur&gt;&lt;/valeur&gt;</v>
      </c>
    </row>
    <row r="10321" spans="1:1" x14ac:dyDescent="0.2">
      <c r="A10321" s="996" t="str">
        <f>CONCATENATE(Programme!D10322,Programme!E10322,Programme!F10322,Programme!G10322,Programme!H10322,Programme!I10322,Programme!J10322)</f>
        <v>&lt;numeroLigne&gt;43&lt;/numeroLigne&gt;</v>
      </c>
    </row>
    <row r="10322" spans="1:1" x14ac:dyDescent="0.2">
      <c r="A10322" s="996" t="str">
        <f>CONCATENATE(Programme!D10323,Programme!E10323,Programme!F10323,Programme!G10323,Programme!H10323,Programme!I10323,Programme!J10323)</f>
        <v>&lt;/ValeurCellule&gt;</v>
      </c>
    </row>
    <row r="10323" spans="1:1" x14ac:dyDescent="0.2">
      <c r="A10323" s="996" t="str">
        <f>CONCATENATE(Programme!D10324,Programme!E10324,Programme!F10324,Programme!G10324,Programme!H10324,Programme!I10324,Programme!J10324)</f>
        <v>&lt;ValeurCellule&gt;</v>
      </c>
    </row>
    <row r="10324" spans="1:1" x14ac:dyDescent="0.2">
      <c r="A10324" s="996" t="str">
        <f>CONCATENATE(Programme!D10325,Programme!E10325,Programme!F10325,Programme!G10325,Programme!H10325,Programme!I10325,Programme!J10325)</f>
        <v>&lt;cellule&gt;&lt;codeEdi&gt;1084&lt;/codeEdi&gt;&lt;/cellule&gt;</v>
      </c>
    </row>
    <row r="10325" spans="1:1" x14ac:dyDescent="0.2">
      <c r="A10325" s="996" t="str">
        <f>CONCATENATE(Programme!D10326,Programme!E10326,Programme!F10326,Programme!G10326,Programme!H10326,Programme!I10326,Programme!J10326)</f>
        <v>&lt;valeur&gt;&lt;/valeur&gt;</v>
      </c>
    </row>
    <row r="10326" spans="1:1" x14ac:dyDescent="0.2">
      <c r="A10326" s="996" t="str">
        <f>CONCATENATE(Programme!D10327,Programme!E10327,Programme!F10327,Programme!G10327,Programme!H10327,Programme!I10327,Programme!J10327)</f>
        <v>&lt;numeroLigne&gt;43&lt;/numeroLigne&gt;</v>
      </c>
    </row>
    <row r="10327" spans="1:1" x14ac:dyDescent="0.2">
      <c r="A10327" s="996" t="str">
        <f>CONCATENATE(Programme!D10328,Programme!E10328,Programme!F10328,Programme!G10328,Programme!H10328,Programme!I10328,Programme!J10328)</f>
        <v>&lt;/ValeurCellule&gt;</v>
      </c>
    </row>
    <row r="10328" spans="1:1" x14ac:dyDescent="0.2">
      <c r="A10328" s="996" t="str">
        <f>CONCATENATE(Programme!D10329,Programme!E10329,Programme!F10329,Programme!G10329,Programme!H10329,Programme!I10329,Programme!J10329)</f>
        <v>&lt;ValeurCellule&gt;</v>
      </c>
    </row>
    <row r="10329" spans="1:1" x14ac:dyDescent="0.2">
      <c r="A10329" s="996" t="str">
        <f>CONCATENATE(Programme!D10330,Programme!E10330,Programme!F10330,Programme!G10330,Programme!H10330,Programme!I10330,Programme!J10330)</f>
        <v>&lt;cellule&gt;&lt;codeEdi&gt;1085&lt;/codeEdi&gt;&lt;/cellule&gt;</v>
      </c>
    </row>
    <row r="10330" spans="1:1" x14ac:dyDescent="0.2">
      <c r="A10330" s="996" t="str">
        <f>CONCATENATE(Programme!D10331,Programme!E10331,Programme!F10331,Programme!G10331,Programme!H10331,Programme!I10331,Programme!J10331)</f>
        <v>&lt;valeur&gt;&lt;/valeur&gt;</v>
      </c>
    </row>
    <row r="10331" spans="1:1" x14ac:dyDescent="0.2">
      <c r="A10331" s="996" t="str">
        <f>CONCATENATE(Programme!D10332,Programme!E10332,Programme!F10332,Programme!G10332,Programme!H10332,Programme!I10332,Programme!J10332)</f>
        <v>&lt;numeroLigne&gt;43&lt;/numeroLigne&gt;</v>
      </c>
    </row>
    <row r="10332" spans="1:1" x14ac:dyDescent="0.2">
      <c r="A10332" s="996" t="str">
        <f>CONCATENATE(Programme!D10333,Programme!E10333,Programme!F10333,Programme!G10333,Programme!H10333,Programme!I10333,Programme!J10333)</f>
        <v>&lt;/ValeurCellule&gt;</v>
      </c>
    </row>
    <row r="10333" spans="1:1" x14ac:dyDescent="0.2">
      <c r="A10333" s="996" t="str">
        <f>CONCATENATE(Programme!D10334,Programme!E10334,Programme!F10334,Programme!G10334,Programme!H10334,Programme!I10334,Programme!J10334)</f>
        <v>&lt;ValeurCellule&gt;</v>
      </c>
    </row>
    <row r="10334" spans="1:1" x14ac:dyDescent="0.2">
      <c r="A10334" s="996" t="str">
        <f>CONCATENATE(Programme!D10335,Programme!E10335,Programme!F10335,Programme!G10335,Programme!H10335,Programme!I10335,Programme!J10335)</f>
        <v>&lt;cellule&gt;&lt;codeEdi&gt;1086&lt;/codeEdi&gt;&lt;/cellule&gt;</v>
      </c>
    </row>
    <row r="10335" spans="1:1" x14ac:dyDescent="0.2">
      <c r="A10335" s="996" t="str">
        <f>CONCATENATE(Programme!D10336,Programme!E10336,Programme!F10336,Programme!G10336,Programme!H10336,Programme!I10336,Programme!J10336)</f>
        <v>&lt;valeur&gt;&lt;/valeur&gt;</v>
      </c>
    </row>
    <row r="10336" spans="1:1" x14ac:dyDescent="0.2">
      <c r="A10336" s="996" t="str">
        <f>CONCATENATE(Programme!D10337,Programme!E10337,Programme!F10337,Programme!G10337,Programme!H10337,Programme!I10337,Programme!J10337)</f>
        <v>&lt;numeroLigne&gt;43&lt;/numeroLigne&gt;</v>
      </c>
    </row>
    <row r="10337" spans="1:1" x14ac:dyDescent="0.2">
      <c r="A10337" s="996" t="str">
        <f>CONCATENATE(Programme!D10338,Programme!E10338,Programme!F10338,Programme!G10338,Programme!H10338,Programme!I10338,Programme!J10338)</f>
        <v>&lt;/ValeurCellule&gt;</v>
      </c>
    </row>
    <row r="10338" spans="1:1" x14ac:dyDescent="0.2">
      <c r="A10338" s="996" t="str">
        <f>CONCATENATE(Programme!D10339,Programme!E10339,Programme!F10339,Programme!G10339,Programme!H10339,Programme!I10339,Programme!J10339)</f>
        <v>&lt;ValeurCellule&gt;</v>
      </c>
    </row>
    <row r="10339" spans="1:1" x14ac:dyDescent="0.2">
      <c r="A10339" s="996" t="str">
        <f>CONCATENATE(Programme!D10340,Programme!E10340,Programme!F10340,Programme!G10340,Programme!H10340,Programme!I10340,Programme!J10340)</f>
        <v>&lt;cellule&gt;&lt;codeEdi&gt;10061&lt;/codeEdi&gt;&lt;/cellule&gt;</v>
      </c>
    </row>
    <row r="10340" spans="1:1" x14ac:dyDescent="0.2">
      <c r="A10340" s="996" t="str">
        <f>CONCATENATE(Programme!D10341,Programme!E10341,Programme!F10341,Programme!G10341,Programme!H10341,Programme!I10341,Programme!J10341)</f>
        <v>&lt;valeur&gt;&lt;/valeur&gt;</v>
      </c>
    </row>
    <row r="10341" spans="1:1" x14ac:dyDescent="0.2">
      <c r="A10341" s="996" t="str">
        <f>CONCATENATE(Programme!D10342,Programme!E10342,Programme!F10342,Programme!G10342,Programme!H10342,Programme!I10342,Programme!J10342)</f>
        <v>&lt;numeroLigne&gt;44&lt;/numeroLigne&gt;</v>
      </c>
    </row>
    <row r="10342" spans="1:1" x14ac:dyDescent="0.2">
      <c r="A10342" s="996" t="str">
        <f>CONCATENATE(Programme!D10343,Programme!E10343,Programme!F10343,Programme!G10343,Programme!H10343,Programme!I10343,Programme!J10343)</f>
        <v>&lt;/ValeurCellule&gt;</v>
      </c>
    </row>
    <row r="10343" spans="1:1" x14ac:dyDescent="0.2">
      <c r="A10343" s="996" t="str">
        <f>CONCATENATE(Programme!D10344,Programme!E10344,Programme!F10344,Programme!G10344,Programme!H10344,Programme!I10344,Programme!J10344)</f>
        <v>&lt;ValeurCellule&gt;</v>
      </c>
    </row>
    <row r="10344" spans="1:1" x14ac:dyDescent="0.2">
      <c r="A10344" s="996" t="str">
        <f>CONCATENATE(Programme!D10345,Programme!E10345,Programme!F10345,Programme!G10345,Programme!H10345,Programme!I10345,Programme!J10345)</f>
        <v>&lt;cellule&gt;&lt;codeEdi&gt;1078&lt;/codeEdi&gt;&lt;/cellule&gt;</v>
      </c>
    </row>
    <row r="10345" spans="1:1" x14ac:dyDescent="0.2">
      <c r="A10345" s="996" t="str">
        <f>CONCATENATE(Programme!D10346,Programme!E10346,Programme!F10346,Programme!G10346,Programme!H10346,Programme!I10346,Programme!J10346)</f>
        <v>&lt;valeur&gt;&lt;/valeur&gt;</v>
      </c>
    </row>
    <row r="10346" spans="1:1" x14ac:dyDescent="0.2">
      <c r="A10346" s="996" t="str">
        <f>CONCATENATE(Programme!D10347,Programme!E10347,Programme!F10347,Programme!G10347,Programme!H10347,Programme!I10347,Programme!J10347)</f>
        <v>&lt;numeroLigne&gt;44&lt;/numeroLigne&gt;</v>
      </c>
    </row>
    <row r="10347" spans="1:1" x14ac:dyDescent="0.2">
      <c r="A10347" s="996" t="str">
        <f>CONCATENATE(Programme!D10348,Programme!E10348,Programme!F10348,Programme!G10348,Programme!H10348,Programme!I10348,Programme!J10348)</f>
        <v>&lt;/ValeurCellule&gt;</v>
      </c>
    </row>
    <row r="10348" spans="1:1" x14ac:dyDescent="0.2">
      <c r="A10348" s="996" t="str">
        <f>CONCATENATE(Programme!D10349,Programme!E10349,Programme!F10349,Programme!G10349,Programme!H10349,Programme!I10349,Programme!J10349)</f>
        <v>&lt;ValeurCellule&gt;</v>
      </c>
    </row>
    <row r="10349" spans="1:1" x14ac:dyDescent="0.2">
      <c r="A10349" s="996" t="str">
        <f>CONCATENATE(Programme!D10350,Programme!E10350,Programme!F10350,Programme!G10350,Programme!H10350,Programme!I10350,Programme!J10350)</f>
        <v>&lt;cellule&gt;&lt;codeEdi&gt;1079&lt;/codeEdi&gt;&lt;/cellule&gt;</v>
      </c>
    </row>
    <row r="10350" spans="1:1" x14ac:dyDescent="0.2">
      <c r="A10350" s="996" t="str">
        <f>CONCATENATE(Programme!D10351,Programme!E10351,Programme!F10351,Programme!G10351,Programme!H10351,Programme!I10351,Programme!J10351)</f>
        <v>&lt;valeur&gt;&lt;/valeur&gt;</v>
      </c>
    </row>
    <row r="10351" spans="1:1" x14ac:dyDescent="0.2">
      <c r="A10351" s="996" t="str">
        <f>CONCATENATE(Programme!D10352,Programme!E10352,Programme!F10352,Programme!G10352,Programme!H10352,Programme!I10352,Programme!J10352)</f>
        <v>&lt;numeroLigne&gt;44&lt;/numeroLigne&gt;</v>
      </c>
    </row>
    <row r="10352" spans="1:1" x14ac:dyDescent="0.2">
      <c r="A10352" s="996" t="str">
        <f>CONCATENATE(Programme!D10353,Programme!E10353,Programme!F10353,Programme!G10353,Programme!H10353,Programme!I10353,Programme!J10353)</f>
        <v>&lt;/ValeurCellule&gt;</v>
      </c>
    </row>
    <row r="10353" spans="1:1" x14ac:dyDescent="0.2">
      <c r="A10353" s="996" t="str">
        <f>CONCATENATE(Programme!D10354,Programme!E10354,Programme!F10354,Programme!G10354,Programme!H10354,Programme!I10354,Programme!J10354)</f>
        <v>&lt;ValeurCellule&gt;</v>
      </c>
    </row>
    <row r="10354" spans="1:1" x14ac:dyDescent="0.2">
      <c r="A10354" s="996" t="str">
        <f>CONCATENATE(Programme!D10355,Programme!E10355,Programme!F10355,Programme!G10355,Programme!H10355,Programme!I10355,Programme!J10355)</f>
        <v>&lt;cellule&gt;&lt;codeEdi&gt;1080&lt;/codeEdi&gt;&lt;/cellule&gt;</v>
      </c>
    </row>
    <row r="10355" spans="1:1" x14ac:dyDescent="0.2">
      <c r="A10355" s="996" t="str">
        <f>CONCATENATE(Programme!D10356,Programme!E10356,Programme!F10356,Programme!G10356,Programme!H10356,Programme!I10356,Programme!J10356)</f>
        <v>&lt;valeur&gt;&lt;/valeur&gt;</v>
      </c>
    </row>
    <row r="10356" spans="1:1" x14ac:dyDescent="0.2">
      <c r="A10356" s="996" t="str">
        <f>CONCATENATE(Programme!D10357,Programme!E10357,Programme!F10357,Programme!G10357,Programme!H10357,Programme!I10357,Programme!J10357)</f>
        <v>&lt;numeroLigne&gt;44&lt;/numeroLigne&gt;</v>
      </c>
    </row>
    <row r="10357" spans="1:1" x14ac:dyDescent="0.2">
      <c r="A10357" s="996" t="str">
        <f>CONCATENATE(Programme!D10358,Programme!E10358,Programme!F10358,Programme!G10358,Programme!H10358,Programme!I10358,Programme!J10358)</f>
        <v>&lt;/ValeurCellule&gt;</v>
      </c>
    </row>
    <row r="10358" spans="1:1" x14ac:dyDescent="0.2">
      <c r="A10358" s="996" t="str">
        <f>CONCATENATE(Programme!D10359,Programme!E10359,Programme!F10359,Programme!G10359,Programme!H10359,Programme!I10359,Programme!J10359)</f>
        <v>&lt;ValeurCellule&gt;</v>
      </c>
    </row>
    <row r="10359" spans="1:1" x14ac:dyDescent="0.2">
      <c r="A10359" s="996" t="str">
        <f>CONCATENATE(Programme!D10360,Programme!E10360,Programme!F10360,Programme!G10360,Programme!H10360,Programme!I10360,Programme!J10360)</f>
        <v>&lt;cellule&gt;&lt;codeEdi&gt;1081&lt;/codeEdi&gt;&lt;/cellule&gt;</v>
      </c>
    </row>
    <row r="10360" spans="1:1" x14ac:dyDescent="0.2">
      <c r="A10360" s="996" t="str">
        <f>CONCATENATE(Programme!D10361,Programme!E10361,Programme!F10361,Programme!G10361,Programme!H10361,Programme!I10361,Programme!J10361)</f>
        <v>&lt;valeur&gt;&lt;/valeur&gt;</v>
      </c>
    </row>
    <row r="10361" spans="1:1" x14ac:dyDescent="0.2">
      <c r="A10361" s="996" t="str">
        <f>CONCATENATE(Programme!D10362,Programme!E10362,Programme!F10362,Programme!G10362,Programme!H10362,Programme!I10362,Programme!J10362)</f>
        <v>&lt;numeroLigne&gt;44&lt;/numeroLigne&gt;</v>
      </c>
    </row>
    <row r="10362" spans="1:1" x14ac:dyDescent="0.2">
      <c r="A10362" s="996" t="str">
        <f>CONCATENATE(Programme!D10363,Programme!E10363,Programme!F10363,Programme!G10363,Programme!H10363,Programme!I10363,Programme!J10363)</f>
        <v>&lt;/ValeurCellule&gt;</v>
      </c>
    </row>
    <row r="10363" spans="1:1" x14ac:dyDescent="0.2">
      <c r="A10363" s="996" t="str">
        <f>CONCATENATE(Programme!D10364,Programme!E10364,Programme!F10364,Programme!G10364,Programme!H10364,Programme!I10364,Programme!J10364)</f>
        <v>&lt;ValeurCellule&gt;</v>
      </c>
    </row>
    <row r="10364" spans="1:1" x14ac:dyDescent="0.2">
      <c r="A10364" s="996" t="str">
        <f>CONCATENATE(Programme!D10365,Programme!E10365,Programme!F10365,Programme!G10365,Programme!H10365,Programme!I10365,Programme!J10365)</f>
        <v>&lt;cellule&gt;&lt;codeEdi&gt;1082&lt;/codeEdi&gt;&lt;/cellule&gt;</v>
      </c>
    </row>
    <row r="10365" spans="1:1" x14ac:dyDescent="0.2">
      <c r="A10365" s="996" t="str">
        <f>CONCATENATE(Programme!D10366,Programme!E10366,Programme!F10366,Programme!G10366,Programme!H10366,Programme!I10366,Programme!J10366)</f>
        <v>&lt;valeur&gt;&lt;/valeur&gt;</v>
      </c>
    </row>
    <row r="10366" spans="1:1" x14ac:dyDescent="0.2">
      <c r="A10366" s="996" t="str">
        <f>CONCATENATE(Programme!D10367,Programme!E10367,Programme!F10367,Programme!G10367,Programme!H10367,Programme!I10367,Programme!J10367)</f>
        <v>&lt;numeroLigne&gt;44&lt;/numeroLigne&gt;</v>
      </c>
    </row>
    <row r="10367" spans="1:1" x14ac:dyDescent="0.2">
      <c r="A10367" s="996" t="str">
        <f>CONCATENATE(Programme!D10368,Programme!E10368,Programme!F10368,Programme!G10368,Programme!H10368,Programme!I10368,Programme!J10368)</f>
        <v>&lt;/ValeurCellule&gt;</v>
      </c>
    </row>
    <row r="10368" spans="1:1" x14ac:dyDescent="0.2">
      <c r="A10368" s="996" t="str">
        <f>CONCATENATE(Programme!D10369,Programme!E10369,Programme!F10369,Programme!G10369,Programme!H10369,Programme!I10369,Programme!J10369)</f>
        <v>&lt;ValeurCellule&gt;</v>
      </c>
    </row>
    <row r="10369" spans="1:1" x14ac:dyDescent="0.2">
      <c r="A10369" s="996" t="str">
        <f>CONCATENATE(Programme!D10370,Programme!E10370,Programme!F10370,Programme!G10370,Programme!H10370,Programme!I10370,Programme!J10370)</f>
        <v>&lt;cellule&gt;&lt;codeEdi&gt;1083&lt;/codeEdi&gt;&lt;/cellule&gt;</v>
      </c>
    </row>
    <row r="10370" spans="1:1" x14ac:dyDescent="0.2">
      <c r="A10370" s="996" t="str">
        <f>CONCATENATE(Programme!D10371,Programme!E10371,Programme!F10371,Programme!G10371,Programme!H10371,Programme!I10371,Programme!J10371)</f>
        <v>&lt;valeur&gt;&lt;/valeur&gt;</v>
      </c>
    </row>
    <row r="10371" spans="1:1" x14ac:dyDescent="0.2">
      <c r="A10371" s="996" t="str">
        <f>CONCATENATE(Programme!D10372,Programme!E10372,Programme!F10372,Programme!G10372,Programme!H10372,Programme!I10372,Programme!J10372)</f>
        <v>&lt;numeroLigne&gt;44&lt;/numeroLigne&gt;</v>
      </c>
    </row>
    <row r="10372" spans="1:1" x14ac:dyDescent="0.2">
      <c r="A10372" s="996" t="str">
        <f>CONCATENATE(Programme!D10373,Programme!E10373,Programme!F10373,Programme!G10373,Programme!H10373,Programme!I10373,Programme!J10373)</f>
        <v>&lt;/ValeurCellule&gt;</v>
      </c>
    </row>
    <row r="10373" spans="1:1" x14ac:dyDescent="0.2">
      <c r="A10373" s="996" t="str">
        <f>CONCATENATE(Programme!D10374,Programme!E10374,Programme!F10374,Programme!G10374,Programme!H10374,Programme!I10374,Programme!J10374)</f>
        <v>&lt;ValeurCellule&gt;</v>
      </c>
    </row>
    <row r="10374" spans="1:1" x14ac:dyDescent="0.2">
      <c r="A10374" s="996" t="str">
        <f>CONCATENATE(Programme!D10375,Programme!E10375,Programme!F10375,Programme!G10375,Programme!H10375,Programme!I10375,Programme!J10375)</f>
        <v>&lt;cellule&gt;&lt;codeEdi&gt;1084&lt;/codeEdi&gt;&lt;/cellule&gt;</v>
      </c>
    </row>
    <row r="10375" spans="1:1" x14ac:dyDescent="0.2">
      <c r="A10375" s="996" t="str">
        <f>CONCATENATE(Programme!D10376,Programme!E10376,Programme!F10376,Programme!G10376,Programme!H10376,Programme!I10376,Programme!J10376)</f>
        <v>&lt;valeur&gt;&lt;/valeur&gt;</v>
      </c>
    </row>
    <row r="10376" spans="1:1" x14ac:dyDescent="0.2">
      <c r="A10376" s="996" t="str">
        <f>CONCATENATE(Programme!D10377,Programme!E10377,Programme!F10377,Programme!G10377,Programme!H10377,Programme!I10377,Programme!J10377)</f>
        <v>&lt;numeroLigne&gt;44&lt;/numeroLigne&gt;</v>
      </c>
    </row>
    <row r="10377" spans="1:1" x14ac:dyDescent="0.2">
      <c r="A10377" s="996" t="str">
        <f>CONCATENATE(Programme!D10378,Programme!E10378,Programme!F10378,Programme!G10378,Programme!H10378,Programme!I10378,Programme!J10378)</f>
        <v>&lt;/ValeurCellule&gt;</v>
      </c>
    </row>
    <row r="10378" spans="1:1" x14ac:dyDescent="0.2">
      <c r="A10378" s="996" t="str">
        <f>CONCATENATE(Programme!D10379,Programme!E10379,Programme!F10379,Programme!G10379,Programme!H10379,Programme!I10379,Programme!J10379)</f>
        <v>&lt;ValeurCellule&gt;</v>
      </c>
    </row>
    <row r="10379" spans="1:1" x14ac:dyDescent="0.2">
      <c r="A10379" s="996" t="str">
        <f>CONCATENATE(Programme!D10380,Programme!E10380,Programme!F10380,Programme!G10380,Programme!H10380,Programme!I10380,Programme!J10380)</f>
        <v>&lt;cellule&gt;&lt;codeEdi&gt;1085&lt;/codeEdi&gt;&lt;/cellule&gt;</v>
      </c>
    </row>
    <row r="10380" spans="1:1" x14ac:dyDescent="0.2">
      <c r="A10380" s="996" t="str">
        <f>CONCATENATE(Programme!D10381,Programme!E10381,Programme!F10381,Programme!G10381,Programme!H10381,Programme!I10381,Programme!J10381)</f>
        <v>&lt;valeur&gt;&lt;/valeur&gt;</v>
      </c>
    </row>
    <row r="10381" spans="1:1" x14ac:dyDescent="0.2">
      <c r="A10381" s="996" t="str">
        <f>CONCATENATE(Programme!D10382,Programme!E10382,Programme!F10382,Programme!G10382,Programme!H10382,Programme!I10382,Programme!J10382)</f>
        <v>&lt;numeroLigne&gt;44&lt;/numeroLigne&gt;</v>
      </c>
    </row>
    <row r="10382" spans="1:1" x14ac:dyDescent="0.2">
      <c r="A10382" s="996" t="str">
        <f>CONCATENATE(Programme!D10383,Programme!E10383,Programme!F10383,Programme!G10383,Programme!H10383,Programme!I10383,Programme!J10383)</f>
        <v>&lt;/ValeurCellule&gt;</v>
      </c>
    </row>
    <row r="10383" spans="1:1" x14ac:dyDescent="0.2">
      <c r="A10383" s="996" t="str">
        <f>CONCATENATE(Programme!D10384,Programme!E10384,Programme!F10384,Programme!G10384,Programme!H10384,Programme!I10384,Programme!J10384)</f>
        <v>&lt;ValeurCellule&gt;</v>
      </c>
    </row>
    <row r="10384" spans="1:1" x14ac:dyDescent="0.2">
      <c r="A10384" s="996" t="str">
        <f>CONCATENATE(Programme!D10385,Programme!E10385,Programme!F10385,Programme!G10385,Programme!H10385,Programme!I10385,Programme!J10385)</f>
        <v>&lt;cellule&gt;&lt;codeEdi&gt;1086&lt;/codeEdi&gt;&lt;/cellule&gt;</v>
      </c>
    </row>
    <row r="10385" spans="1:1" x14ac:dyDescent="0.2">
      <c r="A10385" s="996" t="str">
        <f>CONCATENATE(Programme!D10386,Programme!E10386,Programme!F10386,Programme!G10386,Programme!H10386,Programme!I10386,Programme!J10386)</f>
        <v>&lt;valeur&gt;&lt;/valeur&gt;</v>
      </c>
    </row>
    <row r="10386" spans="1:1" x14ac:dyDescent="0.2">
      <c r="A10386" s="996" t="str">
        <f>CONCATENATE(Programme!D10387,Programme!E10387,Programme!F10387,Programme!G10387,Programme!H10387,Programme!I10387,Programme!J10387)</f>
        <v>&lt;numeroLigne&gt;44&lt;/numeroLigne&gt;</v>
      </c>
    </row>
    <row r="10387" spans="1:1" x14ac:dyDescent="0.2">
      <c r="A10387" s="996" t="str">
        <f>CONCATENATE(Programme!D10388,Programme!E10388,Programme!F10388,Programme!G10388,Programme!H10388,Programme!I10388,Programme!J10388)</f>
        <v>&lt;/ValeurCellule&gt;</v>
      </c>
    </row>
    <row r="10388" spans="1:1" x14ac:dyDescent="0.2">
      <c r="A10388" s="996" t="str">
        <f>CONCATENATE(Programme!D10389,Programme!E10389,Programme!F10389,Programme!G10389,Programme!H10389,Programme!I10389,Programme!J10389)</f>
        <v>&lt;ValeurCellule&gt;</v>
      </c>
    </row>
    <row r="10389" spans="1:1" x14ac:dyDescent="0.2">
      <c r="A10389" s="996" t="str">
        <f>CONCATENATE(Programme!D10390,Programme!E10390,Programme!F10390,Programme!G10390,Programme!H10390,Programme!I10390,Programme!J10390)</f>
        <v>&lt;cellule&gt;&lt;codeEdi&gt;10061&lt;/codeEdi&gt;&lt;/cellule&gt;</v>
      </c>
    </row>
    <row r="10390" spans="1:1" x14ac:dyDescent="0.2">
      <c r="A10390" s="996" t="str">
        <f>CONCATENATE(Programme!D10391,Programme!E10391,Programme!F10391,Programme!G10391,Programme!H10391,Programme!I10391,Programme!J10391)</f>
        <v>&lt;valeur&gt;&lt;/valeur&gt;</v>
      </c>
    </row>
    <row r="10391" spans="1:1" x14ac:dyDescent="0.2">
      <c r="A10391" s="996" t="str">
        <f>CONCATENATE(Programme!D10392,Programme!E10392,Programme!F10392,Programme!G10392,Programme!H10392,Programme!I10392,Programme!J10392)</f>
        <v>&lt;numeroLigne&gt;45&lt;/numeroLigne&gt;</v>
      </c>
    </row>
    <row r="10392" spans="1:1" x14ac:dyDescent="0.2">
      <c r="A10392" s="996" t="str">
        <f>CONCATENATE(Programme!D10393,Programme!E10393,Programme!F10393,Programme!G10393,Programme!H10393,Programme!I10393,Programme!J10393)</f>
        <v>&lt;/ValeurCellule&gt;</v>
      </c>
    </row>
    <row r="10393" spans="1:1" x14ac:dyDescent="0.2">
      <c r="A10393" s="996" t="str">
        <f>CONCATENATE(Programme!D10394,Programme!E10394,Programme!F10394,Programme!G10394,Programme!H10394,Programme!I10394,Programme!J10394)</f>
        <v>&lt;ValeurCellule&gt;</v>
      </c>
    </row>
    <row r="10394" spans="1:1" x14ac:dyDescent="0.2">
      <c r="A10394" s="996" t="str">
        <f>CONCATENATE(Programme!D10395,Programme!E10395,Programme!F10395,Programme!G10395,Programme!H10395,Programme!I10395,Programme!J10395)</f>
        <v>&lt;cellule&gt;&lt;codeEdi&gt;1078&lt;/codeEdi&gt;&lt;/cellule&gt;</v>
      </c>
    </row>
    <row r="10395" spans="1:1" x14ac:dyDescent="0.2">
      <c r="A10395" s="996" t="str">
        <f>CONCATENATE(Programme!D10396,Programme!E10396,Programme!F10396,Programme!G10396,Programme!H10396,Programme!I10396,Programme!J10396)</f>
        <v>&lt;valeur&gt;&lt;/valeur&gt;</v>
      </c>
    </row>
    <row r="10396" spans="1:1" x14ac:dyDescent="0.2">
      <c r="A10396" s="996" t="str">
        <f>CONCATENATE(Programme!D10397,Programme!E10397,Programme!F10397,Programme!G10397,Programme!H10397,Programme!I10397,Programme!J10397)</f>
        <v>&lt;numeroLigne&gt;45&lt;/numeroLigne&gt;</v>
      </c>
    </row>
    <row r="10397" spans="1:1" x14ac:dyDescent="0.2">
      <c r="A10397" s="996" t="str">
        <f>CONCATENATE(Programme!D10398,Programme!E10398,Programme!F10398,Programme!G10398,Programme!H10398,Programme!I10398,Programme!J10398)</f>
        <v>&lt;/ValeurCellule&gt;</v>
      </c>
    </row>
    <row r="10398" spans="1:1" x14ac:dyDescent="0.2">
      <c r="A10398" s="996" t="str">
        <f>CONCATENATE(Programme!D10399,Programme!E10399,Programme!F10399,Programme!G10399,Programme!H10399,Programme!I10399,Programme!J10399)</f>
        <v>&lt;ValeurCellule&gt;</v>
      </c>
    </row>
    <row r="10399" spans="1:1" x14ac:dyDescent="0.2">
      <c r="A10399" s="996" t="str">
        <f>CONCATENATE(Programme!D10400,Programme!E10400,Programme!F10400,Programme!G10400,Programme!H10400,Programme!I10400,Programme!J10400)</f>
        <v>&lt;cellule&gt;&lt;codeEdi&gt;1079&lt;/codeEdi&gt;&lt;/cellule&gt;</v>
      </c>
    </row>
    <row r="10400" spans="1:1" x14ac:dyDescent="0.2">
      <c r="A10400" s="996" t="str">
        <f>CONCATENATE(Programme!D10401,Programme!E10401,Programme!F10401,Programme!G10401,Programme!H10401,Programme!I10401,Programme!J10401)</f>
        <v>&lt;valeur&gt;&lt;/valeur&gt;</v>
      </c>
    </row>
    <row r="10401" spans="1:1" x14ac:dyDescent="0.2">
      <c r="A10401" s="996" t="str">
        <f>CONCATENATE(Programme!D10402,Programme!E10402,Programme!F10402,Programme!G10402,Programme!H10402,Programme!I10402,Programme!J10402)</f>
        <v>&lt;numeroLigne&gt;45&lt;/numeroLigne&gt;</v>
      </c>
    </row>
    <row r="10402" spans="1:1" x14ac:dyDescent="0.2">
      <c r="A10402" s="996" t="str">
        <f>CONCATENATE(Programme!D10403,Programme!E10403,Programme!F10403,Programme!G10403,Programme!H10403,Programme!I10403,Programme!J10403)</f>
        <v>&lt;/ValeurCellule&gt;</v>
      </c>
    </row>
    <row r="10403" spans="1:1" x14ac:dyDescent="0.2">
      <c r="A10403" s="996" t="str">
        <f>CONCATENATE(Programme!D10404,Programme!E10404,Programme!F10404,Programme!G10404,Programme!H10404,Programme!I10404,Programme!J10404)</f>
        <v>&lt;ValeurCellule&gt;</v>
      </c>
    </row>
    <row r="10404" spans="1:1" x14ac:dyDescent="0.2">
      <c r="A10404" s="996" t="str">
        <f>CONCATENATE(Programme!D10405,Programme!E10405,Programme!F10405,Programme!G10405,Programme!H10405,Programme!I10405,Programme!J10405)</f>
        <v>&lt;cellule&gt;&lt;codeEdi&gt;1080&lt;/codeEdi&gt;&lt;/cellule&gt;</v>
      </c>
    </row>
    <row r="10405" spans="1:1" x14ac:dyDescent="0.2">
      <c r="A10405" s="996" t="str">
        <f>CONCATENATE(Programme!D10406,Programme!E10406,Programme!F10406,Programme!G10406,Programme!H10406,Programme!I10406,Programme!J10406)</f>
        <v>&lt;valeur&gt;&lt;/valeur&gt;</v>
      </c>
    </row>
    <row r="10406" spans="1:1" x14ac:dyDescent="0.2">
      <c r="A10406" s="996" t="str">
        <f>CONCATENATE(Programme!D10407,Programme!E10407,Programme!F10407,Programme!G10407,Programme!H10407,Programme!I10407,Programme!J10407)</f>
        <v>&lt;numeroLigne&gt;45&lt;/numeroLigne&gt;</v>
      </c>
    </row>
    <row r="10407" spans="1:1" x14ac:dyDescent="0.2">
      <c r="A10407" s="996" t="str">
        <f>CONCATENATE(Programme!D10408,Programme!E10408,Programme!F10408,Programme!G10408,Programme!H10408,Programme!I10408,Programme!J10408)</f>
        <v>&lt;/ValeurCellule&gt;</v>
      </c>
    </row>
    <row r="10408" spans="1:1" x14ac:dyDescent="0.2">
      <c r="A10408" s="996" t="str">
        <f>CONCATENATE(Programme!D10409,Programme!E10409,Programme!F10409,Programme!G10409,Programme!H10409,Programme!I10409,Programme!J10409)</f>
        <v>&lt;ValeurCellule&gt;</v>
      </c>
    </row>
    <row r="10409" spans="1:1" x14ac:dyDescent="0.2">
      <c r="A10409" s="996" t="str">
        <f>CONCATENATE(Programme!D10410,Programme!E10410,Programme!F10410,Programme!G10410,Programme!H10410,Programme!I10410,Programme!J10410)</f>
        <v>&lt;cellule&gt;&lt;codeEdi&gt;1081&lt;/codeEdi&gt;&lt;/cellule&gt;</v>
      </c>
    </row>
    <row r="10410" spans="1:1" x14ac:dyDescent="0.2">
      <c r="A10410" s="996" t="str">
        <f>CONCATENATE(Programme!D10411,Programme!E10411,Programme!F10411,Programme!G10411,Programme!H10411,Programme!I10411,Programme!J10411)</f>
        <v>&lt;valeur&gt;&lt;/valeur&gt;</v>
      </c>
    </row>
    <row r="10411" spans="1:1" x14ac:dyDescent="0.2">
      <c r="A10411" s="996" t="str">
        <f>CONCATENATE(Programme!D10412,Programme!E10412,Programme!F10412,Programme!G10412,Programme!H10412,Programme!I10412,Programme!J10412)</f>
        <v>&lt;numeroLigne&gt;45&lt;/numeroLigne&gt;</v>
      </c>
    </row>
    <row r="10412" spans="1:1" x14ac:dyDescent="0.2">
      <c r="A10412" s="996" t="str">
        <f>CONCATENATE(Programme!D10413,Programme!E10413,Programme!F10413,Programme!G10413,Programme!H10413,Programme!I10413,Programme!J10413)</f>
        <v>&lt;/ValeurCellule&gt;</v>
      </c>
    </row>
    <row r="10413" spans="1:1" x14ac:dyDescent="0.2">
      <c r="A10413" s="996" t="str">
        <f>CONCATENATE(Programme!D10414,Programme!E10414,Programme!F10414,Programme!G10414,Programme!H10414,Programme!I10414,Programme!J10414)</f>
        <v>&lt;ValeurCellule&gt;</v>
      </c>
    </row>
    <row r="10414" spans="1:1" x14ac:dyDescent="0.2">
      <c r="A10414" s="996" t="str">
        <f>CONCATENATE(Programme!D10415,Programme!E10415,Programme!F10415,Programme!G10415,Programme!H10415,Programme!I10415,Programme!J10415)</f>
        <v>&lt;cellule&gt;&lt;codeEdi&gt;1082&lt;/codeEdi&gt;&lt;/cellule&gt;</v>
      </c>
    </row>
    <row r="10415" spans="1:1" x14ac:dyDescent="0.2">
      <c r="A10415" s="996" t="str">
        <f>CONCATENATE(Programme!D10416,Programme!E10416,Programme!F10416,Programme!G10416,Programme!H10416,Programme!I10416,Programme!J10416)</f>
        <v>&lt;valeur&gt;&lt;/valeur&gt;</v>
      </c>
    </row>
    <row r="10416" spans="1:1" x14ac:dyDescent="0.2">
      <c r="A10416" s="996" t="str">
        <f>CONCATENATE(Programme!D10417,Programme!E10417,Programme!F10417,Programme!G10417,Programme!H10417,Programme!I10417,Programme!J10417)</f>
        <v>&lt;numeroLigne&gt;45&lt;/numeroLigne&gt;</v>
      </c>
    </row>
    <row r="10417" spans="1:1" x14ac:dyDescent="0.2">
      <c r="A10417" s="996" t="str">
        <f>CONCATENATE(Programme!D10418,Programme!E10418,Programme!F10418,Programme!G10418,Programme!H10418,Programme!I10418,Programme!J10418)</f>
        <v>&lt;/ValeurCellule&gt;</v>
      </c>
    </row>
    <row r="10418" spans="1:1" x14ac:dyDescent="0.2">
      <c r="A10418" s="996" t="str">
        <f>CONCATENATE(Programme!D10419,Programme!E10419,Programme!F10419,Programme!G10419,Programme!H10419,Programme!I10419,Programme!J10419)</f>
        <v>&lt;ValeurCellule&gt;</v>
      </c>
    </row>
    <row r="10419" spans="1:1" x14ac:dyDescent="0.2">
      <c r="A10419" s="996" t="str">
        <f>CONCATENATE(Programme!D10420,Programme!E10420,Programme!F10420,Programme!G10420,Programme!H10420,Programme!I10420,Programme!J10420)</f>
        <v>&lt;cellule&gt;&lt;codeEdi&gt;1083&lt;/codeEdi&gt;&lt;/cellule&gt;</v>
      </c>
    </row>
    <row r="10420" spans="1:1" x14ac:dyDescent="0.2">
      <c r="A10420" s="996" t="str">
        <f>CONCATENATE(Programme!D10421,Programme!E10421,Programme!F10421,Programme!G10421,Programme!H10421,Programme!I10421,Programme!J10421)</f>
        <v>&lt;valeur&gt;&lt;/valeur&gt;</v>
      </c>
    </row>
    <row r="10421" spans="1:1" x14ac:dyDescent="0.2">
      <c r="A10421" s="996" t="str">
        <f>CONCATENATE(Programme!D10422,Programme!E10422,Programme!F10422,Programme!G10422,Programme!H10422,Programme!I10422,Programme!J10422)</f>
        <v>&lt;numeroLigne&gt;45&lt;/numeroLigne&gt;</v>
      </c>
    </row>
    <row r="10422" spans="1:1" x14ac:dyDescent="0.2">
      <c r="A10422" s="996" t="str">
        <f>CONCATENATE(Programme!D10423,Programme!E10423,Programme!F10423,Programme!G10423,Programme!H10423,Programme!I10423,Programme!J10423)</f>
        <v>&lt;/ValeurCellule&gt;</v>
      </c>
    </row>
    <row r="10423" spans="1:1" x14ac:dyDescent="0.2">
      <c r="A10423" s="996" t="str">
        <f>CONCATENATE(Programme!D10424,Programme!E10424,Programme!F10424,Programme!G10424,Programme!H10424,Programme!I10424,Programme!J10424)</f>
        <v>&lt;ValeurCellule&gt;</v>
      </c>
    </row>
    <row r="10424" spans="1:1" x14ac:dyDescent="0.2">
      <c r="A10424" s="996" t="str">
        <f>CONCATENATE(Programme!D10425,Programme!E10425,Programme!F10425,Programme!G10425,Programme!H10425,Programme!I10425,Programme!J10425)</f>
        <v>&lt;cellule&gt;&lt;codeEdi&gt;1084&lt;/codeEdi&gt;&lt;/cellule&gt;</v>
      </c>
    </row>
    <row r="10425" spans="1:1" x14ac:dyDescent="0.2">
      <c r="A10425" s="996" t="str">
        <f>CONCATENATE(Programme!D10426,Programme!E10426,Programme!F10426,Programme!G10426,Programme!H10426,Programme!I10426,Programme!J10426)</f>
        <v>&lt;valeur&gt;&lt;/valeur&gt;</v>
      </c>
    </row>
    <row r="10426" spans="1:1" x14ac:dyDescent="0.2">
      <c r="A10426" s="996" t="str">
        <f>CONCATENATE(Programme!D10427,Programme!E10427,Programme!F10427,Programme!G10427,Programme!H10427,Programme!I10427,Programme!J10427)</f>
        <v>&lt;numeroLigne&gt;45&lt;/numeroLigne&gt;</v>
      </c>
    </row>
    <row r="10427" spans="1:1" x14ac:dyDescent="0.2">
      <c r="A10427" s="996" t="str">
        <f>CONCATENATE(Programme!D10428,Programme!E10428,Programme!F10428,Programme!G10428,Programme!H10428,Programme!I10428,Programme!J10428)</f>
        <v>&lt;/ValeurCellule&gt;</v>
      </c>
    </row>
    <row r="10428" spans="1:1" x14ac:dyDescent="0.2">
      <c r="A10428" s="996" t="str">
        <f>CONCATENATE(Programme!D10429,Programme!E10429,Programme!F10429,Programme!G10429,Programme!H10429,Programme!I10429,Programme!J10429)</f>
        <v>&lt;ValeurCellule&gt;</v>
      </c>
    </row>
    <row r="10429" spans="1:1" x14ac:dyDescent="0.2">
      <c r="A10429" s="996" t="str">
        <f>CONCATENATE(Programme!D10430,Programme!E10430,Programme!F10430,Programme!G10430,Programme!H10430,Programme!I10430,Programme!J10430)</f>
        <v>&lt;cellule&gt;&lt;codeEdi&gt;1085&lt;/codeEdi&gt;&lt;/cellule&gt;</v>
      </c>
    </row>
    <row r="10430" spans="1:1" x14ac:dyDescent="0.2">
      <c r="A10430" s="996" t="str">
        <f>CONCATENATE(Programme!D10431,Programme!E10431,Programme!F10431,Programme!G10431,Programme!H10431,Programme!I10431,Programme!J10431)</f>
        <v>&lt;valeur&gt;&lt;/valeur&gt;</v>
      </c>
    </row>
    <row r="10431" spans="1:1" x14ac:dyDescent="0.2">
      <c r="A10431" s="996" t="str">
        <f>CONCATENATE(Programme!D10432,Programme!E10432,Programme!F10432,Programme!G10432,Programme!H10432,Programme!I10432,Programme!J10432)</f>
        <v>&lt;numeroLigne&gt;45&lt;/numeroLigne&gt;</v>
      </c>
    </row>
    <row r="10432" spans="1:1" x14ac:dyDescent="0.2">
      <c r="A10432" s="996" t="str">
        <f>CONCATENATE(Programme!D10433,Programme!E10433,Programme!F10433,Programme!G10433,Programme!H10433,Programme!I10433,Programme!J10433)</f>
        <v>&lt;/ValeurCellule&gt;</v>
      </c>
    </row>
    <row r="10433" spans="1:1" x14ac:dyDescent="0.2">
      <c r="A10433" s="996" t="str">
        <f>CONCATENATE(Programme!D10434,Programme!E10434,Programme!F10434,Programme!G10434,Programme!H10434,Programme!I10434,Programme!J10434)</f>
        <v>&lt;ValeurCellule&gt;</v>
      </c>
    </row>
    <row r="10434" spans="1:1" x14ac:dyDescent="0.2">
      <c r="A10434" s="996" t="str">
        <f>CONCATENATE(Programme!D10435,Programme!E10435,Programme!F10435,Programme!G10435,Programme!H10435,Programme!I10435,Programme!J10435)</f>
        <v>&lt;cellule&gt;&lt;codeEdi&gt;1086&lt;/codeEdi&gt;&lt;/cellule&gt;</v>
      </c>
    </row>
    <row r="10435" spans="1:1" x14ac:dyDescent="0.2">
      <c r="A10435" s="996" t="str">
        <f>CONCATENATE(Programme!D10436,Programme!E10436,Programme!F10436,Programme!G10436,Programme!H10436,Programme!I10436,Programme!J10436)</f>
        <v>&lt;valeur&gt;&lt;/valeur&gt;</v>
      </c>
    </row>
    <row r="10436" spans="1:1" x14ac:dyDescent="0.2">
      <c r="A10436" s="996" t="str">
        <f>CONCATENATE(Programme!D10437,Programme!E10437,Programme!F10437,Programme!G10437,Programme!H10437,Programme!I10437,Programme!J10437)</f>
        <v>&lt;numeroLigne&gt;45&lt;/numeroLigne&gt;</v>
      </c>
    </row>
    <row r="10437" spans="1:1" x14ac:dyDescent="0.2">
      <c r="A10437" s="996" t="str">
        <f>CONCATENATE(Programme!D10438,Programme!E10438,Programme!F10438,Programme!G10438,Programme!H10438,Programme!I10438,Programme!J10438)</f>
        <v>&lt;/ValeurCellule&gt;</v>
      </c>
    </row>
    <row r="10438" spans="1:1" x14ac:dyDescent="0.2">
      <c r="A10438" s="996" t="str">
        <f>CONCATENATE(Programme!D10439,Programme!E10439,Programme!F10439,Programme!G10439,Programme!H10439,Programme!I10439,Programme!J10439)</f>
        <v>&lt;ValeurCellule&gt;</v>
      </c>
    </row>
    <row r="10439" spans="1:1" x14ac:dyDescent="0.2">
      <c r="A10439" s="996" t="str">
        <f>CONCATENATE(Programme!D10440,Programme!E10440,Programme!F10440,Programme!G10440,Programme!H10440,Programme!I10440,Programme!J10440)</f>
        <v>&lt;cellule&gt;&lt;codeEdi&gt;10061&lt;/codeEdi&gt;&lt;/cellule&gt;</v>
      </c>
    </row>
    <row r="10440" spans="1:1" x14ac:dyDescent="0.2">
      <c r="A10440" s="996" t="str">
        <f>CONCATENATE(Programme!D10441,Programme!E10441,Programme!F10441,Programme!G10441,Programme!H10441,Programme!I10441,Programme!J10441)</f>
        <v>&lt;valeur&gt;&lt;/valeur&gt;</v>
      </c>
    </row>
    <row r="10441" spans="1:1" x14ac:dyDescent="0.2">
      <c r="A10441" s="996" t="str">
        <f>CONCATENATE(Programme!D10442,Programme!E10442,Programme!F10442,Programme!G10442,Programme!H10442,Programme!I10442,Programme!J10442)</f>
        <v>&lt;numeroLigne&gt;46&lt;/numeroLigne&gt;</v>
      </c>
    </row>
    <row r="10442" spans="1:1" x14ac:dyDescent="0.2">
      <c r="A10442" s="996" t="str">
        <f>CONCATENATE(Programme!D10443,Programme!E10443,Programme!F10443,Programme!G10443,Programme!H10443,Programme!I10443,Programme!J10443)</f>
        <v>&lt;/ValeurCellule&gt;</v>
      </c>
    </row>
    <row r="10443" spans="1:1" x14ac:dyDescent="0.2">
      <c r="A10443" s="996" t="str">
        <f>CONCATENATE(Programme!D10444,Programme!E10444,Programme!F10444,Programme!G10444,Programme!H10444,Programme!I10444,Programme!J10444)</f>
        <v>&lt;ValeurCellule&gt;</v>
      </c>
    </row>
    <row r="10444" spans="1:1" x14ac:dyDescent="0.2">
      <c r="A10444" s="996" t="str">
        <f>CONCATENATE(Programme!D10445,Programme!E10445,Programme!F10445,Programme!G10445,Programme!H10445,Programme!I10445,Programme!J10445)</f>
        <v>&lt;cellule&gt;&lt;codeEdi&gt;1078&lt;/codeEdi&gt;&lt;/cellule&gt;</v>
      </c>
    </row>
    <row r="10445" spans="1:1" x14ac:dyDescent="0.2">
      <c r="A10445" s="996" t="str">
        <f>CONCATENATE(Programme!D10446,Programme!E10446,Programme!F10446,Programme!G10446,Programme!H10446,Programme!I10446,Programme!J10446)</f>
        <v>&lt;valeur&gt;&lt;/valeur&gt;</v>
      </c>
    </row>
    <row r="10446" spans="1:1" x14ac:dyDescent="0.2">
      <c r="A10446" s="996" t="str">
        <f>CONCATENATE(Programme!D10447,Programme!E10447,Programme!F10447,Programme!G10447,Programme!H10447,Programme!I10447,Programme!J10447)</f>
        <v>&lt;numeroLigne&gt;46&lt;/numeroLigne&gt;</v>
      </c>
    </row>
    <row r="10447" spans="1:1" x14ac:dyDescent="0.2">
      <c r="A10447" s="996" t="str">
        <f>CONCATENATE(Programme!D10448,Programme!E10448,Programme!F10448,Programme!G10448,Programme!H10448,Programme!I10448,Programme!J10448)</f>
        <v>&lt;/ValeurCellule&gt;</v>
      </c>
    </row>
    <row r="10448" spans="1:1" x14ac:dyDescent="0.2">
      <c r="A10448" s="996" t="str">
        <f>CONCATENATE(Programme!D10449,Programme!E10449,Programme!F10449,Programme!G10449,Programme!H10449,Programme!I10449,Programme!J10449)</f>
        <v>&lt;ValeurCellule&gt;</v>
      </c>
    </row>
    <row r="10449" spans="1:1" x14ac:dyDescent="0.2">
      <c r="A10449" s="996" t="str">
        <f>CONCATENATE(Programme!D10450,Programme!E10450,Programme!F10450,Programme!G10450,Programme!H10450,Programme!I10450,Programme!J10450)</f>
        <v>&lt;cellule&gt;&lt;codeEdi&gt;1079&lt;/codeEdi&gt;&lt;/cellule&gt;</v>
      </c>
    </row>
    <row r="10450" spans="1:1" x14ac:dyDescent="0.2">
      <c r="A10450" s="996" t="str">
        <f>CONCATENATE(Programme!D10451,Programme!E10451,Programme!F10451,Programme!G10451,Programme!H10451,Programme!I10451,Programme!J10451)</f>
        <v>&lt;valeur&gt;&lt;/valeur&gt;</v>
      </c>
    </row>
    <row r="10451" spans="1:1" x14ac:dyDescent="0.2">
      <c r="A10451" s="996" t="str">
        <f>CONCATENATE(Programme!D10452,Programme!E10452,Programme!F10452,Programme!G10452,Programme!H10452,Programme!I10452,Programme!J10452)</f>
        <v>&lt;numeroLigne&gt;46&lt;/numeroLigne&gt;</v>
      </c>
    </row>
    <row r="10452" spans="1:1" x14ac:dyDescent="0.2">
      <c r="A10452" s="996" t="str">
        <f>CONCATENATE(Programme!D10453,Programme!E10453,Programme!F10453,Programme!G10453,Programme!H10453,Programme!I10453,Programme!J10453)</f>
        <v>&lt;/ValeurCellule&gt;</v>
      </c>
    </row>
    <row r="10453" spans="1:1" x14ac:dyDescent="0.2">
      <c r="A10453" s="996" t="str">
        <f>CONCATENATE(Programme!D10454,Programme!E10454,Programme!F10454,Programme!G10454,Programme!H10454,Programme!I10454,Programme!J10454)</f>
        <v>&lt;ValeurCellule&gt;</v>
      </c>
    </row>
    <row r="10454" spans="1:1" x14ac:dyDescent="0.2">
      <c r="A10454" s="996" t="str">
        <f>CONCATENATE(Programme!D10455,Programme!E10455,Programme!F10455,Programme!G10455,Programme!H10455,Programme!I10455,Programme!J10455)</f>
        <v>&lt;cellule&gt;&lt;codeEdi&gt;1080&lt;/codeEdi&gt;&lt;/cellule&gt;</v>
      </c>
    </row>
    <row r="10455" spans="1:1" x14ac:dyDescent="0.2">
      <c r="A10455" s="996" t="str">
        <f>CONCATENATE(Programme!D10456,Programme!E10456,Programme!F10456,Programme!G10456,Programme!H10456,Programme!I10456,Programme!J10456)</f>
        <v>&lt;valeur&gt;&lt;/valeur&gt;</v>
      </c>
    </row>
    <row r="10456" spans="1:1" x14ac:dyDescent="0.2">
      <c r="A10456" s="996" t="str">
        <f>CONCATENATE(Programme!D10457,Programme!E10457,Programme!F10457,Programme!G10457,Programme!H10457,Programme!I10457,Programme!J10457)</f>
        <v>&lt;numeroLigne&gt;46&lt;/numeroLigne&gt;</v>
      </c>
    </row>
    <row r="10457" spans="1:1" x14ac:dyDescent="0.2">
      <c r="A10457" s="996" t="str">
        <f>CONCATENATE(Programme!D10458,Programme!E10458,Programme!F10458,Programme!G10458,Programme!H10458,Programme!I10458,Programme!J10458)</f>
        <v>&lt;/ValeurCellule&gt;</v>
      </c>
    </row>
    <row r="10458" spans="1:1" x14ac:dyDescent="0.2">
      <c r="A10458" s="996" t="str">
        <f>CONCATENATE(Programme!D10459,Programme!E10459,Programme!F10459,Programme!G10459,Programme!H10459,Programme!I10459,Programme!J10459)</f>
        <v>&lt;ValeurCellule&gt;</v>
      </c>
    </row>
    <row r="10459" spans="1:1" x14ac:dyDescent="0.2">
      <c r="A10459" s="996" t="str">
        <f>CONCATENATE(Programme!D10460,Programme!E10460,Programme!F10460,Programme!G10460,Programme!H10460,Programme!I10460,Programme!J10460)</f>
        <v>&lt;cellule&gt;&lt;codeEdi&gt;1081&lt;/codeEdi&gt;&lt;/cellule&gt;</v>
      </c>
    </row>
    <row r="10460" spans="1:1" x14ac:dyDescent="0.2">
      <c r="A10460" s="996" t="str">
        <f>CONCATENATE(Programme!D10461,Programme!E10461,Programme!F10461,Programme!G10461,Programme!H10461,Programme!I10461,Programme!J10461)</f>
        <v>&lt;valeur&gt;&lt;/valeur&gt;</v>
      </c>
    </row>
    <row r="10461" spans="1:1" x14ac:dyDescent="0.2">
      <c r="A10461" s="996" t="str">
        <f>CONCATENATE(Programme!D10462,Programme!E10462,Programme!F10462,Programme!G10462,Programme!H10462,Programme!I10462,Programme!J10462)</f>
        <v>&lt;numeroLigne&gt;46&lt;/numeroLigne&gt;</v>
      </c>
    </row>
    <row r="10462" spans="1:1" x14ac:dyDescent="0.2">
      <c r="A10462" s="996" t="str">
        <f>CONCATENATE(Programme!D10463,Programme!E10463,Programme!F10463,Programme!G10463,Programme!H10463,Programme!I10463,Programme!J10463)</f>
        <v>&lt;/ValeurCellule&gt;</v>
      </c>
    </row>
    <row r="10463" spans="1:1" x14ac:dyDescent="0.2">
      <c r="A10463" s="996" t="str">
        <f>CONCATENATE(Programme!D10464,Programme!E10464,Programme!F10464,Programme!G10464,Programme!H10464,Programme!I10464,Programme!J10464)</f>
        <v>&lt;ValeurCellule&gt;</v>
      </c>
    </row>
    <row r="10464" spans="1:1" x14ac:dyDescent="0.2">
      <c r="A10464" s="996" t="str">
        <f>CONCATENATE(Programme!D10465,Programme!E10465,Programme!F10465,Programme!G10465,Programme!H10465,Programme!I10465,Programme!J10465)</f>
        <v>&lt;cellule&gt;&lt;codeEdi&gt;1082&lt;/codeEdi&gt;&lt;/cellule&gt;</v>
      </c>
    </row>
    <row r="10465" spans="1:1" x14ac:dyDescent="0.2">
      <c r="A10465" s="996" t="str">
        <f>CONCATENATE(Programme!D10466,Programme!E10466,Programme!F10466,Programme!G10466,Programme!H10466,Programme!I10466,Programme!J10466)</f>
        <v>&lt;valeur&gt;&lt;/valeur&gt;</v>
      </c>
    </row>
    <row r="10466" spans="1:1" x14ac:dyDescent="0.2">
      <c r="A10466" s="996" t="str">
        <f>CONCATENATE(Programme!D10467,Programme!E10467,Programme!F10467,Programme!G10467,Programme!H10467,Programme!I10467,Programme!J10467)</f>
        <v>&lt;numeroLigne&gt;46&lt;/numeroLigne&gt;</v>
      </c>
    </row>
    <row r="10467" spans="1:1" x14ac:dyDescent="0.2">
      <c r="A10467" s="996" t="str">
        <f>CONCATENATE(Programme!D10468,Programme!E10468,Programme!F10468,Programme!G10468,Programme!H10468,Programme!I10468,Programme!J10468)</f>
        <v>&lt;/ValeurCellule&gt;</v>
      </c>
    </row>
    <row r="10468" spans="1:1" x14ac:dyDescent="0.2">
      <c r="A10468" s="996" t="str">
        <f>CONCATENATE(Programme!D10469,Programme!E10469,Programme!F10469,Programme!G10469,Programme!H10469,Programme!I10469,Programme!J10469)</f>
        <v>&lt;ValeurCellule&gt;</v>
      </c>
    </row>
    <row r="10469" spans="1:1" x14ac:dyDescent="0.2">
      <c r="A10469" s="996" t="str">
        <f>CONCATENATE(Programme!D10470,Programme!E10470,Programme!F10470,Programme!G10470,Programme!H10470,Programme!I10470,Programme!J10470)</f>
        <v>&lt;cellule&gt;&lt;codeEdi&gt;1083&lt;/codeEdi&gt;&lt;/cellule&gt;</v>
      </c>
    </row>
    <row r="10470" spans="1:1" x14ac:dyDescent="0.2">
      <c r="A10470" s="996" t="str">
        <f>CONCATENATE(Programme!D10471,Programme!E10471,Programme!F10471,Programme!G10471,Programme!H10471,Programme!I10471,Programme!J10471)</f>
        <v>&lt;valeur&gt;&lt;/valeur&gt;</v>
      </c>
    </row>
    <row r="10471" spans="1:1" x14ac:dyDescent="0.2">
      <c r="A10471" s="996" t="str">
        <f>CONCATENATE(Programme!D10472,Programme!E10472,Programme!F10472,Programme!G10472,Programme!H10472,Programme!I10472,Programme!J10472)</f>
        <v>&lt;numeroLigne&gt;46&lt;/numeroLigne&gt;</v>
      </c>
    </row>
    <row r="10472" spans="1:1" x14ac:dyDescent="0.2">
      <c r="A10472" s="996" t="str">
        <f>CONCATENATE(Programme!D10473,Programme!E10473,Programme!F10473,Programme!G10473,Programme!H10473,Programme!I10473,Programme!J10473)</f>
        <v>&lt;/ValeurCellule&gt;</v>
      </c>
    </row>
    <row r="10473" spans="1:1" x14ac:dyDescent="0.2">
      <c r="A10473" s="996" t="str">
        <f>CONCATENATE(Programme!D10474,Programme!E10474,Programme!F10474,Programme!G10474,Programme!H10474,Programme!I10474,Programme!J10474)</f>
        <v>&lt;ValeurCellule&gt;</v>
      </c>
    </row>
    <row r="10474" spans="1:1" x14ac:dyDescent="0.2">
      <c r="A10474" s="996" t="str">
        <f>CONCATENATE(Programme!D10475,Programme!E10475,Programme!F10475,Programme!G10475,Programme!H10475,Programme!I10475,Programme!J10475)</f>
        <v>&lt;cellule&gt;&lt;codeEdi&gt;1084&lt;/codeEdi&gt;&lt;/cellule&gt;</v>
      </c>
    </row>
    <row r="10475" spans="1:1" x14ac:dyDescent="0.2">
      <c r="A10475" s="996" t="str">
        <f>CONCATENATE(Programme!D10476,Programme!E10476,Programme!F10476,Programme!G10476,Programme!H10476,Programme!I10476,Programme!J10476)</f>
        <v>&lt;valeur&gt;&lt;/valeur&gt;</v>
      </c>
    </row>
    <row r="10476" spans="1:1" x14ac:dyDescent="0.2">
      <c r="A10476" s="996" t="str">
        <f>CONCATENATE(Programme!D10477,Programme!E10477,Programme!F10477,Programme!G10477,Programme!H10477,Programme!I10477,Programme!J10477)</f>
        <v>&lt;numeroLigne&gt;46&lt;/numeroLigne&gt;</v>
      </c>
    </row>
    <row r="10477" spans="1:1" x14ac:dyDescent="0.2">
      <c r="A10477" s="996" t="str">
        <f>CONCATENATE(Programme!D10478,Programme!E10478,Programme!F10478,Programme!G10478,Programme!H10478,Programme!I10478,Programme!J10478)</f>
        <v>&lt;/ValeurCellule&gt;</v>
      </c>
    </row>
    <row r="10478" spans="1:1" x14ac:dyDescent="0.2">
      <c r="A10478" s="996" t="str">
        <f>CONCATENATE(Programme!D10479,Programme!E10479,Programme!F10479,Programme!G10479,Programme!H10479,Programme!I10479,Programme!J10479)</f>
        <v>&lt;ValeurCellule&gt;</v>
      </c>
    </row>
    <row r="10479" spans="1:1" x14ac:dyDescent="0.2">
      <c r="A10479" s="996" t="str">
        <f>CONCATENATE(Programme!D10480,Programme!E10480,Programme!F10480,Programme!G10480,Programme!H10480,Programme!I10480,Programme!J10480)</f>
        <v>&lt;cellule&gt;&lt;codeEdi&gt;1085&lt;/codeEdi&gt;&lt;/cellule&gt;</v>
      </c>
    </row>
    <row r="10480" spans="1:1" x14ac:dyDescent="0.2">
      <c r="A10480" s="996" t="str">
        <f>CONCATENATE(Programme!D10481,Programme!E10481,Programme!F10481,Programme!G10481,Programme!H10481,Programme!I10481,Programme!J10481)</f>
        <v>&lt;valeur&gt;&lt;/valeur&gt;</v>
      </c>
    </row>
    <row r="10481" spans="1:1" x14ac:dyDescent="0.2">
      <c r="A10481" s="996" t="str">
        <f>CONCATENATE(Programme!D10482,Programme!E10482,Programme!F10482,Programme!G10482,Programme!H10482,Programme!I10482,Programme!J10482)</f>
        <v>&lt;numeroLigne&gt;46&lt;/numeroLigne&gt;</v>
      </c>
    </row>
    <row r="10482" spans="1:1" x14ac:dyDescent="0.2">
      <c r="A10482" s="996" t="str">
        <f>CONCATENATE(Programme!D10483,Programme!E10483,Programme!F10483,Programme!G10483,Programme!H10483,Programme!I10483,Programme!J10483)</f>
        <v>&lt;/ValeurCellule&gt;</v>
      </c>
    </row>
    <row r="10483" spans="1:1" x14ac:dyDescent="0.2">
      <c r="A10483" s="996" t="str">
        <f>CONCATENATE(Programme!D10484,Programme!E10484,Programme!F10484,Programme!G10484,Programme!H10484,Programme!I10484,Programme!J10484)</f>
        <v>&lt;ValeurCellule&gt;</v>
      </c>
    </row>
    <row r="10484" spans="1:1" x14ac:dyDescent="0.2">
      <c r="A10484" s="996" t="str">
        <f>CONCATENATE(Programme!D10485,Programme!E10485,Programme!F10485,Programme!G10485,Programme!H10485,Programme!I10485,Programme!J10485)</f>
        <v>&lt;cellule&gt;&lt;codeEdi&gt;1086&lt;/codeEdi&gt;&lt;/cellule&gt;</v>
      </c>
    </row>
    <row r="10485" spans="1:1" x14ac:dyDescent="0.2">
      <c r="A10485" s="996" t="str">
        <f>CONCATENATE(Programme!D10486,Programme!E10486,Programme!F10486,Programme!G10486,Programme!H10486,Programme!I10486,Programme!J10486)</f>
        <v>&lt;valeur&gt;&lt;/valeur&gt;</v>
      </c>
    </row>
    <row r="10486" spans="1:1" x14ac:dyDescent="0.2">
      <c r="A10486" s="996" t="str">
        <f>CONCATENATE(Programme!D10487,Programme!E10487,Programme!F10487,Programme!G10487,Programme!H10487,Programme!I10487,Programme!J10487)</f>
        <v>&lt;numeroLigne&gt;46&lt;/numeroLigne&gt;</v>
      </c>
    </row>
    <row r="10487" spans="1:1" x14ac:dyDescent="0.2">
      <c r="A10487" s="996" t="str">
        <f>CONCATENATE(Programme!D10488,Programme!E10488,Programme!F10488,Programme!G10488,Programme!H10488,Programme!I10488,Programme!J10488)</f>
        <v>&lt;/ValeurCellule&gt;</v>
      </c>
    </row>
    <row r="10488" spans="1:1" x14ac:dyDescent="0.2">
      <c r="A10488" s="996" t="str">
        <f>CONCATENATE(Programme!D10489,Programme!E10489,Programme!F10489,Programme!G10489,Programme!H10489,Programme!I10489,Programme!J10489)</f>
        <v>&lt;ValeurCellule&gt;</v>
      </c>
    </row>
    <row r="10489" spans="1:1" x14ac:dyDescent="0.2">
      <c r="A10489" s="996" t="str">
        <f>CONCATENATE(Programme!D10490,Programme!E10490,Programme!F10490,Programme!G10490,Programme!H10490,Programme!I10490,Programme!J10490)</f>
        <v>&lt;cellule&gt;&lt;codeEdi&gt;10061&lt;/codeEdi&gt;&lt;/cellule&gt;</v>
      </c>
    </row>
    <row r="10490" spans="1:1" x14ac:dyDescent="0.2">
      <c r="A10490" s="996" t="str">
        <f>CONCATENATE(Programme!D10491,Programme!E10491,Programme!F10491,Programme!G10491,Programme!H10491,Programme!I10491,Programme!J10491)</f>
        <v>&lt;valeur&gt;&lt;/valeur&gt;</v>
      </c>
    </row>
    <row r="10491" spans="1:1" x14ac:dyDescent="0.2">
      <c r="A10491" s="996" t="str">
        <f>CONCATENATE(Programme!D10492,Programme!E10492,Programme!F10492,Programme!G10492,Programme!H10492,Programme!I10492,Programme!J10492)</f>
        <v>&lt;numeroLigne&gt;47&lt;/numeroLigne&gt;</v>
      </c>
    </row>
    <row r="10492" spans="1:1" x14ac:dyDescent="0.2">
      <c r="A10492" s="996" t="str">
        <f>CONCATENATE(Programme!D10493,Programme!E10493,Programme!F10493,Programme!G10493,Programme!H10493,Programme!I10493,Programme!J10493)</f>
        <v>&lt;/ValeurCellule&gt;</v>
      </c>
    </row>
    <row r="10493" spans="1:1" x14ac:dyDescent="0.2">
      <c r="A10493" s="996" t="str">
        <f>CONCATENATE(Programme!D10494,Programme!E10494,Programme!F10494,Programme!G10494,Programme!H10494,Programme!I10494,Programme!J10494)</f>
        <v>&lt;ValeurCellule&gt;</v>
      </c>
    </row>
    <row r="10494" spans="1:1" x14ac:dyDescent="0.2">
      <c r="A10494" s="996" t="str">
        <f>CONCATENATE(Programme!D10495,Programme!E10495,Programme!F10495,Programme!G10495,Programme!H10495,Programme!I10495,Programme!J10495)</f>
        <v>&lt;cellule&gt;&lt;codeEdi&gt;1078&lt;/codeEdi&gt;&lt;/cellule&gt;</v>
      </c>
    </row>
    <row r="10495" spans="1:1" x14ac:dyDescent="0.2">
      <c r="A10495" s="996" t="str">
        <f>CONCATENATE(Programme!D10496,Programme!E10496,Programme!F10496,Programme!G10496,Programme!H10496,Programme!I10496,Programme!J10496)</f>
        <v>&lt;valeur&gt;&lt;/valeur&gt;</v>
      </c>
    </row>
    <row r="10496" spans="1:1" x14ac:dyDescent="0.2">
      <c r="A10496" s="996" t="str">
        <f>CONCATENATE(Programme!D10497,Programme!E10497,Programme!F10497,Programme!G10497,Programme!H10497,Programme!I10497,Programme!J10497)</f>
        <v>&lt;numeroLigne&gt;47&lt;/numeroLigne&gt;</v>
      </c>
    </row>
    <row r="10497" spans="1:1" x14ac:dyDescent="0.2">
      <c r="A10497" s="996" t="str">
        <f>CONCATENATE(Programme!D10498,Programme!E10498,Programme!F10498,Programme!G10498,Programme!H10498,Programme!I10498,Programme!J10498)</f>
        <v>&lt;/ValeurCellule&gt;</v>
      </c>
    </row>
    <row r="10498" spans="1:1" x14ac:dyDescent="0.2">
      <c r="A10498" s="996" t="str">
        <f>CONCATENATE(Programme!D10499,Programme!E10499,Programme!F10499,Programme!G10499,Programme!H10499,Programme!I10499,Programme!J10499)</f>
        <v>&lt;ValeurCellule&gt;</v>
      </c>
    </row>
    <row r="10499" spans="1:1" x14ac:dyDescent="0.2">
      <c r="A10499" s="996" t="str">
        <f>CONCATENATE(Programme!D10500,Programme!E10500,Programme!F10500,Programme!G10500,Programme!H10500,Programme!I10500,Programme!J10500)</f>
        <v>&lt;cellule&gt;&lt;codeEdi&gt;1079&lt;/codeEdi&gt;&lt;/cellule&gt;</v>
      </c>
    </row>
    <row r="10500" spans="1:1" x14ac:dyDescent="0.2">
      <c r="A10500" s="996" t="str">
        <f>CONCATENATE(Programme!D10501,Programme!E10501,Programme!F10501,Programme!G10501,Programme!H10501,Programme!I10501,Programme!J10501)</f>
        <v>&lt;valeur&gt;&lt;/valeur&gt;</v>
      </c>
    </row>
    <row r="10501" spans="1:1" x14ac:dyDescent="0.2">
      <c r="A10501" s="996" t="str">
        <f>CONCATENATE(Programme!D10502,Programme!E10502,Programme!F10502,Programme!G10502,Programme!H10502,Programme!I10502,Programme!J10502)</f>
        <v>&lt;numeroLigne&gt;47&lt;/numeroLigne&gt;</v>
      </c>
    </row>
    <row r="10502" spans="1:1" x14ac:dyDescent="0.2">
      <c r="A10502" s="996" t="str">
        <f>CONCATENATE(Programme!D10503,Programme!E10503,Programme!F10503,Programme!G10503,Programme!H10503,Programme!I10503,Programme!J10503)</f>
        <v>&lt;/ValeurCellule&gt;</v>
      </c>
    </row>
    <row r="10503" spans="1:1" x14ac:dyDescent="0.2">
      <c r="A10503" s="996" t="str">
        <f>CONCATENATE(Programme!D10504,Programme!E10504,Programme!F10504,Programme!G10504,Programme!H10504,Programme!I10504,Programme!J10504)</f>
        <v>&lt;ValeurCellule&gt;</v>
      </c>
    </row>
    <row r="10504" spans="1:1" x14ac:dyDescent="0.2">
      <c r="A10504" s="996" t="str">
        <f>CONCATENATE(Programme!D10505,Programme!E10505,Programme!F10505,Programme!G10505,Programme!H10505,Programme!I10505,Programme!J10505)</f>
        <v>&lt;cellule&gt;&lt;codeEdi&gt;1080&lt;/codeEdi&gt;&lt;/cellule&gt;</v>
      </c>
    </row>
    <row r="10505" spans="1:1" x14ac:dyDescent="0.2">
      <c r="A10505" s="996" t="str">
        <f>CONCATENATE(Programme!D10506,Programme!E10506,Programme!F10506,Programme!G10506,Programme!H10506,Programme!I10506,Programme!J10506)</f>
        <v>&lt;valeur&gt;&lt;/valeur&gt;</v>
      </c>
    </row>
    <row r="10506" spans="1:1" x14ac:dyDescent="0.2">
      <c r="A10506" s="996" t="str">
        <f>CONCATENATE(Programme!D10507,Programme!E10507,Programme!F10507,Programme!G10507,Programme!H10507,Programme!I10507,Programme!J10507)</f>
        <v>&lt;numeroLigne&gt;47&lt;/numeroLigne&gt;</v>
      </c>
    </row>
    <row r="10507" spans="1:1" x14ac:dyDescent="0.2">
      <c r="A10507" s="996" t="str">
        <f>CONCATENATE(Programme!D10508,Programme!E10508,Programme!F10508,Programme!G10508,Programme!H10508,Programme!I10508,Programme!J10508)</f>
        <v>&lt;/ValeurCellule&gt;</v>
      </c>
    </row>
    <row r="10508" spans="1:1" x14ac:dyDescent="0.2">
      <c r="A10508" s="996" t="str">
        <f>CONCATENATE(Programme!D10509,Programme!E10509,Programme!F10509,Programme!G10509,Programme!H10509,Programme!I10509,Programme!J10509)</f>
        <v>&lt;ValeurCellule&gt;</v>
      </c>
    </row>
    <row r="10509" spans="1:1" x14ac:dyDescent="0.2">
      <c r="A10509" s="996" t="str">
        <f>CONCATENATE(Programme!D10510,Programme!E10510,Programme!F10510,Programme!G10510,Programme!H10510,Programme!I10510,Programme!J10510)</f>
        <v>&lt;cellule&gt;&lt;codeEdi&gt;1081&lt;/codeEdi&gt;&lt;/cellule&gt;</v>
      </c>
    </row>
    <row r="10510" spans="1:1" x14ac:dyDescent="0.2">
      <c r="A10510" s="996" t="str">
        <f>CONCATENATE(Programme!D10511,Programme!E10511,Programme!F10511,Programme!G10511,Programme!H10511,Programme!I10511,Programme!J10511)</f>
        <v>&lt;valeur&gt;&lt;/valeur&gt;</v>
      </c>
    </row>
    <row r="10511" spans="1:1" x14ac:dyDescent="0.2">
      <c r="A10511" s="996" t="str">
        <f>CONCATENATE(Programme!D10512,Programme!E10512,Programme!F10512,Programme!G10512,Programme!H10512,Programme!I10512,Programme!J10512)</f>
        <v>&lt;numeroLigne&gt;47&lt;/numeroLigne&gt;</v>
      </c>
    </row>
    <row r="10512" spans="1:1" x14ac:dyDescent="0.2">
      <c r="A10512" s="996" t="str">
        <f>CONCATENATE(Programme!D10513,Programme!E10513,Programme!F10513,Programme!G10513,Programme!H10513,Programme!I10513,Programme!J10513)</f>
        <v>&lt;/ValeurCellule&gt;</v>
      </c>
    </row>
    <row r="10513" spans="1:1" x14ac:dyDescent="0.2">
      <c r="A10513" s="996" t="str">
        <f>CONCATENATE(Programme!D10514,Programme!E10514,Programme!F10514,Programme!G10514,Programme!H10514,Programme!I10514,Programme!J10514)</f>
        <v>&lt;ValeurCellule&gt;</v>
      </c>
    </row>
    <row r="10514" spans="1:1" x14ac:dyDescent="0.2">
      <c r="A10514" s="996" t="str">
        <f>CONCATENATE(Programme!D10515,Programme!E10515,Programme!F10515,Programme!G10515,Programme!H10515,Programme!I10515,Programme!J10515)</f>
        <v>&lt;cellule&gt;&lt;codeEdi&gt;1082&lt;/codeEdi&gt;&lt;/cellule&gt;</v>
      </c>
    </row>
    <row r="10515" spans="1:1" x14ac:dyDescent="0.2">
      <c r="A10515" s="996" t="str">
        <f>CONCATENATE(Programme!D10516,Programme!E10516,Programme!F10516,Programme!G10516,Programme!H10516,Programme!I10516,Programme!J10516)</f>
        <v>&lt;valeur&gt;&lt;/valeur&gt;</v>
      </c>
    </row>
    <row r="10516" spans="1:1" x14ac:dyDescent="0.2">
      <c r="A10516" s="996" t="str">
        <f>CONCATENATE(Programme!D10517,Programme!E10517,Programme!F10517,Programme!G10517,Programme!H10517,Programme!I10517,Programme!J10517)</f>
        <v>&lt;numeroLigne&gt;47&lt;/numeroLigne&gt;</v>
      </c>
    </row>
    <row r="10517" spans="1:1" x14ac:dyDescent="0.2">
      <c r="A10517" s="996" t="str">
        <f>CONCATENATE(Programme!D10518,Programme!E10518,Programme!F10518,Programme!G10518,Programme!H10518,Programme!I10518,Programme!J10518)</f>
        <v>&lt;/ValeurCellule&gt;</v>
      </c>
    </row>
    <row r="10518" spans="1:1" x14ac:dyDescent="0.2">
      <c r="A10518" s="996" t="str">
        <f>CONCATENATE(Programme!D10519,Programme!E10519,Programme!F10519,Programme!G10519,Programme!H10519,Programme!I10519,Programme!J10519)</f>
        <v>&lt;ValeurCellule&gt;</v>
      </c>
    </row>
    <row r="10519" spans="1:1" x14ac:dyDescent="0.2">
      <c r="A10519" s="996" t="str">
        <f>CONCATENATE(Programme!D10520,Programme!E10520,Programme!F10520,Programme!G10520,Programme!H10520,Programme!I10520,Programme!J10520)</f>
        <v>&lt;cellule&gt;&lt;codeEdi&gt;1083&lt;/codeEdi&gt;&lt;/cellule&gt;</v>
      </c>
    </row>
    <row r="10520" spans="1:1" x14ac:dyDescent="0.2">
      <c r="A10520" s="996" t="str">
        <f>CONCATENATE(Programme!D10521,Programme!E10521,Programme!F10521,Programme!G10521,Programme!H10521,Programme!I10521,Programme!J10521)</f>
        <v>&lt;valeur&gt;&lt;/valeur&gt;</v>
      </c>
    </row>
    <row r="10521" spans="1:1" x14ac:dyDescent="0.2">
      <c r="A10521" s="996" t="str">
        <f>CONCATENATE(Programme!D10522,Programme!E10522,Programme!F10522,Programme!G10522,Programme!H10522,Programme!I10522,Programme!J10522)</f>
        <v>&lt;numeroLigne&gt;47&lt;/numeroLigne&gt;</v>
      </c>
    </row>
    <row r="10522" spans="1:1" x14ac:dyDescent="0.2">
      <c r="A10522" s="996" t="str">
        <f>CONCATENATE(Programme!D10523,Programme!E10523,Programme!F10523,Programme!G10523,Programme!H10523,Programme!I10523,Programme!J10523)</f>
        <v>&lt;/ValeurCellule&gt;</v>
      </c>
    </row>
    <row r="10523" spans="1:1" x14ac:dyDescent="0.2">
      <c r="A10523" s="996" t="str">
        <f>CONCATENATE(Programme!D10524,Programme!E10524,Programme!F10524,Programme!G10524,Programme!H10524,Programme!I10524,Programme!J10524)</f>
        <v>&lt;ValeurCellule&gt;</v>
      </c>
    </row>
    <row r="10524" spans="1:1" x14ac:dyDescent="0.2">
      <c r="A10524" s="996" t="str">
        <f>CONCATENATE(Programme!D10525,Programme!E10525,Programme!F10525,Programme!G10525,Programme!H10525,Programme!I10525,Programme!J10525)</f>
        <v>&lt;cellule&gt;&lt;codeEdi&gt;1084&lt;/codeEdi&gt;&lt;/cellule&gt;</v>
      </c>
    </row>
    <row r="10525" spans="1:1" x14ac:dyDescent="0.2">
      <c r="A10525" s="996" t="str">
        <f>CONCATENATE(Programme!D10526,Programme!E10526,Programme!F10526,Programme!G10526,Programme!H10526,Programme!I10526,Programme!J10526)</f>
        <v>&lt;valeur&gt;&lt;/valeur&gt;</v>
      </c>
    </row>
    <row r="10526" spans="1:1" x14ac:dyDescent="0.2">
      <c r="A10526" s="996" t="str">
        <f>CONCATENATE(Programme!D10527,Programme!E10527,Programme!F10527,Programme!G10527,Programme!H10527,Programme!I10527,Programme!J10527)</f>
        <v>&lt;numeroLigne&gt;47&lt;/numeroLigne&gt;</v>
      </c>
    </row>
    <row r="10527" spans="1:1" x14ac:dyDescent="0.2">
      <c r="A10527" s="996" t="str">
        <f>CONCATENATE(Programme!D10528,Programme!E10528,Programme!F10528,Programme!G10528,Programme!H10528,Programme!I10528,Programme!J10528)</f>
        <v>&lt;/ValeurCellule&gt;</v>
      </c>
    </row>
    <row r="10528" spans="1:1" x14ac:dyDescent="0.2">
      <c r="A10528" s="996" t="str">
        <f>CONCATENATE(Programme!D10529,Programme!E10529,Programme!F10529,Programme!G10529,Programme!H10529,Programme!I10529,Programme!J10529)</f>
        <v>&lt;ValeurCellule&gt;</v>
      </c>
    </row>
    <row r="10529" spans="1:1" x14ac:dyDescent="0.2">
      <c r="A10529" s="996" t="str">
        <f>CONCATENATE(Programme!D10530,Programme!E10530,Programme!F10530,Programme!G10530,Programme!H10530,Programme!I10530,Programme!J10530)</f>
        <v>&lt;cellule&gt;&lt;codeEdi&gt;1085&lt;/codeEdi&gt;&lt;/cellule&gt;</v>
      </c>
    </row>
    <row r="10530" spans="1:1" x14ac:dyDescent="0.2">
      <c r="A10530" s="996" t="str">
        <f>CONCATENATE(Programme!D10531,Programme!E10531,Programme!F10531,Programme!G10531,Programme!H10531,Programme!I10531,Programme!J10531)</f>
        <v>&lt;valeur&gt;&lt;/valeur&gt;</v>
      </c>
    </row>
    <row r="10531" spans="1:1" x14ac:dyDescent="0.2">
      <c r="A10531" s="996" t="str">
        <f>CONCATENATE(Programme!D10532,Programme!E10532,Programme!F10532,Programme!G10532,Programme!H10532,Programme!I10532,Programme!J10532)</f>
        <v>&lt;numeroLigne&gt;47&lt;/numeroLigne&gt;</v>
      </c>
    </row>
    <row r="10532" spans="1:1" x14ac:dyDescent="0.2">
      <c r="A10532" s="996" t="str">
        <f>CONCATENATE(Programme!D10533,Programme!E10533,Programme!F10533,Programme!G10533,Programme!H10533,Programme!I10533,Programme!J10533)</f>
        <v>&lt;/ValeurCellule&gt;</v>
      </c>
    </row>
    <row r="10533" spans="1:1" x14ac:dyDescent="0.2">
      <c r="A10533" s="996" t="str">
        <f>CONCATENATE(Programme!D10534,Programme!E10534,Programme!F10534,Programme!G10534,Programme!H10534,Programme!I10534,Programme!J10534)</f>
        <v>&lt;ValeurCellule&gt;</v>
      </c>
    </row>
    <row r="10534" spans="1:1" x14ac:dyDescent="0.2">
      <c r="A10534" s="996" t="str">
        <f>CONCATENATE(Programme!D10535,Programme!E10535,Programme!F10535,Programme!G10535,Programme!H10535,Programme!I10535,Programme!J10535)</f>
        <v>&lt;cellule&gt;&lt;codeEdi&gt;1086&lt;/codeEdi&gt;&lt;/cellule&gt;</v>
      </c>
    </row>
    <row r="10535" spans="1:1" x14ac:dyDescent="0.2">
      <c r="A10535" s="996" t="str">
        <f>CONCATENATE(Programme!D10536,Programme!E10536,Programme!F10536,Programme!G10536,Programme!H10536,Programme!I10536,Programme!J10536)</f>
        <v>&lt;valeur&gt;&lt;/valeur&gt;</v>
      </c>
    </row>
    <row r="10536" spans="1:1" x14ac:dyDescent="0.2">
      <c r="A10536" s="996" t="str">
        <f>CONCATENATE(Programme!D10537,Programme!E10537,Programme!F10537,Programme!G10537,Programme!H10537,Programme!I10537,Programme!J10537)</f>
        <v>&lt;numeroLigne&gt;47&lt;/numeroLigne&gt;</v>
      </c>
    </row>
    <row r="10537" spans="1:1" x14ac:dyDescent="0.2">
      <c r="A10537" s="996" t="str">
        <f>CONCATENATE(Programme!D10538,Programme!E10538,Programme!F10538,Programme!G10538,Programme!H10538,Programme!I10538,Programme!J10538)</f>
        <v>&lt;/ValeurCellule&gt;</v>
      </c>
    </row>
    <row r="10538" spans="1:1" x14ac:dyDescent="0.2">
      <c r="A10538" s="996" t="str">
        <f>CONCATENATE(Programme!D10539,Programme!E10539,Programme!F10539,Programme!G10539,Programme!H10539,Programme!I10539,Programme!J10539)</f>
        <v>&lt;ValeurCellule&gt;</v>
      </c>
    </row>
    <row r="10539" spans="1:1" x14ac:dyDescent="0.2">
      <c r="A10539" s="996" t="str">
        <f>CONCATENATE(Programme!D10540,Programme!E10540,Programme!F10540,Programme!G10540,Programme!H10540,Programme!I10540,Programme!J10540)</f>
        <v>&lt;cellule&gt;&lt;codeEdi&gt;10061&lt;/codeEdi&gt;&lt;/cellule&gt;</v>
      </c>
    </row>
    <row r="10540" spans="1:1" x14ac:dyDescent="0.2">
      <c r="A10540" s="996" t="str">
        <f>CONCATENATE(Programme!D10541,Programme!E10541,Programme!F10541,Programme!G10541,Programme!H10541,Programme!I10541,Programme!J10541)</f>
        <v>&lt;valeur&gt;&lt;/valeur&gt;</v>
      </c>
    </row>
    <row r="10541" spans="1:1" x14ac:dyDescent="0.2">
      <c r="A10541" s="996" t="str">
        <f>CONCATENATE(Programme!D10542,Programme!E10542,Programme!F10542,Programme!G10542,Programme!H10542,Programme!I10542,Programme!J10542)</f>
        <v>&lt;numeroLigne&gt;48&lt;/numeroLigne&gt;</v>
      </c>
    </row>
    <row r="10542" spans="1:1" x14ac:dyDescent="0.2">
      <c r="A10542" s="996" t="str">
        <f>CONCATENATE(Programme!D10543,Programme!E10543,Programme!F10543,Programme!G10543,Programme!H10543,Programme!I10543,Programme!J10543)</f>
        <v>&lt;/ValeurCellule&gt;</v>
      </c>
    </row>
    <row r="10543" spans="1:1" x14ac:dyDescent="0.2">
      <c r="A10543" s="996" t="str">
        <f>CONCATENATE(Programme!D10544,Programme!E10544,Programme!F10544,Programme!G10544,Programme!H10544,Programme!I10544,Programme!J10544)</f>
        <v>&lt;ValeurCellule&gt;</v>
      </c>
    </row>
    <row r="10544" spans="1:1" x14ac:dyDescent="0.2">
      <c r="A10544" s="996" t="str">
        <f>CONCATENATE(Programme!D10545,Programme!E10545,Programme!F10545,Programme!G10545,Programme!H10545,Programme!I10545,Programme!J10545)</f>
        <v>&lt;cellule&gt;&lt;codeEdi&gt;1078&lt;/codeEdi&gt;&lt;/cellule&gt;</v>
      </c>
    </row>
    <row r="10545" spans="1:1" x14ac:dyDescent="0.2">
      <c r="A10545" s="996" t="str">
        <f>CONCATENATE(Programme!D10546,Programme!E10546,Programme!F10546,Programme!G10546,Programme!H10546,Programme!I10546,Programme!J10546)</f>
        <v>&lt;valeur&gt;&lt;/valeur&gt;</v>
      </c>
    </row>
    <row r="10546" spans="1:1" x14ac:dyDescent="0.2">
      <c r="A10546" s="996" t="str">
        <f>CONCATENATE(Programme!D10547,Programme!E10547,Programme!F10547,Programme!G10547,Programme!H10547,Programme!I10547,Programme!J10547)</f>
        <v>&lt;numeroLigne&gt;48&lt;/numeroLigne&gt;</v>
      </c>
    </row>
    <row r="10547" spans="1:1" x14ac:dyDescent="0.2">
      <c r="A10547" s="996" t="str">
        <f>CONCATENATE(Programme!D10548,Programme!E10548,Programme!F10548,Programme!G10548,Programme!H10548,Programme!I10548,Programme!J10548)</f>
        <v>&lt;/ValeurCellule&gt;</v>
      </c>
    </row>
    <row r="10548" spans="1:1" x14ac:dyDescent="0.2">
      <c r="A10548" s="996" t="str">
        <f>CONCATENATE(Programme!D10549,Programme!E10549,Programme!F10549,Programme!G10549,Programme!H10549,Programme!I10549,Programme!J10549)</f>
        <v>&lt;ValeurCellule&gt;</v>
      </c>
    </row>
    <row r="10549" spans="1:1" x14ac:dyDescent="0.2">
      <c r="A10549" s="996" t="str">
        <f>CONCATENATE(Programme!D10550,Programme!E10550,Programme!F10550,Programme!G10550,Programme!H10550,Programme!I10550,Programme!J10550)</f>
        <v>&lt;cellule&gt;&lt;codeEdi&gt;1079&lt;/codeEdi&gt;&lt;/cellule&gt;</v>
      </c>
    </row>
    <row r="10550" spans="1:1" x14ac:dyDescent="0.2">
      <c r="A10550" s="996" t="str">
        <f>CONCATENATE(Programme!D10551,Programme!E10551,Programme!F10551,Programme!G10551,Programme!H10551,Programme!I10551,Programme!J10551)</f>
        <v>&lt;valeur&gt;&lt;/valeur&gt;</v>
      </c>
    </row>
    <row r="10551" spans="1:1" x14ac:dyDescent="0.2">
      <c r="A10551" s="996" t="str">
        <f>CONCATENATE(Programme!D10552,Programme!E10552,Programme!F10552,Programme!G10552,Programme!H10552,Programme!I10552,Programme!J10552)</f>
        <v>&lt;numeroLigne&gt;48&lt;/numeroLigne&gt;</v>
      </c>
    </row>
    <row r="10552" spans="1:1" x14ac:dyDescent="0.2">
      <c r="A10552" s="996" t="str">
        <f>CONCATENATE(Programme!D10553,Programme!E10553,Programme!F10553,Programme!G10553,Programme!H10553,Programme!I10553,Programme!J10553)</f>
        <v>&lt;/ValeurCellule&gt;</v>
      </c>
    </row>
    <row r="10553" spans="1:1" x14ac:dyDescent="0.2">
      <c r="A10553" s="996" t="str">
        <f>CONCATENATE(Programme!D10554,Programme!E10554,Programme!F10554,Programme!G10554,Programme!H10554,Programme!I10554,Programme!J10554)</f>
        <v>&lt;ValeurCellule&gt;</v>
      </c>
    </row>
    <row r="10554" spans="1:1" x14ac:dyDescent="0.2">
      <c r="A10554" s="996" t="str">
        <f>CONCATENATE(Programme!D10555,Programme!E10555,Programme!F10555,Programme!G10555,Programme!H10555,Programme!I10555,Programme!J10555)</f>
        <v>&lt;cellule&gt;&lt;codeEdi&gt;1080&lt;/codeEdi&gt;&lt;/cellule&gt;</v>
      </c>
    </row>
    <row r="10555" spans="1:1" x14ac:dyDescent="0.2">
      <c r="A10555" s="996" t="str">
        <f>CONCATENATE(Programme!D10556,Programme!E10556,Programme!F10556,Programme!G10556,Programme!H10556,Programme!I10556,Programme!J10556)</f>
        <v>&lt;valeur&gt;&lt;/valeur&gt;</v>
      </c>
    </row>
    <row r="10556" spans="1:1" x14ac:dyDescent="0.2">
      <c r="A10556" s="996" t="str">
        <f>CONCATENATE(Programme!D10557,Programme!E10557,Programme!F10557,Programme!G10557,Programme!H10557,Programme!I10557,Programme!J10557)</f>
        <v>&lt;numeroLigne&gt;48&lt;/numeroLigne&gt;</v>
      </c>
    </row>
    <row r="10557" spans="1:1" x14ac:dyDescent="0.2">
      <c r="A10557" s="996" t="str">
        <f>CONCATENATE(Programme!D10558,Programme!E10558,Programme!F10558,Programme!G10558,Programme!H10558,Programme!I10558,Programme!J10558)</f>
        <v>&lt;/ValeurCellule&gt;</v>
      </c>
    </row>
    <row r="10558" spans="1:1" x14ac:dyDescent="0.2">
      <c r="A10558" s="996" t="str">
        <f>CONCATENATE(Programme!D10559,Programme!E10559,Programme!F10559,Programme!G10559,Programme!H10559,Programme!I10559,Programme!J10559)</f>
        <v>&lt;ValeurCellule&gt;</v>
      </c>
    </row>
    <row r="10559" spans="1:1" x14ac:dyDescent="0.2">
      <c r="A10559" s="996" t="str">
        <f>CONCATENATE(Programme!D10560,Programme!E10560,Programme!F10560,Programme!G10560,Programme!H10560,Programme!I10560,Programme!J10560)</f>
        <v>&lt;cellule&gt;&lt;codeEdi&gt;1081&lt;/codeEdi&gt;&lt;/cellule&gt;</v>
      </c>
    </row>
    <row r="10560" spans="1:1" x14ac:dyDescent="0.2">
      <c r="A10560" s="996" t="str">
        <f>CONCATENATE(Programme!D10561,Programme!E10561,Programme!F10561,Programme!G10561,Programme!H10561,Programme!I10561,Programme!J10561)</f>
        <v>&lt;valeur&gt;&lt;/valeur&gt;</v>
      </c>
    </row>
    <row r="10561" spans="1:1" x14ac:dyDescent="0.2">
      <c r="A10561" s="996" t="str">
        <f>CONCATENATE(Programme!D10562,Programme!E10562,Programme!F10562,Programme!G10562,Programme!H10562,Programme!I10562,Programme!J10562)</f>
        <v>&lt;numeroLigne&gt;48&lt;/numeroLigne&gt;</v>
      </c>
    </row>
    <row r="10562" spans="1:1" x14ac:dyDescent="0.2">
      <c r="A10562" s="996" t="str">
        <f>CONCATENATE(Programme!D10563,Programme!E10563,Programme!F10563,Programme!G10563,Programme!H10563,Programme!I10563,Programme!J10563)</f>
        <v>&lt;/ValeurCellule&gt;</v>
      </c>
    </row>
    <row r="10563" spans="1:1" x14ac:dyDescent="0.2">
      <c r="A10563" s="996" t="str">
        <f>CONCATENATE(Programme!D10564,Programme!E10564,Programme!F10564,Programme!G10564,Programme!H10564,Programme!I10564,Programme!J10564)</f>
        <v>&lt;ValeurCellule&gt;</v>
      </c>
    </row>
    <row r="10564" spans="1:1" x14ac:dyDescent="0.2">
      <c r="A10564" s="996" t="str">
        <f>CONCATENATE(Programme!D10565,Programme!E10565,Programme!F10565,Programme!G10565,Programme!H10565,Programme!I10565,Programme!J10565)</f>
        <v>&lt;cellule&gt;&lt;codeEdi&gt;1082&lt;/codeEdi&gt;&lt;/cellule&gt;</v>
      </c>
    </row>
    <row r="10565" spans="1:1" x14ac:dyDescent="0.2">
      <c r="A10565" s="996" t="str">
        <f>CONCATENATE(Programme!D10566,Programme!E10566,Programme!F10566,Programme!G10566,Programme!H10566,Programme!I10566,Programme!J10566)</f>
        <v>&lt;valeur&gt;&lt;/valeur&gt;</v>
      </c>
    </row>
    <row r="10566" spans="1:1" x14ac:dyDescent="0.2">
      <c r="A10566" s="996" t="str">
        <f>CONCATENATE(Programme!D10567,Programme!E10567,Programme!F10567,Programme!G10567,Programme!H10567,Programme!I10567,Programme!J10567)</f>
        <v>&lt;numeroLigne&gt;48&lt;/numeroLigne&gt;</v>
      </c>
    </row>
    <row r="10567" spans="1:1" x14ac:dyDescent="0.2">
      <c r="A10567" s="996" t="str">
        <f>CONCATENATE(Programme!D10568,Programme!E10568,Programme!F10568,Programme!G10568,Programme!H10568,Programme!I10568,Programme!J10568)</f>
        <v>&lt;/ValeurCellule&gt;</v>
      </c>
    </row>
    <row r="10568" spans="1:1" x14ac:dyDescent="0.2">
      <c r="A10568" s="996" t="str">
        <f>CONCATENATE(Programme!D10569,Programme!E10569,Programme!F10569,Programme!G10569,Programme!H10569,Programme!I10569,Programme!J10569)</f>
        <v>&lt;ValeurCellule&gt;</v>
      </c>
    </row>
    <row r="10569" spans="1:1" x14ac:dyDescent="0.2">
      <c r="A10569" s="996" t="str">
        <f>CONCATENATE(Programme!D10570,Programme!E10570,Programme!F10570,Programme!G10570,Programme!H10570,Programme!I10570,Programme!J10570)</f>
        <v>&lt;cellule&gt;&lt;codeEdi&gt;1083&lt;/codeEdi&gt;&lt;/cellule&gt;</v>
      </c>
    </row>
    <row r="10570" spans="1:1" x14ac:dyDescent="0.2">
      <c r="A10570" s="996" t="str">
        <f>CONCATENATE(Programme!D10571,Programme!E10571,Programme!F10571,Programme!G10571,Programme!H10571,Programme!I10571,Programme!J10571)</f>
        <v>&lt;valeur&gt;&lt;/valeur&gt;</v>
      </c>
    </row>
    <row r="10571" spans="1:1" x14ac:dyDescent="0.2">
      <c r="A10571" s="996" t="str">
        <f>CONCATENATE(Programme!D10572,Programme!E10572,Programme!F10572,Programme!G10572,Programme!H10572,Programme!I10572,Programme!J10572)</f>
        <v>&lt;numeroLigne&gt;48&lt;/numeroLigne&gt;</v>
      </c>
    </row>
    <row r="10572" spans="1:1" x14ac:dyDescent="0.2">
      <c r="A10572" s="996" t="str">
        <f>CONCATENATE(Programme!D10573,Programme!E10573,Programme!F10573,Programme!G10573,Programme!H10573,Programme!I10573,Programme!J10573)</f>
        <v>&lt;/ValeurCellule&gt;</v>
      </c>
    </row>
    <row r="10573" spans="1:1" x14ac:dyDescent="0.2">
      <c r="A10573" s="996" t="str">
        <f>CONCATENATE(Programme!D10574,Programme!E10574,Programme!F10574,Programme!G10574,Programme!H10574,Programme!I10574,Programme!J10574)</f>
        <v>&lt;ValeurCellule&gt;</v>
      </c>
    </row>
    <row r="10574" spans="1:1" x14ac:dyDescent="0.2">
      <c r="A10574" s="996" t="str">
        <f>CONCATENATE(Programme!D10575,Programme!E10575,Programme!F10575,Programme!G10575,Programme!H10575,Programme!I10575,Programme!J10575)</f>
        <v>&lt;cellule&gt;&lt;codeEdi&gt;1084&lt;/codeEdi&gt;&lt;/cellule&gt;</v>
      </c>
    </row>
    <row r="10575" spans="1:1" x14ac:dyDescent="0.2">
      <c r="A10575" s="996" t="str">
        <f>CONCATENATE(Programme!D10576,Programme!E10576,Programme!F10576,Programme!G10576,Programme!H10576,Programme!I10576,Programme!J10576)</f>
        <v>&lt;valeur&gt;&lt;/valeur&gt;</v>
      </c>
    </row>
    <row r="10576" spans="1:1" x14ac:dyDescent="0.2">
      <c r="A10576" s="996" t="str">
        <f>CONCATENATE(Programme!D10577,Programme!E10577,Programme!F10577,Programme!G10577,Programme!H10577,Programme!I10577,Programme!J10577)</f>
        <v>&lt;numeroLigne&gt;48&lt;/numeroLigne&gt;</v>
      </c>
    </row>
    <row r="10577" spans="1:1" x14ac:dyDescent="0.2">
      <c r="A10577" s="996" t="str">
        <f>CONCATENATE(Programme!D10578,Programme!E10578,Programme!F10578,Programme!G10578,Programme!H10578,Programme!I10578,Programme!J10578)</f>
        <v>&lt;/ValeurCellule&gt;</v>
      </c>
    </row>
    <row r="10578" spans="1:1" x14ac:dyDescent="0.2">
      <c r="A10578" s="996" t="str">
        <f>CONCATENATE(Programme!D10579,Programme!E10579,Programme!F10579,Programme!G10579,Programme!H10579,Programme!I10579,Programme!J10579)</f>
        <v>&lt;ValeurCellule&gt;</v>
      </c>
    </row>
    <row r="10579" spans="1:1" x14ac:dyDescent="0.2">
      <c r="A10579" s="996" t="str">
        <f>CONCATENATE(Programme!D10580,Programme!E10580,Programme!F10580,Programme!G10580,Programme!H10580,Programme!I10580,Programme!J10580)</f>
        <v>&lt;cellule&gt;&lt;codeEdi&gt;1085&lt;/codeEdi&gt;&lt;/cellule&gt;</v>
      </c>
    </row>
    <row r="10580" spans="1:1" x14ac:dyDescent="0.2">
      <c r="A10580" s="996" t="str">
        <f>CONCATENATE(Programme!D10581,Programme!E10581,Programme!F10581,Programme!G10581,Programme!H10581,Programme!I10581,Programme!J10581)</f>
        <v>&lt;valeur&gt;&lt;/valeur&gt;</v>
      </c>
    </row>
    <row r="10581" spans="1:1" x14ac:dyDescent="0.2">
      <c r="A10581" s="996" t="str">
        <f>CONCATENATE(Programme!D10582,Programme!E10582,Programme!F10582,Programme!G10582,Programme!H10582,Programme!I10582,Programme!J10582)</f>
        <v>&lt;numeroLigne&gt;48&lt;/numeroLigne&gt;</v>
      </c>
    </row>
    <row r="10582" spans="1:1" x14ac:dyDescent="0.2">
      <c r="A10582" s="996" t="str">
        <f>CONCATENATE(Programme!D10583,Programme!E10583,Programme!F10583,Programme!G10583,Programme!H10583,Programme!I10583,Programme!J10583)</f>
        <v>&lt;/ValeurCellule&gt;</v>
      </c>
    </row>
    <row r="10583" spans="1:1" x14ac:dyDescent="0.2">
      <c r="A10583" s="996" t="str">
        <f>CONCATENATE(Programme!D10584,Programme!E10584,Programme!F10584,Programme!G10584,Programme!H10584,Programme!I10584,Programme!J10584)</f>
        <v>&lt;ValeurCellule&gt;</v>
      </c>
    </row>
    <row r="10584" spans="1:1" x14ac:dyDescent="0.2">
      <c r="A10584" s="996" t="str">
        <f>CONCATENATE(Programme!D10585,Programme!E10585,Programme!F10585,Programme!G10585,Programme!H10585,Programme!I10585,Programme!J10585)</f>
        <v>&lt;cellule&gt;&lt;codeEdi&gt;1086&lt;/codeEdi&gt;&lt;/cellule&gt;</v>
      </c>
    </row>
    <row r="10585" spans="1:1" x14ac:dyDescent="0.2">
      <c r="A10585" s="996" t="str">
        <f>CONCATENATE(Programme!D10586,Programme!E10586,Programme!F10586,Programme!G10586,Programme!H10586,Programme!I10586,Programme!J10586)</f>
        <v>&lt;valeur&gt;&lt;/valeur&gt;</v>
      </c>
    </row>
    <row r="10586" spans="1:1" x14ac:dyDescent="0.2">
      <c r="A10586" s="996" t="str">
        <f>CONCATENATE(Programme!D10587,Programme!E10587,Programme!F10587,Programme!G10587,Programme!H10587,Programme!I10587,Programme!J10587)</f>
        <v>&lt;numeroLigne&gt;48&lt;/numeroLigne&gt;</v>
      </c>
    </row>
    <row r="10587" spans="1:1" x14ac:dyDescent="0.2">
      <c r="A10587" s="996" t="str">
        <f>CONCATENATE(Programme!D10588,Programme!E10588,Programme!F10588,Programme!G10588,Programme!H10588,Programme!I10588,Programme!J10588)</f>
        <v>&lt;/ValeurCellule&gt;</v>
      </c>
    </row>
    <row r="10588" spans="1:1" x14ac:dyDescent="0.2">
      <c r="A10588" s="996" t="str">
        <f>CONCATENATE(Programme!D10589,Programme!E10589,Programme!F10589,Programme!G10589,Programme!H10589,Programme!I10589,Programme!J10589)</f>
        <v>&lt;ValeurCellule&gt;</v>
      </c>
    </row>
    <row r="10589" spans="1:1" x14ac:dyDescent="0.2">
      <c r="A10589" s="996" t="str">
        <f>CONCATENATE(Programme!D10590,Programme!E10590,Programme!F10590,Programme!G10590,Programme!H10590,Programme!I10590,Programme!J10590)</f>
        <v>&lt;cellule&gt;&lt;codeEdi&gt;10061&lt;/codeEdi&gt;&lt;/cellule&gt;</v>
      </c>
    </row>
    <row r="10590" spans="1:1" x14ac:dyDescent="0.2">
      <c r="A10590" s="996" t="str">
        <f>CONCATENATE(Programme!D10591,Programme!E10591,Programme!F10591,Programme!G10591,Programme!H10591,Programme!I10591,Programme!J10591)</f>
        <v>&lt;valeur&gt;&lt;/valeur&gt;</v>
      </c>
    </row>
    <row r="10591" spans="1:1" x14ac:dyDescent="0.2">
      <c r="A10591" s="996" t="str">
        <f>CONCATENATE(Programme!D10592,Programme!E10592,Programme!F10592,Programme!G10592,Programme!H10592,Programme!I10592,Programme!J10592)</f>
        <v>&lt;numeroLigne&gt;49&lt;/numeroLigne&gt;</v>
      </c>
    </row>
    <row r="10592" spans="1:1" x14ac:dyDescent="0.2">
      <c r="A10592" s="996" t="str">
        <f>CONCATENATE(Programme!D10593,Programme!E10593,Programme!F10593,Programme!G10593,Programme!H10593,Programme!I10593,Programme!J10593)</f>
        <v>&lt;/ValeurCellule&gt;</v>
      </c>
    </row>
    <row r="10593" spans="1:1" x14ac:dyDescent="0.2">
      <c r="A10593" s="996" t="str">
        <f>CONCATENATE(Programme!D10594,Programme!E10594,Programme!F10594,Programme!G10594,Programme!H10594,Programme!I10594,Programme!J10594)</f>
        <v>&lt;ValeurCellule&gt;</v>
      </c>
    </row>
    <row r="10594" spans="1:1" x14ac:dyDescent="0.2">
      <c r="A10594" s="996" t="str">
        <f>CONCATENATE(Programme!D10595,Programme!E10595,Programme!F10595,Programme!G10595,Programme!H10595,Programme!I10595,Programme!J10595)</f>
        <v>&lt;cellule&gt;&lt;codeEdi&gt;1078&lt;/codeEdi&gt;&lt;/cellule&gt;</v>
      </c>
    </row>
    <row r="10595" spans="1:1" x14ac:dyDescent="0.2">
      <c r="A10595" s="996" t="str">
        <f>CONCATENATE(Programme!D10596,Programme!E10596,Programme!F10596,Programme!G10596,Programme!H10596,Programme!I10596,Programme!J10596)</f>
        <v>&lt;valeur&gt;&lt;/valeur&gt;</v>
      </c>
    </row>
    <row r="10596" spans="1:1" x14ac:dyDescent="0.2">
      <c r="A10596" s="996" t="str">
        <f>CONCATENATE(Programme!D10597,Programme!E10597,Programme!F10597,Programme!G10597,Programme!H10597,Programme!I10597,Programme!J10597)</f>
        <v>&lt;numeroLigne&gt;49&lt;/numeroLigne&gt;</v>
      </c>
    </row>
    <row r="10597" spans="1:1" x14ac:dyDescent="0.2">
      <c r="A10597" s="996" t="str">
        <f>CONCATENATE(Programme!D10598,Programme!E10598,Programme!F10598,Programme!G10598,Programme!H10598,Programme!I10598,Programme!J10598)</f>
        <v>&lt;/ValeurCellule&gt;</v>
      </c>
    </row>
    <row r="10598" spans="1:1" x14ac:dyDescent="0.2">
      <c r="A10598" s="996" t="str">
        <f>CONCATENATE(Programme!D10599,Programme!E10599,Programme!F10599,Programme!G10599,Programme!H10599,Programme!I10599,Programme!J10599)</f>
        <v>&lt;ValeurCellule&gt;</v>
      </c>
    </row>
    <row r="10599" spans="1:1" x14ac:dyDescent="0.2">
      <c r="A10599" s="996" t="str">
        <f>CONCATENATE(Programme!D10600,Programme!E10600,Programme!F10600,Programme!G10600,Programme!H10600,Programme!I10600,Programme!J10600)</f>
        <v>&lt;cellule&gt;&lt;codeEdi&gt;1079&lt;/codeEdi&gt;&lt;/cellule&gt;</v>
      </c>
    </row>
    <row r="10600" spans="1:1" x14ac:dyDescent="0.2">
      <c r="A10600" s="996" t="str">
        <f>CONCATENATE(Programme!D10601,Programme!E10601,Programme!F10601,Programme!G10601,Programme!H10601,Programme!I10601,Programme!J10601)</f>
        <v>&lt;valeur&gt;&lt;/valeur&gt;</v>
      </c>
    </row>
    <row r="10601" spans="1:1" x14ac:dyDescent="0.2">
      <c r="A10601" s="996" t="str">
        <f>CONCATENATE(Programme!D10602,Programme!E10602,Programme!F10602,Programme!G10602,Programme!H10602,Programme!I10602,Programme!J10602)</f>
        <v>&lt;numeroLigne&gt;49&lt;/numeroLigne&gt;</v>
      </c>
    </row>
    <row r="10602" spans="1:1" x14ac:dyDescent="0.2">
      <c r="A10602" s="996" t="str">
        <f>CONCATENATE(Programme!D10603,Programme!E10603,Programme!F10603,Programme!G10603,Programme!H10603,Programme!I10603,Programme!J10603)</f>
        <v>&lt;/ValeurCellule&gt;</v>
      </c>
    </row>
    <row r="10603" spans="1:1" x14ac:dyDescent="0.2">
      <c r="A10603" s="996" t="str">
        <f>CONCATENATE(Programme!D10604,Programme!E10604,Programme!F10604,Programme!G10604,Programme!H10604,Programme!I10604,Programme!J10604)</f>
        <v>&lt;ValeurCellule&gt;</v>
      </c>
    </row>
    <row r="10604" spans="1:1" x14ac:dyDescent="0.2">
      <c r="A10604" s="996" t="str">
        <f>CONCATENATE(Programme!D10605,Programme!E10605,Programme!F10605,Programme!G10605,Programme!H10605,Programme!I10605,Programme!J10605)</f>
        <v>&lt;cellule&gt;&lt;codeEdi&gt;1080&lt;/codeEdi&gt;&lt;/cellule&gt;</v>
      </c>
    </row>
    <row r="10605" spans="1:1" x14ac:dyDescent="0.2">
      <c r="A10605" s="996" t="str">
        <f>CONCATENATE(Programme!D10606,Programme!E10606,Programme!F10606,Programme!G10606,Programme!H10606,Programme!I10606,Programme!J10606)</f>
        <v>&lt;valeur&gt;&lt;/valeur&gt;</v>
      </c>
    </row>
    <row r="10606" spans="1:1" x14ac:dyDescent="0.2">
      <c r="A10606" s="996" t="str">
        <f>CONCATENATE(Programme!D10607,Programme!E10607,Programme!F10607,Programme!G10607,Programme!H10607,Programme!I10607,Programme!J10607)</f>
        <v>&lt;numeroLigne&gt;49&lt;/numeroLigne&gt;</v>
      </c>
    </row>
    <row r="10607" spans="1:1" x14ac:dyDescent="0.2">
      <c r="A10607" s="996" t="str">
        <f>CONCATENATE(Programme!D10608,Programme!E10608,Programme!F10608,Programme!G10608,Programme!H10608,Programme!I10608,Programme!J10608)</f>
        <v>&lt;/ValeurCellule&gt;</v>
      </c>
    </row>
    <row r="10608" spans="1:1" x14ac:dyDescent="0.2">
      <c r="A10608" s="996" t="str">
        <f>CONCATENATE(Programme!D10609,Programme!E10609,Programme!F10609,Programme!G10609,Programme!H10609,Programme!I10609,Programme!J10609)</f>
        <v>&lt;ValeurCellule&gt;</v>
      </c>
    </row>
    <row r="10609" spans="1:1" x14ac:dyDescent="0.2">
      <c r="A10609" s="996" t="str">
        <f>CONCATENATE(Programme!D10610,Programme!E10610,Programme!F10610,Programme!G10610,Programme!H10610,Programme!I10610,Programme!J10610)</f>
        <v>&lt;cellule&gt;&lt;codeEdi&gt;1081&lt;/codeEdi&gt;&lt;/cellule&gt;</v>
      </c>
    </row>
    <row r="10610" spans="1:1" x14ac:dyDescent="0.2">
      <c r="A10610" s="996" t="str">
        <f>CONCATENATE(Programme!D10611,Programme!E10611,Programme!F10611,Programme!G10611,Programme!H10611,Programme!I10611,Programme!J10611)</f>
        <v>&lt;valeur&gt;&lt;/valeur&gt;</v>
      </c>
    </row>
    <row r="10611" spans="1:1" x14ac:dyDescent="0.2">
      <c r="A10611" s="996" t="str">
        <f>CONCATENATE(Programme!D10612,Programme!E10612,Programme!F10612,Programme!G10612,Programme!H10612,Programme!I10612,Programme!J10612)</f>
        <v>&lt;numeroLigne&gt;49&lt;/numeroLigne&gt;</v>
      </c>
    </row>
    <row r="10612" spans="1:1" x14ac:dyDescent="0.2">
      <c r="A10612" s="996" t="str">
        <f>CONCATENATE(Programme!D10613,Programme!E10613,Programme!F10613,Programme!G10613,Programme!H10613,Programme!I10613,Programme!J10613)</f>
        <v>&lt;/ValeurCellule&gt;</v>
      </c>
    </row>
    <row r="10613" spans="1:1" x14ac:dyDescent="0.2">
      <c r="A10613" s="996" t="str">
        <f>CONCATENATE(Programme!D10614,Programme!E10614,Programme!F10614,Programme!G10614,Programme!H10614,Programme!I10614,Programme!J10614)</f>
        <v>&lt;ValeurCellule&gt;</v>
      </c>
    </row>
    <row r="10614" spans="1:1" x14ac:dyDescent="0.2">
      <c r="A10614" s="996" t="str">
        <f>CONCATENATE(Programme!D10615,Programme!E10615,Programme!F10615,Programme!G10615,Programme!H10615,Programme!I10615,Programme!J10615)</f>
        <v>&lt;cellule&gt;&lt;codeEdi&gt;1082&lt;/codeEdi&gt;&lt;/cellule&gt;</v>
      </c>
    </row>
    <row r="10615" spans="1:1" x14ac:dyDescent="0.2">
      <c r="A10615" s="996" t="str">
        <f>CONCATENATE(Programme!D10616,Programme!E10616,Programme!F10616,Programme!G10616,Programme!H10616,Programme!I10616,Programme!J10616)</f>
        <v>&lt;valeur&gt;&lt;/valeur&gt;</v>
      </c>
    </row>
    <row r="10616" spans="1:1" x14ac:dyDescent="0.2">
      <c r="A10616" s="996" t="str">
        <f>CONCATENATE(Programme!D10617,Programme!E10617,Programme!F10617,Programme!G10617,Programme!H10617,Programme!I10617,Programme!J10617)</f>
        <v>&lt;numeroLigne&gt;49&lt;/numeroLigne&gt;</v>
      </c>
    </row>
    <row r="10617" spans="1:1" x14ac:dyDescent="0.2">
      <c r="A10617" s="996" t="str">
        <f>CONCATENATE(Programme!D10618,Programme!E10618,Programme!F10618,Programme!G10618,Programme!H10618,Programme!I10618,Programme!J10618)</f>
        <v>&lt;/ValeurCellule&gt;</v>
      </c>
    </row>
    <row r="10618" spans="1:1" x14ac:dyDescent="0.2">
      <c r="A10618" s="996" t="str">
        <f>CONCATENATE(Programme!D10619,Programme!E10619,Programme!F10619,Programme!G10619,Programme!H10619,Programme!I10619,Programme!J10619)</f>
        <v>&lt;ValeurCellule&gt;</v>
      </c>
    </row>
    <row r="10619" spans="1:1" x14ac:dyDescent="0.2">
      <c r="A10619" s="996" t="str">
        <f>CONCATENATE(Programme!D10620,Programme!E10620,Programme!F10620,Programme!G10620,Programme!H10620,Programme!I10620,Programme!J10620)</f>
        <v>&lt;cellule&gt;&lt;codeEdi&gt;1083&lt;/codeEdi&gt;&lt;/cellule&gt;</v>
      </c>
    </row>
    <row r="10620" spans="1:1" x14ac:dyDescent="0.2">
      <c r="A10620" s="996" t="str">
        <f>CONCATENATE(Programme!D10621,Programme!E10621,Programme!F10621,Programme!G10621,Programme!H10621,Programme!I10621,Programme!J10621)</f>
        <v>&lt;valeur&gt;&lt;/valeur&gt;</v>
      </c>
    </row>
    <row r="10621" spans="1:1" x14ac:dyDescent="0.2">
      <c r="A10621" s="996" t="str">
        <f>CONCATENATE(Programme!D10622,Programme!E10622,Programme!F10622,Programme!G10622,Programme!H10622,Programme!I10622,Programme!J10622)</f>
        <v>&lt;numeroLigne&gt;49&lt;/numeroLigne&gt;</v>
      </c>
    </row>
    <row r="10622" spans="1:1" x14ac:dyDescent="0.2">
      <c r="A10622" s="996" t="str">
        <f>CONCATENATE(Programme!D10623,Programme!E10623,Programme!F10623,Programme!G10623,Programme!H10623,Programme!I10623,Programme!J10623)</f>
        <v>&lt;/ValeurCellule&gt;</v>
      </c>
    </row>
    <row r="10623" spans="1:1" x14ac:dyDescent="0.2">
      <c r="A10623" s="996" t="str">
        <f>CONCATENATE(Programme!D10624,Programme!E10624,Programme!F10624,Programme!G10624,Programme!H10624,Programme!I10624,Programme!J10624)</f>
        <v>&lt;ValeurCellule&gt;</v>
      </c>
    </row>
    <row r="10624" spans="1:1" x14ac:dyDescent="0.2">
      <c r="A10624" s="996" t="str">
        <f>CONCATENATE(Programme!D10625,Programme!E10625,Programme!F10625,Programme!G10625,Programme!H10625,Programme!I10625,Programme!J10625)</f>
        <v>&lt;cellule&gt;&lt;codeEdi&gt;1084&lt;/codeEdi&gt;&lt;/cellule&gt;</v>
      </c>
    </row>
    <row r="10625" spans="1:1" x14ac:dyDescent="0.2">
      <c r="A10625" s="996" t="str">
        <f>CONCATENATE(Programme!D10626,Programme!E10626,Programme!F10626,Programme!G10626,Programme!H10626,Programme!I10626,Programme!J10626)</f>
        <v>&lt;valeur&gt;&lt;/valeur&gt;</v>
      </c>
    </row>
    <row r="10626" spans="1:1" x14ac:dyDescent="0.2">
      <c r="A10626" s="996" t="str">
        <f>CONCATENATE(Programme!D10627,Programme!E10627,Programme!F10627,Programme!G10627,Programme!H10627,Programme!I10627,Programme!J10627)</f>
        <v>&lt;numeroLigne&gt;49&lt;/numeroLigne&gt;</v>
      </c>
    </row>
    <row r="10627" spans="1:1" x14ac:dyDescent="0.2">
      <c r="A10627" s="996" t="str">
        <f>CONCATENATE(Programme!D10628,Programme!E10628,Programme!F10628,Programme!G10628,Programme!H10628,Programme!I10628,Programme!J10628)</f>
        <v>&lt;/ValeurCellule&gt;</v>
      </c>
    </row>
    <row r="10628" spans="1:1" x14ac:dyDescent="0.2">
      <c r="A10628" s="996" t="str">
        <f>CONCATENATE(Programme!D10629,Programme!E10629,Programme!F10629,Programme!G10629,Programme!H10629,Programme!I10629,Programme!J10629)</f>
        <v>&lt;ValeurCellule&gt;</v>
      </c>
    </row>
    <row r="10629" spans="1:1" x14ac:dyDescent="0.2">
      <c r="A10629" s="996" t="str">
        <f>CONCATENATE(Programme!D10630,Programme!E10630,Programme!F10630,Programme!G10630,Programme!H10630,Programme!I10630,Programme!J10630)</f>
        <v>&lt;cellule&gt;&lt;codeEdi&gt;1085&lt;/codeEdi&gt;&lt;/cellule&gt;</v>
      </c>
    </row>
    <row r="10630" spans="1:1" x14ac:dyDescent="0.2">
      <c r="A10630" s="996" t="str">
        <f>CONCATENATE(Programme!D10631,Programme!E10631,Programme!F10631,Programme!G10631,Programme!H10631,Programme!I10631,Programme!J10631)</f>
        <v>&lt;valeur&gt;&lt;/valeur&gt;</v>
      </c>
    </row>
    <row r="10631" spans="1:1" x14ac:dyDescent="0.2">
      <c r="A10631" s="996" t="str">
        <f>CONCATENATE(Programme!D10632,Programme!E10632,Programme!F10632,Programme!G10632,Programme!H10632,Programme!I10632,Programme!J10632)</f>
        <v>&lt;numeroLigne&gt;49&lt;/numeroLigne&gt;</v>
      </c>
    </row>
    <row r="10632" spans="1:1" x14ac:dyDescent="0.2">
      <c r="A10632" s="996" t="str">
        <f>CONCATENATE(Programme!D10633,Programme!E10633,Programme!F10633,Programme!G10633,Programme!H10633,Programme!I10633,Programme!J10633)</f>
        <v>&lt;/ValeurCellule&gt;</v>
      </c>
    </row>
    <row r="10633" spans="1:1" x14ac:dyDescent="0.2">
      <c r="A10633" s="996" t="str">
        <f>CONCATENATE(Programme!D10634,Programme!E10634,Programme!F10634,Programme!G10634,Programme!H10634,Programme!I10634,Programme!J10634)</f>
        <v>&lt;ValeurCellule&gt;</v>
      </c>
    </row>
    <row r="10634" spans="1:1" x14ac:dyDescent="0.2">
      <c r="A10634" s="996" t="str">
        <f>CONCATENATE(Programme!D10635,Programme!E10635,Programme!F10635,Programme!G10635,Programme!H10635,Programme!I10635,Programme!J10635)</f>
        <v>&lt;cellule&gt;&lt;codeEdi&gt;1086&lt;/codeEdi&gt;&lt;/cellule&gt;</v>
      </c>
    </row>
    <row r="10635" spans="1:1" x14ac:dyDescent="0.2">
      <c r="A10635" s="996" t="str">
        <f>CONCATENATE(Programme!D10636,Programme!E10636,Programme!F10636,Programme!G10636,Programme!H10636,Programme!I10636,Programme!J10636)</f>
        <v>&lt;valeur&gt;&lt;/valeur&gt;</v>
      </c>
    </row>
    <row r="10636" spans="1:1" x14ac:dyDescent="0.2">
      <c r="A10636" s="996" t="str">
        <f>CONCATENATE(Programme!D10637,Programme!E10637,Programme!F10637,Programme!G10637,Programme!H10637,Programme!I10637,Programme!J10637)</f>
        <v>&lt;numeroLigne&gt;49&lt;/numeroLigne&gt;</v>
      </c>
    </row>
    <row r="10637" spans="1:1" x14ac:dyDescent="0.2">
      <c r="A10637" s="996" t="str">
        <f>CONCATENATE(Programme!D10638,Programme!E10638,Programme!F10638,Programme!G10638,Programme!H10638,Programme!I10638,Programme!J10638)</f>
        <v>&lt;/ValeurCellule&gt;</v>
      </c>
    </row>
    <row r="10638" spans="1:1" x14ac:dyDescent="0.2">
      <c r="A10638" s="996" t="str">
        <f>CONCATENATE(Programme!D10639,Programme!E10639,Programme!F10639,Programme!G10639,Programme!H10639,Programme!I10639,Programme!J10639)</f>
        <v>&lt;ValeurCellule&gt;</v>
      </c>
    </row>
    <row r="10639" spans="1:1" x14ac:dyDescent="0.2">
      <c r="A10639" s="996" t="str">
        <f>CONCATENATE(Programme!D10640,Programme!E10640,Programme!F10640,Programme!G10640,Programme!H10640,Programme!I10640,Programme!J10640)</f>
        <v>&lt;cellule&gt;&lt;codeEdi&gt;10061&lt;/codeEdi&gt;&lt;/cellule&gt;</v>
      </c>
    </row>
    <row r="10640" spans="1:1" x14ac:dyDescent="0.2">
      <c r="A10640" s="996" t="str">
        <f>CONCATENATE(Programme!D10641,Programme!E10641,Programme!F10641,Programme!G10641,Programme!H10641,Programme!I10641,Programme!J10641)</f>
        <v>&lt;valeur&gt;&lt;/valeur&gt;</v>
      </c>
    </row>
    <row r="10641" spans="1:1" x14ac:dyDescent="0.2">
      <c r="A10641" s="996" t="str">
        <f>CONCATENATE(Programme!D10642,Programme!E10642,Programme!F10642,Programme!G10642,Programme!H10642,Programme!I10642,Programme!J10642)</f>
        <v>&lt;numeroLigne&gt;50&lt;/numeroLigne&gt;</v>
      </c>
    </row>
    <row r="10642" spans="1:1" x14ac:dyDescent="0.2">
      <c r="A10642" s="996" t="str">
        <f>CONCATENATE(Programme!D10643,Programme!E10643,Programme!F10643,Programme!G10643,Programme!H10643,Programme!I10643,Programme!J10643)</f>
        <v>&lt;/ValeurCellule&gt;</v>
      </c>
    </row>
    <row r="10643" spans="1:1" x14ac:dyDescent="0.2">
      <c r="A10643" s="996" t="str">
        <f>CONCATENATE(Programme!D10644,Programme!E10644,Programme!F10644,Programme!G10644,Programme!H10644,Programme!I10644,Programme!J10644)</f>
        <v>&lt;ValeurCellule&gt;</v>
      </c>
    </row>
    <row r="10644" spans="1:1" x14ac:dyDescent="0.2">
      <c r="A10644" s="996" t="str">
        <f>CONCATENATE(Programme!D10645,Programme!E10645,Programme!F10645,Programme!G10645,Programme!H10645,Programme!I10645,Programme!J10645)</f>
        <v>&lt;cellule&gt;&lt;codeEdi&gt;1078&lt;/codeEdi&gt;&lt;/cellule&gt;</v>
      </c>
    </row>
    <row r="10645" spans="1:1" x14ac:dyDescent="0.2">
      <c r="A10645" s="996" t="str">
        <f>CONCATENATE(Programme!D10646,Programme!E10646,Programme!F10646,Programme!G10646,Programme!H10646,Programme!I10646,Programme!J10646)</f>
        <v>&lt;valeur&gt;&lt;/valeur&gt;</v>
      </c>
    </row>
    <row r="10646" spans="1:1" x14ac:dyDescent="0.2">
      <c r="A10646" s="996" t="str">
        <f>CONCATENATE(Programme!D10647,Programme!E10647,Programme!F10647,Programme!G10647,Programme!H10647,Programme!I10647,Programme!J10647)</f>
        <v>&lt;numeroLigne&gt;50&lt;/numeroLigne&gt;</v>
      </c>
    </row>
    <row r="10647" spans="1:1" x14ac:dyDescent="0.2">
      <c r="A10647" s="996" t="str">
        <f>CONCATENATE(Programme!D10648,Programme!E10648,Programme!F10648,Programme!G10648,Programme!H10648,Programme!I10648,Programme!J10648)</f>
        <v>&lt;/ValeurCellule&gt;</v>
      </c>
    </row>
    <row r="10648" spans="1:1" x14ac:dyDescent="0.2">
      <c r="A10648" s="996" t="str">
        <f>CONCATENATE(Programme!D10649,Programme!E10649,Programme!F10649,Programme!G10649,Programme!H10649,Programme!I10649,Programme!J10649)</f>
        <v>&lt;ValeurCellule&gt;</v>
      </c>
    </row>
    <row r="10649" spans="1:1" x14ac:dyDescent="0.2">
      <c r="A10649" s="996" t="str">
        <f>CONCATENATE(Programme!D10650,Programme!E10650,Programme!F10650,Programme!G10650,Programme!H10650,Programme!I10650,Programme!J10650)</f>
        <v>&lt;cellule&gt;&lt;codeEdi&gt;1079&lt;/codeEdi&gt;&lt;/cellule&gt;</v>
      </c>
    </row>
    <row r="10650" spans="1:1" x14ac:dyDescent="0.2">
      <c r="A10650" s="996" t="str">
        <f>CONCATENATE(Programme!D10651,Programme!E10651,Programme!F10651,Programme!G10651,Programme!H10651,Programme!I10651,Programme!J10651)</f>
        <v>&lt;valeur&gt;&lt;/valeur&gt;</v>
      </c>
    </row>
    <row r="10651" spans="1:1" x14ac:dyDescent="0.2">
      <c r="A10651" s="996" t="str">
        <f>CONCATENATE(Programme!D10652,Programme!E10652,Programme!F10652,Programme!G10652,Programme!H10652,Programme!I10652,Programme!J10652)</f>
        <v>&lt;numeroLigne&gt;50&lt;/numeroLigne&gt;</v>
      </c>
    </row>
    <row r="10652" spans="1:1" x14ac:dyDescent="0.2">
      <c r="A10652" s="996" t="str">
        <f>CONCATENATE(Programme!D10653,Programme!E10653,Programme!F10653,Programme!G10653,Programme!H10653,Programme!I10653,Programme!J10653)</f>
        <v>&lt;/ValeurCellule&gt;</v>
      </c>
    </row>
    <row r="10653" spans="1:1" x14ac:dyDescent="0.2">
      <c r="A10653" s="996" t="str">
        <f>CONCATENATE(Programme!D10654,Programme!E10654,Programme!F10654,Programme!G10654,Programme!H10654,Programme!I10654,Programme!J10654)</f>
        <v>&lt;ValeurCellule&gt;</v>
      </c>
    </row>
    <row r="10654" spans="1:1" x14ac:dyDescent="0.2">
      <c r="A10654" s="996" t="str">
        <f>CONCATENATE(Programme!D10655,Programme!E10655,Programme!F10655,Programme!G10655,Programme!H10655,Programme!I10655,Programme!J10655)</f>
        <v>&lt;cellule&gt;&lt;codeEdi&gt;1080&lt;/codeEdi&gt;&lt;/cellule&gt;</v>
      </c>
    </row>
    <row r="10655" spans="1:1" x14ac:dyDescent="0.2">
      <c r="A10655" s="996" t="str">
        <f>CONCATENATE(Programme!D10656,Programme!E10656,Programme!F10656,Programme!G10656,Programme!H10656,Programme!I10656,Programme!J10656)</f>
        <v>&lt;valeur&gt;&lt;/valeur&gt;</v>
      </c>
    </row>
    <row r="10656" spans="1:1" x14ac:dyDescent="0.2">
      <c r="A10656" s="996" t="str">
        <f>CONCATENATE(Programme!D10657,Programme!E10657,Programme!F10657,Programme!G10657,Programme!H10657,Programme!I10657,Programme!J10657)</f>
        <v>&lt;numeroLigne&gt;50&lt;/numeroLigne&gt;</v>
      </c>
    </row>
    <row r="10657" spans="1:1" x14ac:dyDescent="0.2">
      <c r="A10657" s="996" t="str">
        <f>CONCATENATE(Programme!D10658,Programme!E10658,Programme!F10658,Programme!G10658,Programme!H10658,Programme!I10658,Programme!J10658)</f>
        <v>&lt;/ValeurCellule&gt;</v>
      </c>
    </row>
    <row r="10658" spans="1:1" x14ac:dyDescent="0.2">
      <c r="A10658" s="996" t="str">
        <f>CONCATENATE(Programme!D10659,Programme!E10659,Programme!F10659,Programme!G10659,Programme!H10659,Programme!I10659,Programme!J10659)</f>
        <v>&lt;ValeurCellule&gt;</v>
      </c>
    </row>
    <row r="10659" spans="1:1" x14ac:dyDescent="0.2">
      <c r="A10659" s="996" t="str">
        <f>CONCATENATE(Programme!D10660,Programme!E10660,Programme!F10660,Programme!G10660,Programme!H10660,Programme!I10660,Programme!J10660)</f>
        <v>&lt;cellule&gt;&lt;codeEdi&gt;1081&lt;/codeEdi&gt;&lt;/cellule&gt;</v>
      </c>
    </row>
    <row r="10660" spans="1:1" x14ac:dyDescent="0.2">
      <c r="A10660" s="996" t="str">
        <f>CONCATENATE(Programme!D10661,Programme!E10661,Programme!F10661,Programme!G10661,Programme!H10661,Programme!I10661,Programme!J10661)</f>
        <v>&lt;valeur&gt;&lt;/valeur&gt;</v>
      </c>
    </row>
    <row r="10661" spans="1:1" x14ac:dyDescent="0.2">
      <c r="A10661" s="996" t="str">
        <f>CONCATENATE(Programme!D10662,Programme!E10662,Programme!F10662,Programme!G10662,Programme!H10662,Programme!I10662,Programme!J10662)</f>
        <v>&lt;numeroLigne&gt;50&lt;/numeroLigne&gt;</v>
      </c>
    </row>
    <row r="10662" spans="1:1" x14ac:dyDescent="0.2">
      <c r="A10662" s="996" t="str">
        <f>CONCATENATE(Programme!D10663,Programme!E10663,Programme!F10663,Programme!G10663,Programme!H10663,Programme!I10663,Programme!J10663)</f>
        <v>&lt;/ValeurCellule&gt;</v>
      </c>
    </row>
    <row r="10663" spans="1:1" x14ac:dyDescent="0.2">
      <c r="A10663" s="996" t="str">
        <f>CONCATENATE(Programme!D10664,Programme!E10664,Programme!F10664,Programme!G10664,Programme!H10664,Programme!I10664,Programme!J10664)</f>
        <v>&lt;ValeurCellule&gt;</v>
      </c>
    </row>
    <row r="10664" spans="1:1" x14ac:dyDescent="0.2">
      <c r="A10664" s="996" t="str">
        <f>CONCATENATE(Programme!D10665,Programme!E10665,Programme!F10665,Programme!G10665,Programme!H10665,Programme!I10665,Programme!J10665)</f>
        <v>&lt;cellule&gt;&lt;codeEdi&gt;1082&lt;/codeEdi&gt;&lt;/cellule&gt;</v>
      </c>
    </row>
    <row r="10665" spans="1:1" x14ac:dyDescent="0.2">
      <c r="A10665" s="996" t="str">
        <f>CONCATENATE(Programme!D10666,Programme!E10666,Programme!F10666,Programme!G10666,Programme!H10666,Programme!I10666,Programme!J10666)</f>
        <v>&lt;valeur&gt;&lt;/valeur&gt;</v>
      </c>
    </row>
    <row r="10666" spans="1:1" x14ac:dyDescent="0.2">
      <c r="A10666" s="996" t="str">
        <f>CONCATENATE(Programme!D10667,Programme!E10667,Programme!F10667,Programme!G10667,Programme!H10667,Programme!I10667,Programme!J10667)</f>
        <v>&lt;numeroLigne&gt;50&lt;/numeroLigne&gt;</v>
      </c>
    </row>
    <row r="10667" spans="1:1" x14ac:dyDescent="0.2">
      <c r="A10667" s="996" t="str">
        <f>CONCATENATE(Programme!D10668,Programme!E10668,Programme!F10668,Programme!G10668,Programme!H10668,Programme!I10668,Programme!J10668)</f>
        <v>&lt;/ValeurCellule&gt;</v>
      </c>
    </row>
    <row r="10668" spans="1:1" x14ac:dyDescent="0.2">
      <c r="A10668" s="996" t="str">
        <f>CONCATENATE(Programme!D10669,Programme!E10669,Programme!F10669,Programme!G10669,Programme!H10669,Programme!I10669,Programme!J10669)</f>
        <v>&lt;ValeurCellule&gt;</v>
      </c>
    </row>
    <row r="10669" spans="1:1" x14ac:dyDescent="0.2">
      <c r="A10669" s="996" t="str">
        <f>CONCATENATE(Programme!D10670,Programme!E10670,Programme!F10670,Programme!G10670,Programme!H10670,Programme!I10670,Programme!J10670)</f>
        <v>&lt;cellule&gt;&lt;codeEdi&gt;1083&lt;/codeEdi&gt;&lt;/cellule&gt;</v>
      </c>
    </row>
    <row r="10670" spans="1:1" x14ac:dyDescent="0.2">
      <c r="A10670" s="996" t="str">
        <f>CONCATENATE(Programme!D10671,Programme!E10671,Programme!F10671,Programme!G10671,Programme!H10671,Programme!I10671,Programme!J10671)</f>
        <v>&lt;valeur&gt;&lt;/valeur&gt;</v>
      </c>
    </row>
    <row r="10671" spans="1:1" x14ac:dyDescent="0.2">
      <c r="A10671" s="996" t="str">
        <f>CONCATENATE(Programme!D10672,Programme!E10672,Programme!F10672,Programme!G10672,Programme!H10672,Programme!I10672,Programme!J10672)</f>
        <v>&lt;numeroLigne&gt;50&lt;/numeroLigne&gt;</v>
      </c>
    </row>
    <row r="10672" spans="1:1" x14ac:dyDescent="0.2">
      <c r="A10672" s="996" t="str">
        <f>CONCATENATE(Programme!D10673,Programme!E10673,Programme!F10673,Programme!G10673,Programme!H10673,Programme!I10673,Programme!J10673)</f>
        <v>&lt;/ValeurCellule&gt;</v>
      </c>
    </row>
    <row r="10673" spans="1:1" x14ac:dyDescent="0.2">
      <c r="A10673" s="996" t="str">
        <f>CONCATENATE(Programme!D10674,Programme!E10674,Programme!F10674,Programme!G10674,Programme!H10674,Programme!I10674,Programme!J10674)</f>
        <v>&lt;ValeurCellule&gt;</v>
      </c>
    </row>
    <row r="10674" spans="1:1" x14ac:dyDescent="0.2">
      <c r="A10674" s="996" t="str">
        <f>CONCATENATE(Programme!D10675,Programme!E10675,Programme!F10675,Programme!G10675,Programme!H10675,Programme!I10675,Programme!J10675)</f>
        <v>&lt;cellule&gt;&lt;codeEdi&gt;1084&lt;/codeEdi&gt;&lt;/cellule&gt;</v>
      </c>
    </row>
    <row r="10675" spans="1:1" x14ac:dyDescent="0.2">
      <c r="A10675" s="996" t="str">
        <f>CONCATENATE(Programme!D10676,Programme!E10676,Programme!F10676,Programme!G10676,Programme!H10676,Programme!I10676,Programme!J10676)</f>
        <v>&lt;valeur&gt;&lt;/valeur&gt;</v>
      </c>
    </row>
    <row r="10676" spans="1:1" x14ac:dyDescent="0.2">
      <c r="A10676" s="996" t="str">
        <f>CONCATENATE(Programme!D10677,Programme!E10677,Programme!F10677,Programme!G10677,Programme!H10677,Programme!I10677,Programme!J10677)</f>
        <v>&lt;numeroLigne&gt;50&lt;/numeroLigne&gt;</v>
      </c>
    </row>
    <row r="10677" spans="1:1" x14ac:dyDescent="0.2">
      <c r="A10677" s="996" t="str">
        <f>CONCATENATE(Programme!D10678,Programme!E10678,Programme!F10678,Programme!G10678,Programme!H10678,Programme!I10678,Programme!J10678)</f>
        <v>&lt;/ValeurCellule&gt;</v>
      </c>
    </row>
    <row r="10678" spans="1:1" x14ac:dyDescent="0.2">
      <c r="A10678" s="996" t="str">
        <f>CONCATENATE(Programme!D10679,Programme!E10679,Programme!F10679,Programme!G10679,Programme!H10679,Programme!I10679,Programme!J10679)</f>
        <v>&lt;ValeurCellule&gt;</v>
      </c>
    </row>
    <row r="10679" spans="1:1" x14ac:dyDescent="0.2">
      <c r="A10679" s="996" t="str">
        <f>CONCATENATE(Programme!D10680,Programme!E10680,Programme!F10680,Programme!G10680,Programme!H10680,Programme!I10680,Programme!J10680)</f>
        <v>&lt;cellule&gt;&lt;codeEdi&gt;1085&lt;/codeEdi&gt;&lt;/cellule&gt;</v>
      </c>
    </row>
    <row r="10680" spans="1:1" x14ac:dyDescent="0.2">
      <c r="A10680" s="996" t="str">
        <f>CONCATENATE(Programme!D10681,Programme!E10681,Programme!F10681,Programme!G10681,Programme!H10681,Programme!I10681,Programme!J10681)</f>
        <v>&lt;valeur&gt;&lt;/valeur&gt;</v>
      </c>
    </row>
    <row r="10681" spans="1:1" x14ac:dyDescent="0.2">
      <c r="A10681" s="996" t="str">
        <f>CONCATENATE(Programme!D10682,Programme!E10682,Programme!F10682,Programme!G10682,Programme!H10682,Programme!I10682,Programme!J10682)</f>
        <v>&lt;numeroLigne&gt;50&lt;/numeroLigne&gt;</v>
      </c>
    </row>
    <row r="10682" spans="1:1" x14ac:dyDescent="0.2">
      <c r="A10682" s="996" t="str">
        <f>CONCATENATE(Programme!D10683,Programme!E10683,Programme!F10683,Programme!G10683,Programme!H10683,Programme!I10683,Programme!J10683)</f>
        <v>&lt;/ValeurCellule&gt;</v>
      </c>
    </row>
    <row r="10683" spans="1:1" x14ac:dyDescent="0.2">
      <c r="A10683" s="996" t="str">
        <f>CONCATENATE(Programme!D10684,Programme!E10684,Programme!F10684,Programme!G10684,Programme!H10684,Programme!I10684,Programme!J10684)</f>
        <v>&lt;ValeurCellule&gt;</v>
      </c>
    </row>
    <row r="10684" spans="1:1" x14ac:dyDescent="0.2">
      <c r="A10684" s="996" t="str">
        <f>CONCATENATE(Programme!D10685,Programme!E10685,Programme!F10685,Programme!G10685,Programme!H10685,Programme!I10685,Programme!J10685)</f>
        <v>&lt;cellule&gt;&lt;codeEdi&gt;1086&lt;/codeEdi&gt;&lt;/cellule&gt;</v>
      </c>
    </row>
    <row r="10685" spans="1:1" x14ac:dyDescent="0.2">
      <c r="A10685" s="996" t="str">
        <f>CONCATENATE(Programme!D10686,Programme!E10686,Programme!F10686,Programme!G10686,Programme!H10686,Programme!I10686,Programme!J10686)</f>
        <v>&lt;valeur&gt;&lt;/valeur&gt;</v>
      </c>
    </row>
    <row r="10686" spans="1:1" x14ac:dyDescent="0.2">
      <c r="A10686" s="996" t="str">
        <f>CONCATENATE(Programme!D10687,Programme!E10687,Programme!F10687,Programme!G10687,Programme!H10687,Programme!I10687,Programme!J10687)</f>
        <v>&lt;numeroLigne&gt;50&lt;/numeroLigne&gt;</v>
      </c>
    </row>
    <row r="10687" spans="1:1" x14ac:dyDescent="0.2">
      <c r="A10687" s="996" t="str">
        <f>CONCATENATE(Programme!D10688,Programme!E10688,Programme!F10688,Programme!G10688,Programme!H10688,Programme!I10688,Programme!J10688)</f>
        <v>&lt;/ValeurCellule&gt;</v>
      </c>
    </row>
    <row r="10688" spans="1:1" x14ac:dyDescent="0.2">
      <c r="A10688" s="996" t="str">
        <f>CONCATENATE(Programme!D10689,Programme!E10689,Programme!F10689,Programme!G10689,Programme!H10689,Programme!I10689,Programme!J10689)</f>
        <v>&lt;ValeurCellule&gt;</v>
      </c>
    </row>
    <row r="10689" spans="1:1" x14ac:dyDescent="0.2">
      <c r="A10689" s="996" t="str">
        <f>CONCATENATE(Programme!D10690,Programme!E10690,Programme!F10690,Programme!G10690,Programme!H10690,Programme!I10690,Programme!J10690)</f>
        <v>&lt;cellule&gt;&lt;codeEdi&gt;10061&lt;/codeEdi&gt;&lt;/cellule&gt;</v>
      </c>
    </row>
    <row r="10690" spans="1:1" x14ac:dyDescent="0.2">
      <c r="A10690" s="996" t="str">
        <f>CONCATENATE(Programme!D10691,Programme!E10691,Programme!F10691,Programme!G10691,Programme!H10691,Programme!I10691,Programme!J10691)</f>
        <v>&lt;valeur&gt;&lt;/valeur&gt;</v>
      </c>
    </row>
    <row r="10691" spans="1:1" x14ac:dyDescent="0.2">
      <c r="A10691" s="996" t="str">
        <f>CONCATENATE(Programme!D10692,Programme!E10692,Programme!F10692,Programme!G10692,Programme!H10692,Programme!I10692,Programme!J10692)</f>
        <v>&lt;numeroLigne&gt;51&lt;/numeroLigne&gt;</v>
      </c>
    </row>
    <row r="10692" spans="1:1" x14ac:dyDescent="0.2">
      <c r="A10692" s="996" t="str">
        <f>CONCATENATE(Programme!D10693,Programme!E10693,Programme!F10693,Programme!G10693,Programme!H10693,Programme!I10693,Programme!J10693)</f>
        <v>&lt;/ValeurCellule&gt;</v>
      </c>
    </row>
    <row r="10693" spans="1:1" x14ac:dyDescent="0.2">
      <c r="A10693" s="996" t="str">
        <f>CONCATENATE(Programme!D10694,Programme!E10694,Programme!F10694,Programme!G10694,Programme!H10694,Programme!I10694,Programme!J10694)</f>
        <v>&lt;ValeurCellule&gt;</v>
      </c>
    </row>
    <row r="10694" spans="1:1" x14ac:dyDescent="0.2">
      <c r="A10694" s="996" t="str">
        <f>CONCATENATE(Programme!D10695,Programme!E10695,Programme!F10695,Programme!G10695,Programme!H10695,Programme!I10695,Programme!J10695)</f>
        <v>&lt;cellule&gt;&lt;codeEdi&gt;1078&lt;/codeEdi&gt;&lt;/cellule&gt;</v>
      </c>
    </row>
    <row r="10695" spans="1:1" x14ac:dyDescent="0.2">
      <c r="A10695" s="996" t="str">
        <f>CONCATENATE(Programme!D10696,Programme!E10696,Programme!F10696,Programme!G10696,Programme!H10696,Programme!I10696,Programme!J10696)</f>
        <v>&lt;valeur&gt;&lt;/valeur&gt;</v>
      </c>
    </row>
    <row r="10696" spans="1:1" x14ac:dyDescent="0.2">
      <c r="A10696" s="996" t="str">
        <f>CONCATENATE(Programme!D10697,Programme!E10697,Programme!F10697,Programme!G10697,Programme!H10697,Programme!I10697,Programme!J10697)</f>
        <v>&lt;numeroLigne&gt;51&lt;/numeroLigne&gt;</v>
      </c>
    </row>
    <row r="10697" spans="1:1" x14ac:dyDescent="0.2">
      <c r="A10697" s="996" t="str">
        <f>CONCATENATE(Programme!D10698,Programme!E10698,Programme!F10698,Programme!G10698,Programme!H10698,Programme!I10698,Programme!J10698)</f>
        <v>&lt;/ValeurCellule&gt;</v>
      </c>
    </row>
    <row r="10698" spans="1:1" x14ac:dyDescent="0.2">
      <c r="A10698" s="996" t="str">
        <f>CONCATENATE(Programme!D10699,Programme!E10699,Programme!F10699,Programme!G10699,Programme!H10699,Programme!I10699,Programme!J10699)</f>
        <v>&lt;ValeurCellule&gt;</v>
      </c>
    </row>
    <row r="10699" spans="1:1" x14ac:dyDescent="0.2">
      <c r="A10699" s="996" t="str">
        <f>CONCATENATE(Programme!D10700,Programme!E10700,Programme!F10700,Programme!G10700,Programme!H10700,Programme!I10700,Programme!J10700)</f>
        <v>&lt;cellule&gt;&lt;codeEdi&gt;1079&lt;/codeEdi&gt;&lt;/cellule&gt;</v>
      </c>
    </row>
    <row r="10700" spans="1:1" x14ac:dyDescent="0.2">
      <c r="A10700" s="996" t="str">
        <f>CONCATENATE(Programme!D10701,Programme!E10701,Programme!F10701,Programme!G10701,Programme!H10701,Programme!I10701,Programme!J10701)</f>
        <v>&lt;valeur&gt;&lt;/valeur&gt;</v>
      </c>
    </row>
    <row r="10701" spans="1:1" x14ac:dyDescent="0.2">
      <c r="A10701" s="996" t="str">
        <f>CONCATENATE(Programme!D10702,Programme!E10702,Programme!F10702,Programme!G10702,Programme!H10702,Programme!I10702,Programme!J10702)</f>
        <v>&lt;numeroLigne&gt;51&lt;/numeroLigne&gt;</v>
      </c>
    </row>
    <row r="10702" spans="1:1" x14ac:dyDescent="0.2">
      <c r="A10702" s="996" t="str">
        <f>CONCATENATE(Programme!D10703,Programme!E10703,Programme!F10703,Programme!G10703,Programme!H10703,Programme!I10703,Programme!J10703)</f>
        <v>&lt;/ValeurCellule&gt;</v>
      </c>
    </row>
    <row r="10703" spans="1:1" x14ac:dyDescent="0.2">
      <c r="A10703" s="996" t="str">
        <f>CONCATENATE(Programme!D10704,Programme!E10704,Programme!F10704,Programme!G10704,Programme!H10704,Programme!I10704,Programme!J10704)</f>
        <v>&lt;ValeurCellule&gt;</v>
      </c>
    </row>
    <row r="10704" spans="1:1" x14ac:dyDescent="0.2">
      <c r="A10704" s="996" t="str">
        <f>CONCATENATE(Programme!D10705,Programme!E10705,Programme!F10705,Programme!G10705,Programme!H10705,Programme!I10705,Programme!J10705)</f>
        <v>&lt;cellule&gt;&lt;codeEdi&gt;1080&lt;/codeEdi&gt;&lt;/cellule&gt;</v>
      </c>
    </row>
    <row r="10705" spans="1:1" x14ac:dyDescent="0.2">
      <c r="A10705" s="996" t="str">
        <f>CONCATENATE(Programme!D10706,Programme!E10706,Programme!F10706,Programme!G10706,Programme!H10706,Programme!I10706,Programme!J10706)</f>
        <v>&lt;valeur&gt;&lt;/valeur&gt;</v>
      </c>
    </row>
    <row r="10706" spans="1:1" x14ac:dyDescent="0.2">
      <c r="A10706" s="996" t="str">
        <f>CONCATENATE(Programme!D10707,Programme!E10707,Programme!F10707,Programme!G10707,Programme!H10707,Programme!I10707,Programme!J10707)</f>
        <v>&lt;numeroLigne&gt;51&lt;/numeroLigne&gt;</v>
      </c>
    </row>
    <row r="10707" spans="1:1" x14ac:dyDescent="0.2">
      <c r="A10707" s="996" t="str">
        <f>CONCATENATE(Programme!D10708,Programme!E10708,Programme!F10708,Programme!G10708,Programme!H10708,Programme!I10708,Programme!J10708)</f>
        <v>&lt;/ValeurCellule&gt;</v>
      </c>
    </row>
    <row r="10708" spans="1:1" x14ac:dyDescent="0.2">
      <c r="A10708" s="996" t="str">
        <f>CONCATENATE(Programme!D10709,Programme!E10709,Programme!F10709,Programme!G10709,Programme!H10709,Programme!I10709,Programme!J10709)</f>
        <v>&lt;ValeurCellule&gt;</v>
      </c>
    </row>
    <row r="10709" spans="1:1" x14ac:dyDescent="0.2">
      <c r="A10709" s="996" t="str">
        <f>CONCATENATE(Programme!D10710,Programme!E10710,Programme!F10710,Programme!G10710,Programme!H10710,Programme!I10710,Programme!J10710)</f>
        <v>&lt;cellule&gt;&lt;codeEdi&gt;1081&lt;/codeEdi&gt;&lt;/cellule&gt;</v>
      </c>
    </row>
    <row r="10710" spans="1:1" x14ac:dyDescent="0.2">
      <c r="A10710" s="996" t="str">
        <f>CONCATENATE(Programme!D10711,Programme!E10711,Programme!F10711,Programme!G10711,Programme!H10711,Programme!I10711,Programme!J10711)</f>
        <v>&lt;valeur&gt;&lt;/valeur&gt;</v>
      </c>
    </row>
    <row r="10711" spans="1:1" x14ac:dyDescent="0.2">
      <c r="A10711" s="996" t="str">
        <f>CONCATENATE(Programme!D10712,Programme!E10712,Programme!F10712,Programme!G10712,Programme!H10712,Programme!I10712,Programme!J10712)</f>
        <v>&lt;numeroLigne&gt;51&lt;/numeroLigne&gt;</v>
      </c>
    </row>
    <row r="10712" spans="1:1" x14ac:dyDescent="0.2">
      <c r="A10712" s="996" t="str">
        <f>CONCATENATE(Programme!D10713,Programme!E10713,Programme!F10713,Programme!G10713,Programme!H10713,Programme!I10713,Programme!J10713)</f>
        <v>&lt;/ValeurCellule&gt;</v>
      </c>
    </row>
    <row r="10713" spans="1:1" x14ac:dyDescent="0.2">
      <c r="A10713" s="996" t="str">
        <f>CONCATENATE(Programme!D10714,Programme!E10714,Programme!F10714,Programme!G10714,Programme!H10714,Programme!I10714,Programme!J10714)</f>
        <v>&lt;ValeurCellule&gt;</v>
      </c>
    </row>
    <row r="10714" spans="1:1" x14ac:dyDescent="0.2">
      <c r="A10714" s="996" t="str">
        <f>CONCATENATE(Programme!D10715,Programme!E10715,Programme!F10715,Programme!G10715,Programme!H10715,Programme!I10715,Programme!J10715)</f>
        <v>&lt;cellule&gt;&lt;codeEdi&gt;1082&lt;/codeEdi&gt;&lt;/cellule&gt;</v>
      </c>
    </row>
    <row r="10715" spans="1:1" x14ac:dyDescent="0.2">
      <c r="A10715" s="996" t="str">
        <f>CONCATENATE(Programme!D10716,Programme!E10716,Programme!F10716,Programme!G10716,Programme!H10716,Programme!I10716,Programme!J10716)</f>
        <v>&lt;valeur&gt;&lt;/valeur&gt;</v>
      </c>
    </row>
    <row r="10716" spans="1:1" x14ac:dyDescent="0.2">
      <c r="A10716" s="996" t="str">
        <f>CONCATENATE(Programme!D10717,Programme!E10717,Programme!F10717,Programme!G10717,Programme!H10717,Programme!I10717,Programme!J10717)</f>
        <v>&lt;numeroLigne&gt;51&lt;/numeroLigne&gt;</v>
      </c>
    </row>
    <row r="10717" spans="1:1" x14ac:dyDescent="0.2">
      <c r="A10717" s="996" t="str">
        <f>CONCATENATE(Programme!D10718,Programme!E10718,Programme!F10718,Programme!G10718,Programme!H10718,Programme!I10718,Programme!J10718)</f>
        <v>&lt;/ValeurCellule&gt;</v>
      </c>
    </row>
    <row r="10718" spans="1:1" x14ac:dyDescent="0.2">
      <c r="A10718" s="996" t="str">
        <f>CONCATENATE(Programme!D10719,Programme!E10719,Programme!F10719,Programme!G10719,Programme!H10719,Programme!I10719,Programme!J10719)</f>
        <v>&lt;ValeurCellule&gt;</v>
      </c>
    </row>
    <row r="10719" spans="1:1" x14ac:dyDescent="0.2">
      <c r="A10719" s="996" t="str">
        <f>CONCATENATE(Programme!D10720,Programme!E10720,Programme!F10720,Programme!G10720,Programme!H10720,Programme!I10720,Programme!J10720)</f>
        <v>&lt;cellule&gt;&lt;codeEdi&gt;1083&lt;/codeEdi&gt;&lt;/cellule&gt;</v>
      </c>
    </row>
    <row r="10720" spans="1:1" x14ac:dyDescent="0.2">
      <c r="A10720" s="996" t="str">
        <f>CONCATENATE(Programme!D10721,Programme!E10721,Programme!F10721,Programme!G10721,Programme!H10721,Programme!I10721,Programme!J10721)</f>
        <v>&lt;valeur&gt;&lt;/valeur&gt;</v>
      </c>
    </row>
    <row r="10721" spans="1:1" x14ac:dyDescent="0.2">
      <c r="A10721" s="996" t="str">
        <f>CONCATENATE(Programme!D10722,Programme!E10722,Programme!F10722,Programme!G10722,Programme!H10722,Programme!I10722,Programme!J10722)</f>
        <v>&lt;numeroLigne&gt;51&lt;/numeroLigne&gt;</v>
      </c>
    </row>
    <row r="10722" spans="1:1" x14ac:dyDescent="0.2">
      <c r="A10722" s="996" t="str">
        <f>CONCATENATE(Programme!D10723,Programme!E10723,Programme!F10723,Programme!G10723,Programme!H10723,Programme!I10723,Programme!J10723)</f>
        <v>&lt;/ValeurCellule&gt;</v>
      </c>
    </row>
    <row r="10723" spans="1:1" x14ac:dyDescent="0.2">
      <c r="A10723" s="996" t="str">
        <f>CONCATENATE(Programme!D10724,Programme!E10724,Programme!F10724,Programme!G10724,Programme!H10724,Programme!I10724,Programme!J10724)</f>
        <v>&lt;ValeurCellule&gt;</v>
      </c>
    </row>
    <row r="10724" spans="1:1" x14ac:dyDescent="0.2">
      <c r="A10724" s="996" t="str">
        <f>CONCATENATE(Programme!D10725,Programme!E10725,Programme!F10725,Programme!G10725,Programme!H10725,Programme!I10725,Programme!J10725)</f>
        <v>&lt;cellule&gt;&lt;codeEdi&gt;1084&lt;/codeEdi&gt;&lt;/cellule&gt;</v>
      </c>
    </row>
    <row r="10725" spans="1:1" x14ac:dyDescent="0.2">
      <c r="A10725" s="996" t="str">
        <f>CONCATENATE(Programme!D10726,Programme!E10726,Programme!F10726,Programme!G10726,Programme!H10726,Programme!I10726,Programme!J10726)</f>
        <v>&lt;valeur&gt;&lt;/valeur&gt;</v>
      </c>
    </row>
    <row r="10726" spans="1:1" x14ac:dyDescent="0.2">
      <c r="A10726" s="996" t="str">
        <f>CONCATENATE(Programme!D10727,Programme!E10727,Programme!F10727,Programme!G10727,Programme!H10727,Programme!I10727,Programme!J10727)</f>
        <v>&lt;numeroLigne&gt;51&lt;/numeroLigne&gt;</v>
      </c>
    </row>
    <row r="10727" spans="1:1" x14ac:dyDescent="0.2">
      <c r="A10727" s="996" t="str">
        <f>CONCATENATE(Programme!D10728,Programme!E10728,Programme!F10728,Programme!G10728,Programme!H10728,Programme!I10728,Programme!J10728)</f>
        <v>&lt;/ValeurCellule&gt;</v>
      </c>
    </row>
    <row r="10728" spans="1:1" x14ac:dyDescent="0.2">
      <c r="A10728" s="996" t="str">
        <f>CONCATENATE(Programme!D10729,Programme!E10729,Programme!F10729,Programme!G10729,Programme!H10729,Programme!I10729,Programme!J10729)</f>
        <v>&lt;ValeurCellule&gt;</v>
      </c>
    </row>
    <row r="10729" spans="1:1" x14ac:dyDescent="0.2">
      <c r="A10729" s="996" t="str">
        <f>CONCATENATE(Programme!D10730,Programme!E10730,Programme!F10730,Programme!G10730,Programme!H10730,Programme!I10730,Programme!J10730)</f>
        <v>&lt;cellule&gt;&lt;codeEdi&gt;1085&lt;/codeEdi&gt;&lt;/cellule&gt;</v>
      </c>
    </row>
    <row r="10730" spans="1:1" x14ac:dyDescent="0.2">
      <c r="A10730" s="996" t="str">
        <f>CONCATENATE(Programme!D10731,Programme!E10731,Programme!F10731,Programme!G10731,Programme!H10731,Programme!I10731,Programme!J10731)</f>
        <v>&lt;valeur&gt;&lt;/valeur&gt;</v>
      </c>
    </row>
    <row r="10731" spans="1:1" x14ac:dyDescent="0.2">
      <c r="A10731" s="996" t="str">
        <f>CONCATENATE(Programme!D10732,Programme!E10732,Programme!F10732,Programme!G10732,Programme!H10732,Programme!I10732,Programme!J10732)</f>
        <v>&lt;numeroLigne&gt;51&lt;/numeroLigne&gt;</v>
      </c>
    </row>
    <row r="10732" spans="1:1" x14ac:dyDescent="0.2">
      <c r="A10732" s="996" t="str">
        <f>CONCATENATE(Programme!D10733,Programme!E10733,Programme!F10733,Programme!G10733,Programme!H10733,Programme!I10733,Programme!J10733)</f>
        <v>&lt;/ValeurCellule&gt;</v>
      </c>
    </row>
    <row r="10733" spans="1:1" x14ac:dyDescent="0.2">
      <c r="A10733" s="996" t="str">
        <f>CONCATENATE(Programme!D10734,Programme!E10734,Programme!F10734,Programme!G10734,Programme!H10734,Programme!I10734,Programme!J10734)</f>
        <v>&lt;ValeurCellule&gt;</v>
      </c>
    </row>
    <row r="10734" spans="1:1" x14ac:dyDescent="0.2">
      <c r="A10734" s="996" t="str">
        <f>CONCATENATE(Programme!D10735,Programme!E10735,Programme!F10735,Programme!G10735,Programme!H10735,Programme!I10735,Programme!J10735)</f>
        <v>&lt;cellule&gt;&lt;codeEdi&gt;1086&lt;/codeEdi&gt;&lt;/cellule&gt;</v>
      </c>
    </row>
    <row r="10735" spans="1:1" x14ac:dyDescent="0.2">
      <c r="A10735" s="996" t="str">
        <f>CONCATENATE(Programme!D10736,Programme!E10736,Programme!F10736,Programme!G10736,Programme!H10736,Programme!I10736,Programme!J10736)</f>
        <v>&lt;valeur&gt;&lt;/valeur&gt;</v>
      </c>
    </row>
    <row r="10736" spans="1:1" x14ac:dyDescent="0.2">
      <c r="A10736" s="996" t="str">
        <f>CONCATENATE(Programme!D10737,Programme!E10737,Programme!F10737,Programme!G10737,Programme!H10737,Programme!I10737,Programme!J10737)</f>
        <v>&lt;numeroLigne&gt;51&lt;/numeroLigne&gt;</v>
      </c>
    </row>
    <row r="10737" spans="1:1" x14ac:dyDescent="0.2">
      <c r="A10737" s="996" t="str">
        <f>CONCATENATE(Programme!D10738,Programme!E10738,Programme!F10738,Programme!G10738,Programme!H10738,Programme!I10738,Programme!J10738)</f>
        <v>&lt;/ValeurCellule&gt;</v>
      </c>
    </row>
    <row r="10738" spans="1:1" x14ac:dyDescent="0.2">
      <c r="A10738" s="996" t="str">
        <f>CONCATENATE(Programme!D10739,Programme!E10739,Programme!F10739,Programme!G10739,Programme!H10739,Programme!I10739,Programme!J10739)</f>
        <v>&lt;ValeurCellule&gt;</v>
      </c>
    </row>
    <row r="10739" spans="1:1" x14ac:dyDescent="0.2">
      <c r="A10739" s="996" t="str">
        <f>CONCATENATE(Programme!D10740,Programme!E10740,Programme!F10740,Programme!G10740,Programme!H10740,Programme!I10740,Programme!J10740)</f>
        <v>&lt;cellule&gt;&lt;codeEdi&gt;10061&lt;/codeEdi&gt;&lt;/cellule&gt;</v>
      </c>
    </row>
    <row r="10740" spans="1:1" x14ac:dyDescent="0.2">
      <c r="A10740" s="996" t="str">
        <f>CONCATENATE(Programme!D10741,Programme!E10741,Programme!F10741,Programme!G10741,Programme!H10741,Programme!I10741,Programme!J10741)</f>
        <v>&lt;valeur&gt;&lt;/valeur&gt;</v>
      </c>
    </row>
    <row r="10741" spans="1:1" x14ac:dyDescent="0.2">
      <c r="A10741" s="996" t="str">
        <f>CONCATENATE(Programme!D10742,Programme!E10742,Programme!F10742,Programme!G10742,Programme!H10742,Programme!I10742,Programme!J10742)</f>
        <v>&lt;numeroLigne&gt;52&lt;/numeroLigne&gt;</v>
      </c>
    </row>
    <row r="10742" spans="1:1" x14ac:dyDescent="0.2">
      <c r="A10742" s="996" t="str">
        <f>CONCATENATE(Programme!D10743,Programme!E10743,Programme!F10743,Programme!G10743,Programme!H10743,Programme!I10743,Programme!J10743)</f>
        <v>&lt;/ValeurCellule&gt;</v>
      </c>
    </row>
    <row r="10743" spans="1:1" x14ac:dyDescent="0.2">
      <c r="A10743" s="996" t="str">
        <f>CONCATENATE(Programme!D10744,Programme!E10744,Programme!F10744,Programme!G10744,Programme!H10744,Programme!I10744,Programme!J10744)</f>
        <v>&lt;ValeurCellule&gt;</v>
      </c>
    </row>
    <row r="10744" spans="1:1" x14ac:dyDescent="0.2">
      <c r="A10744" s="996" t="str">
        <f>CONCATENATE(Programme!D10745,Programme!E10745,Programme!F10745,Programme!G10745,Programme!H10745,Programme!I10745,Programme!J10745)</f>
        <v>&lt;cellule&gt;&lt;codeEdi&gt;1078&lt;/codeEdi&gt;&lt;/cellule&gt;</v>
      </c>
    </row>
    <row r="10745" spans="1:1" x14ac:dyDescent="0.2">
      <c r="A10745" s="996" t="str">
        <f>CONCATENATE(Programme!D10746,Programme!E10746,Programme!F10746,Programme!G10746,Programme!H10746,Programme!I10746,Programme!J10746)</f>
        <v>&lt;valeur&gt;&lt;/valeur&gt;</v>
      </c>
    </row>
    <row r="10746" spans="1:1" x14ac:dyDescent="0.2">
      <c r="A10746" s="996" t="str">
        <f>CONCATENATE(Programme!D10747,Programme!E10747,Programme!F10747,Programme!G10747,Programme!H10747,Programme!I10747,Programme!J10747)</f>
        <v>&lt;numeroLigne&gt;52&lt;/numeroLigne&gt;</v>
      </c>
    </row>
    <row r="10747" spans="1:1" x14ac:dyDescent="0.2">
      <c r="A10747" s="996" t="str">
        <f>CONCATENATE(Programme!D10748,Programme!E10748,Programme!F10748,Programme!G10748,Programme!H10748,Programme!I10748,Programme!J10748)</f>
        <v>&lt;/ValeurCellule&gt;</v>
      </c>
    </row>
    <row r="10748" spans="1:1" x14ac:dyDescent="0.2">
      <c r="A10748" s="996" t="str">
        <f>CONCATENATE(Programme!D10749,Programme!E10749,Programme!F10749,Programme!G10749,Programme!H10749,Programme!I10749,Programme!J10749)</f>
        <v>&lt;ValeurCellule&gt;</v>
      </c>
    </row>
    <row r="10749" spans="1:1" x14ac:dyDescent="0.2">
      <c r="A10749" s="996" t="str">
        <f>CONCATENATE(Programme!D10750,Programme!E10750,Programme!F10750,Programme!G10750,Programme!H10750,Programme!I10750,Programme!J10750)</f>
        <v>&lt;cellule&gt;&lt;codeEdi&gt;1079&lt;/codeEdi&gt;&lt;/cellule&gt;</v>
      </c>
    </row>
    <row r="10750" spans="1:1" x14ac:dyDescent="0.2">
      <c r="A10750" s="996" t="str">
        <f>CONCATENATE(Programme!D10751,Programme!E10751,Programme!F10751,Programme!G10751,Programme!H10751,Programme!I10751,Programme!J10751)</f>
        <v>&lt;valeur&gt;&lt;/valeur&gt;</v>
      </c>
    </row>
    <row r="10751" spans="1:1" x14ac:dyDescent="0.2">
      <c r="A10751" s="996" t="str">
        <f>CONCATENATE(Programme!D10752,Programme!E10752,Programme!F10752,Programme!G10752,Programme!H10752,Programme!I10752,Programme!J10752)</f>
        <v>&lt;numeroLigne&gt;52&lt;/numeroLigne&gt;</v>
      </c>
    </row>
    <row r="10752" spans="1:1" x14ac:dyDescent="0.2">
      <c r="A10752" s="996" t="str">
        <f>CONCATENATE(Programme!D10753,Programme!E10753,Programme!F10753,Programme!G10753,Programme!H10753,Programme!I10753,Programme!J10753)</f>
        <v>&lt;/ValeurCellule&gt;</v>
      </c>
    </row>
    <row r="10753" spans="1:1" x14ac:dyDescent="0.2">
      <c r="A10753" s="996" t="str">
        <f>CONCATENATE(Programme!D10754,Programme!E10754,Programme!F10754,Programme!G10754,Programme!H10754,Programme!I10754,Programme!J10754)</f>
        <v>&lt;ValeurCellule&gt;</v>
      </c>
    </row>
    <row r="10754" spans="1:1" x14ac:dyDescent="0.2">
      <c r="A10754" s="996" t="str">
        <f>CONCATENATE(Programme!D10755,Programme!E10755,Programme!F10755,Programme!G10755,Programme!H10755,Programme!I10755,Programme!J10755)</f>
        <v>&lt;cellule&gt;&lt;codeEdi&gt;1080&lt;/codeEdi&gt;&lt;/cellule&gt;</v>
      </c>
    </row>
    <row r="10755" spans="1:1" x14ac:dyDescent="0.2">
      <c r="A10755" s="996" t="str">
        <f>CONCATENATE(Programme!D10756,Programme!E10756,Programme!F10756,Programme!G10756,Programme!H10756,Programme!I10756,Programme!J10756)</f>
        <v>&lt;valeur&gt;&lt;/valeur&gt;</v>
      </c>
    </row>
    <row r="10756" spans="1:1" x14ac:dyDescent="0.2">
      <c r="A10756" s="996" t="str">
        <f>CONCATENATE(Programme!D10757,Programme!E10757,Programme!F10757,Programme!G10757,Programme!H10757,Programme!I10757,Programme!J10757)</f>
        <v>&lt;numeroLigne&gt;52&lt;/numeroLigne&gt;</v>
      </c>
    </row>
    <row r="10757" spans="1:1" x14ac:dyDescent="0.2">
      <c r="A10757" s="996" t="str">
        <f>CONCATENATE(Programme!D10758,Programme!E10758,Programme!F10758,Programme!G10758,Programme!H10758,Programme!I10758,Programme!J10758)</f>
        <v>&lt;/ValeurCellule&gt;</v>
      </c>
    </row>
    <row r="10758" spans="1:1" x14ac:dyDescent="0.2">
      <c r="A10758" s="996" t="str">
        <f>CONCATENATE(Programme!D10759,Programme!E10759,Programme!F10759,Programme!G10759,Programme!H10759,Programme!I10759,Programme!J10759)</f>
        <v>&lt;ValeurCellule&gt;</v>
      </c>
    </row>
    <row r="10759" spans="1:1" x14ac:dyDescent="0.2">
      <c r="A10759" s="996" t="str">
        <f>CONCATENATE(Programme!D10760,Programme!E10760,Programme!F10760,Programme!G10760,Programme!H10760,Programme!I10760,Programme!J10760)</f>
        <v>&lt;cellule&gt;&lt;codeEdi&gt;1081&lt;/codeEdi&gt;&lt;/cellule&gt;</v>
      </c>
    </row>
    <row r="10760" spans="1:1" x14ac:dyDescent="0.2">
      <c r="A10760" s="996" t="str">
        <f>CONCATENATE(Programme!D10761,Programme!E10761,Programme!F10761,Programme!G10761,Programme!H10761,Programme!I10761,Programme!J10761)</f>
        <v>&lt;valeur&gt;&lt;/valeur&gt;</v>
      </c>
    </row>
    <row r="10761" spans="1:1" x14ac:dyDescent="0.2">
      <c r="A10761" s="996" t="str">
        <f>CONCATENATE(Programme!D10762,Programme!E10762,Programme!F10762,Programme!G10762,Programme!H10762,Programme!I10762,Programme!J10762)</f>
        <v>&lt;numeroLigne&gt;52&lt;/numeroLigne&gt;</v>
      </c>
    </row>
    <row r="10762" spans="1:1" x14ac:dyDescent="0.2">
      <c r="A10762" s="996" t="str">
        <f>CONCATENATE(Programme!D10763,Programme!E10763,Programme!F10763,Programme!G10763,Programme!H10763,Programme!I10763,Programme!J10763)</f>
        <v>&lt;/ValeurCellule&gt;</v>
      </c>
    </row>
    <row r="10763" spans="1:1" x14ac:dyDescent="0.2">
      <c r="A10763" s="996" t="str">
        <f>CONCATENATE(Programme!D10764,Programme!E10764,Programme!F10764,Programme!G10764,Programme!H10764,Programme!I10764,Programme!J10764)</f>
        <v>&lt;ValeurCellule&gt;</v>
      </c>
    </row>
    <row r="10764" spans="1:1" x14ac:dyDescent="0.2">
      <c r="A10764" s="996" t="str">
        <f>CONCATENATE(Programme!D10765,Programme!E10765,Programme!F10765,Programme!G10765,Programme!H10765,Programme!I10765,Programme!J10765)</f>
        <v>&lt;cellule&gt;&lt;codeEdi&gt;1082&lt;/codeEdi&gt;&lt;/cellule&gt;</v>
      </c>
    </row>
    <row r="10765" spans="1:1" x14ac:dyDescent="0.2">
      <c r="A10765" s="996" t="str">
        <f>CONCATENATE(Programme!D10766,Programme!E10766,Programme!F10766,Programme!G10766,Programme!H10766,Programme!I10766,Programme!J10766)</f>
        <v>&lt;valeur&gt;&lt;/valeur&gt;</v>
      </c>
    </row>
    <row r="10766" spans="1:1" x14ac:dyDescent="0.2">
      <c r="A10766" s="996" t="str">
        <f>CONCATENATE(Programme!D10767,Programme!E10767,Programme!F10767,Programme!G10767,Programme!H10767,Programme!I10767,Programme!J10767)</f>
        <v>&lt;numeroLigne&gt;52&lt;/numeroLigne&gt;</v>
      </c>
    </row>
    <row r="10767" spans="1:1" x14ac:dyDescent="0.2">
      <c r="A10767" s="996" t="str">
        <f>CONCATENATE(Programme!D10768,Programme!E10768,Programme!F10768,Programme!G10768,Programme!H10768,Programme!I10768,Programme!J10768)</f>
        <v>&lt;/ValeurCellule&gt;</v>
      </c>
    </row>
    <row r="10768" spans="1:1" x14ac:dyDescent="0.2">
      <c r="A10768" s="996" t="str">
        <f>CONCATENATE(Programme!D10769,Programme!E10769,Programme!F10769,Programme!G10769,Programme!H10769,Programme!I10769,Programme!J10769)</f>
        <v>&lt;ValeurCellule&gt;</v>
      </c>
    </row>
    <row r="10769" spans="1:1" x14ac:dyDescent="0.2">
      <c r="A10769" s="996" t="str">
        <f>CONCATENATE(Programme!D10770,Programme!E10770,Programme!F10770,Programme!G10770,Programme!H10770,Programme!I10770,Programme!J10770)</f>
        <v>&lt;cellule&gt;&lt;codeEdi&gt;1083&lt;/codeEdi&gt;&lt;/cellule&gt;</v>
      </c>
    </row>
    <row r="10770" spans="1:1" x14ac:dyDescent="0.2">
      <c r="A10770" s="996" t="str">
        <f>CONCATENATE(Programme!D10771,Programme!E10771,Programme!F10771,Programme!G10771,Programme!H10771,Programme!I10771,Programme!J10771)</f>
        <v>&lt;valeur&gt;&lt;/valeur&gt;</v>
      </c>
    </row>
    <row r="10771" spans="1:1" x14ac:dyDescent="0.2">
      <c r="A10771" s="996" t="str">
        <f>CONCATENATE(Programme!D10772,Programme!E10772,Programme!F10772,Programme!G10772,Programme!H10772,Programme!I10772,Programme!J10772)</f>
        <v>&lt;numeroLigne&gt;52&lt;/numeroLigne&gt;</v>
      </c>
    </row>
    <row r="10772" spans="1:1" x14ac:dyDescent="0.2">
      <c r="A10772" s="996" t="str">
        <f>CONCATENATE(Programme!D10773,Programme!E10773,Programme!F10773,Programme!G10773,Programme!H10773,Programme!I10773,Programme!J10773)</f>
        <v>&lt;/ValeurCellule&gt;</v>
      </c>
    </row>
    <row r="10773" spans="1:1" x14ac:dyDescent="0.2">
      <c r="A10773" s="996" t="str">
        <f>CONCATENATE(Programme!D10774,Programme!E10774,Programme!F10774,Programme!G10774,Programme!H10774,Programme!I10774,Programme!J10774)</f>
        <v>&lt;ValeurCellule&gt;</v>
      </c>
    </row>
    <row r="10774" spans="1:1" x14ac:dyDescent="0.2">
      <c r="A10774" s="996" t="str">
        <f>CONCATENATE(Programme!D10775,Programme!E10775,Programme!F10775,Programme!G10775,Programme!H10775,Programme!I10775,Programme!J10775)</f>
        <v>&lt;cellule&gt;&lt;codeEdi&gt;1084&lt;/codeEdi&gt;&lt;/cellule&gt;</v>
      </c>
    </row>
    <row r="10775" spans="1:1" x14ac:dyDescent="0.2">
      <c r="A10775" s="996" t="str">
        <f>CONCATENATE(Programme!D10776,Programme!E10776,Programme!F10776,Programme!G10776,Programme!H10776,Programme!I10776,Programme!J10776)</f>
        <v>&lt;valeur&gt;&lt;/valeur&gt;</v>
      </c>
    </row>
    <row r="10776" spans="1:1" x14ac:dyDescent="0.2">
      <c r="A10776" s="996" t="str">
        <f>CONCATENATE(Programme!D10777,Programme!E10777,Programme!F10777,Programme!G10777,Programme!H10777,Programme!I10777,Programme!J10777)</f>
        <v>&lt;numeroLigne&gt;52&lt;/numeroLigne&gt;</v>
      </c>
    </row>
    <row r="10777" spans="1:1" x14ac:dyDescent="0.2">
      <c r="A10777" s="996" t="str">
        <f>CONCATENATE(Programme!D10778,Programme!E10778,Programme!F10778,Programme!G10778,Programme!H10778,Programme!I10778,Programme!J10778)</f>
        <v>&lt;/ValeurCellule&gt;</v>
      </c>
    </row>
    <row r="10778" spans="1:1" x14ac:dyDescent="0.2">
      <c r="A10778" s="996" t="str">
        <f>CONCATENATE(Programme!D10779,Programme!E10779,Programme!F10779,Programme!G10779,Programme!H10779,Programme!I10779,Programme!J10779)</f>
        <v>&lt;ValeurCellule&gt;</v>
      </c>
    </row>
    <row r="10779" spans="1:1" x14ac:dyDescent="0.2">
      <c r="A10779" s="996" t="str">
        <f>CONCATENATE(Programme!D10780,Programme!E10780,Programme!F10780,Programme!G10780,Programme!H10780,Programme!I10780,Programme!J10780)</f>
        <v>&lt;cellule&gt;&lt;codeEdi&gt;1085&lt;/codeEdi&gt;&lt;/cellule&gt;</v>
      </c>
    </row>
    <row r="10780" spans="1:1" x14ac:dyDescent="0.2">
      <c r="A10780" s="996" t="str">
        <f>CONCATENATE(Programme!D10781,Programme!E10781,Programme!F10781,Programme!G10781,Programme!H10781,Programme!I10781,Programme!J10781)</f>
        <v>&lt;valeur&gt;&lt;/valeur&gt;</v>
      </c>
    </row>
    <row r="10781" spans="1:1" x14ac:dyDescent="0.2">
      <c r="A10781" s="996" t="str">
        <f>CONCATENATE(Programme!D10782,Programme!E10782,Programme!F10782,Programme!G10782,Programme!H10782,Programme!I10782,Programme!J10782)</f>
        <v>&lt;numeroLigne&gt;52&lt;/numeroLigne&gt;</v>
      </c>
    </row>
    <row r="10782" spans="1:1" x14ac:dyDescent="0.2">
      <c r="A10782" s="996" t="str">
        <f>CONCATENATE(Programme!D10783,Programme!E10783,Programme!F10783,Programme!G10783,Programme!H10783,Programme!I10783,Programme!J10783)</f>
        <v>&lt;/ValeurCellule&gt;</v>
      </c>
    </row>
    <row r="10783" spans="1:1" x14ac:dyDescent="0.2">
      <c r="A10783" s="996" t="str">
        <f>CONCATENATE(Programme!D10784,Programme!E10784,Programme!F10784,Programme!G10784,Programme!H10784,Programme!I10784,Programme!J10784)</f>
        <v>&lt;ValeurCellule&gt;</v>
      </c>
    </row>
    <row r="10784" spans="1:1" x14ac:dyDescent="0.2">
      <c r="A10784" s="996" t="str">
        <f>CONCATENATE(Programme!D10785,Programme!E10785,Programme!F10785,Programme!G10785,Programme!H10785,Programme!I10785,Programme!J10785)</f>
        <v>&lt;cellule&gt;&lt;codeEdi&gt;1086&lt;/codeEdi&gt;&lt;/cellule&gt;</v>
      </c>
    </row>
    <row r="10785" spans="1:1" x14ac:dyDescent="0.2">
      <c r="A10785" s="996" t="str">
        <f>CONCATENATE(Programme!D10786,Programme!E10786,Programme!F10786,Programme!G10786,Programme!H10786,Programme!I10786,Programme!J10786)</f>
        <v>&lt;valeur&gt;&lt;/valeur&gt;</v>
      </c>
    </row>
    <row r="10786" spans="1:1" x14ac:dyDescent="0.2">
      <c r="A10786" s="996" t="str">
        <f>CONCATENATE(Programme!D10787,Programme!E10787,Programme!F10787,Programme!G10787,Programme!H10787,Programme!I10787,Programme!J10787)</f>
        <v>&lt;numeroLigne&gt;52&lt;/numeroLigne&gt;</v>
      </c>
    </row>
    <row r="10787" spans="1:1" x14ac:dyDescent="0.2">
      <c r="A10787" s="996" t="str">
        <f>CONCATENATE(Programme!D10788,Programme!E10788,Programme!F10788,Programme!G10788,Programme!H10788,Programme!I10788,Programme!J10788)</f>
        <v>&lt;/ValeurCellule&gt;</v>
      </c>
    </row>
    <row r="10788" spans="1:1" x14ac:dyDescent="0.2">
      <c r="A10788" s="996" t="str">
        <f>CONCATENATE(Programme!D10789,Programme!E10789,Programme!F10789,Programme!G10789,Programme!H10789,Programme!I10789,Programme!J10789)</f>
        <v>&lt;ValeurCellule&gt;</v>
      </c>
    </row>
    <row r="10789" spans="1:1" x14ac:dyDescent="0.2">
      <c r="A10789" s="996" t="str">
        <f>CONCATENATE(Programme!D10790,Programme!E10790,Programme!F10790,Programme!G10790,Programme!H10790,Programme!I10790,Programme!J10790)</f>
        <v>&lt;cellule&gt;&lt;codeEdi&gt;10061&lt;/codeEdi&gt;&lt;/cellule&gt;</v>
      </c>
    </row>
    <row r="10790" spans="1:1" x14ac:dyDescent="0.2">
      <c r="A10790" s="996" t="str">
        <f>CONCATENATE(Programme!D10791,Programme!E10791,Programme!F10791,Programme!G10791,Programme!H10791,Programme!I10791,Programme!J10791)</f>
        <v>&lt;valeur&gt;&lt;/valeur&gt;</v>
      </c>
    </row>
    <row r="10791" spans="1:1" x14ac:dyDescent="0.2">
      <c r="A10791" s="996" t="str">
        <f>CONCATENATE(Programme!D10792,Programme!E10792,Programme!F10792,Programme!G10792,Programme!H10792,Programme!I10792,Programme!J10792)</f>
        <v>&lt;numeroLigne&gt;53&lt;/numeroLigne&gt;</v>
      </c>
    </row>
    <row r="10792" spans="1:1" x14ac:dyDescent="0.2">
      <c r="A10792" s="996" t="str">
        <f>CONCATENATE(Programme!D10793,Programme!E10793,Programme!F10793,Programme!G10793,Programme!H10793,Programme!I10793,Programme!J10793)</f>
        <v>&lt;/ValeurCellule&gt;</v>
      </c>
    </row>
    <row r="10793" spans="1:1" x14ac:dyDescent="0.2">
      <c r="A10793" s="996" t="str">
        <f>CONCATENATE(Programme!D10794,Programme!E10794,Programme!F10794,Programme!G10794,Programme!H10794,Programme!I10794,Programme!J10794)</f>
        <v>&lt;ValeurCellule&gt;</v>
      </c>
    </row>
    <row r="10794" spans="1:1" x14ac:dyDescent="0.2">
      <c r="A10794" s="996" t="str">
        <f>CONCATENATE(Programme!D10795,Programme!E10795,Programme!F10795,Programme!G10795,Programme!H10795,Programme!I10795,Programme!J10795)</f>
        <v>&lt;cellule&gt;&lt;codeEdi&gt;1078&lt;/codeEdi&gt;&lt;/cellule&gt;</v>
      </c>
    </row>
    <row r="10795" spans="1:1" x14ac:dyDescent="0.2">
      <c r="A10795" s="996" t="str">
        <f>CONCATENATE(Programme!D10796,Programme!E10796,Programme!F10796,Programme!G10796,Programme!H10796,Programme!I10796,Programme!J10796)</f>
        <v>&lt;valeur&gt;&lt;/valeur&gt;</v>
      </c>
    </row>
    <row r="10796" spans="1:1" x14ac:dyDescent="0.2">
      <c r="A10796" s="996" t="str">
        <f>CONCATENATE(Programme!D10797,Programme!E10797,Programme!F10797,Programme!G10797,Programme!H10797,Programme!I10797,Programme!J10797)</f>
        <v>&lt;numeroLigne&gt;53&lt;/numeroLigne&gt;</v>
      </c>
    </row>
    <row r="10797" spans="1:1" x14ac:dyDescent="0.2">
      <c r="A10797" s="996" t="str">
        <f>CONCATENATE(Programme!D10798,Programme!E10798,Programme!F10798,Programme!G10798,Programme!H10798,Programme!I10798,Programme!J10798)</f>
        <v>&lt;/ValeurCellule&gt;</v>
      </c>
    </row>
    <row r="10798" spans="1:1" x14ac:dyDescent="0.2">
      <c r="A10798" s="996" t="str">
        <f>CONCATENATE(Programme!D10799,Programme!E10799,Programme!F10799,Programme!G10799,Programme!H10799,Programme!I10799,Programme!J10799)</f>
        <v>&lt;ValeurCellule&gt;</v>
      </c>
    </row>
    <row r="10799" spans="1:1" x14ac:dyDescent="0.2">
      <c r="A10799" s="996" t="str">
        <f>CONCATENATE(Programme!D10800,Programme!E10800,Programme!F10800,Programme!G10800,Programme!H10800,Programme!I10800,Programme!J10800)</f>
        <v>&lt;cellule&gt;&lt;codeEdi&gt;1079&lt;/codeEdi&gt;&lt;/cellule&gt;</v>
      </c>
    </row>
    <row r="10800" spans="1:1" x14ac:dyDescent="0.2">
      <c r="A10800" s="996" t="str">
        <f>CONCATENATE(Programme!D10801,Programme!E10801,Programme!F10801,Programme!G10801,Programme!H10801,Programme!I10801,Programme!J10801)</f>
        <v>&lt;valeur&gt;&lt;/valeur&gt;</v>
      </c>
    </row>
    <row r="10801" spans="1:1" x14ac:dyDescent="0.2">
      <c r="A10801" s="996" t="str">
        <f>CONCATENATE(Programme!D10802,Programme!E10802,Programme!F10802,Programme!G10802,Programme!H10802,Programme!I10802,Programme!J10802)</f>
        <v>&lt;numeroLigne&gt;53&lt;/numeroLigne&gt;</v>
      </c>
    </row>
    <row r="10802" spans="1:1" x14ac:dyDescent="0.2">
      <c r="A10802" s="996" t="str">
        <f>CONCATENATE(Programme!D10803,Programme!E10803,Programme!F10803,Programme!G10803,Programme!H10803,Programme!I10803,Programme!J10803)</f>
        <v>&lt;/ValeurCellule&gt;</v>
      </c>
    </row>
    <row r="10803" spans="1:1" x14ac:dyDescent="0.2">
      <c r="A10803" s="996" t="str">
        <f>CONCATENATE(Programme!D10804,Programme!E10804,Programme!F10804,Programme!G10804,Programme!H10804,Programme!I10804,Programme!J10804)</f>
        <v>&lt;ValeurCellule&gt;</v>
      </c>
    </row>
    <row r="10804" spans="1:1" x14ac:dyDescent="0.2">
      <c r="A10804" s="996" t="str">
        <f>CONCATENATE(Programme!D10805,Programme!E10805,Programme!F10805,Programme!G10805,Programme!H10805,Programme!I10805,Programme!J10805)</f>
        <v>&lt;cellule&gt;&lt;codeEdi&gt;1080&lt;/codeEdi&gt;&lt;/cellule&gt;</v>
      </c>
    </row>
    <row r="10805" spans="1:1" x14ac:dyDescent="0.2">
      <c r="A10805" s="996" t="str">
        <f>CONCATENATE(Programme!D10806,Programme!E10806,Programme!F10806,Programme!G10806,Programme!H10806,Programme!I10806,Programme!J10806)</f>
        <v>&lt;valeur&gt;&lt;/valeur&gt;</v>
      </c>
    </row>
    <row r="10806" spans="1:1" x14ac:dyDescent="0.2">
      <c r="A10806" s="996" t="str">
        <f>CONCATENATE(Programme!D10807,Programme!E10807,Programme!F10807,Programme!G10807,Programme!H10807,Programme!I10807,Programme!J10807)</f>
        <v>&lt;numeroLigne&gt;53&lt;/numeroLigne&gt;</v>
      </c>
    </row>
    <row r="10807" spans="1:1" x14ac:dyDescent="0.2">
      <c r="A10807" s="996" t="str">
        <f>CONCATENATE(Programme!D10808,Programme!E10808,Programme!F10808,Programme!G10808,Programme!H10808,Programme!I10808,Programme!J10808)</f>
        <v>&lt;/ValeurCellule&gt;</v>
      </c>
    </row>
    <row r="10808" spans="1:1" x14ac:dyDescent="0.2">
      <c r="A10808" s="996" t="str">
        <f>CONCATENATE(Programme!D10809,Programme!E10809,Programme!F10809,Programme!G10809,Programme!H10809,Programme!I10809,Programme!J10809)</f>
        <v>&lt;ValeurCellule&gt;</v>
      </c>
    </row>
    <row r="10809" spans="1:1" x14ac:dyDescent="0.2">
      <c r="A10809" s="996" t="str">
        <f>CONCATENATE(Programme!D10810,Programme!E10810,Programme!F10810,Programme!G10810,Programme!H10810,Programme!I10810,Programme!J10810)</f>
        <v>&lt;cellule&gt;&lt;codeEdi&gt;1081&lt;/codeEdi&gt;&lt;/cellule&gt;</v>
      </c>
    </row>
    <row r="10810" spans="1:1" x14ac:dyDescent="0.2">
      <c r="A10810" s="996" t="str">
        <f>CONCATENATE(Programme!D10811,Programme!E10811,Programme!F10811,Programme!G10811,Programme!H10811,Programme!I10811,Programme!J10811)</f>
        <v>&lt;valeur&gt;&lt;/valeur&gt;</v>
      </c>
    </row>
    <row r="10811" spans="1:1" x14ac:dyDescent="0.2">
      <c r="A10811" s="996" t="str">
        <f>CONCATENATE(Programme!D10812,Programme!E10812,Programme!F10812,Programme!G10812,Programme!H10812,Programme!I10812,Programme!J10812)</f>
        <v>&lt;numeroLigne&gt;53&lt;/numeroLigne&gt;</v>
      </c>
    </row>
    <row r="10812" spans="1:1" x14ac:dyDescent="0.2">
      <c r="A10812" s="996" t="str">
        <f>CONCATENATE(Programme!D10813,Programme!E10813,Programme!F10813,Programme!G10813,Programme!H10813,Programme!I10813,Programme!J10813)</f>
        <v>&lt;/ValeurCellule&gt;</v>
      </c>
    </row>
    <row r="10813" spans="1:1" x14ac:dyDescent="0.2">
      <c r="A10813" s="996" t="str">
        <f>CONCATENATE(Programme!D10814,Programme!E10814,Programme!F10814,Programme!G10814,Programme!H10814,Programme!I10814,Programme!J10814)</f>
        <v>&lt;ValeurCellule&gt;</v>
      </c>
    </row>
    <row r="10814" spans="1:1" x14ac:dyDescent="0.2">
      <c r="A10814" s="996" t="str">
        <f>CONCATENATE(Programme!D10815,Programme!E10815,Programme!F10815,Programme!G10815,Programme!H10815,Programme!I10815,Programme!J10815)</f>
        <v>&lt;cellule&gt;&lt;codeEdi&gt;1082&lt;/codeEdi&gt;&lt;/cellule&gt;</v>
      </c>
    </row>
    <row r="10815" spans="1:1" x14ac:dyDescent="0.2">
      <c r="A10815" s="996" t="str">
        <f>CONCATENATE(Programme!D10816,Programme!E10816,Programme!F10816,Programme!G10816,Programme!H10816,Programme!I10816,Programme!J10816)</f>
        <v>&lt;valeur&gt;&lt;/valeur&gt;</v>
      </c>
    </row>
    <row r="10816" spans="1:1" x14ac:dyDescent="0.2">
      <c r="A10816" s="996" t="str">
        <f>CONCATENATE(Programme!D10817,Programme!E10817,Programme!F10817,Programme!G10817,Programme!H10817,Programme!I10817,Programme!J10817)</f>
        <v>&lt;numeroLigne&gt;53&lt;/numeroLigne&gt;</v>
      </c>
    </row>
    <row r="10817" spans="1:1" x14ac:dyDescent="0.2">
      <c r="A10817" s="996" t="str">
        <f>CONCATENATE(Programme!D10818,Programme!E10818,Programme!F10818,Programme!G10818,Programme!H10818,Programme!I10818,Programme!J10818)</f>
        <v>&lt;/ValeurCellule&gt;</v>
      </c>
    </row>
    <row r="10818" spans="1:1" x14ac:dyDescent="0.2">
      <c r="A10818" s="996" t="str">
        <f>CONCATENATE(Programme!D10819,Programme!E10819,Programme!F10819,Programme!G10819,Programme!H10819,Programme!I10819,Programme!J10819)</f>
        <v>&lt;ValeurCellule&gt;</v>
      </c>
    </row>
    <row r="10819" spans="1:1" x14ac:dyDescent="0.2">
      <c r="A10819" s="996" t="str">
        <f>CONCATENATE(Programme!D10820,Programme!E10820,Programme!F10820,Programme!G10820,Programme!H10820,Programme!I10820,Programme!J10820)</f>
        <v>&lt;cellule&gt;&lt;codeEdi&gt;1083&lt;/codeEdi&gt;&lt;/cellule&gt;</v>
      </c>
    </row>
    <row r="10820" spans="1:1" x14ac:dyDescent="0.2">
      <c r="A10820" s="996" t="str">
        <f>CONCATENATE(Programme!D10821,Programme!E10821,Programme!F10821,Programme!G10821,Programme!H10821,Programme!I10821,Programme!J10821)</f>
        <v>&lt;valeur&gt;&lt;/valeur&gt;</v>
      </c>
    </row>
    <row r="10821" spans="1:1" x14ac:dyDescent="0.2">
      <c r="A10821" s="996" t="str">
        <f>CONCATENATE(Programme!D10822,Programme!E10822,Programme!F10822,Programme!G10822,Programme!H10822,Programme!I10822,Programme!J10822)</f>
        <v>&lt;numeroLigne&gt;53&lt;/numeroLigne&gt;</v>
      </c>
    </row>
    <row r="10822" spans="1:1" x14ac:dyDescent="0.2">
      <c r="A10822" s="996" t="str">
        <f>CONCATENATE(Programme!D10823,Programme!E10823,Programme!F10823,Programme!G10823,Programme!H10823,Programme!I10823,Programme!J10823)</f>
        <v>&lt;/ValeurCellule&gt;</v>
      </c>
    </row>
    <row r="10823" spans="1:1" x14ac:dyDescent="0.2">
      <c r="A10823" s="996" t="str">
        <f>CONCATENATE(Programme!D10824,Programme!E10824,Programme!F10824,Programme!G10824,Programme!H10824,Programme!I10824,Programme!J10824)</f>
        <v>&lt;ValeurCellule&gt;</v>
      </c>
    </row>
    <row r="10824" spans="1:1" x14ac:dyDescent="0.2">
      <c r="A10824" s="996" t="str">
        <f>CONCATENATE(Programme!D10825,Programme!E10825,Programme!F10825,Programme!G10825,Programme!H10825,Programme!I10825,Programme!J10825)</f>
        <v>&lt;cellule&gt;&lt;codeEdi&gt;1084&lt;/codeEdi&gt;&lt;/cellule&gt;</v>
      </c>
    </row>
    <row r="10825" spans="1:1" x14ac:dyDescent="0.2">
      <c r="A10825" s="996" t="str">
        <f>CONCATENATE(Programme!D10826,Programme!E10826,Programme!F10826,Programme!G10826,Programme!H10826,Programme!I10826,Programme!J10826)</f>
        <v>&lt;valeur&gt;&lt;/valeur&gt;</v>
      </c>
    </row>
    <row r="10826" spans="1:1" x14ac:dyDescent="0.2">
      <c r="A10826" s="996" t="str">
        <f>CONCATENATE(Programme!D10827,Programme!E10827,Programme!F10827,Programme!G10827,Programme!H10827,Programme!I10827,Programme!J10827)</f>
        <v>&lt;numeroLigne&gt;53&lt;/numeroLigne&gt;</v>
      </c>
    </row>
    <row r="10827" spans="1:1" x14ac:dyDescent="0.2">
      <c r="A10827" s="996" t="str">
        <f>CONCATENATE(Programme!D10828,Programme!E10828,Programme!F10828,Programme!G10828,Programme!H10828,Programme!I10828,Programme!J10828)</f>
        <v>&lt;/ValeurCellule&gt;</v>
      </c>
    </row>
    <row r="10828" spans="1:1" x14ac:dyDescent="0.2">
      <c r="A10828" s="996" t="str">
        <f>CONCATENATE(Programme!D10829,Programme!E10829,Programme!F10829,Programme!G10829,Programme!H10829,Programme!I10829,Programme!J10829)</f>
        <v>&lt;ValeurCellule&gt;</v>
      </c>
    </row>
    <row r="10829" spans="1:1" x14ac:dyDescent="0.2">
      <c r="A10829" s="996" t="str">
        <f>CONCATENATE(Programme!D10830,Programme!E10830,Programme!F10830,Programme!G10830,Programme!H10830,Programme!I10830,Programme!J10830)</f>
        <v>&lt;cellule&gt;&lt;codeEdi&gt;1085&lt;/codeEdi&gt;&lt;/cellule&gt;</v>
      </c>
    </row>
    <row r="10830" spans="1:1" x14ac:dyDescent="0.2">
      <c r="A10830" s="996" t="str">
        <f>CONCATENATE(Programme!D10831,Programme!E10831,Programme!F10831,Programme!G10831,Programme!H10831,Programme!I10831,Programme!J10831)</f>
        <v>&lt;valeur&gt;&lt;/valeur&gt;</v>
      </c>
    </row>
    <row r="10831" spans="1:1" x14ac:dyDescent="0.2">
      <c r="A10831" s="996" t="str">
        <f>CONCATENATE(Programme!D10832,Programme!E10832,Programme!F10832,Programme!G10832,Programme!H10832,Programme!I10832,Programme!J10832)</f>
        <v>&lt;numeroLigne&gt;53&lt;/numeroLigne&gt;</v>
      </c>
    </row>
    <row r="10832" spans="1:1" x14ac:dyDescent="0.2">
      <c r="A10832" s="996" t="str">
        <f>CONCATENATE(Programme!D10833,Programme!E10833,Programme!F10833,Programme!G10833,Programme!H10833,Programme!I10833,Programme!J10833)</f>
        <v>&lt;/ValeurCellule&gt;</v>
      </c>
    </row>
    <row r="10833" spans="1:1" x14ac:dyDescent="0.2">
      <c r="A10833" s="996" t="str">
        <f>CONCATENATE(Programme!D10834,Programme!E10834,Programme!F10834,Programme!G10834,Programme!H10834,Programme!I10834,Programme!J10834)</f>
        <v>&lt;ValeurCellule&gt;</v>
      </c>
    </row>
    <row r="10834" spans="1:1" x14ac:dyDescent="0.2">
      <c r="A10834" s="996" t="str">
        <f>CONCATENATE(Programme!D10835,Programme!E10835,Programme!F10835,Programme!G10835,Programme!H10835,Programme!I10835,Programme!J10835)</f>
        <v>&lt;cellule&gt;&lt;codeEdi&gt;1086&lt;/codeEdi&gt;&lt;/cellule&gt;</v>
      </c>
    </row>
    <row r="10835" spans="1:1" x14ac:dyDescent="0.2">
      <c r="A10835" s="996" t="str">
        <f>CONCATENATE(Programme!D10836,Programme!E10836,Programme!F10836,Programme!G10836,Programme!H10836,Programme!I10836,Programme!J10836)</f>
        <v>&lt;valeur&gt;&lt;/valeur&gt;</v>
      </c>
    </row>
    <row r="10836" spans="1:1" x14ac:dyDescent="0.2">
      <c r="A10836" s="996" t="str">
        <f>CONCATENATE(Programme!D10837,Programme!E10837,Programme!F10837,Programme!G10837,Programme!H10837,Programme!I10837,Programme!J10837)</f>
        <v>&lt;numeroLigne&gt;53&lt;/numeroLigne&gt;</v>
      </c>
    </row>
    <row r="10837" spans="1:1" x14ac:dyDescent="0.2">
      <c r="A10837" s="996" t="str">
        <f>CONCATENATE(Programme!D10838,Programme!E10838,Programme!F10838,Programme!G10838,Programme!H10838,Programme!I10838,Programme!J10838)</f>
        <v>&lt;/ValeurCellule&gt;</v>
      </c>
    </row>
    <row r="10838" spans="1:1" x14ac:dyDescent="0.2">
      <c r="A10838" s="996" t="str">
        <f>CONCATENATE(Programme!D10839,Programme!E10839,Programme!F10839,Programme!G10839,Programme!H10839,Programme!I10839,Programme!J10839)</f>
        <v>&lt;ValeurCellule&gt;</v>
      </c>
    </row>
    <row r="10839" spans="1:1" x14ac:dyDescent="0.2">
      <c r="A10839" s="996" t="str">
        <f>CONCATENATE(Programme!D10840,Programme!E10840,Programme!F10840,Programme!G10840,Programme!H10840,Programme!I10840,Programme!J10840)</f>
        <v>&lt;cellule&gt;&lt;codeEdi&gt;10061&lt;/codeEdi&gt;&lt;/cellule&gt;</v>
      </c>
    </row>
    <row r="10840" spans="1:1" x14ac:dyDescent="0.2">
      <c r="A10840" s="996" t="str">
        <f>CONCATENATE(Programme!D10841,Programme!E10841,Programme!F10841,Programme!G10841,Programme!H10841,Programme!I10841,Programme!J10841)</f>
        <v>&lt;valeur&gt;&lt;/valeur&gt;</v>
      </c>
    </row>
    <row r="10841" spans="1:1" x14ac:dyDescent="0.2">
      <c r="A10841" s="996" t="str">
        <f>CONCATENATE(Programme!D10842,Programme!E10842,Programme!F10842,Programme!G10842,Programme!H10842,Programme!I10842,Programme!J10842)</f>
        <v>&lt;numeroLigne&gt;54&lt;/numeroLigne&gt;</v>
      </c>
    </row>
    <row r="10842" spans="1:1" x14ac:dyDescent="0.2">
      <c r="A10842" s="996" t="str">
        <f>CONCATENATE(Programme!D10843,Programme!E10843,Programme!F10843,Programme!G10843,Programme!H10843,Programme!I10843,Programme!J10843)</f>
        <v>&lt;/ValeurCellule&gt;</v>
      </c>
    </row>
    <row r="10843" spans="1:1" x14ac:dyDescent="0.2">
      <c r="A10843" s="996" t="str">
        <f>CONCATENATE(Programme!D10844,Programme!E10844,Programme!F10844,Programme!G10844,Programme!H10844,Programme!I10844,Programme!J10844)</f>
        <v>&lt;ValeurCellule&gt;</v>
      </c>
    </row>
    <row r="10844" spans="1:1" x14ac:dyDescent="0.2">
      <c r="A10844" s="996" t="str">
        <f>CONCATENATE(Programme!D10845,Programme!E10845,Programme!F10845,Programme!G10845,Programme!H10845,Programme!I10845,Programme!J10845)</f>
        <v>&lt;cellule&gt;&lt;codeEdi&gt;1078&lt;/codeEdi&gt;&lt;/cellule&gt;</v>
      </c>
    </row>
    <row r="10845" spans="1:1" x14ac:dyDescent="0.2">
      <c r="A10845" s="996" t="str">
        <f>CONCATENATE(Programme!D10846,Programme!E10846,Programme!F10846,Programme!G10846,Programme!H10846,Programme!I10846,Programme!J10846)</f>
        <v>&lt;valeur&gt;&lt;/valeur&gt;</v>
      </c>
    </row>
    <row r="10846" spans="1:1" x14ac:dyDescent="0.2">
      <c r="A10846" s="996" t="str">
        <f>CONCATENATE(Programme!D10847,Programme!E10847,Programme!F10847,Programme!G10847,Programme!H10847,Programme!I10847,Programme!J10847)</f>
        <v>&lt;numeroLigne&gt;54&lt;/numeroLigne&gt;</v>
      </c>
    </row>
    <row r="10847" spans="1:1" x14ac:dyDescent="0.2">
      <c r="A10847" s="996" t="str">
        <f>CONCATENATE(Programme!D10848,Programme!E10848,Programme!F10848,Programme!G10848,Programme!H10848,Programme!I10848,Programme!J10848)</f>
        <v>&lt;/ValeurCellule&gt;</v>
      </c>
    </row>
    <row r="10848" spans="1:1" x14ac:dyDescent="0.2">
      <c r="A10848" s="996" t="str">
        <f>CONCATENATE(Programme!D10849,Programme!E10849,Programme!F10849,Programme!G10849,Programme!H10849,Programme!I10849,Programme!J10849)</f>
        <v>&lt;ValeurCellule&gt;</v>
      </c>
    </row>
    <row r="10849" spans="1:1" x14ac:dyDescent="0.2">
      <c r="A10849" s="996" t="str">
        <f>CONCATENATE(Programme!D10850,Programme!E10850,Programme!F10850,Programme!G10850,Programme!H10850,Programme!I10850,Programme!J10850)</f>
        <v>&lt;cellule&gt;&lt;codeEdi&gt;1079&lt;/codeEdi&gt;&lt;/cellule&gt;</v>
      </c>
    </row>
    <row r="10850" spans="1:1" x14ac:dyDescent="0.2">
      <c r="A10850" s="996" t="str">
        <f>CONCATENATE(Programme!D10851,Programme!E10851,Programme!F10851,Programme!G10851,Programme!H10851,Programme!I10851,Programme!J10851)</f>
        <v>&lt;valeur&gt;&lt;/valeur&gt;</v>
      </c>
    </row>
    <row r="10851" spans="1:1" x14ac:dyDescent="0.2">
      <c r="A10851" s="996" t="str">
        <f>CONCATENATE(Programme!D10852,Programme!E10852,Programme!F10852,Programme!G10852,Programme!H10852,Programme!I10852,Programme!J10852)</f>
        <v>&lt;numeroLigne&gt;54&lt;/numeroLigne&gt;</v>
      </c>
    </row>
    <row r="10852" spans="1:1" x14ac:dyDescent="0.2">
      <c r="A10852" s="996" t="str">
        <f>CONCATENATE(Programme!D10853,Programme!E10853,Programme!F10853,Programme!G10853,Programme!H10853,Programme!I10853,Programme!J10853)</f>
        <v>&lt;/ValeurCellule&gt;</v>
      </c>
    </row>
    <row r="10853" spans="1:1" x14ac:dyDescent="0.2">
      <c r="A10853" s="996" t="str">
        <f>CONCATENATE(Programme!D10854,Programme!E10854,Programme!F10854,Programme!G10854,Programme!H10854,Programme!I10854,Programme!J10854)</f>
        <v>&lt;ValeurCellule&gt;</v>
      </c>
    </row>
    <row r="10854" spans="1:1" x14ac:dyDescent="0.2">
      <c r="A10854" s="996" t="str">
        <f>CONCATENATE(Programme!D10855,Programme!E10855,Programme!F10855,Programme!G10855,Programme!H10855,Programme!I10855,Programme!J10855)</f>
        <v>&lt;cellule&gt;&lt;codeEdi&gt;1080&lt;/codeEdi&gt;&lt;/cellule&gt;</v>
      </c>
    </row>
    <row r="10855" spans="1:1" x14ac:dyDescent="0.2">
      <c r="A10855" s="996" t="str">
        <f>CONCATENATE(Programme!D10856,Programme!E10856,Programme!F10856,Programme!G10856,Programme!H10856,Programme!I10856,Programme!J10856)</f>
        <v>&lt;valeur&gt;&lt;/valeur&gt;</v>
      </c>
    </row>
    <row r="10856" spans="1:1" x14ac:dyDescent="0.2">
      <c r="A10856" s="996" t="str">
        <f>CONCATENATE(Programme!D10857,Programme!E10857,Programme!F10857,Programme!G10857,Programme!H10857,Programme!I10857,Programme!J10857)</f>
        <v>&lt;numeroLigne&gt;54&lt;/numeroLigne&gt;</v>
      </c>
    </row>
    <row r="10857" spans="1:1" x14ac:dyDescent="0.2">
      <c r="A10857" s="996" t="str">
        <f>CONCATENATE(Programme!D10858,Programme!E10858,Programme!F10858,Programme!G10858,Programme!H10858,Programme!I10858,Programme!J10858)</f>
        <v>&lt;/ValeurCellule&gt;</v>
      </c>
    </row>
    <row r="10858" spans="1:1" x14ac:dyDescent="0.2">
      <c r="A10858" s="996" t="str">
        <f>CONCATENATE(Programme!D10859,Programme!E10859,Programme!F10859,Programme!G10859,Programme!H10859,Programme!I10859,Programme!J10859)</f>
        <v>&lt;ValeurCellule&gt;</v>
      </c>
    </row>
    <row r="10859" spans="1:1" x14ac:dyDescent="0.2">
      <c r="A10859" s="996" t="str">
        <f>CONCATENATE(Programme!D10860,Programme!E10860,Programme!F10860,Programme!G10860,Programme!H10860,Programme!I10860,Programme!J10860)</f>
        <v>&lt;cellule&gt;&lt;codeEdi&gt;1081&lt;/codeEdi&gt;&lt;/cellule&gt;</v>
      </c>
    </row>
    <row r="10860" spans="1:1" x14ac:dyDescent="0.2">
      <c r="A10860" s="996" t="str">
        <f>CONCATENATE(Programme!D10861,Programme!E10861,Programme!F10861,Programme!G10861,Programme!H10861,Programme!I10861,Programme!J10861)</f>
        <v>&lt;valeur&gt;&lt;/valeur&gt;</v>
      </c>
    </row>
    <row r="10861" spans="1:1" x14ac:dyDescent="0.2">
      <c r="A10861" s="996" t="str">
        <f>CONCATENATE(Programme!D10862,Programme!E10862,Programme!F10862,Programme!G10862,Programme!H10862,Programme!I10862,Programme!J10862)</f>
        <v>&lt;numeroLigne&gt;54&lt;/numeroLigne&gt;</v>
      </c>
    </row>
    <row r="10862" spans="1:1" x14ac:dyDescent="0.2">
      <c r="A10862" s="996" t="str">
        <f>CONCATENATE(Programme!D10863,Programme!E10863,Programme!F10863,Programme!G10863,Programme!H10863,Programme!I10863,Programme!J10863)</f>
        <v>&lt;/ValeurCellule&gt;</v>
      </c>
    </row>
    <row r="10863" spans="1:1" x14ac:dyDescent="0.2">
      <c r="A10863" s="996" t="str">
        <f>CONCATENATE(Programme!D10864,Programme!E10864,Programme!F10864,Programme!G10864,Programme!H10864,Programme!I10864,Programme!J10864)</f>
        <v>&lt;ValeurCellule&gt;</v>
      </c>
    </row>
    <row r="10864" spans="1:1" x14ac:dyDescent="0.2">
      <c r="A10864" s="996" t="str">
        <f>CONCATENATE(Programme!D10865,Programme!E10865,Programme!F10865,Programme!G10865,Programme!H10865,Programme!I10865,Programme!J10865)</f>
        <v>&lt;cellule&gt;&lt;codeEdi&gt;1082&lt;/codeEdi&gt;&lt;/cellule&gt;</v>
      </c>
    </row>
    <row r="10865" spans="1:1" x14ac:dyDescent="0.2">
      <c r="A10865" s="996" t="str">
        <f>CONCATENATE(Programme!D10866,Programme!E10866,Programme!F10866,Programme!G10866,Programme!H10866,Programme!I10866,Programme!J10866)</f>
        <v>&lt;valeur&gt;&lt;/valeur&gt;</v>
      </c>
    </row>
    <row r="10866" spans="1:1" x14ac:dyDescent="0.2">
      <c r="A10866" s="996" t="str">
        <f>CONCATENATE(Programme!D10867,Programme!E10867,Programme!F10867,Programme!G10867,Programme!H10867,Programme!I10867,Programme!J10867)</f>
        <v>&lt;numeroLigne&gt;54&lt;/numeroLigne&gt;</v>
      </c>
    </row>
    <row r="10867" spans="1:1" x14ac:dyDescent="0.2">
      <c r="A10867" s="996" t="str">
        <f>CONCATENATE(Programme!D10868,Programme!E10868,Programme!F10868,Programme!G10868,Programme!H10868,Programme!I10868,Programme!J10868)</f>
        <v>&lt;/ValeurCellule&gt;</v>
      </c>
    </row>
    <row r="10868" spans="1:1" x14ac:dyDescent="0.2">
      <c r="A10868" s="996" t="str">
        <f>CONCATENATE(Programme!D10869,Programme!E10869,Programme!F10869,Programme!G10869,Programme!H10869,Programme!I10869,Programme!J10869)</f>
        <v>&lt;ValeurCellule&gt;</v>
      </c>
    </row>
    <row r="10869" spans="1:1" x14ac:dyDescent="0.2">
      <c r="A10869" s="996" t="str">
        <f>CONCATENATE(Programme!D10870,Programme!E10870,Programme!F10870,Programme!G10870,Programme!H10870,Programme!I10870,Programme!J10870)</f>
        <v>&lt;cellule&gt;&lt;codeEdi&gt;1083&lt;/codeEdi&gt;&lt;/cellule&gt;</v>
      </c>
    </row>
    <row r="10870" spans="1:1" x14ac:dyDescent="0.2">
      <c r="A10870" s="996" t="str">
        <f>CONCATENATE(Programme!D10871,Programme!E10871,Programme!F10871,Programme!G10871,Programme!H10871,Programme!I10871,Programme!J10871)</f>
        <v>&lt;valeur&gt;&lt;/valeur&gt;</v>
      </c>
    </row>
    <row r="10871" spans="1:1" x14ac:dyDescent="0.2">
      <c r="A10871" s="996" t="str">
        <f>CONCATENATE(Programme!D10872,Programme!E10872,Programme!F10872,Programme!G10872,Programme!H10872,Programme!I10872,Programme!J10872)</f>
        <v>&lt;numeroLigne&gt;54&lt;/numeroLigne&gt;</v>
      </c>
    </row>
    <row r="10872" spans="1:1" x14ac:dyDescent="0.2">
      <c r="A10872" s="996" t="str">
        <f>CONCATENATE(Programme!D10873,Programme!E10873,Programme!F10873,Programme!G10873,Programme!H10873,Programme!I10873,Programme!J10873)</f>
        <v>&lt;/ValeurCellule&gt;</v>
      </c>
    </row>
    <row r="10873" spans="1:1" x14ac:dyDescent="0.2">
      <c r="A10873" s="996" t="str">
        <f>CONCATENATE(Programme!D10874,Programme!E10874,Programme!F10874,Programme!G10874,Programme!H10874,Programme!I10874,Programme!J10874)</f>
        <v>&lt;ValeurCellule&gt;</v>
      </c>
    </row>
    <row r="10874" spans="1:1" x14ac:dyDescent="0.2">
      <c r="A10874" s="996" t="str">
        <f>CONCATENATE(Programme!D10875,Programme!E10875,Programme!F10875,Programme!G10875,Programme!H10875,Programme!I10875,Programme!J10875)</f>
        <v>&lt;cellule&gt;&lt;codeEdi&gt;1084&lt;/codeEdi&gt;&lt;/cellule&gt;</v>
      </c>
    </row>
    <row r="10875" spans="1:1" x14ac:dyDescent="0.2">
      <c r="A10875" s="996" t="str">
        <f>CONCATENATE(Programme!D10876,Programme!E10876,Programme!F10876,Programme!G10876,Programme!H10876,Programme!I10876,Programme!J10876)</f>
        <v>&lt;valeur&gt;&lt;/valeur&gt;</v>
      </c>
    </row>
    <row r="10876" spans="1:1" x14ac:dyDescent="0.2">
      <c r="A10876" s="996" t="str">
        <f>CONCATENATE(Programme!D10877,Programme!E10877,Programme!F10877,Programme!G10877,Programme!H10877,Programme!I10877,Programme!J10877)</f>
        <v>&lt;numeroLigne&gt;54&lt;/numeroLigne&gt;</v>
      </c>
    </row>
    <row r="10877" spans="1:1" x14ac:dyDescent="0.2">
      <c r="A10877" s="996" t="str">
        <f>CONCATENATE(Programme!D10878,Programme!E10878,Programme!F10878,Programme!G10878,Programme!H10878,Programme!I10878,Programme!J10878)</f>
        <v>&lt;/ValeurCellule&gt;</v>
      </c>
    </row>
    <row r="10878" spans="1:1" x14ac:dyDescent="0.2">
      <c r="A10878" s="996" t="str">
        <f>CONCATENATE(Programme!D10879,Programme!E10879,Programme!F10879,Programme!G10879,Programme!H10879,Programme!I10879,Programme!J10879)</f>
        <v>&lt;ValeurCellule&gt;</v>
      </c>
    </row>
    <row r="10879" spans="1:1" x14ac:dyDescent="0.2">
      <c r="A10879" s="996" t="str">
        <f>CONCATENATE(Programme!D10880,Programme!E10880,Programme!F10880,Programme!G10880,Programme!H10880,Programme!I10880,Programme!J10880)</f>
        <v>&lt;cellule&gt;&lt;codeEdi&gt;1085&lt;/codeEdi&gt;&lt;/cellule&gt;</v>
      </c>
    </row>
    <row r="10880" spans="1:1" x14ac:dyDescent="0.2">
      <c r="A10880" s="996" t="str">
        <f>CONCATENATE(Programme!D10881,Programme!E10881,Programme!F10881,Programme!G10881,Programme!H10881,Programme!I10881,Programme!J10881)</f>
        <v>&lt;valeur&gt;&lt;/valeur&gt;</v>
      </c>
    </row>
    <row r="10881" spans="1:1" x14ac:dyDescent="0.2">
      <c r="A10881" s="996" t="str">
        <f>CONCATENATE(Programme!D10882,Programme!E10882,Programme!F10882,Programme!G10882,Programme!H10882,Programme!I10882,Programme!J10882)</f>
        <v>&lt;numeroLigne&gt;54&lt;/numeroLigne&gt;</v>
      </c>
    </row>
    <row r="10882" spans="1:1" x14ac:dyDescent="0.2">
      <c r="A10882" s="996" t="str">
        <f>CONCATENATE(Programme!D10883,Programme!E10883,Programme!F10883,Programme!G10883,Programme!H10883,Programme!I10883,Programme!J10883)</f>
        <v>&lt;/ValeurCellule&gt;</v>
      </c>
    </row>
    <row r="10883" spans="1:1" x14ac:dyDescent="0.2">
      <c r="A10883" s="996" t="str">
        <f>CONCATENATE(Programme!D10884,Programme!E10884,Programme!F10884,Programme!G10884,Programme!H10884,Programme!I10884,Programme!J10884)</f>
        <v>&lt;ValeurCellule&gt;</v>
      </c>
    </row>
    <row r="10884" spans="1:1" x14ac:dyDescent="0.2">
      <c r="A10884" s="996" t="str">
        <f>CONCATENATE(Programme!D10885,Programme!E10885,Programme!F10885,Programme!G10885,Programme!H10885,Programme!I10885,Programme!J10885)</f>
        <v>&lt;cellule&gt;&lt;codeEdi&gt;1086&lt;/codeEdi&gt;&lt;/cellule&gt;</v>
      </c>
    </row>
    <row r="10885" spans="1:1" x14ac:dyDescent="0.2">
      <c r="A10885" s="996" t="str">
        <f>CONCATENATE(Programme!D10886,Programme!E10886,Programme!F10886,Programme!G10886,Programme!H10886,Programme!I10886,Programme!J10886)</f>
        <v>&lt;valeur&gt;&lt;/valeur&gt;</v>
      </c>
    </row>
    <row r="10886" spans="1:1" x14ac:dyDescent="0.2">
      <c r="A10886" s="996" t="str">
        <f>CONCATENATE(Programme!D10887,Programme!E10887,Programme!F10887,Programme!G10887,Programme!H10887,Programme!I10887,Programme!J10887)</f>
        <v>&lt;numeroLigne&gt;54&lt;/numeroLigne&gt;</v>
      </c>
    </row>
    <row r="10887" spans="1:1" x14ac:dyDescent="0.2">
      <c r="A10887" s="996" t="str">
        <f>CONCATENATE(Programme!D10888,Programme!E10888,Programme!F10888,Programme!G10888,Programme!H10888,Programme!I10888,Programme!J10888)</f>
        <v>&lt;/ValeurCellule&gt;</v>
      </c>
    </row>
    <row r="10888" spans="1:1" x14ac:dyDescent="0.2">
      <c r="A10888" s="996" t="str">
        <f>CONCATENATE(Programme!D10889,Programme!E10889,Programme!F10889,Programme!G10889,Programme!H10889,Programme!I10889,Programme!J10889)</f>
        <v>&lt;ValeurCellule&gt;</v>
      </c>
    </row>
    <row r="10889" spans="1:1" x14ac:dyDescent="0.2">
      <c r="A10889" s="996" t="str">
        <f>CONCATENATE(Programme!D10890,Programme!E10890,Programme!F10890,Programme!G10890,Programme!H10890,Programme!I10890,Programme!J10890)</f>
        <v>&lt;cellule&gt;&lt;codeEdi&gt;10061&lt;/codeEdi&gt;&lt;/cellule&gt;</v>
      </c>
    </row>
    <row r="10890" spans="1:1" x14ac:dyDescent="0.2">
      <c r="A10890" s="996" t="str">
        <f>CONCATENATE(Programme!D10891,Programme!E10891,Programme!F10891,Programme!G10891,Programme!H10891,Programme!I10891,Programme!J10891)</f>
        <v>&lt;valeur&gt;&lt;/valeur&gt;</v>
      </c>
    </row>
    <row r="10891" spans="1:1" x14ac:dyDescent="0.2">
      <c r="A10891" s="996" t="str">
        <f>CONCATENATE(Programme!D10892,Programme!E10892,Programme!F10892,Programme!G10892,Programme!H10892,Programme!I10892,Programme!J10892)</f>
        <v>&lt;numeroLigne&gt;55&lt;/numeroLigne&gt;</v>
      </c>
    </row>
    <row r="10892" spans="1:1" x14ac:dyDescent="0.2">
      <c r="A10892" s="996" t="str">
        <f>CONCATENATE(Programme!D10893,Programme!E10893,Programme!F10893,Programme!G10893,Programme!H10893,Programme!I10893,Programme!J10893)</f>
        <v>&lt;/ValeurCellule&gt;</v>
      </c>
    </row>
    <row r="10893" spans="1:1" x14ac:dyDescent="0.2">
      <c r="A10893" s="996" t="str">
        <f>CONCATENATE(Programme!D10894,Programme!E10894,Programme!F10894,Programme!G10894,Programme!H10894,Programme!I10894,Programme!J10894)</f>
        <v>&lt;ValeurCellule&gt;</v>
      </c>
    </row>
    <row r="10894" spans="1:1" x14ac:dyDescent="0.2">
      <c r="A10894" s="996" t="str">
        <f>CONCATENATE(Programme!D10895,Programme!E10895,Programme!F10895,Programme!G10895,Programme!H10895,Programme!I10895,Programme!J10895)</f>
        <v>&lt;cellule&gt;&lt;codeEdi&gt;1078&lt;/codeEdi&gt;&lt;/cellule&gt;</v>
      </c>
    </row>
    <row r="10895" spans="1:1" x14ac:dyDescent="0.2">
      <c r="A10895" s="996" t="str">
        <f>CONCATENATE(Programme!D10896,Programme!E10896,Programme!F10896,Programme!G10896,Programme!H10896,Programme!I10896,Programme!J10896)</f>
        <v>&lt;valeur&gt;&lt;/valeur&gt;</v>
      </c>
    </row>
    <row r="10896" spans="1:1" x14ac:dyDescent="0.2">
      <c r="A10896" s="996" t="str">
        <f>CONCATENATE(Programme!D10897,Programme!E10897,Programme!F10897,Programme!G10897,Programme!H10897,Programme!I10897,Programme!J10897)</f>
        <v>&lt;numeroLigne&gt;55&lt;/numeroLigne&gt;</v>
      </c>
    </row>
    <row r="10897" spans="1:1" x14ac:dyDescent="0.2">
      <c r="A10897" s="996" t="str">
        <f>CONCATENATE(Programme!D10898,Programme!E10898,Programme!F10898,Programme!G10898,Programme!H10898,Programme!I10898,Programme!J10898)</f>
        <v>&lt;/ValeurCellule&gt;</v>
      </c>
    </row>
    <row r="10898" spans="1:1" x14ac:dyDescent="0.2">
      <c r="A10898" s="996" t="str">
        <f>CONCATENATE(Programme!D10899,Programme!E10899,Programme!F10899,Programme!G10899,Programme!H10899,Programme!I10899,Programme!J10899)</f>
        <v>&lt;ValeurCellule&gt;</v>
      </c>
    </row>
    <row r="10899" spans="1:1" x14ac:dyDescent="0.2">
      <c r="A10899" s="996" t="str">
        <f>CONCATENATE(Programme!D10900,Programme!E10900,Programme!F10900,Programme!G10900,Programme!H10900,Programme!I10900,Programme!J10900)</f>
        <v>&lt;cellule&gt;&lt;codeEdi&gt;1079&lt;/codeEdi&gt;&lt;/cellule&gt;</v>
      </c>
    </row>
    <row r="10900" spans="1:1" x14ac:dyDescent="0.2">
      <c r="A10900" s="996" t="str">
        <f>CONCATENATE(Programme!D10901,Programme!E10901,Programme!F10901,Programme!G10901,Programme!H10901,Programme!I10901,Programme!J10901)</f>
        <v>&lt;valeur&gt;&lt;/valeur&gt;</v>
      </c>
    </row>
    <row r="10901" spans="1:1" x14ac:dyDescent="0.2">
      <c r="A10901" s="996" t="str">
        <f>CONCATENATE(Programme!D10902,Programme!E10902,Programme!F10902,Programme!G10902,Programme!H10902,Programme!I10902,Programme!J10902)</f>
        <v>&lt;numeroLigne&gt;55&lt;/numeroLigne&gt;</v>
      </c>
    </row>
    <row r="10902" spans="1:1" x14ac:dyDescent="0.2">
      <c r="A10902" s="996" t="str">
        <f>CONCATENATE(Programme!D10903,Programme!E10903,Programme!F10903,Programme!G10903,Programme!H10903,Programme!I10903,Programme!J10903)</f>
        <v>&lt;/ValeurCellule&gt;</v>
      </c>
    </row>
    <row r="10903" spans="1:1" x14ac:dyDescent="0.2">
      <c r="A10903" s="996" t="str">
        <f>CONCATENATE(Programme!D10904,Programme!E10904,Programme!F10904,Programme!G10904,Programme!H10904,Programme!I10904,Programme!J10904)</f>
        <v>&lt;ValeurCellule&gt;</v>
      </c>
    </row>
    <row r="10904" spans="1:1" x14ac:dyDescent="0.2">
      <c r="A10904" s="996" t="str">
        <f>CONCATENATE(Programme!D10905,Programme!E10905,Programme!F10905,Programme!G10905,Programme!H10905,Programme!I10905,Programme!J10905)</f>
        <v>&lt;cellule&gt;&lt;codeEdi&gt;1080&lt;/codeEdi&gt;&lt;/cellule&gt;</v>
      </c>
    </row>
    <row r="10905" spans="1:1" x14ac:dyDescent="0.2">
      <c r="A10905" s="996" t="str">
        <f>CONCATENATE(Programme!D10906,Programme!E10906,Programme!F10906,Programme!G10906,Programme!H10906,Programme!I10906,Programme!J10906)</f>
        <v>&lt;valeur&gt;&lt;/valeur&gt;</v>
      </c>
    </row>
    <row r="10906" spans="1:1" x14ac:dyDescent="0.2">
      <c r="A10906" s="996" t="str">
        <f>CONCATENATE(Programme!D10907,Programme!E10907,Programme!F10907,Programme!G10907,Programme!H10907,Programme!I10907,Programme!J10907)</f>
        <v>&lt;numeroLigne&gt;55&lt;/numeroLigne&gt;</v>
      </c>
    </row>
    <row r="10907" spans="1:1" x14ac:dyDescent="0.2">
      <c r="A10907" s="996" t="str">
        <f>CONCATENATE(Programme!D10908,Programme!E10908,Programme!F10908,Programme!G10908,Programme!H10908,Programme!I10908,Programme!J10908)</f>
        <v>&lt;/ValeurCellule&gt;</v>
      </c>
    </row>
    <row r="10908" spans="1:1" x14ac:dyDescent="0.2">
      <c r="A10908" s="996" t="str">
        <f>CONCATENATE(Programme!D10909,Programme!E10909,Programme!F10909,Programme!G10909,Programme!H10909,Programme!I10909,Programme!J10909)</f>
        <v>&lt;ValeurCellule&gt;</v>
      </c>
    </row>
    <row r="10909" spans="1:1" x14ac:dyDescent="0.2">
      <c r="A10909" s="996" t="str">
        <f>CONCATENATE(Programme!D10910,Programme!E10910,Programme!F10910,Programme!G10910,Programme!H10910,Programme!I10910,Programme!J10910)</f>
        <v>&lt;cellule&gt;&lt;codeEdi&gt;1081&lt;/codeEdi&gt;&lt;/cellule&gt;</v>
      </c>
    </row>
    <row r="10910" spans="1:1" x14ac:dyDescent="0.2">
      <c r="A10910" s="996" t="str">
        <f>CONCATENATE(Programme!D10911,Programme!E10911,Programme!F10911,Programme!G10911,Programme!H10911,Programme!I10911,Programme!J10911)</f>
        <v>&lt;valeur&gt;&lt;/valeur&gt;</v>
      </c>
    </row>
    <row r="10911" spans="1:1" x14ac:dyDescent="0.2">
      <c r="A10911" s="996" t="str">
        <f>CONCATENATE(Programme!D10912,Programme!E10912,Programme!F10912,Programme!G10912,Programme!H10912,Programme!I10912,Programme!J10912)</f>
        <v>&lt;numeroLigne&gt;55&lt;/numeroLigne&gt;</v>
      </c>
    </row>
    <row r="10912" spans="1:1" x14ac:dyDescent="0.2">
      <c r="A10912" s="996" t="str">
        <f>CONCATENATE(Programme!D10913,Programme!E10913,Programme!F10913,Programme!G10913,Programme!H10913,Programme!I10913,Programme!J10913)</f>
        <v>&lt;/ValeurCellule&gt;</v>
      </c>
    </row>
    <row r="10913" spans="1:1" x14ac:dyDescent="0.2">
      <c r="A10913" s="996" t="str">
        <f>CONCATENATE(Programme!D10914,Programme!E10914,Programme!F10914,Programme!G10914,Programme!H10914,Programme!I10914,Programme!J10914)</f>
        <v>&lt;ValeurCellule&gt;</v>
      </c>
    </row>
    <row r="10914" spans="1:1" x14ac:dyDescent="0.2">
      <c r="A10914" s="996" t="str">
        <f>CONCATENATE(Programme!D10915,Programme!E10915,Programme!F10915,Programme!G10915,Programme!H10915,Programme!I10915,Programme!J10915)</f>
        <v>&lt;cellule&gt;&lt;codeEdi&gt;1082&lt;/codeEdi&gt;&lt;/cellule&gt;</v>
      </c>
    </row>
    <row r="10915" spans="1:1" x14ac:dyDescent="0.2">
      <c r="A10915" s="996" t="str">
        <f>CONCATENATE(Programme!D10916,Programme!E10916,Programme!F10916,Programme!G10916,Programme!H10916,Programme!I10916,Programme!J10916)</f>
        <v>&lt;valeur&gt;&lt;/valeur&gt;</v>
      </c>
    </row>
    <row r="10916" spans="1:1" x14ac:dyDescent="0.2">
      <c r="A10916" s="996" t="str">
        <f>CONCATENATE(Programme!D10917,Programme!E10917,Programme!F10917,Programme!G10917,Programme!H10917,Programme!I10917,Programme!J10917)</f>
        <v>&lt;numeroLigne&gt;55&lt;/numeroLigne&gt;</v>
      </c>
    </row>
    <row r="10917" spans="1:1" x14ac:dyDescent="0.2">
      <c r="A10917" s="996" t="str">
        <f>CONCATENATE(Programme!D10918,Programme!E10918,Programme!F10918,Programme!G10918,Programme!H10918,Programme!I10918,Programme!J10918)</f>
        <v>&lt;/ValeurCellule&gt;</v>
      </c>
    </row>
    <row r="10918" spans="1:1" x14ac:dyDescent="0.2">
      <c r="A10918" s="996" t="str">
        <f>CONCATENATE(Programme!D10919,Programme!E10919,Programme!F10919,Programme!G10919,Programme!H10919,Programme!I10919,Programme!J10919)</f>
        <v>&lt;ValeurCellule&gt;</v>
      </c>
    </row>
    <row r="10919" spans="1:1" x14ac:dyDescent="0.2">
      <c r="A10919" s="996" t="str">
        <f>CONCATENATE(Programme!D10920,Programme!E10920,Programme!F10920,Programme!G10920,Programme!H10920,Programme!I10920,Programme!J10920)</f>
        <v>&lt;cellule&gt;&lt;codeEdi&gt;1083&lt;/codeEdi&gt;&lt;/cellule&gt;</v>
      </c>
    </row>
    <row r="10920" spans="1:1" x14ac:dyDescent="0.2">
      <c r="A10920" s="996" t="str">
        <f>CONCATENATE(Programme!D10921,Programme!E10921,Programme!F10921,Programme!G10921,Programme!H10921,Programme!I10921,Programme!J10921)</f>
        <v>&lt;valeur&gt;&lt;/valeur&gt;</v>
      </c>
    </row>
    <row r="10921" spans="1:1" x14ac:dyDescent="0.2">
      <c r="A10921" s="996" t="str">
        <f>CONCATENATE(Programme!D10922,Programme!E10922,Programme!F10922,Programme!G10922,Programme!H10922,Programme!I10922,Programme!J10922)</f>
        <v>&lt;numeroLigne&gt;55&lt;/numeroLigne&gt;</v>
      </c>
    </row>
    <row r="10922" spans="1:1" x14ac:dyDescent="0.2">
      <c r="A10922" s="996" t="str">
        <f>CONCATENATE(Programme!D10923,Programme!E10923,Programme!F10923,Programme!G10923,Programme!H10923,Programme!I10923,Programme!J10923)</f>
        <v>&lt;/ValeurCellule&gt;</v>
      </c>
    </row>
    <row r="10923" spans="1:1" x14ac:dyDescent="0.2">
      <c r="A10923" s="996" t="str">
        <f>CONCATENATE(Programme!D10924,Programme!E10924,Programme!F10924,Programme!G10924,Programme!H10924,Programme!I10924,Programme!J10924)</f>
        <v>&lt;ValeurCellule&gt;</v>
      </c>
    </row>
    <row r="10924" spans="1:1" x14ac:dyDescent="0.2">
      <c r="A10924" s="996" t="str">
        <f>CONCATENATE(Programme!D10925,Programme!E10925,Programme!F10925,Programme!G10925,Programme!H10925,Programme!I10925,Programme!J10925)</f>
        <v>&lt;cellule&gt;&lt;codeEdi&gt;1084&lt;/codeEdi&gt;&lt;/cellule&gt;</v>
      </c>
    </row>
    <row r="10925" spans="1:1" x14ac:dyDescent="0.2">
      <c r="A10925" s="996" t="str">
        <f>CONCATENATE(Programme!D10926,Programme!E10926,Programme!F10926,Programme!G10926,Programme!H10926,Programme!I10926,Programme!J10926)</f>
        <v>&lt;valeur&gt;&lt;/valeur&gt;</v>
      </c>
    </row>
    <row r="10926" spans="1:1" x14ac:dyDescent="0.2">
      <c r="A10926" s="996" t="str">
        <f>CONCATENATE(Programme!D10927,Programme!E10927,Programme!F10927,Programme!G10927,Programme!H10927,Programme!I10927,Programme!J10927)</f>
        <v>&lt;numeroLigne&gt;55&lt;/numeroLigne&gt;</v>
      </c>
    </row>
    <row r="10927" spans="1:1" x14ac:dyDescent="0.2">
      <c r="A10927" s="996" t="str">
        <f>CONCATENATE(Programme!D10928,Programme!E10928,Programme!F10928,Programme!G10928,Programme!H10928,Programme!I10928,Programme!J10928)</f>
        <v>&lt;/ValeurCellule&gt;</v>
      </c>
    </row>
    <row r="10928" spans="1:1" x14ac:dyDescent="0.2">
      <c r="A10928" s="996" t="str">
        <f>CONCATENATE(Programme!D10929,Programme!E10929,Programme!F10929,Programme!G10929,Programme!H10929,Programme!I10929,Programme!J10929)</f>
        <v>&lt;ValeurCellule&gt;</v>
      </c>
    </row>
    <row r="10929" spans="1:1" x14ac:dyDescent="0.2">
      <c r="A10929" s="996" t="str">
        <f>CONCATENATE(Programme!D10930,Programme!E10930,Programme!F10930,Programme!G10930,Programme!H10930,Programme!I10930,Programme!J10930)</f>
        <v>&lt;cellule&gt;&lt;codeEdi&gt;1085&lt;/codeEdi&gt;&lt;/cellule&gt;</v>
      </c>
    </row>
    <row r="10930" spans="1:1" x14ac:dyDescent="0.2">
      <c r="A10930" s="996" t="str">
        <f>CONCATENATE(Programme!D10931,Programme!E10931,Programme!F10931,Programme!G10931,Programme!H10931,Programme!I10931,Programme!J10931)</f>
        <v>&lt;valeur&gt;&lt;/valeur&gt;</v>
      </c>
    </row>
    <row r="10931" spans="1:1" x14ac:dyDescent="0.2">
      <c r="A10931" s="996" t="str">
        <f>CONCATENATE(Programme!D10932,Programme!E10932,Programme!F10932,Programme!G10932,Programme!H10932,Programme!I10932,Programme!J10932)</f>
        <v>&lt;numeroLigne&gt;55&lt;/numeroLigne&gt;</v>
      </c>
    </row>
    <row r="10932" spans="1:1" x14ac:dyDescent="0.2">
      <c r="A10932" s="996" t="str">
        <f>CONCATENATE(Programme!D10933,Programme!E10933,Programme!F10933,Programme!G10933,Programme!H10933,Programme!I10933,Programme!J10933)</f>
        <v>&lt;/ValeurCellule&gt;</v>
      </c>
    </row>
    <row r="10933" spans="1:1" x14ac:dyDescent="0.2">
      <c r="A10933" s="996" t="str">
        <f>CONCATENATE(Programme!D10934,Programme!E10934,Programme!F10934,Programme!G10934,Programme!H10934,Programme!I10934,Programme!J10934)</f>
        <v>&lt;ValeurCellule&gt;</v>
      </c>
    </row>
    <row r="10934" spans="1:1" x14ac:dyDescent="0.2">
      <c r="A10934" s="996" t="str">
        <f>CONCATENATE(Programme!D10935,Programme!E10935,Programme!F10935,Programme!G10935,Programme!H10935,Programme!I10935,Programme!J10935)</f>
        <v>&lt;cellule&gt;&lt;codeEdi&gt;1086&lt;/codeEdi&gt;&lt;/cellule&gt;</v>
      </c>
    </row>
    <row r="10935" spans="1:1" x14ac:dyDescent="0.2">
      <c r="A10935" s="996" t="str">
        <f>CONCATENATE(Programme!D10936,Programme!E10936,Programme!F10936,Programme!G10936,Programme!H10936,Programme!I10936,Programme!J10936)</f>
        <v>&lt;valeur&gt;&lt;/valeur&gt;</v>
      </c>
    </row>
    <row r="10936" spans="1:1" x14ac:dyDescent="0.2">
      <c r="A10936" s="996" t="str">
        <f>CONCATENATE(Programme!D10937,Programme!E10937,Programme!F10937,Programme!G10937,Programme!H10937,Programme!I10937,Programme!J10937)</f>
        <v>&lt;numeroLigne&gt;55&lt;/numeroLigne&gt;</v>
      </c>
    </row>
    <row r="10937" spans="1:1" x14ac:dyDescent="0.2">
      <c r="A10937" s="996" t="str">
        <f>CONCATENATE(Programme!D10938,Programme!E10938,Programme!F10938,Programme!G10938,Programme!H10938,Programme!I10938,Programme!J10938)</f>
        <v>&lt;/ValeurCellule&gt;</v>
      </c>
    </row>
    <row r="10938" spans="1:1" x14ac:dyDescent="0.2">
      <c r="A10938" s="996" t="str">
        <f>CONCATENATE(Programme!D10939,Programme!E10939,Programme!F10939,Programme!G10939,Programme!H10939,Programme!I10939,Programme!J10939)</f>
        <v>&lt;ValeurCellule&gt;</v>
      </c>
    </row>
    <row r="10939" spans="1:1" x14ac:dyDescent="0.2">
      <c r="A10939" s="996" t="str">
        <f>CONCATENATE(Programme!D10940,Programme!E10940,Programme!F10940,Programme!G10940,Programme!H10940,Programme!I10940,Programme!J10940)</f>
        <v>&lt;cellule&gt;&lt;codeEdi&gt;10061&lt;/codeEdi&gt;&lt;/cellule&gt;</v>
      </c>
    </row>
    <row r="10940" spans="1:1" x14ac:dyDescent="0.2">
      <c r="A10940" s="996" t="str">
        <f>CONCATENATE(Programme!D10941,Programme!E10941,Programme!F10941,Programme!G10941,Programme!H10941,Programme!I10941,Programme!J10941)</f>
        <v>&lt;valeur&gt;&lt;/valeur&gt;</v>
      </c>
    </row>
    <row r="10941" spans="1:1" x14ac:dyDescent="0.2">
      <c r="A10941" s="996" t="str">
        <f>CONCATENATE(Programme!D10942,Programme!E10942,Programme!F10942,Programme!G10942,Programme!H10942,Programme!I10942,Programme!J10942)</f>
        <v>&lt;numeroLigne&gt;56&lt;/numeroLigne&gt;</v>
      </c>
    </row>
    <row r="10942" spans="1:1" x14ac:dyDescent="0.2">
      <c r="A10942" s="996" t="str">
        <f>CONCATENATE(Programme!D10943,Programme!E10943,Programme!F10943,Programme!G10943,Programme!H10943,Programme!I10943,Programme!J10943)</f>
        <v>&lt;/ValeurCellule&gt;</v>
      </c>
    </row>
    <row r="10943" spans="1:1" x14ac:dyDescent="0.2">
      <c r="A10943" s="996" t="str">
        <f>CONCATENATE(Programme!D10944,Programme!E10944,Programme!F10944,Programme!G10944,Programme!H10944,Programme!I10944,Programme!J10944)</f>
        <v>&lt;ValeurCellule&gt;</v>
      </c>
    </row>
    <row r="10944" spans="1:1" x14ac:dyDescent="0.2">
      <c r="A10944" s="996" t="str">
        <f>CONCATENATE(Programme!D10945,Programme!E10945,Programme!F10945,Programme!G10945,Programme!H10945,Programme!I10945,Programme!J10945)</f>
        <v>&lt;cellule&gt;&lt;codeEdi&gt;1078&lt;/codeEdi&gt;&lt;/cellule&gt;</v>
      </c>
    </row>
    <row r="10945" spans="1:1" x14ac:dyDescent="0.2">
      <c r="A10945" s="996" t="str">
        <f>CONCATENATE(Programme!D10946,Programme!E10946,Programme!F10946,Programme!G10946,Programme!H10946,Programme!I10946,Programme!J10946)</f>
        <v>&lt;valeur&gt;&lt;/valeur&gt;</v>
      </c>
    </row>
    <row r="10946" spans="1:1" x14ac:dyDescent="0.2">
      <c r="A10946" s="996" t="str">
        <f>CONCATENATE(Programme!D10947,Programme!E10947,Programme!F10947,Programme!G10947,Programme!H10947,Programme!I10947,Programme!J10947)</f>
        <v>&lt;numeroLigne&gt;56&lt;/numeroLigne&gt;</v>
      </c>
    </row>
    <row r="10947" spans="1:1" x14ac:dyDescent="0.2">
      <c r="A10947" s="996" t="str">
        <f>CONCATENATE(Programme!D10948,Programme!E10948,Programme!F10948,Programme!G10948,Programme!H10948,Programme!I10948,Programme!J10948)</f>
        <v>&lt;/ValeurCellule&gt;</v>
      </c>
    </row>
    <row r="10948" spans="1:1" x14ac:dyDescent="0.2">
      <c r="A10948" s="996" t="str">
        <f>CONCATENATE(Programme!D10949,Programme!E10949,Programme!F10949,Programme!G10949,Programme!H10949,Programme!I10949,Programme!J10949)</f>
        <v>&lt;ValeurCellule&gt;</v>
      </c>
    </row>
    <row r="10949" spans="1:1" x14ac:dyDescent="0.2">
      <c r="A10949" s="996" t="str">
        <f>CONCATENATE(Programme!D10950,Programme!E10950,Programme!F10950,Programme!G10950,Programme!H10950,Programme!I10950,Programme!J10950)</f>
        <v>&lt;cellule&gt;&lt;codeEdi&gt;1079&lt;/codeEdi&gt;&lt;/cellule&gt;</v>
      </c>
    </row>
    <row r="10950" spans="1:1" x14ac:dyDescent="0.2">
      <c r="A10950" s="996" t="str">
        <f>CONCATENATE(Programme!D10951,Programme!E10951,Programme!F10951,Programme!G10951,Programme!H10951,Programme!I10951,Programme!J10951)</f>
        <v>&lt;valeur&gt;&lt;/valeur&gt;</v>
      </c>
    </row>
    <row r="10951" spans="1:1" x14ac:dyDescent="0.2">
      <c r="A10951" s="996" t="str">
        <f>CONCATENATE(Programme!D10952,Programme!E10952,Programme!F10952,Programme!G10952,Programme!H10952,Programme!I10952,Programme!J10952)</f>
        <v>&lt;numeroLigne&gt;56&lt;/numeroLigne&gt;</v>
      </c>
    </row>
    <row r="10952" spans="1:1" x14ac:dyDescent="0.2">
      <c r="A10952" s="996" t="str">
        <f>CONCATENATE(Programme!D10953,Programme!E10953,Programme!F10953,Programme!G10953,Programme!H10953,Programme!I10953,Programme!J10953)</f>
        <v>&lt;/ValeurCellule&gt;</v>
      </c>
    </row>
    <row r="10953" spans="1:1" x14ac:dyDescent="0.2">
      <c r="A10953" s="996" t="str">
        <f>CONCATENATE(Programme!D10954,Programme!E10954,Programme!F10954,Programme!G10954,Programme!H10954,Programme!I10954,Programme!J10954)</f>
        <v>&lt;ValeurCellule&gt;</v>
      </c>
    </row>
    <row r="10954" spans="1:1" x14ac:dyDescent="0.2">
      <c r="A10954" s="996" t="str">
        <f>CONCATENATE(Programme!D10955,Programme!E10955,Programme!F10955,Programme!G10955,Programme!H10955,Programme!I10955,Programme!J10955)</f>
        <v>&lt;cellule&gt;&lt;codeEdi&gt;1080&lt;/codeEdi&gt;&lt;/cellule&gt;</v>
      </c>
    </row>
    <row r="10955" spans="1:1" x14ac:dyDescent="0.2">
      <c r="A10955" s="996" t="str">
        <f>CONCATENATE(Programme!D10956,Programme!E10956,Programme!F10956,Programme!G10956,Programme!H10956,Programme!I10956,Programme!J10956)</f>
        <v>&lt;valeur&gt;&lt;/valeur&gt;</v>
      </c>
    </row>
    <row r="10956" spans="1:1" x14ac:dyDescent="0.2">
      <c r="A10956" s="996" t="str">
        <f>CONCATENATE(Programme!D10957,Programme!E10957,Programme!F10957,Programme!G10957,Programme!H10957,Programme!I10957,Programme!J10957)</f>
        <v>&lt;numeroLigne&gt;56&lt;/numeroLigne&gt;</v>
      </c>
    </row>
    <row r="10957" spans="1:1" x14ac:dyDescent="0.2">
      <c r="A10957" s="996" t="str">
        <f>CONCATENATE(Programme!D10958,Programme!E10958,Programme!F10958,Programme!G10958,Programme!H10958,Programme!I10958,Programme!J10958)</f>
        <v>&lt;/ValeurCellule&gt;</v>
      </c>
    </row>
    <row r="10958" spans="1:1" x14ac:dyDescent="0.2">
      <c r="A10958" s="996" t="str">
        <f>CONCATENATE(Programme!D10959,Programme!E10959,Programme!F10959,Programme!G10959,Programme!H10959,Programme!I10959,Programme!J10959)</f>
        <v>&lt;ValeurCellule&gt;</v>
      </c>
    </row>
    <row r="10959" spans="1:1" x14ac:dyDescent="0.2">
      <c r="A10959" s="996" t="str">
        <f>CONCATENATE(Programme!D10960,Programme!E10960,Programme!F10960,Programme!G10960,Programme!H10960,Programme!I10960,Programme!J10960)</f>
        <v>&lt;cellule&gt;&lt;codeEdi&gt;1081&lt;/codeEdi&gt;&lt;/cellule&gt;</v>
      </c>
    </row>
    <row r="10960" spans="1:1" x14ac:dyDescent="0.2">
      <c r="A10960" s="996" t="str">
        <f>CONCATENATE(Programme!D10961,Programme!E10961,Programme!F10961,Programme!G10961,Programme!H10961,Programme!I10961,Programme!J10961)</f>
        <v>&lt;valeur&gt;&lt;/valeur&gt;</v>
      </c>
    </row>
    <row r="10961" spans="1:1" x14ac:dyDescent="0.2">
      <c r="A10961" s="996" t="str">
        <f>CONCATENATE(Programme!D10962,Programme!E10962,Programme!F10962,Programme!G10962,Programme!H10962,Programme!I10962,Programme!J10962)</f>
        <v>&lt;numeroLigne&gt;56&lt;/numeroLigne&gt;</v>
      </c>
    </row>
    <row r="10962" spans="1:1" x14ac:dyDescent="0.2">
      <c r="A10962" s="996" t="str">
        <f>CONCATENATE(Programme!D10963,Programme!E10963,Programme!F10963,Programme!G10963,Programme!H10963,Programme!I10963,Programme!J10963)</f>
        <v>&lt;/ValeurCellule&gt;</v>
      </c>
    </row>
    <row r="10963" spans="1:1" x14ac:dyDescent="0.2">
      <c r="A10963" s="996" t="str">
        <f>CONCATENATE(Programme!D10964,Programme!E10964,Programme!F10964,Programme!G10964,Programme!H10964,Programme!I10964,Programme!J10964)</f>
        <v>&lt;ValeurCellule&gt;</v>
      </c>
    </row>
    <row r="10964" spans="1:1" x14ac:dyDescent="0.2">
      <c r="A10964" s="996" t="str">
        <f>CONCATENATE(Programme!D10965,Programme!E10965,Programme!F10965,Programme!G10965,Programme!H10965,Programme!I10965,Programme!J10965)</f>
        <v>&lt;cellule&gt;&lt;codeEdi&gt;1082&lt;/codeEdi&gt;&lt;/cellule&gt;</v>
      </c>
    </row>
    <row r="10965" spans="1:1" x14ac:dyDescent="0.2">
      <c r="A10965" s="996" t="str">
        <f>CONCATENATE(Programme!D10966,Programme!E10966,Programme!F10966,Programme!G10966,Programme!H10966,Programme!I10966,Programme!J10966)</f>
        <v>&lt;valeur&gt;&lt;/valeur&gt;</v>
      </c>
    </row>
    <row r="10966" spans="1:1" x14ac:dyDescent="0.2">
      <c r="A10966" s="996" t="str">
        <f>CONCATENATE(Programme!D10967,Programme!E10967,Programme!F10967,Programme!G10967,Programme!H10967,Programme!I10967,Programme!J10967)</f>
        <v>&lt;numeroLigne&gt;56&lt;/numeroLigne&gt;</v>
      </c>
    </row>
    <row r="10967" spans="1:1" x14ac:dyDescent="0.2">
      <c r="A10967" s="996" t="str">
        <f>CONCATENATE(Programme!D10968,Programme!E10968,Programme!F10968,Programme!G10968,Programme!H10968,Programme!I10968,Programme!J10968)</f>
        <v>&lt;/ValeurCellule&gt;</v>
      </c>
    </row>
    <row r="10968" spans="1:1" x14ac:dyDescent="0.2">
      <c r="A10968" s="996" t="str">
        <f>CONCATENATE(Programme!D10969,Programme!E10969,Programme!F10969,Programme!G10969,Programme!H10969,Programme!I10969,Programme!J10969)</f>
        <v>&lt;ValeurCellule&gt;</v>
      </c>
    </row>
    <row r="10969" spans="1:1" x14ac:dyDescent="0.2">
      <c r="A10969" s="996" t="str">
        <f>CONCATENATE(Programme!D10970,Programme!E10970,Programme!F10970,Programme!G10970,Programme!H10970,Programme!I10970,Programme!J10970)</f>
        <v>&lt;cellule&gt;&lt;codeEdi&gt;1083&lt;/codeEdi&gt;&lt;/cellule&gt;</v>
      </c>
    </row>
    <row r="10970" spans="1:1" x14ac:dyDescent="0.2">
      <c r="A10970" s="996" t="str">
        <f>CONCATENATE(Programme!D10971,Programme!E10971,Programme!F10971,Programme!G10971,Programme!H10971,Programme!I10971,Programme!J10971)</f>
        <v>&lt;valeur&gt;&lt;/valeur&gt;</v>
      </c>
    </row>
    <row r="10971" spans="1:1" x14ac:dyDescent="0.2">
      <c r="A10971" s="996" t="str">
        <f>CONCATENATE(Programme!D10972,Programme!E10972,Programme!F10972,Programme!G10972,Programme!H10972,Programme!I10972,Programme!J10972)</f>
        <v>&lt;numeroLigne&gt;56&lt;/numeroLigne&gt;</v>
      </c>
    </row>
    <row r="10972" spans="1:1" x14ac:dyDescent="0.2">
      <c r="A10972" s="996" t="str">
        <f>CONCATENATE(Programme!D10973,Programme!E10973,Programme!F10973,Programme!G10973,Programme!H10973,Programme!I10973,Programme!J10973)</f>
        <v>&lt;/ValeurCellule&gt;</v>
      </c>
    </row>
    <row r="10973" spans="1:1" x14ac:dyDescent="0.2">
      <c r="A10973" s="996" t="str">
        <f>CONCATENATE(Programme!D10974,Programme!E10974,Programme!F10974,Programme!G10974,Programme!H10974,Programme!I10974,Programme!J10974)</f>
        <v>&lt;ValeurCellule&gt;</v>
      </c>
    </row>
    <row r="10974" spans="1:1" x14ac:dyDescent="0.2">
      <c r="A10974" s="996" t="str">
        <f>CONCATENATE(Programme!D10975,Programme!E10975,Programme!F10975,Programme!G10975,Programme!H10975,Programme!I10975,Programme!J10975)</f>
        <v>&lt;cellule&gt;&lt;codeEdi&gt;1084&lt;/codeEdi&gt;&lt;/cellule&gt;</v>
      </c>
    </row>
    <row r="10975" spans="1:1" x14ac:dyDescent="0.2">
      <c r="A10975" s="996" t="str">
        <f>CONCATENATE(Programme!D10976,Programme!E10976,Programme!F10976,Programme!G10976,Programme!H10976,Programme!I10976,Programme!J10976)</f>
        <v>&lt;valeur&gt;&lt;/valeur&gt;</v>
      </c>
    </row>
    <row r="10976" spans="1:1" x14ac:dyDescent="0.2">
      <c r="A10976" s="996" t="str">
        <f>CONCATENATE(Programme!D10977,Programme!E10977,Programme!F10977,Programme!G10977,Programme!H10977,Programme!I10977,Programme!J10977)</f>
        <v>&lt;numeroLigne&gt;56&lt;/numeroLigne&gt;</v>
      </c>
    </row>
    <row r="10977" spans="1:1" x14ac:dyDescent="0.2">
      <c r="A10977" s="996" t="str">
        <f>CONCATENATE(Programme!D10978,Programme!E10978,Programme!F10978,Programme!G10978,Programme!H10978,Programme!I10978,Programme!J10978)</f>
        <v>&lt;/ValeurCellule&gt;</v>
      </c>
    </row>
    <row r="10978" spans="1:1" x14ac:dyDescent="0.2">
      <c r="A10978" s="996" t="str">
        <f>CONCATENATE(Programme!D10979,Programme!E10979,Programme!F10979,Programme!G10979,Programme!H10979,Programme!I10979,Programme!J10979)</f>
        <v>&lt;ValeurCellule&gt;</v>
      </c>
    </row>
    <row r="10979" spans="1:1" x14ac:dyDescent="0.2">
      <c r="A10979" s="996" t="str">
        <f>CONCATENATE(Programme!D10980,Programme!E10980,Programme!F10980,Programme!G10980,Programme!H10980,Programme!I10980,Programme!J10980)</f>
        <v>&lt;cellule&gt;&lt;codeEdi&gt;1085&lt;/codeEdi&gt;&lt;/cellule&gt;</v>
      </c>
    </row>
    <row r="10980" spans="1:1" x14ac:dyDescent="0.2">
      <c r="A10980" s="996" t="str">
        <f>CONCATENATE(Programme!D10981,Programme!E10981,Programme!F10981,Programme!G10981,Programme!H10981,Programme!I10981,Programme!J10981)</f>
        <v>&lt;valeur&gt;&lt;/valeur&gt;</v>
      </c>
    </row>
    <row r="10981" spans="1:1" x14ac:dyDescent="0.2">
      <c r="A10981" s="996" t="str">
        <f>CONCATENATE(Programme!D10982,Programme!E10982,Programme!F10982,Programme!G10982,Programme!H10982,Programme!I10982,Programme!J10982)</f>
        <v>&lt;numeroLigne&gt;56&lt;/numeroLigne&gt;</v>
      </c>
    </row>
    <row r="10982" spans="1:1" x14ac:dyDescent="0.2">
      <c r="A10982" s="996" t="str">
        <f>CONCATENATE(Programme!D10983,Programme!E10983,Programme!F10983,Programme!G10983,Programme!H10983,Programme!I10983,Programme!J10983)</f>
        <v>&lt;/ValeurCellule&gt;</v>
      </c>
    </row>
    <row r="10983" spans="1:1" x14ac:dyDescent="0.2">
      <c r="A10983" s="996" t="str">
        <f>CONCATENATE(Programme!D10984,Programme!E10984,Programme!F10984,Programme!G10984,Programme!H10984,Programme!I10984,Programme!J10984)</f>
        <v>&lt;ValeurCellule&gt;</v>
      </c>
    </row>
    <row r="10984" spans="1:1" x14ac:dyDescent="0.2">
      <c r="A10984" s="996" t="str">
        <f>CONCATENATE(Programme!D10985,Programme!E10985,Programme!F10985,Programme!G10985,Programme!H10985,Programme!I10985,Programme!J10985)</f>
        <v>&lt;cellule&gt;&lt;codeEdi&gt;1086&lt;/codeEdi&gt;&lt;/cellule&gt;</v>
      </c>
    </row>
    <row r="10985" spans="1:1" x14ac:dyDescent="0.2">
      <c r="A10985" s="996" t="str">
        <f>CONCATENATE(Programme!D10986,Programme!E10986,Programme!F10986,Programme!G10986,Programme!H10986,Programme!I10986,Programme!J10986)</f>
        <v>&lt;valeur&gt;&lt;/valeur&gt;</v>
      </c>
    </row>
    <row r="10986" spans="1:1" x14ac:dyDescent="0.2">
      <c r="A10986" s="996" t="str">
        <f>CONCATENATE(Programme!D10987,Programme!E10987,Programme!F10987,Programme!G10987,Programme!H10987,Programme!I10987,Programme!J10987)</f>
        <v>&lt;numeroLigne&gt;56&lt;/numeroLigne&gt;</v>
      </c>
    </row>
    <row r="10987" spans="1:1" x14ac:dyDescent="0.2">
      <c r="A10987" s="996" t="str">
        <f>CONCATENATE(Programme!D10988,Programme!E10988,Programme!F10988,Programme!G10988,Programme!H10988,Programme!I10988,Programme!J10988)</f>
        <v>&lt;/ValeurCellule&gt;</v>
      </c>
    </row>
    <row r="10988" spans="1:1" x14ac:dyDescent="0.2">
      <c r="A10988" s="996" t="str">
        <f>CONCATENATE(Programme!D10989,Programme!E10989,Programme!F10989,Programme!G10989,Programme!H10989,Programme!I10989,Programme!J10989)</f>
        <v>&lt;ValeurCellule&gt;</v>
      </c>
    </row>
    <row r="10989" spans="1:1" x14ac:dyDescent="0.2">
      <c r="A10989" s="996" t="str">
        <f>CONCATENATE(Programme!D10990,Programme!E10990,Programme!F10990,Programme!G10990,Programme!H10990,Programme!I10990,Programme!J10990)</f>
        <v>&lt;cellule&gt;&lt;codeEdi&gt;10061&lt;/codeEdi&gt;&lt;/cellule&gt;</v>
      </c>
    </row>
    <row r="10990" spans="1:1" x14ac:dyDescent="0.2">
      <c r="A10990" s="996" t="str">
        <f>CONCATENATE(Programme!D10991,Programme!E10991,Programme!F10991,Programme!G10991,Programme!H10991,Programme!I10991,Programme!J10991)</f>
        <v>&lt;valeur&gt;&lt;/valeur&gt;</v>
      </c>
    </row>
    <row r="10991" spans="1:1" x14ac:dyDescent="0.2">
      <c r="A10991" s="996" t="str">
        <f>CONCATENATE(Programme!D10992,Programme!E10992,Programme!F10992,Programme!G10992,Programme!H10992,Programme!I10992,Programme!J10992)</f>
        <v>&lt;numeroLigne&gt;57&lt;/numeroLigne&gt;</v>
      </c>
    </row>
    <row r="10992" spans="1:1" x14ac:dyDescent="0.2">
      <c r="A10992" s="996" t="str">
        <f>CONCATENATE(Programme!D10993,Programme!E10993,Programme!F10993,Programme!G10993,Programme!H10993,Programme!I10993,Programme!J10993)</f>
        <v>&lt;/ValeurCellule&gt;</v>
      </c>
    </row>
    <row r="10993" spans="1:1" x14ac:dyDescent="0.2">
      <c r="A10993" s="996" t="str">
        <f>CONCATENATE(Programme!D10994,Programme!E10994,Programme!F10994,Programme!G10994,Programme!H10994,Programme!I10994,Programme!J10994)</f>
        <v>&lt;ValeurCellule&gt;</v>
      </c>
    </row>
    <row r="10994" spans="1:1" x14ac:dyDescent="0.2">
      <c r="A10994" s="996" t="str">
        <f>CONCATENATE(Programme!D10995,Programme!E10995,Programme!F10995,Programme!G10995,Programme!H10995,Programme!I10995,Programme!J10995)</f>
        <v>&lt;cellule&gt;&lt;codeEdi&gt;1078&lt;/codeEdi&gt;&lt;/cellule&gt;</v>
      </c>
    </row>
    <row r="10995" spans="1:1" x14ac:dyDescent="0.2">
      <c r="A10995" s="996" t="str">
        <f>CONCATENATE(Programme!D10996,Programme!E10996,Programme!F10996,Programme!G10996,Programme!H10996,Programme!I10996,Programme!J10996)</f>
        <v>&lt;valeur&gt;&lt;/valeur&gt;</v>
      </c>
    </row>
    <row r="10996" spans="1:1" x14ac:dyDescent="0.2">
      <c r="A10996" s="996" t="str">
        <f>CONCATENATE(Programme!D10997,Programme!E10997,Programme!F10997,Programme!G10997,Programme!H10997,Programme!I10997,Programme!J10997)</f>
        <v>&lt;numeroLigne&gt;57&lt;/numeroLigne&gt;</v>
      </c>
    </row>
    <row r="10997" spans="1:1" x14ac:dyDescent="0.2">
      <c r="A10997" s="996" t="str">
        <f>CONCATENATE(Programme!D10998,Programme!E10998,Programme!F10998,Programme!G10998,Programme!H10998,Programme!I10998,Programme!J10998)</f>
        <v>&lt;/ValeurCellule&gt;</v>
      </c>
    </row>
    <row r="10998" spans="1:1" x14ac:dyDescent="0.2">
      <c r="A10998" s="996" t="str">
        <f>CONCATENATE(Programme!D10999,Programme!E10999,Programme!F10999,Programme!G10999,Programme!H10999,Programme!I10999,Programme!J10999)</f>
        <v>&lt;ValeurCellule&gt;</v>
      </c>
    </row>
    <row r="10999" spans="1:1" x14ac:dyDescent="0.2">
      <c r="A10999" s="996" t="str">
        <f>CONCATENATE(Programme!D11000,Programme!E11000,Programme!F11000,Programme!G11000,Programme!H11000,Programme!I11000,Programme!J11000)</f>
        <v>&lt;cellule&gt;&lt;codeEdi&gt;1079&lt;/codeEdi&gt;&lt;/cellule&gt;</v>
      </c>
    </row>
    <row r="11000" spans="1:1" x14ac:dyDescent="0.2">
      <c r="A11000" s="996" t="str">
        <f>CONCATENATE(Programme!D11001,Programme!E11001,Programme!F11001,Programme!G11001,Programme!H11001,Programme!I11001,Programme!J11001)</f>
        <v>&lt;valeur&gt;&lt;/valeur&gt;</v>
      </c>
    </row>
    <row r="11001" spans="1:1" x14ac:dyDescent="0.2">
      <c r="A11001" s="996" t="str">
        <f>CONCATENATE(Programme!D11002,Programme!E11002,Programme!F11002,Programme!G11002,Programme!H11002,Programme!I11002,Programme!J11002)</f>
        <v>&lt;numeroLigne&gt;57&lt;/numeroLigne&gt;</v>
      </c>
    </row>
    <row r="11002" spans="1:1" x14ac:dyDescent="0.2">
      <c r="A11002" s="996" t="str">
        <f>CONCATENATE(Programme!D11003,Programme!E11003,Programme!F11003,Programme!G11003,Programme!H11003,Programme!I11003,Programme!J11003)</f>
        <v>&lt;/ValeurCellule&gt;</v>
      </c>
    </row>
    <row r="11003" spans="1:1" x14ac:dyDescent="0.2">
      <c r="A11003" s="996" t="str">
        <f>CONCATENATE(Programme!D11004,Programme!E11004,Programme!F11004,Programme!G11004,Programme!H11004,Programme!I11004,Programme!J11004)</f>
        <v>&lt;ValeurCellule&gt;</v>
      </c>
    </row>
    <row r="11004" spans="1:1" x14ac:dyDescent="0.2">
      <c r="A11004" s="996" t="str">
        <f>CONCATENATE(Programme!D11005,Programme!E11005,Programme!F11005,Programme!G11005,Programme!H11005,Programme!I11005,Programme!J11005)</f>
        <v>&lt;cellule&gt;&lt;codeEdi&gt;1080&lt;/codeEdi&gt;&lt;/cellule&gt;</v>
      </c>
    </row>
    <row r="11005" spans="1:1" x14ac:dyDescent="0.2">
      <c r="A11005" s="996" t="str">
        <f>CONCATENATE(Programme!D11006,Programme!E11006,Programme!F11006,Programme!G11006,Programme!H11006,Programme!I11006,Programme!J11006)</f>
        <v>&lt;valeur&gt;&lt;/valeur&gt;</v>
      </c>
    </row>
    <row r="11006" spans="1:1" x14ac:dyDescent="0.2">
      <c r="A11006" s="996" t="str">
        <f>CONCATENATE(Programme!D11007,Programme!E11007,Programme!F11007,Programme!G11007,Programme!H11007,Programme!I11007,Programme!J11007)</f>
        <v>&lt;numeroLigne&gt;57&lt;/numeroLigne&gt;</v>
      </c>
    </row>
    <row r="11007" spans="1:1" x14ac:dyDescent="0.2">
      <c r="A11007" s="996" t="str">
        <f>CONCATENATE(Programme!D11008,Programme!E11008,Programme!F11008,Programme!G11008,Programme!H11008,Programme!I11008,Programme!J11008)</f>
        <v>&lt;/ValeurCellule&gt;</v>
      </c>
    </row>
    <row r="11008" spans="1:1" x14ac:dyDescent="0.2">
      <c r="A11008" s="996" t="str">
        <f>CONCATENATE(Programme!D11009,Programme!E11009,Programme!F11009,Programme!G11009,Programme!H11009,Programme!I11009,Programme!J11009)</f>
        <v>&lt;ValeurCellule&gt;</v>
      </c>
    </row>
    <row r="11009" spans="1:1" x14ac:dyDescent="0.2">
      <c r="A11009" s="996" t="str">
        <f>CONCATENATE(Programme!D11010,Programme!E11010,Programme!F11010,Programme!G11010,Programme!H11010,Programme!I11010,Programme!J11010)</f>
        <v>&lt;cellule&gt;&lt;codeEdi&gt;1081&lt;/codeEdi&gt;&lt;/cellule&gt;</v>
      </c>
    </row>
    <row r="11010" spans="1:1" x14ac:dyDescent="0.2">
      <c r="A11010" s="996" t="str">
        <f>CONCATENATE(Programme!D11011,Programme!E11011,Programme!F11011,Programme!G11011,Programme!H11011,Programme!I11011,Programme!J11011)</f>
        <v>&lt;valeur&gt;&lt;/valeur&gt;</v>
      </c>
    </row>
    <row r="11011" spans="1:1" x14ac:dyDescent="0.2">
      <c r="A11011" s="996" t="str">
        <f>CONCATENATE(Programme!D11012,Programme!E11012,Programme!F11012,Programme!G11012,Programme!H11012,Programme!I11012,Programme!J11012)</f>
        <v>&lt;numeroLigne&gt;57&lt;/numeroLigne&gt;</v>
      </c>
    </row>
    <row r="11012" spans="1:1" x14ac:dyDescent="0.2">
      <c r="A11012" s="996" t="str">
        <f>CONCATENATE(Programme!D11013,Programme!E11013,Programme!F11013,Programme!G11013,Programme!H11013,Programme!I11013,Programme!J11013)</f>
        <v>&lt;/ValeurCellule&gt;</v>
      </c>
    </row>
    <row r="11013" spans="1:1" x14ac:dyDescent="0.2">
      <c r="A11013" s="996" t="str">
        <f>CONCATENATE(Programme!D11014,Programme!E11014,Programme!F11014,Programme!G11014,Programme!H11014,Programme!I11014,Programme!J11014)</f>
        <v>&lt;ValeurCellule&gt;</v>
      </c>
    </row>
    <row r="11014" spans="1:1" x14ac:dyDescent="0.2">
      <c r="A11014" s="996" t="str">
        <f>CONCATENATE(Programme!D11015,Programme!E11015,Programme!F11015,Programme!G11015,Programme!H11015,Programme!I11015,Programme!J11015)</f>
        <v>&lt;cellule&gt;&lt;codeEdi&gt;1082&lt;/codeEdi&gt;&lt;/cellule&gt;</v>
      </c>
    </row>
    <row r="11015" spans="1:1" x14ac:dyDescent="0.2">
      <c r="A11015" s="996" t="str">
        <f>CONCATENATE(Programme!D11016,Programme!E11016,Programme!F11016,Programme!G11016,Programme!H11016,Programme!I11016,Programme!J11016)</f>
        <v>&lt;valeur&gt;&lt;/valeur&gt;</v>
      </c>
    </row>
    <row r="11016" spans="1:1" x14ac:dyDescent="0.2">
      <c r="A11016" s="996" t="str">
        <f>CONCATENATE(Programme!D11017,Programme!E11017,Programme!F11017,Programme!G11017,Programme!H11017,Programme!I11017,Programme!J11017)</f>
        <v>&lt;numeroLigne&gt;57&lt;/numeroLigne&gt;</v>
      </c>
    </row>
    <row r="11017" spans="1:1" x14ac:dyDescent="0.2">
      <c r="A11017" s="996" t="str">
        <f>CONCATENATE(Programme!D11018,Programme!E11018,Programme!F11018,Programme!G11018,Programme!H11018,Programme!I11018,Programme!J11018)</f>
        <v>&lt;/ValeurCellule&gt;</v>
      </c>
    </row>
    <row r="11018" spans="1:1" x14ac:dyDescent="0.2">
      <c r="A11018" s="996" t="str">
        <f>CONCATENATE(Programme!D11019,Programme!E11019,Programme!F11019,Programme!G11019,Programme!H11019,Programme!I11019,Programme!J11019)</f>
        <v>&lt;ValeurCellule&gt;</v>
      </c>
    </row>
    <row r="11019" spans="1:1" x14ac:dyDescent="0.2">
      <c r="A11019" s="996" t="str">
        <f>CONCATENATE(Programme!D11020,Programme!E11020,Programme!F11020,Programme!G11020,Programme!H11020,Programme!I11020,Programme!J11020)</f>
        <v>&lt;cellule&gt;&lt;codeEdi&gt;1083&lt;/codeEdi&gt;&lt;/cellule&gt;</v>
      </c>
    </row>
    <row r="11020" spans="1:1" x14ac:dyDescent="0.2">
      <c r="A11020" s="996" t="str">
        <f>CONCATENATE(Programme!D11021,Programme!E11021,Programme!F11021,Programme!G11021,Programme!H11021,Programme!I11021,Programme!J11021)</f>
        <v>&lt;valeur&gt;&lt;/valeur&gt;</v>
      </c>
    </row>
    <row r="11021" spans="1:1" x14ac:dyDescent="0.2">
      <c r="A11021" s="996" t="str">
        <f>CONCATENATE(Programme!D11022,Programme!E11022,Programme!F11022,Programme!G11022,Programme!H11022,Programme!I11022,Programme!J11022)</f>
        <v>&lt;numeroLigne&gt;57&lt;/numeroLigne&gt;</v>
      </c>
    </row>
    <row r="11022" spans="1:1" x14ac:dyDescent="0.2">
      <c r="A11022" s="996" t="str">
        <f>CONCATENATE(Programme!D11023,Programme!E11023,Programme!F11023,Programme!G11023,Programme!H11023,Programme!I11023,Programme!J11023)</f>
        <v>&lt;/ValeurCellule&gt;</v>
      </c>
    </row>
    <row r="11023" spans="1:1" x14ac:dyDescent="0.2">
      <c r="A11023" s="996" t="str">
        <f>CONCATENATE(Programme!D11024,Programme!E11024,Programme!F11024,Programme!G11024,Programme!H11024,Programme!I11024,Programme!J11024)</f>
        <v>&lt;ValeurCellule&gt;</v>
      </c>
    </row>
    <row r="11024" spans="1:1" x14ac:dyDescent="0.2">
      <c r="A11024" s="996" t="str">
        <f>CONCATENATE(Programme!D11025,Programme!E11025,Programme!F11025,Programme!G11025,Programme!H11025,Programme!I11025,Programme!J11025)</f>
        <v>&lt;cellule&gt;&lt;codeEdi&gt;1084&lt;/codeEdi&gt;&lt;/cellule&gt;</v>
      </c>
    </row>
    <row r="11025" spans="1:1" x14ac:dyDescent="0.2">
      <c r="A11025" s="996" t="str">
        <f>CONCATENATE(Programme!D11026,Programme!E11026,Programme!F11026,Programme!G11026,Programme!H11026,Programme!I11026,Programme!J11026)</f>
        <v>&lt;valeur&gt;&lt;/valeur&gt;</v>
      </c>
    </row>
    <row r="11026" spans="1:1" x14ac:dyDescent="0.2">
      <c r="A11026" s="996" t="str">
        <f>CONCATENATE(Programme!D11027,Programme!E11027,Programme!F11027,Programme!G11027,Programme!H11027,Programme!I11027,Programme!J11027)</f>
        <v>&lt;numeroLigne&gt;57&lt;/numeroLigne&gt;</v>
      </c>
    </row>
    <row r="11027" spans="1:1" x14ac:dyDescent="0.2">
      <c r="A11027" s="996" t="str">
        <f>CONCATENATE(Programme!D11028,Programme!E11028,Programme!F11028,Programme!G11028,Programme!H11028,Programme!I11028,Programme!J11028)</f>
        <v>&lt;/ValeurCellule&gt;</v>
      </c>
    </row>
    <row r="11028" spans="1:1" x14ac:dyDescent="0.2">
      <c r="A11028" s="996" t="str">
        <f>CONCATENATE(Programme!D11029,Programme!E11029,Programme!F11029,Programme!G11029,Programme!H11029,Programme!I11029,Programme!J11029)</f>
        <v>&lt;ValeurCellule&gt;</v>
      </c>
    </row>
    <row r="11029" spans="1:1" x14ac:dyDescent="0.2">
      <c r="A11029" s="996" t="str">
        <f>CONCATENATE(Programme!D11030,Programme!E11030,Programme!F11030,Programme!G11030,Programme!H11030,Programme!I11030,Programme!J11030)</f>
        <v>&lt;cellule&gt;&lt;codeEdi&gt;1085&lt;/codeEdi&gt;&lt;/cellule&gt;</v>
      </c>
    </row>
    <row r="11030" spans="1:1" x14ac:dyDescent="0.2">
      <c r="A11030" s="996" t="str">
        <f>CONCATENATE(Programme!D11031,Programme!E11031,Programme!F11031,Programme!G11031,Programme!H11031,Programme!I11031,Programme!J11031)</f>
        <v>&lt;valeur&gt;&lt;/valeur&gt;</v>
      </c>
    </row>
    <row r="11031" spans="1:1" x14ac:dyDescent="0.2">
      <c r="A11031" s="996" t="str">
        <f>CONCATENATE(Programme!D11032,Programme!E11032,Programme!F11032,Programme!G11032,Programme!H11032,Programme!I11032,Programme!J11032)</f>
        <v>&lt;numeroLigne&gt;57&lt;/numeroLigne&gt;</v>
      </c>
    </row>
    <row r="11032" spans="1:1" x14ac:dyDescent="0.2">
      <c r="A11032" s="996" t="str">
        <f>CONCATENATE(Programme!D11033,Programme!E11033,Programme!F11033,Programme!G11033,Programme!H11033,Programme!I11033,Programme!J11033)</f>
        <v>&lt;/ValeurCellule&gt;</v>
      </c>
    </row>
    <row r="11033" spans="1:1" x14ac:dyDescent="0.2">
      <c r="A11033" s="996" t="str">
        <f>CONCATENATE(Programme!D11034,Programme!E11034,Programme!F11034,Programme!G11034,Programme!H11034,Programme!I11034,Programme!J11034)</f>
        <v>&lt;ValeurCellule&gt;</v>
      </c>
    </row>
    <row r="11034" spans="1:1" x14ac:dyDescent="0.2">
      <c r="A11034" s="996" t="str">
        <f>CONCATENATE(Programme!D11035,Programme!E11035,Programme!F11035,Programme!G11035,Programme!H11035,Programme!I11035,Programme!J11035)</f>
        <v>&lt;cellule&gt;&lt;codeEdi&gt;1086&lt;/codeEdi&gt;&lt;/cellule&gt;</v>
      </c>
    </row>
    <row r="11035" spans="1:1" x14ac:dyDescent="0.2">
      <c r="A11035" s="996" t="str">
        <f>CONCATENATE(Programme!D11036,Programme!E11036,Programme!F11036,Programme!G11036,Programme!H11036,Programme!I11036,Programme!J11036)</f>
        <v>&lt;valeur&gt;&lt;/valeur&gt;</v>
      </c>
    </row>
    <row r="11036" spans="1:1" x14ac:dyDescent="0.2">
      <c r="A11036" s="996" t="str">
        <f>CONCATENATE(Programme!D11037,Programme!E11037,Programme!F11037,Programme!G11037,Programme!H11037,Programme!I11037,Programme!J11037)</f>
        <v>&lt;numeroLigne&gt;57&lt;/numeroLigne&gt;</v>
      </c>
    </row>
    <row r="11037" spans="1:1" x14ac:dyDescent="0.2">
      <c r="A11037" s="996" t="str">
        <f>CONCATENATE(Programme!D11038,Programme!E11038,Programme!F11038,Programme!G11038,Programme!H11038,Programme!I11038,Programme!J11038)</f>
        <v>&lt;/ValeurCellule&gt;</v>
      </c>
    </row>
    <row r="11038" spans="1:1" x14ac:dyDescent="0.2">
      <c r="A11038" s="996" t="str">
        <f>CONCATENATE(Programme!D11039,Programme!E11039,Programme!F11039,Programme!G11039,Programme!H11039,Programme!I11039,Programme!J11039)</f>
        <v>&lt;ValeurCellule&gt;</v>
      </c>
    </row>
    <row r="11039" spans="1:1" x14ac:dyDescent="0.2">
      <c r="A11039" s="996" t="str">
        <f>CONCATENATE(Programme!D11040,Programme!E11040,Programme!F11040,Programme!G11040,Programme!H11040,Programme!I11040,Programme!J11040)</f>
        <v>&lt;cellule&gt;&lt;codeEdi&gt;10061&lt;/codeEdi&gt;&lt;/cellule&gt;</v>
      </c>
    </row>
    <row r="11040" spans="1:1" x14ac:dyDescent="0.2">
      <c r="A11040" s="996" t="str">
        <f>CONCATENATE(Programme!D11041,Programme!E11041,Programme!F11041,Programme!G11041,Programme!H11041,Programme!I11041,Programme!J11041)</f>
        <v>&lt;valeur&gt;&lt;/valeur&gt;</v>
      </c>
    </row>
    <row r="11041" spans="1:1" x14ac:dyDescent="0.2">
      <c r="A11041" s="996" t="str">
        <f>CONCATENATE(Programme!D11042,Programme!E11042,Programme!F11042,Programme!G11042,Programme!H11042,Programme!I11042,Programme!J11042)</f>
        <v>&lt;numeroLigne&gt;58&lt;/numeroLigne&gt;</v>
      </c>
    </row>
    <row r="11042" spans="1:1" x14ac:dyDescent="0.2">
      <c r="A11042" s="996" t="str">
        <f>CONCATENATE(Programme!D11043,Programme!E11043,Programme!F11043,Programme!G11043,Programme!H11043,Programme!I11043,Programme!J11043)</f>
        <v>&lt;/ValeurCellule&gt;</v>
      </c>
    </row>
    <row r="11043" spans="1:1" x14ac:dyDescent="0.2">
      <c r="A11043" s="996" t="str">
        <f>CONCATENATE(Programme!D11044,Programme!E11044,Programme!F11044,Programme!G11044,Programme!H11044,Programme!I11044,Programme!J11044)</f>
        <v>&lt;ValeurCellule&gt;</v>
      </c>
    </row>
    <row r="11044" spans="1:1" x14ac:dyDescent="0.2">
      <c r="A11044" s="996" t="str">
        <f>CONCATENATE(Programme!D11045,Programme!E11045,Programme!F11045,Programme!G11045,Programme!H11045,Programme!I11045,Programme!J11045)</f>
        <v>&lt;cellule&gt;&lt;codeEdi&gt;1078&lt;/codeEdi&gt;&lt;/cellule&gt;</v>
      </c>
    </row>
    <row r="11045" spans="1:1" x14ac:dyDescent="0.2">
      <c r="A11045" s="996" t="str">
        <f>CONCATENATE(Programme!D11046,Programme!E11046,Programme!F11046,Programme!G11046,Programme!H11046,Programme!I11046,Programme!J11046)</f>
        <v>&lt;valeur&gt;&lt;/valeur&gt;</v>
      </c>
    </row>
    <row r="11046" spans="1:1" x14ac:dyDescent="0.2">
      <c r="A11046" s="996" t="str">
        <f>CONCATENATE(Programme!D11047,Programme!E11047,Programme!F11047,Programme!G11047,Programme!H11047,Programme!I11047,Programme!J11047)</f>
        <v>&lt;numeroLigne&gt;58&lt;/numeroLigne&gt;</v>
      </c>
    </row>
    <row r="11047" spans="1:1" x14ac:dyDescent="0.2">
      <c r="A11047" s="996" t="str">
        <f>CONCATENATE(Programme!D11048,Programme!E11048,Programme!F11048,Programme!G11048,Programme!H11048,Programme!I11048,Programme!J11048)</f>
        <v>&lt;/ValeurCellule&gt;</v>
      </c>
    </row>
    <row r="11048" spans="1:1" x14ac:dyDescent="0.2">
      <c r="A11048" s="996" t="str">
        <f>CONCATENATE(Programme!D11049,Programme!E11049,Programme!F11049,Programme!G11049,Programme!H11049,Programme!I11049,Programme!J11049)</f>
        <v>&lt;ValeurCellule&gt;</v>
      </c>
    </row>
    <row r="11049" spans="1:1" x14ac:dyDescent="0.2">
      <c r="A11049" s="996" t="str">
        <f>CONCATENATE(Programme!D11050,Programme!E11050,Programme!F11050,Programme!G11050,Programme!H11050,Programme!I11050,Programme!J11050)</f>
        <v>&lt;cellule&gt;&lt;codeEdi&gt;1079&lt;/codeEdi&gt;&lt;/cellule&gt;</v>
      </c>
    </row>
    <row r="11050" spans="1:1" x14ac:dyDescent="0.2">
      <c r="A11050" s="996" t="str">
        <f>CONCATENATE(Programme!D11051,Programme!E11051,Programme!F11051,Programme!G11051,Programme!H11051,Programme!I11051,Programme!J11051)</f>
        <v>&lt;valeur&gt;&lt;/valeur&gt;</v>
      </c>
    </row>
    <row r="11051" spans="1:1" x14ac:dyDescent="0.2">
      <c r="A11051" s="996" t="str">
        <f>CONCATENATE(Programme!D11052,Programme!E11052,Programme!F11052,Programme!G11052,Programme!H11052,Programme!I11052,Programme!J11052)</f>
        <v>&lt;numeroLigne&gt;58&lt;/numeroLigne&gt;</v>
      </c>
    </row>
    <row r="11052" spans="1:1" x14ac:dyDescent="0.2">
      <c r="A11052" s="996" t="str">
        <f>CONCATENATE(Programme!D11053,Programme!E11053,Programme!F11053,Programme!G11053,Programme!H11053,Programme!I11053,Programme!J11053)</f>
        <v>&lt;/ValeurCellule&gt;</v>
      </c>
    </row>
    <row r="11053" spans="1:1" x14ac:dyDescent="0.2">
      <c r="A11053" s="996" t="str">
        <f>CONCATENATE(Programme!D11054,Programme!E11054,Programme!F11054,Programme!G11054,Programme!H11054,Programme!I11054,Programme!J11054)</f>
        <v>&lt;ValeurCellule&gt;</v>
      </c>
    </row>
    <row r="11054" spans="1:1" x14ac:dyDescent="0.2">
      <c r="A11054" s="996" t="str">
        <f>CONCATENATE(Programme!D11055,Programme!E11055,Programme!F11055,Programme!G11055,Programme!H11055,Programme!I11055,Programme!J11055)</f>
        <v>&lt;cellule&gt;&lt;codeEdi&gt;1080&lt;/codeEdi&gt;&lt;/cellule&gt;</v>
      </c>
    </row>
    <row r="11055" spans="1:1" x14ac:dyDescent="0.2">
      <c r="A11055" s="996" t="str">
        <f>CONCATENATE(Programme!D11056,Programme!E11056,Programme!F11056,Programme!G11056,Programme!H11056,Programme!I11056,Programme!J11056)</f>
        <v>&lt;valeur&gt;&lt;/valeur&gt;</v>
      </c>
    </row>
    <row r="11056" spans="1:1" x14ac:dyDescent="0.2">
      <c r="A11056" s="996" t="str">
        <f>CONCATENATE(Programme!D11057,Programme!E11057,Programme!F11057,Programme!G11057,Programme!H11057,Programme!I11057,Programme!J11057)</f>
        <v>&lt;numeroLigne&gt;58&lt;/numeroLigne&gt;</v>
      </c>
    </row>
    <row r="11057" spans="1:1" x14ac:dyDescent="0.2">
      <c r="A11057" s="996" t="str">
        <f>CONCATENATE(Programme!D11058,Programme!E11058,Programme!F11058,Programme!G11058,Programme!H11058,Programme!I11058,Programme!J11058)</f>
        <v>&lt;/ValeurCellule&gt;</v>
      </c>
    </row>
    <row r="11058" spans="1:1" x14ac:dyDescent="0.2">
      <c r="A11058" s="996" t="str">
        <f>CONCATENATE(Programme!D11059,Programme!E11059,Programme!F11059,Programme!G11059,Programme!H11059,Programme!I11059,Programme!J11059)</f>
        <v>&lt;ValeurCellule&gt;</v>
      </c>
    </row>
    <row r="11059" spans="1:1" x14ac:dyDescent="0.2">
      <c r="A11059" s="996" t="str">
        <f>CONCATENATE(Programme!D11060,Programme!E11060,Programme!F11060,Programme!G11060,Programme!H11060,Programme!I11060,Programme!J11060)</f>
        <v>&lt;cellule&gt;&lt;codeEdi&gt;1081&lt;/codeEdi&gt;&lt;/cellule&gt;</v>
      </c>
    </row>
    <row r="11060" spans="1:1" x14ac:dyDescent="0.2">
      <c r="A11060" s="996" t="str">
        <f>CONCATENATE(Programme!D11061,Programme!E11061,Programme!F11061,Programme!G11061,Programme!H11061,Programme!I11061,Programme!J11061)</f>
        <v>&lt;valeur&gt;&lt;/valeur&gt;</v>
      </c>
    </row>
    <row r="11061" spans="1:1" x14ac:dyDescent="0.2">
      <c r="A11061" s="996" t="str">
        <f>CONCATENATE(Programme!D11062,Programme!E11062,Programme!F11062,Programme!G11062,Programme!H11062,Programme!I11062,Programme!J11062)</f>
        <v>&lt;numeroLigne&gt;58&lt;/numeroLigne&gt;</v>
      </c>
    </row>
    <row r="11062" spans="1:1" x14ac:dyDescent="0.2">
      <c r="A11062" s="996" t="str">
        <f>CONCATENATE(Programme!D11063,Programme!E11063,Programme!F11063,Programme!G11063,Programme!H11063,Programme!I11063,Programme!J11063)</f>
        <v>&lt;/ValeurCellule&gt;</v>
      </c>
    </row>
    <row r="11063" spans="1:1" x14ac:dyDescent="0.2">
      <c r="A11063" s="996" t="str">
        <f>CONCATENATE(Programme!D11064,Programme!E11064,Programme!F11064,Programme!G11064,Programme!H11064,Programme!I11064,Programme!J11064)</f>
        <v>&lt;ValeurCellule&gt;</v>
      </c>
    </row>
    <row r="11064" spans="1:1" x14ac:dyDescent="0.2">
      <c r="A11064" s="996" t="str">
        <f>CONCATENATE(Programme!D11065,Programme!E11065,Programme!F11065,Programme!G11065,Programme!H11065,Programme!I11065,Programme!J11065)</f>
        <v>&lt;cellule&gt;&lt;codeEdi&gt;1082&lt;/codeEdi&gt;&lt;/cellule&gt;</v>
      </c>
    </row>
    <row r="11065" spans="1:1" x14ac:dyDescent="0.2">
      <c r="A11065" s="996" t="str">
        <f>CONCATENATE(Programme!D11066,Programme!E11066,Programme!F11066,Programme!G11066,Programme!H11066,Programme!I11066,Programme!J11066)</f>
        <v>&lt;valeur&gt;&lt;/valeur&gt;</v>
      </c>
    </row>
    <row r="11066" spans="1:1" x14ac:dyDescent="0.2">
      <c r="A11066" s="996" t="str">
        <f>CONCATENATE(Programme!D11067,Programme!E11067,Programme!F11067,Programme!G11067,Programme!H11067,Programme!I11067,Programme!J11067)</f>
        <v>&lt;numeroLigne&gt;58&lt;/numeroLigne&gt;</v>
      </c>
    </row>
    <row r="11067" spans="1:1" x14ac:dyDescent="0.2">
      <c r="A11067" s="996" t="str">
        <f>CONCATENATE(Programme!D11068,Programme!E11068,Programme!F11068,Programme!G11068,Programme!H11068,Programme!I11068,Programme!J11068)</f>
        <v>&lt;/ValeurCellule&gt;</v>
      </c>
    </row>
    <row r="11068" spans="1:1" x14ac:dyDescent="0.2">
      <c r="A11068" s="996" t="str">
        <f>CONCATENATE(Programme!D11069,Programme!E11069,Programme!F11069,Programme!G11069,Programme!H11069,Programme!I11069,Programme!J11069)</f>
        <v>&lt;ValeurCellule&gt;</v>
      </c>
    </row>
    <row r="11069" spans="1:1" x14ac:dyDescent="0.2">
      <c r="A11069" s="996" t="str">
        <f>CONCATENATE(Programme!D11070,Programme!E11070,Programme!F11070,Programme!G11070,Programme!H11070,Programme!I11070,Programme!J11070)</f>
        <v>&lt;cellule&gt;&lt;codeEdi&gt;1083&lt;/codeEdi&gt;&lt;/cellule&gt;</v>
      </c>
    </row>
    <row r="11070" spans="1:1" x14ac:dyDescent="0.2">
      <c r="A11070" s="996" t="str">
        <f>CONCATENATE(Programme!D11071,Programme!E11071,Programme!F11071,Programme!G11071,Programme!H11071,Programme!I11071,Programme!J11071)</f>
        <v>&lt;valeur&gt;&lt;/valeur&gt;</v>
      </c>
    </row>
    <row r="11071" spans="1:1" x14ac:dyDescent="0.2">
      <c r="A11071" s="996" t="str">
        <f>CONCATENATE(Programme!D11072,Programme!E11072,Programme!F11072,Programme!G11072,Programme!H11072,Programme!I11072,Programme!J11072)</f>
        <v>&lt;numeroLigne&gt;58&lt;/numeroLigne&gt;</v>
      </c>
    </row>
    <row r="11072" spans="1:1" x14ac:dyDescent="0.2">
      <c r="A11072" s="996" t="str">
        <f>CONCATENATE(Programme!D11073,Programme!E11073,Programme!F11073,Programme!G11073,Programme!H11073,Programme!I11073,Programme!J11073)</f>
        <v>&lt;/ValeurCellule&gt;</v>
      </c>
    </row>
    <row r="11073" spans="1:1" x14ac:dyDescent="0.2">
      <c r="A11073" s="996" t="str">
        <f>CONCATENATE(Programme!D11074,Programme!E11074,Programme!F11074,Programme!G11074,Programme!H11074,Programme!I11074,Programme!J11074)</f>
        <v>&lt;ValeurCellule&gt;</v>
      </c>
    </row>
    <row r="11074" spans="1:1" x14ac:dyDescent="0.2">
      <c r="A11074" s="996" t="str">
        <f>CONCATENATE(Programme!D11075,Programme!E11075,Programme!F11075,Programme!G11075,Programme!H11075,Programme!I11075,Programme!J11075)</f>
        <v>&lt;cellule&gt;&lt;codeEdi&gt;1084&lt;/codeEdi&gt;&lt;/cellule&gt;</v>
      </c>
    </row>
    <row r="11075" spans="1:1" x14ac:dyDescent="0.2">
      <c r="A11075" s="996" t="str">
        <f>CONCATENATE(Programme!D11076,Programme!E11076,Programme!F11076,Programme!G11076,Programme!H11076,Programme!I11076,Programme!J11076)</f>
        <v>&lt;valeur&gt;&lt;/valeur&gt;</v>
      </c>
    </row>
    <row r="11076" spans="1:1" x14ac:dyDescent="0.2">
      <c r="A11076" s="996" t="str">
        <f>CONCATENATE(Programme!D11077,Programme!E11077,Programme!F11077,Programme!G11077,Programme!H11077,Programme!I11077,Programme!J11077)</f>
        <v>&lt;numeroLigne&gt;58&lt;/numeroLigne&gt;</v>
      </c>
    </row>
    <row r="11077" spans="1:1" x14ac:dyDescent="0.2">
      <c r="A11077" s="996" t="str">
        <f>CONCATENATE(Programme!D11078,Programme!E11078,Programme!F11078,Programme!G11078,Programme!H11078,Programme!I11078,Programme!J11078)</f>
        <v>&lt;/ValeurCellule&gt;</v>
      </c>
    </row>
    <row r="11078" spans="1:1" x14ac:dyDescent="0.2">
      <c r="A11078" s="996" t="str">
        <f>CONCATENATE(Programme!D11079,Programme!E11079,Programme!F11079,Programme!G11079,Programme!H11079,Programme!I11079,Programme!J11079)</f>
        <v>&lt;ValeurCellule&gt;</v>
      </c>
    </row>
    <row r="11079" spans="1:1" x14ac:dyDescent="0.2">
      <c r="A11079" s="996" t="str">
        <f>CONCATENATE(Programme!D11080,Programme!E11080,Programme!F11080,Programme!G11080,Programme!H11080,Programme!I11080,Programme!J11080)</f>
        <v>&lt;cellule&gt;&lt;codeEdi&gt;1085&lt;/codeEdi&gt;&lt;/cellule&gt;</v>
      </c>
    </row>
    <row r="11080" spans="1:1" x14ac:dyDescent="0.2">
      <c r="A11080" s="996" t="str">
        <f>CONCATENATE(Programme!D11081,Programme!E11081,Programme!F11081,Programme!G11081,Programme!H11081,Programme!I11081,Programme!J11081)</f>
        <v>&lt;valeur&gt;&lt;/valeur&gt;</v>
      </c>
    </row>
    <row r="11081" spans="1:1" x14ac:dyDescent="0.2">
      <c r="A11081" s="996" t="str">
        <f>CONCATENATE(Programme!D11082,Programme!E11082,Programme!F11082,Programme!G11082,Programme!H11082,Programme!I11082,Programme!J11082)</f>
        <v>&lt;numeroLigne&gt;58&lt;/numeroLigne&gt;</v>
      </c>
    </row>
    <row r="11082" spans="1:1" x14ac:dyDescent="0.2">
      <c r="A11082" s="996" t="str">
        <f>CONCATENATE(Programme!D11083,Programme!E11083,Programme!F11083,Programme!G11083,Programme!H11083,Programme!I11083,Programme!J11083)</f>
        <v>&lt;/ValeurCellule&gt;</v>
      </c>
    </row>
    <row r="11083" spans="1:1" x14ac:dyDescent="0.2">
      <c r="A11083" s="996" t="str">
        <f>CONCATENATE(Programme!D11084,Programme!E11084,Programme!F11084,Programme!G11084,Programme!H11084,Programme!I11084,Programme!J11084)</f>
        <v>&lt;ValeurCellule&gt;</v>
      </c>
    </row>
    <row r="11084" spans="1:1" x14ac:dyDescent="0.2">
      <c r="A11084" s="996" t="str">
        <f>CONCATENATE(Programme!D11085,Programme!E11085,Programme!F11085,Programme!G11085,Programme!H11085,Programme!I11085,Programme!J11085)</f>
        <v>&lt;cellule&gt;&lt;codeEdi&gt;1086&lt;/codeEdi&gt;&lt;/cellule&gt;</v>
      </c>
    </row>
    <row r="11085" spans="1:1" x14ac:dyDescent="0.2">
      <c r="A11085" s="996" t="str">
        <f>CONCATENATE(Programme!D11086,Programme!E11086,Programme!F11086,Programme!G11086,Programme!H11086,Programme!I11086,Programme!J11086)</f>
        <v>&lt;valeur&gt;&lt;/valeur&gt;</v>
      </c>
    </row>
    <row r="11086" spans="1:1" x14ac:dyDescent="0.2">
      <c r="A11086" s="996" t="str">
        <f>CONCATENATE(Programme!D11087,Programme!E11087,Programme!F11087,Programme!G11087,Programme!H11087,Programme!I11087,Programme!J11087)</f>
        <v>&lt;numeroLigne&gt;58&lt;/numeroLigne&gt;</v>
      </c>
    </row>
    <row r="11087" spans="1:1" x14ac:dyDescent="0.2">
      <c r="A11087" s="996" t="str">
        <f>CONCATENATE(Programme!D11088,Programme!E11088,Programme!F11088,Programme!G11088,Programme!H11088,Programme!I11088,Programme!J11088)</f>
        <v>&lt;/ValeurCellule&gt;</v>
      </c>
    </row>
    <row r="11088" spans="1:1" x14ac:dyDescent="0.2">
      <c r="A11088" s="996" t="str">
        <f>CONCATENATE(Programme!D11089,Programme!E11089,Programme!F11089,Programme!G11089,Programme!H11089,Programme!I11089,Programme!J11089)</f>
        <v>&lt;ValeurCellule&gt;</v>
      </c>
    </row>
    <row r="11089" spans="1:1" x14ac:dyDescent="0.2">
      <c r="A11089" s="996" t="str">
        <f>CONCATENATE(Programme!D11090,Programme!E11090,Programme!F11090,Programme!G11090,Programme!H11090,Programme!I11090,Programme!J11090)</f>
        <v>&lt;cellule&gt;&lt;codeEdi&gt;10061&lt;/codeEdi&gt;&lt;/cellule&gt;</v>
      </c>
    </row>
    <row r="11090" spans="1:1" x14ac:dyDescent="0.2">
      <c r="A11090" s="996" t="str">
        <f>CONCATENATE(Programme!D11091,Programme!E11091,Programme!F11091,Programme!G11091,Programme!H11091,Programme!I11091,Programme!J11091)</f>
        <v>&lt;valeur&gt;&lt;/valeur&gt;</v>
      </c>
    </row>
    <row r="11091" spans="1:1" x14ac:dyDescent="0.2">
      <c r="A11091" s="996" t="str">
        <f>CONCATENATE(Programme!D11092,Programme!E11092,Programme!F11092,Programme!G11092,Programme!H11092,Programme!I11092,Programme!J11092)</f>
        <v>&lt;numeroLigne&gt;59&lt;/numeroLigne&gt;</v>
      </c>
    </row>
    <row r="11092" spans="1:1" x14ac:dyDescent="0.2">
      <c r="A11092" s="996" t="str">
        <f>CONCATENATE(Programme!D11093,Programme!E11093,Programme!F11093,Programme!G11093,Programme!H11093,Programme!I11093,Programme!J11093)</f>
        <v>&lt;/ValeurCellule&gt;</v>
      </c>
    </row>
    <row r="11093" spans="1:1" x14ac:dyDescent="0.2">
      <c r="A11093" s="996" t="str">
        <f>CONCATENATE(Programme!D11094,Programme!E11094,Programme!F11094,Programme!G11094,Programme!H11094,Programme!I11094,Programme!J11094)</f>
        <v>&lt;ValeurCellule&gt;</v>
      </c>
    </row>
    <row r="11094" spans="1:1" x14ac:dyDescent="0.2">
      <c r="A11094" s="996" t="str">
        <f>CONCATENATE(Programme!D11095,Programme!E11095,Programme!F11095,Programme!G11095,Programme!H11095,Programme!I11095,Programme!J11095)</f>
        <v>&lt;cellule&gt;&lt;codeEdi&gt;1078&lt;/codeEdi&gt;&lt;/cellule&gt;</v>
      </c>
    </row>
    <row r="11095" spans="1:1" x14ac:dyDescent="0.2">
      <c r="A11095" s="996" t="str">
        <f>CONCATENATE(Programme!D11096,Programme!E11096,Programme!F11096,Programme!G11096,Programme!H11096,Programme!I11096,Programme!J11096)</f>
        <v>&lt;valeur&gt;&lt;/valeur&gt;</v>
      </c>
    </row>
    <row r="11096" spans="1:1" x14ac:dyDescent="0.2">
      <c r="A11096" s="996" t="str">
        <f>CONCATENATE(Programme!D11097,Programme!E11097,Programme!F11097,Programme!G11097,Programme!H11097,Programme!I11097,Programme!J11097)</f>
        <v>&lt;numeroLigne&gt;59&lt;/numeroLigne&gt;</v>
      </c>
    </row>
    <row r="11097" spans="1:1" x14ac:dyDescent="0.2">
      <c r="A11097" s="996" t="str">
        <f>CONCATENATE(Programme!D11098,Programme!E11098,Programme!F11098,Programme!G11098,Programme!H11098,Programme!I11098,Programme!J11098)</f>
        <v>&lt;/ValeurCellule&gt;</v>
      </c>
    </row>
    <row r="11098" spans="1:1" x14ac:dyDescent="0.2">
      <c r="A11098" s="996" t="str">
        <f>CONCATENATE(Programme!D11099,Programme!E11099,Programme!F11099,Programme!G11099,Programme!H11099,Programme!I11099,Programme!J11099)</f>
        <v>&lt;ValeurCellule&gt;</v>
      </c>
    </row>
    <row r="11099" spans="1:1" x14ac:dyDescent="0.2">
      <c r="A11099" s="996" t="str">
        <f>CONCATENATE(Programme!D11100,Programme!E11100,Programme!F11100,Programme!G11100,Programme!H11100,Programme!I11100,Programme!J11100)</f>
        <v>&lt;cellule&gt;&lt;codeEdi&gt;1079&lt;/codeEdi&gt;&lt;/cellule&gt;</v>
      </c>
    </row>
    <row r="11100" spans="1:1" x14ac:dyDescent="0.2">
      <c r="A11100" s="996" t="str">
        <f>CONCATENATE(Programme!D11101,Programme!E11101,Programme!F11101,Programme!G11101,Programme!H11101,Programme!I11101,Programme!J11101)</f>
        <v>&lt;valeur&gt;&lt;/valeur&gt;</v>
      </c>
    </row>
    <row r="11101" spans="1:1" x14ac:dyDescent="0.2">
      <c r="A11101" s="996" t="str">
        <f>CONCATENATE(Programme!D11102,Programme!E11102,Programme!F11102,Programme!G11102,Programme!H11102,Programme!I11102,Programme!J11102)</f>
        <v>&lt;numeroLigne&gt;59&lt;/numeroLigne&gt;</v>
      </c>
    </row>
    <row r="11102" spans="1:1" x14ac:dyDescent="0.2">
      <c r="A11102" s="996" t="str">
        <f>CONCATENATE(Programme!D11103,Programme!E11103,Programme!F11103,Programme!G11103,Programme!H11103,Programme!I11103,Programme!J11103)</f>
        <v>&lt;/ValeurCellule&gt;</v>
      </c>
    </row>
    <row r="11103" spans="1:1" x14ac:dyDescent="0.2">
      <c r="A11103" s="996" t="str">
        <f>CONCATENATE(Programme!D11104,Programme!E11104,Programme!F11104,Programme!G11104,Programme!H11104,Programme!I11104,Programme!J11104)</f>
        <v>&lt;ValeurCellule&gt;</v>
      </c>
    </row>
    <row r="11104" spans="1:1" x14ac:dyDescent="0.2">
      <c r="A11104" s="996" t="str">
        <f>CONCATENATE(Programme!D11105,Programme!E11105,Programme!F11105,Programme!G11105,Programme!H11105,Programme!I11105,Programme!J11105)</f>
        <v>&lt;cellule&gt;&lt;codeEdi&gt;1080&lt;/codeEdi&gt;&lt;/cellule&gt;</v>
      </c>
    </row>
    <row r="11105" spans="1:1" x14ac:dyDescent="0.2">
      <c r="A11105" s="996" t="str">
        <f>CONCATENATE(Programme!D11106,Programme!E11106,Programme!F11106,Programme!G11106,Programme!H11106,Programme!I11106,Programme!J11106)</f>
        <v>&lt;valeur&gt;&lt;/valeur&gt;</v>
      </c>
    </row>
    <row r="11106" spans="1:1" x14ac:dyDescent="0.2">
      <c r="A11106" s="996" t="str">
        <f>CONCATENATE(Programme!D11107,Programme!E11107,Programme!F11107,Programme!G11107,Programme!H11107,Programme!I11107,Programme!J11107)</f>
        <v>&lt;numeroLigne&gt;59&lt;/numeroLigne&gt;</v>
      </c>
    </row>
    <row r="11107" spans="1:1" x14ac:dyDescent="0.2">
      <c r="A11107" s="996" t="str">
        <f>CONCATENATE(Programme!D11108,Programme!E11108,Programme!F11108,Programme!G11108,Programme!H11108,Programme!I11108,Programme!J11108)</f>
        <v>&lt;/ValeurCellule&gt;</v>
      </c>
    </row>
    <row r="11108" spans="1:1" x14ac:dyDescent="0.2">
      <c r="A11108" s="996" t="str">
        <f>CONCATENATE(Programme!D11109,Programme!E11109,Programme!F11109,Programme!G11109,Programme!H11109,Programme!I11109,Programme!J11109)</f>
        <v>&lt;ValeurCellule&gt;</v>
      </c>
    </row>
    <row r="11109" spans="1:1" x14ac:dyDescent="0.2">
      <c r="A11109" s="996" t="str">
        <f>CONCATENATE(Programme!D11110,Programme!E11110,Programme!F11110,Programme!G11110,Programme!H11110,Programme!I11110,Programme!J11110)</f>
        <v>&lt;cellule&gt;&lt;codeEdi&gt;1081&lt;/codeEdi&gt;&lt;/cellule&gt;</v>
      </c>
    </row>
    <row r="11110" spans="1:1" x14ac:dyDescent="0.2">
      <c r="A11110" s="996" t="str">
        <f>CONCATENATE(Programme!D11111,Programme!E11111,Programme!F11111,Programme!G11111,Programme!H11111,Programme!I11111,Programme!J11111)</f>
        <v>&lt;valeur&gt;&lt;/valeur&gt;</v>
      </c>
    </row>
    <row r="11111" spans="1:1" x14ac:dyDescent="0.2">
      <c r="A11111" s="996" t="str">
        <f>CONCATENATE(Programme!D11112,Programme!E11112,Programme!F11112,Programme!G11112,Programme!H11112,Programme!I11112,Programme!J11112)</f>
        <v>&lt;numeroLigne&gt;59&lt;/numeroLigne&gt;</v>
      </c>
    </row>
    <row r="11112" spans="1:1" x14ac:dyDescent="0.2">
      <c r="A11112" s="996" t="str">
        <f>CONCATENATE(Programme!D11113,Programme!E11113,Programme!F11113,Programme!G11113,Programme!H11113,Programme!I11113,Programme!J11113)</f>
        <v>&lt;/ValeurCellule&gt;</v>
      </c>
    </row>
    <row r="11113" spans="1:1" x14ac:dyDescent="0.2">
      <c r="A11113" s="996" t="str">
        <f>CONCATENATE(Programme!D11114,Programme!E11114,Programme!F11114,Programme!G11114,Programme!H11114,Programme!I11114,Programme!J11114)</f>
        <v>&lt;ValeurCellule&gt;</v>
      </c>
    </row>
    <row r="11114" spans="1:1" x14ac:dyDescent="0.2">
      <c r="A11114" s="996" t="str">
        <f>CONCATENATE(Programme!D11115,Programme!E11115,Programme!F11115,Programme!G11115,Programme!H11115,Programme!I11115,Programme!J11115)</f>
        <v>&lt;cellule&gt;&lt;codeEdi&gt;1082&lt;/codeEdi&gt;&lt;/cellule&gt;</v>
      </c>
    </row>
    <row r="11115" spans="1:1" x14ac:dyDescent="0.2">
      <c r="A11115" s="996" t="str">
        <f>CONCATENATE(Programme!D11116,Programme!E11116,Programme!F11116,Programme!G11116,Programme!H11116,Programme!I11116,Programme!J11116)</f>
        <v>&lt;valeur&gt;&lt;/valeur&gt;</v>
      </c>
    </row>
    <row r="11116" spans="1:1" x14ac:dyDescent="0.2">
      <c r="A11116" s="996" t="str">
        <f>CONCATENATE(Programme!D11117,Programme!E11117,Programme!F11117,Programme!G11117,Programme!H11117,Programme!I11117,Programme!J11117)</f>
        <v>&lt;numeroLigne&gt;59&lt;/numeroLigne&gt;</v>
      </c>
    </row>
    <row r="11117" spans="1:1" x14ac:dyDescent="0.2">
      <c r="A11117" s="996" t="str">
        <f>CONCATENATE(Programme!D11118,Programme!E11118,Programme!F11118,Programme!G11118,Programme!H11118,Programme!I11118,Programme!J11118)</f>
        <v>&lt;/ValeurCellule&gt;</v>
      </c>
    </row>
    <row r="11118" spans="1:1" x14ac:dyDescent="0.2">
      <c r="A11118" s="996" t="str">
        <f>CONCATENATE(Programme!D11119,Programme!E11119,Programme!F11119,Programme!G11119,Programme!H11119,Programme!I11119,Programme!J11119)</f>
        <v>&lt;ValeurCellule&gt;</v>
      </c>
    </row>
    <row r="11119" spans="1:1" x14ac:dyDescent="0.2">
      <c r="A11119" s="996" t="str">
        <f>CONCATENATE(Programme!D11120,Programme!E11120,Programme!F11120,Programme!G11120,Programme!H11120,Programme!I11120,Programme!J11120)</f>
        <v>&lt;cellule&gt;&lt;codeEdi&gt;1083&lt;/codeEdi&gt;&lt;/cellule&gt;</v>
      </c>
    </row>
    <row r="11120" spans="1:1" x14ac:dyDescent="0.2">
      <c r="A11120" s="996" t="str">
        <f>CONCATENATE(Programme!D11121,Programme!E11121,Programme!F11121,Programme!G11121,Programme!H11121,Programme!I11121,Programme!J11121)</f>
        <v>&lt;valeur&gt;&lt;/valeur&gt;</v>
      </c>
    </row>
    <row r="11121" spans="1:1" x14ac:dyDescent="0.2">
      <c r="A11121" s="996" t="str">
        <f>CONCATENATE(Programme!D11122,Programme!E11122,Programme!F11122,Programme!G11122,Programme!H11122,Programme!I11122,Programme!J11122)</f>
        <v>&lt;numeroLigne&gt;59&lt;/numeroLigne&gt;</v>
      </c>
    </row>
    <row r="11122" spans="1:1" x14ac:dyDescent="0.2">
      <c r="A11122" s="996" t="str">
        <f>CONCATENATE(Programme!D11123,Programme!E11123,Programme!F11123,Programme!G11123,Programme!H11123,Programme!I11123,Programme!J11123)</f>
        <v>&lt;/ValeurCellule&gt;</v>
      </c>
    </row>
    <row r="11123" spans="1:1" x14ac:dyDescent="0.2">
      <c r="A11123" s="996" t="str">
        <f>CONCATENATE(Programme!D11124,Programme!E11124,Programme!F11124,Programme!G11124,Programme!H11124,Programme!I11124,Programme!J11124)</f>
        <v>&lt;ValeurCellule&gt;</v>
      </c>
    </row>
    <row r="11124" spans="1:1" x14ac:dyDescent="0.2">
      <c r="A11124" s="996" t="str">
        <f>CONCATENATE(Programme!D11125,Programme!E11125,Programme!F11125,Programme!G11125,Programme!H11125,Programme!I11125,Programme!J11125)</f>
        <v>&lt;cellule&gt;&lt;codeEdi&gt;1084&lt;/codeEdi&gt;&lt;/cellule&gt;</v>
      </c>
    </row>
    <row r="11125" spans="1:1" x14ac:dyDescent="0.2">
      <c r="A11125" s="996" t="str">
        <f>CONCATENATE(Programme!D11126,Programme!E11126,Programme!F11126,Programme!G11126,Programme!H11126,Programme!I11126,Programme!J11126)</f>
        <v>&lt;valeur&gt;&lt;/valeur&gt;</v>
      </c>
    </row>
    <row r="11126" spans="1:1" x14ac:dyDescent="0.2">
      <c r="A11126" s="996" t="str">
        <f>CONCATENATE(Programme!D11127,Programme!E11127,Programme!F11127,Programme!G11127,Programme!H11127,Programme!I11127,Programme!J11127)</f>
        <v>&lt;numeroLigne&gt;59&lt;/numeroLigne&gt;</v>
      </c>
    </row>
    <row r="11127" spans="1:1" x14ac:dyDescent="0.2">
      <c r="A11127" s="996" t="str">
        <f>CONCATENATE(Programme!D11128,Programme!E11128,Programme!F11128,Programme!G11128,Programme!H11128,Programme!I11128,Programme!J11128)</f>
        <v>&lt;/ValeurCellule&gt;</v>
      </c>
    </row>
    <row r="11128" spans="1:1" x14ac:dyDescent="0.2">
      <c r="A11128" s="996" t="str">
        <f>CONCATENATE(Programme!D11129,Programme!E11129,Programme!F11129,Programme!G11129,Programme!H11129,Programme!I11129,Programme!J11129)</f>
        <v>&lt;ValeurCellule&gt;</v>
      </c>
    </row>
    <row r="11129" spans="1:1" x14ac:dyDescent="0.2">
      <c r="A11129" s="996" t="str">
        <f>CONCATENATE(Programme!D11130,Programme!E11130,Programme!F11130,Programme!G11130,Programme!H11130,Programme!I11130,Programme!J11130)</f>
        <v>&lt;cellule&gt;&lt;codeEdi&gt;1085&lt;/codeEdi&gt;&lt;/cellule&gt;</v>
      </c>
    </row>
    <row r="11130" spans="1:1" x14ac:dyDescent="0.2">
      <c r="A11130" s="996" t="str">
        <f>CONCATENATE(Programme!D11131,Programme!E11131,Programme!F11131,Programme!G11131,Programme!H11131,Programme!I11131,Programme!J11131)</f>
        <v>&lt;valeur&gt;&lt;/valeur&gt;</v>
      </c>
    </row>
    <row r="11131" spans="1:1" x14ac:dyDescent="0.2">
      <c r="A11131" s="996" t="str">
        <f>CONCATENATE(Programme!D11132,Programme!E11132,Programme!F11132,Programme!G11132,Programme!H11132,Programme!I11132,Programme!J11132)</f>
        <v>&lt;numeroLigne&gt;59&lt;/numeroLigne&gt;</v>
      </c>
    </row>
    <row r="11132" spans="1:1" x14ac:dyDescent="0.2">
      <c r="A11132" s="996" t="str">
        <f>CONCATENATE(Programme!D11133,Programme!E11133,Programme!F11133,Programme!G11133,Programme!H11133,Programme!I11133,Programme!J11133)</f>
        <v>&lt;/ValeurCellule&gt;</v>
      </c>
    </row>
    <row r="11133" spans="1:1" x14ac:dyDescent="0.2">
      <c r="A11133" s="996" t="str">
        <f>CONCATENATE(Programme!D11134,Programme!E11134,Programme!F11134,Programme!G11134,Programme!H11134,Programme!I11134,Programme!J11134)</f>
        <v>&lt;ValeurCellule&gt;</v>
      </c>
    </row>
    <row r="11134" spans="1:1" x14ac:dyDescent="0.2">
      <c r="A11134" s="996" t="str">
        <f>CONCATENATE(Programme!D11135,Programme!E11135,Programme!F11135,Programme!G11135,Programme!H11135,Programme!I11135,Programme!J11135)</f>
        <v>&lt;cellule&gt;&lt;codeEdi&gt;1086&lt;/codeEdi&gt;&lt;/cellule&gt;</v>
      </c>
    </row>
    <row r="11135" spans="1:1" x14ac:dyDescent="0.2">
      <c r="A11135" s="996" t="str">
        <f>CONCATENATE(Programme!D11136,Programme!E11136,Programme!F11136,Programme!G11136,Programme!H11136,Programme!I11136,Programme!J11136)</f>
        <v>&lt;valeur&gt;&lt;/valeur&gt;</v>
      </c>
    </row>
    <row r="11136" spans="1:1" x14ac:dyDescent="0.2">
      <c r="A11136" s="996" t="str">
        <f>CONCATENATE(Programme!D11137,Programme!E11137,Programme!F11137,Programme!G11137,Programme!H11137,Programme!I11137,Programme!J11137)</f>
        <v>&lt;numeroLigne&gt;59&lt;/numeroLigne&gt;</v>
      </c>
    </row>
    <row r="11137" spans="1:1" x14ac:dyDescent="0.2">
      <c r="A11137" s="996" t="str">
        <f>CONCATENATE(Programme!D11138,Programme!E11138,Programme!F11138,Programme!G11138,Programme!H11138,Programme!I11138,Programme!J11138)</f>
        <v>&lt;/ValeurCellule&gt;</v>
      </c>
    </row>
    <row r="11138" spans="1:1" x14ac:dyDescent="0.2">
      <c r="A11138" s="996" t="str">
        <f>CONCATENATE(Programme!D11139,Programme!E11139,Programme!F11139,Programme!G11139,Programme!H11139,Programme!I11139,Programme!J11139)</f>
        <v>&lt;ValeurCellule&gt;</v>
      </c>
    </row>
    <row r="11139" spans="1:1" x14ac:dyDescent="0.2">
      <c r="A11139" s="996" t="str">
        <f>CONCATENATE(Programme!D11140,Programme!E11140,Programme!F11140,Programme!G11140,Programme!H11140,Programme!I11140,Programme!J11140)</f>
        <v>&lt;cellule&gt;&lt;codeEdi&gt;10061&lt;/codeEdi&gt;&lt;/cellule&gt;</v>
      </c>
    </row>
    <row r="11140" spans="1:1" x14ac:dyDescent="0.2">
      <c r="A11140" s="996" t="str">
        <f>CONCATENATE(Programme!D11141,Programme!E11141,Programme!F11141,Programme!G11141,Programme!H11141,Programme!I11141,Programme!J11141)</f>
        <v>&lt;valeur&gt;&lt;/valeur&gt;</v>
      </c>
    </row>
    <row r="11141" spans="1:1" x14ac:dyDescent="0.2">
      <c r="A11141" s="996" t="str">
        <f>CONCATENATE(Programme!D11142,Programme!E11142,Programme!F11142,Programme!G11142,Programme!H11142,Programme!I11142,Programme!J11142)</f>
        <v>&lt;numeroLigne&gt;60&lt;/numeroLigne&gt;</v>
      </c>
    </row>
    <row r="11142" spans="1:1" x14ac:dyDescent="0.2">
      <c r="A11142" s="996" t="str">
        <f>CONCATENATE(Programme!D11143,Programme!E11143,Programme!F11143,Programme!G11143,Programme!H11143,Programme!I11143,Programme!J11143)</f>
        <v>&lt;/ValeurCellule&gt;</v>
      </c>
    </row>
    <row r="11143" spans="1:1" x14ac:dyDescent="0.2">
      <c r="A11143" s="996" t="str">
        <f>CONCATENATE(Programme!D11144,Programme!E11144,Programme!F11144,Programme!G11144,Programme!H11144,Programme!I11144,Programme!J11144)</f>
        <v>&lt;ValeurCellule&gt;</v>
      </c>
    </row>
    <row r="11144" spans="1:1" x14ac:dyDescent="0.2">
      <c r="A11144" s="996" t="str">
        <f>CONCATENATE(Programme!D11145,Programme!E11145,Programme!F11145,Programme!G11145,Programme!H11145,Programme!I11145,Programme!J11145)</f>
        <v>&lt;cellule&gt;&lt;codeEdi&gt;1078&lt;/codeEdi&gt;&lt;/cellule&gt;</v>
      </c>
    </row>
    <row r="11145" spans="1:1" x14ac:dyDescent="0.2">
      <c r="A11145" s="996" t="str">
        <f>CONCATENATE(Programme!D11146,Programme!E11146,Programme!F11146,Programme!G11146,Programme!H11146,Programme!I11146,Programme!J11146)</f>
        <v>&lt;valeur&gt;&lt;/valeur&gt;</v>
      </c>
    </row>
    <row r="11146" spans="1:1" x14ac:dyDescent="0.2">
      <c r="A11146" s="996" t="str">
        <f>CONCATENATE(Programme!D11147,Programme!E11147,Programme!F11147,Programme!G11147,Programme!H11147,Programme!I11147,Programme!J11147)</f>
        <v>&lt;numeroLigne&gt;60&lt;/numeroLigne&gt;</v>
      </c>
    </row>
    <row r="11147" spans="1:1" x14ac:dyDescent="0.2">
      <c r="A11147" s="996" t="str">
        <f>CONCATENATE(Programme!D11148,Programme!E11148,Programme!F11148,Programme!G11148,Programme!H11148,Programme!I11148,Programme!J11148)</f>
        <v>&lt;/ValeurCellule&gt;</v>
      </c>
    </row>
    <row r="11148" spans="1:1" x14ac:dyDescent="0.2">
      <c r="A11148" s="996" t="str">
        <f>CONCATENATE(Programme!D11149,Programme!E11149,Programme!F11149,Programme!G11149,Programme!H11149,Programme!I11149,Programme!J11149)</f>
        <v>&lt;ValeurCellule&gt;</v>
      </c>
    </row>
    <row r="11149" spans="1:1" x14ac:dyDescent="0.2">
      <c r="A11149" s="996" t="str">
        <f>CONCATENATE(Programme!D11150,Programme!E11150,Programme!F11150,Programme!G11150,Programme!H11150,Programme!I11150,Programme!J11150)</f>
        <v>&lt;cellule&gt;&lt;codeEdi&gt;1079&lt;/codeEdi&gt;&lt;/cellule&gt;</v>
      </c>
    </row>
    <row r="11150" spans="1:1" x14ac:dyDescent="0.2">
      <c r="A11150" s="996" t="str">
        <f>CONCATENATE(Programme!D11151,Programme!E11151,Programme!F11151,Programme!G11151,Programme!H11151,Programme!I11151,Programme!J11151)</f>
        <v>&lt;valeur&gt;&lt;/valeur&gt;</v>
      </c>
    </row>
    <row r="11151" spans="1:1" x14ac:dyDescent="0.2">
      <c r="A11151" s="996" t="str">
        <f>CONCATENATE(Programme!D11152,Programme!E11152,Programme!F11152,Programme!G11152,Programme!H11152,Programme!I11152,Programme!J11152)</f>
        <v>&lt;numeroLigne&gt;60&lt;/numeroLigne&gt;</v>
      </c>
    </row>
    <row r="11152" spans="1:1" x14ac:dyDescent="0.2">
      <c r="A11152" s="996" t="str">
        <f>CONCATENATE(Programme!D11153,Programme!E11153,Programme!F11153,Programme!G11153,Programme!H11153,Programme!I11153,Programme!J11153)</f>
        <v>&lt;/ValeurCellule&gt;</v>
      </c>
    </row>
    <row r="11153" spans="1:1" x14ac:dyDescent="0.2">
      <c r="A11153" s="996" t="str">
        <f>CONCATENATE(Programme!D11154,Programme!E11154,Programme!F11154,Programme!G11154,Programme!H11154,Programme!I11154,Programme!J11154)</f>
        <v>&lt;ValeurCellule&gt;</v>
      </c>
    </row>
    <row r="11154" spans="1:1" x14ac:dyDescent="0.2">
      <c r="A11154" s="996" t="str">
        <f>CONCATENATE(Programme!D11155,Programme!E11155,Programme!F11155,Programme!G11155,Programme!H11155,Programme!I11155,Programme!J11155)</f>
        <v>&lt;cellule&gt;&lt;codeEdi&gt;1080&lt;/codeEdi&gt;&lt;/cellule&gt;</v>
      </c>
    </row>
    <row r="11155" spans="1:1" x14ac:dyDescent="0.2">
      <c r="A11155" s="996" t="str">
        <f>CONCATENATE(Programme!D11156,Programme!E11156,Programme!F11156,Programme!G11156,Programme!H11156,Programme!I11156,Programme!J11156)</f>
        <v>&lt;valeur&gt;&lt;/valeur&gt;</v>
      </c>
    </row>
    <row r="11156" spans="1:1" x14ac:dyDescent="0.2">
      <c r="A11156" s="996" t="str">
        <f>CONCATENATE(Programme!D11157,Programme!E11157,Programme!F11157,Programme!G11157,Programme!H11157,Programme!I11157,Programme!J11157)</f>
        <v>&lt;numeroLigne&gt;60&lt;/numeroLigne&gt;</v>
      </c>
    </row>
    <row r="11157" spans="1:1" x14ac:dyDescent="0.2">
      <c r="A11157" s="996" t="str">
        <f>CONCATENATE(Programme!D11158,Programme!E11158,Programme!F11158,Programme!G11158,Programme!H11158,Programme!I11158,Programme!J11158)</f>
        <v>&lt;/ValeurCellule&gt;</v>
      </c>
    </row>
    <row r="11158" spans="1:1" x14ac:dyDescent="0.2">
      <c r="A11158" s="996" t="str">
        <f>CONCATENATE(Programme!D11159,Programme!E11159,Programme!F11159,Programme!G11159,Programme!H11159,Programme!I11159,Programme!J11159)</f>
        <v>&lt;ValeurCellule&gt;</v>
      </c>
    </row>
    <row r="11159" spans="1:1" x14ac:dyDescent="0.2">
      <c r="A11159" s="996" t="str">
        <f>CONCATENATE(Programme!D11160,Programme!E11160,Programme!F11160,Programme!G11160,Programme!H11160,Programme!I11160,Programme!J11160)</f>
        <v>&lt;cellule&gt;&lt;codeEdi&gt;1081&lt;/codeEdi&gt;&lt;/cellule&gt;</v>
      </c>
    </row>
    <row r="11160" spans="1:1" x14ac:dyDescent="0.2">
      <c r="A11160" s="996" t="str">
        <f>CONCATENATE(Programme!D11161,Programme!E11161,Programme!F11161,Programme!G11161,Programme!H11161,Programme!I11161,Programme!J11161)</f>
        <v>&lt;valeur&gt;&lt;/valeur&gt;</v>
      </c>
    </row>
    <row r="11161" spans="1:1" x14ac:dyDescent="0.2">
      <c r="A11161" s="996" t="str">
        <f>CONCATENATE(Programme!D11162,Programme!E11162,Programme!F11162,Programme!G11162,Programme!H11162,Programme!I11162,Programme!J11162)</f>
        <v>&lt;numeroLigne&gt;60&lt;/numeroLigne&gt;</v>
      </c>
    </row>
    <row r="11162" spans="1:1" x14ac:dyDescent="0.2">
      <c r="A11162" s="996" t="str">
        <f>CONCATENATE(Programme!D11163,Programme!E11163,Programme!F11163,Programme!G11163,Programme!H11163,Programme!I11163,Programme!J11163)</f>
        <v>&lt;/ValeurCellule&gt;</v>
      </c>
    </row>
    <row r="11163" spans="1:1" x14ac:dyDescent="0.2">
      <c r="A11163" s="996" t="str">
        <f>CONCATENATE(Programme!D11164,Programme!E11164,Programme!F11164,Programme!G11164,Programme!H11164,Programme!I11164,Programme!J11164)</f>
        <v>&lt;ValeurCellule&gt;</v>
      </c>
    </row>
    <row r="11164" spans="1:1" x14ac:dyDescent="0.2">
      <c r="A11164" s="996" t="str">
        <f>CONCATENATE(Programme!D11165,Programme!E11165,Programme!F11165,Programme!G11165,Programme!H11165,Programme!I11165,Programme!J11165)</f>
        <v>&lt;cellule&gt;&lt;codeEdi&gt;1082&lt;/codeEdi&gt;&lt;/cellule&gt;</v>
      </c>
    </row>
    <row r="11165" spans="1:1" x14ac:dyDescent="0.2">
      <c r="A11165" s="996" t="str">
        <f>CONCATENATE(Programme!D11166,Programme!E11166,Programme!F11166,Programme!G11166,Programme!H11166,Programme!I11166,Programme!J11166)</f>
        <v>&lt;valeur&gt;&lt;/valeur&gt;</v>
      </c>
    </row>
    <row r="11166" spans="1:1" x14ac:dyDescent="0.2">
      <c r="A11166" s="996" t="str">
        <f>CONCATENATE(Programme!D11167,Programme!E11167,Programme!F11167,Programme!G11167,Programme!H11167,Programme!I11167,Programme!J11167)</f>
        <v>&lt;numeroLigne&gt;60&lt;/numeroLigne&gt;</v>
      </c>
    </row>
    <row r="11167" spans="1:1" x14ac:dyDescent="0.2">
      <c r="A11167" s="996" t="str">
        <f>CONCATENATE(Programme!D11168,Programme!E11168,Programme!F11168,Programme!G11168,Programme!H11168,Programme!I11168,Programme!J11168)</f>
        <v>&lt;/ValeurCellule&gt;</v>
      </c>
    </row>
    <row r="11168" spans="1:1" x14ac:dyDescent="0.2">
      <c r="A11168" s="996" t="str">
        <f>CONCATENATE(Programme!D11169,Programme!E11169,Programme!F11169,Programme!G11169,Programme!H11169,Programme!I11169,Programme!J11169)</f>
        <v>&lt;ValeurCellule&gt;</v>
      </c>
    </row>
    <row r="11169" spans="1:1" x14ac:dyDescent="0.2">
      <c r="A11169" s="996" t="str">
        <f>CONCATENATE(Programme!D11170,Programme!E11170,Programme!F11170,Programme!G11170,Programme!H11170,Programme!I11170,Programme!J11170)</f>
        <v>&lt;cellule&gt;&lt;codeEdi&gt;1083&lt;/codeEdi&gt;&lt;/cellule&gt;</v>
      </c>
    </row>
    <row r="11170" spans="1:1" x14ac:dyDescent="0.2">
      <c r="A11170" s="996" t="str">
        <f>CONCATENATE(Programme!D11171,Programme!E11171,Programme!F11171,Programme!G11171,Programme!H11171,Programme!I11171,Programme!J11171)</f>
        <v>&lt;valeur&gt;&lt;/valeur&gt;</v>
      </c>
    </row>
    <row r="11171" spans="1:1" x14ac:dyDescent="0.2">
      <c r="A11171" s="996" t="str">
        <f>CONCATENATE(Programme!D11172,Programme!E11172,Programme!F11172,Programme!G11172,Programme!H11172,Programme!I11172,Programme!J11172)</f>
        <v>&lt;numeroLigne&gt;60&lt;/numeroLigne&gt;</v>
      </c>
    </row>
    <row r="11172" spans="1:1" x14ac:dyDescent="0.2">
      <c r="A11172" s="996" t="str">
        <f>CONCATENATE(Programme!D11173,Programme!E11173,Programme!F11173,Programme!G11173,Programme!H11173,Programme!I11173,Programme!J11173)</f>
        <v>&lt;/ValeurCellule&gt;</v>
      </c>
    </row>
    <row r="11173" spans="1:1" x14ac:dyDescent="0.2">
      <c r="A11173" s="996" t="str">
        <f>CONCATENATE(Programme!D11174,Programme!E11174,Programme!F11174,Programme!G11174,Programme!H11174,Programme!I11174,Programme!J11174)</f>
        <v>&lt;ValeurCellule&gt;</v>
      </c>
    </row>
    <row r="11174" spans="1:1" x14ac:dyDescent="0.2">
      <c r="A11174" s="996" t="str">
        <f>CONCATENATE(Programme!D11175,Programme!E11175,Programme!F11175,Programme!G11175,Programme!H11175,Programme!I11175,Programme!J11175)</f>
        <v>&lt;cellule&gt;&lt;codeEdi&gt;1084&lt;/codeEdi&gt;&lt;/cellule&gt;</v>
      </c>
    </row>
    <row r="11175" spans="1:1" x14ac:dyDescent="0.2">
      <c r="A11175" s="996" t="str">
        <f>CONCATENATE(Programme!D11176,Programme!E11176,Programme!F11176,Programme!G11176,Programme!H11176,Programme!I11176,Programme!J11176)</f>
        <v>&lt;valeur&gt;&lt;/valeur&gt;</v>
      </c>
    </row>
    <row r="11176" spans="1:1" x14ac:dyDescent="0.2">
      <c r="A11176" s="996" t="str">
        <f>CONCATENATE(Programme!D11177,Programme!E11177,Programme!F11177,Programme!G11177,Programme!H11177,Programme!I11177,Programme!J11177)</f>
        <v>&lt;numeroLigne&gt;60&lt;/numeroLigne&gt;</v>
      </c>
    </row>
    <row r="11177" spans="1:1" x14ac:dyDescent="0.2">
      <c r="A11177" s="996" t="str">
        <f>CONCATENATE(Programme!D11178,Programme!E11178,Programme!F11178,Programme!G11178,Programme!H11178,Programme!I11178,Programme!J11178)</f>
        <v>&lt;/ValeurCellule&gt;</v>
      </c>
    </row>
    <row r="11178" spans="1:1" x14ac:dyDescent="0.2">
      <c r="A11178" s="996" t="str">
        <f>CONCATENATE(Programme!D11179,Programme!E11179,Programme!F11179,Programme!G11179,Programme!H11179,Programme!I11179,Programme!J11179)</f>
        <v>&lt;ValeurCellule&gt;</v>
      </c>
    </row>
    <row r="11179" spans="1:1" x14ac:dyDescent="0.2">
      <c r="A11179" s="996" t="str">
        <f>CONCATENATE(Programme!D11180,Programme!E11180,Programme!F11180,Programme!G11180,Programme!H11180,Programme!I11180,Programme!J11180)</f>
        <v>&lt;cellule&gt;&lt;codeEdi&gt;1085&lt;/codeEdi&gt;&lt;/cellule&gt;</v>
      </c>
    </row>
    <row r="11180" spans="1:1" x14ac:dyDescent="0.2">
      <c r="A11180" s="996" t="str">
        <f>CONCATENATE(Programme!D11181,Programme!E11181,Programme!F11181,Programme!G11181,Programme!H11181,Programme!I11181,Programme!J11181)</f>
        <v>&lt;valeur&gt;&lt;/valeur&gt;</v>
      </c>
    </row>
    <row r="11181" spans="1:1" x14ac:dyDescent="0.2">
      <c r="A11181" s="996" t="str">
        <f>CONCATENATE(Programme!D11182,Programme!E11182,Programme!F11182,Programme!G11182,Programme!H11182,Programme!I11182,Programme!J11182)</f>
        <v>&lt;numeroLigne&gt;60&lt;/numeroLigne&gt;</v>
      </c>
    </row>
    <row r="11182" spans="1:1" x14ac:dyDescent="0.2">
      <c r="A11182" s="996" t="str">
        <f>CONCATENATE(Programme!D11183,Programme!E11183,Programme!F11183,Programme!G11183,Programme!H11183,Programme!I11183,Programme!J11183)</f>
        <v>&lt;/ValeurCellule&gt;</v>
      </c>
    </row>
    <row r="11183" spans="1:1" x14ac:dyDescent="0.2">
      <c r="A11183" s="996" t="str">
        <f>CONCATENATE(Programme!D11184,Programme!E11184,Programme!F11184,Programme!G11184,Programme!H11184,Programme!I11184,Programme!J11184)</f>
        <v>&lt;ValeurCellule&gt;</v>
      </c>
    </row>
    <row r="11184" spans="1:1" x14ac:dyDescent="0.2">
      <c r="A11184" s="996" t="str">
        <f>CONCATENATE(Programme!D11185,Programme!E11185,Programme!F11185,Programme!G11185,Programme!H11185,Programme!I11185,Programme!J11185)</f>
        <v>&lt;cellule&gt;&lt;codeEdi&gt;1086&lt;/codeEdi&gt;&lt;/cellule&gt;</v>
      </c>
    </row>
    <row r="11185" spans="1:1" x14ac:dyDescent="0.2">
      <c r="A11185" s="996" t="str">
        <f>CONCATENATE(Programme!D11186,Programme!E11186,Programme!F11186,Programme!G11186,Programme!H11186,Programme!I11186,Programme!J11186)</f>
        <v>&lt;valeur&gt;&lt;/valeur&gt;</v>
      </c>
    </row>
    <row r="11186" spans="1:1" x14ac:dyDescent="0.2">
      <c r="A11186" s="996" t="str">
        <f>CONCATENATE(Programme!D11187,Programme!E11187,Programme!F11187,Programme!G11187,Programme!H11187,Programme!I11187,Programme!J11187)</f>
        <v>&lt;numeroLigne&gt;60&lt;/numeroLigne&gt;</v>
      </c>
    </row>
    <row r="11187" spans="1:1" x14ac:dyDescent="0.2">
      <c r="A11187" s="996" t="str">
        <f>CONCATENATE(Programme!D11188,Programme!E11188,Programme!F11188,Programme!G11188,Programme!H11188,Programme!I11188,Programme!J11188)</f>
        <v>&lt;/ValeurCellule&gt;</v>
      </c>
    </row>
    <row r="11188" spans="1:1" x14ac:dyDescent="0.2">
      <c r="A11188" s="996" t="str">
        <f>CONCATENATE(Programme!D11189,Programme!E11189,Programme!F11189,Programme!G11189,Programme!H11189,Programme!I11189,Programme!J11189)</f>
        <v>&lt;ValeurCellule&gt;</v>
      </c>
    </row>
    <row r="11189" spans="1:1" x14ac:dyDescent="0.2">
      <c r="A11189" s="996" t="str">
        <f>CONCATENATE(Programme!D11190,Programme!E11190,Programme!F11190,Programme!G11190,Programme!H11190,Programme!I11190,Programme!J11190)</f>
        <v>&lt;cellule&gt;&lt;codeEdi&gt;10061&lt;/codeEdi&gt;&lt;/cellule&gt;</v>
      </c>
    </row>
    <row r="11190" spans="1:1" x14ac:dyDescent="0.2">
      <c r="A11190" s="996" t="str">
        <f>CONCATENATE(Programme!D11191,Programme!E11191,Programme!F11191,Programme!G11191,Programme!H11191,Programme!I11191,Programme!J11191)</f>
        <v>&lt;valeur&gt;&lt;/valeur&gt;</v>
      </c>
    </row>
    <row r="11191" spans="1:1" x14ac:dyDescent="0.2">
      <c r="A11191" s="996" t="str">
        <f>CONCATENATE(Programme!D11192,Programme!E11192,Programme!F11192,Programme!G11192,Programme!H11192,Programme!I11192,Programme!J11192)</f>
        <v>&lt;numeroLigne&gt;61&lt;/numeroLigne&gt;</v>
      </c>
    </row>
    <row r="11192" spans="1:1" x14ac:dyDescent="0.2">
      <c r="A11192" s="996" t="str">
        <f>CONCATENATE(Programme!D11193,Programme!E11193,Programme!F11193,Programme!G11193,Programme!H11193,Programme!I11193,Programme!J11193)</f>
        <v>&lt;/ValeurCellule&gt;</v>
      </c>
    </row>
    <row r="11193" spans="1:1" x14ac:dyDescent="0.2">
      <c r="A11193" s="996" t="str">
        <f>CONCATENATE(Programme!D11194,Programme!E11194,Programme!F11194,Programme!G11194,Programme!H11194,Programme!I11194,Programme!J11194)</f>
        <v>&lt;ValeurCellule&gt;</v>
      </c>
    </row>
    <row r="11194" spans="1:1" x14ac:dyDescent="0.2">
      <c r="A11194" s="996" t="str">
        <f>CONCATENATE(Programme!D11195,Programme!E11195,Programme!F11195,Programme!G11195,Programme!H11195,Programme!I11195,Programme!J11195)</f>
        <v>&lt;cellule&gt;&lt;codeEdi&gt;1078&lt;/codeEdi&gt;&lt;/cellule&gt;</v>
      </c>
    </row>
    <row r="11195" spans="1:1" x14ac:dyDescent="0.2">
      <c r="A11195" s="996" t="str">
        <f>CONCATENATE(Programme!D11196,Programme!E11196,Programme!F11196,Programme!G11196,Programme!H11196,Programme!I11196,Programme!J11196)</f>
        <v>&lt;valeur&gt;&lt;/valeur&gt;</v>
      </c>
    </row>
    <row r="11196" spans="1:1" x14ac:dyDescent="0.2">
      <c r="A11196" s="996" t="str">
        <f>CONCATENATE(Programme!D11197,Programme!E11197,Programme!F11197,Programme!G11197,Programme!H11197,Programme!I11197,Programme!J11197)</f>
        <v>&lt;numeroLigne&gt;61&lt;/numeroLigne&gt;</v>
      </c>
    </row>
    <row r="11197" spans="1:1" x14ac:dyDescent="0.2">
      <c r="A11197" s="996" t="str">
        <f>CONCATENATE(Programme!D11198,Programme!E11198,Programme!F11198,Programme!G11198,Programme!H11198,Programme!I11198,Programme!J11198)</f>
        <v>&lt;/ValeurCellule&gt;</v>
      </c>
    </row>
    <row r="11198" spans="1:1" x14ac:dyDescent="0.2">
      <c r="A11198" s="996" t="str">
        <f>CONCATENATE(Programme!D11199,Programme!E11199,Programme!F11199,Programme!G11199,Programme!H11199,Programme!I11199,Programme!J11199)</f>
        <v>&lt;ValeurCellule&gt;</v>
      </c>
    </row>
    <row r="11199" spans="1:1" x14ac:dyDescent="0.2">
      <c r="A11199" s="996" t="str">
        <f>CONCATENATE(Programme!D11200,Programme!E11200,Programme!F11200,Programme!G11200,Programme!H11200,Programme!I11200,Programme!J11200)</f>
        <v>&lt;cellule&gt;&lt;codeEdi&gt;1079&lt;/codeEdi&gt;&lt;/cellule&gt;</v>
      </c>
    </row>
    <row r="11200" spans="1:1" x14ac:dyDescent="0.2">
      <c r="A11200" s="996" t="str">
        <f>CONCATENATE(Programme!D11201,Programme!E11201,Programme!F11201,Programme!G11201,Programme!H11201,Programme!I11201,Programme!J11201)</f>
        <v>&lt;valeur&gt;&lt;/valeur&gt;</v>
      </c>
    </row>
    <row r="11201" spans="1:1" x14ac:dyDescent="0.2">
      <c r="A11201" s="996" t="str">
        <f>CONCATENATE(Programme!D11202,Programme!E11202,Programme!F11202,Programme!G11202,Programme!H11202,Programme!I11202,Programme!J11202)</f>
        <v>&lt;numeroLigne&gt;61&lt;/numeroLigne&gt;</v>
      </c>
    </row>
    <row r="11202" spans="1:1" x14ac:dyDescent="0.2">
      <c r="A11202" s="996" t="str">
        <f>CONCATENATE(Programme!D11203,Programme!E11203,Programme!F11203,Programme!G11203,Programme!H11203,Programme!I11203,Programme!J11203)</f>
        <v>&lt;/ValeurCellule&gt;</v>
      </c>
    </row>
    <row r="11203" spans="1:1" x14ac:dyDescent="0.2">
      <c r="A11203" s="996" t="str">
        <f>CONCATENATE(Programme!D11204,Programme!E11204,Programme!F11204,Programme!G11204,Programme!H11204,Programme!I11204,Programme!J11204)</f>
        <v>&lt;ValeurCellule&gt;</v>
      </c>
    </row>
    <row r="11204" spans="1:1" x14ac:dyDescent="0.2">
      <c r="A11204" s="996" t="str">
        <f>CONCATENATE(Programme!D11205,Programme!E11205,Programme!F11205,Programme!G11205,Programme!H11205,Programme!I11205,Programme!J11205)</f>
        <v>&lt;cellule&gt;&lt;codeEdi&gt;1080&lt;/codeEdi&gt;&lt;/cellule&gt;</v>
      </c>
    </row>
    <row r="11205" spans="1:1" x14ac:dyDescent="0.2">
      <c r="A11205" s="996" t="str">
        <f>CONCATENATE(Programme!D11206,Programme!E11206,Programme!F11206,Programme!G11206,Programme!H11206,Programme!I11206,Programme!J11206)</f>
        <v>&lt;valeur&gt;&lt;/valeur&gt;</v>
      </c>
    </row>
    <row r="11206" spans="1:1" x14ac:dyDescent="0.2">
      <c r="A11206" s="996" t="str">
        <f>CONCATENATE(Programme!D11207,Programme!E11207,Programme!F11207,Programme!G11207,Programme!H11207,Programme!I11207,Programme!J11207)</f>
        <v>&lt;numeroLigne&gt;61&lt;/numeroLigne&gt;</v>
      </c>
    </row>
    <row r="11207" spans="1:1" x14ac:dyDescent="0.2">
      <c r="A11207" s="996" t="str">
        <f>CONCATENATE(Programme!D11208,Programme!E11208,Programme!F11208,Programme!G11208,Programme!H11208,Programme!I11208,Programme!J11208)</f>
        <v>&lt;/ValeurCellule&gt;</v>
      </c>
    </row>
    <row r="11208" spans="1:1" x14ac:dyDescent="0.2">
      <c r="A11208" s="996" t="str">
        <f>CONCATENATE(Programme!D11209,Programme!E11209,Programme!F11209,Programme!G11209,Programme!H11209,Programme!I11209,Programme!J11209)</f>
        <v>&lt;ValeurCellule&gt;</v>
      </c>
    </row>
    <row r="11209" spans="1:1" x14ac:dyDescent="0.2">
      <c r="A11209" s="996" t="str">
        <f>CONCATENATE(Programme!D11210,Programme!E11210,Programme!F11210,Programme!G11210,Programme!H11210,Programme!I11210,Programme!J11210)</f>
        <v>&lt;cellule&gt;&lt;codeEdi&gt;1081&lt;/codeEdi&gt;&lt;/cellule&gt;</v>
      </c>
    </row>
    <row r="11210" spans="1:1" x14ac:dyDescent="0.2">
      <c r="A11210" s="996" t="str">
        <f>CONCATENATE(Programme!D11211,Programme!E11211,Programme!F11211,Programme!G11211,Programme!H11211,Programme!I11211,Programme!J11211)</f>
        <v>&lt;valeur&gt;&lt;/valeur&gt;</v>
      </c>
    </row>
    <row r="11211" spans="1:1" x14ac:dyDescent="0.2">
      <c r="A11211" s="996" t="str">
        <f>CONCATENATE(Programme!D11212,Programme!E11212,Programme!F11212,Programme!G11212,Programme!H11212,Programme!I11212,Programme!J11212)</f>
        <v>&lt;numeroLigne&gt;61&lt;/numeroLigne&gt;</v>
      </c>
    </row>
    <row r="11212" spans="1:1" x14ac:dyDescent="0.2">
      <c r="A11212" s="996" t="str">
        <f>CONCATENATE(Programme!D11213,Programme!E11213,Programme!F11213,Programme!G11213,Programme!H11213,Programme!I11213,Programme!J11213)</f>
        <v>&lt;/ValeurCellule&gt;</v>
      </c>
    </row>
    <row r="11213" spans="1:1" x14ac:dyDescent="0.2">
      <c r="A11213" s="996" t="str">
        <f>CONCATENATE(Programme!D11214,Programme!E11214,Programme!F11214,Programme!G11214,Programme!H11214,Programme!I11214,Programme!J11214)</f>
        <v>&lt;ValeurCellule&gt;</v>
      </c>
    </row>
    <row r="11214" spans="1:1" x14ac:dyDescent="0.2">
      <c r="A11214" s="996" t="str">
        <f>CONCATENATE(Programme!D11215,Programme!E11215,Programme!F11215,Programme!G11215,Programme!H11215,Programme!I11215,Programme!J11215)</f>
        <v>&lt;cellule&gt;&lt;codeEdi&gt;1082&lt;/codeEdi&gt;&lt;/cellule&gt;</v>
      </c>
    </row>
    <row r="11215" spans="1:1" x14ac:dyDescent="0.2">
      <c r="A11215" s="996" t="str">
        <f>CONCATENATE(Programme!D11216,Programme!E11216,Programme!F11216,Programme!G11216,Programme!H11216,Programme!I11216,Programme!J11216)</f>
        <v>&lt;valeur&gt;&lt;/valeur&gt;</v>
      </c>
    </row>
    <row r="11216" spans="1:1" x14ac:dyDescent="0.2">
      <c r="A11216" s="996" t="str">
        <f>CONCATENATE(Programme!D11217,Programme!E11217,Programme!F11217,Programme!G11217,Programme!H11217,Programme!I11217,Programme!J11217)</f>
        <v>&lt;numeroLigne&gt;61&lt;/numeroLigne&gt;</v>
      </c>
    </row>
    <row r="11217" spans="1:1" x14ac:dyDescent="0.2">
      <c r="A11217" s="996" t="str">
        <f>CONCATENATE(Programme!D11218,Programme!E11218,Programme!F11218,Programme!G11218,Programme!H11218,Programme!I11218,Programme!J11218)</f>
        <v>&lt;/ValeurCellule&gt;</v>
      </c>
    </row>
    <row r="11218" spans="1:1" x14ac:dyDescent="0.2">
      <c r="A11218" s="996" t="str">
        <f>CONCATENATE(Programme!D11219,Programme!E11219,Programme!F11219,Programme!G11219,Programme!H11219,Programme!I11219,Programme!J11219)</f>
        <v>&lt;ValeurCellule&gt;</v>
      </c>
    </row>
    <row r="11219" spans="1:1" x14ac:dyDescent="0.2">
      <c r="A11219" s="996" t="str">
        <f>CONCATENATE(Programme!D11220,Programme!E11220,Programme!F11220,Programme!G11220,Programme!H11220,Programme!I11220,Programme!J11220)</f>
        <v>&lt;cellule&gt;&lt;codeEdi&gt;1083&lt;/codeEdi&gt;&lt;/cellule&gt;</v>
      </c>
    </row>
    <row r="11220" spans="1:1" x14ac:dyDescent="0.2">
      <c r="A11220" s="996" t="str">
        <f>CONCATENATE(Programme!D11221,Programme!E11221,Programme!F11221,Programme!G11221,Programme!H11221,Programme!I11221,Programme!J11221)</f>
        <v>&lt;valeur&gt;&lt;/valeur&gt;</v>
      </c>
    </row>
    <row r="11221" spans="1:1" x14ac:dyDescent="0.2">
      <c r="A11221" s="996" t="str">
        <f>CONCATENATE(Programme!D11222,Programme!E11222,Programme!F11222,Programme!G11222,Programme!H11222,Programme!I11222,Programme!J11222)</f>
        <v>&lt;numeroLigne&gt;61&lt;/numeroLigne&gt;</v>
      </c>
    </row>
    <row r="11222" spans="1:1" x14ac:dyDescent="0.2">
      <c r="A11222" s="996" t="str">
        <f>CONCATENATE(Programme!D11223,Programme!E11223,Programme!F11223,Programme!G11223,Programme!H11223,Programme!I11223,Programme!J11223)</f>
        <v>&lt;/ValeurCellule&gt;</v>
      </c>
    </row>
    <row r="11223" spans="1:1" x14ac:dyDescent="0.2">
      <c r="A11223" s="996" t="str">
        <f>CONCATENATE(Programme!D11224,Programme!E11224,Programme!F11224,Programme!G11224,Programme!H11224,Programme!I11224,Programme!J11224)</f>
        <v>&lt;ValeurCellule&gt;</v>
      </c>
    </row>
    <row r="11224" spans="1:1" x14ac:dyDescent="0.2">
      <c r="A11224" s="996" t="str">
        <f>CONCATENATE(Programme!D11225,Programme!E11225,Programme!F11225,Programme!G11225,Programme!H11225,Programme!I11225,Programme!J11225)</f>
        <v>&lt;cellule&gt;&lt;codeEdi&gt;1084&lt;/codeEdi&gt;&lt;/cellule&gt;</v>
      </c>
    </row>
    <row r="11225" spans="1:1" x14ac:dyDescent="0.2">
      <c r="A11225" s="996" t="str">
        <f>CONCATENATE(Programme!D11226,Programme!E11226,Programme!F11226,Programme!G11226,Programme!H11226,Programme!I11226,Programme!J11226)</f>
        <v>&lt;valeur&gt;&lt;/valeur&gt;</v>
      </c>
    </row>
    <row r="11226" spans="1:1" x14ac:dyDescent="0.2">
      <c r="A11226" s="996" t="str">
        <f>CONCATENATE(Programme!D11227,Programme!E11227,Programme!F11227,Programme!G11227,Programme!H11227,Programme!I11227,Programme!J11227)</f>
        <v>&lt;numeroLigne&gt;61&lt;/numeroLigne&gt;</v>
      </c>
    </row>
    <row r="11227" spans="1:1" x14ac:dyDescent="0.2">
      <c r="A11227" s="996" t="str">
        <f>CONCATENATE(Programme!D11228,Programme!E11228,Programme!F11228,Programme!G11228,Programme!H11228,Programme!I11228,Programme!J11228)</f>
        <v>&lt;/ValeurCellule&gt;</v>
      </c>
    </row>
    <row r="11228" spans="1:1" x14ac:dyDescent="0.2">
      <c r="A11228" s="996" t="str">
        <f>CONCATENATE(Programme!D11229,Programme!E11229,Programme!F11229,Programme!G11229,Programme!H11229,Programme!I11229,Programme!J11229)</f>
        <v>&lt;ValeurCellule&gt;</v>
      </c>
    </row>
    <row r="11229" spans="1:1" x14ac:dyDescent="0.2">
      <c r="A11229" s="996" t="str">
        <f>CONCATENATE(Programme!D11230,Programme!E11230,Programme!F11230,Programme!G11230,Programme!H11230,Programme!I11230,Programme!J11230)</f>
        <v>&lt;cellule&gt;&lt;codeEdi&gt;1085&lt;/codeEdi&gt;&lt;/cellule&gt;</v>
      </c>
    </row>
    <row r="11230" spans="1:1" x14ac:dyDescent="0.2">
      <c r="A11230" s="996" t="str">
        <f>CONCATENATE(Programme!D11231,Programme!E11231,Programme!F11231,Programme!G11231,Programme!H11231,Programme!I11231,Programme!J11231)</f>
        <v>&lt;valeur&gt;&lt;/valeur&gt;</v>
      </c>
    </row>
    <row r="11231" spans="1:1" x14ac:dyDescent="0.2">
      <c r="A11231" s="996" t="str">
        <f>CONCATENATE(Programme!D11232,Programme!E11232,Programme!F11232,Programme!G11232,Programme!H11232,Programme!I11232,Programme!J11232)</f>
        <v>&lt;numeroLigne&gt;61&lt;/numeroLigne&gt;</v>
      </c>
    </row>
    <row r="11232" spans="1:1" x14ac:dyDescent="0.2">
      <c r="A11232" s="996" t="str">
        <f>CONCATENATE(Programme!D11233,Programme!E11233,Programme!F11233,Programme!G11233,Programme!H11233,Programme!I11233,Programme!J11233)</f>
        <v>&lt;/ValeurCellule&gt;</v>
      </c>
    </row>
    <row r="11233" spans="1:1" x14ac:dyDescent="0.2">
      <c r="A11233" s="996" t="str">
        <f>CONCATENATE(Programme!D11234,Programme!E11234,Programme!F11234,Programme!G11234,Programme!H11234,Programme!I11234,Programme!J11234)</f>
        <v>&lt;ValeurCellule&gt;</v>
      </c>
    </row>
    <row r="11234" spans="1:1" x14ac:dyDescent="0.2">
      <c r="A11234" s="996" t="str">
        <f>CONCATENATE(Programme!D11235,Programme!E11235,Programme!F11235,Programme!G11235,Programme!H11235,Programme!I11235,Programme!J11235)</f>
        <v>&lt;cellule&gt;&lt;codeEdi&gt;1086&lt;/codeEdi&gt;&lt;/cellule&gt;</v>
      </c>
    </row>
    <row r="11235" spans="1:1" x14ac:dyDescent="0.2">
      <c r="A11235" s="996" t="str">
        <f>CONCATENATE(Programme!D11236,Programme!E11236,Programme!F11236,Programme!G11236,Programme!H11236,Programme!I11236,Programme!J11236)</f>
        <v>&lt;valeur&gt;&lt;/valeur&gt;</v>
      </c>
    </row>
    <row r="11236" spans="1:1" x14ac:dyDescent="0.2">
      <c r="A11236" s="996" t="str">
        <f>CONCATENATE(Programme!D11237,Programme!E11237,Programme!F11237,Programme!G11237,Programme!H11237,Programme!I11237,Programme!J11237)</f>
        <v>&lt;numeroLigne&gt;61&lt;/numeroLigne&gt;</v>
      </c>
    </row>
    <row r="11237" spans="1:1" x14ac:dyDescent="0.2">
      <c r="A11237" s="996" t="str">
        <f>CONCATENATE(Programme!D11238,Programme!E11238,Programme!F11238,Programme!G11238,Programme!H11238,Programme!I11238,Programme!J11238)</f>
        <v>&lt;/ValeurCellule&gt;</v>
      </c>
    </row>
    <row r="11238" spans="1:1" x14ac:dyDescent="0.2">
      <c r="A11238" s="996" t="str">
        <f>CONCATENATE(Programme!D11239,Programme!E11239,Programme!F11239,Programme!G11239,Programme!H11239,Programme!I11239,Programme!J11239)</f>
        <v>&lt;ValeurCellule&gt;</v>
      </c>
    </row>
    <row r="11239" spans="1:1" x14ac:dyDescent="0.2">
      <c r="A11239" s="996" t="str">
        <f>CONCATENATE(Programme!D11240,Programme!E11240,Programme!F11240,Programme!G11240,Programme!H11240,Programme!I11240,Programme!J11240)</f>
        <v>&lt;cellule&gt;&lt;codeEdi&gt;10061&lt;/codeEdi&gt;&lt;/cellule&gt;</v>
      </c>
    </row>
    <row r="11240" spans="1:1" x14ac:dyDescent="0.2">
      <c r="A11240" s="996" t="str">
        <f>CONCATENATE(Programme!D11241,Programme!E11241,Programme!F11241,Programme!G11241,Programme!H11241,Programme!I11241,Programme!J11241)</f>
        <v>&lt;valeur&gt;&lt;/valeur&gt;</v>
      </c>
    </row>
    <row r="11241" spans="1:1" x14ac:dyDescent="0.2">
      <c r="A11241" s="996" t="str">
        <f>CONCATENATE(Programme!D11242,Programme!E11242,Programme!F11242,Programme!G11242,Programme!H11242,Programme!I11242,Programme!J11242)</f>
        <v>&lt;numeroLigne&gt;62&lt;/numeroLigne&gt;</v>
      </c>
    </row>
    <row r="11242" spans="1:1" x14ac:dyDescent="0.2">
      <c r="A11242" s="996" t="str">
        <f>CONCATENATE(Programme!D11243,Programme!E11243,Programme!F11243,Programme!G11243,Programme!H11243,Programme!I11243,Programme!J11243)</f>
        <v>&lt;/ValeurCellule&gt;</v>
      </c>
    </row>
    <row r="11243" spans="1:1" x14ac:dyDescent="0.2">
      <c r="A11243" s="996" t="str">
        <f>CONCATENATE(Programme!D11244,Programme!E11244,Programme!F11244,Programme!G11244,Programme!H11244,Programme!I11244,Programme!J11244)</f>
        <v>&lt;ValeurCellule&gt;</v>
      </c>
    </row>
    <row r="11244" spans="1:1" x14ac:dyDescent="0.2">
      <c r="A11244" s="996" t="str">
        <f>CONCATENATE(Programme!D11245,Programme!E11245,Programme!F11245,Programme!G11245,Programme!H11245,Programme!I11245,Programme!J11245)</f>
        <v>&lt;cellule&gt;&lt;codeEdi&gt;1078&lt;/codeEdi&gt;&lt;/cellule&gt;</v>
      </c>
    </row>
    <row r="11245" spans="1:1" x14ac:dyDescent="0.2">
      <c r="A11245" s="996" t="str">
        <f>CONCATENATE(Programme!D11246,Programme!E11246,Programme!F11246,Programme!G11246,Programme!H11246,Programme!I11246,Programme!J11246)</f>
        <v>&lt;valeur&gt;&lt;/valeur&gt;</v>
      </c>
    </row>
    <row r="11246" spans="1:1" x14ac:dyDescent="0.2">
      <c r="A11246" s="996" t="str">
        <f>CONCATENATE(Programme!D11247,Programme!E11247,Programme!F11247,Programme!G11247,Programme!H11247,Programme!I11247,Programme!J11247)</f>
        <v>&lt;numeroLigne&gt;62&lt;/numeroLigne&gt;</v>
      </c>
    </row>
    <row r="11247" spans="1:1" x14ac:dyDescent="0.2">
      <c r="A11247" s="996" t="str">
        <f>CONCATENATE(Programme!D11248,Programme!E11248,Programme!F11248,Programme!G11248,Programme!H11248,Programme!I11248,Programme!J11248)</f>
        <v>&lt;/ValeurCellule&gt;</v>
      </c>
    </row>
    <row r="11248" spans="1:1" x14ac:dyDescent="0.2">
      <c r="A11248" s="996" t="str">
        <f>CONCATENATE(Programme!D11249,Programme!E11249,Programme!F11249,Programme!G11249,Programme!H11249,Programme!I11249,Programme!J11249)</f>
        <v>&lt;ValeurCellule&gt;</v>
      </c>
    </row>
    <row r="11249" spans="1:1" x14ac:dyDescent="0.2">
      <c r="A11249" s="996" t="str">
        <f>CONCATENATE(Programme!D11250,Programme!E11250,Programme!F11250,Programme!G11250,Programme!H11250,Programme!I11250,Programme!J11250)</f>
        <v>&lt;cellule&gt;&lt;codeEdi&gt;1079&lt;/codeEdi&gt;&lt;/cellule&gt;</v>
      </c>
    </row>
    <row r="11250" spans="1:1" x14ac:dyDescent="0.2">
      <c r="A11250" s="996" t="str">
        <f>CONCATENATE(Programme!D11251,Programme!E11251,Programme!F11251,Programme!G11251,Programme!H11251,Programme!I11251,Programme!J11251)</f>
        <v>&lt;valeur&gt;&lt;/valeur&gt;</v>
      </c>
    </row>
    <row r="11251" spans="1:1" x14ac:dyDescent="0.2">
      <c r="A11251" s="996" t="str">
        <f>CONCATENATE(Programme!D11252,Programme!E11252,Programme!F11252,Programme!G11252,Programme!H11252,Programme!I11252,Programme!J11252)</f>
        <v>&lt;numeroLigne&gt;62&lt;/numeroLigne&gt;</v>
      </c>
    </row>
    <row r="11252" spans="1:1" x14ac:dyDescent="0.2">
      <c r="A11252" s="996" t="str">
        <f>CONCATENATE(Programme!D11253,Programme!E11253,Programme!F11253,Programme!G11253,Programme!H11253,Programme!I11253,Programme!J11253)</f>
        <v>&lt;/ValeurCellule&gt;</v>
      </c>
    </row>
    <row r="11253" spans="1:1" x14ac:dyDescent="0.2">
      <c r="A11253" s="996" t="str">
        <f>CONCATENATE(Programme!D11254,Programme!E11254,Programme!F11254,Programme!G11254,Programme!H11254,Programme!I11254,Programme!J11254)</f>
        <v>&lt;ValeurCellule&gt;</v>
      </c>
    </row>
    <row r="11254" spans="1:1" x14ac:dyDescent="0.2">
      <c r="A11254" s="996" t="str">
        <f>CONCATENATE(Programme!D11255,Programme!E11255,Programme!F11255,Programme!G11255,Programme!H11255,Programme!I11255,Programme!J11255)</f>
        <v>&lt;cellule&gt;&lt;codeEdi&gt;1080&lt;/codeEdi&gt;&lt;/cellule&gt;</v>
      </c>
    </row>
    <row r="11255" spans="1:1" x14ac:dyDescent="0.2">
      <c r="A11255" s="996" t="str">
        <f>CONCATENATE(Programme!D11256,Programme!E11256,Programme!F11256,Programme!G11256,Programme!H11256,Programme!I11256,Programme!J11256)</f>
        <v>&lt;valeur&gt;&lt;/valeur&gt;</v>
      </c>
    </row>
    <row r="11256" spans="1:1" x14ac:dyDescent="0.2">
      <c r="A11256" s="996" t="str">
        <f>CONCATENATE(Programme!D11257,Programme!E11257,Programme!F11257,Programme!G11257,Programme!H11257,Programme!I11257,Programme!J11257)</f>
        <v>&lt;numeroLigne&gt;62&lt;/numeroLigne&gt;</v>
      </c>
    </row>
    <row r="11257" spans="1:1" x14ac:dyDescent="0.2">
      <c r="A11257" s="996" t="str">
        <f>CONCATENATE(Programme!D11258,Programme!E11258,Programme!F11258,Programme!G11258,Programme!H11258,Programme!I11258,Programme!J11258)</f>
        <v>&lt;/ValeurCellule&gt;</v>
      </c>
    </row>
    <row r="11258" spans="1:1" x14ac:dyDescent="0.2">
      <c r="A11258" s="996" t="str">
        <f>CONCATENATE(Programme!D11259,Programme!E11259,Programme!F11259,Programme!G11259,Programme!H11259,Programme!I11259,Programme!J11259)</f>
        <v>&lt;ValeurCellule&gt;</v>
      </c>
    </row>
    <row r="11259" spans="1:1" x14ac:dyDescent="0.2">
      <c r="A11259" s="996" t="str">
        <f>CONCATENATE(Programme!D11260,Programme!E11260,Programme!F11260,Programme!G11260,Programme!H11260,Programme!I11260,Programme!J11260)</f>
        <v>&lt;cellule&gt;&lt;codeEdi&gt;1081&lt;/codeEdi&gt;&lt;/cellule&gt;</v>
      </c>
    </row>
    <row r="11260" spans="1:1" x14ac:dyDescent="0.2">
      <c r="A11260" s="996" t="str">
        <f>CONCATENATE(Programme!D11261,Programme!E11261,Programme!F11261,Programme!G11261,Programme!H11261,Programme!I11261,Programme!J11261)</f>
        <v>&lt;valeur&gt;&lt;/valeur&gt;</v>
      </c>
    </row>
    <row r="11261" spans="1:1" x14ac:dyDescent="0.2">
      <c r="A11261" s="996" t="str">
        <f>CONCATENATE(Programme!D11262,Programme!E11262,Programme!F11262,Programme!G11262,Programme!H11262,Programme!I11262,Programme!J11262)</f>
        <v>&lt;numeroLigne&gt;62&lt;/numeroLigne&gt;</v>
      </c>
    </row>
    <row r="11262" spans="1:1" x14ac:dyDescent="0.2">
      <c r="A11262" s="996" t="str">
        <f>CONCATENATE(Programme!D11263,Programme!E11263,Programme!F11263,Programme!G11263,Programme!H11263,Programme!I11263,Programme!J11263)</f>
        <v>&lt;/ValeurCellule&gt;</v>
      </c>
    </row>
    <row r="11263" spans="1:1" x14ac:dyDescent="0.2">
      <c r="A11263" s="996" t="str">
        <f>CONCATENATE(Programme!D11264,Programme!E11264,Programme!F11264,Programme!G11264,Programme!H11264,Programme!I11264,Programme!J11264)</f>
        <v>&lt;ValeurCellule&gt;</v>
      </c>
    </row>
    <row r="11264" spans="1:1" x14ac:dyDescent="0.2">
      <c r="A11264" s="996" t="str">
        <f>CONCATENATE(Programme!D11265,Programme!E11265,Programme!F11265,Programme!G11265,Programme!H11265,Programme!I11265,Programme!J11265)</f>
        <v>&lt;cellule&gt;&lt;codeEdi&gt;1082&lt;/codeEdi&gt;&lt;/cellule&gt;</v>
      </c>
    </row>
    <row r="11265" spans="1:1" x14ac:dyDescent="0.2">
      <c r="A11265" s="996" t="str">
        <f>CONCATENATE(Programme!D11266,Programme!E11266,Programme!F11266,Programme!G11266,Programme!H11266,Programme!I11266,Programme!J11266)</f>
        <v>&lt;valeur&gt;&lt;/valeur&gt;</v>
      </c>
    </row>
    <row r="11266" spans="1:1" x14ac:dyDescent="0.2">
      <c r="A11266" s="996" t="str">
        <f>CONCATENATE(Programme!D11267,Programme!E11267,Programme!F11267,Programme!G11267,Programme!H11267,Programme!I11267,Programme!J11267)</f>
        <v>&lt;numeroLigne&gt;62&lt;/numeroLigne&gt;</v>
      </c>
    </row>
    <row r="11267" spans="1:1" x14ac:dyDescent="0.2">
      <c r="A11267" s="996" t="str">
        <f>CONCATENATE(Programme!D11268,Programme!E11268,Programme!F11268,Programme!G11268,Programme!H11268,Programme!I11268,Programme!J11268)</f>
        <v>&lt;/ValeurCellule&gt;</v>
      </c>
    </row>
    <row r="11268" spans="1:1" x14ac:dyDescent="0.2">
      <c r="A11268" s="996" t="str">
        <f>CONCATENATE(Programme!D11269,Programme!E11269,Programme!F11269,Programme!G11269,Programme!H11269,Programme!I11269,Programme!J11269)</f>
        <v>&lt;ValeurCellule&gt;</v>
      </c>
    </row>
    <row r="11269" spans="1:1" x14ac:dyDescent="0.2">
      <c r="A11269" s="996" t="str">
        <f>CONCATENATE(Programme!D11270,Programme!E11270,Programme!F11270,Programme!G11270,Programme!H11270,Programme!I11270,Programme!J11270)</f>
        <v>&lt;cellule&gt;&lt;codeEdi&gt;1083&lt;/codeEdi&gt;&lt;/cellule&gt;</v>
      </c>
    </row>
    <row r="11270" spans="1:1" x14ac:dyDescent="0.2">
      <c r="A11270" s="996" t="str">
        <f>CONCATENATE(Programme!D11271,Programme!E11271,Programme!F11271,Programme!G11271,Programme!H11271,Programme!I11271,Programme!J11271)</f>
        <v>&lt;valeur&gt;&lt;/valeur&gt;</v>
      </c>
    </row>
    <row r="11271" spans="1:1" x14ac:dyDescent="0.2">
      <c r="A11271" s="996" t="str">
        <f>CONCATENATE(Programme!D11272,Programme!E11272,Programme!F11272,Programme!G11272,Programme!H11272,Programme!I11272,Programme!J11272)</f>
        <v>&lt;numeroLigne&gt;62&lt;/numeroLigne&gt;</v>
      </c>
    </row>
    <row r="11272" spans="1:1" x14ac:dyDescent="0.2">
      <c r="A11272" s="996" t="str">
        <f>CONCATENATE(Programme!D11273,Programme!E11273,Programme!F11273,Programme!G11273,Programme!H11273,Programme!I11273,Programme!J11273)</f>
        <v>&lt;/ValeurCellule&gt;</v>
      </c>
    </row>
    <row r="11273" spans="1:1" x14ac:dyDescent="0.2">
      <c r="A11273" s="996" t="str">
        <f>CONCATENATE(Programme!D11274,Programme!E11274,Programme!F11274,Programme!G11274,Programme!H11274,Programme!I11274,Programme!J11274)</f>
        <v>&lt;ValeurCellule&gt;</v>
      </c>
    </row>
    <row r="11274" spans="1:1" x14ac:dyDescent="0.2">
      <c r="A11274" s="996" t="str">
        <f>CONCATENATE(Programme!D11275,Programme!E11275,Programme!F11275,Programme!G11275,Programme!H11275,Programme!I11275,Programme!J11275)</f>
        <v>&lt;cellule&gt;&lt;codeEdi&gt;1084&lt;/codeEdi&gt;&lt;/cellule&gt;</v>
      </c>
    </row>
    <row r="11275" spans="1:1" x14ac:dyDescent="0.2">
      <c r="A11275" s="996" t="str">
        <f>CONCATENATE(Programme!D11276,Programme!E11276,Programme!F11276,Programme!G11276,Programme!H11276,Programme!I11276,Programme!J11276)</f>
        <v>&lt;valeur&gt;&lt;/valeur&gt;</v>
      </c>
    </row>
    <row r="11276" spans="1:1" x14ac:dyDescent="0.2">
      <c r="A11276" s="996" t="str">
        <f>CONCATENATE(Programme!D11277,Programme!E11277,Programme!F11277,Programme!G11277,Programme!H11277,Programme!I11277,Programme!J11277)</f>
        <v>&lt;numeroLigne&gt;62&lt;/numeroLigne&gt;</v>
      </c>
    </row>
    <row r="11277" spans="1:1" x14ac:dyDescent="0.2">
      <c r="A11277" s="996" t="str">
        <f>CONCATENATE(Programme!D11278,Programme!E11278,Programme!F11278,Programme!G11278,Programme!H11278,Programme!I11278,Programme!J11278)</f>
        <v>&lt;/ValeurCellule&gt;</v>
      </c>
    </row>
    <row r="11278" spans="1:1" x14ac:dyDescent="0.2">
      <c r="A11278" s="996" t="str">
        <f>CONCATENATE(Programme!D11279,Programme!E11279,Programme!F11279,Programme!G11279,Programme!H11279,Programme!I11279,Programme!J11279)</f>
        <v>&lt;ValeurCellule&gt;</v>
      </c>
    </row>
    <row r="11279" spans="1:1" x14ac:dyDescent="0.2">
      <c r="A11279" s="996" t="str">
        <f>CONCATENATE(Programme!D11280,Programme!E11280,Programme!F11280,Programme!G11280,Programme!H11280,Programme!I11280,Programme!J11280)</f>
        <v>&lt;cellule&gt;&lt;codeEdi&gt;1085&lt;/codeEdi&gt;&lt;/cellule&gt;</v>
      </c>
    </row>
    <row r="11280" spans="1:1" x14ac:dyDescent="0.2">
      <c r="A11280" s="996" t="str">
        <f>CONCATENATE(Programme!D11281,Programme!E11281,Programme!F11281,Programme!G11281,Programme!H11281,Programme!I11281,Programme!J11281)</f>
        <v>&lt;valeur&gt;&lt;/valeur&gt;</v>
      </c>
    </row>
    <row r="11281" spans="1:1" x14ac:dyDescent="0.2">
      <c r="A11281" s="996" t="str">
        <f>CONCATENATE(Programme!D11282,Programme!E11282,Programme!F11282,Programme!G11282,Programme!H11282,Programme!I11282,Programme!J11282)</f>
        <v>&lt;numeroLigne&gt;62&lt;/numeroLigne&gt;</v>
      </c>
    </row>
    <row r="11282" spans="1:1" x14ac:dyDescent="0.2">
      <c r="A11282" s="996" t="str">
        <f>CONCATENATE(Programme!D11283,Programme!E11283,Programme!F11283,Programme!G11283,Programme!H11283,Programme!I11283,Programme!J11283)</f>
        <v>&lt;/ValeurCellule&gt;</v>
      </c>
    </row>
    <row r="11283" spans="1:1" x14ac:dyDescent="0.2">
      <c r="A11283" s="996" t="str">
        <f>CONCATENATE(Programme!D11284,Programme!E11284,Programme!F11284,Programme!G11284,Programme!H11284,Programme!I11284,Programme!J11284)</f>
        <v>&lt;ValeurCellule&gt;</v>
      </c>
    </row>
    <row r="11284" spans="1:1" x14ac:dyDescent="0.2">
      <c r="A11284" s="996" t="str">
        <f>CONCATENATE(Programme!D11285,Programme!E11285,Programme!F11285,Programme!G11285,Programme!H11285,Programme!I11285,Programme!J11285)</f>
        <v>&lt;cellule&gt;&lt;codeEdi&gt;1086&lt;/codeEdi&gt;&lt;/cellule&gt;</v>
      </c>
    </row>
    <row r="11285" spans="1:1" x14ac:dyDescent="0.2">
      <c r="A11285" s="996" t="str">
        <f>CONCATENATE(Programme!D11286,Programme!E11286,Programme!F11286,Programme!G11286,Programme!H11286,Programme!I11286,Programme!J11286)</f>
        <v>&lt;valeur&gt;&lt;/valeur&gt;</v>
      </c>
    </row>
    <row r="11286" spans="1:1" x14ac:dyDescent="0.2">
      <c r="A11286" s="996" t="str">
        <f>CONCATENATE(Programme!D11287,Programme!E11287,Programme!F11287,Programme!G11287,Programme!H11287,Programme!I11287,Programme!J11287)</f>
        <v>&lt;numeroLigne&gt;62&lt;/numeroLigne&gt;</v>
      </c>
    </row>
    <row r="11287" spans="1:1" x14ac:dyDescent="0.2">
      <c r="A11287" s="996" t="str">
        <f>CONCATENATE(Programme!D11288,Programme!E11288,Programme!F11288,Programme!G11288,Programme!H11288,Programme!I11288,Programme!J11288)</f>
        <v>&lt;/ValeurCellule&gt;</v>
      </c>
    </row>
    <row r="11288" spans="1:1" x14ac:dyDescent="0.2">
      <c r="A11288" s="996" t="str">
        <f>CONCATENATE(Programme!D11289,Programme!E11289,Programme!F11289,Programme!G11289,Programme!H11289,Programme!I11289,Programme!J11289)</f>
        <v>&lt;ValeurCellule&gt;</v>
      </c>
    </row>
    <row r="11289" spans="1:1" x14ac:dyDescent="0.2">
      <c r="A11289" s="996" t="str">
        <f>CONCATENATE(Programme!D11290,Programme!E11290,Programme!F11290,Programme!G11290,Programme!H11290,Programme!I11290,Programme!J11290)</f>
        <v>&lt;cellule&gt;&lt;codeEdi&gt;10061&lt;/codeEdi&gt;&lt;/cellule&gt;</v>
      </c>
    </row>
    <row r="11290" spans="1:1" x14ac:dyDescent="0.2">
      <c r="A11290" s="996" t="str">
        <f>CONCATENATE(Programme!D11291,Programme!E11291,Programme!F11291,Programme!G11291,Programme!H11291,Programme!I11291,Programme!J11291)</f>
        <v>&lt;valeur&gt;&lt;/valeur&gt;</v>
      </c>
    </row>
    <row r="11291" spans="1:1" x14ac:dyDescent="0.2">
      <c r="A11291" s="996" t="str">
        <f>CONCATENATE(Programme!D11292,Programme!E11292,Programme!F11292,Programme!G11292,Programme!H11292,Programme!I11292,Programme!J11292)</f>
        <v>&lt;numeroLigne&gt;63&lt;/numeroLigne&gt;</v>
      </c>
    </row>
    <row r="11292" spans="1:1" x14ac:dyDescent="0.2">
      <c r="A11292" s="996" t="str">
        <f>CONCATENATE(Programme!D11293,Programme!E11293,Programme!F11293,Programme!G11293,Programme!H11293,Programme!I11293,Programme!J11293)</f>
        <v>&lt;/ValeurCellule&gt;</v>
      </c>
    </row>
    <row r="11293" spans="1:1" x14ac:dyDescent="0.2">
      <c r="A11293" s="996" t="str">
        <f>CONCATENATE(Programme!D11294,Programme!E11294,Programme!F11294,Programme!G11294,Programme!H11294,Programme!I11294,Programme!J11294)</f>
        <v>&lt;ValeurCellule&gt;</v>
      </c>
    </row>
    <row r="11294" spans="1:1" x14ac:dyDescent="0.2">
      <c r="A11294" s="996" t="str">
        <f>CONCATENATE(Programme!D11295,Programme!E11295,Programme!F11295,Programme!G11295,Programme!H11295,Programme!I11295,Programme!J11295)</f>
        <v>&lt;cellule&gt;&lt;codeEdi&gt;1078&lt;/codeEdi&gt;&lt;/cellule&gt;</v>
      </c>
    </row>
    <row r="11295" spans="1:1" x14ac:dyDescent="0.2">
      <c r="A11295" s="996" t="str">
        <f>CONCATENATE(Programme!D11296,Programme!E11296,Programme!F11296,Programme!G11296,Programme!H11296,Programme!I11296,Programme!J11296)</f>
        <v>&lt;valeur&gt;&lt;/valeur&gt;</v>
      </c>
    </row>
    <row r="11296" spans="1:1" x14ac:dyDescent="0.2">
      <c r="A11296" s="996" t="str">
        <f>CONCATENATE(Programme!D11297,Programme!E11297,Programme!F11297,Programme!G11297,Programme!H11297,Programme!I11297,Programme!J11297)</f>
        <v>&lt;numeroLigne&gt;63&lt;/numeroLigne&gt;</v>
      </c>
    </row>
    <row r="11297" spans="1:1" x14ac:dyDescent="0.2">
      <c r="A11297" s="996" t="str">
        <f>CONCATENATE(Programme!D11298,Programme!E11298,Programme!F11298,Programme!G11298,Programme!H11298,Programme!I11298,Programme!J11298)</f>
        <v>&lt;/ValeurCellule&gt;</v>
      </c>
    </row>
    <row r="11298" spans="1:1" x14ac:dyDescent="0.2">
      <c r="A11298" s="996" t="str">
        <f>CONCATENATE(Programme!D11299,Programme!E11299,Programme!F11299,Programme!G11299,Programme!H11299,Programme!I11299,Programme!J11299)</f>
        <v>&lt;ValeurCellule&gt;</v>
      </c>
    </row>
    <row r="11299" spans="1:1" x14ac:dyDescent="0.2">
      <c r="A11299" s="996" t="str">
        <f>CONCATENATE(Programme!D11300,Programme!E11300,Programme!F11300,Programme!G11300,Programme!H11300,Programme!I11300,Programme!J11300)</f>
        <v>&lt;cellule&gt;&lt;codeEdi&gt;1079&lt;/codeEdi&gt;&lt;/cellule&gt;</v>
      </c>
    </row>
    <row r="11300" spans="1:1" x14ac:dyDescent="0.2">
      <c r="A11300" s="996" t="str">
        <f>CONCATENATE(Programme!D11301,Programme!E11301,Programme!F11301,Programme!G11301,Programme!H11301,Programme!I11301,Programme!J11301)</f>
        <v>&lt;valeur&gt;&lt;/valeur&gt;</v>
      </c>
    </row>
    <row r="11301" spans="1:1" x14ac:dyDescent="0.2">
      <c r="A11301" s="996" t="str">
        <f>CONCATENATE(Programme!D11302,Programme!E11302,Programme!F11302,Programme!G11302,Programme!H11302,Programme!I11302,Programme!J11302)</f>
        <v>&lt;numeroLigne&gt;63&lt;/numeroLigne&gt;</v>
      </c>
    </row>
    <row r="11302" spans="1:1" x14ac:dyDescent="0.2">
      <c r="A11302" s="996" t="str">
        <f>CONCATENATE(Programme!D11303,Programme!E11303,Programme!F11303,Programme!G11303,Programme!H11303,Programme!I11303,Programme!J11303)</f>
        <v>&lt;/ValeurCellule&gt;</v>
      </c>
    </row>
    <row r="11303" spans="1:1" x14ac:dyDescent="0.2">
      <c r="A11303" s="996" t="str">
        <f>CONCATENATE(Programme!D11304,Programme!E11304,Programme!F11304,Programme!G11304,Programme!H11304,Programme!I11304,Programme!J11304)</f>
        <v>&lt;ValeurCellule&gt;</v>
      </c>
    </row>
    <row r="11304" spans="1:1" x14ac:dyDescent="0.2">
      <c r="A11304" s="996" t="str">
        <f>CONCATENATE(Programme!D11305,Programme!E11305,Programme!F11305,Programme!G11305,Programme!H11305,Programme!I11305,Programme!J11305)</f>
        <v>&lt;cellule&gt;&lt;codeEdi&gt;1080&lt;/codeEdi&gt;&lt;/cellule&gt;</v>
      </c>
    </row>
    <row r="11305" spans="1:1" x14ac:dyDescent="0.2">
      <c r="A11305" s="996" t="str">
        <f>CONCATENATE(Programme!D11306,Programme!E11306,Programme!F11306,Programme!G11306,Programme!H11306,Programme!I11306,Programme!J11306)</f>
        <v>&lt;valeur&gt;&lt;/valeur&gt;</v>
      </c>
    </row>
    <row r="11306" spans="1:1" x14ac:dyDescent="0.2">
      <c r="A11306" s="996" t="str">
        <f>CONCATENATE(Programme!D11307,Programme!E11307,Programme!F11307,Programme!G11307,Programme!H11307,Programme!I11307,Programme!J11307)</f>
        <v>&lt;numeroLigne&gt;63&lt;/numeroLigne&gt;</v>
      </c>
    </row>
    <row r="11307" spans="1:1" x14ac:dyDescent="0.2">
      <c r="A11307" s="996" t="str">
        <f>CONCATENATE(Programme!D11308,Programme!E11308,Programme!F11308,Programme!G11308,Programme!H11308,Programme!I11308,Programme!J11308)</f>
        <v>&lt;/ValeurCellule&gt;</v>
      </c>
    </row>
    <row r="11308" spans="1:1" x14ac:dyDescent="0.2">
      <c r="A11308" s="996" t="str">
        <f>CONCATENATE(Programme!D11309,Programme!E11309,Programme!F11309,Programme!G11309,Programme!H11309,Programme!I11309,Programme!J11309)</f>
        <v>&lt;ValeurCellule&gt;</v>
      </c>
    </row>
    <row r="11309" spans="1:1" x14ac:dyDescent="0.2">
      <c r="A11309" s="996" t="str">
        <f>CONCATENATE(Programme!D11310,Programme!E11310,Programme!F11310,Programme!G11310,Programme!H11310,Programme!I11310,Programme!J11310)</f>
        <v>&lt;cellule&gt;&lt;codeEdi&gt;1081&lt;/codeEdi&gt;&lt;/cellule&gt;</v>
      </c>
    </row>
    <row r="11310" spans="1:1" x14ac:dyDescent="0.2">
      <c r="A11310" s="996" t="str">
        <f>CONCATENATE(Programme!D11311,Programme!E11311,Programme!F11311,Programme!G11311,Programme!H11311,Programme!I11311,Programme!J11311)</f>
        <v>&lt;valeur&gt;&lt;/valeur&gt;</v>
      </c>
    </row>
    <row r="11311" spans="1:1" x14ac:dyDescent="0.2">
      <c r="A11311" s="996" t="str">
        <f>CONCATENATE(Programme!D11312,Programme!E11312,Programme!F11312,Programme!G11312,Programme!H11312,Programme!I11312,Programme!J11312)</f>
        <v>&lt;numeroLigne&gt;63&lt;/numeroLigne&gt;</v>
      </c>
    </row>
    <row r="11312" spans="1:1" x14ac:dyDescent="0.2">
      <c r="A11312" s="996" t="str">
        <f>CONCATENATE(Programme!D11313,Programme!E11313,Programme!F11313,Programme!G11313,Programme!H11313,Programme!I11313,Programme!J11313)</f>
        <v>&lt;/ValeurCellule&gt;</v>
      </c>
    </row>
    <row r="11313" spans="1:1" x14ac:dyDescent="0.2">
      <c r="A11313" s="996" t="str">
        <f>CONCATENATE(Programme!D11314,Programme!E11314,Programme!F11314,Programme!G11314,Programme!H11314,Programme!I11314,Programme!J11314)</f>
        <v>&lt;ValeurCellule&gt;</v>
      </c>
    </row>
    <row r="11314" spans="1:1" x14ac:dyDescent="0.2">
      <c r="A11314" s="996" t="str">
        <f>CONCATENATE(Programme!D11315,Programme!E11315,Programme!F11315,Programme!G11315,Programme!H11315,Programme!I11315,Programme!J11315)</f>
        <v>&lt;cellule&gt;&lt;codeEdi&gt;1082&lt;/codeEdi&gt;&lt;/cellule&gt;</v>
      </c>
    </row>
    <row r="11315" spans="1:1" x14ac:dyDescent="0.2">
      <c r="A11315" s="996" t="str">
        <f>CONCATENATE(Programme!D11316,Programme!E11316,Programme!F11316,Programme!G11316,Programme!H11316,Programme!I11316,Programme!J11316)</f>
        <v>&lt;valeur&gt;&lt;/valeur&gt;</v>
      </c>
    </row>
    <row r="11316" spans="1:1" x14ac:dyDescent="0.2">
      <c r="A11316" s="996" t="str">
        <f>CONCATENATE(Programme!D11317,Programme!E11317,Programme!F11317,Programme!G11317,Programme!H11317,Programme!I11317,Programme!J11317)</f>
        <v>&lt;numeroLigne&gt;63&lt;/numeroLigne&gt;</v>
      </c>
    </row>
    <row r="11317" spans="1:1" x14ac:dyDescent="0.2">
      <c r="A11317" s="996" t="str">
        <f>CONCATENATE(Programme!D11318,Programme!E11318,Programme!F11318,Programme!G11318,Programme!H11318,Programme!I11318,Programme!J11318)</f>
        <v>&lt;/ValeurCellule&gt;</v>
      </c>
    </row>
    <row r="11318" spans="1:1" x14ac:dyDescent="0.2">
      <c r="A11318" s="996" t="str">
        <f>CONCATENATE(Programme!D11319,Programme!E11319,Programme!F11319,Programme!G11319,Programme!H11319,Programme!I11319,Programme!J11319)</f>
        <v>&lt;ValeurCellule&gt;</v>
      </c>
    </row>
    <row r="11319" spans="1:1" x14ac:dyDescent="0.2">
      <c r="A11319" s="996" t="str">
        <f>CONCATENATE(Programme!D11320,Programme!E11320,Programme!F11320,Programme!G11320,Programme!H11320,Programme!I11320,Programme!J11320)</f>
        <v>&lt;cellule&gt;&lt;codeEdi&gt;1083&lt;/codeEdi&gt;&lt;/cellule&gt;</v>
      </c>
    </row>
    <row r="11320" spans="1:1" x14ac:dyDescent="0.2">
      <c r="A11320" s="996" t="str">
        <f>CONCATENATE(Programme!D11321,Programme!E11321,Programme!F11321,Programme!G11321,Programme!H11321,Programme!I11321,Programme!J11321)</f>
        <v>&lt;valeur&gt;&lt;/valeur&gt;</v>
      </c>
    </row>
    <row r="11321" spans="1:1" x14ac:dyDescent="0.2">
      <c r="A11321" s="996" t="str">
        <f>CONCATENATE(Programme!D11322,Programme!E11322,Programme!F11322,Programme!G11322,Programme!H11322,Programme!I11322,Programme!J11322)</f>
        <v>&lt;numeroLigne&gt;63&lt;/numeroLigne&gt;</v>
      </c>
    </row>
    <row r="11322" spans="1:1" x14ac:dyDescent="0.2">
      <c r="A11322" s="996" t="str">
        <f>CONCATENATE(Programme!D11323,Programme!E11323,Programme!F11323,Programme!G11323,Programme!H11323,Programme!I11323,Programme!J11323)</f>
        <v>&lt;/ValeurCellule&gt;</v>
      </c>
    </row>
    <row r="11323" spans="1:1" x14ac:dyDescent="0.2">
      <c r="A11323" s="996" t="str">
        <f>CONCATENATE(Programme!D11324,Programme!E11324,Programme!F11324,Programme!G11324,Programme!H11324,Programme!I11324,Programme!J11324)</f>
        <v>&lt;ValeurCellule&gt;</v>
      </c>
    </row>
    <row r="11324" spans="1:1" x14ac:dyDescent="0.2">
      <c r="A11324" s="996" t="str">
        <f>CONCATENATE(Programme!D11325,Programme!E11325,Programme!F11325,Programme!G11325,Programme!H11325,Programme!I11325,Programme!J11325)</f>
        <v>&lt;cellule&gt;&lt;codeEdi&gt;1084&lt;/codeEdi&gt;&lt;/cellule&gt;</v>
      </c>
    </row>
    <row r="11325" spans="1:1" x14ac:dyDescent="0.2">
      <c r="A11325" s="996" t="str">
        <f>CONCATENATE(Programme!D11326,Programme!E11326,Programme!F11326,Programme!G11326,Programme!H11326,Programme!I11326,Programme!J11326)</f>
        <v>&lt;valeur&gt;&lt;/valeur&gt;</v>
      </c>
    </row>
    <row r="11326" spans="1:1" x14ac:dyDescent="0.2">
      <c r="A11326" s="996" t="str">
        <f>CONCATENATE(Programme!D11327,Programme!E11327,Programme!F11327,Programme!G11327,Programme!H11327,Programme!I11327,Programme!J11327)</f>
        <v>&lt;numeroLigne&gt;63&lt;/numeroLigne&gt;</v>
      </c>
    </row>
    <row r="11327" spans="1:1" x14ac:dyDescent="0.2">
      <c r="A11327" s="996" t="str">
        <f>CONCATENATE(Programme!D11328,Programme!E11328,Programme!F11328,Programme!G11328,Programme!H11328,Programme!I11328,Programme!J11328)</f>
        <v>&lt;/ValeurCellule&gt;</v>
      </c>
    </row>
    <row r="11328" spans="1:1" x14ac:dyDescent="0.2">
      <c r="A11328" s="996" t="str">
        <f>CONCATENATE(Programme!D11329,Programme!E11329,Programme!F11329,Programme!G11329,Programme!H11329,Programme!I11329,Programme!J11329)</f>
        <v>&lt;ValeurCellule&gt;</v>
      </c>
    </row>
    <row r="11329" spans="1:1" x14ac:dyDescent="0.2">
      <c r="A11329" s="996" t="str">
        <f>CONCATENATE(Programme!D11330,Programme!E11330,Programme!F11330,Programme!G11330,Programme!H11330,Programme!I11330,Programme!J11330)</f>
        <v>&lt;cellule&gt;&lt;codeEdi&gt;1085&lt;/codeEdi&gt;&lt;/cellule&gt;</v>
      </c>
    </row>
    <row r="11330" spans="1:1" x14ac:dyDescent="0.2">
      <c r="A11330" s="996" t="str">
        <f>CONCATENATE(Programme!D11331,Programme!E11331,Programme!F11331,Programme!G11331,Programme!H11331,Programme!I11331,Programme!J11331)</f>
        <v>&lt;valeur&gt;&lt;/valeur&gt;</v>
      </c>
    </row>
    <row r="11331" spans="1:1" x14ac:dyDescent="0.2">
      <c r="A11331" s="996" t="str">
        <f>CONCATENATE(Programme!D11332,Programme!E11332,Programme!F11332,Programme!G11332,Programme!H11332,Programme!I11332,Programme!J11332)</f>
        <v>&lt;numeroLigne&gt;63&lt;/numeroLigne&gt;</v>
      </c>
    </row>
    <row r="11332" spans="1:1" x14ac:dyDescent="0.2">
      <c r="A11332" s="996" t="str">
        <f>CONCATENATE(Programme!D11333,Programme!E11333,Programme!F11333,Programme!G11333,Programme!H11333,Programme!I11333,Programme!J11333)</f>
        <v>&lt;/ValeurCellule&gt;</v>
      </c>
    </row>
    <row r="11333" spans="1:1" x14ac:dyDescent="0.2">
      <c r="A11333" s="996" t="str">
        <f>CONCATENATE(Programme!D11334,Programme!E11334,Programme!F11334,Programme!G11334,Programme!H11334,Programme!I11334,Programme!J11334)</f>
        <v>&lt;ValeurCellule&gt;</v>
      </c>
    </row>
    <row r="11334" spans="1:1" x14ac:dyDescent="0.2">
      <c r="A11334" s="996" t="str">
        <f>CONCATENATE(Programme!D11335,Programme!E11335,Programme!F11335,Programme!G11335,Programme!H11335,Programme!I11335,Programme!J11335)</f>
        <v>&lt;cellule&gt;&lt;codeEdi&gt;1086&lt;/codeEdi&gt;&lt;/cellule&gt;</v>
      </c>
    </row>
    <row r="11335" spans="1:1" x14ac:dyDescent="0.2">
      <c r="A11335" s="996" t="str">
        <f>CONCATENATE(Programme!D11336,Programme!E11336,Programme!F11336,Programme!G11336,Programme!H11336,Programme!I11336,Programme!J11336)</f>
        <v>&lt;valeur&gt;&lt;/valeur&gt;</v>
      </c>
    </row>
    <row r="11336" spans="1:1" x14ac:dyDescent="0.2">
      <c r="A11336" s="996" t="str">
        <f>CONCATENATE(Programme!D11337,Programme!E11337,Programme!F11337,Programme!G11337,Programme!H11337,Programme!I11337,Programme!J11337)</f>
        <v>&lt;numeroLigne&gt;63&lt;/numeroLigne&gt;</v>
      </c>
    </row>
    <row r="11337" spans="1:1" x14ac:dyDescent="0.2">
      <c r="A11337" s="996" t="str">
        <f>CONCATENATE(Programme!D11338,Programme!E11338,Programme!F11338,Programme!G11338,Programme!H11338,Programme!I11338,Programme!J11338)</f>
        <v>&lt;/ValeurCellule&gt;</v>
      </c>
    </row>
    <row r="11338" spans="1:1" x14ac:dyDescent="0.2">
      <c r="A11338" s="996" t="str">
        <f>CONCATENATE(Programme!D11339,Programme!E11339,Programme!F11339,Programme!G11339,Programme!H11339,Programme!I11339,Programme!J11339)</f>
        <v>&lt;ValeurCellule&gt;</v>
      </c>
    </row>
    <row r="11339" spans="1:1" x14ac:dyDescent="0.2">
      <c r="A11339" s="996" t="str">
        <f>CONCATENATE(Programme!D11340,Programme!E11340,Programme!F11340,Programme!G11340,Programme!H11340,Programme!I11340,Programme!J11340)</f>
        <v>&lt;cellule&gt;&lt;codeEdi&gt;10061&lt;/codeEdi&gt;&lt;/cellule&gt;</v>
      </c>
    </row>
    <row r="11340" spans="1:1" x14ac:dyDescent="0.2">
      <c r="A11340" s="996" t="str">
        <f>CONCATENATE(Programme!D11341,Programme!E11341,Programme!F11341,Programme!G11341,Programme!H11341,Programme!I11341,Programme!J11341)</f>
        <v>&lt;valeur&gt;&lt;/valeur&gt;</v>
      </c>
    </row>
    <row r="11341" spans="1:1" x14ac:dyDescent="0.2">
      <c r="A11341" s="996" t="str">
        <f>CONCATENATE(Programme!D11342,Programme!E11342,Programme!F11342,Programme!G11342,Programme!H11342,Programme!I11342,Programme!J11342)</f>
        <v>&lt;numeroLigne&gt;64&lt;/numeroLigne&gt;</v>
      </c>
    </row>
    <row r="11342" spans="1:1" x14ac:dyDescent="0.2">
      <c r="A11342" s="996" t="str">
        <f>CONCATENATE(Programme!D11343,Programme!E11343,Programme!F11343,Programme!G11343,Programme!H11343,Programme!I11343,Programme!J11343)</f>
        <v>&lt;/ValeurCellule&gt;</v>
      </c>
    </row>
    <row r="11343" spans="1:1" x14ac:dyDescent="0.2">
      <c r="A11343" s="996" t="str">
        <f>CONCATENATE(Programme!D11344,Programme!E11344,Programme!F11344,Programme!G11344,Programme!H11344,Programme!I11344,Programme!J11344)</f>
        <v>&lt;ValeurCellule&gt;</v>
      </c>
    </row>
    <row r="11344" spans="1:1" x14ac:dyDescent="0.2">
      <c r="A11344" s="996" t="str">
        <f>CONCATENATE(Programme!D11345,Programme!E11345,Programme!F11345,Programme!G11345,Programme!H11345,Programme!I11345,Programme!J11345)</f>
        <v>&lt;cellule&gt;&lt;codeEdi&gt;1078&lt;/codeEdi&gt;&lt;/cellule&gt;</v>
      </c>
    </row>
    <row r="11345" spans="1:1" x14ac:dyDescent="0.2">
      <c r="A11345" s="996" t="str">
        <f>CONCATENATE(Programme!D11346,Programme!E11346,Programme!F11346,Programme!G11346,Programme!H11346,Programme!I11346,Programme!J11346)</f>
        <v>&lt;valeur&gt;&lt;/valeur&gt;</v>
      </c>
    </row>
    <row r="11346" spans="1:1" x14ac:dyDescent="0.2">
      <c r="A11346" s="996" t="str">
        <f>CONCATENATE(Programme!D11347,Programme!E11347,Programme!F11347,Programme!G11347,Programme!H11347,Programme!I11347,Programme!J11347)</f>
        <v>&lt;numeroLigne&gt;64&lt;/numeroLigne&gt;</v>
      </c>
    </row>
    <row r="11347" spans="1:1" x14ac:dyDescent="0.2">
      <c r="A11347" s="996" t="str">
        <f>CONCATENATE(Programme!D11348,Programme!E11348,Programme!F11348,Programme!G11348,Programme!H11348,Programme!I11348,Programme!J11348)</f>
        <v>&lt;/ValeurCellule&gt;</v>
      </c>
    </row>
    <row r="11348" spans="1:1" x14ac:dyDescent="0.2">
      <c r="A11348" s="996" t="str">
        <f>CONCATENATE(Programme!D11349,Programme!E11349,Programme!F11349,Programme!G11349,Programme!H11349,Programme!I11349,Programme!J11349)</f>
        <v>&lt;ValeurCellule&gt;</v>
      </c>
    </row>
    <row r="11349" spans="1:1" x14ac:dyDescent="0.2">
      <c r="A11349" s="996" t="str">
        <f>CONCATENATE(Programme!D11350,Programme!E11350,Programme!F11350,Programme!G11350,Programme!H11350,Programme!I11350,Programme!J11350)</f>
        <v>&lt;cellule&gt;&lt;codeEdi&gt;1079&lt;/codeEdi&gt;&lt;/cellule&gt;</v>
      </c>
    </row>
    <row r="11350" spans="1:1" x14ac:dyDescent="0.2">
      <c r="A11350" s="996" t="str">
        <f>CONCATENATE(Programme!D11351,Programme!E11351,Programme!F11351,Programme!G11351,Programme!H11351,Programme!I11351,Programme!J11351)</f>
        <v>&lt;valeur&gt;&lt;/valeur&gt;</v>
      </c>
    </row>
    <row r="11351" spans="1:1" x14ac:dyDescent="0.2">
      <c r="A11351" s="996" t="str">
        <f>CONCATENATE(Programme!D11352,Programme!E11352,Programme!F11352,Programme!G11352,Programme!H11352,Programme!I11352,Programme!J11352)</f>
        <v>&lt;numeroLigne&gt;64&lt;/numeroLigne&gt;</v>
      </c>
    </row>
    <row r="11352" spans="1:1" x14ac:dyDescent="0.2">
      <c r="A11352" s="996" t="str">
        <f>CONCATENATE(Programme!D11353,Programme!E11353,Programme!F11353,Programme!G11353,Programme!H11353,Programme!I11353,Programme!J11353)</f>
        <v>&lt;/ValeurCellule&gt;</v>
      </c>
    </row>
    <row r="11353" spans="1:1" x14ac:dyDescent="0.2">
      <c r="A11353" s="996" t="str">
        <f>CONCATENATE(Programme!D11354,Programme!E11354,Programme!F11354,Programme!G11354,Programme!H11354,Programme!I11354,Programme!J11354)</f>
        <v>&lt;ValeurCellule&gt;</v>
      </c>
    </row>
    <row r="11354" spans="1:1" x14ac:dyDescent="0.2">
      <c r="A11354" s="996" t="str">
        <f>CONCATENATE(Programme!D11355,Programme!E11355,Programme!F11355,Programme!G11355,Programme!H11355,Programme!I11355,Programme!J11355)</f>
        <v>&lt;cellule&gt;&lt;codeEdi&gt;1080&lt;/codeEdi&gt;&lt;/cellule&gt;</v>
      </c>
    </row>
    <row r="11355" spans="1:1" x14ac:dyDescent="0.2">
      <c r="A11355" s="996" t="str">
        <f>CONCATENATE(Programme!D11356,Programme!E11356,Programme!F11356,Programme!G11356,Programme!H11356,Programme!I11356,Programme!J11356)</f>
        <v>&lt;valeur&gt;&lt;/valeur&gt;</v>
      </c>
    </row>
    <row r="11356" spans="1:1" x14ac:dyDescent="0.2">
      <c r="A11356" s="996" t="str">
        <f>CONCATENATE(Programme!D11357,Programme!E11357,Programme!F11357,Programme!G11357,Programme!H11357,Programme!I11357,Programme!J11357)</f>
        <v>&lt;numeroLigne&gt;64&lt;/numeroLigne&gt;</v>
      </c>
    </row>
    <row r="11357" spans="1:1" x14ac:dyDescent="0.2">
      <c r="A11357" s="996" t="str">
        <f>CONCATENATE(Programme!D11358,Programme!E11358,Programme!F11358,Programme!G11358,Programme!H11358,Programme!I11358,Programme!J11358)</f>
        <v>&lt;/ValeurCellule&gt;</v>
      </c>
    </row>
    <row r="11358" spans="1:1" x14ac:dyDescent="0.2">
      <c r="A11358" s="996" t="str">
        <f>CONCATENATE(Programme!D11359,Programme!E11359,Programme!F11359,Programme!G11359,Programme!H11359,Programme!I11359,Programme!J11359)</f>
        <v>&lt;ValeurCellule&gt;</v>
      </c>
    </row>
    <row r="11359" spans="1:1" x14ac:dyDescent="0.2">
      <c r="A11359" s="996" t="str">
        <f>CONCATENATE(Programme!D11360,Programme!E11360,Programme!F11360,Programme!G11360,Programme!H11360,Programme!I11360,Programme!J11360)</f>
        <v>&lt;cellule&gt;&lt;codeEdi&gt;1081&lt;/codeEdi&gt;&lt;/cellule&gt;</v>
      </c>
    </row>
    <row r="11360" spans="1:1" x14ac:dyDescent="0.2">
      <c r="A11360" s="996" t="str">
        <f>CONCATENATE(Programme!D11361,Programme!E11361,Programme!F11361,Programme!G11361,Programme!H11361,Programme!I11361,Programme!J11361)</f>
        <v>&lt;valeur&gt;&lt;/valeur&gt;</v>
      </c>
    </row>
    <row r="11361" spans="1:1" x14ac:dyDescent="0.2">
      <c r="A11361" s="996" t="str">
        <f>CONCATENATE(Programme!D11362,Programme!E11362,Programme!F11362,Programme!G11362,Programme!H11362,Programme!I11362,Programme!J11362)</f>
        <v>&lt;numeroLigne&gt;64&lt;/numeroLigne&gt;</v>
      </c>
    </row>
    <row r="11362" spans="1:1" x14ac:dyDescent="0.2">
      <c r="A11362" s="996" t="str">
        <f>CONCATENATE(Programme!D11363,Programme!E11363,Programme!F11363,Programme!G11363,Programme!H11363,Programme!I11363,Programme!J11363)</f>
        <v>&lt;/ValeurCellule&gt;</v>
      </c>
    </row>
    <row r="11363" spans="1:1" x14ac:dyDescent="0.2">
      <c r="A11363" s="996" t="str">
        <f>CONCATENATE(Programme!D11364,Programme!E11364,Programme!F11364,Programme!G11364,Programme!H11364,Programme!I11364,Programme!J11364)</f>
        <v>&lt;ValeurCellule&gt;</v>
      </c>
    </row>
    <row r="11364" spans="1:1" x14ac:dyDescent="0.2">
      <c r="A11364" s="996" t="str">
        <f>CONCATENATE(Programme!D11365,Programme!E11365,Programme!F11365,Programme!G11365,Programme!H11365,Programme!I11365,Programme!J11365)</f>
        <v>&lt;cellule&gt;&lt;codeEdi&gt;1082&lt;/codeEdi&gt;&lt;/cellule&gt;</v>
      </c>
    </row>
    <row r="11365" spans="1:1" x14ac:dyDescent="0.2">
      <c r="A11365" s="996" t="str">
        <f>CONCATENATE(Programme!D11366,Programme!E11366,Programme!F11366,Programme!G11366,Programme!H11366,Programme!I11366,Programme!J11366)</f>
        <v>&lt;valeur&gt;&lt;/valeur&gt;</v>
      </c>
    </row>
    <row r="11366" spans="1:1" x14ac:dyDescent="0.2">
      <c r="A11366" s="996" t="str">
        <f>CONCATENATE(Programme!D11367,Programme!E11367,Programme!F11367,Programme!G11367,Programme!H11367,Programme!I11367,Programme!J11367)</f>
        <v>&lt;numeroLigne&gt;64&lt;/numeroLigne&gt;</v>
      </c>
    </row>
    <row r="11367" spans="1:1" x14ac:dyDescent="0.2">
      <c r="A11367" s="996" t="str">
        <f>CONCATENATE(Programme!D11368,Programme!E11368,Programme!F11368,Programme!G11368,Programme!H11368,Programme!I11368,Programme!J11368)</f>
        <v>&lt;/ValeurCellule&gt;</v>
      </c>
    </row>
    <row r="11368" spans="1:1" x14ac:dyDescent="0.2">
      <c r="A11368" s="996" t="str">
        <f>CONCATENATE(Programme!D11369,Programme!E11369,Programme!F11369,Programme!G11369,Programme!H11369,Programme!I11369,Programme!J11369)</f>
        <v>&lt;ValeurCellule&gt;</v>
      </c>
    </row>
    <row r="11369" spans="1:1" x14ac:dyDescent="0.2">
      <c r="A11369" s="996" t="str">
        <f>CONCATENATE(Programme!D11370,Programme!E11370,Programme!F11370,Programme!G11370,Programme!H11370,Programme!I11370,Programme!J11370)</f>
        <v>&lt;cellule&gt;&lt;codeEdi&gt;1083&lt;/codeEdi&gt;&lt;/cellule&gt;</v>
      </c>
    </row>
    <row r="11370" spans="1:1" x14ac:dyDescent="0.2">
      <c r="A11370" s="996" t="str">
        <f>CONCATENATE(Programme!D11371,Programme!E11371,Programme!F11371,Programme!G11371,Programme!H11371,Programme!I11371,Programme!J11371)</f>
        <v>&lt;valeur&gt;&lt;/valeur&gt;</v>
      </c>
    </row>
    <row r="11371" spans="1:1" x14ac:dyDescent="0.2">
      <c r="A11371" s="996" t="str">
        <f>CONCATENATE(Programme!D11372,Programme!E11372,Programme!F11372,Programme!G11372,Programme!H11372,Programme!I11372,Programme!J11372)</f>
        <v>&lt;numeroLigne&gt;64&lt;/numeroLigne&gt;</v>
      </c>
    </row>
    <row r="11372" spans="1:1" x14ac:dyDescent="0.2">
      <c r="A11372" s="996" t="str">
        <f>CONCATENATE(Programme!D11373,Programme!E11373,Programme!F11373,Programme!G11373,Programme!H11373,Programme!I11373,Programme!J11373)</f>
        <v>&lt;/ValeurCellule&gt;</v>
      </c>
    </row>
    <row r="11373" spans="1:1" x14ac:dyDescent="0.2">
      <c r="A11373" s="996" t="str">
        <f>CONCATENATE(Programme!D11374,Programme!E11374,Programme!F11374,Programme!G11374,Programme!H11374,Programme!I11374,Programme!J11374)</f>
        <v>&lt;ValeurCellule&gt;</v>
      </c>
    </row>
    <row r="11374" spans="1:1" x14ac:dyDescent="0.2">
      <c r="A11374" s="996" t="str">
        <f>CONCATENATE(Programme!D11375,Programme!E11375,Programme!F11375,Programme!G11375,Programme!H11375,Programme!I11375,Programme!J11375)</f>
        <v>&lt;cellule&gt;&lt;codeEdi&gt;1084&lt;/codeEdi&gt;&lt;/cellule&gt;</v>
      </c>
    </row>
    <row r="11375" spans="1:1" x14ac:dyDescent="0.2">
      <c r="A11375" s="996" t="str">
        <f>CONCATENATE(Programme!D11376,Programme!E11376,Programme!F11376,Programme!G11376,Programme!H11376,Programme!I11376,Programme!J11376)</f>
        <v>&lt;valeur&gt;&lt;/valeur&gt;</v>
      </c>
    </row>
    <row r="11376" spans="1:1" x14ac:dyDescent="0.2">
      <c r="A11376" s="996" t="str">
        <f>CONCATENATE(Programme!D11377,Programme!E11377,Programme!F11377,Programme!G11377,Programme!H11377,Programme!I11377,Programme!J11377)</f>
        <v>&lt;numeroLigne&gt;64&lt;/numeroLigne&gt;</v>
      </c>
    </row>
    <row r="11377" spans="1:1" x14ac:dyDescent="0.2">
      <c r="A11377" s="996" t="str">
        <f>CONCATENATE(Programme!D11378,Programme!E11378,Programme!F11378,Programme!G11378,Programme!H11378,Programme!I11378,Programme!J11378)</f>
        <v>&lt;/ValeurCellule&gt;</v>
      </c>
    </row>
    <row r="11378" spans="1:1" x14ac:dyDescent="0.2">
      <c r="A11378" s="996" t="str">
        <f>CONCATENATE(Programme!D11379,Programme!E11379,Programme!F11379,Programme!G11379,Programme!H11379,Programme!I11379,Programme!J11379)</f>
        <v>&lt;ValeurCellule&gt;</v>
      </c>
    </row>
    <row r="11379" spans="1:1" x14ac:dyDescent="0.2">
      <c r="A11379" s="996" t="str">
        <f>CONCATENATE(Programme!D11380,Programme!E11380,Programme!F11380,Programme!G11380,Programme!H11380,Programme!I11380,Programme!J11380)</f>
        <v>&lt;cellule&gt;&lt;codeEdi&gt;1085&lt;/codeEdi&gt;&lt;/cellule&gt;</v>
      </c>
    </row>
    <row r="11380" spans="1:1" x14ac:dyDescent="0.2">
      <c r="A11380" s="996" t="str">
        <f>CONCATENATE(Programme!D11381,Programme!E11381,Programme!F11381,Programme!G11381,Programme!H11381,Programme!I11381,Programme!J11381)</f>
        <v>&lt;valeur&gt;&lt;/valeur&gt;</v>
      </c>
    </row>
    <row r="11381" spans="1:1" x14ac:dyDescent="0.2">
      <c r="A11381" s="996" t="str">
        <f>CONCATENATE(Programme!D11382,Programme!E11382,Programme!F11382,Programme!G11382,Programme!H11382,Programme!I11382,Programme!J11382)</f>
        <v>&lt;numeroLigne&gt;64&lt;/numeroLigne&gt;</v>
      </c>
    </row>
    <row r="11382" spans="1:1" x14ac:dyDescent="0.2">
      <c r="A11382" s="996" t="str">
        <f>CONCATENATE(Programme!D11383,Programme!E11383,Programme!F11383,Programme!G11383,Programme!H11383,Programme!I11383,Programme!J11383)</f>
        <v>&lt;/ValeurCellule&gt;</v>
      </c>
    </row>
    <row r="11383" spans="1:1" x14ac:dyDescent="0.2">
      <c r="A11383" s="996" t="str">
        <f>CONCATENATE(Programme!D11384,Programme!E11384,Programme!F11384,Programme!G11384,Programme!H11384,Programme!I11384,Programme!J11384)</f>
        <v>&lt;ValeurCellule&gt;</v>
      </c>
    </row>
    <row r="11384" spans="1:1" x14ac:dyDescent="0.2">
      <c r="A11384" s="996" t="str">
        <f>CONCATENATE(Programme!D11385,Programme!E11385,Programme!F11385,Programme!G11385,Programme!H11385,Programme!I11385,Programme!J11385)</f>
        <v>&lt;cellule&gt;&lt;codeEdi&gt;1086&lt;/codeEdi&gt;&lt;/cellule&gt;</v>
      </c>
    </row>
    <row r="11385" spans="1:1" x14ac:dyDescent="0.2">
      <c r="A11385" s="996" t="str">
        <f>CONCATENATE(Programme!D11386,Programme!E11386,Programme!F11386,Programme!G11386,Programme!H11386,Programme!I11386,Programme!J11386)</f>
        <v>&lt;valeur&gt;&lt;/valeur&gt;</v>
      </c>
    </row>
    <row r="11386" spans="1:1" x14ac:dyDescent="0.2">
      <c r="A11386" s="996" t="str">
        <f>CONCATENATE(Programme!D11387,Programme!E11387,Programme!F11387,Programme!G11387,Programme!H11387,Programme!I11387,Programme!J11387)</f>
        <v>&lt;numeroLigne&gt;64&lt;/numeroLigne&gt;</v>
      </c>
    </row>
    <row r="11387" spans="1:1" x14ac:dyDescent="0.2">
      <c r="A11387" s="996" t="str">
        <f>CONCATENATE(Programme!D11388,Programme!E11388,Programme!F11388,Programme!G11388,Programme!H11388,Programme!I11388,Programme!J11388)</f>
        <v>&lt;/ValeurCellule&gt;</v>
      </c>
    </row>
    <row r="11388" spans="1:1" x14ac:dyDescent="0.2">
      <c r="A11388" s="996" t="str">
        <f>CONCATENATE(Programme!D11389,Programme!E11389,Programme!F11389,Programme!G11389,Programme!H11389,Programme!I11389,Programme!J11389)</f>
        <v>&lt;ValeurCellule&gt;</v>
      </c>
    </row>
    <row r="11389" spans="1:1" x14ac:dyDescent="0.2">
      <c r="A11389" s="996" t="str">
        <f>CONCATENATE(Programme!D11390,Programme!E11390,Programme!F11390,Programme!G11390,Programme!H11390,Programme!I11390,Programme!J11390)</f>
        <v>&lt;cellule&gt;&lt;codeEdi&gt;10061&lt;/codeEdi&gt;&lt;/cellule&gt;</v>
      </c>
    </row>
    <row r="11390" spans="1:1" x14ac:dyDescent="0.2">
      <c r="A11390" s="996" t="str">
        <f>CONCATENATE(Programme!D11391,Programme!E11391,Programme!F11391,Programme!G11391,Programme!H11391,Programme!I11391,Programme!J11391)</f>
        <v>&lt;valeur&gt;&lt;/valeur&gt;</v>
      </c>
    </row>
    <row r="11391" spans="1:1" x14ac:dyDescent="0.2">
      <c r="A11391" s="996" t="str">
        <f>CONCATENATE(Programme!D11392,Programme!E11392,Programme!F11392,Programme!G11392,Programme!H11392,Programme!I11392,Programme!J11392)</f>
        <v>&lt;numeroLigne&gt;65&lt;/numeroLigne&gt;</v>
      </c>
    </row>
    <row r="11392" spans="1:1" x14ac:dyDescent="0.2">
      <c r="A11392" s="996" t="str">
        <f>CONCATENATE(Programme!D11393,Programme!E11393,Programme!F11393,Programme!G11393,Programme!H11393,Programme!I11393,Programme!J11393)</f>
        <v>&lt;/ValeurCellule&gt;</v>
      </c>
    </row>
    <row r="11393" spans="1:1" x14ac:dyDescent="0.2">
      <c r="A11393" s="996" t="str">
        <f>CONCATENATE(Programme!D11394,Programme!E11394,Programme!F11394,Programme!G11394,Programme!H11394,Programme!I11394,Programme!J11394)</f>
        <v>&lt;ValeurCellule&gt;</v>
      </c>
    </row>
    <row r="11394" spans="1:1" x14ac:dyDescent="0.2">
      <c r="A11394" s="996" t="str">
        <f>CONCATENATE(Programme!D11395,Programme!E11395,Programme!F11395,Programme!G11395,Programme!H11395,Programme!I11395,Programme!J11395)</f>
        <v>&lt;cellule&gt;&lt;codeEdi&gt;1078&lt;/codeEdi&gt;&lt;/cellule&gt;</v>
      </c>
    </row>
    <row r="11395" spans="1:1" x14ac:dyDescent="0.2">
      <c r="A11395" s="996" t="str">
        <f>CONCATENATE(Programme!D11396,Programme!E11396,Programme!F11396,Programme!G11396,Programme!H11396,Programme!I11396,Programme!J11396)</f>
        <v>&lt;valeur&gt;&lt;/valeur&gt;</v>
      </c>
    </row>
    <row r="11396" spans="1:1" x14ac:dyDescent="0.2">
      <c r="A11396" s="996" t="str">
        <f>CONCATENATE(Programme!D11397,Programme!E11397,Programme!F11397,Programme!G11397,Programme!H11397,Programme!I11397,Programme!J11397)</f>
        <v>&lt;numeroLigne&gt;65&lt;/numeroLigne&gt;</v>
      </c>
    </row>
    <row r="11397" spans="1:1" x14ac:dyDescent="0.2">
      <c r="A11397" s="996" t="str">
        <f>CONCATENATE(Programme!D11398,Programme!E11398,Programme!F11398,Programme!G11398,Programme!H11398,Programme!I11398,Programme!J11398)</f>
        <v>&lt;/ValeurCellule&gt;</v>
      </c>
    </row>
    <row r="11398" spans="1:1" x14ac:dyDescent="0.2">
      <c r="A11398" s="996" t="str">
        <f>CONCATENATE(Programme!D11399,Programme!E11399,Programme!F11399,Programme!G11399,Programme!H11399,Programme!I11399,Programme!J11399)</f>
        <v>&lt;ValeurCellule&gt;</v>
      </c>
    </row>
    <row r="11399" spans="1:1" x14ac:dyDescent="0.2">
      <c r="A11399" s="996" t="str">
        <f>CONCATENATE(Programme!D11400,Programme!E11400,Programme!F11400,Programme!G11400,Programme!H11400,Programme!I11400,Programme!J11400)</f>
        <v>&lt;cellule&gt;&lt;codeEdi&gt;1079&lt;/codeEdi&gt;&lt;/cellule&gt;</v>
      </c>
    </row>
    <row r="11400" spans="1:1" x14ac:dyDescent="0.2">
      <c r="A11400" s="996" t="str">
        <f>CONCATENATE(Programme!D11401,Programme!E11401,Programme!F11401,Programme!G11401,Programme!H11401,Programme!I11401,Programme!J11401)</f>
        <v>&lt;valeur&gt;&lt;/valeur&gt;</v>
      </c>
    </row>
    <row r="11401" spans="1:1" x14ac:dyDescent="0.2">
      <c r="A11401" s="996" t="str">
        <f>CONCATENATE(Programme!D11402,Programme!E11402,Programme!F11402,Programme!G11402,Programme!H11402,Programme!I11402,Programme!J11402)</f>
        <v>&lt;numeroLigne&gt;65&lt;/numeroLigne&gt;</v>
      </c>
    </row>
    <row r="11402" spans="1:1" x14ac:dyDescent="0.2">
      <c r="A11402" s="996" t="str">
        <f>CONCATENATE(Programme!D11403,Programme!E11403,Programme!F11403,Programme!G11403,Programme!H11403,Programme!I11403,Programme!J11403)</f>
        <v>&lt;/ValeurCellule&gt;</v>
      </c>
    </row>
    <row r="11403" spans="1:1" x14ac:dyDescent="0.2">
      <c r="A11403" s="996" t="str">
        <f>CONCATENATE(Programme!D11404,Programme!E11404,Programme!F11404,Programme!G11404,Programme!H11404,Programme!I11404,Programme!J11404)</f>
        <v>&lt;ValeurCellule&gt;</v>
      </c>
    </row>
    <row r="11404" spans="1:1" x14ac:dyDescent="0.2">
      <c r="A11404" s="996" t="str">
        <f>CONCATENATE(Programme!D11405,Programme!E11405,Programme!F11405,Programme!G11405,Programme!H11405,Programme!I11405,Programme!J11405)</f>
        <v>&lt;cellule&gt;&lt;codeEdi&gt;1080&lt;/codeEdi&gt;&lt;/cellule&gt;</v>
      </c>
    </row>
    <row r="11405" spans="1:1" x14ac:dyDescent="0.2">
      <c r="A11405" s="996" t="str">
        <f>CONCATENATE(Programme!D11406,Programme!E11406,Programme!F11406,Programme!G11406,Programme!H11406,Programme!I11406,Programme!J11406)</f>
        <v>&lt;valeur&gt;&lt;/valeur&gt;</v>
      </c>
    </row>
    <row r="11406" spans="1:1" x14ac:dyDescent="0.2">
      <c r="A11406" s="996" t="str">
        <f>CONCATENATE(Programme!D11407,Programme!E11407,Programme!F11407,Programme!G11407,Programme!H11407,Programme!I11407,Programme!J11407)</f>
        <v>&lt;numeroLigne&gt;65&lt;/numeroLigne&gt;</v>
      </c>
    </row>
    <row r="11407" spans="1:1" x14ac:dyDescent="0.2">
      <c r="A11407" s="996" t="str">
        <f>CONCATENATE(Programme!D11408,Programme!E11408,Programme!F11408,Programme!G11408,Programme!H11408,Programme!I11408,Programme!J11408)</f>
        <v>&lt;/ValeurCellule&gt;</v>
      </c>
    </row>
    <row r="11408" spans="1:1" x14ac:dyDescent="0.2">
      <c r="A11408" s="996" t="str">
        <f>CONCATENATE(Programme!D11409,Programme!E11409,Programme!F11409,Programme!G11409,Programme!H11409,Programme!I11409,Programme!J11409)</f>
        <v>&lt;ValeurCellule&gt;</v>
      </c>
    </row>
    <row r="11409" spans="1:1" x14ac:dyDescent="0.2">
      <c r="A11409" s="996" t="str">
        <f>CONCATENATE(Programme!D11410,Programme!E11410,Programme!F11410,Programme!G11410,Programme!H11410,Programme!I11410,Programme!J11410)</f>
        <v>&lt;cellule&gt;&lt;codeEdi&gt;1081&lt;/codeEdi&gt;&lt;/cellule&gt;</v>
      </c>
    </row>
    <row r="11410" spans="1:1" x14ac:dyDescent="0.2">
      <c r="A11410" s="996" t="str">
        <f>CONCATENATE(Programme!D11411,Programme!E11411,Programme!F11411,Programme!G11411,Programme!H11411,Programme!I11411,Programme!J11411)</f>
        <v>&lt;valeur&gt;&lt;/valeur&gt;</v>
      </c>
    </row>
    <row r="11411" spans="1:1" x14ac:dyDescent="0.2">
      <c r="A11411" s="996" t="str">
        <f>CONCATENATE(Programme!D11412,Programme!E11412,Programme!F11412,Programme!G11412,Programme!H11412,Programme!I11412,Programme!J11412)</f>
        <v>&lt;numeroLigne&gt;65&lt;/numeroLigne&gt;</v>
      </c>
    </row>
    <row r="11412" spans="1:1" x14ac:dyDescent="0.2">
      <c r="A11412" s="996" t="str">
        <f>CONCATENATE(Programme!D11413,Programme!E11413,Programme!F11413,Programme!G11413,Programme!H11413,Programme!I11413,Programme!J11413)</f>
        <v>&lt;/ValeurCellule&gt;</v>
      </c>
    </row>
    <row r="11413" spans="1:1" x14ac:dyDescent="0.2">
      <c r="A11413" s="996" t="str">
        <f>CONCATENATE(Programme!D11414,Programme!E11414,Programme!F11414,Programme!G11414,Programme!H11414,Programme!I11414,Programme!J11414)</f>
        <v>&lt;ValeurCellule&gt;</v>
      </c>
    </row>
    <row r="11414" spans="1:1" x14ac:dyDescent="0.2">
      <c r="A11414" s="996" t="str">
        <f>CONCATENATE(Programme!D11415,Programme!E11415,Programme!F11415,Programme!G11415,Programme!H11415,Programme!I11415,Programme!J11415)</f>
        <v>&lt;cellule&gt;&lt;codeEdi&gt;1082&lt;/codeEdi&gt;&lt;/cellule&gt;</v>
      </c>
    </row>
    <row r="11415" spans="1:1" x14ac:dyDescent="0.2">
      <c r="A11415" s="996" t="str">
        <f>CONCATENATE(Programme!D11416,Programme!E11416,Programme!F11416,Programme!G11416,Programme!H11416,Programme!I11416,Programme!J11416)</f>
        <v>&lt;valeur&gt;&lt;/valeur&gt;</v>
      </c>
    </row>
    <row r="11416" spans="1:1" x14ac:dyDescent="0.2">
      <c r="A11416" s="996" t="str">
        <f>CONCATENATE(Programme!D11417,Programme!E11417,Programme!F11417,Programme!G11417,Programme!H11417,Programme!I11417,Programme!J11417)</f>
        <v>&lt;numeroLigne&gt;65&lt;/numeroLigne&gt;</v>
      </c>
    </row>
    <row r="11417" spans="1:1" x14ac:dyDescent="0.2">
      <c r="A11417" s="996" t="str">
        <f>CONCATENATE(Programme!D11418,Programme!E11418,Programme!F11418,Programme!G11418,Programme!H11418,Programme!I11418,Programme!J11418)</f>
        <v>&lt;/ValeurCellule&gt;</v>
      </c>
    </row>
    <row r="11418" spans="1:1" x14ac:dyDescent="0.2">
      <c r="A11418" s="996" t="str">
        <f>CONCATENATE(Programme!D11419,Programme!E11419,Programme!F11419,Programme!G11419,Programme!H11419,Programme!I11419,Programme!J11419)</f>
        <v>&lt;ValeurCellule&gt;</v>
      </c>
    </row>
    <row r="11419" spans="1:1" x14ac:dyDescent="0.2">
      <c r="A11419" s="996" t="str">
        <f>CONCATENATE(Programme!D11420,Programme!E11420,Programme!F11420,Programme!G11420,Programme!H11420,Programme!I11420,Programme!J11420)</f>
        <v>&lt;cellule&gt;&lt;codeEdi&gt;1083&lt;/codeEdi&gt;&lt;/cellule&gt;</v>
      </c>
    </row>
    <row r="11420" spans="1:1" x14ac:dyDescent="0.2">
      <c r="A11420" s="996" t="str">
        <f>CONCATENATE(Programme!D11421,Programme!E11421,Programme!F11421,Programme!G11421,Programme!H11421,Programme!I11421,Programme!J11421)</f>
        <v>&lt;valeur&gt;&lt;/valeur&gt;</v>
      </c>
    </row>
    <row r="11421" spans="1:1" x14ac:dyDescent="0.2">
      <c r="A11421" s="996" t="str">
        <f>CONCATENATE(Programme!D11422,Programme!E11422,Programme!F11422,Programme!G11422,Programme!H11422,Programme!I11422,Programme!J11422)</f>
        <v>&lt;numeroLigne&gt;65&lt;/numeroLigne&gt;</v>
      </c>
    </row>
    <row r="11422" spans="1:1" x14ac:dyDescent="0.2">
      <c r="A11422" s="996" t="str">
        <f>CONCATENATE(Programme!D11423,Programme!E11423,Programme!F11423,Programme!G11423,Programme!H11423,Programme!I11423,Programme!J11423)</f>
        <v>&lt;/ValeurCellule&gt;</v>
      </c>
    </row>
    <row r="11423" spans="1:1" x14ac:dyDescent="0.2">
      <c r="A11423" s="996" t="str">
        <f>CONCATENATE(Programme!D11424,Programme!E11424,Programme!F11424,Programme!G11424,Programme!H11424,Programme!I11424,Programme!J11424)</f>
        <v>&lt;ValeurCellule&gt;</v>
      </c>
    </row>
    <row r="11424" spans="1:1" x14ac:dyDescent="0.2">
      <c r="A11424" s="996" t="str">
        <f>CONCATENATE(Programme!D11425,Programme!E11425,Programme!F11425,Programme!G11425,Programme!H11425,Programme!I11425,Programme!J11425)</f>
        <v>&lt;cellule&gt;&lt;codeEdi&gt;1084&lt;/codeEdi&gt;&lt;/cellule&gt;</v>
      </c>
    </row>
    <row r="11425" spans="1:1" x14ac:dyDescent="0.2">
      <c r="A11425" s="996" t="str">
        <f>CONCATENATE(Programme!D11426,Programme!E11426,Programme!F11426,Programme!G11426,Programme!H11426,Programme!I11426,Programme!J11426)</f>
        <v>&lt;valeur&gt;&lt;/valeur&gt;</v>
      </c>
    </row>
    <row r="11426" spans="1:1" x14ac:dyDescent="0.2">
      <c r="A11426" s="996" t="str">
        <f>CONCATENATE(Programme!D11427,Programme!E11427,Programme!F11427,Programme!G11427,Programme!H11427,Programme!I11427,Programme!J11427)</f>
        <v>&lt;numeroLigne&gt;65&lt;/numeroLigne&gt;</v>
      </c>
    </row>
    <row r="11427" spans="1:1" x14ac:dyDescent="0.2">
      <c r="A11427" s="996" t="str">
        <f>CONCATENATE(Programme!D11428,Programme!E11428,Programme!F11428,Programme!G11428,Programme!H11428,Programme!I11428,Programme!J11428)</f>
        <v>&lt;/ValeurCellule&gt;</v>
      </c>
    </row>
    <row r="11428" spans="1:1" x14ac:dyDescent="0.2">
      <c r="A11428" s="996" t="str">
        <f>CONCATENATE(Programme!D11429,Programme!E11429,Programme!F11429,Programme!G11429,Programme!H11429,Programme!I11429,Programme!J11429)</f>
        <v>&lt;ValeurCellule&gt;</v>
      </c>
    </row>
    <row r="11429" spans="1:1" x14ac:dyDescent="0.2">
      <c r="A11429" s="996" t="str">
        <f>CONCATENATE(Programme!D11430,Programme!E11430,Programme!F11430,Programme!G11430,Programme!H11430,Programme!I11430,Programme!J11430)</f>
        <v>&lt;cellule&gt;&lt;codeEdi&gt;1085&lt;/codeEdi&gt;&lt;/cellule&gt;</v>
      </c>
    </row>
    <row r="11430" spans="1:1" x14ac:dyDescent="0.2">
      <c r="A11430" s="996" t="str">
        <f>CONCATENATE(Programme!D11431,Programme!E11431,Programme!F11431,Programme!G11431,Programme!H11431,Programme!I11431,Programme!J11431)</f>
        <v>&lt;valeur&gt;&lt;/valeur&gt;</v>
      </c>
    </row>
    <row r="11431" spans="1:1" x14ac:dyDescent="0.2">
      <c r="A11431" s="996" t="str">
        <f>CONCATENATE(Programme!D11432,Programme!E11432,Programme!F11432,Programme!G11432,Programme!H11432,Programme!I11432,Programme!J11432)</f>
        <v>&lt;numeroLigne&gt;65&lt;/numeroLigne&gt;</v>
      </c>
    </row>
    <row r="11432" spans="1:1" x14ac:dyDescent="0.2">
      <c r="A11432" s="996" t="str">
        <f>CONCATENATE(Programme!D11433,Programme!E11433,Programme!F11433,Programme!G11433,Programme!H11433,Programme!I11433,Programme!J11433)</f>
        <v>&lt;/ValeurCellule&gt;</v>
      </c>
    </row>
    <row r="11433" spans="1:1" x14ac:dyDescent="0.2">
      <c r="A11433" s="996" t="str">
        <f>CONCATENATE(Programme!D11434,Programme!E11434,Programme!F11434,Programme!G11434,Programme!H11434,Programme!I11434,Programme!J11434)</f>
        <v>&lt;ValeurCellule&gt;</v>
      </c>
    </row>
    <row r="11434" spans="1:1" x14ac:dyDescent="0.2">
      <c r="A11434" s="996" t="str">
        <f>CONCATENATE(Programme!D11435,Programme!E11435,Programme!F11435,Programme!G11435,Programme!H11435,Programme!I11435,Programme!J11435)</f>
        <v>&lt;cellule&gt;&lt;codeEdi&gt;1086&lt;/codeEdi&gt;&lt;/cellule&gt;</v>
      </c>
    </row>
    <row r="11435" spans="1:1" x14ac:dyDescent="0.2">
      <c r="A11435" s="996" t="str">
        <f>CONCATENATE(Programme!D11436,Programme!E11436,Programme!F11436,Programme!G11436,Programme!H11436,Programme!I11436,Programme!J11436)</f>
        <v>&lt;valeur&gt;&lt;/valeur&gt;</v>
      </c>
    </row>
    <row r="11436" spans="1:1" x14ac:dyDescent="0.2">
      <c r="A11436" s="996" t="str">
        <f>CONCATENATE(Programme!D11437,Programme!E11437,Programme!F11437,Programme!G11437,Programme!H11437,Programme!I11437,Programme!J11437)</f>
        <v>&lt;numeroLigne&gt;65&lt;/numeroLigne&gt;</v>
      </c>
    </row>
    <row r="11437" spans="1:1" x14ac:dyDescent="0.2">
      <c r="A11437" s="996" t="str">
        <f>CONCATENATE(Programme!D11438,Programme!E11438,Programme!F11438,Programme!G11438,Programme!H11438,Programme!I11438,Programme!J11438)</f>
        <v>&lt;/ValeurCellule&gt;</v>
      </c>
    </row>
    <row r="11438" spans="1:1" x14ac:dyDescent="0.2">
      <c r="A11438" s="996" t="str">
        <f>CONCATENATE(Programme!D11439,Programme!E11439,Programme!F11439,Programme!G11439,Programme!H11439,Programme!I11439,Programme!J11439)</f>
        <v>&lt;ValeurCellule&gt;</v>
      </c>
    </row>
    <row r="11439" spans="1:1" x14ac:dyDescent="0.2">
      <c r="A11439" s="996" t="str">
        <f>CONCATENATE(Programme!D11440,Programme!E11440,Programme!F11440,Programme!G11440,Programme!H11440,Programme!I11440,Programme!J11440)</f>
        <v>&lt;cellule&gt;&lt;codeEdi&gt;10061&lt;/codeEdi&gt;&lt;/cellule&gt;</v>
      </c>
    </row>
    <row r="11440" spans="1:1" x14ac:dyDescent="0.2">
      <c r="A11440" s="996" t="str">
        <f>CONCATENATE(Programme!D11441,Programme!E11441,Programme!F11441,Programme!G11441,Programme!H11441,Programme!I11441,Programme!J11441)</f>
        <v>&lt;valeur&gt;&lt;/valeur&gt;</v>
      </c>
    </row>
    <row r="11441" spans="1:1" x14ac:dyDescent="0.2">
      <c r="A11441" s="996" t="str">
        <f>CONCATENATE(Programme!D11442,Programme!E11442,Programme!F11442,Programme!G11442,Programme!H11442,Programme!I11442,Programme!J11442)</f>
        <v>&lt;numeroLigne&gt;66&lt;/numeroLigne&gt;</v>
      </c>
    </row>
    <row r="11442" spans="1:1" x14ac:dyDescent="0.2">
      <c r="A11442" s="996" t="str">
        <f>CONCATENATE(Programme!D11443,Programme!E11443,Programme!F11443,Programme!G11443,Programme!H11443,Programme!I11443,Programme!J11443)</f>
        <v>&lt;/ValeurCellule&gt;</v>
      </c>
    </row>
    <row r="11443" spans="1:1" x14ac:dyDescent="0.2">
      <c r="A11443" s="996" t="str">
        <f>CONCATENATE(Programme!D11444,Programme!E11444,Programme!F11444,Programme!G11444,Programme!H11444,Programme!I11444,Programme!J11444)</f>
        <v>&lt;ValeurCellule&gt;</v>
      </c>
    </row>
    <row r="11444" spans="1:1" x14ac:dyDescent="0.2">
      <c r="A11444" s="996" t="str">
        <f>CONCATENATE(Programme!D11445,Programme!E11445,Programme!F11445,Programme!G11445,Programme!H11445,Programme!I11445,Programme!J11445)</f>
        <v>&lt;cellule&gt;&lt;codeEdi&gt;1078&lt;/codeEdi&gt;&lt;/cellule&gt;</v>
      </c>
    </row>
    <row r="11445" spans="1:1" x14ac:dyDescent="0.2">
      <c r="A11445" s="996" t="str">
        <f>CONCATENATE(Programme!D11446,Programme!E11446,Programme!F11446,Programme!G11446,Programme!H11446,Programme!I11446,Programme!J11446)</f>
        <v>&lt;valeur&gt;&lt;/valeur&gt;</v>
      </c>
    </row>
    <row r="11446" spans="1:1" x14ac:dyDescent="0.2">
      <c r="A11446" s="996" t="str">
        <f>CONCATENATE(Programme!D11447,Programme!E11447,Programme!F11447,Programme!G11447,Programme!H11447,Programme!I11447,Programme!J11447)</f>
        <v>&lt;numeroLigne&gt;66&lt;/numeroLigne&gt;</v>
      </c>
    </row>
    <row r="11447" spans="1:1" x14ac:dyDescent="0.2">
      <c r="A11447" s="996" t="str">
        <f>CONCATENATE(Programme!D11448,Programme!E11448,Programme!F11448,Programme!G11448,Programme!H11448,Programme!I11448,Programme!J11448)</f>
        <v>&lt;/ValeurCellule&gt;</v>
      </c>
    </row>
    <row r="11448" spans="1:1" x14ac:dyDescent="0.2">
      <c r="A11448" s="996" t="str">
        <f>CONCATENATE(Programme!D11449,Programme!E11449,Programme!F11449,Programme!G11449,Programme!H11449,Programme!I11449,Programme!J11449)</f>
        <v>&lt;ValeurCellule&gt;</v>
      </c>
    </row>
    <row r="11449" spans="1:1" x14ac:dyDescent="0.2">
      <c r="A11449" s="996" t="str">
        <f>CONCATENATE(Programme!D11450,Programme!E11450,Programme!F11450,Programme!G11450,Programme!H11450,Programme!I11450,Programme!J11450)</f>
        <v>&lt;cellule&gt;&lt;codeEdi&gt;1079&lt;/codeEdi&gt;&lt;/cellule&gt;</v>
      </c>
    </row>
    <row r="11450" spans="1:1" x14ac:dyDescent="0.2">
      <c r="A11450" s="996" t="str">
        <f>CONCATENATE(Programme!D11451,Programme!E11451,Programme!F11451,Programme!G11451,Programme!H11451,Programme!I11451,Programme!J11451)</f>
        <v>&lt;valeur&gt;&lt;/valeur&gt;</v>
      </c>
    </row>
    <row r="11451" spans="1:1" x14ac:dyDescent="0.2">
      <c r="A11451" s="996" t="str">
        <f>CONCATENATE(Programme!D11452,Programme!E11452,Programme!F11452,Programme!G11452,Programme!H11452,Programme!I11452,Programme!J11452)</f>
        <v>&lt;numeroLigne&gt;66&lt;/numeroLigne&gt;</v>
      </c>
    </row>
    <row r="11452" spans="1:1" x14ac:dyDescent="0.2">
      <c r="A11452" s="996" t="str">
        <f>CONCATENATE(Programme!D11453,Programme!E11453,Programme!F11453,Programme!G11453,Programme!H11453,Programme!I11453,Programme!J11453)</f>
        <v>&lt;/ValeurCellule&gt;</v>
      </c>
    </row>
    <row r="11453" spans="1:1" x14ac:dyDescent="0.2">
      <c r="A11453" s="996" t="str">
        <f>CONCATENATE(Programme!D11454,Programme!E11454,Programme!F11454,Programme!G11454,Programme!H11454,Programme!I11454,Programme!J11454)</f>
        <v>&lt;ValeurCellule&gt;</v>
      </c>
    </row>
    <row r="11454" spans="1:1" x14ac:dyDescent="0.2">
      <c r="A11454" s="996" t="str">
        <f>CONCATENATE(Programme!D11455,Programme!E11455,Programme!F11455,Programme!G11455,Programme!H11455,Programme!I11455,Programme!J11455)</f>
        <v>&lt;cellule&gt;&lt;codeEdi&gt;1080&lt;/codeEdi&gt;&lt;/cellule&gt;</v>
      </c>
    </row>
    <row r="11455" spans="1:1" x14ac:dyDescent="0.2">
      <c r="A11455" s="996" t="str">
        <f>CONCATENATE(Programme!D11456,Programme!E11456,Programme!F11456,Programme!G11456,Programme!H11456,Programme!I11456,Programme!J11456)</f>
        <v>&lt;valeur&gt;&lt;/valeur&gt;</v>
      </c>
    </row>
    <row r="11456" spans="1:1" x14ac:dyDescent="0.2">
      <c r="A11456" s="996" t="str">
        <f>CONCATENATE(Programme!D11457,Programme!E11457,Programme!F11457,Programme!G11457,Programme!H11457,Programme!I11457,Programme!J11457)</f>
        <v>&lt;numeroLigne&gt;66&lt;/numeroLigne&gt;</v>
      </c>
    </row>
    <row r="11457" spans="1:1" x14ac:dyDescent="0.2">
      <c r="A11457" s="996" t="str">
        <f>CONCATENATE(Programme!D11458,Programme!E11458,Programme!F11458,Programme!G11458,Programme!H11458,Programme!I11458,Programme!J11458)</f>
        <v>&lt;/ValeurCellule&gt;</v>
      </c>
    </row>
    <row r="11458" spans="1:1" x14ac:dyDescent="0.2">
      <c r="A11458" s="996" t="str">
        <f>CONCATENATE(Programme!D11459,Programme!E11459,Programme!F11459,Programme!G11459,Programme!H11459,Programme!I11459,Programme!J11459)</f>
        <v>&lt;ValeurCellule&gt;</v>
      </c>
    </row>
    <row r="11459" spans="1:1" x14ac:dyDescent="0.2">
      <c r="A11459" s="996" t="str">
        <f>CONCATENATE(Programme!D11460,Programme!E11460,Programme!F11460,Programme!G11460,Programme!H11460,Programme!I11460,Programme!J11460)</f>
        <v>&lt;cellule&gt;&lt;codeEdi&gt;1081&lt;/codeEdi&gt;&lt;/cellule&gt;</v>
      </c>
    </row>
    <row r="11460" spans="1:1" x14ac:dyDescent="0.2">
      <c r="A11460" s="996" t="str">
        <f>CONCATENATE(Programme!D11461,Programme!E11461,Programme!F11461,Programme!G11461,Programme!H11461,Programme!I11461,Programme!J11461)</f>
        <v>&lt;valeur&gt;&lt;/valeur&gt;</v>
      </c>
    </row>
    <row r="11461" spans="1:1" x14ac:dyDescent="0.2">
      <c r="A11461" s="996" t="str">
        <f>CONCATENATE(Programme!D11462,Programme!E11462,Programme!F11462,Programme!G11462,Programme!H11462,Programme!I11462,Programme!J11462)</f>
        <v>&lt;numeroLigne&gt;66&lt;/numeroLigne&gt;</v>
      </c>
    </row>
    <row r="11462" spans="1:1" x14ac:dyDescent="0.2">
      <c r="A11462" s="996" t="str">
        <f>CONCATENATE(Programme!D11463,Programme!E11463,Programme!F11463,Programme!G11463,Programme!H11463,Programme!I11463,Programme!J11463)</f>
        <v>&lt;/ValeurCellule&gt;</v>
      </c>
    </row>
    <row r="11463" spans="1:1" x14ac:dyDescent="0.2">
      <c r="A11463" s="996" t="str">
        <f>CONCATENATE(Programme!D11464,Programme!E11464,Programme!F11464,Programme!G11464,Programme!H11464,Programme!I11464,Programme!J11464)</f>
        <v>&lt;ValeurCellule&gt;</v>
      </c>
    </row>
    <row r="11464" spans="1:1" x14ac:dyDescent="0.2">
      <c r="A11464" s="996" t="str">
        <f>CONCATENATE(Programme!D11465,Programme!E11465,Programme!F11465,Programme!G11465,Programme!H11465,Programme!I11465,Programme!J11465)</f>
        <v>&lt;cellule&gt;&lt;codeEdi&gt;1082&lt;/codeEdi&gt;&lt;/cellule&gt;</v>
      </c>
    </row>
    <row r="11465" spans="1:1" x14ac:dyDescent="0.2">
      <c r="A11465" s="996" t="str">
        <f>CONCATENATE(Programme!D11466,Programme!E11466,Programme!F11466,Programme!G11466,Programme!H11466,Programme!I11466,Programme!J11466)</f>
        <v>&lt;valeur&gt;&lt;/valeur&gt;</v>
      </c>
    </row>
    <row r="11466" spans="1:1" x14ac:dyDescent="0.2">
      <c r="A11466" s="996" t="str">
        <f>CONCATENATE(Programme!D11467,Programme!E11467,Programme!F11467,Programme!G11467,Programme!H11467,Programme!I11467,Programme!J11467)</f>
        <v>&lt;numeroLigne&gt;66&lt;/numeroLigne&gt;</v>
      </c>
    </row>
    <row r="11467" spans="1:1" x14ac:dyDescent="0.2">
      <c r="A11467" s="996" t="str">
        <f>CONCATENATE(Programme!D11468,Programme!E11468,Programme!F11468,Programme!G11468,Programme!H11468,Programme!I11468,Programme!J11468)</f>
        <v>&lt;/ValeurCellule&gt;</v>
      </c>
    </row>
    <row r="11468" spans="1:1" x14ac:dyDescent="0.2">
      <c r="A11468" s="996" t="str">
        <f>CONCATENATE(Programme!D11469,Programme!E11469,Programme!F11469,Programme!G11469,Programme!H11469,Programme!I11469,Programme!J11469)</f>
        <v>&lt;ValeurCellule&gt;</v>
      </c>
    </row>
    <row r="11469" spans="1:1" x14ac:dyDescent="0.2">
      <c r="A11469" s="996" t="str">
        <f>CONCATENATE(Programme!D11470,Programme!E11470,Programme!F11470,Programme!G11470,Programme!H11470,Programme!I11470,Programme!J11470)</f>
        <v>&lt;cellule&gt;&lt;codeEdi&gt;1083&lt;/codeEdi&gt;&lt;/cellule&gt;</v>
      </c>
    </row>
    <row r="11470" spans="1:1" x14ac:dyDescent="0.2">
      <c r="A11470" s="996" t="str">
        <f>CONCATENATE(Programme!D11471,Programme!E11471,Programme!F11471,Programme!G11471,Programme!H11471,Programme!I11471,Programme!J11471)</f>
        <v>&lt;valeur&gt;&lt;/valeur&gt;</v>
      </c>
    </row>
    <row r="11471" spans="1:1" x14ac:dyDescent="0.2">
      <c r="A11471" s="996" t="str">
        <f>CONCATENATE(Programme!D11472,Programme!E11472,Programme!F11472,Programme!G11472,Programme!H11472,Programme!I11472,Programme!J11472)</f>
        <v>&lt;numeroLigne&gt;66&lt;/numeroLigne&gt;</v>
      </c>
    </row>
    <row r="11472" spans="1:1" x14ac:dyDescent="0.2">
      <c r="A11472" s="996" t="str">
        <f>CONCATENATE(Programme!D11473,Programme!E11473,Programme!F11473,Programme!G11473,Programme!H11473,Programme!I11473,Programme!J11473)</f>
        <v>&lt;/ValeurCellule&gt;</v>
      </c>
    </row>
    <row r="11473" spans="1:1" x14ac:dyDescent="0.2">
      <c r="A11473" s="996" t="str">
        <f>CONCATENATE(Programme!D11474,Programme!E11474,Programme!F11474,Programme!G11474,Programme!H11474,Programme!I11474,Programme!J11474)</f>
        <v>&lt;ValeurCellule&gt;</v>
      </c>
    </row>
    <row r="11474" spans="1:1" x14ac:dyDescent="0.2">
      <c r="A11474" s="996" t="str">
        <f>CONCATENATE(Programme!D11475,Programme!E11475,Programme!F11475,Programme!G11475,Programme!H11475,Programme!I11475,Programme!J11475)</f>
        <v>&lt;cellule&gt;&lt;codeEdi&gt;1084&lt;/codeEdi&gt;&lt;/cellule&gt;</v>
      </c>
    </row>
    <row r="11475" spans="1:1" x14ac:dyDescent="0.2">
      <c r="A11475" s="996" t="str">
        <f>CONCATENATE(Programme!D11476,Programme!E11476,Programme!F11476,Programme!G11476,Programme!H11476,Programme!I11476,Programme!J11476)</f>
        <v>&lt;valeur&gt;&lt;/valeur&gt;</v>
      </c>
    </row>
    <row r="11476" spans="1:1" x14ac:dyDescent="0.2">
      <c r="A11476" s="996" t="str">
        <f>CONCATENATE(Programme!D11477,Programme!E11477,Programme!F11477,Programme!G11477,Programme!H11477,Programme!I11477,Programme!J11477)</f>
        <v>&lt;numeroLigne&gt;66&lt;/numeroLigne&gt;</v>
      </c>
    </row>
    <row r="11477" spans="1:1" x14ac:dyDescent="0.2">
      <c r="A11477" s="996" t="str">
        <f>CONCATENATE(Programme!D11478,Programme!E11478,Programme!F11478,Programme!G11478,Programme!H11478,Programme!I11478,Programme!J11478)</f>
        <v>&lt;/ValeurCellule&gt;</v>
      </c>
    </row>
    <row r="11478" spans="1:1" x14ac:dyDescent="0.2">
      <c r="A11478" s="996" t="str">
        <f>CONCATENATE(Programme!D11479,Programme!E11479,Programme!F11479,Programme!G11479,Programme!H11479,Programme!I11479,Programme!J11479)</f>
        <v>&lt;ValeurCellule&gt;</v>
      </c>
    </row>
    <row r="11479" spans="1:1" x14ac:dyDescent="0.2">
      <c r="A11479" s="996" t="str">
        <f>CONCATENATE(Programme!D11480,Programme!E11480,Programme!F11480,Programme!G11480,Programme!H11480,Programme!I11480,Programme!J11480)</f>
        <v>&lt;cellule&gt;&lt;codeEdi&gt;1085&lt;/codeEdi&gt;&lt;/cellule&gt;</v>
      </c>
    </row>
    <row r="11480" spans="1:1" x14ac:dyDescent="0.2">
      <c r="A11480" s="996" t="str">
        <f>CONCATENATE(Programme!D11481,Programme!E11481,Programme!F11481,Programme!G11481,Programme!H11481,Programme!I11481,Programme!J11481)</f>
        <v>&lt;valeur&gt;&lt;/valeur&gt;</v>
      </c>
    </row>
    <row r="11481" spans="1:1" x14ac:dyDescent="0.2">
      <c r="A11481" s="996" t="str">
        <f>CONCATENATE(Programme!D11482,Programme!E11482,Programme!F11482,Programme!G11482,Programme!H11482,Programme!I11482,Programme!J11482)</f>
        <v>&lt;numeroLigne&gt;66&lt;/numeroLigne&gt;</v>
      </c>
    </row>
    <row r="11482" spans="1:1" x14ac:dyDescent="0.2">
      <c r="A11482" s="996" t="str">
        <f>CONCATENATE(Programme!D11483,Programme!E11483,Programme!F11483,Programme!G11483,Programme!H11483,Programme!I11483,Programme!J11483)</f>
        <v>&lt;/ValeurCellule&gt;</v>
      </c>
    </row>
    <row r="11483" spans="1:1" x14ac:dyDescent="0.2">
      <c r="A11483" s="996" t="str">
        <f>CONCATENATE(Programme!D11484,Programme!E11484,Programme!F11484,Programme!G11484,Programme!H11484,Programme!I11484,Programme!J11484)</f>
        <v>&lt;ValeurCellule&gt;</v>
      </c>
    </row>
    <row r="11484" spans="1:1" x14ac:dyDescent="0.2">
      <c r="A11484" s="996" t="str">
        <f>CONCATENATE(Programme!D11485,Programme!E11485,Programme!F11485,Programme!G11485,Programme!H11485,Programme!I11485,Programme!J11485)</f>
        <v>&lt;cellule&gt;&lt;codeEdi&gt;1086&lt;/codeEdi&gt;&lt;/cellule&gt;</v>
      </c>
    </row>
    <row r="11485" spans="1:1" x14ac:dyDescent="0.2">
      <c r="A11485" s="996" t="str">
        <f>CONCATENATE(Programme!D11486,Programme!E11486,Programme!F11486,Programme!G11486,Programme!H11486,Programme!I11486,Programme!J11486)</f>
        <v>&lt;valeur&gt;&lt;/valeur&gt;</v>
      </c>
    </row>
    <row r="11486" spans="1:1" x14ac:dyDescent="0.2">
      <c r="A11486" s="996" t="str">
        <f>CONCATENATE(Programme!D11487,Programme!E11487,Programme!F11487,Programme!G11487,Programme!H11487,Programme!I11487,Programme!J11487)</f>
        <v>&lt;numeroLigne&gt;66&lt;/numeroLigne&gt;</v>
      </c>
    </row>
    <row r="11487" spans="1:1" x14ac:dyDescent="0.2">
      <c r="A11487" s="996" t="str">
        <f>CONCATENATE(Programme!D11488,Programme!E11488,Programme!F11488,Programme!G11488,Programme!H11488,Programme!I11488,Programme!J11488)</f>
        <v>&lt;/ValeurCellule&gt;</v>
      </c>
    </row>
    <row r="11488" spans="1:1" x14ac:dyDescent="0.2">
      <c r="A11488" s="996" t="str">
        <f>CONCATENATE(Programme!D11489,Programme!E11489,Programme!F11489,Programme!G11489,Programme!H11489,Programme!I11489,Programme!J11489)</f>
        <v>&lt;ValeurCellule&gt;</v>
      </c>
    </row>
    <row r="11489" spans="1:1" x14ac:dyDescent="0.2">
      <c r="A11489" s="996" t="str">
        <f>CONCATENATE(Programme!D11490,Programme!E11490,Programme!F11490,Programme!G11490,Programme!H11490,Programme!I11490,Programme!J11490)</f>
        <v>&lt;cellule&gt;&lt;codeEdi&gt;10061&lt;/codeEdi&gt;&lt;/cellule&gt;</v>
      </c>
    </row>
    <row r="11490" spans="1:1" x14ac:dyDescent="0.2">
      <c r="A11490" s="996" t="str">
        <f>CONCATENATE(Programme!D11491,Programme!E11491,Programme!F11491,Programme!G11491,Programme!H11491,Programme!I11491,Programme!J11491)</f>
        <v>&lt;valeur&gt;&lt;/valeur&gt;</v>
      </c>
    </row>
    <row r="11491" spans="1:1" x14ac:dyDescent="0.2">
      <c r="A11491" s="996" t="str">
        <f>CONCATENATE(Programme!D11492,Programme!E11492,Programme!F11492,Programme!G11492,Programme!H11492,Programme!I11492,Programme!J11492)</f>
        <v>&lt;numeroLigne&gt;67&lt;/numeroLigne&gt;</v>
      </c>
    </row>
    <row r="11492" spans="1:1" x14ac:dyDescent="0.2">
      <c r="A11492" s="996" t="str">
        <f>CONCATENATE(Programme!D11493,Programme!E11493,Programme!F11493,Programme!G11493,Programme!H11493,Programme!I11493,Programme!J11493)</f>
        <v>&lt;/ValeurCellule&gt;</v>
      </c>
    </row>
    <row r="11493" spans="1:1" x14ac:dyDescent="0.2">
      <c r="A11493" s="996" t="str">
        <f>CONCATENATE(Programme!D11494,Programme!E11494,Programme!F11494,Programme!G11494,Programme!H11494,Programme!I11494,Programme!J11494)</f>
        <v>&lt;ValeurCellule&gt;</v>
      </c>
    </row>
    <row r="11494" spans="1:1" x14ac:dyDescent="0.2">
      <c r="A11494" s="996" t="str">
        <f>CONCATENATE(Programme!D11495,Programme!E11495,Programme!F11495,Programme!G11495,Programme!H11495,Programme!I11495,Programme!J11495)</f>
        <v>&lt;cellule&gt;&lt;codeEdi&gt;1078&lt;/codeEdi&gt;&lt;/cellule&gt;</v>
      </c>
    </row>
    <row r="11495" spans="1:1" x14ac:dyDescent="0.2">
      <c r="A11495" s="996" t="str">
        <f>CONCATENATE(Programme!D11496,Programme!E11496,Programme!F11496,Programme!G11496,Programme!H11496,Programme!I11496,Programme!J11496)</f>
        <v>&lt;valeur&gt;&lt;/valeur&gt;</v>
      </c>
    </row>
    <row r="11496" spans="1:1" x14ac:dyDescent="0.2">
      <c r="A11496" s="996" t="str">
        <f>CONCATENATE(Programme!D11497,Programme!E11497,Programme!F11497,Programme!G11497,Programme!H11497,Programme!I11497,Programme!J11497)</f>
        <v>&lt;numeroLigne&gt;67&lt;/numeroLigne&gt;</v>
      </c>
    </row>
    <row r="11497" spans="1:1" x14ac:dyDescent="0.2">
      <c r="A11497" s="996" t="str">
        <f>CONCATENATE(Programme!D11498,Programme!E11498,Programme!F11498,Programme!G11498,Programme!H11498,Programme!I11498,Programme!J11498)</f>
        <v>&lt;/ValeurCellule&gt;</v>
      </c>
    </row>
    <row r="11498" spans="1:1" x14ac:dyDescent="0.2">
      <c r="A11498" s="996" t="str">
        <f>CONCATENATE(Programme!D11499,Programme!E11499,Programme!F11499,Programme!G11499,Programme!H11499,Programme!I11499,Programme!J11499)</f>
        <v>&lt;ValeurCellule&gt;</v>
      </c>
    </row>
    <row r="11499" spans="1:1" x14ac:dyDescent="0.2">
      <c r="A11499" s="996" t="str">
        <f>CONCATENATE(Programme!D11500,Programme!E11500,Programme!F11500,Programme!G11500,Programme!H11500,Programme!I11500,Programme!J11500)</f>
        <v>&lt;cellule&gt;&lt;codeEdi&gt;1079&lt;/codeEdi&gt;&lt;/cellule&gt;</v>
      </c>
    </row>
    <row r="11500" spans="1:1" x14ac:dyDescent="0.2">
      <c r="A11500" s="996" t="str">
        <f>CONCATENATE(Programme!D11501,Programme!E11501,Programme!F11501,Programme!G11501,Programme!H11501,Programme!I11501,Programme!J11501)</f>
        <v>&lt;valeur&gt;&lt;/valeur&gt;</v>
      </c>
    </row>
    <row r="11501" spans="1:1" x14ac:dyDescent="0.2">
      <c r="A11501" s="996" t="str">
        <f>CONCATENATE(Programme!D11502,Programme!E11502,Programme!F11502,Programme!G11502,Programme!H11502,Programme!I11502,Programme!J11502)</f>
        <v>&lt;numeroLigne&gt;67&lt;/numeroLigne&gt;</v>
      </c>
    </row>
    <row r="11502" spans="1:1" x14ac:dyDescent="0.2">
      <c r="A11502" s="996" t="str">
        <f>CONCATENATE(Programme!D11503,Programme!E11503,Programme!F11503,Programme!G11503,Programme!H11503,Programme!I11503,Programme!J11503)</f>
        <v>&lt;/ValeurCellule&gt;</v>
      </c>
    </row>
    <row r="11503" spans="1:1" x14ac:dyDescent="0.2">
      <c r="A11503" s="996" t="str">
        <f>CONCATENATE(Programme!D11504,Programme!E11504,Programme!F11504,Programme!G11504,Programme!H11504,Programme!I11504,Programme!J11504)</f>
        <v>&lt;ValeurCellule&gt;</v>
      </c>
    </row>
    <row r="11504" spans="1:1" x14ac:dyDescent="0.2">
      <c r="A11504" s="996" t="str">
        <f>CONCATENATE(Programme!D11505,Programme!E11505,Programme!F11505,Programme!G11505,Programme!H11505,Programme!I11505,Programme!J11505)</f>
        <v>&lt;cellule&gt;&lt;codeEdi&gt;1080&lt;/codeEdi&gt;&lt;/cellule&gt;</v>
      </c>
    </row>
    <row r="11505" spans="1:1" x14ac:dyDescent="0.2">
      <c r="A11505" s="996" t="str">
        <f>CONCATENATE(Programme!D11506,Programme!E11506,Programme!F11506,Programme!G11506,Programme!H11506,Programme!I11506,Programme!J11506)</f>
        <v>&lt;valeur&gt;&lt;/valeur&gt;</v>
      </c>
    </row>
    <row r="11506" spans="1:1" x14ac:dyDescent="0.2">
      <c r="A11506" s="996" t="str">
        <f>CONCATENATE(Programme!D11507,Programme!E11507,Programme!F11507,Programme!G11507,Programme!H11507,Programme!I11507,Programme!J11507)</f>
        <v>&lt;numeroLigne&gt;67&lt;/numeroLigne&gt;</v>
      </c>
    </row>
    <row r="11507" spans="1:1" x14ac:dyDescent="0.2">
      <c r="A11507" s="996" t="str">
        <f>CONCATENATE(Programme!D11508,Programme!E11508,Programme!F11508,Programme!G11508,Programme!H11508,Programme!I11508,Programme!J11508)</f>
        <v>&lt;/ValeurCellule&gt;</v>
      </c>
    </row>
    <row r="11508" spans="1:1" x14ac:dyDescent="0.2">
      <c r="A11508" s="996" t="str">
        <f>CONCATENATE(Programme!D11509,Programme!E11509,Programme!F11509,Programme!G11509,Programme!H11509,Programme!I11509,Programme!J11509)</f>
        <v>&lt;ValeurCellule&gt;</v>
      </c>
    </row>
    <row r="11509" spans="1:1" x14ac:dyDescent="0.2">
      <c r="A11509" s="996" t="str">
        <f>CONCATENATE(Programme!D11510,Programme!E11510,Programme!F11510,Programme!G11510,Programme!H11510,Programme!I11510,Programme!J11510)</f>
        <v>&lt;cellule&gt;&lt;codeEdi&gt;1081&lt;/codeEdi&gt;&lt;/cellule&gt;</v>
      </c>
    </row>
    <row r="11510" spans="1:1" x14ac:dyDescent="0.2">
      <c r="A11510" s="996" t="str">
        <f>CONCATENATE(Programme!D11511,Programme!E11511,Programme!F11511,Programme!G11511,Programme!H11511,Programme!I11511,Programme!J11511)</f>
        <v>&lt;valeur&gt;&lt;/valeur&gt;</v>
      </c>
    </row>
    <row r="11511" spans="1:1" x14ac:dyDescent="0.2">
      <c r="A11511" s="996" t="str">
        <f>CONCATENATE(Programme!D11512,Programme!E11512,Programme!F11512,Programme!G11512,Programme!H11512,Programme!I11512,Programme!J11512)</f>
        <v>&lt;numeroLigne&gt;67&lt;/numeroLigne&gt;</v>
      </c>
    </row>
    <row r="11512" spans="1:1" x14ac:dyDescent="0.2">
      <c r="A11512" s="996" t="str">
        <f>CONCATENATE(Programme!D11513,Programme!E11513,Programme!F11513,Programme!G11513,Programme!H11513,Programme!I11513,Programme!J11513)</f>
        <v>&lt;/ValeurCellule&gt;</v>
      </c>
    </row>
    <row r="11513" spans="1:1" x14ac:dyDescent="0.2">
      <c r="A11513" s="996" t="str">
        <f>CONCATENATE(Programme!D11514,Programme!E11514,Programme!F11514,Programme!G11514,Programme!H11514,Programme!I11514,Programme!J11514)</f>
        <v>&lt;ValeurCellule&gt;</v>
      </c>
    </row>
    <row r="11514" spans="1:1" x14ac:dyDescent="0.2">
      <c r="A11514" s="996" t="str">
        <f>CONCATENATE(Programme!D11515,Programme!E11515,Programme!F11515,Programme!G11515,Programme!H11515,Programme!I11515,Programme!J11515)</f>
        <v>&lt;cellule&gt;&lt;codeEdi&gt;1082&lt;/codeEdi&gt;&lt;/cellule&gt;</v>
      </c>
    </row>
    <row r="11515" spans="1:1" x14ac:dyDescent="0.2">
      <c r="A11515" s="996" t="str">
        <f>CONCATENATE(Programme!D11516,Programme!E11516,Programme!F11516,Programme!G11516,Programme!H11516,Programme!I11516,Programme!J11516)</f>
        <v>&lt;valeur&gt;&lt;/valeur&gt;</v>
      </c>
    </row>
    <row r="11516" spans="1:1" x14ac:dyDescent="0.2">
      <c r="A11516" s="996" t="str">
        <f>CONCATENATE(Programme!D11517,Programme!E11517,Programme!F11517,Programme!G11517,Programme!H11517,Programme!I11517,Programme!J11517)</f>
        <v>&lt;numeroLigne&gt;67&lt;/numeroLigne&gt;</v>
      </c>
    </row>
    <row r="11517" spans="1:1" x14ac:dyDescent="0.2">
      <c r="A11517" s="996" t="str">
        <f>CONCATENATE(Programme!D11518,Programme!E11518,Programme!F11518,Programme!G11518,Programme!H11518,Programme!I11518,Programme!J11518)</f>
        <v>&lt;/ValeurCellule&gt;</v>
      </c>
    </row>
    <row r="11518" spans="1:1" x14ac:dyDescent="0.2">
      <c r="A11518" s="996" t="str">
        <f>CONCATENATE(Programme!D11519,Programme!E11519,Programme!F11519,Programme!G11519,Programme!H11519,Programme!I11519,Programme!J11519)</f>
        <v>&lt;ValeurCellule&gt;</v>
      </c>
    </row>
    <row r="11519" spans="1:1" x14ac:dyDescent="0.2">
      <c r="A11519" s="996" t="str">
        <f>CONCATENATE(Programme!D11520,Programme!E11520,Programme!F11520,Programme!G11520,Programme!H11520,Programme!I11520,Programme!J11520)</f>
        <v>&lt;cellule&gt;&lt;codeEdi&gt;1083&lt;/codeEdi&gt;&lt;/cellule&gt;</v>
      </c>
    </row>
    <row r="11520" spans="1:1" x14ac:dyDescent="0.2">
      <c r="A11520" s="996" t="str">
        <f>CONCATENATE(Programme!D11521,Programme!E11521,Programme!F11521,Programme!G11521,Programme!H11521,Programme!I11521,Programme!J11521)</f>
        <v>&lt;valeur&gt;&lt;/valeur&gt;</v>
      </c>
    </row>
    <row r="11521" spans="1:1" x14ac:dyDescent="0.2">
      <c r="A11521" s="996" t="str">
        <f>CONCATENATE(Programme!D11522,Programme!E11522,Programme!F11522,Programme!G11522,Programme!H11522,Programme!I11522,Programme!J11522)</f>
        <v>&lt;numeroLigne&gt;67&lt;/numeroLigne&gt;</v>
      </c>
    </row>
    <row r="11522" spans="1:1" x14ac:dyDescent="0.2">
      <c r="A11522" s="996" t="str">
        <f>CONCATENATE(Programme!D11523,Programme!E11523,Programme!F11523,Programme!G11523,Programme!H11523,Programme!I11523,Programme!J11523)</f>
        <v>&lt;/ValeurCellule&gt;</v>
      </c>
    </row>
    <row r="11523" spans="1:1" x14ac:dyDescent="0.2">
      <c r="A11523" s="996" t="str">
        <f>CONCATENATE(Programme!D11524,Programme!E11524,Programme!F11524,Programme!G11524,Programme!H11524,Programme!I11524,Programme!J11524)</f>
        <v>&lt;ValeurCellule&gt;</v>
      </c>
    </row>
    <row r="11524" spans="1:1" x14ac:dyDescent="0.2">
      <c r="A11524" s="996" t="str">
        <f>CONCATENATE(Programme!D11525,Programme!E11525,Programme!F11525,Programme!G11525,Programme!H11525,Programme!I11525,Programme!J11525)</f>
        <v>&lt;cellule&gt;&lt;codeEdi&gt;1084&lt;/codeEdi&gt;&lt;/cellule&gt;</v>
      </c>
    </row>
    <row r="11525" spans="1:1" x14ac:dyDescent="0.2">
      <c r="A11525" s="996" t="str">
        <f>CONCATENATE(Programme!D11526,Programme!E11526,Programme!F11526,Programme!G11526,Programme!H11526,Programme!I11526,Programme!J11526)</f>
        <v>&lt;valeur&gt;&lt;/valeur&gt;</v>
      </c>
    </row>
    <row r="11526" spans="1:1" x14ac:dyDescent="0.2">
      <c r="A11526" s="996" t="str">
        <f>CONCATENATE(Programme!D11527,Programme!E11527,Programme!F11527,Programme!G11527,Programme!H11527,Programme!I11527,Programme!J11527)</f>
        <v>&lt;numeroLigne&gt;67&lt;/numeroLigne&gt;</v>
      </c>
    </row>
    <row r="11527" spans="1:1" x14ac:dyDescent="0.2">
      <c r="A11527" s="996" t="str">
        <f>CONCATENATE(Programme!D11528,Programme!E11528,Programme!F11528,Programme!G11528,Programme!H11528,Programme!I11528,Programme!J11528)</f>
        <v>&lt;/ValeurCellule&gt;</v>
      </c>
    </row>
    <row r="11528" spans="1:1" x14ac:dyDescent="0.2">
      <c r="A11528" s="996" t="str">
        <f>CONCATENATE(Programme!D11529,Programme!E11529,Programme!F11529,Programme!G11529,Programme!H11529,Programme!I11529,Programme!J11529)</f>
        <v>&lt;ValeurCellule&gt;</v>
      </c>
    </row>
    <row r="11529" spans="1:1" x14ac:dyDescent="0.2">
      <c r="A11529" s="996" t="str">
        <f>CONCATENATE(Programme!D11530,Programme!E11530,Programme!F11530,Programme!G11530,Programme!H11530,Programme!I11530,Programme!J11530)</f>
        <v>&lt;cellule&gt;&lt;codeEdi&gt;1085&lt;/codeEdi&gt;&lt;/cellule&gt;</v>
      </c>
    </row>
    <row r="11530" spans="1:1" x14ac:dyDescent="0.2">
      <c r="A11530" s="996" t="str">
        <f>CONCATENATE(Programme!D11531,Programme!E11531,Programme!F11531,Programme!G11531,Programme!H11531,Programme!I11531,Programme!J11531)</f>
        <v>&lt;valeur&gt;&lt;/valeur&gt;</v>
      </c>
    </row>
    <row r="11531" spans="1:1" x14ac:dyDescent="0.2">
      <c r="A11531" s="996" t="str">
        <f>CONCATENATE(Programme!D11532,Programme!E11532,Programme!F11532,Programme!G11532,Programme!H11532,Programme!I11532,Programme!J11532)</f>
        <v>&lt;numeroLigne&gt;67&lt;/numeroLigne&gt;</v>
      </c>
    </row>
    <row r="11532" spans="1:1" x14ac:dyDescent="0.2">
      <c r="A11532" s="996" t="str">
        <f>CONCATENATE(Programme!D11533,Programme!E11533,Programme!F11533,Programme!G11533,Programme!H11533,Programme!I11533,Programme!J11533)</f>
        <v>&lt;/ValeurCellule&gt;</v>
      </c>
    </row>
    <row r="11533" spans="1:1" x14ac:dyDescent="0.2">
      <c r="A11533" s="996" t="str">
        <f>CONCATENATE(Programme!D11534,Programme!E11534,Programme!F11534,Programme!G11534,Programme!H11534,Programme!I11534,Programme!J11534)</f>
        <v>&lt;ValeurCellule&gt;</v>
      </c>
    </row>
    <row r="11534" spans="1:1" x14ac:dyDescent="0.2">
      <c r="A11534" s="996" t="str">
        <f>CONCATENATE(Programme!D11535,Programme!E11535,Programme!F11535,Programme!G11535,Programme!H11535,Programme!I11535,Programme!J11535)</f>
        <v>&lt;cellule&gt;&lt;codeEdi&gt;1086&lt;/codeEdi&gt;&lt;/cellule&gt;</v>
      </c>
    </row>
    <row r="11535" spans="1:1" x14ac:dyDescent="0.2">
      <c r="A11535" s="996" t="str">
        <f>CONCATENATE(Programme!D11536,Programme!E11536,Programme!F11536,Programme!G11536,Programme!H11536,Programme!I11536,Programme!J11536)</f>
        <v>&lt;valeur&gt;&lt;/valeur&gt;</v>
      </c>
    </row>
    <row r="11536" spans="1:1" x14ac:dyDescent="0.2">
      <c r="A11536" s="996" t="str">
        <f>CONCATENATE(Programme!D11537,Programme!E11537,Programme!F11537,Programme!G11537,Programme!H11537,Programme!I11537,Programme!J11537)</f>
        <v>&lt;numeroLigne&gt;67&lt;/numeroLigne&gt;</v>
      </c>
    </row>
    <row r="11537" spans="1:1" x14ac:dyDescent="0.2">
      <c r="A11537" s="996" t="str">
        <f>CONCATENATE(Programme!D11538,Programme!E11538,Programme!F11538,Programme!G11538,Programme!H11538,Programme!I11538,Programme!J11538)</f>
        <v>&lt;/ValeurCellule&gt;</v>
      </c>
    </row>
    <row r="11538" spans="1:1" x14ac:dyDescent="0.2">
      <c r="A11538" s="996" t="str">
        <f>CONCATENATE(Programme!D11539,Programme!E11539,Programme!F11539,Programme!G11539,Programme!H11539,Programme!I11539,Programme!J11539)</f>
        <v>&lt;ValeurCellule&gt;</v>
      </c>
    </row>
    <row r="11539" spans="1:1" x14ac:dyDescent="0.2">
      <c r="A11539" s="996" t="str">
        <f>CONCATENATE(Programme!D11540,Programme!E11540,Programme!F11540,Programme!G11540,Programme!H11540,Programme!I11540,Programme!J11540)</f>
        <v>&lt;cellule&gt;&lt;codeEdi&gt;10061&lt;/codeEdi&gt;&lt;/cellule&gt;</v>
      </c>
    </row>
    <row r="11540" spans="1:1" x14ac:dyDescent="0.2">
      <c r="A11540" s="996" t="str">
        <f>CONCATENATE(Programme!D11541,Programme!E11541,Programme!F11541,Programme!G11541,Programme!H11541,Programme!I11541,Programme!J11541)</f>
        <v>&lt;valeur&gt;&lt;/valeur&gt;</v>
      </c>
    </row>
    <row r="11541" spans="1:1" x14ac:dyDescent="0.2">
      <c r="A11541" s="996" t="str">
        <f>CONCATENATE(Programme!D11542,Programme!E11542,Programme!F11542,Programme!G11542,Programme!H11542,Programme!I11542,Programme!J11542)</f>
        <v>&lt;numeroLigne&gt;68&lt;/numeroLigne&gt;</v>
      </c>
    </row>
    <row r="11542" spans="1:1" x14ac:dyDescent="0.2">
      <c r="A11542" s="996" t="str">
        <f>CONCATENATE(Programme!D11543,Programme!E11543,Programme!F11543,Programme!G11543,Programme!H11543,Programme!I11543,Programme!J11543)</f>
        <v>&lt;/ValeurCellule&gt;</v>
      </c>
    </row>
    <row r="11543" spans="1:1" x14ac:dyDescent="0.2">
      <c r="A11543" s="996" t="str">
        <f>CONCATENATE(Programme!D11544,Programme!E11544,Programme!F11544,Programme!G11544,Programme!H11544,Programme!I11544,Programme!J11544)</f>
        <v>&lt;ValeurCellule&gt;</v>
      </c>
    </row>
    <row r="11544" spans="1:1" x14ac:dyDescent="0.2">
      <c r="A11544" s="996" t="str">
        <f>CONCATENATE(Programme!D11545,Programme!E11545,Programme!F11545,Programme!G11545,Programme!H11545,Programme!I11545,Programme!J11545)</f>
        <v>&lt;cellule&gt;&lt;codeEdi&gt;1078&lt;/codeEdi&gt;&lt;/cellule&gt;</v>
      </c>
    </row>
    <row r="11545" spans="1:1" x14ac:dyDescent="0.2">
      <c r="A11545" s="996" t="str">
        <f>CONCATENATE(Programme!D11546,Programme!E11546,Programme!F11546,Programme!G11546,Programme!H11546,Programme!I11546,Programme!J11546)</f>
        <v>&lt;valeur&gt;&lt;/valeur&gt;</v>
      </c>
    </row>
    <row r="11546" spans="1:1" x14ac:dyDescent="0.2">
      <c r="A11546" s="996" t="str">
        <f>CONCATENATE(Programme!D11547,Programme!E11547,Programme!F11547,Programme!G11547,Programme!H11547,Programme!I11547,Programme!J11547)</f>
        <v>&lt;numeroLigne&gt;68&lt;/numeroLigne&gt;</v>
      </c>
    </row>
    <row r="11547" spans="1:1" x14ac:dyDescent="0.2">
      <c r="A11547" s="996" t="str">
        <f>CONCATENATE(Programme!D11548,Programme!E11548,Programme!F11548,Programme!G11548,Programme!H11548,Programme!I11548,Programme!J11548)</f>
        <v>&lt;/ValeurCellule&gt;</v>
      </c>
    </row>
    <row r="11548" spans="1:1" x14ac:dyDescent="0.2">
      <c r="A11548" s="996" t="str">
        <f>CONCATENATE(Programme!D11549,Programme!E11549,Programme!F11549,Programme!G11549,Programme!H11549,Programme!I11549,Programme!J11549)</f>
        <v>&lt;ValeurCellule&gt;</v>
      </c>
    </row>
    <row r="11549" spans="1:1" x14ac:dyDescent="0.2">
      <c r="A11549" s="996" t="str">
        <f>CONCATENATE(Programme!D11550,Programme!E11550,Programme!F11550,Programme!G11550,Programme!H11550,Programme!I11550,Programme!J11550)</f>
        <v>&lt;cellule&gt;&lt;codeEdi&gt;1079&lt;/codeEdi&gt;&lt;/cellule&gt;</v>
      </c>
    </row>
    <row r="11550" spans="1:1" x14ac:dyDescent="0.2">
      <c r="A11550" s="996" t="str">
        <f>CONCATENATE(Programme!D11551,Programme!E11551,Programme!F11551,Programme!G11551,Programme!H11551,Programme!I11551,Programme!J11551)</f>
        <v>&lt;valeur&gt;&lt;/valeur&gt;</v>
      </c>
    </row>
    <row r="11551" spans="1:1" x14ac:dyDescent="0.2">
      <c r="A11551" s="996" t="str">
        <f>CONCATENATE(Programme!D11552,Programme!E11552,Programme!F11552,Programme!G11552,Programme!H11552,Programme!I11552,Programme!J11552)</f>
        <v>&lt;numeroLigne&gt;68&lt;/numeroLigne&gt;</v>
      </c>
    </row>
    <row r="11552" spans="1:1" x14ac:dyDescent="0.2">
      <c r="A11552" s="996" t="str">
        <f>CONCATENATE(Programme!D11553,Programme!E11553,Programme!F11553,Programme!G11553,Programme!H11553,Programme!I11553,Programme!J11553)</f>
        <v>&lt;/ValeurCellule&gt;</v>
      </c>
    </row>
    <row r="11553" spans="1:1" x14ac:dyDescent="0.2">
      <c r="A11553" s="996" t="str">
        <f>CONCATENATE(Programme!D11554,Programme!E11554,Programme!F11554,Programme!G11554,Programme!H11554,Programme!I11554,Programme!J11554)</f>
        <v>&lt;ValeurCellule&gt;</v>
      </c>
    </row>
    <row r="11554" spans="1:1" x14ac:dyDescent="0.2">
      <c r="A11554" s="996" t="str">
        <f>CONCATENATE(Programme!D11555,Programme!E11555,Programme!F11555,Programme!G11555,Programme!H11555,Programme!I11555,Programme!J11555)</f>
        <v>&lt;cellule&gt;&lt;codeEdi&gt;1080&lt;/codeEdi&gt;&lt;/cellule&gt;</v>
      </c>
    </row>
    <row r="11555" spans="1:1" x14ac:dyDescent="0.2">
      <c r="A11555" s="996" t="str">
        <f>CONCATENATE(Programme!D11556,Programme!E11556,Programme!F11556,Programme!G11556,Programme!H11556,Programme!I11556,Programme!J11556)</f>
        <v>&lt;valeur&gt;&lt;/valeur&gt;</v>
      </c>
    </row>
    <row r="11556" spans="1:1" x14ac:dyDescent="0.2">
      <c r="A11556" s="996" t="str">
        <f>CONCATENATE(Programme!D11557,Programme!E11557,Programme!F11557,Programme!G11557,Programme!H11557,Programme!I11557,Programme!J11557)</f>
        <v>&lt;numeroLigne&gt;68&lt;/numeroLigne&gt;</v>
      </c>
    </row>
    <row r="11557" spans="1:1" x14ac:dyDescent="0.2">
      <c r="A11557" s="996" t="str">
        <f>CONCATENATE(Programme!D11558,Programme!E11558,Programme!F11558,Programme!G11558,Programme!H11558,Programme!I11558,Programme!J11558)</f>
        <v>&lt;/ValeurCellule&gt;</v>
      </c>
    </row>
    <row r="11558" spans="1:1" x14ac:dyDescent="0.2">
      <c r="A11558" s="996" t="str">
        <f>CONCATENATE(Programme!D11559,Programme!E11559,Programme!F11559,Programme!G11559,Programme!H11559,Programme!I11559,Programme!J11559)</f>
        <v>&lt;ValeurCellule&gt;</v>
      </c>
    </row>
    <row r="11559" spans="1:1" x14ac:dyDescent="0.2">
      <c r="A11559" s="996" t="str">
        <f>CONCATENATE(Programme!D11560,Programme!E11560,Programme!F11560,Programme!G11560,Programme!H11560,Programme!I11560,Programme!J11560)</f>
        <v>&lt;cellule&gt;&lt;codeEdi&gt;1081&lt;/codeEdi&gt;&lt;/cellule&gt;</v>
      </c>
    </row>
    <row r="11560" spans="1:1" x14ac:dyDescent="0.2">
      <c r="A11560" s="996" t="str">
        <f>CONCATENATE(Programme!D11561,Programme!E11561,Programme!F11561,Programme!G11561,Programme!H11561,Programme!I11561,Programme!J11561)</f>
        <v>&lt;valeur&gt;&lt;/valeur&gt;</v>
      </c>
    </row>
    <row r="11561" spans="1:1" x14ac:dyDescent="0.2">
      <c r="A11561" s="996" t="str">
        <f>CONCATENATE(Programme!D11562,Programme!E11562,Programme!F11562,Programme!G11562,Programme!H11562,Programme!I11562,Programme!J11562)</f>
        <v>&lt;numeroLigne&gt;68&lt;/numeroLigne&gt;</v>
      </c>
    </row>
    <row r="11562" spans="1:1" x14ac:dyDescent="0.2">
      <c r="A11562" s="996" t="str">
        <f>CONCATENATE(Programme!D11563,Programme!E11563,Programme!F11563,Programme!G11563,Programme!H11563,Programme!I11563,Programme!J11563)</f>
        <v>&lt;/ValeurCellule&gt;</v>
      </c>
    </row>
    <row r="11563" spans="1:1" x14ac:dyDescent="0.2">
      <c r="A11563" s="996" t="str">
        <f>CONCATENATE(Programme!D11564,Programme!E11564,Programme!F11564,Programme!G11564,Programme!H11564,Programme!I11564,Programme!J11564)</f>
        <v>&lt;ValeurCellule&gt;</v>
      </c>
    </row>
    <row r="11564" spans="1:1" x14ac:dyDescent="0.2">
      <c r="A11564" s="996" t="str">
        <f>CONCATENATE(Programme!D11565,Programme!E11565,Programme!F11565,Programme!G11565,Programme!H11565,Programme!I11565,Programme!J11565)</f>
        <v>&lt;cellule&gt;&lt;codeEdi&gt;1082&lt;/codeEdi&gt;&lt;/cellule&gt;</v>
      </c>
    </row>
    <row r="11565" spans="1:1" x14ac:dyDescent="0.2">
      <c r="A11565" s="996" t="str">
        <f>CONCATENATE(Programme!D11566,Programme!E11566,Programme!F11566,Programme!G11566,Programme!H11566,Programme!I11566,Programme!J11566)</f>
        <v>&lt;valeur&gt;&lt;/valeur&gt;</v>
      </c>
    </row>
    <row r="11566" spans="1:1" x14ac:dyDescent="0.2">
      <c r="A11566" s="996" t="str">
        <f>CONCATENATE(Programme!D11567,Programme!E11567,Programme!F11567,Programme!G11567,Programme!H11567,Programme!I11567,Programme!J11567)</f>
        <v>&lt;numeroLigne&gt;68&lt;/numeroLigne&gt;</v>
      </c>
    </row>
    <row r="11567" spans="1:1" x14ac:dyDescent="0.2">
      <c r="A11567" s="996" t="str">
        <f>CONCATENATE(Programme!D11568,Programme!E11568,Programme!F11568,Programme!G11568,Programme!H11568,Programme!I11568,Programme!J11568)</f>
        <v>&lt;/ValeurCellule&gt;</v>
      </c>
    </row>
    <row r="11568" spans="1:1" x14ac:dyDescent="0.2">
      <c r="A11568" s="996" t="str">
        <f>CONCATENATE(Programme!D11569,Programme!E11569,Programme!F11569,Programme!G11569,Programme!H11569,Programme!I11569,Programme!J11569)</f>
        <v>&lt;ValeurCellule&gt;</v>
      </c>
    </row>
    <row r="11569" spans="1:1" x14ac:dyDescent="0.2">
      <c r="A11569" s="996" t="str">
        <f>CONCATENATE(Programme!D11570,Programme!E11570,Programme!F11570,Programme!G11570,Programme!H11570,Programme!I11570,Programme!J11570)</f>
        <v>&lt;cellule&gt;&lt;codeEdi&gt;1083&lt;/codeEdi&gt;&lt;/cellule&gt;</v>
      </c>
    </row>
    <row r="11570" spans="1:1" x14ac:dyDescent="0.2">
      <c r="A11570" s="996" t="str">
        <f>CONCATENATE(Programme!D11571,Programme!E11571,Programme!F11571,Programme!G11571,Programme!H11571,Programme!I11571,Programme!J11571)</f>
        <v>&lt;valeur&gt;&lt;/valeur&gt;</v>
      </c>
    </row>
    <row r="11571" spans="1:1" x14ac:dyDescent="0.2">
      <c r="A11571" s="996" t="str">
        <f>CONCATENATE(Programme!D11572,Programme!E11572,Programme!F11572,Programme!G11572,Programme!H11572,Programme!I11572,Programme!J11572)</f>
        <v>&lt;numeroLigne&gt;68&lt;/numeroLigne&gt;</v>
      </c>
    </row>
    <row r="11572" spans="1:1" x14ac:dyDescent="0.2">
      <c r="A11572" s="996" t="str">
        <f>CONCATENATE(Programme!D11573,Programme!E11573,Programme!F11573,Programme!G11573,Programme!H11573,Programme!I11573,Programme!J11573)</f>
        <v>&lt;/ValeurCellule&gt;</v>
      </c>
    </row>
    <row r="11573" spans="1:1" x14ac:dyDescent="0.2">
      <c r="A11573" s="996" t="str">
        <f>CONCATENATE(Programme!D11574,Programme!E11574,Programme!F11574,Programme!G11574,Programme!H11574,Programme!I11574,Programme!J11574)</f>
        <v>&lt;ValeurCellule&gt;</v>
      </c>
    </row>
    <row r="11574" spans="1:1" x14ac:dyDescent="0.2">
      <c r="A11574" s="996" t="str">
        <f>CONCATENATE(Programme!D11575,Programme!E11575,Programme!F11575,Programme!G11575,Programme!H11575,Programme!I11575,Programme!J11575)</f>
        <v>&lt;cellule&gt;&lt;codeEdi&gt;1084&lt;/codeEdi&gt;&lt;/cellule&gt;</v>
      </c>
    </row>
    <row r="11575" spans="1:1" x14ac:dyDescent="0.2">
      <c r="A11575" s="996" t="str">
        <f>CONCATENATE(Programme!D11576,Programme!E11576,Programme!F11576,Programme!G11576,Programme!H11576,Programme!I11576,Programme!J11576)</f>
        <v>&lt;valeur&gt;&lt;/valeur&gt;</v>
      </c>
    </row>
    <row r="11576" spans="1:1" x14ac:dyDescent="0.2">
      <c r="A11576" s="996" t="str">
        <f>CONCATENATE(Programme!D11577,Programme!E11577,Programme!F11577,Programme!G11577,Programme!H11577,Programme!I11577,Programme!J11577)</f>
        <v>&lt;numeroLigne&gt;68&lt;/numeroLigne&gt;</v>
      </c>
    </row>
    <row r="11577" spans="1:1" x14ac:dyDescent="0.2">
      <c r="A11577" s="996" t="str">
        <f>CONCATENATE(Programme!D11578,Programme!E11578,Programme!F11578,Programme!G11578,Programme!H11578,Programme!I11578,Programme!J11578)</f>
        <v>&lt;/ValeurCellule&gt;</v>
      </c>
    </row>
    <row r="11578" spans="1:1" x14ac:dyDescent="0.2">
      <c r="A11578" s="996" t="str">
        <f>CONCATENATE(Programme!D11579,Programme!E11579,Programme!F11579,Programme!G11579,Programme!H11579,Programme!I11579,Programme!J11579)</f>
        <v>&lt;ValeurCellule&gt;</v>
      </c>
    </row>
    <row r="11579" spans="1:1" x14ac:dyDescent="0.2">
      <c r="A11579" s="996" t="str">
        <f>CONCATENATE(Programme!D11580,Programme!E11580,Programme!F11580,Programme!G11580,Programme!H11580,Programme!I11580,Programme!J11580)</f>
        <v>&lt;cellule&gt;&lt;codeEdi&gt;1085&lt;/codeEdi&gt;&lt;/cellule&gt;</v>
      </c>
    </row>
    <row r="11580" spans="1:1" x14ac:dyDescent="0.2">
      <c r="A11580" s="996" t="str">
        <f>CONCATENATE(Programme!D11581,Programme!E11581,Programme!F11581,Programme!G11581,Programme!H11581,Programme!I11581,Programme!J11581)</f>
        <v>&lt;valeur&gt;&lt;/valeur&gt;</v>
      </c>
    </row>
    <row r="11581" spans="1:1" x14ac:dyDescent="0.2">
      <c r="A11581" s="996" t="str">
        <f>CONCATENATE(Programme!D11582,Programme!E11582,Programme!F11582,Programme!G11582,Programme!H11582,Programme!I11582,Programme!J11582)</f>
        <v>&lt;numeroLigne&gt;68&lt;/numeroLigne&gt;</v>
      </c>
    </row>
    <row r="11582" spans="1:1" x14ac:dyDescent="0.2">
      <c r="A11582" s="996" t="str">
        <f>CONCATENATE(Programme!D11583,Programme!E11583,Programme!F11583,Programme!G11583,Programme!H11583,Programme!I11583,Programme!J11583)</f>
        <v>&lt;/ValeurCellule&gt;</v>
      </c>
    </row>
    <row r="11583" spans="1:1" x14ac:dyDescent="0.2">
      <c r="A11583" s="996" t="str">
        <f>CONCATENATE(Programme!D11584,Programme!E11584,Programme!F11584,Programme!G11584,Programme!H11584,Programme!I11584,Programme!J11584)</f>
        <v>&lt;ValeurCellule&gt;</v>
      </c>
    </row>
    <row r="11584" spans="1:1" x14ac:dyDescent="0.2">
      <c r="A11584" s="996" t="str">
        <f>CONCATENATE(Programme!D11585,Programme!E11585,Programme!F11585,Programme!G11585,Programme!H11585,Programme!I11585,Programme!J11585)</f>
        <v>&lt;cellule&gt;&lt;codeEdi&gt;1086&lt;/codeEdi&gt;&lt;/cellule&gt;</v>
      </c>
    </row>
    <row r="11585" spans="1:1" x14ac:dyDescent="0.2">
      <c r="A11585" s="996" t="str">
        <f>CONCATENATE(Programme!D11586,Programme!E11586,Programme!F11586,Programme!G11586,Programme!H11586,Programme!I11586,Programme!J11586)</f>
        <v>&lt;valeur&gt;&lt;/valeur&gt;</v>
      </c>
    </row>
    <row r="11586" spans="1:1" x14ac:dyDescent="0.2">
      <c r="A11586" s="996" t="str">
        <f>CONCATENATE(Programme!D11587,Programme!E11587,Programme!F11587,Programme!G11587,Programme!H11587,Programme!I11587,Programme!J11587)</f>
        <v>&lt;numeroLigne&gt;68&lt;/numeroLigne&gt;</v>
      </c>
    </row>
    <row r="11587" spans="1:1" x14ac:dyDescent="0.2">
      <c r="A11587" s="996" t="str">
        <f>CONCATENATE(Programme!D11588,Programme!E11588,Programme!F11588,Programme!G11588,Programme!H11588,Programme!I11588,Programme!J11588)</f>
        <v>&lt;/ValeurCellule&gt;</v>
      </c>
    </row>
    <row r="11588" spans="1:1" x14ac:dyDescent="0.2">
      <c r="A11588" s="996" t="str">
        <f>CONCATENATE(Programme!D11589,Programme!E11589,Programme!F11589,Programme!G11589,Programme!H11589,Programme!I11589,Programme!J11589)</f>
        <v>&lt;ValeurCellule&gt;</v>
      </c>
    </row>
    <row r="11589" spans="1:1" x14ac:dyDescent="0.2">
      <c r="A11589" s="996" t="str">
        <f>CONCATENATE(Programme!D11590,Programme!E11590,Programme!F11590,Programme!G11590,Programme!H11590,Programme!I11590,Programme!J11590)</f>
        <v>&lt;cellule&gt;&lt;codeEdi&gt;10061&lt;/codeEdi&gt;&lt;/cellule&gt;</v>
      </c>
    </row>
    <row r="11590" spans="1:1" x14ac:dyDescent="0.2">
      <c r="A11590" s="996" t="str">
        <f>CONCATENATE(Programme!D11591,Programme!E11591,Programme!F11591,Programme!G11591,Programme!H11591,Programme!I11591,Programme!J11591)</f>
        <v>&lt;valeur&gt;&lt;/valeur&gt;</v>
      </c>
    </row>
    <row r="11591" spans="1:1" x14ac:dyDescent="0.2">
      <c r="A11591" s="996" t="str">
        <f>CONCATENATE(Programme!D11592,Programme!E11592,Programme!F11592,Programme!G11592,Programme!H11592,Programme!I11592,Programme!J11592)</f>
        <v>&lt;numeroLigne&gt;69&lt;/numeroLigne&gt;</v>
      </c>
    </row>
    <row r="11592" spans="1:1" x14ac:dyDescent="0.2">
      <c r="A11592" s="996" t="str">
        <f>CONCATENATE(Programme!D11593,Programme!E11593,Programme!F11593,Programme!G11593,Programme!H11593,Programme!I11593,Programme!J11593)</f>
        <v>&lt;/ValeurCellule&gt;</v>
      </c>
    </row>
    <row r="11593" spans="1:1" x14ac:dyDescent="0.2">
      <c r="A11593" s="996" t="str">
        <f>CONCATENATE(Programme!D11594,Programme!E11594,Programme!F11594,Programme!G11594,Programme!H11594,Programme!I11594,Programme!J11594)</f>
        <v>&lt;ValeurCellule&gt;</v>
      </c>
    </row>
    <row r="11594" spans="1:1" x14ac:dyDescent="0.2">
      <c r="A11594" s="996" t="str">
        <f>CONCATENATE(Programme!D11595,Programme!E11595,Programme!F11595,Programme!G11595,Programme!H11595,Programme!I11595,Programme!J11595)</f>
        <v>&lt;cellule&gt;&lt;codeEdi&gt;1078&lt;/codeEdi&gt;&lt;/cellule&gt;</v>
      </c>
    </row>
    <row r="11595" spans="1:1" x14ac:dyDescent="0.2">
      <c r="A11595" s="996" t="str">
        <f>CONCATENATE(Programme!D11596,Programme!E11596,Programme!F11596,Programme!G11596,Programme!H11596,Programme!I11596,Programme!J11596)</f>
        <v>&lt;valeur&gt;&lt;/valeur&gt;</v>
      </c>
    </row>
    <row r="11596" spans="1:1" x14ac:dyDescent="0.2">
      <c r="A11596" s="996" t="str">
        <f>CONCATENATE(Programme!D11597,Programme!E11597,Programme!F11597,Programme!G11597,Programme!H11597,Programme!I11597,Programme!J11597)</f>
        <v>&lt;numeroLigne&gt;69&lt;/numeroLigne&gt;</v>
      </c>
    </row>
    <row r="11597" spans="1:1" x14ac:dyDescent="0.2">
      <c r="A11597" s="996" t="str">
        <f>CONCATENATE(Programme!D11598,Programme!E11598,Programme!F11598,Programme!G11598,Programme!H11598,Programme!I11598,Programme!J11598)</f>
        <v>&lt;/ValeurCellule&gt;</v>
      </c>
    </row>
    <row r="11598" spans="1:1" x14ac:dyDescent="0.2">
      <c r="A11598" s="996" t="str">
        <f>CONCATENATE(Programme!D11599,Programme!E11599,Programme!F11599,Programme!G11599,Programme!H11599,Programme!I11599,Programme!J11599)</f>
        <v>&lt;ValeurCellule&gt;</v>
      </c>
    </row>
    <row r="11599" spans="1:1" x14ac:dyDescent="0.2">
      <c r="A11599" s="996" t="str">
        <f>CONCATENATE(Programme!D11600,Programme!E11600,Programme!F11600,Programme!G11600,Programme!H11600,Programme!I11600,Programme!J11600)</f>
        <v>&lt;cellule&gt;&lt;codeEdi&gt;1079&lt;/codeEdi&gt;&lt;/cellule&gt;</v>
      </c>
    </row>
    <row r="11600" spans="1:1" x14ac:dyDescent="0.2">
      <c r="A11600" s="996" t="str">
        <f>CONCATENATE(Programme!D11601,Programme!E11601,Programme!F11601,Programme!G11601,Programme!H11601,Programme!I11601,Programme!J11601)</f>
        <v>&lt;valeur&gt;&lt;/valeur&gt;</v>
      </c>
    </row>
    <row r="11601" spans="1:1" x14ac:dyDescent="0.2">
      <c r="A11601" s="996" t="str">
        <f>CONCATENATE(Programme!D11602,Programme!E11602,Programme!F11602,Programme!G11602,Programme!H11602,Programme!I11602,Programme!J11602)</f>
        <v>&lt;numeroLigne&gt;69&lt;/numeroLigne&gt;</v>
      </c>
    </row>
    <row r="11602" spans="1:1" x14ac:dyDescent="0.2">
      <c r="A11602" s="996" t="str">
        <f>CONCATENATE(Programme!D11603,Programme!E11603,Programme!F11603,Programme!G11603,Programme!H11603,Programme!I11603,Programme!J11603)</f>
        <v>&lt;/ValeurCellule&gt;</v>
      </c>
    </row>
    <row r="11603" spans="1:1" x14ac:dyDescent="0.2">
      <c r="A11603" s="996" t="str">
        <f>CONCATENATE(Programme!D11604,Programme!E11604,Programme!F11604,Programme!G11604,Programme!H11604,Programme!I11604,Programme!J11604)</f>
        <v>&lt;ValeurCellule&gt;</v>
      </c>
    </row>
    <row r="11604" spans="1:1" x14ac:dyDescent="0.2">
      <c r="A11604" s="996" t="str">
        <f>CONCATENATE(Programme!D11605,Programme!E11605,Programme!F11605,Programme!G11605,Programme!H11605,Programme!I11605,Programme!J11605)</f>
        <v>&lt;cellule&gt;&lt;codeEdi&gt;1080&lt;/codeEdi&gt;&lt;/cellule&gt;</v>
      </c>
    </row>
    <row r="11605" spans="1:1" x14ac:dyDescent="0.2">
      <c r="A11605" s="996" t="str">
        <f>CONCATENATE(Programme!D11606,Programme!E11606,Programme!F11606,Programme!G11606,Programme!H11606,Programme!I11606,Programme!J11606)</f>
        <v>&lt;valeur&gt;&lt;/valeur&gt;</v>
      </c>
    </row>
    <row r="11606" spans="1:1" x14ac:dyDescent="0.2">
      <c r="A11606" s="996" t="str">
        <f>CONCATENATE(Programme!D11607,Programme!E11607,Programme!F11607,Programme!G11607,Programme!H11607,Programme!I11607,Programme!J11607)</f>
        <v>&lt;numeroLigne&gt;69&lt;/numeroLigne&gt;</v>
      </c>
    </row>
    <row r="11607" spans="1:1" x14ac:dyDescent="0.2">
      <c r="A11607" s="996" t="str">
        <f>CONCATENATE(Programme!D11608,Programme!E11608,Programme!F11608,Programme!G11608,Programme!H11608,Programme!I11608,Programme!J11608)</f>
        <v>&lt;/ValeurCellule&gt;</v>
      </c>
    </row>
    <row r="11608" spans="1:1" x14ac:dyDescent="0.2">
      <c r="A11608" s="996" t="str">
        <f>CONCATENATE(Programme!D11609,Programme!E11609,Programme!F11609,Programme!G11609,Programme!H11609,Programme!I11609,Programme!J11609)</f>
        <v>&lt;ValeurCellule&gt;</v>
      </c>
    </row>
    <row r="11609" spans="1:1" x14ac:dyDescent="0.2">
      <c r="A11609" s="996" t="str">
        <f>CONCATENATE(Programme!D11610,Programme!E11610,Programme!F11610,Programme!G11610,Programme!H11610,Programme!I11610,Programme!J11610)</f>
        <v>&lt;cellule&gt;&lt;codeEdi&gt;1081&lt;/codeEdi&gt;&lt;/cellule&gt;</v>
      </c>
    </row>
    <row r="11610" spans="1:1" x14ac:dyDescent="0.2">
      <c r="A11610" s="996" t="str">
        <f>CONCATENATE(Programme!D11611,Programme!E11611,Programme!F11611,Programme!G11611,Programme!H11611,Programme!I11611,Programme!J11611)</f>
        <v>&lt;valeur&gt;&lt;/valeur&gt;</v>
      </c>
    </row>
    <row r="11611" spans="1:1" x14ac:dyDescent="0.2">
      <c r="A11611" s="996" t="str">
        <f>CONCATENATE(Programme!D11612,Programme!E11612,Programme!F11612,Programme!G11612,Programme!H11612,Programme!I11612,Programme!J11612)</f>
        <v>&lt;numeroLigne&gt;69&lt;/numeroLigne&gt;</v>
      </c>
    </row>
    <row r="11612" spans="1:1" x14ac:dyDescent="0.2">
      <c r="A11612" s="996" t="str">
        <f>CONCATENATE(Programme!D11613,Programme!E11613,Programme!F11613,Programme!G11613,Programme!H11613,Programme!I11613,Programme!J11613)</f>
        <v>&lt;/ValeurCellule&gt;</v>
      </c>
    </row>
    <row r="11613" spans="1:1" x14ac:dyDescent="0.2">
      <c r="A11613" s="996" t="str">
        <f>CONCATENATE(Programme!D11614,Programme!E11614,Programme!F11614,Programme!G11614,Programme!H11614,Programme!I11614,Programme!J11614)</f>
        <v>&lt;ValeurCellule&gt;</v>
      </c>
    </row>
    <row r="11614" spans="1:1" x14ac:dyDescent="0.2">
      <c r="A11614" s="996" t="str">
        <f>CONCATENATE(Programme!D11615,Programme!E11615,Programme!F11615,Programme!G11615,Programme!H11615,Programme!I11615,Programme!J11615)</f>
        <v>&lt;cellule&gt;&lt;codeEdi&gt;1082&lt;/codeEdi&gt;&lt;/cellule&gt;</v>
      </c>
    </row>
    <row r="11615" spans="1:1" x14ac:dyDescent="0.2">
      <c r="A11615" s="996" t="str">
        <f>CONCATENATE(Programme!D11616,Programme!E11616,Programme!F11616,Programme!G11616,Programme!H11616,Programme!I11616,Programme!J11616)</f>
        <v>&lt;valeur&gt;&lt;/valeur&gt;</v>
      </c>
    </row>
    <row r="11616" spans="1:1" x14ac:dyDescent="0.2">
      <c r="A11616" s="996" t="str">
        <f>CONCATENATE(Programme!D11617,Programme!E11617,Programme!F11617,Programme!G11617,Programme!H11617,Programme!I11617,Programme!J11617)</f>
        <v>&lt;numeroLigne&gt;69&lt;/numeroLigne&gt;</v>
      </c>
    </row>
    <row r="11617" spans="1:1" x14ac:dyDescent="0.2">
      <c r="A11617" s="996" t="str">
        <f>CONCATENATE(Programme!D11618,Programme!E11618,Programme!F11618,Programme!G11618,Programme!H11618,Programme!I11618,Programme!J11618)</f>
        <v>&lt;/ValeurCellule&gt;</v>
      </c>
    </row>
    <row r="11618" spans="1:1" x14ac:dyDescent="0.2">
      <c r="A11618" s="996" t="str">
        <f>CONCATENATE(Programme!D11619,Programme!E11619,Programme!F11619,Programme!G11619,Programme!H11619,Programme!I11619,Programme!J11619)</f>
        <v>&lt;ValeurCellule&gt;</v>
      </c>
    </row>
    <row r="11619" spans="1:1" x14ac:dyDescent="0.2">
      <c r="A11619" s="996" t="str">
        <f>CONCATENATE(Programme!D11620,Programme!E11620,Programme!F11620,Programme!G11620,Programme!H11620,Programme!I11620,Programme!J11620)</f>
        <v>&lt;cellule&gt;&lt;codeEdi&gt;1083&lt;/codeEdi&gt;&lt;/cellule&gt;</v>
      </c>
    </row>
    <row r="11620" spans="1:1" x14ac:dyDescent="0.2">
      <c r="A11620" s="996" t="str">
        <f>CONCATENATE(Programme!D11621,Programme!E11621,Programme!F11621,Programme!G11621,Programme!H11621,Programme!I11621,Programme!J11621)</f>
        <v>&lt;valeur&gt;&lt;/valeur&gt;</v>
      </c>
    </row>
    <row r="11621" spans="1:1" x14ac:dyDescent="0.2">
      <c r="A11621" s="996" t="str">
        <f>CONCATENATE(Programme!D11622,Programme!E11622,Programme!F11622,Programme!G11622,Programme!H11622,Programme!I11622,Programme!J11622)</f>
        <v>&lt;numeroLigne&gt;69&lt;/numeroLigne&gt;</v>
      </c>
    </row>
    <row r="11622" spans="1:1" x14ac:dyDescent="0.2">
      <c r="A11622" s="996" t="str">
        <f>CONCATENATE(Programme!D11623,Programme!E11623,Programme!F11623,Programme!G11623,Programme!H11623,Programme!I11623,Programme!J11623)</f>
        <v>&lt;/ValeurCellule&gt;</v>
      </c>
    </row>
    <row r="11623" spans="1:1" x14ac:dyDescent="0.2">
      <c r="A11623" s="996" t="str">
        <f>CONCATENATE(Programme!D11624,Programme!E11624,Programme!F11624,Programme!G11624,Programme!H11624,Programme!I11624,Programme!J11624)</f>
        <v>&lt;ValeurCellule&gt;</v>
      </c>
    </row>
    <row r="11624" spans="1:1" x14ac:dyDescent="0.2">
      <c r="A11624" s="996" t="str">
        <f>CONCATENATE(Programme!D11625,Programme!E11625,Programme!F11625,Programme!G11625,Programme!H11625,Programme!I11625,Programme!J11625)</f>
        <v>&lt;cellule&gt;&lt;codeEdi&gt;1084&lt;/codeEdi&gt;&lt;/cellule&gt;</v>
      </c>
    </row>
    <row r="11625" spans="1:1" x14ac:dyDescent="0.2">
      <c r="A11625" s="996" t="str">
        <f>CONCATENATE(Programme!D11626,Programme!E11626,Programme!F11626,Programme!G11626,Programme!H11626,Programme!I11626,Programme!J11626)</f>
        <v>&lt;valeur&gt;&lt;/valeur&gt;</v>
      </c>
    </row>
    <row r="11626" spans="1:1" x14ac:dyDescent="0.2">
      <c r="A11626" s="996" t="str">
        <f>CONCATENATE(Programme!D11627,Programme!E11627,Programme!F11627,Programme!G11627,Programme!H11627,Programme!I11627,Programme!J11627)</f>
        <v>&lt;numeroLigne&gt;69&lt;/numeroLigne&gt;</v>
      </c>
    </row>
    <row r="11627" spans="1:1" x14ac:dyDescent="0.2">
      <c r="A11627" s="996" t="str">
        <f>CONCATENATE(Programme!D11628,Programme!E11628,Programme!F11628,Programme!G11628,Programme!H11628,Programme!I11628,Programme!J11628)</f>
        <v>&lt;/ValeurCellule&gt;</v>
      </c>
    </row>
    <row r="11628" spans="1:1" x14ac:dyDescent="0.2">
      <c r="A11628" s="996" t="str">
        <f>CONCATENATE(Programme!D11629,Programme!E11629,Programme!F11629,Programme!G11629,Programme!H11629,Programme!I11629,Programme!J11629)</f>
        <v>&lt;ValeurCellule&gt;</v>
      </c>
    </row>
    <row r="11629" spans="1:1" x14ac:dyDescent="0.2">
      <c r="A11629" s="996" t="str">
        <f>CONCATENATE(Programme!D11630,Programme!E11630,Programme!F11630,Programme!G11630,Programme!H11630,Programme!I11630,Programme!J11630)</f>
        <v>&lt;cellule&gt;&lt;codeEdi&gt;1085&lt;/codeEdi&gt;&lt;/cellule&gt;</v>
      </c>
    </row>
    <row r="11630" spans="1:1" x14ac:dyDescent="0.2">
      <c r="A11630" s="996" t="str">
        <f>CONCATENATE(Programme!D11631,Programme!E11631,Programme!F11631,Programme!G11631,Programme!H11631,Programme!I11631,Programme!J11631)</f>
        <v>&lt;valeur&gt;&lt;/valeur&gt;</v>
      </c>
    </row>
    <row r="11631" spans="1:1" x14ac:dyDescent="0.2">
      <c r="A11631" s="996" t="str">
        <f>CONCATENATE(Programme!D11632,Programme!E11632,Programme!F11632,Programme!G11632,Programme!H11632,Programme!I11632,Programme!J11632)</f>
        <v>&lt;numeroLigne&gt;69&lt;/numeroLigne&gt;</v>
      </c>
    </row>
    <row r="11632" spans="1:1" x14ac:dyDescent="0.2">
      <c r="A11632" s="996" t="str">
        <f>CONCATENATE(Programme!D11633,Programme!E11633,Programme!F11633,Programme!G11633,Programme!H11633,Programme!I11633,Programme!J11633)</f>
        <v>&lt;/ValeurCellule&gt;</v>
      </c>
    </row>
    <row r="11633" spans="1:1" x14ac:dyDescent="0.2">
      <c r="A11633" s="996" t="str">
        <f>CONCATENATE(Programme!D11634,Programme!E11634,Programme!F11634,Programme!G11634,Programme!H11634,Programme!I11634,Programme!J11634)</f>
        <v>&lt;ValeurCellule&gt;</v>
      </c>
    </row>
    <row r="11634" spans="1:1" x14ac:dyDescent="0.2">
      <c r="A11634" s="996" t="str">
        <f>CONCATENATE(Programme!D11635,Programme!E11635,Programme!F11635,Programme!G11635,Programme!H11635,Programme!I11635,Programme!J11635)</f>
        <v>&lt;cellule&gt;&lt;codeEdi&gt;1086&lt;/codeEdi&gt;&lt;/cellule&gt;</v>
      </c>
    </row>
    <row r="11635" spans="1:1" x14ac:dyDescent="0.2">
      <c r="A11635" s="996" t="str">
        <f>CONCATENATE(Programme!D11636,Programme!E11636,Programme!F11636,Programme!G11636,Programme!H11636,Programme!I11636,Programme!J11636)</f>
        <v>&lt;valeur&gt;&lt;/valeur&gt;</v>
      </c>
    </row>
    <row r="11636" spans="1:1" x14ac:dyDescent="0.2">
      <c r="A11636" s="996" t="str">
        <f>CONCATENATE(Programme!D11637,Programme!E11637,Programme!F11637,Programme!G11637,Programme!H11637,Programme!I11637,Programme!J11637)</f>
        <v>&lt;numeroLigne&gt;69&lt;/numeroLigne&gt;</v>
      </c>
    </row>
    <row r="11637" spans="1:1" x14ac:dyDescent="0.2">
      <c r="A11637" s="996" t="str">
        <f>CONCATENATE(Programme!D11638,Programme!E11638,Programme!F11638,Programme!G11638,Programme!H11638,Programme!I11638,Programme!J11638)</f>
        <v>&lt;/ValeurCellule&gt;</v>
      </c>
    </row>
    <row r="11638" spans="1:1" x14ac:dyDescent="0.2">
      <c r="A11638" s="996" t="str">
        <f>CONCATENATE(Programme!D11639,Programme!E11639,Programme!F11639,Programme!G11639,Programme!H11639,Programme!I11639,Programme!J11639)</f>
        <v>&lt;ValeurCellule&gt;</v>
      </c>
    </row>
    <row r="11639" spans="1:1" x14ac:dyDescent="0.2">
      <c r="A11639" s="996" t="str">
        <f>CONCATENATE(Programme!D11640,Programme!E11640,Programme!F11640,Programme!G11640,Programme!H11640,Programme!I11640,Programme!J11640)</f>
        <v>&lt;cellule&gt;&lt;codeEdi&gt;10061&lt;/codeEdi&gt;&lt;/cellule&gt;</v>
      </c>
    </row>
    <row r="11640" spans="1:1" x14ac:dyDescent="0.2">
      <c r="A11640" s="996" t="str">
        <f>CONCATENATE(Programme!D11641,Programme!E11641,Programme!F11641,Programme!G11641,Programme!H11641,Programme!I11641,Programme!J11641)</f>
        <v>&lt;valeur&gt;&lt;/valeur&gt;</v>
      </c>
    </row>
    <row r="11641" spans="1:1" x14ac:dyDescent="0.2">
      <c r="A11641" s="996" t="str">
        <f>CONCATENATE(Programme!D11642,Programme!E11642,Programme!F11642,Programme!G11642,Programme!H11642,Programme!I11642,Programme!J11642)</f>
        <v>&lt;numeroLigne&gt;70&lt;/numeroLigne&gt;</v>
      </c>
    </row>
    <row r="11642" spans="1:1" x14ac:dyDescent="0.2">
      <c r="A11642" s="996" t="str">
        <f>CONCATENATE(Programme!D11643,Programme!E11643,Programme!F11643,Programme!G11643,Programme!H11643,Programme!I11643,Programme!J11643)</f>
        <v>&lt;/ValeurCellule&gt;</v>
      </c>
    </row>
    <row r="11643" spans="1:1" x14ac:dyDescent="0.2">
      <c r="A11643" s="996" t="str">
        <f>CONCATENATE(Programme!D11644,Programme!E11644,Programme!F11644,Programme!G11644,Programme!H11644,Programme!I11644,Programme!J11644)</f>
        <v>&lt;ValeurCellule&gt;</v>
      </c>
    </row>
    <row r="11644" spans="1:1" x14ac:dyDescent="0.2">
      <c r="A11644" s="996" t="str">
        <f>CONCATENATE(Programme!D11645,Programme!E11645,Programme!F11645,Programme!G11645,Programme!H11645,Programme!I11645,Programme!J11645)</f>
        <v>&lt;cellule&gt;&lt;codeEdi&gt;1078&lt;/codeEdi&gt;&lt;/cellule&gt;</v>
      </c>
    </row>
    <row r="11645" spans="1:1" x14ac:dyDescent="0.2">
      <c r="A11645" s="996" t="str">
        <f>CONCATENATE(Programme!D11646,Programme!E11646,Programme!F11646,Programme!G11646,Programme!H11646,Programme!I11646,Programme!J11646)</f>
        <v>&lt;valeur&gt;&lt;/valeur&gt;</v>
      </c>
    </row>
    <row r="11646" spans="1:1" x14ac:dyDescent="0.2">
      <c r="A11646" s="996" t="str">
        <f>CONCATENATE(Programme!D11647,Programme!E11647,Programme!F11647,Programme!G11647,Programme!H11647,Programme!I11647,Programme!J11647)</f>
        <v>&lt;numeroLigne&gt;70&lt;/numeroLigne&gt;</v>
      </c>
    </row>
    <row r="11647" spans="1:1" x14ac:dyDescent="0.2">
      <c r="A11647" s="996" t="str">
        <f>CONCATENATE(Programme!D11648,Programme!E11648,Programme!F11648,Programme!G11648,Programme!H11648,Programme!I11648,Programme!J11648)</f>
        <v>&lt;/ValeurCellule&gt;</v>
      </c>
    </row>
    <row r="11648" spans="1:1" x14ac:dyDescent="0.2">
      <c r="A11648" s="996" t="str">
        <f>CONCATENATE(Programme!D11649,Programme!E11649,Programme!F11649,Programme!G11649,Programme!H11649,Programme!I11649,Programme!J11649)</f>
        <v>&lt;ValeurCellule&gt;</v>
      </c>
    </row>
    <row r="11649" spans="1:1" x14ac:dyDescent="0.2">
      <c r="A11649" s="996" t="str">
        <f>CONCATENATE(Programme!D11650,Programme!E11650,Programme!F11650,Programme!G11650,Programme!H11650,Programme!I11650,Programme!J11650)</f>
        <v>&lt;cellule&gt;&lt;codeEdi&gt;1079&lt;/codeEdi&gt;&lt;/cellule&gt;</v>
      </c>
    </row>
    <row r="11650" spans="1:1" x14ac:dyDescent="0.2">
      <c r="A11650" s="996" t="str">
        <f>CONCATENATE(Programme!D11651,Programme!E11651,Programme!F11651,Programme!G11651,Programme!H11651,Programme!I11651,Programme!J11651)</f>
        <v>&lt;valeur&gt;&lt;/valeur&gt;</v>
      </c>
    </row>
    <row r="11651" spans="1:1" x14ac:dyDescent="0.2">
      <c r="A11651" s="996" t="str">
        <f>CONCATENATE(Programme!D11652,Programme!E11652,Programme!F11652,Programme!G11652,Programme!H11652,Programme!I11652,Programme!J11652)</f>
        <v>&lt;numeroLigne&gt;70&lt;/numeroLigne&gt;</v>
      </c>
    </row>
    <row r="11652" spans="1:1" x14ac:dyDescent="0.2">
      <c r="A11652" s="996" t="str">
        <f>CONCATENATE(Programme!D11653,Programme!E11653,Programme!F11653,Programme!G11653,Programme!H11653,Programme!I11653,Programme!J11653)</f>
        <v>&lt;/ValeurCellule&gt;</v>
      </c>
    </row>
    <row r="11653" spans="1:1" x14ac:dyDescent="0.2">
      <c r="A11653" s="996" t="str">
        <f>CONCATENATE(Programme!D11654,Programme!E11654,Programme!F11654,Programme!G11654,Programme!H11654,Programme!I11654,Programme!J11654)</f>
        <v>&lt;ValeurCellule&gt;</v>
      </c>
    </row>
    <row r="11654" spans="1:1" x14ac:dyDescent="0.2">
      <c r="A11654" s="996" t="str">
        <f>CONCATENATE(Programme!D11655,Programme!E11655,Programme!F11655,Programme!G11655,Programme!H11655,Programme!I11655,Programme!J11655)</f>
        <v>&lt;cellule&gt;&lt;codeEdi&gt;1080&lt;/codeEdi&gt;&lt;/cellule&gt;</v>
      </c>
    </row>
    <row r="11655" spans="1:1" x14ac:dyDescent="0.2">
      <c r="A11655" s="996" t="str">
        <f>CONCATENATE(Programme!D11656,Programme!E11656,Programme!F11656,Programme!G11656,Programme!H11656,Programme!I11656,Programme!J11656)</f>
        <v>&lt;valeur&gt;&lt;/valeur&gt;</v>
      </c>
    </row>
    <row r="11656" spans="1:1" x14ac:dyDescent="0.2">
      <c r="A11656" s="996" t="str">
        <f>CONCATENATE(Programme!D11657,Programme!E11657,Programme!F11657,Programme!G11657,Programme!H11657,Programme!I11657,Programme!J11657)</f>
        <v>&lt;numeroLigne&gt;70&lt;/numeroLigne&gt;</v>
      </c>
    </row>
    <row r="11657" spans="1:1" x14ac:dyDescent="0.2">
      <c r="A11657" s="996" t="str">
        <f>CONCATENATE(Programme!D11658,Programme!E11658,Programme!F11658,Programme!G11658,Programme!H11658,Programme!I11658,Programme!J11658)</f>
        <v>&lt;/ValeurCellule&gt;</v>
      </c>
    </row>
    <row r="11658" spans="1:1" x14ac:dyDescent="0.2">
      <c r="A11658" s="996" t="str">
        <f>CONCATENATE(Programme!D11659,Programme!E11659,Programme!F11659,Programme!G11659,Programme!H11659,Programme!I11659,Programme!J11659)</f>
        <v>&lt;ValeurCellule&gt;</v>
      </c>
    </row>
    <row r="11659" spans="1:1" x14ac:dyDescent="0.2">
      <c r="A11659" s="996" t="str">
        <f>CONCATENATE(Programme!D11660,Programme!E11660,Programme!F11660,Programme!G11660,Programme!H11660,Programme!I11660,Programme!J11660)</f>
        <v>&lt;cellule&gt;&lt;codeEdi&gt;1081&lt;/codeEdi&gt;&lt;/cellule&gt;</v>
      </c>
    </row>
    <row r="11660" spans="1:1" x14ac:dyDescent="0.2">
      <c r="A11660" s="996" t="str">
        <f>CONCATENATE(Programme!D11661,Programme!E11661,Programme!F11661,Programme!G11661,Programme!H11661,Programme!I11661,Programme!J11661)</f>
        <v>&lt;valeur&gt;&lt;/valeur&gt;</v>
      </c>
    </row>
    <row r="11661" spans="1:1" x14ac:dyDescent="0.2">
      <c r="A11661" s="996" t="str">
        <f>CONCATENATE(Programme!D11662,Programme!E11662,Programme!F11662,Programme!G11662,Programme!H11662,Programme!I11662,Programme!J11662)</f>
        <v>&lt;numeroLigne&gt;70&lt;/numeroLigne&gt;</v>
      </c>
    </row>
    <row r="11662" spans="1:1" x14ac:dyDescent="0.2">
      <c r="A11662" s="996" t="str">
        <f>CONCATENATE(Programme!D11663,Programme!E11663,Programme!F11663,Programme!G11663,Programme!H11663,Programme!I11663,Programme!J11663)</f>
        <v>&lt;/ValeurCellule&gt;</v>
      </c>
    </row>
    <row r="11663" spans="1:1" x14ac:dyDescent="0.2">
      <c r="A11663" s="996" t="str">
        <f>CONCATENATE(Programme!D11664,Programme!E11664,Programme!F11664,Programme!G11664,Programme!H11664,Programme!I11664,Programme!J11664)</f>
        <v>&lt;ValeurCellule&gt;</v>
      </c>
    </row>
    <row r="11664" spans="1:1" x14ac:dyDescent="0.2">
      <c r="A11664" s="996" t="str">
        <f>CONCATENATE(Programme!D11665,Programme!E11665,Programme!F11665,Programme!G11665,Programme!H11665,Programme!I11665,Programme!J11665)</f>
        <v>&lt;cellule&gt;&lt;codeEdi&gt;1082&lt;/codeEdi&gt;&lt;/cellule&gt;</v>
      </c>
    </row>
    <row r="11665" spans="1:1" x14ac:dyDescent="0.2">
      <c r="A11665" s="996" t="str">
        <f>CONCATENATE(Programme!D11666,Programme!E11666,Programme!F11666,Programme!G11666,Programme!H11666,Programme!I11666,Programme!J11666)</f>
        <v>&lt;valeur&gt;&lt;/valeur&gt;</v>
      </c>
    </row>
    <row r="11666" spans="1:1" x14ac:dyDescent="0.2">
      <c r="A11666" s="996" t="str">
        <f>CONCATENATE(Programme!D11667,Programme!E11667,Programme!F11667,Programme!G11667,Programme!H11667,Programme!I11667,Programme!J11667)</f>
        <v>&lt;numeroLigne&gt;70&lt;/numeroLigne&gt;</v>
      </c>
    </row>
    <row r="11667" spans="1:1" x14ac:dyDescent="0.2">
      <c r="A11667" s="996" t="str">
        <f>CONCATENATE(Programme!D11668,Programme!E11668,Programme!F11668,Programme!G11668,Programme!H11668,Programme!I11668,Programme!J11668)</f>
        <v>&lt;/ValeurCellule&gt;</v>
      </c>
    </row>
    <row r="11668" spans="1:1" x14ac:dyDescent="0.2">
      <c r="A11668" s="996" t="str">
        <f>CONCATENATE(Programme!D11669,Programme!E11669,Programme!F11669,Programme!G11669,Programme!H11669,Programme!I11669,Programme!J11669)</f>
        <v>&lt;ValeurCellule&gt;</v>
      </c>
    </row>
    <row r="11669" spans="1:1" x14ac:dyDescent="0.2">
      <c r="A11669" s="996" t="str">
        <f>CONCATENATE(Programme!D11670,Programme!E11670,Programme!F11670,Programme!G11670,Programme!H11670,Programme!I11670,Programme!J11670)</f>
        <v>&lt;cellule&gt;&lt;codeEdi&gt;1083&lt;/codeEdi&gt;&lt;/cellule&gt;</v>
      </c>
    </row>
    <row r="11670" spans="1:1" x14ac:dyDescent="0.2">
      <c r="A11670" s="996" t="str">
        <f>CONCATENATE(Programme!D11671,Programme!E11671,Programme!F11671,Programme!G11671,Programme!H11671,Programme!I11671,Programme!J11671)</f>
        <v>&lt;valeur&gt;&lt;/valeur&gt;</v>
      </c>
    </row>
    <row r="11671" spans="1:1" x14ac:dyDescent="0.2">
      <c r="A11671" s="996" t="str">
        <f>CONCATENATE(Programme!D11672,Programme!E11672,Programme!F11672,Programme!G11672,Programme!H11672,Programme!I11672,Programme!J11672)</f>
        <v>&lt;numeroLigne&gt;70&lt;/numeroLigne&gt;</v>
      </c>
    </row>
    <row r="11672" spans="1:1" x14ac:dyDescent="0.2">
      <c r="A11672" s="996" t="str">
        <f>CONCATENATE(Programme!D11673,Programme!E11673,Programme!F11673,Programme!G11673,Programme!H11673,Programme!I11673,Programme!J11673)</f>
        <v>&lt;/ValeurCellule&gt;</v>
      </c>
    </row>
    <row r="11673" spans="1:1" x14ac:dyDescent="0.2">
      <c r="A11673" s="996" t="str">
        <f>CONCATENATE(Programme!D11674,Programme!E11674,Programme!F11674,Programme!G11674,Programme!H11674,Programme!I11674,Programme!J11674)</f>
        <v>&lt;ValeurCellule&gt;</v>
      </c>
    </row>
    <row r="11674" spans="1:1" x14ac:dyDescent="0.2">
      <c r="A11674" s="996" t="str">
        <f>CONCATENATE(Programme!D11675,Programme!E11675,Programme!F11675,Programme!G11675,Programme!H11675,Programme!I11675,Programme!J11675)</f>
        <v>&lt;cellule&gt;&lt;codeEdi&gt;1084&lt;/codeEdi&gt;&lt;/cellule&gt;</v>
      </c>
    </row>
    <row r="11675" spans="1:1" x14ac:dyDescent="0.2">
      <c r="A11675" s="996" t="str">
        <f>CONCATENATE(Programme!D11676,Programme!E11676,Programme!F11676,Programme!G11676,Programme!H11676,Programme!I11676,Programme!J11676)</f>
        <v>&lt;valeur&gt;&lt;/valeur&gt;</v>
      </c>
    </row>
    <row r="11676" spans="1:1" x14ac:dyDescent="0.2">
      <c r="A11676" s="996" t="str">
        <f>CONCATENATE(Programme!D11677,Programme!E11677,Programme!F11677,Programme!G11677,Programme!H11677,Programme!I11677,Programme!J11677)</f>
        <v>&lt;numeroLigne&gt;70&lt;/numeroLigne&gt;</v>
      </c>
    </row>
    <row r="11677" spans="1:1" x14ac:dyDescent="0.2">
      <c r="A11677" s="996" t="str">
        <f>CONCATENATE(Programme!D11678,Programme!E11678,Programme!F11678,Programme!G11678,Programme!H11678,Programme!I11678,Programme!J11678)</f>
        <v>&lt;/ValeurCellule&gt;</v>
      </c>
    </row>
    <row r="11678" spans="1:1" x14ac:dyDescent="0.2">
      <c r="A11678" s="996" t="str">
        <f>CONCATENATE(Programme!D11679,Programme!E11679,Programme!F11679,Programme!G11679,Programme!H11679,Programme!I11679,Programme!J11679)</f>
        <v>&lt;ValeurCellule&gt;</v>
      </c>
    </row>
    <row r="11679" spans="1:1" x14ac:dyDescent="0.2">
      <c r="A11679" s="996" t="str">
        <f>CONCATENATE(Programme!D11680,Programme!E11680,Programme!F11680,Programme!G11680,Programme!H11680,Programme!I11680,Programme!J11680)</f>
        <v>&lt;cellule&gt;&lt;codeEdi&gt;1085&lt;/codeEdi&gt;&lt;/cellule&gt;</v>
      </c>
    </row>
    <row r="11680" spans="1:1" x14ac:dyDescent="0.2">
      <c r="A11680" s="996" t="str">
        <f>CONCATENATE(Programme!D11681,Programme!E11681,Programme!F11681,Programme!G11681,Programme!H11681,Programme!I11681,Programme!J11681)</f>
        <v>&lt;valeur&gt;&lt;/valeur&gt;</v>
      </c>
    </row>
    <row r="11681" spans="1:1" x14ac:dyDescent="0.2">
      <c r="A11681" s="996" t="str">
        <f>CONCATENATE(Programme!D11682,Programme!E11682,Programme!F11682,Programme!G11682,Programme!H11682,Programme!I11682,Programme!J11682)</f>
        <v>&lt;numeroLigne&gt;70&lt;/numeroLigne&gt;</v>
      </c>
    </row>
    <row r="11682" spans="1:1" x14ac:dyDescent="0.2">
      <c r="A11682" s="996" t="str">
        <f>CONCATENATE(Programme!D11683,Programme!E11683,Programme!F11683,Programme!G11683,Programme!H11683,Programme!I11683,Programme!J11683)</f>
        <v>&lt;/ValeurCellule&gt;</v>
      </c>
    </row>
    <row r="11683" spans="1:1" x14ac:dyDescent="0.2">
      <c r="A11683" s="996" t="str">
        <f>CONCATENATE(Programme!D11684,Programme!E11684,Programme!F11684,Programme!G11684,Programme!H11684,Programme!I11684,Programme!J11684)</f>
        <v>&lt;ValeurCellule&gt;</v>
      </c>
    </row>
    <row r="11684" spans="1:1" x14ac:dyDescent="0.2">
      <c r="A11684" s="996" t="str">
        <f>CONCATENATE(Programme!D11685,Programme!E11685,Programme!F11685,Programme!G11685,Programme!H11685,Programme!I11685,Programme!J11685)</f>
        <v>&lt;cellule&gt;&lt;codeEdi&gt;1086&lt;/codeEdi&gt;&lt;/cellule&gt;</v>
      </c>
    </row>
    <row r="11685" spans="1:1" x14ac:dyDescent="0.2">
      <c r="A11685" s="996" t="str">
        <f>CONCATENATE(Programme!D11686,Programme!E11686,Programme!F11686,Programme!G11686,Programme!H11686,Programme!I11686,Programme!J11686)</f>
        <v>&lt;valeur&gt;&lt;/valeur&gt;</v>
      </c>
    </row>
    <row r="11686" spans="1:1" x14ac:dyDescent="0.2">
      <c r="A11686" s="996" t="str">
        <f>CONCATENATE(Programme!D11687,Programme!E11687,Programme!F11687,Programme!G11687,Programme!H11687,Programme!I11687,Programme!J11687)</f>
        <v>&lt;numeroLigne&gt;70&lt;/numeroLigne&gt;</v>
      </c>
    </row>
    <row r="11687" spans="1:1" x14ac:dyDescent="0.2">
      <c r="A11687" s="996" t="str">
        <f>CONCATENATE(Programme!D11688,Programme!E11688,Programme!F11688,Programme!G11688,Programme!H11688,Programme!I11688,Programme!J11688)</f>
        <v>&lt;/ValeurCellule&gt;</v>
      </c>
    </row>
    <row r="11688" spans="1:1" x14ac:dyDescent="0.2">
      <c r="A11688" s="996" t="str">
        <f>CONCATENATE(Programme!D11689,Programme!E11689,Programme!F11689,Programme!G11689,Programme!H11689,Programme!I11689,Programme!J11689)</f>
        <v>&lt;ValeurCellule&gt;</v>
      </c>
    </row>
    <row r="11689" spans="1:1" x14ac:dyDescent="0.2">
      <c r="A11689" s="996" t="str">
        <f>CONCATENATE(Programme!D11690,Programme!E11690,Programme!F11690,Programme!G11690,Programme!H11690,Programme!I11690,Programme!J11690)</f>
        <v>&lt;cellule&gt;&lt;codeEdi&gt;10061&lt;/codeEdi&gt;&lt;/cellule&gt;</v>
      </c>
    </row>
    <row r="11690" spans="1:1" x14ac:dyDescent="0.2">
      <c r="A11690" s="996" t="str">
        <f>CONCATENATE(Programme!D11691,Programme!E11691,Programme!F11691,Programme!G11691,Programme!H11691,Programme!I11691,Programme!J11691)</f>
        <v>&lt;valeur&gt;&lt;/valeur&gt;</v>
      </c>
    </row>
    <row r="11691" spans="1:1" x14ac:dyDescent="0.2">
      <c r="A11691" s="996" t="str">
        <f>CONCATENATE(Programme!D11692,Programme!E11692,Programme!F11692,Programme!G11692,Programme!H11692,Programme!I11692,Programme!J11692)</f>
        <v>&lt;numeroLigne&gt;71&lt;/numeroLigne&gt;</v>
      </c>
    </row>
    <row r="11692" spans="1:1" x14ac:dyDescent="0.2">
      <c r="A11692" s="996" t="str">
        <f>CONCATENATE(Programme!D11693,Programme!E11693,Programme!F11693,Programme!G11693,Programme!H11693,Programme!I11693,Programme!J11693)</f>
        <v>&lt;/ValeurCellule&gt;</v>
      </c>
    </row>
    <row r="11693" spans="1:1" x14ac:dyDescent="0.2">
      <c r="A11693" s="996" t="str">
        <f>CONCATENATE(Programme!D11694,Programme!E11694,Programme!F11694,Programme!G11694,Programme!H11694,Programme!I11694,Programme!J11694)</f>
        <v>&lt;ValeurCellule&gt;</v>
      </c>
    </row>
    <row r="11694" spans="1:1" x14ac:dyDescent="0.2">
      <c r="A11694" s="996" t="str">
        <f>CONCATENATE(Programme!D11695,Programme!E11695,Programme!F11695,Programme!G11695,Programme!H11695,Programme!I11695,Programme!J11695)</f>
        <v>&lt;cellule&gt;&lt;codeEdi&gt;1078&lt;/codeEdi&gt;&lt;/cellule&gt;</v>
      </c>
    </row>
    <row r="11695" spans="1:1" x14ac:dyDescent="0.2">
      <c r="A11695" s="996" t="str">
        <f>CONCATENATE(Programme!D11696,Programme!E11696,Programme!F11696,Programme!G11696,Programme!H11696,Programme!I11696,Programme!J11696)</f>
        <v>&lt;valeur&gt;&lt;/valeur&gt;</v>
      </c>
    </row>
    <row r="11696" spans="1:1" x14ac:dyDescent="0.2">
      <c r="A11696" s="996" t="str">
        <f>CONCATENATE(Programme!D11697,Programme!E11697,Programme!F11697,Programme!G11697,Programme!H11697,Programme!I11697,Programme!J11697)</f>
        <v>&lt;numeroLigne&gt;71&lt;/numeroLigne&gt;</v>
      </c>
    </row>
    <row r="11697" spans="1:1" x14ac:dyDescent="0.2">
      <c r="A11697" s="996" t="str">
        <f>CONCATENATE(Programme!D11698,Programme!E11698,Programme!F11698,Programme!G11698,Programme!H11698,Programme!I11698,Programme!J11698)</f>
        <v>&lt;/ValeurCellule&gt;</v>
      </c>
    </row>
    <row r="11698" spans="1:1" x14ac:dyDescent="0.2">
      <c r="A11698" s="996" t="str">
        <f>CONCATENATE(Programme!D11699,Programme!E11699,Programme!F11699,Programme!G11699,Programme!H11699,Programme!I11699,Programme!J11699)</f>
        <v>&lt;ValeurCellule&gt;</v>
      </c>
    </row>
    <row r="11699" spans="1:1" x14ac:dyDescent="0.2">
      <c r="A11699" s="996" t="str">
        <f>CONCATENATE(Programme!D11700,Programme!E11700,Programme!F11700,Programme!G11700,Programme!H11700,Programme!I11700,Programme!J11700)</f>
        <v>&lt;cellule&gt;&lt;codeEdi&gt;1079&lt;/codeEdi&gt;&lt;/cellule&gt;</v>
      </c>
    </row>
    <row r="11700" spans="1:1" x14ac:dyDescent="0.2">
      <c r="A11700" s="996" t="str">
        <f>CONCATENATE(Programme!D11701,Programme!E11701,Programme!F11701,Programme!G11701,Programme!H11701,Programme!I11701,Programme!J11701)</f>
        <v>&lt;valeur&gt;&lt;/valeur&gt;</v>
      </c>
    </row>
    <row r="11701" spans="1:1" x14ac:dyDescent="0.2">
      <c r="A11701" s="996" t="str">
        <f>CONCATENATE(Programme!D11702,Programme!E11702,Programme!F11702,Programme!G11702,Programme!H11702,Programme!I11702,Programme!J11702)</f>
        <v>&lt;numeroLigne&gt;71&lt;/numeroLigne&gt;</v>
      </c>
    </row>
    <row r="11702" spans="1:1" x14ac:dyDescent="0.2">
      <c r="A11702" s="996" t="str">
        <f>CONCATENATE(Programme!D11703,Programme!E11703,Programme!F11703,Programme!G11703,Programme!H11703,Programme!I11703,Programme!J11703)</f>
        <v>&lt;/ValeurCellule&gt;</v>
      </c>
    </row>
    <row r="11703" spans="1:1" x14ac:dyDescent="0.2">
      <c r="A11703" s="996" t="str">
        <f>CONCATENATE(Programme!D11704,Programme!E11704,Programme!F11704,Programme!G11704,Programme!H11704,Programme!I11704,Programme!J11704)</f>
        <v>&lt;ValeurCellule&gt;</v>
      </c>
    </row>
    <row r="11704" spans="1:1" x14ac:dyDescent="0.2">
      <c r="A11704" s="996" t="str">
        <f>CONCATENATE(Programme!D11705,Programme!E11705,Programme!F11705,Programme!G11705,Programme!H11705,Programme!I11705,Programme!J11705)</f>
        <v>&lt;cellule&gt;&lt;codeEdi&gt;1080&lt;/codeEdi&gt;&lt;/cellule&gt;</v>
      </c>
    </row>
    <row r="11705" spans="1:1" x14ac:dyDescent="0.2">
      <c r="A11705" s="996" t="str">
        <f>CONCATENATE(Programme!D11706,Programme!E11706,Programme!F11706,Programme!G11706,Programme!H11706,Programme!I11706,Programme!J11706)</f>
        <v>&lt;valeur&gt;&lt;/valeur&gt;</v>
      </c>
    </row>
    <row r="11706" spans="1:1" x14ac:dyDescent="0.2">
      <c r="A11706" s="996" t="str">
        <f>CONCATENATE(Programme!D11707,Programme!E11707,Programme!F11707,Programme!G11707,Programme!H11707,Programme!I11707,Programme!J11707)</f>
        <v>&lt;numeroLigne&gt;71&lt;/numeroLigne&gt;</v>
      </c>
    </row>
    <row r="11707" spans="1:1" x14ac:dyDescent="0.2">
      <c r="A11707" s="996" t="str">
        <f>CONCATENATE(Programme!D11708,Programme!E11708,Programme!F11708,Programme!G11708,Programme!H11708,Programme!I11708,Programme!J11708)</f>
        <v>&lt;/ValeurCellule&gt;</v>
      </c>
    </row>
    <row r="11708" spans="1:1" x14ac:dyDescent="0.2">
      <c r="A11708" s="996" t="str">
        <f>CONCATENATE(Programme!D11709,Programme!E11709,Programme!F11709,Programme!G11709,Programme!H11709,Programme!I11709,Programme!J11709)</f>
        <v>&lt;ValeurCellule&gt;</v>
      </c>
    </row>
    <row r="11709" spans="1:1" x14ac:dyDescent="0.2">
      <c r="A11709" s="996" t="str">
        <f>CONCATENATE(Programme!D11710,Programme!E11710,Programme!F11710,Programme!G11710,Programme!H11710,Programme!I11710,Programme!J11710)</f>
        <v>&lt;cellule&gt;&lt;codeEdi&gt;1081&lt;/codeEdi&gt;&lt;/cellule&gt;</v>
      </c>
    </row>
    <row r="11710" spans="1:1" x14ac:dyDescent="0.2">
      <c r="A11710" s="996" t="str">
        <f>CONCATENATE(Programme!D11711,Programme!E11711,Programme!F11711,Programme!G11711,Programme!H11711,Programme!I11711,Programme!J11711)</f>
        <v>&lt;valeur&gt;&lt;/valeur&gt;</v>
      </c>
    </row>
    <row r="11711" spans="1:1" x14ac:dyDescent="0.2">
      <c r="A11711" s="996" t="str">
        <f>CONCATENATE(Programme!D11712,Programme!E11712,Programme!F11712,Programme!G11712,Programme!H11712,Programme!I11712,Programme!J11712)</f>
        <v>&lt;numeroLigne&gt;71&lt;/numeroLigne&gt;</v>
      </c>
    </row>
    <row r="11712" spans="1:1" x14ac:dyDescent="0.2">
      <c r="A11712" s="996" t="str">
        <f>CONCATENATE(Programme!D11713,Programme!E11713,Programme!F11713,Programme!G11713,Programme!H11713,Programme!I11713,Programme!J11713)</f>
        <v>&lt;/ValeurCellule&gt;</v>
      </c>
    </row>
    <row r="11713" spans="1:1" x14ac:dyDescent="0.2">
      <c r="A11713" s="996" t="str">
        <f>CONCATENATE(Programme!D11714,Programme!E11714,Programme!F11714,Programme!G11714,Programme!H11714,Programme!I11714,Programme!J11714)</f>
        <v>&lt;ValeurCellule&gt;</v>
      </c>
    </row>
    <row r="11714" spans="1:1" x14ac:dyDescent="0.2">
      <c r="A11714" s="996" t="str">
        <f>CONCATENATE(Programme!D11715,Programme!E11715,Programme!F11715,Programme!G11715,Programme!H11715,Programme!I11715,Programme!J11715)</f>
        <v>&lt;cellule&gt;&lt;codeEdi&gt;1082&lt;/codeEdi&gt;&lt;/cellule&gt;</v>
      </c>
    </row>
    <row r="11715" spans="1:1" x14ac:dyDescent="0.2">
      <c r="A11715" s="996" t="str">
        <f>CONCATENATE(Programme!D11716,Programme!E11716,Programme!F11716,Programme!G11716,Programme!H11716,Programme!I11716,Programme!J11716)</f>
        <v>&lt;valeur&gt;&lt;/valeur&gt;</v>
      </c>
    </row>
    <row r="11716" spans="1:1" x14ac:dyDescent="0.2">
      <c r="A11716" s="996" t="str">
        <f>CONCATENATE(Programme!D11717,Programme!E11717,Programme!F11717,Programme!G11717,Programme!H11717,Programme!I11717,Programme!J11717)</f>
        <v>&lt;numeroLigne&gt;71&lt;/numeroLigne&gt;</v>
      </c>
    </row>
    <row r="11717" spans="1:1" x14ac:dyDescent="0.2">
      <c r="A11717" s="996" t="str">
        <f>CONCATENATE(Programme!D11718,Programme!E11718,Programme!F11718,Programme!G11718,Programme!H11718,Programme!I11718,Programme!J11718)</f>
        <v>&lt;/ValeurCellule&gt;</v>
      </c>
    </row>
    <row r="11718" spans="1:1" x14ac:dyDescent="0.2">
      <c r="A11718" s="996" t="str">
        <f>CONCATENATE(Programme!D11719,Programme!E11719,Programme!F11719,Programme!G11719,Programme!H11719,Programme!I11719,Programme!J11719)</f>
        <v>&lt;ValeurCellule&gt;</v>
      </c>
    </row>
    <row r="11719" spans="1:1" x14ac:dyDescent="0.2">
      <c r="A11719" s="996" t="str">
        <f>CONCATENATE(Programme!D11720,Programme!E11720,Programme!F11720,Programme!G11720,Programme!H11720,Programme!I11720,Programme!J11720)</f>
        <v>&lt;cellule&gt;&lt;codeEdi&gt;1083&lt;/codeEdi&gt;&lt;/cellule&gt;</v>
      </c>
    </row>
    <row r="11720" spans="1:1" x14ac:dyDescent="0.2">
      <c r="A11720" s="996" t="str">
        <f>CONCATENATE(Programme!D11721,Programme!E11721,Programme!F11721,Programme!G11721,Programme!H11721,Programme!I11721,Programme!J11721)</f>
        <v>&lt;valeur&gt;&lt;/valeur&gt;</v>
      </c>
    </row>
    <row r="11721" spans="1:1" x14ac:dyDescent="0.2">
      <c r="A11721" s="996" t="str">
        <f>CONCATENATE(Programme!D11722,Programme!E11722,Programme!F11722,Programme!G11722,Programme!H11722,Programme!I11722,Programme!J11722)</f>
        <v>&lt;numeroLigne&gt;71&lt;/numeroLigne&gt;</v>
      </c>
    </row>
    <row r="11722" spans="1:1" x14ac:dyDescent="0.2">
      <c r="A11722" s="996" t="str">
        <f>CONCATENATE(Programme!D11723,Programme!E11723,Programme!F11723,Programme!G11723,Programme!H11723,Programme!I11723,Programme!J11723)</f>
        <v>&lt;/ValeurCellule&gt;</v>
      </c>
    </row>
    <row r="11723" spans="1:1" x14ac:dyDescent="0.2">
      <c r="A11723" s="996" t="str">
        <f>CONCATENATE(Programme!D11724,Programme!E11724,Programme!F11724,Programme!G11724,Programme!H11724,Programme!I11724,Programme!J11724)</f>
        <v>&lt;ValeurCellule&gt;</v>
      </c>
    </row>
    <row r="11724" spans="1:1" x14ac:dyDescent="0.2">
      <c r="A11724" s="996" t="str">
        <f>CONCATENATE(Programme!D11725,Programme!E11725,Programme!F11725,Programme!G11725,Programme!H11725,Programme!I11725,Programme!J11725)</f>
        <v>&lt;cellule&gt;&lt;codeEdi&gt;1084&lt;/codeEdi&gt;&lt;/cellule&gt;</v>
      </c>
    </row>
    <row r="11725" spans="1:1" x14ac:dyDescent="0.2">
      <c r="A11725" s="996" t="str">
        <f>CONCATENATE(Programme!D11726,Programme!E11726,Programme!F11726,Programme!G11726,Programme!H11726,Programme!I11726,Programme!J11726)</f>
        <v>&lt;valeur&gt;&lt;/valeur&gt;</v>
      </c>
    </row>
    <row r="11726" spans="1:1" x14ac:dyDescent="0.2">
      <c r="A11726" s="996" t="str">
        <f>CONCATENATE(Programme!D11727,Programme!E11727,Programme!F11727,Programme!G11727,Programme!H11727,Programme!I11727,Programme!J11727)</f>
        <v>&lt;numeroLigne&gt;71&lt;/numeroLigne&gt;</v>
      </c>
    </row>
    <row r="11727" spans="1:1" x14ac:dyDescent="0.2">
      <c r="A11727" s="996" t="str">
        <f>CONCATENATE(Programme!D11728,Programme!E11728,Programme!F11728,Programme!G11728,Programme!H11728,Programme!I11728,Programme!J11728)</f>
        <v>&lt;/ValeurCellule&gt;</v>
      </c>
    </row>
    <row r="11728" spans="1:1" x14ac:dyDescent="0.2">
      <c r="A11728" s="996" t="str">
        <f>CONCATENATE(Programme!D11729,Programme!E11729,Programme!F11729,Programme!G11729,Programme!H11729,Programme!I11729,Programme!J11729)</f>
        <v>&lt;ValeurCellule&gt;</v>
      </c>
    </row>
    <row r="11729" spans="1:1" x14ac:dyDescent="0.2">
      <c r="A11729" s="996" t="str">
        <f>CONCATENATE(Programme!D11730,Programme!E11730,Programme!F11730,Programme!G11730,Programme!H11730,Programme!I11730,Programme!J11730)</f>
        <v>&lt;cellule&gt;&lt;codeEdi&gt;1085&lt;/codeEdi&gt;&lt;/cellule&gt;</v>
      </c>
    </row>
    <row r="11730" spans="1:1" x14ac:dyDescent="0.2">
      <c r="A11730" s="996" t="str">
        <f>CONCATENATE(Programme!D11731,Programme!E11731,Programme!F11731,Programme!G11731,Programme!H11731,Programme!I11731,Programme!J11731)</f>
        <v>&lt;valeur&gt;&lt;/valeur&gt;</v>
      </c>
    </row>
    <row r="11731" spans="1:1" x14ac:dyDescent="0.2">
      <c r="A11731" s="996" t="str">
        <f>CONCATENATE(Programme!D11732,Programme!E11732,Programme!F11732,Programme!G11732,Programme!H11732,Programme!I11732,Programme!J11732)</f>
        <v>&lt;numeroLigne&gt;71&lt;/numeroLigne&gt;</v>
      </c>
    </row>
    <row r="11732" spans="1:1" x14ac:dyDescent="0.2">
      <c r="A11732" s="996" t="str">
        <f>CONCATENATE(Programme!D11733,Programme!E11733,Programme!F11733,Programme!G11733,Programme!H11733,Programme!I11733,Programme!J11733)</f>
        <v>&lt;/ValeurCellule&gt;</v>
      </c>
    </row>
    <row r="11733" spans="1:1" x14ac:dyDescent="0.2">
      <c r="A11733" s="996" t="str">
        <f>CONCATENATE(Programme!D11734,Programme!E11734,Programme!F11734,Programme!G11734,Programme!H11734,Programme!I11734,Programme!J11734)</f>
        <v>&lt;ValeurCellule&gt;</v>
      </c>
    </row>
    <row r="11734" spans="1:1" x14ac:dyDescent="0.2">
      <c r="A11734" s="996" t="str">
        <f>CONCATENATE(Programme!D11735,Programme!E11735,Programme!F11735,Programme!G11735,Programme!H11735,Programme!I11735,Programme!J11735)</f>
        <v>&lt;cellule&gt;&lt;codeEdi&gt;1086&lt;/codeEdi&gt;&lt;/cellule&gt;</v>
      </c>
    </row>
    <row r="11735" spans="1:1" x14ac:dyDescent="0.2">
      <c r="A11735" s="996" t="str">
        <f>CONCATENATE(Programme!D11736,Programme!E11736,Programme!F11736,Programme!G11736,Programme!H11736,Programme!I11736,Programme!J11736)</f>
        <v>&lt;valeur&gt;&lt;/valeur&gt;</v>
      </c>
    </row>
    <row r="11736" spans="1:1" x14ac:dyDescent="0.2">
      <c r="A11736" s="996" t="str">
        <f>CONCATENATE(Programme!D11737,Programme!E11737,Programme!F11737,Programme!G11737,Programme!H11737,Programme!I11737,Programme!J11737)</f>
        <v>&lt;numeroLigne&gt;71&lt;/numeroLigne&gt;</v>
      </c>
    </row>
    <row r="11737" spans="1:1" x14ac:dyDescent="0.2">
      <c r="A11737" s="996" t="str">
        <f>CONCATENATE(Programme!D11738,Programme!E11738,Programme!F11738,Programme!G11738,Programme!H11738,Programme!I11738,Programme!J11738)</f>
        <v>&lt;/ValeurCellule&gt;</v>
      </c>
    </row>
    <row r="11738" spans="1:1" x14ac:dyDescent="0.2">
      <c r="A11738" s="996" t="str">
        <f>CONCATENATE(Programme!D11739,Programme!E11739,Programme!F11739,Programme!G11739,Programme!H11739,Programme!I11739,Programme!J11739)</f>
        <v>&lt;ValeurCellule&gt;</v>
      </c>
    </row>
    <row r="11739" spans="1:1" x14ac:dyDescent="0.2">
      <c r="A11739" s="996" t="str">
        <f>CONCATENATE(Programme!D11740,Programme!E11740,Programme!F11740,Programme!G11740,Programme!H11740,Programme!I11740,Programme!J11740)</f>
        <v>&lt;cellule&gt;&lt;codeEdi&gt;10061&lt;/codeEdi&gt;&lt;/cellule&gt;</v>
      </c>
    </row>
    <row r="11740" spans="1:1" x14ac:dyDescent="0.2">
      <c r="A11740" s="996" t="str">
        <f>CONCATENATE(Programme!D11741,Programme!E11741,Programme!F11741,Programme!G11741,Programme!H11741,Programme!I11741,Programme!J11741)</f>
        <v>&lt;valeur&gt;&lt;/valeur&gt;</v>
      </c>
    </row>
    <row r="11741" spans="1:1" x14ac:dyDescent="0.2">
      <c r="A11741" s="996" t="str">
        <f>CONCATENATE(Programme!D11742,Programme!E11742,Programme!F11742,Programme!G11742,Programme!H11742,Programme!I11742,Programme!J11742)</f>
        <v>&lt;numeroLigne&gt;72&lt;/numeroLigne&gt;</v>
      </c>
    </row>
    <row r="11742" spans="1:1" x14ac:dyDescent="0.2">
      <c r="A11742" s="996" t="str">
        <f>CONCATENATE(Programme!D11743,Programme!E11743,Programme!F11743,Programme!G11743,Programme!H11743,Programme!I11743,Programme!J11743)</f>
        <v>&lt;/ValeurCellule&gt;</v>
      </c>
    </row>
    <row r="11743" spans="1:1" x14ac:dyDescent="0.2">
      <c r="A11743" s="996" t="str">
        <f>CONCATENATE(Programme!D11744,Programme!E11744,Programme!F11744,Programme!G11744,Programme!H11744,Programme!I11744,Programme!J11744)</f>
        <v>&lt;ValeurCellule&gt;</v>
      </c>
    </row>
    <row r="11744" spans="1:1" x14ac:dyDescent="0.2">
      <c r="A11744" s="996" t="str">
        <f>CONCATENATE(Programme!D11745,Programme!E11745,Programme!F11745,Programme!G11745,Programme!H11745,Programme!I11745,Programme!J11745)</f>
        <v>&lt;cellule&gt;&lt;codeEdi&gt;1078&lt;/codeEdi&gt;&lt;/cellule&gt;</v>
      </c>
    </row>
    <row r="11745" spans="1:1" x14ac:dyDescent="0.2">
      <c r="A11745" s="996" t="str">
        <f>CONCATENATE(Programme!D11746,Programme!E11746,Programme!F11746,Programme!G11746,Programme!H11746,Programme!I11746,Programme!J11746)</f>
        <v>&lt;valeur&gt;&lt;/valeur&gt;</v>
      </c>
    </row>
    <row r="11746" spans="1:1" x14ac:dyDescent="0.2">
      <c r="A11746" s="996" t="str">
        <f>CONCATENATE(Programme!D11747,Programme!E11747,Programme!F11747,Programme!G11747,Programme!H11747,Programme!I11747,Programme!J11747)</f>
        <v>&lt;numeroLigne&gt;72&lt;/numeroLigne&gt;</v>
      </c>
    </row>
    <row r="11747" spans="1:1" x14ac:dyDescent="0.2">
      <c r="A11747" s="996" t="str">
        <f>CONCATENATE(Programme!D11748,Programme!E11748,Programme!F11748,Programme!G11748,Programme!H11748,Programme!I11748,Programme!J11748)</f>
        <v>&lt;/ValeurCellule&gt;</v>
      </c>
    </row>
    <row r="11748" spans="1:1" x14ac:dyDescent="0.2">
      <c r="A11748" s="996" t="str">
        <f>CONCATENATE(Programme!D11749,Programme!E11749,Programme!F11749,Programme!G11749,Programme!H11749,Programme!I11749,Programme!J11749)</f>
        <v>&lt;ValeurCellule&gt;</v>
      </c>
    </row>
    <row r="11749" spans="1:1" x14ac:dyDescent="0.2">
      <c r="A11749" s="996" t="str">
        <f>CONCATENATE(Programme!D11750,Programme!E11750,Programme!F11750,Programme!G11750,Programme!H11750,Programme!I11750,Programme!J11750)</f>
        <v>&lt;cellule&gt;&lt;codeEdi&gt;1079&lt;/codeEdi&gt;&lt;/cellule&gt;</v>
      </c>
    </row>
    <row r="11750" spans="1:1" x14ac:dyDescent="0.2">
      <c r="A11750" s="996" t="str">
        <f>CONCATENATE(Programme!D11751,Programme!E11751,Programme!F11751,Programme!G11751,Programme!H11751,Programme!I11751,Programme!J11751)</f>
        <v>&lt;valeur&gt;&lt;/valeur&gt;</v>
      </c>
    </row>
    <row r="11751" spans="1:1" x14ac:dyDescent="0.2">
      <c r="A11751" s="996" t="str">
        <f>CONCATENATE(Programme!D11752,Programme!E11752,Programme!F11752,Programme!G11752,Programme!H11752,Programme!I11752,Programme!J11752)</f>
        <v>&lt;numeroLigne&gt;72&lt;/numeroLigne&gt;</v>
      </c>
    </row>
    <row r="11752" spans="1:1" x14ac:dyDescent="0.2">
      <c r="A11752" s="996" t="str">
        <f>CONCATENATE(Programme!D11753,Programme!E11753,Programme!F11753,Programme!G11753,Programme!H11753,Programme!I11753,Programme!J11753)</f>
        <v>&lt;/ValeurCellule&gt;</v>
      </c>
    </row>
    <row r="11753" spans="1:1" x14ac:dyDescent="0.2">
      <c r="A11753" s="996" t="str">
        <f>CONCATENATE(Programme!D11754,Programme!E11754,Programme!F11754,Programme!G11754,Programme!H11754,Programme!I11754,Programme!J11754)</f>
        <v>&lt;ValeurCellule&gt;</v>
      </c>
    </row>
    <row r="11754" spans="1:1" x14ac:dyDescent="0.2">
      <c r="A11754" s="996" t="str">
        <f>CONCATENATE(Programme!D11755,Programme!E11755,Programme!F11755,Programme!G11755,Programme!H11755,Programme!I11755,Programme!J11755)</f>
        <v>&lt;cellule&gt;&lt;codeEdi&gt;1080&lt;/codeEdi&gt;&lt;/cellule&gt;</v>
      </c>
    </row>
    <row r="11755" spans="1:1" x14ac:dyDescent="0.2">
      <c r="A11755" s="996" t="str">
        <f>CONCATENATE(Programme!D11756,Programme!E11756,Programme!F11756,Programme!G11756,Programme!H11756,Programme!I11756,Programme!J11756)</f>
        <v>&lt;valeur&gt;&lt;/valeur&gt;</v>
      </c>
    </row>
    <row r="11756" spans="1:1" x14ac:dyDescent="0.2">
      <c r="A11756" s="996" t="str">
        <f>CONCATENATE(Programme!D11757,Programme!E11757,Programme!F11757,Programme!G11757,Programme!H11757,Programme!I11757,Programme!J11757)</f>
        <v>&lt;numeroLigne&gt;72&lt;/numeroLigne&gt;</v>
      </c>
    </row>
    <row r="11757" spans="1:1" x14ac:dyDescent="0.2">
      <c r="A11757" s="996" t="str">
        <f>CONCATENATE(Programme!D11758,Programme!E11758,Programme!F11758,Programme!G11758,Programme!H11758,Programme!I11758,Programme!J11758)</f>
        <v>&lt;/ValeurCellule&gt;</v>
      </c>
    </row>
    <row r="11758" spans="1:1" x14ac:dyDescent="0.2">
      <c r="A11758" s="996" t="str">
        <f>CONCATENATE(Programme!D11759,Programme!E11759,Programme!F11759,Programme!G11759,Programme!H11759,Programme!I11759,Programme!J11759)</f>
        <v>&lt;ValeurCellule&gt;</v>
      </c>
    </row>
    <row r="11759" spans="1:1" x14ac:dyDescent="0.2">
      <c r="A11759" s="996" t="str">
        <f>CONCATENATE(Programme!D11760,Programme!E11760,Programme!F11760,Programme!G11760,Programme!H11760,Programme!I11760,Programme!J11760)</f>
        <v>&lt;cellule&gt;&lt;codeEdi&gt;1081&lt;/codeEdi&gt;&lt;/cellule&gt;</v>
      </c>
    </row>
    <row r="11760" spans="1:1" x14ac:dyDescent="0.2">
      <c r="A11760" s="996" t="str">
        <f>CONCATENATE(Programme!D11761,Programme!E11761,Programme!F11761,Programme!G11761,Programme!H11761,Programme!I11761,Programme!J11761)</f>
        <v>&lt;valeur&gt;&lt;/valeur&gt;</v>
      </c>
    </row>
    <row r="11761" spans="1:1" x14ac:dyDescent="0.2">
      <c r="A11761" s="996" t="str">
        <f>CONCATENATE(Programme!D11762,Programme!E11762,Programme!F11762,Programme!G11762,Programme!H11762,Programme!I11762,Programme!J11762)</f>
        <v>&lt;numeroLigne&gt;72&lt;/numeroLigne&gt;</v>
      </c>
    </row>
    <row r="11762" spans="1:1" x14ac:dyDescent="0.2">
      <c r="A11762" s="996" t="str">
        <f>CONCATENATE(Programme!D11763,Programme!E11763,Programme!F11763,Programme!G11763,Programme!H11763,Programme!I11763,Programme!J11763)</f>
        <v>&lt;/ValeurCellule&gt;</v>
      </c>
    </row>
    <row r="11763" spans="1:1" x14ac:dyDescent="0.2">
      <c r="A11763" s="996" t="str">
        <f>CONCATENATE(Programme!D11764,Programme!E11764,Programme!F11764,Programme!G11764,Programme!H11764,Programme!I11764,Programme!J11764)</f>
        <v>&lt;ValeurCellule&gt;</v>
      </c>
    </row>
    <row r="11764" spans="1:1" x14ac:dyDescent="0.2">
      <c r="A11764" s="996" t="str">
        <f>CONCATENATE(Programme!D11765,Programme!E11765,Programme!F11765,Programme!G11765,Programme!H11765,Programme!I11765,Programme!J11765)</f>
        <v>&lt;cellule&gt;&lt;codeEdi&gt;1082&lt;/codeEdi&gt;&lt;/cellule&gt;</v>
      </c>
    </row>
    <row r="11765" spans="1:1" x14ac:dyDescent="0.2">
      <c r="A11765" s="996" t="str">
        <f>CONCATENATE(Programme!D11766,Programme!E11766,Programme!F11766,Programme!G11766,Programme!H11766,Programme!I11766,Programme!J11766)</f>
        <v>&lt;valeur&gt;&lt;/valeur&gt;</v>
      </c>
    </row>
    <row r="11766" spans="1:1" x14ac:dyDescent="0.2">
      <c r="A11766" s="996" t="str">
        <f>CONCATENATE(Programme!D11767,Programme!E11767,Programme!F11767,Programme!G11767,Programme!H11767,Programme!I11767,Programme!J11767)</f>
        <v>&lt;numeroLigne&gt;72&lt;/numeroLigne&gt;</v>
      </c>
    </row>
    <row r="11767" spans="1:1" x14ac:dyDescent="0.2">
      <c r="A11767" s="996" t="str">
        <f>CONCATENATE(Programme!D11768,Programme!E11768,Programme!F11768,Programme!G11768,Programme!H11768,Programme!I11768,Programme!J11768)</f>
        <v>&lt;/ValeurCellule&gt;</v>
      </c>
    </row>
    <row r="11768" spans="1:1" x14ac:dyDescent="0.2">
      <c r="A11768" s="996" t="str">
        <f>CONCATENATE(Programme!D11769,Programme!E11769,Programme!F11769,Programme!G11769,Programme!H11769,Programme!I11769,Programme!J11769)</f>
        <v>&lt;ValeurCellule&gt;</v>
      </c>
    </row>
    <row r="11769" spans="1:1" x14ac:dyDescent="0.2">
      <c r="A11769" s="996" t="str">
        <f>CONCATENATE(Programme!D11770,Programme!E11770,Programme!F11770,Programme!G11770,Programme!H11770,Programme!I11770,Programme!J11770)</f>
        <v>&lt;cellule&gt;&lt;codeEdi&gt;1083&lt;/codeEdi&gt;&lt;/cellule&gt;</v>
      </c>
    </row>
    <row r="11770" spans="1:1" x14ac:dyDescent="0.2">
      <c r="A11770" s="996" t="str">
        <f>CONCATENATE(Programme!D11771,Programme!E11771,Programme!F11771,Programme!G11771,Programme!H11771,Programme!I11771,Programme!J11771)</f>
        <v>&lt;valeur&gt;&lt;/valeur&gt;</v>
      </c>
    </row>
    <row r="11771" spans="1:1" x14ac:dyDescent="0.2">
      <c r="A11771" s="996" t="str">
        <f>CONCATENATE(Programme!D11772,Programme!E11772,Programme!F11772,Programme!G11772,Programme!H11772,Programme!I11772,Programme!J11772)</f>
        <v>&lt;numeroLigne&gt;72&lt;/numeroLigne&gt;</v>
      </c>
    </row>
    <row r="11772" spans="1:1" x14ac:dyDescent="0.2">
      <c r="A11772" s="996" t="str">
        <f>CONCATENATE(Programme!D11773,Programme!E11773,Programme!F11773,Programme!G11773,Programme!H11773,Programme!I11773,Programme!J11773)</f>
        <v>&lt;/ValeurCellule&gt;</v>
      </c>
    </row>
    <row r="11773" spans="1:1" x14ac:dyDescent="0.2">
      <c r="A11773" s="996" t="str">
        <f>CONCATENATE(Programme!D11774,Programme!E11774,Programme!F11774,Programme!G11774,Programme!H11774,Programme!I11774,Programme!J11774)</f>
        <v>&lt;ValeurCellule&gt;</v>
      </c>
    </row>
    <row r="11774" spans="1:1" x14ac:dyDescent="0.2">
      <c r="A11774" s="996" t="str">
        <f>CONCATENATE(Programme!D11775,Programme!E11775,Programme!F11775,Programme!G11775,Programme!H11775,Programme!I11775,Programme!J11775)</f>
        <v>&lt;cellule&gt;&lt;codeEdi&gt;1084&lt;/codeEdi&gt;&lt;/cellule&gt;</v>
      </c>
    </row>
    <row r="11775" spans="1:1" x14ac:dyDescent="0.2">
      <c r="A11775" s="996" t="str">
        <f>CONCATENATE(Programme!D11776,Programme!E11776,Programme!F11776,Programme!G11776,Programme!H11776,Programme!I11776,Programme!J11776)</f>
        <v>&lt;valeur&gt;&lt;/valeur&gt;</v>
      </c>
    </row>
    <row r="11776" spans="1:1" x14ac:dyDescent="0.2">
      <c r="A11776" s="996" t="str">
        <f>CONCATENATE(Programme!D11777,Programme!E11777,Programme!F11777,Programme!G11777,Programme!H11777,Programme!I11777,Programme!J11777)</f>
        <v>&lt;numeroLigne&gt;72&lt;/numeroLigne&gt;</v>
      </c>
    </row>
    <row r="11777" spans="1:1" x14ac:dyDescent="0.2">
      <c r="A11777" s="996" t="str">
        <f>CONCATENATE(Programme!D11778,Programme!E11778,Programme!F11778,Programme!G11778,Programme!H11778,Programme!I11778,Programme!J11778)</f>
        <v>&lt;/ValeurCellule&gt;</v>
      </c>
    </row>
    <row r="11778" spans="1:1" x14ac:dyDescent="0.2">
      <c r="A11778" s="996" t="str">
        <f>CONCATENATE(Programme!D11779,Programme!E11779,Programme!F11779,Programme!G11779,Programme!H11779,Programme!I11779,Programme!J11779)</f>
        <v>&lt;ValeurCellule&gt;</v>
      </c>
    </row>
    <row r="11779" spans="1:1" x14ac:dyDescent="0.2">
      <c r="A11779" s="996" t="str">
        <f>CONCATENATE(Programme!D11780,Programme!E11780,Programme!F11780,Programme!G11780,Programme!H11780,Programme!I11780,Programme!J11780)</f>
        <v>&lt;cellule&gt;&lt;codeEdi&gt;1085&lt;/codeEdi&gt;&lt;/cellule&gt;</v>
      </c>
    </row>
    <row r="11780" spans="1:1" x14ac:dyDescent="0.2">
      <c r="A11780" s="996" t="str">
        <f>CONCATENATE(Programme!D11781,Programme!E11781,Programme!F11781,Programme!G11781,Programme!H11781,Programme!I11781,Programme!J11781)</f>
        <v>&lt;valeur&gt;&lt;/valeur&gt;</v>
      </c>
    </row>
    <row r="11781" spans="1:1" x14ac:dyDescent="0.2">
      <c r="A11781" s="996" t="str">
        <f>CONCATENATE(Programme!D11782,Programme!E11782,Programme!F11782,Programme!G11782,Programme!H11782,Programme!I11782,Programme!J11782)</f>
        <v>&lt;numeroLigne&gt;72&lt;/numeroLigne&gt;</v>
      </c>
    </row>
    <row r="11782" spans="1:1" x14ac:dyDescent="0.2">
      <c r="A11782" s="996" t="str">
        <f>CONCATENATE(Programme!D11783,Programme!E11783,Programme!F11783,Programme!G11783,Programme!H11783,Programme!I11783,Programme!J11783)</f>
        <v>&lt;/ValeurCellule&gt;</v>
      </c>
    </row>
    <row r="11783" spans="1:1" x14ac:dyDescent="0.2">
      <c r="A11783" s="996" t="str">
        <f>CONCATENATE(Programme!D11784,Programme!E11784,Programme!F11784,Programme!G11784,Programme!H11784,Programme!I11784,Programme!J11784)</f>
        <v>&lt;ValeurCellule&gt;</v>
      </c>
    </row>
    <row r="11784" spans="1:1" x14ac:dyDescent="0.2">
      <c r="A11784" s="996" t="str">
        <f>CONCATENATE(Programme!D11785,Programme!E11785,Programme!F11785,Programme!G11785,Programme!H11785,Programme!I11785,Programme!J11785)</f>
        <v>&lt;cellule&gt;&lt;codeEdi&gt;1086&lt;/codeEdi&gt;&lt;/cellule&gt;</v>
      </c>
    </row>
    <row r="11785" spans="1:1" x14ac:dyDescent="0.2">
      <c r="A11785" s="996" t="str">
        <f>CONCATENATE(Programme!D11786,Programme!E11786,Programme!F11786,Programme!G11786,Programme!H11786,Programme!I11786,Programme!J11786)</f>
        <v>&lt;valeur&gt;&lt;/valeur&gt;</v>
      </c>
    </row>
    <row r="11786" spans="1:1" x14ac:dyDescent="0.2">
      <c r="A11786" s="996" t="str">
        <f>CONCATENATE(Programme!D11787,Programme!E11787,Programme!F11787,Programme!G11787,Programme!H11787,Programme!I11787,Programme!J11787)</f>
        <v>&lt;numeroLigne&gt;72&lt;/numeroLigne&gt;</v>
      </c>
    </row>
    <row r="11787" spans="1:1" x14ac:dyDescent="0.2">
      <c r="A11787" s="996" t="str">
        <f>CONCATENATE(Programme!D11788,Programme!E11788,Programme!F11788,Programme!G11788,Programme!H11788,Programme!I11788,Programme!J11788)</f>
        <v>&lt;/ValeurCellule&gt;</v>
      </c>
    </row>
    <row r="11788" spans="1:1" x14ac:dyDescent="0.2">
      <c r="A11788" s="996" t="str">
        <f>CONCATENATE(Programme!D11789,Programme!E11789,Programme!F11789,Programme!G11789,Programme!H11789,Programme!I11789,Programme!J11789)</f>
        <v>&lt;ValeurCellule&gt;</v>
      </c>
    </row>
    <row r="11789" spans="1:1" x14ac:dyDescent="0.2">
      <c r="A11789" s="996" t="str">
        <f>CONCATENATE(Programme!D11790,Programme!E11790,Programme!F11790,Programme!G11790,Programme!H11790,Programme!I11790,Programme!J11790)</f>
        <v>&lt;cellule&gt;&lt;codeEdi&gt;10061&lt;/codeEdi&gt;&lt;/cellule&gt;</v>
      </c>
    </row>
    <row r="11790" spans="1:1" x14ac:dyDescent="0.2">
      <c r="A11790" s="996" t="str">
        <f>CONCATENATE(Programme!D11791,Programme!E11791,Programme!F11791,Programme!G11791,Programme!H11791,Programme!I11791,Programme!J11791)</f>
        <v>&lt;valeur&gt;&lt;/valeur&gt;</v>
      </c>
    </row>
    <row r="11791" spans="1:1" x14ac:dyDescent="0.2">
      <c r="A11791" s="996" t="str">
        <f>CONCATENATE(Programme!D11792,Programme!E11792,Programme!F11792,Programme!G11792,Programme!H11792,Programme!I11792,Programme!J11792)</f>
        <v>&lt;numeroLigne&gt;73&lt;/numeroLigne&gt;</v>
      </c>
    </row>
    <row r="11792" spans="1:1" x14ac:dyDescent="0.2">
      <c r="A11792" s="996" t="str">
        <f>CONCATENATE(Programme!D11793,Programme!E11793,Programme!F11793,Programme!G11793,Programme!H11793,Programme!I11793,Programme!J11793)</f>
        <v>&lt;/ValeurCellule&gt;</v>
      </c>
    </row>
    <row r="11793" spans="1:1" x14ac:dyDescent="0.2">
      <c r="A11793" s="996" t="str">
        <f>CONCATENATE(Programme!D11794,Programme!E11794,Programme!F11794,Programme!G11794,Programme!H11794,Programme!I11794,Programme!J11794)</f>
        <v>&lt;ValeurCellule&gt;</v>
      </c>
    </row>
    <row r="11794" spans="1:1" x14ac:dyDescent="0.2">
      <c r="A11794" s="996" t="str">
        <f>CONCATENATE(Programme!D11795,Programme!E11795,Programme!F11795,Programme!G11795,Programme!H11795,Programme!I11795,Programme!J11795)</f>
        <v>&lt;cellule&gt;&lt;codeEdi&gt;1078&lt;/codeEdi&gt;&lt;/cellule&gt;</v>
      </c>
    </row>
    <row r="11795" spans="1:1" x14ac:dyDescent="0.2">
      <c r="A11795" s="996" t="str">
        <f>CONCATENATE(Programme!D11796,Programme!E11796,Programme!F11796,Programme!G11796,Programme!H11796,Programme!I11796,Programme!J11796)</f>
        <v>&lt;valeur&gt;&lt;/valeur&gt;</v>
      </c>
    </row>
    <row r="11796" spans="1:1" x14ac:dyDescent="0.2">
      <c r="A11796" s="996" t="str">
        <f>CONCATENATE(Programme!D11797,Programme!E11797,Programme!F11797,Programme!G11797,Programme!H11797,Programme!I11797,Programme!J11797)</f>
        <v>&lt;numeroLigne&gt;73&lt;/numeroLigne&gt;</v>
      </c>
    </row>
    <row r="11797" spans="1:1" x14ac:dyDescent="0.2">
      <c r="A11797" s="996" t="str">
        <f>CONCATENATE(Programme!D11798,Programme!E11798,Programme!F11798,Programme!G11798,Programme!H11798,Programme!I11798,Programme!J11798)</f>
        <v>&lt;/ValeurCellule&gt;</v>
      </c>
    </row>
    <row r="11798" spans="1:1" x14ac:dyDescent="0.2">
      <c r="A11798" s="996" t="str">
        <f>CONCATENATE(Programme!D11799,Programme!E11799,Programme!F11799,Programme!G11799,Programme!H11799,Programme!I11799,Programme!J11799)</f>
        <v>&lt;ValeurCellule&gt;</v>
      </c>
    </row>
    <row r="11799" spans="1:1" x14ac:dyDescent="0.2">
      <c r="A11799" s="996" t="str">
        <f>CONCATENATE(Programme!D11800,Programme!E11800,Programme!F11800,Programme!G11800,Programme!H11800,Programme!I11800,Programme!J11800)</f>
        <v>&lt;cellule&gt;&lt;codeEdi&gt;1079&lt;/codeEdi&gt;&lt;/cellule&gt;</v>
      </c>
    </row>
    <row r="11800" spans="1:1" x14ac:dyDescent="0.2">
      <c r="A11800" s="996" t="str">
        <f>CONCATENATE(Programme!D11801,Programme!E11801,Programme!F11801,Programme!G11801,Programme!H11801,Programme!I11801,Programme!J11801)</f>
        <v>&lt;valeur&gt;&lt;/valeur&gt;</v>
      </c>
    </row>
    <row r="11801" spans="1:1" x14ac:dyDescent="0.2">
      <c r="A11801" s="996" t="str">
        <f>CONCATENATE(Programme!D11802,Programme!E11802,Programme!F11802,Programme!G11802,Programme!H11802,Programme!I11802,Programme!J11802)</f>
        <v>&lt;numeroLigne&gt;73&lt;/numeroLigne&gt;</v>
      </c>
    </row>
    <row r="11802" spans="1:1" x14ac:dyDescent="0.2">
      <c r="A11802" s="996" t="str">
        <f>CONCATENATE(Programme!D11803,Programme!E11803,Programme!F11803,Programme!G11803,Programme!H11803,Programme!I11803,Programme!J11803)</f>
        <v>&lt;/ValeurCellule&gt;</v>
      </c>
    </row>
    <row r="11803" spans="1:1" x14ac:dyDescent="0.2">
      <c r="A11803" s="996" t="str">
        <f>CONCATENATE(Programme!D11804,Programme!E11804,Programme!F11804,Programme!G11804,Programme!H11804,Programme!I11804,Programme!J11804)</f>
        <v>&lt;ValeurCellule&gt;</v>
      </c>
    </row>
    <row r="11804" spans="1:1" x14ac:dyDescent="0.2">
      <c r="A11804" s="996" t="str">
        <f>CONCATENATE(Programme!D11805,Programme!E11805,Programme!F11805,Programme!G11805,Programme!H11805,Programme!I11805,Programme!J11805)</f>
        <v>&lt;cellule&gt;&lt;codeEdi&gt;1080&lt;/codeEdi&gt;&lt;/cellule&gt;</v>
      </c>
    </row>
    <row r="11805" spans="1:1" x14ac:dyDescent="0.2">
      <c r="A11805" s="996" t="str">
        <f>CONCATENATE(Programme!D11806,Programme!E11806,Programme!F11806,Programme!G11806,Programme!H11806,Programme!I11806,Programme!J11806)</f>
        <v>&lt;valeur&gt;&lt;/valeur&gt;</v>
      </c>
    </row>
    <row r="11806" spans="1:1" x14ac:dyDescent="0.2">
      <c r="A11806" s="996" t="str">
        <f>CONCATENATE(Programme!D11807,Programme!E11807,Programme!F11807,Programme!G11807,Programme!H11807,Programme!I11807,Programme!J11807)</f>
        <v>&lt;numeroLigne&gt;73&lt;/numeroLigne&gt;</v>
      </c>
    </row>
    <row r="11807" spans="1:1" x14ac:dyDescent="0.2">
      <c r="A11807" s="996" t="str">
        <f>CONCATENATE(Programme!D11808,Programme!E11808,Programme!F11808,Programme!G11808,Programme!H11808,Programme!I11808,Programme!J11808)</f>
        <v>&lt;/ValeurCellule&gt;</v>
      </c>
    </row>
    <row r="11808" spans="1:1" x14ac:dyDescent="0.2">
      <c r="A11808" s="996" t="str">
        <f>CONCATENATE(Programme!D11809,Programme!E11809,Programme!F11809,Programme!G11809,Programme!H11809,Programme!I11809,Programme!J11809)</f>
        <v>&lt;ValeurCellule&gt;</v>
      </c>
    </row>
    <row r="11809" spans="1:1" x14ac:dyDescent="0.2">
      <c r="A11809" s="996" t="str">
        <f>CONCATENATE(Programme!D11810,Programme!E11810,Programme!F11810,Programme!G11810,Programme!H11810,Programme!I11810,Programme!J11810)</f>
        <v>&lt;cellule&gt;&lt;codeEdi&gt;1081&lt;/codeEdi&gt;&lt;/cellule&gt;</v>
      </c>
    </row>
    <row r="11810" spans="1:1" x14ac:dyDescent="0.2">
      <c r="A11810" s="996" t="str">
        <f>CONCATENATE(Programme!D11811,Programme!E11811,Programme!F11811,Programme!G11811,Programme!H11811,Programme!I11811,Programme!J11811)</f>
        <v>&lt;valeur&gt;&lt;/valeur&gt;</v>
      </c>
    </row>
    <row r="11811" spans="1:1" x14ac:dyDescent="0.2">
      <c r="A11811" s="996" t="str">
        <f>CONCATENATE(Programme!D11812,Programme!E11812,Programme!F11812,Programme!G11812,Programme!H11812,Programme!I11812,Programme!J11812)</f>
        <v>&lt;numeroLigne&gt;73&lt;/numeroLigne&gt;</v>
      </c>
    </row>
    <row r="11812" spans="1:1" x14ac:dyDescent="0.2">
      <c r="A11812" s="996" t="str">
        <f>CONCATENATE(Programme!D11813,Programme!E11813,Programme!F11813,Programme!G11813,Programme!H11813,Programme!I11813,Programme!J11813)</f>
        <v>&lt;/ValeurCellule&gt;</v>
      </c>
    </row>
    <row r="11813" spans="1:1" x14ac:dyDescent="0.2">
      <c r="A11813" s="996" t="str">
        <f>CONCATENATE(Programme!D11814,Programme!E11814,Programme!F11814,Programme!G11814,Programme!H11814,Programme!I11814,Programme!J11814)</f>
        <v>&lt;ValeurCellule&gt;</v>
      </c>
    </row>
    <row r="11814" spans="1:1" x14ac:dyDescent="0.2">
      <c r="A11814" s="996" t="str">
        <f>CONCATENATE(Programme!D11815,Programme!E11815,Programme!F11815,Programme!G11815,Programme!H11815,Programme!I11815,Programme!J11815)</f>
        <v>&lt;cellule&gt;&lt;codeEdi&gt;1082&lt;/codeEdi&gt;&lt;/cellule&gt;</v>
      </c>
    </row>
    <row r="11815" spans="1:1" x14ac:dyDescent="0.2">
      <c r="A11815" s="996" t="str">
        <f>CONCATENATE(Programme!D11816,Programme!E11816,Programme!F11816,Programme!G11816,Programme!H11816,Programme!I11816,Programme!J11816)</f>
        <v>&lt;valeur&gt;&lt;/valeur&gt;</v>
      </c>
    </row>
    <row r="11816" spans="1:1" x14ac:dyDescent="0.2">
      <c r="A11816" s="996" t="str">
        <f>CONCATENATE(Programme!D11817,Programme!E11817,Programme!F11817,Programme!G11817,Programme!H11817,Programme!I11817,Programme!J11817)</f>
        <v>&lt;numeroLigne&gt;73&lt;/numeroLigne&gt;</v>
      </c>
    </row>
    <row r="11817" spans="1:1" x14ac:dyDescent="0.2">
      <c r="A11817" s="996" t="str">
        <f>CONCATENATE(Programme!D11818,Programme!E11818,Programme!F11818,Programme!G11818,Programme!H11818,Programme!I11818,Programme!J11818)</f>
        <v>&lt;/ValeurCellule&gt;</v>
      </c>
    </row>
    <row r="11818" spans="1:1" x14ac:dyDescent="0.2">
      <c r="A11818" s="996" t="str">
        <f>CONCATENATE(Programme!D11819,Programme!E11819,Programme!F11819,Programme!G11819,Programme!H11819,Programme!I11819,Programme!J11819)</f>
        <v>&lt;ValeurCellule&gt;</v>
      </c>
    </row>
    <row r="11819" spans="1:1" x14ac:dyDescent="0.2">
      <c r="A11819" s="996" t="str">
        <f>CONCATENATE(Programme!D11820,Programme!E11820,Programme!F11820,Programme!G11820,Programme!H11820,Programme!I11820,Programme!J11820)</f>
        <v>&lt;cellule&gt;&lt;codeEdi&gt;1083&lt;/codeEdi&gt;&lt;/cellule&gt;</v>
      </c>
    </row>
    <row r="11820" spans="1:1" x14ac:dyDescent="0.2">
      <c r="A11820" s="996" t="str">
        <f>CONCATENATE(Programme!D11821,Programme!E11821,Programme!F11821,Programme!G11821,Programme!H11821,Programme!I11821,Programme!J11821)</f>
        <v>&lt;valeur&gt;&lt;/valeur&gt;</v>
      </c>
    </row>
    <row r="11821" spans="1:1" x14ac:dyDescent="0.2">
      <c r="A11821" s="996" t="str">
        <f>CONCATENATE(Programme!D11822,Programme!E11822,Programme!F11822,Programme!G11822,Programme!H11822,Programme!I11822,Programme!J11822)</f>
        <v>&lt;numeroLigne&gt;73&lt;/numeroLigne&gt;</v>
      </c>
    </row>
    <row r="11822" spans="1:1" x14ac:dyDescent="0.2">
      <c r="A11822" s="996" t="str">
        <f>CONCATENATE(Programme!D11823,Programme!E11823,Programme!F11823,Programme!G11823,Programme!H11823,Programme!I11823,Programme!J11823)</f>
        <v>&lt;/ValeurCellule&gt;</v>
      </c>
    </row>
    <row r="11823" spans="1:1" x14ac:dyDescent="0.2">
      <c r="A11823" s="996" t="str">
        <f>CONCATENATE(Programme!D11824,Programme!E11824,Programme!F11824,Programme!G11824,Programme!H11824,Programme!I11824,Programme!J11824)</f>
        <v>&lt;ValeurCellule&gt;</v>
      </c>
    </row>
    <row r="11824" spans="1:1" x14ac:dyDescent="0.2">
      <c r="A11824" s="996" t="str">
        <f>CONCATENATE(Programme!D11825,Programme!E11825,Programme!F11825,Programme!G11825,Programme!H11825,Programme!I11825,Programme!J11825)</f>
        <v>&lt;cellule&gt;&lt;codeEdi&gt;1084&lt;/codeEdi&gt;&lt;/cellule&gt;</v>
      </c>
    </row>
    <row r="11825" spans="1:1" x14ac:dyDescent="0.2">
      <c r="A11825" s="996" t="str">
        <f>CONCATENATE(Programme!D11826,Programme!E11826,Programme!F11826,Programme!G11826,Programme!H11826,Programme!I11826,Programme!J11826)</f>
        <v>&lt;valeur&gt;&lt;/valeur&gt;</v>
      </c>
    </row>
    <row r="11826" spans="1:1" x14ac:dyDescent="0.2">
      <c r="A11826" s="996" t="str">
        <f>CONCATENATE(Programme!D11827,Programme!E11827,Programme!F11827,Programme!G11827,Programme!H11827,Programme!I11827,Programme!J11827)</f>
        <v>&lt;numeroLigne&gt;73&lt;/numeroLigne&gt;</v>
      </c>
    </row>
    <row r="11827" spans="1:1" x14ac:dyDescent="0.2">
      <c r="A11827" s="996" t="str">
        <f>CONCATENATE(Programme!D11828,Programme!E11828,Programme!F11828,Programme!G11828,Programme!H11828,Programme!I11828,Programme!J11828)</f>
        <v>&lt;/ValeurCellule&gt;</v>
      </c>
    </row>
    <row r="11828" spans="1:1" x14ac:dyDescent="0.2">
      <c r="A11828" s="996" t="str">
        <f>CONCATENATE(Programme!D11829,Programme!E11829,Programme!F11829,Programme!G11829,Programme!H11829,Programme!I11829,Programme!J11829)</f>
        <v>&lt;ValeurCellule&gt;</v>
      </c>
    </row>
    <row r="11829" spans="1:1" x14ac:dyDescent="0.2">
      <c r="A11829" s="996" t="str">
        <f>CONCATENATE(Programme!D11830,Programme!E11830,Programme!F11830,Programme!G11830,Programme!H11830,Programme!I11830,Programme!J11830)</f>
        <v>&lt;cellule&gt;&lt;codeEdi&gt;1085&lt;/codeEdi&gt;&lt;/cellule&gt;</v>
      </c>
    </row>
    <row r="11830" spans="1:1" x14ac:dyDescent="0.2">
      <c r="A11830" s="996" t="str">
        <f>CONCATENATE(Programme!D11831,Programme!E11831,Programme!F11831,Programme!G11831,Programme!H11831,Programme!I11831,Programme!J11831)</f>
        <v>&lt;valeur&gt;&lt;/valeur&gt;</v>
      </c>
    </row>
    <row r="11831" spans="1:1" x14ac:dyDescent="0.2">
      <c r="A11831" s="996" t="str">
        <f>CONCATENATE(Programme!D11832,Programme!E11832,Programme!F11832,Programme!G11832,Programme!H11832,Programme!I11832,Programme!J11832)</f>
        <v>&lt;numeroLigne&gt;73&lt;/numeroLigne&gt;</v>
      </c>
    </row>
    <row r="11832" spans="1:1" x14ac:dyDescent="0.2">
      <c r="A11832" s="996" t="str">
        <f>CONCATENATE(Programme!D11833,Programme!E11833,Programme!F11833,Programme!G11833,Programme!H11833,Programme!I11833,Programme!J11833)</f>
        <v>&lt;/ValeurCellule&gt;</v>
      </c>
    </row>
    <row r="11833" spans="1:1" x14ac:dyDescent="0.2">
      <c r="A11833" s="996" t="str">
        <f>CONCATENATE(Programme!D11834,Programme!E11834,Programme!F11834,Programme!G11834,Programme!H11834,Programme!I11834,Programme!J11834)</f>
        <v>&lt;ValeurCellule&gt;</v>
      </c>
    </row>
    <row r="11834" spans="1:1" x14ac:dyDescent="0.2">
      <c r="A11834" s="996" t="str">
        <f>CONCATENATE(Programme!D11835,Programme!E11835,Programme!F11835,Programme!G11835,Programme!H11835,Programme!I11835,Programme!J11835)</f>
        <v>&lt;cellule&gt;&lt;codeEdi&gt;1086&lt;/codeEdi&gt;&lt;/cellule&gt;</v>
      </c>
    </row>
    <row r="11835" spans="1:1" x14ac:dyDescent="0.2">
      <c r="A11835" s="996" t="str">
        <f>CONCATENATE(Programme!D11836,Programme!E11836,Programme!F11836,Programme!G11836,Programme!H11836,Programme!I11836,Programme!J11836)</f>
        <v>&lt;valeur&gt;&lt;/valeur&gt;</v>
      </c>
    </row>
    <row r="11836" spans="1:1" x14ac:dyDescent="0.2">
      <c r="A11836" s="996" t="str">
        <f>CONCATENATE(Programme!D11837,Programme!E11837,Programme!F11837,Programme!G11837,Programme!H11837,Programme!I11837,Programme!J11837)</f>
        <v>&lt;numeroLigne&gt;73&lt;/numeroLigne&gt;</v>
      </c>
    </row>
    <row r="11837" spans="1:1" x14ac:dyDescent="0.2">
      <c r="A11837" s="996" t="str">
        <f>CONCATENATE(Programme!D11838,Programme!E11838,Programme!F11838,Programme!G11838,Programme!H11838,Programme!I11838,Programme!J11838)</f>
        <v>&lt;/ValeurCellule&gt;</v>
      </c>
    </row>
    <row r="11838" spans="1:1" x14ac:dyDescent="0.2">
      <c r="A11838" s="996" t="str">
        <f>CONCATENATE(Programme!D11839,Programme!E11839,Programme!F11839,Programme!G11839,Programme!H11839,Programme!I11839,Programme!J11839)</f>
        <v>&lt;ValeurCellule&gt;</v>
      </c>
    </row>
    <row r="11839" spans="1:1" x14ac:dyDescent="0.2">
      <c r="A11839" s="996" t="str">
        <f>CONCATENATE(Programme!D11840,Programme!E11840,Programme!F11840,Programme!G11840,Programme!H11840,Programme!I11840,Programme!J11840)</f>
        <v>&lt;cellule&gt;&lt;codeEdi&gt;10061&lt;/codeEdi&gt;&lt;/cellule&gt;</v>
      </c>
    </row>
    <row r="11840" spans="1:1" x14ac:dyDescent="0.2">
      <c r="A11840" s="996" t="str">
        <f>CONCATENATE(Programme!D11841,Programme!E11841,Programme!F11841,Programme!G11841,Programme!H11841,Programme!I11841,Programme!J11841)</f>
        <v>&lt;valeur&gt;&lt;/valeur&gt;</v>
      </c>
    </row>
    <row r="11841" spans="1:1" x14ac:dyDescent="0.2">
      <c r="A11841" s="996" t="str">
        <f>CONCATENATE(Programme!D11842,Programme!E11842,Programme!F11842,Programme!G11842,Programme!H11842,Programme!I11842,Programme!J11842)</f>
        <v>&lt;numeroLigne&gt;74&lt;/numeroLigne&gt;</v>
      </c>
    </row>
    <row r="11842" spans="1:1" x14ac:dyDescent="0.2">
      <c r="A11842" s="996" t="str">
        <f>CONCATENATE(Programme!D11843,Programme!E11843,Programme!F11843,Programme!G11843,Programme!H11843,Programme!I11843,Programme!J11843)</f>
        <v>&lt;/ValeurCellule&gt;</v>
      </c>
    </row>
    <row r="11843" spans="1:1" x14ac:dyDescent="0.2">
      <c r="A11843" s="996" t="str">
        <f>CONCATENATE(Programme!D11844,Programme!E11844,Programme!F11844,Programme!G11844,Programme!H11844,Programme!I11844,Programme!J11844)</f>
        <v>&lt;ValeurCellule&gt;</v>
      </c>
    </row>
    <row r="11844" spans="1:1" x14ac:dyDescent="0.2">
      <c r="A11844" s="996" t="str">
        <f>CONCATENATE(Programme!D11845,Programme!E11845,Programme!F11845,Programme!G11845,Programme!H11845,Programme!I11845,Programme!J11845)</f>
        <v>&lt;cellule&gt;&lt;codeEdi&gt;1078&lt;/codeEdi&gt;&lt;/cellule&gt;</v>
      </c>
    </row>
    <row r="11845" spans="1:1" x14ac:dyDescent="0.2">
      <c r="A11845" s="996" t="str">
        <f>CONCATENATE(Programme!D11846,Programme!E11846,Programme!F11846,Programme!G11846,Programme!H11846,Programme!I11846,Programme!J11846)</f>
        <v>&lt;valeur&gt;&lt;/valeur&gt;</v>
      </c>
    </row>
    <row r="11846" spans="1:1" x14ac:dyDescent="0.2">
      <c r="A11846" s="996" t="str">
        <f>CONCATENATE(Programme!D11847,Programme!E11847,Programme!F11847,Programme!G11847,Programme!H11847,Programme!I11847,Programme!J11847)</f>
        <v>&lt;numeroLigne&gt;74&lt;/numeroLigne&gt;</v>
      </c>
    </row>
    <row r="11847" spans="1:1" x14ac:dyDescent="0.2">
      <c r="A11847" s="996" t="str">
        <f>CONCATENATE(Programme!D11848,Programme!E11848,Programme!F11848,Programme!G11848,Programme!H11848,Programme!I11848,Programme!J11848)</f>
        <v>&lt;/ValeurCellule&gt;</v>
      </c>
    </row>
    <row r="11848" spans="1:1" x14ac:dyDescent="0.2">
      <c r="A11848" s="996" t="str">
        <f>CONCATENATE(Programme!D11849,Programme!E11849,Programme!F11849,Programme!G11849,Programme!H11849,Programme!I11849,Programme!J11849)</f>
        <v>&lt;ValeurCellule&gt;</v>
      </c>
    </row>
    <row r="11849" spans="1:1" x14ac:dyDescent="0.2">
      <c r="A11849" s="996" t="str">
        <f>CONCATENATE(Programme!D11850,Programme!E11850,Programme!F11850,Programme!G11850,Programme!H11850,Programme!I11850,Programme!J11850)</f>
        <v>&lt;cellule&gt;&lt;codeEdi&gt;1079&lt;/codeEdi&gt;&lt;/cellule&gt;</v>
      </c>
    </row>
    <row r="11850" spans="1:1" x14ac:dyDescent="0.2">
      <c r="A11850" s="996" t="str">
        <f>CONCATENATE(Programme!D11851,Programme!E11851,Programme!F11851,Programme!G11851,Programme!H11851,Programme!I11851,Programme!J11851)</f>
        <v>&lt;valeur&gt;&lt;/valeur&gt;</v>
      </c>
    </row>
    <row r="11851" spans="1:1" x14ac:dyDescent="0.2">
      <c r="A11851" s="996" t="str">
        <f>CONCATENATE(Programme!D11852,Programme!E11852,Programme!F11852,Programme!G11852,Programme!H11852,Programme!I11852,Programme!J11852)</f>
        <v>&lt;numeroLigne&gt;74&lt;/numeroLigne&gt;</v>
      </c>
    </row>
    <row r="11852" spans="1:1" x14ac:dyDescent="0.2">
      <c r="A11852" s="996" t="str">
        <f>CONCATENATE(Programme!D11853,Programme!E11853,Programme!F11853,Programme!G11853,Programme!H11853,Programme!I11853,Programme!J11853)</f>
        <v>&lt;/ValeurCellule&gt;</v>
      </c>
    </row>
    <row r="11853" spans="1:1" x14ac:dyDescent="0.2">
      <c r="A11853" s="996" t="str">
        <f>CONCATENATE(Programme!D11854,Programme!E11854,Programme!F11854,Programme!G11854,Programme!H11854,Programme!I11854,Programme!J11854)</f>
        <v>&lt;ValeurCellule&gt;</v>
      </c>
    </row>
    <row r="11854" spans="1:1" x14ac:dyDescent="0.2">
      <c r="A11854" s="996" t="str">
        <f>CONCATENATE(Programme!D11855,Programme!E11855,Programme!F11855,Programme!G11855,Programme!H11855,Programme!I11855,Programme!J11855)</f>
        <v>&lt;cellule&gt;&lt;codeEdi&gt;1080&lt;/codeEdi&gt;&lt;/cellule&gt;</v>
      </c>
    </row>
    <row r="11855" spans="1:1" x14ac:dyDescent="0.2">
      <c r="A11855" s="996" t="str">
        <f>CONCATENATE(Programme!D11856,Programme!E11856,Programme!F11856,Programme!G11856,Programme!H11856,Programme!I11856,Programme!J11856)</f>
        <v>&lt;valeur&gt;&lt;/valeur&gt;</v>
      </c>
    </row>
    <row r="11856" spans="1:1" x14ac:dyDescent="0.2">
      <c r="A11856" s="996" t="str">
        <f>CONCATENATE(Programme!D11857,Programme!E11857,Programme!F11857,Programme!G11857,Programme!H11857,Programme!I11857,Programme!J11857)</f>
        <v>&lt;numeroLigne&gt;74&lt;/numeroLigne&gt;</v>
      </c>
    </row>
    <row r="11857" spans="1:1" x14ac:dyDescent="0.2">
      <c r="A11857" s="996" t="str">
        <f>CONCATENATE(Programme!D11858,Programme!E11858,Programme!F11858,Programme!G11858,Programme!H11858,Programme!I11858,Programme!J11858)</f>
        <v>&lt;/ValeurCellule&gt;</v>
      </c>
    </row>
    <row r="11858" spans="1:1" x14ac:dyDescent="0.2">
      <c r="A11858" s="996" t="str">
        <f>CONCATENATE(Programme!D11859,Programme!E11859,Programme!F11859,Programme!G11859,Programme!H11859,Programme!I11859,Programme!J11859)</f>
        <v>&lt;ValeurCellule&gt;</v>
      </c>
    </row>
    <row r="11859" spans="1:1" x14ac:dyDescent="0.2">
      <c r="A11859" s="996" t="str">
        <f>CONCATENATE(Programme!D11860,Programme!E11860,Programme!F11860,Programme!G11860,Programme!H11860,Programme!I11860,Programme!J11860)</f>
        <v>&lt;cellule&gt;&lt;codeEdi&gt;1081&lt;/codeEdi&gt;&lt;/cellule&gt;</v>
      </c>
    </row>
    <row r="11860" spans="1:1" x14ac:dyDescent="0.2">
      <c r="A11860" s="996" t="str">
        <f>CONCATENATE(Programme!D11861,Programme!E11861,Programme!F11861,Programme!G11861,Programme!H11861,Programme!I11861,Programme!J11861)</f>
        <v>&lt;valeur&gt;&lt;/valeur&gt;</v>
      </c>
    </row>
    <row r="11861" spans="1:1" x14ac:dyDescent="0.2">
      <c r="A11861" s="996" t="str">
        <f>CONCATENATE(Programme!D11862,Programme!E11862,Programme!F11862,Programme!G11862,Programme!H11862,Programme!I11862,Programme!J11862)</f>
        <v>&lt;numeroLigne&gt;74&lt;/numeroLigne&gt;</v>
      </c>
    </row>
    <row r="11862" spans="1:1" x14ac:dyDescent="0.2">
      <c r="A11862" s="996" t="str">
        <f>CONCATENATE(Programme!D11863,Programme!E11863,Programme!F11863,Programme!G11863,Programme!H11863,Programme!I11863,Programme!J11863)</f>
        <v>&lt;/ValeurCellule&gt;</v>
      </c>
    </row>
    <row r="11863" spans="1:1" x14ac:dyDescent="0.2">
      <c r="A11863" s="996" t="str">
        <f>CONCATENATE(Programme!D11864,Programme!E11864,Programme!F11864,Programme!G11864,Programme!H11864,Programme!I11864,Programme!J11864)</f>
        <v>&lt;ValeurCellule&gt;</v>
      </c>
    </row>
    <row r="11864" spans="1:1" x14ac:dyDescent="0.2">
      <c r="A11864" s="996" t="str">
        <f>CONCATENATE(Programme!D11865,Programme!E11865,Programme!F11865,Programme!G11865,Programme!H11865,Programme!I11865,Programme!J11865)</f>
        <v>&lt;cellule&gt;&lt;codeEdi&gt;1082&lt;/codeEdi&gt;&lt;/cellule&gt;</v>
      </c>
    </row>
    <row r="11865" spans="1:1" x14ac:dyDescent="0.2">
      <c r="A11865" s="996" t="str">
        <f>CONCATENATE(Programme!D11866,Programme!E11866,Programme!F11866,Programme!G11866,Programme!H11866,Programme!I11866,Programme!J11866)</f>
        <v>&lt;valeur&gt;&lt;/valeur&gt;</v>
      </c>
    </row>
    <row r="11866" spans="1:1" x14ac:dyDescent="0.2">
      <c r="A11866" s="996" t="str">
        <f>CONCATENATE(Programme!D11867,Programme!E11867,Programme!F11867,Programme!G11867,Programme!H11867,Programme!I11867,Programme!J11867)</f>
        <v>&lt;numeroLigne&gt;74&lt;/numeroLigne&gt;</v>
      </c>
    </row>
    <row r="11867" spans="1:1" x14ac:dyDescent="0.2">
      <c r="A11867" s="996" t="str">
        <f>CONCATENATE(Programme!D11868,Programme!E11868,Programme!F11868,Programme!G11868,Programme!H11868,Programme!I11868,Programme!J11868)</f>
        <v>&lt;/ValeurCellule&gt;</v>
      </c>
    </row>
    <row r="11868" spans="1:1" x14ac:dyDescent="0.2">
      <c r="A11868" s="996" t="str">
        <f>CONCATENATE(Programme!D11869,Programme!E11869,Programme!F11869,Programme!G11869,Programme!H11869,Programme!I11869,Programme!J11869)</f>
        <v>&lt;ValeurCellule&gt;</v>
      </c>
    </row>
    <row r="11869" spans="1:1" x14ac:dyDescent="0.2">
      <c r="A11869" s="996" t="str">
        <f>CONCATENATE(Programme!D11870,Programme!E11870,Programme!F11870,Programme!G11870,Programme!H11870,Programme!I11870,Programme!J11870)</f>
        <v>&lt;cellule&gt;&lt;codeEdi&gt;1083&lt;/codeEdi&gt;&lt;/cellule&gt;</v>
      </c>
    </row>
    <row r="11870" spans="1:1" x14ac:dyDescent="0.2">
      <c r="A11870" s="996" t="str">
        <f>CONCATENATE(Programme!D11871,Programme!E11871,Programme!F11871,Programme!G11871,Programme!H11871,Programme!I11871,Programme!J11871)</f>
        <v>&lt;valeur&gt;&lt;/valeur&gt;</v>
      </c>
    </row>
    <row r="11871" spans="1:1" x14ac:dyDescent="0.2">
      <c r="A11871" s="996" t="str">
        <f>CONCATENATE(Programme!D11872,Programme!E11872,Programme!F11872,Programme!G11872,Programme!H11872,Programme!I11872,Programme!J11872)</f>
        <v>&lt;numeroLigne&gt;74&lt;/numeroLigne&gt;</v>
      </c>
    </row>
    <row r="11872" spans="1:1" x14ac:dyDescent="0.2">
      <c r="A11872" s="996" t="str">
        <f>CONCATENATE(Programme!D11873,Programme!E11873,Programme!F11873,Programme!G11873,Programme!H11873,Programme!I11873,Programme!J11873)</f>
        <v>&lt;/ValeurCellule&gt;</v>
      </c>
    </row>
    <row r="11873" spans="1:1" x14ac:dyDescent="0.2">
      <c r="A11873" s="996" t="str">
        <f>CONCATENATE(Programme!D11874,Programme!E11874,Programme!F11874,Programme!G11874,Programme!H11874,Programme!I11874,Programme!J11874)</f>
        <v>&lt;ValeurCellule&gt;</v>
      </c>
    </row>
    <row r="11874" spans="1:1" x14ac:dyDescent="0.2">
      <c r="A11874" s="996" t="str">
        <f>CONCATENATE(Programme!D11875,Programme!E11875,Programme!F11875,Programme!G11875,Programme!H11875,Programme!I11875,Programme!J11875)</f>
        <v>&lt;cellule&gt;&lt;codeEdi&gt;1084&lt;/codeEdi&gt;&lt;/cellule&gt;</v>
      </c>
    </row>
    <row r="11875" spans="1:1" x14ac:dyDescent="0.2">
      <c r="A11875" s="996" t="str">
        <f>CONCATENATE(Programme!D11876,Programme!E11876,Programme!F11876,Programme!G11876,Programme!H11876,Programme!I11876,Programme!J11876)</f>
        <v>&lt;valeur&gt;&lt;/valeur&gt;</v>
      </c>
    </row>
    <row r="11876" spans="1:1" x14ac:dyDescent="0.2">
      <c r="A11876" s="996" t="str">
        <f>CONCATENATE(Programme!D11877,Programme!E11877,Programme!F11877,Programme!G11877,Programme!H11877,Programme!I11877,Programme!J11877)</f>
        <v>&lt;numeroLigne&gt;74&lt;/numeroLigne&gt;</v>
      </c>
    </row>
    <row r="11877" spans="1:1" x14ac:dyDescent="0.2">
      <c r="A11877" s="996" t="str">
        <f>CONCATENATE(Programme!D11878,Programme!E11878,Programme!F11878,Programme!G11878,Programme!H11878,Programme!I11878,Programme!J11878)</f>
        <v>&lt;/ValeurCellule&gt;</v>
      </c>
    </row>
    <row r="11878" spans="1:1" x14ac:dyDescent="0.2">
      <c r="A11878" s="996" t="str">
        <f>CONCATENATE(Programme!D11879,Programme!E11879,Programme!F11879,Programme!G11879,Programme!H11879,Programme!I11879,Programme!J11879)</f>
        <v>&lt;ValeurCellule&gt;</v>
      </c>
    </row>
    <row r="11879" spans="1:1" x14ac:dyDescent="0.2">
      <c r="A11879" s="996" t="str">
        <f>CONCATENATE(Programme!D11880,Programme!E11880,Programme!F11880,Programme!G11880,Programme!H11880,Programme!I11880,Programme!J11880)</f>
        <v>&lt;cellule&gt;&lt;codeEdi&gt;1085&lt;/codeEdi&gt;&lt;/cellule&gt;</v>
      </c>
    </row>
    <row r="11880" spans="1:1" x14ac:dyDescent="0.2">
      <c r="A11880" s="996" t="str">
        <f>CONCATENATE(Programme!D11881,Programme!E11881,Programme!F11881,Programme!G11881,Programme!H11881,Programme!I11881,Programme!J11881)</f>
        <v>&lt;valeur&gt;&lt;/valeur&gt;</v>
      </c>
    </row>
    <row r="11881" spans="1:1" x14ac:dyDescent="0.2">
      <c r="A11881" s="996" t="str">
        <f>CONCATENATE(Programme!D11882,Programme!E11882,Programme!F11882,Programme!G11882,Programme!H11882,Programme!I11882,Programme!J11882)</f>
        <v>&lt;numeroLigne&gt;74&lt;/numeroLigne&gt;</v>
      </c>
    </row>
    <row r="11882" spans="1:1" x14ac:dyDescent="0.2">
      <c r="A11882" s="996" t="str">
        <f>CONCATENATE(Programme!D11883,Programme!E11883,Programme!F11883,Programme!G11883,Programme!H11883,Programme!I11883,Programme!J11883)</f>
        <v>&lt;/ValeurCellule&gt;</v>
      </c>
    </row>
    <row r="11883" spans="1:1" x14ac:dyDescent="0.2">
      <c r="A11883" s="996" t="str">
        <f>CONCATENATE(Programme!D11884,Programme!E11884,Programme!F11884,Programme!G11884,Programme!H11884,Programme!I11884,Programme!J11884)</f>
        <v>&lt;ValeurCellule&gt;</v>
      </c>
    </row>
    <row r="11884" spans="1:1" x14ac:dyDescent="0.2">
      <c r="A11884" s="996" t="str">
        <f>CONCATENATE(Programme!D11885,Programme!E11885,Programme!F11885,Programme!G11885,Programme!H11885,Programme!I11885,Programme!J11885)</f>
        <v>&lt;cellule&gt;&lt;codeEdi&gt;1086&lt;/codeEdi&gt;&lt;/cellule&gt;</v>
      </c>
    </row>
    <row r="11885" spans="1:1" x14ac:dyDescent="0.2">
      <c r="A11885" s="996" t="str">
        <f>CONCATENATE(Programme!D11886,Programme!E11886,Programme!F11886,Programme!G11886,Programme!H11886,Programme!I11886,Programme!J11886)</f>
        <v>&lt;valeur&gt;&lt;/valeur&gt;</v>
      </c>
    </row>
    <row r="11886" spans="1:1" x14ac:dyDescent="0.2">
      <c r="A11886" s="996" t="str">
        <f>CONCATENATE(Programme!D11887,Programme!E11887,Programme!F11887,Programme!G11887,Programme!H11887,Programme!I11887,Programme!J11887)</f>
        <v>&lt;numeroLigne&gt;74&lt;/numeroLigne&gt;</v>
      </c>
    </row>
    <row r="11887" spans="1:1" x14ac:dyDescent="0.2">
      <c r="A11887" s="996" t="str">
        <f>CONCATENATE(Programme!D11888,Programme!E11888,Programme!F11888,Programme!G11888,Programme!H11888,Programme!I11888,Programme!J11888)</f>
        <v>&lt;/ValeurCellule&gt;</v>
      </c>
    </row>
    <row r="11888" spans="1:1" x14ac:dyDescent="0.2">
      <c r="A11888" s="996" t="str">
        <f>CONCATENATE(Programme!D11889,Programme!E11889,Programme!F11889,Programme!G11889,Programme!H11889,Programme!I11889,Programme!J11889)</f>
        <v>&lt;ValeurCellule&gt;</v>
      </c>
    </row>
    <row r="11889" spans="1:1" x14ac:dyDescent="0.2">
      <c r="A11889" s="996" t="str">
        <f>CONCATENATE(Programme!D11890,Programme!E11890,Programme!F11890,Programme!G11890,Programme!H11890,Programme!I11890,Programme!J11890)</f>
        <v>&lt;cellule&gt;&lt;codeEdi&gt;10061&lt;/codeEdi&gt;&lt;/cellule&gt;</v>
      </c>
    </row>
    <row r="11890" spans="1:1" x14ac:dyDescent="0.2">
      <c r="A11890" s="996" t="str">
        <f>CONCATENATE(Programme!D11891,Programme!E11891,Programme!F11891,Programme!G11891,Programme!H11891,Programme!I11891,Programme!J11891)</f>
        <v>&lt;valeur&gt;&lt;/valeur&gt;</v>
      </c>
    </row>
    <row r="11891" spans="1:1" x14ac:dyDescent="0.2">
      <c r="A11891" s="996" t="str">
        <f>CONCATENATE(Programme!D11892,Programme!E11892,Programme!F11892,Programme!G11892,Programme!H11892,Programme!I11892,Programme!J11892)</f>
        <v>&lt;numeroLigne&gt;75&lt;/numeroLigne&gt;</v>
      </c>
    </row>
    <row r="11892" spans="1:1" x14ac:dyDescent="0.2">
      <c r="A11892" s="996" t="str">
        <f>CONCATENATE(Programme!D11893,Programme!E11893,Programme!F11893,Programme!G11893,Programme!H11893,Programme!I11893,Programme!J11893)</f>
        <v>&lt;/ValeurCellule&gt;</v>
      </c>
    </row>
    <row r="11893" spans="1:1" x14ac:dyDescent="0.2">
      <c r="A11893" s="996" t="str">
        <f>CONCATENATE(Programme!D11894,Programme!E11894,Programme!F11894,Programme!G11894,Programme!H11894,Programme!I11894,Programme!J11894)</f>
        <v>&lt;ValeurCellule&gt;</v>
      </c>
    </row>
    <row r="11894" spans="1:1" x14ac:dyDescent="0.2">
      <c r="A11894" s="996" t="str">
        <f>CONCATENATE(Programme!D11895,Programme!E11895,Programme!F11895,Programme!G11895,Programme!H11895,Programme!I11895,Programme!J11895)</f>
        <v>&lt;cellule&gt;&lt;codeEdi&gt;1078&lt;/codeEdi&gt;&lt;/cellule&gt;</v>
      </c>
    </row>
    <row r="11895" spans="1:1" x14ac:dyDescent="0.2">
      <c r="A11895" s="996" t="str">
        <f>CONCATENATE(Programme!D11896,Programme!E11896,Programme!F11896,Programme!G11896,Programme!H11896,Programme!I11896,Programme!J11896)</f>
        <v>&lt;valeur&gt;&lt;/valeur&gt;</v>
      </c>
    </row>
    <row r="11896" spans="1:1" x14ac:dyDescent="0.2">
      <c r="A11896" s="996" t="str">
        <f>CONCATENATE(Programme!D11897,Programme!E11897,Programme!F11897,Programme!G11897,Programme!H11897,Programme!I11897,Programme!J11897)</f>
        <v>&lt;numeroLigne&gt;75&lt;/numeroLigne&gt;</v>
      </c>
    </row>
    <row r="11897" spans="1:1" x14ac:dyDescent="0.2">
      <c r="A11897" s="996" t="str">
        <f>CONCATENATE(Programme!D11898,Programme!E11898,Programme!F11898,Programme!G11898,Programme!H11898,Programme!I11898,Programme!J11898)</f>
        <v>&lt;/ValeurCellule&gt;</v>
      </c>
    </row>
    <row r="11898" spans="1:1" x14ac:dyDescent="0.2">
      <c r="A11898" s="996" t="str">
        <f>CONCATENATE(Programme!D11899,Programme!E11899,Programme!F11899,Programme!G11899,Programme!H11899,Programme!I11899,Programme!J11899)</f>
        <v>&lt;ValeurCellule&gt;</v>
      </c>
    </row>
    <row r="11899" spans="1:1" x14ac:dyDescent="0.2">
      <c r="A11899" s="996" t="str">
        <f>CONCATENATE(Programme!D11900,Programme!E11900,Programme!F11900,Programme!G11900,Programme!H11900,Programme!I11900,Programme!J11900)</f>
        <v>&lt;cellule&gt;&lt;codeEdi&gt;1079&lt;/codeEdi&gt;&lt;/cellule&gt;</v>
      </c>
    </row>
    <row r="11900" spans="1:1" x14ac:dyDescent="0.2">
      <c r="A11900" s="996" t="str">
        <f>CONCATENATE(Programme!D11901,Programme!E11901,Programme!F11901,Programme!G11901,Programme!H11901,Programme!I11901,Programme!J11901)</f>
        <v>&lt;valeur&gt;&lt;/valeur&gt;</v>
      </c>
    </row>
    <row r="11901" spans="1:1" x14ac:dyDescent="0.2">
      <c r="A11901" s="996" t="str">
        <f>CONCATENATE(Programme!D11902,Programme!E11902,Programme!F11902,Programme!G11902,Programme!H11902,Programme!I11902,Programme!J11902)</f>
        <v>&lt;numeroLigne&gt;75&lt;/numeroLigne&gt;</v>
      </c>
    </row>
    <row r="11902" spans="1:1" x14ac:dyDescent="0.2">
      <c r="A11902" s="996" t="str">
        <f>CONCATENATE(Programme!D11903,Programme!E11903,Programme!F11903,Programme!G11903,Programme!H11903,Programme!I11903,Programme!J11903)</f>
        <v>&lt;/ValeurCellule&gt;</v>
      </c>
    </row>
    <row r="11903" spans="1:1" x14ac:dyDescent="0.2">
      <c r="A11903" s="996" t="str">
        <f>CONCATENATE(Programme!D11904,Programme!E11904,Programme!F11904,Programme!G11904,Programme!H11904,Programme!I11904,Programme!J11904)</f>
        <v>&lt;ValeurCellule&gt;</v>
      </c>
    </row>
    <row r="11904" spans="1:1" x14ac:dyDescent="0.2">
      <c r="A11904" s="996" t="str">
        <f>CONCATENATE(Programme!D11905,Programme!E11905,Programme!F11905,Programme!G11905,Programme!H11905,Programme!I11905,Programme!J11905)</f>
        <v>&lt;cellule&gt;&lt;codeEdi&gt;1080&lt;/codeEdi&gt;&lt;/cellule&gt;</v>
      </c>
    </row>
    <row r="11905" spans="1:1" x14ac:dyDescent="0.2">
      <c r="A11905" s="996" t="str">
        <f>CONCATENATE(Programme!D11906,Programme!E11906,Programme!F11906,Programme!G11906,Programme!H11906,Programme!I11906,Programme!J11906)</f>
        <v>&lt;valeur&gt;&lt;/valeur&gt;</v>
      </c>
    </row>
    <row r="11906" spans="1:1" x14ac:dyDescent="0.2">
      <c r="A11906" s="996" t="str">
        <f>CONCATENATE(Programme!D11907,Programme!E11907,Programme!F11907,Programme!G11907,Programme!H11907,Programme!I11907,Programme!J11907)</f>
        <v>&lt;numeroLigne&gt;75&lt;/numeroLigne&gt;</v>
      </c>
    </row>
    <row r="11907" spans="1:1" x14ac:dyDescent="0.2">
      <c r="A11907" s="996" t="str">
        <f>CONCATENATE(Programme!D11908,Programme!E11908,Programme!F11908,Programme!G11908,Programme!H11908,Programme!I11908,Programme!J11908)</f>
        <v>&lt;/ValeurCellule&gt;</v>
      </c>
    </row>
    <row r="11908" spans="1:1" x14ac:dyDescent="0.2">
      <c r="A11908" s="996" t="str">
        <f>CONCATENATE(Programme!D11909,Programme!E11909,Programme!F11909,Programme!G11909,Programme!H11909,Programme!I11909,Programme!J11909)</f>
        <v>&lt;ValeurCellule&gt;</v>
      </c>
    </row>
    <row r="11909" spans="1:1" x14ac:dyDescent="0.2">
      <c r="A11909" s="996" t="str">
        <f>CONCATENATE(Programme!D11910,Programme!E11910,Programme!F11910,Programme!G11910,Programme!H11910,Programme!I11910,Programme!J11910)</f>
        <v>&lt;cellule&gt;&lt;codeEdi&gt;1081&lt;/codeEdi&gt;&lt;/cellule&gt;</v>
      </c>
    </row>
    <row r="11910" spans="1:1" x14ac:dyDescent="0.2">
      <c r="A11910" s="996" t="str">
        <f>CONCATENATE(Programme!D11911,Programme!E11911,Programme!F11911,Programme!G11911,Programme!H11911,Programme!I11911,Programme!J11911)</f>
        <v>&lt;valeur&gt;&lt;/valeur&gt;</v>
      </c>
    </row>
    <row r="11911" spans="1:1" x14ac:dyDescent="0.2">
      <c r="A11911" s="996" t="str">
        <f>CONCATENATE(Programme!D11912,Programme!E11912,Programme!F11912,Programme!G11912,Programme!H11912,Programme!I11912,Programme!J11912)</f>
        <v>&lt;numeroLigne&gt;75&lt;/numeroLigne&gt;</v>
      </c>
    </row>
    <row r="11912" spans="1:1" x14ac:dyDescent="0.2">
      <c r="A11912" s="996" t="str">
        <f>CONCATENATE(Programme!D11913,Programme!E11913,Programme!F11913,Programme!G11913,Programme!H11913,Programme!I11913,Programme!J11913)</f>
        <v>&lt;/ValeurCellule&gt;</v>
      </c>
    </row>
    <row r="11913" spans="1:1" x14ac:dyDescent="0.2">
      <c r="A11913" s="996" t="str">
        <f>CONCATENATE(Programme!D11914,Programme!E11914,Programme!F11914,Programme!G11914,Programme!H11914,Programme!I11914,Programme!J11914)</f>
        <v>&lt;ValeurCellule&gt;</v>
      </c>
    </row>
    <row r="11914" spans="1:1" x14ac:dyDescent="0.2">
      <c r="A11914" s="996" t="str">
        <f>CONCATENATE(Programme!D11915,Programme!E11915,Programme!F11915,Programme!G11915,Programme!H11915,Programme!I11915,Programme!J11915)</f>
        <v>&lt;cellule&gt;&lt;codeEdi&gt;1082&lt;/codeEdi&gt;&lt;/cellule&gt;</v>
      </c>
    </row>
    <row r="11915" spans="1:1" x14ac:dyDescent="0.2">
      <c r="A11915" s="996" t="str">
        <f>CONCATENATE(Programme!D11916,Programme!E11916,Programme!F11916,Programme!G11916,Programme!H11916,Programme!I11916,Programme!J11916)</f>
        <v>&lt;valeur&gt;&lt;/valeur&gt;</v>
      </c>
    </row>
    <row r="11916" spans="1:1" x14ac:dyDescent="0.2">
      <c r="A11916" s="996" t="str">
        <f>CONCATENATE(Programme!D11917,Programme!E11917,Programme!F11917,Programme!G11917,Programme!H11917,Programme!I11917,Programme!J11917)</f>
        <v>&lt;numeroLigne&gt;75&lt;/numeroLigne&gt;</v>
      </c>
    </row>
    <row r="11917" spans="1:1" x14ac:dyDescent="0.2">
      <c r="A11917" s="996" t="str">
        <f>CONCATENATE(Programme!D11918,Programme!E11918,Programme!F11918,Programme!G11918,Programme!H11918,Programme!I11918,Programme!J11918)</f>
        <v>&lt;/ValeurCellule&gt;</v>
      </c>
    </row>
    <row r="11918" spans="1:1" x14ac:dyDescent="0.2">
      <c r="A11918" s="996" t="str">
        <f>CONCATENATE(Programme!D11919,Programme!E11919,Programme!F11919,Programme!G11919,Programme!H11919,Programme!I11919,Programme!J11919)</f>
        <v>&lt;ValeurCellule&gt;</v>
      </c>
    </row>
    <row r="11919" spans="1:1" x14ac:dyDescent="0.2">
      <c r="A11919" s="996" t="str">
        <f>CONCATENATE(Programme!D11920,Programme!E11920,Programme!F11920,Programme!G11920,Programme!H11920,Programme!I11920,Programme!J11920)</f>
        <v>&lt;cellule&gt;&lt;codeEdi&gt;1083&lt;/codeEdi&gt;&lt;/cellule&gt;</v>
      </c>
    </row>
    <row r="11920" spans="1:1" x14ac:dyDescent="0.2">
      <c r="A11920" s="996" t="str">
        <f>CONCATENATE(Programme!D11921,Programme!E11921,Programme!F11921,Programme!G11921,Programme!H11921,Programme!I11921,Programme!J11921)</f>
        <v>&lt;valeur&gt;&lt;/valeur&gt;</v>
      </c>
    </row>
    <row r="11921" spans="1:1" x14ac:dyDescent="0.2">
      <c r="A11921" s="996" t="str">
        <f>CONCATENATE(Programme!D11922,Programme!E11922,Programme!F11922,Programme!G11922,Programme!H11922,Programme!I11922,Programme!J11922)</f>
        <v>&lt;numeroLigne&gt;75&lt;/numeroLigne&gt;</v>
      </c>
    </row>
    <row r="11922" spans="1:1" x14ac:dyDescent="0.2">
      <c r="A11922" s="996" t="str">
        <f>CONCATENATE(Programme!D11923,Programme!E11923,Programme!F11923,Programme!G11923,Programme!H11923,Programme!I11923,Programme!J11923)</f>
        <v>&lt;/ValeurCellule&gt;</v>
      </c>
    </row>
    <row r="11923" spans="1:1" x14ac:dyDescent="0.2">
      <c r="A11923" s="996" t="str">
        <f>CONCATENATE(Programme!D11924,Programme!E11924,Programme!F11924,Programme!G11924,Programme!H11924,Programme!I11924,Programme!J11924)</f>
        <v>&lt;ValeurCellule&gt;</v>
      </c>
    </row>
    <row r="11924" spans="1:1" x14ac:dyDescent="0.2">
      <c r="A11924" s="996" t="str">
        <f>CONCATENATE(Programme!D11925,Programme!E11925,Programme!F11925,Programme!G11925,Programme!H11925,Programme!I11925,Programme!J11925)</f>
        <v>&lt;cellule&gt;&lt;codeEdi&gt;1084&lt;/codeEdi&gt;&lt;/cellule&gt;</v>
      </c>
    </row>
    <row r="11925" spans="1:1" x14ac:dyDescent="0.2">
      <c r="A11925" s="996" t="str">
        <f>CONCATENATE(Programme!D11926,Programme!E11926,Programme!F11926,Programme!G11926,Programme!H11926,Programme!I11926,Programme!J11926)</f>
        <v>&lt;valeur&gt;&lt;/valeur&gt;</v>
      </c>
    </row>
    <row r="11926" spans="1:1" x14ac:dyDescent="0.2">
      <c r="A11926" s="996" t="str">
        <f>CONCATENATE(Programme!D11927,Programme!E11927,Programme!F11927,Programme!G11927,Programme!H11927,Programme!I11927,Programme!J11927)</f>
        <v>&lt;numeroLigne&gt;75&lt;/numeroLigne&gt;</v>
      </c>
    </row>
    <row r="11927" spans="1:1" x14ac:dyDescent="0.2">
      <c r="A11927" s="996" t="str">
        <f>CONCATENATE(Programme!D11928,Programme!E11928,Programme!F11928,Programme!G11928,Programme!H11928,Programme!I11928,Programme!J11928)</f>
        <v>&lt;/ValeurCellule&gt;</v>
      </c>
    </row>
    <row r="11928" spans="1:1" x14ac:dyDescent="0.2">
      <c r="A11928" s="996" t="str">
        <f>CONCATENATE(Programme!D11929,Programme!E11929,Programme!F11929,Programme!G11929,Programme!H11929,Programme!I11929,Programme!J11929)</f>
        <v>&lt;ValeurCellule&gt;</v>
      </c>
    </row>
    <row r="11929" spans="1:1" x14ac:dyDescent="0.2">
      <c r="A11929" s="996" t="str">
        <f>CONCATENATE(Programme!D11930,Programme!E11930,Programme!F11930,Programme!G11930,Programme!H11930,Programme!I11930,Programme!J11930)</f>
        <v>&lt;cellule&gt;&lt;codeEdi&gt;1085&lt;/codeEdi&gt;&lt;/cellule&gt;</v>
      </c>
    </row>
    <row r="11930" spans="1:1" x14ac:dyDescent="0.2">
      <c r="A11930" s="996" t="str">
        <f>CONCATENATE(Programme!D11931,Programme!E11931,Programme!F11931,Programme!G11931,Programme!H11931,Programme!I11931,Programme!J11931)</f>
        <v>&lt;valeur&gt;&lt;/valeur&gt;</v>
      </c>
    </row>
    <row r="11931" spans="1:1" x14ac:dyDescent="0.2">
      <c r="A11931" s="996" t="str">
        <f>CONCATENATE(Programme!D11932,Programme!E11932,Programme!F11932,Programme!G11932,Programme!H11932,Programme!I11932,Programme!J11932)</f>
        <v>&lt;numeroLigne&gt;75&lt;/numeroLigne&gt;</v>
      </c>
    </row>
    <row r="11932" spans="1:1" x14ac:dyDescent="0.2">
      <c r="A11932" s="996" t="str">
        <f>CONCATENATE(Programme!D11933,Programme!E11933,Programme!F11933,Programme!G11933,Programme!H11933,Programme!I11933,Programme!J11933)</f>
        <v>&lt;/ValeurCellule&gt;</v>
      </c>
    </row>
    <row r="11933" spans="1:1" x14ac:dyDescent="0.2">
      <c r="A11933" s="996" t="str">
        <f>CONCATENATE(Programme!D11934,Programme!E11934,Programme!F11934,Programme!G11934,Programme!H11934,Programme!I11934,Programme!J11934)</f>
        <v>&lt;ValeurCellule&gt;</v>
      </c>
    </row>
    <row r="11934" spans="1:1" x14ac:dyDescent="0.2">
      <c r="A11934" s="996" t="str">
        <f>CONCATENATE(Programme!D11935,Programme!E11935,Programme!F11935,Programme!G11935,Programme!H11935,Programme!I11935,Programme!J11935)</f>
        <v>&lt;cellule&gt;&lt;codeEdi&gt;1086&lt;/codeEdi&gt;&lt;/cellule&gt;</v>
      </c>
    </row>
    <row r="11935" spans="1:1" x14ac:dyDescent="0.2">
      <c r="A11935" s="996" t="str">
        <f>CONCATENATE(Programme!D11936,Programme!E11936,Programme!F11936,Programme!G11936,Programme!H11936,Programme!I11936,Programme!J11936)</f>
        <v>&lt;valeur&gt;&lt;/valeur&gt;</v>
      </c>
    </row>
    <row r="11936" spans="1:1" x14ac:dyDescent="0.2">
      <c r="A11936" s="996" t="str">
        <f>CONCATENATE(Programme!D11937,Programme!E11937,Programme!F11937,Programme!G11937,Programme!H11937,Programme!I11937,Programme!J11937)</f>
        <v>&lt;numeroLigne&gt;75&lt;/numeroLigne&gt;</v>
      </c>
    </row>
    <row r="11937" spans="1:1" x14ac:dyDescent="0.2">
      <c r="A11937" s="996" t="str">
        <f>CONCATENATE(Programme!D11938,Programme!E11938,Programme!F11938,Programme!G11938,Programme!H11938,Programme!I11938,Programme!J11938)</f>
        <v>&lt;/ValeurCellule&gt;</v>
      </c>
    </row>
    <row r="11938" spans="1:1" x14ac:dyDescent="0.2">
      <c r="A11938" s="996" t="str">
        <f>CONCATENATE(Programme!D11939,Programme!E11939,Programme!F11939,Programme!G11939,Programme!H11939,Programme!I11939,Programme!J11939)</f>
        <v>&lt;ValeurCellule&gt;</v>
      </c>
    </row>
    <row r="11939" spans="1:1" x14ac:dyDescent="0.2">
      <c r="A11939" s="996" t="str">
        <f>CONCATENATE(Programme!D11940,Programme!E11940,Programme!F11940,Programme!G11940,Programme!H11940,Programme!I11940,Programme!J11940)</f>
        <v>&lt;cellule&gt;&lt;codeEdi&gt;10061&lt;/codeEdi&gt;&lt;/cellule&gt;</v>
      </c>
    </row>
    <row r="11940" spans="1:1" x14ac:dyDescent="0.2">
      <c r="A11940" s="996" t="str">
        <f>CONCATENATE(Programme!D11941,Programme!E11941,Programme!F11941,Programme!G11941,Programme!H11941,Programme!I11941,Programme!J11941)</f>
        <v>&lt;valeur&gt;&lt;/valeur&gt;</v>
      </c>
    </row>
    <row r="11941" spans="1:1" x14ac:dyDescent="0.2">
      <c r="A11941" s="996" t="str">
        <f>CONCATENATE(Programme!D11942,Programme!E11942,Programme!F11942,Programme!G11942,Programme!H11942,Programme!I11942,Programme!J11942)</f>
        <v>&lt;numeroLigne&gt;76&lt;/numeroLigne&gt;</v>
      </c>
    </row>
    <row r="11942" spans="1:1" x14ac:dyDescent="0.2">
      <c r="A11942" s="996" t="str">
        <f>CONCATENATE(Programme!D11943,Programme!E11943,Programme!F11943,Programme!G11943,Programme!H11943,Programme!I11943,Programme!J11943)</f>
        <v>&lt;/ValeurCellule&gt;</v>
      </c>
    </row>
    <row r="11943" spans="1:1" x14ac:dyDescent="0.2">
      <c r="A11943" s="996" t="str">
        <f>CONCATENATE(Programme!D11944,Programme!E11944,Programme!F11944,Programme!G11944,Programme!H11944,Programme!I11944,Programme!J11944)</f>
        <v>&lt;ValeurCellule&gt;</v>
      </c>
    </row>
    <row r="11944" spans="1:1" x14ac:dyDescent="0.2">
      <c r="A11944" s="996" t="str">
        <f>CONCATENATE(Programme!D11945,Programme!E11945,Programme!F11945,Programme!G11945,Programme!H11945,Programme!I11945,Programme!J11945)</f>
        <v>&lt;cellule&gt;&lt;codeEdi&gt;1078&lt;/codeEdi&gt;&lt;/cellule&gt;</v>
      </c>
    </row>
    <row r="11945" spans="1:1" x14ac:dyDescent="0.2">
      <c r="A11945" s="996" t="str">
        <f>CONCATENATE(Programme!D11946,Programme!E11946,Programme!F11946,Programme!G11946,Programme!H11946,Programme!I11946,Programme!J11946)</f>
        <v>&lt;valeur&gt;&lt;/valeur&gt;</v>
      </c>
    </row>
    <row r="11946" spans="1:1" x14ac:dyDescent="0.2">
      <c r="A11946" s="996" t="str">
        <f>CONCATENATE(Programme!D11947,Programme!E11947,Programme!F11947,Programme!G11947,Programme!H11947,Programme!I11947,Programme!J11947)</f>
        <v>&lt;numeroLigne&gt;76&lt;/numeroLigne&gt;</v>
      </c>
    </row>
    <row r="11947" spans="1:1" x14ac:dyDescent="0.2">
      <c r="A11947" s="996" t="str">
        <f>CONCATENATE(Programme!D11948,Programme!E11948,Programme!F11948,Programme!G11948,Programme!H11948,Programme!I11948,Programme!J11948)</f>
        <v>&lt;/ValeurCellule&gt;</v>
      </c>
    </row>
    <row r="11948" spans="1:1" x14ac:dyDescent="0.2">
      <c r="A11948" s="996" t="str">
        <f>CONCATENATE(Programme!D11949,Programme!E11949,Programme!F11949,Programme!G11949,Programme!H11949,Programme!I11949,Programme!J11949)</f>
        <v>&lt;ValeurCellule&gt;</v>
      </c>
    </row>
    <row r="11949" spans="1:1" x14ac:dyDescent="0.2">
      <c r="A11949" s="996" t="str">
        <f>CONCATENATE(Programme!D11950,Programme!E11950,Programme!F11950,Programme!G11950,Programme!H11950,Programme!I11950,Programme!J11950)</f>
        <v>&lt;cellule&gt;&lt;codeEdi&gt;1079&lt;/codeEdi&gt;&lt;/cellule&gt;</v>
      </c>
    </row>
    <row r="11950" spans="1:1" x14ac:dyDescent="0.2">
      <c r="A11950" s="996" t="str">
        <f>CONCATENATE(Programme!D11951,Programme!E11951,Programme!F11951,Programme!G11951,Programme!H11951,Programme!I11951,Programme!J11951)</f>
        <v>&lt;valeur&gt;&lt;/valeur&gt;</v>
      </c>
    </row>
    <row r="11951" spans="1:1" x14ac:dyDescent="0.2">
      <c r="A11951" s="996" t="str">
        <f>CONCATENATE(Programme!D11952,Programme!E11952,Programme!F11952,Programme!G11952,Programme!H11952,Programme!I11952,Programme!J11952)</f>
        <v>&lt;numeroLigne&gt;76&lt;/numeroLigne&gt;</v>
      </c>
    </row>
    <row r="11952" spans="1:1" x14ac:dyDescent="0.2">
      <c r="A11952" s="996" t="str">
        <f>CONCATENATE(Programme!D11953,Programme!E11953,Programme!F11953,Programme!G11953,Programme!H11953,Programme!I11953,Programme!J11953)</f>
        <v>&lt;/ValeurCellule&gt;</v>
      </c>
    </row>
    <row r="11953" spans="1:1" x14ac:dyDescent="0.2">
      <c r="A11953" s="996" t="str">
        <f>CONCATENATE(Programme!D11954,Programme!E11954,Programme!F11954,Programme!G11954,Programme!H11954,Programme!I11954,Programme!J11954)</f>
        <v>&lt;ValeurCellule&gt;</v>
      </c>
    </row>
    <row r="11954" spans="1:1" x14ac:dyDescent="0.2">
      <c r="A11954" s="996" t="str">
        <f>CONCATENATE(Programme!D11955,Programme!E11955,Programme!F11955,Programme!G11955,Programme!H11955,Programme!I11955,Programme!J11955)</f>
        <v>&lt;cellule&gt;&lt;codeEdi&gt;1080&lt;/codeEdi&gt;&lt;/cellule&gt;</v>
      </c>
    </row>
    <row r="11955" spans="1:1" x14ac:dyDescent="0.2">
      <c r="A11955" s="996" t="str">
        <f>CONCATENATE(Programme!D11956,Programme!E11956,Programme!F11956,Programme!G11956,Programme!H11956,Programme!I11956,Programme!J11956)</f>
        <v>&lt;valeur&gt;&lt;/valeur&gt;</v>
      </c>
    </row>
    <row r="11956" spans="1:1" x14ac:dyDescent="0.2">
      <c r="A11956" s="996" t="str">
        <f>CONCATENATE(Programme!D11957,Programme!E11957,Programme!F11957,Programme!G11957,Programme!H11957,Programme!I11957,Programme!J11957)</f>
        <v>&lt;numeroLigne&gt;76&lt;/numeroLigne&gt;</v>
      </c>
    </row>
    <row r="11957" spans="1:1" x14ac:dyDescent="0.2">
      <c r="A11957" s="996" t="str">
        <f>CONCATENATE(Programme!D11958,Programme!E11958,Programme!F11958,Programme!G11958,Programme!H11958,Programme!I11958,Programme!J11958)</f>
        <v>&lt;/ValeurCellule&gt;</v>
      </c>
    </row>
    <row r="11958" spans="1:1" x14ac:dyDescent="0.2">
      <c r="A11958" s="996" t="str">
        <f>CONCATENATE(Programme!D11959,Programme!E11959,Programme!F11959,Programme!G11959,Programme!H11959,Programme!I11959,Programme!J11959)</f>
        <v>&lt;ValeurCellule&gt;</v>
      </c>
    </row>
    <row r="11959" spans="1:1" x14ac:dyDescent="0.2">
      <c r="A11959" s="996" t="str">
        <f>CONCATENATE(Programme!D11960,Programme!E11960,Programme!F11960,Programme!G11960,Programme!H11960,Programme!I11960,Programme!J11960)</f>
        <v>&lt;cellule&gt;&lt;codeEdi&gt;1081&lt;/codeEdi&gt;&lt;/cellule&gt;</v>
      </c>
    </row>
    <row r="11960" spans="1:1" x14ac:dyDescent="0.2">
      <c r="A11960" s="996" t="str">
        <f>CONCATENATE(Programme!D11961,Programme!E11961,Programme!F11961,Programme!G11961,Programme!H11961,Programme!I11961,Programme!J11961)</f>
        <v>&lt;valeur&gt;&lt;/valeur&gt;</v>
      </c>
    </row>
    <row r="11961" spans="1:1" x14ac:dyDescent="0.2">
      <c r="A11961" s="996" t="str">
        <f>CONCATENATE(Programme!D11962,Programme!E11962,Programme!F11962,Programme!G11962,Programme!H11962,Programme!I11962,Programme!J11962)</f>
        <v>&lt;numeroLigne&gt;76&lt;/numeroLigne&gt;</v>
      </c>
    </row>
    <row r="11962" spans="1:1" x14ac:dyDescent="0.2">
      <c r="A11962" s="996" t="str">
        <f>CONCATENATE(Programme!D11963,Programme!E11963,Programme!F11963,Programme!G11963,Programme!H11963,Programme!I11963,Programme!J11963)</f>
        <v>&lt;/ValeurCellule&gt;</v>
      </c>
    </row>
    <row r="11963" spans="1:1" x14ac:dyDescent="0.2">
      <c r="A11963" s="996" t="str">
        <f>CONCATENATE(Programme!D11964,Programme!E11964,Programme!F11964,Programme!G11964,Programme!H11964,Programme!I11964,Programme!J11964)</f>
        <v>&lt;ValeurCellule&gt;</v>
      </c>
    </row>
    <row r="11964" spans="1:1" x14ac:dyDescent="0.2">
      <c r="A11964" s="996" t="str">
        <f>CONCATENATE(Programme!D11965,Programme!E11965,Programme!F11965,Programme!G11965,Programme!H11965,Programme!I11965,Programme!J11965)</f>
        <v>&lt;cellule&gt;&lt;codeEdi&gt;1082&lt;/codeEdi&gt;&lt;/cellule&gt;</v>
      </c>
    </row>
    <row r="11965" spans="1:1" x14ac:dyDescent="0.2">
      <c r="A11965" s="996" t="str">
        <f>CONCATENATE(Programme!D11966,Programme!E11966,Programme!F11966,Programme!G11966,Programme!H11966,Programme!I11966,Programme!J11966)</f>
        <v>&lt;valeur&gt;&lt;/valeur&gt;</v>
      </c>
    </row>
    <row r="11966" spans="1:1" x14ac:dyDescent="0.2">
      <c r="A11966" s="996" t="str">
        <f>CONCATENATE(Programme!D11967,Programme!E11967,Programme!F11967,Programme!G11967,Programme!H11967,Programme!I11967,Programme!J11967)</f>
        <v>&lt;numeroLigne&gt;76&lt;/numeroLigne&gt;</v>
      </c>
    </row>
    <row r="11967" spans="1:1" x14ac:dyDescent="0.2">
      <c r="A11967" s="996" t="str">
        <f>CONCATENATE(Programme!D11968,Programme!E11968,Programme!F11968,Programme!G11968,Programme!H11968,Programme!I11968,Programme!J11968)</f>
        <v>&lt;/ValeurCellule&gt;</v>
      </c>
    </row>
    <row r="11968" spans="1:1" x14ac:dyDescent="0.2">
      <c r="A11968" s="996" t="str">
        <f>CONCATENATE(Programme!D11969,Programme!E11969,Programme!F11969,Programme!G11969,Programme!H11969,Programme!I11969,Programme!J11969)</f>
        <v>&lt;ValeurCellule&gt;</v>
      </c>
    </row>
    <row r="11969" spans="1:1" x14ac:dyDescent="0.2">
      <c r="A11969" s="996" t="str">
        <f>CONCATENATE(Programme!D11970,Programme!E11970,Programme!F11970,Programme!G11970,Programme!H11970,Programme!I11970,Programme!J11970)</f>
        <v>&lt;cellule&gt;&lt;codeEdi&gt;1083&lt;/codeEdi&gt;&lt;/cellule&gt;</v>
      </c>
    </row>
    <row r="11970" spans="1:1" x14ac:dyDescent="0.2">
      <c r="A11970" s="996" t="str">
        <f>CONCATENATE(Programme!D11971,Programme!E11971,Programme!F11971,Programme!G11971,Programme!H11971,Programme!I11971,Programme!J11971)</f>
        <v>&lt;valeur&gt;&lt;/valeur&gt;</v>
      </c>
    </row>
    <row r="11971" spans="1:1" x14ac:dyDescent="0.2">
      <c r="A11971" s="996" t="str">
        <f>CONCATENATE(Programme!D11972,Programme!E11972,Programme!F11972,Programme!G11972,Programme!H11972,Programme!I11972,Programme!J11972)</f>
        <v>&lt;numeroLigne&gt;76&lt;/numeroLigne&gt;</v>
      </c>
    </row>
    <row r="11972" spans="1:1" x14ac:dyDescent="0.2">
      <c r="A11972" s="996" t="str">
        <f>CONCATENATE(Programme!D11973,Programme!E11973,Programme!F11973,Programme!G11973,Programme!H11973,Programme!I11973,Programme!J11973)</f>
        <v>&lt;/ValeurCellule&gt;</v>
      </c>
    </row>
    <row r="11973" spans="1:1" x14ac:dyDescent="0.2">
      <c r="A11973" s="996" t="str">
        <f>CONCATENATE(Programme!D11974,Programme!E11974,Programme!F11974,Programme!G11974,Programme!H11974,Programme!I11974,Programme!J11974)</f>
        <v>&lt;ValeurCellule&gt;</v>
      </c>
    </row>
    <row r="11974" spans="1:1" x14ac:dyDescent="0.2">
      <c r="A11974" s="996" t="str">
        <f>CONCATENATE(Programme!D11975,Programme!E11975,Programme!F11975,Programme!G11975,Programme!H11975,Programme!I11975,Programme!J11975)</f>
        <v>&lt;cellule&gt;&lt;codeEdi&gt;1084&lt;/codeEdi&gt;&lt;/cellule&gt;</v>
      </c>
    </row>
    <row r="11975" spans="1:1" x14ac:dyDescent="0.2">
      <c r="A11975" s="996" t="str">
        <f>CONCATENATE(Programme!D11976,Programme!E11976,Programme!F11976,Programme!G11976,Programme!H11976,Programme!I11976,Programme!J11976)</f>
        <v>&lt;valeur&gt;&lt;/valeur&gt;</v>
      </c>
    </row>
    <row r="11976" spans="1:1" x14ac:dyDescent="0.2">
      <c r="A11976" s="996" t="str">
        <f>CONCATENATE(Programme!D11977,Programme!E11977,Programme!F11977,Programme!G11977,Programme!H11977,Programme!I11977,Programme!J11977)</f>
        <v>&lt;numeroLigne&gt;76&lt;/numeroLigne&gt;</v>
      </c>
    </row>
    <row r="11977" spans="1:1" x14ac:dyDescent="0.2">
      <c r="A11977" s="996" t="str">
        <f>CONCATENATE(Programme!D11978,Programme!E11978,Programme!F11978,Programme!G11978,Programme!H11978,Programme!I11978,Programme!J11978)</f>
        <v>&lt;/ValeurCellule&gt;</v>
      </c>
    </row>
    <row r="11978" spans="1:1" x14ac:dyDescent="0.2">
      <c r="A11978" s="996" t="str">
        <f>CONCATENATE(Programme!D11979,Programme!E11979,Programme!F11979,Programme!G11979,Programme!H11979,Programme!I11979,Programme!J11979)</f>
        <v>&lt;ValeurCellule&gt;</v>
      </c>
    </row>
    <row r="11979" spans="1:1" x14ac:dyDescent="0.2">
      <c r="A11979" s="996" t="str">
        <f>CONCATENATE(Programme!D11980,Programme!E11980,Programme!F11980,Programme!G11980,Programme!H11980,Programme!I11980,Programme!J11980)</f>
        <v>&lt;cellule&gt;&lt;codeEdi&gt;1085&lt;/codeEdi&gt;&lt;/cellule&gt;</v>
      </c>
    </row>
    <row r="11980" spans="1:1" x14ac:dyDescent="0.2">
      <c r="A11980" s="996" t="str">
        <f>CONCATENATE(Programme!D11981,Programme!E11981,Programme!F11981,Programme!G11981,Programme!H11981,Programme!I11981,Programme!J11981)</f>
        <v>&lt;valeur&gt;&lt;/valeur&gt;</v>
      </c>
    </row>
    <row r="11981" spans="1:1" x14ac:dyDescent="0.2">
      <c r="A11981" s="996" t="str">
        <f>CONCATENATE(Programme!D11982,Programme!E11982,Programme!F11982,Programme!G11982,Programme!H11982,Programme!I11982,Programme!J11982)</f>
        <v>&lt;numeroLigne&gt;76&lt;/numeroLigne&gt;</v>
      </c>
    </row>
    <row r="11982" spans="1:1" x14ac:dyDescent="0.2">
      <c r="A11982" s="996" t="str">
        <f>CONCATENATE(Programme!D11983,Programme!E11983,Programme!F11983,Programme!G11983,Programme!H11983,Programme!I11983,Programme!J11983)</f>
        <v>&lt;/ValeurCellule&gt;</v>
      </c>
    </row>
    <row r="11983" spans="1:1" x14ac:dyDescent="0.2">
      <c r="A11983" s="996" t="str">
        <f>CONCATENATE(Programme!D11984,Programme!E11984,Programme!F11984,Programme!G11984,Programme!H11984,Programme!I11984,Programme!J11984)</f>
        <v>&lt;ValeurCellule&gt;</v>
      </c>
    </row>
    <row r="11984" spans="1:1" x14ac:dyDescent="0.2">
      <c r="A11984" s="996" t="str">
        <f>CONCATENATE(Programme!D11985,Programme!E11985,Programme!F11985,Programme!G11985,Programme!H11985,Programme!I11985,Programme!J11985)</f>
        <v>&lt;cellule&gt;&lt;codeEdi&gt;1086&lt;/codeEdi&gt;&lt;/cellule&gt;</v>
      </c>
    </row>
    <row r="11985" spans="1:1" x14ac:dyDescent="0.2">
      <c r="A11985" s="996" t="str">
        <f>CONCATENATE(Programme!D11986,Programme!E11986,Programme!F11986,Programme!G11986,Programme!H11986,Programme!I11986,Programme!J11986)</f>
        <v>&lt;valeur&gt;&lt;/valeur&gt;</v>
      </c>
    </row>
    <row r="11986" spans="1:1" x14ac:dyDescent="0.2">
      <c r="A11986" s="996" t="str">
        <f>CONCATENATE(Programme!D11987,Programme!E11987,Programme!F11987,Programme!G11987,Programme!H11987,Programme!I11987,Programme!J11987)</f>
        <v>&lt;numeroLigne&gt;76&lt;/numeroLigne&gt;</v>
      </c>
    </row>
    <row r="11987" spans="1:1" x14ac:dyDescent="0.2">
      <c r="A11987" s="996" t="str">
        <f>CONCATENATE(Programme!D11988,Programme!E11988,Programme!F11988,Programme!G11988,Programme!H11988,Programme!I11988,Programme!J11988)</f>
        <v>&lt;/ValeurCellule&gt;</v>
      </c>
    </row>
    <row r="11988" spans="1:1" x14ac:dyDescent="0.2">
      <c r="A11988" s="996" t="str">
        <f>CONCATENATE(Programme!D11989,Programme!E11989,Programme!F11989,Programme!G11989,Programme!H11989,Programme!I11989,Programme!J11989)</f>
        <v>&lt;ValeurCellule&gt;</v>
      </c>
    </row>
    <row r="11989" spans="1:1" x14ac:dyDescent="0.2">
      <c r="A11989" s="996" t="str">
        <f>CONCATENATE(Programme!D11990,Programme!E11990,Programme!F11990,Programme!G11990,Programme!H11990,Programme!I11990,Programme!J11990)</f>
        <v>&lt;cellule&gt;&lt;codeEdi&gt;10061&lt;/codeEdi&gt;&lt;/cellule&gt;</v>
      </c>
    </row>
    <row r="11990" spans="1:1" x14ac:dyDescent="0.2">
      <c r="A11990" s="996" t="str">
        <f>CONCATENATE(Programme!D11991,Programme!E11991,Programme!F11991,Programme!G11991,Programme!H11991,Programme!I11991,Programme!J11991)</f>
        <v>&lt;valeur&gt;&lt;/valeur&gt;</v>
      </c>
    </row>
    <row r="11991" spans="1:1" x14ac:dyDescent="0.2">
      <c r="A11991" s="996" t="str">
        <f>CONCATENATE(Programme!D11992,Programme!E11992,Programme!F11992,Programme!G11992,Programme!H11992,Programme!I11992,Programme!J11992)</f>
        <v>&lt;numeroLigne&gt;77&lt;/numeroLigne&gt;</v>
      </c>
    </row>
    <row r="11992" spans="1:1" x14ac:dyDescent="0.2">
      <c r="A11992" s="996" t="str">
        <f>CONCATENATE(Programme!D11993,Programme!E11993,Programme!F11993,Programme!G11993,Programme!H11993,Programme!I11993,Programme!J11993)</f>
        <v>&lt;/ValeurCellule&gt;</v>
      </c>
    </row>
    <row r="11993" spans="1:1" x14ac:dyDescent="0.2">
      <c r="A11993" s="996" t="str">
        <f>CONCATENATE(Programme!D11994,Programme!E11994,Programme!F11994,Programme!G11994,Programme!H11994,Programme!I11994,Programme!J11994)</f>
        <v>&lt;ValeurCellule&gt;</v>
      </c>
    </row>
    <row r="11994" spans="1:1" x14ac:dyDescent="0.2">
      <c r="A11994" s="996" t="str">
        <f>CONCATENATE(Programme!D11995,Programme!E11995,Programme!F11995,Programme!G11995,Programme!H11995,Programme!I11995,Programme!J11995)</f>
        <v>&lt;cellule&gt;&lt;codeEdi&gt;1078&lt;/codeEdi&gt;&lt;/cellule&gt;</v>
      </c>
    </row>
    <row r="11995" spans="1:1" x14ac:dyDescent="0.2">
      <c r="A11995" s="996" t="str">
        <f>CONCATENATE(Programme!D11996,Programme!E11996,Programme!F11996,Programme!G11996,Programme!H11996,Programme!I11996,Programme!J11996)</f>
        <v>&lt;valeur&gt;&lt;/valeur&gt;</v>
      </c>
    </row>
    <row r="11996" spans="1:1" x14ac:dyDescent="0.2">
      <c r="A11996" s="996" t="str">
        <f>CONCATENATE(Programme!D11997,Programme!E11997,Programme!F11997,Programme!G11997,Programme!H11997,Programme!I11997,Programme!J11997)</f>
        <v>&lt;numeroLigne&gt;77&lt;/numeroLigne&gt;</v>
      </c>
    </row>
    <row r="11997" spans="1:1" x14ac:dyDescent="0.2">
      <c r="A11997" s="996" t="str">
        <f>CONCATENATE(Programme!D11998,Programme!E11998,Programme!F11998,Programme!G11998,Programme!H11998,Programme!I11998,Programme!J11998)</f>
        <v>&lt;/ValeurCellule&gt;</v>
      </c>
    </row>
    <row r="11998" spans="1:1" x14ac:dyDescent="0.2">
      <c r="A11998" s="996" t="str">
        <f>CONCATENATE(Programme!D11999,Programme!E11999,Programme!F11999,Programme!G11999,Programme!H11999,Programme!I11999,Programme!J11999)</f>
        <v>&lt;ValeurCellule&gt;</v>
      </c>
    </row>
    <row r="11999" spans="1:1" x14ac:dyDescent="0.2">
      <c r="A11999" s="996" t="str">
        <f>CONCATENATE(Programme!D12000,Programme!E12000,Programme!F12000,Programme!G12000,Programme!H12000,Programme!I12000,Programme!J12000)</f>
        <v>&lt;cellule&gt;&lt;codeEdi&gt;1079&lt;/codeEdi&gt;&lt;/cellule&gt;</v>
      </c>
    </row>
    <row r="12000" spans="1:1" x14ac:dyDescent="0.2">
      <c r="A12000" s="996" t="str">
        <f>CONCATENATE(Programme!D12001,Programme!E12001,Programme!F12001,Programme!G12001,Programme!H12001,Programme!I12001,Programme!J12001)</f>
        <v>&lt;valeur&gt;&lt;/valeur&gt;</v>
      </c>
    </row>
    <row r="12001" spans="1:1" x14ac:dyDescent="0.2">
      <c r="A12001" s="996" t="str">
        <f>CONCATENATE(Programme!D12002,Programme!E12002,Programme!F12002,Programme!G12002,Programme!H12002,Programme!I12002,Programme!J12002)</f>
        <v>&lt;numeroLigne&gt;77&lt;/numeroLigne&gt;</v>
      </c>
    </row>
    <row r="12002" spans="1:1" x14ac:dyDescent="0.2">
      <c r="A12002" s="996" t="str">
        <f>CONCATENATE(Programme!D12003,Programme!E12003,Programme!F12003,Programme!G12003,Programme!H12003,Programme!I12003,Programme!J12003)</f>
        <v>&lt;/ValeurCellule&gt;</v>
      </c>
    </row>
    <row r="12003" spans="1:1" x14ac:dyDescent="0.2">
      <c r="A12003" s="996" t="str">
        <f>CONCATENATE(Programme!D12004,Programme!E12004,Programme!F12004,Programme!G12004,Programme!H12004,Programme!I12004,Programme!J12004)</f>
        <v>&lt;ValeurCellule&gt;</v>
      </c>
    </row>
    <row r="12004" spans="1:1" x14ac:dyDescent="0.2">
      <c r="A12004" s="996" t="str">
        <f>CONCATENATE(Programme!D12005,Programme!E12005,Programme!F12005,Programme!G12005,Programme!H12005,Programme!I12005,Programme!J12005)</f>
        <v>&lt;cellule&gt;&lt;codeEdi&gt;1080&lt;/codeEdi&gt;&lt;/cellule&gt;</v>
      </c>
    </row>
    <row r="12005" spans="1:1" x14ac:dyDescent="0.2">
      <c r="A12005" s="996" t="str">
        <f>CONCATENATE(Programme!D12006,Programme!E12006,Programme!F12006,Programme!G12006,Programme!H12006,Programme!I12006,Programme!J12006)</f>
        <v>&lt;valeur&gt;&lt;/valeur&gt;</v>
      </c>
    </row>
    <row r="12006" spans="1:1" x14ac:dyDescent="0.2">
      <c r="A12006" s="996" t="str">
        <f>CONCATENATE(Programme!D12007,Programme!E12007,Programme!F12007,Programme!G12007,Programme!H12007,Programme!I12007,Programme!J12007)</f>
        <v>&lt;numeroLigne&gt;77&lt;/numeroLigne&gt;</v>
      </c>
    </row>
    <row r="12007" spans="1:1" x14ac:dyDescent="0.2">
      <c r="A12007" s="996" t="str">
        <f>CONCATENATE(Programme!D12008,Programme!E12008,Programme!F12008,Programme!G12008,Programme!H12008,Programme!I12008,Programme!J12008)</f>
        <v>&lt;/ValeurCellule&gt;</v>
      </c>
    </row>
    <row r="12008" spans="1:1" x14ac:dyDescent="0.2">
      <c r="A12008" s="996" t="str">
        <f>CONCATENATE(Programme!D12009,Programme!E12009,Programme!F12009,Programme!G12009,Programme!H12009,Programme!I12009,Programme!J12009)</f>
        <v>&lt;ValeurCellule&gt;</v>
      </c>
    </row>
    <row r="12009" spans="1:1" x14ac:dyDescent="0.2">
      <c r="A12009" s="996" t="str">
        <f>CONCATENATE(Programme!D12010,Programme!E12010,Programme!F12010,Programme!G12010,Programme!H12010,Programme!I12010,Programme!J12010)</f>
        <v>&lt;cellule&gt;&lt;codeEdi&gt;1081&lt;/codeEdi&gt;&lt;/cellule&gt;</v>
      </c>
    </row>
    <row r="12010" spans="1:1" x14ac:dyDescent="0.2">
      <c r="A12010" s="996" t="str">
        <f>CONCATENATE(Programme!D12011,Programme!E12011,Programme!F12011,Programme!G12011,Programme!H12011,Programme!I12011,Programme!J12011)</f>
        <v>&lt;valeur&gt;&lt;/valeur&gt;</v>
      </c>
    </row>
    <row r="12011" spans="1:1" x14ac:dyDescent="0.2">
      <c r="A12011" s="996" t="str">
        <f>CONCATENATE(Programme!D12012,Programme!E12012,Programme!F12012,Programme!G12012,Programme!H12012,Programme!I12012,Programme!J12012)</f>
        <v>&lt;numeroLigne&gt;77&lt;/numeroLigne&gt;</v>
      </c>
    </row>
    <row r="12012" spans="1:1" x14ac:dyDescent="0.2">
      <c r="A12012" s="996" t="str">
        <f>CONCATENATE(Programme!D12013,Programme!E12013,Programme!F12013,Programme!G12013,Programme!H12013,Programme!I12013,Programme!J12013)</f>
        <v>&lt;/ValeurCellule&gt;</v>
      </c>
    </row>
    <row r="12013" spans="1:1" x14ac:dyDescent="0.2">
      <c r="A12013" s="996" t="str">
        <f>CONCATENATE(Programme!D12014,Programme!E12014,Programme!F12014,Programme!G12014,Programme!H12014,Programme!I12014,Programme!J12014)</f>
        <v>&lt;ValeurCellule&gt;</v>
      </c>
    </row>
    <row r="12014" spans="1:1" x14ac:dyDescent="0.2">
      <c r="A12014" s="996" t="str">
        <f>CONCATENATE(Programme!D12015,Programme!E12015,Programme!F12015,Programme!G12015,Programme!H12015,Programme!I12015,Programme!J12015)</f>
        <v>&lt;cellule&gt;&lt;codeEdi&gt;1082&lt;/codeEdi&gt;&lt;/cellule&gt;</v>
      </c>
    </row>
    <row r="12015" spans="1:1" x14ac:dyDescent="0.2">
      <c r="A12015" s="996" t="str">
        <f>CONCATENATE(Programme!D12016,Programme!E12016,Programme!F12016,Programme!G12016,Programme!H12016,Programme!I12016,Programme!J12016)</f>
        <v>&lt;valeur&gt;&lt;/valeur&gt;</v>
      </c>
    </row>
    <row r="12016" spans="1:1" x14ac:dyDescent="0.2">
      <c r="A12016" s="996" t="str">
        <f>CONCATENATE(Programme!D12017,Programme!E12017,Programme!F12017,Programme!G12017,Programme!H12017,Programme!I12017,Programme!J12017)</f>
        <v>&lt;numeroLigne&gt;77&lt;/numeroLigne&gt;</v>
      </c>
    </row>
    <row r="12017" spans="1:1" x14ac:dyDescent="0.2">
      <c r="A12017" s="996" t="str">
        <f>CONCATENATE(Programme!D12018,Programme!E12018,Programme!F12018,Programme!G12018,Programme!H12018,Programme!I12018,Programme!J12018)</f>
        <v>&lt;/ValeurCellule&gt;</v>
      </c>
    </row>
    <row r="12018" spans="1:1" x14ac:dyDescent="0.2">
      <c r="A12018" s="996" t="str">
        <f>CONCATENATE(Programme!D12019,Programme!E12019,Programme!F12019,Programme!G12019,Programme!H12019,Programme!I12019,Programme!J12019)</f>
        <v>&lt;ValeurCellule&gt;</v>
      </c>
    </row>
    <row r="12019" spans="1:1" x14ac:dyDescent="0.2">
      <c r="A12019" s="996" t="str">
        <f>CONCATENATE(Programme!D12020,Programme!E12020,Programme!F12020,Programme!G12020,Programme!H12020,Programme!I12020,Programme!J12020)</f>
        <v>&lt;cellule&gt;&lt;codeEdi&gt;1083&lt;/codeEdi&gt;&lt;/cellule&gt;</v>
      </c>
    </row>
    <row r="12020" spans="1:1" x14ac:dyDescent="0.2">
      <c r="A12020" s="996" t="str">
        <f>CONCATENATE(Programme!D12021,Programme!E12021,Programme!F12021,Programme!G12021,Programme!H12021,Programme!I12021,Programme!J12021)</f>
        <v>&lt;valeur&gt;&lt;/valeur&gt;</v>
      </c>
    </row>
    <row r="12021" spans="1:1" x14ac:dyDescent="0.2">
      <c r="A12021" s="996" t="str">
        <f>CONCATENATE(Programme!D12022,Programme!E12022,Programme!F12022,Programme!G12022,Programme!H12022,Programme!I12022,Programme!J12022)</f>
        <v>&lt;numeroLigne&gt;77&lt;/numeroLigne&gt;</v>
      </c>
    </row>
    <row r="12022" spans="1:1" x14ac:dyDescent="0.2">
      <c r="A12022" s="996" t="str">
        <f>CONCATENATE(Programme!D12023,Programme!E12023,Programme!F12023,Programme!G12023,Programme!H12023,Programme!I12023,Programme!J12023)</f>
        <v>&lt;/ValeurCellule&gt;</v>
      </c>
    </row>
    <row r="12023" spans="1:1" x14ac:dyDescent="0.2">
      <c r="A12023" s="996" t="str">
        <f>CONCATENATE(Programme!D12024,Programme!E12024,Programme!F12024,Programme!G12024,Programme!H12024,Programme!I12024,Programme!J12024)</f>
        <v>&lt;ValeurCellule&gt;</v>
      </c>
    </row>
    <row r="12024" spans="1:1" x14ac:dyDescent="0.2">
      <c r="A12024" s="996" t="str">
        <f>CONCATENATE(Programme!D12025,Programme!E12025,Programme!F12025,Programme!G12025,Programme!H12025,Programme!I12025,Programme!J12025)</f>
        <v>&lt;cellule&gt;&lt;codeEdi&gt;1084&lt;/codeEdi&gt;&lt;/cellule&gt;</v>
      </c>
    </row>
    <row r="12025" spans="1:1" x14ac:dyDescent="0.2">
      <c r="A12025" s="996" t="str">
        <f>CONCATENATE(Programme!D12026,Programme!E12026,Programme!F12026,Programme!G12026,Programme!H12026,Programme!I12026,Programme!J12026)</f>
        <v>&lt;valeur&gt;&lt;/valeur&gt;</v>
      </c>
    </row>
    <row r="12026" spans="1:1" x14ac:dyDescent="0.2">
      <c r="A12026" s="996" t="str">
        <f>CONCATENATE(Programme!D12027,Programme!E12027,Programme!F12027,Programme!G12027,Programme!H12027,Programme!I12027,Programme!J12027)</f>
        <v>&lt;numeroLigne&gt;77&lt;/numeroLigne&gt;</v>
      </c>
    </row>
    <row r="12027" spans="1:1" x14ac:dyDescent="0.2">
      <c r="A12027" s="996" t="str">
        <f>CONCATENATE(Programme!D12028,Programme!E12028,Programme!F12028,Programme!G12028,Programme!H12028,Programme!I12028,Programme!J12028)</f>
        <v>&lt;/ValeurCellule&gt;</v>
      </c>
    </row>
    <row r="12028" spans="1:1" x14ac:dyDescent="0.2">
      <c r="A12028" s="996" t="str">
        <f>CONCATENATE(Programme!D12029,Programme!E12029,Programme!F12029,Programme!G12029,Programme!H12029,Programme!I12029,Programme!J12029)</f>
        <v>&lt;ValeurCellule&gt;</v>
      </c>
    </row>
    <row r="12029" spans="1:1" x14ac:dyDescent="0.2">
      <c r="A12029" s="996" t="str">
        <f>CONCATENATE(Programme!D12030,Programme!E12030,Programme!F12030,Programme!G12030,Programme!H12030,Programme!I12030,Programme!J12030)</f>
        <v>&lt;cellule&gt;&lt;codeEdi&gt;1085&lt;/codeEdi&gt;&lt;/cellule&gt;</v>
      </c>
    </row>
    <row r="12030" spans="1:1" x14ac:dyDescent="0.2">
      <c r="A12030" s="996" t="str">
        <f>CONCATENATE(Programme!D12031,Programme!E12031,Programme!F12031,Programme!G12031,Programme!H12031,Programme!I12031,Programme!J12031)</f>
        <v>&lt;valeur&gt;&lt;/valeur&gt;</v>
      </c>
    </row>
    <row r="12031" spans="1:1" x14ac:dyDescent="0.2">
      <c r="A12031" s="996" t="str">
        <f>CONCATENATE(Programme!D12032,Programme!E12032,Programme!F12032,Programme!G12032,Programme!H12032,Programme!I12032,Programme!J12032)</f>
        <v>&lt;numeroLigne&gt;77&lt;/numeroLigne&gt;</v>
      </c>
    </row>
    <row r="12032" spans="1:1" x14ac:dyDescent="0.2">
      <c r="A12032" s="996" t="str">
        <f>CONCATENATE(Programme!D12033,Programme!E12033,Programme!F12033,Programme!G12033,Programme!H12033,Programme!I12033,Programme!J12033)</f>
        <v>&lt;/ValeurCellule&gt;</v>
      </c>
    </row>
    <row r="12033" spans="1:1" x14ac:dyDescent="0.2">
      <c r="A12033" s="996" t="str">
        <f>CONCATENATE(Programme!D12034,Programme!E12034,Programme!F12034,Programme!G12034,Programme!H12034,Programme!I12034,Programme!J12034)</f>
        <v>&lt;ValeurCellule&gt;</v>
      </c>
    </row>
    <row r="12034" spans="1:1" x14ac:dyDescent="0.2">
      <c r="A12034" s="996" t="str">
        <f>CONCATENATE(Programme!D12035,Programme!E12035,Programme!F12035,Programme!G12035,Programme!H12035,Programme!I12035,Programme!J12035)</f>
        <v>&lt;cellule&gt;&lt;codeEdi&gt;1086&lt;/codeEdi&gt;&lt;/cellule&gt;</v>
      </c>
    </row>
    <row r="12035" spans="1:1" x14ac:dyDescent="0.2">
      <c r="A12035" s="996" t="str">
        <f>CONCATENATE(Programme!D12036,Programme!E12036,Programme!F12036,Programme!G12036,Programme!H12036,Programme!I12036,Programme!J12036)</f>
        <v>&lt;valeur&gt;&lt;/valeur&gt;</v>
      </c>
    </row>
    <row r="12036" spans="1:1" x14ac:dyDescent="0.2">
      <c r="A12036" s="996" t="str">
        <f>CONCATENATE(Programme!D12037,Programme!E12037,Programme!F12037,Programme!G12037,Programme!H12037,Programme!I12037,Programme!J12037)</f>
        <v>&lt;numeroLigne&gt;77&lt;/numeroLigne&gt;</v>
      </c>
    </row>
    <row r="12037" spans="1:1" x14ac:dyDescent="0.2">
      <c r="A12037" s="996" t="str">
        <f>CONCATENATE(Programme!D12038,Programme!E12038,Programme!F12038,Programme!G12038,Programme!H12038,Programme!I12038,Programme!J12038)</f>
        <v>&lt;/ValeurCellule&gt;</v>
      </c>
    </row>
    <row r="12038" spans="1:1" x14ac:dyDescent="0.2">
      <c r="A12038" s="996" t="str">
        <f>CONCATENATE(Programme!D12039,Programme!E12039,Programme!F12039,Programme!G12039,Programme!H12039,Programme!I12039,Programme!J12039)</f>
        <v>&lt;ValeurCellule&gt;</v>
      </c>
    </row>
    <row r="12039" spans="1:1" x14ac:dyDescent="0.2">
      <c r="A12039" s="996" t="str">
        <f>CONCATENATE(Programme!D12040,Programme!E12040,Programme!F12040,Programme!G12040,Programme!H12040,Programme!I12040,Programme!J12040)</f>
        <v>&lt;cellule&gt;&lt;codeEdi&gt;10061&lt;/codeEdi&gt;&lt;/cellule&gt;</v>
      </c>
    </row>
    <row r="12040" spans="1:1" x14ac:dyDescent="0.2">
      <c r="A12040" s="996" t="str">
        <f>CONCATENATE(Programme!D12041,Programme!E12041,Programme!F12041,Programme!G12041,Programme!H12041,Programme!I12041,Programme!J12041)</f>
        <v>&lt;valeur&gt;&lt;/valeur&gt;</v>
      </c>
    </row>
    <row r="12041" spans="1:1" x14ac:dyDescent="0.2">
      <c r="A12041" s="996" t="str">
        <f>CONCATENATE(Programme!D12042,Programme!E12042,Programme!F12042,Programme!G12042,Programme!H12042,Programme!I12042,Programme!J12042)</f>
        <v>&lt;numeroLigne&gt;78&lt;/numeroLigne&gt;</v>
      </c>
    </row>
    <row r="12042" spans="1:1" x14ac:dyDescent="0.2">
      <c r="A12042" s="996" t="str">
        <f>CONCATENATE(Programme!D12043,Programme!E12043,Programme!F12043,Programme!G12043,Programme!H12043,Programme!I12043,Programme!J12043)</f>
        <v>&lt;/ValeurCellule&gt;</v>
      </c>
    </row>
    <row r="12043" spans="1:1" x14ac:dyDescent="0.2">
      <c r="A12043" s="996" t="str">
        <f>CONCATENATE(Programme!D12044,Programme!E12044,Programme!F12044,Programme!G12044,Programme!H12044,Programme!I12044,Programme!J12044)</f>
        <v>&lt;ValeurCellule&gt;</v>
      </c>
    </row>
    <row r="12044" spans="1:1" x14ac:dyDescent="0.2">
      <c r="A12044" s="996" t="str">
        <f>CONCATENATE(Programme!D12045,Programme!E12045,Programme!F12045,Programme!G12045,Programme!H12045,Programme!I12045,Programme!J12045)</f>
        <v>&lt;cellule&gt;&lt;codeEdi&gt;1078&lt;/codeEdi&gt;&lt;/cellule&gt;</v>
      </c>
    </row>
    <row r="12045" spans="1:1" x14ac:dyDescent="0.2">
      <c r="A12045" s="996" t="str">
        <f>CONCATENATE(Programme!D12046,Programme!E12046,Programme!F12046,Programme!G12046,Programme!H12046,Programme!I12046,Programme!J12046)</f>
        <v>&lt;valeur&gt;&lt;/valeur&gt;</v>
      </c>
    </row>
    <row r="12046" spans="1:1" x14ac:dyDescent="0.2">
      <c r="A12046" s="996" t="str">
        <f>CONCATENATE(Programme!D12047,Programme!E12047,Programme!F12047,Programme!G12047,Programme!H12047,Programme!I12047,Programme!J12047)</f>
        <v>&lt;numeroLigne&gt;78&lt;/numeroLigne&gt;</v>
      </c>
    </row>
    <row r="12047" spans="1:1" x14ac:dyDescent="0.2">
      <c r="A12047" s="996" t="str">
        <f>CONCATENATE(Programme!D12048,Programme!E12048,Programme!F12048,Programme!G12048,Programme!H12048,Programme!I12048,Programme!J12048)</f>
        <v>&lt;/ValeurCellule&gt;</v>
      </c>
    </row>
    <row r="12048" spans="1:1" x14ac:dyDescent="0.2">
      <c r="A12048" s="996" t="str">
        <f>CONCATENATE(Programme!D12049,Programme!E12049,Programme!F12049,Programme!G12049,Programme!H12049,Programme!I12049,Programme!J12049)</f>
        <v>&lt;ValeurCellule&gt;</v>
      </c>
    </row>
    <row r="12049" spans="1:1" x14ac:dyDescent="0.2">
      <c r="A12049" s="996" t="str">
        <f>CONCATENATE(Programme!D12050,Programme!E12050,Programme!F12050,Programme!G12050,Programme!H12050,Programme!I12050,Programme!J12050)</f>
        <v>&lt;cellule&gt;&lt;codeEdi&gt;1079&lt;/codeEdi&gt;&lt;/cellule&gt;</v>
      </c>
    </row>
    <row r="12050" spans="1:1" x14ac:dyDescent="0.2">
      <c r="A12050" s="996" t="str">
        <f>CONCATENATE(Programme!D12051,Programme!E12051,Programme!F12051,Programme!G12051,Programme!H12051,Programme!I12051,Programme!J12051)</f>
        <v>&lt;valeur&gt;&lt;/valeur&gt;</v>
      </c>
    </row>
    <row r="12051" spans="1:1" x14ac:dyDescent="0.2">
      <c r="A12051" s="996" t="str">
        <f>CONCATENATE(Programme!D12052,Programme!E12052,Programme!F12052,Programme!G12052,Programme!H12052,Programme!I12052,Programme!J12052)</f>
        <v>&lt;numeroLigne&gt;78&lt;/numeroLigne&gt;</v>
      </c>
    </row>
    <row r="12052" spans="1:1" x14ac:dyDescent="0.2">
      <c r="A12052" s="996" t="str">
        <f>CONCATENATE(Programme!D12053,Programme!E12053,Programme!F12053,Programme!G12053,Programme!H12053,Programme!I12053,Programme!J12053)</f>
        <v>&lt;/ValeurCellule&gt;</v>
      </c>
    </row>
    <row r="12053" spans="1:1" x14ac:dyDescent="0.2">
      <c r="A12053" s="996" t="str">
        <f>CONCATENATE(Programme!D12054,Programme!E12054,Programme!F12054,Programme!G12054,Programme!H12054,Programme!I12054,Programme!J12054)</f>
        <v>&lt;ValeurCellule&gt;</v>
      </c>
    </row>
    <row r="12054" spans="1:1" x14ac:dyDescent="0.2">
      <c r="A12054" s="996" t="str">
        <f>CONCATENATE(Programme!D12055,Programme!E12055,Programme!F12055,Programme!G12055,Programme!H12055,Programme!I12055,Programme!J12055)</f>
        <v>&lt;cellule&gt;&lt;codeEdi&gt;1080&lt;/codeEdi&gt;&lt;/cellule&gt;</v>
      </c>
    </row>
    <row r="12055" spans="1:1" x14ac:dyDescent="0.2">
      <c r="A12055" s="996" t="str">
        <f>CONCATENATE(Programme!D12056,Programme!E12056,Programme!F12056,Programme!G12056,Programme!H12056,Programme!I12056,Programme!J12056)</f>
        <v>&lt;valeur&gt;&lt;/valeur&gt;</v>
      </c>
    </row>
    <row r="12056" spans="1:1" x14ac:dyDescent="0.2">
      <c r="A12056" s="996" t="str">
        <f>CONCATENATE(Programme!D12057,Programme!E12057,Programme!F12057,Programme!G12057,Programme!H12057,Programme!I12057,Programme!J12057)</f>
        <v>&lt;numeroLigne&gt;78&lt;/numeroLigne&gt;</v>
      </c>
    </row>
    <row r="12057" spans="1:1" x14ac:dyDescent="0.2">
      <c r="A12057" s="996" t="str">
        <f>CONCATENATE(Programme!D12058,Programme!E12058,Programme!F12058,Programme!G12058,Programme!H12058,Programme!I12058,Programme!J12058)</f>
        <v>&lt;/ValeurCellule&gt;</v>
      </c>
    </row>
    <row r="12058" spans="1:1" x14ac:dyDescent="0.2">
      <c r="A12058" s="996" t="str">
        <f>CONCATENATE(Programme!D12059,Programme!E12059,Programme!F12059,Programme!G12059,Programme!H12059,Programme!I12059,Programme!J12059)</f>
        <v>&lt;ValeurCellule&gt;</v>
      </c>
    </row>
    <row r="12059" spans="1:1" x14ac:dyDescent="0.2">
      <c r="A12059" s="996" t="str">
        <f>CONCATENATE(Programme!D12060,Programme!E12060,Programme!F12060,Programme!G12060,Programme!H12060,Programme!I12060,Programme!J12060)</f>
        <v>&lt;cellule&gt;&lt;codeEdi&gt;1081&lt;/codeEdi&gt;&lt;/cellule&gt;</v>
      </c>
    </row>
    <row r="12060" spans="1:1" x14ac:dyDescent="0.2">
      <c r="A12060" s="996" t="str">
        <f>CONCATENATE(Programme!D12061,Programme!E12061,Programme!F12061,Programme!G12061,Programme!H12061,Programme!I12061,Programme!J12061)</f>
        <v>&lt;valeur&gt;&lt;/valeur&gt;</v>
      </c>
    </row>
    <row r="12061" spans="1:1" x14ac:dyDescent="0.2">
      <c r="A12061" s="996" t="str">
        <f>CONCATENATE(Programme!D12062,Programme!E12062,Programme!F12062,Programme!G12062,Programme!H12062,Programme!I12062,Programme!J12062)</f>
        <v>&lt;numeroLigne&gt;78&lt;/numeroLigne&gt;</v>
      </c>
    </row>
    <row r="12062" spans="1:1" x14ac:dyDescent="0.2">
      <c r="A12062" s="996" t="str">
        <f>CONCATENATE(Programme!D12063,Programme!E12063,Programme!F12063,Programme!G12063,Programme!H12063,Programme!I12063,Programme!J12063)</f>
        <v>&lt;/ValeurCellule&gt;</v>
      </c>
    </row>
    <row r="12063" spans="1:1" x14ac:dyDescent="0.2">
      <c r="A12063" s="996" t="str">
        <f>CONCATENATE(Programme!D12064,Programme!E12064,Programme!F12064,Programme!G12064,Programme!H12064,Programme!I12064,Programme!J12064)</f>
        <v>&lt;ValeurCellule&gt;</v>
      </c>
    </row>
    <row r="12064" spans="1:1" x14ac:dyDescent="0.2">
      <c r="A12064" s="996" t="str">
        <f>CONCATENATE(Programme!D12065,Programme!E12065,Programme!F12065,Programme!G12065,Programme!H12065,Programme!I12065,Programme!J12065)</f>
        <v>&lt;cellule&gt;&lt;codeEdi&gt;1082&lt;/codeEdi&gt;&lt;/cellule&gt;</v>
      </c>
    </row>
    <row r="12065" spans="1:1" x14ac:dyDescent="0.2">
      <c r="A12065" s="996" t="str">
        <f>CONCATENATE(Programme!D12066,Programme!E12066,Programme!F12066,Programme!G12066,Programme!H12066,Programme!I12066,Programme!J12066)</f>
        <v>&lt;valeur&gt;&lt;/valeur&gt;</v>
      </c>
    </row>
    <row r="12066" spans="1:1" x14ac:dyDescent="0.2">
      <c r="A12066" s="996" t="str">
        <f>CONCATENATE(Programme!D12067,Programme!E12067,Programme!F12067,Programme!G12067,Programme!H12067,Programme!I12067,Programme!J12067)</f>
        <v>&lt;numeroLigne&gt;78&lt;/numeroLigne&gt;</v>
      </c>
    </row>
    <row r="12067" spans="1:1" x14ac:dyDescent="0.2">
      <c r="A12067" s="996" t="str">
        <f>CONCATENATE(Programme!D12068,Programme!E12068,Programme!F12068,Programme!G12068,Programme!H12068,Programme!I12068,Programme!J12068)</f>
        <v>&lt;/ValeurCellule&gt;</v>
      </c>
    </row>
    <row r="12068" spans="1:1" x14ac:dyDescent="0.2">
      <c r="A12068" s="996" t="str">
        <f>CONCATENATE(Programme!D12069,Programme!E12069,Programme!F12069,Programme!G12069,Programme!H12069,Programme!I12069,Programme!J12069)</f>
        <v>&lt;ValeurCellule&gt;</v>
      </c>
    </row>
    <row r="12069" spans="1:1" x14ac:dyDescent="0.2">
      <c r="A12069" s="996" t="str">
        <f>CONCATENATE(Programme!D12070,Programme!E12070,Programme!F12070,Programme!G12070,Programme!H12070,Programme!I12070,Programme!J12070)</f>
        <v>&lt;cellule&gt;&lt;codeEdi&gt;1083&lt;/codeEdi&gt;&lt;/cellule&gt;</v>
      </c>
    </row>
    <row r="12070" spans="1:1" x14ac:dyDescent="0.2">
      <c r="A12070" s="996" t="str">
        <f>CONCATENATE(Programme!D12071,Programme!E12071,Programme!F12071,Programme!G12071,Programme!H12071,Programme!I12071,Programme!J12071)</f>
        <v>&lt;valeur&gt;&lt;/valeur&gt;</v>
      </c>
    </row>
    <row r="12071" spans="1:1" x14ac:dyDescent="0.2">
      <c r="A12071" s="996" t="str">
        <f>CONCATENATE(Programme!D12072,Programme!E12072,Programme!F12072,Programme!G12072,Programme!H12072,Programme!I12072,Programme!J12072)</f>
        <v>&lt;numeroLigne&gt;78&lt;/numeroLigne&gt;</v>
      </c>
    </row>
    <row r="12072" spans="1:1" x14ac:dyDescent="0.2">
      <c r="A12072" s="996" t="str">
        <f>CONCATENATE(Programme!D12073,Programme!E12073,Programme!F12073,Programme!G12073,Programme!H12073,Programme!I12073,Programme!J12073)</f>
        <v>&lt;/ValeurCellule&gt;</v>
      </c>
    </row>
    <row r="12073" spans="1:1" x14ac:dyDescent="0.2">
      <c r="A12073" s="996" t="str">
        <f>CONCATENATE(Programme!D12074,Programme!E12074,Programme!F12074,Programme!G12074,Programme!H12074,Programme!I12074,Programme!J12074)</f>
        <v>&lt;ValeurCellule&gt;</v>
      </c>
    </row>
    <row r="12074" spans="1:1" x14ac:dyDescent="0.2">
      <c r="A12074" s="996" t="str">
        <f>CONCATENATE(Programme!D12075,Programme!E12075,Programme!F12075,Programme!G12075,Programme!H12075,Programme!I12075,Programme!J12075)</f>
        <v>&lt;cellule&gt;&lt;codeEdi&gt;1084&lt;/codeEdi&gt;&lt;/cellule&gt;</v>
      </c>
    </row>
    <row r="12075" spans="1:1" x14ac:dyDescent="0.2">
      <c r="A12075" s="996" t="str">
        <f>CONCATENATE(Programme!D12076,Programme!E12076,Programme!F12076,Programme!G12076,Programme!H12076,Programme!I12076,Programme!J12076)</f>
        <v>&lt;valeur&gt;&lt;/valeur&gt;</v>
      </c>
    </row>
    <row r="12076" spans="1:1" x14ac:dyDescent="0.2">
      <c r="A12076" s="996" t="str">
        <f>CONCATENATE(Programme!D12077,Programme!E12077,Programme!F12077,Programme!G12077,Programme!H12077,Programme!I12077,Programme!J12077)</f>
        <v>&lt;numeroLigne&gt;78&lt;/numeroLigne&gt;</v>
      </c>
    </row>
    <row r="12077" spans="1:1" x14ac:dyDescent="0.2">
      <c r="A12077" s="996" t="str">
        <f>CONCATENATE(Programme!D12078,Programme!E12078,Programme!F12078,Programme!G12078,Programme!H12078,Programme!I12078,Programme!J12078)</f>
        <v>&lt;/ValeurCellule&gt;</v>
      </c>
    </row>
    <row r="12078" spans="1:1" x14ac:dyDescent="0.2">
      <c r="A12078" s="996" t="str">
        <f>CONCATENATE(Programme!D12079,Programme!E12079,Programme!F12079,Programme!G12079,Programme!H12079,Programme!I12079,Programme!J12079)</f>
        <v>&lt;ValeurCellule&gt;</v>
      </c>
    </row>
    <row r="12079" spans="1:1" x14ac:dyDescent="0.2">
      <c r="A12079" s="996" t="str">
        <f>CONCATENATE(Programme!D12080,Programme!E12080,Programme!F12080,Programme!G12080,Programme!H12080,Programme!I12080,Programme!J12080)</f>
        <v>&lt;cellule&gt;&lt;codeEdi&gt;1085&lt;/codeEdi&gt;&lt;/cellule&gt;</v>
      </c>
    </row>
    <row r="12080" spans="1:1" x14ac:dyDescent="0.2">
      <c r="A12080" s="996" t="str">
        <f>CONCATENATE(Programme!D12081,Programme!E12081,Programme!F12081,Programme!G12081,Programme!H12081,Programme!I12081,Programme!J12081)</f>
        <v>&lt;valeur&gt;&lt;/valeur&gt;</v>
      </c>
    </row>
    <row r="12081" spans="1:1" x14ac:dyDescent="0.2">
      <c r="A12081" s="996" t="str">
        <f>CONCATENATE(Programme!D12082,Programme!E12082,Programme!F12082,Programme!G12082,Programme!H12082,Programme!I12082,Programme!J12082)</f>
        <v>&lt;numeroLigne&gt;78&lt;/numeroLigne&gt;</v>
      </c>
    </row>
    <row r="12082" spans="1:1" x14ac:dyDescent="0.2">
      <c r="A12082" s="996" t="str">
        <f>CONCATENATE(Programme!D12083,Programme!E12083,Programme!F12083,Programme!G12083,Programme!H12083,Programme!I12083,Programme!J12083)</f>
        <v>&lt;/ValeurCellule&gt;</v>
      </c>
    </row>
    <row r="12083" spans="1:1" x14ac:dyDescent="0.2">
      <c r="A12083" s="996" t="str">
        <f>CONCATENATE(Programme!D12084,Programme!E12084,Programme!F12084,Programme!G12084,Programme!H12084,Programme!I12084,Programme!J12084)</f>
        <v>&lt;ValeurCellule&gt;</v>
      </c>
    </row>
    <row r="12084" spans="1:1" x14ac:dyDescent="0.2">
      <c r="A12084" s="996" t="str">
        <f>CONCATENATE(Programme!D12085,Programme!E12085,Programme!F12085,Programme!G12085,Programme!H12085,Programme!I12085,Programme!J12085)</f>
        <v>&lt;cellule&gt;&lt;codeEdi&gt;1086&lt;/codeEdi&gt;&lt;/cellule&gt;</v>
      </c>
    </row>
    <row r="12085" spans="1:1" x14ac:dyDescent="0.2">
      <c r="A12085" s="996" t="str">
        <f>CONCATENATE(Programme!D12086,Programme!E12086,Programme!F12086,Programme!G12086,Programme!H12086,Programme!I12086,Programme!J12086)</f>
        <v>&lt;valeur&gt;&lt;/valeur&gt;</v>
      </c>
    </row>
    <row r="12086" spans="1:1" x14ac:dyDescent="0.2">
      <c r="A12086" s="996" t="str">
        <f>CONCATENATE(Programme!D12087,Programme!E12087,Programme!F12087,Programme!G12087,Programme!H12087,Programme!I12087,Programme!J12087)</f>
        <v>&lt;numeroLigne&gt;78&lt;/numeroLigne&gt;</v>
      </c>
    </row>
    <row r="12087" spans="1:1" x14ac:dyDescent="0.2">
      <c r="A12087" s="996" t="str">
        <f>CONCATENATE(Programme!D12088,Programme!E12088,Programme!F12088,Programme!G12088,Programme!H12088,Programme!I12088,Programme!J12088)</f>
        <v>&lt;/ValeurCellule&gt;</v>
      </c>
    </row>
    <row r="12088" spans="1:1" x14ac:dyDescent="0.2">
      <c r="A12088" s="996" t="str">
        <f>CONCATENATE(Programme!D12089,Programme!E12089,Programme!F12089,Programme!G12089,Programme!H12089,Programme!I12089,Programme!J12089)</f>
        <v>&lt;ValeurCellule&gt;</v>
      </c>
    </row>
    <row r="12089" spans="1:1" x14ac:dyDescent="0.2">
      <c r="A12089" s="996" t="str">
        <f>CONCATENATE(Programme!D12090,Programme!E12090,Programme!F12090,Programme!G12090,Programme!H12090,Programme!I12090,Programme!J12090)</f>
        <v>&lt;cellule&gt;&lt;codeEdi&gt;10061&lt;/codeEdi&gt;&lt;/cellule&gt;</v>
      </c>
    </row>
    <row r="12090" spans="1:1" x14ac:dyDescent="0.2">
      <c r="A12090" s="996" t="str">
        <f>CONCATENATE(Programme!D12091,Programme!E12091,Programme!F12091,Programme!G12091,Programme!H12091,Programme!I12091,Programme!J12091)</f>
        <v>&lt;valeur&gt;&lt;/valeur&gt;</v>
      </c>
    </row>
    <row r="12091" spans="1:1" x14ac:dyDescent="0.2">
      <c r="A12091" s="996" t="str">
        <f>CONCATENATE(Programme!D12092,Programme!E12092,Programme!F12092,Programme!G12092,Programme!H12092,Programme!I12092,Programme!J12092)</f>
        <v>&lt;numeroLigne&gt;79&lt;/numeroLigne&gt;</v>
      </c>
    </row>
    <row r="12092" spans="1:1" x14ac:dyDescent="0.2">
      <c r="A12092" s="996" t="str">
        <f>CONCATENATE(Programme!D12093,Programme!E12093,Programme!F12093,Programme!G12093,Programme!H12093,Programme!I12093,Programme!J12093)</f>
        <v>&lt;/ValeurCellule&gt;</v>
      </c>
    </row>
    <row r="12093" spans="1:1" x14ac:dyDescent="0.2">
      <c r="A12093" s="996" t="str">
        <f>CONCATENATE(Programme!D12094,Programme!E12094,Programme!F12094,Programme!G12094,Programme!H12094,Programme!I12094,Programme!J12094)</f>
        <v>&lt;ValeurCellule&gt;</v>
      </c>
    </row>
    <row r="12094" spans="1:1" x14ac:dyDescent="0.2">
      <c r="A12094" s="996" t="str">
        <f>CONCATENATE(Programme!D12095,Programme!E12095,Programme!F12095,Programme!G12095,Programme!H12095,Programme!I12095,Programme!J12095)</f>
        <v>&lt;cellule&gt;&lt;codeEdi&gt;1078&lt;/codeEdi&gt;&lt;/cellule&gt;</v>
      </c>
    </row>
    <row r="12095" spans="1:1" x14ac:dyDescent="0.2">
      <c r="A12095" s="996" t="str">
        <f>CONCATENATE(Programme!D12096,Programme!E12096,Programme!F12096,Programme!G12096,Programme!H12096,Programme!I12096,Programme!J12096)</f>
        <v>&lt;valeur&gt;&lt;/valeur&gt;</v>
      </c>
    </row>
    <row r="12096" spans="1:1" x14ac:dyDescent="0.2">
      <c r="A12096" s="996" t="str">
        <f>CONCATENATE(Programme!D12097,Programme!E12097,Programme!F12097,Programme!G12097,Programme!H12097,Programme!I12097,Programme!J12097)</f>
        <v>&lt;numeroLigne&gt;79&lt;/numeroLigne&gt;</v>
      </c>
    </row>
    <row r="12097" spans="1:1" x14ac:dyDescent="0.2">
      <c r="A12097" s="996" t="str">
        <f>CONCATENATE(Programme!D12098,Programme!E12098,Programme!F12098,Programme!G12098,Programme!H12098,Programme!I12098,Programme!J12098)</f>
        <v>&lt;/ValeurCellule&gt;</v>
      </c>
    </row>
    <row r="12098" spans="1:1" x14ac:dyDescent="0.2">
      <c r="A12098" s="996" t="str">
        <f>CONCATENATE(Programme!D12099,Programme!E12099,Programme!F12099,Programme!G12099,Programme!H12099,Programme!I12099,Programme!J12099)</f>
        <v>&lt;ValeurCellule&gt;</v>
      </c>
    </row>
    <row r="12099" spans="1:1" x14ac:dyDescent="0.2">
      <c r="A12099" s="996" t="str">
        <f>CONCATENATE(Programme!D12100,Programme!E12100,Programme!F12100,Programme!G12100,Programme!H12100,Programme!I12100,Programme!J12100)</f>
        <v>&lt;cellule&gt;&lt;codeEdi&gt;1079&lt;/codeEdi&gt;&lt;/cellule&gt;</v>
      </c>
    </row>
    <row r="12100" spans="1:1" x14ac:dyDescent="0.2">
      <c r="A12100" s="996" t="str">
        <f>CONCATENATE(Programme!D12101,Programme!E12101,Programme!F12101,Programme!G12101,Programme!H12101,Programme!I12101,Programme!J12101)</f>
        <v>&lt;valeur&gt;&lt;/valeur&gt;</v>
      </c>
    </row>
    <row r="12101" spans="1:1" x14ac:dyDescent="0.2">
      <c r="A12101" s="996" t="str">
        <f>CONCATENATE(Programme!D12102,Programme!E12102,Programme!F12102,Programme!G12102,Programme!H12102,Programme!I12102,Programme!J12102)</f>
        <v>&lt;numeroLigne&gt;79&lt;/numeroLigne&gt;</v>
      </c>
    </row>
    <row r="12102" spans="1:1" x14ac:dyDescent="0.2">
      <c r="A12102" s="996" t="str">
        <f>CONCATENATE(Programme!D12103,Programme!E12103,Programme!F12103,Programme!G12103,Programme!H12103,Programme!I12103,Programme!J12103)</f>
        <v>&lt;/ValeurCellule&gt;</v>
      </c>
    </row>
    <row r="12103" spans="1:1" x14ac:dyDescent="0.2">
      <c r="A12103" s="996" t="str">
        <f>CONCATENATE(Programme!D12104,Programme!E12104,Programme!F12104,Programme!G12104,Programme!H12104,Programme!I12104,Programme!J12104)</f>
        <v>&lt;ValeurCellule&gt;</v>
      </c>
    </row>
    <row r="12104" spans="1:1" x14ac:dyDescent="0.2">
      <c r="A12104" s="996" t="str">
        <f>CONCATENATE(Programme!D12105,Programme!E12105,Programme!F12105,Programme!G12105,Programme!H12105,Programme!I12105,Programme!J12105)</f>
        <v>&lt;cellule&gt;&lt;codeEdi&gt;1080&lt;/codeEdi&gt;&lt;/cellule&gt;</v>
      </c>
    </row>
    <row r="12105" spans="1:1" x14ac:dyDescent="0.2">
      <c r="A12105" s="996" t="str">
        <f>CONCATENATE(Programme!D12106,Programme!E12106,Programme!F12106,Programme!G12106,Programme!H12106,Programme!I12106,Programme!J12106)</f>
        <v>&lt;valeur&gt;&lt;/valeur&gt;</v>
      </c>
    </row>
    <row r="12106" spans="1:1" x14ac:dyDescent="0.2">
      <c r="A12106" s="996" t="str">
        <f>CONCATENATE(Programme!D12107,Programme!E12107,Programme!F12107,Programme!G12107,Programme!H12107,Programme!I12107,Programme!J12107)</f>
        <v>&lt;numeroLigne&gt;79&lt;/numeroLigne&gt;</v>
      </c>
    </row>
    <row r="12107" spans="1:1" x14ac:dyDescent="0.2">
      <c r="A12107" s="996" t="str">
        <f>CONCATENATE(Programme!D12108,Programme!E12108,Programme!F12108,Programme!G12108,Programme!H12108,Programme!I12108,Programme!J12108)</f>
        <v>&lt;/ValeurCellule&gt;</v>
      </c>
    </row>
    <row r="12108" spans="1:1" x14ac:dyDescent="0.2">
      <c r="A12108" s="996" t="str">
        <f>CONCATENATE(Programme!D12109,Programme!E12109,Programme!F12109,Programme!G12109,Programme!H12109,Programme!I12109,Programme!J12109)</f>
        <v>&lt;ValeurCellule&gt;</v>
      </c>
    </row>
    <row r="12109" spans="1:1" x14ac:dyDescent="0.2">
      <c r="A12109" s="996" t="str">
        <f>CONCATENATE(Programme!D12110,Programme!E12110,Programme!F12110,Programme!G12110,Programme!H12110,Programme!I12110,Programme!J12110)</f>
        <v>&lt;cellule&gt;&lt;codeEdi&gt;1081&lt;/codeEdi&gt;&lt;/cellule&gt;</v>
      </c>
    </row>
    <row r="12110" spans="1:1" x14ac:dyDescent="0.2">
      <c r="A12110" s="996" t="str">
        <f>CONCATENATE(Programme!D12111,Programme!E12111,Programme!F12111,Programme!G12111,Programme!H12111,Programme!I12111,Programme!J12111)</f>
        <v>&lt;valeur&gt;&lt;/valeur&gt;</v>
      </c>
    </row>
    <row r="12111" spans="1:1" x14ac:dyDescent="0.2">
      <c r="A12111" s="996" t="str">
        <f>CONCATENATE(Programme!D12112,Programme!E12112,Programme!F12112,Programme!G12112,Programme!H12112,Programme!I12112,Programme!J12112)</f>
        <v>&lt;numeroLigne&gt;79&lt;/numeroLigne&gt;</v>
      </c>
    </row>
    <row r="12112" spans="1:1" x14ac:dyDescent="0.2">
      <c r="A12112" s="996" t="str">
        <f>CONCATENATE(Programme!D12113,Programme!E12113,Programme!F12113,Programme!G12113,Programme!H12113,Programme!I12113,Programme!J12113)</f>
        <v>&lt;/ValeurCellule&gt;</v>
      </c>
    </row>
    <row r="12113" spans="1:1" x14ac:dyDescent="0.2">
      <c r="A12113" s="996" t="str">
        <f>CONCATENATE(Programme!D12114,Programme!E12114,Programme!F12114,Programme!G12114,Programme!H12114,Programme!I12114,Programme!J12114)</f>
        <v>&lt;ValeurCellule&gt;</v>
      </c>
    </row>
    <row r="12114" spans="1:1" x14ac:dyDescent="0.2">
      <c r="A12114" s="996" t="str">
        <f>CONCATENATE(Programme!D12115,Programme!E12115,Programme!F12115,Programme!G12115,Programme!H12115,Programme!I12115,Programme!J12115)</f>
        <v>&lt;cellule&gt;&lt;codeEdi&gt;1082&lt;/codeEdi&gt;&lt;/cellule&gt;</v>
      </c>
    </row>
    <row r="12115" spans="1:1" x14ac:dyDescent="0.2">
      <c r="A12115" s="996" t="str">
        <f>CONCATENATE(Programme!D12116,Programme!E12116,Programme!F12116,Programme!G12116,Programme!H12116,Programme!I12116,Programme!J12116)</f>
        <v>&lt;valeur&gt;&lt;/valeur&gt;</v>
      </c>
    </row>
    <row r="12116" spans="1:1" x14ac:dyDescent="0.2">
      <c r="A12116" s="996" t="str">
        <f>CONCATENATE(Programme!D12117,Programme!E12117,Programme!F12117,Programme!G12117,Programme!H12117,Programme!I12117,Programme!J12117)</f>
        <v>&lt;numeroLigne&gt;79&lt;/numeroLigne&gt;</v>
      </c>
    </row>
    <row r="12117" spans="1:1" x14ac:dyDescent="0.2">
      <c r="A12117" s="996" t="str">
        <f>CONCATENATE(Programme!D12118,Programme!E12118,Programme!F12118,Programme!G12118,Programme!H12118,Programme!I12118,Programme!J12118)</f>
        <v>&lt;/ValeurCellule&gt;</v>
      </c>
    </row>
    <row r="12118" spans="1:1" x14ac:dyDescent="0.2">
      <c r="A12118" s="996" t="str">
        <f>CONCATENATE(Programme!D12119,Programme!E12119,Programme!F12119,Programme!G12119,Programme!H12119,Programme!I12119,Programme!J12119)</f>
        <v>&lt;ValeurCellule&gt;</v>
      </c>
    </row>
    <row r="12119" spans="1:1" x14ac:dyDescent="0.2">
      <c r="A12119" s="996" t="str">
        <f>CONCATENATE(Programme!D12120,Programme!E12120,Programme!F12120,Programme!G12120,Programme!H12120,Programme!I12120,Programme!J12120)</f>
        <v>&lt;cellule&gt;&lt;codeEdi&gt;1083&lt;/codeEdi&gt;&lt;/cellule&gt;</v>
      </c>
    </row>
    <row r="12120" spans="1:1" x14ac:dyDescent="0.2">
      <c r="A12120" s="996" t="str">
        <f>CONCATENATE(Programme!D12121,Programme!E12121,Programme!F12121,Programme!G12121,Programme!H12121,Programme!I12121,Programme!J12121)</f>
        <v>&lt;valeur&gt;&lt;/valeur&gt;</v>
      </c>
    </row>
    <row r="12121" spans="1:1" x14ac:dyDescent="0.2">
      <c r="A12121" s="996" t="str">
        <f>CONCATENATE(Programme!D12122,Programme!E12122,Programme!F12122,Programme!G12122,Programme!H12122,Programme!I12122,Programme!J12122)</f>
        <v>&lt;numeroLigne&gt;79&lt;/numeroLigne&gt;</v>
      </c>
    </row>
    <row r="12122" spans="1:1" x14ac:dyDescent="0.2">
      <c r="A12122" s="996" t="str">
        <f>CONCATENATE(Programme!D12123,Programme!E12123,Programme!F12123,Programme!G12123,Programme!H12123,Programme!I12123,Programme!J12123)</f>
        <v>&lt;/ValeurCellule&gt;</v>
      </c>
    </row>
    <row r="12123" spans="1:1" x14ac:dyDescent="0.2">
      <c r="A12123" s="996" t="str">
        <f>CONCATENATE(Programme!D12124,Programme!E12124,Programme!F12124,Programme!G12124,Programme!H12124,Programme!I12124,Programme!J12124)</f>
        <v>&lt;ValeurCellule&gt;</v>
      </c>
    </row>
    <row r="12124" spans="1:1" x14ac:dyDescent="0.2">
      <c r="A12124" s="996" t="str">
        <f>CONCATENATE(Programme!D12125,Programme!E12125,Programme!F12125,Programme!G12125,Programme!H12125,Programme!I12125,Programme!J12125)</f>
        <v>&lt;cellule&gt;&lt;codeEdi&gt;1084&lt;/codeEdi&gt;&lt;/cellule&gt;</v>
      </c>
    </row>
    <row r="12125" spans="1:1" x14ac:dyDescent="0.2">
      <c r="A12125" s="996" t="str">
        <f>CONCATENATE(Programme!D12126,Programme!E12126,Programme!F12126,Programme!G12126,Programme!H12126,Programme!I12126,Programme!J12126)</f>
        <v>&lt;valeur&gt;&lt;/valeur&gt;</v>
      </c>
    </row>
    <row r="12126" spans="1:1" x14ac:dyDescent="0.2">
      <c r="A12126" s="996" t="str">
        <f>CONCATENATE(Programme!D12127,Programme!E12127,Programme!F12127,Programme!G12127,Programme!H12127,Programme!I12127,Programme!J12127)</f>
        <v>&lt;numeroLigne&gt;79&lt;/numeroLigne&gt;</v>
      </c>
    </row>
    <row r="12127" spans="1:1" x14ac:dyDescent="0.2">
      <c r="A12127" s="996" t="str">
        <f>CONCATENATE(Programme!D12128,Programme!E12128,Programme!F12128,Programme!G12128,Programme!H12128,Programme!I12128,Programme!J12128)</f>
        <v>&lt;/ValeurCellule&gt;</v>
      </c>
    </row>
    <row r="12128" spans="1:1" x14ac:dyDescent="0.2">
      <c r="A12128" s="996" t="str">
        <f>CONCATENATE(Programme!D12129,Programme!E12129,Programme!F12129,Programme!G12129,Programme!H12129,Programme!I12129,Programme!J12129)</f>
        <v>&lt;ValeurCellule&gt;</v>
      </c>
    </row>
    <row r="12129" spans="1:1" x14ac:dyDescent="0.2">
      <c r="A12129" s="996" t="str">
        <f>CONCATENATE(Programme!D12130,Programme!E12130,Programme!F12130,Programme!G12130,Programme!H12130,Programme!I12130,Programme!J12130)</f>
        <v>&lt;cellule&gt;&lt;codeEdi&gt;1085&lt;/codeEdi&gt;&lt;/cellule&gt;</v>
      </c>
    </row>
    <row r="12130" spans="1:1" x14ac:dyDescent="0.2">
      <c r="A12130" s="996" t="str">
        <f>CONCATENATE(Programme!D12131,Programme!E12131,Programme!F12131,Programme!G12131,Programme!H12131,Programme!I12131,Programme!J12131)</f>
        <v>&lt;valeur&gt;&lt;/valeur&gt;</v>
      </c>
    </row>
    <row r="12131" spans="1:1" x14ac:dyDescent="0.2">
      <c r="A12131" s="996" t="str">
        <f>CONCATENATE(Programme!D12132,Programme!E12132,Programme!F12132,Programme!G12132,Programme!H12132,Programme!I12132,Programme!J12132)</f>
        <v>&lt;numeroLigne&gt;79&lt;/numeroLigne&gt;</v>
      </c>
    </row>
    <row r="12132" spans="1:1" x14ac:dyDescent="0.2">
      <c r="A12132" s="996" t="str">
        <f>CONCATENATE(Programme!D12133,Programme!E12133,Programme!F12133,Programme!G12133,Programme!H12133,Programme!I12133,Programme!J12133)</f>
        <v>&lt;/ValeurCellule&gt;</v>
      </c>
    </row>
    <row r="12133" spans="1:1" x14ac:dyDescent="0.2">
      <c r="A12133" s="996" t="str">
        <f>CONCATENATE(Programme!D12134,Programme!E12134,Programme!F12134,Programme!G12134,Programme!H12134,Programme!I12134,Programme!J12134)</f>
        <v>&lt;ValeurCellule&gt;</v>
      </c>
    </row>
    <row r="12134" spans="1:1" x14ac:dyDescent="0.2">
      <c r="A12134" s="996" t="str">
        <f>CONCATENATE(Programme!D12135,Programme!E12135,Programme!F12135,Programme!G12135,Programme!H12135,Programme!I12135,Programme!J12135)</f>
        <v>&lt;cellule&gt;&lt;codeEdi&gt;1086&lt;/codeEdi&gt;&lt;/cellule&gt;</v>
      </c>
    </row>
    <row r="12135" spans="1:1" x14ac:dyDescent="0.2">
      <c r="A12135" s="996" t="str">
        <f>CONCATENATE(Programme!D12136,Programme!E12136,Programme!F12136,Programme!G12136,Programme!H12136,Programme!I12136,Programme!J12136)</f>
        <v>&lt;valeur&gt;&lt;/valeur&gt;</v>
      </c>
    </row>
    <row r="12136" spans="1:1" x14ac:dyDescent="0.2">
      <c r="A12136" s="996" t="str">
        <f>CONCATENATE(Programme!D12137,Programme!E12137,Programme!F12137,Programme!G12137,Programme!H12137,Programme!I12137,Programme!J12137)</f>
        <v>&lt;numeroLigne&gt;79&lt;/numeroLigne&gt;</v>
      </c>
    </row>
    <row r="12137" spans="1:1" x14ac:dyDescent="0.2">
      <c r="A12137" s="996" t="str">
        <f>CONCATENATE(Programme!D12138,Programme!E12138,Programme!F12138,Programme!G12138,Programme!H12138,Programme!I12138,Programme!J12138)</f>
        <v>&lt;/ValeurCellule&gt;</v>
      </c>
    </row>
    <row r="12138" spans="1:1" x14ac:dyDescent="0.2">
      <c r="A12138" s="996" t="str">
        <f>CONCATENATE(Programme!D12139,Programme!E12139,Programme!F12139,Programme!G12139,Programme!H12139,Programme!I12139,Programme!J12139)</f>
        <v>&lt;ValeurCellule&gt;</v>
      </c>
    </row>
    <row r="12139" spans="1:1" x14ac:dyDescent="0.2">
      <c r="A12139" s="996" t="str">
        <f>CONCATENATE(Programme!D12140,Programme!E12140,Programme!F12140,Programme!G12140,Programme!H12140,Programme!I12140,Programme!J12140)</f>
        <v>&lt;cellule&gt;&lt;codeEdi&gt;10061&lt;/codeEdi&gt;&lt;/cellule&gt;</v>
      </c>
    </row>
    <row r="12140" spans="1:1" x14ac:dyDescent="0.2">
      <c r="A12140" s="996" t="str">
        <f>CONCATENATE(Programme!D12141,Programme!E12141,Programme!F12141,Programme!G12141,Programme!H12141,Programme!I12141,Programme!J12141)</f>
        <v>&lt;valeur&gt;&lt;/valeur&gt;</v>
      </c>
    </row>
    <row r="12141" spans="1:1" x14ac:dyDescent="0.2">
      <c r="A12141" s="996" t="str">
        <f>CONCATENATE(Programme!D12142,Programme!E12142,Programme!F12142,Programme!G12142,Programme!H12142,Programme!I12142,Programme!J12142)</f>
        <v>&lt;numeroLigne&gt;80&lt;/numeroLigne&gt;</v>
      </c>
    </row>
    <row r="12142" spans="1:1" x14ac:dyDescent="0.2">
      <c r="A12142" s="996" t="str">
        <f>CONCATENATE(Programme!D12143,Programme!E12143,Programme!F12143,Programme!G12143,Programme!H12143,Programme!I12143,Programme!J12143)</f>
        <v>&lt;/ValeurCellule&gt;</v>
      </c>
    </row>
    <row r="12143" spans="1:1" x14ac:dyDescent="0.2">
      <c r="A12143" s="996" t="str">
        <f>CONCATENATE(Programme!D12144,Programme!E12144,Programme!F12144,Programme!G12144,Programme!H12144,Programme!I12144,Programme!J12144)</f>
        <v>&lt;ValeurCellule&gt;</v>
      </c>
    </row>
    <row r="12144" spans="1:1" x14ac:dyDescent="0.2">
      <c r="A12144" s="996" t="str">
        <f>CONCATENATE(Programme!D12145,Programme!E12145,Programme!F12145,Programme!G12145,Programme!H12145,Programme!I12145,Programme!J12145)</f>
        <v>&lt;cellule&gt;&lt;codeEdi&gt;1078&lt;/codeEdi&gt;&lt;/cellule&gt;</v>
      </c>
    </row>
    <row r="12145" spans="1:1" x14ac:dyDescent="0.2">
      <c r="A12145" s="996" t="str">
        <f>CONCATENATE(Programme!D12146,Programme!E12146,Programme!F12146,Programme!G12146,Programme!H12146,Programme!I12146,Programme!J12146)</f>
        <v>&lt;valeur&gt;&lt;/valeur&gt;</v>
      </c>
    </row>
    <row r="12146" spans="1:1" x14ac:dyDescent="0.2">
      <c r="A12146" s="996" t="str">
        <f>CONCATENATE(Programme!D12147,Programme!E12147,Programme!F12147,Programme!G12147,Programme!H12147,Programme!I12147,Programme!J12147)</f>
        <v>&lt;numeroLigne&gt;80&lt;/numeroLigne&gt;</v>
      </c>
    </row>
    <row r="12147" spans="1:1" x14ac:dyDescent="0.2">
      <c r="A12147" s="996" t="str">
        <f>CONCATENATE(Programme!D12148,Programme!E12148,Programme!F12148,Programme!G12148,Programme!H12148,Programme!I12148,Programme!J12148)</f>
        <v>&lt;/ValeurCellule&gt;</v>
      </c>
    </row>
    <row r="12148" spans="1:1" x14ac:dyDescent="0.2">
      <c r="A12148" s="996" t="str">
        <f>CONCATENATE(Programme!D12149,Programme!E12149,Programme!F12149,Programme!G12149,Programme!H12149,Programme!I12149,Programme!J12149)</f>
        <v>&lt;ValeurCellule&gt;</v>
      </c>
    </row>
    <row r="12149" spans="1:1" x14ac:dyDescent="0.2">
      <c r="A12149" s="996" t="str">
        <f>CONCATENATE(Programme!D12150,Programme!E12150,Programme!F12150,Programme!G12150,Programme!H12150,Programme!I12150,Programme!J12150)</f>
        <v>&lt;cellule&gt;&lt;codeEdi&gt;1079&lt;/codeEdi&gt;&lt;/cellule&gt;</v>
      </c>
    </row>
    <row r="12150" spans="1:1" x14ac:dyDescent="0.2">
      <c r="A12150" s="996" t="str">
        <f>CONCATENATE(Programme!D12151,Programme!E12151,Programme!F12151,Programme!G12151,Programme!H12151,Programme!I12151,Programme!J12151)</f>
        <v>&lt;valeur&gt;&lt;/valeur&gt;</v>
      </c>
    </row>
    <row r="12151" spans="1:1" x14ac:dyDescent="0.2">
      <c r="A12151" s="996" t="str">
        <f>CONCATENATE(Programme!D12152,Programme!E12152,Programme!F12152,Programme!G12152,Programme!H12152,Programme!I12152,Programme!J12152)</f>
        <v>&lt;numeroLigne&gt;80&lt;/numeroLigne&gt;</v>
      </c>
    </row>
    <row r="12152" spans="1:1" x14ac:dyDescent="0.2">
      <c r="A12152" s="996" t="str">
        <f>CONCATENATE(Programme!D12153,Programme!E12153,Programme!F12153,Programme!G12153,Programme!H12153,Programme!I12153,Programme!J12153)</f>
        <v>&lt;/ValeurCellule&gt;</v>
      </c>
    </row>
    <row r="12153" spans="1:1" x14ac:dyDescent="0.2">
      <c r="A12153" s="996" t="str">
        <f>CONCATENATE(Programme!D12154,Programme!E12154,Programme!F12154,Programme!G12154,Programme!H12154,Programme!I12154,Programme!J12154)</f>
        <v>&lt;ValeurCellule&gt;</v>
      </c>
    </row>
    <row r="12154" spans="1:1" x14ac:dyDescent="0.2">
      <c r="A12154" s="996" t="str">
        <f>CONCATENATE(Programme!D12155,Programme!E12155,Programme!F12155,Programme!G12155,Programme!H12155,Programme!I12155,Programme!J12155)</f>
        <v>&lt;cellule&gt;&lt;codeEdi&gt;1080&lt;/codeEdi&gt;&lt;/cellule&gt;</v>
      </c>
    </row>
    <row r="12155" spans="1:1" x14ac:dyDescent="0.2">
      <c r="A12155" s="996" t="str">
        <f>CONCATENATE(Programme!D12156,Programme!E12156,Programme!F12156,Programme!G12156,Programme!H12156,Programme!I12156,Programme!J12156)</f>
        <v>&lt;valeur&gt;&lt;/valeur&gt;</v>
      </c>
    </row>
    <row r="12156" spans="1:1" x14ac:dyDescent="0.2">
      <c r="A12156" s="996" t="str">
        <f>CONCATENATE(Programme!D12157,Programme!E12157,Programme!F12157,Programme!G12157,Programme!H12157,Programme!I12157,Programme!J12157)</f>
        <v>&lt;numeroLigne&gt;80&lt;/numeroLigne&gt;</v>
      </c>
    </row>
    <row r="12157" spans="1:1" x14ac:dyDescent="0.2">
      <c r="A12157" s="996" t="str">
        <f>CONCATENATE(Programme!D12158,Programme!E12158,Programme!F12158,Programme!G12158,Programme!H12158,Programme!I12158,Programme!J12158)</f>
        <v>&lt;/ValeurCellule&gt;</v>
      </c>
    </row>
    <row r="12158" spans="1:1" x14ac:dyDescent="0.2">
      <c r="A12158" s="996" t="str">
        <f>CONCATENATE(Programme!D12159,Programme!E12159,Programme!F12159,Programme!G12159,Programme!H12159,Programme!I12159,Programme!J12159)</f>
        <v>&lt;ValeurCellule&gt;</v>
      </c>
    </row>
    <row r="12159" spans="1:1" x14ac:dyDescent="0.2">
      <c r="A12159" s="996" t="str">
        <f>CONCATENATE(Programme!D12160,Programme!E12160,Programme!F12160,Programme!G12160,Programme!H12160,Programme!I12160,Programme!J12160)</f>
        <v>&lt;cellule&gt;&lt;codeEdi&gt;1081&lt;/codeEdi&gt;&lt;/cellule&gt;</v>
      </c>
    </row>
    <row r="12160" spans="1:1" x14ac:dyDescent="0.2">
      <c r="A12160" s="996" t="str">
        <f>CONCATENATE(Programme!D12161,Programme!E12161,Programme!F12161,Programme!G12161,Programme!H12161,Programme!I12161,Programme!J12161)</f>
        <v>&lt;valeur&gt;&lt;/valeur&gt;</v>
      </c>
    </row>
    <row r="12161" spans="1:1" x14ac:dyDescent="0.2">
      <c r="A12161" s="996" t="str">
        <f>CONCATENATE(Programme!D12162,Programme!E12162,Programme!F12162,Programme!G12162,Programme!H12162,Programme!I12162,Programme!J12162)</f>
        <v>&lt;numeroLigne&gt;80&lt;/numeroLigne&gt;</v>
      </c>
    </row>
    <row r="12162" spans="1:1" x14ac:dyDescent="0.2">
      <c r="A12162" s="996" t="str">
        <f>CONCATENATE(Programme!D12163,Programme!E12163,Programme!F12163,Programme!G12163,Programme!H12163,Programme!I12163,Programme!J12163)</f>
        <v>&lt;/ValeurCellule&gt;</v>
      </c>
    </row>
    <row r="12163" spans="1:1" x14ac:dyDescent="0.2">
      <c r="A12163" s="996" t="str">
        <f>CONCATENATE(Programme!D12164,Programme!E12164,Programme!F12164,Programme!G12164,Programme!H12164,Programme!I12164,Programme!J12164)</f>
        <v>&lt;ValeurCellule&gt;</v>
      </c>
    </row>
    <row r="12164" spans="1:1" x14ac:dyDescent="0.2">
      <c r="A12164" s="996" t="str">
        <f>CONCATENATE(Programme!D12165,Programme!E12165,Programme!F12165,Programme!G12165,Programme!H12165,Programme!I12165,Programme!J12165)</f>
        <v>&lt;cellule&gt;&lt;codeEdi&gt;1082&lt;/codeEdi&gt;&lt;/cellule&gt;</v>
      </c>
    </row>
    <row r="12165" spans="1:1" x14ac:dyDescent="0.2">
      <c r="A12165" s="996" t="str">
        <f>CONCATENATE(Programme!D12166,Programme!E12166,Programme!F12166,Programme!G12166,Programme!H12166,Programme!I12166,Programme!J12166)</f>
        <v>&lt;valeur&gt;&lt;/valeur&gt;</v>
      </c>
    </row>
    <row r="12166" spans="1:1" x14ac:dyDescent="0.2">
      <c r="A12166" s="996" t="str">
        <f>CONCATENATE(Programme!D12167,Programme!E12167,Programme!F12167,Programme!G12167,Programme!H12167,Programme!I12167,Programme!J12167)</f>
        <v>&lt;numeroLigne&gt;80&lt;/numeroLigne&gt;</v>
      </c>
    </row>
    <row r="12167" spans="1:1" x14ac:dyDescent="0.2">
      <c r="A12167" s="996" t="str">
        <f>CONCATENATE(Programme!D12168,Programme!E12168,Programme!F12168,Programme!G12168,Programme!H12168,Programme!I12168,Programme!J12168)</f>
        <v>&lt;/ValeurCellule&gt;</v>
      </c>
    </row>
    <row r="12168" spans="1:1" x14ac:dyDescent="0.2">
      <c r="A12168" s="996" t="str">
        <f>CONCATENATE(Programme!D12169,Programme!E12169,Programme!F12169,Programme!G12169,Programme!H12169,Programme!I12169,Programme!J12169)</f>
        <v>&lt;ValeurCellule&gt;</v>
      </c>
    </row>
    <row r="12169" spans="1:1" x14ac:dyDescent="0.2">
      <c r="A12169" s="996" t="str">
        <f>CONCATENATE(Programme!D12170,Programme!E12170,Programme!F12170,Programme!G12170,Programme!H12170,Programme!I12170,Programme!J12170)</f>
        <v>&lt;cellule&gt;&lt;codeEdi&gt;1083&lt;/codeEdi&gt;&lt;/cellule&gt;</v>
      </c>
    </row>
    <row r="12170" spans="1:1" x14ac:dyDescent="0.2">
      <c r="A12170" s="996" t="str">
        <f>CONCATENATE(Programme!D12171,Programme!E12171,Programme!F12171,Programme!G12171,Programme!H12171,Programme!I12171,Programme!J12171)</f>
        <v>&lt;valeur&gt;&lt;/valeur&gt;</v>
      </c>
    </row>
    <row r="12171" spans="1:1" x14ac:dyDescent="0.2">
      <c r="A12171" s="996" t="str">
        <f>CONCATENATE(Programme!D12172,Programme!E12172,Programme!F12172,Programme!G12172,Programme!H12172,Programme!I12172,Programme!J12172)</f>
        <v>&lt;numeroLigne&gt;80&lt;/numeroLigne&gt;</v>
      </c>
    </row>
    <row r="12172" spans="1:1" x14ac:dyDescent="0.2">
      <c r="A12172" s="996" t="str">
        <f>CONCATENATE(Programme!D12173,Programme!E12173,Programme!F12173,Programme!G12173,Programme!H12173,Programme!I12173,Programme!J12173)</f>
        <v>&lt;/ValeurCellule&gt;</v>
      </c>
    </row>
    <row r="12173" spans="1:1" x14ac:dyDescent="0.2">
      <c r="A12173" s="996" t="str">
        <f>CONCATENATE(Programme!D12174,Programme!E12174,Programme!F12174,Programme!G12174,Programme!H12174,Programme!I12174,Programme!J12174)</f>
        <v>&lt;ValeurCellule&gt;</v>
      </c>
    </row>
    <row r="12174" spans="1:1" x14ac:dyDescent="0.2">
      <c r="A12174" s="996" t="str">
        <f>CONCATENATE(Programme!D12175,Programme!E12175,Programme!F12175,Programme!G12175,Programme!H12175,Programme!I12175,Programme!J12175)</f>
        <v>&lt;cellule&gt;&lt;codeEdi&gt;1084&lt;/codeEdi&gt;&lt;/cellule&gt;</v>
      </c>
    </row>
    <row r="12175" spans="1:1" x14ac:dyDescent="0.2">
      <c r="A12175" s="996" t="str">
        <f>CONCATENATE(Programme!D12176,Programme!E12176,Programme!F12176,Programme!G12176,Programme!H12176,Programme!I12176,Programme!J12176)</f>
        <v>&lt;valeur&gt;&lt;/valeur&gt;</v>
      </c>
    </row>
    <row r="12176" spans="1:1" x14ac:dyDescent="0.2">
      <c r="A12176" s="996" t="str">
        <f>CONCATENATE(Programme!D12177,Programme!E12177,Programme!F12177,Programme!G12177,Programme!H12177,Programme!I12177,Programme!J12177)</f>
        <v>&lt;numeroLigne&gt;80&lt;/numeroLigne&gt;</v>
      </c>
    </row>
    <row r="12177" spans="1:1" x14ac:dyDescent="0.2">
      <c r="A12177" s="996" t="str">
        <f>CONCATENATE(Programme!D12178,Programme!E12178,Programme!F12178,Programme!G12178,Programme!H12178,Programme!I12178,Programme!J12178)</f>
        <v>&lt;/ValeurCellule&gt;</v>
      </c>
    </row>
    <row r="12178" spans="1:1" x14ac:dyDescent="0.2">
      <c r="A12178" s="996" t="str">
        <f>CONCATENATE(Programme!D12179,Programme!E12179,Programme!F12179,Programme!G12179,Programme!H12179,Programme!I12179,Programme!J12179)</f>
        <v>&lt;ValeurCellule&gt;</v>
      </c>
    </row>
    <row r="12179" spans="1:1" x14ac:dyDescent="0.2">
      <c r="A12179" s="996" t="str">
        <f>CONCATENATE(Programme!D12180,Programme!E12180,Programme!F12180,Programme!G12180,Programme!H12180,Programme!I12180,Programme!J12180)</f>
        <v>&lt;cellule&gt;&lt;codeEdi&gt;1085&lt;/codeEdi&gt;&lt;/cellule&gt;</v>
      </c>
    </row>
    <row r="12180" spans="1:1" x14ac:dyDescent="0.2">
      <c r="A12180" s="996" t="str">
        <f>CONCATENATE(Programme!D12181,Programme!E12181,Programme!F12181,Programme!G12181,Programme!H12181,Programme!I12181,Programme!J12181)</f>
        <v>&lt;valeur&gt;&lt;/valeur&gt;</v>
      </c>
    </row>
    <row r="12181" spans="1:1" x14ac:dyDescent="0.2">
      <c r="A12181" s="996" t="str">
        <f>CONCATENATE(Programme!D12182,Programme!E12182,Programme!F12182,Programme!G12182,Programme!H12182,Programme!I12182,Programme!J12182)</f>
        <v>&lt;numeroLigne&gt;80&lt;/numeroLigne&gt;</v>
      </c>
    </row>
    <row r="12182" spans="1:1" x14ac:dyDescent="0.2">
      <c r="A12182" s="996" t="str">
        <f>CONCATENATE(Programme!D12183,Programme!E12183,Programme!F12183,Programme!G12183,Programme!H12183,Programme!I12183,Programme!J12183)</f>
        <v>&lt;/ValeurCellule&gt;</v>
      </c>
    </row>
    <row r="12183" spans="1:1" x14ac:dyDescent="0.2">
      <c r="A12183" s="996" t="str">
        <f>CONCATENATE(Programme!D12184,Programme!E12184,Programme!F12184,Programme!G12184,Programme!H12184,Programme!I12184,Programme!J12184)</f>
        <v>&lt;ValeurCellule&gt;</v>
      </c>
    </row>
    <row r="12184" spans="1:1" x14ac:dyDescent="0.2">
      <c r="A12184" s="996" t="str">
        <f>CONCATENATE(Programme!D12185,Programme!E12185,Programme!F12185,Programme!G12185,Programme!H12185,Programme!I12185,Programme!J12185)</f>
        <v>&lt;cellule&gt;&lt;codeEdi&gt;1086&lt;/codeEdi&gt;&lt;/cellule&gt;</v>
      </c>
    </row>
    <row r="12185" spans="1:1" x14ac:dyDescent="0.2">
      <c r="A12185" s="996" t="str">
        <f>CONCATENATE(Programme!D12186,Programme!E12186,Programme!F12186,Programme!G12186,Programme!H12186,Programme!I12186,Programme!J12186)</f>
        <v>&lt;valeur&gt;&lt;/valeur&gt;</v>
      </c>
    </row>
    <row r="12186" spans="1:1" x14ac:dyDescent="0.2">
      <c r="A12186" s="996" t="str">
        <f>CONCATENATE(Programme!D12187,Programme!E12187,Programme!F12187,Programme!G12187,Programme!H12187,Programme!I12187,Programme!J12187)</f>
        <v>&lt;numeroLigne&gt;80&lt;/numeroLigne&gt;</v>
      </c>
    </row>
    <row r="12187" spans="1:1" x14ac:dyDescent="0.2">
      <c r="A12187" s="996" t="str">
        <f>CONCATENATE(Programme!D12188,Programme!E12188,Programme!F12188,Programme!G12188,Programme!H12188,Programme!I12188,Programme!J12188)</f>
        <v>&lt;/ValeurCellule&gt;</v>
      </c>
    </row>
    <row r="12188" spans="1:1" x14ac:dyDescent="0.2">
      <c r="A12188" s="996" t="str">
        <f>CONCATENATE(Programme!D12189,Programme!E12189,Programme!F12189,Programme!G12189,Programme!H12189,Programme!I12189,Programme!J12189)</f>
        <v>&lt;ValeurCellule&gt;</v>
      </c>
    </row>
    <row r="12189" spans="1:1" x14ac:dyDescent="0.2">
      <c r="A12189" s="996" t="str">
        <f>CONCATENATE(Programme!D12190,Programme!E12190,Programme!F12190,Programme!G12190,Programme!H12190,Programme!I12190,Programme!J12190)</f>
        <v>&lt;cellule&gt;&lt;codeEdi&gt;10061&lt;/codeEdi&gt;&lt;/cellule&gt;</v>
      </c>
    </row>
    <row r="12190" spans="1:1" x14ac:dyDescent="0.2">
      <c r="A12190" s="996" t="str">
        <f>CONCATENATE(Programme!D12191,Programme!E12191,Programme!F12191,Programme!G12191,Programme!H12191,Programme!I12191,Programme!J12191)</f>
        <v>&lt;valeur&gt;&lt;/valeur&gt;</v>
      </c>
    </row>
    <row r="12191" spans="1:1" x14ac:dyDescent="0.2">
      <c r="A12191" s="996" t="str">
        <f>CONCATENATE(Programme!D12192,Programme!E12192,Programme!F12192,Programme!G12192,Programme!H12192,Programme!I12192,Programme!J12192)</f>
        <v>&lt;numeroLigne&gt;81&lt;/numeroLigne&gt;</v>
      </c>
    </row>
    <row r="12192" spans="1:1" x14ac:dyDescent="0.2">
      <c r="A12192" s="996" t="str">
        <f>CONCATENATE(Programme!D12193,Programme!E12193,Programme!F12193,Programme!G12193,Programme!H12193,Programme!I12193,Programme!J12193)</f>
        <v>&lt;/ValeurCellule&gt;</v>
      </c>
    </row>
    <row r="12193" spans="1:1" x14ac:dyDescent="0.2">
      <c r="A12193" s="996" t="str">
        <f>CONCATENATE(Programme!D12194,Programme!E12194,Programme!F12194,Programme!G12194,Programme!H12194,Programme!I12194,Programme!J12194)</f>
        <v>&lt;ValeurCellule&gt;</v>
      </c>
    </row>
    <row r="12194" spans="1:1" x14ac:dyDescent="0.2">
      <c r="A12194" s="996" t="str">
        <f>CONCATENATE(Programme!D12195,Programme!E12195,Programme!F12195,Programme!G12195,Programme!H12195,Programme!I12195,Programme!J12195)</f>
        <v>&lt;cellule&gt;&lt;codeEdi&gt;1078&lt;/codeEdi&gt;&lt;/cellule&gt;</v>
      </c>
    </row>
    <row r="12195" spans="1:1" x14ac:dyDescent="0.2">
      <c r="A12195" s="996" t="str">
        <f>CONCATENATE(Programme!D12196,Programme!E12196,Programme!F12196,Programme!G12196,Programme!H12196,Programme!I12196,Programme!J12196)</f>
        <v>&lt;valeur&gt;&lt;/valeur&gt;</v>
      </c>
    </row>
    <row r="12196" spans="1:1" x14ac:dyDescent="0.2">
      <c r="A12196" s="996" t="str">
        <f>CONCATENATE(Programme!D12197,Programme!E12197,Programme!F12197,Programme!G12197,Programme!H12197,Programme!I12197,Programme!J12197)</f>
        <v>&lt;numeroLigne&gt;81&lt;/numeroLigne&gt;</v>
      </c>
    </row>
    <row r="12197" spans="1:1" x14ac:dyDescent="0.2">
      <c r="A12197" s="996" t="str">
        <f>CONCATENATE(Programme!D12198,Programme!E12198,Programme!F12198,Programme!G12198,Programme!H12198,Programme!I12198,Programme!J12198)</f>
        <v>&lt;/ValeurCellule&gt;</v>
      </c>
    </row>
    <row r="12198" spans="1:1" x14ac:dyDescent="0.2">
      <c r="A12198" s="996" t="str">
        <f>CONCATENATE(Programme!D12199,Programme!E12199,Programme!F12199,Programme!G12199,Programme!H12199,Programme!I12199,Programme!J12199)</f>
        <v>&lt;ValeurCellule&gt;</v>
      </c>
    </row>
    <row r="12199" spans="1:1" x14ac:dyDescent="0.2">
      <c r="A12199" s="996" t="str">
        <f>CONCATENATE(Programme!D12200,Programme!E12200,Programme!F12200,Programme!G12200,Programme!H12200,Programme!I12200,Programme!J12200)</f>
        <v>&lt;cellule&gt;&lt;codeEdi&gt;1079&lt;/codeEdi&gt;&lt;/cellule&gt;</v>
      </c>
    </row>
    <row r="12200" spans="1:1" x14ac:dyDescent="0.2">
      <c r="A12200" s="996" t="str">
        <f>CONCATENATE(Programme!D12201,Programme!E12201,Programme!F12201,Programme!G12201,Programme!H12201,Programme!I12201,Programme!J12201)</f>
        <v>&lt;valeur&gt;&lt;/valeur&gt;</v>
      </c>
    </row>
    <row r="12201" spans="1:1" x14ac:dyDescent="0.2">
      <c r="A12201" s="996" t="str">
        <f>CONCATENATE(Programme!D12202,Programme!E12202,Programme!F12202,Programme!G12202,Programme!H12202,Programme!I12202,Programme!J12202)</f>
        <v>&lt;numeroLigne&gt;81&lt;/numeroLigne&gt;</v>
      </c>
    </row>
    <row r="12202" spans="1:1" x14ac:dyDescent="0.2">
      <c r="A12202" s="996" t="str">
        <f>CONCATENATE(Programme!D12203,Programme!E12203,Programme!F12203,Programme!G12203,Programme!H12203,Programme!I12203,Programme!J12203)</f>
        <v>&lt;/ValeurCellule&gt;</v>
      </c>
    </row>
    <row r="12203" spans="1:1" x14ac:dyDescent="0.2">
      <c r="A12203" s="996" t="str">
        <f>CONCATENATE(Programme!D12204,Programme!E12204,Programme!F12204,Programme!G12204,Programme!H12204,Programme!I12204,Programme!J12204)</f>
        <v>&lt;ValeurCellule&gt;</v>
      </c>
    </row>
    <row r="12204" spans="1:1" x14ac:dyDescent="0.2">
      <c r="A12204" s="996" t="str">
        <f>CONCATENATE(Programme!D12205,Programme!E12205,Programme!F12205,Programme!G12205,Programme!H12205,Programme!I12205,Programme!J12205)</f>
        <v>&lt;cellule&gt;&lt;codeEdi&gt;1080&lt;/codeEdi&gt;&lt;/cellule&gt;</v>
      </c>
    </row>
    <row r="12205" spans="1:1" x14ac:dyDescent="0.2">
      <c r="A12205" s="996" t="str">
        <f>CONCATENATE(Programme!D12206,Programme!E12206,Programme!F12206,Programme!G12206,Programme!H12206,Programme!I12206,Programme!J12206)</f>
        <v>&lt;valeur&gt;&lt;/valeur&gt;</v>
      </c>
    </row>
    <row r="12206" spans="1:1" x14ac:dyDescent="0.2">
      <c r="A12206" s="996" t="str">
        <f>CONCATENATE(Programme!D12207,Programme!E12207,Programme!F12207,Programme!G12207,Programme!H12207,Programme!I12207,Programme!J12207)</f>
        <v>&lt;numeroLigne&gt;81&lt;/numeroLigne&gt;</v>
      </c>
    </row>
    <row r="12207" spans="1:1" x14ac:dyDescent="0.2">
      <c r="A12207" s="996" t="str">
        <f>CONCATENATE(Programme!D12208,Programme!E12208,Programme!F12208,Programme!G12208,Programme!H12208,Programme!I12208,Programme!J12208)</f>
        <v>&lt;/ValeurCellule&gt;</v>
      </c>
    </row>
    <row r="12208" spans="1:1" x14ac:dyDescent="0.2">
      <c r="A12208" s="996" t="str">
        <f>CONCATENATE(Programme!D12209,Programme!E12209,Programme!F12209,Programme!G12209,Programme!H12209,Programme!I12209,Programme!J12209)</f>
        <v>&lt;ValeurCellule&gt;</v>
      </c>
    </row>
    <row r="12209" spans="1:1" x14ac:dyDescent="0.2">
      <c r="A12209" s="996" t="str">
        <f>CONCATENATE(Programme!D12210,Programme!E12210,Programme!F12210,Programme!G12210,Programme!H12210,Programme!I12210,Programme!J12210)</f>
        <v>&lt;cellule&gt;&lt;codeEdi&gt;1081&lt;/codeEdi&gt;&lt;/cellule&gt;</v>
      </c>
    </row>
    <row r="12210" spans="1:1" x14ac:dyDescent="0.2">
      <c r="A12210" s="996" t="str">
        <f>CONCATENATE(Programme!D12211,Programme!E12211,Programme!F12211,Programme!G12211,Programme!H12211,Programme!I12211,Programme!J12211)</f>
        <v>&lt;valeur&gt;&lt;/valeur&gt;</v>
      </c>
    </row>
    <row r="12211" spans="1:1" x14ac:dyDescent="0.2">
      <c r="A12211" s="996" t="str">
        <f>CONCATENATE(Programme!D12212,Programme!E12212,Programme!F12212,Programme!G12212,Programme!H12212,Programme!I12212,Programme!J12212)</f>
        <v>&lt;numeroLigne&gt;81&lt;/numeroLigne&gt;</v>
      </c>
    </row>
    <row r="12212" spans="1:1" x14ac:dyDescent="0.2">
      <c r="A12212" s="996" t="str">
        <f>CONCATENATE(Programme!D12213,Programme!E12213,Programme!F12213,Programme!G12213,Programme!H12213,Programme!I12213,Programme!J12213)</f>
        <v>&lt;/ValeurCellule&gt;</v>
      </c>
    </row>
    <row r="12213" spans="1:1" x14ac:dyDescent="0.2">
      <c r="A12213" s="996" t="str">
        <f>CONCATENATE(Programme!D12214,Programme!E12214,Programme!F12214,Programme!G12214,Programme!H12214,Programme!I12214,Programme!J12214)</f>
        <v>&lt;ValeurCellule&gt;</v>
      </c>
    </row>
    <row r="12214" spans="1:1" x14ac:dyDescent="0.2">
      <c r="A12214" s="996" t="str">
        <f>CONCATENATE(Programme!D12215,Programme!E12215,Programme!F12215,Programme!G12215,Programme!H12215,Programme!I12215,Programme!J12215)</f>
        <v>&lt;cellule&gt;&lt;codeEdi&gt;1082&lt;/codeEdi&gt;&lt;/cellule&gt;</v>
      </c>
    </row>
    <row r="12215" spans="1:1" x14ac:dyDescent="0.2">
      <c r="A12215" s="996" t="str">
        <f>CONCATENATE(Programme!D12216,Programme!E12216,Programme!F12216,Programme!G12216,Programme!H12216,Programme!I12216,Programme!J12216)</f>
        <v>&lt;valeur&gt;&lt;/valeur&gt;</v>
      </c>
    </row>
    <row r="12216" spans="1:1" x14ac:dyDescent="0.2">
      <c r="A12216" s="996" t="str">
        <f>CONCATENATE(Programme!D12217,Programme!E12217,Programme!F12217,Programme!G12217,Programme!H12217,Programme!I12217,Programme!J12217)</f>
        <v>&lt;numeroLigne&gt;81&lt;/numeroLigne&gt;</v>
      </c>
    </row>
    <row r="12217" spans="1:1" x14ac:dyDescent="0.2">
      <c r="A12217" s="996" t="str">
        <f>CONCATENATE(Programme!D12218,Programme!E12218,Programme!F12218,Programme!G12218,Programme!H12218,Programme!I12218,Programme!J12218)</f>
        <v>&lt;/ValeurCellule&gt;</v>
      </c>
    </row>
    <row r="12218" spans="1:1" x14ac:dyDescent="0.2">
      <c r="A12218" s="996" t="str">
        <f>CONCATENATE(Programme!D12219,Programme!E12219,Programme!F12219,Programme!G12219,Programme!H12219,Programme!I12219,Programme!J12219)</f>
        <v>&lt;ValeurCellule&gt;</v>
      </c>
    </row>
    <row r="12219" spans="1:1" x14ac:dyDescent="0.2">
      <c r="A12219" s="996" t="str">
        <f>CONCATENATE(Programme!D12220,Programme!E12220,Programme!F12220,Programme!G12220,Programme!H12220,Programme!I12220,Programme!J12220)</f>
        <v>&lt;cellule&gt;&lt;codeEdi&gt;1083&lt;/codeEdi&gt;&lt;/cellule&gt;</v>
      </c>
    </row>
    <row r="12220" spans="1:1" x14ac:dyDescent="0.2">
      <c r="A12220" s="996" t="str">
        <f>CONCATENATE(Programme!D12221,Programme!E12221,Programme!F12221,Programme!G12221,Programme!H12221,Programme!I12221,Programme!J12221)</f>
        <v>&lt;valeur&gt;&lt;/valeur&gt;</v>
      </c>
    </row>
    <row r="12221" spans="1:1" x14ac:dyDescent="0.2">
      <c r="A12221" s="996" t="str">
        <f>CONCATENATE(Programme!D12222,Programme!E12222,Programme!F12222,Programme!G12222,Programme!H12222,Programme!I12222,Programme!J12222)</f>
        <v>&lt;numeroLigne&gt;81&lt;/numeroLigne&gt;</v>
      </c>
    </row>
    <row r="12222" spans="1:1" x14ac:dyDescent="0.2">
      <c r="A12222" s="996" t="str">
        <f>CONCATENATE(Programme!D12223,Programme!E12223,Programme!F12223,Programme!G12223,Programme!H12223,Programme!I12223,Programme!J12223)</f>
        <v>&lt;/ValeurCellule&gt;</v>
      </c>
    </row>
    <row r="12223" spans="1:1" x14ac:dyDescent="0.2">
      <c r="A12223" s="996" t="str">
        <f>CONCATENATE(Programme!D12224,Programme!E12224,Programme!F12224,Programme!G12224,Programme!H12224,Programme!I12224,Programme!J12224)</f>
        <v>&lt;ValeurCellule&gt;</v>
      </c>
    </row>
    <row r="12224" spans="1:1" x14ac:dyDescent="0.2">
      <c r="A12224" s="996" t="str">
        <f>CONCATENATE(Programme!D12225,Programme!E12225,Programme!F12225,Programme!G12225,Programme!H12225,Programme!I12225,Programme!J12225)</f>
        <v>&lt;cellule&gt;&lt;codeEdi&gt;1084&lt;/codeEdi&gt;&lt;/cellule&gt;</v>
      </c>
    </row>
    <row r="12225" spans="1:1" x14ac:dyDescent="0.2">
      <c r="A12225" s="996" t="str">
        <f>CONCATENATE(Programme!D12226,Programme!E12226,Programme!F12226,Programme!G12226,Programme!H12226,Programme!I12226,Programme!J12226)</f>
        <v>&lt;valeur&gt;&lt;/valeur&gt;</v>
      </c>
    </row>
    <row r="12226" spans="1:1" x14ac:dyDescent="0.2">
      <c r="A12226" s="996" t="str">
        <f>CONCATENATE(Programme!D12227,Programme!E12227,Programme!F12227,Programme!G12227,Programme!H12227,Programme!I12227,Programme!J12227)</f>
        <v>&lt;numeroLigne&gt;81&lt;/numeroLigne&gt;</v>
      </c>
    </row>
    <row r="12227" spans="1:1" x14ac:dyDescent="0.2">
      <c r="A12227" s="996" t="str">
        <f>CONCATENATE(Programme!D12228,Programme!E12228,Programme!F12228,Programme!G12228,Programme!H12228,Programme!I12228,Programme!J12228)</f>
        <v>&lt;/ValeurCellule&gt;</v>
      </c>
    </row>
    <row r="12228" spans="1:1" x14ac:dyDescent="0.2">
      <c r="A12228" s="996" t="str">
        <f>CONCATENATE(Programme!D12229,Programme!E12229,Programme!F12229,Programme!G12229,Programme!H12229,Programme!I12229,Programme!J12229)</f>
        <v>&lt;ValeurCellule&gt;</v>
      </c>
    </row>
    <row r="12229" spans="1:1" x14ac:dyDescent="0.2">
      <c r="A12229" s="996" t="str">
        <f>CONCATENATE(Programme!D12230,Programme!E12230,Programme!F12230,Programme!G12230,Programme!H12230,Programme!I12230,Programme!J12230)</f>
        <v>&lt;cellule&gt;&lt;codeEdi&gt;1085&lt;/codeEdi&gt;&lt;/cellule&gt;</v>
      </c>
    </row>
    <row r="12230" spans="1:1" x14ac:dyDescent="0.2">
      <c r="A12230" s="996" t="str">
        <f>CONCATENATE(Programme!D12231,Programme!E12231,Programme!F12231,Programme!G12231,Programme!H12231,Programme!I12231,Programme!J12231)</f>
        <v>&lt;valeur&gt;&lt;/valeur&gt;</v>
      </c>
    </row>
    <row r="12231" spans="1:1" x14ac:dyDescent="0.2">
      <c r="A12231" s="996" t="str">
        <f>CONCATENATE(Programme!D12232,Programme!E12232,Programme!F12232,Programme!G12232,Programme!H12232,Programme!I12232,Programme!J12232)</f>
        <v>&lt;numeroLigne&gt;81&lt;/numeroLigne&gt;</v>
      </c>
    </row>
    <row r="12232" spans="1:1" x14ac:dyDescent="0.2">
      <c r="A12232" s="996" t="str">
        <f>CONCATENATE(Programme!D12233,Programme!E12233,Programme!F12233,Programme!G12233,Programme!H12233,Programme!I12233,Programme!J12233)</f>
        <v>&lt;/ValeurCellule&gt;</v>
      </c>
    </row>
    <row r="12233" spans="1:1" x14ac:dyDescent="0.2">
      <c r="A12233" s="996" t="str">
        <f>CONCATENATE(Programme!D12234,Programme!E12234,Programme!F12234,Programme!G12234,Programme!H12234,Programme!I12234,Programme!J12234)</f>
        <v>&lt;ValeurCellule&gt;</v>
      </c>
    </row>
    <row r="12234" spans="1:1" x14ac:dyDescent="0.2">
      <c r="A12234" s="996" t="str">
        <f>CONCATENATE(Programme!D12235,Programme!E12235,Programme!F12235,Programme!G12235,Programme!H12235,Programme!I12235,Programme!J12235)</f>
        <v>&lt;cellule&gt;&lt;codeEdi&gt;1086&lt;/codeEdi&gt;&lt;/cellule&gt;</v>
      </c>
    </row>
    <row r="12235" spans="1:1" x14ac:dyDescent="0.2">
      <c r="A12235" s="996" t="str">
        <f>CONCATENATE(Programme!D12236,Programme!E12236,Programme!F12236,Programme!G12236,Programme!H12236,Programme!I12236,Programme!J12236)</f>
        <v>&lt;valeur&gt;&lt;/valeur&gt;</v>
      </c>
    </row>
    <row r="12236" spans="1:1" x14ac:dyDescent="0.2">
      <c r="A12236" s="996" t="str">
        <f>CONCATENATE(Programme!D12237,Programme!E12237,Programme!F12237,Programme!G12237,Programme!H12237,Programme!I12237,Programme!J12237)</f>
        <v>&lt;numeroLigne&gt;81&lt;/numeroLigne&gt;</v>
      </c>
    </row>
    <row r="12237" spans="1:1" x14ac:dyDescent="0.2">
      <c r="A12237" s="996" t="str">
        <f>CONCATENATE(Programme!D12238,Programme!E12238,Programme!F12238,Programme!G12238,Programme!H12238,Programme!I12238,Programme!J12238)</f>
        <v>&lt;/ValeurCellule&gt;</v>
      </c>
    </row>
    <row r="12238" spans="1:1" x14ac:dyDescent="0.2">
      <c r="A12238" s="996" t="str">
        <f>CONCATENATE(Programme!D12239,Programme!E12239,Programme!F12239,Programme!G12239,Programme!H12239,Programme!I12239,Programme!J12239)</f>
        <v>&lt;ValeurCellule&gt;</v>
      </c>
    </row>
    <row r="12239" spans="1:1" x14ac:dyDescent="0.2">
      <c r="A12239" s="996" t="str">
        <f>CONCATENATE(Programme!D12240,Programme!E12240,Programme!F12240,Programme!G12240,Programme!H12240,Programme!I12240,Programme!J12240)</f>
        <v>&lt;cellule&gt;&lt;codeEdi&gt;10061&lt;/codeEdi&gt;&lt;/cellule&gt;</v>
      </c>
    </row>
    <row r="12240" spans="1:1" x14ac:dyDescent="0.2">
      <c r="A12240" s="996" t="str">
        <f>CONCATENATE(Programme!D12241,Programme!E12241,Programme!F12241,Programme!G12241,Programme!H12241,Programme!I12241,Programme!J12241)</f>
        <v>&lt;valeur&gt;&lt;/valeur&gt;</v>
      </c>
    </row>
    <row r="12241" spans="1:1" x14ac:dyDescent="0.2">
      <c r="A12241" s="996" t="str">
        <f>CONCATENATE(Programme!D12242,Programme!E12242,Programme!F12242,Programme!G12242,Programme!H12242,Programme!I12242,Programme!J12242)</f>
        <v>&lt;numeroLigne&gt;82&lt;/numeroLigne&gt;</v>
      </c>
    </row>
    <row r="12242" spans="1:1" x14ac:dyDescent="0.2">
      <c r="A12242" s="996" t="str">
        <f>CONCATENATE(Programme!D12243,Programme!E12243,Programme!F12243,Programme!G12243,Programme!H12243,Programme!I12243,Programme!J12243)</f>
        <v>&lt;/ValeurCellule&gt;</v>
      </c>
    </row>
    <row r="12243" spans="1:1" x14ac:dyDescent="0.2">
      <c r="A12243" s="996" t="str">
        <f>CONCATENATE(Programme!D12244,Programme!E12244,Programme!F12244,Programme!G12244,Programme!H12244,Programme!I12244,Programme!J12244)</f>
        <v>&lt;ValeurCellule&gt;</v>
      </c>
    </row>
    <row r="12244" spans="1:1" x14ac:dyDescent="0.2">
      <c r="A12244" s="996" t="str">
        <f>CONCATENATE(Programme!D12245,Programme!E12245,Programme!F12245,Programme!G12245,Programme!H12245,Programme!I12245,Programme!J12245)</f>
        <v>&lt;cellule&gt;&lt;codeEdi&gt;1078&lt;/codeEdi&gt;&lt;/cellule&gt;</v>
      </c>
    </row>
    <row r="12245" spans="1:1" x14ac:dyDescent="0.2">
      <c r="A12245" s="996" t="str">
        <f>CONCATENATE(Programme!D12246,Programme!E12246,Programme!F12246,Programme!G12246,Programme!H12246,Programme!I12246,Programme!J12246)</f>
        <v>&lt;valeur&gt;&lt;/valeur&gt;</v>
      </c>
    </row>
    <row r="12246" spans="1:1" x14ac:dyDescent="0.2">
      <c r="A12246" s="996" t="str">
        <f>CONCATENATE(Programme!D12247,Programme!E12247,Programme!F12247,Programme!G12247,Programme!H12247,Programme!I12247,Programme!J12247)</f>
        <v>&lt;numeroLigne&gt;82&lt;/numeroLigne&gt;</v>
      </c>
    </row>
    <row r="12247" spans="1:1" x14ac:dyDescent="0.2">
      <c r="A12247" s="996" t="str">
        <f>CONCATENATE(Programme!D12248,Programme!E12248,Programme!F12248,Programme!G12248,Programme!H12248,Programme!I12248,Programme!J12248)</f>
        <v>&lt;/ValeurCellule&gt;</v>
      </c>
    </row>
    <row r="12248" spans="1:1" x14ac:dyDescent="0.2">
      <c r="A12248" s="996" t="str">
        <f>CONCATENATE(Programme!D12249,Programme!E12249,Programme!F12249,Programme!G12249,Programme!H12249,Programme!I12249,Programme!J12249)</f>
        <v>&lt;ValeurCellule&gt;</v>
      </c>
    </row>
    <row r="12249" spans="1:1" x14ac:dyDescent="0.2">
      <c r="A12249" s="996" t="str">
        <f>CONCATENATE(Programme!D12250,Programme!E12250,Programme!F12250,Programme!G12250,Programme!H12250,Programme!I12250,Programme!J12250)</f>
        <v>&lt;cellule&gt;&lt;codeEdi&gt;1079&lt;/codeEdi&gt;&lt;/cellule&gt;</v>
      </c>
    </row>
    <row r="12250" spans="1:1" x14ac:dyDescent="0.2">
      <c r="A12250" s="996" t="str">
        <f>CONCATENATE(Programme!D12251,Programme!E12251,Programme!F12251,Programme!G12251,Programme!H12251,Programme!I12251,Programme!J12251)</f>
        <v>&lt;valeur&gt;&lt;/valeur&gt;</v>
      </c>
    </row>
    <row r="12251" spans="1:1" x14ac:dyDescent="0.2">
      <c r="A12251" s="996" t="str">
        <f>CONCATENATE(Programme!D12252,Programme!E12252,Programme!F12252,Programme!G12252,Programme!H12252,Programme!I12252,Programme!J12252)</f>
        <v>&lt;numeroLigne&gt;82&lt;/numeroLigne&gt;</v>
      </c>
    </row>
    <row r="12252" spans="1:1" x14ac:dyDescent="0.2">
      <c r="A12252" s="996" t="str">
        <f>CONCATENATE(Programme!D12253,Programme!E12253,Programme!F12253,Programme!G12253,Programme!H12253,Programme!I12253,Programme!J12253)</f>
        <v>&lt;/ValeurCellule&gt;</v>
      </c>
    </row>
    <row r="12253" spans="1:1" x14ac:dyDescent="0.2">
      <c r="A12253" s="996" t="str">
        <f>CONCATENATE(Programme!D12254,Programme!E12254,Programme!F12254,Programme!G12254,Programme!H12254,Programme!I12254,Programme!J12254)</f>
        <v>&lt;ValeurCellule&gt;</v>
      </c>
    </row>
    <row r="12254" spans="1:1" x14ac:dyDescent="0.2">
      <c r="A12254" s="996" t="str">
        <f>CONCATENATE(Programme!D12255,Programme!E12255,Programme!F12255,Programme!G12255,Programme!H12255,Programme!I12255,Programme!J12255)</f>
        <v>&lt;cellule&gt;&lt;codeEdi&gt;1080&lt;/codeEdi&gt;&lt;/cellule&gt;</v>
      </c>
    </row>
    <row r="12255" spans="1:1" x14ac:dyDescent="0.2">
      <c r="A12255" s="996" t="str">
        <f>CONCATENATE(Programme!D12256,Programme!E12256,Programme!F12256,Programme!G12256,Programme!H12256,Programme!I12256,Programme!J12256)</f>
        <v>&lt;valeur&gt;&lt;/valeur&gt;</v>
      </c>
    </row>
    <row r="12256" spans="1:1" x14ac:dyDescent="0.2">
      <c r="A12256" s="996" t="str">
        <f>CONCATENATE(Programme!D12257,Programme!E12257,Programme!F12257,Programme!G12257,Programme!H12257,Programme!I12257,Programme!J12257)</f>
        <v>&lt;numeroLigne&gt;82&lt;/numeroLigne&gt;</v>
      </c>
    </row>
    <row r="12257" spans="1:1" x14ac:dyDescent="0.2">
      <c r="A12257" s="996" t="str">
        <f>CONCATENATE(Programme!D12258,Programme!E12258,Programme!F12258,Programme!G12258,Programme!H12258,Programme!I12258,Programme!J12258)</f>
        <v>&lt;/ValeurCellule&gt;</v>
      </c>
    </row>
    <row r="12258" spans="1:1" x14ac:dyDescent="0.2">
      <c r="A12258" s="996" t="str">
        <f>CONCATENATE(Programme!D12259,Programme!E12259,Programme!F12259,Programme!G12259,Programme!H12259,Programme!I12259,Programme!J12259)</f>
        <v>&lt;ValeurCellule&gt;</v>
      </c>
    </row>
    <row r="12259" spans="1:1" x14ac:dyDescent="0.2">
      <c r="A12259" s="996" t="str">
        <f>CONCATENATE(Programme!D12260,Programme!E12260,Programme!F12260,Programme!G12260,Programme!H12260,Programme!I12260,Programme!J12260)</f>
        <v>&lt;cellule&gt;&lt;codeEdi&gt;1081&lt;/codeEdi&gt;&lt;/cellule&gt;</v>
      </c>
    </row>
    <row r="12260" spans="1:1" x14ac:dyDescent="0.2">
      <c r="A12260" s="996" t="str">
        <f>CONCATENATE(Programme!D12261,Programme!E12261,Programme!F12261,Programme!G12261,Programme!H12261,Programme!I12261,Programme!J12261)</f>
        <v>&lt;valeur&gt;&lt;/valeur&gt;</v>
      </c>
    </row>
    <row r="12261" spans="1:1" x14ac:dyDescent="0.2">
      <c r="A12261" s="996" t="str">
        <f>CONCATENATE(Programme!D12262,Programme!E12262,Programme!F12262,Programme!G12262,Programme!H12262,Programme!I12262,Programme!J12262)</f>
        <v>&lt;numeroLigne&gt;82&lt;/numeroLigne&gt;</v>
      </c>
    </row>
    <row r="12262" spans="1:1" x14ac:dyDescent="0.2">
      <c r="A12262" s="996" t="str">
        <f>CONCATENATE(Programme!D12263,Programme!E12263,Programme!F12263,Programme!G12263,Programme!H12263,Programme!I12263,Programme!J12263)</f>
        <v>&lt;/ValeurCellule&gt;</v>
      </c>
    </row>
    <row r="12263" spans="1:1" x14ac:dyDescent="0.2">
      <c r="A12263" s="996" t="str">
        <f>CONCATENATE(Programme!D12264,Programme!E12264,Programme!F12264,Programme!G12264,Programme!H12264,Programme!I12264,Programme!J12264)</f>
        <v>&lt;ValeurCellule&gt;</v>
      </c>
    </row>
    <row r="12264" spans="1:1" x14ac:dyDescent="0.2">
      <c r="A12264" s="996" t="str">
        <f>CONCATENATE(Programme!D12265,Programme!E12265,Programme!F12265,Programme!G12265,Programme!H12265,Programme!I12265,Programme!J12265)</f>
        <v>&lt;cellule&gt;&lt;codeEdi&gt;1082&lt;/codeEdi&gt;&lt;/cellule&gt;</v>
      </c>
    </row>
    <row r="12265" spans="1:1" x14ac:dyDescent="0.2">
      <c r="A12265" s="996" t="str">
        <f>CONCATENATE(Programme!D12266,Programme!E12266,Programme!F12266,Programme!G12266,Programme!H12266,Programme!I12266,Programme!J12266)</f>
        <v>&lt;valeur&gt;&lt;/valeur&gt;</v>
      </c>
    </row>
    <row r="12266" spans="1:1" x14ac:dyDescent="0.2">
      <c r="A12266" s="996" t="str">
        <f>CONCATENATE(Programme!D12267,Programme!E12267,Programme!F12267,Programme!G12267,Programme!H12267,Programme!I12267,Programme!J12267)</f>
        <v>&lt;numeroLigne&gt;82&lt;/numeroLigne&gt;</v>
      </c>
    </row>
    <row r="12267" spans="1:1" x14ac:dyDescent="0.2">
      <c r="A12267" s="996" t="str">
        <f>CONCATENATE(Programme!D12268,Programme!E12268,Programme!F12268,Programme!G12268,Programme!H12268,Programme!I12268,Programme!J12268)</f>
        <v>&lt;/ValeurCellule&gt;</v>
      </c>
    </row>
    <row r="12268" spans="1:1" x14ac:dyDescent="0.2">
      <c r="A12268" s="996" t="str">
        <f>CONCATENATE(Programme!D12269,Programme!E12269,Programme!F12269,Programme!G12269,Programme!H12269,Programme!I12269,Programme!J12269)</f>
        <v>&lt;ValeurCellule&gt;</v>
      </c>
    </row>
    <row r="12269" spans="1:1" x14ac:dyDescent="0.2">
      <c r="A12269" s="996" t="str">
        <f>CONCATENATE(Programme!D12270,Programme!E12270,Programme!F12270,Programme!G12270,Programme!H12270,Programme!I12270,Programme!J12270)</f>
        <v>&lt;cellule&gt;&lt;codeEdi&gt;1083&lt;/codeEdi&gt;&lt;/cellule&gt;</v>
      </c>
    </row>
    <row r="12270" spans="1:1" x14ac:dyDescent="0.2">
      <c r="A12270" s="996" t="str">
        <f>CONCATENATE(Programme!D12271,Programme!E12271,Programme!F12271,Programme!G12271,Programme!H12271,Programme!I12271,Programme!J12271)</f>
        <v>&lt;valeur&gt;&lt;/valeur&gt;</v>
      </c>
    </row>
    <row r="12271" spans="1:1" x14ac:dyDescent="0.2">
      <c r="A12271" s="996" t="str">
        <f>CONCATENATE(Programme!D12272,Programme!E12272,Programme!F12272,Programme!G12272,Programme!H12272,Programme!I12272,Programme!J12272)</f>
        <v>&lt;numeroLigne&gt;82&lt;/numeroLigne&gt;</v>
      </c>
    </row>
    <row r="12272" spans="1:1" x14ac:dyDescent="0.2">
      <c r="A12272" s="996" t="str">
        <f>CONCATENATE(Programme!D12273,Programme!E12273,Programme!F12273,Programme!G12273,Programme!H12273,Programme!I12273,Programme!J12273)</f>
        <v>&lt;/ValeurCellule&gt;</v>
      </c>
    </row>
    <row r="12273" spans="1:1" x14ac:dyDescent="0.2">
      <c r="A12273" s="996" t="str">
        <f>CONCATENATE(Programme!D12274,Programme!E12274,Programme!F12274,Programme!G12274,Programme!H12274,Programme!I12274,Programme!J12274)</f>
        <v>&lt;ValeurCellule&gt;</v>
      </c>
    </row>
    <row r="12274" spans="1:1" x14ac:dyDescent="0.2">
      <c r="A12274" s="996" t="str">
        <f>CONCATENATE(Programme!D12275,Programme!E12275,Programme!F12275,Programme!G12275,Programme!H12275,Programme!I12275,Programme!J12275)</f>
        <v>&lt;cellule&gt;&lt;codeEdi&gt;1084&lt;/codeEdi&gt;&lt;/cellule&gt;</v>
      </c>
    </row>
    <row r="12275" spans="1:1" x14ac:dyDescent="0.2">
      <c r="A12275" s="996" t="str">
        <f>CONCATENATE(Programme!D12276,Programme!E12276,Programme!F12276,Programme!G12276,Programme!H12276,Programme!I12276,Programme!J12276)</f>
        <v>&lt;valeur&gt;&lt;/valeur&gt;</v>
      </c>
    </row>
    <row r="12276" spans="1:1" x14ac:dyDescent="0.2">
      <c r="A12276" s="996" t="str">
        <f>CONCATENATE(Programme!D12277,Programme!E12277,Programme!F12277,Programme!G12277,Programme!H12277,Programme!I12277,Programme!J12277)</f>
        <v>&lt;numeroLigne&gt;82&lt;/numeroLigne&gt;</v>
      </c>
    </row>
    <row r="12277" spans="1:1" x14ac:dyDescent="0.2">
      <c r="A12277" s="996" t="str">
        <f>CONCATENATE(Programme!D12278,Programme!E12278,Programme!F12278,Programme!G12278,Programme!H12278,Programme!I12278,Programme!J12278)</f>
        <v>&lt;/ValeurCellule&gt;</v>
      </c>
    </row>
    <row r="12278" spans="1:1" x14ac:dyDescent="0.2">
      <c r="A12278" s="996" t="str">
        <f>CONCATENATE(Programme!D12279,Programme!E12279,Programme!F12279,Programme!G12279,Programme!H12279,Programme!I12279,Programme!J12279)</f>
        <v>&lt;ValeurCellule&gt;</v>
      </c>
    </row>
    <row r="12279" spans="1:1" x14ac:dyDescent="0.2">
      <c r="A12279" s="996" t="str">
        <f>CONCATENATE(Programme!D12280,Programme!E12280,Programme!F12280,Programme!G12280,Programme!H12280,Programme!I12280,Programme!J12280)</f>
        <v>&lt;cellule&gt;&lt;codeEdi&gt;1085&lt;/codeEdi&gt;&lt;/cellule&gt;</v>
      </c>
    </row>
    <row r="12280" spans="1:1" x14ac:dyDescent="0.2">
      <c r="A12280" s="996" t="str">
        <f>CONCATENATE(Programme!D12281,Programme!E12281,Programme!F12281,Programme!G12281,Programme!H12281,Programme!I12281,Programme!J12281)</f>
        <v>&lt;valeur&gt;&lt;/valeur&gt;</v>
      </c>
    </row>
    <row r="12281" spans="1:1" x14ac:dyDescent="0.2">
      <c r="A12281" s="996" t="str">
        <f>CONCATENATE(Programme!D12282,Programme!E12282,Programme!F12282,Programme!G12282,Programme!H12282,Programme!I12282,Programme!J12282)</f>
        <v>&lt;numeroLigne&gt;82&lt;/numeroLigne&gt;</v>
      </c>
    </row>
    <row r="12282" spans="1:1" x14ac:dyDescent="0.2">
      <c r="A12282" s="996" t="str">
        <f>CONCATENATE(Programme!D12283,Programme!E12283,Programme!F12283,Programme!G12283,Programme!H12283,Programme!I12283,Programme!J12283)</f>
        <v>&lt;/ValeurCellule&gt;</v>
      </c>
    </row>
    <row r="12283" spans="1:1" x14ac:dyDescent="0.2">
      <c r="A12283" s="996" t="str">
        <f>CONCATENATE(Programme!D12284,Programme!E12284,Programme!F12284,Programme!G12284,Programme!H12284,Programme!I12284,Programme!J12284)</f>
        <v>&lt;ValeurCellule&gt;</v>
      </c>
    </row>
    <row r="12284" spans="1:1" x14ac:dyDescent="0.2">
      <c r="A12284" s="996" t="str">
        <f>CONCATENATE(Programme!D12285,Programme!E12285,Programme!F12285,Programme!G12285,Programme!H12285,Programme!I12285,Programme!J12285)</f>
        <v>&lt;cellule&gt;&lt;codeEdi&gt;1086&lt;/codeEdi&gt;&lt;/cellule&gt;</v>
      </c>
    </row>
    <row r="12285" spans="1:1" x14ac:dyDescent="0.2">
      <c r="A12285" s="996" t="str">
        <f>CONCATENATE(Programme!D12286,Programme!E12286,Programme!F12286,Programme!G12286,Programme!H12286,Programme!I12286,Programme!J12286)</f>
        <v>&lt;valeur&gt;&lt;/valeur&gt;</v>
      </c>
    </row>
    <row r="12286" spans="1:1" x14ac:dyDescent="0.2">
      <c r="A12286" s="996" t="str">
        <f>CONCATENATE(Programme!D12287,Programme!E12287,Programme!F12287,Programme!G12287,Programme!H12287,Programme!I12287,Programme!J12287)</f>
        <v>&lt;numeroLigne&gt;82&lt;/numeroLigne&gt;</v>
      </c>
    </row>
    <row r="12287" spans="1:1" x14ac:dyDescent="0.2">
      <c r="A12287" s="996" t="str">
        <f>CONCATENATE(Programme!D12288,Programme!E12288,Programme!F12288,Programme!G12288,Programme!H12288,Programme!I12288,Programme!J12288)</f>
        <v>&lt;/ValeurCellule&gt;</v>
      </c>
    </row>
    <row r="12288" spans="1:1" x14ac:dyDescent="0.2">
      <c r="A12288" s="996" t="str">
        <f>CONCATENATE(Programme!D12289,Programme!E12289,Programme!F12289,Programme!G12289,Programme!H12289,Programme!I12289,Programme!J12289)</f>
        <v>&lt;ValeurCellule&gt;</v>
      </c>
    </row>
    <row r="12289" spans="1:1" x14ac:dyDescent="0.2">
      <c r="A12289" s="996" t="str">
        <f>CONCATENATE(Programme!D12290,Programme!E12290,Programme!F12290,Programme!G12290,Programme!H12290,Programme!I12290,Programme!J12290)</f>
        <v>&lt;cellule&gt;&lt;codeEdi&gt;10061&lt;/codeEdi&gt;&lt;/cellule&gt;</v>
      </c>
    </row>
    <row r="12290" spans="1:1" x14ac:dyDescent="0.2">
      <c r="A12290" s="996" t="str">
        <f>CONCATENATE(Programme!D12291,Programme!E12291,Programme!F12291,Programme!G12291,Programme!H12291,Programme!I12291,Programme!J12291)</f>
        <v>&lt;valeur&gt;&lt;/valeur&gt;</v>
      </c>
    </row>
    <row r="12291" spans="1:1" x14ac:dyDescent="0.2">
      <c r="A12291" s="996" t="str">
        <f>CONCATENATE(Programme!D12292,Programme!E12292,Programme!F12292,Programme!G12292,Programme!H12292,Programme!I12292,Programme!J12292)</f>
        <v>&lt;numeroLigne&gt;83&lt;/numeroLigne&gt;</v>
      </c>
    </row>
    <row r="12292" spans="1:1" x14ac:dyDescent="0.2">
      <c r="A12292" s="996" t="str">
        <f>CONCATENATE(Programme!D12293,Programme!E12293,Programme!F12293,Programme!G12293,Programme!H12293,Programme!I12293,Programme!J12293)</f>
        <v>&lt;/ValeurCellule&gt;</v>
      </c>
    </row>
    <row r="12293" spans="1:1" x14ac:dyDescent="0.2">
      <c r="A12293" s="996" t="str">
        <f>CONCATENATE(Programme!D12294,Programme!E12294,Programme!F12294,Programme!G12294,Programme!H12294,Programme!I12294,Programme!J12294)</f>
        <v>&lt;ValeurCellule&gt;</v>
      </c>
    </row>
    <row r="12294" spans="1:1" x14ac:dyDescent="0.2">
      <c r="A12294" s="996" t="str">
        <f>CONCATENATE(Programme!D12295,Programme!E12295,Programme!F12295,Programme!G12295,Programme!H12295,Programme!I12295,Programme!J12295)</f>
        <v>&lt;cellule&gt;&lt;codeEdi&gt;1078&lt;/codeEdi&gt;&lt;/cellule&gt;</v>
      </c>
    </row>
    <row r="12295" spans="1:1" x14ac:dyDescent="0.2">
      <c r="A12295" s="996" t="str">
        <f>CONCATENATE(Programme!D12296,Programme!E12296,Programme!F12296,Programme!G12296,Programme!H12296,Programme!I12296,Programme!J12296)</f>
        <v>&lt;valeur&gt;&lt;/valeur&gt;</v>
      </c>
    </row>
    <row r="12296" spans="1:1" x14ac:dyDescent="0.2">
      <c r="A12296" s="996" t="str">
        <f>CONCATENATE(Programme!D12297,Programme!E12297,Programme!F12297,Programme!G12297,Programme!H12297,Programme!I12297,Programme!J12297)</f>
        <v>&lt;numeroLigne&gt;83&lt;/numeroLigne&gt;</v>
      </c>
    </row>
    <row r="12297" spans="1:1" x14ac:dyDescent="0.2">
      <c r="A12297" s="996" t="str">
        <f>CONCATENATE(Programme!D12298,Programme!E12298,Programme!F12298,Programme!G12298,Programme!H12298,Programme!I12298,Programme!J12298)</f>
        <v>&lt;/ValeurCellule&gt;</v>
      </c>
    </row>
    <row r="12298" spans="1:1" x14ac:dyDescent="0.2">
      <c r="A12298" s="996" t="str">
        <f>CONCATENATE(Programme!D12299,Programme!E12299,Programme!F12299,Programme!G12299,Programme!H12299,Programme!I12299,Programme!J12299)</f>
        <v>&lt;ValeurCellule&gt;</v>
      </c>
    </row>
    <row r="12299" spans="1:1" x14ac:dyDescent="0.2">
      <c r="A12299" s="996" t="str">
        <f>CONCATENATE(Programme!D12300,Programme!E12300,Programme!F12300,Programme!G12300,Programme!H12300,Programme!I12300,Programme!J12300)</f>
        <v>&lt;cellule&gt;&lt;codeEdi&gt;1079&lt;/codeEdi&gt;&lt;/cellule&gt;</v>
      </c>
    </row>
    <row r="12300" spans="1:1" x14ac:dyDescent="0.2">
      <c r="A12300" s="996" t="str">
        <f>CONCATENATE(Programme!D12301,Programme!E12301,Programme!F12301,Programme!G12301,Programme!H12301,Programme!I12301,Programme!J12301)</f>
        <v>&lt;valeur&gt;&lt;/valeur&gt;</v>
      </c>
    </row>
    <row r="12301" spans="1:1" x14ac:dyDescent="0.2">
      <c r="A12301" s="996" t="str">
        <f>CONCATENATE(Programme!D12302,Programme!E12302,Programme!F12302,Programme!G12302,Programme!H12302,Programme!I12302,Programme!J12302)</f>
        <v>&lt;numeroLigne&gt;83&lt;/numeroLigne&gt;</v>
      </c>
    </row>
    <row r="12302" spans="1:1" x14ac:dyDescent="0.2">
      <c r="A12302" s="996" t="str">
        <f>CONCATENATE(Programme!D12303,Programme!E12303,Programme!F12303,Programme!G12303,Programme!H12303,Programme!I12303,Programme!J12303)</f>
        <v>&lt;/ValeurCellule&gt;</v>
      </c>
    </row>
    <row r="12303" spans="1:1" x14ac:dyDescent="0.2">
      <c r="A12303" s="996" t="str">
        <f>CONCATENATE(Programme!D12304,Programme!E12304,Programme!F12304,Programme!G12304,Programme!H12304,Programme!I12304,Programme!J12304)</f>
        <v>&lt;ValeurCellule&gt;</v>
      </c>
    </row>
    <row r="12304" spans="1:1" x14ac:dyDescent="0.2">
      <c r="A12304" s="996" t="str">
        <f>CONCATENATE(Programme!D12305,Programme!E12305,Programme!F12305,Programme!G12305,Programme!H12305,Programme!I12305,Programme!J12305)</f>
        <v>&lt;cellule&gt;&lt;codeEdi&gt;1080&lt;/codeEdi&gt;&lt;/cellule&gt;</v>
      </c>
    </row>
    <row r="12305" spans="1:1" x14ac:dyDescent="0.2">
      <c r="A12305" s="996" t="str">
        <f>CONCATENATE(Programme!D12306,Programme!E12306,Programme!F12306,Programme!G12306,Programme!H12306,Programme!I12306,Programme!J12306)</f>
        <v>&lt;valeur&gt;&lt;/valeur&gt;</v>
      </c>
    </row>
    <row r="12306" spans="1:1" x14ac:dyDescent="0.2">
      <c r="A12306" s="996" t="str">
        <f>CONCATENATE(Programme!D12307,Programme!E12307,Programme!F12307,Programme!G12307,Programme!H12307,Programme!I12307,Programme!J12307)</f>
        <v>&lt;numeroLigne&gt;83&lt;/numeroLigne&gt;</v>
      </c>
    </row>
    <row r="12307" spans="1:1" x14ac:dyDescent="0.2">
      <c r="A12307" s="996" t="str">
        <f>CONCATENATE(Programme!D12308,Programme!E12308,Programme!F12308,Programme!G12308,Programme!H12308,Programme!I12308,Programme!J12308)</f>
        <v>&lt;/ValeurCellule&gt;</v>
      </c>
    </row>
    <row r="12308" spans="1:1" x14ac:dyDescent="0.2">
      <c r="A12308" s="996" t="str">
        <f>CONCATENATE(Programme!D12309,Programme!E12309,Programme!F12309,Programme!G12309,Programme!H12309,Programme!I12309,Programme!J12309)</f>
        <v>&lt;ValeurCellule&gt;</v>
      </c>
    </row>
    <row r="12309" spans="1:1" x14ac:dyDescent="0.2">
      <c r="A12309" s="996" t="str">
        <f>CONCATENATE(Programme!D12310,Programme!E12310,Programme!F12310,Programme!G12310,Programme!H12310,Programme!I12310,Programme!J12310)</f>
        <v>&lt;cellule&gt;&lt;codeEdi&gt;1081&lt;/codeEdi&gt;&lt;/cellule&gt;</v>
      </c>
    </row>
    <row r="12310" spans="1:1" x14ac:dyDescent="0.2">
      <c r="A12310" s="996" t="str">
        <f>CONCATENATE(Programme!D12311,Programme!E12311,Programme!F12311,Programme!G12311,Programme!H12311,Programme!I12311,Programme!J12311)</f>
        <v>&lt;valeur&gt;&lt;/valeur&gt;</v>
      </c>
    </row>
    <row r="12311" spans="1:1" x14ac:dyDescent="0.2">
      <c r="A12311" s="996" t="str">
        <f>CONCATENATE(Programme!D12312,Programme!E12312,Programme!F12312,Programme!G12312,Programme!H12312,Programme!I12312,Programme!J12312)</f>
        <v>&lt;numeroLigne&gt;83&lt;/numeroLigne&gt;</v>
      </c>
    </row>
    <row r="12312" spans="1:1" x14ac:dyDescent="0.2">
      <c r="A12312" s="996" t="str">
        <f>CONCATENATE(Programme!D12313,Programme!E12313,Programme!F12313,Programme!G12313,Programme!H12313,Programme!I12313,Programme!J12313)</f>
        <v>&lt;/ValeurCellule&gt;</v>
      </c>
    </row>
    <row r="12313" spans="1:1" x14ac:dyDescent="0.2">
      <c r="A12313" s="996" t="str">
        <f>CONCATENATE(Programme!D12314,Programme!E12314,Programme!F12314,Programme!G12314,Programme!H12314,Programme!I12314,Programme!J12314)</f>
        <v>&lt;ValeurCellule&gt;</v>
      </c>
    </row>
    <row r="12314" spans="1:1" x14ac:dyDescent="0.2">
      <c r="A12314" s="996" t="str">
        <f>CONCATENATE(Programme!D12315,Programme!E12315,Programme!F12315,Programme!G12315,Programme!H12315,Programme!I12315,Programme!J12315)</f>
        <v>&lt;cellule&gt;&lt;codeEdi&gt;1082&lt;/codeEdi&gt;&lt;/cellule&gt;</v>
      </c>
    </row>
    <row r="12315" spans="1:1" x14ac:dyDescent="0.2">
      <c r="A12315" s="996" t="str">
        <f>CONCATENATE(Programme!D12316,Programme!E12316,Programme!F12316,Programme!G12316,Programme!H12316,Programme!I12316,Programme!J12316)</f>
        <v>&lt;valeur&gt;&lt;/valeur&gt;</v>
      </c>
    </row>
    <row r="12316" spans="1:1" x14ac:dyDescent="0.2">
      <c r="A12316" s="996" t="str">
        <f>CONCATENATE(Programme!D12317,Programme!E12317,Programme!F12317,Programme!G12317,Programme!H12317,Programme!I12317,Programme!J12317)</f>
        <v>&lt;numeroLigne&gt;83&lt;/numeroLigne&gt;</v>
      </c>
    </row>
    <row r="12317" spans="1:1" x14ac:dyDescent="0.2">
      <c r="A12317" s="996" t="str">
        <f>CONCATENATE(Programme!D12318,Programme!E12318,Programme!F12318,Programme!G12318,Programme!H12318,Programme!I12318,Programme!J12318)</f>
        <v>&lt;/ValeurCellule&gt;</v>
      </c>
    </row>
    <row r="12318" spans="1:1" x14ac:dyDescent="0.2">
      <c r="A12318" s="996" t="str">
        <f>CONCATENATE(Programme!D12319,Programme!E12319,Programme!F12319,Programme!G12319,Programme!H12319,Programme!I12319,Programme!J12319)</f>
        <v>&lt;ValeurCellule&gt;</v>
      </c>
    </row>
    <row r="12319" spans="1:1" x14ac:dyDescent="0.2">
      <c r="A12319" s="996" t="str">
        <f>CONCATENATE(Programme!D12320,Programme!E12320,Programme!F12320,Programme!G12320,Programme!H12320,Programme!I12320,Programme!J12320)</f>
        <v>&lt;cellule&gt;&lt;codeEdi&gt;1083&lt;/codeEdi&gt;&lt;/cellule&gt;</v>
      </c>
    </row>
    <row r="12320" spans="1:1" x14ac:dyDescent="0.2">
      <c r="A12320" s="996" t="str">
        <f>CONCATENATE(Programme!D12321,Programme!E12321,Programme!F12321,Programme!G12321,Programme!H12321,Programme!I12321,Programme!J12321)</f>
        <v>&lt;valeur&gt;&lt;/valeur&gt;</v>
      </c>
    </row>
    <row r="12321" spans="1:1" x14ac:dyDescent="0.2">
      <c r="A12321" s="996" t="str">
        <f>CONCATENATE(Programme!D12322,Programme!E12322,Programme!F12322,Programme!G12322,Programme!H12322,Programme!I12322,Programme!J12322)</f>
        <v>&lt;numeroLigne&gt;83&lt;/numeroLigne&gt;</v>
      </c>
    </row>
    <row r="12322" spans="1:1" x14ac:dyDescent="0.2">
      <c r="A12322" s="996" t="str">
        <f>CONCATENATE(Programme!D12323,Programme!E12323,Programme!F12323,Programme!G12323,Programme!H12323,Programme!I12323,Programme!J12323)</f>
        <v>&lt;/ValeurCellule&gt;</v>
      </c>
    </row>
    <row r="12323" spans="1:1" x14ac:dyDescent="0.2">
      <c r="A12323" s="996" t="str">
        <f>CONCATENATE(Programme!D12324,Programme!E12324,Programme!F12324,Programme!G12324,Programme!H12324,Programme!I12324,Programme!J12324)</f>
        <v>&lt;ValeurCellule&gt;</v>
      </c>
    </row>
    <row r="12324" spans="1:1" x14ac:dyDescent="0.2">
      <c r="A12324" s="996" t="str">
        <f>CONCATENATE(Programme!D12325,Programme!E12325,Programme!F12325,Programme!G12325,Programme!H12325,Programme!I12325,Programme!J12325)</f>
        <v>&lt;cellule&gt;&lt;codeEdi&gt;1084&lt;/codeEdi&gt;&lt;/cellule&gt;</v>
      </c>
    </row>
    <row r="12325" spans="1:1" x14ac:dyDescent="0.2">
      <c r="A12325" s="996" t="str">
        <f>CONCATENATE(Programme!D12326,Programme!E12326,Programme!F12326,Programme!G12326,Programme!H12326,Programme!I12326,Programme!J12326)</f>
        <v>&lt;valeur&gt;&lt;/valeur&gt;</v>
      </c>
    </row>
    <row r="12326" spans="1:1" x14ac:dyDescent="0.2">
      <c r="A12326" s="996" t="str">
        <f>CONCATENATE(Programme!D12327,Programme!E12327,Programme!F12327,Programme!G12327,Programme!H12327,Programme!I12327,Programme!J12327)</f>
        <v>&lt;numeroLigne&gt;83&lt;/numeroLigne&gt;</v>
      </c>
    </row>
    <row r="12327" spans="1:1" x14ac:dyDescent="0.2">
      <c r="A12327" s="996" t="str">
        <f>CONCATENATE(Programme!D12328,Programme!E12328,Programme!F12328,Programme!G12328,Programme!H12328,Programme!I12328,Programme!J12328)</f>
        <v>&lt;/ValeurCellule&gt;</v>
      </c>
    </row>
    <row r="12328" spans="1:1" x14ac:dyDescent="0.2">
      <c r="A12328" s="996" t="str">
        <f>CONCATENATE(Programme!D12329,Programme!E12329,Programme!F12329,Programme!G12329,Programme!H12329,Programme!I12329,Programme!J12329)</f>
        <v>&lt;ValeurCellule&gt;</v>
      </c>
    </row>
    <row r="12329" spans="1:1" x14ac:dyDescent="0.2">
      <c r="A12329" s="996" t="str">
        <f>CONCATENATE(Programme!D12330,Programme!E12330,Programme!F12330,Programme!G12330,Programme!H12330,Programme!I12330,Programme!J12330)</f>
        <v>&lt;cellule&gt;&lt;codeEdi&gt;1085&lt;/codeEdi&gt;&lt;/cellule&gt;</v>
      </c>
    </row>
    <row r="12330" spans="1:1" x14ac:dyDescent="0.2">
      <c r="A12330" s="996" t="str">
        <f>CONCATENATE(Programme!D12331,Programme!E12331,Programme!F12331,Programme!G12331,Programme!H12331,Programme!I12331,Programme!J12331)</f>
        <v>&lt;valeur&gt;&lt;/valeur&gt;</v>
      </c>
    </row>
    <row r="12331" spans="1:1" x14ac:dyDescent="0.2">
      <c r="A12331" s="996" t="str">
        <f>CONCATENATE(Programme!D12332,Programme!E12332,Programme!F12332,Programme!G12332,Programme!H12332,Programme!I12332,Programme!J12332)</f>
        <v>&lt;numeroLigne&gt;83&lt;/numeroLigne&gt;</v>
      </c>
    </row>
    <row r="12332" spans="1:1" x14ac:dyDescent="0.2">
      <c r="A12332" s="996" t="str">
        <f>CONCATENATE(Programme!D12333,Programme!E12333,Programme!F12333,Programme!G12333,Programme!H12333,Programme!I12333,Programme!J12333)</f>
        <v>&lt;/ValeurCellule&gt;</v>
      </c>
    </row>
    <row r="12333" spans="1:1" x14ac:dyDescent="0.2">
      <c r="A12333" s="996" t="str">
        <f>CONCATENATE(Programme!D12334,Programme!E12334,Programme!F12334,Programme!G12334,Programme!H12334,Programme!I12334,Programme!J12334)</f>
        <v>&lt;ValeurCellule&gt;</v>
      </c>
    </row>
    <row r="12334" spans="1:1" x14ac:dyDescent="0.2">
      <c r="A12334" s="996" t="str">
        <f>CONCATENATE(Programme!D12335,Programme!E12335,Programme!F12335,Programme!G12335,Programme!H12335,Programme!I12335,Programme!J12335)</f>
        <v>&lt;cellule&gt;&lt;codeEdi&gt;1086&lt;/codeEdi&gt;&lt;/cellule&gt;</v>
      </c>
    </row>
    <row r="12335" spans="1:1" x14ac:dyDescent="0.2">
      <c r="A12335" s="996" t="str">
        <f>CONCATENATE(Programme!D12336,Programme!E12336,Programme!F12336,Programme!G12336,Programme!H12336,Programme!I12336,Programme!J12336)</f>
        <v>&lt;valeur&gt;&lt;/valeur&gt;</v>
      </c>
    </row>
    <row r="12336" spans="1:1" x14ac:dyDescent="0.2">
      <c r="A12336" s="996" t="str">
        <f>CONCATENATE(Programme!D12337,Programme!E12337,Programme!F12337,Programme!G12337,Programme!H12337,Programme!I12337,Programme!J12337)</f>
        <v>&lt;numeroLigne&gt;83&lt;/numeroLigne&gt;</v>
      </c>
    </row>
    <row r="12337" spans="1:1" x14ac:dyDescent="0.2">
      <c r="A12337" s="996" t="str">
        <f>CONCATENATE(Programme!D12338,Programme!E12338,Programme!F12338,Programme!G12338,Programme!H12338,Programme!I12338,Programme!J12338)</f>
        <v>&lt;/ValeurCellule&gt;</v>
      </c>
    </row>
    <row r="12338" spans="1:1" x14ac:dyDescent="0.2">
      <c r="A12338" s="996" t="str">
        <f>CONCATENATE(Programme!D12339,Programme!E12339,Programme!F12339,Programme!G12339,Programme!H12339,Programme!I12339,Programme!J12339)</f>
        <v>&lt;ValeurCellule&gt;</v>
      </c>
    </row>
    <row r="12339" spans="1:1" x14ac:dyDescent="0.2">
      <c r="A12339" s="996" t="str">
        <f>CONCATENATE(Programme!D12340,Programme!E12340,Programme!F12340,Programme!G12340,Programme!H12340,Programme!I12340,Programme!J12340)</f>
        <v>&lt;cellule&gt;&lt;codeEdi&gt;10061&lt;/codeEdi&gt;&lt;/cellule&gt;</v>
      </c>
    </row>
    <row r="12340" spans="1:1" x14ac:dyDescent="0.2">
      <c r="A12340" s="996" t="str">
        <f>CONCATENATE(Programme!D12341,Programme!E12341,Programme!F12341,Programme!G12341,Programme!H12341,Programme!I12341,Programme!J12341)</f>
        <v>&lt;valeur&gt;&lt;/valeur&gt;</v>
      </c>
    </row>
    <row r="12341" spans="1:1" x14ac:dyDescent="0.2">
      <c r="A12341" s="996" t="str">
        <f>CONCATENATE(Programme!D12342,Programme!E12342,Programme!F12342,Programme!G12342,Programme!H12342,Programme!I12342,Programme!J12342)</f>
        <v>&lt;numeroLigne&gt;84&lt;/numeroLigne&gt;</v>
      </c>
    </row>
    <row r="12342" spans="1:1" x14ac:dyDescent="0.2">
      <c r="A12342" s="996" t="str">
        <f>CONCATENATE(Programme!D12343,Programme!E12343,Programme!F12343,Programme!G12343,Programme!H12343,Programme!I12343,Programme!J12343)</f>
        <v>&lt;/ValeurCellule&gt;</v>
      </c>
    </row>
    <row r="12343" spans="1:1" x14ac:dyDescent="0.2">
      <c r="A12343" s="996" t="str">
        <f>CONCATENATE(Programme!D12344,Programme!E12344,Programme!F12344,Programme!G12344,Programme!H12344,Programme!I12344,Programme!J12344)</f>
        <v>&lt;ValeurCellule&gt;</v>
      </c>
    </row>
    <row r="12344" spans="1:1" x14ac:dyDescent="0.2">
      <c r="A12344" s="996" t="str">
        <f>CONCATENATE(Programme!D12345,Programme!E12345,Programme!F12345,Programme!G12345,Programme!H12345,Programme!I12345,Programme!J12345)</f>
        <v>&lt;cellule&gt;&lt;codeEdi&gt;1078&lt;/codeEdi&gt;&lt;/cellule&gt;</v>
      </c>
    </row>
    <row r="12345" spans="1:1" x14ac:dyDescent="0.2">
      <c r="A12345" s="996" t="str">
        <f>CONCATENATE(Programme!D12346,Programme!E12346,Programme!F12346,Programme!G12346,Programme!H12346,Programme!I12346,Programme!J12346)</f>
        <v>&lt;valeur&gt;&lt;/valeur&gt;</v>
      </c>
    </row>
    <row r="12346" spans="1:1" x14ac:dyDescent="0.2">
      <c r="A12346" s="996" t="str">
        <f>CONCATENATE(Programme!D12347,Programme!E12347,Programme!F12347,Programme!G12347,Programme!H12347,Programme!I12347,Programme!J12347)</f>
        <v>&lt;numeroLigne&gt;84&lt;/numeroLigne&gt;</v>
      </c>
    </row>
    <row r="12347" spans="1:1" x14ac:dyDescent="0.2">
      <c r="A12347" s="996" t="str">
        <f>CONCATENATE(Programme!D12348,Programme!E12348,Programme!F12348,Programme!G12348,Programme!H12348,Programme!I12348,Programme!J12348)</f>
        <v>&lt;/ValeurCellule&gt;</v>
      </c>
    </row>
    <row r="12348" spans="1:1" x14ac:dyDescent="0.2">
      <c r="A12348" s="996" t="str">
        <f>CONCATENATE(Programme!D12349,Programme!E12349,Programme!F12349,Programme!G12349,Programme!H12349,Programme!I12349,Programme!J12349)</f>
        <v>&lt;ValeurCellule&gt;</v>
      </c>
    </row>
    <row r="12349" spans="1:1" x14ac:dyDescent="0.2">
      <c r="A12349" s="996" t="str">
        <f>CONCATENATE(Programme!D12350,Programme!E12350,Programme!F12350,Programme!G12350,Programme!H12350,Programme!I12350,Programme!J12350)</f>
        <v>&lt;cellule&gt;&lt;codeEdi&gt;1079&lt;/codeEdi&gt;&lt;/cellule&gt;</v>
      </c>
    </row>
    <row r="12350" spans="1:1" x14ac:dyDescent="0.2">
      <c r="A12350" s="996" t="str">
        <f>CONCATENATE(Programme!D12351,Programme!E12351,Programme!F12351,Programme!G12351,Programme!H12351,Programme!I12351,Programme!J12351)</f>
        <v>&lt;valeur&gt;&lt;/valeur&gt;</v>
      </c>
    </row>
    <row r="12351" spans="1:1" x14ac:dyDescent="0.2">
      <c r="A12351" s="996" t="str">
        <f>CONCATENATE(Programme!D12352,Programme!E12352,Programme!F12352,Programme!G12352,Programme!H12352,Programme!I12352,Programme!J12352)</f>
        <v>&lt;numeroLigne&gt;84&lt;/numeroLigne&gt;</v>
      </c>
    </row>
    <row r="12352" spans="1:1" x14ac:dyDescent="0.2">
      <c r="A12352" s="996" t="str">
        <f>CONCATENATE(Programme!D12353,Programme!E12353,Programme!F12353,Programme!G12353,Programme!H12353,Programme!I12353,Programme!J12353)</f>
        <v>&lt;/ValeurCellule&gt;</v>
      </c>
    </row>
    <row r="12353" spans="1:1" x14ac:dyDescent="0.2">
      <c r="A12353" s="996" t="str">
        <f>CONCATENATE(Programme!D12354,Programme!E12354,Programme!F12354,Programme!G12354,Programme!H12354,Programme!I12354,Programme!J12354)</f>
        <v>&lt;ValeurCellule&gt;</v>
      </c>
    </row>
    <row r="12354" spans="1:1" x14ac:dyDescent="0.2">
      <c r="A12354" s="996" t="str">
        <f>CONCATENATE(Programme!D12355,Programme!E12355,Programme!F12355,Programme!G12355,Programme!H12355,Programme!I12355,Programme!J12355)</f>
        <v>&lt;cellule&gt;&lt;codeEdi&gt;1080&lt;/codeEdi&gt;&lt;/cellule&gt;</v>
      </c>
    </row>
    <row r="12355" spans="1:1" x14ac:dyDescent="0.2">
      <c r="A12355" s="996" t="str">
        <f>CONCATENATE(Programme!D12356,Programme!E12356,Programme!F12356,Programme!G12356,Programme!H12356,Programme!I12356,Programme!J12356)</f>
        <v>&lt;valeur&gt;&lt;/valeur&gt;</v>
      </c>
    </row>
    <row r="12356" spans="1:1" x14ac:dyDescent="0.2">
      <c r="A12356" s="996" t="str">
        <f>CONCATENATE(Programme!D12357,Programme!E12357,Programme!F12357,Programme!G12357,Programme!H12357,Programme!I12357,Programme!J12357)</f>
        <v>&lt;numeroLigne&gt;84&lt;/numeroLigne&gt;</v>
      </c>
    </row>
    <row r="12357" spans="1:1" x14ac:dyDescent="0.2">
      <c r="A12357" s="996" t="str">
        <f>CONCATENATE(Programme!D12358,Programme!E12358,Programme!F12358,Programme!G12358,Programme!H12358,Programme!I12358,Programme!J12358)</f>
        <v>&lt;/ValeurCellule&gt;</v>
      </c>
    </row>
    <row r="12358" spans="1:1" x14ac:dyDescent="0.2">
      <c r="A12358" s="996" t="str">
        <f>CONCATENATE(Programme!D12359,Programme!E12359,Programme!F12359,Programme!G12359,Programme!H12359,Programme!I12359,Programme!J12359)</f>
        <v>&lt;ValeurCellule&gt;</v>
      </c>
    </row>
    <row r="12359" spans="1:1" x14ac:dyDescent="0.2">
      <c r="A12359" s="996" t="str">
        <f>CONCATENATE(Programme!D12360,Programme!E12360,Programme!F12360,Programme!G12360,Programme!H12360,Programme!I12360,Programme!J12360)</f>
        <v>&lt;cellule&gt;&lt;codeEdi&gt;1081&lt;/codeEdi&gt;&lt;/cellule&gt;</v>
      </c>
    </row>
    <row r="12360" spans="1:1" x14ac:dyDescent="0.2">
      <c r="A12360" s="996" t="str">
        <f>CONCATENATE(Programme!D12361,Programme!E12361,Programme!F12361,Programme!G12361,Programme!H12361,Programme!I12361,Programme!J12361)</f>
        <v>&lt;valeur&gt;&lt;/valeur&gt;</v>
      </c>
    </row>
    <row r="12361" spans="1:1" x14ac:dyDescent="0.2">
      <c r="A12361" s="996" t="str">
        <f>CONCATENATE(Programme!D12362,Programme!E12362,Programme!F12362,Programme!G12362,Programme!H12362,Programme!I12362,Programme!J12362)</f>
        <v>&lt;numeroLigne&gt;84&lt;/numeroLigne&gt;</v>
      </c>
    </row>
    <row r="12362" spans="1:1" x14ac:dyDescent="0.2">
      <c r="A12362" s="996" t="str">
        <f>CONCATENATE(Programme!D12363,Programme!E12363,Programme!F12363,Programme!G12363,Programme!H12363,Programme!I12363,Programme!J12363)</f>
        <v>&lt;/ValeurCellule&gt;</v>
      </c>
    </row>
    <row r="12363" spans="1:1" x14ac:dyDescent="0.2">
      <c r="A12363" s="996" t="str">
        <f>CONCATENATE(Programme!D12364,Programme!E12364,Programme!F12364,Programme!G12364,Programme!H12364,Programme!I12364,Programme!J12364)</f>
        <v>&lt;ValeurCellule&gt;</v>
      </c>
    </row>
    <row r="12364" spans="1:1" x14ac:dyDescent="0.2">
      <c r="A12364" s="996" t="str">
        <f>CONCATENATE(Programme!D12365,Programme!E12365,Programme!F12365,Programme!G12365,Programme!H12365,Programme!I12365,Programme!J12365)</f>
        <v>&lt;cellule&gt;&lt;codeEdi&gt;1082&lt;/codeEdi&gt;&lt;/cellule&gt;</v>
      </c>
    </row>
    <row r="12365" spans="1:1" x14ac:dyDescent="0.2">
      <c r="A12365" s="996" t="str">
        <f>CONCATENATE(Programme!D12366,Programme!E12366,Programme!F12366,Programme!G12366,Programme!H12366,Programme!I12366,Programme!J12366)</f>
        <v>&lt;valeur&gt;&lt;/valeur&gt;</v>
      </c>
    </row>
    <row r="12366" spans="1:1" x14ac:dyDescent="0.2">
      <c r="A12366" s="996" t="str">
        <f>CONCATENATE(Programme!D12367,Programme!E12367,Programme!F12367,Programme!G12367,Programme!H12367,Programme!I12367,Programme!J12367)</f>
        <v>&lt;numeroLigne&gt;84&lt;/numeroLigne&gt;</v>
      </c>
    </row>
    <row r="12367" spans="1:1" x14ac:dyDescent="0.2">
      <c r="A12367" s="996" t="str">
        <f>CONCATENATE(Programme!D12368,Programme!E12368,Programme!F12368,Programme!G12368,Programme!H12368,Programme!I12368,Programme!J12368)</f>
        <v>&lt;/ValeurCellule&gt;</v>
      </c>
    </row>
    <row r="12368" spans="1:1" x14ac:dyDescent="0.2">
      <c r="A12368" s="996" t="str">
        <f>CONCATENATE(Programme!D12369,Programme!E12369,Programme!F12369,Programme!G12369,Programme!H12369,Programme!I12369,Programme!J12369)</f>
        <v>&lt;ValeurCellule&gt;</v>
      </c>
    </row>
    <row r="12369" spans="1:1" x14ac:dyDescent="0.2">
      <c r="A12369" s="996" t="str">
        <f>CONCATENATE(Programme!D12370,Programme!E12370,Programme!F12370,Programme!G12370,Programme!H12370,Programme!I12370,Programme!J12370)</f>
        <v>&lt;cellule&gt;&lt;codeEdi&gt;1083&lt;/codeEdi&gt;&lt;/cellule&gt;</v>
      </c>
    </row>
    <row r="12370" spans="1:1" x14ac:dyDescent="0.2">
      <c r="A12370" s="996" t="str">
        <f>CONCATENATE(Programme!D12371,Programme!E12371,Programme!F12371,Programme!G12371,Programme!H12371,Programme!I12371,Programme!J12371)</f>
        <v>&lt;valeur&gt;&lt;/valeur&gt;</v>
      </c>
    </row>
    <row r="12371" spans="1:1" x14ac:dyDescent="0.2">
      <c r="A12371" s="996" t="str">
        <f>CONCATENATE(Programme!D12372,Programme!E12372,Programme!F12372,Programme!G12372,Programme!H12372,Programme!I12372,Programme!J12372)</f>
        <v>&lt;numeroLigne&gt;84&lt;/numeroLigne&gt;</v>
      </c>
    </row>
    <row r="12372" spans="1:1" x14ac:dyDescent="0.2">
      <c r="A12372" s="996" t="str">
        <f>CONCATENATE(Programme!D12373,Programme!E12373,Programme!F12373,Programme!G12373,Programme!H12373,Programme!I12373,Programme!J12373)</f>
        <v>&lt;/ValeurCellule&gt;</v>
      </c>
    </row>
    <row r="12373" spans="1:1" x14ac:dyDescent="0.2">
      <c r="A12373" s="996" t="str">
        <f>CONCATENATE(Programme!D12374,Programme!E12374,Programme!F12374,Programme!G12374,Programme!H12374,Programme!I12374,Programme!J12374)</f>
        <v>&lt;ValeurCellule&gt;</v>
      </c>
    </row>
    <row r="12374" spans="1:1" x14ac:dyDescent="0.2">
      <c r="A12374" s="996" t="str">
        <f>CONCATENATE(Programme!D12375,Programme!E12375,Programme!F12375,Programme!G12375,Programme!H12375,Programme!I12375,Programme!J12375)</f>
        <v>&lt;cellule&gt;&lt;codeEdi&gt;1084&lt;/codeEdi&gt;&lt;/cellule&gt;</v>
      </c>
    </row>
    <row r="12375" spans="1:1" x14ac:dyDescent="0.2">
      <c r="A12375" s="996" t="str">
        <f>CONCATENATE(Programme!D12376,Programme!E12376,Programme!F12376,Programme!G12376,Programme!H12376,Programme!I12376,Programme!J12376)</f>
        <v>&lt;valeur&gt;&lt;/valeur&gt;</v>
      </c>
    </row>
    <row r="12376" spans="1:1" x14ac:dyDescent="0.2">
      <c r="A12376" s="996" t="str">
        <f>CONCATENATE(Programme!D12377,Programme!E12377,Programme!F12377,Programme!G12377,Programme!H12377,Programme!I12377,Programme!J12377)</f>
        <v>&lt;numeroLigne&gt;84&lt;/numeroLigne&gt;</v>
      </c>
    </row>
    <row r="12377" spans="1:1" x14ac:dyDescent="0.2">
      <c r="A12377" s="996" t="str">
        <f>CONCATENATE(Programme!D12378,Programme!E12378,Programme!F12378,Programme!G12378,Programme!H12378,Programme!I12378,Programme!J12378)</f>
        <v>&lt;/ValeurCellule&gt;</v>
      </c>
    </row>
    <row r="12378" spans="1:1" x14ac:dyDescent="0.2">
      <c r="A12378" s="996" t="str">
        <f>CONCATENATE(Programme!D12379,Programme!E12379,Programme!F12379,Programme!G12379,Programme!H12379,Programme!I12379,Programme!J12379)</f>
        <v>&lt;ValeurCellule&gt;</v>
      </c>
    </row>
    <row r="12379" spans="1:1" x14ac:dyDescent="0.2">
      <c r="A12379" s="996" t="str">
        <f>CONCATENATE(Programme!D12380,Programme!E12380,Programme!F12380,Programme!G12380,Programme!H12380,Programme!I12380,Programme!J12380)</f>
        <v>&lt;cellule&gt;&lt;codeEdi&gt;1085&lt;/codeEdi&gt;&lt;/cellule&gt;</v>
      </c>
    </row>
    <row r="12380" spans="1:1" x14ac:dyDescent="0.2">
      <c r="A12380" s="996" t="str">
        <f>CONCATENATE(Programme!D12381,Programme!E12381,Programme!F12381,Programme!G12381,Programme!H12381,Programme!I12381,Programme!J12381)</f>
        <v>&lt;valeur&gt;&lt;/valeur&gt;</v>
      </c>
    </row>
    <row r="12381" spans="1:1" x14ac:dyDescent="0.2">
      <c r="A12381" s="996" t="str">
        <f>CONCATENATE(Programme!D12382,Programme!E12382,Programme!F12382,Programme!G12382,Programme!H12382,Programme!I12382,Programme!J12382)</f>
        <v>&lt;numeroLigne&gt;84&lt;/numeroLigne&gt;</v>
      </c>
    </row>
    <row r="12382" spans="1:1" x14ac:dyDescent="0.2">
      <c r="A12382" s="996" t="str">
        <f>CONCATENATE(Programme!D12383,Programme!E12383,Programme!F12383,Programme!G12383,Programme!H12383,Programme!I12383,Programme!J12383)</f>
        <v>&lt;/ValeurCellule&gt;</v>
      </c>
    </row>
    <row r="12383" spans="1:1" x14ac:dyDescent="0.2">
      <c r="A12383" s="996" t="str">
        <f>CONCATENATE(Programme!D12384,Programme!E12384,Programme!F12384,Programme!G12384,Programme!H12384,Programme!I12384,Programme!J12384)</f>
        <v>&lt;ValeurCellule&gt;</v>
      </c>
    </row>
    <row r="12384" spans="1:1" x14ac:dyDescent="0.2">
      <c r="A12384" s="996" t="str">
        <f>CONCATENATE(Programme!D12385,Programme!E12385,Programme!F12385,Programme!G12385,Programme!H12385,Programme!I12385,Programme!J12385)</f>
        <v>&lt;cellule&gt;&lt;codeEdi&gt;1086&lt;/codeEdi&gt;&lt;/cellule&gt;</v>
      </c>
    </row>
    <row r="12385" spans="1:1" x14ac:dyDescent="0.2">
      <c r="A12385" s="996" t="str">
        <f>CONCATENATE(Programme!D12386,Programme!E12386,Programme!F12386,Programme!G12386,Programme!H12386,Programme!I12386,Programme!J12386)</f>
        <v>&lt;valeur&gt;&lt;/valeur&gt;</v>
      </c>
    </row>
    <row r="12386" spans="1:1" x14ac:dyDescent="0.2">
      <c r="A12386" s="996" t="str">
        <f>CONCATENATE(Programme!D12387,Programme!E12387,Programme!F12387,Programme!G12387,Programme!H12387,Programme!I12387,Programme!J12387)</f>
        <v>&lt;numeroLigne&gt;84&lt;/numeroLigne&gt;</v>
      </c>
    </row>
    <row r="12387" spans="1:1" x14ac:dyDescent="0.2">
      <c r="A12387" s="996" t="str">
        <f>CONCATENATE(Programme!D12388,Programme!E12388,Programme!F12388,Programme!G12388,Programme!H12388,Programme!I12388,Programme!J12388)</f>
        <v>&lt;/ValeurCellule&gt;</v>
      </c>
    </row>
    <row r="12388" spans="1:1" x14ac:dyDescent="0.2">
      <c r="A12388" s="996" t="str">
        <f>CONCATENATE(Programme!D12389,Programme!E12389,Programme!F12389,Programme!G12389,Programme!H12389,Programme!I12389,Programme!J12389)</f>
        <v>&lt;ValeurCellule&gt;</v>
      </c>
    </row>
    <row r="12389" spans="1:1" x14ac:dyDescent="0.2">
      <c r="A12389" s="996" t="str">
        <f>CONCATENATE(Programme!D12390,Programme!E12390,Programme!F12390,Programme!G12390,Programme!H12390,Programme!I12390,Programme!J12390)</f>
        <v>&lt;cellule&gt;&lt;codeEdi&gt;10061&lt;/codeEdi&gt;&lt;/cellule&gt;</v>
      </c>
    </row>
    <row r="12390" spans="1:1" x14ac:dyDescent="0.2">
      <c r="A12390" s="996" t="str">
        <f>CONCATENATE(Programme!D12391,Programme!E12391,Programme!F12391,Programme!G12391,Programme!H12391,Programme!I12391,Programme!J12391)</f>
        <v>&lt;valeur&gt;&lt;/valeur&gt;</v>
      </c>
    </row>
    <row r="12391" spans="1:1" x14ac:dyDescent="0.2">
      <c r="A12391" s="996" t="str">
        <f>CONCATENATE(Programme!D12392,Programme!E12392,Programme!F12392,Programme!G12392,Programme!H12392,Programme!I12392,Programme!J12392)</f>
        <v>&lt;numeroLigne&gt;85&lt;/numeroLigne&gt;</v>
      </c>
    </row>
    <row r="12392" spans="1:1" x14ac:dyDescent="0.2">
      <c r="A12392" s="996" t="str">
        <f>CONCATENATE(Programme!D12393,Programme!E12393,Programme!F12393,Programme!G12393,Programme!H12393,Programme!I12393,Programme!J12393)</f>
        <v>&lt;/ValeurCellule&gt;</v>
      </c>
    </row>
    <row r="12393" spans="1:1" x14ac:dyDescent="0.2">
      <c r="A12393" s="996" t="str">
        <f>CONCATENATE(Programme!D12394,Programme!E12394,Programme!F12394,Programme!G12394,Programme!H12394,Programme!I12394,Programme!J12394)</f>
        <v>&lt;ValeurCellule&gt;</v>
      </c>
    </row>
    <row r="12394" spans="1:1" x14ac:dyDescent="0.2">
      <c r="A12394" s="996" t="str">
        <f>CONCATENATE(Programme!D12395,Programme!E12395,Programme!F12395,Programme!G12395,Programme!H12395,Programme!I12395,Programme!J12395)</f>
        <v>&lt;cellule&gt;&lt;codeEdi&gt;1078&lt;/codeEdi&gt;&lt;/cellule&gt;</v>
      </c>
    </row>
    <row r="12395" spans="1:1" x14ac:dyDescent="0.2">
      <c r="A12395" s="996" t="str">
        <f>CONCATENATE(Programme!D12396,Programme!E12396,Programme!F12396,Programme!G12396,Programme!H12396,Programme!I12396,Programme!J12396)</f>
        <v>&lt;valeur&gt;&lt;/valeur&gt;</v>
      </c>
    </row>
    <row r="12396" spans="1:1" x14ac:dyDescent="0.2">
      <c r="A12396" s="996" t="str">
        <f>CONCATENATE(Programme!D12397,Programme!E12397,Programme!F12397,Programme!G12397,Programme!H12397,Programme!I12397,Programme!J12397)</f>
        <v>&lt;numeroLigne&gt;85&lt;/numeroLigne&gt;</v>
      </c>
    </row>
    <row r="12397" spans="1:1" x14ac:dyDescent="0.2">
      <c r="A12397" s="996" t="str">
        <f>CONCATENATE(Programme!D12398,Programme!E12398,Programme!F12398,Programme!G12398,Programme!H12398,Programme!I12398,Programme!J12398)</f>
        <v>&lt;/ValeurCellule&gt;</v>
      </c>
    </row>
    <row r="12398" spans="1:1" x14ac:dyDescent="0.2">
      <c r="A12398" s="996" t="str">
        <f>CONCATENATE(Programme!D12399,Programme!E12399,Programme!F12399,Programme!G12399,Programme!H12399,Programme!I12399,Programme!J12399)</f>
        <v>&lt;ValeurCellule&gt;</v>
      </c>
    </row>
    <row r="12399" spans="1:1" x14ac:dyDescent="0.2">
      <c r="A12399" s="996" t="str">
        <f>CONCATENATE(Programme!D12400,Programme!E12400,Programme!F12400,Programme!G12400,Programme!H12400,Programme!I12400,Programme!J12400)</f>
        <v>&lt;cellule&gt;&lt;codeEdi&gt;1079&lt;/codeEdi&gt;&lt;/cellule&gt;</v>
      </c>
    </row>
    <row r="12400" spans="1:1" x14ac:dyDescent="0.2">
      <c r="A12400" s="996" t="str">
        <f>CONCATENATE(Programme!D12401,Programme!E12401,Programme!F12401,Programme!G12401,Programme!H12401,Programme!I12401,Programme!J12401)</f>
        <v>&lt;valeur&gt;&lt;/valeur&gt;</v>
      </c>
    </row>
    <row r="12401" spans="1:1" x14ac:dyDescent="0.2">
      <c r="A12401" s="996" t="str">
        <f>CONCATENATE(Programme!D12402,Programme!E12402,Programme!F12402,Programme!G12402,Programme!H12402,Programme!I12402,Programme!J12402)</f>
        <v>&lt;numeroLigne&gt;85&lt;/numeroLigne&gt;</v>
      </c>
    </row>
    <row r="12402" spans="1:1" x14ac:dyDescent="0.2">
      <c r="A12402" s="996" t="str">
        <f>CONCATENATE(Programme!D12403,Programme!E12403,Programme!F12403,Programme!G12403,Programme!H12403,Programme!I12403,Programme!J12403)</f>
        <v>&lt;/ValeurCellule&gt;</v>
      </c>
    </row>
    <row r="12403" spans="1:1" x14ac:dyDescent="0.2">
      <c r="A12403" s="996" t="str">
        <f>CONCATENATE(Programme!D12404,Programme!E12404,Programme!F12404,Programme!G12404,Programme!H12404,Programme!I12404,Programme!J12404)</f>
        <v>&lt;ValeurCellule&gt;</v>
      </c>
    </row>
    <row r="12404" spans="1:1" x14ac:dyDescent="0.2">
      <c r="A12404" s="996" t="str">
        <f>CONCATENATE(Programme!D12405,Programme!E12405,Programme!F12405,Programme!G12405,Programme!H12405,Programme!I12405,Programme!J12405)</f>
        <v>&lt;cellule&gt;&lt;codeEdi&gt;1080&lt;/codeEdi&gt;&lt;/cellule&gt;</v>
      </c>
    </row>
    <row r="12405" spans="1:1" x14ac:dyDescent="0.2">
      <c r="A12405" s="996" t="str">
        <f>CONCATENATE(Programme!D12406,Programme!E12406,Programme!F12406,Programme!G12406,Programme!H12406,Programme!I12406,Programme!J12406)</f>
        <v>&lt;valeur&gt;&lt;/valeur&gt;</v>
      </c>
    </row>
    <row r="12406" spans="1:1" x14ac:dyDescent="0.2">
      <c r="A12406" s="996" t="str">
        <f>CONCATENATE(Programme!D12407,Programme!E12407,Programme!F12407,Programme!G12407,Programme!H12407,Programme!I12407,Programme!J12407)</f>
        <v>&lt;numeroLigne&gt;85&lt;/numeroLigne&gt;</v>
      </c>
    </row>
    <row r="12407" spans="1:1" x14ac:dyDescent="0.2">
      <c r="A12407" s="996" t="str">
        <f>CONCATENATE(Programme!D12408,Programme!E12408,Programme!F12408,Programme!G12408,Programme!H12408,Programme!I12408,Programme!J12408)</f>
        <v>&lt;/ValeurCellule&gt;</v>
      </c>
    </row>
    <row r="12408" spans="1:1" x14ac:dyDescent="0.2">
      <c r="A12408" s="996" t="str">
        <f>CONCATENATE(Programme!D12409,Programme!E12409,Programme!F12409,Programme!G12409,Programme!H12409,Programme!I12409,Programme!J12409)</f>
        <v>&lt;ValeurCellule&gt;</v>
      </c>
    </row>
    <row r="12409" spans="1:1" x14ac:dyDescent="0.2">
      <c r="A12409" s="996" t="str">
        <f>CONCATENATE(Programme!D12410,Programme!E12410,Programme!F12410,Programme!G12410,Programme!H12410,Programme!I12410,Programme!J12410)</f>
        <v>&lt;cellule&gt;&lt;codeEdi&gt;1081&lt;/codeEdi&gt;&lt;/cellule&gt;</v>
      </c>
    </row>
    <row r="12410" spans="1:1" x14ac:dyDescent="0.2">
      <c r="A12410" s="996" t="str">
        <f>CONCATENATE(Programme!D12411,Programme!E12411,Programme!F12411,Programme!G12411,Programme!H12411,Programme!I12411,Programme!J12411)</f>
        <v>&lt;valeur&gt;&lt;/valeur&gt;</v>
      </c>
    </row>
    <row r="12411" spans="1:1" x14ac:dyDescent="0.2">
      <c r="A12411" s="996" t="str">
        <f>CONCATENATE(Programme!D12412,Programme!E12412,Programme!F12412,Programme!G12412,Programme!H12412,Programme!I12412,Programme!J12412)</f>
        <v>&lt;numeroLigne&gt;85&lt;/numeroLigne&gt;</v>
      </c>
    </row>
    <row r="12412" spans="1:1" x14ac:dyDescent="0.2">
      <c r="A12412" s="996" t="str">
        <f>CONCATENATE(Programme!D12413,Programme!E12413,Programme!F12413,Programme!G12413,Programme!H12413,Programme!I12413,Programme!J12413)</f>
        <v>&lt;/ValeurCellule&gt;</v>
      </c>
    </row>
    <row r="12413" spans="1:1" x14ac:dyDescent="0.2">
      <c r="A12413" s="996" t="str">
        <f>CONCATENATE(Programme!D12414,Programme!E12414,Programme!F12414,Programme!G12414,Programme!H12414,Programme!I12414,Programme!J12414)</f>
        <v>&lt;ValeurCellule&gt;</v>
      </c>
    </row>
    <row r="12414" spans="1:1" x14ac:dyDescent="0.2">
      <c r="A12414" s="996" t="str">
        <f>CONCATENATE(Programme!D12415,Programme!E12415,Programme!F12415,Programme!G12415,Programme!H12415,Programme!I12415,Programme!J12415)</f>
        <v>&lt;cellule&gt;&lt;codeEdi&gt;1082&lt;/codeEdi&gt;&lt;/cellule&gt;</v>
      </c>
    </row>
    <row r="12415" spans="1:1" x14ac:dyDescent="0.2">
      <c r="A12415" s="996" t="str">
        <f>CONCATENATE(Programme!D12416,Programme!E12416,Programme!F12416,Programme!G12416,Programme!H12416,Programme!I12416,Programme!J12416)</f>
        <v>&lt;valeur&gt;&lt;/valeur&gt;</v>
      </c>
    </row>
    <row r="12416" spans="1:1" x14ac:dyDescent="0.2">
      <c r="A12416" s="996" t="str">
        <f>CONCATENATE(Programme!D12417,Programme!E12417,Programme!F12417,Programme!G12417,Programme!H12417,Programme!I12417,Programme!J12417)</f>
        <v>&lt;numeroLigne&gt;85&lt;/numeroLigne&gt;</v>
      </c>
    </row>
    <row r="12417" spans="1:1" x14ac:dyDescent="0.2">
      <c r="A12417" s="996" t="str">
        <f>CONCATENATE(Programme!D12418,Programme!E12418,Programme!F12418,Programme!G12418,Programme!H12418,Programme!I12418,Programme!J12418)</f>
        <v>&lt;/ValeurCellule&gt;</v>
      </c>
    </row>
    <row r="12418" spans="1:1" x14ac:dyDescent="0.2">
      <c r="A12418" s="996" t="str">
        <f>CONCATENATE(Programme!D12419,Programme!E12419,Programme!F12419,Programme!G12419,Programme!H12419,Programme!I12419,Programme!J12419)</f>
        <v>&lt;ValeurCellule&gt;</v>
      </c>
    </row>
    <row r="12419" spans="1:1" x14ac:dyDescent="0.2">
      <c r="A12419" s="996" t="str">
        <f>CONCATENATE(Programme!D12420,Programme!E12420,Programme!F12420,Programme!G12420,Programme!H12420,Programme!I12420,Programme!J12420)</f>
        <v>&lt;cellule&gt;&lt;codeEdi&gt;1083&lt;/codeEdi&gt;&lt;/cellule&gt;</v>
      </c>
    </row>
    <row r="12420" spans="1:1" x14ac:dyDescent="0.2">
      <c r="A12420" s="996" t="str">
        <f>CONCATENATE(Programme!D12421,Programme!E12421,Programme!F12421,Programme!G12421,Programme!H12421,Programme!I12421,Programme!J12421)</f>
        <v>&lt;valeur&gt;&lt;/valeur&gt;</v>
      </c>
    </row>
    <row r="12421" spans="1:1" x14ac:dyDescent="0.2">
      <c r="A12421" s="996" t="str">
        <f>CONCATENATE(Programme!D12422,Programme!E12422,Programme!F12422,Programme!G12422,Programme!H12422,Programme!I12422,Programme!J12422)</f>
        <v>&lt;numeroLigne&gt;85&lt;/numeroLigne&gt;</v>
      </c>
    </row>
    <row r="12422" spans="1:1" x14ac:dyDescent="0.2">
      <c r="A12422" s="996" t="str">
        <f>CONCATENATE(Programme!D12423,Programme!E12423,Programme!F12423,Programme!G12423,Programme!H12423,Programme!I12423,Programme!J12423)</f>
        <v>&lt;/ValeurCellule&gt;</v>
      </c>
    </row>
    <row r="12423" spans="1:1" x14ac:dyDescent="0.2">
      <c r="A12423" s="996" t="str">
        <f>CONCATENATE(Programme!D12424,Programme!E12424,Programme!F12424,Programme!G12424,Programme!H12424,Programme!I12424,Programme!J12424)</f>
        <v>&lt;ValeurCellule&gt;</v>
      </c>
    </row>
    <row r="12424" spans="1:1" x14ac:dyDescent="0.2">
      <c r="A12424" s="996" t="str">
        <f>CONCATENATE(Programme!D12425,Programme!E12425,Programme!F12425,Programme!G12425,Programme!H12425,Programme!I12425,Programme!J12425)</f>
        <v>&lt;cellule&gt;&lt;codeEdi&gt;1084&lt;/codeEdi&gt;&lt;/cellule&gt;</v>
      </c>
    </row>
    <row r="12425" spans="1:1" x14ac:dyDescent="0.2">
      <c r="A12425" s="996" t="str">
        <f>CONCATENATE(Programme!D12426,Programme!E12426,Programme!F12426,Programme!G12426,Programme!H12426,Programme!I12426,Programme!J12426)</f>
        <v>&lt;valeur&gt;&lt;/valeur&gt;</v>
      </c>
    </row>
    <row r="12426" spans="1:1" x14ac:dyDescent="0.2">
      <c r="A12426" s="996" t="str">
        <f>CONCATENATE(Programme!D12427,Programme!E12427,Programme!F12427,Programme!G12427,Programme!H12427,Programme!I12427,Programme!J12427)</f>
        <v>&lt;numeroLigne&gt;85&lt;/numeroLigne&gt;</v>
      </c>
    </row>
    <row r="12427" spans="1:1" x14ac:dyDescent="0.2">
      <c r="A12427" s="996" t="str">
        <f>CONCATENATE(Programme!D12428,Programme!E12428,Programme!F12428,Programme!G12428,Programme!H12428,Programme!I12428,Programme!J12428)</f>
        <v>&lt;/ValeurCellule&gt;</v>
      </c>
    </row>
    <row r="12428" spans="1:1" x14ac:dyDescent="0.2">
      <c r="A12428" s="996" t="str">
        <f>CONCATENATE(Programme!D12429,Programme!E12429,Programme!F12429,Programme!G12429,Programme!H12429,Programme!I12429,Programme!J12429)</f>
        <v>&lt;ValeurCellule&gt;</v>
      </c>
    </row>
    <row r="12429" spans="1:1" x14ac:dyDescent="0.2">
      <c r="A12429" s="996" t="str">
        <f>CONCATENATE(Programme!D12430,Programme!E12430,Programme!F12430,Programme!G12430,Programme!H12430,Programme!I12430,Programme!J12430)</f>
        <v>&lt;cellule&gt;&lt;codeEdi&gt;1085&lt;/codeEdi&gt;&lt;/cellule&gt;</v>
      </c>
    </row>
    <row r="12430" spans="1:1" x14ac:dyDescent="0.2">
      <c r="A12430" s="996" t="str">
        <f>CONCATENATE(Programme!D12431,Programme!E12431,Programme!F12431,Programme!G12431,Programme!H12431,Programme!I12431,Programme!J12431)</f>
        <v>&lt;valeur&gt;&lt;/valeur&gt;</v>
      </c>
    </row>
    <row r="12431" spans="1:1" x14ac:dyDescent="0.2">
      <c r="A12431" s="996" t="str">
        <f>CONCATENATE(Programme!D12432,Programme!E12432,Programme!F12432,Programme!G12432,Programme!H12432,Programme!I12432,Programme!J12432)</f>
        <v>&lt;numeroLigne&gt;85&lt;/numeroLigne&gt;</v>
      </c>
    </row>
    <row r="12432" spans="1:1" x14ac:dyDescent="0.2">
      <c r="A12432" s="996" t="str">
        <f>CONCATENATE(Programme!D12433,Programme!E12433,Programme!F12433,Programme!G12433,Programme!H12433,Programme!I12433,Programme!J12433)</f>
        <v>&lt;/ValeurCellule&gt;</v>
      </c>
    </row>
    <row r="12433" spans="1:1" x14ac:dyDescent="0.2">
      <c r="A12433" s="996" t="str">
        <f>CONCATENATE(Programme!D12434,Programme!E12434,Programme!F12434,Programme!G12434,Programme!H12434,Programme!I12434,Programme!J12434)</f>
        <v>&lt;ValeurCellule&gt;</v>
      </c>
    </row>
    <row r="12434" spans="1:1" x14ac:dyDescent="0.2">
      <c r="A12434" s="996" t="str">
        <f>CONCATENATE(Programme!D12435,Programme!E12435,Programme!F12435,Programme!G12435,Programme!H12435,Programme!I12435,Programme!J12435)</f>
        <v>&lt;cellule&gt;&lt;codeEdi&gt;1086&lt;/codeEdi&gt;&lt;/cellule&gt;</v>
      </c>
    </row>
    <row r="12435" spans="1:1" x14ac:dyDescent="0.2">
      <c r="A12435" s="996" t="str">
        <f>CONCATENATE(Programme!D12436,Programme!E12436,Programme!F12436,Programme!G12436,Programme!H12436,Programme!I12436,Programme!J12436)</f>
        <v>&lt;valeur&gt;&lt;/valeur&gt;</v>
      </c>
    </row>
    <row r="12436" spans="1:1" x14ac:dyDescent="0.2">
      <c r="A12436" s="996" t="str">
        <f>CONCATENATE(Programme!D12437,Programme!E12437,Programme!F12437,Programme!G12437,Programme!H12437,Programme!I12437,Programme!J12437)</f>
        <v>&lt;numeroLigne&gt;85&lt;/numeroLigne&gt;</v>
      </c>
    </row>
    <row r="12437" spans="1:1" x14ac:dyDescent="0.2">
      <c r="A12437" s="996" t="str">
        <f>CONCATENATE(Programme!D12438,Programme!E12438,Programme!F12438,Programme!G12438,Programme!H12438,Programme!I12438,Programme!J12438)</f>
        <v>&lt;/ValeurCellule&gt;</v>
      </c>
    </row>
    <row r="12438" spans="1:1" x14ac:dyDescent="0.2">
      <c r="A12438" s="996" t="str">
        <f>CONCATENATE(Programme!D12439,Programme!E12439,Programme!F12439,Programme!G12439,Programme!H12439,Programme!I12439,Programme!J12439)</f>
        <v>&lt;ValeurCellule&gt;</v>
      </c>
    </row>
    <row r="12439" spans="1:1" x14ac:dyDescent="0.2">
      <c r="A12439" s="996" t="str">
        <f>CONCATENATE(Programme!D12440,Programme!E12440,Programme!F12440,Programme!G12440,Programme!H12440,Programme!I12440,Programme!J12440)</f>
        <v>&lt;cellule&gt;&lt;codeEdi&gt;10061&lt;/codeEdi&gt;&lt;/cellule&gt;</v>
      </c>
    </row>
    <row r="12440" spans="1:1" x14ac:dyDescent="0.2">
      <c r="A12440" s="996" t="str">
        <f>CONCATENATE(Programme!D12441,Programme!E12441,Programme!F12441,Programme!G12441,Programme!H12441,Programme!I12441,Programme!J12441)</f>
        <v>&lt;valeur&gt;&lt;/valeur&gt;</v>
      </c>
    </row>
    <row r="12441" spans="1:1" x14ac:dyDescent="0.2">
      <c r="A12441" s="996" t="str">
        <f>CONCATENATE(Programme!D12442,Programme!E12442,Programme!F12442,Programme!G12442,Programme!H12442,Programme!I12442,Programme!J12442)</f>
        <v>&lt;numeroLigne&gt;86&lt;/numeroLigne&gt;</v>
      </c>
    </row>
    <row r="12442" spans="1:1" x14ac:dyDescent="0.2">
      <c r="A12442" s="996" t="str">
        <f>CONCATENATE(Programme!D12443,Programme!E12443,Programme!F12443,Programme!G12443,Programme!H12443,Programme!I12443,Programme!J12443)</f>
        <v>&lt;/ValeurCellule&gt;</v>
      </c>
    </row>
    <row r="12443" spans="1:1" x14ac:dyDescent="0.2">
      <c r="A12443" s="996" t="str">
        <f>CONCATENATE(Programme!D12444,Programme!E12444,Programme!F12444,Programme!G12444,Programme!H12444,Programme!I12444,Programme!J12444)</f>
        <v>&lt;ValeurCellule&gt;</v>
      </c>
    </row>
    <row r="12444" spans="1:1" x14ac:dyDescent="0.2">
      <c r="A12444" s="996" t="str">
        <f>CONCATENATE(Programme!D12445,Programme!E12445,Programme!F12445,Programme!G12445,Programme!H12445,Programme!I12445,Programme!J12445)</f>
        <v>&lt;cellule&gt;&lt;codeEdi&gt;1078&lt;/codeEdi&gt;&lt;/cellule&gt;</v>
      </c>
    </row>
    <row r="12445" spans="1:1" x14ac:dyDescent="0.2">
      <c r="A12445" s="996" t="str">
        <f>CONCATENATE(Programme!D12446,Programme!E12446,Programme!F12446,Programme!G12446,Programme!H12446,Programme!I12446,Programme!J12446)</f>
        <v>&lt;valeur&gt;&lt;/valeur&gt;</v>
      </c>
    </row>
    <row r="12446" spans="1:1" x14ac:dyDescent="0.2">
      <c r="A12446" s="996" t="str">
        <f>CONCATENATE(Programme!D12447,Programme!E12447,Programme!F12447,Programme!G12447,Programme!H12447,Programme!I12447,Programme!J12447)</f>
        <v>&lt;numeroLigne&gt;86&lt;/numeroLigne&gt;</v>
      </c>
    </row>
    <row r="12447" spans="1:1" x14ac:dyDescent="0.2">
      <c r="A12447" s="996" t="str">
        <f>CONCATENATE(Programme!D12448,Programme!E12448,Programme!F12448,Programme!G12448,Programme!H12448,Programme!I12448,Programme!J12448)</f>
        <v>&lt;/ValeurCellule&gt;</v>
      </c>
    </row>
    <row r="12448" spans="1:1" x14ac:dyDescent="0.2">
      <c r="A12448" s="996" t="str">
        <f>CONCATENATE(Programme!D12449,Programme!E12449,Programme!F12449,Programme!G12449,Programme!H12449,Programme!I12449,Programme!J12449)</f>
        <v>&lt;ValeurCellule&gt;</v>
      </c>
    </row>
    <row r="12449" spans="1:1" x14ac:dyDescent="0.2">
      <c r="A12449" s="996" t="str">
        <f>CONCATENATE(Programme!D12450,Programme!E12450,Programme!F12450,Programme!G12450,Programme!H12450,Programme!I12450,Programme!J12450)</f>
        <v>&lt;cellule&gt;&lt;codeEdi&gt;1079&lt;/codeEdi&gt;&lt;/cellule&gt;</v>
      </c>
    </row>
    <row r="12450" spans="1:1" x14ac:dyDescent="0.2">
      <c r="A12450" s="996" t="str">
        <f>CONCATENATE(Programme!D12451,Programme!E12451,Programme!F12451,Programme!G12451,Programme!H12451,Programme!I12451,Programme!J12451)</f>
        <v>&lt;valeur&gt;&lt;/valeur&gt;</v>
      </c>
    </row>
    <row r="12451" spans="1:1" x14ac:dyDescent="0.2">
      <c r="A12451" s="996" t="str">
        <f>CONCATENATE(Programme!D12452,Programme!E12452,Programme!F12452,Programme!G12452,Programme!H12452,Programme!I12452,Programme!J12452)</f>
        <v>&lt;numeroLigne&gt;86&lt;/numeroLigne&gt;</v>
      </c>
    </row>
    <row r="12452" spans="1:1" x14ac:dyDescent="0.2">
      <c r="A12452" s="996" t="str">
        <f>CONCATENATE(Programme!D12453,Programme!E12453,Programme!F12453,Programme!G12453,Programme!H12453,Programme!I12453,Programme!J12453)</f>
        <v>&lt;/ValeurCellule&gt;</v>
      </c>
    </row>
    <row r="12453" spans="1:1" x14ac:dyDescent="0.2">
      <c r="A12453" s="996" t="str">
        <f>CONCATENATE(Programme!D12454,Programme!E12454,Programme!F12454,Programme!G12454,Programme!H12454,Programme!I12454,Programme!J12454)</f>
        <v>&lt;ValeurCellule&gt;</v>
      </c>
    </row>
    <row r="12454" spans="1:1" x14ac:dyDescent="0.2">
      <c r="A12454" s="996" t="str">
        <f>CONCATENATE(Programme!D12455,Programme!E12455,Programme!F12455,Programme!G12455,Programme!H12455,Programme!I12455,Programme!J12455)</f>
        <v>&lt;cellule&gt;&lt;codeEdi&gt;1080&lt;/codeEdi&gt;&lt;/cellule&gt;</v>
      </c>
    </row>
    <row r="12455" spans="1:1" x14ac:dyDescent="0.2">
      <c r="A12455" s="996" t="str">
        <f>CONCATENATE(Programme!D12456,Programme!E12456,Programme!F12456,Programme!G12456,Programme!H12456,Programme!I12456,Programme!J12456)</f>
        <v>&lt;valeur&gt;&lt;/valeur&gt;</v>
      </c>
    </row>
    <row r="12456" spans="1:1" x14ac:dyDescent="0.2">
      <c r="A12456" s="996" t="str">
        <f>CONCATENATE(Programme!D12457,Programme!E12457,Programme!F12457,Programme!G12457,Programme!H12457,Programme!I12457,Programme!J12457)</f>
        <v>&lt;numeroLigne&gt;86&lt;/numeroLigne&gt;</v>
      </c>
    </row>
    <row r="12457" spans="1:1" x14ac:dyDescent="0.2">
      <c r="A12457" s="996" t="str">
        <f>CONCATENATE(Programme!D12458,Programme!E12458,Programme!F12458,Programme!G12458,Programme!H12458,Programme!I12458,Programme!J12458)</f>
        <v>&lt;/ValeurCellule&gt;</v>
      </c>
    </row>
    <row r="12458" spans="1:1" x14ac:dyDescent="0.2">
      <c r="A12458" s="996" t="str">
        <f>CONCATENATE(Programme!D12459,Programme!E12459,Programme!F12459,Programme!G12459,Programme!H12459,Programme!I12459,Programme!J12459)</f>
        <v>&lt;ValeurCellule&gt;</v>
      </c>
    </row>
    <row r="12459" spans="1:1" x14ac:dyDescent="0.2">
      <c r="A12459" s="996" t="str">
        <f>CONCATENATE(Programme!D12460,Programme!E12460,Programme!F12460,Programme!G12460,Programme!H12460,Programme!I12460,Programme!J12460)</f>
        <v>&lt;cellule&gt;&lt;codeEdi&gt;1081&lt;/codeEdi&gt;&lt;/cellule&gt;</v>
      </c>
    </row>
    <row r="12460" spans="1:1" x14ac:dyDescent="0.2">
      <c r="A12460" s="996" t="str">
        <f>CONCATENATE(Programme!D12461,Programme!E12461,Programme!F12461,Programme!G12461,Programme!H12461,Programme!I12461,Programme!J12461)</f>
        <v>&lt;valeur&gt;&lt;/valeur&gt;</v>
      </c>
    </row>
    <row r="12461" spans="1:1" x14ac:dyDescent="0.2">
      <c r="A12461" s="996" t="str">
        <f>CONCATENATE(Programme!D12462,Programme!E12462,Programme!F12462,Programme!G12462,Programme!H12462,Programme!I12462,Programme!J12462)</f>
        <v>&lt;numeroLigne&gt;86&lt;/numeroLigne&gt;</v>
      </c>
    </row>
    <row r="12462" spans="1:1" x14ac:dyDescent="0.2">
      <c r="A12462" s="996" t="str">
        <f>CONCATENATE(Programme!D12463,Programme!E12463,Programme!F12463,Programme!G12463,Programme!H12463,Programme!I12463,Programme!J12463)</f>
        <v>&lt;/ValeurCellule&gt;</v>
      </c>
    </row>
    <row r="12463" spans="1:1" x14ac:dyDescent="0.2">
      <c r="A12463" s="996" t="str">
        <f>CONCATENATE(Programme!D12464,Programme!E12464,Programme!F12464,Programme!G12464,Programme!H12464,Programme!I12464,Programme!J12464)</f>
        <v>&lt;ValeurCellule&gt;</v>
      </c>
    </row>
    <row r="12464" spans="1:1" x14ac:dyDescent="0.2">
      <c r="A12464" s="996" t="str">
        <f>CONCATENATE(Programme!D12465,Programme!E12465,Programme!F12465,Programme!G12465,Programme!H12465,Programme!I12465,Programme!J12465)</f>
        <v>&lt;cellule&gt;&lt;codeEdi&gt;1082&lt;/codeEdi&gt;&lt;/cellule&gt;</v>
      </c>
    </row>
    <row r="12465" spans="1:1" x14ac:dyDescent="0.2">
      <c r="A12465" s="996" t="str">
        <f>CONCATENATE(Programme!D12466,Programme!E12466,Programme!F12466,Programme!G12466,Programme!H12466,Programme!I12466,Programme!J12466)</f>
        <v>&lt;valeur&gt;&lt;/valeur&gt;</v>
      </c>
    </row>
    <row r="12466" spans="1:1" x14ac:dyDescent="0.2">
      <c r="A12466" s="996" t="str">
        <f>CONCATENATE(Programme!D12467,Programme!E12467,Programme!F12467,Programme!G12467,Programme!H12467,Programme!I12467,Programme!J12467)</f>
        <v>&lt;numeroLigne&gt;86&lt;/numeroLigne&gt;</v>
      </c>
    </row>
    <row r="12467" spans="1:1" x14ac:dyDescent="0.2">
      <c r="A12467" s="996" t="str">
        <f>CONCATENATE(Programme!D12468,Programme!E12468,Programme!F12468,Programme!G12468,Programme!H12468,Programme!I12468,Programme!J12468)</f>
        <v>&lt;/ValeurCellule&gt;</v>
      </c>
    </row>
    <row r="12468" spans="1:1" x14ac:dyDescent="0.2">
      <c r="A12468" s="996" t="str">
        <f>CONCATENATE(Programme!D12469,Programme!E12469,Programme!F12469,Programme!G12469,Programme!H12469,Programme!I12469,Programme!J12469)</f>
        <v>&lt;ValeurCellule&gt;</v>
      </c>
    </row>
    <row r="12469" spans="1:1" x14ac:dyDescent="0.2">
      <c r="A12469" s="996" t="str">
        <f>CONCATENATE(Programme!D12470,Programme!E12470,Programme!F12470,Programme!G12470,Programme!H12470,Programme!I12470,Programme!J12470)</f>
        <v>&lt;cellule&gt;&lt;codeEdi&gt;1083&lt;/codeEdi&gt;&lt;/cellule&gt;</v>
      </c>
    </row>
    <row r="12470" spans="1:1" x14ac:dyDescent="0.2">
      <c r="A12470" s="996" t="str">
        <f>CONCATENATE(Programme!D12471,Programme!E12471,Programme!F12471,Programme!G12471,Programme!H12471,Programme!I12471,Programme!J12471)</f>
        <v>&lt;valeur&gt;&lt;/valeur&gt;</v>
      </c>
    </row>
    <row r="12471" spans="1:1" x14ac:dyDescent="0.2">
      <c r="A12471" s="996" t="str">
        <f>CONCATENATE(Programme!D12472,Programme!E12472,Programme!F12472,Programme!G12472,Programme!H12472,Programme!I12472,Programme!J12472)</f>
        <v>&lt;numeroLigne&gt;86&lt;/numeroLigne&gt;</v>
      </c>
    </row>
    <row r="12472" spans="1:1" x14ac:dyDescent="0.2">
      <c r="A12472" s="996" t="str">
        <f>CONCATENATE(Programme!D12473,Programme!E12473,Programme!F12473,Programme!G12473,Programme!H12473,Programme!I12473,Programme!J12473)</f>
        <v>&lt;/ValeurCellule&gt;</v>
      </c>
    </row>
    <row r="12473" spans="1:1" x14ac:dyDescent="0.2">
      <c r="A12473" s="996" t="str">
        <f>CONCATENATE(Programme!D12474,Programme!E12474,Programme!F12474,Programme!G12474,Programme!H12474,Programme!I12474,Programme!J12474)</f>
        <v>&lt;ValeurCellule&gt;</v>
      </c>
    </row>
    <row r="12474" spans="1:1" x14ac:dyDescent="0.2">
      <c r="A12474" s="996" t="str">
        <f>CONCATENATE(Programme!D12475,Programme!E12475,Programme!F12475,Programme!G12475,Programme!H12475,Programme!I12475,Programme!J12475)</f>
        <v>&lt;cellule&gt;&lt;codeEdi&gt;1084&lt;/codeEdi&gt;&lt;/cellule&gt;</v>
      </c>
    </row>
    <row r="12475" spans="1:1" x14ac:dyDescent="0.2">
      <c r="A12475" s="996" t="str">
        <f>CONCATENATE(Programme!D12476,Programme!E12476,Programme!F12476,Programme!G12476,Programme!H12476,Programme!I12476,Programme!J12476)</f>
        <v>&lt;valeur&gt;&lt;/valeur&gt;</v>
      </c>
    </row>
    <row r="12476" spans="1:1" x14ac:dyDescent="0.2">
      <c r="A12476" s="996" t="str">
        <f>CONCATENATE(Programme!D12477,Programme!E12477,Programme!F12477,Programme!G12477,Programme!H12477,Programme!I12477,Programme!J12477)</f>
        <v>&lt;numeroLigne&gt;86&lt;/numeroLigne&gt;</v>
      </c>
    </row>
    <row r="12477" spans="1:1" x14ac:dyDescent="0.2">
      <c r="A12477" s="996" t="str">
        <f>CONCATENATE(Programme!D12478,Programme!E12478,Programme!F12478,Programme!G12478,Programme!H12478,Programme!I12478,Programme!J12478)</f>
        <v>&lt;/ValeurCellule&gt;</v>
      </c>
    </row>
    <row r="12478" spans="1:1" x14ac:dyDescent="0.2">
      <c r="A12478" s="996" t="str">
        <f>CONCATENATE(Programme!D12479,Programme!E12479,Programme!F12479,Programme!G12479,Programme!H12479,Programme!I12479,Programme!J12479)</f>
        <v>&lt;ValeurCellule&gt;</v>
      </c>
    </row>
    <row r="12479" spans="1:1" x14ac:dyDescent="0.2">
      <c r="A12479" s="996" t="str">
        <f>CONCATENATE(Programme!D12480,Programme!E12480,Programme!F12480,Programme!G12480,Programme!H12480,Programme!I12480,Programme!J12480)</f>
        <v>&lt;cellule&gt;&lt;codeEdi&gt;1085&lt;/codeEdi&gt;&lt;/cellule&gt;</v>
      </c>
    </row>
    <row r="12480" spans="1:1" x14ac:dyDescent="0.2">
      <c r="A12480" s="996" t="str">
        <f>CONCATENATE(Programme!D12481,Programme!E12481,Programme!F12481,Programme!G12481,Programme!H12481,Programme!I12481,Programme!J12481)</f>
        <v>&lt;valeur&gt;&lt;/valeur&gt;</v>
      </c>
    </row>
    <row r="12481" spans="1:1" x14ac:dyDescent="0.2">
      <c r="A12481" s="996" t="str">
        <f>CONCATENATE(Programme!D12482,Programme!E12482,Programme!F12482,Programme!G12482,Programme!H12482,Programme!I12482,Programme!J12482)</f>
        <v>&lt;numeroLigne&gt;86&lt;/numeroLigne&gt;</v>
      </c>
    </row>
    <row r="12482" spans="1:1" x14ac:dyDescent="0.2">
      <c r="A12482" s="996" t="str">
        <f>CONCATENATE(Programme!D12483,Programme!E12483,Programme!F12483,Programme!G12483,Programme!H12483,Programme!I12483,Programme!J12483)</f>
        <v>&lt;/ValeurCellule&gt;</v>
      </c>
    </row>
    <row r="12483" spans="1:1" x14ac:dyDescent="0.2">
      <c r="A12483" s="996" t="str">
        <f>CONCATENATE(Programme!D12484,Programme!E12484,Programme!F12484,Programme!G12484,Programme!H12484,Programme!I12484,Programme!J12484)</f>
        <v>&lt;ValeurCellule&gt;</v>
      </c>
    </row>
    <row r="12484" spans="1:1" x14ac:dyDescent="0.2">
      <c r="A12484" s="996" t="str">
        <f>CONCATENATE(Programme!D12485,Programme!E12485,Programme!F12485,Programme!G12485,Programme!H12485,Programme!I12485,Programme!J12485)</f>
        <v>&lt;cellule&gt;&lt;codeEdi&gt;1086&lt;/codeEdi&gt;&lt;/cellule&gt;</v>
      </c>
    </row>
    <row r="12485" spans="1:1" x14ac:dyDescent="0.2">
      <c r="A12485" s="996" t="str">
        <f>CONCATENATE(Programme!D12486,Programme!E12486,Programme!F12486,Programme!G12486,Programme!H12486,Programme!I12486,Programme!J12486)</f>
        <v>&lt;valeur&gt;&lt;/valeur&gt;</v>
      </c>
    </row>
    <row r="12486" spans="1:1" x14ac:dyDescent="0.2">
      <c r="A12486" s="996" t="str">
        <f>CONCATENATE(Programme!D12487,Programme!E12487,Programme!F12487,Programme!G12487,Programme!H12487,Programme!I12487,Programme!J12487)</f>
        <v>&lt;numeroLigne&gt;86&lt;/numeroLigne&gt;</v>
      </c>
    </row>
    <row r="12487" spans="1:1" x14ac:dyDescent="0.2">
      <c r="A12487" s="996" t="str">
        <f>CONCATENATE(Programme!D12488,Programme!E12488,Programme!F12488,Programme!G12488,Programme!H12488,Programme!I12488,Programme!J12488)</f>
        <v>&lt;/ValeurCellule&gt;</v>
      </c>
    </row>
    <row r="12488" spans="1:1" x14ac:dyDescent="0.2">
      <c r="A12488" s="996" t="str">
        <f>CONCATENATE(Programme!D12489,Programme!E12489,Programme!F12489,Programme!G12489,Programme!H12489,Programme!I12489,Programme!J12489)</f>
        <v>&lt;ValeurCellule&gt;</v>
      </c>
    </row>
    <row r="12489" spans="1:1" x14ac:dyDescent="0.2">
      <c r="A12489" s="996" t="str">
        <f>CONCATENATE(Programme!D12490,Programme!E12490,Programme!F12490,Programme!G12490,Programme!H12490,Programme!I12490,Programme!J12490)</f>
        <v>&lt;cellule&gt;&lt;codeEdi&gt;10061&lt;/codeEdi&gt;&lt;/cellule&gt;</v>
      </c>
    </row>
    <row r="12490" spans="1:1" x14ac:dyDescent="0.2">
      <c r="A12490" s="996" t="str">
        <f>CONCATENATE(Programme!D12491,Programme!E12491,Programme!F12491,Programme!G12491,Programme!H12491,Programme!I12491,Programme!J12491)</f>
        <v>&lt;valeur&gt;&lt;/valeur&gt;</v>
      </c>
    </row>
    <row r="12491" spans="1:1" x14ac:dyDescent="0.2">
      <c r="A12491" s="996" t="str">
        <f>CONCATENATE(Programme!D12492,Programme!E12492,Programme!F12492,Programme!G12492,Programme!H12492,Programme!I12492,Programme!J12492)</f>
        <v>&lt;numeroLigne&gt;87&lt;/numeroLigne&gt;</v>
      </c>
    </row>
    <row r="12492" spans="1:1" x14ac:dyDescent="0.2">
      <c r="A12492" s="996" t="str">
        <f>CONCATENATE(Programme!D12493,Programme!E12493,Programme!F12493,Programme!G12493,Programme!H12493,Programme!I12493,Programme!J12493)</f>
        <v>&lt;/ValeurCellule&gt;</v>
      </c>
    </row>
    <row r="12493" spans="1:1" x14ac:dyDescent="0.2">
      <c r="A12493" s="996" t="str">
        <f>CONCATENATE(Programme!D12494,Programme!E12494,Programme!F12494,Programme!G12494,Programme!H12494,Programme!I12494,Programme!J12494)</f>
        <v>&lt;ValeurCellule&gt;</v>
      </c>
    </row>
    <row r="12494" spans="1:1" x14ac:dyDescent="0.2">
      <c r="A12494" s="996" t="str">
        <f>CONCATENATE(Programme!D12495,Programme!E12495,Programme!F12495,Programme!G12495,Programme!H12495,Programme!I12495,Programme!J12495)</f>
        <v>&lt;cellule&gt;&lt;codeEdi&gt;1078&lt;/codeEdi&gt;&lt;/cellule&gt;</v>
      </c>
    </row>
    <row r="12495" spans="1:1" x14ac:dyDescent="0.2">
      <c r="A12495" s="996" t="str">
        <f>CONCATENATE(Programme!D12496,Programme!E12496,Programme!F12496,Programme!G12496,Programme!H12496,Programme!I12496,Programme!J12496)</f>
        <v>&lt;valeur&gt;&lt;/valeur&gt;</v>
      </c>
    </row>
    <row r="12496" spans="1:1" x14ac:dyDescent="0.2">
      <c r="A12496" s="996" t="str">
        <f>CONCATENATE(Programme!D12497,Programme!E12497,Programme!F12497,Programme!G12497,Programme!H12497,Programme!I12497,Programme!J12497)</f>
        <v>&lt;numeroLigne&gt;87&lt;/numeroLigne&gt;</v>
      </c>
    </row>
    <row r="12497" spans="1:1" x14ac:dyDescent="0.2">
      <c r="A12497" s="996" t="str">
        <f>CONCATENATE(Programme!D12498,Programme!E12498,Programme!F12498,Programme!G12498,Programme!H12498,Programme!I12498,Programme!J12498)</f>
        <v>&lt;/ValeurCellule&gt;</v>
      </c>
    </row>
    <row r="12498" spans="1:1" x14ac:dyDescent="0.2">
      <c r="A12498" s="996" t="str">
        <f>CONCATENATE(Programme!D12499,Programme!E12499,Programme!F12499,Programme!G12499,Programme!H12499,Programme!I12499,Programme!J12499)</f>
        <v>&lt;ValeurCellule&gt;</v>
      </c>
    </row>
    <row r="12499" spans="1:1" x14ac:dyDescent="0.2">
      <c r="A12499" s="996" t="str">
        <f>CONCATENATE(Programme!D12500,Programme!E12500,Programme!F12500,Programme!G12500,Programme!H12500,Programme!I12500,Programme!J12500)</f>
        <v>&lt;cellule&gt;&lt;codeEdi&gt;1079&lt;/codeEdi&gt;&lt;/cellule&gt;</v>
      </c>
    </row>
    <row r="12500" spans="1:1" x14ac:dyDescent="0.2">
      <c r="A12500" s="996" t="str">
        <f>CONCATENATE(Programme!D12501,Programme!E12501,Programme!F12501,Programme!G12501,Programme!H12501,Programme!I12501,Programme!J12501)</f>
        <v>&lt;valeur&gt;&lt;/valeur&gt;</v>
      </c>
    </row>
    <row r="12501" spans="1:1" x14ac:dyDescent="0.2">
      <c r="A12501" s="996" t="str">
        <f>CONCATENATE(Programme!D12502,Programme!E12502,Programme!F12502,Programme!G12502,Programme!H12502,Programme!I12502,Programme!J12502)</f>
        <v>&lt;numeroLigne&gt;87&lt;/numeroLigne&gt;</v>
      </c>
    </row>
    <row r="12502" spans="1:1" x14ac:dyDescent="0.2">
      <c r="A12502" s="996" t="str">
        <f>CONCATENATE(Programme!D12503,Programme!E12503,Programme!F12503,Programme!G12503,Programme!H12503,Programme!I12503,Programme!J12503)</f>
        <v>&lt;/ValeurCellule&gt;</v>
      </c>
    </row>
    <row r="12503" spans="1:1" x14ac:dyDescent="0.2">
      <c r="A12503" s="996" t="str">
        <f>CONCATENATE(Programme!D12504,Programme!E12504,Programme!F12504,Programme!G12504,Programme!H12504,Programme!I12504,Programme!J12504)</f>
        <v>&lt;ValeurCellule&gt;</v>
      </c>
    </row>
    <row r="12504" spans="1:1" x14ac:dyDescent="0.2">
      <c r="A12504" s="996" t="str">
        <f>CONCATENATE(Programme!D12505,Programme!E12505,Programme!F12505,Programme!G12505,Programme!H12505,Programme!I12505,Programme!J12505)</f>
        <v>&lt;cellule&gt;&lt;codeEdi&gt;1080&lt;/codeEdi&gt;&lt;/cellule&gt;</v>
      </c>
    </row>
    <row r="12505" spans="1:1" x14ac:dyDescent="0.2">
      <c r="A12505" s="996" t="str">
        <f>CONCATENATE(Programme!D12506,Programme!E12506,Programme!F12506,Programme!G12506,Programme!H12506,Programme!I12506,Programme!J12506)</f>
        <v>&lt;valeur&gt;&lt;/valeur&gt;</v>
      </c>
    </row>
    <row r="12506" spans="1:1" x14ac:dyDescent="0.2">
      <c r="A12506" s="996" t="str">
        <f>CONCATENATE(Programme!D12507,Programme!E12507,Programme!F12507,Programme!G12507,Programme!H12507,Programme!I12507,Programme!J12507)</f>
        <v>&lt;numeroLigne&gt;87&lt;/numeroLigne&gt;</v>
      </c>
    </row>
    <row r="12507" spans="1:1" x14ac:dyDescent="0.2">
      <c r="A12507" s="996" t="str">
        <f>CONCATENATE(Programme!D12508,Programme!E12508,Programme!F12508,Programme!G12508,Programme!H12508,Programme!I12508,Programme!J12508)</f>
        <v>&lt;/ValeurCellule&gt;</v>
      </c>
    </row>
    <row r="12508" spans="1:1" x14ac:dyDescent="0.2">
      <c r="A12508" s="996" t="str">
        <f>CONCATENATE(Programme!D12509,Programme!E12509,Programme!F12509,Programme!G12509,Programme!H12509,Programme!I12509,Programme!J12509)</f>
        <v>&lt;ValeurCellule&gt;</v>
      </c>
    </row>
    <row r="12509" spans="1:1" x14ac:dyDescent="0.2">
      <c r="A12509" s="996" t="str">
        <f>CONCATENATE(Programme!D12510,Programme!E12510,Programme!F12510,Programme!G12510,Programme!H12510,Programme!I12510,Programme!J12510)</f>
        <v>&lt;cellule&gt;&lt;codeEdi&gt;1081&lt;/codeEdi&gt;&lt;/cellule&gt;</v>
      </c>
    </row>
    <row r="12510" spans="1:1" x14ac:dyDescent="0.2">
      <c r="A12510" s="996" t="str">
        <f>CONCATENATE(Programme!D12511,Programme!E12511,Programme!F12511,Programme!G12511,Programme!H12511,Programme!I12511,Programme!J12511)</f>
        <v>&lt;valeur&gt;&lt;/valeur&gt;</v>
      </c>
    </row>
    <row r="12511" spans="1:1" x14ac:dyDescent="0.2">
      <c r="A12511" s="996" t="str">
        <f>CONCATENATE(Programme!D12512,Programme!E12512,Programme!F12512,Programme!G12512,Programme!H12512,Programme!I12512,Programme!J12512)</f>
        <v>&lt;numeroLigne&gt;87&lt;/numeroLigne&gt;</v>
      </c>
    </row>
    <row r="12512" spans="1:1" x14ac:dyDescent="0.2">
      <c r="A12512" s="996" t="str">
        <f>CONCATENATE(Programme!D12513,Programme!E12513,Programme!F12513,Programme!G12513,Programme!H12513,Programme!I12513,Programme!J12513)</f>
        <v>&lt;/ValeurCellule&gt;</v>
      </c>
    </row>
    <row r="12513" spans="1:1" x14ac:dyDescent="0.2">
      <c r="A12513" s="996" t="str">
        <f>CONCATENATE(Programme!D12514,Programme!E12514,Programme!F12514,Programme!G12514,Programme!H12514,Programme!I12514,Programme!J12514)</f>
        <v>&lt;ValeurCellule&gt;</v>
      </c>
    </row>
    <row r="12514" spans="1:1" x14ac:dyDescent="0.2">
      <c r="A12514" s="996" t="str">
        <f>CONCATENATE(Programme!D12515,Programme!E12515,Programme!F12515,Programme!G12515,Programme!H12515,Programme!I12515,Programme!J12515)</f>
        <v>&lt;cellule&gt;&lt;codeEdi&gt;1082&lt;/codeEdi&gt;&lt;/cellule&gt;</v>
      </c>
    </row>
    <row r="12515" spans="1:1" x14ac:dyDescent="0.2">
      <c r="A12515" s="996" t="str">
        <f>CONCATENATE(Programme!D12516,Programme!E12516,Programme!F12516,Programme!G12516,Programme!H12516,Programme!I12516,Programme!J12516)</f>
        <v>&lt;valeur&gt;&lt;/valeur&gt;</v>
      </c>
    </row>
    <row r="12516" spans="1:1" x14ac:dyDescent="0.2">
      <c r="A12516" s="996" t="str">
        <f>CONCATENATE(Programme!D12517,Programme!E12517,Programme!F12517,Programme!G12517,Programme!H12517,Programme!I12517,Programme!J12517)</f>
        <v>&lt;numeroLigne&gt;87&lt;/numeroLigne&gt;</v>
      </c>
    </row>
    <row r="12517" spans="1:1" x14ac:dyDescent="0.2">
      <c r="A12517" s="996" t="str">
        <f>CONCATENATE(Programme!D12518,Programme!E12518,Programme!F12518,Programme!G12518,Programme!H12518,Programme!I12518,Programme!J12518)</f>
        <v>&lt;/ValeurCellule&gt;</v>
      </c>
    </row>
    <row r="12518" spans="1:1" x14ac:dyDescent="0.2">
      <c r="A12518" s="996" t="str">
        <f>CONCATENATE(Programme!D12519,Programme!E12519,Programme!F12519,Programme!G12519,Programme!H12519,Programme!I12519,Programme!J12519)</f>
        <v>&lt;ValeurCellule&gt;</v>
      </c>
    </row>
    <row r="12519" spans="1:1" x14ac:dyDescent="0.2">
      <c r="A12519" s="996" t="str">
        <f>CONCATENATE(Programme!D12520,Programme!E12520,Programme!F12520,Programme!G12520,Programme!H12520,Programme!I12520,Programme!J12520)</f>
        <v>&lt;cellule&gt;&lt;codeEdi&gt;1083&lt;/codeEdi&gt;&lt;/cellule&gt;</v>
      </c>
    </row>
    <row r="12520" spans="1:1" x14ac:dyDescent="0.2">
      <c r="A12520" s="996" t="str">
        <f>CONCATENATE(Programme!D12521,Programme!E12521,Programme!F12521,Programme!G12521,Programme!H12521,Programme!I12521,Programme!J12521)</f>
        <v>&lt;valeur&gt;&lt;/valeur&gt;</v>
      </c>
    </row>
    <row r="12521" spans="1:1" x14ac:dyDescent="0.2">
      <c r="A12521" s="996" t="str">
        <f>CONCATENATE(Programme!D12522,Programme!E12522,Programme!F12522,Programme!G12522,Programme!H12522,Programme!I12522,Programme!J12522)</f>
        <v>&lt;numeroLigne&gt;87&lt;/numeroLigne&gt;</v>
      </c>
    </row>
    <row r="12522" spans="1:1" x14ac:dyDescent="0.2">
      <c r="A12522" s="996" t="str">
        <f>CONCATENATE(Programme!D12523,Programme!E12523,Programme!F12523,Programme!G12523,Programme!H12523,Programme!I12523,Programme!J12523)</f>
        <v>&lt;/ValeurCellule&gt;</v>
      </c>
    </row>
    <row r="12523" spans="1:1" x14ac:dyDescent="0.2">
      <c r="A12523" s="996" t="str">
        <f>CONCATENATE(Programme!D12524,Programme!E12524,Programme!F12524,Programme!G12524,Programme!H12524,Programme!I12524,Programme!J12524)</f>
        <v>&lt;ValeurCellule&gt;</v>
      </c>
    </row>
    <row r="12524" spans="1:1" x14ac:dyDescent="0.2">
      <c r="A12524" s="996" t="str">
        <f>CONCATENATE(Programme!D12525,Programme!E12525,Programme!F12525,Programme!G12525,Programme!H12525,Programme!I12525,Programme!J12525)</f>
        <v>&lt;cellule&gt;&lt;codeEdi&gt;1084&lt;/codeEdi&gt;&lt;/cellule&gt;</v>
      </c>
    </row>
    <row r="12525" spans="1:1" x14ac:dyDescent="0.2">
      <c r="A12525" s="996" t="str">
        <f>CONCATENATE(Programme!D12526,Programme!E12526,Programme!F12526,Programme!G12526,Programme!H12526,Programme!I12526,Programme!J12526)</f>
        <v>&lt;valeur&gt;&lt;/valeur&gt;</v>
      </c>
    </row>
    <row r="12526" spans="1:1" x14ac:dyDescent="0.2">
      <c r="A12526" s="996" t="str">
        <f>CONCATENATE(Programme!D12527,Programme!E12527,Programme!F12527,Programme!G12527,Programme!H12527,Programme!I12527,Programme!J12527)</f>
        <v>&lt;numeroLigne&gt;87&lt;/numeroLigne&gt;</v>
      </c>
    </row>
    <row r="12527" spans="1:1" x14ac:dyDescent="0.2">
      <c r="A12527" s="996" t="str">
        <f>CONCATENATE(Programme!D12528,Programme!E12528,Programme!F12528,Programme!G12528,Programme!H12528,Programme!I12528,Programme!J12528)</f>
        <v>&lt;/ValeurCellule&gt;</v>
      </c>
    </row>
    <row r="12528" spans="1:1" x14ac:dyDescent="0.2">
      <c r="A12528" s="996" t="str">
        <f>CONCATENATE(Programme!D12529,Programme!E12529,Programme!F12529,Programme!G12529,Programme!H12529,Programme!I12529,Programme!J12529)</f>
        <v>&lt;ValeurCellule&gt;</v>
      </c>
    </row>
    <row r="12529" spans="1:1" x14ac:dyDescent="0.2">
      <c r="A12529" s="996" t="str">
        <f>CONCATENATE(Programme!D12530,Programme!E12530,Programme!F12530,Programme!G12530,Programme!H12530,Programme!I12530,Programme!J12530)</f>
        <v>&lt;cellule&gt;&lt;codeEdi&gt;1085&lt;/codeEdi&gt;&lt;/cellule&gt;</v>
      </c>
    </row>
    <row r="12530" spans="1:1" x14ac:dyDescent="0.2">
      <c r="A12530" s="996" t="str">
        <f>CONCATENATE(Programme!D12531,Programme!E12531,Programme!F12531,Programme!G12531,Programme!H12531,Programme!I12531,Programme!J12531)</f>
        <v>&lt;valeur&gt;&lt;/valeur&gt;</v>
      </c>
    </row>
    <row r="12531" spans="1:1" x14ac:dyDescent="0.2">
      <c r="A12531" s="996" t="str">
        <f>CONCATENATE(Programme!D12532,Programme!E12532,Programme!F12532,Programme!G12532,Programme!H12532,Programme!I12532,Programme!J12532)</f>
        <v>&lt;numeroLigne&gt;87&lt;/numeroLigne&gt;</v>
      </c>
    </row>
    <row r="12532" spans="1:1" x14ac:dyDescent="0.2">
      <c r="A12532" s="996" t="str">
        <f>CONCATENATE(Programme!D12533,Programme!E12533,Programme!F12533,Programme!G12533,Programme!H12533,Programme!I12533,Programme!J12533)</f>
        <v>&lt;/ValeurCellule&gt;</v>
      </c>
    </row>
    <row r="12533" spans="1:1" x14ac:dyDescent="0.2">
      <c r="A12533" s="996" t="str">
        <f>CONCATENATE(Programme!D12534,Programme!E12534,Programme!F12534,Programme!G12534,Programme!H12534,Programme!I12534,Programme!J12534)</f>
        <v>&lt;ValeurCellule&gt;</v>
      </c>
    </row>
    <row r="12534" spans="1:1" x14ac:dyDescent="0.2">
      <c r="A12534" s="996" t="str">
        <f>CONCATENATE(Programme!D12535,Programme!E12535,Programme!F12535,Programme!G12535,Programme!H12535,Programme!I12535,Programme!J12535)</f>
        <v>&lt;cellule&gt;&lt;codeEdi&gt;1086&lt;/codeEdi&gt;&lt;/cellule&gt;</v>
      </c>
    </row>
    <row r="12535" spans="1:1" x14ac:dyDescent="0.2">
      <c r="A12535" s="996" t="str">
        <f>CONCATENATE(Programme!D12536,Programme!E12536,Programme!F12536,Programme!G12536,Programme!H12536,Programme!I12536,Programme!J12536)</f>
        <v>&lt;valeur&gt;&lt;/valeur&gt;</v>
      </c>
    </row>
    <row r="12536" spans="1:1" x14ac:dyDescent="0.2">
      <c r="A12536" s="996" t="str">
        <f>CONCATENATE(Programme!D12537,Programme!E12537,Programme!F12537,Programme!G12537,Programme!H12537,Programme!I12537,Programme!J12537)</f>
        <v>&lt;numeroLigne&gt;87&lt;/numeroLigne&gt;</v>
      </c>
    </row>
    <row r="12537" spans="1:1" x14ac:dyDescent="0.2">
      <c r="A12537" s="996" t="str">
        <f>CONCATENATE(Programme!D12538,Programme!E12538,Programme!F12538,Programme!G12538,Programme!H12538,Programme!I12538,Programme!J12538)</f>
        <v>&lt;/ValeurCellule&gt;</v>
      </c>
    </row>
    <row r="12538" spans="1:1" x14ac:dyDescent="0.2">
      <c r="A12538" s="996" t="str">
        <f>CONCATENATE(Programme!D12539,Programme!E12539,Programme!F12539,Programme!G12539,Programme!H12539,Programme!I12539,Programme!J12539)</f>
        <v>&lt;ValeurCellule&gt;</v>
      </c>
    </row>
    <row r="12539" spans="1:1" x14ac:dyDescent="0.2">
      <c r="A12539" s="996" t="str">
        <f>CONCATENATE(Programme!D12540,Programme!E12540,Programme!F12540,Programme!G12540,Programme!H12540,Programme!I12540,Programme!J12540)</f>
        <v>&lt;cellule&gt;&lt;codeEdi&gt;10061&lt;/codeEdi&gt;&lt;/cellule&gt;</v>
      </c>
    </row>
    <row r="12540" spans="1:1" x14ac:dyDescent="0.2">
      <c r="A12540" s="996" t="str">
        <f>CONCATENATE(Programme!D12541,Programme!E12541,Programme!F12541,Programme!G12541,Programme!H12541,Programme!I12541,Programme!J12541)</f>
        <v>&lt;valeur&gt;&lt;/valeur&gt;</v>
      </c>
    </row>
    <row r="12541" spans="1:1" x14ac:dyDescent="0.2">
      <c r="A12541" s="996" t="str">
        <f>CONCATENATE(Programme!D12542,Programme!E12542,Programme!F12542,Programme!G12542,Programme!H12542,Programme!I12542,Programme!J12542)</f>
        <v>&lt;numeroLigne&gt;88&lt;/numeroLigne&gt;</v>
      </c>
    </row>
    <row r="12542" spans="1:1" x14ac:dyDescent="0.2">
      <c r="A12542" s="996" t="str">
        <f>CONCATENATE(Programme!D12543,Programme!E12543,Programme!F12543,Programme!G12543,Programme!H12543,Programme!I12543,Programme!J12543)</f>
        <v>&lt;/ValeurCellule&gt;</v>
      </c>
    </row>
    <row r="12543" spans="1:1" x14ac:dyDescent="0.2">
      <c r="A12543" s="996" t="str">
        <f>CONCATENATE(Programme!D12544,Programme!E12544,Programme!F12544,Programme!G12544,Programme!H12544,Programme!I12544,Programme!J12544)</f>
        <v>&lt;ValeurCellule&gt;</v>
      </c>
    </row>
    <row r="12544" spans="1:1" x14ac:dyDescent="0.2">
      <c r="A12544" s="996" t="str">
        <f>CONCATENATE(Programme!D12545,Programme!E12545,Programme!F12545,Programme!G12545,Programme!H12545,Programme!I12545,Programme!J12545)</f>
        <v>&lt;cellule&gt;&lt;codeEdi&gt;1078&lt;/codeEdi&gt;&lt;/cellule&gt;</v>
      </c>
    </row>
    <row r="12545" spans="1:1" x14ac:dyDescent="0.2">
      <c r="A12545" s="996" t="str">
        <f>CONCATENATE(Programme!D12546,Programme!E12546,Programme!F12546,Programme!G12546,Programme!H12546,Programme!I12546,Programme!J12546)</f>
        <v>&lt;valeur&gt;&lt;/valeur&gt;</v>
      </c>
    </row>
    <row r="12546" spans="1:1" x14ac:dyDescent="0.2">
      <c r="A12546" s="996" t="str">
        <f>CONCATENATE(Programme!D12547,Programme!E12547,Programme!F12547,Programme!G12547,Programme!H12547,Programme!I12547,Programme!J12547)</f>
        <v>&lt;numeroLigne&gt;88&lt;/numeroLigne&gt;</v>
      </c>
    </row>
    <row r="12547" spans="1:1" x14ac:dyDescent="0.2">
      <c r="A12547" s="996" t="str">
        <f>CONCATENATE(Programme!D12548,Programme!E12548,Programme!F12548,Programme!G12548,Programme!H12548,Programme!I12548,Programme!J12548)</f>
        <v>&lt;/ValeurCellule&gt;</v>
      </c>
    </row>
    <row r="12548" spans="1:1" x14ac:dyDescent="0.2">
      <c r="A12548" s="996" t="str">
        <f>CONCATENATE(Programme!D12549,Programme!E12549,Programme!F12549,Programme!G12549,Programme!H12549,Programme!I12549,Programme!J12549)</f>
        <v>&lt;ValeurCellule&gt;</v>
      </c>
    </row>
    <row r="12549" spans="1:1" x14ac:dyDescent="0.2">
      <c r="A12549" s="996" t="str">
        <f>CONCATENATE(Programme!D12550,Programme!E12550,Programme!F12550,Programme!G12550,Programme!H12550,Programme!I12550,Programme!J12550)</f>
        <v>&lt;cellule&gt;&lt;codeEdi&gt;1079&lt;/codeEdi&gt;&lt;/cellule&gt;</v>
      </c>
    </row>
    <row r="12550" spans="1:1" x14ac:dyDescent="0.2">
      <c r="A12550" s="996" t="str">
        <f>CONCATENATE(Programme!D12551,Programme!E12551,Programme!F12551,Programme!G12551,Programme!H12551,Programme!I12551,Programme!J12551)</f>
        <v>&lt;valeur&gt;&lt;/valeur&gt;</v>
      </c>
    </row>
    <row r="12551" spans="1:1" x14ac:dyDescent="0.2">
      <c r="A12551" s="996" t="str">
        <f>CONCATENATE(Programme!D12552,Programme!E12552,Programme!F12552,Programme!G12552,Programme!H12552,Programme!I12552,Programme!J12552)</f>
        <v>&lt;numeroLigne&gt;88&lt;/numeroLigne&gt;</v>
      </c>
    </row>
    <row r="12552" spans="1:1" x14ac:dyDescent="0.2">
      <c r="A12552" s="996" t="str">
        <f>CONCATENATE(Programme!D12553,Programme!E12553,Programme!F12553,Programme!G12553,Programme!H12553,Programme!I12553,Programme!J12553)</f>
        <v>&lt;/ValeurCellule&gt;</v>
      </c>
    </row>
    <row r="12553" spans="1:1" x14ac:dyDescent="0.2">
      <c r="A12553" s="996" t="str">
        <f>CONCATENATE(Programme!D12554,Programme!E12554,Programme!F12554,Programme!G12554,Programme!H12554,Programme!I12554,Programme!J12554)</f>
        <v>&lt;ValeurCellule&gt;</v>
      </c>
    </row>
    <row r="12554" spans="1:1" x14ac:dyDescent="0.2">
      <c r="A12554" s="996" t="str">
        <f>CONCATENATE(Programme!D12555,Programme!E12555,Programme!F12555,Programme!G12555,Programme!H12555,Programme!I12555,Programme!J12555)</f>
        <v>&lt;cellule&gt;&lt;codeEdi&gt;1080&lt;/codeEdi&gt;&lt;/cellule&gt;</v>
      </c>
    </row>
    <row r="12555" spans="1:1" x14ac:dyDescent="0.2">
      <c r="A12555" s="996" t="str">
        <f>CONCATENATE(Programme!D12556,Programme!E12556,Programme!F12556,Programme!G12556,Programme!H12556,Programme!I12556,Programme!J12556)</f>
        <v>&lt;valeur&gt;&lt;/valeur&gt;</v>
      </c>
    </row>
    <row r="12556" spans="1:1" x14ac:dyDescent="0.2">
      <c r="A12556" s="996" t="str">
        <f>CONCATENATE(Programme!D12557,Programme!E12557,Programme!F12557,Programme!G12557,Programme!H12557,Programme!I12557,Programme!J12557)</f>
        <v>&lt;numeroLigne&gt;88&lt;/numeroLigne&gt;</v>
      </c>
    </row>
    <row r="12557" spans="1:1" x14ac:dyDescent="0.2">
      <c r="A12557" s="996" t="str">
        <f>CONCATENATE(Programme!D12558,Programme!E12558,Programme!F12558,Programme!G12558,Programme!H12558,Programme!I12558,Programme!J12558)</f>
        <v>&lt;/ValeurCellule&gt;</v>
      </c>
    </row>
    <row r="12558" spans="1:1" x14ac:dyDescent="0.2">
      <c r="A12558" s="996" t="str">
        <f>CONCATENATE(Programme!D12559,Programme!E12559,Programme!F12559,Programme!G12559,Programme!H12559,Programme!I12559,Programme!J12559)</f>
        <v>&lt;ValeurCellule&gt;</v>
      </c>
    </row>
    <row r="12559" spans="1:1" x14ac:dyDescent="0.2">
      <c r="A12559" s="996" t="str">
        <f>CONCATENATE(Programme!D12560,Programme!E12560,Programme!F12560,Programme!G12560,Programme!H12560,Programme!I12560,Programme!J12560)</f>
        <v>&lt;cellule&gt;&lt;codeEdi&gt;1081&lt;/codeEdi&gt;&lt;/cellule&gt;</v>
      </c>
    </row>
    <row r="12560" spans="1:1" x14ac:dyDescent="0.2">
      <c r="A12560" s="996" t="str">
        <f>CONCATENATE(Programme!D12561,Programme!E12561,Programme!F12561,Programme!G12561,Programme!H12561,Programme!I12561,Programme!J12561)</f>
        <v>&lt;valeur&gt;&lt;/valeur&gt;</v>
      </c>
    </row>
    <row r="12561" spans="1:1" x14ac:dyDescent="0.2">
      <c r="A12561" s="996" t="str">
        <f>CONCATENATE(Programme!D12562,Programme!E12562,Programme!F12562,Programme!G12562,Programme!H12562,Programme!I12562,Programme!J12562)</f>
        <v>&lt;numeroLigne&gt;88&lt;/numeroLigne&gt;</v>
      </c>
    </row>
    <row r="12562" spans="1:1" x14ac:dyDescent="0.2">
      <c r="A12562" s="996" t="str">
        <f>CONCATENATE(Programme!D12563,Programme!E12563,Programme!F12563,Programme!G12563,Programme!H12563,Programme!I12563,Programme!J12563)</f>
        <v>&lt;/ValeurCellule&gt;</v>
      </c>
    </row>
    <row r="12563" spans="1:1" x14ac:dyDescent="0.2">
      <c r="A12563" s="996" t="str">
        <f>CONCATENATE(Programme!D12564,Programme!E12564,Programme!F12564,Programme!G12564,Programme!H12564,Programme!I12564,Programme!J12564)</f>
        <v>&lt;ValeurCellule&gt;</v>
      </c>
    </row>
    <row r="12564" spans="1:1" x14ac:dyDescent="0.2">
      <c r="A12564" s="996" t="str">
        <f>CONCATENATE(Programme!D12565,Programme!E12565,Programme!F12565,Programme!G12565,Programme!H12565,Programme!I12565,Programme!J12565)</f>
        <v>&lt;cellule&gt;&lt;codeEdi&gt;1082&lt;/codeEdi&gt;&lt;/cellule&gt;</v>
      </c>
    </row>
    <row r="12565" spans="1:1" x14ac:dyDescent="0.2">
      <c r="A12565" s="996" t="str">
        <f>CONCATENATE(Programme!D12566,Programme!E12566,Programme!F12566,Programme!G12566,Programme!H12566,Programme!I12566,Programme!J12566)</f>
        <v>&lt;valeur&gt;&lt;/valeur&gt;</v>
      </c>
    </row>
    <row r="12566" spans="1:1" x14ac:dyDescent="0.2">
      <c r="A12566" s="996" t="str">
        <f>CONCATENATE(Programme!D12567,Programme!E12567,Programme!F12567,Programme!G12567,Programme!H12567,Programme!I12567,Programme!J12567)</f>
        <v>&lt;numeroLigne&gt;88&lt;/numeroLigne&gt;</v>
      </c>
    </row>
    <row r="12567" spans="1:1" x14ac:dyDescent="0.2">
      <c r="A12567" s="996" t="str">
        <f>CONCATENATE(Programme!D12568,Programme!E12568,Programme!F12568,Programme!G12568,Programme!H12568,Programme!I12568,Programme!J12568)</f>
        <v>&lt;/ValeurCellule&gt;</v>
      </c>
    </row>
    <row r="12568" spans="1:1" x14ac:dyDescent="0.2">
      <c r="A12568" s="996" t="str">
        <f>CONCATENATE(Programme!D12569,Programme!E12569,Programme!F12569,Programme!G12569,Programme!H12569,Programme!I12569,Programme!J12569)</f>
        <v>&lt;ValeurCellule&gt;</v>
      </c>
    </row>
    <row r="12569" spans="1:1" x14ac:dyDescent="0.2">
      <c r="A12569" s="996" t="str">
        <f>CONCATENATE(Programme!D12570,Programme!E12570,Programme!F12570,Programme!G12570,Programme!H12570,Programme!I12570,Programme!J12570)</f>
        <v>&lt;cellule&gt;&lt;codeEdi&gt;1083&lt;/codeEdi&gt;&lt;/cellule&gt;</v>
      </c>
    </row>
    <row r="12570" spans="1:1" x14ac:dyDescent="0.2">
      <c r="A12570" s="996" t="str">
        <f>CONCATENATE(Programme!D12571,Programme!E12571,Programme!F12571,Programme!G12571,Programme!H12571,Programme!I12571,Programme!J12571)</f>
        <v>&lt;valeur&gt;&lt;/valeur&gt;</v>
      </c>
    </row>
    <row r="12571" spans="1:1" x14ac:dyDescent="0.2">
      <c r="A12571" s="996" t="str">
        <f>CONCATENATE(Programme!D12572,Programme!E12572,Programme!F12572,Programme!G12572,Programme!H12572,Programme!I12572,Programme!J12572)</f>
        <v>&lt;numeroLigne&gt;88&lt;/numeroLigne&gt;</v>
      </c>
    </row>
    <row r="12572" spans="1:1" x14ac:dyDescent="0.2">
      <c r="A12572" s="996" t="str">
        <f>CONCATENATE(Programme!D12573,Programme!E12573,Programme!F12573,Programme!G12573,Programme!H12573,Programme!I12573,Programme!J12573)</f>
        <v>&lt;/ValeurCellule&gt;</v>
      </c>
    </row>
    <row r="12573" spans="1:1" x14ac:dyDescent="0.2">
      <c r="A12573" s="996" t="str">
        <f>CONCATENATE(Programme!D12574,Programme!E12574,Programme!F12574,Programme!G12574,Programme!H12574,Programme!I12574,Programme!J12574)</f>
        <v>&lt;ValeurCellule&gt;</v>
      </c>
    </row>
    <row r="12574" spans="1:1" x14ac:dyDescent="0.2">
      <c r="A12574" s="996" t="str">
        <f>CONCATENATE(Programme!D12575,Programme!E12575,Programme!F12575,Programme!G12575,Programme!H12575,Programme!I12575,Programme!J12575)</f>
        <v>&lt;cellule&gt;&lt;codeEdi&gt;1084&lt;/codeEdi&gt;&lt;/cellule&gt;</v>
      </c>
    </row>
    <row r="12575" spans="1:1" x14ac:dyDescent="0.2">
      <c r="A12575" s="996" t="str">
        <f>CONCATENATE(Programme!D12576,Programme!E12576,Programme!F12576,Programme!G12576,Programme!H12576,Programme!I12576,Programme!J12576)</f>
        <v>&lt;valeur&gt;&lt;/valeur&gt;</v>
      </c>
    </row>
    <row r="12576" spans="1:1" x14ac:dyDescent="0.2">
      <c r="A12576" s="996" t="str">
        <f>CONCATENATE(Programme!D12577,Programme!E12577,Programme!F12577,Programme!G12577,Programme!H12577,Programme!I12577,Programme!J12577)</f>
        <v>&lt;numeroLigne&gt;88&lt;/numeroLigne&gt;</v>
      </c>
    </row>
    <row r="12577" spans="1:1" x14ac:dyDescent="0.2">
      <c r="A12577" s="996" t="str">
        <f>CONCATENATE(Programme!D12578,Programme!E12578,Programme!F12578,Programme!G12578,Programme!H12578,Programme!I12578,Programme!J12578)</f>
        <v>&lt;/ValeurCellule&gt;</v>
      </c>
    </row>
    <row r="12578" spans="1:1" x14ac:dyDescent="0.2">
      <c r="A12578" s="996" t="str">
        <f>CONCATENATE(Programme!D12579,Programme!E12579,Programme!F12579,Programme!G12579,Programme!H12579,Programme!I12579,Programme!J12579)</f>
        <v>&lt;ValeurCellule&gt;</v>
      </c>
    </row>
    <row r="12579" spans="1:1" x14ac:dyDescent="0.2">
      <c r="A12579" s="996" t="str">
        <f>CONCATENATE(Programme!D12580,Programme!E12580,Programme!F12580,Programme!G12580,Programme!H12580,Programme!I12580,Programme!J12580)</f>
        <v>&lt;cellule&gt;&lt;codeEdi&gt;1085&lt;/codeEdi&gt;&lt;/cellule&gt;</v>
      </c>
    </row>
    <row r="12580" spans="1:1" x14ac:dyDescent="0.2">
      <c r="A12580" s="996" t="str">
        <f>CONCATENATE(Programme!D12581,Programme!E12581,Programme!F12581,Programme!G12581,Programme!H12581,Programme!I12581,Programme!J12581)</f>
        <v>&lt;valeur&gt;&lt;/valeur&gt;</v>
      </c>
    </row>
    <row r="12581" spans="1:1" x14ac:dyDescent="0.2">
      <c r="A12581" s="996" t="str">
        <f>CONCATENATE(Programme!D12582,Programme!E12582,Programme!F12582,Programme!G12582,Programme!H12582,Programme!I12582,Programme!J12582)</f>
        <v>&lt;numeroLigne&gt;88&lt;/numeroLigne&gt;</v>
      </c>
    </row>
    <row r="12582" spans="1:1" x14ac:dyDescent="0.2">
      <c r="A12582" s="996" t="str">
        <f>CONCATENATE(Programme!D12583,Programme!E12583,Programme!F12583,Programme!G12583,Programme!H12583,Programme!I12583,Programme!J12583)</f>
        <v>&lt;/ValeurCellule&gt;</v>
      </c>
    </row>
    <row r="12583" spans="1:1" x14ac:dyDescent="0.2">
      <c r="A12583" s="996" t="str">
        <f>CONCATENATE(Programme!D12584,Programme!E12584,Programme!F12584,Programme!G12584,Programme!H12584,Programme!I12584,Programme!J12584)</f>
        <v>&lt;ValeurCellule&gt;</v>
      </c>
    </row>
    <row r="12584" spans="1:1" x14ac:dyDescent="0.2">
      <c r="A12584" s="996" t="str">
        <f>CONCATENATE(Programme!D12585,Programme!E12585,Programme!F12585,Programme!G12585,Programme!H12585,Programme!I12585,Programme!J12585)</f>
        <v>&lt;cellule&gt;&lt;codeEdi&gt;1086&lt;/codeEdi&gt;&lt;/cellule&gt;</v>
      </c>
    </row>
    <row r="12585" spans="1:1" x14ac:dyDescent="0.2">
      <c r="A12585" s="996" t="str">
        <f>CONCATENATE(Programme!D12586,Programme!E12586,Programme!F12586,Programme!G12586,Programme!H12586,Programme!I12586,Programme!J12586)</f>
        <v>&lt;valeur&gt;&lt;/valeur&gt;</v>
      </c>
    </row>
    <row r="12586" spans="1:1" x14ac:dyDescent="0.2">
      <c r="A12586" s="996" t="str">
        <f>CONCATENATE(Programme!D12587,Programme!E12587,Programme!F12587,Programme!G12587,Programme!H12587,Programme!I12587,Programme!J12587)</f>
        <v>&lt;numeroLigne&gt;88&lt;/numeroLigne&gt;</v>
      </c>
    </row>
    <row r="12587" spans="1:1" x14ac:dyDescent="0.2">
      <c r="A12587" s="996" t="str">
        <f>CONCATENATE(Programme!D12588,Programme!E12588,Programme!F12588,Programme!G12588,Programme!H12588,Programme!I12588,Programme!J12588)</f>
        <v>&lt;/ValeurCellule&gt;</v>
      </c>
    </row>
    <row r="12588" spans="1:1" x14ac:dyDescent="0.2">
      <c r="A12588" s="996" t="str">
        <f>CONCATENATE(Programme!D12589,Programme!E12589,Programme!F12589,Programme!G12589,Programme!H12589,Programme!I12589,Programme!J12589)</f>
        <v>&lt;ValeurCellule&gt;</v>
      </c>
    </row>
    <row r="12589" spans="1:1" x14ac:dyDescent="0.2">
      <c r="A12589" s="996" t="str">
        <f>CONCATENATE(Programme!D12590,Programme!E12590,Programme!F12590,Programme!G12590,Programme!H12590,Programme!I12590,Programme!J12590)</f>
        <v>&lt;cellule&gt;&lt;codeEdi&gt;10061&lt;/codeEdi&gt;&lt;/cellule&gt;</v>
      </c>
    </row>
    <row r="12590" spans="1:1" x14ac:dyDescent="0.2">
      <c r="A12590" s="996" t="str">
        <f>CONCATENATE(Programme!D12591,Programme!E12591,Programme!F12591,Programme!G12591,Programme!H12591,Programme!I12591,Programme!J12591)</f>
        <v>&lt;valeur&gt;&lt;/valeur&gt;</v>
      </c>
    </row>
    <row r="12591" spans="1:1" x14ac:dyDescent="0.2">
      <c r="A12591" s="996" t="str">
        <f>CONCATENATE(Programme!D12592,Programme!E12592,Programme!F12592,Programme!G12592,Programme!H12592,Programme!I12592,Programme!J12592)</f>
        <v>&lt;numeroLigne&gt;89&lt;/numeroLigne&gt;</v>
      </c>
    </row>
    <row r="12592" spans="1:1" x14ac:dyDescent="0.2">
      <c r="A12592" s="996" t="str">
        <f>CONCATENATE(Programme!D12593,Programme!E12593,Programme!F12593,Programme!G12593,Programme!H12593,Programme!I12593,Programme!J12593)</f>
        <v>&lt;/ValeurCellule&gt;</v>
      </c>
    </row>
    <row r="12593" spans="1:1" x14ac:dyDescent="0.2">
      <c r="A12593" s="996" t="str">
        <f>CONCATENATE(Programme!D12594,Programme!E12594,Programme!F12594,Programme!G12594,Programme!H12594,Programme!I12594,Programme!J12594)</f>
        <v>&lt;ValeurCellule&gt;</v>
      </c>
    </row>
    <row r="12594" spans="1:1" x14ac:dyDescent="0.2">
      <c r="A12594" s="996" t="str">
        <f>CONCATENATE(Programme!D12595,Programme!E12595,Programme!F12595,Programme!G12595,Programme!H12595,Programme!I12595,Programme!J12595)</f>
        <v>&lt;cellule&gt;&lt;codeEdi&gt;1078&lt;/codeEdi&gt;&lt;/cellule&gt;</v>
      </c>
    </row>
    <row r="12595" spans="1:1" x14ac:dyDescent="0.2">
      <c r="A12595" s="996" t="str">
        <f>CONCATENATE(Programme!D12596,Programme!E12596,Programme!F12596,Programme!G12596,Programme!H12596,Programme!I12596,Programme!J12596)</f>
        <v>&lt;valeur&gt;&lt;/valeur&gt;</v>
      </c>
    </row>
    <row r="12596" spans="1:1" x14ac:dyDescent="0.2">
      <c r="A12596" s="996" t="str">
        <f>CONCATENATE(Programme!D12597,Programme!E12597,Programme!F12597,Programme!G12597,Programme!H12597,Programme!I12597,Programme!J12597)</f>
        <v>&lt;numeroLigne&gt;89&lt;/numeroLigne&gt;</v>
      </c>
    </row>
    <row r="12597" spans="1:1" x14ac:dyDescent="0.2">
      <c r="A12597" s="996" t="str">
        <f>CONCATENATE(Programme!D12598,Programme!E12598,Programme!F12598,Programme!G12598,Programme!H12598,Programme!I12598,Programme!J12598)</f>
        <v>&lt;/ValeurCellule&gt;</v>
      </c>
    </row>
    <row r="12598" spans="1:1" x14ac:dyDescent="0.2">
      <c r="A12598" s="996" t="str">
        <f>CONCATENATE(Programme!D12599,Programme!E12599,Programme!F12599,Programme!G12599,Programme!H12599,Programme!I12599,Programme!J12599)</f>
        <v>&lt;ValeurCellule&gt;</v>
      </c>
    </row>
    <row r="12599" spans="1:1" x14ac:dyDescent="0.2">
      <c r="A12599" s="996" t="str">
        <f>CONCATENATE(Programme!D12600,Programme!E12600,Programme!F12600,Programme!G12600,Programme!H12600,Programme!I12600,Programme!J12600)</f>
        <v>&lt;cellule&gt;&lt;codeEdi&gt;1079&lt;/codeEdi&gt;&lt;/cellule&gt;</v>
      </c>
    </row>
    <row r="12600" spans="1:1" x14ac:dyDescent="0.2">
      <c r="A12600" s="996" t="str">
        <f>CONCATENATE(Programme!D12601,Programme!E12601,Programme!F12601,Programme!G12601,Programme!H12601,Programme!I12601,Programme!J12601)</f>
        <v>&lt;valeur&gt;&lt;/valeur&gt;</v>
      </c>
    </row>
    <row r="12601" spans="1:1" x14ac:dyDescent="0.2">
      <c r="A12601" s="996" t="str">
        <f>CONCATENATE(Programme!D12602,Programme!E12602,Programme!F12602,Programme!G12602,Programme!H12602,Programme!I12602,Programme!J12602)</f>
        <v>&lt;numeroLigne&gt;89&lt;/numeroLigne&gt;</v>
      </c>
    </row>
    <row r="12602" spans="1:1" x14ac:dyDescent="0.2">
      <c r="A12602" s="996" t="str">
        <f>CONCATENATE(Programme!D12603,Programme!E12603,Programme!F12603,Programme!G12603,Programme!H12603,Programme!I12603,Programme!J12603)</f>
        <v>&lt;/ValeurCellule&gt;</v>
      </c>
    </row>
    <row r="12603" spans="1:1" x14ac:dyDescent="0.2">
      <c r="A12603" s="996" t="str">
        <f>CONCATENATE(Programme!D12604,Programme!E12604,Programme!F12604,Programme!G12604,Programme!H12604,Programme!I12604,Programme!J12604)</f>
        <v>&lt;ValeurCellule&gt;</v>
      </c>
    </row>
    <row r="12604" spans="1:1" x14ac:dyDescent="0.2">
      <c r="A12604" s="996" t="str">
        <f>CONCATENATE(Programme!D12605,Programme!E12605,Programme!F12605,Programme!G12605,Programme!H12605,Programme!I12605,Programme!J12605)</f>
        <v>&lt;cellule&gt;&lt;codeEdi&gt;1080&lt;/codeEdi&gt;&lt;/cellule&gt;</v>
      </c>
    </row>
    <row r="12605" spans="1:1" x14ac:dyDescent="0.2">
      <c r="A12605" s="996" t="str">
        <f>CONCATENATE(Programme!D12606,Programme!E12606,Programme!F12606,Programme!G12606,Programme!H12606,Programme!I12606,Programme!J12606)</f>
        <v>&lt;valeur&gt;&lt;/valeur&gt;</v>
      </c>
    </row>
    <row r="12606" spans="1:1" x14ac:dyDescent="0.2">
      <c r="A12606" s="996" t="str">
        <f>CONCATENATE(Programme!D12607,Programme!E12607,Programme!F12607,Programme!G12607,Programme!H12607,Programme!I12607,Programme!J12607)</f>
        <v>&lt;numeroLigne&gt;89&lt;/numeroLigne&gt;</v>
      </c>
    </row>
    <row r="12607" spans="1:1" x14ac:dyDescent="0.2">
      <c r="A12607" s="996" t="str">
        <f>CONCATENATE(Programme!D12608,Programme!E12608,Programme!F12608,Programme!G12608,Programme!H12608,Programme!I12608,Programme!J12608)</f>
        <v>&lt;/ValeurCellule&gt;</v>
      </c>
    </row>
    <row r="12608" spans="1:1" x14ac:dyDescent="0.2">
      <c r="A12608" s="996" t="str">
        <f>CONCATENATE(Programme!D12609,Programme!E12609,Programme!F12609,Programme!G12609,Programme!H12609,Programme!I12609,Programme!J12609)</f>
        <v>&lt;ValeurCellule&gt;</v>
      </c>
    </row>
    <row r="12609" spans="1:1" x14ac:dyDescent="0.2">
      <c r="A12609" s="996" t="str">
        <f>CONCATENATE(Programme!D12610,Programme!E12610,Programme!F12610,Programme!G12610,Programme!H12610,Programme!I12610,Programme!J12610)</f>
        <v>&lt;cellule&gt;&lt;codeEdi&gt;1081&lt;/codeEdi&gt;&lt;/cellule&gt;</v>
      </c>
    </row>
    <row r="12610" spans="1:1" x14ac:dyDescent="0.2">
      <c r="A12610" s="996" t="str">
        <f>CONCATENATE(Programme!D12611,Programme!E12611,Programme!F12611,Programme!G12611,Programme!H12611,Programme!I12611,Programme!J12611)</f>
        <v>&lt;valeur&gt;&lt;/valeur&gt;</v>
      </c>
    </row>
    <row r="12611" spans="1:1" x14ac:dyDescent="0.2">
      <c r="A12611" s="996" t="str">
        <f>CONCATENATE(Programme!D12612,Programme!E12612,Programme!F12612,Programme!G12612,Programme!H12612,Programme!I12612,Programme!J12612)</f>
        <v>&lt;numeroLigne&gt;89&lt;/numeroLigne&gt;</v>
      </c>
    </row>
    <row r="12612" spans="1:1" x14ac:dyDescent="0.2">
      <c r="A12612" s="996" t="str">
        <f>CONCATENATE(Programme!D12613,Programme!E12613,Programme!F12613,Programme!G12613,Programme!H12613,Programme!I12613,Programme!J12613)</f>
        <v>&lt;/ValeurCellule&gt;</v>
      </c>
    </row>
    <row r="12613" spans="1:1" x14ac:dyDescent="0.2">
      <c r="A12613" s="996" t="str">
        <f>CONCATENATE(Programme!D12614,Programme!E12614,Programme!F12614,Programme!G12614,Programme!H12614,Programme!I12614,Programme!J12614)</f>
        <v>&lt;ValeurCellule&gt;</v>
      </c>
    </row>
    <row r="12614" spans="1:1" x14ac:dyDescent="0.2">
      <c r="A12614" s="996" t="str">
        <f>CONCATENATE(Programme!D12615,Programme!E12615,Programme!F12615,Programme!G12615,Programme!H12615,Programme!I12615,Programme!J12615)</f>
        <v>&lt;cellule&gt;&lt;codeEdi&gt;1082&lt;/codeEdi&gt;&lt;/cellule&gt;</v>
      </c>
    </row>
    <row r="12615" spans="1:1" x14ac:dyDescent="0.2">
      <c r="A12615" s="996" t="str">
        <f>CONCATENATE(Programme!D12616,Programme!E12616,Programme!F12616,Programme!G12616,Programme!H12616,Programme!I12616,Programme!J12616)</f>
        <v>&lt;valeur&gt;&lt;/valeur&gt;</v>
      </c>
    </row>
    <row r="12616" spans="1:1" x14ac:dyDescent="0.2">
      <c r="A12616" s="996" t="str">
        <f>CONCATENATE(Programme!D12617,Programme!E12617,Programme!F12617,Programme!G12617,Programme!H12617,Programme!I12617,Programme!J12617)</f>
        <v>&lt;numeroLigne&gt;89&lt;/numeroLigne&gt;</v>
      </c>
    </row>
    <row r="12617" spans="1:1" x14ac:dyDescent="0.2">
      <c r="A12617" s="996" t="str">
        <f>CONCATENATE(Programme!D12618,Programme!E12618,Programme!F12618,Programme!G12618,Programme!H12618,Programme!I12618,Programme!J12618)</f>
        <v>&lt;/ValeurCellule&gt;</v>
      </c>
    </row>
    <row r="12618" spans="1:1" x14ac:dyDescent="0.2">
      <c r="A12618" s="996" t="str">
        <f>CONCATENATE(Programme!D12619,Programme!E12619,Programme!F12619,Programme!G12619,Programme!H12619,Programme!I12619,Programme!J12619)</f>
        <v>&lt;ValeurCellule&gt;</v>
      </c>
    </row>
    <row r="12619" spans="1:1" x14ac:dyDescent="0.2">
      <c r="A12619" s="996" t="str">
        <f>CONCATENATE(Programme!D12620,Programme!E12620,Programme!F12620,Programme!G12620,Programme!H12620,Programme!I12620,Programme!J12620)</f>
        <v>&lt;cellule&gt;&lt;codeEdi&gt;1083&lt;/codeEdi&gt;&lt;/cellule&gt;</v>
      </c>
    </row>
    <row r="12620" spans="1:1" x14ac:dyDescent="0.2">
      <c r="A12620" s="996" t="str">
        <f>CONCATENATE(Programme!D12621,Programme!E12621,Programme!F12621,Programme!G12621,Programme!H12621,Programme!I12621,Programme!J12621)</f>
        <v>&lt;valeur&gt;&lt;/valeur&gt;</v>
      </c>
    </row>
    <row r="12621" spans="1:1" x14ac:dyDescent="0.2">
      <c r="A12621" s="996" t="str">
        <f>CONCATENATE(Programme!D12622,Programme!E12622,Programme!F12622,Programme!G12622,Programme!H12622,Programme!I12622,Programme!J12622)</f>
        <v>&lt;numeroLigne&gt;89&lt;/numeroLigne&gt;</v>
      </c>
    </row>
    <row r="12622" spans="1:1" x14ac:dyDescent="0.2">
      <c r="A12622" s="996" t="str">
        <f>CONCATENATE(Programme!D12623,Programme!E12623,Programme!F12623,Programme!G12623,Programme!H12623,Programme!I12623,Programme!J12623)</f>
        <v>&lt;/ValeurCellule&gt;</v>
      </c>
    </row>
    <row r="12623" spans="1:1" x14ac:dyDescent="0.2">
      <c r="A12623" s="996" t="str">
        <f>CONCATENATE(Programme!D12624,Programme!E12624,Programme!F12624,Programme!G12624,Programme!H12624,Programme!I12624,Programme!J12624)</f>
        <v>&lt;ValeurCellule&gt;</v>
      </c>
    </row>
    <row r="12624" spans="1:1" x14ac:dyDescent="0.2">
      <c r="A12624" s="996" t="str">
        <f>CONCATENATE(Programme!D12625,Programme!E12625,Programme!F12625,Programme!G12625,Programme!H12625,Programme!I12625,Programme!J12625)</f>
        <v>&lt;cellule&gt;&lt;codeEdi&gt;1084&lt;/codeEdi&gt;&lt;/cellule&gt;</v>
      </c>
    </row>
    <row r="12625" spans="1:1" x14ac:dyDescent="0.2">
      <c r="A12625" s="996" t="str">
        <f>CONCATENATE(Programme!D12626,Programme!E12626,Programme!F12626,Programme!G12626,Programme!H12626,Programme!I12626,Programme!J12626)</f>
        <v>&lt;valeur&gt;&lt;/valeur&gt;</v>
      </c>
    </row>
    <row r="12626" spans="1:1" x14ac:dyDescent="0.2">
      <c r="A12626" s="996" t="str">
        <f>CONCATENATE(Programme!D12627,Programme!E12627,Programme!F12627,Programme!G12627,Programme!H12627,Programme!I12627,Programme!J12627)</f>
        <v>&lt;numeroLigne&gt;89&lt;/numeroLigne&gt;</v>
      </c>
    </row>
    <row r="12627" spans="1:1" x14ac:dyDescent="0.2">
      <c r="A12627" s="996" t="str">
        <f>CONCATENATE(Programme!D12628,Programme!E12628,Programme!F12628,Programme!G12628,Programme!H12628,Programme!I12628,Programme!J12628)</f>
        <v>&lt;/ValeurCellule&gt;</v>
      </c>
    </row>
    <row r="12628" spans="1:1" x14ac:dyDescent="0.2">
      <c r="A12628" s="996" t="str">
        <f>CONCATENATE(Programme!D12629,Programme!E12629,Programme!F12629,Programme!G12629,Programme!H12629,Programme!I12629,Programme!J12629)</f>
        <v>&lt;ValeurCellule&gt;</v>
      </c>
    </row>
    <row r="12629" spans="1:1" x14ac:dyDescent="0.2">
      <c r="A12629" s="996" t="str">
        <f>CONCATENATE(Programme!D12630,Programme!E12630,Programme!F12630,Programme!G12630,Programme!H12630,Programme!I12630,Programme!J12630)</f>
        <v>&lt;cellule&gt;&lt;codeEdi&gt;1085&lt;/codeEdi&gt;&lt;/cellule&gt;</v>
      </c>
    </row>
    <row r="12630" spans="1:1" x14ac:dyDescent="0.2">
      <c r="A12630" s="996" t="str">
        <f>CONCATENATE(Programme!D12631,Programme!E12631,Programme!F12631,Programme!G12631,Programme!H12631,Programme!I12631,Programme!J12631)</f>
        <v>&lt;valeur&gt;&lt;/valeur&gt;</v>
      </c>
    </row>
    <row r="12631" spans="1:1" x14ac:dyDescent="0.2">
      <c r="A12631" s="996" t="str">
        <f>CONCATENATE(Programme!D12632,Programme!E12632,Programme!F12632,Programme!G12632,Programme!H12632,Programme!I12632,Programme!J12632)</f>
        <v>&lt;numeroLigne&gt;89&lt;/numeroLigne&gt;</v>
      </c>
    </row>
    <row r="12632" spans="1:1" x14ac:dyDescent="0.2">
      <c r="A12632" s="996" t="str">
        <f>CONCATENATE(Programme!D12633,Programme!E12633,Programme!F12633,Programme!G12633,Programme!H12633,Programme!I12633,Programme!J12633)</f>
        <v>&lt;/ValeurCellule&gt;</v>
      </c>
    </row>
    <row r="12633" spans="1:1" x14ac:dyDescent="0.2">
      <c r="A12633" s="996" t="str">
        <f>CONCATENATE(Programme!D12634,Programme!E12634,Programme!F12634,Programme!G12634,Programme!H12634,Programme!I12634,Programme!J12634)</f>
        <v>&lt;ValeurCellule&gt;</v>
      </c>
    </row>
    <row r="12634" spans="1:1" x14ac:dyDescent="0.2">
      <c r="A12634" s="996" t="str">
        <f>CONCATENATE(Programme!D12635,Programme!E12635,Programme!F12635,Programme!G12635,Programme!H12635,Programme!I12635,Programme!J12635)</f>
        <v>&lt;cellule&gt;&lt;codeEdi&gt;1086&lt;/codeEdi&gt;&lt;/cellule&gt;</v>
      </c>
    </row>
    <row r="12635" spans="1:1" x14ac:dyDescent="0.2">
      <c r="A12635" s="996" t="str">
        <f>CONCATENATE(Programme!D12636,Programme!E12636,Programme!F12636,Programme!G12636,Programme!H12636,Programme!I12636,Programme!J12636)</f>
        <v>&lt;valeur&gt;&lt;/valeur&gt;</v>
      </c>
    </row>
    <row r="12636" spans="1:1" x14ac:dyDescent="0.2">
      <c r="A12636" s="996" t="str">
        <f>CONCATENATE(Programme!D12637,Programme!E12637,Programme!F12637,Programme!G12637,Programme!H12637,Programme!I12637,Programme!J12637)</f>
        <v>&lt;numeroLigne&gt;89&lt;/numeroLigne&gt;</v>
      </c>
    </row>
    <row r="12637" spans="1:1" x14ac:dyDescent="0.2">
      <c r="A12637" s="996" t="str">
        <f>CONCATENATE(Programme!D12638,Programme!E12638,Programme!F12638,Programme!G12638,Programme!H12638,Programme!I12638,Programme!J12638)</f>
        <v>&lt;/ValeurCellule&gt;</v>
      </c>
    </row>
    <row r="12638" spans="1:1" x14ac:dyDescent="0.2">
      <c r="A12638" s="996" t="str">
        <f>CONCATENATE(Programme!D12639,Programme!E12639,Programme!F12639,Programme!G12639,Programme!H12639,Programme!I12639,Programme!J12639)</f>
        <v>&lt;ValeurCellule&gt;</v>
      </c>
    </row>
    <row r="12639" spans="1:1" x14ac:dyDescent="0.2">
      <c r="A12639" s="996" t="str">
        <f>CONCATENATE(Programme!D12640,Programme!E12640,Programme!F12640,Programme!G12640,Programme!H12640,Programme!I12640,Programme!J12640)</f>
        <v>&lt;cellule&gt;&lt;codeEdi&gt;10061&lt;/codeEdi&gt;&lt;/cellule&gt;</v>
      </c>
    </row>
    <row r="12640" spans="1:1" x14ac:dyDescent="0.2">
      <c r="A12640" s="996" t="str">
        <f>CONCATENATE(Programme!D12641,Programme!E12641,Programme!F12641,Programme!G12641,Programme!H12641,Programme!I12641,Programme!J12641)</f>
        <v>&lt;valeur&gt;&lt;/valeur&gt;</v>
      </c>
    </row>
    <row r="12641" spans="1:1" x14ac:dyDescent="0.2">
      <c r="A12641" s="996" t="str">
        <f>CONCATENATE(Programme!D12642,Programme!E12642,Programme!F12642,Programme!G12642,Programme!H12642,Programme!I12642,Programme!J12642)</f>
        <v>&lt;numeroLigne&gt;90&lt;/numeroLigne&gt;</v>
      </c>
    </row>
    <row r="12642" spans="1:1" x14ac:dyDescent="0.2">
      <c r="A12642" s="996" t="str">
        <f>CONCATENATE(Programme!D12643,Programme!E12643,Programme!F12643,Programme!G12643,Programme!H12643,Programme!I12643,Programme!J12643)</f>
        <v>&lt;/ValeurCellule&gt;</v>
      </c>
    </row>
    <row r="12643" spans="1:1" x14ac:dyDescent="0.2">
      <c r="A12643" s="996" t="str">
        <f>CONCATENATE(Programme!D12644,Programme!E12644,Programme!F12644,Programme!G12644,Programme!H12644,Programme!I12644,Programme!J12644)</f>
        <v>&lt;ValeurCellule&gt;</v>
      </c>
    </row>
    <row r="12644" spans="1:1" x14ac:dyDescent="0.2">
      <c r="A12644" s="996" t="str">
        <f>CONCATENATE(Programme!D12645,Programme!E12645,Programme!F12645,Programme!G12645,Programme!H12645,Programme!I12645,Programme!J12645)</f>
        <v>&lt;cellule&gt;&lt;codeEdi&gt;1078&lt;/codeEdi&gt;&lt;/cellule&gt;</v>
      </c>
    </row>
    <row r="12645" spans="1:1" x14ac:dyDescent="0.2">
      <c r="A12645" s="996" t="str">
        <f>CONCATENATE(Programme!D12646,Programme!E12646,Programme!F12646,Programme!G12646,Programme!H12646,Programme!I12646,Programme!J12646)</f>
        <v>&lt;valeur&gt;&lt;/valeur&gt;</v>
      </c>
    </row>
    <row r="12646" spans="1:1" x14ac:dyDescent="0.2">
      <c r="A12646" s="996" t="str">
        <f>CONCATENATE(Programme!D12647,Programme!E12647,Programme!F12647,Programme!G12647,Programme!H12647,Programme!I12647,Programme!J12647)</f>
        <v>&lt;numeroLigne&gt;90&lt;/numeroLigne&gt;</v>
      </c>
    </row>
    <row r="12647" spans="1:1" x14ac:dyDescent="0.2">
      <c r="A12647" s="996" t="str">
        <f>CONCATENATE(Programme!D12648,Programme!E12648,Programme!F12648,Programme!G12648,Programme!H12648,Programme!I12648,Programme!J12648)</f>
        <v>&lt;/ValeurCellule&gt;</v>
      </c>
    </row>
    <row r="12648" spans="1:1" x14ac:dyDescent="0.2">
      <c r="A12648" s="996" t="str">
        <f>CONCATENATE(Programme!D12649,Programme!E12649,Programme!F12649,Programme!G12649,Programme!H12649,Programme!I12649,Programme!J12649)</f>
        <v>&lt;ValeurCellule&gt;</v>
      </c>
    </row>
    <row r="12649" spans="1:1" x14ac:dyDescent="0.2">
      <c r="A12649" s="996" t="str">
        <f>CONCATENATE(Programme!D12650,Programme!E12650,Programme!F12650,Programme!G12650,Programme!H12650,Programme!I12650,Programme!J12650)</f>
        <v>&lt;cellule&gt;&lt;codeEdi&gt;1079&lt;/codeEdi&gt;&lt;/cellule&gt;</v>
      </c>
    </row>
    <row r="12650" spans="1:1" x14ac:dyDescent="0.2">
      <c r="A12650" s="996" t="str">
        <f>CONCATENATE(Programme!D12651,Programme!E12651,Programme!F12651,Programme!G12651,Programme!H12651,Programme!I12651,Programme!J12651)</f>
        <v>&lt;valeur&gt;&lt;/valeur&gt;</v>
      </c>
    </row>
    <row r="12651" spans="1:1" x14ac:dyDescent="0.2">
      <c r="A12651" s="996" t="str">
        <f>CONCATENATE(Programme!D12652,Programme!E12652,Programme!F12652,Programme!G12652,Programme!H12652,Programme!I12652,Programme!J12652)</f>
        <v>&lt;numeroLigne&gt;90&lt;/numeroLigne&gt;</v>
      </c>
    </row>
    <row r="12652" spans="1:1" x14ac:dyDescent="0.2">
      <c r="A12652" s="996" t="str">
        <f>CONCATENATE(Programme!D12653,Programme!E12653,Programme!F12653,Programme!G12653,Programme!H12653,Programme!I12653,Programme!J12653)</f>
        <v>&lt;/ValeurCellule&gt;</v>
      </c>
    </row>
    <row r="12653" spans="1:1" x14ac:dyDescent="0.2">
      <c r="A12653" s="996" t="str">
        <f>CONCATENATE(Programme!D12654,Programme!E12654,Programme!F12654,Programme!G12654,Programme!H12654,Programme!I12654,Programme!J12654)</f>
        <v>&lt;ValeurCellule&gt;</v>
      </c>
    </row>
    <row r="12654" spans="1:1" x14ac:dyDescent="0.2">
      <c r="A12654" s="996" t="str">
        <f>CONCATENATE(Programme!D12655,Programme!E12655,Programme!F12655,Programme!G12655,Programme!H12655,Programme!I12655,Programme!J12655)</f>
        <v>&lt;cellule&gt;&lt;codeEdi&gt;1080&lt;/codeEdi&gt;&lt;/cellule&gt;</v>
      </c>
    </row>
    <row r="12655" spans="1:1" x14ac:dyDescent="0.2">
      <c r="A12655" s="996" t="str">
        <f>CONCATENATE(Programme!D12656,Programme!E12656,Programme!F12656,Programme!G12656,Programme!H12656,Programme!I12656,Programme!J12656)</f>
        <v>&lt;valeur&gt;&lt;/valeur&gt;</v>
      </c>
    </row>
    <row r="12656" spans="1:1" x14ac:dyDescent="0.2">
      <c r="A12656" s="996" t="str">
        <f>CONCATENATE(Programme!D12657,Programme!E12657,Programme!F12657,Programme!G12657,Programme!H12657,Programme!I12657,Programme!J12657)</f>
        <v>&lt;numeroLigne&gt;90&lt;/numeroLigne&gt;</v>
      </c>
    </row>
    <row r="12657" spans="1:1" x14ac:dyDescent="0.2">
      <c r="A12657" s="996" t="str">
        <f>CONCATENATE(Programme!D12658,Programme!E12658,Programme!F12658,Programme!G12658,Programme!H12658,Programme!I12658,Programme!J12658)</f>
        <v>&lt;/ValeurCellule&gt;</v>
      </c>
    </row>
    <row r="12658" spans="1:1" x14ac:dyDescent="0.2">
      <c r="A12658" s="996" t="str">
        <f>CONCATENATE(Programme!D12659,Programme!E12659,Programme!F12659,Programme!G12659,Programme!H12659,Programme!I12659,Programme!J12659)</f>
        <v>&lt;ValeurCellule&gt;</v>
      </c>
    </row>
    <row r="12659" spans="1:1" x14ac:dyDescent="0.2">
      <c r="A12659" s="996" t="str">
        <f>CONCATENATE(Programme!D12660,Programme!E12660,Programme!F12660,Programme!G12660,Programme!H12660,Programme!I12660,Programme!J12660)</f>
        <v>&lt;cellule&gt;&lt;codeEdi&gt;1081&lt;/codeEdi&gt;&lt;/cellule&gt;</v>
      </c>
    </row>
    <row r="12660" spans="1:1" x14ac:dyDescent="0.2">
      <c r="A12660" s="996" t="str">
        <f>CONCATENATE(Programme!D12661,Programme!E12661,Programme!F12661,Programme!G12661,Programme!H12661,Programme!I12661,Programme!J12661)</f>
        <v>&lt;valeur&gt;&lt;/valeur&gt;</v>
      </c>
    </row>
    <row r="12661" spans="1:1" x14ac:dyDescent="0.2">
      <c r="A12661" s="996" t="str">
        <f>CONCATENATE(Programme!D12662,Programme!E12662,Programme!F12662,Programme!G12662,Programme!H12662,Programme!I12662,Programme!J12662)</f>
        <v>&lt;numeroLigne&gt;90&lt;/numeroLigne&gt;</v>
      </c>
    </row>
    <row r="12662" spans="1:1" x14ac:dyDescent="0.2">
      <c r="A12662" s="996" t="str">
        <f>CONCATENATE(Programme!D12663,Programme!E12663,Programme!F12663,Programme!G12663,Programme!H12663,Programme!I12663,Programme!J12663)</f>
        <v>&lt;/ValeurCellule&gt;</v>
      </c>
    </row>
    <row r="12663" spans="1:1" x14ac:dyDescent="0.2">
      <c r="A12663" s="996" t="str">
        <f>CONCATENATE(Programme!D12664,Programme!E12664,Programme!F12664,Programme!G12664,Programme!H12664,Programme!I12664,Programme!J12664)</f>
        <v>&lt;ValeurCellule&gt;</v>
      </c>
    </row>
    <row r="12664" spans="1:1" x14ac:dyDescent="0.2">
      <c r="A12664" s="996" t="str">
        <f>CONCATENATE(Programme!D12665,Programme!E12665,Programme!F12665,Programme!G12665,Programme!H12665,Programme!I12665,Programme!J12665)</f>
        <v>&lt;cellule&gt;&lt;codeEdi&gt;1082&lt;/codeEdi&gt;&lt;/cellule&gt;</v>
      </c>
    </row>
    <row r="12665" spans="1:1" x14ac:dyDescent="0.2">
      <c r="A12665" s="996" t="str">
        <f>CONCATENATE(Programme!D12666,Programme!E12666,Programme!F12666,Programme!G12666,Programme!H12666,Programme!I12666,Programme!J12666)</f>
        <v>&lt;valeur&gt;&lt;/valeur&gt;</v>
      </c>
    </row>
    <row r="12666" spans="1:1" x14ac:dyDescent="0.2">
      <c r="A12666" s="996" t="str">
        <f>CONCATENATE(Programme!D12667,Programme!E12667,Programme!F12667,Programme!G12667,Programme!H12667,Programme!I12667,Programme!J12667)</f>
        <v>&lt;numeroLigne&gt;90&lt;/numeroLigne&gt;</v>
      </c>
    </row>
    <row r="12667" spans="1:1" x14ac:dyDescent="0.2">
      <c r="A12667" s="996" t="str">
        <f>CONCATENATE(Programme!D12668,Programme!E12668,Programme!F12668,Programme!G12668,Programme!H12668,Programme!I12668,Programme!J12668)</f>
        <v>&lt;/ValeurCellule&gt;</v>
      </c>
    </row>
    <row r="12668" spans="1:1" x14ac:dyDescent="0.2">
      <c r="A12668" s="996" t="str">
        <f>CONCATENATE(Programme!D12669,Programme!E12669,Programme!F12669,Programme!G12669,Programme!H12669,Programme!I12669,Programme!J12669)</f>
        <v>&lt;ValeurCellule&gt;</v>
      </c>
    </row>
    <row r="12669" spans="1:1" x14ac:dyDescent="0.2">
      <c r="A12669" s="996" t="str">
        <f>CONCATENATE(Programme!D12670,Programme!E12670,Programme!F12670,Programme!G12670,Programme!H12670,Programme!I12670,Programme!J12670)</f>
        <v>&lt;cellule&gt;&lt;codeEdi&gt;1083&lt;/codeEdi&gt;&lt;/cellule&gt;</v>
      </c>
    </row>
    <row r="12670" spans="1:1" x14ac:dyDescent="0.2">
      <c r="A12670" s="996" t="str">
        <f>CONCATENATE(Programme!D12671,Programme!E12671,Programme!F12671,Programme!G12671,Programme!H12671,Programme!I12671,Programme!J12671)</f>
        <v>&lt;valeur&gt;&lt;/valeur&gt;</v>
      </c>
    </row>
    <row r="12671" spans="1:1" x14ac:dyDescent="0.2">
      <c r="A12671" s="996" t="str">
        <f>CONCATENATE(Programme!D12672,Programme!E12672,Programme!F12672,Programme!G12672,Programme!H12672,Programme!I12672,Programme!J12672)</f>
        <v>&lt;numeroLigne&gt;90&lt;/numeroLigne&gt;</v>
      </c>
    </row>
    <row r="12672" spans="1:1" x14ac:dyDescent="0.2">
      <c r="A12672" s="996" t="str">
        <f>CONCATENATE(Programme!D12673,Programme!E12673,Programme!F12673,Programme!G12673,Programme!H12673,Programme!I12673,Programme!J12673)</f>
        <v>&lt;/ValeurCellule&gt;</v>
      </c>
    </row>
    <row r="12673" spans="1:1" x14ac:dyDescent="0.2">
      <c r="A12673" s="996" t="str">
        <f>CONCATENATE(Programme!D12674,Programme!E12674,Programme!F12674,Programme!G12674,Programme!H12674,Programme!I12674,Programme!J12674)</f>
        <v>&lt;ValeurCellule&gt;</v>
      </c>
    </row>
    <row r="12674" spans="1:1" x14ac:dyDescent="0.2">
      <c r="A12674" s="996" t="str">
        <f>CONCATENATE(Programme!D12675,Programme!E12675,Programme!F12675,Programme!G12675,Programme!H12675,Programme!I12675,Programme!J12675)</f>
        <v>&lt;cellule&gt;&lt;codeEdi&gt;1084&lt;/codeEdi&gt;&lt;/cellule&gt;</v>
      </c>
    </row>
    <row r="12675" spans="1:1" x14ac:dyDescent="0.2">
      <c r="A12675" s="996" t="str">
        <f>CONCATENATE(Programme!D12676,Programme!E12676,Programme!F12676,Programme!G12676,Programme!H12676,Programme!I12676,Programme!J12676)</f>
        <v>&lt;valeur&gt;&lt;/valeur&gt;</v>
      </c>
    </row>
    <row r="12676" spans="1:1" x14ac:dyDescent="0.2">
      <c r="A12676" s="996" t="str">
        <f>CONCATENATE(Programme!D12677,Programme!E12677,Programme!F12677,Programme!G12677,Programme!H12677,Programme!I12677,Programme!J12677)</f>
        <v>&lt;numeroLigne&gt;90&lt;/numeroLigne&gt;</v>
      </c>
    </row>
    <row r="12677" spans="1:1" x14ac:dyDescent="0.2">
      <c r="A12677" s="996" t="str">
        <f>CONCATENATE(Programme!D12678,Programme!E12678,Programme!F12678,Programme!G12678,Programme!H12678,Programme!I12678,Programme!J12678)</f>
        <v>&lt;/ValeurCellule&gt;</v>
      </c>
    </row>
    <row r="12678" spans="1:1" x14ac:dyDescent="0.2">
      <c r="A12678" s="996" t="str">
        <f>CONCATENATE(Programme!D12679,Programme!E12679,Programme!F12679,Programme!G12679,Programme!H12679,Programme!I12679,Programme!J12679)</f>
        <v>&lt;ValeurCellule&gt;</v>
      </c>
    </row>
    <row r="12679" spans="1:1" x14ac:dyDescent="0.2">
      <c r="A12679" s="996" t="str">
        <f>CONCATENATE(Programme!D12680,Programme!E12680,Programme!F12680,Programme!G12680,Programme!H12680,Programme!I12680,Programme!J12680)</f>
        <v>&lt;cellule&gt;&lt;codeEdi&gt;1085&lt;/codeEdi&gt;&lt;/cellule&gt;</v>
      </c>
    </row>
    <row r="12680" spans="1:1" x14ac:dyDescent="0.2">
      <c r="A12680" s="996" t="str">
        <f>CONCATENATE(Programme!D12681,Programme!E12681,Programme!F12681,Programme!G12681,Programme!H12681,Programme!I12681,Programme!J12681)</f>
        <v>&lt;valeur&gt;&lt;/valeur&gt;</v>
      </c>
    </row>
    <row r="12681" spans="1:1" x14ac:dyDescent="0.2">
      <c r="A12681" s="996" t="str">
        <f>CONCATENATE(Programme!D12682,Programme!E12682,Programme!F12682,Programme!G12682,Programme!H12682,Programme!I12682,Programme!J12682)</f>
        <v>&lt;numeroLigne&gt;90&lt;/numeroLigne&gt;</v>
      </c>
    </row>
    <row r="12682" spans="1:1" x14ac:dyDescent="0.2">
      <c r="A12682" s="996" t="str">
        <f>CONCATENATE(Programme!D12683,Programme!E12683,Programme!F12683,Programme!G12683,Programme!H12683,Programme!I12683,Programme!J12683)</f>
        <v>&lt;/ValeurCellule&gt;</v>
      </c>
    </row>
    <row r="12683" spans="1:1" x14ac:dyDescent="0.2">
      <c r="A12683" s="996" t="str">
        <f>CONCATENATE(Programme!D12684,Programme!E12684,Programme!F12684,Programme!G12684,Programme!H12684,Programme!I12684,Programme!J12684)</f>
        <v>&lt;ValeurCellule&gt;</v>
      </c>
    </row>
    <row r="12684" spans="1:1" x14ac:dyDescent="0.2">
      <c r="A12684" s="996" t="str">
        <f>CONCATENATE(Programme!D12685,Programme!E12685,Programme!F12685,Programme!G12685,Programme!H12685,Programme!I12685,Programme!J12685)</f>
        <v>&lt;cellule&gt;&lt;codeEdi&gt;1086&lt;/codeEdi&gt;&lt;/cellule&gt;</v>
      </c>
    </row>
    <row r="12685" spans="1:1" x14ac:dyDescent="0.2">
      <c r="A12685" s="996" t="str">
        <f>CONCATENATE(Programme!D12686,Programme!E12686,Programme!F12686,Programme!G12686,Programme!H12686,Programme!I12686,Programme!J12686)</f>
        <v>&lt;valeur&gt;&lt;/valeur&gt;</v>
      </c>
    </row>
    <row r="12686" spans="1:1" x14ac:dyDescent="0.2">
      <c r="A12686" s="996" t="str">
        <f>CONCATENATE(Programme!D12687,Programme!E12687,Programme!F12687,Programme!G12687,Programme!H12687,Programme!I12687,Programme!J12687)</f>
        <v>&lt;numeroLigne&gt;90&lt;/numeroLigne&gt;</v>
      </c>
    </row>
    <row r="12687" spans="1:1" x14ac:dyDescent="0.2">
      <c r="A12687" s="996" t="str">
        <f>CONCATENATE(Programme!D12688,Programme!E12688,Programme!F12688,Programme!G12688,Programme!H12688,Programme!I12688,Programme!J12688)</f>
        <v>&lt;/ValeurCellule&gt;</v>
      </c>
    </row>
    <row r="12688" spans="1:1" x14ac:dyDescent="0.2">
      <c r="A12688" s="996" t="str">
        <f>CONCATENATE(Programme!D12689,Programme!E12689,Programme!F12689,Programme!G12689,Programme!H12689,Programme!I12689,Programme!J12689)</f>
        <v>&lt;ValeurCellule&gt;</v>
      </c>
    </row>
    <row r="12689" spans="1:1" x14ac:dyDescent="0.2">
      <c r="A12689" s="996" t="str">
        <f>CONCATENATE(Programme!D12690,Programme!E12690,Programme!F12690,Programme!G12690,Programme!H12690,Programme!I12690,Programme!J12690)</f>
        <v>&lt;cellule&gt;&lt;codeEdi&gt;10061&lt;/codeEdi&gt;&lt;/cellule&gt;</v>
      </c>
    </row>
    <row r="12690" spans="1:1" x14ac:dyDescent="0.2">
      <c r="A12690" s="996" t="str">
        <f>CONCATENATE(Programme!D12691,Programme!E12691,Programme!F12691,Programme!G12691,Programme!H12691,Programme!I12691,Programme!J12691)</f>
        <v>&lt;valeur&gt;&lt;/valeur&gt;</v>
      </c>
    </row>
    <row r="12691" spans="1:1" x14ac:dyDescent="0.2">
      <c r="A12691" s="996" t="str">
        <f>CONCATENATE(Programme!D12692,Programme!E12692,Programme!F12692,Programme!G12692,Programme!H12692,Programme!I12692,Programme!J12692)</f>
        <v>&lt;numeroLigne&gt;91&lt;/numeroLigne&gt;</v>
      </c>
    </row>
    <row r="12692" spans="1:1" x14ac:dyDescent="0.2">
      <c r="A12692" s="996" t="str">
        <f>CONCATENATE(Programme!D12693,Programme!E12693,Programme!F12693,Programme!G12693,Programme!H12693,Programme!I12693,Programme!J12693)</f>
        <v>&lt;/ValeurCellule&gt;</v>
      </c>
    </row>
    <row r="12693" spans="1:1" x14ac:dyDescent="0.2">
      <c r="A12693" s="996" t="str">
        <f>CONCATENATE(Programme!D12694,Programme!E12694,Programme!F12694,Programme!G12694,Programme!H12694,Programme!I12694,Programme!J12694)</f>
        <v>&lt;ValeurCellule&gt;</v>
      </c>
    </row>
    <row r="12694" spans="1:1" x14ac:dyDescent="0.2">
      <c r="A12694" s="996" t="str">
        <f>CONCATENATE(Programme!D12695,Programme!E12695,Programme!F12695,Programme!G12695,Programme!H12695,Programme!I12695,Programme!J12695)</f>
        <v>&lt;cellule&gt;&lt;codeEdi&gt;1078&lt;/codeEdi&gt;&lt;/cellule&gt;</v>
      </c>
    </row>
    <row r="12695" spans="1:1" x14ac:dyDescent="0.2">
      <c r="A12695" s="996" t="str">
        <f>CONCATENATE(Programme!D12696,Programme!E12696,Programme!F12696,Programme!G12696,Programme!H12696,Programme!I12696,Programme!J12696)</f>
        <v>&lt;valeur&gt;&lt;/valeur&gt;</v>
      </c>
    </row>
    <row r="12696" spans="1:1" x14ac:dyDescent="0.2">
      <c r="A12696" s="996" t="str">
        <f>CONCATENATE(Programme!D12697,Programme!E12697,Programme!F12697,Programme!G12697,Programme!H12697,Programme!I12697,Programme!J12697)</f>
        <v>&lt;numeroLigne&gt;91&lt;/numeroLigne&gt;</v>
      </c>
    </row>
    <row r="12697" spans="1:1" x14ac:dyDescent="0.2">
      <c r="A12697" s="996" t="str">
        <f>CONCATENATE(Programme!D12698,Programme!E12698,Programme!F12698,Programme!G12698,Programme!H12698,Programme!I12698,Programme!J12698)</f>
        <v>&lt;/ValeurCellule&gt;</v>
      </c>
    </row>
    <row r="12698" spans="1:1" x14ac:dyDescent="0.2">
      <c r="A12698" s="996" t="str">
        <f>CONCATENATE(Programme!D12699,Programme!E12699,Programme!F12699,Programme!G12699,Programme!H12699,Programme!I12699,Programme!J12699)</f>
        <v>&lt;ValeurCellule&gt;</v>
      </c>
    </row>
    <row r="12699" spans="1:1" x14ac:dyDescent="0.2">
      <c r="A12699" s="996" t="str">
        <f>CONCATENATE(Programme!D12700,Programme!E12700,Programme!F12700,Programme!G12700,Programme!H12700,Programme!I12700,Programme!J12700)</f>
        <v>&lt;cellule&gt;&lt;codeEdi&gt;1079&lt;/codeEdi&gt;&lt;/cellule&gt;</v>
      </c>
    </row>
    <row r="12700" spans="1:1" x14ac:dyDescent="0.2">
      <c r="A12700" s="996" t="str">
        <f>CONCATENATE(Programme!D12701,Programme!E12701,Programme!F12701,Programme!G12701,Programme!H12701,Programme!I12701,Programme!J12701)</f>
        <v>&lt;valeur&gt;&lt;/valeur&gt;</v>
      </c>
    </row>
    <row r="12701" spans="1:1" x14ac:dyDescent="0.2">
      <c r="A12701" s="996" t="str">
        <f>CONCATENATE(Programme!D12702,Programme!E12702,Programme!F12702,Programme!G12702,Programme!H12702,Programme!I12702,Programme!J12702)</f>
        <v>&lt;numeroLigne&gt;91&lt;/numeroLigne&gt;</v>
      </c>
    </row>
    <row r="12702" spans="1:1" x14ac:dyDescent="0.2">
      <c r="A12702" s="996" t="str">
        <f>CONCATENATE(Programme!D12703,Programme!E12703,Programme!F12703,Programme!G12703,Programme!H12703,Programme!I12703,Programme!J12703)</f>
        <v>&lt;/ValeurCellule&gt;</v>
      </c>
    </row>
    <row r="12703" spans="1:1" x14ac:dyDescent="0.2">
      <c r="A12703" s="996" t="str">
        <f>CONCATENATE(Programme!D12704,Programme!E12704,Programme!F12704,Programme!G12704,Programme!H12704,Programme!I12704,Programme!J12704)</f>
        <v>&lt;ValeurCellule&gt;</v>
      </c>
    </row>
    <row r="12704" spans="1:1" x14ac:dyDescent="0.2">
      <c r="A12704" s="996" t="str">
        <f>CONCATENATE(Programme!D12705,Programme!E12705,Programme!F12705,Programme!G12705,Programme!H12705,Programme!I12705,Programme!J12705)</f>
        <v>&lt;cellule&gt;&lt;codeEdi&gt;1080&lt;/codeEdi&gt;&lt;/cellule&gt;</v>
      </c>
    </row>
    <row r="12705" spans="1:1" x14ac:dyDescent="0.2">
      <c r="A12705" s="996" t="str">
        <f>CONCATENATE(Programme!D12706,Programme!E12706,Programme!F12706,Programme!G12706,Programme!H12706,Programme!I12706,Programme!J12706)</f>
        <v>&lt;valeur&gt;&lt;/valeur&gt;</v>
      </c>
    </row>
    <row r="12706" spans="1:1" x14ac:dyDescent="0.2">
      <c r="A12706" s="996" t="str">
        <f>CONCATENATE(Programme!D12707,Programme!E12707,Programme!F12707,Programme!G12707,Programme!H12707,Programme!I12707,Programme!J12707)</f>
        <v>&lt;numeroLigne&gt;91&lt;/numeroLigne&gt;</v>
      </c>
    </row>
    <row r="12707" spans="1:1" x14ac:dyDescent="0.2">
      <c r="A12707" s="996" t="str">
        <f>CONCATENATE(Programme!D12708,Programme!E12708,Programme!F12708,Programme!G12708,Programme!H12708,Programme!I12708,Programme!J12708)</f>
        <v>&lt;/ValeurCellule&gt;</v>
      </c>
    </row>
    <row r="12708" spans="1:1" x14ac:dyDescent="0.2">
      <c r="A12708" s="996" t="str">
        <f>CONCATENATE(Programme!D12709,Programme!E12709,Programme!F12709,Programme!G12709,Programme!H12709,Programme!I12709,Programme!J12709)</f>
        <v>&lt;ValeurCellule&gt;</v>
      </c>
    </row>
    <row r="12709" spans="1:1" x14ac:dyDescent="0.2">
      <c r="A12709" s="996" t="str">
        <f>CONCATENATE(Programme!D12710,Programme!E12710,Programme!F12710,Programme!G12710,Programme!H12710,Programme!I12710,Programme!J12710)</f>
        <v>&lt;cellule&gt;&lt;codeEdi&gt;1081&lt;/codeEdi&gt;&lt;/cellule&gt;</v>
      </c>
    </row>
    <row r="12710" spans="1:1" x14ac:dyDescent="0.2">
      <c r="A12710" s="996" t="str">
        <f>CONCATENATE(Programme!D12711,Programme!E12711,Programme!F12711,Programme!G12711,Programme!H12711,Programme!I12711,Programme!J12711)</f>
        <v>&lt;valeur&gt;&lt;/valeur&gt;</v>
      </c>
    </row>
    <row r="12711" spans="1:1" x14ac:dyDescent="0.2">
      <c r="A12711" s="996" t="str">
        <f>CONCATENATE(Programme!D12712,Programme!E12712,Programme!F12712,Programme!G12712,Programme!H12712,Programme!I12712,Programme!J12712)</f>
        <v>&lt;numeroLigne&gt;91&lt;/numeroLigne&gt;</v>
      </c>
    </row>
    <row r="12712" spans="1:1" x14ac:dyDescent="0.2">
      <c r="A12712" s="996" t="str">
        <f>CONCATENATE(Programme!D12713,Programme!E12713,Programme!F12713,Programme!G12713,Programme!H12713,Programme!I12713,Programme!J12713)</f>
        <v>&lt;/ValeurCellule&gt;</v>
      </c>
    </row>
    <row r="12713" spans="1:1" x14ac:dyDescent="0.2">
      <c r="A12713" s="996" t="str">
        <f>CONCATENATE(Programme!D12714,Programme!E12714,Programme!F12714,Programme!G12714,Programme!H12714,Programme!I12714,Programme!J12714)</f>
        <v>&lt;ValeurCellule&gt;</v>
      </c>
    </row>
    <row r="12714" spans="1:1" x14ac:dyDescent="0.2">
      <c r="A12714" s="996" t="str">
        <f>CONCATENATE(Programme!D12715,Programme!E12715,Programme!F12715,Programme!G12715,Programme!H12715,Programme!I12715,Programme!J12715)</f>
        <v>&lt;cellule&gt;&lt;codeEdi&gt;1082&lt;/codeEdi&gt;&lt;/cellule&gt;</v>
      </c>
    </row>
    <row r="12715" spans="1:1" x14ac:dyDescent="0.2">
      <c r="A12715" s="996" t="str">
        <f>CONCATENATE(Programme!D12716,Programme!E12716,Programme!F12716,Programme!G12716,Programme!H12716,Programme!I12716,Programme!J12716)</f>
        <v>&lt;valeur&gt;&lt;/valeur&gt;</v>
      </c>
    </row>
    <row r="12716" spans="1:1" x14ac:dyDescent="0.2">
      <c r="A12716" s="996" t="str">
        <f>CONCATENATE(Programme!D12717,Programme!E12717,Programme!F12717,Programme!G12717,Programme!H12717,Programme!I12717,Programme!J12717)</f>
        <v>&lt;numeroLigne&gt;91&lt;/numeroLigne&gt;</v>
      </c>
    </row>
    <row r="12717" spans="1:1" x14ac:dyDescent="0.2">
      <c r="A12717" s="996" t="str">
        <f>CONCATENATE(Programme!D12718,Programme!E12718,Programme!F12718,Programme!G12718,Programme!H12718,Programme!I12718,Programme!J12718)</f>
        <v>&lt;/ValeurCellule&gt;</v>
      </c>
    </row>
    <row r="12718" spans="1:1" x14ac:dyDescent="0.2">
      <c r="A12718" s="996" t="str">
        <f>CONCATENATE(Programme!D12719,Programme!E12719,Programme!F12719,Programme!G12719,Programme!H12719,Programme!I12719,Programme!J12719)</f>
        <v>&lt;ValeurCellule&gt;</v>
      </c>
    </row>
    <row r="12719" spans="1:1" x14ac:dyDescent="0.2">
      <c r="A12719" s="996" t="str">
        <f>CONCATENATE(Programme!D12720,Programme!E12720,Programme!F12720,Programme!G12720,Programme!H12720,Programme!I12720,Programme!J12720)</f>
        <v>&lt;cellule&gt;&lt;codeEdi&gt;1083&lt;/codeEdi&gt;&lt;/cellule&gt;</v>
      </c>
    </row>
    <row r="12720" spans="1:1" x14ac:dyDescent="0.2">
      <c r="A12720" s="996" t="str">
        <f>CONCATENATE(Programme!D12721,Programme!E12721,Programme!F12721,Programme!G12721,Programme!H12721,Programme!I12721,Programme!J12721)</f>
        <v>&lt;valeur&gt;&lt;/valeur&gt;</v>
      </c>
    </row>
    <row r="12721" spans="1:1" x14ac:dyDescent="0.2">
      <c r="A12721" s="996" t="str">
        <f>CONCATENATE(Programme!D12722,Programme!E12722,Programme!F12722,Programme!G12722,Programme!H12722,Programme!I12722,Programme!J12722)</f>
        <v>&lt;numeroLigne&gt;91&lt;/numeroLigne&gt;</v>
      </c>
    </row>
    <row r="12722" spans="1:1" x14ac:dyDescent="0.2">
      <c r="A12722" s="996" t="str">
        <f>CONCATENATE(Programme!D12723,Programme!E12723,Programme!F12723,Programme!G12723,Programme!H12723,Programme!I12723,Programme!J12723)</f>
        <v>&lt;/ValeurCellule&gt;</v>
      </c>
    </row>
    <row r="12723" spans="1:1" x14ac:dyDescent="0.2">
      <c r="A12723" s="996" t="str">
        <f>CONCATENATE(Programme!D12724,Programme!E12724,Programme!F12724,Programme!G12724,Programme!H12724,Programme!I12724,Programme!J12724)</f>
        <v>&lt;ValeurCellule&gt;</v>
      </c>
    </row>
    <row r="12724" spans="1:1" x14ac:dyDescent="0.2">
      <c r="A12724" s="996" t="str">
        <f>CONCATENATE(Programme!D12725,Programme!E12725,Programme!F12725,Programme!G12725,Programme!H12725,Programme!I12725,Programme!J12725)</f>
        <v>&lt;cellule&gt;&lt;codeEdi&gt;1084&lt;/codeEdi&gt;&lt;/cellule&gt;</v>
      </c>
    </row>
    <row r="12725" spans="1:1" x14ac:dyDescent="0.2">
      <c r="A12725" s="996" t="str">
        <f>CONCATENATE(Programme!D12726,Programme!E12726,Programme!F12726,Programme!G12726,Programme!H12726,Programme!I12726,Programme!J12726)</f>
        <v>&lt;valeur&gt;&lt;/valeur&gt;</v>
      </c>
    </row>
    <row r="12726" spans="1:1" x14ac:dyDescent="0.2">
      <c r="A12726" s="996" t="str">
        <f>CONCATENATE(Programme!D12727,Programme!E12727,Programme!F12727,Programme!G12727,Programme!H12727,Programme!I12727,Programme!J12727)</f>
        <v>&lt;numeroLigne&gt;91&lt;/numeroLigne&gt;</v>
      </c>
    </row>
    <row r="12727" spans="1:1" x14ac:dyDescent="0.2">
      <c r="A12727" s="996" t="str">
        <f>CONCATENATE(Programme!D12728,Programme!E12728,Programme!F12728,Programme!G12728,Programme!H12728,Programme!I12728,Programme!J12728)</f>
        <v>&lt;/ValeurCellule&gt;</v>
      </c>
    </row>
    <row r="12728" spans="1:1" x14ac:dyDescent="0.2">
      <c r="A12728" s="996" t="str">
        <f>CONCATENATE(Programme!D12729,Programme!E12729,Programme!F12729,Programme!G12729,Programme!H12729,Programme!I12729,Programme!J12729)</f>
        <v>&lt;ValeurCellule&gt;</v>
      </c>
    </row>
    <row r="12729" spans="1:1" x14ac:dyDescent="0.2">
      <c r="A12729" s="996" t="str">
        <f>CONCATENATE(Programme!D12730,Programme!E12730,Programme!F12730,Programme!G12730,Programme!H12730,Programme!I12730,Programme!J12730)</f>
        <v>&lt;cellule&gt;&lt;codeEdi&gt;1085&lt;/codeEdi&gt;&lt;/cellule&gt;</v>
      </c>
    </row>
    <row r="12730" spans="1:1" x14ac:dyDescent="0.2">
      <c r="A12730" s="996" t="str">
        <f>CONCATENATE(Programme!D12731,Programme!E12731,Programme!F12731,Programme!G12731,Programme!H12731,Programme!I12731,Programme!J12731)</f>
        <v>&lt;valeur&gt;&lt;/valeur&gt;</v>
      </c>
    </row>
    <row r="12731" spans="1:1" x14ac:dyDescent="0.2">
      <c r="A12731" s="996" t="str">
        <f>CONCATENATE(Programme!D12732,Programme!E12732,Programme!F12732,Programme!G12732,Programme!H12732,Programme!I12732,Programme!J12732)</f>
        <v>&lt;numeroLigne&gt;91&lt;/numeroLigne&gt;</v>
      </c>
    </row>
    <row r="12732" spans="1:1" x14ac:dyDescent="0.2">
      <c r="A12732" s="996" t="str">
        <f>CONCATENATE(Programme!D12733,Programme!E12733,Programme!F12733,Programme!G12733,Programme!H12733,Programme!I12733,Programme!J12733)</f>
        <v>&lt;/ValeurCellule&gt;</v>
      </c>
    </row>
    <row r="12733" spans="1:1" x14ac:dyDescent="0.2">
      <c r="A12733" s="996" t="str">
        <f>CONCATENATE(Programme!D12734,Programme!E12734,Programme!F12734,Programme!G12734,Programme!H12734,Programme!I12734,Programme!J12734)</f>
        <v>&lt;ValeurCellule&gt;</v>
      </c>
    </row>
    <row r="12734" spans="1:1" x14ac:dyDescent="0.2">
      <c r="A12734" s="996" t="str">
        <f>CONCATENATE(Programme!D12735,Programme!E12735,Programme!F12735,Programme!G12735,Programme!H12735,Programme!I12735,Programme!J12735)</f>
        <v>&lt;cellule&gt;&lt;codeEdi&gt;1086&lt;/codeEdi&gt;&lt;/cellule&gt;</v>
      </c>
    </row>
    <row r="12735" spans="1:1" x14ac:dyDescent="0.2">
      <c r="A12735" s="996" t="str">
        <f>CONCATENATE(Programme!D12736,Programme!E12736,Programme!F12736,Programme!G12736,Programme!H12736,Programme!I12736,Programme!J12736)</f>
        <v>&lt;valeur&gt;&lt;/valeur&gt;</v>
      </c>
    </row>
    <row r="12736" spans="1:1" x14ac:dyDescent="0.2">
      <c r="A12736" s="996" t="str">
        <f>CONCATENATE(Programme!D12737,Programme!E12737,Programme!F12737,Programme!G12737,Programme!H12737,Programme!I12737,Programme!J12737)</f>
        <v>&lt;numeroLigne&gt;91&lt;/numeroLigne&gt;</v>
      </c>
    </row>
    <row r="12737" spans="1:1" x14ac:dyDescent="0.2">
      <c r="A12737" s="996" t="str">
        <f>CONCATENATE(Programme!D12738,Programme!E12738,Programme!F12738,Programme!G12738,Programme!H12738,Programme!I12738,Programme!J12738)</f>
        <v>&lt;/ValeurCellule&gt;</v>
      </c>
    </row>
    <row r="12738" spans="1:1" x14ac:dyDescent="0.2">
      <c r="A12738" s="996" t="str">
        <f>CONCATENATE(Programme!D12739,Programme!E12739,Programme!F12739,Programme!G12739,Programme!H12739,Programme!I12739,Programme!J12739)</f>
        <v>&lt;ValeurCellule&gt;</v>
      </c>
    </row>
    <row r="12739" spans="1:1" x14ac:dyDescent="0.2">
      <c r="A12739" s="996" t="str">
        <f>CONCATENATE(Programme!D12740,Programme!E12740,Programme!F12740,Programme!G12740,Programme!H12740,Programme!I12740,Programme!J12740)</f>
        <v>&lt;cellule&gt;&lt;codeEdi&gt;10061&lt;/codeEdi&gt;&lt;/cellule&gt;</v>
      </c>
    </row>
    <row r="12740" spans="1:1" x14ac:dyDescent="0.2">
      <c r="A12740" s="996" t="str">
        <f>CONCATENATE(Programme!D12741,Programme!E12741,Programme!F12741,Programme!G12741,Programme!H12741,Programme!I12741,Programme!J12741)</f>
        <v>&lt;valeur&gt;&lt;/valeur&gt;</v>
      </c>
    </row>
    <row r="12741" spans="1:1" x14ac:dyDescent="0.2">
      <c r="A12741" s="996" t="str">
        <f>CONCATENATE(Programme!D12742,Programme!E12742,Programme!F12742,Programme!G12742,Programme!H12742,Programme!I12742,Programme!J12742)</f>
        <v>&lt;numeroLigne&gt;92&lt;/numeroLigne&gt;</v>
      </c>
    </row>
    <row r="12742" spans="1:1" x14ac:dyDescent="0.2">
      <c r="A12742" s="996" t="str">
        <f>CONCATENATE(Programme!D12743,Programme!E12743,Programme!F12743,Programme!G12743,Programme!H12743,Programme!I12743,Programme!J12743)</f>
        <v>&lt;/ValeurCellule&gt;</v>
      </c>
    </row>
    <row r="12743" spans="1:1" x14ac:dyDescent="0.2">
      <c r="A12743" s="996" t="str">
        <f>CONCATENATE(Programme!D12744,Programme!E12744,Programme!F12744,Programme!G12744,Programme!H12744,Programme!I12744,Programme!J12744)</f>
        <v>&lt;ValeurCellule&gt;</v>
      </c>
    </row>
    <row r="12744" spans="1:1" x14ac:dyDescent="0.2">
      <c r="A12744" s="996" t="str">
        <f>CONCATENATE(Programme!D12745,Programme!E12745,Programme!F12745,Programme!G12745,Programme!H12745,Programme!I12745,Programme!J12745)</f>
        <v>&lt;cellule&gt;&lt;codeEdi&gt;1078&lt;/codeEdi&gt;&lt;/cellule&gt;</v>
      </c>
    </row>
    <row r="12745" spans="1:1" x14ac:dyDescent="0.2">
      <c r="A12745" s="996" t="str">
        <f>CONCATENATE(Programme!D12746,Programme!E12746,Programme!F12746,Programme!G12746,Programme!H12746,Programme!I12746,Programme!J12746)</f>
        <v>&lt;valeur&gt;&lt;/valeur&gt;</v>
      </c>
    </row>
    <row r="12746" spans="1:1" x14ac:dyDescent="0.2">
      <c r="A12746" s="996" t="str">
        <f>CONCATENATE(Programme!D12747,Programme!E12747,Programme!F12747,Programme!G12747,Programme!H12747,Programme!I12747,Programme!J12747)</f>
        <v>&lt;numeroLigne&gt;92&lt;/numeroLigne&gt;</v>
      </c>
    </row>
    <row r="12747" spans="1:1" x14ac:dyDescent="0.2">
      <c r="A12747" s="996" t="str">
        <f>CONCATENATE(Programme!D12748,Programme!E12748,Programme!F12748,Programme!G12748,Programme!H12748,Programme!I12748,Programme!J12748)</f>
        <v>&lt;/ValeurCellule&gt;</v>
      </c>
    </row>
    <row r="12748" spans="1:1" x14ac:dyDescent="0.2">
      <c r="A12748" s="996" t="str">
        <f>CONCATENATE(Programme!D12749,Programme!E12749,Programme!F12749,Programme!G12749,Programme!H12749,Programme!I12749,Programme!J12749)</f>
        <v>&lt;ValeurCellule&gt;</v>
      </c>
    </row>
    <row r="12749" spans="1:1" x14ac:dyDescent="0.2">
      <c r="A12749" s="996" t="str">
        <f>CONCATENATE(Programme!D12750,Programme!E12750,Programme!F12750,Programme!G12750,Programme!H12750,Programme!I12750,Programme!J12750)</f>
        <v>&lt;cellule&gt;&lt;codeEdi&gt;1079&lt;/codeEdi&gt;&lt;/cellule&gt;</v>
      </c>
    </row>
    <row r="12750" spans="1:1" x14ac:dyDescent="0.2">
      <c r="A12750" s="996" t="str">
        <f>CONCATENATE(Programme!D12751,Programme!E12751,Programme!F12751,Programme!G12751,Programme!H12751,Programme!I12751,Programme!J12751)</f>
        <v>&lt;valeur&gt;&lt;/valeur&gt;</v>
      </c>
    </row>
    <row r="12751" spans="1:1" x14ac:dyDescent="0.2">
      <c r="A12751" s="996" t="str">
        <f>CONCATENATE(Programme!D12752,Programme!E12752,Programme!F12752,Programme!G12752,Programme!H12752,Programme!I12752,Programme!J12752)</f>
        <v>&lt;numeroLigne&gt;92&lt;/numeroLigne&gt;</v>
      </c>
    </row>
    <row r="12752" spans="1:1" x14ac:dyDescent="0.2">
      <c r="A12752" s="996" t="str">
        <f>CONCATENATE(Programme!D12753,Programme!E12753,Programme!F12753,Programme!G12753,Programme!H12753,Programme!I12753,Programme!J12753)</f>
        <v>&lt;/ValeurCellule&gt;</v>
      </c>
    </row>
    <row r="12753" spans="1:1" x14ac:dyDescent="0.2">
      <c r="A12753" s="996" t="str">
        <f>CONCATENATE(Programme!D12754,Programme!E12754,Programme!F12754,Programme!G12754,Programme!H12754,Programme!I12754,Programme!J12754)</f>
        <v>&lt;ValeurCellule&gt;</v>
      </c>
    </row>
    <row r="12754" spans="1:1" x14ac:dyDescent="0.2">
      <c r="A12754" s="996" t="str">
        <f>CONCATENATE(Programme!D12755,Programme!E12755,Programme!F12755,Programme!G12755,Programme!H12755,Programme!I12755,Programme!J12755)</f>
        <v>&lt;cellule&gt;&lt;codeEdi&gt;1080&lt;/codeEdi&gt;&lt;/cellule&gt;</v>
      </c>
    </row>
    <row r="12755" spans="1:1" x14ac:dyDescent="0.2">
      <c r="A12755" s="996" t="str">
        <f>CONCATENATE(Programme!D12756,Programme!E12756,Programme!F12756,Programme!G12756,Programme!H12756,Programme!I12756,Programme!J12756)</f>
        <v>&lt;valeur&gt;&lt;/valeur&gt;</v>
      </c>
    </row>
    <row r="12756" spans="1:1" x14ac:dyDescent="0.2">
      <c r="A12756" s="996" t="str">
        <f>CONCATENATE(Programme!D12757,Programme!E12757,Programme!F12757,Programme!G12757,Programme!H12757,Programme!I12757,Programme!J12757)</f>
        <v>&lt;numeroLigne&gt;92&lt;/numeroLigne&gt;</v>
      </c>
    </row>
    <row r="12757" spans="1:1" x14ac:dyDescent="0.2">
      <c r="A12757" s="996" t="str">
        <f>CONCATENATE(Programme!D12758,Programme!E12758,Programme!F12758,Programme!G12758,Programme!H12758,Programme!I12758,Programme!J12758)</f>
        <v>&lt;/ValeurCellule&gt;</v>
      </c>
    </row>
    <row r="12758" spans="1:1" x14ac:dyDescent="0.2">
      <c r="A12758" s="996" t="str">
        <f>CONCATENATE(Programme!D12759,Programme!E12759,Programme!F12759,Programme!G12759,Programme!H12759,Programme!I12759,Programme!J12759)</f>
        <v>&lt;ValeurCellule&gt;</v>
      </c>
    </row>
    <row r="12759" spans="1:1" x14ac:dyDescent="0.2">
      <c r="A12759" s="996" t="str">
        <f>CONCATENATE(Programme!D12760,Programme!E12760,Programme!F12760,Programme!G12760,Programme!H12760,Programme!I12760,Programme!J12760)</f>
        <v>&lt;cellule&gt;&lt;codeEdi&gt;1081&lt;/codeEdi&gt;&lt;/cellule&gt;</v>
      </c>
    </row>
    <row r="12760" spans="1:1" x14ac:dyDescent="0.2">
      <c r="A12760" s="996" t="str">
        <f>CONCATENATE(Programme!D12761,Programme!E12761,Programme!F12761,Programme!G12761,Programme!H12761,Programme!I12761,Programme!J12761)</f>
        <v>&lt;valeur&gt;&lt;/valeur&gt;</v>
      </c>
    </row>
    <row r="12761" spans="1:1" x14ac:dyDescent="0.2">
      <c r="A12761" s="996" t="str">
        <f>CONCATENATE(Programme!D12762,Programme!E12762,Programme!F12762,Programme!G12762,Programme!H12762,Programme!I12762,Programme!J12762)</f>
        <v>&lt;numeroLigne&gt;92&lt;/numeroLigne&gt;</v>
      </c>
    </row>
    <row r="12762" spans="1:1" x14ac:dyDescent="0.2">
      <c r="A12762" s="996" t="str">
        <f>CONCATENATE(Programme!D12763,Programme!E12763,Programme!F12763,Programme!G12763,Programme!H12763,Programme!I12763,Programme!J12763)</f>
        <v>&lt;/ValeurCellule&gt;</v>
      </c>
    </row>
    <row r="12763" spans="1:1" x14ac:dyDescent="0.2">
      <c r="A12763" s="996" t="str">
        <f>CONCATENATE(Programme!D12764,Programme!E12764,Programme!F12764,Programme!G12764,Programme!H12764,Programme!I12764,Programme!J12764)</f>
        <v>&lt;ValeurCellule&gt;</v>
      </c>
    </row>
    <row r="12764" spans="1:1" x14ac:dyDescent="0.2">
      <c r="A12764" s="996" t="str">
        <f>CONCATENATE(Programme!D12765,Programme!E12765,Programme!F12765,Programme!G12765,Programme!H12765,Programme!I12765,Programme!J12765)</f>
        <v>&lt;cellule&gt;&lt;codeEdi&gt;1082&lt;/codeEdi&gt;&lt;/cellule&gt;</v>
      </c>
    </row>
    <row r="12765" spans="1:1" x14ac:dyDescent="0.2">
      <c r="A12765" s="996" t="str">
        <f>CONCATENATE(Programme!D12766,Programme!E12766,Programme!F12766,Programme!G12766,Programme!H12766,Programme!I12766,Programme!J12766)</f>
        <v>&lt;valeur&gt;&lt;/valeur&gt;</v>
      </c>
    </row>
    <row r="12766" spans="1:1" x14ac:dyDescent="0.2">
      <c r="A12766" s="996" t="str">
        <f>CONCATENATE(Programme!D12767,Programme!E12767,Programme!F12767,Programme!G12767,Programme!H12767,Programme!I12767,Programme!J12767)</f>
        <v>&lt;numeroLigne&gt;92&lt;/numeroLigne&gt;</v>
      </c>
    </row>
    <row r="12767" spans="1:1" x14ac:dyDescent="0.2">
      <c r="A12767" s="996" t="str">
        <f>CONCATENATE(Programme!D12768,Programme!E12768,Programme!F12768,Programme!G12768,Programme!H12768,Programme!I12768,Programme!J12768)</f>
        <v>&lt;/ValeurCellule&gt;</v>
      </c>
    </row>
    <row r="12768" spans="1:1" x14ac:dyDescent="0.2">
      <c r="A12768" s="996" t="str">
        <f>CONCATENATE(Programme!D12769,Programme!E12769,Programme!F12769,Programme!G12769,Programme!H12769,Programme!I12769,Programme!J12769)</f>
        <v>&lt;ValeurCellule&gt;</v>
      </c>
    </row>
    <row r="12769" spans="1:1" x14ac:dyDescent="0.2">
      <c r="A12769" s="996" t="str">
        <f>CONCATENATE(Programme!D12770,Programme!E12770,Programme!F12770,Programme!G12770,Programme!H12770,Programme!I12770,Programme!J12770)</f>
        <v>&lt;cellule&gt;&lt;codeEdi&gt;1083&lt;/codeEdi&gt;&lt;/cellule&gt;</v>
      </c>
    </row>
    <row r="12770" spans="1:1" x14ac:dyDescent="0.2">
      <c r="A12770" s="996" t="str">
        <f>CONCATENATE(Programme!D12771,Programme!E12771,Programme!F12771,Programme!G12771,Programme!H12771,Programme!I12771,Programme!J12771)</f>
        <v>&lt;valeur&gt;&lt;/valeur&gt;</v>
      </c>
    </row>
    <row r="12771" spans="1:1" x14ac:dyDescent="0.2">
      <c r="A12771" s="996" t="str">
        <f>CONCATENATE(Programme!D12772,Programme!E12772,Programme!F12772,Programme!G12772,Programme!H12772,Programme!I12772,Programme!J12772)</f>
        <v>&lt;numeroLigne&gt;92&lt;/numeroLigne&gt;</v>
      </c>
    </row>
    <row r="12772" spans="1:1" x14ac:dyDescent="0.2">
      <c r="A12772" s="996" t="str">
        <f>CONCATENATE(Programme!D12773,Programme!E12773,Programme!F12773,Programme!G12773,Programme!H12773,Programme!I12773,Programme!J12773)</f>
        <v>&lt;/ValeurCellule&gt;</v>
      </c>
    </row>
    <row r="12773" spans="1:1" x14ac:dyDescent="0.2">
      <c r="A12773" s="996" t="str">
        <f>CONCATENATE(Programme!D12774,Programme!E12774,Programme!F12774,Programme!G12774,Programme!H12774,Programme!I12774,Programme!J12774)</f>
        <v>&lt;ValeurCellule&gt;</v>
      </c>
    </row>
    <row r="12774" spans="1:1" x14ac:dyDescent="0.2">
      <c r="A12774" s="996" t="str">
        <f>CONCATENATE(Programme!D12775,Programme!E12775,Programme!F12775,Programme!G12775,Programme!H12775,Programme!I12775,Programme!J12775)</f>
        <v>&lt;cellule&gt;&lt;codeEdi&gt;1084&lt;/codeEdi&gt;&lt;/cellule&gt;</v>
      </c>
    </row>
    <row r="12775" spans="1:1" x14ac:dyDescent="0.2">
      <c r="A12775" s="996" t="str">
        <f>CONCATENATE(Programme!D12776,Programme!E12776,Programme!F12776,Programme!G12776,Programme!H12776,Programme!I12776,Programme!J12776)</f>
        <v>&lt;valeur&gt;&lt;/valeur&gt;</v>
      </c>
    </row>
    <row r="12776" spans="1:1" x14ac:dyDescent="0.2">
      <c r="A12776" s="996" t="str">
        <f>CONCATENATE(Programme!D12777,Programme!E12777,Programme!F12777,Programme!G12777,Programme!H12777,Programme!I12777,Programme!J12777)</f>
        <v>&lt;numeroLigne&gt;92&lt;/numeroLigne&gt;</v>
      </c>
    </row>
    <row r="12777" spans="1:1" x14ac:dyDescent="0.2">
      <c r="A12777" s="996" t="str">
        <f>CONCATENATE(Programme!D12778,Programme!E12778,Programme!F12778,Programme!G12778,Programme!H12778,Programme!I12778,Programme!J12778)</f>
        <v>&lt;/ValeurCellule&gt;</v>
      </c>
    </row>
    <row r="12778" spans="1:1" x14ac:dyDescent="0.2">
      <c r="A12778" s="996" t="str">
        <f>CONCATENATE(Programme!D12779,Programme!E12779,Programme!F12779,Programme!G12779,Programme!H12779,Programme!I12779,Programme!J12779)</f>
        <v>&lt;ValeurCellule&gt;</v>
      </c>
    </row>
    <row r="12779" spans="1:1" x14ac:dyDescent="0.2">
      <c r="A12779" s="996" t="str">
        <f>CONCATENATE(Programme!D12780,Programme!E12780,Programme!F12780,Programme!G12780,Programme!H12780,Programme!I12780,Programme!J12780)</f>
        <v>&lt;cellule&gt;&lt;codeEdi&gt;1085&lt;/codeEdi&gt;&lt;/cellule&gt;</v>
      </c>
    </row>
    <row r="12780" spans="1:1" x14ac:dyDescent="0.2">
      <c r="A12780" s="996" t="str">
        <f>CONCATENATE(Programme!D12781,Programme!E12781,Programme!F12781,Programme!G12781,Programme!H12781,Programme!I12781,Programme!J12781)</f>
        <v>&lt;valeur&gt;&lt;/valeur&gt;</v>
      </c>
    </row>
    <row r="12781" spans="1:1" x14ac:dyDescent="0.2">
      <c r="A12781" s="996" t="str">
        <f>CONCATENATE(Programme!D12782,Programme!E12782,Programme!F12782,Programme!G12782,Programme!H12782,Programme!I12782,Programme!J12782)</f>
        <v>&lt;numeroLigne&gt;92&lt;/numeroLigne&gt;</v>
      </c>
    </row>
    <row r="12782" spans="1:1" x14ac:dyDescent="0.2">
      <c r="A12782" s="996" t="str">
        <f>CONCATENATE(Programme!D12783,Programme!E12783,Programme!F12783,Programme!G12783,Programme!H12783,Programme!I12783,Programme!J12783)</f>
        <v>&lt;/ValeurCellule&gt;</v>
      </c>
    </row>
    <row r="12783" spans="1:1" x14ac:dyDescent="0.2">
      <c r="A12783" s="996" t="str">
        <f>CONCATENATE(Programme!D12784,Programme!E12784,Programme!F12784,Programme!G12784,Programme!H12784,Programme!I12784,Programme!J12784)</f>
        <v>&lt;ValeurCellule&gt;</v>
      </c>
    </row>
    <row r="12784" spans="1:1" x14ac:dyDescent="0.2">
      <c r="A12784" s="996" t="str">
        <f>CONCATENATE(Programme!D12785,Programme!E12785,Programme!F12785,Programme!G12785,Programme!H12785,Programme!I12785,Programme!J12785)</f>
        <v>&lt;cellule&gt;&lt;codeEdi&gt;1086&lt;/codeEdi&gt;&lt;/cellule&gt;</v>
      </c>
    </row>
    <row r="12785" spans="1:1" x14ac:dyDescent="0.2">
      <c r="A12785" s="996" t="str">
        <f>CONCATENATE(Programme!D12786,Programme!E12786,Programme!F12786,Programme!G12786,Programme!H12786,Programme!I12786,Programme!J12786)</f>
        <v>&lt;valeur&gt;&lt;/valeur&gt;</v>
      </c>
    </row>
    <row r="12786" spans="1:1" x14ac:dyDescent="0.2">
      <c r="A12786" s="996" t="str">
        <f>CONCATENATE(Programme!D12787,Programme!E12787,Programme!F12787,Programme!G12787,Programme!H12787,Programme!I12787,Programme!J12787)</f>
        <v>&lt;numeroLigne&gt;92&lt;/numeroLigne&gt;</v>
      </c>
    </row>
    <row r="12787" spans="1:1" x14ac:dyDescent="0.2">
      <c r="A12787" s="996" t="str">
        <f>CONCATENATE(Programme!D12788,Programme!E12788,Programme!F12788,Programme!G12788,Programme!H12788,Programme!I12788,Programme!J12788)</f>
        <v>&lt;/ValeurCellule&gt;</v>
      </c>
    </row>
    <row r="12788" spans="1:1" x14ac:dyDescent="0.2">
      <c r="A12788" s="996" t="str">
        <f>CONCATENATE(Programme!D12789,Programme!E12789,Programme!F12789,Programme!G12789,Programme!H12789,Programme!I12789,Programme!J12789)</f>
        <v>&lt;ValeurCellule&gt;</v>
      </c>
    </row>
    <row r="12789" spans="1:1" x14ac:dyDescent="0.2">
      <c r="A12789" s="996" t="str">
        <f>CONCATENATE(Programme!D12790,Programme!E12790,Programme!F12790,Programme!G12790,Programme!H12790,Programme!I12790,Programme!J12790)</f>
        <v>&lt;cellule&gt;&lt;codeEdi&gt;10061&lt;/codeEdi&gt;&lt;/cellule&gt;</v>
      </c>
    </row>
    <row r="12790" spans="1:1" x14ac:dyDescent="0.2">
      <c r="A12790" s="996" t="str">
        <f>CONCATENATE(Programme!D12791,Programme!E12791,Programme!F12791,Programme!G12791,Programme!H12791,Programme!I12791,Programme!J12791)</f>
        <v>&lt;valeur&gt;&lt;/valeur&gt;</v>
      </c>
    </row>
    <row r="12791" spans="1:1" x14ac:dyDescent="0.2">
      <c r="A12791" s="996" t="str">
        <f>CONCATENATE(Programme!D12792,Programme!E12792,Programme!F12792,Programme!G12792,Programme!H12792,Programme!I12792,Programme!J12792)</f>
        <v>&lt;numeroLigne&gt;93&lt;/numeroLigne&gt;</v>
      </c>
    </row>
    <row r="12792" spans="1:1" x14ac:dyDescent="0.2">
      <c r="A12792" s="996" t="str">
        <f>CONCATENATE(Programme!D12793,Programme!E12793,Programme!F12793,Programme!G12793,Programme!H12793,Programme!I12793,Programme!J12793)</f>
        <v>&lt;/ValeurCellule&gt;</v>
      </c>
    </row>
    <row r="12793" spans="1:1" x14ac:dyDescent="0.2">
      <c r="A12793" s="996" t="str">
        <f>CONCATENATE(Programme!D12794,Programme!E12794,Programme!F12794,Programme!G12794,Programme!H12794,Programme!I12794,Programme!J12794)</f>
        <v>&lt;ValeurCellule&gt;</v>
      </c>
    </row>
    <row r="12794" spans="1:1" x14ac:dyDescent="0.2">
      <c r="A12794" s="996" t="str">
        <f>CONCATENATE(Programme!D12795,Programme!E12795,Programme!F12795,Programme!G12795,Programme!H12795,Programme!I12795,Programme!J12795)</f>
        <v>&lt;cellule&gt;&lt;codeEdi&gt;1078&lt;/codeEdi&gt;&lt;/cellule&gt;</v>
      </c>
    </row>
    <row r="12795" spans="1:1" x14ac:dyDescent="0.2">
      <c r="A12795" s="996" t="str">
        <f>CONCATENATE(Programme!D12796,Programme!E12796,Programme!F12796,Programme!G12796,Programme!H12796,Programme!I12796,Programme!J12796)</f>
        <v>&lt;valeur&gt;&lt;/valeur&gt;</v>
      </c>
    </row>
    <row r="12796" spans="1:1" x14ac:dyDescent="0.2">
      <c r="A12796" s="996" t="str">
        <f>CONCATENATE(Programme!D12797,Programme!E12797,Programme!F12797,Programme!G12797,Programme!H12797,Programme!I12797,Programme!J12797)</f>
        <v>&lt;numeroLigne&gt;93&lt;/numeroLigne&gt;</v>
      </c>
    </row>
    <row r="12797" spans="1:1" x14ac:dyDescent="0.2">
      <c r="A12797" s="996" t="str">
        <f>CONCATENATE(Programme!D12798,Programme!E12798,Programme!F12798,Programme!G12798,Programme!H12798,Programme!I12798,Programme!J12798)</f>
        <v>&lt;/ValeurCellule&gt;</v>
      </c>
    </row>
    <row r="12798" spans="1:1" x14ac:dyDescent="0.2">
      <c r="A12798" s="996" t="str">
        <f>CONCATENATE(Programme!D12799,Programme!E12799,Programme!F12799,Programme!G12799,Programme!H12799,Programme!I12799,Programme!J12799)</f>
        <v>&lt;ValeurCellule&gt;</v>
      </c>
    </row>
    <row r="12799" spans="1:1" x14ac:dyDescent="0.2">
      <c r="A12799" s="996" t="str">
        <f>CONCATENATE(Programme!D12800,Programme!E12800,Programme!F12800,Programme!G12800,Programme!H12800,Programme!I12800,Programme!J12800)</f>
        <v>&lt;cellule&gt;&lt;codeEdi&gt;1079&lt;/codeEdi&gt;&lt;/cellule&gt;</v>
      </c>
    </row>
    <row r="12800" spans="1:1" x14ac:dyDescent="0.2">
      <c r="A12800" s="996" t="str">
        <f>CONCATENATE(Programme!D12801,Programme!E12801,Programme!F12801,Programme!G12801,Programme!H12801,Programme!I12801,Programme!J12801)</f>
        <v>&lt;valeur&gt;&lt;/valeur&gt;</v>
      </c>
    </row>
    <row r="12801" spans="1:1" x14ac:dyDescent="0.2">
      <c r="A12801" s="996" t="str">
        <f>CONCATENATE(Programme!D12802,Programme!E12802,Programme!F12802,Programme!G12802,Programme!H12802,Programme!I12802,Programme!J12802)</f>
        <v>&lt;numeroLigne&gt;93&lt;/numeroLigne&gt;</v>
      </c>
    </row>
    <row r="12802" spans="1:1" x14ac:dyDescent="0.2">
      <c r="A12802" s="996" t="str">
        <f>CONCATENATE(Programme!D12803,Programme!E12803,Programme!F12803,Programme!G12803,Programme!H12803,Programme!I12803,Programme!J12803)</f>
        <v>&lt;/ValeurCellule&gt;</v>
      </c>
    </row>
    <row r="12803" spans="1:1" x14ac:dyDescent="0.2">
      <c r="A12803" s="996" t="str">
        <f>CONCATENATE(Programme!D12804,Programme!E12804,Programme!F12804,Programme!G12804,Programme!H12804,Programme!I12804,Programme!J12804)</f>
        <v>&lt;ValeurCellule&gt;</v>
      </c>
    </row>
    <row r="12804" spans="1:1" x14ac:dyDescent="0.2">
      <c r="A12804" s="996" t="str">
        <f>CONCATENATE(Programme!D12805,Programme!E12805,Programme!F12805,Programme!G12805,Programme!H12805,Programme!I12805,Programme!J12805)</f>
        <v>&lt;cellule&gt;&lt;codeEdi&gt;1080&lt;/codeEdi&gt;&lt;/cellule&gt;</v>
      </c>
    </row>
    <row r="12805" spans="1:1" x14ac:dyDescent="0.2">
      <c r="A12805" s="996" t="str">
        <f>CONCATENATE(Programme!D12806,Programme!E12806,Programme!F12806,Programme!G12806,Programme!H12806,Programme!I12806,Programme!J12806)</f>
        <v>&lt;valeur&gt;&lt;/valeur&gt;</v>
      </c>
    </row>
    <row r="12806" spans="1:1" x14ac:dyDescent="0.2">
      <c r="A12806" s="996" t="str">
        <f>CONCATENATE(Programme!D12807,Programme!E12807,Programme!F12807,Programme!G12807,Programme!H12807,Programme!I12807,Programme!J12807)</f>
        <v>&lt;numeroLigne&gt;93&lt;/numeroLigne&gt;</v>
      </c>
    </row>
    <row r="12807" spans="1:1" x14ac:dyDescent="0.2">
      <c r="A12807" s="996" t="str">
        <f>CONCATENATE(Programme!D12808,Programme!E12808,Programme!F12808,Programme!G12808,Programme!H12808,Programme!I12808,Programme!J12808)</f>
        <v>&lt;/ValeurCellule&gt;</v>
      </c>
    </row>
    <row r="12808" spans="1:1" x14ac:dyDescent="0.2">
      <c r="A12808" s="996" t="str">
        <f>CONCATENATE(Programme!D12809,Programme!E12809,Programme!F12809,Programme!G12809,Programme!H12809,Programme!I12809,Programme!J12809)</f>
        <v>&lt;ValeurCellule&gt;</v>
      </c>
    </row>
    <row r="12809" spans="1:1" x14ac:dyDescent="0.2">
      <c r="A12809" s="996" t="str">
        <f>CONCATENATE(Programme!D12810,Programme!E12810,Programme!F12810,Programme!G12810,Programme!H12810,Programme!I12810,Programme!J12810)</f>
        <v>&lt;cellule&gt;&lt;codeEdi&gt;1081&lt;/codeEdi&gt;&lt;/cellule&gt;</v>
      </c>
    </row>
    <row r="12810" spans="1:1" x14ac:dyDescent="0.2">
      <c r="A12810" s="996" t="str">
        <f>CONCATENATE(Programme!D12811,Programme!E12811,Programme!F12811,Programme!G12811,Programme!H12811,Programme!I12811,Programme!J12811)</f>
        <v>&lt;valeur&gt;&lt;/valeur&gt;</v>
      </c>
    </row>
    <row r="12811" spans="1:1" x14ac:dyDescent="0.2">
      <c r="A12811" s="996" t="str">
        <f>CONCATENATE(Programme!D12812,Programme!E12812,Programme!F12812,Programme!G12812,Programme!H12812,Programme!I12812,Programme!J12812)</f>
        <v>&lt;numeroLigne&gt;93&lt;/numeroLigne&gt;</v>
      </c>
    </row>
    <row r="12812" spans="1:1" x14ac:dyDescent="0.2">
      <c r="A12812" s="996" t="str">
        <f>CONCATENATE(Programme!D12813,Programme!E12813,Programme!F12813,Programme!G12813,Programme!H12813,Programme!I12813,Programme!J12813)</f>
        <v>&lt;/ValeurCellule&gt;</v>
      </c>
    </row>
    <row r="12813" spans="1:1" x14ac:dyDescent="0.2">
      <c r="A12813" s="996" t="str">
        <f>CONCATENATE(Programme!D12814,Programme!E12814,Programme!F12814,Programme!G12814,Programme!H12814,Programme!I12814,Programme!J12814)</f>
        <v>&lt;ValeurCellule&gt;</v>
      </c>
    </row>
    <row r="12814" spans="1:1" x14ac:dyDescent="0.2">
      <c r="A12814" s="996" t="str">
        <f>CONCATENATE(Programme!D12815,Programme!E12815,Programme!F12815,Programme!G12815,Programme!H12815,Programme!I12815,Programme!J12815)</f>
        <v>&lt;cellule&gt;&lt;codeEdi&gt;1082&lt;/codeEdi&gt;&lt;/cellule&gt;</v>
      </c>
    </row>
    <row r="12815" spans="1:1" x14ac:dyDescent="0.2">
      <c r="A12815" s="996" t="str">
        <f>CONCATENATE(Programme!D12816,Programme!E12816,Programme!F12816,Programme!G12816,Programme!H12816,Programme!I12816,Programme!J12816)</f>
        <v>&lt;valeur&gt;&lt;/valeur&gt;</v>
      </c>
    </row>
    <row r="12816" spans="1:1" x14ac:dyDescent="0.2">
      <c r="A12816" s="996" t="str">
        <f>CONCATENATE(Programme!D12817,Programme!E12817,Programme!F12817,Programme!G12817,Programme!H12817,Programme!I12817,Programme!J12817)</f>
        <v>&lt;numeroLigne&gt;93&lt;/numeroLigne&gt;</v>
      </c>
    </row>
    <row r="12817" spans="1:1" x14ac:dyDescent="0.2">
      <c r="A12817" s="996" t="str">
        <f>CONCATENATE(Programme!D12818,Programme!E12818,Programme!F12818,Programme!G12818,Programme!H12818,Programme!I12818,Programme!J12818)</f>
        <v>&lt;/ValeurCellule&gt;</v>
      </c>
    </row>
    <row r="12818" spans="1:1" x14ac:dyDescent="0.2">
      <c r="A12818" s="996" t="str">
        <f>CONCATENATE(Programme!D12819,Programme!E12819,Programme!F12819,Programme!G12819,Programme!H12819,Programme!I12819,Programme!J12819)</f>
        <v>&lt;ValeurCellule&gt;</v>
      </c>
    </row>
    <row r="12819" spans="1:1" x14ac:dyDescent="0.2">
      <c r="A12819" s="996" t="str">
        <f>CONCATENATE(Programme!D12820,Programme!E12820,Programme!F12820,Programme!G12820,Programme!H12820,Programme!I12820,Programme!J12820)</f>
        <v>&lt;cellule&gt;&lt;codeEdi&gt;1083&lt;/codeEdi&gt;&lt;/cellule&gt;</v>
      </c>
    </row>
    <row r="12820" spans="1:1" x14ac:dyDescent="0.2">
      <c r="A12820" s="996" t="str">
        <f>CONCATENATE(Programme!D12821,Programme!E12821,Programme!F12821,Programme!G12821,Programme!H12821,Programme!I12821,Programme!J12821)</f>
        <v>&lt;valeur&gt;&lt;/valeur&gt;</v>
      </c>
    </row>
    <row r="12821" spans="1:1" x14ac:dyDescent="0.2">
      <c r="A12821" s="996" t="str">
        <f>CONCATENATE(Programme!D12822,Programme!E12822,Programme!F12822,Programme!G12822,Programme!H12822,Programme!I12822,Programme!J12822)</f>
        <v>&lt;numeroLigne&gt;93&lt;/numeroLigne&gt;</v>
      </c>
    </row>
    <row r="12822" spans="1:1" x14ac:dyDescent="0.2">
      <c r="A12822" s="996" t="str">
        <f>CONCATENATE(Programme!D12823,Programme!E12823,Programme!F12823,Programme!G12823,Programme!H12823,Programme!I12823,Programme!J12823)</f>
        <v>&lt;/ValeurCellule&gt;</v>
      </c>
    </row>
    <row r="12823" spans="1:1" x14ac:dyDescent="0.2">
      <c r="A12823" s="996" t="str">
        <f>CONCATENATE(Programme!D12824,Programme!E12824,Programme!F12824,Programme!G12824,Programme!H12824,Programme!I12824,Programme!J12824)</f>
        <v>&lt;ValeurCellule&gt;</v>
      </c>
    </row>
    <row r="12824" spans="1:1" x14ac:dyDescent="0.2">
      <c r="A12824" s="996" t="str">
        <f>CONCATENATE(Programme!D12825,Programme!E12825,Programme!F12825,Programme!G12825,Programme!H12825,Programme!I12825,Programme!J12825)</f>
        <v>&lt;cellule&gt;&lt;codeEdi&gt;1084&lt;/codeEdi&gt;&lt;/cellule&gt;</v>
      </c>
    </row>
    <row r="12825" spans="1:1" x14ac:dyDescent="0.2">
      <c r="A12825" s="996" t="str">
        <f>CONCATENATE(Programme!D12826,Programme!E12826,Programme!F12826,Programme!G12826,Programme!H12826,Programme!I12826,Programme!J12826)</f>
        <v>&lt;valeur&gt;&lt;/valeur&gt;</v>
      </c>
    </row>
    <row r="12826" spans="1:1" x14ac:dyDescent="0.2">
      <c r="A12826" s="996" t="str">
        <f>CONCATENATE(Programme!D12827,Programme!E12827,Programme!F12827,Programme!G12827,Programme!H12827,Programme!I12827,Programme!J12827)</f>
        <v>&lt;numeroLigne&gt;93&lt;/numeroLigne&gt;</v>
      </c>
    </row>
    <row r="12827" spans="1:1" x14ac:dyDescent="0.2">
      <c r="A12827" s="996" t="str">
        <f>CONCATENATE(Programme!D12828,Programme!E12828,Programme!F12828,Programme!G12828,Programme!H12828,Programme!I12828,Programme!J12828)</f>
        <v>&lt;/ValeurCellule&gt;</v>
      </c>
    </row>
    <row r="12828" spans="1:1" x14ac:dyDescent="0.2">
      <c r="A12828" s="996" t="str">
        <f>CONCATENATE(Programme!D12829,Programme!E12829,Programme!F12829,Programme!G12829,Programme!H12829,Programme!I12829,Programme!J12829)</f>
        <v>&lt;ValeurCellule&gt;</v>
      </c>
    </row>
    <row r="12829" spans="1:1" x14ac:dyDescent="0.2">
      <c r="A12829" s="996" t="str">
        <f>CONCATENATE(Programme!D12830,Programme!E12830,Programme!F12830,Programme!G12830,Programme!H12830,Programme!I12830,Programme!J12830)</f>
        <v>&lt;cellule&gt;&lt;codeEdi&gt;1085&lt;/codeEdi&gt;&lt;/cellule&gt;</v>
      </c>
    </row>
    <row r="12830" spans="1:1" x14ac:dyDescent="0.2">
      <c r="A12830" s="996" t="str">
        <f>CONCATENATE(Programme!D12831,Programme!E12831,Programme!F12831,Programme!G12831,Programme!H12831,Programme!I12831,Programme!J12831)</f>
        <v>&lt;valeur&gt;&lt;/valeur&gt;</v>
      </c>
    </row>
    <row r="12831" spans="1:1" x14ac:dyDescent="0.2">
      <c r="A12831" s="996" t="str">
        <f>CONCATENATE(Programme!D12832,Programme!E12832,Programme!F12832,Programme!G12832,Programme!H12832,Programme!I12832,Programme!J12832)</f>
        <v>&lt;numeroLigne&gt;93&lt;/numeroLigne&gt;</v>
      </c>
    </row>
    <row r="12832" spans="1:1" x14ac:dyDescent="0.2">
      <c r="A12832" s="996" t="str">
        <f>CONCATENATE(Programme!D12833,Programme!E12833,Programme!F12833,Programme!G12833,Programme!H12833,Programme!I12833,Programme!J12833)</f>
        <v>&lt;/ValeurCellule&gt;</v>
      </c>
    </row>
    <row r="12833" spans="1:1" x14ac:dyDescent="0.2">
      <c r="A12833" s="996" t="str">
        <f>CONCATENATE(Programme!D12834,Programme!E12834,Programme!F12834,Programme!G12834,Programme!H12834,Programme!I12834,Programme!J12834)</f>
        <v>&lt;ValeurCellule&gt;</v>
      </c>
    </row>
    <row r="12834" spans="1:1" x14ac:dyDescent="0.2">
      <c r="A12834" s="996" t="str">
        <f>CONCATENATE(Programme!D12835,Programme!E12835,Programme!F12835,Programme!G12835,Programme!H12835,Programme!I12835,Programme!J12835)</f>
        <v>&lt;cellule&gt;&lt;codeEdi&gt;1086&lt;/codeEdi&gt;&lt;/cellule&gt;</v>
      </c>
    </row>
    <row r="12835" spans="1:1" x14ac:dyDescent="0.2">
      <c r="A12835" s="996" t="str">
        <f>CONCATENATE(Programme!D12836,Programme!E12836,Programme!F12836,Programme!G12836,Programme!H12836,Programme!I12836,Programme!J12836)</f>
        <v>&lt;valeur&gt;&lt;/valeur&gt;</v>
      </c>
    </row>
    <row r="12836" spans="1:1" x14ac:dyDescent="0.2">
      <c r="A12836" s="996" t="str">
        <f>CONCATENATE(Programme!D12837,Programme!E12837,Programme!F12837,Programme!G12837,Programme!H12837,Programme!I12837,Programme!J12837)</f>
        <v>&lt;numeroLigne&gt;93&lt;/numeroLigne&gt;</v>
      </c>
    </row>
    <row r="12837" spans="1:1" x14ac:dyDescent="0.2">
      <c r="A12837" s="996" t="str">
        <f>CONCATENATE(Programme!D12838,Programme!E12838,Programme!F12838,Programme!G12838,Programme!H12838,Programme!I12838,Programme!J12838)</f>
        <v>&lt;/ValeurCellule&gt;</v>
      </c>
    </row>
    <row r="12838" spans="1:1" x14ac:dyDescent="0.2">
      <c r="A12838" s="996" t="str">
        <f>CONCATENATE(Programme!D12839,Programme!E12839,Programme!F12839,Programme!G12839,Programme!H12839,Programme!I12839,Programme!J12839)</f>
        <v>&lt;ValeurCellule&gt;</v>
      </c>
    </row>
    <row r="12839" spans="1:1" x14ac:dyDescent="0.2">
      <c r="A12839" s="996" t="str">
        <f>CONCATENATE(Programme!D12840,Programme!E12840,Programme!F12840,Programme!G12840,Programme!H12840,Programme!I12840,Programme!J12840)</f>
        <v>&lt;cellule&gt;&lt;codeEdi&gt;10061&lt;/codeEdi&gt;&lt;/cellule&gt;</v>
      </c>
    </row>
    <row r="12840" spans="1:1" x14ac:dyDescent="0.2">
      <c r="A12840" s="996" t="str">
        <f>CONCATENATE(Programme!D12841,Programme!E12841,Programme!F12841,Programme!G12841,Programme!H12841,Programme!I12841,Programme!J12841)</f>
        <v>&lt;valeur&gt;&lt;/valeur&gt;</v>
      </c>
    </row>
    <row r="12841" spans="1:1" x14ac:dyDescent="0.2">
      <c r="A12841" s="996" t="str">
        <f>CONCATENATE(Programme!D12842,Programme!E12842,Programme!F12842,Programme!G12842,Programme!H12842,Programme!I12842,Programme!J12842)</f>
        <v>&lt;numeroLigne&gt;94&lt;/numeroLigne&gt;</v>
      </c>
    </row>
    <row r="12842" spans="1:1" x14ac:dyDescent="0.2">
      <c r="A12842" s="996" t="str">
        <f>CONCATENATE(Programme!D12843,Programme!E12843,Programme!F12843,Programme!G12843,Programme!H12843,Programme!I12843,Programme!J12843)</f>
        <v>&lt;/ValeurCellule&gt;</v>
      </c>
    </row>
    <row r="12843" spans="1:1" x14ac:dyDescent="0.2">
      <c r="A12843" s="996" t="str">
        <f>CONCATENATE(Programme!D12844,Programme!E12844,Programme!F12844,Programme!G12844,Programme!H12844,Programme!I12844,Programme!J12844)</f>
        <v>&lt;ValeurCellule&gt;</v>
      </c>
    </row>
    <row r="12844" spans="1:1" x14ac:dyDescent="0.2">
      <c r="A12844" s="996" t="str">
        <f>CONCATENATE(Programme!D12845,Programme!E12845,Programme!F12845,Programme!G12845,Programme!H12845,Programme!I12845,Programme!J12845)</f>
        <v>&lt;cellule&gt;&lt;codeEdi&gt;1078&lt;/codeEdi&gt;&lt;/cellule&gt;</v>
      </c>
    </row>
    <row r="12845" spans="1:1" x14ac:dyDescent="0.2">
      <c r="A12845" s="996" t="str">
        <f>CONCATENATE(Programme!D12846,Programme!E12846,Programme!F12846,Programme!G12846,Programme!H12846,Programme!I12846,Programme!J12846)</f>
        <v>&lt;valeur&gt;&lt;/valeur&gt;</v>
      </c>
    </row>
    <row r="12846" spans="1:1" x14ac:dyDescent="0.2">
      <c r="A12846" s="996" t="str">
        <f>CONCATENATE(Programme!D12847,Programme!E12847,Programme!F12847,Programme!G12847,Programme!H12847,Programme!I12847,Programme!J12847)</f>
        <v>&lt;numeroLigne&gt;94&lt;/numeroLigne&gt;</v>
      </c>
    </row>
    <row r="12847" spans="1:1" x14ac:dyDescent="0.2">
      <c r="A12847" s="996" t="str">
        <f>CONCATENATE(Programme!D12848,Programme!E12848,Programme!F12848,Programme!G12848,Programme!H12848,Programme!I12848,Programme!J12848)</f>
        <v>&lt;/ValeurCellule&gt;</v>
      </c>
    </row>
    <row r="12848" spans="1:1" x14ac:dyDescent="0.2">
      <c r="A12848" s="996" t="str">
        <f>CONCATENATE(Programme!D12849,Programme!E12849,Programme!F12849,Programme!G12849,Programme!H12849,Programme!I12849,Programme!J12849)</f>
        <v>&lt;ValeurCellule&gt;</v>
      </c>
    </row>
    <row r="12849" spans="1:1" x14ac:dyDescent="0.2">
      <c r="A12849" s="996" t="str">
        <f>CONCATENATE(Programme!D12850,Programme!E12850,Programme!F12850,Programme!G12850,Programme!H12850,Programme!I12850,Programme!J12850)</f>
        <v>&lt;cellule&gt;&lt;codeEdi&gt;1079&lt;/codeEdi&gt;&lt;/cellule&gt;</v>
      </c>
    </row>
    <row r="12850" spans="1:1" x14ac:dyDescent="0.2">
      <c r="A12850" s="996" t="str">
        <f>CONCATENATE(Programme!D12851,Programme!E12851,Programme!F12851,Programme!G12851,Programme!H12851,Programme!I12851,Programme!J12851)</f>
        <v>&lt;valeur&gt;&lt;/valeur&gt;</v>
      </c>
    </row>
    <row r="12851" spans="1:1" x14ac:dyDescent="0.2">
      <c r="A12851" s="996" t="str">
        <f>CONCATENATE(Programme!D12852,Programme!E12852,Programme!F12852,Programme!G12852,Programme!H12852,Programme!I12852,Programme!J12852)</f>
        <v>&lt;numeroLigne&gt;94&lt;/numeroLigne&gt;</v>
      </c>
    </row>
    <row r="12852" spans="1:1" x14ac:dyDescent="0.2">
      <c r="A12852" s="996" t="str">
        <f>CONCATENATE(Programme!D12853,Programme!E12853,Programme!F12853,Programme!G12853,Programme!H12853,Programme!I12853,Programme!J12853)</f>
        <v>&lt;/ValeurCellule&gt;</v>
      </c>
    </row>
    <row r="12853" spans="1:1" x14ac:dyDescent="0.2">
      <c r="A12853" s="996" t="str">
        <f>CONCATENATE(Programme!D12854,Programme!E12854,Programme!F12854,Programme!G12854,Programme!H12854,Programme!I12854,Programme!J12854)</f>
        <v>&lt;ValeurCellule&gt;</v>
      </c>
    </row>
    <row r="12854" spans="1:1" x14ac:dyDescent="0.2">
      <c r="A12854" s="996" t="str">
        <f>CONCATENATE(Programme!D12855,Programme!E12855,Programme!F12855,Programme!G12855,Programme!H12855,Programme!I12855,Programme!J12855)</f>
        <v>&lt;cellule&gt;&lt;codeEdi&gt;1080&lt;/codeEdi&gt;&lt;/cellule&gt;</v>
      </c>
    </row>
    <row r="12855" spans="1:1" x14ac:dyDescent="0.2">
      <c r="A12855" s="996" t="str">
        <f>CONCATENATE(Programme!D12856,Programme!E12856,Programme!F12856,Programme!G12856,Programme!H12856,Programme!I12856,Programme!J12856)</f>
        <v>&lt;valeur&gt;&lt;/valeur&gt;</v>
      </c>
    </row>
    <row r="12856" spans="1:1" x14ac:dyDescent="0.2">
      <c r="A12856" s="996" t="str">
        <f>CONCATENATE(Programme!D12857,Programme!E12857,Programme!F12857,Programme!G12857,Programme!H12857,Programme!I12857,Programme!J12857)</f>
        <v>&lt;numeroLigne&gt;94&lt;/numeroLigne&gt;</v>
      </c>
    </row>
    <row r="12857" spans="1:1" x14ac:dyDescent="0.2">
      <c r="A12857" s="996" t="str">
        <f>CONCATENATE(Programme!D12858,Programme!E12858,Programme!F12858,Programme!G12858,Programme!H12858,Programme!I12858,Programme!J12858)</f>
        <v>&lt;/ValeurCellule&gt;</v>
      </c>
    </row>
    <row r="12858" spans="1:1" x14ac:dyDescent="0.2">
      <c r="A12858" s="996" t="str">
        <f>CONCATENATE(Programme!D12859,Programme!E12859,Programme!F12859,Programme!G12859,Programme!H12859,Programme!I12859,Programme!J12859)</f>
        <v>&lt;ValeurCellule&gt;</v>
      </c>
    </row>
    <row r="12859" spans="1:1" x14ac:dyDescent="0.2">
      <c r="A12859" s="996" t="str">
        <f>CONCATENATE(Programme!D12860,Programme!E12860,Programme!F12860,Programme!G12860,Programme!H12860,Programme!I12860,Programme!J12860)</f>
        <v>&lt;cellule&gt;&lt;codeEdi&gt;1081&lt;/codeEdi&gt;&lt;/cellule&gt;</v>
      </c>
    </row>
    <row r="12860" spans="1:1" x14ac:dyDescent="0.2">
      <c r="A12860" s="996" t="str">
        <f>CONCATENATE(Programme!D12861,Programme!E12861,Programme!F12861,Programme!G12861,Programme!H12861,Programme!I12861,Programme!J12861)</f>
        <v>&lt;valeur&gt;&lt;/valeur&gt;</v>
      </c>
    </row>
    <row r="12861" spans="1:1" x14ac:dyDescent="0.2">
      <c r="A12861" s="996" t="str">
        <f>CONCATENATE(Programme!D12862,Programme!E12862,Programme!F12862,Programme!G12862,Programme!H12862,Programme!I12862,Programme!J12862)</f>
        <v>&lt;numeroLigne&gt;94&lt;/numeroLigne&gt;</v>
      </c>
    </row>
    <row r="12862" spans="1:1" x14ac:dyDescent="0.2">
      <c r="A12862" s="996" t="str">
        <f>CONCATENATE(Programme!D12863,Programme!E12863,Programme!F12863,Programme!G12863,Programme!H12863,Programme!I12863,Programme!J12863)</f>
        <v>&lt;/ValeurCellule&gt;</v>
      </c>
    </row>
    <row r="12863" spans="1:1" x14ac:dyDescent="0.2">
      <c r="A12863" s="996" t="str">
        <f>CONCATENATE(Programme!D12864,Programme!E12864,Programme!F12864,Programme!G12864,Programme!H12864,Programme!I12864,Programme!J12864)</f>
        <v>&lt;ValeurCellule&gt;</v>
      </c>
    </row>
    <row r="12864" spans="1:1" x14ac:dyDescent="0.2">
      <c r="A12864" s="996" t="str">
        <f>CONCATENATE(Programme!D12865,Programme!E12865,Programme!F12865,Programme!G12865,Programme!H12865,Programme!I12865,Programme!J12865)</f>
        <v>&lt;cellule&gt;&lt;codeEdi&gt;1082&lt;/codeEdi&gt;&lt;/cellule&gt;</v>
      </c>
    </row>
    <row r="12865" spans="1:1" x14ac:dyDescent="0.2">
      <c r="A12865" s="996" t="str">
        <f>CONCATENATE(Programme!D12866,Programme!E12866,Programme!F12866,Programme!G12866,Programme!H12866,Programme!I12866,Programme!J12866)</f>
        <v>&lt;valeur&gt;&lt;/valeur&gt;</v>
      </c>
    </row>
    <row r="12866" spans="1:1" x14ac:dyDescent="0.2">
      <c r="A12866" s="996" t="str">
        <f>CONCATENATE(Programme!D12867,Programme!E12867,Programme!F12867,Programme!G12867,Programme!H12867,Programme!I12867,Programme!J12867)</f>
        <v>&lt;numeroLigne&gt;94&lt;/numeroLigne&gt;</v>
      </c>
    </row>
    <row r="12867" spans="1:1" x14ac:dyDescent="0.2">
      <c r="A12867" s="996" t="str">
        <f>CONCATENATE(Programme!D12868,Programme!E12868,Programme!F12868,Programme!G12868,Programme!H12868,Programme!I12868,Programme!J12868)</f>
        <v>&lt;/ValeurCellule&gt;</v>
      </c>
    </row>
    <row r="12868" spans="1:1" x14ac:dyDescent="0.2">
      <c r="A12868" s="996" t="str">
        <f>CONCATENATE(Programme!D12869,Programme!E12869,Programme!F12869,Programme!G12869,Programme!H12869,Programme!I12869,Programme!J12869)</f>
        <v>&lt;ValeurCellule&gt;</v>
      </c>
    </row>
    <row r="12869" spans="1:1" x14ac:dyDescent="0.2">
      <c r="A12869" s="996" t="str">
        <f>CONCATENATE(Programme!D12870,Programme!E12870,Programme!F12870,Programme!G12870,Programme!H12870,Programme!I12870,Programme!J12870)</f>
        <v>&lt;cellule&gt;&lt;codeEdi&gt;1083&lt;/codeEdi&gt;&lt;/cellule&gt;</v>
      </c>
    </row>
    <row r="12870" spans="1:1" x14ac:dyDescent="0.2">
      <c r="A12870" s="996" t="str">
        <f>CONCATENATE(Programme!D12871,Programme!E12871,Programme!F12871,Programme!G12871,Programme!H12871,Programme!I12871,Programme!J12871)</f>
        <v>&lt;valeur&gt;&lt;/valeur&gt;</v>
      </c>
    </row>
    <row r="12871" spans="1:1" x14ac:dyDescent="0.2">
      <c r="A12871" s="996" t="str">
        <f>CONCATENATE(Programme!D12872,Programme!E12872,Programme!F12872,Programme!G12872,Programme!H12872,Programme!I12872,Programme!J12872)</f>
        <v>&lt;numeroLigne&gt;94&lt;/numeroLigne&gt;</v>
      </c>
    </row>
    <row r="12872" spans="1:1" x14ac:dyDescent="0.2">
      <c r="A12872" s="996" t="str">
        <f>CONCATENATE(Programme!D12873,Programme!E12873,Programme!F12873,Programme!G12873,Programme!H12873,Programme!I12873,Programme!J12873)</f>
        <v>&lt;/ValeurCellule&gt;</v>
      </c>
    </row>
    <row r="12873" spans="1:1" x14ac:dyDescent="0.2">
      <c r="A12873" s="996" t="str">
        <f>CONCATENATE(Programme!D12874,Programme!E12874,Programme!F12874,Programme!G12874,Programme!H12874,Programme!I12874,Programme!J12874)</f>
        <v>&lt;ValeurCellule&gt;</v>
      </c>
    </row>
    <row r="12874" spans="1:1" x14ac:dyDescent="0.2">
      <c r="A12874" s="996" t="str">
        <f>CONCATENATE(Programme!D12875,Programme!E12875,Programme!F12875,Programme!G12875,Programme!H12875,Programme!I12875,Programme!J12875)</f>
        <v>&lt;cellule&gt;&lt;codeEdi&gt;1084&lt;/codeEdi&gt;&lt;/cellule&gt;</v>
      </c>
    </row>
    <row r="12875" spans="1:1" x14ac:dyDescent="0.2">
      <c r="A12875" s="996" t="str">
        <f>CONCATENATE(Programme!D12876,Programme!E12876,Programme!F12876,Programme!G12876,Programme!H12876,Programme!I12876,Programme!J12876)</f>
        <v>&lt;valeur&gt;&lt;/valeur&gt;</v>
      </c>
    </row>
    <row r="12876" spans="1:1" x14ac:dyDescent="0.2">
      <c r="A12876" s="996" t="str">
        <f>CONCATENATE(Programme!D12877,Programme!E12877,Programme!F12877,Programme!G12877,Programme!H12877,Programme!I12877,Programme!J12877)</f>
        <v>&lt;numeroLigne&gt;94&lt;/numeroLigne&gt;</v>
      </c>
    </row>
    <row r="12877" spans="1:1" x14ac:dyDescent="0.2">
      <c r="A12877" s="996" t="str">
        <f>CONCATENATE(Programme!D12878,Programme!E12878,Programme!F12878,Programme!G12878,Programme!H12878,Programme!I12878,Programme!J12878)</f>
        <v>&lt;/ValeurCellule&gt;</v>
      </c>
    </row>
    <row r="12878" spans="1:1" x14ac:dyDescent="0.2">
      <c r="A12878" s="996" t="str">
        <f>CONCATENATE(Programme!D12879,Programme!E12879,Programme!F12879,Programme!G12879,Programme!H12879,Programme!I12879,Programme!J12879)</f>
        <v>&lt;ValeurCellule&gt;</v>
      </c>
    </row>
    <row r="12879" spans="1:1" x14ac:dyDescent="0.2">
      <c r="A12879" s="996" t="str">
        <f>CONCATENATE(Programme!D12880,Programme!E12880,Programme!F12880,Programme!G12880,Programme!H12880,Programme!I12880,Programme!J12880)</f>
        <v>&lt;cellule&gt;&lt;codeEdi&gt;1085&lt;/codeEdi&gt;&lt;/cellule&gt;</v>
      </c>
    </row>
    <row r="12880" spans="1:1" x14ac:dyDescent="0.2">
      <c r="A12880" s="996" t="str">
        <f>CONCATENATE(Programme!D12881,Programme!E12881,Programme!F12881,Programme!G12881,Programme!H12881,Programme!I12881,Programme!J12881)</f>
        <v>&lt;valeur&gt;&lt;/valeur&gt;</v>
      </c>
    </row>
    <row r="12881" spans="1:1" x14ac:dyDescent="0.2">
      <c r="A12881" s="996" t="str">
        <f>CONCATENATE(Programme!D12882,Programme!E12882,Programme!F12882,Programme!G12882,Programme!H12882,Programme!I12882,Programme!J12882)</f>
        <v>&lt;numeroLigne&gt;94&lt;/numeroLigne&gt;</v>
      </c>
    </row>
    <row r="12882" spans="1:1" x14ac:dyDescent="0.2">
      <c r="A12882" s="996" t="str">
        <f>CONCATENATE(Programme!D12883,Programme!E12883,Programme!F12883,Programme!G12883,Programme!H12883,Programme!I12883,Programme!J12883)</f>
        <v>&lt;/ValeurCellule&gt;</v>
      </c>
    </row>
    <row r="12883" spans="1:1" x14ac:dyDescent="0.2">
      <c r="A12883" s="996" t="str">
        <f>CONCATENATE(Programme!D12884,Programme!E12884,Programme!F12884,Programme!G12884,Programme!H12884,Programme!I12884,Programme!J12884)</f>
        <v>&lt;ValeurCellule&gt;</v>
      </c>
    </row>
    <row r="12884" spans="1:1" x14ac:dyDescent="0.2">
      <c r="A12884" s="996" t="str">
        <f>CONCATENATE(Programme!D12885,Programme!E12885,Programme!F12885,Programme!G12885,Programme!H12885,Programme!I12885,Programme!J12885)</f>
        <v>&lt;cellule&gt;&lt;codeEdi&gt;1086&lt;/codeEdi&gt;&lt;/cellule&gt;</v>
      </c>
    </row>
    <row r="12885" spans="1:1" x14ac:dyDescent="0.2">
      <c r="A12885" s="996" t="str">
        <f>CONCATENATE(Programme!D12886,Programme!E12886,Programme!F12886,Programme!G12886,Programme!H12886,Programme!I12886,Programme!J12886)</f>
        <v>&lt;valeur&gt;&lt;/valeur&gt;</v>
      </c>
    </row>
    <row r="12886" spans="1:1" x14ac:dyDescent="0.2">
      <c r="A12886" s="996" t="str">
        <f>CONCATENATE(Programme!D12887,Programme!E12887,Programme!F12887,Programme!G12887,Programme!H12887,Programme!I12887,Programme!J12887)</f>
        <v>&lt;numeroLigne&gt;94&lt;/numeroLigne&gt;</v>
      </c>
    </row>
    <row r="12887" spans="1:1" x14ac:dyDescent="0.2">
      <c r="A12887" s="996" t="str">
        <f>CONCATENATE(Programme!D12888,Programme!E12888,Programme!F12888,Programme!G12888,Programme!H12888,Programme!I12888,Programme!J12888)</f>
        <v>&lt;/ValeurCellule&gt;</v>
      </c>
    </row>
    <row r="12888" spans="1:1" x14ac:dyDescent="0.2">
      <c r="A12888" s="996" t="str">
        <f>CONCATENATE(Programme!D12889,Programme!E12889,Programme!F12889,Programme!G12889,Programme!H12889,Programme!I12889,Programme!J12889)</f>
        <v>&lt;ValeurCellule&gt;</v>
      </c>
    </row>
    <row r="12889" spans="1:1" x14ac:dyDescent="0.2">
      <c r="A12889" s="996" t="str">
        <f>CONCATENATE(Programme!D12890,Programme!E12890,Programme!F12890,Programme!G12890,Programme!H12890,Programme!I12890,Programme!J12890)</f>
        <v>&lt;cellule&gt;&lt;codeEdi&gt;10061&lt;/codeEdi&gt;&lt;/cellule&gt;</v>
      </c>
    </row>
    <row r="12890" spans="1:1" x14ac:dyDescent="0.2">
      <c r="A12890" s="996" t="str">
        <f>CONCATENATE(Programme!D12891,Programme!E12891,Programme!F12891,Programme!G12891,Programme!H12891,Programme!I12891,Programme!J12891)</f>
        <v>&lt;valeur&gt;&lt;/valeur&gt;</v>
      </c>
    </row>
    <row r="12891" spans="1:1" x14ac:dyDescent="0.2">
      <c r="A12891" s="996" t="str">
        <f>CONCATENATE(Programme!D12892,Programme!E12892,Programme!F12892,Programme!G12892,Programme!H12892,Programme!I12892,Programme!J12892)</f>
        <v>&lt;numeroLigne&gt;95&lt;/numeroLigne&gt;</v>
      </c>
    </row>
    <row r="12892" spans="1:1" x14ac:dyDescent="0.2">
      <c r="A12892" s="996" t="str">
        <f>CONCATENATE(Programme!D12893,Programme!E12893,Programme!F12893,Programme!G12893,Programme!H12893,Programme!I12893,Programme!J12893)</f>
        <v>&lt;/ValeurCellule&gt;</v>
      </c>
    </row>
    <row r="12893" spans="1:1" x14ac:dyDescent="0.2">
      <c r="A12893" s="996" t="str">
        <f>CONCATENATE(Programme!D12894,Programme!E12894,Programme!F12894,Programme!G12894,Programme!H12894,Programme!I12894,Programme!J12894)</f>
        <v>&lt;ValeurCellule&gt;</v>
      </c>
    </row>
    <row r="12894" spans="1:1" x14ac:dyDescent="0.2">
      <c r="A12894" s="996" t="str">
        <f>CONCATENATE(Programme!D12895,Programme!E12895,Programme!F12895,Programme!G12895,Programme!H12895,Programme!I12895,Programme!J12895)</f>
        <v>&lt;cellule&gt;&lt;codeEdi&gt;1078&lt;/codeEdi&gt;&lt;/cellule&gt;</v>
      </c>
    </row>
    <row r="12895" spans="1:1" x14ac:dyDescent="0.2">
      <c r="A12895" s="996" t="str">
        <f>CONCATENATE(Programme!D12896,Programme!E12896,Programme!F12896,Programme!G12896,Programme!H12896,Programme!I12896,Programme!J12896)</f>
        <v>&lt;valeur&gt;&lt;/valeur&gt;</v>
      </c>
    </row>
    <row r="12896" spans="1:1" x14ac:dyDescent="0.2">
      <c r="A12896" s="996" t="str">
        <f>CONCATENATE(Programme!D12897,Programme!E12897,Programme!F12897,Programme!G12897,Programme!H12897,Programme!I12897,Programme!J12897)</f>
        <v>&lt;numeroLigne&gt;95&lt;/numeroLigne&gt;</v>
      </c>
    </row>
    <row r="12897" spans="1:1" x14ac:dyDescent="0.2">
      <c r="A12897" s="996" t="str">
        <f>CONCATENATE(Programme!D12898,Programme!E12898,Programme!F12898,Programme!G12898,Programme!H12898,Programme!I12898,Programme!J12898)</f>
        <v>&lt;/ValeurCellule&gt;</v>
      </c>
    </row>
    <row r="12898" spans="1:1" x14ac:dyDescent="0.2">
      <c r="A12898" s="996" t="str">
        <f>CONCATENATE(Programme!D12899,Programme!E12899,Programme!F12899,Programme!G12899,Programme!H12899,Programme!I12899,Programme!J12899)</f>
        <v>&lt;ValeurCellule&gt;</v>
      </c>
    </row>
    <row r="12899" spans="1:1" x14ac:dyDescent="0.2">
      <c r="A12899" s="996" t="str">
        <f>CONCATENATE(Programme!D12900,Programme!E12900,Programme!F12900,Programme!G12900,Programme!H12900,Programme!I12900,Programme!J12900)</f>
        <v>&lt;cellule&gt;&lt;codeEdi&gt;1079&lt;/codeEdi&gt;&lt;/cellule&gt;</v>
      </c>
    </row>
    <row r="12900" spans="1:1" x14ac:dyDescent="0.2">
      <c r="A12900" s="996" t="str">
        <f>CONCATENATE(Programme!D12901,Programme!E12901,Programme!F12901,Programme!G12901,Programme!H12901,Programme!I12901,Programme!J12901)</f>
        <v>&lt;valeur&gt;&lt;/valeur&gt;</v>
      </c>
    </row>
    <row r="12901" spans="1:1" x14ac:dyDescent="0.2">
      <c r="A12901" s="996" t="str">
        <f>CONCATENATE(Programme!D12902,Programme!E12902,Programme!F12902,Programme!G12902,Programme!H12902,Programme!I12902,Programme!J12902)</f>
        <v>&lt;numeroLigne&gt;95&lt;/numeroLigne&gt;</v>
      </c>
    </row>
    <row r="12902" spans="1:1" x14ac:dyDescent="0.2">
      <c r="A12902" s="996" t="str">
        <f>CONCATENATE(Programme!D12903,Programme!E12903,Programme!F12903,Programme!G12903,Programme!H12903,Programme!I12903,Programme!J12903)</f>
        <v>&lt;/ValeurCellule&gt;</v>
      </c>
    </row>
    <row r="12903" spans="1:1" x14ac:dyDescent="0.2">
      <c r="A12903" s="996" t="str">
        <f>CONCATENATE(Programme!D12904,Programme!E12904,Programme!F12904,Programme!G12904,Programme!H12904,Programme!I12904,Programme!J12904)</f>
        <v>&lt;ValeurCellule&gt;</v>
      </c>
    </row>
    <row r="12904" spans="1:1" x14ac:dyDescent="0.2">
      <c r="A12904" s="996" t="str">
        <f>CONCATENATE(Programme!D12905,Programme!E12905,Programme!F12905,Programme!G12905,Programme!H12905,Programme!I12905,Programme!J12905)</f>
        <v>&lt;cellule&gt;&lt;codeEdi&gt;1080&lt;/codeEdi&gt;&lt;/cellule&gt;</v>
      </c>
    </row>
    <row r="12905" spans="1:1" x14ac:dyDescent="0.2">
      <c r="A12905" s="996" t="str">
        <f>CONCATENATE(Programme!D12906,Programme!E12906,Programme!F12906,Programme!G12906,Programme!H12906,Programme!I12906,Programme!J12906)</f>
        <v>&lt;valeur&gt;&lt;/valeur&gt;</v>
      </c>
    </row>
    <row r="12906" spans="1:1" x14ac:dyDescent="0.2">
      <c r="A12906" s="996" t="str">
        <f>CONCATENATE(Programme!D12907,Programme!E12907,Programme!F12907,Programme!G12907,Programme!H12907,Programme!I12907,Programme!J12907)</f>
        <v>&lt;numeroLigne&gt;95&lt;/numeroLigne&gt;</v>
      </c>
    </row>
    <row r="12907" spans="1:1" x14ac:dyDescent="0.2">
      <c r="A12907" s="996" t="str">
        <f>CONCATENATE(Programme!D12908,Programme!E12908,Programme!F12908,Programme!G12908,Programme!H12908,Programme!I12908,Programme!J12908)</f>
        <v>&lt;/ValeurCellule&gt;</v>
      </c>
    </row>
    <row r="12908" spans="1:1" x14ac:dyDescent="0.2">
      <c r="A12908" s="996" t="str">
        <f>CONCATENATE(Programme!D12909,Programme!E12909,Programme!F12909,Programme!G12909,Programme!H12909,Programme!I12909,Programme!J12909)</f>
        <v>&lt;ValeurCellule&gt;</v>
      </c>
    </row>
    <row r="12909" spans="1:1" x14ac:dyDescent="0.2">
      <c r="A12909" s="996" t="str">
        <f>CONCATENATE(Programme!D12910,Programme!E12910,Programme!F12910,Programme!G12910,Programme!H12910,Programme!I12910,Programme!J12910)</f>
        <v>&lt;cellule&gt;&lt;codeEdi&gt;1081&lt;/codeEdi&gt;&lt;/cellule&gt;</v>
      </c>
    </row>
    <row r="12910" spans="1:1" x14ac:dyDescent="0.2">
      <c r="A12910" s="996" t="str">
        <f>CONCATENATE(Programme!D12911,Programme!E12911,Programme!F12911,Programme!G12911,Programme!H12911,Programme!I12911,Programme!J12911)</f>
        <v>&lt;valeur&gt;&lt;/valeur&gt;</v>
      </c>
    </row>
    <row r="12911" spans="1:1" x14ac:dyDescent="0.2">
      <c r="A12911" s="996" t="str">
        <f>CONCATENATE(Programme!D12912,Programme!E12912,Programme!F12912,Programme!G12912,Programme!H12912,Programme!I12912,Programme!J12912)</f>
        <v>&lt;numeroLigne&gt;95&lt;/numeroLigne&gt;</v>
      </c>
    </row>
    <row r="12912" spans="1:1" x14ac:dyDescent="0.2">
      <c r="A12912" s="996" t="str">
        <f>CONCATENATE(Programme!D12913,Programme!E12913,Programme!F12913,Programme!G12913,Programme!H12913,Programme!I12913,Programme!J12913)</f>
        <v>&lt;/ValeurCellule&gt;</v>
      </c>
    </row>
    <row r="12913" spans="1:1" x14ac:dyDescent="0.2">
      <c r="A12913" s="996" t="str">
        <f>CONCATENATE(Programme!D12914,Programme!E12914,Programme!F12914,Programme!G12914,Programme!H12914,Programme!I12914,Programme!J12914)</f>
        <v>&lt;ValeurCellule&gt;</v>
      </c>
    </row>
    <row r="12914" spans="1:1" x14ac:dyDescent="0.2">
      <c r="A12914" s="996" t="str">
        <f>CONCATENATE(Programme!D12915,Programme!E12915,Programme!F12915,Programme!G12915,Programme!H12915,Programme!I12915,Programme!J12915)</f>
        <v>&lt;cellule&gt;&lt;codeEdi&gt;1082&lt;/codeEdi&gt;&lt;/cellule&gt;</v>
      </c>
    </row>
    <row r="12915" spans="1:1" x14ac:dyDescent="0.2">
      <c r="A12915" s="996" t="str">
        <f>CONCATENATE(Programme!D12916,Programme!E12916,Programme!F12916,Programme!G12916,Programme!H12916,Programme!I12916,Programme!J12916)</f>
        <v>&lt;valeur&gt;&lt;/valeur&gt;</v>
      </c>
    </row>
    <row r="12916" spans="1:1" x14ac:dyDescent="0.2">
      <c r="A12916" s="996" t="str">
        <f>CONCATENATE(Programme!D12917,Programme!E12917,Programme!F12917,Programme!G12917,Programme!H12917,Programme!I12917,Programme!J12917)</f>
        <v>&lt;numeroLigne&gt;95&lt;/numeroLigne&gt;</v>
      </c>
    </row>
    <row r="12917" spans="1:1" x14ac:dyDescent="0.2">
      <c r="A12917" s="996" t="str">
        <f>CONCATENATE(Programme!D12918,Programme!E12918,Programme!F12918,Programme!G12918,Programme!H12918,Programme!I12918,Programme!J12918)</f>
        <v>&lt;/ValeurCellule&gt;</v>
      </c>
    </row>
    <row r="12918" spans="1:1" x14ac:dyDescent="0.2">
      <c r="A12918" s="996" t="str">
        <f>CONCATENATE(Programme!D12919,Programme!E12919,Programme!F12919,Programme!G12919,Programme!H12919,Programme!I12919,Programme!J12919)</f>
        <v>&lt;ValeurCellule&gt;</v>
      </c>
    </row>
    <row r="12919" spans="1:1" x14ac:dyDescent="0.2">
      <c r="A12919" s="996" t="str">
        <f>CONCATENATE(Programme!D12920,Programme!E12920,Programme!F12920,Programme!G12920,Programme!H12920,Programme!I12920,Programme!J12920)</f>
        <v>&lt;cellule&gt;&lt;codeEdi&gt;1083&lt;/codeEdi&gt;&lt;/cellule&gt;</v>
      </c>
    </row>
    <row r="12920" spans="1:1" x14ac:dyDescent="0.2">
      <c r="A12920" s="996" t="str">
        <f>CONCATENATE(Programme!D12921,Programme!E12921,Programme!F12921,Programme!G12921,Programme!H12921,Programme!I12921,Programme!J12921)</f>
        <v>&lt;valeur&gt;&lt;/valeur&gt;</v>
      </c>
    </row>
    <row r="12921" spans="1:1" x14ac:dyDescent="0.2">
      <c r="A12921" s="996" t="str">
        <f>CONCATENATE(Programme!D12922,Programme!E12922,Programme!F12922,Programme!G12922,Programme!H12922,Programme!I12922,Programme!J12922)</f>
        <v>&lt;numeroLigne&gt;95&lt;/numeroLigne&gt;</v>
      </c>
    </row>
    <row r="12922" spans="1:1" x14ac:dyDescent="0.2">
      <c r="A12922" s="996" t="str">
        <f>CONCATENATE(Programme!D12923,Programme!E12923,Programme!F12923,Programme!G12923,Programme!H12923,Programme!I12923,Programme!J12923)</f>
        <v>&lt;/ValeurCellule&gt;</v>
      </c>
    </row>
    <row r="12923" spans="1:1" x14ac:dyDescent="0.2">
      <c r="A12923" s="996" t="str">
        <f>CONCATENATE(Programme!D12924,Programme!E12924,Programme!F12924,Programme!G12924,Programme!H12924,Programme!I12924,Programme!J12924)</f>
        <v>&lt;ValeurCellule&gt;</v>
      </c>
    </row>
    <row r="12924" spans="1:1" x14ac:dyDescent="0.2">
      <c r="A12924" s="996" t="str">
        <f>CONCATENATE(Programme!D12925,Programme!E12925,Programme!F12925,Programme!G12925,Programme!H12925,Programme!I12925,Programme!J12925)</f>
        <v>&lt;cellule&gt;&lt;codeEdi&gt;1084&lt;/codeEdi&gt;&lt;/cellule&gt;</v>
      </c>
    </row>
    <row r="12925" spans="1:1" x14ac:dyDescent="0.2">
      <c r="A12925" s="996" t="str">
        <f>CONCATENATE(Programme!D12926,Programme!E12926,Programme!F12926,Programme!G12926,Programme!H12926,Programme!I12926,Programme!J12926)</f>
        <v>&lt;valeur&gt;&lt;/valeur&gt;</v>
      </c>
    </row>
    <row r="12926" spans="1:1" x14ac:dyDescent="0.2">
      <c r="A12926" s="996" t="str">
        <f>CONCATENATE(Programme!D12927,Programme!E12927,Programme!F12927,Programme!G12927,Programme!H12927,Programme!I12927,Programme!J12927)</f>
        <v>&lt;numeroLigne&gt;95&lt;/numeroLigne&gt;</v>
      </c>
    </row>
    <row r="12927" spans="1:1" x14ac:dyDescent="0.2">
      <c r="A12927" s="996" t="str">
        <f>CONCATENATE(Programme!D12928,Programme!E12928,Programme!F12928,Programme!G12928,Programme!H12928,Programme!I12928,Programme!J12928)</f>
        <v>&lt;/ValeurCellule&gt;</v>
      </c>
    </row>
    <row r="12928" spans="1:1" x14ac:dyDescent="0.2">
      <c r="A12928" s="996" t="str">
        <f>CONCATENATE(Programme!D12929,Programme!E12929,Programme!F12929,Programme!G12929,Programme!H12929,Programme!I12929,Programme!J12929)</f>
        <v>&lt;ValeurCellule&gt;</v>
      </c>
    </row>
    <row r="12929" spans="1:1" x14ac:dyDescent="0.2">
      <c r="A12929" s="996" t="str">
        <f>CONCATENATE(Programme!D12930,Programme!E12930,Programme!F12930,Programme!G12930,Programme!H12930,Programme!I12930,Programme!J12930)</f>
        <v>&lt;cellule&gt;&lt;codeEdi&gt;1085&lt;/codeEdi&gt;&lt;/cellule&gt;</v>
      </c>
    </row>
    <row r="12930" spans="1:1" x14ac:dyDescent="0.2">
      <c r="A12930" s="996" t="str">
        <f>CONCATENATE(Programme!D12931,Programme!E12931,Programme!F12931,Programme!G12931,Programme!H12931,Programme!I12931,Programme!J12931)</f>
        <v>&lt;valeur&gt;&lt;/valeur&gt;</v>
      </c>
    </row>
    <row r="12931" spans="1:1" x14ac:dyDescent="0.2">
      <c r="A12931" s="996" t="str">
        <f>CONCATENATE(Programme!D12932,Programme!E12932,Programme!F12932,Programme!G12932,Programme!H12932,Programme!I12932,Programme!J12932)</f>
        <v>&lt;numeroLigne&gt;95&lt;/numeroLigne&gt;</v>
      </c>
    </row>
    <row r="12932" spans="1:1" x14ac:dyDescent="0.2">
      <c r="A12932" s="996" t="str">
        <f>CONCATENATE(Programme!D12933,Programme!E12933,Programme!F12933,Programme!G12933,Programme!H12933,Programme!I12933,Programme!J12933)</f>
        <v>&lt;/ValeurCellule&gt;</v>
      </c>
    </row>
    <row r="12933" spans="1:1" x14ac:dyDescent="0.2">
      <c r="A12933" s="996" t="str">
        <f>CONCATENATE(Programme!D12934,Programme!E12934,Programme!F12934,Programme!G12934,Programme!H12934,Programme!I12934,Programme!J12934)</f>
        <v>&lt;ValeurCellule&gt;</v>
      </c>
    </row>
    <row r="12934" spans="1:1" x14ac:dyDescent="0.2">
      <c r="A12934" s="996" t="str">
        <f>CONCATENATE(Programme!D12935,Programme!E12935,Programme!F12935,Programme!G12935,Programme!H12935,Programme!I12935,Programme!J12935)</f>
        <v>&lt;cellule&gt;&lt;codeEdi&gt;1086&lt;/codeEdi&gt;&lt;/cellule&gt;</v>
      </c>
    </row>
    <row r="12935" spans="1:1" x14ac:dyDescent="0.2">
      <c r="A12935" s="996" t="str">
        <f>CONCATENATE(Programme!D12936,Programme!E12936,Programme!F12936,Programme!G12936,Programme!H12936,Programme!I12936,Programme!J12936)</f>
        <v>&lt;valeur&gt;&lt;/valeur&gt;</v>
      </c>
    </row>
    <row r="12936" spans="1:1" x14ac:dyDescent="0.2">
      <c r="A12936" s="996" t="str">
        <f>CONCATENATE(Programme!D12937,Programme!E12937,Programme!F12937,Programme!G12937,Programme!H12937,Programme!I12937,Programme!J12937)</f>
        <v>&lt;numeroLigne&gt;95&lt;/numeroLigne&gt;</v>
      </c>
    </row>
    <row r="12937" spans="1:1" x14ac:dyDescent="0.2">
      <c r="A12937" s="996" t="str">
        <f>CONCATENATE(Programme!D12938,Programme!E12938,Programme!F12938,Programme!G12938,Programme!H12938,Programme!I12938,Programme!J12938)</f>
        <v>&lt;/ValeurCellule&gt;</v>
      </c>
    </row>
    <row r="12938" spans="1:1" x14ac:dyDescent="0.2">
      <c r="A12938" s="996" t="str">
        <f>CONCATENATE(Programme!D12939,Programme!E12939,Programme!F12939,Programme!G12939,Programme!H12939,Programme!I12939,Programme!J12939)</f>
        <v>&lt;ValeurCellule&gt;</v>
      </c>
    </row>
    <row r="12939" spans="1:1" x14ac:dyDescent="0.2">
      <c r="A12939" s="996" t="str">
        <f>CONCATENATE(Programme!D12940,Programme!E12940,Programme!F12940,Programme!G12940,Programme!H12940,Programme!I12940,Programme!J12940)</f>
        <v>&lt;cellule&gt;&lt;codeEdi&gt;10061&lt;/codeEdi&gt;&lt;/cellule&gt;</v>
      </c>
    </row>
    <row r="12940" spans="1:1" x14ac:dyDescent="0.2">
      <c r="A12940" s="996" t="str">
        <f>CONCATENATE(Programme!D12941,Programme!E12941,Programme!F12941,Programme!G12941,Programme!H12941,Programme!I12941,Programme!J12941)</f>
        <v>&lt;valeur&gt;&lt;/valeur&gt;</v>
      </c>
    </row>
    <row r="12941" spans="1:1" x14ac:dyDescent="0.2">
      <c r="A12941" s="996" t="str">
        <f>CONCATENATE(Programme!D12942,Programme!E12942,Programme!F12942,Programme!G12942,Programme!H12942,Programme!I12942,Programme!J12942)</f>
        <v>&lt;numeroLigne&gt;96&lt;/numeroLigne&gt;</v>
      </c>
    </row>
    <row r="12942" spans="1:1" x14ac:dyDescent="0.2">
      <c r="A12942" s="996" t="str">
        <f>CONCATENATE(Programme!D12943,Programme!E12943,Programme!F12943,Programme!G12943,Programme!H12943,Programme!I12943,Programme!J12943)</f>
        <v>&lt;/ValeurCellule&gt;</v>
      </c>
    </row>
    <row r="12943" spans="1:1" x14ac:dyDescent="0.2">
      <c r="A12943" s="996" t="str">
        <f>CONCATENATE(Programme!D12944,Programme!E12944,Programme!F12944,Programme!G12944,Programme!H12944,Programme!I12944,Programme!J12944)</f>
        <v>&lt;ValeurCellule&gt;</v>
      </c>
    </row>
    <row r="12944" spans="1:1" x14ac:dyDescent="0.2">
      <c r="A12944" s="996" t="str">
        <f>CONCATENATE(Programme!D12945,Programme!E12945,Programme!F12945,Programme!G12945,Programme!H12945,Programme!I12945,Programme!J12945)</f>
        <v>&lt;cellule&gt;&lt;codeEdi&gt;1078&lt;/codeEdi&gt;&lt;/cellule&gt;</v>
      </c>
    </row>
    <row r="12945" spans="1:1" x14ac:dyDescent="0.2">
      <c r="A12945" s="996" t="str">
        <f>CONCATENATE(Programme!D12946,Programme!E12946,Programme!F12946,Programme!G12946,Programme!H12946,Programme!I12946,Programme!J12946)</f>
        <v>&lt;valeur&gt;&lt;/valeur&gt;</v>
      </c>
    </row>
    <row r="12946" spans="1:1" x14ac:dyDescent="0.2">
      <c r="A12946" s="996" t="str">
        <f>CONCATENATE(Programme!D12947,Programme!E12947,Programme!F12947,Programme!G12947,Programme!H12947,Programme!I12947,Programme!J12947)</f>
        <v>&lt;numeroLigne&gt;96&lt;/numeroLigne&gt;</v>
      </c>
    </row>
    <row r="12947" spans="1:1" x14ac:dyDescent="0.2">
      <c r="A12947" s="996" t="str">
        <f>CONCATENATE(Programme!D12948,Programme!E12948,Programme!F12948,Programme!G12948,Programme!H12948,Programme!I12948,Programme!J12948)</f>
        <v>&lt;/ValeurCellule&gt;</v>
      </c>
    </row>
    <row r="12948" spans="1:1" x14ac:dyDescent="0.2">
      <c r="A12948" s="996" t="str">
        <f>CONCATENATE(Programme!D12949,Programme!E12949,Programme!F12949,Programme!G12949,Programme!H12949,Programme!I12949,Programme!J12949)</f>
        <v>&lt;ValeurCellule&gt;</v>
      </c>
    </row>
    <row r="12949" spans="1:1" x14ac:dyDescent="0.2">
      <c r="A12949" s="996" t="str">
        <f>CONCATENATE(Programme!D12950,Programme!E12950,Programme!F12950,Programme!G12950,Programme!H12950,Programme!I12950,Programme!J12950)</f>
        <v>&lt;cellule&gt;&lt;codeEdi&gt;1079&lt;/codeEdi&gt;&lt;/cellule&gt;</v>
      </c>
    </row>
    <row r="12950" spans="1:1" x14ac:dyDescent="0.2">
      <c r="A12950" s="996" t="str">
        <f>CONCATENATE(Programme!D12951,Programme!E12951,Programme!F12951,Programme!G12951,Programme!H12951,Programme!I12951,Programme!J12951)</f>
        <v>&lt;valeur&gt;&lt;/valeur&gt;</v>
      </c>
    </row>
    <row r="12951" spans="1:1" x14ac:dyDescent="0.2">
      <c r="A12951" s="996" t="str">
        <f>CONCATENATE(Programme!D12952,Programme!E12952,Programme!F12952,Programme!G12952,Programme!H12952,Programme!I12952,Programme!J12952)</f>
        <v>&lt;numeroLigne&gt;96&lt;/numeroLigne&gt;</v>
      </c>
    </row>
    <row r="12952" spans="1:1" x14ac:dyDescent="0.2">
      <c r="A12952" s="996" t="str">
        <f>CONCATENATE(Programme!D12953,Programme!E12953,Programme!F12953,Programme!G12953,Programme!H12953,Programme!I12953,Programme!J12953)</f>
        <v>&lt;/ValeurCellule&gt;</v>
      </c>
    </row>
    <row r="12953" spans="1:1" x14ac:dyDescent="0.2">
      <c r="A12953" s="996" t="str">
        <f>CONCATENATE(Programme!D12954,Programme!E12954,Programme!F12954,Programme!G12954,Programme!H12954,Programme!I12954,Programme!J12954)</f>
        <v>&lt;ValeurCellule&gt;</v>
      </c>
    </row>
    <row r="12954" spans="1:1" x14ac:dyDescent="0.2">
      <c r="A12954" s="996" t="str">
        <f>CONCATENATE(Programme!D12955,Programme!E12955,Programme!F12955,Programme!G12955,Programme!H12955,Programme!I12955,Programme!J12955)</f>
        <v>&lt;cellule&gt;&lt;codeEdi&gt;1080&lt;/codeEdi&gt;&lt;/cellule&gt;</v>
      </c>
    </row>
    <row r="12955" spans="1:1" x14ac:dyDescent="0.2">
      <c r="A12955" s="996" t="str">
        <f>CONCATENATE(Programme!D12956,Programme!E12956,Programme!F12956,Programme!G12956,Programme!H12956,Programme!I12956,Programme!J12956)</f>
        <v>&lt;valeur&gt;&lt;/valeur&gt;</v>
      </c>
    </row>
    <row r="12956" spans="1:1" x14ac:dyDescent="0.2">
      <c r="A12956" s="996" t="str">
        <f>CONCATENATE(Programme!D12957,Programme!E12957,Programme!F12957,Programme!G12957,Programme!H12957,Programme!I12957,Programme!J12957)</f>
        <v>&lt;numeroLigne&gt;96&lt;/numeroLigne&gt;</v>
      </c>
    </row>
    <row r="12957" spans="1:1" x14ac:dyDescent="0.2">
      <c r="A12957" s="996" t="str">
        <f>CONCATENATE(Programme!D12958,Programme!E12958,Programme!F12958,Programme!G12958,Programme!H12958,Programme!I12958,Programme!J12958)</f>
        <v>&lt;/ValeurCellule&gt;</v>
      </c>
    </row>
    <row r="12958" spans="1:1" x14ac:dyDescent="0.2">
      <c r="A12958" s="996" t="str">
        <f>CONCATENATE(Programme!D12959,Programme!E12959,Programme!F12959,Programme!G12959,Programme!H12959,Programme!I12959,Programme!J12959)</f>
        <v>&lt;ValeurCellule&gt;</v>
      </c>
    </row>
    <row r="12959" spans="1:1" x14ac:dyDescent="0.2">
      <c r="A12959" s="996" t="str">
        <f>CONCATENATE(Programme!D12960,Programme!E12960,Programme!F12960,Programme!G12960,Programme!H12960,Programme!I12960,Programme!J12960)</f>
        <v>&lt;cellule&gt;&lt;codeEdi&gt;1081&lt;/codeEdi&gt;&lt;/cellule&gt;</v>
      </c>
    </row>
    <row r="12960" spans="1:1" x14ac:dyDescent="0.2">
      <c r="A12960" s="996" t="str">
        <f>CONCATENATE(Programme!D12961,Programme!E12961,Programme!F12961,Programme!G12961,Programme!H12961,Programme!I12961,Programme!J12961)</f>
        <v>&lt;valeur&gt;&lt;/valeur&gt;</v>
      </c>
    </row>
    <row r="12961" spans="1:1" x14ac:dyDescent="0.2">
      <c r="A12961" s="996" t="str">
        <f>CONCATENATE(Programme!D12962,Programme!E12962,Programme!F12962,Programme!G12962,Programme!H12962,Programme!I12962,Programme!J12962)</f>
        <v>&lt;numeroLigne&gt;96&lt;/numeroLigne&gt;</v>
      </c>
    </row>
    <row r="12962" spans="1:1" x14ac:dyDescent="0.2">
      <c r="A12962" s="996" t="str">
        <f>CONCATENATE(Programme!D12963,Programme!E12963,Programme!F12963,Programme!G12963,Programme!H12963,Programme!I12963,Programme!J12963)</f>
        <v>&lt;/ValeurCellule&gt;</v>
      </c>
    </row>
    <row r="12963" spans="1:1" x14ac:dyDescent="0.2">
      <c r="A12963" s="996" t="str">
        <f>CONCATENATE(Programme!D12964,Programme!E12964,Programme!F12964,Programme!G12964,Programme!H12964,Programme!I12964,Programme!J12964)</f>
        <v>&lt;ValeurCellule&gt;</v>
      </c>
    </row>
    <row r="12964" spans="1:1" x14ac:dyDescent="0.2">
      <c r="A12964" s="996" t="str">
        <f>CONCATENATE(Programme!D12965,Programme!E12965,Programme!F12965,Programme!G12965,Programme!H12965,Programme!I12965,Programme!J12965)</f>
        <v>&lt;cellule&gt;&lt;codeEdi&gt;1082&lt;/codeEdi&gt;&lt;/cellule&gt;</v>
      </c>
    </row>
    <row r="12965" spans="1:1" x14ac:dyDescent="0.2">
      <c r="A12965" s="996" t="str">
        <f>CONCATENATE(Programme!D12966,Programme!E12966,Programme!F12966,Programme!G12966,Programme!H12966,Programme!I12966,Programme!J12966)</f>
        <v>&lt;valeur&gt;&lt;/valeur&gt;</v>
      </c>
    </row>
    <row r="12966" spans="1:1" x14ac:dyDescent="0.2">
      <c r="A12966" s="996" t="str">
        <f>CONCATENATE(Programme!D12967,Programme!E12967,Programme!F12967,Programme!G12967,Programme!H12967,Programme!I12967,Programme!J12967)</f>
        <v>&lt;numeroLigne&gt;96&lt;/numeroLigne&gt;</v>
      </c>
    </row>
    <row r="12967" spans="1:1" x14ac:dyDescent="0.2">
      <c r="A12967" s="996" t="str">
        <f>CONCATENATE(Programme!D12968,Programme!E12968,Programme!F12968,Programme!G12968,Programme!H12968,Programme!I12968,Programme!J12968)</f>
        <v>&lt;/ValeurCellule&gt;</v>
      </c>
    </row>
    <row r="12968" spans="1:1" x14ac:dyDescent="0.2">
      <c r="A12968" s="996" t="str">
        <f>CONCATENATE(Programme!D12969,Programme!E12969,Programme!F12969,Programme!G12969,Programme!H12969,Programme!I12969,Programme!J12969)</f>
        <v>&lt;ValeurCellule&gt;</v>
      </c>
    </row>
    <row r="12969" spans="1:1" x14ac:dyDescent="0.2">
      <c r="A12969" s="996" t="str">
        <f>CONCATENATE(Programme!D12970,Programme!E12970,Programme!F12970,Programme!G12970,Programme!H12970,Programme!I12970,Programme!J12970)</f>
        <v>&lt;cellule&gt;&lt;codeEdi&gt;1083&lt;/codeEdi&gt;&lt;/cellule&gt;</v>
      </c>
    </row>
    <row r="12970" spans="1:1" x14ac:dyDescent="0.2">
      <c r="A12970" s="996" t="str">
        <f>CONCATENATE(Programme!D12971,Programme!E12971,Programme!F12971,Programme!G12971,Programme!H12971,Programme!I12971,Programme!J12971)</f>
        <v>&lt;valeur&gt;&lt;/valeur&gt;</v>
      </c>
    </row>
    <row r="12971" spans="1:1" x14ac:dyDescent="0.2">
      <c r="A12971" s="996" t="str">
        <f>CONCATENATE(Programme!D12972,Programme!E12972,Programme!F12972,Programme!G12972,Programme!H12972,Programme!I12972,Programme!J12972)</f>
        <v>&lt;numeroLigne&gt;96&lt;/numeroLigne&gt;</v>
      </c>
    </row>
    <row r="12972" spans="1:1" x14ac:dyDescent="0.2">
      <c r="A12972" s="996" t="str">
        <f>CONCATENATE(Programme!D12973,Programme!E12973,Programme!F12973,Programme!G12973,Programme!H12973,Programme!I12973,Programme!J12973)</f>
        <v>&lt;/ValeurCellule&gt;</v>
      </c>
    </row>
    <row r="12973" spans="1:1" x14ac:dyDescent="0.2">
      <c r="A12973" s="996" t="str">
        <f>CONCATENATE(Programme!D12974,Programme!E12974,Programme!F12974,Programme!G12974,Programme!H12974,Programme!I12974,Programme!J12974)</f>
        <v>&lt;ValeurCellule&gt;</v>
      </c>
    </row>
    <row r="12974" spans="1:1" x14ac:dyDescent="0.2">
      <c r="A12974" s="996" t="str">
        <f>CONCATENATE(Programme!D12975,Programme!E12975,Programme!F12975,Programme!G12975,Programme!H12975,Programme!I12975,Programme!J12975)</f>
        <v>&lt;cellule&gt;&lt;codeEdi&gt;1084&lt;/codeEdi&gt;&lt;/cellule&gt;</v>
      </c>
    </row>
    <row r="12975" spans="1:1" x14ac:dyDescent="0.2">
      <c r="A12975" s="996" t="str">
        <f>CONCATENATE(Programme!D12976,Programme!E12976,Programme!F12976,Programme!G12976,Programme!H12976,Programme!I12976,Programme!J12976)</f>
        <v>&lt;valeur&gt;&lt;/valeur&gt;</v>
      </c>
    </row>
    <row r="12976" spans="1:1" x14ac:dyDescent="0.2">
      <c r="A12976" s="996" t="str">
        <f>CONCATENATE(Programme!D12977,Programme!E12977,Programme!F12977,Programme!G12977,Programme!H12977,Programme!I12977,Programme!J12977)</f>
        <v>&lt;numeroLigne&gt;96&lt;/numeroLigne&gt;</v>
      </c>
    </row>
    <row r="12977" spans="1:1" x14ac:dyDescent="0.2">
      <c r="A12977" s="996" t="str">
        <f>CONCATENATE(Programme!D12978,Programme!E12978,Programme!F12978,Programme!G12978,Programme!H12978,Programme!I12978,Programme!J12978)</f>
        <v>&lt;/ValeurCellule&gt;</v>
      </c>
    </row>
    <row r="12978" spans="1:1" x14ac:dyDescent="0.2">
      <c r="A12978" s="996" t="str">
        <f>CONCATENATE(Programme!D12979,Programme!E12979,Programme!F12979,Programme!G12979,Programme!H12979,Programme!I12979,Programme!J12979)</f>
        <v>&lt;ValeurCellule&gt;</v>
      </c>
    </row>
    <row r="12979" spans="1:1" x14ac:dyDescent="0.2">
      <c r="A12979" s="996" t="str">
        <f>CONCATENATE(Programme!D12980,Programme!E12980,Programme!F12980,Programme!G12980,Programme!H12980,Programme!I12980,Programme!J12980)</f>
        <v>&lt;cellule&gt;&lt;codeEdi&gt;1085&lt;/codeEdi&gt;&lt;/cellule&gt;</v>
      </c>
    </row>
    <row r="12980" spans="1:1" x14ac:dyDescent="0.2">
      <c r="A12980" s="996" t="str">
        <f>CONCATENATE(Programme!D12981,Programme!E12981,Programme!F12981,Programme!G12981,Programme!H12981,Programme!I12981,Programme!J12981)</f>
        <v>&lt;valeur&gt;&lt;/valeur&gt;</v>
      </c>
    </row>
    <row r="12981" spans="1:1" x14ac:dyDescent="0.2">
      <c r="A12981" s="996" t="str">
        <f>CONCATENATE(Programme!D12982,Programme!E12982,Programme!F12982,Programme!G12982,Programme!H12982,Programme!I12982,Programme!J12982)</f>
        <v>&lt;numeroLigne&gt;96&lt;/numeroLigne&gt;</v>
      </c>
    </row>
    <row r="12982" spans="1:1" x14ac:dyDescent="0.2">
      <c r="A12982" s="996" t="str">
        <f>CONCATENATE(Programme!D12983,Programme!E12983,Programme!F12983,Programme!G12983,Programme!H12983,Programme!I12983,Programme!J12983)</f>
        <v>&lt;/ValeurCellule&gt;</v>
      </c>
    </row>
    <row r="12983" spans="1:1" x14ac:dyDescent="0.2">
      <c r="A12983" s="996" t="str">
        <f>CONCATENATE(Programme!D12984,Programme!E12984,Programme!F12984,Programme!G12984,Programme!H12984,Programme!I12984,Programme!J12984)</f>
        <v>&lt;ValeurCellule&gt;</v>
      </c>
    </row>
    <row r="12984" spans="1:1" x14ac:dyDescent="0.2">
      <c r="A12984" s="996" t="str">
        <f>CONCATENATE(Programme!D12985,Programme!E12985,Programme!F12985,Programme!G12985,Programme!H12985,Programme!I12985,Programme!J12985)</f>
        <v>&lt;cellule&gt;&lt;codeEdi&gt;1086&lt;/codeEdi&gt;&lt;/cellule&gt;</v>
      </c>
    </row>
    <row r="12985" spans="1:1" x14ac:dyDescent="0.2">
      <c r="A12985" s="996" t="str">
        <f>CONCATENATE(Programme!D12986,Programme!E12986,Programme!F12986,Programme!G12986,Programme!H12986,Programme!I12986,Programme!J12986)</f>
        <v>&lt;valeur&gt;&lt;/valeur&gt;</v>
      </c>
    </row>
    <row r="12986" spans="1:1" x14ac:dyDescent="0.2">
      <c r="A12986" s="996" t="str">
        <f>CONCATENATE(Programme!D12987,Programme!E12987,Programme!F12987,Programme!G12987,Programme!H12987,Programme!I12987,Programme!J12987)</f>
        <v>&lt;numeroLigne&gt;96&lt;/numeroLigne&gt;</v>
      </c>
    </row>
    <row r="12987" spans="1:1" x14ac:dyDescent="0.2">
      <c r="A12987" s="996" t="str">
        <f>CONCATENATE(Programme!D12988,Programme!E12988,Programme!F12988,Programme!G12988,Programme!H12988,Programme!I12988,Programme!J12988)</f>
        <v>&lt;/ValeurCellule&gt;</v>
      </c>
    </row>
    <row r="12988" spans="1:1" x14ac:dyDescent="0.2">
      <c r="A12988" s="996" t="str">
        <f>CONCATENATE(Programme!D12989,Programme!E12989,Programme!F12989,Programme!G12989,Programme!H12989,Programme!I12989,Programme!J12989)</f>
        <v>&lt;ValeurCellule&gt;</v>
      </c>
    </row>
    <row r="12989" spans="1:1" x14ac:dyDescent="0.2">
      <c r="A12989" s="996" t="str">
        <f>CONCATENATE(Programme!D12990,Programme!E12990,Programme!F12990,Programme!G12990,Programme!H12990,Programme!I12990,Programme!J12990)</f>
        <v>&lt;cellule&gt;&lt;codeEdi&gt;10061&lt;/codeEdi&gt;&lt;/cellule&gt;</v>
      </c>
    </row>
    <row r="12990" spans="1:1" x14ac:dyDescent="0.2">
      <c r="A12990" s="996" t="str">
        <f>CONCATENATE(Programme!D12991,Programme!E12991,Programme!F12991,Programme!G12991,Programme!H12991,Programme!I12991,Programme!J12991)</f>
        <v>&lt;valeur&gt;&lt;/valeur&gt;</v>
      </c>
    </row>
    <row r="12991" spans="1:1" x14ac:dyDescent="0.2">
      <c r="A12991" s="996" t="str">
        <f>CONCATENATE(Programme!D12992,Programme!E12992,Programme!F12992,Programme!G12992,Programme!H12992,Programme!I12992,Programme!J12992)</f>
        <v>&lt;numeroLigne&gt;97&lt;/numeroLigne&gt;</v>
      </c>
    </row>
    <row r="12992" spans="1:1" x14ac:dyDescent="0.2">
      <c r="A12992" s="996" t="str">
        <f>CONCATENATE(Programme!D12993,Programme!E12993,Programme!F12993,Programme!G12993,Programme!H12993,Programme!I12993,Programme!J12993)</f>
        <v>&lt;/ValeurCellule&gt;</v>
      </c>
    </row>
    <row r="12993" spans="1:1" x14ac:dyDescent="0.2">
      <c r="A12993" s="996" t="str">
        <f>CONCATENATE(Programme!D12994,Programme!E12994,Programme!F12994,Programme!G12994,Programme!H12994,Programme!I12994,Programme!J12994)</f>
        <v>&lt;ValeurCellule&gt;</v>
      </c>
    </row>
    <row r="12994" spans="1:1" x14ac:dyDescent="0.2">
      <c r="A12994" s="996" t="str">
        <f>CONCATENATE(Programme!D12995,Programme!E12995,Programme!F12995,Programme!G12995,Programme!H12995,Programme!I12995,Programme!J12995)</f>
        <v>&lt;cellule&gt;&lt;codeEdi&gt;1078&lt;/codeEdi&gt;&lt;/cellule&gt;</v>
      </c>
    </row>
    <row r="12995" spans="1:1" x14ac:dyDescent="0.2">
      <c r="A12995" s="996" t="str">
        <f>CONCATENATE(Programme!D12996,Programme!E12996,Programme!F12996,Programme!G12996,Programme!H12996,Programme!I12996,Programme!J12996)</f>
        <v>&lt;valeur&gt;&lt;/valeur&gt;</v>
      </c>
    </row>
    <row r="12996" spans="1:1" x14ac:dyDescent="0.2">
      <c r="A12996" s="996" t="str">
        <f>CONCATENATE(Programme!D12997,Programme!E12997,Programme!F12997,Programme!G12997,Programme!H12997,Programme!I12997,Programme!J12997)</f>
        <v>&lt;numeroLigne&gt;97&lt;/numeroLigne&gt;</v>
      </c>
    </row>
    <row r="12997" spans="1:1" x14ac:dyDescent="0.2">
      <c r="A12997" s="996" t="str">
        <f>CONCATENATE(Programme!D12998,Programme!E12998,Programme!F12998,Programme!G12998,Programme!H12998,Programme!I12998,Programme!J12998)</f>
        <v>&lt;/ValeurCellule&gt;</v>
      </c>
    </row>
    <row r="12998" spans="1:1" x14ac:dyDescent="0.2">
      <c r="A12998" s="996" t="str">
        <f>CONCATENATE(Programme!D12999,Programme!E12999,Programme!F12999,Programme!G12999,Programme!H12999,Programme!I12999,Programme!J12999)</f>
        <v>&lt;ValeurCellule&gt;</v>
      </c>
    </row>
    <row r="12999" spans="1:1" x14ac:dyDescent="0.2">
      <c r="A12999" s="996" t="str">
        <f>CONCATENATE(Programme!D13000,Programme!E13000,Programme!F13000,Programme!G13000,Programme!H13000,Programme!I13000,Programme!J13000)</f>
        <v>&lt;cellule&gt;&lt;codeEdi&gt;1079&lt;/codeEdi&gt;&lt;/cellule&gt;</v>
      </c>
    </row>
    <row r="13000" spans="1:1" x14ac:dyDescent="0.2">
      <c r="A13000" s="996" t="str">
        <f>CONCATENATE(Programme!D13001,Programme!E13001,Programme!F13001,Programme!G13001,Programme!H13001,Programme!I13001,Programme!J13001)</f>
        <v>&lt;valeur&gt;&lt;/valeur&gt;</v>
      </c>
    </row>
    <row r="13001" spans="1:1" x14ac:dyDescent="0.2">
      <c r="A13001" s="996" t="str">
        <f>CONCATENATE(Programme!D13002,Programme!E13002,Programme!F13002,Programme!G13002,Programme!H13002,Programme!I13002,Programme!J13002)</f>
        <v>&lt;numeroLigne&gt;97&lt;/numeroLigne&gt;</v>
      </c>
    </row>
    <row r="13002" spans="1:1" x14ac:dyDescent="0.2">
      <c r="A13002" s="996" t="str">
        <f>CONCATENATE(Programme!D13003,Programme!E13003,Programme!F13003,Programme!G13003,Programme!H13003,Programme!I13003,Programme!J13003)</f>
        <v>&lt;/ValeurCellule&gt;</v>
      </c>
    </row>
    <row r="13003" spans="1:1" x14ac:dyDescent="0.2">
      <c r="A13003" s="996" t="str">
        <f>CONCATENATE(Programme!D13004,Programme!E13004,Programme!F13004,Programme!G13004,Programme!H13004,Programme!I13004,Programme!J13004)</f>
        <v>&lt;ValeurCellule&gt;</v>
      </c>
    </row>
    <row r="13004" spans="1:1" x14ac:dyDescent="0.2">
      <c r="A13004" s="996" t="str">
        <f>CONCATENATE(Programme!D13005,Programme!E13005,Programme!F13005,Programme!G13005,Programme!H13005,Programme!I13005,Programme!J13005)</f>
        <v>&lt;cellule&gt;&lt;codeEdi&gt;1080&lt;/codeEdi&gt;&lt;/cellule&gt;</v>
      </c>
    </row>
    <row r="13005" spans="1:1" x14ac:dyDescent="0.2">
      <c r="A13005" s="996" t="str">
        <f>CONCATENATE(Programme!D13006,Programme!E13006,Programme!F13006,Programme!G13006,Programme!H13006,Programme!I13006,Programme!J13006)</f>
        <v>&lt;valeur&gt;&lt;/valeur&gt;</v>
      </c>
    </row>
    <row r="13006" spans="1:1" x14ac:dyDescent="0.2">
      <c r="A13006" s="996" t="str">
        <f>CONCATENATE(Programme!D13007,Programme!E13007,Programme!F13007,Programme!G13007,Programme!H13007,Programme!I13007,Programme!J13007)</f>
        <v>&lt;numeroLigne&gt;97&lt;/numeroLigne&gt;</v>
      </c>
    </row>
    <row r="13007" spans="1:1" x14ac:dyDescent="0.2">
      <c r="A13007" s="996" t="str">
        <f>CONCATENATE(Programme!D13008,Programme!E13008,Programme!F13008,Programme!G13008,Programme!H13008,Programme!I13008,Programme!J13008)</f>
        <v>&lt;/ValeurCellule&gt;</v>
      </c>
    </row>
    <row r="13008" spans="1:1" x14ac:dyDescent="0.2">
      <c r="A13008" s="996" t="str">
        <f>CONCATENATE(Programme!D13009,Programme!E13009,Programme!F13009,Programme!G13009,Programme!H13009,Programme!I13009,Programme!J13009)</f>
        <v>&lt;ValeurCellule&gt;</v>
      </c>
    </row>
    <row r="13009" spans="1:1" x14ac:dyDescent="0.2">
      <c r="A13009" s="996" t="str">
        <f>CONCATENATE(Programme!D13010,Programme!E13010,Programme!F13010,Programme!G13010,Programme!H13010,Programme!I13010,Programme!J13010)</f>
        <v>&lt;cellule&gt;&lt;codeEdi&gt;1081&lt;/codeEdi&gt;&lt;/cellule&gt;</v>
      </c>
    </row>
    <row r="13010" spans="1:1" x14ac:dyDescent="0.2">
      <c r="A13010" s="996" t="str">
        <f>CONCATENATE(Programme!D13011,Programme!E13011,Programme!F13011,Programme!G13011,Programme!H13011,Programme!I13011,Programme!J13011)</f>
        <v>&lt;valeur&gt;&lt;/valeur&gt;</v>
      </c>
    </row>
    <row r="13011" spans="1:1" x14ac:dyDescent="0.2">
      <c r="A13011" s="996" t="str">
        <f>CONCATENATE(Programme!D13012,Programme!E13012,Programme!F13012,Programme!G13012,Programme!H13012,Programme!I13012,Programme!J13012)</f>
        <v>&lt;numeroLigne&gt;97&lt;/numeroLigne&gt;</v>
      </c>
    </row>
    <row r="13012" spans="1:1" x14ac:dyDescent="0.2">
      <c r="A13012" s="996" t="str">
        <f>CONCATENATE(Programme!D13013,Programme!E13013,Programme!F13013,Programme!G13013,Programme!H13013,Programme!I13013,Programme!J13013)</f>
        <v>&lt;/ValeurCellule&gt;</v>
      </c>
    </row>
    <row r="13013" spans="1:1" x14ac:dyDescent="0.2">
      <c r="A13013" s="996" t="str">
        <f>CONCATENATE(Programme!D13014,Programme!E13014,Programme!F13014,Programme!G13014,Programme!H13014,Programme!I13014,Programme!J13014)</f>
        <v>&lt;ValeurCellule&gt;</v>
      </c>
    </row>
    <row r="13014" spans="1:1" x14ac:dyDescent="0.2">
      <c r="A13014" s="996" t="str">
        <f>CONCATENATE(Programme!D13015,Programme!E13015,Programme!F13015,Programme!G13015,Programme!H13015,Programme!I13015,Programme!J13015)</f>
        <v>&lt;cellule&gt;&lt;codeEdi&gt;1082&lt;/codeEdi&gt;&lt;/cellule&gt;</v>
      </c>
    </row>
    <row r="13015" spans="1:1" x14ac:dyDescent="0.2">
      <c r="A13015" s="996" t="str">
        <f>CONCATENATE(Programme!D13016,Programme!E13016,Programme!F13016,Programme!G13016,Programme!H13016,Programme!I13016,Programme!J13016)</f>
        <v>&lt;valeur&gt;&lt;/valeur&gt;</v>
      </c>
    </row>
    <row r="13016" spans="1:1" x14ac:dyDescent="0.2">
      <c r="A13016" s="996" t="str">
        <f>CONCATENATE(Programme!D13017,Programme!E13017,Programme!F13017,Programme!G13017,Programme!H13017,Programme!I13017,Programme!J13017)</f>
        <v>&lt;numeroLigne&gt;97&lt;/numeroLigne&gt;</v>
      </c>
    </row>
    <row r="13017" spans="1:1" x14ac:dyDescent="0.2">
      <c r="A13017" s="996" t="str">
        <f>CONCATENATE(Programme!D13018,Programme!E13018,Programme!F13018,Programme!G13018,Programme!H13018,Programme!I13018,Programme!J13018)</f>
        <v>&lt;/ValeurCellule&gt;</v>
      </c>
    </row>
    <row r="13018" spans="1:1" x14ac:dyDescent="0.2">
      <c r="A13018" s="996" t="str">
        <f>CONCATENATE(Programme!D13019,Programme!E13019,Programme!F13019,Programme!G13019,Programme!H13019,Programme!I13019,Programme!J13019)</f>
        <v>&lt;ValeurCellule&gt;</v>
      </c>
    </row>
    <row r="13019" spans="1:1" x14ac:dyDescent="0.2">
      <c r="A13019" s="996" t="str">
        <f>CONCATENATE(Programme!D13020,Programme!E13020,Programme!F13020,Programme!G13020,Programme!H13020,Programme!I13020,Programme!J13020)</f>
        <v>&lt;cellule&gt;&lt;codeEdi&gt;1083&lt;/codeEdi&gt;&lt;/cellule&gt;</v>
      </c>
    </row>
    <row r="13020" spans="1:1" x14ac:dyDescent="0.2">
      <c r="A13020" s="996" t="str">
        <f>CONCATENATE(Programme!D13021,Programme!E13021,Programme!F13021,Programme!G13021,Programme!H13021,Programme!I13021,Programme!J13021)</f>
        <v>&lt;valeur&gt;&lt;/valeur&gt;</v>
      </c>
    </row>
    <row r="13021" spans="1:1" x14ac:dyDescent="0.2">
      <c r="A13021" s="996" t="str">
        <f>CONCATENATE(Programme!D13022,Programme!E13022,Programme!F13022,Programme!G13022,Programme!H13022,Programme!I13022,Programme!J13022)</f>
        <v>&lt;numeroLigne&gt;97&lt;/numeroLigne&gt;</v>
      </c>
    </row>
    <row r="13022" spans="1:1" x14ac:dyDescent="0.2">
      <c r="A13022" s="996" t="str">
        <f>CONCATENATE(Programme!D13023,Programme!E13023,Programme!F13023,Programme!G13023,Programme!H13023,Programme!I13023,Programme!J13023)</f>
        <v>&lt;/ValeurCellule&gt;</v>
      </c>
    </row>
    <row r="13023" spans="1:1" x14ac:dyDescent="0.2">
      <c r="A13023" s="996" t="str">
        <f>CONCATENATE(Programme!D13024,Programme!E13024,Programme!F13024,Programme!G13024,Programme!H13024,Programme!I13024,Programme!J13024)</f>
        <v>&lt;ValeurCellule&gt;</v>
      </c>
    </row>
    <row r="13024" spans="1:1" x14ac:dyDescent="0.2">
      <c r="A13024" s="996" t="str">
        <f>CONCATENATE(Programme!D13025,Programme!E13025,Programme!F13025,Programme!G13025,Programme!H13025,Programme!I13025,Programme!J13025)</f>
        <v>&lt;cellule&gt;&lt;codeEdi&gt;1084&lt;/codeEdi&gt;&lt;/cellule&gt;</v>
      </c>
    </row>
    <row r="13025" spans="1:1" x14ac:dyDescent="0.2">
      <c r="A13025" s="996" t="str">
        <f>CONCATENATE(Programme!D13026,Programme!E13026,Programme!F13026,Programme!G13026,Programme!H13026,Programme!I13026,Programme!J13026)</f>
        <v>&lt;valeur&gt;&lt;/valeur&gt;</v>
      </c>
    </row>
    <row r="13026" spans="1:1" x14ac:dyDescent="0.2">
      <c r="A13026" s="996" t="str">
        <f>CONCATENATE(Programme!D13027,Programme!E13027,Programme!F13027,Programme!G13027,Programme!H13027,Programme!I13027,Programme!J13027)</f>
        <v>&lt;numeroLigne&gt;97&lt;/numeroLigne&gt;</v>
      </c>
    </row>
    <row r="13027" spans="1:1" x14ac:dyDescent="0.2">
      <c r="A13027" s="996" t="str">
        <f>CONCATENATE(Programme!D13028,Programme!E13028,Programme!F13028,Programme!G13028,Programme!H13028,Programme!I13028,Programme!J13028)</f>
        <v>&lt;/ValeurCellule&gt;</v>
      </c>
    </row>
    <row r="13028" spans="1:1" x14ac:dyDescent="0.2">
      <c r="A13028" s="996" t="str">
        <f>CONCATENATE(Programme!D13029,Programme!E13029,Programme!F13029,Programme!G13029,Programme!H13029,Programme!I13029,Programme!J13029)</f>
        <v>&lt;ValeurCellule&gt;</v>
      </c>
    </row>
    <row r="13029" spans="1:1" x14ac:dyDescent="0.2">
      <c r="A13029" s="996" t="str">
        <f>CONCATENATE(Programme!D13030,Programme!E13030,Programme!F13030,Programme!G13030,Programme!H13030,Programme!I13030,Programme!J13030)</f>
        <v>&lt;cellule&gt;&lt;codeEdi&gt;1085&lt;/codeEdi&gt;&lt;/cellule&gt;</v>
      </c>
    </row>
    <row r="13030" spans="1:1" x14ac:dyDescent="0.2">
      <c r="A13030" s="996" t="str">
        <f>CONCATENATE(Programme!D13031,Programme!E13031,Programme!F13031,Programme!G13031,Programme!H13031,Programme!I13031,Programme!J13031)</f>
        <v>&lt;valeur&gt;&lt;/valeur&gt;</v>
      </c>
    </row>
    <row r="13031" spans="1:1" x14ac:dyDescent="0.2">
      <c r="A13031" s="996" t="str">
        <f>CONCATENATE(Programme!D13032,Programme!E13032,Programme!F13032,Programme!G13032,Programme!H13032,Programme!I13032,Programme!J13032)</f>
        <v>&lt;numeroLigne&gt;97&lt;/numeroLigne&gt;</v>
      </c>
    </row>
    <row r="13032" spans="1:1" x14ac:dyDescent="0.2">
      <c r="A13032" s="996" t="str">
        <f>CONCATENATE(Programme!D13033,Programme!E13033,Programme!F13033,Programme!G13033,Programme!H13033,Programme!I13033,Programme!J13033)</f>
        <v>&lt;/ValeurCellule&gt;</v>
      </c>
    </row>
    <row r="13033" spans="1:1" x14ac:dyDescent="0.2">
      <c r="A13033" s="996" t="str">
        <f>CONCATENATE(Programme!D13034,Programme!E13034,Programme!F13034,Programme!G13034,Programme!H13034,Programme!I13034,Programme!J13034)</f>
        <v>&lt;ValeurCellule&gt;</v>
      </c>
    </row>
    <row r="13034" spans="1:1" x14ac:dyDescent="0.2">
      <c r="A13034" s="996" t="str">
        <f>CONCATENATE(Programme!D13035,Programme!E13035,Programme!F13035,Programme!G13035,Programme!H13035,Programme!I13035,Programme!J13035)</f>
        <v>&lt;cellule&gt;&lt;codeEdi&gt;1086&lt;/codeEdi&gt;&lt;/cellule&gt;</v>
      </c>
    </row>
    <row r="13035" spans="1:1" x14ac:dyDescent="0.2">
      <c r="A13035" s="996" t="str">
        <f>CONCATENATE(Programme!D13036,Programme!E13036,Programme!F13036,Programme!G13036,Programme!H13036,Programme!I13036,Programme!J13036)</f>
        <v>&lt;valeur&gt;&lt;/valeur&gt;</v>
      </c>
    </row>
    <row r="13036" spans="1:1" x14ac:dyDescent="0.2">
      <c r="A13036" s="996" t="str">
        <f>CONCATENATE(Programme!D13037,Programme!E13037,Programme!F13037,Programme!G13037,Programme!H13037,Programme!I13037,Programme!J13037)</f>
        <v>&lt;numeroLigne&gt;97&lt;/numeroLigne&gt;</v>
      </c>
    </row>
    <row r="13037" spans="1:1" x14ac:dyDescent="0.2">
      <c r="A13037" s="996" t="str">
        <f>CONCATENATE(Programme!D13038,Programme!E13038,Programme!F13038,Programme!G13038,Programme!H13038,Programme!I13038,Programme!J13038)</f>
        <v>&lt;/ValeurCellule&gt;</v>
      </c>
    </row>
    <row r="13038" spans="1:1" x14ac:dyDescent="0.2">
      <c r="A13038" s="996" t="str">
        <f>CONCATENATE(Programme!D13039,Programme!E13039,Programme!F13039,Programme!G13039,Programme!H13039,Programme!I13039,Programme!J13039)</f>
        <v>&lt;ValeurCellule&gt;</v>
      </c>
    </row>
    <row r="13039" spans="1:1" x14ac:dyDescent="0.2">
      <c r="A13039" s="996" t="str">
        <f>CONCATENATE(Programme!D13040,Programme!E13040,Programme!F13040,Programme!G13040,Programme!H13040,Programme!I13040,Programme!J13040)</f>
        <v>&lt;cellule&gt;&lt;codeEdi&gt;10061&lt;/codeEdi&gt;&lt;/cellule&gt;</v>
      </c>
    </row>
    <row r="13040" spans="1:1" x14ac:dyDescent="0.2">
      <c r="A13040" s="996" t="str">
        <f>CONCATENATE(Programme!D13041,Programme!E13041,Programme!F13041,Programme!G13041,Programme!H13041,Programme!I13041,Programme!J13041)</f>
        <v>&lt;valeur&gt;&lt;/valeur&gt;</v>
      </c>
    </row>
    <row r="13041" spans="1:1" x14ac:dyDescent="0.2">
      <c r="A13041" s="996" t="str">
        <f>CONCATENATE(Programme!D13042,Programme!E13042,Programme!F13042,Programme!G13042,Programme!H13042,Programme!I13042,Programme!J13042)</f>
        <v>&lt;numeroLigne&gt;98&lt;/numeroLigne&gt;</v>
      </c>
    </row>
    <row r="13042" spans="1:1" x14ac:dyDescent="0.2">
      <c r="A13042" s="996" t="str">
        <f>CONCATENATE(Programme!D13043,Programme!E13043,Programme!F13043,Programme!G13043,Programme!H13043,Programme!I13043,Programme!J13043)</f>
        <v>&lt;/ValeurCellule&gt;</v>
      </c>
    </row>
    <row r="13043" spans="1:1" x14ac:dyDescent="0.2">
      <c r="A13043" s="996" t="str">
        <f>CONCATENATE(Programme!D13044,Programme!E13044,Programme!F13044,Programme!G13044,Programme!H13044,Programme!I13044,Programme!J13044)</f>
        <v>&lt;ValeurCellule&gt;</v>
      </c>
    </row>
    <row r="13044" spans="1:1" x14ac:dyDescent="0.2">
      <c r="A13044" s="996" t="str">
        <f>CONCATENATE(Programme!D13045,Programme!E13045,Programme!F13045,Programme!G13045,Programme!H13045,Programme!I13045,Programme!J13045)</f>
        <v>&lt;cellule&gt;&lt;codeEdi&gt;1078&lt;/codeEdi&gt;&lt;/cellule&gt;</v>
      </c>
    </row>
    <row r="13045" spans="1:1" x14ac:dyDescent="0.2">
      <c r="A13045" s="996" t="str">
        <f>CONCATENATE(Programme!D13046,Programme!E13046,Programme!F13046,Programme!G13046,Programme!H13046,Programme!I13046,Programme!J13046)</f>
        <v>&lt;valeur&gt;&lt;/valeur&gt;</v>
      </c>
    </row>
    <row r="13046" spans="1:1" x14ac:dyDescent="0.2">
      <c r="A13046" s="996" t="str">
        <f>CONCATENATE(Programme!D13047,Programme!E13047,Programme!F13047,Programme!G13047,Programme!H13047,Programme!I13047,Programme!J13047)</f>
        <v>&lt;numeroLigne&gt;98&lt;/numeroLigne&gt;</v>
      </c>
    </row>
    <row r="13047" spans="1:1" x14ac:dyDescent="0.2">
      <c r="A13047" s="996" t="str">
        <f>CONCATENATE(Programme!D13048,Programme!E13048,Programme!F13048,Programme!G13048,Programme!H13048,Programme!I13048,Programme!J13048)</f>
        <v>&lt;/ValeurCellule&gt;</v>
      </c>
    </row>
    <row r="13048" spans="1:1" x14ac:dyDescent="0.2">
      <c r="A13048" s="996" t="str">
        <f>CONCATENATE(Programme!D13049,Programme!E13049,Programme!F13049,Programme!G13049,Programme!H13049,Programme!I13049,Programme!J13049)</f>
        <v>&lt;ValeurCellule&gt;</v>
      </c>
    </row>
    <row r="13049" spans="1:1" x14ac:dyDescent="0.2">
      <c r="A13049" s="996" t="str">
        <f>CONCATENATE(Programme!D13050,Programme!E13050,Programme!F13050,Programme!G13050,Programme!H13050,Programme!I13050,Programme!J13050)</f>
        <v>&lt;cellule&gt;&lt;codeEdi&gt;1079&lt;/codeEdi&gt;&lt;/cellule&gt;</v>
      </c>
    </row>
    <row r="13050" spans="1:1" x14ac:dyDescent="0.2">
      <c r="A13050" s="996" t="str">
        <f>CONCATENATE(Programme!D13051,Programme!E13051,Programme!F13051,Programme!G13051,Programme!H13051,Programme!I13051,Programme!J13051)</f>
        <v>&lt;valeur&gt;&lt;/valeur&gt;</v>
      </c>
    </row>
    <row r="13051" spans="1:1" x14ac:dyDescent="0.2">
      <c r="A13051" s="996" t="str">
        <f>CONCATENATE(Programme!D13052,Programme!E13052,Programme!F13052,Programme!G13052,Programme!H13052,Programme!I13052,Programme!J13052)</f>
        <v>&lt;numeroLigne&gt;98&lt;/numeroLigne&gt;</v>
      </c>
    </row>
    <row r="13052" spans="1:1" x14ac:dyDescent="0.2">
      <c r="A13052" s="996" t="str">
        <f>CONCATENATE(Programme!D13053,Programme!E13053,Programme!F13053,Programme!G13053,Programme!H13053,Programme!I13053,Programme!J13053)</f>
        <v>&lt;/ValeurCellule&gt;</v>
      </c>
    </row>
    <row r="13053" spans="1:1" x14ac:dyDescent="0.2">
      <c r="A13053" s="996" t="str">
        <f>CONCATENATE(Programme!D13054,Programme!E13054,Programme!F13054,Programme!G13054,Programme!H13054,Programme!I13054,Programme!J13054)</f>
        <v>&lt;ValeurCellule&gt;</v>
      </c>
    </row>
    <row r="13054" spans="1:1" x14ac:dyDescent="0.2">
      <c r="A13054" s="996" t="str">
        <f>CONCATENATE(Programme!D13055,Programme!E13055,Programme!F13055,Programme!G13055,Programme!H13055,Programme!I13055,Programme!J13055)</f>
        <v>&lt;cellule&gt;&lt;codeEdi&gt;1080&lt;/codeEdi&gt;&lt;/cellule&gt;</v>
      </c>
    </row>
    <row r="13055" spans="1:1" x14ac:dyDescent="0.2">
      <c r="A13055" s="996" t="str">
        <f>CONCATENATE(Programme!D13056,Programme!E13056,Programme!F13056,Programme!G13056,Programme!H13056,Programme!I13056,Programme!J13056)</f>
        <v>&lt;valeur&gt;&lt;/valeur&gt;</v>
      </c>
    </row>
    <row r="13056" spans="1:1" x14ac:dyDescent="0.2">
      <c r="A13056" s="996" t="str">
        <f>CONCATENATE(Programme!D13057,Programme!E13057,Programme!F13057,Programme!G13057,Programme!H13057,Programme!I13057,Programme!J13057)</f>
        <v>&lt;numeroLigne&gt;98&lt;/numeroLigne&gt;</v>
      </c>
    </row>
    <row r="13057" spans="1:1" x14ac:dyDescent="0.2">
      <c r="A13057" s="996" t="str">
        <f>CONCATENATE(Programme!D13058,Programme!E13058,Programme!F13058,Programme!G13058,Programme!H13058,Programme!I13058,Programme!J13058)</f>
        <v>&lt;/ValeurCellule&gt;</v>
      </c>
    </row>
    <row r="13058" spans="1:1" x14ac:dyDescent="0.2">
      <c r="A13058" s="996" t="str">
        <f>CONCATENATE(Programme!D13059,Programme!E13059,Programme!F13059,Programme!G13059,Programme!H13059,Programme!I13059,Programme!J13059)</f>
        <v>&lt;ValeurCellule&gt;</v>
      </c>
    </row>
    <row r="13059" spans="1:1" x14ac:dyDescent="0.2">
      <c r="A13059" s="996" t="str">
        <f>CONCATENATE(Programme!D13060,Programme!E13060,Programme!F13060,Programme!G13060,Programme!H13060,Programme!I13060,Programme!J13060)</f>
        <v>&lt;cellule&gt;&lt;codeEdi&gt;1081&lt;/codeEdi&gt;&lt;/cellule&gt;</v>
      </c>
    </row>
    <row r="13060" spans="1:1" x14ac:dyDescent="0.2">
      <c r="A13060" s="996" t="str">
        <f>CONCATENATE(Programme!D13061,Programme!E13061,Programme!F13061,Programme!G13061,Programme!H13061,Programme!I13061,Programme!J13061)</f>
        <v>&lt;valeur&gt;&lt;/valeur&gt;</v>
      </c>
    </row>
    <row r="13061" spans="1:1" x14ac:dyDescent="0.2">
      <c r="A13061" s="996" t="str">
        <f>CONCATENATE(Programme!D13062,Programme!E13062,Programme!F13062,Programme!G13062,Programme!H13062,Programme!I13062,Programme!J13062)</f>
        <v>&lt;numeroLigne&gt;98&lt;/numeroLigne&gt;</v>
      </c>
    </row>
    <row r="13062" spans="1:1" x14ac:dyDescent="0.2">
      <c r="A13062" s="996" t="str">
        <f>CONCATENATE(Programme!D13063,Programme!E13063,Programme!F13063,Programme!G13063,Programme!H13063,Programme!I13063,Programme!J13063)</f>
        <v>&lt;/ValeurCellule&gt;</v>
      </c>
    </row>
    <row r="13063" spans="1:1" x14ac:dyDescent="0.2">
      <c r="A13063" s="996" t="str">
        <f>CONCATENATE(Programme!D13064,Programme!E13064,Programme!F13064,Programme!G13064,Programme!H13064,Programme!I13064,Programme!J13064)</f>
        <v>&lt;ValeurCellule&gt;</v>
      </c>
    </row>
    <row r="13064" spans="1:1" x14ac:dyDescent="0.2">
      <c r="A13064" s="996" t="str">
        <f>CONCATENATE(Programme!D13065,Programme!E13065,Programme!F13065,Programme!G13065,Programme!H13065,Programme!I13065,Programme!J13065)</f>
        <v>&lt;cellule&gt;&lt;codeEdi&gt;1082&lt;/codeEdi&gt;&lt;/cellule&gt;</v>
      </c>
    </row>
    <row r="13065" spans="1:1" x14ac:dyDescent="0.2">
      <c r="A13065" s="996" t="str">
        <f>CONCATENATE(Programme!D13066,Programme!E13066,Programme!F13066,Programme!G13066,Programme!H13066,Programme!I13066,Programme!J13066)</f>
        <v>&lt;valeur&gt;&lt;/valeur&gt;</v>
      </c>
    </row>
    <row r="13066" spans="1:1" x14ac:dyDescent="0.2">
      <c r="A13066" s="996" t="str">
        <f>CONCATENATE(Programme!D13067,Programme!E13067,Programme!F13067,Programme!G13067,Programme!H13067,Programme!I13067,Programme!J13067)</f>
        <v>&lt;numeroLigne&gt;98&lt;/numeroLigne&gt;</v>
      </c>
    </row>
    <row r="13067" spans="1:1" x14ac:dyDescent="0.2">
      <c r="A13067" s="996" t="str">
        <f>CONCATENATE(Programme!D13068,Programme!E13068,Programme!F13068,Programme!G13068,Programme!H13068,Programme!I13068,Programme!J13068)</f>
        <v>&lt;/ValeurCellule&gt;</v>
      </c>
    </row>
    <row r="13068" spans="1:1" x14ac:dyDescent="0.2">
      <c r="A13068" s="996" t="str">
        <f>CONCATENATE(Programme!D13069,Programme!E13069,Programme!F13069,Programme!G13069,Programme!H13069,Programme!I13069,Programme!J13069)</f>
        <v>&lt;ValeurCellule&gt;</v>
      </c>
    </row>
    <row r="13069" spans="1:1" x14ac:dyDescent="0.2">
      <c r="A13069" s="996" t="str">
        <f>CONCATENATE(Programme!D13070,Programme!E13070,Programme!F13070,Programme!G13070,Programme!H13070,Programme!I13070,Programme!J13070)</f>
        <v>&lt;cellule&gt;&lt;codeEdi&gt;1083&lt;/codeEdi&gt;&lt;/cellule&gt;</v>
      </c>
    </row>
    <row r="13070" spans="1:1" x14ac:dyDescent="0.2">
      <c r="A13070" s="996" t="str">
        <f>CONCATENATE(Programme!D13071,Programme!E13071,Programme!F13071,Programme!G13071,Programme!H13071,Programme!I13071,Programme!J13071)</f>
        <v>&lt;valeur&gt;&lt;/valeur&gt;</v>
      </c>
    </row>
    <row r="13071" spans="1:1" x14ac:dyDescent="0.2">
      <c r="A13071" s="996" t="str">
        <f>CONCATENATE(Programme!D13072,Programme!E13072,Programme!F13072,Programme!G13072,Programme!H13072,Programme!I13072,Programme!J13072)</f>
        <v>&lt;numeroLigne&gt;98&lt;/numeroLigne&gt;</v>
      </c>
    </row>
    <row r="13072" spans="1:1" x14ac:dyDescent="0.2">
      <c r="A13072" s="996" t="str">
        <f>CONCATENATE(Programme!D13073,Programme!E13073,Programme!F13073,Programme!G13073,Programme!H13073,Programme!I13073,Programme!J13073)</f>
        <v>&lt;/ValeurCellule&gt;</v>
      </c>
    </row>
    <row r="13073" spans="1:1" x14ac:dyDescent="0.2">
      <c r="A13073" s="996" t="str">
        <f>CONCATENATE(Programme!D13074,Programme!E13074,Programme!F13074,Programme!G13074,Programme!H13074,Programme!I13074,Programme!J13074)</f>
        <v>&lt;ValeurCellule&gt;</v>
      </c>
    </row>
    <row r="13074" spans="1:1" x14ac:dyDescent="0.2">
      <c r="A13074" s="996" t="str">
        <f>CONCATENATE(Programme!D13075,Programme!E13075,Programme!F13075,Programme!G13075,Programme!H13075,Programme!I13075,Programme!J13075)</f>
        <v>&lt;cellule&gt;&lt;codeEdi&gt;1084&lt;/codeEdi&gt;&lt;/cellule&gt;</v>
      </c>
    </row>
    <row r="13075" spans="1:1" x14ac:dyDescent="0.2">
      <c r="A13075" s="996" t="str">
        <f>CONCATENATE(Programme!D13076,Programme!E13076,Programme!F13076,Programme!G13076,Programme!H13076,Programme!I13076,Programme!J13076)</f>
        <v>&lt;valeur&gt;&lt;/valeur&gt;</v>
      </c>
    </row>
    <row r="13076" spans="1:1" x14ac:dyDescent="0.2">
      <c r="A13076" s="996" t="str">
        <f>CONCATENATE(Programme!D13077,Programme!E13077,Programme!F13077,Programme!G13077,Programme!H13077,Programme!I13077,Programme!J13077)</f>
        <v>&lt;numeroLigne&gt;98&lt;/numeroLigne&gt;</v>
      </c>
    </row>
    <row r="13077" spans="1:1" x14ac:dyDescent="0.2">
      <c r="A13077" s="996" t="str">
        <f>CONCATENATE(Programme!D13078,Programme!E13078,Programme!F13078,Programme!G13078,Programme!H13078,Programme!I13078,Programme!J13078)</f>
        <v>&lt;/ValeurCellule&gt;</v>
      </c>
    </row>
    <row r="13078" spans="1:1" x14ac:dyDescent="0.2">
      <c r="A13078" s="996" t="str">
        <f>CONCATENATE(Programme!D13079,Programme!E13079,Programme!F13079,Programme!G13079,Programme!H13079,Programme!I13079,Programme!J13079)</f>
        <v>&lt;ValeurCellule&gt;</v>
      </c>
    </row>
    <row r="13079" spans="1:1" x14ac:dyDescent="0.2">
      <c r="A13079" s="996" t="str">
        <f>CONCATENATE(Programme!D13080,Programme!E13080,Programme!F13080,Programme!G13080,Programme!H13080,Programme!I13080,Programme!J13080)</f>
        <v>&lt;cellule&gt;&lt;codeEdi&gt;1085&lt;/codeEdi&gt;&lt;/cellule&gt;</v>
      </c>
    </row>
    <row r="13080" spans="1:1" x14ac:dyDescent="0.2">
      <c r="A13080" s="996" t="str">
        <f>CONCATENATE(Programme!D13081,Programme!E13081,Programme!F13081,Programme!G13081,Programme!H13081,Programme!I13081,Programme!J13081)</f>
        <v>&lt;valeur&gt;&lt;/valeur&gt;</v>
      </c>
    </row>
    <row r="13081" spans="1:1" x14ac:dyDescent="0.2">
      <c r="A13081" s="996" t="str">
        <f>CONCATENATE(Programme!D13082,Programme!E13082,Programme!F13082,Programme!G13082,Programme!H13082,Programme!I13082,Programme!J13082)</f>
        <v>&lt;numeroLigne&gt;98&lt;/numeroLigne&gt;</v>
      </c>
    </row>
    <row r="13082" spans="1:1" x14ac:dyDescent="0.2">
      <c r="A13082" s="996" t="str">
        <f>CONCATENATE(Programme!D13083,Programme!E13083,Programme!F13083,Programme!G13083,Programme!H13083,Programme!I13083,Programme!J13083)</f>
        <v>&lt;/ValeurCellule&gt;</v>
      </c>
    </row>
    <row r="13083" spans="1:1" x14ac:dyDescent="0.2">
      <c r="A13083" s="996" t="str">
        <f>CONCATENATE(Programme!D13084,Programme!E13084,Programme!F13084,Programme!G13084,Programme!H13084,Programme!I13084,Programme!J13084)</f>
        <v>&lt;ValeurCellule&gt;</v>
      </c>
    </row>
    <row r="13084" spans="1:1" x14ac:dyDescent="0.2">
      <c r="A13084" s="996" t="str">
        <f>CONCATENATE(Programme!D13085,Programme!E13085,Programme!F13085,Programme!G13085,Programme!H13085,Programme!I13085,Programme!J13085)</f>
        <v>&lt;cellule&gt;&lt;codeEdi&gt;1086&lt;/codeEdi&gt;&lt;/cellule&gt;</v>
      </c>
    </row>
    <row r="13085" spans="1:1" x14ac:dyDescent="0.2">
      <c r="A13085" s="996" t="str">
        <f>CONCATENATE(Programme!D13086,Programme!E13086,Programme!F13086,Programme!G13086,Programme!H13086,Programme!I13086,Programme!J13086)</f>
        <v>&lt;valeur&gt;&lt;/valeur&gt;</v>
      </c>
    </row>
    <row r="13086" spans="1:1" x14ac:dyDescent="0.2">
      <c r="A13086" s="996" t="str">
        <f>CONCATENATE(Programme!D13087,Programme!E13087,Programme!F13087,Programme!G13087,Programme!H13087,Programme!I13087,Programme!J13087)</f>
        <v>&lt;numeroLigne&gt;98&lt;/numeroLigne&gt;</v>
      </c>
    </row>
    <row r="13087" spans="1:1" x14ac:dyDescent="0.2">
      <c r="A13087" s="996" t="str">
        <f>CONCATENATE(Programme!D13088,Programme!E13088,Programme!F13088,Programme!G13088,Programme!H13088,Programme!I13088,Programme!J13088)</f>
        <v>&lt;/ValeurCellule&gt;</v>
      </c>
    </row>
    <row r="13088" spans="1:1" x14ac:dyDescent="0.2">
      <c r="A13088" s="996" t="str">
        <f>CONCATENATE(Programme!D13089,Programme!E13089,Programme!F13089,Programme!G13089,Programme!H13089,Programme!I13089,Programme!J13089)</f>
        <v>&lt;ValeurCellule&gt;</v>
      </c>
    </row>
    <row r="13089" spans="1:1" x14ac:dyDescent="0.2">
      <c r="A13089" s="996" t="str">
        <f>CONCATENATE(Programme!D13090,Programme!E13090,Programme!F13090,Programme!G13090,Programme!H13090,Programme!I13090,Programme!J13090)</f>
        <v>&lt;cellule&gt;&lt;codeEdi&gt;10061&lt;/codeEdi&gt;&lt;/cellule&gt;</v>
      </c>
    </row>
    <row r="13090" spans="1:1" x14ac:dyDescent="0.2">
      <c r="A13090" s="996" t="str">
        <f>CONCATENATE(Programme!D13091,Programme!E13091,Programme!F13091,Programme!G13091,Programme!H13091,Programme!I13091,Programme!J13091)</f>
        <v>&lt;valeur&gt;&lt;/valeur&gt;</v>
      </c>
    </row>
    <row r="13091" spans="1:1" x14ac:dyDescent="0.2">
      <c r="A13091" s="996" t="str">
        <f>CONCATENATE(Programme!D13092,Programme!E13092,Programme!F13092,Programme!G13092,Programme!H13092,Programme!I13092,Programme!J13092)</f>
        <v>&lt;numeroLigne&gt;99&lt;/numeroLigne&gt;</v>
      </c>
    </row>
    <row r="13092" spans="1:1" x14ac:dyDescent="0.2">
      <c r="A13092" s="996" t="str">
        <f>CONCATENATE(Programme!D13093,Programme!E13093,Programme!F13093,Programme!G13093,Programme!H13093,Programme!I13093,Programme!J13093)</f>
        <v>&lt;/ValeurCellule&gt;</v>
      </c>
    </row>
    <row r="13093" spans="1:1" x14ac:dyDescent="0.2">
      <c r="A13093" s="996" t="str">
        <f>CONCATENATE(Programme!D13094,Programme!E13094,Programme!F13094,Programme!G13094,Programme!H13094,Programme!I13094,Programme!J13094)</f>
        <v>&lt;ValeurCellule&gt;</v>
      </c>
    </row>
    <row r="13094" spans="1:1" x14ac:dyDescent="0.2">
      <c r="A13094" s="996" t="str">
        <f>CONCATENATE(Programme!D13095,Programme!E13095,Programme!F13095,Programme!G13095,Programme!H13095,Programme!I13095,Programme!J13095)</f>
        <v>&lt;cellule&gt;&lt;codeEdi&gt;1078&lt;/codeEdi&gt;&lt;/cellule&gt;</v>
      </c>
    </row>
    <row r="13095" spans="1:1" x14ac:dyDescent="0.2">
      <c r="A13095" s="996" t="str">
        <f>CONCATENATE(Programme!D13096,Programme!E13096,Programme!F13096,Programme!G13096,Programme!H13096,Programme!I13096,Programme!J13096)</f>
        <v>&lt;valeur&gt;&lt;/valeur&gt;</v>
      </c>
    </row>
    <row r="13096" spans="1:1" x14ac:dyDescent="0.2">
      <c r="A13096" s="996" t="str">
        <f>CONCATENATE(Programme!D13097,Programme!E13097,Programme!F13097,Programme!G13097,Programme!H13097,Programme!I13097,Programme!J13097)</f>
        <v>&lt;numeroLigne&gt;99&lt;/numeroLigne&gt;</v>
      </c>
    </row>
    <row r="13097" spans="1:1" x14ac:dyDescent="0.2">
      <c r="A13097" s="996" t="str">
        <f>CONCATENATE(Programme!D13098,Programme!E13098,Programme!F13098,Programme!G13098,Programme!H13098,Programme!I13098,Programme!J13098)</f>
        <v>&lt;/ValeurCellule&gt;</v>
      </c>
    </row>
    <row r="13098" spans="1:1" x14ac:dyDescent="0.2">
      <c r="A13098" s="996" t="str">
        <f>CONCATENATE(Programme!D13099,Programme!E13099,Programme!F13099,Programme!G13099,Programme!H13099,Programme!I13099,Programme!J13099)</f>
        <v>&lt;ValeurCellule&gt;</v>
      </c>
    </row>
    <row r="13099" spans="1:1" x14ac:dyDescent="0.2">
      <c r="A13099" s="996" t="str">
        <f>CONCATENATE(Programme!D13100,Programme!E13100,Programme!F13100,Programme!G13100,Programme!H13100,Programme!I13100,Programme!J13100)</f>
        <v>&lt;cellule&gt;&lt;codeEdi&gt;1079&lt;/codeEdi&gt;&lt;/cellule&gt;</v>
      </c>
    </row>
    <row r="13100" spans="1:1" x14ac:dyDescent="0.2">
      <c r="A13100" s="996" t="str">
        <f>CONCATENATE(Programme!D13101,Programme!E13101,Programme!F13101,Programme!G13101,Programme!H13101,Programme!I13101,Programme!J13101)</f>
        <v>&lt;valeur&gt;&lt;/valeur&gt;</v>
      </c>
    </row>
    <row r="13101" spans="1:1" x14ac:dyDescent="0.2">
      <c r="A13101" s="996" t="str">
        <f>CONCATENATE(Programme!D13102,Programme!E13102,Programme!F13102,Programme!G13102,Programme!H13102,Programme!I13102,Programme!J13102)</f>
        <v>&lt;numeroLigne&gt;99&lt;/numeroLigne&gt;</v>
      </c>
    </row>
    <row r="13102" spans="1:1" x14ac:dyDescent="0.2">
      <c r="A13102" s="996" t="str">
        <f>CONCATENATE(Programme!D13103,Programme!E13103,Programme!F13103,Programme!G13103,Programme!H13103,Programme!I13103,Programme!J13103)</f>
        <v>&lt;/ValeurCellule&gt;</v>
      </c>
    </row>
    <row r="13103" spans="1:1" x14ac:dyDescent="0.2">
      <c r="A13103" s="996" t="str">
        <f>CONCATENATE(Programme!D13104,Programme!E13104,Programme!F13104,Programme!G13104,Programme!H13104,Programme!I13104,Programme!J13104)</f>
        <v>&lt;ValeurCellule&gt;</v>
      </c>
    </row>
    <row r="13104" spans="1:1" x14ac:dyDescent="0.2">
      <c r="A13104" s="996" t="str">
        <f>CONCATENATE(Programme!D13105,Programme!E13105,Programme!F13105,Programme!G13105,Programme!H13105,Programme!I13105,Programme!J13105)</f>
        <v>&lt;cellule&gt;&lt;codeEdi&gt;1080&lt;/codeEdi&gt;&lt;/cellule&gt;</v>
      </c>
    </row>
    <row r="13105" spans="1:1" x14ac:dyDescent="0.2">
      <c r="A13105" s="996" t="str">
        <f>CONCATENATE(Programme!D13106,Programme!E13106,Programme!F13106,Programme!G13106,Programme!H13106,Programme!I13106,Programme!J13106)</f>
        <v>&lt;valeur&gt;&lt;/valeur&gt;</v>
      </c>
    </row>
    <row r="13106" spans="1:1" x14ac:dyDescent="0.2">
      <c r="A13106" s="996" t="str">
        <f>CONCATENATE(Programme!D13107,Programme!E13107,Programme!F13107,Programme!G13107,Programme!H13107,Programme!I13107,Programme!J13107)</f>
        <v>&lt;numeroLigne&gt;99&lt;/numeroLigne&gt;</v>
      </c>
    </row>
    <row r="13107" spans="1:1" x14ac:dyDescent="0.2">
      <c r="A13107" s="996" t="str">
        <f>CONCATENATE(Programme!D13108,Programme!E13108,Programme!F13108,Programme!G13108,Programme!H13108,Programme!I13108,Programme!J13108)</f>
        <v>&lt;/ValeurCellule&gt;</v>
      </c>
    </row>
    <row r="13108" spans="1:1" x14ac:dyDescent="0.2">
      <c r="A13108" s="996" t="str">
        <f>CONCATENATE(Programme!D13109,Programme!E13109,Programme!F13109,Programme!G13109,Programme!H13109,Programme!I13109,Programme!J13109)</f>
        <v>&lt;ValeurCellule&gt;</v>
      </c>
    </row>
    <row r="13109" spans="1:1" x14ac:dyDescent="0.2">
      <c r="A13109" s="996" t="str">
        <f>CONCATENATE(Programme!D13110,Programme!E13110,Programme!F13110,Programme!G13110,Programme!H13110,Programme!I13110,Programme!J13110)</f>
        <v>&lt;cellule&gt;&lt;codeEdi&gt;1081&lt;/codeEdi&gt;&lt;/cellule&gt;</v>
      </c>
    </row>
    <row r="13110" spans="1:1" x14ac:dyDescent="0.2">
      <c r="A13110" s="996" t="str">
        <f>CONCATENATE(Programme!D13111,Programme!E13111,Programme!F13111,Programme!G13111,Programme!H13111,Programme!I13111,Programme!J13111)</f>
        <v>&lt;valeur&gt;&lt;/valeur&gt;</v>
      </c>
    </row>
    <row r="13111" spans="1:1" x14ac:dyDescent="0.2">
      <c r="A13111" s="996" t="str">
        <f>CONCATENATE(Programme!D13112,Programme!E13112,Programme!F13112,Programme!G13112,Programme!H13112,Programme!I13112,Programme!J13112)</f>
        <v>&lt;numeroLigne&gt;99&lt;/numeroLigne&gt;</v>
      </c>
    </row>
    <row r="13112" spans="1:1" x14ac:dyDescent="0.2">
      <c r="A13112" s="996" t="str">
        <f>CONCATENATE(Programme!D13113,Programme!E13113,Programme!F13113,Programme!G13113,Programme!H13113,Programme!I13113,Programme!J13113)</f>
        <v>&lt;/ValeurCellule&gt;</v>
      </c>
    </row>
    <row r="13113" spans="1:1" x14ac:dyDescent="0.2">
      <c r="A13113" s="996" t="str">
        <f>CONCATENATE(Programme!D13114,Programme!E13114,Programme!F13114,Programme!G13114,Programme!H13114,Programme!I13114,Programme!J13114)</f>
        <v>&lt;ValeurCellule&gt;</v>
      </c>
    </row>
    <row r="13114" spans="1:1" x14ac:dyDescent="0.2">
      <c r="A13114" s="996" t="str">
        <f>CONCATENATE(Programme!D13115,Programme!E13115,Programme!F13115,Programme!G13115,Programme!H13115,Programme!I13115,Programme!J13115)</f>
        <v>&lt;cellule&gt;&lt;codeEdi&gt;1082&lt;/codeEdi&gt;&lt;/cellule&gt;</v>
      </c>
    </row>
    <row r="13115" spans="1:1" x14ac:dyDescent="0.2">
      <c r="A13115" s="996" t="str">
        <f>CONCATENATE(Programme!D13116,Programme!E13116,Programme!F13116,Programme!G13116,Programme!H13116,Programme!I13116,Programme!J13116)</f>
        <v>&lt;valeur&gt;&lt;/valeur&gt;</v>
      </c>
    </row>
    <row r="13116" spans="1:1" x14ac:dyDescent="0.2">
      <c r="A13116" s="996" t="str">
        <f>CONCATENATE(Programme!D13117,Programme!E13117,Programme!F13117,Programme!G13117,Programme!H13117,Programme!I13117,Programme!J13117)</f>
        <v>&lt;numeroLigne&gt;99&lt;/numeroLigne&gt;</v>
      </c>
    </row>
    <row r="13117" spans="1:1" x14ac:dyDescent="0.2">
      <c r="A13117" s="996" t="str">
        <f>CONCATENATE(Programme!D13118,Programme!E13118,Programme!F13118,Programme!G13118,Programme!H13118,Programme!I13118,Programme!J13118)</f>
        <v>&lt;/ValeurCellule&gt;</v>
      </c>
    </row>
    <row r="13118" spans="1:1" x14ac:dyDescent="0.2">
      <c r="A13118" s="996" t="str">
        <f>CONCATENATE(Programme!D13119,Programme!E13119,Programme!F13119,Programme!G13119,Programme!H13119,Programme!I13119,Programme!J13119)</f>
        <v>&lt;ValeurCellule&gt;</v>
      </c>
    </row>
    <row r="13119" spans="1:1" x14ac:dyDescent="0.2">
      <c r="A13119" s="996" t="str">
        <f>CONCATENATE(Programme!D13120,Programme!E13120,Programme!F13120,Programme!G13120,Programme!H13120,Programme!I13120,Programme!J13120)</f>
        <v>&lt;cellule&gt;&lt;codeEdi&gt;1083&lt;/codeEdi&gt;&lt;/cellule&gt;</v>
      </c>
    </row>
    <row r="13120" spans="1:1" x14ac:dyDescent="0.2">
      <c r="A13120" s="996" t="str">
        <f>CONCATENATE(Programme!D13121,Programme!E13121,Programme!F13121,Programme!G13121,Programme!H13121,Programme!I13121,Programme!J13121)</f>
        <v>&lt;valeur&gt;&lt;/valeur&gt;</v>
      </c>
    </row>
    <row r="13121" spans="1:1" x14ac:dyDescent="0.2">
      <c r="A13121" s="996" t="str">
        <f>CONCATENATE(Programme!D13122,Programme!E13122,Programme!F13122,Programme!G13122,Programme!H13122,Programme!I13122,Programme!J13122)</f>
        <v>&lt;numeroLigne&gt;99&lt;/numeroLigne&gt;</v>
      </c>
    </row>
    <row r="13122" spans="1:1" x14ac:dyDescent="0.2">
      <c r="A13122" s="996" t="str">
        <f>CONCATENATE(Programme!D13123,Programme!E13123,Programme!F13123,Programme!G13123,Programme!H13123,Programme!I13123,Programme!J13123)</f>
        <v>&lt;/ValeurCellule&gt;</v>
      </c>
    </row>
    <row r="13123" spans="1:1" x14ac:dyDescent="0.2">
      <c r="A13123" s="996" t="str">
        <f>CONCATENATE(Programme!D13124,Programme!E13124,Programme!F13124,Programme!G13124,Programme!H13124,Programme!I13124,Programme!J13124)</f>
        <v>&lt;ValeurCellule&gt;</v>
      </c>
    </row>
    <row r="13124" spans="1:1" x14ac:dyDescent="0.2">
      <c r="A13124" s="996" t="str">
        <f>CONCATENATE(Programme!D13125,Programme!E13125,Programme!F13125,Programme!G13125,Programme!H13125,Programme!I13125,Programme!J13125)</f>
        <v>&lt;cellule&gt;&lt;codeEdi&gt;1084&lt;/codeEdi&gt;&lt;/cellule&gt;</v>
      </c>
    </row>
    <row r="13125" spans="1:1" x14ac:dyDescent="0.2">
      <c r="A13125" s="996" t="str">
        <f>CONCATENATE(Programme!D13126,Programme!E13126,Programme!F13126,Programme!G13126,Programme!H13126,Programme!I13126,Programme!J13126)</f>
        <v>&lt;valeur&gt;&lt;/valeur&gt;</v>
      </c>
    </row>
    <row r="13126" spans="1:1" x14ac:dyDescent="0.2">
      <c r="A13126" s="996" t="str">
        <f>CONCATENATE(Programme!D13127,Programme!E13127,Programme!F13127,Programme!G13127,Programme!H13127,Programme!I13127,Programme!J13127)</f>
        <v>&lt;numeroLigne&gt;99&lt;/numeroLigne&gt;</v>
      </c>
    </row>
    <row r="13127" spans="1:1" x14ac:dyDescent="0.2">
      <c r="A13127" s="996" t="str">
        <f>CONCATENATE(Programme!D13128,Programme!E13128,Programme!F13128,Programme!G13128,Programme!H13128,Programme!I13128,Programme!J13128)</f>
        <v>&lt;/ValeurCellule&gt;</v>
      </c>
    </row>
    <row r="13128" spans="1:1" x14ac:dyDescent="0.2">
      <c r="A13128" s="996" t="str">
        <f>CONCATENATE(Programme!D13129,Programme!E13129,Programme!F13129,Programme!G13129,Programme!H13129,Programme!I13129,Programme!J13129)</f>
        <v>&lt;ValeurCellule&gt;</v>
      </c>
    </row>
    <row r="13129" spans="1:1" x14ac:dyDescent="0.2">
      <c r="A13129" s="996" t="str">
        <f>CONCATENATE(Programme!D13130,Programme!E13130,Programme!F13130,Programme!G13130,Programme!H13130,Programme!I13130,Programme!J13130)</f>
        <v>&lt;cellule&gt;&lt;codeEdi&gt;1085&lt;/codeEdi&gt;&lt;/cellule&gt;</v>
      </c>
    </row>
    <row r="13130" spans="1:1" x14ac:dyDescent="0.2">
      <c r="A13130" s="996" t="str">
        <f>CONCATENATE(Programme!D13131,Programme!E13131,Programme!F13131,Programme!G13131,Programme!H13131,Programme!I13131,Programme!J13131)</f>
        <v>&lt;valeur&gt;&lt;/valeur&gt;</v>
      </c>
    </row>
    <row r="13131" spans="1:1" x14ac:dyDescent="0.2">
      <c r="A13131" s="996" t="str">
        <f>CONCATENATE(Programme!D13132,Programme!E13132,Programme!F13132,Programme!G13132,Programme!H13132,Programme!I13132,Programme!J13132)</f>
        <v>&lt;numeroLigne&gt;99&lt;/numeroLigne&gt;</v>
      </c>
    </row>
    <row r="13132" spans="1:1" x14ac:dyDescent="0.2">
      <c r="A13132" s="996" t="str">
        <f>CONCATENATE(Programme!D13133,Programme!E13133,Programme!F13133,Programme!G13133,Programme!H13133,Programme!I13133,Programme!J13133)</f>
        <v>&lt;/ValeurCellule&gt;</v>
      </c>
    </row>
    <row r="13133" spans="1:1" x14ac:dyDescent="0.2">
      <c r="A13133" s="996" t="str">
        <f>CONCATENATE(Programme!D13134,Programme!E13134,Programme!F13134,Programme!G13134,Programme!H13134,Programme!I13134,Programme!J13134)</f>
        <v>&lt;ValeurCellule&gt;</v>
      </c>
    </row>
    <row r="13134" spans="1:1" x14ac:dyDescent="0.2">
      <c r="A13134" s="996" t="str">
        <f>CONCATENATE(Programme!D13135,Programme!E13135,Programme!F13135,Programme!G13135,Programme!H13135,Programme!I13135,Programme!J13135)</f>
        <v>&lt;cellule&gt;&lt;codeEdi&gt;1086&lt;/codeEdi&gt;&lt;/cellule&gt;</v>
      </c>
    </row>
    <row r="13135" spans="1:1" x14ac:dyDescent="0.2">
      <c r="A13135" s="996" t="str">
        <f>CONCATENATE(Programme!D13136,Programme!E13136,Programme!F13136,Programme!G13136,Programme!H13136,Programme!I13136,Programme!J13136)</f>
        <v>&lt;valeur&gt;&lt;/valeur&gt;</v>
      </c>
    </row>
    <row r="13136" spans="1:1" x14ac:dyDescent="0.2">
      <c r="A13136" s="996" t="str">
        <f>CONCATENATE(Programme!D13137,Programme!E13137,Programme!F13137,Programme!G13137,Programme!H13137,Programme!I13137,Programme!J13137)</f>
        <v>&lt;numeroLigne&gt;99&lt;/numeroLigne&gt;</v>
      </c>
    </row>
    <row r="13137" spans="1:1" x14ac:dyDescent="0.2">
      <c r="A13137" s="996" t="str">
        <f>CONCATENATE(Programme!D13138,Programme!E13138,Programme!F13138,Programme!G13138,Programme!H13138,Programme!I13138,Programme!J13138)</f>
        <v>&lt;/ValeurCellule&gt;</v>
      </c>
    </row>
    <row r="13138" spans="1:1" x14ac:dyDescent="0.2">
      <c r="A13138" s="996" t="str">
        <f>CONCATENATE(Programme!D13139,Programme!E13139,Programme!F13139,Programme!G13139,Programme!H13139,Programme!I13139,Programme!J13139)</f>
        <v>&lt;ValeurCellule&gt;</v>
      </c>
    </row>
    <row r="13139" spans="1:1" x14ac:dyDescent="0.2">
      <c r="A13139" s="996" t="str">
        <f>CONCATENATE(Programme!D13140,Programme!E13140,Programme!F13140,Programme!G13140,Programme!H13140,Programme!I13140,Programme!J13140)</f>
        <v>&lt;cellule&gt;&lt;codeEdi&gt;10061&lt;/codeEdi&gt;&lt;/cellule&gt;</v>
      </c>
    </row>
    <row r="13140" spans="1:1" x14ac:dyDescent="0.2">
      <c r="A13140" s="996" t="str">
        <f>CONCATENATE(Programme!D13141,Programme!E13141,Programme!F13141,Programme!G13141,Programme!H13141,Programme!I13141,Programme!J13141)</f>
        <v>&lt;valeur&gt;&lt;/valeur&gt;</v>
      </c>
    </row>
    <row r="13141" spans="1:1" x14ac:dyDescent="0.2">
      <c r="A13141" s="996" t="str">
        <f>CONCATENATE(Programme!D13142,Programme!E13142,Programme!F13142,Programme!G13142,Programme!H13142,Programme!I13142,Programme!J13142)</f>
        <v>&lt;numeroLigne&gt;100&lt;/numeroLigne&gt;</v>
      </c>
    </row>
    <row r="13142" spans="1:1" x14ac:dyDescent="0.2">
      <c r="A13142" s="996" t="str">
        <f>CONCATENATE(Programme!D13143,Programme!E13143,Programme!F13143,Programme!G13143,Programme!H13143,Programme!I13143,Programme!J13143)</f>
        <v>&lt;/ValeurCellule&gt;</v>
      </c>
    </row>
    <row r="13143" spans="1:1" x14ac:dyDescent="0.2">
      <c r="A13143" s="996" t="str">
        <f>CONCATENATE(Programme!D13144,Programme!E13144,Programme!F13144,Programme!G13144,Programme!H13144,Programme!I13144,Programme!J13144)</f>
        <v>&lt;ValeurCellule&gt;</v>
      </c>
    </row>
    <row r="13144" spans="1:1" x14ac:dyDescent="0.2">
      <c r="A13144" s="996" t="str">
        <f>CONCATENATE(Programme!D13145,Programme!E13145,Programme!F13145,Programme!G13145,Programme!H13145,Programme!I13145,Programme!J13145)</f>
        <v>&lt;cellule&gt;&lt;codeEdi&gt;1078&lt;/codeEdi&gt;&lt;/cellule&gt;</v>
      </c>
    </row>
    <row r="13145" spans="1:1" x14ac:dyDescent="0.2">
      <c r="A13145" s="996" t="str">
        <f>CONCATENATE(Programme!D13146,Programme!E13146,Programme!F13146,Programme!G13146,Programme!H13146,Programme!I13146,Programme!J13146)</f>
        <v>&lt;valeur&gt;&lt;/valeur&gt;</v>
      </c>
    </row>
    <row r="13146" spans="1:1" x14ac:dyDescent="0.2">
      <c r="A13146" s="996" t="str">
        <f>CONCATENATE(Programme!D13147,Programme!E13147,Programme!F13147,Programme!G13147,Programme!H13147,Programme!I13147,Programme!J13147)</f>
        <v>&lt;numeroLigne&gt;100&lt;/numeroLigne&gt;</v>
      </c>
    </row>
    <row r="13147" spans="1:1" x14ac:dyDescent="0.2">
      <c r="A13147" s="996" t="str">
        <f>CONCATENATE(Programme!D13148,Programme!E13148,Programme!F13148,Programme!G13148,Programme!H13148,Programme!I13148,Programme!J13148)</f>
        <v>&lt;/ValeurCellule&gt;</v>
      </c>
    </row>
    <row r="13148" spans="1:1" x14ac:dyDescent="0.2">
      <c r="A13148" s="996" t="str">
        <f>CONCATENATE(Programme!D13149,Programme!E13149,Programme!F13149,Programme!G13149,Programme!H13149,Programme!I13149,Programme!J13149)</f>
        <v>&lt;ValeurCellule&gt;</v>
      </c>
    </row>
    <row r="13149" spans="1:1" x14ac:dyDescent="0.2">
      <c r="A13149" s="996" t="str">
        <f>CONCATENATE(Programme!D13150,Programme!E13150,Programme!F13150,Programme!G13150,Programme!H13150,Programme!I13150,Programme!J13150)</f>
        <v>&lt;cellule&gt;&lt;codeEdi&gt;1079&lt;/codeEdi&gt;&lt;/cellule&gt;</v>
      </c>
    </row>
    <row r="13150" spans="1:1" x14ac:dyDescent="0.2">
      <c r="A13150" s="996" t="str">
        <f>CONCATENATE(Programme!D13151,Programme!E13151,Programme!F13151,Programme!G13151,Programme!H13151,Programme!I13151,Programme!J13151)</f>
        <v>&lt;valeur&gt;&lt;/valeur&gt;</v>
      </c>
    </row>
    <row r="13151" spans="1:1" x14ac:dyDescent="0.2">
      <c r="A13151" s="996" t="str">
        <f>CONCATENATE(Programme!D13152,Programme!E13152,Programme!F13152,Programme!G13152,Programme!H13152,Programme!I13152,Programme!J13152)</f>
        <v>&lt;numeroLigne&gt;100&lt;/numeroLigne&gt;</v>
      </c>
    </row>
    <row r="13152" spans="1:1" x14ac:dyDescent="0.2">
      <c r="A13152" s="996" t="str">
        <f>CONCATENATE(Programme!D13153,Programme!E13153,Programme!F13153,Programme!G13153,Programme!H13153,Programme!I13153,Programme!J13153)</f>
        <v>&lt;/ValeurCellule&gt;</v>
      </c>
    </row>
    <row r="13153" spans="1:1" x14ac:dyDescent="0.2">
      <c r="A13153" s="996" t="str">
        <f>CONCATENATE(Programme!D13154,Programme!E13154,Programme!F13154,Programme!G13154,Programme!H13154,Programme!I13154,Programme!J13154)</f>
        <v>&lt;ValeurCellule&gt;</v>
      </c>
    </row>
    <row r="13154" spans="1:1" x14ac:dyDescent="0.2">
      <c r="A13154" s="996" t="str">
        <f>CONCATENATE(Programme!D13155,Programme!E13155,Programme!F13155,Programme!G13155,Programme!H13155,Programme!I13155,Programme!J13155)</f>
        <v>&lt;cellule&gt;&lt;codeEdi&gt;1080&lt;/codeEdi&gt;&lt;/cellule&gt;</v>
      </c>
    </row>
    <row r="13155" spans="1:1" x14ac:dyDescent="0.2">
      <c r="A13155" s="996" t="str">
        <f>CONCATENATE(Programme!D13156,Programme!E13156,Programme!F13156,Programme!G13156,Programme!H13156,Programme!I13156,Programme!J13156)</f>
        <v>&lt;valeur&gt;&lt;/valeur&gt;</v>
      </c>
    </row>
    <row r="13156" spans="1:1" x14ac:dyDescent="0.2">
      <c r="A13156" s="996" t="str">
        <f>CONCATENATE(Programme!D13157,Programme!E13157,Programme!F13157,Programme!G13157,Programme!H13157,Programme!I13157,Programme!J13157)</f>
        <v>&lt;numeroLigne&gt;100&lt;/numeroLigne&gt;</v>
      </c>
    </row>
    <row r="13157" spans="1:1" x14ac:dyDescent="0.2">
      <c r="A13157" s="996" t="str">
        <f>CONCATENATE(Programme!D13158,Programme!E13158,Programme!F13158,Programme!G13158,Programme!H13158,Programme!I13158,Programme!J13158)</f>
        <v>&lt;/ValeurCellule&gt;</v>
      </c>
    </row>
    <row r="13158" spans="1:1" x14ac:dyDescent="0.2">
      <c r="A13158" s="996" t="str">
        <f>CONCATENATE(Programme!D13159,Programme!E13159,Programme!F13159,Programme!G13159,Programme!H13159,Programme!I13159,Programme!J13159)</f>
        <v>&lt;ValeurCellule&gt;</v>
      </c>
    </row>
    <row r="13159" spans="1:1" x14ac:dyDescent="0.2">
      <c r="A13159" s="996" t="str">
        <f>CONCATENATE(Programme!D13160,Programme!E13160,Programme!F13160,Programme!G13160,Programme!H13160,Programme!I13160,Programme!J13160)</f>
        <v>&lt;cellule&gt;&lt;codeEdi&gt;1081&lt;/codeEdi&gt;&lt;/cellule&gt;</v>
      </c>
    </row>
    <row r="13160" spans="1:1" x14ac:dyDescent="0.2">
      <c r="A13160" s="996" t="str">
        <f>CONCATENATE(Programme!D13161,Programme!E13161,Programme!F13161,Programme!G13161,Programme!H13161,Programme!I13161,Programme!J13161)</f>
        <v>&lt;valeur&gt;&lt;/valeur&gt;</v>
      </c>
    </row>
    <row r="13161" spans="1:1" x14ac:dyDescent="0.2">
      <c r="A13161" s="996" t="str">
        <f>CONCATENATE(Programme!D13162,Programme!E13162,Programme!F13162,Programme!G13162,Programme!H13162,Programme!I13162,Programme!J13162)</f>
        <v>&lt;numeroLigne&gt;100&lt;/numeroLigne&gt;</v>
      </c>
    </row>
    <row r="13162" spans="1:1" x14ac:dyDescent="0.2">
      <c r="A13162" s="996" t="str">
        <f>CONCATENATE(Programme!D13163,Programme!E13163,Programme!F13163,Programme!G13163,Programme!H13163,Programme!I13163,Programme!J13163)</f>
        <v>&lt;/ValeurCellule&gt;</v>
      </c>
    </row>
    <row r="13163" spans="1:1" x14ac:dyDescent="0.2">
      <c r="A13163" s="996" t="str">
        <f>CONCATENATE(Programme!D13164,Programme!E13164,Programme!F13164,Programme!G13164,Programme!H13164,Programme!I13164,Programme!J13164)</f>
        <v>&lt;ValeurCellule&gt;</v>
      </c>
    </row>
    <row r="13164" spans="1:1" x14ac:dyDescent="0.2">
      <c r="A13164" s="996" t="str">
        <f>CONCATENATE(Programme!D13165,Programme!E13165,Programme!F13165,Programme!G13165,Programme!H13165,Programme!I13165,Programme!J13165)</f>
        <v>&lt;cellule&gt;&lt;codeEdi&gt;1082&lt;/codeEdi&gt;&lt;/cellule&gt;</v>
      </c>
    </row>
    <row r="13165" spans="1:1" x14ac:dyDescent="0.2">
      <c r="A13165" s="996" t="str">
        <f>CONCATENATE(Programme!D13166,Programme!E13166,Programme!F13166,Programme!G13166,Programme!H13166,Programme!I13166,Programme!J13166)</f>
        <v>&lt;valeur&gt;&lt;/valeur&gt;</v>
      </c>
    </row>
    <row r="13166" spans="1:1" x14ac:dyDescent="0.2">
      <c r="A13166" s="996" t="str">
        <f>CONCATENATE(Programme!D13167,Programme!E13167,Programme!F13167,Programme!G13167,Programme!H13167,Programme!I13167,Programme!J13167)</f>
        <v>&lt;numeroLigne&gt;100&lt;/numeroLigne&gt;</v>
      </c>
    </row>
    <row r="13167" spans="1:1" x14ac:dyDescent="0.2">
      <c r="A13167" s="996" t="str">
        <f>CONCATENATE(Programme!D13168,Programme!E13168,Programme!F13168,Programme!G13168,Programme!H13168,Programme!I13168,Programme!J13168)</f>
        <v>&lt;/ValeurCellule&gt;</v>
      </c>
    </row>
    <row r="13168" spans="1:1" x14ac:dyDescent="0.2">
      <c r="A13168" s="996" t="str">
        <f>CONCATENATE(Programme!D13169,Programme!E13169,Programme!F13169,Programme!G13169,Programme!H13169,Programme!I13169,Programme!J13169)</f>
        <v>&lt;ValeurCellule&gt;</v>
      </c>
    </row>
    <row r="13169" spans="1:1" x14ac:dyDescent="0.2">
      <c r="A13169" s="996" t="str">
        <f>CONCATENATE(Programme!D13170,Programme!E13170,Programme!F13170,Programme!G13170,Programme!H13170,Programme!I13170,Programme!J13170)</f>
        <v>&lt;cellule&gt;&lt;codeEdi&gt;1083&lt;/codeEdi&gt;&lt;/cellule&gt;</v>
      </c>
    </row>
    <row r="13170" spans="1:1" x14ac:dyDescent="0.2">
      <c r="A13170" s="996" t="str">
        <f>CONCATENATE(Programme!D13171,Programme!E13171,Programme!F13171,Programme!G13171,Programme!H13171,Programme!I13171,Programme!J13171)</f>
        <v>&lt;valeur&gt;&lt;/valeur&gt;</v>
      </c>
    </row>
    <row r="13171" spans="1:1" x14ac:dyDescent="0.2">
      <c r="A13171" s="996" t="str">
        <f>CONCATENATE(Programme!D13172,Programme!E13172,Programme!F13172,Programme!G13172,Programme!H13172,Programme!I13172,Programme!J13172)</f>
        <v>&lt;numeroLigne&gt;100&lt;/numeroLigne&gt;</v>
      </c>
    </row>
    <row r="13172" spans="1:1" x14ac:dyDescent="0.2">
      <c r="A13172" s="996" t="str">
        <f>CONCATENATE(Programme!D13173,Programme!E13173,Programme!F13173,Programme!G13173,Programme!H13173,Programme!I13173,Programme!J13173)</f>
        <v>&lt;/ValeurCellule&gt;</v>
      </c>
    </row>
    <row r="13173" spans="1:1" x14ac:dyDescent="0.2">
      <c r="A13173" s="996" t="str">
        <f>CONCATENATE(Programme!D13174,Programme!E13174,Programme!F13174,Programme!G13174,Programme!H13174,Programme!I13174,Programme!J13174)</f>
        <v>&lt;ValeurCellule&gt;</v>
      </c>
    </row>
    <row r="13174" spans="1:1" x14ac:dyDescent="0.2">
      <c r="A13174" s="996" t="str">
        <f>CONCATENATE(Programme!D13175,Programme!E13175,Programme!F13175,Programme!G13175,Programme!H13175,Programme!I13175,Programme!J13175)</f>
        <v>&lt;cellule&gt;&lt;codeEdi&gt;1084&lt;/codeEdi&gt;&lt;/cellule&gt;</v>
      </c>
    </row>
    <row r="13175" spans="1:1" x14ac:dyDescent="0.2">
      <c r="A13175" s="996" t="str">
        <f>CONCATENATE(Programme!D13176,Programme!E13176,Programme!F13176,Programme!G13176,Programme!H13176,Programme!I13176,Programme!J13176)</f>
        <v>&lt;valeur&gt;&lt;/valeur&gt;</v>
      </c>
    </row>
    <row r="13176" spans="1:1" x14ac:dyDescent="0.2">
      <c r="A13176" s="996" t="str">
        <f>CONCATENATE(Programme!D13177,Programme!E13177,Programme!F13177,Programme!G13177,Programme!H13177,Programme!I13177,Programme!J13177)</f>
        <v>&lt;numeroLigne&gt;100&lt;/numeroLigne&gt;</v>
      </c>
    </row>
    <row r="13177" spans="1:1" x14ac:dyDescent="0.2">
      <c r="A13177" s="996" t="str">
        <f>CONCATENATE(Programme!D13178,Programme!E13178,Programme!F13178,Programme!G13178,Programme!H13178,Programme!I13178,Programme!J13178)</f>
        <v>&lt;/ValeurCellule&gt;</v>
      </c>
    </row>
    <row r="13178" spans="1:1" x14ac:dyDescent="0.2">
      <c r="A13178" s="996" t="str">
        <f>CONCATENATE(Programme!D13179,Programme!E13179,Programme!F13179,Programme!G13179,Programme!H13179,Programme!I13179,Programme!J13179)</f>
        <v>&lt;ValeurCellule&gt;</v>
      </c>
    </row>
    <row r="13179" spans="1:1" x14ac:dyDescent="0.2">
      <c r="A13179" s="996" t="str">
        <f>CONCATENATE(Programme!D13180,Programme!E13180,Programme!F13180,Programme!G13180,Programme!H13180,Programme!I13180,Programme!J13180)</f>
        <v>&lt;cellule&gt;&lt;codeEdi&gt;1085&lt;/codeEdi&gt;&lt;/cellule&gt;</v>
      </c>
    </row>
    <row r="13180" spans="1:1" x14ac:dyDescent="0.2">
      <c r="A13180" s="996" t="str">
        <f>CONCATENATE(Programme!D13181,Programme!E13181,Programme!F13181,Programme!G13181,Programme!H13181,Programme!I13181,Programme!J13181)</f>
        <v>&lt;valeur&gt;&lt;/valeur&gt;</v>
      </c>
    </row>
    <row r="13181" spans="1:1" x14ac:dyDescent="0.2">
      <c r="A13181" s="996" t="str">
        <f>CONCATENATE(Programme!D13182,Programme!E13182,Programme!F13182,Programme!G13182,Programme!H13182,Programme!I13182,Programme!J13182)</f>
        <v>&lt;numeroLigne&gt;100&lt;/numeroLigne&gt;</v>
      </c>
    </row>
    <row r="13182" spans="1:1" x14ac:dyDescent="0.2">
      <c r="A13182" s="996" t="str">
        <f>CONCATENATE(Programme!D13183,Programme!E13183,Programme!F13183,Programme!G13183,Programme!H13183,Programme!I13183,Programme!J13183)</f>
        <v>&lt;/ValeurCellule&gt;</v>
      </c>
    </row>
    <row r="13183" spans="1:1" x14ac:dyDescent="0.2">
      <c r="A13183" s="996" t="str">
        <f>CONCATENATE(Programme!D13184,Programme!E13184,Programme!F13184,Programme!G13184,Programme!H13184,Programme!I13184,Programme!J13184)</f>
        <v>&lt;ValeurCellule&gt;</v>
      </c>
    </row>
    <row r="13184" spans="1:1" x14ac:dyDescent="0.2">
      <c r="A13184" s="996" t="str">
        <f>CONCATENATE(Programme!D13185,Programme!E13185,Programme!F13185,Programme!G13185,Programme!H13185,Programme!I13185,Programme!J13185)</f>
        <v>&lt;cellule&gt;&lt;codeEdi&gt;1086&lt;/codeEdi&gt;&lt;/cellule&gt;</v>
      </c>
    </row>
    <row r="13185" spans="1:1" x14ac:dyDescent="0.2">
      <c r="A13185" s="996" t="str">
        <f>CONCATENATE(Programme!D13186,Programme!E13186,Programme!F13186,Programme!G13186,Programme!H13186,Programme!I13186,Programme!J13186)</f>
        <v>&lt;valeur&gt;&lt;/valeur&gt;</v>
      </c>
    </row>
    <row r="13186" spans="1:1" x14ac:dyDescent="0.2">
      <c r="A13186" s="996" t="str">
        <f>CONCATENATE(Programme!D13187,Programme!E13187,Programme!F13187,Programme!G13187,Programme!H13187,Programme!I13187,Programme!J13187)</f>
        <v>&lt;numeroLigne&gt;100&lt;/numeroLigne&gt;</v>
      </c>
    </row>
    <row r="13187" spans="1:1" x14ac:dyDescent="0.2">
      <c r="A13187" s="996" t="str">
        <f>CONCATENATE(Programme!D13188,Programme!E13188,Programme!F13188,Programme!G13188,Programme!H13188,Programme!I13188,Programme!J13188)</f>
        <v>&lt;/ValeurCellule&gt;</v>
      </c>
    </row>
    <row r="13188" spans="1:1" x14ac:dyDescent="0.2">
      <c r="A13188" s="996" t="str">
        <f>CONCATENATE(Programme!D13189,Programme!E13189,Programme!F13189,Programme!G13189,Programme!H13189,Programme!I13189,Programme!J13189)</f>
        <v>&lt;ValeurCellule&gt;</v>
      </c>
    </row>
    <row r="13189" spans="1:1" x14ac:dyDescent="0.2">
      <c r="A13189" s="996" t="str">
        <f>CONCATENATE(Programme!D13190,Programme!E13190,Programme!F13190,Programme!G13190,Programme!H13190,Programme!I13190,Programme!J13190)</f>
        <v>&lt;cellule&gt;&lt;codeEdi&gt;10061&lt;/codeEdi&gt;&lt;/cellule&gt;</v>
      </c>
    </row>
    <row r="13190" spans="1:1" x14ac:dyDescent="0.2">
      <c r="A13190" s="996" t="str">
        <f>CONCATENATE(Programme!D13191,Programme!E13191,Programme!F13191,Programme!G13191,Programme!H13191,Programme!I13191,Programme!J13191)</f>
        <v>&lt;valeur&gt;&lt;/valeur&gt;</v>
      </c>
    </row>
    <row r="13191" spans="1:1" x14ac:dyDescent="0.2">
      <c r="A13191" s="996" t="str">
        <f>CONCATENATE(Programme!D13192,Programme!E13192,Programme!F13192,Programme!G13192,Programme!H13192,Programme!I13192,Programme!J13192)</f>
        <v>&lt;numeroLigne&gt;101&lt;/numeroLigne&gt;</v>
      </c>
    </row>
    <row r="13192" spans="1:1" x14ac:dyDescent="0.2">
      <c r="A13192" s="996" t="str">
        <f>CONCATENATE(Programme!D13193,Programme!E13193,Programme!F13193,Programme!G13193,Programme!H13193,Programme!I13193,Programme!J13193)</f>
        <v>&lt;/ValeurCellule&gt;</v>
      </c>
    </row>
    <row r="13193" spans="1:1" x14ac:dyDescent="0.2">
      <c r="A13193" s="996" t="str">
        <f>CONCATENATE(Programme!D13194,Programme!E13194,Programme!F13194,Programme!G13194,Programme!H13194,Programme!I13194,Programme!J13194)</f>
        <v>&lt;ValeurCellule&gt;</v>
      </c>
    </row>
    <row r="13194" spans="1:1" x14ac:dyDescent="0.2">
      <c r="A13194" s="996" t="str">
        <f>CONCATENATE(Programme!D13195,Programme!E13195,Programme!F13195,Programme!G13195,Programme!H13195,Programme!I13195,Programme!J13195)</f>
        <v>&lt;cellule&gt;&lt;codeEdi&gt;1078&lt;/codeEdi&gt;&lt;/cellule&gt;</v>
      </c>
    </row>
    <row r="13195" spans="1:1" x14ac:dyDescent="0.2">
      <c r="A13195" s="996" t="str">
        <f>CONCATENATE(Programme!D13196,Programme!E13196,Programme!F13196,Programme!G13196,Programme!H13196,Programme!I13196,Programme!J13196)</f>
        <v>&lt;valeur&gt;&lt;/valeur&gt;</v>
      </c>
    </row>
    <row r="13196" spans="1:1" x14ac:dyDescent="0.2">
      <c r="A13196" s="996" t="str">
        <f>CONCATENATE(Programme!D13197,Programme!E13197,Programme!F13197,Programme!G13197,Programme!H13197,Programme!I13197,Programme!J13197)</f>
        <v>&lt;numeroLigne&gt;101&lt;/numeroLigne&gt;</v>
      </c>
    </row>
    <row r="13197" spans="1:1" x14ac:dyDescent="0.2">
      <c r="A13197" s="996" t="str">
        <f>CONCATENATE(Programme!D13198,Programme!E13198,Programme!F13198,Programme!G13198,Programme!H13198,Programme!I13198,Programme!J13198)</f>
        <v>&lt;/ValeurCellule&gt;</v>
      </c>
    </row>
    <row r="13198" spans="1:1" x14ac:dyDescent="0.2">
      <c r="A13198" s="996" t="str">
        <f>CONCATENATE(Programme!D13199,Programme!E13199,Programme!F13199,Programme!G13199,Programme!H13199,Programme!I13199,Programme!J13199)</f>
        <v>&lt;ValeurCellule&gt;</v>
      </c>
    </row>
    <row r="13199" spans="1:1" x14ac:dyDescent="0.2">
      <c r="A13199" s="996" t="str">
        <f>CONCATENATE(Programme!D13200,Programme!E13200,Programme!F13200,Programme!G13200,Programme!H13200,Programme!I13200,Programme!J13200)</f>
        <v>&lt;cellule&gt;&lt;codeEdi&gt;1079&lt;/codeEdi&gt;&lt;/cellule&gt;</v>
      </c>
    </row>
    <row r="13200" spans="1:1" x14ac:dyDescent="0.2">
      <c r="A13200" s="996" t="str">
        <f>CONCATENATE(Programme!D13201,Programme!E13201,Programme!F13201,Programme!G13201,Programme!H13201,Programme!I13201,Programme!J13201)</f>
        <v>&lt;valeur&gt;&lt;/valeur&gt;</v>
      </c>
    </row>
    <row r="13201" spans="1:1" x14ac:dyDescent="0.2">
      <c r="A13201" s="996" t="str">
        <f>CONCATENATE(Programme!D13202,Programme!E13202,Programme!F13202,Programme!G13202,Programme!H13202,Programme!I13202,Programme!J13202)</f>
        <v>&lt;numeroLigne&gt;101&lt;/numeroLigne&gt;</v>
      </c>
    </row>
    <row r="13202" spans="1:1" x14ac:dyDescent="0.2">
      <c r="A13202" s="996" t="str">
        <f>CONCATENATE(Programme!D13203,Programme!E13203,Programme!F13203,Programme!G13203,Programme!H13203,Programme!I13203,Programme!J13203)</f>
        <v>&lt;/ValeurCellule&gt;</v>
      </c>
    </row>
    <row r="13203" spans="1:1" x14ac:dyDescent="0.2">
      <c r="A13203" s="996" t="str">
        <f>CONCATENATE(Programme!D13204,Programme!E13204,Programme!F13204,Programme!G13204,Programme!H13204,Programme!I13204,Programme!J13204)</f>
        <v>&lt;ValeurCellule&gt;</v>
      </c>
    </row>
    <row r="13204" spans="1:1" x14ac:dyDescent="0.2">
      <c r="A13204" s="996" t="str">
        <f>CONCATENATE(Programme!D13205,Programme!E13205,Programme!F13205,Programme!G13205,Programme!H13205,Programme!I13205,Programme!J13205)</f>
        <v>&lt;cellule&gt;&lt;codeEdi&gt;1080&lt;/codeEdi&gt;&lt;/cellule&gt;</v>
      </c>
    </row>
    <row r="13205" spans="1:1" x14ac:dyDescent="0.2">
      <c r="A13205" s="996" t="str">
        <f>CONCATENATE(Programme!D13206,Programme!E13206,Programme!F13206,Programme!G13206,Programme!H13206,Programme!I13206,Programme!J13206)</f>
        <v>&lt;valeur&gt;&lt;/valeur&gt;</v>
      </c>
    </row>
    <row r="13206" spans="1:1" x14ac:dyDescent="0.2">
      <c r="A13206" s="996" t="str">
        <f>CONCATENATE(Programme!D13207,Programme!E13207,Programme!F13207,Programme!G13207,Programme!H13207,Programme!I13207,Programme!J13207)</f>
        <v>&lt;numeroLigne&gt;101&lt;/numeroLigne&gt;</v>
      </c>
    </row>
    <row r="13207" spans="1:1" x14ac:dyDescent="0.2">
      <c r="A13207" s="996" t="str">
        <f>CONCATENATE(Programme!D13208,Programme!E13208,Programme!F13208,Programme!G13208,Programme!H13208,Programme!I13208,Programme!J13208)</f>
        <v>&lt;/ValeurCellule&gt;</v>
      </c>
    </row>
    <row r="13208" spans="1:1" x14ac:dyDescent="0.2">
      <c r="A13208" s="996" t="str">
        <f>CONCATENATE(Programme!D13209,Programme!E13209,Programme!F13209,Programme!G13209,Programme!H13209,Programme!I13209,Programme!J13209)</f>
        <v>&lt;ValeurCellule&gt;</v>
      </c>
    </row>
    <row r="13209" spans="1:1" x14ac:dyDescent="0.2">
      <c r="A13209" s="996" t="str">
        <f>CONCATENATE(Programme!D13210,Programme!E13210,Programme!F13210,Programme!G13210,Programme!H13210,Programme!I13210,Programme!J13210)</f>
        <v>&lt;cellule&gt;&lt;codeEdi&gt;1081&lt;/codeEdi&gt;&lt;/cellule&gt;</v>
      </c>
    </row>
    <row r="13210" spans="1:1" x14ac:dyDescent="0.2">
      <c r="A13210" s="996" t="str">
        <f>CONCATENATE(Programme!D13211,Programme!E13211,Programme!F13211,Programme!G13211,Programme!H13211,Programme!I13211,Programme!J13211)</f>
        <v>&lt;valeur&gt;&lt;/valeur&gt;</v>
      </c>
    </row>
    <row r="13211" spans="1:1" x14ac:dyDescent="0.2">
      <c r="A13211" s="996" t="str">
        <f>CONCATENATE(Programme!D13212,Programme!E13212,Programme!F13212,Programme!G13212,Programme!H13212,Programme!I13212,Programme!J13212)</f>
        <v>&lt;numeroLigne&gt;101&lt;/numeroLigne&gt;</v>
      </c>
    </row>
    <row r="13212" spans="1:1" x14ac:dyDescent="0.2">
      <c r="A13212" s="996" t="str">
        <f>CONCATENATE(Programme!D13213,Programme!E13213,Programme!F13213,Programme!G13213,Programme!H13213,Programme!I13213,Programme!J13213)</f>
        <v>&lt;/ValeurCellule&gt;</v>
      </c>
    </row>
    <row r="13213" spans="1:1" x14ac:dyDescent="0.2">
      <c r="A13213" s="996" t="str">
        <f>CONCATENATE(Programme!D13214,Programme!E13214,Programme!F13214,Programme!G13214,Programme!H13214,Programme!I13214,Programme!J13214)</f>
        <v>&lt;ValeurCellule&gt;</v>
      </c>
    </row>
    <row r="13214" spans="1:1" x14ac:dyDescent="0.2">
      <c r="A13214" s="996" t="str">
        <f>CONCATENATE(Programme!D13215,Programme!E13215,Programme!F13215,Programme!G13215,Programme!H13215,Programme!I13215,Programme!J13215)</f>
        <v>&lt;cellule&gt;&lt;codeEdi&gt;1082&lt;/codeEdi&gt;&lt;/cellule&gt;</v>
      </c>
    </row>
    <row r="13215" spans="1:1" x14ac:dyDescent="0.2">
      <c r="A13215" s="996" t="str">
        <f>CONCATENATE(Programme!D13216,Programme!E13216,Programme!F13216,Programme!G13216,Programme!H13216,Programme!I13216,Programme!J13216)</f>
        <v>&lt;valeur&gt;&lt;/valeur&gt;</v>
      </c>
    </row>
    <row r="13216" spans="1:1" x14ac:dyDescent="0.2">
      <c r="A13216" s="996" t="str">
        <f>CONCATENATE(Programme!D13217,Programme!E13217,Programme!F13217,Programme!G13217,Programme!H13217,Programme!I13217,Programme!J13217)</f>
        <v>&lt;numeroLigne&gt;101&lt;/numeroLigne&gt;</v>
      </c>
    </row>
    <row r="13217" spans="1:1" x14ac:dyDescent="0.2">
      <c r="A13217" s="996" t="str">
        <f>CONCATENATE(Programme!D13218,Programme!E13218,Programme!F13218,Programme!G13218,Programme!H13218,Programme!I13218,Programme!J13218)</f>
        <v>&lt;/ValeurCellule&gt;</v>
      </c>
    </row>
    <row r="13218" spans="1:1" x14ac:dyDescent="0.2">
      <c r="A13218" s="996" t="str">
        <f>CONCATENATE(Programme!D13219,Programme!E13219,Programme!F13219,Programme!G13219,Programme!H13219,Programme!I13219,Programme!J13219)</f>
        <v>&lt;ValeurCellule&gt;</v>
      </c>
    </row>
    <row r="13219" spans="1:1" x14ac:dyDescent="0.2">
      <c r="A13219" s="996" t="str">
        <f>CONCATENATE(Programme!D13220,Programme!E13220,Programme!F13220,Programme!G13220,Programme!H13220,Programme!I13220,Programme!J13220)</f>
        <v>&lt;cellule&gt;&lt;codeEdi&gt;1083&lt;/codeEdi&gt;&lt;/cellule&gt;</v>
      </c>
    </row>
    <row r="13220" spans="1:1" x14ac:dyDescent="0.2">
      <c r="A13220" s="996" t="str">
        <f>CONCATENATE(Programme!D13221,Programme!E13221,Programme!F13221,Programme!G13221,Programme!H13221,Programme!I13221,Programme!J13221)</f>
        <v>&lt;valeur&gt;&lt;/valeur&gt;</v>
      </c>
    </row>
    <row r="13221" spans="1:1" x14ac:dyDescent="0.2">
      <c r="A13221" s="996" t="str">
        <f>CONCATENATE(Programme!D13222,Programme!E13222,Programme!F13222,Programme!G13222,Programme!H13222,Programme!I13222,Programme!J13222)</f>
        <v>&lt;numeroLigne&gt;101&lt;/numeroLigne&gt;</v>
      </c>
    </row>
    <row r="13222" spans="1:1" x14ac:dyDescent="0.2">
      <c r="A13222" s="996" t="str">
        <f>CONCATENATE(Programme!D13223,Programme!E13223,Programme!F13223,Programme!G13223,Programme!H13223,Programme!I13223,Programme!J13223)</f>
        <v>&lt;/ValeurCellule&gt;</v>
      </c>
    </row>
    <row r="13223" spans="1:1" x14ac:dyDescent="0.2">
      <c r="A13223" s="996" t="str">
        <f>CONCATENATE(Programme!D13224,Programme!E13224,Programme!F13224,Programme!G13224,Programme!H13224,Programme!I13224,Programme!J13224)</f>
        <v>&lt;ValeurCellule&gt;</v>
      </c>
    </row>
    <row r="13224" spans="1:1" x14ac:dyDescent="0.2">
      <c r="A13224" s="996" t="str">
        <f>CONCATENATE(Programme!D13225,Programme!E13225,Programme!F13225,Programme!G13225,Programme!H13225,Programme!I13225,Programme!J13225)</f>
        <v>&lt;cellule&gt;&lt;codeEdi&gt;1084&lt;/codeEdi&gt;&lt;/cellule&gt;</v>
      </c>
    </row>
    <row r="13225" spans="1:1" x14ac:dyDescent="0.2">
      <c r="A13225" s="996" t="str">
        <f>CONCATENATE(Programme!D13226,Programme!E13226,Programme!F13226,Programme!G13226,Programme!H13226,Programme!I13226,Programme!J13226)</f>
        <v>&lt;valeur&gt;&lt;/valeur&gt;</v>
      </c>
    </row>
    <row r="13226" spans="1:1" x14ac:dyDescent="0.2">
      <c r="A13226" s="996" t="str">
        <f>CONCATENATE(Programme!D13227,Programme!E13227,Programme!F13227,Programme!G13227,Programme!H13227,Programme!I13227,Programme!J13227)</f>
        <v>&lt;numeroLigne&gt;101&lt;/numeroLigne&gt;</v>
      </c>
    </row>
    <row r="13227" spans="1:1" x14ac:dyDescent="0.2">
      <c r="A13227" s="996" t="str">
        <f>CONCATENATE(Programme!D13228,Programme!E13228,Programme!F13228,Programme!G13228,Programme!H13228,Programme!I13228,Programme!J13228)</f>
        <v>&lt;/ValeurCellule&gt;</v>
      </c>
    </row>
    <row r="13228" spans="1:1" x14ac:dyDescent="0.2">
      <c r="A13228" s="996" t="str">
        <f>CONCATENATE(Programme!D13229,Programme!E13229,Programme!F13229,Programme!G13229,Programme!H13229,Programme!I13229,Programme!J13229)</f>
        <v>&lt;ValeurCellule&gt;</v>
      </c>
    </row>
    <row r="13229" spans="1:1" x14ac:dyDescent="0.2">
      <c r="A13229" s="996" t="str">
        <f>CONCATENATE(Programme!D13230,Programme!E13230,Programme!F13230,Programme!G13230,Programme!H13230,Programme!I13230,Programme!J13230)</f>
        <v>&lt;cellule&gt;&lt;codeEdi&gt;1085&lt;/codeEdi&gt;&lt;/cellule&gt;</v>
      </c>
    </row>
    <row r="13230" spans="1:1" x14ac:dyDescent="0.2">
      <c r="A13230" s="996" t="str">
        <f>CONCATENATE(Programme!D13231,Programme!E13231,Programme!F13231,Programme!G13231,Programme!H13231,Programme!I13231,Programme!J13231)</f>
        <v>&lt;valeur&gt;&lt;/valeur&gt;</v>
      </c>
    </row>
    <row r="13231" spans="1:1" x14ac:dyDescent="0.2">
      <c r="A13231" s="996" t="str">
        <f>CONCATENATE(Programme!D13232,Programme!E13232,Programme!F13232,Programme!G13232,Programme!H13232,Programme!I13232,Programme!J13232)</f>
        <v>&lt;numeroLigne&gt;101&lt;/numeroLigne&gt;</v>
      </c>
    </row>
    <row r="13232" spans="1:1" x14ac:dyDescent="0.2">
      <c r="A13232" s="996" t="str">
        <f>CONCATENATE(Programme!D13233,Programme!E13233,Programme!F13233,Programme!G13233,Programme!H13233,Programme!I13233,Programme!J13233)</f>
        <v>&lt;/ValeurCellule&gt;</v>
      </c>
    </row>
    <row r="13233" spans="1:1" x14ac:dyDescent="0.2">
      <c r="A13233" s="996" t="str">
        <f>CONCATENATE(Programme!D13234,Programme!E13234,Programme!F13234,Programme!G13234,Programme!H13234,Programme!I13234,Programme!J13234)</f>
        <v>&lt;ValeurCellule&gt;</v>
      </c>
    </row>
    <row r="13234" spans="1:1" x14ac:dyDescent="0.2">
      <c r="A13234" s="996" t="str">
        <f>CONCATENATE(Programme!D13235,Programme!E13235,Programme!F13235,Programme!G13235,Programme!H13235,Programme!I13235,Programme!J13235)</f>
        <v>&lt;cellule&gt;&lt;codeEdi&gt;1086&lt;/codeEdi&gt;&lt;/cellule&gt;</v>
      </c>
    </row>
    <row r="13235" spans="1:1" x14ac:dyDescent="0.2">
      <c r="A13235" s="996" t="str">
        <f>CONCATENATE(Programme!D13236,Programme!E13236,Programme!F13236,Programme!G13236,Programme!H13236,Programme!I13236,Programme!J13236)</f>
        <v>&lt;valeur&gt;&lt;/valeur&gt;</v>
      </c>
    </row>
    <row r="13236" spans="1:1" x14ac:dyDescent="0.2">
      <c r="A13236" s="996" t="str">
        <f>CONCATENATE(Programme!D13237,Programme!E13237,Programme!F13237,Programme!G13237,Programme!H13237,Programme!I13237,Programme!J13237)</f>
        <v>&lt;numeroLigne&gt;101&lt;/numeroLigne&gt;</v>
      </c>
    </row>
    <row r="13237" spans="1:1" x14ac:dyDescent="0.2">
      <c r="A13237" s="996" t="str">
        <f>CONCATENATE(Programme!D13238,Programme!E13238,Programme!F13238,Programme!G13238,Programme!H13238,Programme!I13238,Programme!J13238)</f>
        <v>&lt;/ValeurCellule&gt;</v>
      </c>
    </row>
    <row r="13238" spans="1:1" x14ac:dyDescent="0.2">
      <c r="A13238" s="996" t="str">
        <f>CONCATENATE(Programme!D13239,Programme!E13239,Programme!F13239,Programme!G13239,Programme!H13239,Programme!I13239,Programme!J13239)</f>
        <v>&lt;ValeurCellule&gt;</v>
      </c>
    </row>
    <row r="13239" spans="1:1" x14ac:dyDescent="0.2">
      <c r="A13239" s="996" t="str">
        <f>CONCATENATE(Programme!D13240,Programme!E13240,Programme!F13240,Programme!G13240,Programme!H13240,Programme!I13240,Programme!J13240)</f>
        <v>&lt;cellule&gt;&lt;codeEdi&gt;10061&lt;/codeEdi&gt;&lt;/cellule&gt;</v>
      </c>
    </row>
    <row r="13240" spans="1:1" x14ac:dyDescent="0.2">
      <c r="A13240" s="996" t="str">
        <f>CONCATENATE(Programme!D13241,Programme!E13241,Programme!F13241,Programme!G13241,Programme!H13241,Programme!I13241,Programme!J13241)</f>
        <v>&lt;valeur&gt;&lt;/valeur&gt;</v>
      </c>
    </row>
    <row r="13241" spans="1:1" x14ac:dyDescent="0.2">
      <c r="A13241" s="996" t="str">
        <f>CONCATENATE(Programme!D13242,Programme!E13242,Programme!F13242,Programme!G13242,Programme!H13242,Programme!I13242,Programme!J13242)</f>
        <v>&lt;numeroLigne&gt;102&lt;/numeroLigne&gt;</v>
      </c>
    </row>
    <row r="13242" spans="1:1" x14ac:dyDescent="0.2">
      <c r="A13242" s="996" t="str">
        <f>CONCATENATE(Programme!D13243,Programme!E13243,Programme!F13243,Programme!G13243,Programme!H13243,Programme!I13243,Programme!J13243)</f>
        <v>&lt;/ValeurCellule&gt;</v>
      </c>
    </row>
    <row r="13243" spans="1:1" x14ac:dyDescent="0.2">
      <c r="A13243" s="996" t="str">
        <f>CONCATENATE(Programme!D13244,Programme!E13244,Programme!F13244,Programme!G13244,Programme!H13244,Programme!I13244,Programme!J13244)</f>
        <v>&lt;ValeurCellule&gt;</v>
      </c>
    </row>
    <row r="13244" spans="1:1" x14ac:dyDescent="0.2">
      <c r="A13244" s="996" t="str">
        <f>CONCATENATE(Programme!D13245,Programme!E13245,Programme!F13245,Programme!G13245,Programme!H13245,Programme!I13245,Programme!J13245)</f>
        <v>&lt;cellule&gt;&lt;codeEdi&gt;1078&lt;/codeEdi&gt;&lt;/cellule&gt;</v>
      </c>
    </row>
    <row r="13245" spans="1:1" x14ac:dyDescent="0.2">
      <c r="A13245" s="996" t="str">
        <f>CONCATENATE(Programme!D13246,Programme!E13246,Programme!F13246,Programme!G13246,Programme!H13246,Programme!I13246,Programme!J13246)</f>
        <v>&lt;valeur&gt;&lt;/valeur&gt;</v>
      </c>
    </row>
    <row r="13246" spans="1:1" x14ac:dyDescent="0.2">
      <c r="A13246" s="996" t="str">
        <f>CONCATENATE(Programme!D13247,Programme!E13247,Programme!F13247,Programme!G13247,Programme!H13247,Programme!I13247,Programme!J13247)</f>
        <v>&lt;numeroLigne&gt;102&lt;/numeroLigne&gt;</v>
      </c>
    </row>
    <row r="13247" spans="1:1" x14ac:dyDescent="0.2">
      <c r="A13247" s="996" t="str">
        <f>CONCATENATE(Programme!D13248,Programme!E13248,Programme!F13248,Programme!G13248,Programme!H13248,Programme!I13248,Programme!J13248)</f>
        <v>&lt;/ValeurCellule&gt;</v>
      </c>
    </row>
    <row r="13248" spans="1:1" x14ac:dyDescent="0.2">
      <c r="A13248" s="996" t="str">
        <f>CONCATENATE(Programme!D13249,Programme!E13249,Programme!F13249,Programme!G13249,Programme!H13249,Programme!I13249,Programme!J13249)</f>
        <v>&lt;ValeurCellule&gt;</v>
      </c>
    </row>
    <row r="13249" spans="1:1" x14ac:dyDescent="0.2">
      <c r="A13249" s="996" t="str">
        <f>CONCATENATE(Programme!D13250,Programme!E13250,Programme!F13250,Programme!G13250,Programme!H13250,Programme!I13250,Programme!J13250)</f>
        <v>&lt;cellule&gt;&lt;codeEdi&gt;1079&lt;/codeEdi&gt;&lt;/cellule&gt;</v>
      </c>
    </row>
    <row r="13250" spans="1:1" x14ac:dyDescent="0.2">
      <c r="A13250" s="996" t="str">
        <f>CONCATENATE(Programme!D13251,Programme!E13251,Programme!F13251,Programme!G13251,Programme!H13251,Programme!I13251,Programme!J13251)</f>
        <v>&lt;valeur&gt;&lt;/valeur&gt;</v>
      </c>
    </row>
    <row r="13251" spans="1:1" x14ac:dyDescent="0.2">
      <c r="A13251" s="996" t="str">
        <f>CONCATENATE(Programme!D13252,Programme!E13252,Programme!F13252,Programme!G13252,Programme!H13252,Programme!I13252,Programme!J13252)</f>
        <v>&lt;numeroLigne&gt;102&lt;/numeroLigne&gt;</v>
      </c>
    </row>
    <row r="13252" spans="1:1" x14ac:dyDescent="0.2">
      <c r="A13252" s="996" t="str">
        <f>CONCATENATE(Programme!D13253,Programme!E13253,Programme!F13253,Programme!G13253,Programme!H13253,Programme!I13253,Programme!J13253)</f>
        <v>&lt;/ValeurCellule&gt;</v>
      </c>
    </row>
    <row r="13253" spans="1:1" x14ac:dyDescent="0.2">
      <c r="A13253" s="996" t="str">
        <f>CONCATENATE(Programme!D13254,Programme!E13254,Programme!F13254,Programme!G13254,Programme!H13254,Programme!I13254,Programme!J13254)</f>
        <v>&lt;ValeurCellule&gt;</v>
      </c>
    </row>
    <row r="13254" spans="1:1" x14ac:dyDescent="0.2">
      <c r="A13254" s="996" t="str">
        <f>CONCATENATE(Programme!D13255,Programme!E13255,Programme!F13255,Programme!G13255,Programme!H13255,Programme!I13255,Programme!J13255)</f>
        <v>&lt;cellule&gt;&lt;codeEdi&gt;1080&lt;/codeEdi&gt;&lt;/cellule&gt;</v>
      </c>
    </row>
    <row r="13255" spans="1:1" x14ac:dyDescent="0.2">
      <c r="A13255" s="996" t="str">
        <f>CONCATENATE(Programme!D13256,Programme!E13256,Programme!F13256,Programme!G13256,Programme!H13256,Programme!I13256,Programme!J13256)</f>
        <v>&lt;valeur&gt;&lt;/valeur&gt;</v>
      </c>
    </row>
    <row r="13256" spans="1:1" x14ac:dyDescent="0.2">
      <c r="A13256" s="996" t="str">
        <f>CONCATENATE(Programme!D13257,Programme!E13257,Programme!F13257,Programme!G13257,Programme!H13257,Programme!I13257,Programme!J13257)</f>
        <v>&lt;numeroLigne&gt;102&lt;/numeroLigne&gt;</v>
      </c>
    </row>
    <row r="13257" spans="1:1" x14ac:dyDescent="0.2">
      <c r="A13257" s="996" t="str">
        <f>CONCATENATE(Programme!D13258,Programme!E13258,Programme!F13258,Programme!G13258,Programme!H13258,Programme!I13258,Programme!J13258)</f>
        <v>&lt;/ValeurCellule&gt;</v>
      </c>
    </row>
    <row r="13258" spans="1:1" x14ac:dyDescent="0.2">
      <c r="A13258" s="996" t="str">
        <f>CONCATENATE(Programme!D13259,Programme!E13259,Programme!F13259,Programme!G13259,Programme!H13259,Programme!I13259,Programme!J13259)</f>
        <v>&lt;ValeurCellule&gt;</v>
      </c>
    </row>
    <row r="13259" spans="1:1" x14ac:dyDescent="0.2">
      <c r="A13259" s="996" t="str">
        <f>CONCATENATE(Programme!D13260,Programme!E13260,Programme!F13260,Programme!G13260,Programme!H13260,Programme!I13260,Programme!J13260)</f>
        <v>&lt;cellule&gt;&lt;codeEdi&gt;1081&lt;/codeEdi&gt;&lt;/cellule&gt;</v>
      </c>
    </row>
    <row r="13260" spans="1:1" x14ac:dyDescent="0.2">
      <c r="A13260" s="996" t="str">
        <f>CONCATENATE(Programme!D13261,Programme!E13261,Programme!F13261,Programme!G13261,Programme!H13261,Programme!I13261,Programme!J13261)</f>
        <v>&lt;valeur&gt;&lt;/valeur&gt;</v>
      </c>
    </row>
    <row r="13261" spans="1:1" x14ac:dyDescent="0.2">
      <c r="A13261" s="996" t="str">
        <f>CONCATENATE(Programme!D13262,Programme!E13262,Programme!F13262,Programme!G13262,Programme!H13262,Programme!I13262,Programme!J13262)</f>
        <v>&lt;numeroLigne&gt;102&lt;/numeroLigne&gt;</v>
      </c>
    </row>
    <row r="13262" spans="1:1" x14ac:dyDescent="0.2">
      <c r="A13262" s="996" t="str">
        <f>CONCATENATE(Programme!D13263,Programme!E13263,Programme!F13263,Programme!G13263,Programme!H13263,Programme!I13263,Programme!J13263)</f>
        <v>&lt;/ValeurCellule&gt;</v>
      </c>
    </row>
    <row r="13263" spans="1:1" x14ac:dyDescent="0.2">
      <c r="A13263" s="996" t="str">
        <f>CONCATENATE(Programme!D13264,Programme!E13264,Programme!F13264,Programme!G13264,Programme!H13264,Programme!I13264,Programme!J13264)</f>
        <v>&lt;ValeurCellule&gt;</v>
      </c>
    </row>
    <row r="13264" spans="1:1" x14ac:dyDescent="0.2">
      <c r="A13264" s="996" t="str">
        <f>CONCATENATE(Programme!D13265,Programme!E13265,Programme!F13265,Programme!G13265,Programme!H13265,Programme!I13265,Programme!J13265)</f>
        <v>&lt;cellule&gt;&lt;codeEdi&gt;1082&lt;/codeEdi&gt;&lt;/cellule&gt;</v>
      </c>
    </row>
    <row r="13265" spans="1:1" x14ac:dyDescent="0.2">
      <c r="A13265" s="996" t="str">
        <f>CONCATENATE(Programme!D13266,Programme!E13266,Programme!F13266,Programme!G13266,Programme!H13266,Programme!I13266,Programme!J13266)</f>
        <v>&lt;valeur&gt;&lt;/valeur&gt;</v>
      </c>
    </row>
    <row r="13266" spans="1:1" x14ac:dyDescent="0.2">
      <c r="A13266" s="996" t="str">
        <f>CONCATENATE(Programme!D13267,Programme!E13267,Programme!F13267,Programme!G13267,Programme!H13267,Programme!I13267,Programme!J13267)</f>
        <v>&lt;numeroLigne&gt;102&lt;/numeroLigne&gt;</v>
      </c>
    </row>
    <row r="13267" spans="1:1" x14ac:dyDescent="0.2">
      <c r="A13267" s="996" t="str">
        <f>CONCATENATE(Programme!D13268,Programme!E13268,Programme!F13268,Programme!G13268,Programme!H13268,Programme!I13268,Programme!J13268)</f>
        <v>&lt;/ValeurCellule&gt;</v>
      </c>
    </row>
    <row r="13268" spans="1:1" x14ac:dyDescent="0.2">
      <c r="A13268" s="996" t="str">
        <f>CONCATENATE(Programme!D13269,Programme!E13269,Programme!F13269,Programme!G13269,Programme!H13269,Programme!I13269,Programme!J13269)</f>
        <v>&lt;ValeurCellule&gt;</v>
      </c>
    </row>
    <row r="13269" spans="1:1" x14ac:dyDescent="0.2">
      <c r="A13269" s="996" t="str">
        <f>CONCATENATE(Programme!D13270,Programme!E13270,Programme!F13270,Programme!G13270,Programme!H13270,Programme!I13270,Programme!J13270)</f>
        <v>&lt;cellule&gt;&lt;codeEdi&gt;1083&lt;/codeEdi&gt;&lt;/cellule&gt;</v>
      </c>
    </row>
    <row r="13270" spans="1:1" x14ac:dyDescent="0.2">
      <c r="A13270" s="996" t="str">
        <f>CONCATENATE(Programme!D13271,Programme!E13271,Programme!F13271,Programme!G13271,Programme!H13271,Programme!I13271,Programme!J13271)</f>
        <v>&lt;valeur&gt;&lt;/valeur&gt;</v>
      </c>
    </row>
    <row r="13271" spans="1:1" x14ac:dyDescent="0.2">
      <c r="A13271" s="996" t="str">
        <f>CONCATENATE(Programme!D13272,Programme!E13272,Programme!F13272,Programme!G13272,Programme!H13272,Programme!I13272,Programme!J13272)</f>
        <v>&lt;numeroLigne&gt;102&lt;/numeroLigne&gt;</v>
      </c>
    </row>
    <row r="13272" spans="1:1" x14ac:dyDescent="0.2">
      <c r="A13272" s="996" t="str">
        <f>CONCATENATE(Programme!D13273,Programme!E13273,Programme!F13273,Programme!G13273,Programme!H13273,Programme!I13273,Programme!J13273)</f>
        <v>&lt;/ValeurCellule&gt;</v>
      </c>
    </row>
    <row r="13273" spans="1:1" x14ac:dyDescent="0.2">
      <c r="A13273" s="996" t="str">
        <f>CONCATENATE(Programme!D13274,Programme!E13274,Programme!F13274,Programme!G13274,Programme!H13274,Programme!I13274,Programme!J13274)</f>
        <v>&lt;ValeurCellule&gt;</v>
      </c>
    </row>
    <row r="13274" spans="1:1" x14ac:dyDescent="0.2">
      <c r="A13274" s="996" t="str">
        <f>CONCATENATE(Programme!D13275,Programme!E13275,Programme!F13275,Programme!G13275,Programme!H13275,Programme!I13275,Programme!J13275)</f>
        <v>&lt;cellule&gt;&lt;codeEdi&gt;1084&lt;/codeEdi&gt;&lt;/cellule&gt;</v>
      </c>
    </row>
    <row r="13275" spans="1:1" x14ac:dyDescent="0.2">
      <c r="A13275" s="996" t="str">
        <f>CONCATENATE(Programme!D13276,Programme!E13276,Programme!F13276,Programme!G13276,Programme!H13276,Programme!I13276,Programme!J13276)</f>
        <v>&lt;valeur&gt;&lt;/valeur&gt;</v>
      </c>
    </row>
    <row r="13276" spans="1:1" x14ac:dyDescent="0.2">
      <c r="A13276" s="996" t="str">
        <f>CONCATENATE(Programme!D13277,Programme!E13277,Programme!F13277,Programme!G13277,Programme!H13277,Programme!I13277,Programme!J13277)</f>
        <v>&lt;numeroLigne&gt;102&lt;/numeroLigne&gt;</v>
      </c>
    </row>
    <row r="13277" spans="1:1" x14ac:dyDescent="0.2">
      <c r="A13277" s="996" t="str">
        <f>CONCATENATE(Programme!D13278,Programme!E13278,Programme!F13278,Programme!G13278,Programme!H13278,Programme!I13278,Programme!J13278)</f>
        <v>&lt;/ValeurCellule&gt;</v>
      </c>
    </row>
    <row r="13278" spans="1:1" x14ac:dyDescent="0.2">
      <c r="A13278" s="996" t="str">
        <f>CONCATENATE(Programme!D13279,Programme!E13279,Programme!F13279,Programme!G13279,Programme!H13279,Programme!I13279,Programme!J13279)</f>
        <v>&lt;ValeurCellule&gt;</v>
      </c>
    </row>
    <row r="13279" spans="1:1" x14ac:dyDescent="0.2">
      <c r="A13279" s="996" t="str">
        <f>CONCATENATE(Programme!D13280,Programme!E13280,Programme!F13280,Programme!G13280,Programme!H13280,Programme!I13280,Programme!J13280)</f>
        <v>&lt;cellule&gt;&lt;codeEdi&gt;1085&lt;/codeEdi&gt;&lt;/cellule&gt;</v>
      </c>
    </row>
    <row r="13280" spans="1:1" x14ac:dyDescent="0.2">
      <c r="A13280" s="996" t="str">
        <f>CONCATENATE(Programme!D13281,Programme!E13281,Programme!F13281,Programme!G13281,Programme!H13281,Programme!I13281,Programme!J13281)</f>
        <v>&lt;valeur&gt;&lt;/valeur&gt;</v>
      </c>
    </row>
    <row r="13281" spans="1:1" x14ac:dyDescent="0.2">
      <c r="A13281" s="996" t="str">
        <f>CONCATENATE(Programme!D13282,Programme!E13282,Programme!F13282,Programme!G13282,Programme!H13282,Programme!I13282,Programme!J13282)</f>
        <v>&lt;numeroLigne&gt;102&lt;/numeroLigne&gt;</v>
      </c>
    </row>
    <row r="13282" spans="1:1" x14ac:dyDescent="0.2">
      <c r="A13282" s="996" t="str">
        <f>CONCATENATE(Programme!D13283,Programme!E13283,Programme!F13283,Programme!G13283,Programme!H13283,Programme!I13283,Programme!J13283)</f>
        <v>&lt;/ValeurCellule&gt;</v>
      </c>
    </row>
    <row r="13283" spans="1:1" x14ac:dyDescent="0.2">
      <c r="A13283" s="996" t="str">
        <f>CONCATENATE(Programme!D13284,Programme!E13284,Programme!F13284,Programme!G13284,Programme!H13284,Programme!I13284,Programme!J13284)</f>
        <v>&lt;ValeurCellule&gt;</v>
      </c>
    </row>
    <row r="13284" spans="1:1" x14ac:dyDescent="0.2">
      <c r="A13284" s="996" t="str">
        <f>CONCATENATE(Programme!D13285,Programme!E13285,Programme!F13285,Programme!G13285,Programme!H13285,Programme!I13285,Programme!J13285)</f>
        <v>&lt;cellule&gt;&lt;codeEdi&gt;1086&lt;/codeEdi&gt;&lt;/cellule&gt;</v>
      </c>
    </row>
    <row r="13285" spans="1:1" x14ac:dyDescent="0.2">
      <c r="A13285" s="996" t="str">
        <f>CONCATENATE(Programme!D13286,Programme!E13286,Programme!F13286,Programme!G13286,Programme!H13286,Programme!I13286,Programme!J13286)</f>
        <v>&lt;valeur&gt;&lt;/valeur&gt;</v>
      </c>
    </row>
    <row r="13286" spans="1:1" x14ac:dyDescent="0.2">
      <c r="A13286" s="996" t="str">
        <f>CONCATENATE(Programme!D13287,Programme!E13287,Programme!F13287,Programme!G13287,Programme!H13287,Programme!I13287,Programme!J13287)</f>
        <v>&lt;numeroLigne&gt;102&lt;/numeroLigne&gt;</v>
      </c>
    </row>
    <row r="13287" spans="1:1" x14ac:dyDescent="0.2">
      <c r="A13287" s="996" t="str">
        <f>CONCATENATE(Programme!D13288,Programme!E13288,Programme!F13288,Programme!G13288,Programme!H13288,Programme!I13288,Programme!J13288)</f>
        <v>&lt;/ValeurCellule&gt;</v>
      </c>
    </row>
    <row r="13288" spans="1:1" x14ac:dyDescent="0.2">
      <c r="A13288" s="996" t="str">
        <f>CONCATENATE(Programme!D13289,Programme!E13289,Programme!F13289,Programme!G13289,Programme!H13289,Programme!I13289,Programme!J13289)</f>
        <v>&lt;ValeurCellule&gt;</v>
      </c>
    </row>
    <row r="13289" spans="1:1" x14ac:dyDescent="0.2">
      <c r="A13289" s="996" t="str">
        <f>CONCATENATE(Programme!D13290,Programme!E13290,Programme!F13290,Programme!G13290,Programme!H13290,Programme!I13290,Programme!J13290)</f>
        <v>&lt;cellule&gt;&lt;codeEdi&gt;10061&lt;/codeEdi&gt;&lt;/cellule&gt;</v>
      </c>
    </row>
    <row r="13290" spans="1:1" x14ac:dyDescent="0.2">
      <c r="A13290" s="996" t="str">
        <f>CONCATENATE(Programme!D13291,Programme!E13291,Programme!F13291,Programme!G13291,Programme!H13291,Programme!I13291,Programme!J13291)</f>
        <v>&lt;valeur&gt;&lt;/valeur&gt;</v>
      </c>
    </row>
    <row r="13291" spans="1:1" x14ac:dyDescent="0.2">
      <c r="A13291" s="996" t="str">
        <f>CONCATENATE(Programme!D13292,Programme!E13292,Programme!F13292,Programme!G13292,Programme!H13292,Programme!I13292,Programme!J13292)</f>
        <v>&lt;numeroLigne&gt;103&lt;/numeroLigne&gt;</v>
      </c>
    </row>
    <row r="13292" spans="1:1" x14ac:dyDescent="0.2">
      <c r="A13292" s="996" t="str">
        <f>CONCATENATE(Programme!D13293,Programme!E13293,Programme!F13293,Programme!G13293,Programme!H13293,Programme!I13293,Programme!J13293)</f>
        <v>&lt;/ValeurCellule&gt;</v>
      </c>
    </row>
    <row r="13293" spans="1:1" x14ac:dyDescent="0.2">
      <c r="A13293" s="996" t="str">
        <f>CONCATENATE(Programme!D13294,Programme!E13294,Programme!F13294,Programme!G13294,Programme!H13294,Programme!I13294,Programme!J13294)</f>
        <v>&lt;ValeurCellule&gt;</v>
      </c>
    </row>
    <row r="13294" spans="1:1" x14ac:dyDescent="0.2">
      <c r="A13294" s="996" t="str">
        <f>CONCATENATE(Programme!D13295,Programme!E13295,Programme!F13295,Programme!G13295,Programme!H13295,Programme!I13295,Programme!J13295)</f>
        <v>&lt;cellule&gt;&lt;codeEdi&gt;1078&lt;/codeEdi&gt;&lt;/cellule&gt;</v>
      </c>
    </row>
    <row r="13295" spans="1:1" x14ac:dyDescent="0.2">
      <c r="A13295" s="996" t="str">
        <f>CONCATENATE(Programme!D13296,Programme!E13296,Programme!F13296,Programme!G13296,Programme!H13296,Programme!I13296,Programme!J13296)</f>
        <v>&lt;valeur&gt;&lt;/valeur&gt;</v>
      </c>
    </row>
    <row r="13296" spans="1:1" x14ac:dyDescent="0.2">
      <c r="A13296" s="996" t="str">
        <f>CONCATENATE(Programme!D13297,Programme!E13297,Programme!F13297,Programme!G13297,Programme!H13297,Programme!I13297,Programme!J13297)</f>
        <v>&lt;numeroLigne&gt;103&lt;/numeroLigne&gt;</v>
      </c>
    </row>
    <row r="13297" spans="1:1" x14ac:dyDescent="0.2">
      <c r="A13297" s="996" t="str">
        <f>CONCATENATE(Programme!D13298,Programme!E13298,Programme!F13298,Programme!G13298,Programme!H13298,Programme!I13298,Programme!J13298)</f>
        <v>&lt;/ValeurCellule&gt;</v>
      </c>
    </row>
    <row r="13298" spans="1:1" x14ac:dyDescent="0.2">
      <c r="A13298" s="996" t="str">
        <f>CONCATENATE(Programme!D13299,Programme!E13299,Programme!F13299,Programme!G13299,Programme!H13299,Programme!I13299,Programme!J13299)</f>
        <v>&lt;ValeurCellule&gt;</v>
      </c>
    </row>
    <row r="13299" spans="1:1" x14ac:dyDescent="0.2">
      <c r="A13299" s="996" t="str">
        <f>CONCATENATE(Programme!D13300,Programme!E13300,Programme!F13300,Programme!G13300,Programme!H13300,Programme!I13300,Programme!J13300)</f>
        <v>&lt;cellule&gt;&lt;codeEdi&gt;1079&lt;/codeEdi&gt;&lt;/cellule&gt;</v>
      </c>
    </row>
    <row r="13300" spans="1:1" x14ac:dyDescent="0.2">
      <c r="A13300" s="996" t="str">
        <f>CONCATENATE(Programme!D13301,Programme!E13301,Programme!F13301,Programme!G13301,Programme!H13301,Programme!I13301,Programme!J13301)</f>
        <v>&lt;valeur&gt;&lt;/valeur&gt;</v>
      </c>
    </row>
    <row r="13301" spans="1:1" x14ac:dyDescent="0.2">
      <c r="A13301" s="996" t="str">
        <f>CONCATENATE(Programme!D13302,Programme!E13302,Programme!F13302,Programme!G13302,Programme!H13302,Programme!I13302,Programme!J13302)</f>
        <v>&lt;numeroLigne&gt;103&lt;/numeroLigne&gt;</v>
      </c>
    </row>
    <row r="13302" spans="1:1" x14ac:dyDescent="0.2">
      <c r="A13302" s="996" t="str">
        <f>CONCATENATE(Programme!D13303,Programme!E13303,Programme!F13303,Programme!G13303,Programme!H13303,Programme!I13303,Programme!J13303)</f>
        <v>&lt;/ValeurCellule&gt;</v>
      </c>
    </row>
    <row r="13303" spans="1:1" x14ac:dyDescent="0.2">
      <c r="A13303" s="996" t="str">
        <f>CONCATENATE(Programme!D13304,Programme!E13304,Programme!F13304,Programme!G13304,Programme!H13304,Programme!I13304,Programme!J13304)</f>
        <v>&lt;ValeurCellule&gt;</v>
      </c>
    </row>
    <row r="13304" spans="1:1" x14ac:dyDescent="0.2">
      <c r="A13304" s="996" t="str">
        <f>CONCATENATE(Programme!D13305,Programme!E13305,Programme!F13305,Programme!G13305,Programme!H13305,Programme!I13305,Programme!J13305)</f>
        <v>&lt;cellule&gt;&lt;codeEdi&gt;1080&lt;/codeEdi&gt;&lt;/cellule&gt;</v>
      </c>
    </row>
    <row r="13305" spans="1:1" x14ac:dyDescent="0.2">
      <c r="A13305" s="996" t="str">
        <f>CONCATENATE(Programme!D13306,Programme!E13306,Programme!F13306,Programme!G13306,Programme!H13306,Programme!I13306,Programme!J13306)</f>
        <v>&lt;valeur&gt;&lt;/valeur&gt;</v>
      </c>
    </row>
    <row r="13306" spans="1:1" x14ac:dyDescent="0.2">
      <c r="A13306" s="996" t="str">
        <f>CONCATENATE(Programme!D13307,Programme!E13307,Programme!F13307,Programme!G13307,Programme!H13307,Programme!I13307,Programme!J13307)</f>
        <v>&lt;numeroLigne&gt;103&lt;/numeroLigne&gt;</v>
      </c>
    </row>
    <row r="13307" spans="1:1" x14ac:dyDescent="0.2">
      <c r="A13307" s="996" t="str">
        <f>CONCATENATE(Programme!D13308,Programme!E13308,Programme!F13308,Programme!G13308,Programme!H13308,Programme!I13308,Programme!J13308)</f>
        <v>&lt;/ValeurCellule&gt;</v>
      </c>
    </row>
    <row r="13308" spans="1:1" x14ac:dyDescent="0.2">
      <c r="A13308" s="996" t="str">
        <f>CONCATENATE(Programme!D13309,Programme!E13309,Programme!F13309,Programme!G13309,Programme!H13309,Programme!I13309,Programme!J13309)</f>
        <v>&lt;ValeurCellule&gt;</v>
      </c>
    </row>
    <row r="13309" spans="1:1" x14ac:dyDescent="0.2">
      <c r="A13309" s="996" t="str">
        <f>CONCATENATE(Programme!D13310,Programme!E13310,Programme!F13310,Programme!G13310,Programme!H13310,Programme!I13310,Programme!J13310)</f>
        <v>&lt;cellule&gt;&lt;codeEdi&gt;1081&lt;/codeEdi&gt;&lt;/cellule&gt;</v>
      </c>
    </row>
    <row r="13310" spans="1:1" x14ac:dyDescent="0.2">
      <c r="A13310" s="996" t="str">
        <f>CONCATENATE(Programme!D13311,Programme!E13311,Programme!F13311,Programme!G13311,Programme!H13311,Programme!I13311,Programme!J13311)</f>
        <v>&lt;valeur&gt;&lt;/valeur&gt;</v>
      </c>
    </row>
    <row r="13311" spans="1:1" x14ac:dyDescent="0.2">
      <c r="A13311" s="996" t="str">
        <f>CONCATENATE(Programme!D13312,Programme!E13312,Programme!F13312,Programme!G13312,Programme!H13312,Programme!I13312,Programme!J13312)</f>
        <v>&lt;numeroLigne&gt;103&lt;/numeroLigne&gt;</v>
      </c>
    </row>
    <row r="13312" spans="1:1" x14ac:dyDescent="0.2">
      <c r="A13312" s="996" t="str">
        <f>CONCATENATE(Programme!D13313,Programme!E13313,Programme!F13313,Programme!G13313,Programme!H13313,Programme!I13313,Programme!J13313)</f>
        <v>&lt;/ValeurCellule&gt;</v>
      </c>
    </row>
    <row r="13313" spans="1:1" x14ac:dyDescent="0.2">
      <c r="A13313" s="996" t="str">
        <f>CONCATENATE(Programme!D13314,Programme!E13314,Programme!F13314,Programme!G13314,Programme!H13314,Programme!I13314,Programme!J13314)</f>
        <v>&lt;ValeurCellule&gt;</v>
      </c>
    </row>
    <row r="13314" spans="1:1" x14ac:dyDescent="0.2">
      <c r="A13314" s="996" t="str">
        <f>CONCATENATE(Programme!D13315,Programme!E13315,Programme!F13315,Programme!G13315,Programme!H13315,Programme!I13315,Programme!J13315)</f>
        <v>&lt;cellule&gt;&lt;codeEdi&gt;1082&lt;/codeEdi&gt;&lt;/cellule&gt;</v>
      </c>
    </row>
    <row r="13315" spans="1:1" x14ac:dyDescent="0.2">
      <c r="A13315" s="996" t="str">
        <f>CONCATENATE(Programme!D13316,Programme!E13316,Programme!F13316,Programme!G13316,Programme!H13316,Programme!I13316,Programme!J13316)</f>
        <v>&lt;valeur&gt;&lt;/valeur&gt;</v>
      </c>
    </row>
    <row r="13316" spans="1:1" x14ac:dyDescent="0.2">
      <c r="A13316" s="996" t="str">
        <f>CONCATENATE(Programme!D13317,Programme!E13317,Programme!F13317,Programme!G13317,Programme!H13317,Programme!I13317,Programme!J13317)</f>
        <v>&lt;numeroLigne&gt;103&lt;/numeroLigne&gt;</v>
      </c>
    </row>
    <row r="13317" spans="1:1" x14ac:dyDescent="0.2">
      <c r="A13317" s="996" t="str">
        <f>CONCATENATE(Programme!D13318,Programme!E13318,Programme!F13318,Programme!G13318,Programme!H13318,Programme!I13318,Programme!J13318)</f>
        <v>&lt;/ValeurCellule&gt;</v>
      </c>
    </row>
    <row r="13318" spans="1:1" x14ac:dyDescent="0.2">
      <c r="A13318" s="996" t="str">
        <f>CONCATENATE(Programme!D13319,Programme!E13319,Programme!F13319,Programme!G13319,Programme!H13319,Programme!I13319,Programme!J13319)</f>
        <v>&lt;ValeurCellule&gt;</v>
      </c>
    </row>
    <row r="13319" spans="1:1" x14ac:dyDescent="0.2">
      <c r="A13319" s="996" t="str">
        <f>CONCATENATE(Programme!D13320,Programme!E13320,Programme!F13320,Programme!G13320,Programme!H13320,Programme!I13320,Programme!J13320)</f>
        <v>&lt;cellule&gt;&lt;codeEdi&gt;1083&lt;/codeEdi&gt;&lt;/cellule&gt;</v>
      </c>
    </row>
    <row r="13320" spans="1:1" x14ac:dyDescent="0.2">
      <c r="A13320" s="996" t="str">
        <f>CONCATENATE(Programme!D13321,Programme!E13321,Programme!F13321,Programme!G13321,Programme!H13321,Programme!I13321,Programme!J13321)</f>
        <v>&lt;valeur&gt;&lt;/valeur&gt;</v>
      </c>
    </row>
    <row r="13321" spans="1:1" x14ac:dyDescent="0.2">
      <c r="A13321" s="996" t="str">
        <f>CONCATENATE(Programme!D13322,Programme!E13322,Programme!F13322,Programme!G13322,Programme!H13322,Programme!I13322,Programme!J13322)</f>
        <v>&lt;numeroLigne&gt;103&lt;/numeroLigne&gt;</v>
      </c>
    </row>
    <row r="13322" spans="1:1" x14ac:dyDescent="0.2">
      <c r="A13322" s="996" t="str">
        <f>CONCATENATE(Programme!D13323,Programme!E13323,Programme!F13323,Programme!G13323,Programme!H13323,Programme!I13323,Programme!J13323)</f>
        <v>&lt;/ValeurCellule&gt;</v>
      </c>
    </row>
    <row r="13323" spans="1:1" x14ac:dyDescent="0.2">
      <c r="A13323" s="996" t="str">
        <f>CONCATENATE(Programme!D13324,Programme!E13324,Programme!F13324,Programme!G13324,Programme!H13324,Programme!I13324,Programme!J13324)</f>
        <v>&lt;ValeurCellule&gt;</v>
      </c>
    </row>
    <row r="13324" spans="1:1" x14ac:dyDescent="0.2">
      <c r="A13324" s="996" t="str">
        <f>CONCATENATE(Programme!D13325,Programme!E13325,Programme!F13325,Programme!G13325,Programme!H13325,Programme!I13325,Programme!J13325)</f>
        <v>&lt;cellule&gt;&lt;codeEdi&gt;1084&lt;/codeEdi&gt;&lt;/cellule&gt;</v>
      </c>
    </row>
    <row r="13325" spans="1:1" x14ac:dyDescent="0.2">
      <c r="A13325" s="996" t="str">
        <f>CONCATENATE(Programme!D13326,Programme!E13326,Programme!F13326,Programme!G13326,Programme!H13326,Programme!I13326,Programme!J13326)</f>
        <v>&lt;valeur&gt;&lt;/valeur&gt;</v>
      </c>
    </row>
    <row r="13326" spans="1:1" x14ac:dyDescent="0.2">
      <c r="A13326" s="996" t="str">
        <f>CONCATENATE(Programme!D13327,Programme!E13327,Programme!F13327,Programme!G13327,Programme!H13327,Programme!I13327,Programme!J13327)</f>
        <v>&lt;numeroLigne&gt;103&lt;/numeroLigne&gt;</v>
      </c>
    </row>
    <row r="13327" spans="1:1" x14ac:dyDescent="0.2">
      <c r="A13327" s="996" t="str">
        <f>CONCATENATE(Programme!D13328,Programme!E13328,Programme!F13328,Programme!G13328,Programme!H13328,Programme!I13328,Programme!J13328)</f>
        <v>&lt;/ValeurCellule&gt;</v>
      </c>
    </row>
    <row r="13328" spans="1:1" x14ac:dyDescent="0.2">
      <c r="A13328" s="996" t="str">
        <f>CONCATENATE(Programme!D13329,Programme!E13329,Programme!F13329,Programme!G13329,Programme!H13329,Programme!I13329,Programme!J13329)</f>
        <v>&lt;ValeurCellule&gt;</v>
      </c>
    </row>
    <row r="13329" spans="1:1" x14ac:dyDescent="0.2">
      <c r="A13329" s="996" t="str">
        <f>CONCATENATE(Programme!D13330,Programme!E13330,Programme!F13330,Programme!G13330,Programme!H13330,Programme!I13330,Programme!J13330)</f>
        <v>&lt;cellule&gt;&lt;codeEdi&gt;1085&lt;/codeEdi&gt;&lt;/cellule&gt;</v>
      </c>
    </row>
    <row r="13330" spans="1:1" x14ac:dyDescent="0.2">
      <c r="A13330" s="996" t="str">
        <f>CONCATENATE(Programme!D13331,Programme!E13331,Programme!F13331,Programme!G13331,Programme!H13331,Programme!I13331,Programme!J13331)</f>
        <v>&lt;valeur&gt;&lt;/valeur&gt;</v>
      </c>
    </row>
    <row r="13331" spans="1:1" x14ac:dyDescent="0.2">
      <c r="A13331" s="996" t="str">
        <f>CONCATENATE(Programme!D13332,Programme!E13332,Programme!F13332,Programme!G13332,Programme!H13332,Programme!I13332,Programme!J13332)</f>
        <v>&lt;numeroLigne&gt;103&lt;/numeroLigne&gt;</v>
      </c>
    </row>
    <row r="13332" spans="1:1" x14ac:dyDescent="0.2">
      <c r="A13332" s="996" t="str">
        <f>CONCATENATE(Programme!D13333,Programme!E13333,Programme!F13333,Programme!G13333,Programme!H13333,Programme!I13333,Programme!J13333)</f>
        <v>&lt;/ValeurCellule&gt;</v>
      </c>
    </row>
    <row r="13333" spans="1:1" x14ac:dyDescent="0.2">
      <c r="A13333" s="996" t="str">
        <f>CONCATENATE(Programme!D13334,Programme!E13334,Programme!F13334,Programme!G13334,Programme!H13334,Programme!I13334,Programme!J13334)</f>
        <v>&lt;ValeurCellule&gt;</v>
      </c>
    </row>
    <row r="13334" spans="1:1" x14ac:dyDescent="0.2">
      <c r="A13334" s="996" t="str">
        <f>CONCATENATE(Programme!D13335,Programme!E13335,Programme!F13335,Programme!G13335,Programme!H13335,Programme!I13335,Programme!J13335)</f>
        <v>&lt;cellule&gt;&lt;codeEdi&gt;1086&lt;/codeEdi&gt;&lt;/cellule&gt;</v>
      </c>
    </row>
    <row r="13335" spans="1:1" x14ac:dyDescent="0.2">
      <c r="A13335" s="996" t="str">
        <f>CONCATENATE(Programme!D13336,Programme!E13336,Programme!F13336,Programme!G13336,Programme!H13336,Programme!I13336,Programme!J13336)</f>
        <v>&lt;valeur&gt;&lt;/valeur&gt;</v>
      </c>
    </row>
    <row r="13336" spans="1:1" x14ac:dyDescent="0.2">
      <c r="A13336" s="996" t="str">
        <f>CONCATENATE(Programme!D13337,Programme!E13337,Programme!F13337,Programme!G13337,Programme!H13337,Programme!I13337,Programme!J13337)</f>
        <v>&lt;numeroLigne&gt;103&lt;/numeroLigne&gt;</v>
      </c>
    </row>
    <row r="13337" spans="1:1" x14ac:dyDescent="0.2">
      <c r="A13337" s="996" t="str">
        <f>CONCATENATE(Programme!D13338,Programme!E13338,Programme!F13338,Programme!G13338,Programme!H13338,Programme!I13338,Programme!J13338)</f>
        <v>&lt;/ValeurCellule&gt;</v>
      </c>
    </row>
    <row r="13338" spans="1:1" x14ac:dyDescent="0.2">
      <c r="A13338" s="996" t="str">
        <f>CONCATENATE(Programme!D13339,Programme!E13339,Programme!F13339,Programme!G13339,Programme!H13339,Programme!I13339,Programme!J13339)</f>
        <v>&lt;ValeurCellule&gt;</v>
      </c>
    </row>
    <row r="13339" spans="1:1" x14ac:dyDescent="0.2">
      <c r="A13339" s="996" t="str">
        <f>CONCATENATE(Programme!D13340,Programme!E13340,Programme!F13340,Programme!G13340,Programme!H13340,Programme!I13340,Programme!J13340)</f>
        <v>&lt;cellule&gt;&lt;codeEdi&gt;10061&lt;/codeEdi&gt;&lt;/cellule&gt;</v>
      </c>
    </row>
    <row r="13340" spans="1:1" x14ac:dyDescent="0.2">
      <c r="A13340" s="996" t="str">
        <f>CONCATENATE(Programme!D13341,Programme!E13341,Programme!F13341,Programme!G13341,Programme!H13341,Programme!I13341,Programme!J13341)</f>
        <v>&lt;valeur&gt;&lt;/valeur&gt;</v>
      </c>
    </row>
    <row r="13341" spans="1:1" x14ac:dyDescent="0.2">
      <c r="A13341" s="996" t="str">
        <f>CONCATENATE(Programme!D13342,Programme!E13342,Programme!F13342,Programme!G13342,Programme!H13342,Programme!I13342,Programme!J13342)</f>
        <v>&lt;numeroLigne&gt;104&lt;/numeroLigne&gt;</v>
      </c>
    </row>
    <row r="13342" spans="1:1" x14ac:dyDescent="0.2">
      <c r="A13342" s="996" t="str">
        <f>CONCATENATE(Programme!D13343,Programme!E13343,Programme!F13343,Programme!G13343,Programme!H13343,Programme!I13343,Programme!J13343)</f>
        <v>&lt;/ValeurCellule&gt;</v>
      </c>
    </row>
    <row r="13343" spans="1:1" x14ac:dyDescent="0.2">
      <c r="A13343" s="996" t="str">
        <f>CONCATENATE(Programme!D13344,Programme!E13344,Programme!F13344,Programme!G13344,Programme!H13344,Programme!I13344,Programme!J13344)</f>
        <v>&lt;ValeurCellule&gt;</v>
      </c>
    </row>
    <row r="13344" spans="1:1" x14ac:dyDescent="0.2">
      <c r="A13344" s="996" t="str">
        <f>CONCATENATE(Programme!D13345,Programme!E13345,Programme!F13345,Programme!G13345,Programme!H13345,Programme!I13345,Programme!J13345)</f>
        <v>&lt;cellule&gt;&lt;codeEdi&gt;1078&lt;/codeEdi&gt;&lt;/cellule&gt;</v>
      </c>
    </row>
    <row r="13345" spans="1:1" x14ac:dyDescent="0.2">
      <c r="A13345" s="996" t="str">
        <f>CONCATENATE(Programme!D13346,Programme!E13346,Programme!F13346,Programme!G13346,Programme!H13346,Programme!I13346,Programme!J13346)</f>
        <v>&lt;valeur&gt;&lt;/valeur&gt;</v>
      </c>
    </row>
    <row r="13346" spans="1:1" x14ac:dyDescent="0.2">
      <c r="A13346" s="996" t="str">
        <f>CONCATENATE(Programme!D13347,Programme!E13347,Programme!F13347,Programme!G13347,Programme!H13347,Programme!I13347,Programme!J13347)</f>
        <v>&lt;numeroLigne&gt;104&lt;/numeroLigne&gt;</v>
      </c>
    </row>
    <row r="13347" spans="1:1" x14ac:dyDescent="0.2">
      <c r="A13347" s="996" t="str">
        <f>CONCATENATE(Programme!D13348,Programme!E13348,Programme!F13348,Programme!G13348,Programme!H13348,Programme!I13348,Programme!J13348)</f>
        <v>&lt;/ValeurCellule&gt;</v>
      </c>
    </row>
    <row r="13348" spans="1:1" x14ac:dyDescent="0.2">
      <c r="A13348" s="996" t="str">
        <f>CONCATENATE(Programme!D13349,Programme!E13349,Programme!F13349,Programme!G13349,Programme!H13349,Programme!I13349,Programme!J13349)</f>
        <v>&lt;ValeurCellule&gt;</v>
      </c>
    </row>
    <row r="13349" spans="1:1" x14ac:dyDescent="0.2">
      <c r="A13349" s="996" t="str">
        <f>CONCATENATE(Programme!D13350,Programme!E13350,Programme!F13350,Programme!G13350,Programme!H13350,Programme!I13350,Programme!J13350)</f>
        <v>&lt;cellule&gt;&lt;codeEdi&gt;1079&lt;/codeEdi&gt;&lt;/cellule&gt;</v>
      </c>
    </row>
    <row r="13350" spans="1:1" x14ac:dyDescent="0.2">
      <c r="A13350" s="996" t="str">
        <f>CONCATENATE(Programme!D13351,Programme!E13351,Programme!F13351,Programme!G13351,Programme!H13351,Programme!I13351,Programme!J13351)</f>
        <v>&lt;valeur&gt;&lt;/valeur&gt;</v>
      </c>
    </row>
    <row r="13351" spans="1:1" x14ac:dyDescent="0.2">
      <c r="A13351" s="996" t="str">
        <f>CONCATENATE(Programme!D13352,Programme!E13352,Programme!F13352,Programme!G13352,Programme!H13352,Programme!I13352,Programme!J13352)</f>
        <v>&lt;numeroLigne&gt;104&lt;/numeroLigne&gt;</v>
      </c>
    </row>
    <row r="13352" spans="1:1" x14ac:dyDescent="0.2">
      <c r="A13352" s="996" t="str">
        <f>CONCATENATE(Programme!D13353,Programme!E13353,Programme!F13353,Programme!G13353,Programme!H13353,Programme!I13353,Programme!J13353)</f>
        <v>&lt;/ValeurCellule&gt;</v>
      </c>
    </row>
    <row r="13353" spans="1:1" x14ac:dyDescent="0.2">
      <c r="A13353" s="996" t="str">
        <f>CONCATENATE(Programme!D13354,Programme!E13354,Programme!F13354,Programme!G13354,Programme!H13354,Programme!I13354,Programme!J13354)</f>
        <v>&lt;ValeurCellule&gt;</v>
      </c>
    </row>
    <row r="13354" spans="1:1" x14ac:dyDescent="0.2">
      <c r="A13354" s="996" t="str">
        <f>CONCATENATE(Programme!D13355,Programme!E13355,Programme!F13355,Programme!G13355,Programme!H13355,Programme!I13355,Programme!J13355)</f>
        <v>&lt;cellule&gt;&lt;codeEdi&gt;1080&lt;/codeEdi&gt;&lt;/cellule&gt;</v>
      </c>
    </row>
    <row r="13355" spans="1:1" x14ac:dyDescent="0.2">
      <c r="A13355" s="996" t="str">
        <f>CONCATENATE(Programme!D13356,Programme!E13356,Programme!F13356,Programme!G13356,Programme!H13356,Programme!I13356,Programme!J13356)</f>
        <v>&lt;valeur&gt;&lt;/valeur&gt;</v>
      </c>
    </row>
    <row r="13356" spans="1:1" x14ac:dyDescent="0.2">
      <c r="A13356" s="996" t="str">
        <f>CONCATENATE(Programme!D13357,Programme!E13357,Programme!F13357,Programme!G13357,Programme!H13357,Programme!I13357,Programme!J13357)</f>
        <v>&lt;numeroLigne&gt;104&lt;/numeroLigne&gt;</v>
      </c>
    </row>
    <row r="13357" spans="1:1" x14ac:dyDescent="0.2">
      <c r="A13357" s="996" t="str">
        <f>CONCATENATE(Programme!D13358,Programme!E13358,Programme!F13358,Programme!G13358,Programme!H13358,Programme!I13358,Programme!J13358)</f>
        <v>&lt;/ValeurCellule&gt;</v>
      </c>
    </row>
    <row r="13358" spans="1:1" x14ac:dyDescent="0.2">
      <c r="A13358" s="996" t="str">
        <f>CONCATENATE(Programme!D13359,Programme!E13359,Programme!F13359,Programme!G13359,Programme!H13359,Programme!I13359,Programme!J13359)</f>
        <v>&lt;ValeurCellule&gt;</v>
      </c>
    </row>
    <row r="13359" spans="1:1" x14ac:dyDescent="0.2">
      <c r="A13359" s="996" t="str">
        <f>CONCATENATE(Programme!D13360,Programme!E13360,Programme!F13360,Programme!G13360,Programme!H13360,Programme!I13360,Programme!J13360)</f>
        <v>&lt;cellule&gt;&lt;codeEdi&gt;1081&lt;/codeEdi&gt;&lt;/cellule&gt;</v>
      </c>
    </row>
    <row r="13360" spans="1:1" x14ac:dyDescent="0.2">
      <c r="A13360" s="996" t="str">
        <f>CONCATENATE(Programme!D13361,Programme!E13361,Programme!F13361,Programme!G13361,Programme!H13361,Programme!I13361,Programme!J13361)</f>
        <v>&lt;valeur&gt;&lt;/valeur&gt;</v>
      </c>
    </row>
    <row r="13361" spans="1:1" x14ac:dyDescent="0.2">
      <c r="A13361" s="996" t="str">
        <f>CONCATENATE(Programme!D13362,Programme!E13362,Programme!F13362,Programme!G13362,Programme!H13362,Programme!I13362,Programme!J13362)</f>
        <v>&lt;numeroLigne&gt;104&lt;/numeroLigne&gt;</v>
      </c>
    </row>
    <row r="13362" spans="1:1" x14ac:dyDescent="0.2">
      <c r="A13362" s="996" t="str">
        <f>CONCATENATE(Programme!D13363,Programme!E13363,Programme!F13363,Programme!G13363,Programme!H13363,Programme!I13363,Programme!J13363)</f>
        <v>&lt;/ValeurCellule&gt;</v>
      </c>
    </row>
    <row r="13363" spans="1:1" x14ac:dyDescent="0.2">
      <c r="A13363" s="996" t="str">
        <f>CONCATENATE(Programme!D13364,Programme!E13364,Programme!F13364,Programme!G13364,Programme!H13364,Programme!I13364,Programme!J13364)</f>
        <v>&lt;ValeurCellule&gt;</v>
      </c>
    </row>
    <row r="13364" spans="1:1" x14ac:dyDescent="0.2">
      <c r="A13364" s="996" t="str">
        <f>CONCATENATE(Programme!D13365,Programme!E13365,Programme!F13365,Programme!G13365,Programme!H13365,Programme!I13365,Programme!J13365)</f>
        <v>&lt;cellule&gt;&lt;codeEdi&gt;1082&lt;/codeEdi&gt;&lt;/cellule&gt;</v>
      </c>
    </row>
    <row r="13365" spans="1:1" x14ac:dyDescent="0.2">
      <c r="A13365" s="996" t="str">
        <f>CONCATENATE(Programme!D13366,Programme!E13366,Programme!F13366,Programme!G13366,Programme!H13366,Programme!I13366,Programme!J13366)</f>
        <v>&lt;valeur&gt;&lt;/valeur&gt;</v>
      </c>
    </row>
    <row r="13366" spans="1:1" x14ac:dyDescent="0.2">
      <c r="A13366" s="996" t="str">
        <f>CONCATENATE(Programme!D13367,Programme!E13367,Programme!F13367,Programme!G13367,Programme!H13367,Programme!I13367,Programme!J13367)</f>
        <v>&lt;numeroLigne&gt;104&lt;/numeroLigne&gt;</v>
      </c>
    </row>
    <row r="13367" spans="1:1" x14ac:dyDescent="0.2">
      <c r="A13367" s="996" t="str">
        <f>CONCATENATE(Programme!D13368,Programme!E13368,Programme!F13368,Programme!G13368,Programme!H13368,Programme!I13368,Programme!J13368)</f>
        <v>&lt;/ValeurCellule&gt;</v>
      </c>
    </row>
    <row r="13368" spans="1:1" x14ac:dyDescent="0.2">
      <c r="A13368" s="996" t="str">
        <f>CONCATENATE(Programme!D13369,Programme!E13369,Programme!F13369,Programme!G13369,Programme!H13369,Programme!I13369,Programme!J13369)</f>
        <v>&lt;ValeurCellule&gt;</v>
      </c>
    </row>
    <row r="13369" spans="1:1" x14ac:dyDescent="0.2">
      <c r="A13369" s="996" t="str">
        <f>CONCATENATE(Programme!D13370,Programme!E13370,Programme!F13370,Programme!G13370,Programme!H13370,Programme!I13370,Programme!J13370)</f>
        <v>&lt;cellule&gt;&lt;codeEdi&gt;1083&lt;/codeEdi&gt;&lt;/cellule&gt;</v>
      </c>
    </row>
    <row r="13370" spans="1:1" x14ac:dyDescent="0.2">
      <c r="A13370" s="996" t="str">
        <f>CONCATENATE(Programme!D13371,Programme!E13371,Programme!F13371,Programme!G13371,Programme!H13371,Programme!I13371,Programme!J13371)</f>
        <v>&lt;valeur&gt;&lt;/valeur&gt;</v>
      </c>
    </row>
    <row r="13371" spans="1:1" x14ac:dyDescent="0.2">
      <c r="A13371" s="996" t="str">
        <f>CONCATENATE(Programme!D13372,Programme!E13372,Programme!F13372,Programme!G13372,Programme!H13372,Programme!I13372,Programme!J13372)</f>
        <v>&lt;numeroLigne&gt;104&lt;/numeroLigne&gt;</v>
      </c>
    </row>
    <row r="13372" spans="1:1" x14ac:dyDescent="0.2">
      <c r="A13372" s="996" t="str">
        <f>CONCATENATE(Programme!D13373,Programme!E13373,Programme!F13373,Programme!G13373,Programme!H13373,Programme!I13373,Programme!J13373)</f>
        <v>&lt;/ValeurCellule&gt;</v>
      </c>
    </row>
    <row r="13373" spans="1:1" x14ac:dyDescent="0.2">
      <c r="A13373" s="996" t="str">
        <f>CONCATENATE(Programme!D13374,Programme!E13374,Programme!F13374,Programme!G13374,Programme!H13374,Programme!I13374,Programme!J13374)</f>
        <v>&lt;ValeurCellule&gt;</v>
      </c>
    </row>
    <row r="13374" spans="1:1" x14ac:dyDescent="0.2">
      <c r="A13374" s="996" t="str">
        <f>CONCATENATE(Programme!D13375,Programme!E13375,Programme!F13375,Programme!G13375,Programme!H13375,Programme!I13375,Programme!J13375)</f>
        <v>&lt;cellule&gt;&lt;codeEdi&gt;1084&lt;/codeEdi&gt;&lt;/cellule&gt;</v>
      </c>
    </row>
    <row r="13375" spans="1:1" x14ac:dyDescent="0.2">
      <c r="A13375" s="996" t="str">
        <f>CONCATENATE(Programme!D13376,Programme!E13376,Programme!F13376,Programme!G13376,Programme!H13376,Programme!I13376,Programme!J13376)</f>
        <v>&lt;valeur&gt;&lt;/valeur&gt;</v>
      </c>
    </row>
    <row r="13376" spans="1:1" x14ac:dyDescent="0.2">
      <c r="A13376" s="996" t="str">
        <f>CONCATENATE(Programme!D13377,Programme!E13377,Programme!F13377,Programme!G13377,Programme!H13377,Programme!I13377,Programme!J13377)</f>
        <v>&lt;numeroLigne&gt;104&lt;/numeroLigne&gt;</v>
      </c>
    </row>
    <row r="13377" spans="1:1" x14ac:dyDescent="0.2">
      <c r="A13377" s="996" t="str">
        <f>CONCATENATE(Programme!D13378,Programme!E13378,Programme!F13378,Programme!G13378,Programme!H13378,Programme!I13378,Programme!J13378)</f>
        <v>&lt;/ValeurCellule&gt;</v>
      </c>
    </row>
    <row r="13378" spans="1:1" x14ac:dyDescent="0.2">
      <c r="A13378" s="996" t="str">
        <f>CONCATENATE(Programme!D13379,Programme!E13379,Programme!F13379,Programme!G13379,Programme!H13379,Programme!I13379,Programme!J13379)</f>
        <v>&lt;ValeurCellule&gt;</v>
      </c>
    </row>
    <row r="13379" spans="1:1" x14ac:dyDescent="0.2">
      <c r="A13379" s="996" t="str">
        <f>CONCATENATE(Programme!D13380,Programme!E13380,Programme!F13380,Programme!G13380,Programme!H13380,Programme!I13380,Programme!J13380)</f>
        <v>&lt;cellule&gt;&lt;codeEdi&gt;1085&lt;/codeEdi&gt;&lt;/cellule&gt;</v>
      </c>
    </row>
    <row r="13380" spans="1:1" x14ac:dyDescent="0.2">
      <c r="A13380" s="996" t="str">
        <f>CONCATENATE(Programme!D13381,Programme!E13381,Programme!F13381,Programme!G13381,Programme!H13381,Programme!I13381,Programme!J13381)</f>
        <v>&lt;valeur&gt;&lt;/valeur&gt;</v>
      </c>
    </row>
    <row r="13381" spans="1:1" x14ac:dyDescent="0.2">
      <c r="A13381" s="996" t="str">
        <f>CONCATENATE(Programme!D13382,Programme!E13382,Programme!F13382,Programme!G13382,Programme!H13382,Programme!I13382,Programme!J13382)</f>
        <v>&lt;numeroLigne&gt;104&lt;/numeroLigne&gt;</v>
      </c>
    </row>
    <row r="13382" spans="1:1" x14ac:dyDescent="0.2">
      <c r="A13382" s="996" t="str">
        <f>CONCATENATE(Programme!D13383,Programme!E13383,Programme!F13383,Programme!G13383,Programme!H13383,Programme!I13383,Programme!J13383)</f>
        <v>&lt;/ValeurCellule&gt;</v>
      </c>
    </row>
    <row r="13383" spans="1:1" x14ac:dyDescent="0.2">
      <c r="A13383" s="996" t="str">
        <f>CONCATENATE(Programme!D13384,Programme!E13384,Programme!F13384,Programme!G13384,Programme!H13384,Programme!I13384,Programme!J13384)</f>
        <v>&lt;ValeurCellule&gt;</v>
      </c>
    </row>
    <row r="13384" spans="1:1" x14ac:dyDescent="0.2">
      <c r="A13384" s="996" t="str">
        <f>CONCATENATE(Programme!D13385,Programme!E13385,Programme!F13385,Programme!G13385,Programme!H13385,Programme!I13385,Programme!J13385)</f>
        <v>&lt;cellule&gt;&lt;codeEdi&gt;1086&lt;/codeEdi&gt;&lt;/cellule&gt;</v>
      </c>
    </row>
    <row r="13385" spans="1:1" x14ac:dyDescent="0.2">
      <c r="A13385" s="996" t="str">
        <f>CONCATENATE(Programme!D13386,Programme!E13386,Programme!F13386,Programme!G13386,Programme!H13386,Programme!I13386,Programme!J13386)</f>
        <v>&lt;valeur&gt;&lt;/valeur&gt;</v>
      </c>
    </row>
    <row r="13386" spans="1:1" x14ac:dyDescent="0.2">
      <c r="A13386" s="996" t="str">
        <f>CONCATENATE(Programme!D13387,Programme!E13387,Programme!F13387,Programme!G13387,Programme!H13387,Programme!I13387,Programme!J13387)</f>
        <v>&lt;numeroLigne&gt;104&lt;/numeroLigne&gt;</v>
      </c>
    </row>
    <row r="13387" spans="1:1" x14ac:dyDescent="0.2">
      <c r="A13387" s="996" t="str">
        <f>CONCATENATE(Programme!D13388,Programme!E13388,Programme!F13388,Programme!G13388,Programme!H13388,Programme!I13388,Programme!J13388)</f>
        <v>&lt;/ValeurCellule&gt;</v>
      </c>
    </row>
    <row r="13388" spans="1:1" x14ac:dyDescent="0.2">
      <c r="A13388" s="996" t="str">
        <f>CONCATENATE(Programme!D13389,Programme!E13389,Programme!F13389,Programme!G13389,Programme!H13389,Programme!I13389,Programme!J13389)</f>
        <v>&lt;ValeurCellule&gt;</v>
      </c>
    </row>
    <row r="13389" spans="1:1" x14ac:dyDescent="0.2">
      <c r="A13389" s="996" t="str">
        <f>CONCATENATE(Programme!D13390,Programme!E13390,Programme!F13390,Programme!G13390,Programme!H13390,Programme!I13390,Programme!J13390)</f>
        <v>&lt;cellule&gt;&lt;codeEdi&gt;10061&lt;/codeEdi&gt;&lt;/cellule&gt;</v>
      </c>
    </row>
    <row r="13390" spans="1:1" x14ac:dyDescent="0.2">
      <c r="A13390" s="996" t="str">
        <f>CONCATENATE(Programme!D13391,Programme!E13391,Programme!F13391,Programme!G13391,Programme!H13391,Programme!I13391,Programme!J13391)</f>
        <v>&lt;valeur&gt;&lt;/valeur&gt;</v>
      </c>
    </row>
    <row r="13391" spans="1:1" x14ac:dyDescent="0.2">
      <c r="A13391" s="996" t="str">
        <f>CONCATENATE(Programme!D13392,Programme!E13392,Programme!F13392,Programme!G13392,Programme!H13392,Programme!I13392,Programme!J13392)</f>
        <v>&lt;numeroLigne&gt;105&lt;/numeroLigne&gt;</v>
      </c>
    </row>
    <row r="13392" spans="1:1" x14ac:dyDescent="0.2">
      <c r="A13392" s="996" t="str">
        <f>CONCATENATE(Programme!D13393,Programme!E13393,Programme!F13393,Programme!G13393,Programme!H13393,Programme!I13393,Programme!J13393)</f>
        <v>&lt;/ValeurCellule&gt;</v>
      </c>
    </row>
    <row r="13393" spans="1:1" x14ac:dyDescent="0.2">
      <c r="A13393" s="996" t="str">
        <f>CONCATENATE(Programme!D13394,Programme!E13394,Programme!F13394,Programme!G13394,Programme!H13394,Programme!I13394,Programme!J13394)</f>
        <v>&lt;ValeurCellule&gt;</v>
      </c>
    </row>
    <row r="13394" spans="1:1" x14ac:dyDescent="0.2">
      <c r="A13394" s="996" t="str">
        <f>CONCATENATE(Programme!D13395,Programme!E13395,Programme!F13395,Programme!G13395,Programme!H13395,Programme!I13395,Programme!J13395)</f>
        <v>&lt;cellule&gt;&lt;codeEdi&gt;1078&lt;/codeEdi&gt;&lt;/cellule&gt;</v>
      </c>
    </row>
    <row r="13395" spans="1:1" x14ac:dyDescent="0.2">
      <c r="A13395" s="996" t="str">
        <f>CONCATENATE(Programme!D13396,Programme!E13396,Programme!F13396,Programme!G13396,Programme!H13396,Programme!I13396,Programme!J13396)</f>
        <v>&lt;valeur&gt;&lt;/valeur&gt;</v>
      </c>
    </row>
    <row r="13396" spans="1:1" x14ac:dyDescent="0.2">
      <c r="A13396" s="996" t="str">
        <f>CONCATENATE(Programme!D13397,Programme!E13397,Programme!F13397,Programme!G13397,Programme!H13397,Programme!I13397,Programme!J13397)</f>
        <v>&lt;numeroLigne&gt;105&lt;/numeroLigne&gt;</v>
      </c>
    </row>
    <row r="13397" spans="1:1" x14ac:dyDescent="0.2">
      <c r="A13397" s="996" t="str">
        <f>CONCATENATE(Programme!D13398,Programme!E13398,Programme!F13398,Programme!G13398,Programme!H13398,Programme!I13398,Programme!J13398)</f>
        <v>&lt;/ValeurCellule&gt;</v>
      </c>
    </row>
    <row r="13398" spans="1:1" x14ac:dyDescent="0.2">
      <c r="A13398" s="996" t="str">
        <f>CONCATENATE(Programme!D13399,Programme!E13399,Programme!F13399,Programme!G13399,Programme!H13399,Programme!I13399,Programme!J13399)</f>
        <v>&lt;ValeurCellule&gt;</v>
      </c>
    </row>
    <row r="13399" spans="1:1" x14ac:dyDescent="0.2">
      <c r="A13399" s="996" t="str">
        <f>CONCATENATE(Programme!D13400,Programme!E13400,Programme!F13400,Programme!G13400,Programme!H13400,Programme!I13400,Programme!J13400)</f>
        <v>&lt;cellule&gt;&lt;codeEdi&gt;1079&lt;/codeEdi&gt;&lt;/cellule&gt;</v>
      </c>
    </row>
    <row r="13400" spans="1:1" x14ac:dyDescent="0.2">
      <c r="A13400" s="996" t="str">
        <f>CONCATENATE(Programme!D13401,Programme!E13401,Programme!F13401,Programme!G13401,Programme!H13401,Programme!I13401,Programme!J13401)</f>
        <v>&lt;valeur&gt;&lt;/valeur&gt;</v>
      </c>
    </row>
    <row r="13401" spans="1:1" x14ac:dyDescent="0.2">
      <c r="A13401" s="996" t="str">
        <f>CONCATENATE(Programme!D13402,Programme!E13402,Programme!F13402,Programme!G13402,Programme!H13402,Programme!I13402,Programme!J13402)</f>
        <v>&lt;numeroLigne&gt;105&lt;/numeroLigne&gt;</v>
      </c>
    </row>
    <row r="13402" spans="1:1" x14ac:dyDescent="0.2">
      <c r="A13402" s="996" t="str">
        <f>CONCATENATE(Programme!D13403,Programme!E13403,Programme!F13403,Programme!G13403,Programme!H13403,Programme!I13403,Programme!J13403)</f>
        <v>&lt;/ValeurCellule&gt;</v>
      </c>
    </row>
    <row r="13403" spans="1:1" x14ac:dyDescent="0.2">
      <c r="A13403" s="996" t="str">
        <f>CONCATENATE(Programme!D13404,Programme!E13404,Programme!F13404,Programme!G13404,Programme!H13404,Programme!I13404,Programme!J13404)</f>
        <v>&lt;ValeurCellule&gt;</v>
      </c>
    </row>
    <row r="13404" spans="1:1" x14ac:dyDescent="0.2">
      <c r="A13404" s="996" t="str">
        <f>CONCATENATE(Programme!D13405,Programme!E13405,Programme!F13405,Programme!G13405,Programme!H13405,Programme!I13405,Programme!J13405)</f>
        <v>&lt;cellule&gt;&lt;codeEdi&gt;1080&lt;/codeEdi&gt;&lt;/cellule&gt;</v>
      </c>
    </row>
    <row r="13405" spans="1:1" x14ac:dyDescent="0.2">
      <c r="A13405" s="996" t="str">
        <f>CONCATENATE(Programme!D13406,Programme!E13406,Programme!F13406,Programme!G13406,Programme!H13406,Programme!I13406,Programme!J13406)</f>
        <v>&lt;valeur&gt;&lt;/valeur&gt;</v>
      </c>
    </row>
    <row r="13406" spans="1:1" x14ac:dyDescent="0.2">
      <c r="A13406" s="996" t="str">
        <f>CONCATENATE(Programme!D13407,Programme!E13407,Programme!F13407,Programme!G13407,Programme!H13407,Programme!I13407,Programme!J13407)</f>
        <v>&lt;numeroLigne&gt;105&lt;/numeroLigne&gt;</v>
      </c>
    </row>
    <row r="13407" spans="1:1" x14ac:dyDescent="0.2">
      <c r="A13407" s="996" t="str">
        <f>CONCATENATE(Programme!D13408,Programme!E13408,Programme!F13408,Programme!G13408,Programme!H13408,Programme!I13408,Programme!J13408)</f>
        <v>&lt;/ValeurCellule&gt;</v>
      </c>
    </row>
    <row r="13408" spans="1:1" x14ac:dyDescent="0.2">
      <c r="A13408" s="996" t="str">
        <f>CONCATENATE(Programme!D13409,Programme!E13409,Programme!F13409,Programme!G13409,Programme!H13409,Programme!I13409,Programme!J13409)</f>
        <v>&lt;ValeurCellule&gt;</v>
      </c>
    </row>
    <row r="13409" spans="1:1" x14ac:dyDescent="0.2">
      <c r="A13409" s="996" t="str">
        <f>CONCATENATE(Programme!D13410,Programme!E13410,Programme!F13410,Programme!G13410,Programme!H13410,Programme!I13410,Programme!J13410)</f>
        <v>&lt;cellule&gt;&lt;codeEdi&gt;1081&lt;/codeEdi&gt;&lt;/cellule&gt;</v>
      </c>
    </row>
    <row r="13410" spans="1:1" x14ac:dyDescent="0.2">
      <c r="A13410" s="996" t="str">
        <f>CONCATENATE(Programme!D13411,Programme!E13411,Programme!F13411,Programme!G13411,Programme!H13411,Programme!I13411,Programme!J13411)</f>
        <v>&lt;valeur&gt;&lt;/valeur&gt;</v>
      </c>
    </row>
    <row r="13411" spans="1:1" x14ac:dyDescent="0.2">
      <c r="A13411" s="996" t="str">
        <f>CONCATENATE(Programme!D13412,Programme!E13412,Programme!F13412,Programme!G13412,Programme!H13412,Programme!I13412,Programme!J13412)</f>
        <v>&lt;numeroLigne&gt;105&lt;/numeroLigne&gt;</v>
      </c>
    </row>
    <row r="13412" spans="1:1" x14ac:dyDescent="0.2">
      <c r="A13412" s="996" t="str">
        <f>CONCATENATE(Programme!D13413,Programme!E13413,Programme!F13413,Programme!G13413,Programme!H13413,Programme!I13413,Programme!J13413)</f>
        <v>&lt;/ValeurCellule&gt;</v>
      </c>
    </row>
    <row r="13413" spans="1:1" x14ac:dyDescent="0.2">
      <c r="A13413" s="996" t="str">
        <f>CONCATENATE(Programme!D13414,Programme!E13414,Programme!F13414,Programme!G13414,Programme!H13414,Programme!I13414,Programme!J13414)</f>
        <v>&lt;ValeurCellule&gt;</v>
      </c>
    </row>
    <row r="13414" spans="1:1" x14ac:dyDescent="0.2">
      <c r="A13414" s="996" t="str">
        <f>CONCATENATE(Programme!D13415,Programme!E13415,Programme!F13415,Programme!G13415,Programme!H13415,Programme!I13415,Programme!J13415)</f>
        <v>&lt;cellule&gt;&lt;codeEdi&gt;1082&lt;/codeEdi&gt;&lt;/cellule&gt;</v>
      </c>
    </row>
    <row r="13415" spans="1:1" x14ac:dyDescent="0.2">
      <c r="A13415" s="996" t="str">
        <f>CONCATENATE(Programme!D13416,Programme!E13416,Programme!F13416,Programme!G13416,Programme!H13416,Programme!I13416,Programme!J13416)</f>
        <v>&lt;valeur&gt;&lt;/valeur&gt;</v>
      </c>
    </row>
    <row r="13416" spans="1:1" x14ac:dyDescent="0.2">
      <c r="A13416" s="996" t="str">
        <f>CONCATENATE(Programme!D13417,Programme!E13417,Programme!F13417,Programme!G13417,Programme!H13417,Programme!I13417,Programme!J13417)</f>
        <v>&lt;numeroLigne&gt;105&lt;/numeroLigne&gt;</v>
      </c>
    </row>
    <row r="13417" spans="1:1" x14ac:dyDescent="0.2">
      <c r="A13417" s="996" t="str">
        <f>CONCATENATE(Programme!D13418,Programme!E13418,Programme!F13418,Programme!G13418,Programme!H13418,Programme!I13418,Programme!J13418)</f>
        <v>&lt;/ValeurCellule&gt;</v>
      </c>
    </row>
    <row r="13418" spans="1:1" x14ac:dyDescent="0.2">
      <c r="A13418" s="996" t="str">
        <f>CONCATENATE(Programme!D13419,Programme!E13419,Programme!F13419,Programme!G13419,Programme!H13419,Programme!I13419,Programme!J13419)</f>
        <v>&lt;ValeurCellule&gt;</v>
      </c>
    </row>
    <row r="13419" spans="1:1" x14ac:dyDescent="0.2">
      <c r="A13419" s="996" t="str">
        <f>CONCATENATE(Programme!D13420,Programme!E13420,Programme!F13420,Programme!G13420,Programme!H13420,Programme!I13420,Programme!J13420)</f>
        <v>&lt;cellule&gt;&lt;codeEdi&gt;1083&lt;/codeEdi&gt;&lt;/cellule&gt;</v>
      </c>
    </row>
    <row r="13420" spans="1:1" x14ac:dyDescent="0.2">
      <c r="A13420" s="996" t="str">
        <f>CONCATENATE(Programme!D13421,Programme!E13421,Programme!F13421,Programme!G13421,Programme!H13421,Programme!I13421,Programme!J13421)</f>
        <v>&lt;valeur&gt;&lt;/valeur&gt;</v>
      </c>
    </row>
    <row r="13421" spans="1:1" x14ac:dyDescent="0.2">
      <c r="A13421" s="996" t="str">
        <f>CONCATENATE(Programme!D13422,Programme!E13422,Programme!F13422,Programme!G13422,Programme!H13422,Programme!I13422,Programme!J13422)</f>
        <v>&lt;numeroLigne&gt;105&lt;/numeroLigne&gt;</v>
      </c>
    </row>
    <row r="13422" spans="1:1" x14ac:dyDescent="0.2">
      <c r="A13422" s="996" t="str">
        <f>CONCATENATE(Programme!D13423,Programme!E13423,Programme!F13423,Programme!G13423,Programme!H13423,Programme!I13423,Programme!J13423)</f>
        <v>&lt;/ValeurCellule&gt;</v>
      </c>
    </row>
    <row r="13423" spans="1:1" x14ac:dyDescent="0.2">
      <c r="A13423" s="996" t="str">
        <f>CONCATENATE(Programme!D13424,Programme!E13424,Programme!F13424,Programme!G13424,Programme!H13424,Programme!I13424,Programme!J13424)</f>
        <v>&lt;ValeurCellule&gt;</v>
      </c>
    </row>
    <row r="13424" spans="1:1" x14ac:dyDescent="0.2">
      <c r="A13424" s="996" t="str">
        <f>CONCATENATE(Programme!D13425,Programme!E13425,Programme!F13425,Programme!G13425,Programme!H13425,Programme!I13425,Programme!J13425)</f>
        <v>&lt;cellule&gt;&lt;codeEdi&gt;1084&lt;/codeEdi&gt;&lt;/cellule&gt;</v>
      </c>
    </row>
    <row r="13425" spans="1:1" x14ac:dyDescent="0.2">
      <c r="A13425" s="996" t="str">
        <f>CONCATENATE(Programme!D13426,Programme!E13426,Programme!F13426,Programme!G13426,Programme!H13426,Programme!I13426,Programme!J13426)</f>
        <v>&lt;valeur&gt;&lt;/valeur&gt;</v>
      </c>
    </row>
    <row r="13426" spans="1:1" x14ac:dyDescent="0.2">
      <c r="A13426" s="996" t="str">
        <f>CONCATENATE(Programme!D13427,Programme!E13427,Programme!F13427,Programme!G13427,Programme!H13427,Programme!I13427,Programme!J13427)</f>
        <v>&lt;numeroLigne&gt;105&lt;/numeroLigne&gt;</v>
      </c>
    </row>
    <row r="13427" spans="1:1" x14ac:dyDescent="0.2">
      <c r="A13427" s="996" t="str">
        <f>CONCATENATE(Programme!D13428,Programme!E13428,Programme!F13428,Programme!G13428,Programme!H13428,Programme!I13428,Programme!J13428)</f>
        <v>&lt;/ValeurCellule&gt;</v>
      </c>
    </row>
    <row r="13428" spans="1:1" x14ac:dyDescent="0.2">
      <c r="A13428" s="996" t="str">
        <f>CONCATENATE(Programme!D13429,Programme!E13429,Programme!F13429,Programme!G13429,Programme!H13429,Programme!I13429,Programme!J13429)</f>
        <v>&lt;ValeurCellule&gt;</v>
      </c>
    </row>
    <row r="13429" spans="1:1" x14ac:dyDescent="0.2">
      <c r="A13429" s="996" t="str">
        <f>CONCATENATE(Programme!D13430,Programme!E13430,Programme!F13430,Programme!G13430,Programme!H13430,Programme!I13430,Programme!J13430)</f>
        <v>&lt;cellule&gt;&lt;codeEdi&gt;1085&lt;/codeEdi&gt;&lt;/cellule&gt;</v>
      </c>
    </row>
    <row r="13430" spans="1:1" x14ac:dyDescent="0.2">
      <c r="A13430" s="996" t="str">
        <f>CONCATENATE(Programme!D13431,Programme!E13431,Programme!F13431,Programme!G13431,Programme!H13431,Programme!I13431,Programme!J13431)</f>
        <v>&lt;valeur&gt;&lt;/valeur&gt;</v>
      </c>
    </row>
    <row r="13431" spans="1:1" x14ac:dyDescent="0.2">
      <c r="A13431" s="996" t="str">
        <f>CONCATENATE(Programme!D13432,Programme!E13432,Programme!F13432,Programme!G13432,Programme!H13432,Programme!I13432,Programme!J13432)</f>
        <v>&lt;numeroLigne&gt;105&lt;/numeroLigne&gt;</v>
      </c>
    </row>
    <row r="13432" spans="1:1" x14ac:dyDescent="0.2">
      <c r="A13432" s="996" t="str">
        <f>CONCATENATE(Programme!D13433,Programme!E13433,Programme!F13433,Programme!G13433,Programme!H13433,Programme!I13433,Programme!J13433)</f>
        <v>&lt;/ValeurCellule&gt;</v>
      </c>
    </row>
    <row r="13433" spans="1:1" x14ac:dyDescent="0.2">
      <c r="A13433" s="996" t="str">
        <f>CONCATENATE(Programme!D13434,Programme!E13434,Programme!F13434,Programme!G13434,Programme!H13434,Programme!I13434,Programme!J13434)</f>
        <v>&lt;ValeurCellule&gt;</v>
      </c>
    </row>
    <row r="13434" spans="1:1" x14ac:dyDescent="0.2">
      <c r="A13434" s="996" t="str">
        <f>CONCATENATE(Programme!D13435,Programme!E13435,Programme!F13435,Programme!G13435,Programme!H13435,Programme!I13435,Programme!J13435)</f>
        <v>&lt;cellule&gt;&lt;codeEdi&gt;1086&lt;/codeEdi&gt;&lt;/cellule&gt;</v>
      </c>
    </row>
    <row r="13435" spans="1:1" x14ac:dyDescent="0.2">
      <c r="A13435" s="996" t="str">
        <f>CONCATENATE(Programme!D13436,Programme!E13436,Programme!F13436,Programme!G13436,Programme!H13436,Programme!I13436,Programme!J13436)</f>
        <v>&lt;valeur&gt;&lt;/valeur&gt;</v>
      </c>
    </row>
    <row r="13436" spans="1:1" x14ac:dyDescent="0.2">
      <c r="A13436" s="996" t="str">
        <f>CONCATENATE(Programme!D13437,Programme!E13437,Programme!F13437,Programme!G13437,Programme!H13437,Programme!I13437,Programme!J13437)</f>
        <v>&lt;numeroLigne&gt;105&lt;/numeroLigne&gt;</v>
      </c>
    </row>
    <row r="13437" spans="1:1" x14ac:dyDescent="0.2">
      <c r="A13437" s="996" t="str">
        <f>CONCATENATE(Programme!D13438,Programme!E13438,Programme!F13438,Programme!G13438,Programme!H13438,Programme!I13438,Programme!J13438)</f>
        <v>&lt;/ValeurCellule&gt;</v>
      </c>
    </row>
    <row r="13438" spans="1:1" x14ac:dyDescent="0.2">
      <c r="A13438" s="996" t="str">
        <f>CONCATENATE(Programme!D13439,Programme!E13439,Programme!F13439,Programme!G13439,Programme!H13439,Programme!I13439,Programme!J13439)</f>
        <v>&lt;ValeurCellule&gt;</v>
      </c>
    </row>
    <row r="13439" spans="1:1" x14ac:dyDescent="0.2">
      <c r="A13439" s="996" t="str">
        <f>CONCATENATE(Programme!D13440,Programme!E13440,Programme!F13440,Programme!G13440,Programme!H13440,Programme!I13440,Programme!J13440)</f>
        <v>&lt;cellule&gt;&lt;codeEdi&gt;10061&lt;/codeEdi&gt;&lt;/cellule&gt;</v>
      </c>
    </row>
    <row r="13440" spans="1:1" x14ac:dyDescent="0.2">
      <c r="A13440" s="996" t="str">
        <f>CONCATENATE(Programme!D13441,Programme!E13441,Programme!F13441,Programme!G13441,Programme!H13441,Programme!I13441,Programme!J13441)</f>
        <v>&lt;valeur&gt;&lt;/valeur&gt;</v>
      </c>
    </row>
    <row r="13441" spans="1:1" x14ac:dyDescent="0.2">
      <c r="A13441" s="996" t="str">
        <f>CONCATENATE(Programme!D13442,Programme!E13442,Programme!F13442,Programme!G13442,Programme!H13442,Programme!I13442,Programme!J13442)</f>
        <v>&lt;numeroLigne&gt;106&lt;/numeroLigne&gt;</v>
      </c>
    </row>
    <row r="13442" spans="1:1" x14ac:dyDescent="0.2">
      <c r="A13442" s="996" t="str">
        <f>CONCATENATE(Programme!D13443,Programme!E13443,Programme!F13443,Programme!G13443,Programme!H13443,Programme!I13443,Programme!J13443)</f>
        <v>&lt;/ValeurCellule&gt;</v>
      </c>
    </row>
    <row r="13443" spans="1:1" x14ac:dyDescent="0.2">
      <c r="A13443" s="996" t="str">
        <f>CONCATENATE(Programme!D13444,Programme!E13444,Programme!F13444,Programme!G13444,Programme!H13444,Programme!I13444,Programme!J13444)</f>
        <v>&lt;ValeurCellule&gt;</v>
      </c>
    </row>
    <row r="13444" spans="1:1" x14ac:dyDescent="0.2">
      <c r="A13444" s="996" t="str">
        <f>CONCATENATE(Programme!D13445,Programme!E13445,Programme!F13445,Programme!G13445,Programme!H13445,Programme!I13445,Programme!J13445)</f>
        <v>&lt;cellule&gt;&lt;codeEdi&gt;1078&lt;/codeEdi&gt;&lt;/cellule&gt;</v>
      </c>
    </row>
    <row r="13445" spans="1:1" x14ac:dyDescent="0.2">
      <c r="A13445" s="996" t="str">
        <f>CONCATENATE(Programme!D13446,Programme!E13446,Programme!F13446,Programme!G13446,Programme!H13446,Programme!I13446,Programme!J13446)</f>
        <v>&lt;valeur&gt;&lt;/valeur&gt;</v>
      </c>
    </row>
    <row r="13446" spans="1:1" x14ac:dyDescent="0.2">
      <c r="A13446" s="996" t="str">
        <f>CONCATENATE(Programme!D13447,Programme!E13447,Programme!F13447,Programme!G13447,Programme!H13447,Programme!I13447,Programme!J13447)</f>
        <v>&lt;numeroLigne&gt;106&lt;/numeroLigne&gt;</v>
      </c>
    </row>
    <row r="13447" spans="1:1" x14ac:dyDescent="0.2">
      <c r="A13447" s="996" t="str">
        <f>CONCATENATE(Programme!D13448,Programme!E13448,Programme!F13448,Programme!G13448,Programme!H13448,Programme!I13448,Programme!J13448)</f>
        <v>&lt;/ValeurCellule&gt;</v>
      </c>
    </row>
    <row r="13448" spans="1:1" x14ac:dyDescent="0.2">
      <c r="A13448" s="996" t="str">
        <f>CONCATENATE(Programme!D13449,Programme!E13449,Programme!F13449,Programme!G13449,Programme!H13449,Programme!I13449,Programme!J13449)</f>
        <v>&lt;ValeurCellule&gt;</v>
      </c>
    </row>
    <row r="13449" spans="1:1" x14ac:dyDescent="0.2">
      <c r="A13449" s="996" t="str">
        <f>CONCATENATE(Programme!D13450,Programme!E13450,Programme!F13450,Programme!G13450,Programme!H13450,Programme!I13450,Programme!J13450)</f>
        <v>&lt;cellule&gt;&lt;codeEdi&gt;1079&lt;/codeEdi&gt;&lt;/cellule&gt;</v>
      </c>
    </row>
    <row r="13450" spans="1:1" x14ac:dyDescent="0.2">
      <c r="A13450" s="996" t="str">
        <f>CONCATENATE(Programme!D13451,Programme!E13451,Programme!F13451,Programme!G13451,Programme!H13451,Programme!I13451,Programme!J13451)</f>
        <v>&lt;valeur&gt;&lt;/valeur&gt;</v>
      </c>
    </row>
    <row r="13451" spans="1:1" x14ac:dyDescent="0.2">
      <c r="A13451" s="996" t="str">
        <f>CONCATENATE(Programme!D13452,Programme!E13452,Programme!F13452,Programme!G13452,Programme!H13452,Programme!I13452,Programme!J13452)</f>
        <v>&lt;numeroLigne&gt;106&lt;/numeroLigne&gt;</v>
      </c>
    </row>
    <row r="13452" spans="1:1" x14ac:dyDescent="0.2">
      <c r="A13452" s="996" t="str">
        <f>CONCATENATE(Programme!D13453,Programme!E13453,Programme!F13453,Programme!G13453,Programme!H13453,Programme!I13453,Programme!J13453)</f>
        <v>&lt;/ValeurCellule&gt;</v>
      </c>
    </row>
    <row r="13453" spans="1:1" x14ac:dyDescent="0.2">
      <c r="A13453" s="996" t="str">
        <f>CONCATENATE(Programme!D13454,Programme!E13454,Programme!F13454,Programme!G13454,Programme!H13454,Programme!I13454,Programme!J13454)</f>
        <v>&lt;ValeurCellule&gt;</v>
      </c>
    </row>
    <row r="13454" spans="1:1" x14ac:dyDescent="0.2">
      <c r="A13454" s="996" t="str">
        <f>CONCATENATE(Programme!D13455,Programme!E13455,Programme!F13455,Programme!G13455,Programme!H13455,Programme!I13455,Programme!J13455)</f>
        <v>&lt;cellule&gt;&lt;codeEdi&gt;1080&lt;/codeEdi&gt;&lt;/cellule&gt;</v>
      </c>
    </row>
    <row r="13455" spans="1:1" x14ac:dyDescent="0.2">
      <c r="A13455" s="996" t="str">
        <f>CONCATENATE(Programme!D13456,Programme!E13456,Programme!F13456,Programme!G13456,Programme!H13456,Programme!I13456,Programme!J13456)</f>
        <v>&lt;valeur&gt;&lt;/valeur&gt;</v>
      </c>
    </row>
    <row r="13456" spans="1:1" x14ac:dyDescent="0.2">
      <c r="A13456" s="996" t="str">
        <f>CONCATENATE(Programme!D13457,Programme!E13457,Programme!F13457,Programme!G13457,Programme!H13457,Programme!I13457,Programme!J13457)</f>
        <v>&lt;numeroLigne&gt;106&lt;/numeroLigne&gt;</v>
      </c>
    </row>
    <row r="13457" spans="1:1" x14ac:dyDescent="0.2">
      <c r="A13457" s="996" t="str">
        <f>CONCATENATE(Programme!D13458,Programme!E13458,Programme!F13458,Programme!G13458,Programme!H13458,Programme!I13458,Programme!J13458)</f>
        <v>&lt;/ValeurCellule&gt;</v>
      </c>
    </row>
    <row r="13458" spans="1:1" x14ac:dyDescent="0.2">
      <c r="A13458" s="996" t="str">
        <f>CONCATENATE(Programme!D13459,Programme!E13459,Programme!F13459,Programme!G13459,Programme!H13459,Programme!I13459,Programme!J13459)</f>
        <v>&lt;ValeurCellule&gt;</v>
      </c>
    </row>
    <row r="13459" spans="1:1" x14ac:dyDescent="0.2">
      <c r="A13459" s="996" t="str">
        <f>CONCATENATE(Programme!D13460,Programme!E13460,Programme!F13460,Programme!G13460,Programme!H13460,Programme!I13460,Programme!J13460)</f>
        <v>&lt;cellule&gt;&lt;codeEdi&gt;1081&lt;/codeEdi&gt;&lt;/cellule&gt;</v>
      </c>
    </row>
    <row r="13460" spans="1:1" x14ac:dyDescent="0.2">
      <c r="A13460" s="996" t="str">
        <f>CONCATENATE(Programme!D13461,Programme!E13461,Programme!F13461,Programme!G13461,Programme!H13461,Programme!I13461,Programme!J13461)</f>
        <v>&lt;valeur&gt;&lt;/valeur&gt;</v>
      </c>
    </row>
    <row r="13461" spans="1:1" x14ac:dyDescent="0.2">
      <c r="A13461" s="996" t="str">
        <f>CONCATENATE(Programme!D13462,Programme!E13462,Programme!F13462,Programme!G13462,Programme!H13462,Programme!I13462,Programme!J13462)</f>
        <v>&lt;numeroLigne&gt;106&lt;/numeroLigne&gt;</v>
      </c>
    </row>
    <row r="13462" spans="1:1" x14ac:dyDescent="0.2">
      <c r="A13462" s="996" t="str">
        <f>CONCATENATE(Programme!D13463,Programme!E13463,Programme!F13463,Programme!G13463,Programme!H13463,Programme!I13463,Programme!J13463)</f>
        <v>&lt;/ValeurCellule&gt;</v>
      </c>
    </row>
    <row r="13463" spans="1:1" x14ac:dyDescent="0.2">
      <c r="A13463" s="996" t="str">
        <f>CONCATENATE(Programme!D13464,Programme!E13464,Programme!F13464,Programme!G13464,Programme!H13464,Programme!I13464,Programme!J13464)</f>
        <v>&lt;ValeurCellule&gt;</v>
      </c>
    </row>
    <row r="13464" spans="1:1" x14ac:dyDescent="0.2">
      <c r="A13464" s="996" t="str">
        <f>CONCATENATE(Programme!D13465,Programme!E13465,Programme!F13465,Programme!G13465,Programme!H13465,Programme!I13465,Programme!J13465)</f>
        <v>&lt;cellule&gt;&lt;codeEdi&gt;1082&lt;/codeEdi&gt;&lt;/cellule&gt;</v>
      </c>
    </row>
    <row r="13465" spans="1:1" x14ac:dyDescent="0.2">
      <c r="A13465" s="996" t="str">
        <f>CONCATENATE(Programme!D13466,Programme!E13466,Programme!F13466,Programme!G13466,Programme!H13466,Programme!I13466,Programme!J13466)</f>
        <v>&lt;valeur&gt;&lt;/valeur&gt;</v>
      </c>
    </row>
    <row r="13466" spans="1:1" x14ac:dyDescent="0.2">
      <c r="A13466" s="996" t="str">
        <f>CONCATENATE(Programme!D13467,Programme!E13467,Programme!F13467,Programme!G13467,Programme!H13467,Programme!I13467,Programme!J13467)</f>
        <v>&lt;numeroLigne&gt;106&lt;/numeroLigne&gt;</v>
      </c>
    </row>
    <row r="13467" spans="1:1" x14ac:dyDescent="0.2">
      <c r="A13467" s="996" t="str">
        <f>CONCATENATE(Programme!D13468,Programme!E13468,Programme!F13468,Programme!G13468,Programme!H13468,Programme!I13468,Programme!J13468)</f>
        <v>&lt;/ValeurCellule&gt;</v>
      </c>
    </row>
    <row r="13468" spans="1:1" x14ac:dyDescent="0.2">
      <c r="A13468" s="996" t="str">
        <f>CONCATENATE(Programme!D13469,Programme!E13469,Programme!F13469,Programme!G13469,Programme!H13469,Programme!I13469,Programme!J13469)</f>
        <v>&lt;ValeurCellule&gt;</v>
      </c>
    </row>
    <row r="13469" spans="1:1" x14ac:dyDescent="0.2">
      <c r="A13469" s="996" t="str">
        <f>CONCATENATE(Programme!D13470,Programme!E13470,Programme!F13470,Programme!G13470,Programme!H13470,Programme!I13470,Programme!J13470)</f>
        <v>&lt;cellule&gt;&lt;codeEdi&gt;1083&lt;/codeEdi&gt;&lt;/cellule&gt;</v>
      </c>
    </row>
    <row r="13470" spans="1:1" x14ac:dyDescent="0.2">
      <c r="A13470" s="996" t="str">
        <f>CONCATENATE(Programme!D13471,Programme!E13471,Programme!F13471,Programme!G13471,Programme!H13471,Programme!I13471,Programme!J13471)</f>
        <v>&lt;valeur&gt;&lt;/valeur&gt;</v>
      </c>
    </row>
    <row r="13471" spans="1:1" x14ac:dyDescent="0.2">
      <c r="A13471" s="996" t="str">
        <f>CONCATENATE(Programme!D13472,Programme!E13472,Programme!F13472,Programme!G13472,Programme!H13472,Programme!I13472,Programme!J13472)</f>
        <v>&lt;numeroLigne&gt;106&lt;/numeroLigne&gt;</v>
      </c>
    </row>
    <row r="13472" spans="1:1" x14ac:dyDescent="0.2">
      <c r="A13472" s="996" t="str">
        <f>CONCATENATE(Programme!D13473,Programme!E13473,Programme!F13473,Programme!G13473,Programme!H13473,Programme!I13473,Programme!J13473)</f>
        <v>&lt;/ValeurCellule&gt;</v>
      </c>
    </row>
    <row r="13473" spans="1:1" x14ac:dyDescent="0.2">
      <c r="A13473" s="996" t="str">
        <f>CONCATENATE(Programme!D13474,Programme!E13474,Programme!F13474,Programme!G13474,Programme!H13474,Programme!I13474,Programme!J13474)</f>
        <v>&lt;ValeurCellule&gt;</v>
      </c>
    </row>
    <row r="13474" spans="1:1" x14ac:dyDescent="0.2">
      <c r="A13474" s="996" t="str">
        <f>CONCATENATE(Programme!D13475,Programme!E13475,Programme!F13475,Programme!G13475,Programme!H13475,Programme!I13475,Programme!J13475)</f>
        <v>&lt;cellule&gt;&lt;codeEdi&gt;1084&lt;/codeEdi&gt;&lt;/cellule&gt;</v>
      </c>
    </row>
    <row r="13475" spans="1:1" x14ac:dyDescent="0.2">
      <c r="A13475" s="996" t="str">
        <f>CONCATENATE(Programme!D13476,Programme!E13476,Programme!F13476,Programme!G13476,Programme!H13476,Programme!I13476,Programme!J13476)</f>
        <v>&lt;valeur&gt;&lt;/valeur&gt;</v>
      </c>
    </row>
    <row r="13476" spans="1:1" x14ac:dyDescent="0.2">
      <c r="A13476" s="996" t="str">
        <f>CONCATENATE(Programme!D13477,Programme!E13477,Programme!F13477,Programme!G13477,Programme!H13477,Programme!I13477,Programme!J13477)</f>
        <v>&lt;numeroLigne&gt;106&lt;/numeroLigne&gt;</v>
      </c>
    </row>
    <row r="13477" spans="1:1" x14ac:dyDescent="0.2">
      <c r="A13477" s="996" t="str">
        <f>CONCATENATE(Programme!D13478,Programme!E13478,Programme!F13478,Programme!G13478,Programme!H13478,Programme!I13478,Programme!J13478)</f>
        <v>&lt;/ValeurCellule&gt;</v>
      </c>
    </row>
    <row r="13478" spans="1:1" x14ac:dyDescent="0.2">
      <c r="A13478" s="996" t="str">
        <f>CONCATENATE(Programme!D13479,Programme!E13479,Programme!F13479,Programme!G13479,Programme!H13479,Programme!I13479,Programme!J13479)</f>
        <v>&lt;ValeurCellule&gt;</v>
      </c>
    </row>
    <row r="13479" spans="1:1" x14ac:dyDescent="0.2">
      <c r="A13479" s="996" t="str">
        <f>CONCATENATE(Programme!D13480,Programme!E13480,Programme!F13480,Programme!G13480,Programme!H13480,Programme!I13480,Programme!J13480)</f>
        <v>&lt;cellule&gt;&lt;codeEdi&gt;1085&lt;/codeEdi&gt;&lt;/cellule&gt;</v>
      </c>
    </row>
    <row r="13480" spans="1:1" x14ac:dyDescent="0.2">
      <c r="A13480" s="996" t="str">
        <f>CONCATENATE(Programme!D13481,Programme!E13481,Programme!F13481,Programme!G13481,Programme!H13481,Programme!I13481,Programme!J13481)</f>
        <v>&lt;valeur&gt;&lt;/valeur&gt;</v>
      </c>
    </row>
    <row r="13481" spans="1:1" x14ac:dyDescent="0.2">
      <c r="A13481" s="996" t="str">
        <f>CONCATENATE(Programme!D13482,Programme!E13482,Programme!F13482,Programme!G13482,Programme!H13482,Programme!I13482,Programme!J13482)</f>
        <v>&lt;numeroLigne&gt;106&lt;/numeroLigne&gt;</v>
      </c>
    </row>
    <row r="13482" spans="1:1" x14ac:dyDescent="0.2">
      <c r="A13482" s="996" t="str">
        <f>CONCATENATE(Programme!D13483,Programme!E13483,Programme!F13483,Programme!G13483,Programme!H13483,Programme!I13483,Programme!J13483)</f>
        <v>&lt;/ValeurCellule&gt;</v>
      </c>
    </row>
    <row r="13483" spans="1:1" x14ac:dyDescent="0.2">
      <c r="A13483" s="996" t="str">
        <f>CONCATENATE(Programme!D13484,Programme!E13484,Programme!F13484,Programme!G13484,Programme!H13484,Programme!I13484,Programme!J13484)</f>
        <v>&lt;ValeurCellule&gt;</v>
      </c>
    </row>
    <row r="13484" spans="1:1" x14ac:dyDescent="0.2">
      <c r="A13484" s="996" t="str">
        <f>CONCATENATE(Programme!D13485,Programme!E13485,Programme!F13485,Programme!G13485,Programme!H13485,Programme!I13485,Programme!J13485)</f>
        <v>&lt;cellule&gt;&lt;codeEdi&gt;1086&lt;/codeEdi&gt;&lt;/cellule&gt;</v>
      </c>
    </row>
    <row r="13485" spans="1:1" x14ac:dyDescent="0.2">
      <c r="A13485" s="996" t="str">
        <f>CONCATENATE(Programme!D13486,Programme!E13486,Programme!F13486,Programme!G13486,Programme!H13486,Programme!I13486,Programme!J13486)</f>
        <v>&lt;valeur&gt;&lt;/valeur&gt;</v>
      </c>
    </row>
    <row r="13486" spans="1:1" x14ac:dyDescent="0.2">
      <c r="A13486" s="996" t="str">
        <f>CONCATENATE(Programme!D13487,Programme!E13487,Programme!F13487,Programme!G13487,Programme!H13487,Programme!I13487,Programme!J13487)</f>
        <v>&lt;numeroLigne&gt;106&lt;/numeroLigne&gt;</v>
      </c>
    </row>
    <row r="13487" spans="1:1" x14ac:dyDescent="0.2">
      <c r="A13487" s="996" t="str">
        <f>CONCATENATE(Programme!D13488,Programme!E13488,Programme!F13488,Programme!G13488,Programme!H13488,Programme!I13488,Programme!J13488)</f>
        <v>&lt;/ValeurCellule&gt;</v>
      </c>
    </row>
    <row r="13488" spans="1:1" x14ac:dyDescent="0.2">
      <c r="A13488" s="996" t="str">
        <f>CONCATENATE(Programme!D13489,Programme!E13489,Programme!F13489,Programme!G13489,Programme!H13489,Programme!I13489,Programme!J13489)</f>
        <v>&lt;ValeurCellule&gt;</v>
      </c>
    </row>
    <row r="13489" spans="1:1" x14ac:dyDescent="0.2">
      <c r="A13489" s="996" t="str">
        <f>CONCATENATE(Programme!D13490,Programme!E13490,Programme!F13490,Programme!G13490,Programme!H13490,Programme!I13490,Programme!J13490)</f>
        <v>&lt;cellule&gt;&lt;codeEdi&gt;10061&lt;/codeEdi&gt;&lt;/cellule&gt;</v>
      </c>
    </row>
    <row r="13490" spans="1:1" x14ac:dyDescent="0.2">
      <c r="A13490" s="996" t="str">
        <f>CONCATENATE(Programme!D13491,Programme!E13491,Programme!F13491,Programme!G13491,Programme!H13491,Programme!I13491,Programme!J13491)</f>
        <v>&lt;valeur&gt;&lt;/valeur&gt;</v>
      </c>
    </row>
    <row r="13491" spans="1:1" x14ac:dyDescent="0.2">
      <c r="A13491" s="996" t="str">
        <f>CONCATENATE(Programme!D13492,Programme!E13492,Programme!F13492,Programme!G13492,Programme!H13492,Programme!I13492,Programme!J13492)</f>
        <v>&lt;numeroLigne&gt;107&lt;/numeroLigne&gt;</v>
      </c>
    </row>
    <row r="13492" spans="1:1" x14ac:dyDescent="0.2">
      <c r="A13492" s="996" t="str">
        <f>CONCATENATE(Programme!D13493,Programme!E13493,Programme!F13493,Programme!G13493,Programme!H13493,Programme!I13493,Programme!J13493)</f>
        <v>&lt;/ValeurCellule&gt;</v>
      </c>
    </row>
    <row r="13493" spans="1:1" x14ac:dyDescent="0.2">
      <c r="A13493" s="996" t="str">
        <f>CONCATENATE(Programme!D13494,Programme!E13494,Programme!F13494,Programme!G13494,Programme!H13494,Programme!I13494,Programme!J13494)</f>
        <v>&lt;ValeurCellule&gt;</v>
      </c>
    </row>
    <row r="13494" spans="1:1" x14ac:dyDescent="0.2">
      <c r="A13494" s="996" t="str">
        <f>CONCATENATE(Programme!D13495,Programme!E13495,Programme!F13495,Programme!G13495,Programme!H13495,Programme!I13495,Programme!J13495)</f>
        <v>&lt;cellule&gt;&lt;codeEdi&gt;1078&lt;/codeEdi&gt;&lt;/cellule&gt;</v>
      </c>
    </row>
    <row r="13495" spans="1:1" x14ac:dyDescent="0.2">
      <c r="A13495" s="996" t="str">
        <f>CONCATENATE(Programme!D13496,Programme!E13496,Programme!F13496,Programme!G13496,Programme!H13496,Programme!I13496,Programme!J13496)</f>
        <v>&lt;valeur&gt;&lt;/valeur&gt;</v>
      </c>
    </row>
    <row r="13496" spans="1:1" x14ac:dyDescent="0.2">
      <c r="A13496" s="996" t="str">
        <f>CONCATENATE(Programme!D13497,Programme!E13497,Programme!F13497,Programme!G13497,Programme!H13497,Programme!I13497,Programme!J13497)</f>
        <v>&lt;numeroLigne&gt;107&lt;/numeroLigne&gt;</v>
      </c>
    </row>
    <row r="13497" spans="1:1" x14ac:dyDescent="0.2">
      <c r="A13497" s="996" t="str">
        <f>CONCATENATE(Programme!D13498,Programme!E13498,Programme!F13498,Programme!G13498,Programme!H13498,Programme!I13498,Programme!J13498)</f>
        <v>&lt;/ValeurCellule&gt;</v>
      </c>
    </row>
    <row r="13498" spans="1:1" x14ac:dyDescent="0.2">
      <c r="A13498" s="996" t="str">
        <f>CONCATENATE(Programme!D13499,Programme!E13499,Programme!F13499,Programme!G13499,Programme!H13499,Programme!I13499,Programme!J13499)</f>
        <v>&lt;ValeurCellule&gt;</v>
      </c>
    </row>
    <row r="13499" spans="1:1" x14ac:dyDescent="0.2">
      <c r="A13499" s="996" t="str">
        <f>CONCATENATE(Programme!D13500,Programme!E13500,Programme!F13500,Programme!G13500,Programme!H13500,Programme!I13500,Programme!J13500)</f>
        <v>&lt;cellule&gt;&lt;codeEdi&gt;1079&lt;/codeEdi&gt;&lt;/cellule&gt;</v>
      </c>
    </row>
    <row r="13500" spans="1:1" x14ac:dyDescent="0.2">
      <c r="A13500" s="996" t="str">
        <f>CONCATENATE(Programme!D13501,Programme!E13501,Programme!F13501,Programme!G13501,Programme!H13501,Programme!I13501,Programme!J13501)</f>
        <v>&lt;valeur&gt;&lt;/valeur&gt;</v>
      </c>
    </row>
    <row r="13501" spans="1:1" x14ac:dyDescent="0.2">
      <c r="A13501" s="996" t="str">
        <f>CONCATENATE(Programme!D13502,Programme!E13502,Programme!F13502,Programme!G13502,Programme!H13502,Programme!I13502,Programme!J13502)</f>
        <v>&lt;numeroLigne&gt;107&lt;/numeroLigne&gt;</v>
      </c>
    </row>
    <row r="13502" spans="1:1" x14ac:dyDescent="0.2">
      <c r="A13502" s="996" t="str">
        <f>CONCATENATE(Programme!D13503,Programme!E13503,Programme!F13503,Programme!G13503,Programme!H13503,Programme!I13503,Programme!J13503)</f>
        <v>&lt;/ValeurCellule&gt;</v>
      </c>
    </row>
    <row r="13503" spans="1:1" x14ac:dyDescent="0.2">
      <c r="A13503" s="996" t="str">
        <f>CONCATENATE(Programme!D13504,Programme!E13504,Programme!F13504,Programme!G13504,Programme!H13504,Programme!I13504,Programme!J13504)</f>
        <v>&lt;ValeurCellule&gt;</v>
      </c>
    </row>
    <row r="13504" spans="1:1" x14ac:dyDescent="0.2">
      <c r="A13504" s="996" t="str">
        <f>CONCATENATE(Programme!D13505,Programme!E13505,Programme!F13505,Programme!G13505,Programme!H13505,Programme!I13505,Programme!J13505)</f>
        <v>&lt;cellule&gt;&lt;codeEdi&gt;1080&lt;/codeEdi&gt;&lt;/cellule&gt;</v>
      </c>
    </row>
    <row r="13505" spans="1:1" x14ac:dyDescent="0.2">
      <c r="A13505" s="996" t="str">
        <f>CONCATENATE(Programme!D13506,Programme!E13506,Programme!F13506,Programme!G13506,Programme!H13506,Programme!I13506,Programme!J13506)</f>
        <v>&lt;valeur&gt;&lt;/valeur&gt;</v>
      </c>
    </row>
    <row r="13506" spans="1:1" x14ac:dyDescent="0.2">
      <c r="A13506" s="996" t="str">
        <f>CONCATENATE(Programme!D13507,Programme!E13507,Programme!F13507,Programme!G13507,Programme!H13507,Programme!I13507,Programme!J13507)</f>
        <v>&lt;numeroLigne&gt;107&lt;/numeroLigne&gt;</v>
      </c>
    </row>
    <row r="13507" spans="1:1" x14ac:dyDescent="0.2">
      <c r="A13507" s="996" t="str">
        <f>CONCATENATE(Programme!D13508,Programme!E13508,Programme!F13508,Programme!G13508,Programme!H13508,Programme!I13508,Programme!J13508)</f>
        <v>&lt;/ValeurCellule&gt;</v>
      </c>
    </row>
    <row r="13508" spans="1:1" x14ac:dyDescent="0.2">
      <c r="A13508" s="996" t="str">
        <f>CONCATENATE(Programme!D13509,Programme!E13509,Programme!F13509,Programme!G13509,Programme!H13509,Programme!I13509,Programme!J13509)</f>
        <v>&lt;ValeurCellule&gt;</v>
      </c>
    </row>
    <row r="13509" spans="1:1" x14ac:dyDescent="0.2">
      <c r="A13509" s="996" t="str">
        <f>CONCATENATE(Programme!D13510,Programme!E13510,Programme!F13510,Programme!G13510,Programme!H13510,Programme!I13510,Programme!J13510)</f>
        <v>&lt;cellule&gt;&lt;codeEdi&gt;1081&lt;/codeEdi&gt;&lt;/cellule&gt;</v>
      </c>
    </row>
    <row r="13510" spans="1:1" x14ac:dyDescent="0.2">
      <c r="A13510" s="996" t="str">
        <f>CONCATENATE(Programme!D13511,Programme!E13511,Programme!F13511,Programme!G13511,Programme!H13511,Programme!I13511,Programme!J13511)</f>
        <v>&lt;valeur&gt;&lt;/valeur&gt;</v>
      </c>
    </row>
    <row r="13511" spans="1:1" x14ac:dyDescent="0.2">
      <c r="A13511" s="996" t="str">
        <f>CONCATENATE(Programme!D13512,Programme!E13512,Programme!F13512,Programme!G13512,Programme!H13512,Programme!I13512,Programme!J13512)</f>
        <v>&lt;numeroLigne&gt;107&lt;/numeroLigne&gt;</v>
      </c>
    </row>
    <row r="13512" spans="1:1" x14ac:dyDescent="0.2">
      <c r="A13512" s="996" t="str">
        <f>CONCATENATE(Programme!D13513,Programme!E13513,Programme!F13513,Programme!G13513,Programme!H13513,Programme!I13513,Programme!J13513)</f>
        <v>&lt;/ValeurCellule&gt;</v>
      </c>
    </row>
    <row r="13513" spans="1:1" x14ac:dyDescent="0.2">
      <c r="A13513" s="996" t="str">
        <f>CONCATENATE(Programme!D13514,Programme!E13514,Programme!F13514,Programme!G13514,Programme!H13514,Programme!I13514,Programme!J13514)</f>
        <v>&lt;ValeurCellule&gt;</v>
      </c>
    </row>
    <row r="13514" spans="1:1" x14ac:dyDescent="0.2">
      <c r="A13514" s="996" t="str">
        <f>CONCATENATE(Programme!D13515,Programme!E13515,Programme!F13515,Programme!G13515,Programme!H13515,Programme!I13515,Programme!J13515)</f>
        <v>&lt;cellule&gt;&lt;codeEdi&gt;1082&lt;/codeEdi&gt;&lt;/cellule&gt;</v>
      </c>
    </row>
    <row r="13515" spans="1:1" x14ac:dyDescent="0.2">
      <c r="A13515" s="996" t="str">
        <f>CONCATENATE(Programme!D13516,Programme!E13516,Programme!F13516,Programme!G13516,Programme!H13516,Programme!I13516,Programme!J13516)</f>
        <v>&lt;valeur&gt;&lt;/valeur&gt;</v>
      </c>
    </row>
    <row r="13516" spans="1:1" x14ac:dyDescent="0.2">
      <c r="A13516" s="996" t="str">
        <f>CONCATENATE(Programme!D13517,Programme!E13517,Programme!F13517,Programme!G13517,Programme!H13517,Programme!I13517,Programme!J13517)</f>
        <v>&lt;numeroLigne&gt;107&lt;/numeroLigne&gt;</v>
      </c>
    </row>
    <row r="13517" spans="1:1" x14ac:dyDescent="0.2">
      <c r="A13517" s="996" t="str">
        <f>CONCATENATE(Programme!D13518,Programme!E13518,Programme!F13518,Programme!G13518,Programme!H13518,Programme!I13518,Programme!J13518)</f>
        <v>&lt;/ValeurCellule&gt;</v>
      </c>
    </row>
    <row r="13518" spans="1:1" x14ac:dyDescent="0.2">
      <c r="A13518" s="996" t="str">
        <f>CONCATENATE(Programme!D13519,Programme!E13519,Programme!F13519,Programme!G13519,Programme!H13519,Programme!I13519,Programme!J13519)</f>
        <v>&lt;ValeurCellule&gt;</v>
      </c>
    </row>
    <row r="13519" spans="1:1" x14ac:dyDescent="0.2">
      <c r="A13519" s="996" t="str">
        <f>CONCATENATE(Programme!D13520,Programme!E13520,Programme!F13520,Programme!G13520,Programme!H13520,Programme!I13520,Programme!J13520)</f>
        <v>&lt;cellule&gt;&lt;codeEdi&gt;1083&lt;/codeEdi&gt;&lt;/cellule&gt;</v>
      </c>
    </row>
    <row r="13520" spans="1:1" x14ac:dyDescent="0.2">
      <c r="A13520" s="996" t="str">
        <f>CONCATENATE(Programme!D13521,Programme!E13521,Programme!F13521,Programme!G13521,Programme!H13521,Programme!I13521,Programme!J13521)</f>
        <v>&lt;valeur&gt;&lt;/valeur&gt;</v>
      </c>
    </row>
    <row r="13521" spans="1:1" x14ac:dyDescent="0.2">
      <c r="A13521" s="996" t="str">
        <f>CONCATENATE(Programme!D13522,Programme!E13522,Programme!F13522,Programme!G13522,Programme!H13522,Programme!I13522,Programme!J13522)</f>
        <v>&lt;numeroLigne&gt;107&lt;/numeroLigne&gt;</v>
      </c>
    </row>
    <row r="13522" spans="1:1" x14ac:dyDescent="0.2">
      <c r="A13522" s="996" t="str">
        <f>CONCATENATE(Programme!D13523,Programme!E13523,Programme!F13523,Programme!G13523,Programme!H13523,Programme!I13523,Programme!J13523)</f>
        <v>&lt;/ValeurCellule&gt;</v>
      </c>
    </row>
    <row r="13523" spans="1:1" x14ac:dyDescent="0.2">
      <c r="A13523" s="996" t="str">
        <f>CONCATENATE(Programme!D13524,Programme!E13524,Programme!F13524,Programme!G13524,Programme!H13524,Programme!I13524,Programme!J13524)</f>
        <v>&lt;ValeurCellule&gt;</v>
      </c>
    </row>
    <row r="13524" spans="1:1" x14ac:dyDescent="0.2">
      <c r="A13524" s="996" t="str">
        <f>CONCATENATE(Programme!D13525,Programme!E13525,Programme!F13525,Programme!G13525,Programme!H13525,Programme!I13525,Programme!J13525)</f>
        <v>&lt;cellule&gt;&lt;codeEdi&gt;1084&lt;/codeEdi&gt;&lt;/cellule&gt;</v>
      </c>
    </row>
    <row r="13525" spans="1:1" x14ac:dyDescent="0.2">
      <c r="A13525" s="996" t="str">
        <f>CONCATENATE(Programme!D13526,Programme!E13526,Programme!F13526,Programme!G13526,Programme!H13526,Programme!I13526,Programme!J13526)</f>
        <v>&lt;valeur&gt;&lt;/valeur&gt;</v>
      </c>
    </row>
    <row r="13526" spans="1:1" x14ac:dyDescent="0.2">
      <c r="A13526" s="996" t="str">
        <f>CONCATENATE(Programme!D13527,Programme!E13527,Programme!F13527,Programme!G13527,Programme!H13527,Programme!I13527,Programme!J13527)</f>
        <v>&lt;numeroLigne&gt;107&lt;/numeroLigne&gt;</v>
      </c>
    </row>
    <row r="13527" spans="1:1" x14ac:dyDescent="0.2">
      <c r="A13527" s="996" t="str">
        <f>CONCATENATE(Programme!D13528,Programme!E13528,Programme!F13528,Programme!G13528,Programme!H13528,Programme!I13528,Programme!J13528)</f>
        <v>&lt;/ValeurCellule&gt;</v>
      </c>
    </row>
    <row r="13528" spans="1:1" x14ac:dyDescent="0.2">
      <c r="A13528" s="996" t="str">
        <f>CONCATENATE(Programme!D13529,Programme!E13529,Programme!F13529,Programme!G13529,Programme!H13529,Programme!I13529,Programme!J13529)</f>
        <v>&lt;ValeurCellule&gt;</v>
      </c>
    </row>
    <row r="13529" spans="1:1" x14ac:dyDescent="0.2">
      <c r="A13529" s="996" t="str">
        <f>CONCATENATE(Programme!D13530,Programme!E13530,Programme!F13530,Programme!G13530,Programme!H13530,Programme!I13530,Programme!J13530)</f>
        <v>&lt;cellule&gt;&lt;codeEdi&gt;1085&lt;/codeEdi&gt;&lt;/cellule&gt;</v>
      </c>
    </row>
    <row r="13530" spans="1:1" x14ac:dyDescent="0.2">
      <c r="A13530" s="996" t="str">
        <f>CONCATENATE(Programme!D13531,Programme!E13531,Programme!F13531,Programme!G13531,Programme!H13531,Programme!I13531,Programme!J13531)</f>
        <v>&lt;valeur&gt;&lt;/valeur&gt;</v>
      </c>
    </row>
    <row r="13531" spans="1:1" x14ac:dyDescent="0.2">
      <c r="A13531" s="996" t="str">
        <f>CONCATENATE(Programme!D13532,Programme!E13532,Programme!F13532,Programme!G13532,Programme!H13532,Programme!I13532,Programme!J13532)</f>
        <v>&lt;numeroLigne&gt;107&lt;/numeroLigne&gt;</v>
      </c>
    </row>
    <row r="13532" spans="1:1" x14ac:dyDescent="0.2">
      <c r="A13532" s="996" t="str">
        <f>CONCATENATE(Programme!D13533,Programme!E13533,Programme!F13533,Programme!G13533,Programme!H13533,Programme!I13533,Programme!J13533)</f>
        <v>&lt;/ValeurCellule&gt;</v>
      </c>
    </row>
    <row r="13533" spans="1:1" x14ac:dyDescent="0.2">
      <c r="A13533" s="996" t="str">
        <f>CONCATENATE(Programme!D13534,Programme!E13534,Programme!F13534,Programme!G13534,Programme!H13534,Programme!I13534,Programme!J13534)</f>
        <v>&lt;ValeurCellule&gt;</v>
      </c>
    </row>
    <row r="13534" spans="1:1" x14ac:dyDescent="0.2">
      <c r="A13534" s="996" t="str">
        <f>CONCATENATE(Programme!D13535,Programme!E13535,Programme!F13535,Programme!G13535,Programme!H13535,Programme!I13535,Programme!J13535)</f>
        <v>&lt;cellule&gt;&lt;codeEdi&gt;1086&lt;/codeEdi&gt;&lt;/cellule&gt;</v>
      </c>
    </row>
    <row r="13535" spans="1:1" x14ac:dyDescent="0.2">
      <c r="A13535" s="996" t="str">
        <f>CONCATENATE(Programme!D13536,Programme!E13536,Programme!F13536,Programme!G13536,Programme!H13536,Programme!I13536,Programme!J13536)</f>
        <v>&lt;valeur&gt;&lt;/valeur&gt;</v>
      </c>
    </row>
    <row r="13536" spans="1:1" x14ac:dyDescent="0.2">
      <c r="A13536" s="996" t="str">
        <f>CONCATENATE(Programme!D13537,Programme!E13537,Programme!F13537,Programme!G13537,Programme!H13537,Programme!I13537,Programme!J13537)</f>
        <v>&lt;numeroLigne&gt;107&lt;/numeroLigne&gt;</v>
      </c>
    </row>
    <row r="13537" spans="1:1" x14ac:dyDescent="0.2">
      <c r="A13537" s="996" t="str">
        <f>CONCATENATE(Programme!D13538,Programme!E13538,Programme!F13538,Programme!G13538,Programme!H13538,Programme!I13538,Programme!J13538)</f>
        <v>&lt;/ValeurCellule&gt;</v>
      </c>
    </row>
    <row r="13538" spans="1:1" x14ac:dyDescent="0.2">
      <c r="A13538" s="996" t="str">
        <f>CONCATENATE(Programme!D13539,Programme!E13539,Programme!F13539,Programme!G13539,Programme!H13539,Programme!I13539,Programme!J13539)</f>
        <v>&lt;ValeurCellule&gt;</v>
      </c>
    </row>
    <row r="13539" spans="1:1" x14ac:dyDescent="0.2">
      <c r="A13539" s="996" t="str">
        <f>CONCATENATE(Programme!D13540,Programme!E13540,Programme!F13540,Programme!G13540,Programme!H13540,Programme!I13540,Programme!J13540)</f>
        <v>&lt;cellule&gt;&lt;codeEdi&gt;10061&lt;/codeEdi&gt;&lt;/cellule&gt;</v>
      </c>
    </row>
    <row r="13540" spans="1:1" x14ac:dyDescent="0.2">
      <c r="A13540" s="996" t="str">
        <f>CONCATENATE(Programme!D13541,Programme!E13541,Programme!F13541,Programme!G13541,Programme!H13541,Programme!I13541,Programme!J13541)</f>
        <v>&lt;valeur&gt;&lt;/valeur&gt;</v>
      </c>
    </row>
    <row r="13541" spans="1:1" x14ac:dyDescent="0.2">
      <c r="A13541" s="996" t="str">
        <f>CONCATENATE(Programme!D13542,Programme!E13542,Programme!F13542,Programme!G13542,Programme!H13542,Programme!I13542,Programme!J13542)</f>
        <v>&lt;numeroLigne&gt;108&lt;/numeroLigne&gt;</v>
      </c>
    </row>
    <row r="13542" spans="1:1" x14ac:dyDescent="0.2">
      <c r="A13542" s="996" t="str">
        <f>CONCATENATE(Programme!D13543,Programme!E13543,Programme!F13543,Programme!G13543,Programme!H13543,Programme!I13543,Programme!J13543)</f>
        <v>&lt;/ValeurCellule&gt;</v>
      </c>
    </row>
    <row r="13543" spans="1:1" x14ac:dyDescent="0.2">
      <c r="A13543" s="996" t="str">
        <f>CONCATENATE(Programme!D13544,Programme!E13544,Programme!F13544,Programme!G13544,Programme!H13544,Programme!I13544,Programme!J13544)</f>
        <v>&lt;ValeurCellule&gt;</v>
      </c>
    </row>
    <row r="13544" spans="1:1" x14ac:dyDescent="0.2">
      <c r="A13544" s="996" t="str">
        <f>CONCATENATE(Programme!D13545,Programme!E13545,Programme!F13545,Programme!G13545,Programme!H13545,Programme!I13545,Programme!J13545)</f>
        <v>&lt;cellule&gt;&lt;codeEdi&gt;1078&lt;/codeEdi&gt;&lt;/cellule&gt;</v>
      </c>
    </row>
    <row r="13545" spans="1:1" x14ac:dyDescent="0.2">
      <c r="A13545" s="996" t="str">
        <f>CONCATENATE(Programme!D13546,Programme!E13546,Programme!F13546,Programme!G13546,Programme!H13546,Programme!I13546,Programme!J13546)</f>
        <v>&lt;valeur&gt;&lt;/valeur&gt;</v>
      </c>
    </row>
    <row r="13546" spans="1:1" x14ac:dyDescent="0.2">
      <c r="A13546" s="996" t="str">
        <f>CONCATENATE(Programme!D13547,Programme!E13547,Programme!F13547,Programme!G13547,Programme!H13547,Programme!I13547,Programme!J13547)</f>
        <v>&lt;numeroLigne&gt;108&lt;/numeroLigne&gt;</v>
      </c>
    </row>
    <row r="13547" spans="1:1" x14ac:dyDescent="0.2">
      <c r="A13547" s="996" t="str">
        <f>CONCATENATE(Programme!D13548,Programme!E13548,Programme!F13548,Programme!G13548,Programme!H13548,Programme!I13548,Programme!J13548)</f>
        <v>&lt;/ValeurCellule&gt;</v>
      </c>
    </row>
    <row r="13548" spans="1:1" x14ac:dyDescent="0.2">
      <c r="A13548" s="996" t="str">
        <f>CONCATENATE(Programme!D13549,Programme!E13549,Programme!F13549,Programme!G13549,Programme!H13549,Programme!I13549,Programme!J13549)</f>
        <v>&lt;ValeurCellule&gt;</v>
      </c>
    </row>
    <row r="13549" spans="1:1" x14ac:dyDescent="0.2">
      <c r="A13549" s="996" t="str">
        <f>CONCATENATE(Programme!D13550,Programme!E13550,Programme!F13550,Programme!G13550,Programme!H13550,Programme!I13550,Programme!J13550)</f>
        <v>&lt;cellule&gt;&lt;codeEdi&gt;1079&lt;/codeEdi&gt;&lt;/cellule&gt;</v>
      </c>
    </row>
    <row r="13550" spans="1:1" x14ac:dyDescent="0.2">
      <c r="A13550" s="996" t="str">
        <f>CONCATENATE(Programme!D13551,Programme!E13551,Programme!F13551,Programme!G13551,Programme!H13551,Programme!I13551,Programme!J13551)</f>
        <v>&lt;valeur&gt;&lt;/valeur&gt;</v>
      </c>
    </row>
    <row r="13551" spans="1:1" x14ac:dyDescent="0.2">
      <c r="A13551" s="996" t="str">
        <f>CONCATENATE(Programme!D13552,Programme!E13552,Programme!F13552,Programme!G13552,Programme!H13552,Programme!I13552,Programme!J13552)</f>
        <v>&lt;numeroLigne&gt;108&lt;/numeroLigne&gt;</v>
      </c>
    </row>
    <row r="13552" spans="1:1" x14ac:dyDescent="0.2">
      <c r="A13552" s="996" t="str">
        <f>CONCATENATE(Programme!D13553,Programme!E13553,Programme!F13553,Programme!G13553,Programme!H13553,Programme!I13553,Programme!J13553)</f>
        <v>&lt;/ValeurCellule&gt;</v>
      </c>
    </row>
    <row r="13553" spans="1:1" x14ac:dyDescent="0.2">
      <c r="A13553" s="996" t="str">
        <f>CONCATENATE(Programme!D13554,Programme!E13554,Programme!F13554,Programme!G13554,Programme!H13554,Programme!I13554,Programme!J13554)</f>
        <v>&lt;ValeurCellule&gt;</v>
      </c>
    </row>
    <row r="13554" spans="1:1" x14ac:dyDescent="0.2">
      <c r="A13554" s="996" t="str">
        <f>CONCATENATE(Programme!D13555,Programme!E13555,Programme!F13555,Programme!G13555,Programme!H13555,Programme!I13555,Programme!J13555)</f>
        <v>&lt;cellule&gt;&lt;codeEdi&gt;1080&lt;/codeEdi&gt;&lt;/cellule&gt;</v>
      </c>
    </row>
    <row r="13555" spans="1:1" x14ac:dyDescent="0.2">
      <c r="A13555" s="996" t="str">
        <f>CONCATENATE(Programme!D13556,Programme!E13556,Programme!F13556,Programme!G13556,Programme!H13556,Programme!I13556,Programme!J13556)</f>
        <v>&lt;valeur&gt;&lt;/valeur&gt;</v>
      </c>
    </row>
    <row r="13556" spans="1:1" x14ac:dyDescent="0.2">
      <c r="A13556" s="996" t="str">
        <f>CONCATENATE(Programme!D13557,Programme!E13557,Programme!F13557,Programme!G13557,Programme!H13557,Programme!I13557,Programme!J13557)</f>
        <v>&lt;numeroLigne&gt;108&lt;/numeroLigne&gt;</v>
      </c>
    </row>
    <row r="13557" spans="1:1" x14ac:dyDescent="0.2">
      <c r="A13557" s="996" t="str">
        <f>CONCATENATE(Programme!D13558,Programme!E13558,Programme!F13558,Programme!G13558,Programme!H13558,Programme!I13558,Programme!J13558)</f>
        <v>&lt;/ValeurCellule&gt;</v>
      </c>
    </row>
    <row r="13558" spans="1:1" x14ac:dyDescent="0.2">
      <c r="A13558" s="996" t="str">
        <f>CONCATENATE(Programme!D13559,Programme!E13559,Programme!F13559,Programme!G13559,Programme!H13559,Programme!I13559,Programme!J13559)</f>
        <v>&lt;ValeurCellule&gt;</v>
      </c>
    </row>
    <row r="13559" spans="1:1" x14ac:dyDescent="0.2">
      <c r="A13559" s="996" t="str">
        <f>CONCATENATE(Programme!D13560,Programme!E13560,Programme!F13560,Programme!G13560,Programme!H13560,Programme!I13560,Programme!J13560)</f>
        <v>&lt;cellule&gt;&lt;codeEdi&gt;1081&lt;/codeEdi&gt;&lt;/cellule&gt;</v>
      </c>
    </row>
    <row r="13560" spans="1:1" x14ac:dyDescent="0.2">
      <c r="A13560" s="996" t="str">
        <f>CONCATENATE(Programme!D13561,Programme!E13561,Programme!F13561,Programme!G13561,Programme!H13561,Programme!I13561,Programme!J13561)</f>
        <v>&lt;valeur&gt;&lt;/valeur&gt;</v>
      </c>
    </row>
    <row r="13561" spans="1:1" x14ac:dyDescent="0.2">
      <c r="A13561" s="996" t="str">
        <f>CONCATENATE(Programme!D13562,Programme!E13562,Programme!F13562,Programme!G13562,Programme!H13562,Programme!I13562,Programme!J13562)</f>
        <v>&lt;numeroLigne&gt;108&lt;/numeroLigne&gt;</v>
      </c>
    </row>
    <row r="13562" spans="1:1" x14ac:dyDescent="0.2">
      <c r="A13562" s="996" t="str">
        <f>CONCATENATE(Programme!D13563,Programme!E13563,Programme!F13563,Programme!G13563,Programme!H13563,Programme!I13563,Programme!J13563)</f>
        <v>&lt;/ValeurCellule&gt;</v>
      </c>
    </row>
    <row r="13563" spans="1:1" x14ac:dyDescent="0.2">
      <c r="A13563" s="996" t="str">
        <f>CONCATENATE(Programme!D13564,Programme!E13564,Programme!F13564,Programme!G13564,Programme!H13564,Programme!I13564,Programme!J13564)</f>
        <v>&lt;ValeurCellule&gt;</v>
      </c>
    </row>
    <row r="13564" spans="1:1" x14ac:dyDescent="0.2">
      <c r="A13564" s="996" t="str">
        <f>CONCATENATE(Programme!D13565,Programme!E13565,Programme!F13565,Programme!G13565,Programme!H13565,Programme!I13565,Programme!J13565)</f>
        <v>&lt;cellule&gt;&lt;codeEdi&gt;1082&lt;/codeEdi&gt;&lt;/cellule&gt;</v>
      </c>
    </row>
    <row r="13565" spans="1:1" x14ac:dyDescent="0.2">
      <c r="A13565" s="996" t="str">
        <f>CONCATENATE(Programme!D13566,Programme!E13566,Programme!F13566,Programme!G13566,Programme!H13566,Programme!I13566,Programme!J13566)</f>
        <v>&lt;valeur&gt;&lt;/valeur&gt;</v>
      </c>
    </row>
    <row r="13566" spans="1:1" x14ac:dyDescent="0.2">
      <c r="A13566" s="996" t="str">
        <f>CONCATENATE(Programme!D13567,Programme!E13567,Programme!F13567,Programme!G13567,Programme!H13567,Programme!I13567,Programme!J13567)</f>
        <v>&lt;numeroLigne&gt;108&lt;/numeroLigne&gt;</v>
      </c>
    </row>
    <row r="13567" spans="1:1" x14ac:dyDescent="0.2">
      <c r="A13567" s="996" t="str">
        <f>CONCATENATE(Programme!D13568,Programme!E13568,Programme!F13568,Programme!G13568,Programme!H13568,Programme!I13568,Programme!J13568)</f>
        <v>&lt;/ValeurCellule&gt;</v>
      </c>
    </row>
    <row r="13568" spans="1:1" x14ac:dyDescent="0.2">
      <c r="A13568" s="996" t="str">
        <f>CONCATENATE(Programme!D13569,Programme!E13569,Programme!F13569,Programme!G13569,Programme!H13569,Programme!I13569,Programme!J13569)</f>
        <v>&lt;ValeurCellule&gt;</v>
      </c>
    </row>
    <row r="13569" spans="1:1" x14ac:dyDescent="0.2">
      <c r="A13569" s="996" t="str">
        <f>CONCATENATE(Programme!D13570,Programme!E13570,Programme!F13570,Programme!G13570,Programme!H13570,Programme!I13570,Programme!J13570)</f>
        <v>&lt;cellule&gt;&lt;codeEdi&gt;1083&lt;/codeEdi&gt;&lt;/cellule&gt;</v>
      </c>
    </row>
    <row r="13570" spans="1:1" x14ac:dyDescent="0.2">
      <c r="A13570" s="996" t="str">
        <f>CONCATENATE(Programme!D13571,Programme!E13571,Programme!F13571,Programme!G13571,Programme!H13571,Programme!I13571,Programme!J13571)</f>
        <v>&lt;valeur&gt;&lt;/valeur&gt;</v>
      </c>
    </row>
    <row r="13571" spans="1:1" x14ac:dyDescent="0.2">
      <c r="A13571" s="996" t="str">
        <f>CONCATENATE(Programme!D13572,Programme!E13572,Programme!F13572,Programme!G13572,Programme!H13572,Programme!I13572,Programme!J13572)</f>
        <v>&lt;numeroLigne&gt;108&lt;/numeroLigne&gt;</v>
      </c>
    </row>
    <row r="13572" spans="1:1" x14ac:dyDescent="0.2">
      <c r="A13572" s="996" t="str">
        <f>CONCATENATE(Programme!D13573,Programme!E13573,Programme!F13573,Programme!G13573,Programme!H13573,Programme!I13573,Programme!J13573)</f>
        <v>&lt;/ValeurCellule&gt;</v>
      </c>
    </row>
    <row r="13573" spans="1:1" x14ac:dyDescent="0.2">
      <c r="A13573" s="996" t="str">
        <f>CONCATENATE(Programme!D13574,Programme!E13574,Programme!F13574,Programme!G13574,Programme!H13574,Programme!I13574,Programme!J13574)</f>
        <v>&lt;ValeurCellule&gt;</v>
      </c>
    </row>
    <row r="13574" spans="1:1" x14ac:dyDescent="0.2">
      <c r="A13574" s="996" t="str">
        <f>CONCATENATE(Programme!D13575,Programme!E13575,Programme!F13575,Programme!G13575,Programme!H13575,Programme!I13575,Programme!J13575)</f>
        <v>&lt;cellule&gt;&lt;codeEdi&gt;1084&lt;/codeEdi&gt;&lt;/cellule&gt;</v>
      </c>
    </row>
    <row r="13575" spans="1:1" x14ac:dyDescent="0.2">
      <c r="A13575" s="996" t="str">
        <f>CONCATENATE(Programme!D13576,Programme!E13576,Programme!F13576,Programme!G13576,Programme!H13576,Programme!I13576,Programme!J13576)</f>
        <v>&lt;valeur&gt;&lt;/valeur&gt;</v>
      </c>
    </row>
    <row r="13576" spans="1:1" x14ac:dyDescent="0.2">
      <c r="A13576" s="996" t="str">
        <f>CONCATENATE(Programme!D13577,Programme!E13577,Programme!F13577,Programme!G13577,Programme!H13577,Programme!I13577,Programme!J13577)</f>
        <v>&lt;numeroLigne&gt;108&lt;/numeroLigne&gt;</v>
      </c>
    </row>
    <row r="13577" spans="1:1" x14ac:dyDescent="0.2">
      <c r="A13577" s="996" t="str">
        <f>CONCATENATE(Programme!D13578,Programme!E13578,Programme!F13578,Programme!G13578,Programme!H13578,Programme!I13578,Programme!J13578)</f>
        <v>&lt;/ValeurCellule&gt;</v>
      </c>
    </row>
    <row r="13578" spans="1:1" x14ac:dyDescent="0.2">
      <c r="A13578" s="996" t="str">
        <f>CONCATENATE(Programme!D13579,Programme!E13579,Programme!F13579,Programme!G13579,Programme!H13579,Programme!I13579,Programme!J13579)</f>
        <v>&lt;ValeurCellule&gt;</v>
      </c>
    </row>
    <row r="13579" spans="1:1" x14ac:dyDescent="0.2">
      <c r="A13579" s="996" t="str">
        <f>CONCATENATE(Programme!D13580,Programme!E13580,Programme!F13580,Programme!G13580,Programme!H13580,Programme!I13580,Programme!J13580)</f>
        <v>&lt;cellule&gt;&lt;codeEdi&gt;1085&lt;/codeEdi&gt;&lt;/cellule&gt;</v>
      </c>
    </row>
    <row r="13580" spans="1:1" x14ac:dyDescent="0.2">
      <c r="A13580" s="996" t="str">
        <f>CONCATENATE(Programme!D13581,Programme!E13581,Programme!F13581,Programme!G13581,Programme!H13581,Programme!I13581,Programme!J13581)</f>
        <v>&lt;valeur&gt;&lt;/valeur&gt;</v>
      </c>
    </row>
    <row r="13581" spans="1:1" x14ac:dyDescent="0.2">
      <c r="A13581" s="996" t="str">
        <f>CONCATENATE(Programme!D13582,Programme!E13582,Programme!F13582,Programme!G13582,Programme!H13582,Programme!I13582,Programme!J13582)</f>
        <v>&lt;numeroLigne&gt;108&lt;/numeroLigne&gt;</v>
      </c>
    </row>
    <row r="13582" spans="1:1" x14ac:dyDescent="0.2">
      <c r="A13582" s="996" t="str">
        <f>CONCATENATE(Programme!D13583,Programme!E13583,Programme!F13583,Programme!G13583,Programme!H13583,Programme!I13583,Programme!J13583)</f>
        <v>&lt;/ValeurCellule&gt;</v>
      </c>
    </row>
    <row r="13583" spans="1:1" x14ac:dyDescent="0.2">
      <c r="A13583" s="996" t="str">
        <f>CONCATENATE(Programme!D13584,Programme!E13584,Programme!F13584,Programme!G13584,Programme!H13584,Programme!I13584,Programme!J13584)</f>
        <v>&lt;ValeurCellule&gt;</v>
      </c>
    </row>
    <row r="13584" spans="1:1" x14ac:dyDescent="0.2">
      <c r="A13584" s="996" t="str">
        <f>CONCATENATE(Programme!D13585,Programme!E13585,Programme!F13585,Programme!G13585,Programme!H13585,Programme!I13585,Programme!J13585)</f>
        <v>&lt;cellule&gt;&lt;codeEdi&gt;1086&lt;/codeEdi&gt;&lt;/cellule&gt;</v>
      </c>
    </row>
    <row r="13585" spans="1:1" x14ac:dyDescent="0.2">
      <c r="A13585" s="996" t="str">
        <f>CONCATENATE(Programme!D13586,Programme!E13586,Programme!F13586,Programme!G13586,Programme!H13586,Programme!I13586,Programme!J13586)</f>
        <v>&lt;valeur&gt;&lt;/valeur&gt;</v>
      </c>
    </row>
    <row r="13586" spans="1:1" x14ac:dyDescent="0.2">
      <c r="A13586" s="996" t="str">
        <f>CONCATENATE(Programme!D13587,Programme!E13587,Programme!F13587,Programme!G13587,Programme!H13587,Programme!I13587,Programme!J13587)</f>
        <v>&lt;numeroLigne&gt;108&lt;/numeroLigne&gt;</v>
      </c>
    </row>
    <row r="13587" spans="1:1" x14ac:dyDescent="0.2">
      <c r="A13587" s="996" t="str">
        <f>CONCATENATE(Programme!D13588,Programme!E13588,Programme!F13588,Programme!G13588,Programme!H13588,Programme!I13588,Programme!J13588)</f>
        <v>&lt;/ValeurCellule&gt;</v>
      </c>
    </row>
    <row r="13588" spans="1:1" x14ac:dyDescent="0.2">
      <c r="A13588" s="996" t="str">
        <f>CONCATENATE(Programme!D13589,Programme!E13589,Programme!F13589,Programme!G13589,Programme!H13589,Programme!I13589,Programme!J13589)</f>
        <v>&lt;ValeurCellule&gt;</v>
      </c>
    </row>
    <row r="13589" spans="1:1" x14ac:dyDescent="0.2">
      <c r="A13589" s="996" t="str">
        <f>CONCATENATE(Programme!D13590,Programme!E13590,Programme!F13590,Programme!G13590,Programme!H13590,Programme!I13590,Programme!J13590)</f>
        <v>&lt;cellule&gt;&lt;codeEdi&gt;10061&lt;/codeEdi&gt;&lt;/cellule&gt;</v>
      </c>
    </row>
    <row r="13590" spans="1:1" x14ac:dyDescent="0.2">
      <c r="A13590" s="996" t="str">
        <f>CONCATENATE(Programme!D13591,Programme!E13591,Programme!F13591,Programme!G13591,Programme!H13591,Programme!I13591,Programme!J13591)</f>
        <v>&lt;valeur&gt;&lt;/valeur&gt;</v>
      </c>
    </row>
    <row r="13591" spans="1:1" x14ac:dyDescent="0.2">
      <c r="A13591" s="996" t="str">
        <f>CONCATENATE(Programme!D13592,Programme!E13592,Programme!F13592,Programme!G13592,Programme!H13592,Programme!I13592,Programme!J13592)</f>
        <v>&lt;numeroLigne&gt;109&lt;/numeroLigne&gt;</v>
      </c>
    </row>
    <row r="13592" spans="1:1" x14ac:dyDescent="0.2">
      <c r="A13592" s="996" t="str">
        <f>CONCATENATE(Programme!D13593,Programme!E13593,Programme!F13593,Programme!G13593,Programme!H13593,Programme!I13593,Programme!J13593)</f>
        <v>&lt;/ValeurCellule&gt;</v>
      </c>
    </row>
    <row r="13593" spans="1:1" x14ac:dyDescent="0.2">
      <c r="A13593" s="996" t="str">
        <f>CONCATENATE(Programme!D13594,Programme!E13594,Programme!F13594,Programme!G13594,Programme!H13594,Programme!I13594,Programme!J13594)</f>
        <v>&lt;ValeurCellule&gt;</v>
      </c>
    </row>
    <row r="13594" spans="1:1" x14ac:dyDescent="0.2">
      <c r="A13594" s="996" t="str">
        <f>CONCATENATE(Programme!D13595,Programme!E13595,Programme!F13595,Programme!G13595,Programme!H13595,Programme!I13595,Programme!J13595)</f>
        <v>&lt;cellule&gt;&lt;codeEdi&gt;1078&lt;/codeEdi&gt;&lt;/cellule&gt;</v>
      </c>
    </row>
    <row r="13595" spans="1:1" x14ac:dyDescent="0.2">
      <c r="A13595" s="996" t="str">
        <f>CONCATENATE(Programme!D13596,Programme!E13596,Programme!F13596,Programme!G13596,Programme!H13596,Programme!I13596,Programme!J13596)</f>
        <v>&lt;valeur&gt;&lt;/valeur&gt;</v>
      </c>
    </row>
    <row r="13596" spans="1:1" x14ac:dyDescent="0.2">
      <c r="A13596" s="996" t="str">
        <f>CONCATENATE(Programme!D13597,Programme!E13597,Programme!F13597,Programme!G13597,Programme!H13597,Programme!I13597,Programme!J13597)</f>
        <v>&lt;numeroLigne&gt;109&lt;/numeroLigne&gt;</v>
      </c>
    </row>
    <row r="13597" spans="1:1" x14ac:dyDescent="0.2">
      <c r="A13597" s="996" t="str">
        <f>CONCATENATE(Programme!D13598,Programme!E13598,Programme!F13598,Programme!G13598,Programme!H13598,Programme!I13598,Programme!J13598)</f>
        <v>&lt;/ValeurCellule&gt;</v>
      </c>
    </row>
    <row r="13598" spans="1:1" x14ac:dyDescent="0.2">
      <c r="A13598" s="996" t="str">
        <f>CONCATENATE(Programme!D13599,Programme!E13599,Programme!F13599,Programme!G13599,Programme!H13599,Programme!I13599,Programme!J13599)</f>
        <v>&lt;ValeurCellule&gt;</v>
      </c>
    </row>
    <row r="13599" spans="1:1" x14ac:dyDescent="0.2">
      <c r="A13599" s="996" t="str">
        <f>CONCATENATE(Programme!D13600,Programme!E13600,Programme!F13600,Programme!G13600,Programme!H13600,Programme!I13600,Programme!J13600)</f>
        <v>&lt;cellule&gt;&lt;codeEdi&gt;1079&lt;/codeEdi&gt;&lt;/cellule&gt;</v>
      </c>
    </row>
    <row r="13600" spans="1:1" x14ac:dyDescent="0.2">
      <c r="A13600" s="996" t="str">
        <f>CONCATENATE(Programme!D13601,Programme!E13601,Programme!F13601,Programme!G13601,Programme!H13601,Programme!I13601,Programme!J13601)</f>
        <v>&lt;valeur&gt;&lt;/valeur&gt;</v>
      </c>
    </row>
    <row r="13601" spans="1:1" x14ac:dyDescent="0.2">
      <c r="A13601" s="996" t="str">
        <f>CONCATENATE(Programme!D13602,Programme!E13602,Programme!F13602,Programme!G13602,Programme!H13602,Programme!I13602,Programme!J13602)</f>
        <v>&lt;numeroLigne&gt;109&lt;/numeroLigne&gt;</v>
      </c>
    </row>
    <row r="13602" spans="1:1" x14ac:dyDescent="0.2">
      <c r="A13602" s="996" t="str">
        <f>CONCATENATE(Programme!D13603,Programme!E13603,Programme!F13603,Programme!G13603,Programme!H13603,Programme!I13603,Programme!J13603)</f>
        <v>&lt;/ValeurCellule&gt;</v>
      </c>
    </row>
    <row r="13603" spans="1:1" x14ac:dyDescent="0.2">
      <c r="A13603" s="996" t="str">
        <f>CONCATENATE(Programme!D13604,Programme!E13604,Programme!F13604,Programme!G13604,Programme!H13604,Programme!I13604,Programme!J13604)</f>
        <v>&lt;ValeurCellule&gt;</v>
      </c>
    </row>
    <row r="13604" spans="1:1" x14ac:dyDescent="0.2">
      <c r="A13604" s="996" t="str">
        <f>CONCATENATE(Programme!D13605,Programme!E13605,Programme!F13605,Programme!G13605,Programme!H13605,Programme!I13605,Programme!J13605)</f>
        <v>&lt;cellule&gt;&lt;codeEdi&gt;1080&lt;/codeEdi&gt;&lt;/cellule&gt;</v>
      </c>
    </row>
    <row r="13605" spans="1:1" x14ac:dyDescent="0.2">
      <c r="A13605" s="996" t="str">
        <f>CONCATENATE(Programme!D13606,Programme!E13606,Programme!F13606,Programme!G13606,Programme!H13606,Programme!I13606,Programme!J13606)</f>
        <v>&lt;valeur&gt;&lt;/valeur&gt;</v>
      </c>
    </row>
    <row r="13606" spans="1:1" x14ac:dyDescent="0.2">
      <c r="A13606" s="996" t="str">
        <f>CONCATENATE(Programme!D13607,Programme!E13607,Programme!F13607,Programme!G13607,Programme!H13607,Programme!I13607,Programme!J13607)</f>
        <v>&lt;numeroLigne&gt;109&lt;/numeroLigne&gt;</v>
      </c>
    </row>
    <row r="13607" spans="1:1" x14ac:dyDescent="0.2">
      <c r="A13607" s="996" t="str">
        <f>CONCATENATE(Programme!D13608,Programme!E13608,Programme!F13608,Programme!G13608,Programme!H13608,Programme!I13608,Programme!J13608)</f>
        <v>&lt;/ValeurCellule&gt;</v>
      </c>
    </row>
    <row r="13608" spans="1:1" x14ac:dyDescent="0.2">
      <c r="A13608" s="996" t="str">
        <f>CONCATENATE(Programme!D13609,Programme!E13609,Programme!F13609,Programme!G13609,Programme!H13609,Programme!I13609,Programme!J13609)</f>
        <v>&lt;ValeurCellule&gt;</v>
      </c>
    </row>
    <row r="13609" spans="1:1" x14ac:dyDescent="0.2">
      <c r="A13609" s="996" t="str">
        <f>CONCATENATE(Programme!D13610,Programme!E13610,Programme!F13610,Programme!G13610,Programme!H13610,Programme!I13610,Programme!J13610)</f>
        <v>&lt;cellule&gt;&lt;codeEdi&gt;1081&lt;/codeEdi&gt;&lt;/cellule&gt;</v>
      </c>
    </row>
    <row r="13610" spans="1:1" x14ac:dyDescent="0.2">
      <c r="A13610" s="996" t="str">
        <f>CONCATENATE(Programme!D13611,Programme!E13611,Programme!F13611,Programme!G13611,Programme!H13611,Programme!I13611,Programme!J13611)</f>
        <v>&lt;valeur&gt;&lt;/valeur&gt;</v>
      </c>
    </row>
    <row r="13611" spans="1:1" x14ac:dyDescent="0.2">
      <c r="A13611" s="996" t="str">
        <f>CONCATENATE(Programme!D13612,Programme!E13612,Programme!F13612,Programme!G13612,Programme!H13612,Programme!I13612,Programme!J13612)</f>
        <v>&lt;numeroLigne&gt;109&lt;/numeroLigne&gt;</v>
      </c>
    </row>
    <row r="13612" spans="1:1" x14ac:dyDescent="0.2">
      <c r="A13612" s="996" t="str">
        <f>CONCATENATE(Programme!D13613,Programme!E13613,Programme!F13613,Programme!G13613,Programme!H13613,Programme!I13613,Programme!J13613)</f>
        <v>&lt;/ValeurCellule&gt;</v>
      </c>
    </row>
    <row r="13613" spans="1:1" x14ac:dyDescent="0.2">
      <c r="A13613" s="996" t="str">
        <f>CONCATENATE(Programme!D13614,Programme!E13614,Programme!F13614,Programme!G13614,Programme!H13614,Programme!I13614,Programme!J13614)</f>
        <v>&lt;ValeurCellule&gt;</v>
      </c>
    </row>
    <row r="13614" spans="1:1" x14ac:dyDescent="0.2">
      <c r="A13614" s="996" t="str">
        <f>CONCATENATE(Programme!D13615,Programme!E13615,Programme!F13615,Programme!G13615,Programme!H13615,Programme!I13615,Programme!J13615)</f>
        <v>&lt;cellule&gt;&lt;codeEdi&gt;1082&lt;/codeEdi&gt;&lt;/cellule&gt;</v>
      </c>
    </row>
    <row r="13615" spans="1:1" x14ac:dyDescent="0.2">
      <c r="A13615" s="996" t="str">
        <f>CONCATENATE(Programme!D13616,Programme!E13616,Programme!F13616,Programme!G13616,Programme!H13616,Programme!I13616,Programme!J13616)</f>
        <v>&lt;valeur&gt;&lt;/valeur&gt;</v>
      </c>
    </row>
    <row r="13616" spans="1:1" x14ac:dyDescent="0.2">
      <c r="A13616" s="996" t="str">
        <f>CONCATENATE(Programme!D13617,Programme!E13617,Programme!F13617,Programme!G13617,Programme!H13617,Programme!I13617,Programme!J13617)</f>
        <v>&lt;numeroLigne&gt;109&lt;/numeroLigne&gt;</v>
      </c>
    </row>
    <row r="13617" spans="1:1" x14ac:dyDescent="0.2">
      <c r="A13617" s="996" t="str">
        <f>CONCATENATE(Programme!D13618,Programme!E13618,Programme!F13618,Programme!G13618,Programme!H13618,Programme!I13618,Programme!J13618)</f>
        <v>&lt;/ValeurCellule&gt;</v>
      </c>
    </row>
    <row r="13618" spans="1:1" x14ac:dyDescent="0.2">
      <c r="A13618" s="996" t="str">
        <f>CONCATENATE(Programme!D13619,Programme!E13619,Programme!F13619,Programme!G13619,Programme!H13619,Programme!I13619,Programme!J13619)</f>
        <v>&lt;ValeurCellule&gt;</v>
      </c>
    </row>
    <row r="13619" spans="1:1" x14ac:dyDescent="0.2">
      <c r="A13619" s="996" t="str">
        <f>CONCATENATE(Programme!D13620,Programme!E13620,Programme!F13620,Programme!G13620,Programme!H13620,Programme!I13620,Programme!J13620)</f>
        <v>&lt;cellule&gt;&lt;codeEdi&gt;1083&lt;/codeEdi&gt;&lt;/cellule&gt;</v>
      </c>
    </row>
    <row r="13620" spans="1:1" x14ac:dyDescent="0.2">
      <c r="A13620" s="996" t="str">
        <f>CONCATENATE(Programme!D13621,Programme!E13621,Programme!F13621,Programme!G13621,Programme!H13621,Programme!I13621,Programme!J13621)</f>
        <v>&lt;valeur&gt;&lt;/valeur&gt;</v>
      </c>
    </row>
    <row r="13621" spans="1:1" x14ac:dyDescent="0.2">
      <c r="A13621" s="996" t="str">
        <f>CONCATENATE(Programme!D13622,Programme!E13622,Programme!F13622,Programme!G13622,Programme!H13622,Programme!I13622,Programme!J13622)</f>
        <v>&lt;numeroLigne&gt;109&lt;/numeroLigne&gt;</v>
      </c>
    </row>
    <row r="13622" spans="1:1" x14ac:dyDescent="0.2">
      <c r="A13622" s="996" t="str">
        <f>CONCATENATE(Programme!D13623,Programme!E13623,Programme!F13623,Programme!G13623,Programme!H13623,Programme!I13623,Programme!J13623)</f>
        <v>&lt;/ValeurCellule&gt;</v>
      </c>
    </row>
    <row r="13623" spans="1:1" x14ac:dyDescent="0.2">
      <c r="A13623" s="996" t="str">
        <f>CONCATENATE(Programme!D13624,Programme!E13624,Programme!F13624,Programme!G13624,Programme!H13624,Programme!I13624,Programme!J13624)</f>
        <v>&lt;ValeurCellule&gt;</v>
      </c>
    </row>
    <row r="13624" spans="1:1" x14ac:dyDescent="0.2">
      <c r="A13624" s="996" t="str">
        <f>CONCATENATE(Programme!D13625,Programme!E13625,Programme!F13625,Programme!G13625,Programme!H13625,Programme!I13625,Programme!J13625)</f>
        <v>&lt;cellule&gt;&lt;codeEdi&gt;1084&lt;/codeEdi&gt;&lt;/cellule&gt;</v>
      </c>
    </row>
    <row r="13625" spans="1:1" x14ac:dyDescent="0.2">
      <c r="A13625" s="996" t="str">
        <f>CONCATENATE(Programme!D13626,Programme!E13626,Programme!F13626,Programme!G13626,Programme!H13626,Programme!I13626,Programme!J13626)</f>
        <v>&lt;valeur&gt;&lt;/valeur&gt;</v>
      </c>
    </row>
    <row r="13626" spans="1:1" x14ac:dyDescent="0.2">
      <c r="A13626" s="996" t="str">
        <f>CONCATENATE(Programme!D13627,Programme!E13627,Programme!F13627,Programme!G13627,Programme!H13627,Programme!I13627,Programme!J13627)</f>
        <v>&lt;numeroLigne&gt;109&lt;/numeroLigne&gt;</v>
      </c>
    </row>
    <row r="13627" spans="1:1" x14ac:dyDescent="0.2">
      <c r="A13627" s="996" t="str">
        <f>CONCATENATE(Programme!D13628,Programme!E13628,Programme!F13628,Programme!G13628,Programme!H13628,Programme!I13628,Programme!J13628)</f>
        <v>&lt;/ValeurCellule&gt;</v>
      </c>
    </row>
    <row r="13628" spans="1:1" x14ac:dyDescent="0.2">
      <c r="A13628" s="996" t="str">
        <f>CONCATENATE(Programme!D13629,Programme!E13629,Programme!F13629,Programme!G13629,Programme!H13629,Programme!I13629,Programme!J13629)</f>
        <v>&lt;ValeurCellule&gt;</v>
      </c>
    </row>
    <row r="13629" spans="1:1" x14ac:dyDescent="0.2">
      <c r="A13629" s="996" t="str">
        <f>CONCATENATE(Programme!D13630,Programme!E13630,Programme!F13630,Programme!G13630,Programme!H13630,Programme!I13630,Programme!J13630)</f>
        <v>&lt;cellule&gt;&lt;codeEdi&gt;1085&lt;/codeEdi&gt;&lt;/cellule&gt;</v>
      </c>
    </row>
    <row r="13630" spans="1:1" x14ac:dyDescent="0.2">
      <c r="A13630" s="996" t="str">
        <f>CONCATENATE(Programme!D13631,Programme!E13631,Programme!F13631,Programme!G13631,Programme!H13631,Programme!I13631,Programme!J13631)</f>
        <v>&lt;valeur&gt;&lt;/valeur&gt;</v>
      </c>
    </row>
    <row r="13631" spans="1:1" x14ac:dyDescent="0.2">
      <c r="A13631" s="996" t="str">
        <f>CONCATENATE(Programme!D13632,Programme!E13632,Programme!F13632,Programme!G13632,Programme!H13632,Programme!I13632,Programme!J13632)</f>
        <v>&lt;numeroLigne&gt;109&lt;/numeroLigne&gt;</v>
      </c>
    </row>
    <row r="13632" spans="1:1" x14ac:dyDescent="0.2">
      <c r="A13632" s="996" t="str">
        <f>CONCATENATE(Programme!D13633,Programme!E13633,Programme!F13633,Programme!G13633,Programme!H13633,Programme!I13633,Programme!J13633)</f>
        <v>&lt;/ValeurCellule&gt;</v>
      </c>
    </row>
    <row r="13633" spans="1:1" x14ac:dyDescent="0.2">
      <c r="A13633" s="996" t="str">
        <f>CONCATENATE(Programme!D13634,Programme!E13634,Programme!F13634,Programme!G13634,Programme!H13634,Programme!I13634,Programme!J13634)</f>
        <v>&lt;ValeurCellule&gt;</v>
      </c>
    </row>
    <row r="13634" spans="1:1" x14ac:dyDescent="0.2">
      <c r="A13634" s="996" t="str">
        <f>CONCATENATE(Programme!D13635,Programme!E13635,Programme!F13635,Programme!G13635,Programme!H13635,Programme!I13635,Programme!J13635)</f>
        <v>&lt;cellule&gt;&lt;codeEdi&gt;1086&lt;/codeEdi&gt;&lt;/cellule&gt;</v>
      </c>
    </row>
    <row r="13635" spans="1:1" x14ac:dyDescent="0.2">
      <c r="A13635" s="996" t="str">
        <f>CONCATENATE(Programme!D13636,Programme!E13636,Programme!F13636,Programme!G13636,Programme!H13636,Programme!I13636,Programme!J13636)</f>
        <v>&lt;valeur&gt;&lt;/valeur&gt;</v>
      </c>
    </row>
    <row r="13636" spans="1:1" x14ac:dyDescent="0.2">
      <c r="A13636" s="996" t="str">
        <f>CONCATENATE(Programme!D13637,Programme!E13637,Programme!F13637,Programme!G13637,Programme!H13637,Programme!I13637,Programme!J13637)</f>
        <v>&lt;numeroLigne&gt;109&lt;/numeroLigne&gt;</v>
      </c>
    </row>
    <row r="13637" spans="1:1" x14ac:dyDescent="0.2">
      <c r="A13637" s="996" t="str">
        <f>CONCATENATE(Programme!D13638,Programme!E13638,Programme!F13638,Programme!G13638,Programme!H13638,Programme!I13638,Programme!J13638)</f>
        <v>&lt;/ValeurCellule&gt;</v>
      </c>
    </row>
    <row r="13638" spans="1:1" x14ac:dyDescent="0.2">
      <c r="A13638" s="996" t="str">
        <f>CONCATENATE(Programme!D13639,Programme!E13639,Programme!F13639,Programme!G13639,Programme!H13639,Programme!I13639,Programme!J13639)</f>
        <v>&lt;ValeurCellule&gt;</v>
      </c>
    </row>
    <row r="13639" spans="1:1" x14ac:dyDescent="0.2">
      <c r="A13639" s="996" t="str">
        <f>CONCATENATE(Programme!D13640,Programme!E13640,Programme!F13640,Programme!G13640,Programme!H13640,Programme!I13640,Programme!J13640)</f>
        <v>&lt;cellule&gt;&lt;codeEdi&gt;10061&lt;/codeEdi&gt;&lt;/cellule&gt;</v>
      </c>
    </row>
    <row r="13640" spans="1:1" x14ac:dyDescent="0.2">
      <c r="A13640" s="996" t="str">
        <f>CONCATENATE(Programme!D13641,Programme!E13641,Programme!F13641,Programme!G13641,Programme!H13641,Programme!I13641,Programme!J13641)</f>
        <v>&lt;valeur&gt;&lt;/valeur&gt;</v>
      </c>
    </row>
    <row r="13641" spans="1:1" x14ac:dyDescent="0.2">
      <c r="A13641" s="996" t="str">
        <f>CONCATENATE(Programme!D13642,Programme!E13642,Programme!F13642,Programme!G13642,Programme!H13642,Programme!I13642,Programme!J13642)</f>
        <v>&lt;numeroLigne&gt;110&lt;/numeroLigne&gt;</v>
      </c>
    </row>
    <row r="13642" spans="1:1" x14ac:dyDescent="0.2">
      <c r="A13642" s="996" t="str">
        <f>CONCATENATE(Programme!D13643,Programme!E13643,Programme!F13643,Programme!G13643,Programme!H13643,Programme!I13643,Programme!J13643)</f>
        <v>&lt;/ValeurCellule&gt;</v>
      </c>
    </row>
    <row r="13643" spans="1:1" x14ac:dyDescent="0.2">
      <c r="A13643" s="996" t="str">
        <f>CONCATENATE(Programme!D13644,Programme!E13644,Programme!F13644,Programme!G13644,Programme!H13644,Programme!I13644,Programme!J13644)</f>
        <v>&lt;ValeurCellule&gt;</v>
      </c>
    </row>
    <row r="13644" spans="1:1" x14ac:dyDescent="0.2">
      <c r="A13644" s="996" t="str">
        <f>CONCATENATE(Programme!D13645,Programme!E13645,Programme!F13645,Programme!G13645,Programme!H13645,Programme!I13645,Programme!J13645)</f>
        <v>&lt;cellule&gt;&lt;codeEdi&gt;1078&lt;/codeEdi&gt;&lt;/cellule&gt;</v>
      </c>
    </row>
    <row r="13645" spans="1:1" x14ac:dyDescent="0.2">
      <c r="A13645" s="996" t="str">
        <f>CONCATENATE(Programme!D13646,Programme!E13646,Programme!F13646,Programme!G13646,Programme!H13646,Programme!I13646,Programme!J13646)</f>
        <v>&lt;valeur&gt;&lt;/valeur&gt;</v>
      </c>
    </row>
    <row r="13646" spans="1:1" x14ac:dyDescent="0.2">
      <c r="A13646" s="996" t="str">
        <f>CONCATENATE(Programme!D13647,Programme!E13647,Programme!F13647,Programme!G13647,Programme!H13647,Programme!I13647,Programme!J13647)</f>
        <v>&lt;numeroLigne&gt;110&lt;/numeroLigne&gt;</v>
      </c>
    </row>
    <row r="13647" spans="1:1" x14ac:dyDescent="0.2">
      <c r="A13647" s="996" t="str">
        <f>CONCATENATE(Programme!D13648,Programme!E13648,Programme!F13648,Programme!G13648,Programme!H13648,Programme!I13648,Programme!J13648)</f>
        <v>&lt;/ValeurCellule&gt;</v>
      </c>
    </row>
    <row r="13648" spans="1:1" x14ac:dyDescent="0.2">
      <c r="A13648" s="996" t="str">
        <f>CONCATENATE(Programme!D13649,Programme!E13649,Programme!F13649,Programme!G13649,Programme!H13649,Programme!I13649,Programme!J13649)</f>
        <v>&lt;ValeurCellule&gt;</v>
      </c>
    </row>
    <row r="13649" spans="1:1" x14ac:dyDescent="0.2">
      <c r="A13649" s="996" t="str">
        <f>CONCATENATE(Programme!D13650,Programme!E13650,Programme!F13650,Programme!G13650,Programme!H13650,Programme!I13650,Programme!J13650)</f>
        <v>&lt;cellule&gt;&lt;codeEdi&gt;1079&lt;/codeEdi&gt;&lt;/cellule&gt;</v>
      </c>
    </row>
    <row r="13650" spans="1:1" x14ac:dyDescent="0.2">
      <c r="A13650" s="996" t="str">
        <f>CONCATENATE(Programme!D13651,Programme!E13651,Programme!F13651,Programme!G13651,Programme!H13651,Programme!I13651,Programme!J13651)</f>
        <v>&lt;valeur&gt;&lt;/valeur&gt;</v>
      </c>
    </row>
    <row r="13651" spans="1:1" x14ac:dyDescent="0.2">
      <c r="A13651" s="996" t="str">
        <f>CONCATENATE(Programme!D13652,Programme!E13652,Programme!F13652,Programme!G13652,Programme!H13652,Programme!I13652,Programme!J13652)</f>
        <v>&lt;numeroLigne&gt;110&lt;/numeroLigne&gt;</v>
      </c>
    </row>
    <row r="13652" spans="1:1" x14ac:dyDescent="0.2">
      <c r="A13652" s="996" t="str">
        <f>CONCATENATE(Programme!D13653,Programme!E13653,Programme!F13653,Programme!G13653,Programme!H13653,Programme!I13653,Programme!J13653)</f>
        <v>&lt;/ValeurCellule&gt;</v>
      </c>
    </row>
    <row r="13653" spans="1:1" x14ac:dyDescent="0.2">
      <c r="A13653" s="996" t="str">
        <f>CONCATENATE(Programme!D13654,Programme!E13654,Programme!F13654,Programme!G13654,Programme!H13654,Programme!I13654,Programme!J13654)</f>
        <v>&lt;ValeurCellule&gt;</v>
      </c>
    </row>
    <row r="13654" spans="1:1" x14ac:dyDescent="0.2">
      <c r="A13654" s="996" t="str">
        <f>CONCATENATE(Programme!D13655,Programme!E13655,Programme!F13655,Programme!G13655,Programme!H13655,Programme!I13655,Programme!J13655)</f>
        <v>&lt;cellule&gt;&lt;codeEdi&gt;1080&lt;/codeEdi&gt;&lt;/cellule&gt;</v>
      </c>
    </row>
    <row r="13655" spans="1:1" x14ac:dyDescent="0.2">
      <c r="A13655" s="996" t="str">
        <f>CONCATENATE(Programme!D13656,Programme!E13656,Programme!F13656,Programme!G13656,Programme!H13656,Programme!I13656,Programme!J13656)</f>
        <v>&lt;valeur&gt;&lt;/valeur&gt;</v>
      </c>
    </row>
    <row r="13656" spans="1:1" x14ac:dyDescent="0.2">
      <c r="A13656" s="996" t="str">
        <f>CONCATENATE(Programme!D13657,Programme!E13657,Programme!F13657,Programme!G13657,Programme!H13657,Programme!I13657,Programme!J13657)</f>
        <v>&lt;numeroLigne&gt;110&lt;/numeroLigne&gt;</v>
      </c>
    </row>
    <row r="13657" spans="1:1" x14ac:dyDescent="0.2">
      <c r="A13657" s="996" t="str">
        <f>CONCATENATE(Programme!D13658,Programme!E13658,Programme!F13658,Programme!G13658,Programme!H13658,Programme!I13658,Programme!J13658)</f>
        <v>&lt;/ValeurCellule&gt;</v>
      </c>
    </row>
    <row r="13658" spans="1:1" x14ac:dyDescent="0.2">
      <c r="A13658" s="996" t="str">
        <f>CONCATENATE(Programme!D13659,Programme!E13659,Programme!F13659,Programme!G13659,Programme!H13659,Programme!I13659,Programme!J13659)</f>
        <v>&lt;ValeurCellule&gt;</v>
      </c>
    </row>
    <row r="13659" spans="1:1" x14ac:dyDescent="0.2">
      <c r="A13659" s="996" t="str">
        <f>CONCATENATE(Programme!D13660,Programme!E13660,Programme!F13660,Programme!G13660,Programme!H13660,Programme!I13660,Programme!J13660)</f>
        <v>&lt;cellule&gt;&lt;codeEdi&gt;1081&lt;/codeEdi&gt;&lt;/cellule&gt;</v>
      </c>
    </row>
    <row r="13660" spans="1:1" x14ac:dyDescent="0.2">
      <c r="A13660" s="996" t="str">
        <f>CONCATENATE(Programme!D13661,Programme!E13661,Programme!F13661,Programme!G13661,Programme!H13661,Programme!I13661,Programme!J13661)</f>
        <v>&lt;valeur&gt;&lt;/valeur&gt;</v>
      </c>
    </row>
    <row r="13661" spans="1:1" x14ac:dyDescent="0.2">
      <c r="A13661" s="996" t="str">
        <f>CONCATENATE(Programme!D13662,Programme!E13662,Programme!F13662,Programme!G13662,Programme!H13662,Programme!I13662,Programme!J13662)</f>
        <v>&lt;numeroLigne&gt;110&lt;/numeroLigne&gt;</v>
      </c>
    </row>
    <row r="13662" spans="1:1" x14ac:dyDescent="0.2">
      <c r="A13662" s="996" t="str">
        <f>CONCATENATE(Programme!D13663,Programme!E13663,Programme!F13663,Programme!G13663,Programme!H13663,Programme!I13663,Programme!J13663)</f>
        <v>&lt;/ValeurCellule&gt;</v>
      </c>
    </row>
    <row r="13663" spans="1:1" x14ac:dyDescent="0.2">
      <c r="A13663" s="996" t="str">
        <f>CONCATENATE(Programme!D13664,Programme!E13664,Programme!F13664,Programme!G13664,Programme!H13664,Programme!I13664,Programme!J13664)</f>
        <v>&lt;ValeurCellule&gt;</v>
      </c>
    </row>
    <row r="13664" spans="1:1" x14ac:dyDescent="0.2">
      <c r="A13664" s="996" t="str">
        <f>CONCATENATE(Programme!D13665,Programme!E13665,Programme!F13665,Programme!G13665,Programme!H13665,Programme!I13665,Programme!J13665)</f>
        <v>&lt;cellule&gt;&lt;codeEdi&gt;1082&lt;/codeEdi&gt;&lt;/cellule&gt;</v>
      </c>
    </row>
    <row r="13665" spans="1:1" x14ac:dyDescent="0.2">
      <c r="A13665" s="996" t="str">
        <f>CONCATENATE(Programme!D13666,Programme!E13666,Programme!F13666,Programme!G13666,Programme!H13666,Programme!I13666,Programme!J13666)</f>
        <v>&lt;valeur&gt;&lt;/valeur&gt;</v>
      </c>
    </row>
    <row r="13666" spans="1:1" x14ac:dyDescent="0.2">
      <c r="A13666" s="996" t="str">
        <f>CONCATENATE(Programme!D13667,Programme!E13667,Programme!F13667,Programme!G13667,Programme!H13667,Programme!I13667,Programme!J13667)</f>
        <v>&lt;numeroLigne&gt;110&lt;/numeroLigne&gt;</v>
      </c>
    </row>
    <row r="13667" spans="1:1" x14ac:dyDescent="0.2">
      <c r="A13667" s="996" t="str">
        <f>CONCATENATE(Programme!D13668,Programme!E13668,Programme!F13668,Programme!G13668,Programme!H13668,Programme!I13668,Programme!J13668)</f>
        <v>&lt;/ValeurCellule&gt;</v>
      </c>
    </row>
    <row r="13668" spans="1:1" x14ac:dyDescent="0.2">
      <c r="A13668" s="996" t="str">
        <f>CONCATENATE(Programme!D13669,Programme!E13669,Programme!F13669,Programme!G13669,Programme!H13669,Programme!I13669,Programme!J13669)</f>
        <v>&lt;ValeurCellule&gt;</v>
      </c>
    </row>
    <row r="13669" spans="1:1" x14ac:dyDescent="0.2">
      <c r="A13669" s="996" t="str">
        <f>CONCATENATE(Programme!D13670,Programme!E13670,Programme!F13670,Programme!G13670,Programme!H13670,Programme!I13670,Programme!J13670)</f>
        <v>&lt;cellule&gt;&lt;codeEdi&gt;1083&lt;/codeEdi&gt;&lt;/cellule&gt;</v>
      </c>
    </row>
    <row r="13670" spans="1:1" x14ac:dyDescent="0.2">
      <c r="A13670" s="996" t="str">
        <f>CONCATENATE(Programme!D13671,Programme!E13671,Programme!F13671,Programme!G13671,Programme!H13671,Programme!I13671,Programme!J13671)</f>
        <v>&lt;valeur&gt;&lt;/valeur&gt;</v>
      </c>
    </row>
    <row r="13671" spans="1:1" x14ac:dyDescent="0.2">
      <c r="A13671" s="996" t="str">
        <f>CONCATENATE(Programme!D13672,Programme!E13672,Programme!F13672,Programme!G13672,Programme!H13672,Programme!I13672,Programme!J13672)</f>
        <v>&lt;numeroLigne&gt;110&lt;/numeroLigne&gt;</v>
      </c>
    </row>
    <row r="13672" spans="1:1" x14ac:dyDescent="0.2">
      <c r="A13672" s="996" t="str">
        <f>CONCATENATE(Programme!D13673,Programme!E13673,Programme!F13673,Programme!G13673,Programme!H13673,Programme!I13673,Programme!J13673)</f>
        <v>&lt;/ValeurCellule&gt;</v>
      </c>
    </row>
    <row r="13673" spans="1:1" x14ac:dyDescent="0.2">
      <c r="A13673" s="996" t="str">
        <f>CONCATENATE(Programme!D13674,Programme!E13674,Programme!F13674,Programme!G13674,Programme!H13674,Programme!I13674,Programme!J13674)</f>
        <v>&lt;ValeurCellule&gt;</v>
      </c>
    </row>
    <row r="13674" spans="1:1" x14ac:dyDescent="0.2">
      <c r="A13674" s="996" t="str">
        <f>CONCATENATE(Programme!D13675,Programme!E13675,Programme!F13675,Programme!G13675,Programme!H13675,Programme!I13675,Programme!J13675)</f>
        <v>&lt;cellule&gt;&lt;codeEdi&gt;1084&lt;/codeEdi&gt;&lt;/cellule&gt;</v>
      </c>
    </row>
    <row r="13675" spans="1:1" x14ac:dyDescent="0.2">
      <c r="A13675" s="996" t="str">
        <f>CONCATENATE(Programme!D13676,Programme!E13676,Programme!F13676,Programme!G13676,Programme!H13676,Programme!I13676,Programme!J13676)</f>
        <v>&lt;valeur&gt;&lt;/valeur&gt;</v>
      </c>
    </row>
    <row r="13676" spans="1:1" x14ac:dyDescent="0.2">
      <c r="A13676" s="996" t="str">
        <f>CONCATENATE(Programme!D13677,Programme!E13677,Programme!F13677,Programme!G13677,Programme!H13677,Programme!I13677,Programme!J13677)</f>
        <v>&lt;numeroLigne&gt;110&lt;/numeroLigne&gt;</v>
      </c>
    </row>
    <row r="13677" spans="1:1" x14ac:dyDescent="0.2">
      <c r="A13677" s="996" t="str">
        <f>CONCATENATE(Programme!D13678,Programme!E13678,Programme!F13678,Programme!G13678,Programme!H13678,Programme!I13678,Programme!J13678)</f>
        <v>&lt;/ValeurCellule&gt;</v>
      </c>
    </row>
    <row r="13678" spans="1:1" x14ac:dyDescent="0.2">
      <c r="A13678" s="996" t="str">
        <f>CONCATENATE(Programme!D13679,Programme!E13679,Programme!F13679,Programme!G13679,Programme!H13679,Programme!I13679,Programme!J13679)</f>
        <v>&lt;ValeurCellule&gt;</v>
      </c>
    </row>
    <row r="13679" spans="1:1" x14ac:dyDescent="0.2">
      <c r="A13679" s="996" t="str">
        <f>CONCATENATE(Programme!D13680,Programme!E13680,Programme!F13680,Programme!G13680,Programme!H13680,Programme!I13680,Programme!J13680)</f>
        <v>&lt;cellule&gt;&lt;codeEdi&gt;1085&lt;/codeEdi&gt;&lt;/cellule&gt;</v>
      </c>
    </row>
    <row r="13680" spans="1:1" x14ac:dyDescent="0.2">
      <c r="A13680" s="996" t="str">
        <f>CONCATENATE(Programme!D13681,Programme!E13681,Programme!F13681,Programme!G13681,Programme!H13681,Programme!I13681,Programme!J13681)</f>
        <v>&lt;valeur&gt;&lt;/valeur&gt;</v>
      </c>
    </row>
    <row r="13681" spans="1:1" x14ac:dyDescent="0.2">
      <c r="A13681" s="996" t="str">
        <f>CONCATENATE(Programme!D13682,Programme!E13682,Programme!F13682,Programme!G13682,Programme!H13682,Programme!I13682,Programme!J13682)</f>
        <v>&lt;numeroLigne&gt;110&lt;/numeroLigne&gt;</v>
      </c>
    </row>
    <row r="13682" spans="1:1" x14ac:dyDescent="0.2">
      <c r="A13682" s="996" t="str">
        <f>CONCATENATE(Programme!D13683,Programme!E13683,Programme!F13683,Programme!G13683,Programme!H13683,Programme!I13683,Programme!J13683)</f>
        <v>&lt;/ValeurCellule&gt;</v>
      </c>
    </row>
    <row r="13683" spans="1:1" x14ac:dyDescent="0.2">
      <c r="A13683" s="996" t="str">
        <f>CONCATENATE(Programme!D13684,Programme!E13684,Programme!F13684,Programme!G13684,Programme!H13684,Programme!I13684,Programme!J13684)</f>
        <v>&lt;ValeurCellule&gt;</v>
      </c>
    </row>
    <row r="13684" spans="1:1" x14ac:dyDescent="0.2">
      <c r="A13684" s="996" t="str">
        <f>CONCATENATE(Programme!D13685,Programme!E13685,Programme!F13685,Programme!G13685,Programme!H13685,Programme!I13685,Programme!J13685)</f>
        <v>&lt;cellule&gt;&lt;codeEdi&gt;1086&lt;/codeEdi&gt;&lt;/cellule&gt;</v>
      </c>
    </row>
    <row r="13685" spans="1:1" x14ac:dyDescent="0.2">
      <c r="A13685" s="996" t="str">
        <f>CONCATENATE(Programme!D13686,Programme!E13686,Programme!F13686,Programme!G13686,Programme!H13686,Programme!I13686,Programme!J13686)</f>
        <v>&lt;valeur&gt;&lt;/valeur&gt;</v>
      </c>
    </row>
    <row r="13686" spans="1:1" x14ac:dyDescent="0.2">
      <c r="A13686" s="996" t="str">
        <f>CONCATENATE(Programme!D13687,Programme!E13687,Programme!F13687,Programme!G13687,Programme!H13687,Programme!I13687,Programme!J13687)</f>
        <v>&lt;numeroLigne&gt;110&lt;/numeroLigne&gt;</v>
      </c>
    </row>
    <row r="13687" spans="1:1" x14ac:dyDescent="0.2">
      <c r="A13687" s="996" t="str">
        <f>CONCATENATE(Programme!D13688,Programme!E13688,Programme!F13688,Programme!G13688,Programme!H13688,Programme!I13688,Programme!J13688)</f>
        <v>&lt;/ValeurCellule&gt;</v>
      </c>
    </row>
    <row r="13688" spans="1:1" x14ac:dyDescent="0.2">
      <c r="A13688" s="996" t="str">
        <f>CONCATENATE(Programme!D13689,Programme!E13689,Programme!F13689,Programme!G13689,Programme!H13689,Programme!I13689,Programme!J13689)</f>
        <v>&lt;ValeurCellule&gt;</v>
      </c>
    </row>
    <row r="13689" spans="1:1" x14ac:dyDescent="0.2">
      <c r="A13689" s="996" t="str">
        <f>CONCATENATE(Programme!D13690,Programme!E13690,Programme!F13690,Programme!G13690,Programme!H13690,Programme!I13690,Programme!J13690)</f>
        <v>&lt;cellule&gt;&lt;codeEdi&gt;10061&lt;/codeEdi&gt;&lt;/cellule&gt;</v>
      </c>
    </row>
    <row r="13690" spans="1:1" x14ac:dyDescent="0.2">
      <c r="A13690" s="996" t="str">
        <f>CONCATENATE(Programme!D13691,Programme!E13691,Programme!F13691,Programme!G13691,Programme!H13691,Programme!I13691,Programme!J13691)</f>
        <v>&lt;valeur&gt;&lt;/valeur&gt;</v>
      </c>
    </row>
    <row r="13691" spans="1:1" x14ac:dyDescent="0.2">
      <c r="A13691" s="996" t="str">
        <f>CONCATENATE(Programme!D13692,Programme!E13692,Programme!F13692,Programme!G13692,Programme!H13692,Programme!I13692,Programme!J13692)</f>
        <v>&lt;numeroLigne&gt;111&lt;/numeroLigne&gt;</v>
      </c>
    </row>
    <row r="13692" spans="1:1" x14ac:dyDescent="0.2">
      <c r="A13692" s="996" t="str">
        <f>CONCATENATE(Programme!D13693,Programme!E13693,Programme!F13693,Programme!G13693,Programme!H13693,Programme!I13693,Programme!J13693)</f>
        <v>&lt;/ValeurCellule&gt;</v>
      </c>
    </row>
    <row r="13693" spans="1:1" x14ac:dyDescent="0.2">
      <c r="A13693" s="996" t="str">
        <f>CONCATENATE(Programme!D13694,Programme!E13694,Programme!F13694,Programme!G13694,Programme!H13694,Programme!I13694,Programme!J13694)</f>
        <v>&lt;ValeurCellule&gt;</v>
      </c>
    </row>
    <row r="13694" spans="1:1" x14ac:dyDescent="0.2">
      <c r="A13694" s="996" t="str">
        <f>CONCATENATE(Programme!D13695,Programme!E13695,Programme!F13695,Programme!G13695,Programme!H13695,Programme!I13695,Programme!J13695)</f>
        <v>&lt;cellule&gt;&lt;codeEdi&gt;1078&lt;/codeEdi&gt;&lt;/cellule&gt;</v>
      </c>
    </row>
    <row r="13695" spans="1:1" x14ac:dyDescent="0.2">
      <c r="A13695" s="996" t="str">
        <f>CONCATENATE(Programme!D13696,Programme!E13696,Programme!F13696,Programme!G13696,Programme!H13696,Programme!I13696,Programme!J13696)</f>
        <v>&lt;valeur&gt;&lt;/valeur&gt;</v>
      </c>
    </row>
    <row r="13696" spans="1:1" x14ac:dyDescent="0.2">
      <c r="A13696" s="996" t="str">
        <f>CONCATENATE(Programme!D13697,Programme!E13697,Programme!F13697,Programme!G13697,Programme!H13697,Programme!I13697,Programme!J13697)</f>
        <v>&lt;numeroLigne&gt;111&lt;/numeroLigne&gt;</v>
      </c>
    </row>
    <row r="13697" spans="1:1" x14ac:dyDescent="0.2">
      <c r="A13697" s="996" t="str">
        <f>CONCATENATE(Programme!D13698,Programme!E13698,Programme!F13698,Programme!G13698,Programme!H13698,Programme!I13698,Programme!J13698)</f>
        <v>&lt;/ValeurCellule&gt;</v>
      </c>
    </row>
    <row r="13698" spans="1:1" x14ac:dyDescent="0.2">
      <c r="A13698" s="996" t="str">
        <f>CONCATENATE(Programme!D13699,Programme!E13699,Programme!F13699,Programme!G13699,Programme!H13699,Programme!I13699,Programme!J13699)</f>
        <v>&lt;ValeurCellule&gt;</v>
      </c>
    </row>
    <row r="13699" spans="1:1" x14ac:dyDescent="0.2">
      <c r="A13699" s="996" t="str">
        <f>CONCATENATE(Programme!D13700,Programme!E13700,Programme!F13700,Programme!G13700,Programme!H13700,Programme!I13700,Programme!J13700)</f>
        <v>&lt;cellule&gt;&lt;codeEdi&gt;1079&lt;/codeEdi&gt;&lt;/cellule&gt;</v>
      </c>
    </row>
    <row r="13700" spans="1:1" x14ac:dyDescent="0.2">
      <c r="A13700" s="996" t="str">
        <f>CONCATENATE(Programme!D13701,Programme!E13701,Programme!F13701,Programme!G13701,Programme!H13701,Programme!I13701,Programme!J13701)</f>
        <v>&lt;valeur&gt;&lt;/valeur&gt;</v>
      </c>
    </row>
    <row r="13701" spans="1:1" x14ac:dyDescent="0.2">
      <c r="A13701" s="996" t="str">
        <f>CONCATENATE(Programme!D13702,Programme!E13702,Programme!F13702,Programme!G13702,Programme!H13702,Programme!I13702,Programme!J13702)</f>
        <v>&lt;numeroLigne&gt;111&lt;/numeroLigne&gt;</v>
      </c>
    </row>
    <row r="13702" spans="1:1" x14ac:dyDescent="0.2">
      <c r="A13702" s="996" t="str">
        <f>CONCATENATE(Programme!D13703,Programme!E13703,Programme!F13703,Programme!G13703,Programme!H13703,Programme!I13703,Programme!J13703)</f>
        <v>&lt;/ValeurCellule&gt;</v>
      </c>
    </row>
    <row r="13703" spans="1:1" x14ac:dyDescent="0.2">
      <c r="A13703" s="996" t="str">
        <f>CONCATENATE(Programme!D13704,Programme!E13704,Programme!F13704,Programme!G13704,Programme!H13704,Programme!I13704,Programme!J13704)</f>
        <v>&lt;ValeurCellule&gt;</v>
      </c>
    </row>
    <row r="13704" spans="1:1" x14ac:dyDescent="0.2">
      <c r="A13704" s="996" t="str">
        <f>CONCATENATE(Programme!D13705,Programme!E13705,Programme!F13705,Programme!G13705,Programme!H13705,Programme!I13705,Programme!J13705)</f>
        <v>&lt;cellule&gt;&lt;codeEdi&gt;1080&lt;/codeEdi&gt;&lt;/cellule&gt;</v>
      </c>
    </row>
    <row r="13705" spans="1:1" x14ac:dyDescent="0.2">
      <c r="A13705" s="996" t="str">
        <f>CONCATENATE(Programme!D13706,Programme!E13706,Programme!F13706,Programme!G13706,Programme!H13706,Programme!I13706,Programme!J13706)</f>
        <v>&lt;valeur&gt;&lt;/valeur&gt;</v>
      </c>
    </row>
    <row r="13706" spans="1:1" x14ac:dyDescent="0.2">
      <c r="A13706" s="996" t="str">
        <f>CONCATENATE(Programme!D13707,Programme!E13707,Programme!F13707,Programme!G13707,Programme!H13707,Programme!I13707,Programme!J13707)</f>
        <v>&lt;numeroLigne&gt;111&lt;/numeroLigne&gt;</v>
      </c>
    </row>
    <row r="13707" spans="1:1" x14ac:dyDescent="0.2">
      <c r="A13707" s="996" t="str">
        <f>CONCATENATE(Programme!D13708,Programme!E13708,Programme!F13708,Programme!G13708,Programme!H13708,Programme!I13708,Programme!J13708)</f>
        <v>&lt;/ValeurCellule&gt;</v>
      </c>
    </row>
    <row r="13708" spans="1:1" x14ac:dyDescent="0.2">
      <c r="A13708" s="996" t="str">
        <f>CONCATENATE(Programme!D13709,Programme!E13709,Programme!F13709,Programme!G13709,Programme!H13709,Programme!I13709,Programme!J13709)</f>
        <v>&lt;ValeurCellule&gt;</v>
      </c>
    </row>
    <row r="13709" spans="1:1" x14ac:dyDescent="0.2">
      <c r="A13709" s="996" t="str">
        <f>CONCATENATE(Programme!D13710,Programme!E13710,Programme!F13710,Programme!G13710,Programme!H13710,Programme!I13710,Programme!J13710)</f>
        <v>&lt;cellule&gt;&lt;codeEdi&gt;1081&lt;/codeEdi&gt;&lt;/cellule&gt;</v>
      </c>
    </row>
    <row r="13710" spans="1:1" x14ac:dyDescent="0.2">
      <c r="A13710" s="996" t="str">
        <f>CONCATENATE(Programme!D13711,Programme!E13711,Programme!F13711,Programme!G13711,Programme!H13711,Programme!I13711,Programme!J13711)</f>
        <v>&lt;valeur&gt;&lt;/valeur&gt;</v>
      </c>
    </row>
    <row r="13711" spans="1:1" x14ac:dyDescent="0.2">
      <c r="A13711" s="996" t="str">
        <f>CONCATENATE(Programme!D13712,Programme!E13712,Programme!F13712,Programme!G13712,Programme!H13712,Programme!I13712,Programme!J13712)</f>
        <v>&lt;numeroLigne&gt;111&lt;/numeroLigne&gt;</v>
      </c>
    </row>
    <row r="13712" spans="1:1" x14ac:dyDescent="0.2">
      <c r="A13712" s="996" t="str">
        <f>CONCATENATE(Programme!D13713,Programme!E13713,Programme!F13713,Programme!G13713,Programme!H13713,Programme!I13713,Programme!J13713)</f>
        <v>&lt;/ValeurCellule&gt;</v>
      </c>
    </row>
    <row r="13713" spans="1:1" x14ac:dyDescent="0.2">
      <c r="A13713" s="996" t="str">
        <f>CONCATENATE(Programme!D13714,Programme!E13714,Programme!F13714,Programme!G13714,Programme!H13714,Programme!I13714,Programme!J13714)</f>
        <v>&lt;ValeurCellule&gt;</v>
      </c>
    </row>
    <row r="13714" spans="1:1" x14ac:dyDescent="0.2">
      <c r="A13714" s="996" t="str">
        <f>CONCATENATE(Programme!D13715,Programme!E13715,Programme!F13715,Programme!G13715,Programme!H13715,Programme!I13715,Programme!J13715)</f>
        <v>&lt;cellule&gt;&lt;codeEdi&gt;1082&lt;/codeEdi&gt;&lt;/cellule&gt;</v>
      </c>
    </row>
    <row r="13715" spans="1:1" x14ac:dyDescent="0.2">
      <c r="A13715" s="996" t="str">
        <f>CONCATENATE(Programme!D13716,Programme!E13716,Programme!F13716,Programme!G13716,Programme!H13716,Programme!I13716,Programme!J13716)</f>
        <v>&lt;valeur&gt;&lt;/valeur&gt;</v>
      </c>
    </row>
    <row r="13716" spans="1:1" x14ac:dyDescent="0.2">
      <c r="A13716" s="996" t="str">
        <f>CONCATENATE(Programme!D13717,Programme!E13717,Programme!F13717,Programme!G13717,Programme!H13717,Programme!I13717,Programme!J13717)</f>
        <v>&lt;numeroLigne&gt;111&lt;/numeroLigne&gt;</v>
      </c>
    </row>
    <row r="13717" spans="1:1" x14ac:dyDescent="0.2">
      <c r="A13717" s="996" t="str">
        <f>CONCATENATE(Programme!D13718,Programme!E13718,Programme!F13718,Programme!G13718,Programme!H13718,Programme!I13718,Programme!J13718)</f>
        <v>&lt;/ValeurCellule&gt;</v>
      </c>
    </row>
    <row r="13718" spans="1:1" x14ac:dyDescent="0.2">
      <c r="A13718" s="996" t="str">
        <f>CONCATENATE(Programme!D13719,Programme!E13719,Programme!F13719,Programme!G13719,Programme!H13719,Programme!I13719,Programme!J13719)</f>
        <v>&lt;ValeurCellule&gt;</v>
      </c>
    </row>
    <row r="13719" spans="1:1" x14ac:dyDescent="0.2">
      <c r="A13719" s="996" t="str">
        <f>CONCATENATE(Programme!D13720,Programme!E13720,Programme!F13720,Programme!G13720,Programme!H13720,Programme!I13720,Programme!J13720)</f>
        <v>&lt;cellule&gt;&lt;codeEdi&gt;1083&lt;/codeEdi&gt;&lt;/cellule&gt;</v>
      </c>
    </row>
    <row r="13720" spans="1:1" x14ac:dyDescent="0.2">
      <c r="A13720" s="996" t="str">
        <f>CONCATENATE(Programme!D13721,Programme!E13721,Programme!F13721,Programme!G13721,Programme!H13721,Programme!I13721,Programme!J13721)</f>
        <v>&lt;valeur&gt;&lt;/valeur&gt;</v>
      </c>
    </row>
    <row r="13721" spans="1:1" x14ac:dyDescent="0.2">
      <c r="A13721" s="996" t="str">
        <f>CONCATENATE(Programme!D13722,Programme!E13722,Programme!F13722,Programme!G13722,Programme!H13722,Programme!I13722,Programme!J13722)</f>
        <v>&lt;numeroLigne&gt;111&lt;/numeroLigne&gt;</v>
      </c>
    </row>
    <row r="13722" spans="1:1" x14ac:dyDescent="0.2">
      <c r="A13722" s="996" t="str">
        <f>CONCATENATE(Programme!D13723,Programme!E13723,Programme!F13723,Programme!G13723,Programme!H13723,Programme!I13723,Programme!J13723)</f>
        <v>&lt;/ValeurCellule&gt;</v>
      </c>
    </row>
    <row r="13723" spans="1:1" x14ac:dyDescent="0.2">
      <c r="A13723" s="996" t="str">
        <f>CONCATENATE(Programme!D13724,Programme!E13724,Programme!F13724,Programme!G13724,Programme!H13724,Programme!I13724,Programme!J13724)</f>
        <v>&lt;ValeurCellule&gt;</v>
      </c>
    </row>
    <row r="13724" spans="1:1" x14ac:dyDescent="0.2">
      <c r="A13724" s="996" t="str">
        <f>CONCATENATE(Programme!D13725,Programme!E13725,Programme!F13725,Programme!G13725,Programme!H13725,Programme!I13725,Programme!J13725)</f>
        <v>&lt;cellule&gt;&lt;codeEdi&gt;1084&lt;/codeEdi&gt;&lt;/cellule&gt;</v>
      </c>
    </row>
    <row r="13725" spans="1:1" x14ac:dyDescent="0.2">
      <c r="A13725" s="996" t="str">
        <f>CONCATENATE(Programme!D13726,Programme!E13726,Programme!F13726,Programme!G13726,Programme!H13726,Programme!I13726,Programme!J13726)</f>
        <v>&lt;valeur&gt;&lt;/valeur&gt;</v>
      </c>
    </row>
    <row r="13726" spans="1:1" x14ac:dyDescent="0.2">
      <c r="A13726" s="996" t="str">
        <f>CONCATENATE(Programme!D13727,Programme!E13727,Programme!F13727,Programme!G13727,Programme!H13727,Programme!I13727,Programme!J13727)</f>
        <v>&lt;numeroLigne&gt;111&lt;/numeroLigne&gt;</v>
      </c>
    </row>
    <row r="13727" spans="1:1" x14ac:dyDescent="0.2">
      <c r="A13727" s="996" t="str">
        <f>CONCATENATE(Programme!D13728,Programme!E13728,Programme!F13728,Programme!G13728,Programme!H13728,Programme!I13728,Programme!J13728)</f>
        <v>&lt;/ValeurCellule&gt;</v>
      </c>
    </row>
    <row r="13728" spans="1:1" x14ac:dyDescent="0.2">
      <c r="A13728" s="996" t="str">
        <f>CONCATENATE(Programme!D13729,Programme!E13729,Programme!F13729,Programme!G13729,Programme!H13729,Programme!I13729,Programme!J13729)</f>
        <v>&lt;ValeurCellule&gt;</v>
      </c>
    </row>
    <row r="13729" spans="1:1" x14ac:dyDescent="0.2">
      <c r="A13729" s="996" t="str">
        <f>CONCATENATE(Programme!D13730,Programme!E13730,Programme!F13730,Programme!G13730,Programme!H13730,Programme!I13730,Programme!J13730)</f>
        <v>&lt;cellule&gt;&lt;codeEdi&gt;1085&lt;/codeEdi&gt;&lt;/cellule&gt;</v>
      </c>
    </row>
    <row r="13730" spans="1:1" x14ac:dyDescent="0.2">
      <c r="A13730" s="996" t="str">
        <f>CONCATENATE(Programme!D13731,Programme!E13731,Programme!F13731,Programme!G13731,Programme!H13731,Programme!I13731,Programme!J13731)</f>
        <v>&lt;valeur&gt;&lt;/valeur&gt;</v>
      </c>
    </row>
    <row r="13731" spans="1:1" x14ac:dyDescent="0.2">
      <c r="A13731" s="996" t="str">
        <f>CONCATENATE(Programme!D13732,Programme!E13732,Programme!F13732,Programme!G13732,Programme!H13732,Programme!I13732,Programme!J13732)</f>
        <v>&lt;numeroLigne&gt;111&lt;/numeroLigne&gt;</v>
      </c>
    </row>
    <row r="13732" spans="1:1" x14ac:dyDescent="0.2">
      <c r="A13732" s="996" t="str">
        <f>CONCATENATE(Programme!D13733,Programme!E13733,Programme!F13733,Programme!G13733,Programme!H13733,Programme!I13733,Programme!J13733)</f>
        <v>&lt;/ValeurCellule&gt;</v>
      </c>
    </row>
    <row r="13733" spans="1:1" x14ac:dyDescent="0.2">
      <c r="A13733" s="996" t="str">
        <f>CONCATENATE(Programme!D13734,Programme!E13734,Programme!F13734,Programme!G13734,Programme!H13734,Programme!I13734,Programme!J13734)</f>
        <v>&lt;ValeurCellule&gt;</v>
      </c>
    </row>
    <row r="13734" spans="1:1" x14ac:dyDescent="0.2">
      <c r="A13734" s="996" t="str">
        <f>CONCATENATE(Programme!D13735,Programme!E13735,Programme!F13735,Programme!G13735,Programme!H13735,Programme!I13735,Programme!J13735)</f>
        <v>&lt;cellule&gt;&lt;codeEdi&gt;1086&lt;/codeEdi&gt;&lt;/cellule&gt;</v>
      </c>
    </row>
    <row r="13735" spans="1:1" x14ac:dyDescent="0.2">
      <c r="A13735" s="996" t="str">
        <f>CONCATENATE(Programme!D13736,Programme!E13736,Programme!F13736,Programme!G13736,Programme!H13736,Programme!I13736,Programme!J13736)</f>
        <v>&lt;valeur&gt;&lt;/valeur&gt;</v>
      </c>
    </row>
    <row r="13736" spans="1:1" x14ac:dyDescent="0.2">
      <c r="A13736" s="996" t="str">
        <f>CONCATENATE(Programme!D13737,Programme!E13737,Programme!F13737,Programme!G13737,Programme!H13737,Programme!I13737,Programme!J13737)</f>
        <v>&lt;numeroLigne&gt;111&lt;/numeroLigne&gt;</v>
      </c>
    </row>
    <row r="13737" spans="1:1" x14ac:dyDescent="0.2">
      <c r="A13737" s="996" t="str">
        <f>CONCATENATE(Programme!D13738,Programme!E13738,Programme!F13738,Programme!G13738,Programme!H13738,Programme!I13738,Programme!J13738)</f>
        <v>&lt;/ValeurCellule&gt;</v>
      </c>
    </row>
    <row r="13738" spans="1:1" x14ac:dyDescent="0.2">
      <c r="A13738" s="996" t="str">
        <f>CONCATENATE(Programme!D13739,Programme!E13739,Programme!F13739,Programme!G13739,Programme!H13739,Programme!I13739,Programme!J13739)</f>
        <v>&lt;ValeurCellule&gt;</v>
      </c>
    </row>
    <row r="13739" spans="1:1" x14ac:dyDescent="0.2">
      <c r="A13739" s="996" t="str">
        <f>CONCATENATE(Programme!D13740,Programme!E13740,Programme!F13740,Programme!G13740,Programme!H13740,Programme!I13740,Programme!J13740)</f>
        <v>&lt;cellule&gt;&lt;codeEdi&gt;10061&lt;/codeEdi&gt;&lt;/cellule&gt;</v>
      </c>
    </row>
    <row r="13740" spans="1:1" x14ac:dyDescent="0.2">
      <c r="A13740" s="996" t="str">
        <f>CONCATENATE(Programme!D13741,Programme!E13741,Programme!F13741,Programme!G13741,Programme!H13741,Programme!I13741,Programme!J13741)</f>
        <v>&lt;valeur&gt;&lt;/valeur&gt;</v>
      </c>
    </row>
    <row r="13741" spans="1:1" x14ac:dyDescent="0.2">
      <c r="A13741" s="996" t="str">
        <f>CONCATENATE(Programme!D13742,Programme!E13742,Programme!F13742,Programme!G13742,Programme!H13742,Programme!I13742,Programme!J13742)</f>
        <v>&lt;numeroLigne&gt;112&lt;/numeroLigne&gt;</v>
      </c>
    </row>
    <row r="13742" spans="1:1" x14ac:dyDescent="0.2">
      <c r="A13742" s="996" t="str">
        <f>CONCATENATE(Programme!D13743,Programme!E13743,Programme!F13743,Programme!G13743,Programme!H13743,Programme!I13743,Programme!J13743)</f>
        <v>&lt;/ValeurCellule&gt;</v>
      </c>
    </row>
    <row r="13743" spans="1:1" x14ac:dyDescent="0.2">
      <c r="A13743" s="996" t="str">
        <f>CONCATENATE(Programme!D13744,Programme!E13744,Programme!F13744,Programme!G13744,Programme!H13744,Programme!I13744,Programme!J13744)</f>
        <v>&lt;ValeurCellule&gt;</v>
      </c>
    </row>
    <row r="13744" spans="1:1" x14ac:dyDescent="0.2">
      <c r="A13744" s="996" t="str">
        <f>CONCATENATE(Programme!D13745,Programme!E13745,Programme!F13745,Programme!G13745,Programme!H13745,Programme!I13745,Programme!J13745)</f>
        <v>&lt;cellule&gt;&lt;codeEdi&gt;1078&lt;/codeEdi&gt;&lt;/cellule&gt;</v>
      </c>
    </row>
    <row r="13745" spans="1:1" x14ac:dyDescent="0.2">
      <c r="A13745" s="996" t="str">
        <f>CONCATENATE(Programme!D13746,Programme!E13746,Programme!F13746,Programme!G13746,Programme!H13746,Programme!I13746,Programme!J13746)</f>
        <v>&lt;valeur&gt;&lt;/valeur&gt;</v>
      </c>
    </row>
    <row r="13746" spans="1:1" x14ac:dyDescent="0.2">
      <c r="A13746" s="996" t="str">
        <f>CONCATENATE(Programme!D13747,Programme!E13747,Programme!F13747,Programme!G13747,Programme!H13747,Programme!I13747,Programme!J13747)</f>
        <v>&lt;numeroLigne&gt;112&lt;/numeroLigne&gt;</v>
      </c>
    </row>
    <row r="13747" spans="1:1" x14ac:dyDescent="0.2">
      <c r="A13747" s="996" t="str">
        <f>CONCATENATE(Programme!D13748,Programme!E13748,Programme!F13748,Programme!G13748,Programme!H13748,Programme!I13748,Programme!J13748)</f>
        <v>&lt;/ValeurCellule&gt;</v>
      </c>
    </row>
    <row r="13748" spans="1:1" x14ac:dyDescent="0.2">
      <c r="A13748" s="996" t="str">
        <f>CONCATENATE(Programme!D13749,Programme!E13749,Programme!F13749,Programme!G13749,Programme!H13749,Programme!I13749,Programme!J13749)</f>
        <v>&lt;ValeurCellule&gt;</v>
      </c>
    </row>
    <row r="13749" spans="1:1" x14ac:dyDescent="0.2">
      <c r="A13749" s="996" t="str">
        <f>CONCATENATE(Programme!D13750,Programme!E13750,Programme!F13750,Programme!G13750,Programme!H13750,Programme!I13750,Programme!J13750)</f>
        <v>&lt;cellule&gt;&lt;codeEdi&gt;1079&lt;/codeEdi&gt;&lt;/cellule&gt;</v>
      </c>
    </row>
    <row r="13750" spans="1:1" x14ac:dyDescent="0.2">
      <c r="A13750" s="996" t="str">
        <f>CONCATENATE(Programme!D13751,Programme!E13751,Programme!F13751,Programme!G13751,Programme!H13751,Programme!I13751,Programme!J13751)</f>
        <v>&lt;valeur&gt;&lt;/valeur&gt;</v>
      </c>
    </row>
    <row r="13751" spans="1:1" x14ac:dyDescent="0.2">
      <c r="A13751" s="996" t="str">
        <f>CONCATENATE(Programme!D13752,Programme!E13752,Programme!F13752,Programme!G13752,Programme!H13752,Programme!I13752,Programme!J13752)</f>
        <v>&lt;numeroLigne&gt;112&lt;/numeroLigne&gt;</v>
      </c>
    </row>
    <row r="13752" spans="1:1" x14ac:dyDescent="0.2">
      <c r="A13752" s="996" t="str">
        <f>CONCATENATE(Programme!D13753,Programme!E13753,Programme!F13753,Programme!G13753,Programme!H13753,Programme!I13753,Programme!J13753)</f>
        <v>&lt;/ValeurCellule&gt;</v>
      </c>
    </row>
    <row r="13753" spans="1:1" x14ac:dyDescent="0.2">
      <c r="A13753" s="996" t="str">
        <f>CONCATENATE(Programme!D13754,Programme!E13754,Programme!F13754,Programme!G13754,Programme!H13754,Programme!I13754,Programme!J13754)</f>
        <v>&lt;ValeurCellule&gt;</v>
      </c>
    </row>
    <row r="13754" spans="1:1" x14ac:dyDescent="0.2">
      <c r="A13754" s="996" t="str">
        <f>CONCATENATE(Programme!D13755,Programme!E13755,Programme!F13755,Programme!G13755,Programme!H13755,Programme!I13755,Programme!J13755)</f>
        <v>&lt;cellule&gt;&lt;codeEdi&gt;1080&lt;/codeEdi&gt;&lt;/cellule&gt;</v>
      </c>
    </row>
    <row r="13755" spans="1:1" x14ac:dyDescent="0.2">
      <c r="A13755" s="996" t="str">
        <f>CONCATENATE(Programme!D13756,Programme!E13756,Programme!F13756,Programme!G13756,Programme!H13756,Programme!I13756,Programme!J13756)</f>
        <v>&lt;valeur&gt;&lt;/valeur&gt;</v>
      </c>
    </row>
    <row r="13756" spans="1:1" x14ac:dyDescent="0.2">
      <c r="A13756" s="996" t="str">
        <f>CONCATENATE(Programme!D13757,Programme!E13757,Programme!F13757,Programme!G13757,Programme!H13757,Programme!I13757,Programme!J13757)</f>
        <v>&lt;numeroLigne&gt;112&lt;/numeroLigne&gt;</v>
      </c>
    </row>
    <row r="13757" spans="1:1" x14ac:dyDescent="0.2">
      <c r="A13757" s="996" t="str">
        <f>CONCATENATE(Programme!D13758,Programme!E13758,Programme!F13758,Programme!G13758,Programme!H13758,Programme!I13758,Programme!J13758)</f>
        <v>&lt;/ValeurCellule&gt;</v>
      </c>
    </row>
    <row r="13758" spans="1:1" x14ac:dyDescent="0.2">
      <c r="A13758" s="996" t="str">
        <f>CONCATENATE(Programme!D13759,Programme!E13759,Programme!F13759,Programme!G13759,Programme!H13759,Programme!I13759,Programme!J13759)</f>
        <v>&lt;ValeurCellule&gt;</v>
      </c>
    </row>
    <row r="13759" spans="1:1" x14ac:dyDescent="0.2">
      <c r="A13759" s="996" t="str">
        <f>CONCATENATE(Programme!D13760,Programme!E13760,Programme!F13760,Programme!G13760,Programme!H13760,Programme!I13760,Programme!J13760)</f>
        <v>&lt;cellule&gt;&lt;codeEdi&gt;1081&lt;/codeEdi&gt;&lt;/cellule&gt;</v>
      </c>
    </row>
    <row r="13760" spans="1:1" x14ac:dyDescent="0.2">
      <c r="A13760" s="996" t="str">
        <f>CONCATENATE(Programme!D13761,Programme!E13761,Programme!F13761,Programme!G13761,Programme!H13761,Programme!I13761,Programme!J13761)</f>
        <v>&lt;valeur&gt;&lt;/valeur&gt;</v>
      </c>
    </row>
    <row r="13761" spans="1:1" x14ac:dyDescent="0.2">
      <c r="A13761" s="996" t="str">
        <f>CONCATENATE(Programme!D13762,Programme!E13762,Programme!F13762,Programme!G13762,Programme!H13762,Programme!I13762,Programme!J13762)</f>
        <v>&lt;numeroLigne&gt;112&lt;/numeroLigne&gt;</v>
      </c>
    </row>
    <row r="13762" spans="1:1" x14ac:dyDescent="0.2">
      <c r="A13762" s="996" t="str">
        <f>CONCATENATE(Programme!D13763,Programme!E13763,Programme!F13763,Programme!G13763,Programme!H13763,Programme!I13763,Programme!J13763)</f>
        <v>&lt;/ValeurCellule&gt;</v>
      </c>
    </row>
    <row r="13763" spans="1:1" x14ac:dyDescent="0.2">
      <c r="A13763" s="996" t="str">
        <f>CONCATENATE(Programme!D13764,Programme!E13764,Programme!F13764,Programme!G13764,Programme!H13764,Programme!I13764,Programme!J13764)</f>
        <v>&lt;ValeurCellule&gt;</v>
      </c>
    </row>
    <row r="13764" spans="1:1" x14ac:dyDescent="0.2">
      <c r="A13764" s="996" t="str">
        <f>CONCATENATE(Programme!D13765,Programme!E13765,Programme!F13765,Programme!G13765,Programme!H13765,Programme!I13765,Programme!J13765)</f>
        <v>&lt;cellule&gt;&lt;codeEdi&gt;1082&lt;/codeEdi&gt;&lt;/cellule&gt;</v>
      </c>
    </row>
    <row r="13765" spans="1:1" x14ac:dyDescent="0.2">
      <c r="A13765" s="996" t="str">
        <f>CONCATENATE(Programme!D13766,Programme!E13766,Programme!F13766,Programme!G13766,Programme!H13766,Programme!I13766,Programme!J13766)</f>
        <v>&lt;valeur&gt;&lt;/valeur&gt;</v>
      </c>
    </row>
    <row r="13766" spans="1:1" x14ac:dyDescent="0.2">
      <c r="A13766" s="996" t="str">
        <f>CONCATENATE(Programme!D13767,Programme!E13767,Programme!F13767,Programme!G13767,Programme!H13767,Programme!I13767,Programme!J13767)</f>
        <v>&lt;numeroLigne&gt;112&lt;/numeroLigne&gt;</v>
      </c>
    </row>
    <row r="13767" spans="1:1" x14ac:dyDescent="0.2">
      <c r="A13767" s="996" t="str">
        <f>CONCATENATE(Programme!D13768,Programme!E13768,Programme!F13768,Programme!G13768,Programme!H13768,Programme!I13768,Programme!J13768)</f>
        <v>&lt;/ValeurCellule&gt;</v>
      </c>
    </row>
    <row r="13768" spans="1:1" x14ac:dyDescent="0.2">
      <c r="A13768" s="996" t="str">
        <f>CONCATENATE(Programme!D13769,Programme!E13769,Programme!F13769,Programme!G13769,Programme!H13769,Programme!I13769,Programme!J13769)</f>
        <v>&lt;ValeurCellule&gt;</v>
      </c>
    </row>
    <row r="13769" spans="1:1" x14ac:dyDescent="0.2">
      <c r="A13769" s="996" t="str">
        <f>CONCATENATE(Programme!D13770,Programme!E13770,Programme!F13770,Programme!G13770,Programme!H13770,Programme!I13770,Programme!J13770)</f>
        <v>&lt;cellule&gt;&lt;codeEdi&gt;1083&lt;/codeEdi&gt;&lt;/cellule&gt;</v>
      </c>
    </row>
    <row r="13770" spans="1:1" x14ac:dyDescent="0.2">
      <c r="A13770" s="996" t="str">
        <f>CONCATENATE(Programme!D13771,Programme!E13771,Programme!F13771,Programme!G13771,Programme!H13771,Programme!I13771,Programme!J13771)</f>
        <v>&lt;valeur&gt;&lt;/valeur&gt;</v>
      </c>
    </row>
    <row r="13771" spans="1:1" x14ac:dyDescent="0.2">
      <c r="A13771" s="996" t="str">
        <f>CONCATENATE(Programme!D13772,Programme!E13772,Programme!F13772,Programme!G13772,Programme!H13772,Programme!I13772,Programme!J13772)</f>
        <v>&lt;numeroLigne&gt;112&lt;/numeroLigne&gt;</v>
      </c>
    </row>
    <row r="13772" spans="1:1" x14ac:dyDescent="0.2">
      <c r="A13772" s="996" t="str">
        <f>CONCATENATE(Programme!D13773,Programme!E13773,Programme!F13773,Programme!G13773,Programme!H13773,Programme!I13773,Programme!J13773)</f>
        <v>&lt;/ValeurCellule&gt;</v>
      </c>
    </row>
    <row r="13773" spans="1:1" x14ac:dyDescent="0.2">
      <c r="A13773" s="996" t="str">
        <f>CONCATENATE(Programme!D13774,Programme!E13774,Programme!F13774,Programme!G13774,Programme!H13774,Programme!I13774,Programme!J13774)</f>
        <v>&lt;ValeurCellule&gt;</v>
      </c>
    </row>
    <row r="13774" spans="1:1" x14ac:dyDescent="0.2">
      <c r="A13774" s="996" t="str">
        <f>CONCATENATE(Programme!D13775,Programme!E13775,Programme!F13775,Programme!G13775,Programme!H13775,Programme!I13775,Programme!J13775)</f>
        <v>&lt;cellule&gt;&lt;codeEdi&gt;1084&lt;/codeEdi&gt;&lt;/cellule&gt;</v>
      </c>
    </row>
    <row r="13775" spans="1:1" x14ac:dyDescent="0.2">
      <c r="A13775" s="996" t="str">
        <f>CONCATENATE(Programme!D13776,Programme!E13776,Programme!F13776,Programme!G13776,Programme!H13776,Programme!I13776,Programme!J13776)</f>
        <v>&lt;valeur&gt;&lt;/valeur&gt;</v>
      </c>
    </row>
    <row r="13776" spans="1:1" x14ac:dyDescent="0.2">
      <c r="A13776" s="996" t="str">
        <f>CONCATENATE(Programme!D13777,Programme!E13777,Programme!F13777,Programme!G13777,Programme!H13777,Programme!I13777,Programme!J13777)</f>
        <v>&lt;numeroLigne&gt;112&lt;/numeroLigne&gt;</v>
      </c>
    </row>
    <row r="13777" spans="1:1" x14ac:dyDescent="0.2">
      <c r="A13777" s="996" t="str">
        <f>CONCATENATE(Programme!D13778,Programme!E13778,Programme!F13778,Programme!G13778,Programme!H13778,Programme!I13778,Programme!J13778)</f>
        <v>&lt;/ValeurCellule&gt;</v>
      </c>
    </row>
    <row r="13778" spans="1:1" x14ac:dyDescent="0.2">
      <c r="A13778" s="996" t="str">
        <f>CONCATENATE(Programme!D13779,Programme!E13779,Programme!F13779,Programme!G13779,Programme!H13779,Programme!I13779,Programme!J13779)</f>
        <v>&lt;ValeurCellule&gt;</v>
      </c>
    </row>
    <row r="13779" spans="1:1" x14ac:dyDescent="0.2">
      <c r="A13779" s="996" t="str">
        <f>CONCATENATE(Programme!D13780,Programme!E13780,Programme!F13780,Programme!G13780,Programme!H13780,Programme!I13780,Programme!J13780)</f>
        <v>&lt;cellule&gt;&lt;codeEdi&gt;1085&lt;/codeEdi&gt;&lt;/cellule&gt;</v>
      </c>
    </row>
    <row r="13780" spans="1:1" x14ac:dyDescent="0.2">
      <c r="A13780" s="996" t="str">
        <f>CONCATENATE(Programme!D13781,Programme!E13781,Programme!F13781,Programme!G13781,Programme!H13781,Programme!I13781,Programme!J13781)</f>
        <v>&lt;valeur&gt;&lt;/valeur&gt;</v>
      </c>
    </row>
    <row r="13781" spans="1:1" x14ac:dyDescent="0.2">
      <c r="A13781" s="996" t="str">
        <f>CONCATENATE(Programme!D13782,Programme!E13782,Programme!F13782,Programme!G13782,Programme!H13782,Programme!I13782,Programme!J13782)</f>
        <v>&lt;numeroLigne&gt;112&lt;/numeroLigne&gt;</v>
      </c>
    </row>
    <row r="13782" spans="1:1" x14ac:dyDescent="0.2">
      <c r="A13782" s="996" t="str">
        <f>CONCATENATE(Programme!D13783,Programme!E13783,Programme!F13783,Programme!G13783,Programme!H13783,Programme!I13783,Programme!J13783)</f>
        <v>&lt;/ValeurCellule&gt;</v>
      </c>
    </row>
    <row r="13783" spans="1:1" x14ac:dyDescent="0.2">
      <c r="A13783" s="996" t="str">
        <f>CONCATENATE(Programme!D13784,Programme!E13784,Programme!F13784,Programme!G13784,Programme!H13784,Programme!I13784,Programme!J13784)</f>
        <v>&lt;ValeurCellule&gt;</v>
      </c>
    </row>
    <row r="13784" spans="1:1" x14ac:dyDescent="0.2">
      <c r="A13784" s="996" t="str">
        <f>CONCATENATE(Programme!D13785,Programme!E13785,Programme!F13785,Programme!G13785,Programme!H13785,Programme!I13785,Programme!J13785)</f>
        <v>&lt;cellule&gt;&lt;codeEdi&gt;1086&lt;/codeEdi&gt;&lt;/cellule&gt;</v>
      </c>
    </row>
    <row r="13785" spans="1:1" x14ac:dyDescent="0.2">
      <c r="A13785" s="996" t="str">
        <f>CONCATENATE(Programme!D13786,Programme!E13786,Programme!F13786,Programme!G13786,Programme!H13786,Programme!I13786,Programme!J13786)</f>
        <v>&lt;valeur&gt;&lt;/valeur&gt;</v>
      </c>
    </row>
    <row r="13786" spans="1:1" x14ac:dyDescent="0.2">
      <c r="A13786" s="996" t="str">
        <f>CONCATENATE(Programme!D13787,Programme!E13787,Programme!F13787,Programme!G13787,Programme!H13787,Programme!I13787,Programme!J13787)</f>
        <v>&lt;numeroLigne&gt;112&lt;/numeroLigne&gt;</v>
      </c>
    </row>
    <row r="13787" spans="1:1" x14ac:dyDescent="0.2">
      <c r="A13787" s="996" t="str">
        <f>CONCATENATE(Programme!D13788,Programme!E13788,Programme!F13788,Programme!G13788,Programme!H13788,Programme!I13788,Programme!J13788)</f>
        <v>&lt;/ValeurCellule&gt;</v>
      </c>
    </row>
    <row r="13788" spans="1:1" x14ac:dyDescent="0.2">
      <c r="A13788" s="996" t="str">
        <f>CONCATENATE(Programme!D13789,Programme!E13789,Programme!F13789,Programme!G13789,Programme!H13789,Programme!I13789,Programme!J13789)</f>
        <v>&lt;ValeurCellule&gt;</v>
      </c>
    </row>
    <row r="13789" spans="1:1" x14ac:dyDescent="0.2">
      <c r="A13789" s="996" t="str">
        <f>CONCATENATE(Programme!D13790,Programme!E13790,Programme!F13790,Programme!G13790,Programme!H13790,Programme!I13790,Programme!J13790)</f>
        <v>&lt;cellule&gt;&lt;codeEdi&gt;10061&lt;/codeEdi&gt;&lt;/cellule&gt;</v>
      </c>
    </row>
    <row r="13790" spans="1:1" x14ac:dyDescent="0.2">
      <c r="A13790" s="996" t="str">
        <f>CONCATENATE(Programme!D13791,Programme!E13791,Programme!F13791,Programme!G13791,Programme!H13791,Programme!I13791,Programme!J13791)</f>
        <v>&lt;valeur&gt;&lt;/valeur&gt;</v>
      </c>
    </row>
    <row r="13791" spans="1:1" x14ac:dyDescent="0.2">
      <c r="A13791" s="996" t="str">
        <f>CONCATENATE(Programme!D13792,Programme!E13792,Programme!F13792,Programme!G13792,Programme!H13792,Programme!I13792,Programme!J13792)</f>
        <v>&lt;numeroLigne&gt;113&lt;/numeroLigne&gt;</v>
      </c>
    </row>
    <row r="13792" spans="1:1" x14ac:dyDescent="0.2">
      <c r="A13792" s="996" t="str">
        <f>CONCATENATE(Programme!D13793,Programme!E13793,Programme!F13793,Programme!G13793,Programme!H13793,Programme!I13793,Programme!J13793)</f>
        <v>&lt;/ValeurCellule&gt;</v>
      </c>
    </row>
    <row r="13793" spans="1:1" x14ac:dyDescent="0.2">
      <c r="A13793" s="996" t="str">
        <f>CONCATENATE(Programme!D13794,Programme!E13794,Programme!F13794,Programme!G13794,Programme!H13794,Programme!I13794,Programme!J13794)</f>
        <v>&lt;ValeurCellule&gt;</v>
      </c>
    </row>
    <row r="13794" spans="1:1" x14ac:dyDescent="0.2">
      <c r="A13794" s="996" t="str">
        <f>CONCATENATE(Programme!D13795,Programme!E13795,Programme!F13795,Programme!G13795,Programme!H13795,Programme!I13795,Programme!J13795)</f>
        <v>&lt;cellule&gt;&lt;codeEdi&gt;1078&lt;/codeEdi&gt;&lt;/cellule&gt;</v>
      </c>
    </row>
    <row r="13795" spans="1:1" x14ac:dyDescent="0.2">
      <c r="A13795" s="996" t="str">
        <f>CONCATENATE(Programme!D13796,Programme!E13796,Programme!F13796,Programme!G13796,Programme!H13796,Programme!I13796,Programme!J13796)</f>
        <v>&lt;valeur&gt;&lt;/valeur&gt;</v>
      </c>
    </row>
    <row r="13796" spans="1:1" x14ac:dyDescent="0.2">
      <c r="A13796" s="996" t="str">
        <f>CONCATENATE(Programme!D13797,Programme!E13797,Programme!F13797,Programme!G13797,Programme!H13797,Programme!I13797,Programme!J13797)</f>
        <v>&lt;numeroLigne&gt;113&lt;/numeroLigne&gt;</v>
      </c>
    </row>
    <row r="13797" spans="1:1" x14ac:dyDescent="0.2">
      <c r="A13797" s="996" t="str">
        <f>CONCATENATE(Programme!D13798,Programme!E13798,Programme!F13798,Programme!G13798,Programme!H13798,Programme!I13798,Programme!J13798)</f>
        <v>&lt;/ValeurCellule&gt;</v>
      </c>
    </row>
    <row r="13798" spans="1:1" x14ac:dyDescent="0.2">
      <c r="A13798" s="996" t="str">
        <f>CONCATENATE(Programme!D13799,Programme!E13799,Programme!F13799,Programme!G13799,Programme!H13799,Programme!I13799,Programme!J13799)</f>
        <v>&lt;ValeurCellule&gt;</v>
      </c>
    </row>
    <row r="13799" spans="1:1" x14ac:dyDescent="0.2">
      <c r="A13799" s="996" t="str">
        <f>CONCATENATE(Programme!D13800,Programme!E13800,Programme!F13800,Programme!G13800,Programme!H13800,Programme!I13800,Programme!J13800)</f>
        <v>&lt;cellule&gt;&lt;codeEdi&gt;1079&lt;/codeEdi&gt;&lt;/cellule&gt;</v>
      </c>
    </row>
    <row r="13800" spans="1:1" x14ac:dyDescent="0.2">
      <c r="A13800" s="996" t="str">
        <f>CONCATENATE(Programme!D13801,Programme!E13801,Programme!F13801,Programme!G13801,Programme!H13801,Programme!I13801,Programme!J13801)</f>
        <v>&lt;valeur&gt;&lt;/valeur&gt;</v>
      </c>
    </row>
    <row r="13801" spans="1:1" x14ac:dyDescent="0.2">
      <c r="A13801" s="996" t="str">
        <f>CONCATENATE(Programme!D13802,Programme!E13802,Programme!F13802,Programme!G13802,Programme!H13802,Programme!I13802,Programme!J13802)</f>
        <v>&lt;numeroLigne&gt;113&lt;/numeroLigne&gt;</v>
      </c>
    </row>
    <row r="13802" spans="1:1" x14ac:dyDescent="0.2">
      <c r="A13802" s="996" t="str">
        <f>CONCATENATE(Programme!D13803,Programme!E13803,Programme!F13803,Programme!G13803,Programme!H13803,Programme!I13803,Programme!J13803)</f>
        <v>&lt;/ValeurCellule&gt;</v>
      </c>
    </row>
    <row r="13803" spans="1:1" x14ac:dyDescent="0.2">
      <c r="A13803" s="996" t="str">
        <f>CONCATENATE(Programme!D13804,Programme!E13804,Programme!F13804,Programme!G13804,Programme!H13804,Programme!I13804,Programme!J13804)</f>
        <v>&lt;ValeurCellule&gt;</v>
      </c>
    </row>
    <row r="13804" spans="1:1" x14ac:dyDescent="0.2">
      <c r="A13804" s="996" t="str">
        <f>CONCATENATE(Programme!D13805,Programme!E13805,Programme!F13805,Programme!G13805,Programme!H13805,Programme!I13805,Programme!J13805)</f>
        <v>&lt;cellule&gt;&lt;codeEdi&gt;1080&lt;/codeEdi&gt;&lt;/cellule&gt;</v>
      </c>
    </row>
    <row r="13805" spans="1:1" x14ac:dyDescent="0.2">
      <c r="A13805" s="996" t="str">
        <f>CONCATENATE(Programme!D13806,Programme!E13806,Programme!F13806,Programme!G13806,Programme!H13806,Programme!I13806,Programme!J13806)</f>
        <v>&lt;valeur&gt;&lt;/valeur&gt;</v>
      </c>
    </row>
    <row r="13806" spans="1:1" x14ac:dyDescent="0.2">
      <c r="A13806" s="996" t="str">
        <f>CONCATENATE(Programme!D13807,Programme!E13807,Programme!F13807,Programme!G13807,Programme!H13807,Programme!I13807,Programme!J13807)</f>
        <v>&lt;numeroLigne&gt;113&lt;/numeroLigne&gt;</v>
      </c>
    </row>
    <row r="13807" spans="1:1" x14ac:dyDescent="0.2">
      <c r="A13807" s="996" t="str">
        <f>CONCATENATE(Programme!D13808,Programme!E13808,Programme!F13808,Programme!G13808,Programme!H13808,Programme!I13808,Programme!J13808)</f>
        <v>&lt;/ValeurCellule&gt;</v>
      </c>
    </row>
    <row r="13808" spans="1:1" x14ac:dyDescent="0.2">
      <c r="A13808" s="996" t="str">
        <f>CONCATENATE(Programme!D13809,Programme!E13809,Programme!F13809,Programme!G13809,Programme!H13809,Programme!I13809,Programme!J13809)</f>
        <v>&lt;ValeurCellule&gt;</v>
      </c>
    </row>
    <row r="13809" spans="1:1" x14ac:dyDescent="0.2">
      <c r="A13809" s="996" t="str">
        <f>CONCATENATE(Programme!D13810,Programme!E13810,Programme!F13810,Programme!G13810,Programme!H13810,Programme!I13810,Programme!J13810)</f>
        <v>&lt;cellule&gt;&lt;codeEdi&gt;1081&lt;/codeEdi&gt;&lt;/cellule&gt;</v>
      </c>
    </row>
    <row r="13810" spans="1:1" x14ac:dyDescent="0.2">
      <c r="A13810" s="996" t="str">
        <f>CONCATENATE(Programme!D13811,Programme!E13811,Programme!F13811,Programme!G13811,Programme!H13811,Programme!I13811,Programme!J13811)</f>
        <v>&lt;valeur&gt;&lt;/valeur&gt;</v>
      </c>
    </row>
    <row r="13811" spans="1:1" x14ac:dyDescent="0.2">
      <c r="A13811" s="996" t="str">
        <f>CONCATENATE(Programme!D13812,Programme!E13812,Programme!F13812,Programme!G13812,Programme!H13812,Programme!I13812,Programme!J13812)</f>
        <v>&lt;numeroLigne&gt;113&lt;/numeroLigne&gt;</v>
      </c>
    </row>
    <row r="13812" spans="1:1" x14ac:dyDescent="0.2">
      <c r="A13812" s="996" t="str">
        <f>CONCATENATE(Programme!D13813,Programme!E13813,Programme!F13813,Programme!G13813,Programme!H13813,Programme!I13813,Programme!J13813)</f>
        <v>&lt;/ValeurCellule&gt;</v>
      </c>
    </row>
    <row r="13813" spans="1:1" x14ac:dyDescent="0.2">
      <c r="A13813" s="996" t="str">
        <f>CONCATENATE(Programme!D13814,Programme!E13814,Programme!F13814,Programme!G13814,Programme!H13814,Programme!I13814,Programme!J13814)</f>
        <v>&lt;ValeurCellule&gt;</v>
      </c>
    </row>
    <row r="13814" spans="1:1" x14ac:dyDescent="0.2">
      <c r="A13814" s="996" t="str">
        <f>CONCATENATE(Programme!D13815,Programme!E13815,Programme!F13815,Programme!G13815,Programme!H13815,Programme!I13815,Programme!J13815)</f>
        <v>&lt;cellule&gt;&lt;codeEdi&gt;1082&lt;/codeEdi&gt;&lt;/cellule&gt;</v>
      </c>
    </row>
    <row r="13815" spans="1:1" x14ac:dyDescent="0.2">
      <c r="A13815" s="996" t="str">
        <f>CONCATENATE(Programme!D13816,Programme!E13816,Programme!F13816,Programme!G13816,Programme!H13816,Programme!I13816,Programme!J13816)</f>
        <v>&lt;valeur&gt;&lt;/valeur&gt;</v>
      </c>
    </row>
    <row r="13816" spans="1:1" x14ac:dyDescent="0.2">
      <c r="A13816" s="996" t="str">
        <f>CONCATENATE(Programme!D13817,Programme!E13817,Programme!F13817,Programme!G13817,Programme!H13817,Programme!I13817,Programme!J13817)</f>
        <v>&lt;numeroLigne&gt;113&lt;/numeroLigne&gt;</v>
      </c>
    </row>
    <row r="13817" spans="1:1" x14ac:dyDescent="0.2">
      <c r="A13817" s="996" t="str">
        <f>CONCATENATE(Programme!D13818,Programme!E13818,Programme!F13818,Programme!G13818,Programme!H13818,Programme!I13818,Programme!J13818)</f>
        <v>&lt;/ValeurCellule&gt;</v>
      </c>
    </row>
    <row r="13818" spans="1:1" x14ac:dyDescent="0.2">
      <c r="A13818" s="996" t="str">
        <f>CONCATENATE(Programme!D13819,Programme!E13819,Programme!F13819,Programme!G13819,Programme!H13819,Programme!I13819,Programme!J13819)</f>
        <v>&lt;ValeurCellule&gt;</v>
      </c>
    </row>
    <row r="13819" spans="1:1" x14ac:dyDescent="0.2">
      <c r="A13819" s="996" t="str">
        <f>CONCATENATE(Programme!D13820,Programme!E13820,Programme!F13820,Programme!G13820,Programme!H13820,Programme!I13820,Programme!J13820)</f>
        <v>&lt;cellule&gt;&lt;codeEdi&gt;1083&lt;/codeEdi&gt;&lt;/cellule&gt;</v>
      </c>
    </row>
    <row r="13820" spans="1:1" x14ac:dyDescent="0.2">
      <c r="A13820" s="996" t="str">
        <f>CONCATENATE(Programme!D13821,Programme!E13821,Programme!F13821,Programme!G13821,Programme!H13821,Programme!I13821,Programme!J13821)</f>
        <v>&lt;valeur&gt;&lt;/valeur&gt;</v>
      </c>
    </row>
    <row r="13821" spans="1:1" x14ac:dyDescent="0.2">
      <c r="A13821" s="996" t="str">
        <f>CONCATENATE(Programme!D13822,Programme!E13822,Programme!F13822,Programme!G13822,Programme!H13822,Programme!I13822,Programme!J13822)</f>
        <v>&lt;numeroLigne&gt;113&lt;/numeroLigne&gt;</v>
      </c>
    </row>
    <row r="13822" spans="1:1" x14ac:dyDescent="0.2">
      <c r="A13822" s="996" t="str">
        <f>CONCATENATE(Programme!D13823,Programme!E13823,Programme!F13823,Programme!G13823,Programme!H13823,Programme!I13823,Programme!J13823)</f>
        <v>&lt;/ValeurCellule&gt;</v>
      </c>
    </row>
    <row r="13823" spans="1:1" x14ac:dyDescent="0.2">
      <c r="A13823" s="996" t="str">
        <f>CONCATENATE(Programme!D13824,Programme!E13824,Programme!F13824,Programme!G13824,Programme!H13824,Programme!I13824,Programme!J13824)</f>
        <v>&lt;ValeurCellule&gt;</v>
      </c>
    </row>
    <row r="13824" spans="1:1" x14ac:dyDescent="0.2">
      <c r="A13824" s="996" t="str">
        <f>CONCATENATE(Programme!D13825,Programme!E13825,Programme!F13825,Programme!G13825,Programme!H13825,Programme!I13825,Programme!J13825)</f>
        <v>&lt;cellule&gt;&lt;codeEdi&gt;1084&lt;/codeEdi&gt;&lt;/cellule&gt;</v>
      </c>
    </row>
    <row r="13825" spans="1:1" x14ac:dyDescent="0.2">
      <c r="A13825" s="996" t="str">
        <f>CONCATENATE(Programme!D13826,Programme!E13826,Programme!F13826,Programme!G13826,Programme!H13826,Programme!I13826,Programme!J13826)</f>
        <v>&lt;valeur&gt;&lt;/valeur&gt;</v>
      </c>
    </row>
    <row r="13826" spans="1:1" x14ac:dyDescent="0.2">
      <c r="A13826" s="996" t="str">
        <f>CONCATENATE(Programme!D13827,Programme!E13827,Programme!F13827,Programme!G13827,Programme!H13827,Programme!I13827,Programme!J13827)</f>
        <v>&lt;numeroLigne&gt;113&lt;/numeroLigne&gt;</v>
      </c>
    </row>
    <row r="13827" spans="1:1" x14ac:dyDescent="0.2">
      <c r="A13827" s="996" t="str">
        <f>CONCATENATE(Programme!D13828,Programme!E13828,Programme!F13828,Programme!G13828,Programme!H13828,Programme!I13828,Programme!J13828)</f>
        <v>&lt;/ValeurCellule&gt;</v>
      </c>
    </row>
    <row r="13828" spans="1:1" x14ac:dyDescent="0.2">
      <c r="A13828" s="996" t="str">
        <f>CONCATENATE(Programme!D13829,Programme!E13829,Programme!F13829,Programme!G13829,Programme!H13829,Programme!I13829,Programme!J13829)</f>
        <v>&lt;ValeurCellule&gt;</v>
      </c>
    </row>
    <row r="13829" spans="1:1" x14ac:dyDescent="0.2">
      <c r="A13829" s="996" t="str">
        <f>CONCATENATE(Programme!D13830,Programme!E13830,Programme!F13830,Programme!G13830,Programme!H13830,Programme!I13830,Programme!J13830)</f>
        <v>&lt;cellule&gt;&lt;codeEdi&gt;1085&lt;/codeEdi&gt;&lt;/cellule&gt;</v>
      </c>
    </row>
    <row r="13830" spans="1:1" x14ac:dyDescent="0.2">
      <c r="A13830" s="996" t="str">
        <f>CONCATENATE(Programme!D13831,Programme!E13831,Programme!F13831,Programme!G13831,Programme!H13831,Programme!I13831,Programme!J13831)</f>
        <v>&lt;valeur&gt;&lt;/valeur&gt;</v>
      </c>
    </row>
    <row r="13831" spans="1:1" x14ac:dyDescent="0.2">
      <c r="A13831" s="996" t="str">
        <f>CONCATENATE(Programme!D13832,Programme!E13832,Programme!F13832,Programme!G13832,Programme!H13832,Programme!I13832,Programme!J13832)</f>
        <v>&lt;numeroLigne&gt;113&lt;/numeroLigne&gt;</v>
      </c>
    </row>
    <row r="13832" spans="1:1" x14ac:dyDescent="0.2">
      <c r="A13832" s="996" t="str">
        <f>CONCATENATE(Programme!D13833,Programme!E13833,Programme!F13833,Programme!G13833,Programme!H13833,Programme!I13833,Programme!J13833)</f>
        <v>&lt;/ValeurCellule&gt;</v>
      </c>
    </row>
    <row r="13833" spans="1:1" x14ac:dyDescent="0.2">
      <c r="A13833" s="996" t="str">
        <f>CONCATENATE(Programme!D13834,Programme!E13834,Programme!F13834,Programme!G13834,Programme!H13834,Programme!I13834,Programme!J13834)</f>
        <v>&lt;ValeurCellule&gt;</v>
      </c>
    </row>
    <row r="13834" spans="1:1" x14ac:dyDescent="0.2">
      <c r="A13834" s="996" t="str">
        <f>CONCATENATE(Programme!D13835,Programme!E13835,Programme!F13835,Programme!G13835,Programme!H13835,Programme!I13835,Programme!J13835)</f>
        <v>&lt;cellule&gt;&lt;codeEdi&gt;1086&lt;/codeEdi&gt;&lt;/cellule&gt;</v>
      </c>
    </row>
    <row r="13835" spans="1:1" x14ac:dyDescent="0.2">
      <c r="A13835" s="996" t="str">
        <f>CONCATENATE(Programme!D13836,Programme!E13836,Programme!F13836,Programme!G13836,Programme!H13836,Programme!I13836,Programme!J13836)</f>
        <v>&lt;valeur&gt;&lt;/valeur&gt;</v>
      </c>
    </row>
    <row r="13836" spans="1:1" x14ac:dyDescent="0.2">
      <c r="A13836" s="996" t="str">
        <f>CONCATENATE(Programme!D13837,Programme!E13837,Programme!F13837,Programme!G13837,Programme!H13837,Programme!I13837,Programme!J13837)</f>
        <v>&lt;numeroLigne&gt;113&lt;/numeroLigne&gt;</v>
      </c>
    </row>
    <row r="13837" spans="1:1" x14ac:dyDescent="0.2">
      <c r="A13837" s="996" t="str">
        <f>CONCATENATE(Programme!D13838,Programme!E13838,Programme!F13838,Programme!G13838,Programme!H13838,Programme!I13838,Programme!J13838)</f>
        <v>&lt;/ValeurCellule&gt;</v>
      </c>
    </row>
    <row r="13838" spans="1:1" x14ac:dyDescent="0.2">
      <c r="A13838" s="996" t="str">
        <f>CONCATENATE(Programme!D13839,Programme!E13839,Programme!F13839,Programme!G13839,Programme!H13839,Programme!I13839,Programme!J13839)</f>
        <v>&lt;ValeurCellule&gt;</v>
      </c>
    </row>
    <row r="13839" spans="1:1" x14ac:dyDescent="0.2">
      <c r="A13839" s="996" t="str">
        <f>CONCATENATE(Programme!D13840,Programme!E13840,Programme!F13840,Programme!G13840,Programme!H13840,Programme!I13840,Programme!J13840)</f>
        <v>&lt;cellule&gt;&lt;codeEdi&gt;10061&lt;/codeEdi&gt;&lt;/cellule&gt;</v>
      </c>
    </row>
    <row r="13840" spans="1:1" x14ac:dyDescent="0.2">
      <c r="A13840" s="996" t="str">
        <f>CONCATENATE(Programme!D13841,Programme!E13841,Programme!F13841,Programme!G13841,Programme!H13841,Programme!I13841,Programme!J13841)</f>
        <v>&lt;valeur&gt;&lt;/valeur&gt;</v>
      </c>
    </row>
    <row r="13841" spans="1:1" x14ac:dyDescent="0.2">
      <c r="A13841" s="996" t="str">
        <f>CONCATENATE(Programme!D13842,Programme!E13842,Programme!F13842,Programme!G13842,Programme!H13842,Programme!I13842,Programme!J13842)</f>
        <v>&lt;numeroLigne&gt;114&lt;/numeroLigne&gt;</v>
      </c>
    </row>
    <row r="13842" spans="1:1" x14ac:dyDescent="0.2">
      <c r="A13842" s="996" t="str">
        <f>CONCATENATE(Programme!D13843,Programme!E13843,Programme!F13843,Programme!G13843,Programme!H13843,Programme!I13843,Programme!J13843)</f>
        <v>&lt;/ValeurCellule&gt;</v>
      </c>
    </row>
    <row r="13843" spans="1:1" x14ac:dyDescent="0.2">
      <c r="A13843" s="996" t="str">
        <f>CONCATENATE(Programme!D13844,Programme!E13844,Programme!F13844,Programme!G13844,Programme!H13844,Programme!I13844,Programme!J13844)</f>
        <v>&lt;ValeurCellule&gt;</v>
      </c>
    </row>
    <row r="13844" spans="1:1" x14ac:dyDescent="0.2">
      <c r="A13844" s="996" t="str">
        <f>CONCATENATE(Programme!D13845,Programme!E13845,Programme!F13845,Programme!G13845,Programme!H13845,Programme!I13845,Programme!J13845)</f>
        <v>&lt;cellule&gt;&lt;codeEdi&gt;1078&lt;/codeEdi&gt;&lt;/cellule&gt;</v>
      </c>
    </row>
    <row r="13845" spans="1:1" x14ac:dyDescent="0.2">
      <c r="A13845" s="996" t="str">
        <f>CONCATENATE(Programme!D13846,Programme!E13846,Programme!F13846,Programme!G13846,Programme!H13846,Programme!I13846,Programme!J13846)</f>
        <v>&lt;valeur&gt;&lt;/valeur&gt;</v>
      </c>
    </row>
    <row r="13846" spans="1:1" x14ac:dyDescent="0.2">
      <c r="A13846" s="996" t="str">
        <f>CONCATENATE(Programme!D13847,Programme!E13847,Programme!F13847,Programme!G13847,Programme!H13847,Programme!I13847,Programme!J13847)</f>
        <v>&lt;numeroLigne&gt;114&lt;/numeroLigne&gt;</v>
      </c>
    </row>
    <row r="13847" spans="1:1" x14ac:dyDescent="0.2">
      <c r="A13847" s="996" t="str">
        <f>CONCATENATE(Programme!D13848,Programme!E13848,Programme!F13848,Programme!G13848,Programme!H13848,Programme!I13848,Programme!J13848)</f>
        <v>&lt;/ValeurCellule&gt;</v>
      </c>
    </row>
    <row r="13848" spans="1:1" x14ac:dyDescent="0.2">
      <c r="A13848" s="996" t="str">
        <f>CONCATENATE(Programme!D13849,Programme!E13849,Programme!F13849,Programme!G13849,Programme!H13849,Programme!I13849,Programme!J13849)</f>
        <v>&lt;ValeurCellule&gt;</v>
      </c>
    </row>
    <row r="13849" spans="1:1" x14ac:dyDescent="0.2">
      <c r="A13849" s="996" t="str">
        <f>CONCATENATE(Programme!D13850,Programme!E13850,Programme!F13850,Programme!G13850,Programme!H13850,Programme!I13850,Programme!J13850)</f>
        <v>&lt;cellule&gt;&lt;codeEdi&gt;1079&lt;/codeEdi&gt;&lt;/cellule&gt;</v>
      </c>
    </row>
    <row r="13850" spans="1:1" x14ac:dyDescent="0.2">
      <c r="A13850" s="996" t="str">
        <f>CONCATENATE(Programme!D13851,Programme!E13851,Programme!F13851,Programme!G13851,Programme!H13851,Programme!I13851,Programme!J13851)</f>
        <v>&lt;valeur&gt;&lt;/valeur&gt;</v>
      </c>
    </row>
    <row r="13851" spans="1:1" x14ac:dyDescent="0.2">
      <c r="A13851" s="996" t="str">
        <f>CONCATENATE(Programme!D13852,Programme!E13852,Programme!F13852,Programme!G13852,Programme!H13852,Programme!I13852,Programme!J13852)</f>
        <v>&lt;numeroLigne&gt;114&lt;/numeroLigne&gt;</v>
      </c>
    </row>
    <row r="13852" spans="1:1" x14ac:dyDescent="0.2">
      <c r="A13852" s="996" t="str">
        <f>CONCATENATE(Programme!D13853,Programme!E13853,Programme!F13853,Programme!G13853,Programme!H13853,Programme!I13853,Programme!J13853)</f>
        <v>&lt;/ValeurCellule&gt;</v>
      </c>
    </row>
    <row r="13853" spans="1:1" x14ac:dyDescent="0.2">
      <c r="A13853" s="996" t="str">
        <f>CONCATENATE(Programme!D13854,Programme!E13854,Programme!F13854,Programme!G13854,Programme!H13854,Programme!I13854,Programme!J13854)</f>
        <v>&lt;ValeurCellule&gt;</v>
      </c>
    </row>
    <row r="13854" spans="1:1" x14ac:dyDescent="0.2">
      <c r="A13854" s="996" t="str">
        <f>CONCATENATE(Programme!D13855,Programme!E13855,Programme!F13855,Programme!G13855,Programme!H13855,Programme!I13855,Programme!J13855)</f>
        <v>&lt;cellule&gt;&lt;codeEdi&gt;1080&lt;/codeEdi&gt;&lt;/cellule&gt;</v>
      </c>
    </row>
    <row r="13855" spans="1:1" x14ac:dyDescent="0.2">
      <c r="A13855" s="996" t="str">
        <f>CONCATENATE(Programme!D13856,Programme!E13856,Programme!F13856,Programme!G13856,Programme!H13856,Programme!I13856,Programme!J13856)</f>
        <v>&lt;valeur&gt;&lt;/valeur&gt;</v>
      </c>
    </row>
    <row r="13856" spans="1:1" x14ac:dyDescent="0.2">
      <c r="A13856" s="996" t="str">
        <f>CONCATENATE(Programme!D13857,Programme!E13857,Programme!F13857,Programme!G13857,Programme!H13857,Programme!I13857,Programme!J13857)</f>
        <v>&lt;numeroLigne&gt;114&lt;/numeroLigne&gt;</v>
      </c>
    </row>
    <row r="13857" spans="1:1" x14ac:dyDescent="0.2">
      <c r="A13857" s="996" t="str">
        <f>CONCATENATE(Programme!D13858,Programme!E13858,Programme!F13858,Programme!G13858,Programme!H13858,Programme!I13858,Programme!J13858)</f>
        <v>&lt;/ValeurCellule&gt;</v>
      </c>
    </row>
    <row r="13858" spans="1:1" x14ac:dyDescent="0.2">
      <c r="A13858" s="996" t="str">
        <f>CONCATENATE(Programme!D13859,Programme!E13859,Programme!F13859,Programme!G13859,Programme!H13859,Programme!I13859,Programme!J13859)</f>
        <v>&lt;ValeurCellule&gt;</v>
      </c>
    </row>
    <row r="13859" spans="1:1" x14ac:dyDescent="0.2">
      <c r="A13859" s="996" t="str">
        <f>CONCATENATE(Programme!D13860,Programme!E13860,Programme!F13860,Programme!G13860,Programme!H13860,Programme!I13860,Programme!J13860)</f>
        <v>&lt;cellule&gt;&lt;codeEdi&gt;1081&lt;/codeEdi&gt;&lt;/cellule&gt;</v>
      </c>
    </row>
    <row r="13860" spans="1:1" x14ac:dyDescent="0.2">
      <c r="A13860" s="996" t="str">
        <f>CONCATENATE(Programme!D13861,Programme!E13861,Programme!F13861,Programme!G13861,Programme!H13861,Programme!I13861,Programme!J13861)</f>
        <v>&lt;valeur&gt;&lt;/valeur&gt;</v>
      </c>
    </row>
    <row r="13861" spans="1:1" x14ac:dyDescent="0.2">
      <c r="A13861" s="996" t="str">
        <f>CONCATENATE(Programme!D13862,Programme!E13862,Programme!F13862,Programme!G13862,Programme!H13862,Programme!I13862,Programme!J13862)</f>
        <v>&lt;numeroLigne&gt;114&lt;/numeroLigne&gt;</v>
      </c>
    </row>
    <row r="13862" spans="1:1" x14ac:dyDescent="0.2">
      <c r="A13862" s="996" t="str">
        <f>CONCATENATE(Programme!D13863,Programme!E13863,Programme!F13863,Programme!G13863,Programme!H13863,Programme!I13863,Programme!J13863)</f>
        <v>&lt;/ValeurCellule&gt;</v>
      </c>
    </row>
    <row r="13863" spans="1:1" x14ac:dyDescent="0.2">
      <c r="A13863" s="996" t="str">
        <f>CONCATENATE(Programme!D13864,Programme!E13864,Programme!F13864,Programme!G13864,Programme!H13864,Programme!I13864,Programme!J13864)</f>
        <v>&lt;ValeurCellule&gt;</v>
      </c>
    </row>
    <row r="13864" spans="1:1" x14ac:dyDescent="0.2">
      <c r="A13864" s="996" t="str">
        <f>CONCATENATE(Programme!D13865,Programme!E13865,Programme!F13865,Programme!G13865,Programme!H13865,Programme!I13865,Programme!J13865)</f>
        <v>&lt;cellule&gt;&lt;codeEdi&gt;1082&lt;/codeEdi&gt;&lt;/cellule&gt;</v>
      </c>
    </row>
    <row r="13865" spans="1:1" x14ac:dyDescent="0.2">
      <c r="A13865" s="996" t="str">
        <f>CONCATENATE(Programme!D13866,Programme!E13866,Programme!F13866,Programme!G13866,Programme!H13866,Programme!I13866,Programme!J13866)</f>
        <v>&lt;valeur&gt;&lt;/valeur&gt;</v>
      </c>
    </row>
    <row r="13866" spans="1:1" x14ac:dyDescent="0.2">
      <c r="A13866" s="996" t="str">
        <f>CONCATENATE(Programme!D13867,Programme!E13867,Programme!F13867,Programme!G13867,Programme!H13867,Programme!I13867,Programme!J13867)</f>
        <v>&lt;numeroLigne&gt;114&lt;/numeroLigne&gt;</v>
      </c>
    </row>
    <row r="13867" spans="1:1" x14ac:dyDescent="0.2">
      <c r="A13867" s="996" t="str">
        <f>CONCATENATE(Programme!D13868,Programme!E13868,Programme!F13868,Programme!G13868,Programme!H13868,Programme!I13868,Programme!J13868)</f>
        <v>&lt;/ValeurCellule&gt;</v>
      </c>
    </row>
    <row r="13868" spans="1:1" x14ac:dyDescent="0.2">
      <c r="A13868" s="996" t="str">
        <f>CONCATENATE(Programme!D13869,Programme!E13869,Programme!F13869,Programme!G13869,Programme!H13869,Programme!I13869,Programme!J13869)</f>
        <v>&lt;ValeurCellule&gt;</v>
      </c>
    </row>
    <row r="13869" spans="1:1" x14ac:dyDescent="0.2">
      <c r="A13869" s="996" t="str">
        <f>CONCATENATE(Programme!D13870,Programme!E13870,Programme!F13870,Programme!G13870,Programme!H13870,Programme!I13870,Programme!J13870)</f>
        <v>&lt;cellule&gt;&lt;codeEdi&gt;1083&lt;/codeEdi&gt;&lt;/cellule&gt;</v>
      </c>
    </row>
    <row r="13870" spans="1:1" x14ac:dyDescent="0.2">
      <c r="A13870" s="996" t="str">
        <f>CONCATENATE(Programme!D13871,Programme!E13871,Programme!F13871,Programme!G13871,Programme!H13871,Programme!I13871,Programme!J13871)</f>
        <v>&lt;valeur&gt;&lt;/valeur&gt;</v>
      </c>
    </row>
    <row r="13871" spans="1:1" x14ac:dyDescent="0.2">
      <c r="A13871" s="996" t="str">
        <f>CONCATENATE(Programme!D13872,Programme!E13872,Programme!F13872,Programme!G13872,Programme!H13872,Programme!I13872,Programme!J13872)</f>
        <v>&lt;numeroLigne&gt;114&lt;/numeroLigne&gt;</v>
      </c>
    </row>
    <row r="13872" spans="1:1" x14ac:dyDescent="0.2">
      <c r="A13872" s="996" t="str">
        <f>CONCATENATE(Programme!D13873,Programme!E13873,Programme!F13873,Programme!G13873,Programme!H13873,Programme!I13873,Programme!J13873)</f>
        <v>&lt;/ValeurCellule&gt;</v>
      </c>
    </row>
    <row r="13873" spans="1:1" x14ac:dyDescent="0.2">
      <c r="A13873" s="996" t="str">
        <f>CONCATENATE(Programme!D13874,Programme!E13874,Programme!F13874,Programme!G13874,Programme!H13874,Programme!I13874,Programme!J13874)</f>
        <v>&lt;ValeurCellule&gt;</v>
      </c>
    </row>
    <row r="13874" spans="1:1" x14ac:dyDescent="0.2">
      <c r="A13874" s="996" t="str">
        <f>CONCATENATE(Programme!D13875,Programme!E13875,Programme!F13875,Programme!G13875,Programme!H13875,Programme!I13875,Programme!J13875)</f>
        <v>&lt;cellule&gt;&lt;codeEdi&gt;1084&lt;/codeEdi&gt;&lt;/cellule&gt;</v>
      </c>
    </row>
    <row r="13875" spans="1:1" x14ac:dyDescent="0.2">
      <c r="A13875" s="996" t="str">
        <f>CONCATENATE(Programme!D13876,Programme!E13876,Programme!F13876,Programme!G13876,Programme!H13876,Programme!I13876,Programme!J13876)</f>
        <v>&lt;valeur&gt;&lt;/valeur&gt;</v>
      </c>
    </row>
    <row r="13876" spans="1:1" x14ac:dyDescent="0.2">
      <c r="A13876" s="996" t="str">
        <f>CONCATENATE(Programme!D13877,Programme!E13877,Programme!F13877,Programme!G13877,Programme!H13877,Programme!I13877,Programme!J13877)</f>
        <v>&lt;numeroLigne&gt;114&lt;/numeroLigne&gt;</v>
      </c>
    </row>
    <row r="13877" spans="1:1" x14ac:dyDescent="0.2">
      <c r="A13877" s="996" t="str">
        <f>CONCATENATE(Programme!D13878,Programme!E13878,Programme!F13878,Programme!G13878,Programme!H13878,Programme!I13878,Programme!J13878)</f>
        <v>&lt;/ValeurCellule&gt;</v>
      </c>
    </row>
    <row r="13878" spans="1:1" x14ac:dyDescent="0.2">
      <c r="A13878" s="996" t="str">
        <f>CONCATENATE(Programme!D13879,Programme!E13879,Programme!F13879,Programme!G13879,Programme!H13879,Programme!I13879,Programme!J13879)</f>
        <v>&lt;ValeurCellule&gt;</v>
      </c>
    </row>
    <row r="13879" spans="1:1" x14ac:dyDescent="0.2">
      <c r="A13879" s="996" t="str">
        <f>CONCATENATE(Programme!D13880,Programme!E13880,Programme!F13880,Programme!G13880,Programme!H13880,Programme!I13880,Programme!J13880)</f>
        <v>&lt;cellule&gt;&lt;codeEdi&gt;1085&lt;/codeEdi&gt;&lt;/cellule&gt;</v>
      </c>
    </row>
    <row r="13880" spans="1:1" x14ac:dyDescent="0.2">
      <c r="A13880" s="996" t="str">
        <f>CONCATENATE(Programme!D13881,Programme!E13881,Programme!F13881,Programme!G13881,Programme!H13881,Programme!I13881,Programme!J13881)</f>
        <v>&lt;valeur&gt;&lt;/valeur&gt;</v>
      </c>
    </row>
    <row r="13881" spans="1:1" x14ac:dyDescent="0.2">
      <c r="A13881" s="996" t="str">
        <f>CONCATENATE(Programme!D13882,Programme!E13882,Programme!F13882,Programme!G13882,Programme!H13882,Programme!I13882,Programme!J13882)</f>
        <v>&lt;numeroLigne&gt;114&lt;/numeroLigne&gt;</v>
      </c>
    </row>
    <row r="13882" spans="1:1" x14ac:dyDescent="0.2">
      <c r="A13882" s="996" t="str">
        <f>CONCATENATE(Programme!D13883,Programme!E13883,Programme!F13883,Programme!G13883,Programme!H13883,Programme!I13883,Programme!J13883)</f>
        <v>&lt;/ValeurCellule&gt;</v>
      </c>
    </row>
    <row r="13883" spans="1:1" x14ac:dyDescent="0.2">
      <c r="A13883" s="996" t="str">
        <f>CONCATENATE(Programme!D13884,Programme!E13884,Programme!F13884,Programme!G13884,Programme!H13884,Programme!I13884,Programme!J13884)</f>
        <v>&lt;ValeurCellule&gt;</v>
      </c>
    </row>
    <row r="13884" spans="1:1" x14ac:dyDescent="0.2">
      <c r="A13884" s="996" t="str">
        <f>CONCATENATE(Programme!D13885,Programme!E13885,Programme!F13885,Programme!G13885,Programme!H13885,Programme!I13885,Programme!J13885)</f>
        <v>&lt;cellule&gt;&lt;codeEdi&gt;1086&lt;/codeEdi&gt;&lt;/cellule&gt;</v>
      </c>
    </row>
    <row r="13885" spans="1:1" x14ac:dyDescent="0.2">
      <c r="A13885" s="996" t="str">
        <f>CONCATENATE(Programme!D13886,Programme!E13886,Programme!F13886,Programme!G13886,Programme!H13886,Programme!I13886,Programme!J13886)</f>
        <v>&lt;valeur&gt;&lt;/valeur&gt;</v>
      </c>
    </row>
    <row r="13886" spans="1:1" x14ac:dyDescent="0.2">
      <c r="A13886" s="996" t="str">
        <f>CONCATENATE(Programme!D13887,Programme!E13887,Programme!F13887,Programme!G13887,Programme!H13887,Programme!I13887,Programme!J13887)</f>
        <v>&lt;numeroLigne&gt;114&lt;/numeroLigne&gt;</v>
      </c>
    </row>
    <row r="13887" spans="1:1" x14ac:dyDescent="0.2">
      <c r="A13887" s="996" t="str">
        <f>CONCATENATE(Programme!D13888,Programme!E13888,Programme!F13888,Programme!G13888,Programme!H13888,Programme!I13888,Programme!J13888)</f>
        <v>&lt;/ValeurCellule&gt;</v>
      </c>
    </row>
    <row r="13888" spans="1:1" x14ac:dyDescent="0.2">
      <c r="A13888" s="996" t="str">
        <f>CONCATENATE(Programme!D13889,Programme!E13889,Programme!F13889,Programme!G13889,Programme!H13889,Programme!I13889,Programme!J13889)</f>
        <v>&lt;ValeurCellule&gt;</v>
      </c>
    </row>
    <row r="13889" spans="1:1" x14ac:dyDescent="0.2">
      <c r="A13889" s="996" t="str">
        <f>CONCATENATE(Programme!D13890,Programme!E13890,Programme!F13890,Programme!G13890,Programme!H13890,Programme!I13890,Programme!J13890)</f>
        <v>&lt;cellule&gt;&lt;codeEdi&gt;10061&lt;/codeEdi&gt;&lt;/cellule&gt;</v>
      </c>
    </row>
    <row r="13890" spans="1:1" x14ac:dyDescent="0.2">
      <c r="A13890" s="996" t="str">
        <f>CONCATENATE(Programme!D13891,Programme!E13891,Programme!F13891,Programme!G13891,Programme!H13891,Programme!I13891,Programme!J13891)</f>
        <v>&lt;valeur&gt;&lt;/valeur&gt;</v>
      </c>
    </row>
    <row r="13891" spans="1:1" x14ac:dyDescent="0.2">
      <c r="A13891" s="996" t="str">
        <f>CONCATENATE(Programme!D13892,Programme!E13892,Programme!F13892,Programme!G13892,Programme!H13892,Programme!I13892,Programme!J13892)</f>
        <v>&lt;numeroLigne&gt;115&lt;/numeroLigne&gt;</v>
      </c>
    </row>
    <row r="13892" spans="1:1" x14ac:dyDescent="0.2">
      <c r="A13892" s="996" t="str">
        <f>CONCATENATE(Programme!D13893,Programme!E13893,Programme!F13893,Programme!G13893,Programme!H13893,Programme!I13893,Programme!J13893)</f>
        <v>&lt;/ValeurCellule&gt;</v>
      </c>
    </row>
    <row r="13893" spans="1:1" x14ac:dyDescent="0.2">
      <c r="A13893" s="996" t="str">
        <f>CONCATENATE(Programme!D13894,Programme!E13894,Programme!F13894,Programme!G13894,Programme!H13894,Programme!I13894,Programme!J13894)</f>
        <v>&lt;ValeurCellule&gt;</v>
      </c>
    </row>
    <row r="13894" spans="1:1" x14ac:dyDescent="0.2">
      <c r="A13894" s="996" t="str">
        <f>CONCATENATE(Programme!D13895,Programme!E13895,Programme!F13895,Programme!G13895,Programme!H13895,Programme!I13895,Programme!J13895)</f>
        <v>&lt;cellule&gt;&lt;codeEdi&gt;1078&lt;/codeEdi&gt;&lt;/cellule&gt;</v>
      </c>
    </row>
    <row r="13895" spans="1:1" x14ac:dyDescent="0.2">
      <c r="A13895" s="996" t="str">
        <f>CONCATENATE(Programme!D13896,Programme!E13896,Programme!F13896,Programme!G13896,Programme!H13896,Programme!I13896,Programme!J13896)</f>
        <v>&lt;valeur&gt;&lt;/valeur&gt;</v>
      </c>
    </row>
    <row r="13896" spans="1:1" x14ac:dyDescent="0.2">
      <c r="A13896" s="996" t="str">
        <f>CONCATENATE(Programme!D13897,Programme!E13897,Programme!F13897,Programme!G13897,Programme!H13897,Programme!I13897,Programme!J13897)</f>
        <v>&lt;numeroLigne&gt;115&lt;/numeroLigne&gt;</v>
      </c>
    </row>
    <row r="13897" spans="1:1" x14ac:dyDescent="0.2">
      <c r="A13897" s="996" t="str">
        <f>CONCATENATE(Programme!D13898,Programme!E13898,Programme!F13898,Programme!G13898,Programme!H13898,Programme!I13898,Programme!J13898)</f>
        <v>&lt;/ValeurCellule&gt;</v>
      </c>
    </row>
    <row r="13898" spans="1:1" x14ac:dyDescent="0.2">
      <c r="A13898" s="996" t="str">
        <f>CONCATENATE(Programme!D13899,Programme!E13899,Programme!F13899,Programme!G13899,Programme!H13899,Programme!I13899,Programme!J13899)</f>
        <v>&lt;ValeurCellule&gt;</v>
      </c>
    </row>
    <row r="13899" spans="1:1" x14ac:dyDescent="0.2">
      <c r="A13899" s="996" t="str">
        <f>CONCATENATE(Programme!D13900,Programme!E13900,Programme!F13900,Programme!G13900,Programme!H13900,Programme!I13900,Programme!J13900)</f>
        <v>&lt;cellule&gt;&lt;codeEdi&gt;1079&lt;/codeEdi&gt;&lt;/cellule&gt;</v>
      </c>
    </row>
    <row r="13900" spans="1:1" x14ac:dyDescent="0.2">
      <c r="A13900" s="996" t="str">
        <f>CONCATENATE(Programme!D13901,Programme!E13901,Programme!F13901,Programme!G13901,Programme!H13901,Programme!I13901,Programme!J13901)</f>
        <v>&lt;valeur&gt;&lt;/valeur&gt;</v>
      </c>
    </row>
    <row r="13901" spans="1:1" x14ac:dyDescent="0.2">
      <c r="A13901" s="996" t="str">
        <f>CONCATENATE(Programme!D13902,Programme!E13902,Programme!F13902,Programme!G13902,Programme!H13902,Programme!I13902,Programme!J13902)</f>
        <v>&lt;numeroLigne&gt;115&lt;/numeroLigne&gt;</v>
      </c>
    </row>
    <row r="13902" spans="1:1" x14ac:dyDescent="0.2">
      <c r="A13902" s="996" t="str">
        <f>CONCATENATE(Programme!D13903,Programme!E13903,Programme!F13903,Programme!G13903,Programme!H13903,Programme!I13903,Programme!J13903)</f>
        <v>&lt;/ValeurCellule&gt;</v>
      </c>
    </row>
    <row r="13903" spans="1:1" x14ac:dyDescent="0.2">
      <c r="A13903" s="996" t="str">
        <f>CONCATENATE(Programme!D13904,Programme!E13904,Programme!F13904,Programme!G13904,Programme!H13904,Programme!I13904,Programme!J13904)</f>
        <v>&lt;ValeurCellule&gt;</v>
      </c>
    </row>
    <row r="13904" spans="1:1" x14ac:dyDescent="0.2">
      <c r="A13904" s="996" t="str">
        <f>CONCATENATE(Programme!D13905,Programme!E13905,Programme!F13905,Programme!G13905,Programme!H13905,Programme!I13905,Programme!J13905)</f>
        <v>&lt;cellule&gt;&lt;codeEdi&gt;1080&lt;/codeEdi&gt;&lt;/cellule&gt;</v>
      </c>
    </row>
    <row r="13905" spans="1:1" x14ac:dyDescent="0.2">
      <c r="A13905" s="996" t="str">
        <f>CONCATENATE(Programme!D13906,Programme!E13906,Programme!F13906,Programme!G13906,Programme!H13906,Programme!I13906,Programme!J13906)</f>
        <v>&lt;valeur&gt;&lt;/valeur&gt;</v>
      </c>
    </row>
    <row r="13906" spans="1:1" x14ac:dyDescent="0.2">
      <c r="A13906" s="996" t="str">
        <f>CONCATENATE(Programme!D13907,Programme!E13907,Programme!F13907,Programme!G13907,Programme!H13907,Programme!I13907,Programme!J13907)</f>
        <v>&lt;numeroLigne&gt;115&lt;/numeroLigne&gt;</v>
      </c>
    </row>
    <row r="13907" spans="1:1" x14ac:dyDescent="0.2">
      <c r="A13907" s="996" t="str">
        <f>CONCATENATE(Programme!D13908,Programme!E13908,Programme!F13908,Programme!G13908,Programme!H13908,Programme!I13908,Programme!J13908)</f>
        <v>&lt;/ValeurCellule&gt;</v>
      </c>
    </row>
    <row r="13908" spans="1:1" x14ac:dyDescent="0.2">
      <c r="A13908" s="996" t="str">
        <f>CONCATENATE(Programme!D13909,Programme!E13909,Programme!F13909,Programme!G13909,Programme!H13909,Programme!I13909,Programme!J13909)</f>
        <v>&lt;ValeurCellule&gt;</v>
      </c>
    </row>
    <row r="13909" spans="1:1" x14ac:dyDescent="0.2">
      <c r="A13909" s="996" t="str">
        <f>CONCATENATE(Programme!D13910,Programme!E13910,Programme!F13910,Programme!G13910,Programme!H13910,Programme!I13910,Programme!J13910)</f>
        <v>&lt;cellule&gt;&lt;codeEdi&gt;1081&lt;/codeEdi&gt;&lt;/cellule&gt;</v>
      </c>
    </row>
    <row r="13910" spans="1:1" x14ac:dyDescent="0.2">
      <c r="A13910" s="996" t="str">
        <f>CONCATENATE(Programme!D13911,Programme!E13911,Programme!F13911,Programme!G13911,Programme!H13911,Programme!I13911,Programme!J13911)</f>
        <v>&lt;valeur&gt;&lt;/valeur&gt;</v>
      </c>
    </row>
    <row r="13911" spans="1:1" x14ac:dyDescent="0.2">
      <c r="A13911" s="996" t="str">
        <f>CONCATENATE(Programme!D13912,Programme!E13912,Programme!F13912,Programme!G13912,Programme!H13912,Programme!I13912,Programme!J13912)</f>
        <v>&lt;numeroLigne&gt;115&lt;/numeroLigne&gt;</v>
      </c>
    </row>
    <row r="13912" spans="1:1" x14ac:dyDescent="0.2">
      <c r="A13912" s="996" t="str">
        <f>CONCATENATE(Programme!D13913,Programme!E13913,Programme!F13913,Programme!G13913,Programme!H13913,Programme!I13913,Programme!J13913)</f>
        <v>&lt;/ValeurCellule&gt;</v>
      </c>
    </row>
    <row r="13913" spans="1:1" x14ac:dyDescent="0.2">
      <c r="A13913" s="996" t="str">
        <f>CONCATENATE(Programme!D13914,Programme!E13914,Programme!F13914,Programme!G13914,Programme!H13914,Programme!I13914,Programme!J13914)</f>
        <v>&lt;ValeurCellule&gt;</v>
      </c>
    </row>
    <row r="13914" spans="1:1" x14ac:dyDescent="0.2">
      <c r="A13914" s="996" t="str">
        <f>CONCATENATE(Programme!D13915,Programme!E13915,Programme!F13915,Programme!G13915,Programme!H13915,Programme!I13915,Programme!J13915)</f>
        <v>&lt;cellule&gt;&lt;codeEdi&gt;1082&lt;/codeEdi&gt;&lt;/cellule&gt;</v>
      </c>
    </row>
    <row r="13915" spans="1:1" x14ac:dyDescent="0.2">
      <c r="A13915" s="996" t="str">
        <f>CONCATENATE(Programme!D13916,Programme!E13916,Programme!F13916,Programme!G13916,Programme!H13916,Programme!I13916,Programme!J13916)</f>
        <v>&lt;valeur&gt;&lt;/valeur&gt;</v>
      </c>
    </row>
    <row r="13916" spans="1:1" x14ac:dyDescent="0.2">
      <c r="A13916" s="996" t="str">
        <f>CONCATENATE(Programme!D13917,Programme!E13917,Programme!F13917,Programme!G13917,Programme!H13917,Programme!I13917,Programme!J13917)</f>
        <v>&lt;numeroLigne&gt;115&lt;/numeroLigne&gt;</v>
      </c>
    </row>
    <row r="13917" spans="1:1" x14ac:dyDescent="0.2">
      <c r="A13917" s="996" t="str">
        <f>CONCATENATE(Programme!D13918,Programme!E13918,Programme!F13918,Programme!G13918,Programme!H13918,Programme!I13918,Programme!J13918)</f>
        <v>&lt;/ValeurCellule&gt;</v>
      </c>
    </row>
    <row r="13918" spans="1:1" x14ac:dyDescent="0.2">
      <c r="A13918" s="996" t="str">
        <f>CONCATENATE(Programme!D13919,Programme!E13919,Programme!F13919,Programme!G13919,Programme!H13919,Programme!I13919,Programme!J13919)</f>
        <v>&lt;ValeurCellule&gt;</v>
      </c>
    </row>
    <row r="13919" spans="1:1" x14ac:dyDescent="0.2">
      <c r="A13919" s="996" t="str">
        <f>CONCATENATE(Programme!D13920,Programme!E13920,Programme!F13920,Programme!G13920,Programme!H13920,Programme!I13920,Programme!J13920)</f>
        <v>&lt;cellule&gt;&lt;codeEdi&gt;1083&lt;/codeEdi&gt;&lt;/cellule&gt;</v>
      </c>
    </row>
    <row r="13920" spans="1:1" x14ac:dyDescent="0.2">
      <c r="A13920" s="996" t="str">
        <f>CONCATENATE(Programme!D13921,Programme!E13921,Programme!F13921,Programme!G13921,Programme!H13921,Programme!I13921,Programme!J13921)</f>
        <v>&lt;valeur&gt;&lt;/valeur&gt;</v>
      </c>
    </row>
    <row r="13921" spans="1:1" x14ac:dyDescent="0.2">
      <c r="A13921" s="996" t="str">
        <f>CONCATENATE(Programme!D13922,Programme!E13922,Programme!F13922,Programme!G13922,Programme!H13922,Programme!I13922,Programme!J13922)</f>
        <v>&lt;numeroLigne&gt;115&lt;/numeroLigne&gt;</v>
      </c>
    </row>
    <row r="13922" spans="1:1" x14ac:dyDescent="0.2">
      <c r="A13922" s="996" t="str">
        <f>CONCATENATE(Programme!D13923,Programme!E13923,Programme!F13923,Programme!G13923,Programme!H13923,Programme!I13923,Programme!J13923)</f>
        <v>&lt;/ValeurCellule&gt;</v>
      </c>
    </row>
    <row r="13923" spans="1:1" x14ac:dyDescent="0.2">
      <c r="A13923" s="996" t="str">
        <f>CONCATENATE(Programme!D13924,Programme!E13924,Programme!F13924,Programme!G13924,Programme!H13924,Programme!I13924,Programme!J13924)</f>
        <v>&lt;ValeurCellule&gt;</v>
      </c>
    </row>
    <row r="13924" spans="1:1" x14ac:dyDescent="0.2">
      <c r="A13924" s="996" t="str">
        <f>CONCATENATE(Programme!D13925,Programme!E13925,Programme!F13925,Programme!G13925,Programme!H13925,Programme!I13925,Programme!J13925)</f>
        <v>&lt;cellule&gt;&lt;codeEdi&gt;1084&lt;/codeEdi&gt;&lt;/cellule&gt;</v>
      </c>
    </row>
    <row r="13925" spans="1:1" x14ac:dyDescent="0.2">
      <c r="A13925" s="996" t="str">
        <f>CONCATENATE(Programme!D13926,Programme!E13926,Programme!F13926,Programme!G13926,Programme!H13926,Programme!I13926,Programme!J13926)</f>
        <v>&lt;valeur&gt;&lt;/valeur&gt;</v>
      </c>
    </row>
    <row r="13926" spans="1:1" x14ac:dyDescent="0.2">
      <c r="A13926" s="996" t="str">
        <f>CONCATENATE(Programme!D13927,Programme!E13927,Programme!F13927,Programme!G13927,Programme!H13927,Programme!I13927,Programme!J13927)</f>
        <v>&lt;numeroLigne&gt;115&lt;/numeroLigne&gt;</v>
      </c>
    </row>
    <row r="13927" spans="1:1" x14ac:dyDescent="0.2">
      <c r="A13927" s="996" t="str">
        <f>CONCATENATE(Programme!D13928,Programme!E13928,Programme!F13928,Programme!G13928,Programme!H13928,Programme!I13928,Programme!J13928)</f>
        <v>&lt;/ValeurCellule&gt;</v>
      </c>
    </row>
    <row r="13928" spans="1:1" x14ac:dyDescent="0.2">
      <c r="A13928" s="996" t="str">
        <f>CONCATENATE(Programme!D13929,Programme!E13929,Programme!F13929,Programme!G13929,Programme!H13929,Programme!I13929,Programme!J13929)</f>
        <v>&lt;ValeurCellule&gt;</v>
      </c>
    </row>
    <row r="13929" spans="1:1" x14ac:dyDescent="0.2">
      <c r="A13929" s="996" t="str">
        <f>CONCATENATE(Programme!D13930,Programme!E13930,Programme!F13930,Programme!G13930,Programme!H13930,Programme!I13930,Programme!J13930)</f>
        <v>&lt;cellule&gt;&lt;codeEdi&gt;1085&lt;/codeEdi&gt;&lt;/cellule&gt;</v>
      </c>
    </row>
    <row r="13930" spans="1:1" x14ac:dyDescent="0.2">
      <c r="A13930" s="996" t="str">
        <f>CONCATENATE(Programme!D13931,Programme!E13931,Programme!F13931,Programme!G13931,Programme!H13931,Programme!I13931,Programme!J13931)</f>
        <v>&lt;valeur&gt;&lt;/valeur&gt;</v>
      </c>
    </row>
    <row r="13931" spans="1:1" x14ac:dyDescent="0.2">
      <c r="A13931" s="996" t="str">
        <f>CONCATENATE(Programme!D13932,Programme!E13932,Programme!F13932,Programme!G13932,Programme!H13932,Programme!I13932,Programme!J13932)</f>
        <v>&lt;numeroLigne&gt;115&lt;/numeroLigne&gt;</v>
      </c>
    </row>
    <row r="13932" spans="1:1" x14ac:dyDescent="0.2">
      <c r="A13932" s="996" t="str">
        <f>CONCATENATE(Programme!D13933,Programme!E13933,Programme!F13933,Programme!G13933,Programme!H13933,Programme!I13933,Programme!J13933)</f>
        <v>&lt;/ValeurCellule&gt;</v>
      </c>
    </row>
    <row r="13933" spans="1:1" x14ac:dyDescent="0.2">
      <c r="A13933" s="996" t="str">
        <f>CONCATENATE(Programme!D13934,Programme!E13934,Programme!F13934,Programme!G13934,Programme!H13934,Programme!I13934,Programme!J13934)</f>
        <v>&lt;ValeurCellule&gt;</v>
      </c>
    </row>
    <row r="13934" spans="1:1" x14ac:dyDescent="0.2">
      <c r="A13934" s="996" t="str">
        <f>CONCATENATE(Programme!D13935,Programme!E13935,Programme!F13935,Programme!G13935,Programme!H13935,Programme!I13935,Programme!J13935)</f>
        <v>&lt;cellule&gt;&lt;codeEdi&gt;1086&lt;/codeEdi&gt;&lt;/cellule&gt;</v>
      </c>
    </row>
    <row r="13935" spans="1:1" x14ac:dyDescent="0.2">
      <c r="A13935" s="996" t="str">
        <f>CONCATENATE(Programme!D13936,Programme!E13936,Programme!F13936,Programme!G13936,Programme!H13936,Programme!I13936,Programme!J13936)</f>
        <v>&lt;valeur&gt;&lt;/valeur&gt;</v>
      </c>
    </row>
    <row r="13936" spans="1:1" x14ac:dyDescent="0.2">
      <c r="A13936" s="996" t="str">
        <f>CONCATENATE(Programme!D13937,Programme!E13937,Programme!F13937,Programme!G13937,Programme!H13937,Programme!I13937,Programme!J13937)</f>
        <v>&lt;numeroLigne&gt;115&lt;/numeroLigne&gt;</v>
      </c>
    </row>
    <row r="13937" spans="1:1" x14ac:dyDescent="0.2">
      <c r="A13937" s="996" t="str">
        <f>CONCATENATE(Programme!D13938,Programme!E13938,Programme!F13938,Programme!G13938,Programme!H13938,Programme!I13938,Programme!J13938)</f>
        <v>&lt;/ValeurCellule&gt;</v>
      </c>
    </row>
    <row r="13938" spans="1:1" x14ac:dyDescent="0.2">
      <c r="A13938" s="996" t="str">
        <f>CONCATENATE(Programme!D13939,Programme!E13939,Programme!F13939,Programme!G13939,Programme!H13939,Programme!I13939,Programme!J13939)</f>
        <v>&lt;ValeurCellule&gt;</v>
      </c>
    </row>
    <row r="13939" spans="1:1" x14ac:dyDescent="0.2">
      <c r="A13939" s="996" t="str">
        <f>CONCATENATE(Programme!D13940,Programme!E13940,Programme!F13940,Programme!G13940,Programme!H13940,Programme!I13940,Programme!J13940)</f>
        <v>&lt;cellule&gt;&lt;codeEdi&gt;10061&lt;/codeEdi&gt;&lt;/cellule&gt;</v>
      </c>
    </row>
    <row r="13940" spans="1:1" x14ac:dyDescent="0.2">
      <c r="A13940" s="996" t="str">
        <f>CONCATENATE(Programme!D13941,Programme!E13941,Programme!F13941,Programme!G13941,Programme!H13941,Programme!I13941,Programme!J13941)</f>
        <v>&lt;valeur&gt;&lt;/valeur&gt;</v>
      </c>
    </row>
    <row r="13941" spans="1:1" x14ac:dyDescent="0.2">
      <c r="A13941" s="996" t="str">
        <f>CONCATENATE(Programme!D13942,Programme!E13942,Programme!F13942,Programme!G13942,Programme!H13942,Programme!I13942,Programme!J13942)</f>
        <v>&lt;numeroLigne&gt;116&lt;/numeroLigne&gt;</v>
      </c>
    </row>
    <row r="13942" spans="1:1" x14ac:dyDescent="0.2">
      <c r="A13942" s="996" t="str">
        <f>CONCATENATE(Programme!D13943,Programme!E13943,Programme!F13943,Programme!G13943,Programme!H13943,Programme!I13943,Programme!J13943)</f>
        <v>&lt;/ValeurCellule&gt;</v>
      </c>
    </row>
    <row r="13943" spans="1:1" x14ac:dyDescent="0.2">
      <c r="A13943" s="996" t="str">
        <f>CONCATENATE(Programme!D13944,Programme!E13944,Programme!F13944,Programme!G13944,Programme!H13944,Programme!I13944,Programme!J13944)</f>
        <v>&lt;ValeurCellule&gt;</v>
      </c>
    </row>
    <row r="13944" spans="1:1" x14ac:dyDescent="0.2">
      <c r="A13944" s="996" t="str">
        <f>CONCATENATE(Programme!D13945,Programme!E13945,Programme!F13945,Programme!G13945,Programme!H13945,Programme!I13945,Programme!J13945)</f>
        <v>&lt;cellule&gt;&lt;codeEdi&gt;1078&lt;/codeEdi&gt;&lt;/cellule&gt;</v>
      </c>
    </row>
    <row r="13945" spans="1:1" x14ac:dyDescent="0.2">
      <c r="A13945" s="996" t="str">
        <f>CONCATENATE(Programme!D13946,Programme!E13946,Programme!F13946,Programme!G13946,Programme!H13946,Programme!I13946,Programme!J13946)</f>
        <v>&lt;valeur&gt;&lt;/valeur&gt;</v>
      </c>
    </row>
    <row r="13946" spans="1:1" x14ac:dyDescent="0.2">
      <c r="A13946" s="996" t="str">
        <f>CONCATENATE(Programme!D13947,Programme!E13947,Programme!F13947,Programme!G13947,Programme!H13947,Programme!I13947,Programme!J13947)</f>
        <v>&lt;numeroLigne&gt;116&lt;/numeroLigne&gt;</v>
      </c>
    </row>
    <row r="13947" spans="1:1" x14ac:dyDescent="0.2">
      <c r="A13947" s="996" t="str">
        <f>CONCATENATE(Programme!D13948,Programme!E13948,Programme!F13948,Programme!G13948,Programme!H13948,Programme!I13948,Programme!J13948)</f>
        <v>&lt;/ValeurCellule&gt;</v>
      </c>
    </row>
    <row r="13948" spans="1:1" x14ac:dyDescent="0.2">
      <c r="A13948" s="996" t="str">
        <f>CONCATENATE(Programme!D13949,Programme!E13949,Programme!F13949,Programme!G13949,Programme!H13949,Programme!I13949,Programme!J13949)</f>
        <v>&lt;ValeurCellule&gt;</v>
      </c>
    </row>
    <row r="13949" spans="1:1" x14ac:dyDescent="0.2">
      <c r="A13949" s="996" t="str">
        <f>CONCATENATE(Programme!D13950,Programme!E13950,Programme!F13950,Programme!G13950,Programme!H13950,Programme!I13950,Programme!J13950)</f>
        <v>&lt;cellule&gt;&lt;codeEdi&gt;1079&lt;/codeEdi&gt;&lt;/cellule&gt;</v>
      </c>
    </row>
    <row r="13950" spans="1:1" x14ac:dyDescent="0.2">
      <c r="A13950" s="996" t="str">
        <f>CONCATENATE(Programme!D13951,Programme!E13951,Programme!F13951,Programme!G13951,Programme!H13951,Programme!I13951,Programme!J13951)</f>
        <v>&lt;valeur&gt;&lt;/valeur&gt;</v>
      </c>
    </row>
    <row r="13951" spans="1:1" x14ac:dyDescent="0.2">
      <c r="A13951" s="996" t="str">
        <f>CONCATENATE(Programme!D13952,Programme!E13952,Programme!F13952,Programme!G13952,Programme!H13952,Programme!I13952,Programme!J13952)</f>
        <v>&lt;numeroLigne&gt;116&lt;/numeroLigne&gt;</v>
      </c>
    </row>
    <row r="13952" spans="1:1" x14ac:dyDescent="0.2">
      <c r="A13952" s="996" t="str">
        <f>CONCATENATE(Programme!D13953,Programme!E13953,Programme!F13953,Programme!G13953,Programme!H13953,Programme!I13953,Programme!J13953)</f>
        <v>&lt;/ValeurCellule&gt;</v>
      </c>
    </row>
    <row r="13953" spans="1:1" x14ac:dyDescent="0.2">
      <c r="A13953" s="996" t="str">
        <f>CONCATENATE(Programme!D13954,Programme!E13954,Programme!F13954,Programme!G13954,Programme!H13954,Programme!I13954,Programme!J13954)</f>
        <v>&lt;ValeurCellule&gt;</v>
      </c>
    </row>
    <row r="13954" spans="1:1" x14ac:dyDescent="0.2">
      <c r="A13954" s="996" t="str">
        <f>CONCATENATE(Programme!D13955,Programme!E13955,Programme!F13955,Programme!G13955,Programme!H13955,Programme!I13955,Programme!J13955)</f>
        <v>&lt;cellule&gt;&lt;codeEdi&gt;1080&lt;/codeEdi&gt;&lt;/cellule&gt;</v>
      </c>
    </row>
    <row r="13955" spans="1:1" x14ac:dyDescent="0.2">
      <c r="A13955" s="996" t="str">
        <f>CONCATENATE(Programme!D13956,Programme!E13956,Programme!F13956,Programme!G13956,Programme!H13956,Programme!I13956,Programme!J13956)</f>
        <v>&lt;valeur&gt;&lt;/valeur&gt;</v>
      </c>
    </row>
    <row r="13956" spans="1:1" x14ac:dyDescent="0.2">
      <c r="A13956" s="996" t="str">
        <f>CONCATENATE(Programme!D13957,Programme!E13957,Programme!F13957,Programme!G13957,Programme!H13957,Programme!I13957,Programme!J13957)</f>
        <v>&lt;numeroLigne&gt;116&lt;/numeroLigne&gt;</v>
      </c>
    </row>
    <row r="13957" spans="1:1" x14ac:dyDescent="0.2">
      <c r="A13957" s="996" t="str">
        <f>CONCATENATE(Programme!D13958,Programme!E13958,Programme!F13958,Programme!G13958,Programme!H13958,Programme!I13958,Programme!J13958)</f>
        <v>&lt;/ValeurCellule&gt;</v>
      </c>
    </row>
    <row r="13958" spans="1:1" x14ac:dyDescent="0.2">
      <c r="A13958" s="996" t="str">
        <f>CONCATENATE(Programme!D13959,Programme!E13959,Programme!F13959,Programme!G13959,Programme!H13959,Programme!I13959,Programme!J13959)</f>
        <v>&lt;ValeurCellule&gt;</v>
      </c>
    </row>
    <row r="13959" spans="1:1" x14ac:dyDescent="0.2">
      <c r="A13959" s="996" t="str">
        <f>CONCATENATE(Programme!D13960,Programme!E13960,Programme!F13960,Programme!G13960,Programme!H13960,Programme!I13960,Programme!J13960)</f>
        <v>&lt;cellule&gt;&lt;codeEdi&gt;1081&lt;/codeEdi&gt;&lt;/cellule&gt;</v>
      </c>
    </row>
    <row r="13960" spans="1:1" x14ac:dyDescent="0.2">
      <c r="A13960" s="996" t="str">
        <f>CONCATENATE(Programme!D13961,Programme!E13961,Programme!F13961,Programme!G13961,Programme!H13961,Programme!I13961,Programme!J13961)</f>
        <v>&lt;valeur&gt;&lt;/valeur&gt;</v>
      </c>
    </row>
    <row r="13961" spans="1:1" x14ac:dyDescent="0.2">
      <c r="A13961" s="996" t="str">
        <f>CONCATENATE(Programme!D13962,Programme!E13962,Programme!F13962,Programme!G13962,Programme!H13962,Programme!I13962,Programme!J13962)</f>
        <v>&lt;numeroLigne&gt;116&lt;/numeroLigne&gt;</v>
      </c>
    </row>
    <row r="13962" spans="1:1" x14ac:dyDescent="0.2">
      <c r="A13962" s="996" t="str">
        <f>CONCATENATE(Programme!D13963,Programme!E13963,Programme!F13963,Programme!G13963,Programme!H13963,Programme!I13963,Programme!J13963)</f>
        <v>&lt;/ValeurCellule&gt;</v>
      </c>
    </row>
    <row r="13963" spans="1:1" x14ac:dyDescent="0.2">
      <c r="A13963" s="996" t="str">
        <f>CONCATENATE(Programme!D13964,Programme!E13964,Programme!F13964,Programme!G13964,Programme!H13964,Programme!I13964,Programme!J13964)</f>
        <v>&lt;ValeurCellule&gt;</v>
      </c>
    </row>
    <row r="13964" spans="1:1" x14ac:dyDescent="0.2">
      <c r="A13964" s="996" t="str">
        <f>CONCATENATE(Programme!D13965,Programme!E13965,Programme!F13965,Programme!G13965,Programme!H13965,Programme!I13965,Programme!J13965)</f>
        <v>&lt;cellule&gt;&lt;codeEdi&gt;1082&lt;/codeEdi&gt;&lt;/cellule&gt;</v>
      </c>
    </row>
    <row r="13965" spans="1:1" x14ac:dyDescent="0.2">
      <c r="A13965" s="996" t="str">
        <f>CONCATENATE(Programme!D13966,Programme!E13966,Programme!F13966,Programme!G13966,Programme!H13966,Programme!I13966,Programme!J13966)</f>
        <v>&lt;valeur&gt;&lt;/valeur&gt;</v>
      </c>
    </row>
    <row r="13966" spans="1:1" x14ac:dyDescent="0.2">
      <c r="A13966" s="996" t="str">
        <f>CONCATENATE(Programme!D13967,Programme!E13967,Programme!F13967,Programme!G13967,Programme!H13967,Programme!I13967,Programme!J13967)</f>
        <v>&lt;numeroLigne&gt;116&lt;/numeroLigne&gt;</v>
      </c>
    </row>
    <row r="13967" spans="1:1" x14ac:dyDescent="0.2">
      <c r="A13967" s="996" t="str">
        <f>CONCATENATE(Programme!D13968,Programme!E13968,Programme!F13968,Programme!G13968,Programme!H13968,Programme!I13968,Programme!J13968)</f>
        <v>&lt;/ValeurCellule&gt;</v>
      </c>
    </row>
    <row r="13968" spans="1:1" x14ac:dyDescent="0.2">
      <c r="A13968" s="996" t="str">
        <f>CONCATENATE(Programme!D13969,Programme!E13969,Programme!F13969,Programme!G13969,Programme!H13969,Programme!I13969,Programme!J13969)</f>
        <v>&lt;ValeurCellule&gt;</v>
      </c>
    </row>
    <row r="13969" spans="1:1" x14ac:dyDescent="0.2">
      <c r="A13969" s="996" t="str">
        <f>CONCATENATE(Programme!D13970,Programme!E13970,Programme!F13970,Programme!G13970,Programme!H13970,Programme!I13970,Programme!J13970)</f>
        <v>&lt;cellule&gt;&lt;codeEdi&gt;1083&lt;/codeEdi&gt;&lt;/cellule&gt;</v>
      </c>
    </row>
    <row r="13970" spans="1:1" x14ac:dyDescent="0.2">
      <c r="A13970" s="996" t="str">
        <f>CONCATENATE(Programme!D13971,Programme!E13971,Programme!F13971,Programme!G13971,Programme!H13971,Programme!I13971,Programme!J13971)</f>
        <v>&lt;valeur&gt;&lt;/valeur&gt;</v>
      </c>
    </row>
    <row r="13971" spans="1:1" x14ac:dyDescent="0.2">
      <c r="A13971" s="996" t="str">
        <f>CONCATENATE(Programme!D13972,Programme!E13972,Programme!F13972,Programme!G13972,Programme!H13972,Programme!I13972,Programme!J13972)</f>
        <v>&lt;numeroLigne&gt;116&lt;/numeroLigne&gt;</v>
      </c>
    </row>
    <row r="13972" spans="1:1" x14ac:dyDescent="0.2">
      <c r="A13972" s="996" t="str">
        <f>CONCATENATE(Programme!D13973,Programme!E13973,Programme!F13973,Programme!G13973,Programme!H13973,Programme!I13973,Programme!J13973)</f>
        <v>&lt;/ValeurCellule&gt;</v>
      </c>
    </row>
    <row r="13973" spans="1:1" x14ac:dyDescent="0.2">
      <c r="A13973" s="996" t="str">
        <f>CONCATENATE(Programme!D13974,Programme!E13974,Programme!F13974,Programme!G13974,Programme!H13974,Programme!I13974,Programme!J13974)</f>
        <v>&lt;ValeurCellule&gt;</v>
      </c>
    </row>
    <row r="13974" spans="1:1" x14ac:dyDescent="0.2">
      <c r="A13974" s="996" t="str">
        <f>CONCATENATE(Programme!D13975,Programme!E13975,Programme!F13975,Programme!G13975,Programme!H13975,Programme!I13975,Programme!J13975)</f>
        <v>&lt;cellule&gt;&lt;codeEdi&gt;1084&lt;/codeEdi&gt;&lt;/cellule&gt;</v>
      </c>
    </row>
    <row r="13975" spans="1:1" x14ac:dyDescent="0.2">
      <c r="A13975" s="996" t="str">
        <f>CONCATENATE(Programme!D13976,Programme!E13976,Programme!F13976,Programme!G13976,Programme!H13976,Programme!I13976,Programme!J13976)</f>
        <v>&lt;valeur&gt;&lt;/valeur&gt;</v>
      </c>
    </row>
    <row r="13976" spans="1:1" x14ac:dyDescent="0.2">
      <c r="A13976" s="996" t="str">
        <f>CONCATENATE(Programme!D13977,Programme!E13977,Programme!F13977,Programme!G13977,Programme!H13977,Programme!I13977,Programme!J13977)</f>
        <v>&lt;numeroLigne&gt;116&lt;/numeroLigne&gt;</v>
      </c>
    </row>
    <row r="13977" spans="1:1" x14ac:dyDescent="0.2">
      <c r="A13977" s="996" t="str">
        <f>CONCATENATE(Programme!D13978,Programme!E13978,Programme!F13978,Programme!G13978,Programme!H13978,Programme!I13978,Programme!J13978)</f>
        <v>&lt;/ValeurCellule&gt;</v>
      </c>
    </row>
    <row r="13978" spans="1:1" x14ac:dyDescent="0.2">
      <c r="A13978" s="996" t="str">
        <f>CONCATENATE(Programme!D13979,Programme!E13979,Programme!F13979,Programme!G13979,Programme!H13979,Programme!I13979,Programme!J13979)</f>
        <v>&lt;ValeurCellule&gt;</v>
      </c>
    </row>
    <row r="13979" spans="1:1" x14ac:dyDescent="0.2">
      <c r="A13979" s="996" t="str">
        <f>CONCATENATE(Programme!D13980,Programme!E13980,Programme!F13980,Programme!G13980,Programme!H13980,Programme!I13980,Programme!J13980)</f>
        <v>&lt;cellule&gt;&lt;codeEdi&gt;1085&lt;/codeEdi&gt;&lt;/cellule&gt;</v>
      </c>
    </row>
    <row r="13980" spans="1:1" x14ac:dyDescent="0.2">
      <c r="A13980" s="996" t="str">
        <f>CONCATENATE(Programme!D13981,Programme!E13981,Programme!F13981,Programme!G13981,Programme!H13981,Programme!I13981,Programme!J13981)</f>
        <v>&lt;valeur&gt;&lt;/valeur&gt;</v>
      </c>
    </row>
    <row r="13981" spans="1:1" x14ac:dyDescent="0.2">
      <c r="A13981" s="996" t="str">
        <f>CONCATENATE(Programme!D13982,Programme!E13982,Programme!F13982,Programme!G13982,Programme!H13982,Programme!I13982,Programme!J13982)</f>
        <v>&lt;numeroLigne&gt;116&lt;/numeroLigne&gt;</v>
      </c>
    </row>
    <row r="13982" spans="1:1" x14ac:dyDescent="0.2">
      <c r="A13982" s="996" t="str">
        <f>CONCATENATE(Programme!D13983,Programme!E13983,Programme!F13983,Programme!G13983,Programme!H13983,Programme!I13983,Programme!J13983)</f>
        <v>&lt;/ValeurCellule&gt;</v>
      </c>
    </row>
    <row r="13983" spans="1:1" x14ac:dyDescent="0.2">
      <c r="A13983" s="996" t="str">
        <f>CONCATENATE(Programme!D13984,Programme!E13984,Programme!F13984,Programme!G13984,Programme!H13984,Programme!I13984,Programme!J13984)</f>
        <v>&lt;ValeurCellule&gt;</v>
      </c>
    </row>
    <row r="13984" spans="1:1" x14ac:dyDescent="0.2">
      <c r="A13984" s="996" t="str">
        <f>CONCATENATE(Programme!D13985,Programme!E13985,Programme!F13985,Programme!G13985,Programme!H13985,Programme!I13985,Programme!J13985)</f>
        <v>&lt;cellule&gt;&lt;codeEdi&gt;1086&lt;/codeEdi&gt;&lt;/cellule&gt;</v>
      </c>
    </row>
    <row r="13985" spans="1:1" x14ac:dyDescent="0.2">
      <c r="A13985" s="996" t="str">
        <f>CONCATENATE(Programme!D13986,Programme!E13986,Programme!F13986,Programme!G13986,Programme!H13986,Programme!I13986,Programme!J13986)</f>
        <v>&lt;valeur&gt;&lt;/valeur&gt;</v>
      </c>
    </row>
    <row r="13986" spans="1:1" x14ac:dyDescent="0.2">
      <c r="A13986" s="996" t="str">
        <f>CONCATENATE(Programme!D13987,Programme!E13987,Programme!F13987,Programme!G13987,Programme!H13987,Programme!I13987,Programme!J13987)</f>
        <v>&lt;numeroLigne&gt;116&lt;/numeroLigne&gt;</v>
      </c>
    </row>
    <row r="13987" spans="1:1" x14ac:dyDescent="0.2">
      <c r="A13987" s="996" t="str">
        <f>CONCATENATE(Programme!D13988,Programme!E13988,Programme!F13988,Programme!G13988,Programme!H13988,Programme!I13988,Programme!J13988)</f>
        <v>&lt;/ValeurCellule&gt;</v>
      </c>
    </row>
    <row r="13988" spans="1:1" x14ac:dyDescent="0.2">
      <c r="A13988" s="996" t="str">
        <f>CONCATENATE(Programme!D13989,Programme!E13989,Programme!F13989,Programme!G13989,Programme!H13989,Programme!I13989,Programme!J13989)</f>
        <v>&lt;ValeurCellule&gt;</v>
      </c>
    </row>
    <row r="13989" spans="1:1" x14ac:dyDescent="0.2">
      <c r="A13989" s="996" t="str">
        <f>CONCATENATE(Programme!D13990,Programme!E13990,Programme!F13990,Programme!G13990,Programme!H13990,Programme!I13990,Programme!J13990)</f>
        <v>&lt;cellule&gt;&lt;codeEdi&gt;10061&lt;/codeEdi&gt;&lt;/cellule&gt;</v>
      </c>
    </row>
    <row r="13990" spans="1:1" x14ac:dyDescent="0.2">
      <c r="A13990" s="996" t="str">
        <f>CONCATENATE(Programme!D13991,Programme!E13991,Programme!F13991,Programme!G13991,Programme!H13991,Programme!I13991,Programme!J13991)</f>
        <v>&lt;valeur&gt;&lt;/valeur&gt;</v>
      </c>
    </row>
    <row r="13991" spans="1:1" x14ac:dyDescent="0.2">
      <c r="A13991" s="996" t="str">
        <f>CONCATENATE(Programme!D13992,Programme!E13992,Programme!F13992,Programme!G13992,Programme!H13992,Programme!I13992,Programme!J13992)</f>
        <v>&lt;numeroLigne&gt;117&lt;/numeroLigne&gt;</v>
      </c>
    </row>
    <row r="13992" spans="1:1" x14ac:dyDescent="0.2">
      <c r="A13992" s="996" t="str">
        <f>CONCATENATE(Programme!D13993,Programme!E13993,Programme!F13993,Programme!G13993,Programme!H13993,Programme!I13993,Programme!J13993)</f>
        <v>&lt;/ValeurCellule&gt;</v>
      </c>
    </row>
    <row r="13993" spans="1:1" x14ac:dyDescent="0.2">
      <c r="A13993" s="996" t="str">
        <f>CONCATENATE(Programme!D13994,Programme!E13994,Programme!F13994,Programme!G13994,Programme!H13994,Programme!I13994,Programme!J13994)</f>
        <v>&lt;ValeurCellule&gt;</v>
      </c>
    </row>
    <row r="13994" spans="1:1" x14ac:dyDescent="0.2">
      <c r="A13994" s="996" t="str">
        <f>CONCATENATE(Programme!D13995,Programme!E13995,Programme!F13995,Programme!G13995,Programme!H13995,Programme!I13995,Programme!J13995)</f>
        <v>&lt;cellule&gt;&lt;codeEdi&gt;1078&lt;/codeEdi&gt;&lt;/cellule&gt;</v>
      </c>
    </row>
    <row r="13995" spans="1:1" x14ac:dyDescent="0.2">
      <c r="A13995" s="996" t="str">
        <f>CONCATENATE(Programme!D13996,Programme!E13996,Programme!F13996,Programme!G13996,Programme!H13996,Programme!I13996,Programme!J13996)</f>
        <v>&lt;valeur&gt;&lt;/valeur&gt;</v>
      </c>
    </row>
    <row r="13996" spans="1:1" x14ac:dyDescent="0.2">
      <c r="A13996" s="996" t="str">
        <f>CONCATENATE(Programme!D13997,Programme!E13997,Programme!F13997,Programme!G13997,Programme!H13997,Programme!I13997,Programme!J13997)</f>
        <v>&lt;numeroLigne&gt;117&lt;/numeroLigne&gt;</v>
      </c>
    </row>
    <row r="13997" spans="1:1" x14ac:dyDescent="0.2">
      <c r="A13997" s="996" t="str">
        <f>CONCATENATE(Programme!D13998,Programme!E13998,Programme!F13998,Programme!G13998,Programme!H13998,Programme!I13998,Programme!J13998)</f>
        <v>&lt;/ValeurCellule&gt;</v>
      </c>
    </row>
    <row r="13998" spans="1:1" x14ac:dyDescent="0.2">
      <c r="A13998" s="996" t="str">
        <f>CONCATENATE(Programme!D13999,Programme!E13999,Programme!F13999,Programme!G13999,Programme!H13999,Programme!I13999,Programme!J13999)</f>
        <v>&lt;ValeurCellule&gt;</v>
      </c>
    </row>
    <row r="13999" spans="1:1" x14ac:dyDescent="0.2">
      <c r="A13999" s="996" t="str">
        <f>CONCATENATE(Programme!D14000,Programme!E14000,Programme!F14000,Programme!G14000,Programme!H14000,Programme!I14000,Programme!J14000)</f>
        <v>&lt;cellule&gt;&lt;codeEdi&gt;1079&lt;/codeEdi&gt;&lt;/cellule&gt;</v>
      </c>
    </row>
    <row r="14000" spans="1:1" x14ac:dyDescent="0.2">
      <c r="A14000" s="996" t="str">
        <f>CONCATENATE(Programme!D14001,Programme!E14001,Programme!F14001,Programme!G14001,Programme!H14001,Programme!I14001,Programme!J14001)</f>
        <v>&lt;valeur&gt;&lt;/valeur&gt;</v>
      </c>
    </row>
    <row r="14001" spans="1:1" x14ac:dyDescent="0.2">
      <c r="A14001" s="996" t="str">
        <f>CONCATENATE(Programme!D14002,Programme!E14002,Programme!F14002,Programme!G14002,Programme!H14002,Programme!I14002,Programme!J14002)</f>
        <v>&lt;numeroLigne&gt;117&lt;/numeroLigne&gt;</v>
      </c>
    </row>
    <row r="14002" spans="1:1" x14ac:dyDescent="0.2">
      <c r="A14002" s="996" t="str">
        <f>CONCATENATE(Programme!D14003,Programme!E14003,Programme!F14003,Programme!G14003,Programme!H14003,Programme!I14003,Programme!J14003)</f>
        <v>&lt;/ValeurCellule&gt;</v>
      </c>
    </row>
    <row r="14003" spans="1:1" x14ac:dyDescent="0.2">
      <c r="A14003" s="996" t="str">
        <f>CONCATENATE(Programme!D14004,Programme!E14004,Programme!F14004,Programme!G14004,Programme!H14004,Programme!I14004,Programme!J14004)</f>
        <v>&lt;ValeurCellule&gt;</v>
      </c>
    </row>
    <row r="14004" spans="1:1" x14ac:dyDescent="0.2">
      <c r="A14004" s="996" t="str">
        <f>CONCATENATE(Programme!D14005,Programme!E14005,Programme!F14005,Programme!G14005,Programme!H14005,Programme!I14005,Programme!J14005)</f>
        <v>&lt;cellule&gt;&lt;codeEdi&gt;1080&lt;/codeEdi&gt;&lt;/cellule&gt;</v>
      </c>
    </row>
    <row r="14005" spans="1:1" x14ac:dyDescent="0.2">
      <c r="A14005" s="996" t="str">
        <f>CONCATENATE(Programme!D14006,Programme!E14006,Programme!F14006,Programme!G14006,Programme!H14006,Programme!I14006,Programme!J14006)</f>
        <v>&lt;valeur&gt;&lt;/valeur&gt;</v>
      </c>
    </row>
    <row r="14006" spans="1:1" x14ac:dyDescent="0.2">
      <c r="A14006" s="996" t="str">
        <f>CONCATENATE(Programme!D14007,Programme!E14007,Programme!F14007,Programme!G14007,Programme!H14007,Programme!I14007,Programme!J14007)</f>
        <v>&lt;numeroLigne&gt;117&lt;/numeroLigne&gt;</v>
      </c>
    </row>
    <row r="14007" spans="1:1" x14ac:dyDescent="0.2">
      <c r="A14007" s="996" t="str">
        <f>CONCATENATE(Programme!D14008,Programme!E14008,Programme!F14008,Programme!G14008,Programme!H14008,Programme!I14008,Programme!J14008)</f>
        <v>&lt;/ValeurCellule&gt;</v>
      </c>
    </row>
    <row r="14008" spans="1:1" x14ac:dyDescent="0.2">
      <c r="A14008" s="996" t="str">
        <f>CONCATENATE(Programme!D14009,Programme!E14009,Programme!F14009,Programme!G14009,Programme!H14009,Programme!I14009,Programme!J14009)</f>
        <v>&lt;ValeurCellule&gt;</v>
      </c>
    </row>
    <row r="14009" spans="1:1" x14ac:dyDescent="0.2">
      <c r="A14009" s="996" t="str">
        <f>CONCATENATE(Programme!D14010,Programme!E14010,Programme!F14010,Programme!G14010,Programme!H14010,Programme!I14010,Programme!J14010)</f>
        <v>&lt;cellule&gt;&lt;codeEdi&gt;1081&lt;/codeEdi&gt;&lt;/cellule&gt;</v>
      </c>
    </row>
    <row r="14010" spans="1:1" x14ac:dyDescent="0.2">
      <c r="A14010" s="996" t="str">
        <f>CONCATENATE(Programme!D14011,Programme!E14011,Programme!F14011,Programme!G14011,Programme!H14011,Programme!I14011,Programme!J14011)</f>
        <v>&lt;valeur&gt;&lt;/valeur&gt;</v>
      </c>
    </row>
    <row r="14011" spans="1:1" x14ac:dyDescent="0.2">
      <c r="A14011" s="996" t="str">
        <f>CONCATENATE(Programme!D14012,Programme!E14012,Programme!F14012,Programme!G14012,Programme!H14012,Programme!I14012,Programme!J14012)</f>
        <v>&lt;numeroLigne&gt;117&lt;/numeroLigne&gt;</v>
      </c>
    </row>
    <row r="14012" spans="1:1" x14ac:dyDescent="0.2">
      <c r="A14012" s="996" t="str">
        <f>CONCATENATE(Programme!D14013,Programme!E14013,Programme!F14013,Programme!G14013,Programme!H14013,Programme!I14013,Programme!J14013)</f>
        <v>&lt;/ValeurCellule&gt;</v>
      </c>
    </row>
    <row r="14013" spans="1:1" x14ac:dyDescent="0.2">
      <c r="A14013" s="996" t="str">
        <f>CONCATENATE(Programme!D14014,Programme!E14014,Programme!F14014,Programme!G14014,Programme!H14014,Programme!I14014,Programme!J14014)</f>
        <v>&lt;ValeurCellule&gt;</v>
      </c>
    </row>
    <row r="14014" spans="1:1" x14ac:dyDescent="0.2">
      <c r="A14014" s="996" t="str">
        <f>CONCATENATE(Programme!D14015,Programme!E14015,Programme!F14015,Programme!G14015,Programme!H14015,Programme!I14015,Programme!J14015)</f>
        <v>&lt;cellule&gt;&lt;codeEdi&gt;1082&lt;/codeEdi&gt;&lt;/cellule&gt;</v>
      </c>
    </row>
    <row r="14015" spans="1:1" x14ac:dyDescent="0.2">
      <c r="A14015" s="996" t="str">
        <f>CONCATENATE(Programme!D14016,Programme!E14016,Programme!F14016,Programme!G14016,Programme!H14016,Programme!I14016,Programme!J14016)</f>
        <v>&lt;valeur&gt;&lt;/valeur&gt;</v>
      </c>
    </row>
    <row r="14016" spans="1:1" x14ac:dyDescent="0.2">
      <c r="A14016" s="996" t="str">
        <f>CONCATENATE(Programme!D14017,Programme!E14017,Programme!F14017,Programme!G14017,Programme!H14017,Programme!I14017,Programme!J14017)</f>
        <v>&lt;numeroLigne&gt;117&lt;/numeroLigne&gt;</v>
      </c>
    </row>
    <row r="14017" spans="1:1" x14ac:dyDescent="0.2">
      <c r="A14017" s="996" t="str">
        <f>CONCATENATE(Programme!D14018,Programme!E14018,Programme!F14018,Programme!G14018,Programme!H14018,Programme!I14018,Programme!J14018)</f>
        <v>&lt;/ValeurCellule&gt;</v>
      </c>
    </row>
    <row r="14018" spans="1:1" x14ac:dyDescent="0.2">
      <c r="A14018" s="996" t="str">
        <f>CONCATENATE(Programme!D14019,Programme!E14019,Programme!F14019,Programme!G14019,Programme!H14019,Programme!I14019,Programme!J14019)</f>
        <v>&lt;ValeurCellule&gt;</v>
      </c>
    </row>
    <row r="14019" spans="1:1" x14ac:dyDescent="0.2">
      <c r="A14019" s="996" t="str">
        <f>CONCATENATE(Programme!D14020,Programme!E14020,Programme!F14020,Programme!G14020,Programme!H14020,Programme!I14020,Programme!J14020)</f>
        <v>&lt;cellule&gt;&lt;codeEdi&gt;1083&lt;/codeEdi&gt;&lt;/cellule&gt;</v>
      </c>
    </row>
    <row r="14020" spans="1:1" x14ac:dyDescent="0.2">
      <c r="A14020" s="996" t="str">
        <f>CONCATENATE(Programme!D14021,Programme!E14021,Programme!F14021,Programme!G14021,Programme!H14021,Programme!I14021,Programme!J14021)</f>
        <v>&lt;valeur&gt;&lt;/valeur&gt;</v>
      </c>
    </row>
    <row r="14021" spans="1:1" x14ac:dyDescent="0.2">
      <c r="A14021" s="996" t="str">
        <f>CONCATENATE(Programme!D14022,Programme!E14022,Programme!F14022,Programme!G14022,Programme!H14022,Programme!I14022,Programme!J14022)</f>
        <v>&lt;numeroLigne&gt;117&lt;/numeroLigne&gt;</v>
      </c>
    </row>
    <row r="14022" spans="1:1" x14ac:dyDescent="0.2">
      <c r="A14022" s="996" t="str">
        <f>CONCATENATE(Programme!D14023,Programme!E14023,Programme!F14023,Programme!G14023,Programme!H14023,Programme!I14023,Programme!J14023)</f>
        <v>&lt;/ValeurCellule&gt;</v>
      </c>
    </row>
    <row r="14023" spans="1:1" x14ac:dyDescent="0.2">
      <c r="A14023" s="996" t="str">
        <f>CONCATENATE(Programme!D14024,Programme!E14024,Programme!F14024,Programme!G14024,Programme!H14024,Programme!I14024,Programme!J14024)</f>
        <v>&lt;ValeurCellule&gt;</v>
      </c>
    </row>
    <row r="14024" spans="1:1" x14ac:dyDescent="0.2">
      <c r="A14024" s="996" t="str">
        <f>CONCATENATE(Programme!D14025,Programme!E14025,Programme!F14025,Programme!G14025,Programme!H14025,Programme!I14025,Programme!J14025)</f>
        <v>&lt;cellule&gt;&lt;codeEdi&gt;1084&lt;/codeEdi&gt;&lt;/cellule&gt;</v>
      </c>
    </row>
    <row r="14025" spans="1:1" x14ac:dyDescent="0.2">
      <c r="A14025" s="996" t="str">
        <f>CONCATENATE(Programme!D14026,Programme!E14026,Programme!F14026,Programme!G14026,Programme!H14026,Programme!I14026,Programme!J14026)</f>
        <v>&lt;valeur&gt;&lt;/valeur&gt;</v>
      </c>
    </row>
    <row r="14026" spans="1:1" x14ac:dyDescent="0.2">
      <c r="A14026" s="996" t="str">
        <f>CONCATENATE(Programme!D14027,Programme!E14027,Programme!F14027,Programme!G14027,Programme!H14027,Programme!I14027,Programme!J14027)</f>
        <v>&lt;numeroLigne&gt;117&lt;/numeroLigne&gt;</v>
      </c>
    </row>
    <row r="14027" spans="1:1" x14ac:dyDescent="0.2">
      <c r="A14027" s="996" t="str">
        <f>CONCATENATE(Programme!D14028,Programme!E14028,Programme!F14028,Programme!G14028,Programme!H14028,Programme!I14028,Programme!J14028)</f>
        <v>&lt;/ValeurCellule&gt;</v>
      </c>
    </row>
    <row r="14028" spans="1:1" x14ac:dyDescent="0.2">
      <c r="A14028" s="996" t="str">
        <f>CONCATENATE(Programme!D14029,Programme!E14029,Programme!F14029,Programme!G14029,Programme!H14029,Programme!I14029,Programme!J14029)</f>
        <v>&lt;ValeurCellule&gt;</v>
      </c>
    </row>
    <row r="14029" spans="1:1" x14ac:dyDescent="0.2">
      <c r="A14029" s="996" t="str">
        <f>CONCATENATE(Programme!D14030,Programme!E14030,Programme!F14030,Programme!G14030,Programme!H14030,Programme!I14030,Programme!J14030)</f>
        <v>&lt;cellule&gt;&lt;codeEdi&gt;1085&lt;/codeEdi&gt;&lt;/cellule&gt;</v>
      </c>
    </row>
    <row r="14030" spans="1:1" x14ac:dyDescent="0.2">
      <c r="A14030" s="996" t="str">
        <f>CONCATENATE(Programme!D14031,Programme!E14031,Programme!F14031,Programme!G14031,Programme!H14031,Programme!I14031,Programme!J14031)</f>
        <v>&lt;valeur&gt;&lt;/valeur&gt;</v>
      </c>
    </row>
    <row r="14031" spans="1:1" x14ac:dyDescent="0.2">
      <c r="A14031" s="996" t="str">
        <f>CONCATENATE(Programme!D14032,Programme!E14032,Programme!F14032,Programme!G14032,Programme!H14032,Programme!I14032,Programme!J14032)</f>
        <v>&lt;numeroLigne&gt;117&lt;/numeroLigne&gt;</v>
      </c>
    </row>
    <row r="14032" spans="1:1" x14ac:dyDescent="0.2">
      <c r="A14032" s="996" t="str">
        <f>CONCATENATE(Programme!D14033,Programme!E14033,Programme!F14033,Programme!G14033,Programme!H14033,Programme!I14033,Programme!J14033)</f>
        <v>&lt;/ValeurCellule&gt;</v>
      </c>
    </row>
    <row r="14033" spans="1:1" x14ac:dyDescent="0.2">
      <c r="A14033" s="996" t="str">
        <f>CONCATENATE(Programme!D14034,Programme!E14034,Programme!F14034,Programme!G14034,Programme!H14034,Programme!I14034,Programme!J14034)</f>
        <v>&lt;ValeurCellule&gt;</v>
      </c>
    </row>
    <row r="14034" spans="1:1" x14ac:dyDescent="0.2">
      <c r="A14034" s="996" t="str">
        <f>CONCATENATE(Programme!D14035,Programme!E14035,Programme!F14035,Programme!G14035,Programme!H14035,Programme!I14035,Programme!J14035)</f>
        <v>&lt;cellule&gt;&lt;codeEdi&gt;1086&lt;/codeEdi&gt;&lt;/cellule&gt;</v>
      </c>
    </row>
    <row r="14035" spans="1:1" x14ac:dyDescent="0.2">
      <c r="A14035" s="996" t="str">
        <f>CONCATENATE(Programme!D14036,Programme!E14036,Programme!F14036,Programme!G14036,Programme!H14036,Programme!I14036,Programme!J14036)</f>
        <v>&lt;valeur&gt;&lt;/valeur&gt;</v>
      </c>
    </row>
    <row r="14036" spans="1:1" x14ac:dyDescent="0.2">
      <c r="A14036" s="996" t="str">
        <f>CONCATENATE(Programme!D14037,Programme!E14037,Programme!F14037,Programme!G14037,Programme!H14037,Programme!I14037,Programme!J14037)</f>
        <v>&lt;numeroLigne&gt;117&lt;/numeroLigne&gt;</v>
      </c>
    </row>
    <row r="14037" spans="1:1" x14ac:dyDescent="0.2">
      <c r="A14037" s="996" t="str">
        <f>CONCATENATE(Programme!D14038,Programme!E14038,Programme!F14038,Programme!G14038,Programme!H14038,Programme!I14038,Programme!J14038)</f>
        <v>&lt;/ValeurCellule&gt;</v>
      </c>
    </row>
    <row r="14038" spans="1:1" x14ac:dyDescent="0.2">
      <c r="A14038" s="996" t="str">
        <f>CONCATENATE(Programme!D14039,Programme!E14039,Programme!F14039,Programme!G14039,Programme!H14039,Programme!I14039,Programme!J14039)</f>
        <v>&lt;ValeurCellule&gt;</v>
      </c>
    </row>
    <row r="14039" spans="1:1" x14ac:dyDescent="0.2">
      <c r="A14039" s="996" t="str">
        <f>CONCATENATE(Programme!D14040,Programme!E14040,Programme!F14040,Programme!G14040,Programme!H14040,Programme!I14040,Programme!J14040)</f>
        <v>&lt;cellule&gt;&lt;codeEdi&gt;10061&lt;/codeEdi&gt;&lt;/cellule&gt;</v>
      </c>
    </row>
    <row r="14040" spans="1:1" x14ac:dyDescent="0.2">
      <c r="A14040" s="996" t="str">
        <f>CONCATENATE(Programme!D14041,Programme!E14041,Programme!F14041,Programme!G14041,Programme!H14041,Programme!I14041,Programme!J14041)</f>
        <v>&lt;valeur&gt;&lt;/valeur&gt;</v>
      </c>
    </row>
    <row r="14041" spans="1:1" x14ac:dyDescent="0.2">
      <c r="A14041" s="996" t="str">
        <f>CONCATENATE(Programme!D14042,Programme!E14042,Programme!F14042,Programme!G14042,Programme!H14042,Programme!I14042,Programme!J14042)</f>
        <v>&lt;numeroLigne&gt;118&lt;/numeroLigne&gt;</v>
      </c>
    </row>
    <row r="14042" spans="1:1" x14ac:dyDescent="0.2">
      <c r="A14042" s="996" t="str">
        <f>CONCATENATE(Programme!D14043,Programme!E14043,Programme!F14043,Programme!G14043,Programme!H14043,Programme!I14043,Programme!J14043)</f>
        <v>&lt;/ValeurCellule&gt;</v>
      </c>
    </row>
    <row r="14043" spans="1:1" x14ac:dyDescent="0.2">
      <c r="A14043" s="996" t="str">
        <f>CONCATENATE(Programme!D14044,Programme!E14044,Programme!F14044,Programme!G14044,Programme!H14044,Programme!I14044,Programme!J14044)</f>
        <v>&lt;ValeurCellule&gt;</v>
      </c>
    </row>
    <row r="14044" spans="1:1" x14ac:dyDescent="0.2">
      <c r="A14044" s="996" t="str">
        <f>CONCATENATE(Programme!D14045,Programme!E14045,Programme!F14045,Programme!G14045,Programme!H14045,Programme!I14045,Programme!J14045)</f>
        <v>&lt;cellule&gt;&lt;codeEdi&gt;1078&lt;/codeEdi&gt;&lt;/cellule&gt;</v>
      </c>
    </row>
    <row r="14045" spans="1:1" x14ac:dyDescent="0.2">
      <c r="A14045" s="996" t="str">
        <f>CONCATENATE(Programme!D14046,Programme!E14046,Programme!F14046,Programme!G14046,Programme!H14046,Programme!I14046,Programme!J14046)</f>
        <v>&lt;valeur&gt;&lt;/valeur&gt;</v>
      </c>
    </row>
    <row r="14046" spans="1:1" x14ac:dyDescent="0.2">
      <c r="A14046" s="996" t="str">
        <f>CONCATENATE(Programme!D14047,Programme!E14047,Programme!F14047,Programme!G14047,Programme!H14047,Programme!I14047,Programme!J14047)</f>
        <v>&lt;numeroLigne&gt;118&lt;/numeroLigne&gt;</v>
      </c>
    </row>
    <row r="14047" spans="1:1" x14ac:dyDescent="0.2">
      <c r="A14047" s="996" t="str">
        <f>CONCATENATE(Programme!D14048,Programme!E14048,Programme!F14048,Programme!G14048,Programme!H14048,Programme!I14048,Programme!J14048)</f>
        <v>&lt;/ValeurCellule&gt;</v>
      </c>
    </row>
    <row r="14048" spans="1:1" x14ac:dyDescent="0.2">
      <c r="A14048" s="996" t="str">
        <f>CONCATENATE(Programme!D14049,Programme!E14049,Programme!F14049,Programme!G14049,Programme!H14049,Programme!I14049,Programme!J14049)</f>
        <v>&lt;ValeurCellule&gt;</v>
      </c>
    </row>
    <row r="14049" spans="1:1" x14ac:dyDescent="0.2">
      <c r="A14049" s="996" t="str">
        <f>CONCATENATE(Programme!D14050,Programme!E14050,Programme!F14050,Programme!G14050,Programme!H14050,Programme!I14050,Programme!J14050)</f>
        <v>&lt;cellule&gt;&lt;codeEdi&gt;1079&lt;/codeEdi&gt;&lt;/cellule&gt;</v>
      </c>
    </row>
    <row r="14050" spans="1:1" x14ac:dyDescent="0.2">
      <c r="A14050" s="996" t="str">
        <f>CONCATENATE(Programme!D14051,Programme!E14051,Programme!F14051,Programme!G14051,Programme!H14051,Programme!I14051,Programme!J14051)</f>
        <v>&lt;valeur&gt;&lt;/valeur&gt;</v>
      </c>
    </row>
    <row r="14051" spans="1:1" x14ac:dyDescent="0.2">
      <c r="A14051" s="996" t="str">
        <f>CONCATENATE(Programme!D14052,Programme!E14052,Programme!F14052,Programme!G14052,Programme!H14052,Programme!I14052,Programme!J14052)</f>
        <v>&lt;numeroLigne&gt;118&lt;/numeroLigne&gt;</v>
      </c>
    </row>
    <row r="14052" spans="1:1" x14ac:dyDescent="0.2">
      <c r="A14052" s="996" t="str">
        <f>CONCATENATE(Programme!D14053,Programme!E14053,Programme!F14053,Programme!G14053,Programme!H14053,Programme!I14053,Programme!J14053)</f>
        <v>&lt;/ValeurCellule&gt;</v>
      </c>
    </row>
    <row r="14053" spans="1:1" x14ac:dyDescent="0.2">
      <c r="A14053" s="996" t="str">
        <f>CONCATENATE(Programme!D14054,Programme!E14054,Programme!F14054,Programme!G14054,Programme!H14054,Programme!I14054,Programme!J14054)</f>
        <v>&lt;ValeurCellule&gt;</v>
      </c>
    </row>
    <row r="14054" spans="1:1" x14ac:dyDescent="0.2">
      <c r="A14054" s="996" t="str">
        <f>CONCATENATE(Programme!D14055,Programme!E14055,Programme!F14055,Programme!G14055,Programme!H14055,Programme!I14055,Programme!J14055)</f>
        <v>&lt;cellule&gt;&lt;codeEdi&gt;1080&lt;/codeEdi&gt;&lt;/cellule&gt;</v>
      </c>
    </row>
    <row r="14055" spans="1:1" x14ac:dyDescent="0.2">
      <c r="A14055" s="996" t="str">
        <f>CONCATENATE(Programme!D14056,Programme!E14056,Programme!F14056,Programme!G14056,Programme!H14056,Programme!I14056,Programme!J14056)</f>
        <v>&lt;valeur&gt;&lt;/valeur&gt;</v>
      </c>
    </row>
    <row r="14056" spans="1:1" x14ac:dyDescent="0.2">
      <c r="A14056" s="996" t="str">
        <f>CONCATENATE(Programme!D14057,Programme!E14057,Programme!F14057,Programme!G14057,Programme!H14057,Programme!I14057,Programme!J14057)</f>
        <v>&lt;numeroLigne&gt;118&lt;/numeroLigne&gt;</v>
      </c>
    </row>
    <row r="14057" spans="1:1" x14ac:dyDescent="0.2">
      <c r="A14057" s="996" t="str">
        <f>CONCATENATE(Programme!D14058,Programme!E14058,Programme!F14058,Programme!G14058,Programme!H14058,Programme!I14058,Programme!J14058)</f>
        <v>&lt;/ValeurCellule&gt;</v>
      </c>
    </row>
    <row r="14058" spans="1:1" x14ac:dyDescent="0.2">
      <c r="A14058" s="996" t="str">
        <f>CONCATENATE(Programme!D14059,Programme!E14059,Programme!F14059,Programme!G14059,Programme!H14059,Programme!I14059,Programme!J14059)</f>
        <v>&lt;ValeurCellule&gt;</v>
      </c>
    </row>
    <row r="14059" spans="1:1" x14ac:dyDescent="0.2">
      <c r="A14059" s="996" t="str">
        <f>CONCATENATE(Programme!D14060,Programme!E14060,Programme!F14060,Programme!G14060,Programme!H14060,Programme!I14060,Programme!J14060)</f>
        <v>&lt;cellule&gt;&lt;codeEdi&gt;1081&lt;/codeEdi&gt;&lt;/cellule&gt;</v>
      </c>
    </row>
    <row r="14060" spans="1:1" x14ac:dyDescent="0.2">
      <c r="A14060" s="996" t="str">
        <f>CONCATENATE(Programme!D14061,Programme!E14061,Programme!F14061,Programme!G14061,Programme!H14061,Programme!I14061,Programme!J14061)</f>
        <v>&lt;valeur&gt;&lt;/valeur&gt;</v>
      </c>
    </row>
    <row r="14061" spans="1:1" x14ac:dyDescent="0.2">
      <c r="A14061" s="996" t="str">
        <f>CONCATENATE(Programme!D14062,Programme!E14062,Programme!F14062,Programme!G14062,Programme!H14062,Programme!I14062,Programme!J14062)</f>
        <v>&lt;numeroLigne&gt;118&lt;/numeroLigne&gt;</v>
      </c>
    </row>
    <row r="14062" spans="1:1" x14ac:dyDescent="0.2">
      <c r="A14062" s="996" t="str">
        <f>CONCATENATE(Programme!D14063,Programme!E14063,Programme!F14063,Programme!G14063,Programme!H14063,Programme!I14063,Programme!J14063)</f>
        <v>&lt;/ValeurCellule&gt;</v>
      </c>
    </row>
    <row r="14063" spans="1:1" x14ac:dyDescent="0.2">
      <c r="A14063" s="996" t="str">
        <f>CONCATENATE(Programme!D14064,Programme!E14064,Programme!F14064,Programme!G14064,Programme!H14064,Programme!I14064,Programme!J14064)</f>
        <v>&lt;ValeurCellule&gt;</v>
      </c>
    </row>
    <row r="14064" spans="1:1" x14ac:dyDescent="0.2">
      <c r="A14064" s="996" t="str">
        <f>CONCATENATE(Programme!D14065,Programme!E14065,Programme!F14065,Programme!G14065,Programme!H14065,Programme!I14065,Programme!J14065)</f>
        <v>&lt;cellule&gt;&lt;codeEdi&gt;1082&lt;/codeEdi&gt;&lt;/cellule&gt;</v>
      </c>
    </row>
    <row r="14065" spans="1:1" x14ac:dyDescent="0.2">
      <c r="A14065" s="996" t="str">
        <f>CONCATENATE(Programme!D14066,Programme!E14066,Programme!F14066,Programme!G14066,Programme!H14066,Programme!I14066,Programme!J14066)</f>
        <v>&lt;valeur&gt;&lt;/valeur&gt;</v>
      </c>
    </row>
    <row r="14066" spans="1:1" x14ac:dyDescent="0.2">
      <c r="A14066" s="996" t="str">
        <f>CONCATENATE(Programme!D14067,Programme!E14067,Programme!F14067,Programme!G14067,Programme!H14067,Programme!I14067,Programme!J14067)</f>
        <v>&lt;numeroLigne&gt;118&lt;/numeroLigne&gt;</v>
      </c>
    </row>
    <row r="14067" spans="1:1" x14ac:dyDescent="0.2">
      <c r="A14067" s="996" t="str">
        <f>CONCATENATE(Programme!D14068,Programme!E14068,Programme!F14068,Programme!G14068,Programme!H14068,Programme!I14068,Programme!J14068)</f>
        <v>&lt;/ValeurCellule&gt;</v>
      </c>
    </row>
    <row r="14068" spans="1:1" x14ac:dyDescent="0.2">
      <c r="A14068" s="996" t="str">
        <f>CONCATENATE(Programme!D14069,Programme!E14069,Programme!F14069,Programme!G14069,Programme!H14069,Programme!I14069,Programme!J14069)</f>
        <v>&lt;ValeurCellule&gt;</v>
      </c>
    </row>
    <row r="14069" spans="1:1" x14ac:dyDescent="0.2">
      <c r="A14069" s="996" t="str">
        <f>CONCATENATE(Programme!D14070,Programme!E14070,Programme!F14070,Programme!G14070,Programme!H14070,Programme!I14070,Programme!J14070)</f>
        <v>&lt;cellule&gt;&lt;codeEdi&gt;1083&lt;/codeEdi&gt;&lt;/cellule&gt;</v>
      </c>
    </row>
    <row r="14070" spans="1:1" x14ac:dyDescent="0.2">
      <c r="A14070" s="996" t="str">
        <f>CONCATENATE(Programme!D14071,Programme!E14071,Programme!F14071,Programme!G14071,Programme!H14071,Programme!I14071,Programme!J14071)</f>
        <v>&lt;valeur&gt;&lt;/valeur&gt;</v>
      </c>
    </row>
    <row r="14071" spans="1:1" x14ac:dyDescent="0.2">
      <c r="A14071" s="996" t="str">
        <f>CONCATENATE(Programme!D14072,Programme!E14072,Programme!F14072,Programme!G14072,Programme!H14072,Programme!I14072,Programme!J14072)</f>
        <v>&lt;numeroLigne&gt;118&lt;/numeroLigne&gt;</v>
      </c>
    </row>
    <row r="14072" spans="1:1" x14ac:dyDescent="0.2">
      <c r="A14072" s="996" t="str">
        <f>CONCATENATE(Programme!D14073,Programme!E14073,Programme!F14073,Programme!G14073,Programme!H14073,Programme!I14073,Programme!J14073)</f>
        <v>&lt;/ValeurCellule&gt;</v>
      </c>
    </row>
    <row r="14073" spans="1:1" x14ac:dyDescent="0.2">
      <c r="A14073" s="996" t="str">
        <f>CONCATENATE(Programme!D14074,Programme!E14074,Programme!F14074,Programme!G14074,Programme!H14074,Programme!I14074,Programme!J14074)</f>
        <v>&lt;ValeurCellule&gt;</v>
      </c>
    </row>
    <row r="14074" spans="1:1" x14ac:dyDescent="0.2">
      <c r="A14074" s="996" t="str">
        <f>CONCATENATE(Programme!D14075,Programme!E14075,Programme!F14075,Programme!G14075,Programme!H14075,Programme!I14075,Programme!J14075)</f>
        <v>&lt;cellule&gt;&lt;codeEdi&gt;1084&lt;/codeEdi&gt;&lt;/cellule&gt;</v>
      </c>
    </row>
    <row r="14075" spans="1:1" x14ac:dyDescent="0.2">
      <c r="A14075" s="996" t="str">
        <f>CONCATENATE(Programme!D14076,Programme!E14076,Programme!F14076,Programme!G14076,Programme!H14076,Programme!I14076,Programme!J14076)</f>
        <v>&lt;valeur&gt;&lt;/valeur&gt;</v>
      </c>
    </row>
    <row r="14076" spans="1:1" x14ac:dyDescent="0.2">
      <c r="A14076" s="996" t="str">
        <f>CONCATENATE(Programme!D14077,Programme!E14077,Programme!F14077,Programme!G14077,Programme!H14077,Programme!I14077,Programme!J14077)</f>
        <v>&lt;numeroLigne&gt;118&lt;/numeroLigne&gt;</v>
      </c>
    </row>
    <row r="14077" spans="1:1" x14ac:dyDescent="0.2">
      <c r="A14077" s="996" t="str">
        <f>CONCATENATE(Programme!D14078,Programme!E14078,Programme!F14078,Programme!G14078,Programme!H14078,Programme!I14078,Programme!J14078)</f>
        <v>&lt;/ValeurCellule&gt;</v>
      </c>
    </row>
    <row r="14078" spans="1:1" x14ac:dyDescent="0.2">
      <c r="A14078" s="996" t="str">
        <f>CONCATENATE(Programme!D14079,Programme!E14079,Programme!F14079,Programme!G14079,Programme!H14079,Programme!I14079,Programme!J14079)</f>
        <v>&lt;ValeurCellule&gt;</v>
      </c>
    </row>
    <row r="14079" spans="1:1" x14ac:dyDescent="0.2">
      <c r="A14079" s="996" t="str">
        <f>CONCATENATE(Programme!D14080,Programme!E14080,Programme!F14080,Programme!G14080,Programme!H14080,Programme!I14080,Programme!J14080)</f>
        <v>&lt;cellule&gt;&lt;codeEdi&gt;1085&lt;/codeEdi&gt;&lt;/cellule&gt;</v>
      </c>
    </row>
    <row r="14080" spans="1:1" x14ac:dyDescent="0.2">
      <c r="A14080" s="996" t="str">
        <f>CONCATENATE(Programme!D14081,Programme!E14081,Programme!F14081,Programme!G14081,Programme!H14081,Programme!I14081,Programme!J14081)</f>
        <v>&lt;valeur&gt;&lt;/valeur&gt;</v>
      </c>
    </row>
    <row r="14081" spans="1:1" x14ac:dyDescent="0.2">
      <c r="A14081" s="996" t="str">
        <f>CONCATENATE(Programme!D14082,Programme!E14082,Programme!F14082,Programme!G14082,Programme!H14082,Programme!I14082,Programme!J14082)</f>
        <v>&lt;numeroLigne&gt;118&lt;/numeroLigne&gt;</v>
      </c>
    </row>
    <row r="14082" spans="1:1" x14ac:dyDescent="0.2">
      <c r="A14082" s="996" t="str">
        <f>CONCATENATE(Programme!D14083,Programme!E14083,Programme!F14083,Programme!G14083,Programme!H14083,Programme!I14083,Programme!J14083)</f>
        <v>&lt;/ValeurCellule&gt;</v>
      </c>
    </row>
    <row r="14083" spans="1:1" x14ac:dyDescent="0.2">
      <c r="A14083" s="996" t="str">
        <f>CONCATENATE(Programme!D14084,Programme!E14084,Programme!F14084,Programme!G14084,Programme!H14084,Programme!I14084,Programme!J14084)</f>
        <v>&lt;ValeurCellule&gt;</v>
      </c>
    </row>
    <row r="14084" spans="1:1" x14ac:dyDescent="0.2">
      <c r="A14084" s="996" t="str">
        <f>CONCATENATE(Programme!D14085,Programme!E14085,Programme!F14085,Programme!G14085,Programme!H14085,Programme!I14085,Programme!J14085)</f>
        <v>&lt;cellule&gt;&lt;codeEdi&gt;1086&lt;/codeEdi&gt;&lt;/cellule&gt;</v>
      </c>
    </row>
    <row r="14085" spans="1:1" x14ac:dyDescent="0.2">
      <c r="A14085" s="996" t="str">
        <f>CONCATENATE(Programme!D14086,Programme!E14086,Programme!F14086,Programme!G14086,Programme!H14086,Programme!I14086,Programme!J14086)</f>
        <v>&lt;valeur&gt;&lt;/valeur&gt;</v>
      </c>
    </row>
    <row r="14086" spans="1:1" x14ac:dyDescent="0.2">
      <c r="A14086" s="996" t="str">
        <f>CONCATENATE(Programme!D14087,Programme!E14087,Programme!F14087,Programme!G14087,Programme!H14087,Programme!I14087,Programme!J14087)</f>
        <v>&lt;numeroLigne&gt;118&lt;/numeroLigne&gt;</v>
      </c>
    </row>
    <row r="14087" spans="1:1" x14ac:dyDescent="0.2">
      <c r="A14087" s="996" t="str">
        <f>CONCATENATE(Programme!D14088,Programme!E14088,Programme!F14088,Programme!G14088,Programme!H14088,Programme!I14088,Programme!J14088)</f>
        <v>&lt;/ValeurCellule&gt;</v>
      </c>
    </row>
    <row r="14088" spans="1:1" x14ac:dyDescent="0.2">
      <c r="A14088" s="996" t="str">
        <f>CONCATENATE(Programme!D14089,Programme!E14089,Programme!F14089,Programme!G14089,Programme!H14089,Programme!I14089,Programme!J14089)</f>
        <v>&lt;ValeurCellule&gt;</v>
      </c>
    </row>
    <row r="14089" spans="1:1" x14ac:dyDescent="0.2">
      <c r="A14089" s="996" t="str">
        <f>CONCATENATE(Programme!D14090,Programme!E14090,Programme!F14090,Programme!G14090,Programme!H14090,Programme!I14090,Programme!J14090)</f>
        <v>&lt;cellule&gt;&lt;codeEdi&gt;10061&lt;/codeEdi&gt;&lt;/cellule&gt;</v>
      </c>
    </row>
    <row r="14090" spans="1:1" x14ac:dyDescent="0.2">
      <c r="A14090" s="996" t="str">
        <f>CONCATENATE(Programme!D14091,Programme!E14091,Programme!F14091,Programme!G14091,Programme!H14091,Programme!I14091,Programme!J14091)</f>
        <v>&lt;valeur&gt;&lt;/valeur&gt;</v>
      </c>
    </row>
    <row r="14091" spans="1:1" x14ac:dyDescent="0.2">
      <c r="A14091" s="996" t="str">
        <f>CONCATENATE(Programme!D14092,Programme!E14092,Programme!F14092,Programme!G14092,Programme!H14092,Programme!I14092,Programme!J14092)</f>
        <v>&lt;numeroLigne&gt;119&lt;/numeroLigne&gt;</v>
      </c>
    </row>
    <row r="14092" spans="1:1" x14ac:dyDescent="0.2">
      <c r="A14092" s="996" t="str">
        <f>CONCATENATE(Programme!D14093,Programme!E14093,Programme!F14093,Programme!G14093,Programme!H14093,Programme!I14093,Programme!J14093)</f>
        <v>&lt;/ValeurCellule&gt;</v>
      </c>
    </row>
    <row r="14093" spans="1:1" x14ac:dyDescent="0.2">
      <c r="A14093" s="996" t="str">
        <f>CONCATENATE(Programme!D14094,Programme!E14094,Programme!F14094,Programme!G14094,Programme!H14094,Programme!I14094,Programme!J14094)</f>
        <v>&lt;ValeurCellule&gt;</v>
      </c>
    </row>
    <row r="14094" spans="1:1" x14ac:dyDescent="0.2">
      <c r="A14094" s="996" t="str">
        <f>CONCATENATE(Programme!D14095,Programme!E14095,Programme!F14095,Programme!G14095,Programme!H14095,Programme!I14095,Programme!J14095)</f>
        <v>&lt;cellule&gt;&lt;codeEdi&gt;1078&lt;/codeEdi&gt;&lt;/cellule&gt;</v>
      </c>
    </row>
    <row r="14095" spans="1:1" x14ac:dyDescent="0.2">
      <c r="A14095" s="996" t="str">
        <f>CONCATENATE(Programme!D14096,Programme!E14096,Programme!F14096,Programme!G14096,Programme!H14096,Programme!I14096,Programme!J14096)</f>
        <v>&lt;valeur&gt;&lt;/valeur&gt;</v>
      </c>
    </row>
    <row r="14096" spans="1:1" x14ac:dyDescent="0.2">
      <c r="A14096" s="996" t="str">
        <f>CONCATENATE(Programme!D14097,Programme!E14097,Programme!F14097,Programme!G14097,Programme!H14097,Programme!I14097,Programme!J14097)</f>
        <v>&lt;numeroLigne&gt;119&lt;/numeroLigne&gt;</v>
      </c>
    </row>
    <row r="14097" spans="1:1" x14ac:dyDescent="0.2">
      <c r="A14097" s="996" t="str">
        <f>CONCATENATE(Programme!D14098,Programme!E14098,Programme!F14098,Programme!G14098,Programme!H14098,Programme!I14098,Programme!J14098)</f>
        <v>&lt;/ValeurCellule&gt;</v>
      </c>
    </row>
    <row r="14098" spans="1:1" x14ac:dyDescent="0.2">
      <c r="A14098" s="996" t="str">
        <f>CONCATENATE(Programme!D14099,Programme!E14099,Programme!F14099,Programme!G14099,Programme!H14099,Programme!I14099,Programme!J14099)</f>
        <v>&lt;ValeurCellule&gt;</v>
      </c>
    </row>
    <row r="14099" spans="1:1" x14ac:dyDescent="0.2">
      <c r="A14099" s="996" t="str">
        <f>CONCATENATE(Programme!D14100,Programme!E14100,Programme!F14100,Programme!G14100,Programme!H14100,Programme!I14100,Programme!J14100)</f>
        <v>&lt;cellule&gt;&lt;codeEdi&gt;1079&lt;/codeEdi&gt;&lt;/cellule&gt;</v>
      </c>
    </row>
    <row r="14100" spans="1:1" x14ac:dyDescent="0.2">
      <c r="A14100" s="996" t="str">
        <f>CONCATENATE(Programme!D14101,Programme!E14101,Programme!F14101,Programme!G14101,Programme!H14101,Programme!I14101,Programme!J14101)</f>
        <v>&lt;valeur&gt;&lt;/valeur&gt;</v>
      </c>
    </row>
    <row r="14101" spans="1:1" x14ac:dyDescent="0.2">
      <c r="A14101" s="996" t="str">
        <f>CONCATENATE(Programme!D14102,Programme!E14102,Programme!F14102,Programme!G14102,Programme!H14102,Programme!I14102,Programme!J14102)</f>
        <v>&lt;numeroLigne&gt;119&lt;/numeroLigne&gt;</v>
      </c>
    </row>
    <row r="14102" spans="1:1" x14ac:dyDescent="0.2">
      <c r="A14102" s="996" t="str">
        <f>CONCATENATE(Programme!D14103,Programme!E14103,Programme!F14103,Programme!G14103,Programme!H14103,Programme!I14103,Programme!J14103)</f>
        <v>&lt;/ValeurCellule&gt;</v>
      </c>
    </row>
    <row r="14103" spans="1:1" x14ac:dyDescent="0.2">
      <c r="A14103" s="996" t="str">
        <f>CONCATENATE(Programme!D14104,Programme!E14104,Programme!F14104,Programme!G14104,Programme!H14104,Programme!I14104,Programme!J14104)</f>
        <v>&lt;ValeurCellule&gt;</v>
      </c>
    </row>
    <row r="14104" spans="1:1" x14ac:dyDescent="0.2">
      <c r="A14104" s="996" t="str">
        <f>CONCATENATE(Programme!D14105,Programme!E14105,Programme!F14105,Programme!G14105,Programme!H14105,Programme!I14105,Programme!J14105)</f>
        <v>&lt;cellule&gt;&lt;codeEdi&gt;1080&lt;/codeEdi&gt;&lt;/cellule&gt;</v>
      </c>
    </row>
    <row r="14105" spans="1:1" x14ac:dyDescent="0.2">
      <c r="A14105" s="996" t="str">
        <f>CONCATENATE(Programme!D14106,Programme!E14106,Programme!F14106,Programme!G14106,Programme!H14106,Programme!I14106,Programme!J14106)</f>
        <v>&lt;valeur&gt;&lt;/valeur&gt;</v>
      </c>
    </row>
    <row r="14106" spans="1:1" x14ac:dyDescent="0.2">
      <c r="A14106" s="996" t="str">
        <f>CONCATENATE(Programme!D14107,Programme!E14107,Programme!F14107,Programme!G14107,Programme!H14107,Programme!I14107,Programme!J14107)</f>
        <v>&lt;numeroLigne&gt;119&lt;/numeroLigne&gt;</v>
      </c>
    </row>
    <row r="14107" spans="1:1" x14ac:dyDescent="0.2">
      <c r="A14107" s="996" t="str">
        <f>CONCATENATE(Programme!D14108,Programme!E14108,Programme!F14108,Programme!G14108,Programme!H14108,Programme!I14108,Programme!J14108)</f>
        <v>&lt;/ValeurCellule&gt;</v>
      </c>
    </row>
    <row r="14108" spans="1:1" x14ac:dyDescent="0.2">
      <c r="A14108" s="996" t="str">
        <f>CONCATENATE(Programme!D14109,Programme!E14109,Programme!F14109,Programme!G14109,Programme!H14109,Programme!I14109,Programme!J14109)</f>
        <v>&lt;ValeurCellule&gt;</v>
      </c>
    </row>
    <row r="14109" spans="1:1" x14ac:dyDescent="0.2">
      <c r="A14109" s="996" t="str">
        <f>CONCATENATE(Programme!D14110,Programme!E14110,Programme!F14110,Programme!G14110,Programme!H14110,Programme!I14110,Programme!J14110)</f>
        <v>&lt;cellule&gt;&lt;codeEdi&gt;1081&lt;/codeEdi&gt;&lt;/cellule&gt;</v>
      </c>
    </row>
    <row r="14110" spans="1:1" x14ac:dyDescent="0.2">
      <c r="A14110" s="996" t="str">
        <f>CONCATENATE(Programme!D14111,Programme!E14111,Programme!F14111,Programme!G14111,Programme!H14111,Programme!I14111,Programme!J14111)</f>
        <v>&lt;valeur&gt;&lt;/valeur&gt;</v>
      </c>
    </row>
    <row r="14111" spans="1:1" x14ac:dyDescent="0.2">
      <c r="A14111" s="996" t="str">
        <f>CONCATENATE(Programme!D14112,Programme!E14112,Programme!F14112,Programme!G14112,Programme!H14112,Programme!I14112,Programme!J14112)</f>
        <v>&lt;numeroLigne&gt;119&lt;/numeroLigne&gt;</v>
      </c>
    </row>
    <row r="14112" spans="1:1" x14ac:dyDescent="0.2">
      <c r="A14112" s="996" t="str">
        <f>CONCATENATE(Programme!D14113,Programme!E14113,Programme!F14113,Programme!G14113,Programme!H14113,Programme!I14113,Programme!J14113)</f>
        <v>&lt;/ValeurCellule&gt;</v>
      </c>
    </row>
    <row r="14113" spans="1:1" x14ac:dyDescent="0.2">
      <c r="A14113" s="996" t="str">
        <f>CONCATENATE(Programme!D14114,Programme!E14114,Programme!F14114,Programme!G14114,Programme!H14114,Programme!I14114,Programme!J14114)</f>
        <v>&lt;ValeurCellule&gt;</v>
      </c>
    </row>
    <row r="14114" spans="1:1" x14ac:dyDescent="0.2">
      <c r="A14114" s="996" t="str">
        <f>CONCATENATE(Programme!D14115,Programme!E14115,Programme!F14115,Programme!G14115,Programme!H14115,Programme!I14115,Programme!J14115)</f>
        <v>&lt;cellule&gt;&lt;codeEdi&gt;1082&lt;/codeEdi&gt;&lt;/cellule&gt;</v>
      </c>
    </row>
    <row r="14115" spans="1:1" x14ac:dyDescent="0.2">
      <c r="A14115" s="996" t="str">
        <f>CONCATENATE(Programme!D14116,Programme!E14116,Programme!F14116,Programme!G14116,Programme!H14116,Programme!I14116,Programme!J14116)</f>
        <v>&lt;valeur&gt;&lt;/valeur&gt;</v>
      </c>
    </row>
    <row r="14116" spans="1:1" x14ac:dyDescent="0.2">
      <c r="A14116" s="996" t="str">
        <f>CONCATENATE(Programme!D14117,Programme!E14117,Programme!F14117,Programme!G14117,Programme!H14117,Programme!I14117,Programme!J14117)</f>
        <v>&lt;numeroLigne&gt;119&lt;/numeroLigne&gt;</v>
      </c>
    </row>
    <row r="14117" spans="1:1" x14ac:dyDescent="0.2">
      <c r="A14117" s="996" t="str">
        <f>CONCATENATE(Programme!D14118,Programme!E14118,Programme!F14118,Programme!G14118,Programme!H14118,Programme!I14118,Programme!J14118)</f>
        <v>&lt;/ValeurCellule&gt;</v>
      </c>
    </row>
    <row r="14118" spans="1:1" x14ac:dyDescent="0.2">
      <c r="A14118" s="996" t="str">
        <f>CONCATENATE(Programme!D14119,Programme!E14119,Programme!F14119,Programme!G14119,Programme!H14119,Programme!I14119,Programme!J14119)</f>
        <v>&lt;ValeurCellule&gt;</v>
      </c>
    </row>
    <row r="14119" spans="1:1" x14ac:dyDescent="0.2">
      <c r="A14119" s="996" t="str">
        <f>CONCATENATE(Programme!D14120,Programme!E14120,Programme!F14120,Programme!G14120,Programme!H14120,Programme!I14120,Programme!J14120)</f>
        <v>&lt;cellule&gt;&lt;codeEdi&gt;1083&lt;/codeEdi&gt;&lt;/cellule&gt;</v>
      </c>
    </row>
    <row r="14120" spans="1:1" x14ac:dyDescent="0.2">
      <c r="A14120" s="996" t="str">
        <f>CONCATENATE(Programme!D14121,Programme!E14121,Programme!F14121,Programme!G14121,Programme!H14121,Programme!I14121,Programme!J14121)</f>
        <v>&lt;valeur&gt;&lt;/valeur&gt;</v>
      </c>
    </row>
    <row r="14121" spans="1:1" x14ac:dyDescent="0.2">
      <c r="A14121" s="996" t="str">
        <f>CONCATENATE(Programme!D14122,Programme!E14122,Programme!F14122,Programme!G14122,Programme!H14122,Programme!I14122,Programme!J14122)</f>
        <v>&lt;numeroLigne&gt;119&lt;/numeroLigne&gt;</v>
      </c>
    </row>
    <row r="14122" spans="1:1" x14ac:dyDescent="0.2">
      <c r="A14122" s="996" t="str">
        <f>CONCATENATE(Programme!D14123,Programme!E14123,Programme!F14123,Programme!G14123,Programme!H14123,Programme!I14123,Programme!J14123)</f>
        <v>&lt;/ValeurCellule&gt;</v>
      </c>
    </row>
    <row r="14123" spans="1:1" x14ac:dyDescent="0.2">
      <c r="A14123" s="996" t="str">
        <f>CONCATENATE(Programme!D14124,Programme!E14124,Programme!F14124,Programme!G14124,Programme!H14124,Programme!I14124,Programme!J14124)</f>
        <v>&lt;ValeurCellule&gt;</v>
      </c>
    </row>
    <row r="14124" spans="1:1" x14ac:dyDescent="0.2">
      <c r="A14124" s="996" t="str">
        <f>CONCATENATE(Programme!D14125,Programme!E14125,Programme!F14125,Programme!G14125,Programme!H14125,Programme!I14125,Programme!J14125)</f>
        <v>&lt;cellule&gt;&lt;codeEdi&gt;1084&lt;/codeEdi&gt;&lt;/cellule&gt;</v>
      </c>
    </row>
    <row r="14125" spans="1:1" x14ac:dyDescent="0.2">
      <c r="A14125" s="996" t="str">
        <f>CONCATENATE(Programme!D14126,Programme!E14126,Programme!F14126,Programme!G14126,Programme!H14126,Programme!I14126,Programme!J14126)</f>
        <v>&lt;valeur&gt;&lt;/valeur&gt;</v>
      </c>
    </row>
    <row r="14126" spans="1:1" x14ac:dyDescent="0.2">
      <c r="A14126" s="996" t="str">
        <f>CONCATENATE(Programme!D14127,Programme!E14127,Programme!F14127,Programme!G14127,Programme!H14127,Programme!I14127,Programme!J14127)</f>
        <v>&lt;numeroLigne&gt;119&lt;/numeroLigne&gt;</v>
      </c>
    </row>
    <row r="14127" spans="1:1" x14ac:dyDescent="0.2">
      <c r="A14127" s="996" t="str">
        <f>CONCATENATE(Programme!D14128,Programme!E14128,Programme!F14128,Programme!G14128,Programme!H14128,Programme!I14128,Programme!J14128)</f>
        <v>&lt;/ValeurCellule&gt;</v>
      </c>
    </row>
    <row r="14128" spans="1:1" x14ac:dyDescent="0.2">
      <c r="A14128" s="996" t="str">
        <f>CONCATENATE(Programme!D14129,Programme!E14129,Programme!F14129,Programme!G14129,Programme!H14129,Programme!I14129,Programme!J14129)</f>
        <v>&lt;ValeurCellule&gt;</v>
      </c>
    </row>
    <row r="14129" spans="1:1" x14ac:dyDescent="0.2">
      <c r="A14129" s="996" t="str">
        <f>CONCATENATE(Programme!D14130,Programme!E14130,Programme!F14130,Programme!G14130,Programme!H14130,Programme!I14130,Programme!J14130)</f>
        <v>&lt;cellule&gt;&lt;codeEdi&gt;1085&lt;/codeEdi&gt;&lt;/cellule&gt;</v>
      </c>
    </row>
    <row r="14130" spans="1:1" x14ac:dyDescent="0.2">
      <c r="A14130" s="996" t="str">
        <f>CONCATENATE(Programme!D14131,Programme!E14131,Programme!F14131,Programme!G14131,Programme!H14131,Programme!I14131,Programme!J14131)</f>
        <v>&lt;valeur&gt;&lt;/valeur&gt;</v>
      </c>
    </row>
    <row r="14131" spans="1:1" x14ac:dyDescent="0.2">
      <c r="A14131" s="996" t="str">
        <f>CONCATENATE(Programme!D14132,Programme!E14132,Programme!F14132,Programme!G14132,Programme!H14132,Programme!I14132,Programme!J14132)</f>
        <v>&lt;numeroLigne&gt;119&lt;/numeroLigne&gt;</v>
      </c>
    </row>
    <row r="14132" spans="1:1" x14ac:dyDescent="0.2">
      <c r="A14132" s="996" t="str">
        <f>CONCATENATE(Programme!D14133,Programme!E14133,Programme!F14133,Programme!G14133,Programme!H14133,Programme!I14133,Programme!J14133)</f>
        <v>&lt;/ValeurCellule&gt;</v>
      </c>
    </row>
    <row r="14133" spans="1:1" x14ac:dyDescent="0.2">
      <c r="A14133" s="996" t="str">
        <f>CONCATENATE(Programme!D14134,Programme!E14134,Programme!F14134,Programme!G14134,Programme!H14134,Programme!I14134,Programme!J14134)</f>
        <v>&lt;ValeurCellule&gt;</v>
      </c>
    </row>
    <row r="14134" spans="1:1" x14ac:dyDescent="0.2">
      <c r="A14134" s="996" t="str">
        <f>CONCATENATE(Programme!D14135,Programme!E14135,Programme!F14135,Programme!G14135,Programme!H14135,Programme!I14135,Programme!J14135)</f>
        <v>&lt;cellule&gt;&lt;codeEdi&gt;1086&lt;/codeEdi&gt;&lt;/cellule&gt;</v>
      </c>
    </row>
    <row r="14135" spans="1:1" x14ac:dyDescent="0.2">
      <c r="A14135" s="996" t="str">
        <f>CONCATENATE(Programme!D14136,Programme!E14136,Programme!F14136,Programme!G14136,Programme!H14136,Programme!I14136,Programme!J14136)</f>
        <v>&lt;valeur&gt;&lt;/valeur&gt;</v>
      </c>
    </row>
    <row r="14136" spans="1:1" x14ac:dyDescent="0.2">
      <c r="A14136" s="996" t="str">
        <f>CONCATENATE(Programme!D14137,Programme!E14137,Programme!F14137,Programme!G14137,Programme!H14137,Programme!I14137,Programme!J14137)</f>
        <v>&lt;numeroLigne&gt;119&lt;/numeroLigne&gt;</v>
      </c>
    </row>
    <row r="14137" spans="1:1" x14ac:dyDescent="0.2">
      <c r="A14137" s="996" t="str">
        <f>CONCATENATE(Programme!D14138,Programme!E14138,Programme!F14138,Programme!G14138,Programme!H14138,Programme!I14138,Programme!J14138)</f>
        <v>&lt;/ValeurCellule&gt;</v>
      </c>
    </row>
    <row r="14138" spans="1:1" x14ac:dyDescent="0.2">
      <c r="A14138" s="996" t="str">
        <f>CONCATENATE(Programme!D14139,Programme!E14139,Programme!F14139,Programme!G14139,Programme!H14139,Programme!I14139,Programme!J14139)</f>
        <v>&lt;ValeurCellule&gt;</v>
      </c>
    </row>
    <row r="14139" spans="1:1" x14ac:dyDescent="0.2">
      <c r="A14139" s="996" t="str">
        <f>CONCATENATE(Programme!D14140,Programme!E14140,Programme!F14140,Programme!G14140,Programme!H14140,Programme!I14140,Programme!J14140)</f>
        <v>&lt;cellule&gt;&lt;codeEdi&gt;10061&lt;/codeEdi&gt;&lt;/cellule&gt;</v>
      </c>
    </row>
    <row r="14140" spans="1:1" x14ac:dyDescent="0.2">
      <c r="A14140" s="996" t="str">
        <f>CONCATENATE(Programme!D14141,Programme!E14141,Programme!F14141,Programme!G14141,Programme!H14141,Programme!I14141,Programme!J14141)</f>
        <v>&lt;valeur&gt;&lt;/valeur&gt;</v>
      </c>
    </row>
    <row r="14141" spans="1:1" x14ac:dyDescent="0.2">
      <c r="A14141" s="996" t="str">
        <f>CONCATENATE(Programme!D14142,Programme!E14142,Programme!F14142,Programme!G14142,Programme!H14142,Programme!I14142,Programme!J14142)</f>
        <v>&lt;numeroLigne&gt;120&lt;/numeroLigne&gt;</v>
      </c>
    </row>
    <row r="14142" spans="1:1" x14ac:dyDescent="0.2">
      <c r="A14142" s="996" t="str">
        <f>CONCATENATE(Programme!D14143,Programme!E14143,Programme!F14143,Programme!G14143,Programme!H14143,Programme!I14143,Programme!J14143)</f>
        <v>&lt;/ValeurCellule&gt;</v>
      </c>
    </row>
    <row r="14143" spans="1:1" x14ac:dyDescent="0.2">
      <c r="A14143" s="996" t="str">
        <f>CONCATENATE(Programme!D14144,Programme!E14144,Programme!F14144,Programme!G14144,Programme!H14144,Programme!I14144,Programme!J14144)</f>
        <v>&lt;ValeurCellule&gt;</v>
      </c>
    </row>
    <row r="14144" spans="1:1" x14ac:dyDescent="0.2">
      <c r="A14144" s="996" t="str">
        <f>CONCATENATE(Programme!D14145,Programme!E14145,Programme!F14145,Programme!G14145,Programme!H14145,Programme!I14145,Programme!J14145)</f>
        <v>&lt;cellule&gt;&lt;codeEdi&gt;1078&lt;/codeEdi&gt;&lt;/cellule&gt;</v>
      </c>
    </row>
    <row r="14145" spans="1:1" x14ac:dyDescent="0.2">
      <c r="A14145" s="996" t="str">
        <f>CONCATENATE(Programme!D14146,Programme!E14146,Programme!F14146,Programme!G14146,Programme!H14146,Programme!I14146,Programme!J14146)</f>
        <v>&lt;valeur&gt;&lt;/valeur&gt;</v>
      </c>
    </row>
    <row r="14146" spans="1:1" x14ac:dyDescent="0.2">
      <c r="A14146" s="996" t="str">
        <f>CONCATENATE(Programme!D14147,Programme!E14147,Programme!F14147,Programme!G14147,Programme!H14147,Programme!I14147,Programme!J14147)</f>
        <v>&lt;numeroLigne&gt;120&lt;/numeroLigne&gt;</v>
      </c>
    </row>
    <row r="14147" spans="1:1" x14ac:dyDescent="0.2">
      <c r="A14147" s="996" t="str">
        <f>CONCATENATE(Programme!D14148,Programme!E14148,Programme!F14148,Programme!G14148,Programme!H14148,Programme!I14148,Programme!J14148)</f>
        <v>&lt;/ValeurCellule&gt;</v>
      </c>
    </row>
    <row r="14148" spans="1:1" x14ac:dyDescent="0.2">
      <c r="A14148" s="996" t="str">
        <f>CONCATENATE(Programme!D14149,Programme!E14149,Programme!F14149,Programme!G14149,Programme!H14149,Programme!I14149,Programme!J14149)</f>
        <v>&lt;ValeurCellule&gt;</v>
      </c>
    </row>
    <row r="14149" spans="1:1" x14ac:dyDescent="0.2">
      <c r="A14149" s="996" t="str">
        <f>CONCATENATE(Programme!D14150,Programme!E14150,Programme!F14150,Programme!G14150,Programme!H14150,Programme!I14150,Programme!J14150)</f>
        <v>&lt;cellule&gt;&lt;codeEdi&gt;1079&lt;/codeEdi&gt;&lt;/cellule&gt;</v>
      </c>
    </row>
    <row r="14150" spans="1:1" x14ac:dyDescent="0.2">
      <c r="A14150" s="996" t="str">
        <f>CONCATENATE(Programme!D14151,Programme!E14151,Programme!F14151,Programme!G14151,Programme!H14151,Programme!I14151,Programme!J14151)</f>
        <v>&lt;valeur&gt;&lt;/valeur&gt;</v>
      </c>
    </row>
    <row r="14151" spans="1:1" x14ac:dyDescent="0.2">
      <c r="A14151" s="996" t="str">
        <f>CONCATENATE(Programme!D14152,Programme!E14152,Programme!F14152,Programme!G14152,Programme!H14152,Programme!I14152,Programme!J14152)</f>
        <v>&lt;numeroLigne&gt;120&lt;/numeroLigne&gt;</v>
      </c>
    </row>
    <row r="14152" spans="1:1" x14ac:dyDescent="0.2">
      <c r="A14152" s="996" t="str">
        <f>CONCATENATE(Programme!D14153,Programme!E14153,Programme!F14153,Programme!G14153,Programme!H14153,Programme!I14153,Programme!J14153)</f>
        <v>&lt;/ValeurCellule&gt;</v>
      </c>
    </row>
    <row r="14153" spans="1:1" x14ac:dyDescent="0.2">
      <c r="A14153" s="996" t="str">
        <f>CONCATENATE(Programme!D14154,Programme!E14154,Programme!F14154,Programme!G14154,Programme!H14154,Programme!I14154,Programme!J14154)</f>
        <v>&lt;ValeurCellule&gt;</v>
      </c>
    </row>
    <row r="14154" spans="1:1" x14ac:dyDescent="0.2">
      <c r="A14154" s="996" t="str">
        <f>CONCATENATE(Programme!D14155,Programme!E14155,Programme!F14155,Programme!G14155,Programme!H14155,Programme!I14155,Programme!J14155)</f>
        <v>&lt;cellule&gt;&lt;codeEdi&gt;1080&lt;/codeEdi&gt;&lt;/cellule&gt;</v>
      </c>
    </row>
    <row r="14155" spans="1:1" x14ac:dyDescent="0.2">
      <c r="A14155" s="996" t="str">
        <f>CONCATENATE(Programme!D14156,Programme!E14156,Programme!F14156,Programme!G14156,Programme!H14156,Programme!I14156,Programme!J14156)</f>
        <v>&lt;valeur&gt;&lt;/valeur&gt;</v>
      </c>
    </row>
    <row r="14156" spans="1:1" x14ac:dyDescent="0.2">
      <c r="A14156" s="996" t="str">
        <f>CONCATENATE(Programme!D14157,Programme!E14157,Programme!F14157,Programme!G14157,Programme!H14157,Programme!I14157,Programme!J14157)</f>
        <v>&lt;numeroLigne&gt;120&lt;/numeroLigne&gt;</v>
      </c>
    </row>
    <row r="14157" spans="1:1" x14ac:dyDescent="0.2">
      <c r="A14157" s="996" t="str">
        <f>CONCATENATE(Programme!D14158,Programme!E14158,Programme!F14158,Programme!G14158,Programme!H14158,Programme!I14158,Programme!J14158)</f>
        <v>&lt;/ValeurCellule&gt;</v>
      </c>
    </row>
    <row r="14158" spans="1:1" x14ac:dyDescent="0.2">
      <c r="A14158" s="996" t="str">
        <f>CONCATENATE(Programme!D14159,Programme!E14159,Programme!F14159,Programme!G14159,Programme!H14159,Programme!I14159,Programme!J14159)</f>
        <v>&lt;ValeurCellule&gt;</v>
      </c>
    </row>
    <row r="14159" spans="1:1" x14ac:dyDescent="0.2">
      <c r="A14159" s="996" t="str">
        <f>CONCATENATE(Programme!D14160,Programme!E14160,Programme!F14160,Programme!G14160,Programme!H14160,Programme!I14160,Programme!J14160)</f>
        <v>&lt;cellule&gt;&lt;codeEdi&gt;1081&lt;/codeEdi&gt;&lt;/cellule&gt;</v>
      </c>
    </row>
    <row r="14160" spans="1:1" x14ac:dyDescent="0.2">
      <c r="A14160" s="996" t="str">
        <f>CONCATENATE(Programme!D14161,Programme!E14161,Programme!F14161,Programme!G14161,Programme!H14161,Programme!I14161,Programme!J14161)</f>
        <v>&lt;valeur&gt;&lt;/valeur&gt;</v>
      </c>
    </row>
    <row r="14161" spans="1:1" x14ac:dyDescent="0.2">
      <c r="A14161" s="996" t="str">
        <f>CONCATENATE(Programme!D14162,Programme!E14162,Programme!F14162,Programme!G14162,Programme!H14162,Programme!I14162,Programme!J14162)</f>
        <v>&lt;numeroLigne&gt;120&lt;/numeroLigne&gt;</v>
      </c>
    </row>
    <row r="14162" spans="1:1" x14ac:dyDescent="0.2">
      <c r="A14162" s="996" t="str">
        <f>CONCATENATE(Programme!D14163,Programme!E14163,Programme!F14163,Programme!G14163,Programme!H14163,Programme!I14163,Programme!J14163)</f>
        <v>&lt;/ValeurCellule&gt;</v>
      </c>
    </row>
    <row r="14163" spans="1:1" x14ac:dyDescent="0.2">
      <c r="A14163" s="996" t="str">
        <f>CONCATENATE(Programme!D14164,Programme!E14164,Programme!F14164,Programme!G14164,Programme!H14164,Programme!I14164,Programme!J14164)</f>
        <v>&lt;ValeurCellule&gt;</v>
      </c>
    </row>
    <row r="14164" spans="1:1" x14ac:dyDescent="0.2">
      <c r="A14164" s="996" t="str">
        <f>CONCATENATE(Programme!D14165,Programme!E14165,Programme!F14165,Programme!G14165,Programme!H14165,Programme!I14165,Programme!J14165)</f>
        <v>&lt;cellule&gt;&lt;codeEdi&gt;1082&lt;/codeEdi&gt;&lt;/cellule&gt;</v>
      </c>
    </row>
    <row r="14165" spans="1:1" x14ac:dyDescent="0.2">
      <c r="A14165" s="996" t="str">
        <f>CONCATENATE(Programme!D14166,Programme!E14166,Programme!F14166,Programme!G14166,Programme!H14166,Programme!I14166,Programme!J14166)</f>
        <v>&lt;valeur&gt;&lt;/valeur&gt;</v>
      </c>
    </row>
    <row r="14166" spans="1:1" x14ac:dyDescent="0.2">
      <c r="A14166" s="996" t="str">
        <f>CONCATENATE(Programme!D14167,Programme!E14167,Programme!F14167,Programme!G14167,Programme!H14167,Programme!I14167,Programme!J14167)</f>
        <v>&lt;numeroLigne&gt;120&lt;/numeroLigne&gt;</v>
      </c>
    </row>
    <row r="14167" spans="1:1" x14ac:dyDescent="0.2">
      <c r="A14167" s="996" t="str">
        <f>CONCATENATE(Programme!D14168,Programme!E14168,Programme!F14168,Programme!G14168,Programme!H14168,Programme!I14168,Programme!J14168)</f>
        <v>&lt;/ValeurCellule&gt;</v>
      </c>
    </row>
    <row r="14168" spans="1:1" x14ac:dyDescent="0.2">
      <c r="A14168" s="996" t="str">
        <f>CONCATENATE(Programme!D14169,Programme!E14169,Programme!F14169,Programme!G14169,Programme!H14169,Programme!I14169,Programme!J14169)</f>
        <v>&lt;ValeurCellule&gt;</v>
      </c>
    </row>
    <row r="14169" spans="1:1" x14ac:dyDescent="0.2">
      <c r="A14169" s="996" t="str">
        <f>CONCATENATE(Programme!D14170,Programme!E14170,Programme!F14170,Programme!G14170,Programme!H14170,Programme!I14170,Programme!J14170)</f>
        <v>&lt;cellule&gt;&lt;codeEdi&gt;1083&lt;/codeEdi&gt;&lt;/cellule&gt;</v>
      </c>
    </row>
    <row r="14170" spans="1:1" x14ac:dyDescent="0.2">
      <c r="A14170" s="996" t="str">
        <f>CONCATENATE(Programme!D14171,Programme!E14171,Programme!F14171,Programme!G14171,Programme!H14171,Programme!I14171,Programme!J14171)</f>
        <v>&lt;valeur&gt;&lt;/valeur&gt;</v>
      </c>
    </row>
    <row r="14171" spans="1:1" x14ac:dyDescent="0.2">
      <c r="A14171" s="996" t="str">
        <f>CONCATENATE(Programme!D14172,Programme!E14172,Programme!F14172,Programme!G14172,Programme!H14172,Programme!I14172,Programme!J14172)</f>
        <v>&lt;numeroLigne&gt;120&lt;/numeroLigne&gt;</v>
      </c>
    </row>
    <row r="14172" spans="1:1" x14ac:dyDescent="0.2">
      <c r="A14172" s="996" t="str">
        <f>CONCATENATE(Programme!D14173,Programme!E14173,Programme!F14173,Programme!G14173,Programme!H14173,Programme!I14173,Programme!J14173)</f>
        <v>&lt;/ValeurCellule&gt;</v>
      </c>
    </row>
    <row r="14173" spans="1:1" x14ac:dyDescent="0.2">
      <c r="A14173" s="996" t="str">
        <f>CONCATENATE(Programme!D14174,Programme!E14174,Programme!F14174,Programme!G14174,Programme!H14174,Programme!I14174,Programme!J14174)</f>
        <v>&lt;ValeurCellule&gt;</v>
      </c>
    </row>
    <row r="14174" spans="1:1" x14ac:dyDescent="0.2">
      <c r="A14174" s="996" t="str">
        <f>CONCATENATE(Programme!D14175,Programme!E14175,Programme!F14175,Programme!G14175,Programme!H14175,Programme!I14175,Programme!J14175)</f>
        <v>&lt;cellule&gt;&lt;codeEdi&gt;1084&lt;/codeEdi&gt;&lt;/cellule&gt;</v>
      </c>
    </row>
    <row r="14175" spans="1:1" x14ac:dyDescent="0.2">
      <c r="A14175" s="996" t="str">
        <f>CONCATENATE(Programme!D14176,Programme!E14176,Programme!F14176,Programme!G14176,Programme!H14176,Programme!I14176,Programme!J14176)</f>
        <v>&lt;valeur&gt;&lt;/valeur&gt;</v>
      </c>
    </row>
    <row r="14176" spans="1:1" x14ac:dyDescent="0.2">
      <c r="A14176" s="996" t="str">
        <f>CONCATENATE(Programme!D14177,Programme!E14177,Programme!F14177,Programme!G14177,Programme!H14177,Programme!I14177,Programme!J14177)</f>
        <v>&lt;numeroLigne&gt;120&lt;/numeroLigne&gt;</v>
      </c>
    </row>
    <row r="14177" spans="1:1" x14ac:dyDescent="0.2">
      <c r="A14177" s="996" t="str">
        <f>CONCATENATE(Programme!D14178,Programme!E14178,Programme!F14178,Programme!G14178,Programme!H14178,Programme!I14178,Programme!J14178)</f>
        <v>&lt;/ValeurCellule&gt;</v>
      </c>
    </row>
    <row r="14178" spans="1:1" x14ac:dyDescent="0.2">
      <c r="A14178" s="996" t="str">
        <f>CONCATENATE(Programme!D14179,Programme!E14179,Programme!F14179,Programme!G14179,Programme!H14179,Programme!I14179,Programme!J14179)</f>
        <v>&lt;ValeurCellule&gt;</v>
      </c>
    </row>
    <row r="14179" spans="1:1" x14ac:dyDescent="0.2">
      <c r="A14179" s="996" t="str">
        <f>CONCATENATE(Programme!D14180,Programme!E14180,Programme!F14180,Programme!G14180,Programme!H14180,Programme!I14180,Programme!J14180)</f>
        <v>&lt;cellule&gt;&lt;codeEdi&gt;1085&lt;/codeEdi&gt;&lt;/cellule&gt;</v>
      </c>
    </row>
    <row r="14180" spans="1:1" x14ac:dyDescent="0.2">
      <c r="A14180" s="996" t="str">
        <f>CONCATENATE(Programme!D14181,Programme!E14181,Programme!F14181,Programme!G14181,Programme!H14181,Programme!I14181,Programme!J14181)</f>
        <v>&lt;valeur&gt;&lt;/valeur&gt;</v>
      </c>
    </row>
    <row r="14181" spans="1:1" x14ac:dyDescent="0.2">
      <c r="A14181" s="996" t="str">
        <f>CONCATENATE(Programme!D14182,Programme!E14182,Programme!F14182,Programme!G14182,Programme!H14182,Programme!I14182,Programme!J14182)</f>
        <v>&lt;numeroLigne&gt;120&lt;/numeroLigne&gt;</v>
      </c>
    </row>
    <row r="14182" spans="1:1" x14ac:dyDescent="0.2">
      <c r="A14182" s="996" t="str">
        <f>CONCATENATE(Programme!D14183,Programme!E14183,Programme!F14183,Programme!G14183,Programme!H14183,Programme!I14183,Programme!J14183)</f>
        <v>&lt;/ValeurCellule&gt;</v>
      </c>
    </row>
    <row r="14183" spans="1:1" x14ac:dyDescent="0.2">
      <c r="A14183" s="996" t="str">
        <f>CONCATENATE(Programme!D14184,Programme!E14184,Programme!F14184,Programme!G14184,Programme!H14184,Programme!I14184,Programme!J14184)</f>
        <v>&lt;ValeurCellule&gt;</v>
      </c>
    </row>
    <row r="14184" spans="1:1" x14ac:dyDescent="0.2">
      <c r="A14184" s="996" t="str">
        <f>CONCATENATE(Programme!D14185,Programme!E14185,Programme!F14185,Programme!G14185,Programme!H14185,Programme!I14185,Programme!J14185)</f>
        <v>&lt;cellule&gt;&lt;codeEdi&gt;1086&lt;/codeEdi&gt;&lt;/cellule&gt;</v>
      </c>
    </row>
    <row r="14185" spans="1:1" x14ac:dyDescent="0.2">
      <c r="A14185" s="996" t="str">
        <f>CONCATENATE(Programme!D14186,Programme!E14186,Programme!F14186,Programme!G14186,Programme!H14186,Programme!I14186,Programme!J14186)</f>
        <v>&lt;valeur&gt;&lt;/valeur&gt;</v>
      </c>
    </row>
    <row r="14186" spans="1:1" x14ac:dyDescent="0.2">
      <c r="A14186" s="996" t="str">
        <f>CONCATENATE(Programme!D14187,Programme!E14187,Programme!F14187,Programme!G14187,Programme!H14187,Programme!I14187,Programme!J14187)</f>
        <v>&lt;numeroLigne&gt;120&lt;/numeroLigne&gt;</v>
      </c>
    </row>
    <row r="14187" spans="1:1" x14ac:dyDescent="0.2">
      <c r="A14187" s="996" t="str">
        <f>CONCATENATE(Programme!D14188,Programme!E14188,Programme!F14188,Programme!G14188,Programme!H14188,Programme!I14188,Programme!J14188)</f>
        <v>&lt;/ValeurCellule&gt;</v>
      </c>
    </row>
    <row r="14188" spans="1:1" x14ac:dyDescent="0.2">
      <c r="A14188" s="996" t="str">
        <f>CONCATENATE(Programme!D14189,Programme!E14189,Programme!F14189,Programme!G14189,Programme!H14189,Programme!I14189,Programme!J14189)</f>
        <v>&lt;ValeurCellule&gt;</v>
      </c>
    </row>
    <row r="14189" spans="1:1" x14ac:dyDescent="0.2">
      <c r="A14189" s="996" t="str">
        <f>CONCATENATE(Programme!D14190,Programme!E14190,Programme!F14190,Programme!G14190,Programme!H14190,Programme!I14190,Programme!J14190)</f>
        <v>&lt;cellule&gt;&lt;codeEdi&gt;10061&lt;/codeEdi&gt;&lt;/cellule&gt;</v>
      </c>
    </row>
    <row r="14190" spans="1:1" x14ac:dyDescent="0.2">
      <c r="A14190" s="996" t="str">
        <f>CONCATENATE(Programme!D14191,Programme!E14191,Programme!F14191,Programme!G14191,Programme!H14191,Programme!I14191,Programme!J14191)</f>
        <v>&lt;valeur&gt;&lt;/valeur&gt;</v>
      </c>
    </row>
    <row r="14191" spans="1:1" x14ac:dyDescent="0.2">
      <c r="A14191" s="996" t="str">
        <f>CONCATENATE(Programme!D14192,Programme!E14192,Programme!F14192,Programme!G14192,Programme!H14192,Programme!I14192,Programme!J14192)</f>
        <v>&lt;numeroLigne&gt;121&lt;/numeroLigne&gt;</v>
      </c>
    </row>
    <row r="14192" spans="1:1" x14ac:dyDescent="0.2">
      <c r="A14192" s="996" t="str">
        <f>CONCATENATE(Programme!D14193,Programme!E14193,Programme!F14193,Programme!G14193,Programme!H14193,Programme!I14193,Programme!J14193)</f>
        <v>&lt;/ValeurCellule&gt;</v>
      </c>
    </row>
    <row r="14193" spans="1:1" x14ac:dyDescent="0.2">
      <c r="A14193" s="996" t="str">
        <f>CONCATENATE(Programme!D14194,Programme!E14194,Programme!F14194,Programme!G14194,Programme!H14194,Programme!I14194,Programme!J14194)</f>
        <v>&lt;ValeurCellule&gt;</v>
      </c>
    </row>
    <row r="14194" spans="1:1" x14ac:dyDescent="0.2">
      <c r="A14194" s="996" t="str">
        <f>CONCATENATE(Programme!D14195,Programme!E14195,Programme!F14195,Programme!G14195,Programme!H14195,Programme!I14195,Programme!J14195)</f>
        <v>&lt;cellule&gt;&lt;codeEdi&gt;1078&lt;/codeEdi&gt;&lt;/cellule&gt;</v>
      </c>
    </row>
    <row r="14195" spans="1:1" x14ac:dyDescent="0.2">
      <c r="A14195" s="996" t="str">
        <f>CONCATENATE(Programme!D14196,Programme!E14196,Programme!F14196,Programme!G14196,Programme!H14196,Programme!I14196,Programme!J14196)</f>
        <v>&lt;valeur&gt;&lt;/valeur&gt;</v>
      </c>
    </row>
    <row r="14196" spans="1:1" x14ac:dyDescent="0.2">
      <c r="A14196" s="996" t="str">
        <f>CONCATENATE(Programme!D14197,Programme!E14197,Programme!F14197,Programme!G14197,Programme!H14197,Programme!I14197,Programme!J14197)</f>
        <v>&lt;numeroLigne&gt;121&lt;/numeroLigne&gt;</v>
      </c>
    </row>
    <row r="14197" spans="1:1" x14ac:dyDescent="0.2">
      <c r="A14197" s="996" t="str">
        <f>CONCATENATE(Programme!D14198,Programme!E14198,Programme!F14198,Programme!G14198,Programme!H14198,Programme!I14198,Programme!J14198)</f>
        <v>&lt;/ValeurCellule&gt;</v>
      </c>
    </row>
    <row r="14198" spans="1:1" x14ac:dyDescent="0.2">
      <c r="A14198" s="996" t="str">
        <f>CONCATENATE(Programme!D14199,Programme!E14199,Programme!F14199,Programme!G14199,Programme!H14199,Programme!I14199,Programme!J14199)</f>
        <v>&lt;ValeurCellule&gt;</v>
      </c>
    </row>
    <row r="14199" spans="1:1" x14ac:dyDescent="0.2">
      <c r="A14199" s="996" t="str">
        <f>CONCATENATE(Programme!D14200,Programme!E14200,Programme!F14200,Programme!G14200,Programme!H14200,Programme!I14200,Programme!J14200)</f>
        <v>&lt;cellule&gt;&lt;codeEdi&gt;1079&lt;/codeEdi&gt;&lt;/cellule&gt;</v>
      </c>
    </row>
    <row r="14200" spans="1:1" x14ac:dyDescent="0.2">
      <c r="A14200" s="996" t="str">
        <f>CONCATENATE(Programme!D14201,Programme!E14201,Programme!F14201,Programme!G14201,Programme!H14201,Programme!I14201,Programme!J14201)</f>
        <v>&lt;valeur&gt;&lt;/valeur&gt;</v>
      </c>
    </row>
    <row r="14201" spans="1:1" x14ac:dyDescent="0.2">
      <c r="A14201" s="996" t="str">
        <f>CONCATENATE(Programme!D14202,Programme!E14202,Programme!F14202,Programme!G14202,Programme!H14202,Programme!I14202,Programme!J14202)</f>
        <v>&lt;numeroLigne&gt;121&lt;/numeroLigne&gt;</v>
      </c>
    </row>
    <row r="14202" spans="1:1" x14ac:dyDescent="0.2">
      <c r="A14202" s="996" t="str">
        <f>CONCATENATE(Programme!D14203,Programme!E14203,Programme!F14203,Programme!G14203,Programme!H14203,Programme!I14203,Programme!J14203)</f>
        <v>&lt;/ValeurCellule&gt;</v>
      </c>
    </row>
    <row r="14203" spans="1:1" x14ac:dyDescent="0.2">
      <c r="A14203" s="996" t="str">
        <f>CONCATENATE(Programme!D14204,Programme!E14204,Programme!F14204,Programme!G14204,Programme!H14204,Programme!I14204,Programme!J14204)</f>
        <v>&lt;ValeurCellule&gt;</v>
      </c>
    </row>
    <row r="14204" spans="1:1" x14ac:dyDescent="0.2">
      <c r="A14204" s="996" t="str">
        <f>CONCATENATE(Programme!D14205,Programme!E14205,Programme!F14205,Programme!G14205,Programme!H14205,Programme!I14205,Programme!J14205)</f>
        <v>&lt;cellule&gt;&lt;codeEdi&gt;1080&lt;/codeEdi&gt;&lt;/cellule&gt;</v>
      </c>
    </row>
    <row r="14205" spans="1:1" x14ac:dyDescent="0.2">
      <c r="A14205" s="996" t="str">
        <f>CONCATENATE(Programme!D14206,Programme!E14206,Programme!F14206,Programme!G14206,Programme!H14206,Programme!I14206,Programme!J14206)</f>
        <v>&lt;valeur&gt;&lt;/valeur&gt;</v>
      </c>
    </row>
    <row r="14206" spans="1:1" x14ac:dyDescent="0.2">
      <c r="A14206" s="996" t="str">
        <f>CONCATENATE(Programme!D14207,Programme!E14207,Programme!F14207,Programme!G14207,Programme!H14207,Programme!I14207,Programme!J14207)</f>
        <v>&lt;numeroLigne&gt;121&lt;/numeroLigne&gt;</v>
      </c>
    </row>
    <row r="14207" spans="1:1" x14ac:dyDescent="0.2">
      <c r="A14207" s="996" t="str">
        <f>CONCATENATE(Programme!D14208,Programme!E14208,Programme!F14208,Programme!G14208,Programme!H14208,Programme!I14208,Programme!J14208)</f>
        <v>&lt;/ValeurCellule&gt;</v>
      </c>
    </row>
    <row r="14208" spans="1:1" x14ac:dyDescent="0.2">
      <c r="A14208" s="996" t="str">
        <f>CONCATENATE(Programme!D14209,Programme!E14209,Programme!F14209,Programme!G14209,Programme!H14209,Programme!I14209,Programme!J14209)</f>
        <v>&lt;ValeurCellule&gt;</v>
      </c>
    </row>
    <row r="14209" spans="1:1" x14ac:dyDescent="0.2">
      <c r="A14209" s="996" t="str">
        <f>CONCATENATE(Programme!D14210,Programme!E14210,Programme!F14210,Programme!G14210,Programme!H14210,Programme!I14210,Programme!J14210)</f>
        <v>&lt;cellule&gt;&lt;codeEdi&gt;1081&lt;/codeEdi&gt;&lt;/cellule&gt;</v>
      </c>
    </row>
    <row r="14210" spans="1:1" x14ac:dyDescent="0.2">
      <c r="A14210" s="996" t="str">
        <f>CONCATENATE(Programme!D14211,Programme!E14211,Programme!F14211,Programme!G14211,Programme!H14211,Programme!I14211,Programme!J14211)</f>
        <v>&lt;valeur&gt;&lt;/valeur&gt;</v>
      </c>
    </row>
    <row r="14211" spans="1:1" x14ac:dyDescent="0.2">
      <c r="A14211" s="996" t="str">
        <f>CONCATENATE(Programme!D14212,Programme!E14212,Programme!F14212,Programme!G14212,Programme!H14212,Programme!I14212,Programme!J14212)</f>
        <v>&lt;numeroLigne&gt;121&lt;/numeroLigne&gt;</v>
      </c>
    </row>
    <row r="14212" spans="1:1" x14ac:dyDescent="0.2">
      <c r="A14212" s="996" t="str">
        <f>CONCATENATE(Programme!D14213,Programme!E14213,Programme!F14213,Programme!G14213,Programme!H14213,Programme!I14213,Programme!J14213)</f>
        <v>&lt;/ValeurCellule&gt;</v>
      </c>
    </row>
    <row r="14213" spans="1:1" x14ac:dyDescent="0.2">
      <c r="A14213" s="996" t="str">
        <f>CONCATENATE(Programme!D14214,Programme!E14214,Programme!F14214,Programme!G14214,Programme!H14214,Programme!I14214,Programme!J14214)</f>
        <v>&lt;ValeurCellule&gt;</v>
      </c>
    </row>
    <row r="14214" spans="1:1" x14ac:dyDescent="0.2">
      <c r="A14214" s="996" t="str">
        <f>CONCATENATE(Programme!D14215,Programme!E14215,Programme!F14215,Programme!G14215,Programme!H14215,Programme!I14215,Programme!J14215)</f>
        <v>&lt;cellule&gt;&lt;codeEdi&gt;1082&lt;/codeEdi&gt;&lt;/cellule&gt;</v>
      </c>
    </row>
    <row r="14215" spans="1:1" x14ac:dyDescent="0.2">
      <c r="A14215" s="996" t="str">
        <f>CONCATENATE(Programme!D14216,Programme!E14216,Programme!F14216,Programme!G14216,Programme!H14216,Programme!I14216,Programme!J14216)</f>
        <v>&lt;valeur&gt;&lt;/valeur&gt;</v>
      </c>
    </row>
    <row r="14216" spans="1:1" x14ac:dyDescent="0.2">
      <c r="A14216" s="996" t="str">
        <f>CONCATENATE(Programme!D14217,Programme!E14217,Programme!F14217,Programme!G14217,Programme!H14217,Programme!I14217,Programme!J14217)</f>
        <v>&lt;numeroLigne&gt;121&lt;/numeroLigne&gt;</v>
      </c>
    </row>
    <row r="14217" spans="1:1" x14ac:dyDescent="0.2">
      <c r="A14217" s="996" t="str">
        <f>CONCATENATE(Programme!D14218,Programme!E14218,Programme!F14218,Programme!G14218,Programme!H14218,Programme!I14218,Programme!J14218)</f>
        <v>&lt;/ValeurCellule&gt;</v>
      </c>
    </row>
    <row r="14218" spans="1:1" x14ac:dyDescent="0.2">
      <c r="A14218" s="996" t="str">
        <f>CONCATENATE(Programme!D14219,Programme!E14219,Programme!F14219,Programme!G14219,Programme!H14219,Programme!I14219,Programme!J14219)</f>
        <v>&lt;ValeurCellule&gt;</v>
      </c>
    </row>
    <row r="14219" spans="1:1" x14ac:dyDescent="0.2">
      <c r="A14219" s="996" t="str">
        <f>CONCATENATE(Programme!D14220,Programme!E14220,Programme!F14220,Programme!G14220,Programme!H14220,Programme!I14220,Programme!J14220)</f>
        <v>&lt;cellule&gt;&lt;codeEdi&gt;1083&lt;/codeEdi&gt;&lt;/cellule&gt;</v>
      </c>
    </row>
    <row r="14220" spans="1:1" x14ac:dyDescent="0.2">
      <c r="A14220" s="996" t="str">
        <f>CONCATENATE(Programme!D14221,Programme!E14221,Programme!F14221,Programme!G14221,Programme!H14221,Programme!I14221,Programme!J14221)</f>
        <v>&lt;valeur&gt;&lt;/valeur&gt;</v>
      </c>
    </row>
    <row r="14221" spans="1:1" x14ac:dyDescent="0.2">
      <c r="A14221" s="996" t="str">
        <f>CONCATENATE(Programme!D14222,Programme!E14222,Programme!F14222,Programme!G14222,Programme!H14222,Programme!I14222,Programme!J14222)</f>
        <v>&lt;numeroLigne&gt;121&lt;/numeroLigne&gt;</v>
      </c>
    </row>
    <row r="14222" spans="1:1" x14ac:dyDescent="0.2">
      <c r="A14222" s="996" t="str">
        <f>CONCATENATE(Programme!D14223,Programme!E14223,Programme!F14223,Programme!G14223,Programme!H14223,Programme!I14223,Programme!J14223)</f>
        <v>&lt;/ValeurCellule&gt;</v>
      </c>
    </row>
    <row r="14223" spans="1:1" x14ac:dyDescent="0.2">
      <c r="A14223" s="996" t="str">
        <f>CONCATENATE(Programme!D14224,Programme!E14224,Programme!F14224,Programme!G14224,Programme!H14224,Programme!I14224,Programme!J14224)</f>
        <v>&lt;ValeurCellule&gt;</v>
      </c>
    </row>
    <row r="14224" spans="1:1" x14ac:dyDescent="0.2">
      <c r="A14224" s="996" t="str">
        <f>CONCATENATE(Programme!D14225,Programme!E14225,Programme!F14225,Programme!G14225,Programme!H14225,Programme!I14225,Programme!J14225)</f>
        <v>&lt;cellule&gt;&lt;codeEdi&gt;1084&lt;/codeEdi&gt;&lt;/cellule&gt;</v>
      </c>
    </row>
    <row r="14225" spans="1:1" x14ac:dyDescent="0.2">
      <c r="A14225" s="996" t="str">
        <f>CONCATENATE(Programme!D14226,Programme!E14226,Programme!F14226,Programme!G14226,Programme!H14226,Programme!I14226,Programme!J14226)</f>
        <v>&lt;valeur&gt;&lt;/valeur&gt;</v>
      </c>
    </row>
    <row r="14226" spans="1:1" x14ac:dyDescent="0.2">
      <c r="A14226" s="996" t="str">
        <f>CONCATENATE(Programme!D14227,Programme!E14227,Programme!F14227,Programme!G14227,Programme!H14227,Programme!I14227,Programme!J14227)</f>
        <v>&lt;numeroLigne&gt;121&lt;/numeroLigne&gt;</v>
      </c>
    </row>
    <row r="14227" spans="1:1" x14ac:dyDescent="0.2">
      <c r="A14227" s="996" t="str">
        <f>CONCATENATE(Programme!D14228,Programme!E14228,Programme!F14228,Programme!G14228,Programme!H14228,Programme!I14228,Programme!J14228)</f>
        <v>&lt;/ValeurCellule&gt;</v>
      </c>
    </row>
    <row r="14228" spans="1:1" x14ac:dyDescent="0.2">
      <c r="A14228" s="996" t="str">
        <f>CONCATENATE(Programme!D14229,Programme!E14229,Programme!F14229,Programme!G14229,Programme!H14229,Programme!I14229,Programme!J14229)</f>
        <v>&lt;ValeurCellule&gt;</v>
      </c>
    </row>
    <row r="14229" spans="1:1" x14ac:dyDescent="0.2">
      <c r="A14229" s="996" t="str">
        <f>CONCATENATE(Programme!D14230,Programme!E14230,Programme!F14230,Programme!G14230,Programme!H14230,Programme!I14230,Programme!J14230)</f>
        <v>&lt;cellule&gt;&lt;codeEdi&gt;1085&lt;/codeEdi&gt;&lt;/cellule&gt;</v>
      </c>
    </row>
    <row r="14230" spans="1:1" x14ac:dyDescent="0.2">
      <c r="A14230" s="996" t="str">
        <f>CONCATENATE(Programme!D14231,Programme!E14231,Programme!F14231,Programme!G14231,Programme!H14231,Programme!I14231,Programme!J14231)</f>
        <v>&lt;valeur&gt;&lt;/valeur&gt;</v>
      </c>
    </row>
    <row r="14231" spans="1:1" x14ac:dyDescent="0.2">
      <c r="A14231" s="996" t="str">
        <f>CONCATENATE(Programme!D14232,Programme!E14232,Programme!F14232,Programme!G14232,Programme!H14232,Programme!I14232,Programme!J14232)</f>
        <v>&lt;numeroLigne&gt;121&lt;/numeroLigne&gt;</v>
      </c>
    </row>
    <row r="14232" spans="1:1" x14ac:dyDescent="0.2">
      <c r="A14232" s="996" t="str">
        <f>CONCATENATE(Programme!D14233,Programme!E14233,Programme!F14233,Programme!G14233,Programme!H14233,Programme!I14233,Programme!J14233)</f>
        <v>&lt;/ValeurCellule&gt;</v>
      </c>
    </row>
    <row r="14233" spans="1:1" x14ac:dyDescent="0.2">
      <c r="A14233" s="996" t="str">
        <f>CONCATENATE(Programme!D14234,Programme!E14234,Programme!F14234,Programme!G14234,Programme!H14234,Programme!I14234,Programme!J14234)</f>
        <v>&lt;ValeurCellule&gt;</v>
      </c>
    </row>
    <row r="14234" spans="1:1" x14ac:dyDescent="0.2">
      <c r="A14234" s="996" t="str">
        <f>CONCATENATE(Programme!D14235,Programme!E14235,Programme!F14235,Programme!G14235,Programme!H14235,Programme!I14235,Programme!J14235)</f>
        <v>&lt;cellule&gt;&lt;codeEdi&gt;1086&lt;/codeEdi&gt;&lt;/cellule&gt;</v>
      </c>
    </row>
    <row r="14235" spans="1:1" x14ac:dyDescent="0.2">
      <c r="A14235" s="996" t="str">
        <f>CONCATENATE(Programme!D14236,Programme!E14236,Programme!F14236,Programme!G14236,Programme!H14236,Programme!I14236,Programme!J14236)</f>
        <v>&lt;valeur&gt;&lt;/valeur&gt;</v>
      </c>
    </row>
    <row r="14236" spans="1:1" x14ac:dyDescent="0.2">
      <c r="A14236" s="996" t="str">
        <f>CONCATENATE(Programme!D14237,Programme!E14237,Programme!F14237,Programme!G14237,Programme!H14237,Programme!I14237,Programme!J14237)</f>
        <v>&lt;numeroLigne&gt;121&lt;/numeroLigne&gt;</v>
      </c>
    </row>
    <row r="14237" spans="1:1" x14ac:dyDescent="0.2">
      <c r="A14237" s="996" t="str">
        <f>CONCATENATE(Programme!D14238,Programme!E14238,Programme!F14238,Programme!G14238,Programme!H14238,Programme!I14238,Programme!J14238)</f>
        <v>&lt;/ValeurCellule&gt;</v>
      </c>
    </row>
    <row r="14238" spans="1:1" x14ac:dyDescent="0.2">
      <c r="A14238" s="996" t="str">
        <f>CONCATENATE(Programme!D14239,Programme!E14239,Programme!F14239,Programme!G14239,Programme!H14239,Programme!I14239,Programme!J14239)</f>
        <v>&lt;ValeurCellule&gt;</v>
      </c>
    </row>
    <row r="14239" spans="1:1" x14ac:dyDescent="0.2">
      <c r="A14239" s="996" t="str">
        <f>CONCATENATE(Programme!D14240,Programme!E14240,Programme!F14240,Programme!G14240,Programme!H14240,Programme!I14240,Programme!J14240)</f>
        <v>&lt;cellule&gt;&lt;codeEdi&gt;10061&lt;/codeEdi&gt;&lt;/cellule&gt;</v>
      </c>
    </row>
    <row r="14240" spans="1:1" x14ac:dyDescent="0.2">
      <c r="A14240" s="996" t="str">
        <f>CONCATENATE(Programme!D14241,Programme!E14241,Programme!F14241,Programme!G14241,Programme!H14241,Programme!I14241,Programme!J14241)</f>
        <v>&lt;valeur&gt;&lt;/valeur&gt;</v>
      </c>
    </row>
    <row r="14241" spans="1:1" x14ac:dyDescent="0.2">
      <c r="A14241" s="996" t="str">
        <f>CONCATENATE(Programme!D14242,Programme!E14242,Programme!F14242,Programme!G14242,Programme!H14242,Programme!I14242,Programme!J14242)</f>
        <v>&lt;numeroLigne&gt;122&lt;/numeroLigne&gt;</v>
      </c>
    </row>
    <row r="14242" spans="1:1" x14ac:dyDescent="0.2">
      <c r="A14242" s="996" t="str">
        <f>CONCATENATE(Programme!D14243,Programme!E14243,Programme!F14243,Programme!G14243,Programme!H14243,Programme!I14243,Programme!J14243)</f>
        <v>&lt;/ValeurCellule&gt;</v>
      </c>
    </row>
    <row r="14243" spans="1:1" x14ac:dyDescent="0.2">
      <c r="A14243" s="996" t="str">
        <f>CONCATENATE(Programme!D14244,Programme!E14244,Programme!F14244,Programme!G14244,Programme!H14244,Programme!I14244,Programme!J14244)</f>
        <v>&lt;ValeurCellule&gt;</v>
      </c>
    </row>
    <row r="14244" spans="1:1" x14ac:dyDescent="0.2">
      <c r="A14244" s="996" t="str">
        <f>CONCATENATE(Programme!D14245,Programme!E14245,Programme!F14245,Programme!G14245,Programme!H14245,Programme!I14245,Programme!J14245)</f>
        <v>&lt;cellule&gt;&lt;codeEdi&gt;1078&lt;/codeEdi&gt;&lt;/cellule&gt;</v>
      </c>
    </row>
    <row r="14245" spans="1:1" x14ac:dyDescent="0.2">
      <c r="A14245" s="996" t="str">
        <f>CONCATENATE(Programme!D14246,Programme!E14246,Programme!F14246,Programme!G14246,Programme!H14246,Programme!I14246,Programme!J14246)</f>
        <v>&lt;valeur&gt;&lt;/valeur&gt;</v>
      </c>
    </row>
    <row r="14246" spans="1:1" x14ac:dyDescent="0.2">
      <c r="A14246" s="996" t="str">
        <f>CONCATENATE(Programme!D14247,Programme!E14247,Programme!F14247,Programme!G14247,Programme!H14247,Programme!I14247,Programme!J14247)</f>
        <v>&lt;numeroLigne&gt;122&lt;/numeroLigne&gt;</v>
      </c>
    </row>
    <row r="14247" spans="1:1" x14ac:dyDescent="0.2">
      <c r="A14247" s="996" t="str">
        <f>CONCATENATE(Programme!D14248,Programme!E14248,Programme!F14248,Programme!G14248,Programme!H14248,Programme!I14248,Programme!J14248)</f>
        <v>&lt;/ValeurCellule&gt;</v>
      </c>
    </row>
    <row r="14248" spans="1:1" x14ac:dyDescent="0.2">
      <c r="A14248" s="996" t="str">
        <f>CONCATENATE(Programme!D14249,Programme!E14249,Programme!F14249,Programme!G14249,Programme!H14249,Programme!I14249,Programme!J14249)</f>
        <v>&lt;ValeurCellule&gt;</v>
      </c>
    </row>
    <row r="14249" spans="1:1" x14ac:dyDescent="0.2">
      <c r="A14249" s="996" t="str">
        <f>CONCATENATE(Programme!D14250,Programme!E14250,Programme!F14250,Programme!G14250,Programme!H14250,Programme!I14250,Programme!J14250)</f>
        <v>&lt;cellule&gt;&lt;codeEdi&gt;1079&lt;/codeEdi&gt;&lt;/cellule&gt;</v>
      </c>
    </row>
    <row r="14250" spans="1:1" x14ac:dyDescent="0.2">
      <c r="A14250" s="996" t="str">
        <f>CONCATENATE(Programme!D14251,Programme!E14251,Programme!F14251,Programme!G14251,Programme!H14251,Programme!I14251,Programme!J14251)</f>
        <v>&lt;valeur&gt;&lt;/valeur&gt;</v>
      </c>
    </row>
    <row r="14251" spans="1:1" x14ac:dyDescent="0.2">
      <c r="A14251" s="996" t="str">
        <f>CONCATENATE(Programme!D14252,Programme!E14252,Programme!F14252,Programme!G14252,Programme!H14252,Programme!I14252,Programme!J14252)</f>
        <v>&lt;numeroLigne&gt;122&lt;/numeroLigne&gt;</v>
      </c>
    </row>
    <row r="14252" spans="1:1" x14ac:dyDescent="0.2">
      <c r="A14252" s="996" t="str">
        <f>CONCATENATE(Programme!D14253,Programme!E14253,Programme!F14253,Programme!G14253,Programme!H14253,Programme!I14253,Programme!J14253)</f>
        <v>&lt;/ValeurCellule&gt;</v>
      </c>
    </row>
    <row r="14253" spans="1:1" x14ac:dyDescent="0.2">
      <c r="A14253" s="996" t="str">
        <f>CONCATENATE(Programme!D14254,Programme!E14254,Programme!F14254,Programme!G14254,Programme!H14254,Programme!I14254,Programme!J14254)</f>
        <v>&lt;ValeurCellule&gt;</v>
      </c>
    </row>
    <row r="14254" spans="1:1" x14ac:dyDescent="0.2">
      <c r="A14254" s="996" t="str">
        <f>CONCATENATE(Programme!D14255,Programme!E14255,Programme!F14255,Programme!G14255,Programme!H14255,Programme!I14255,Programme!J14255)</f>
        <v>&lt;cellule&gt;&lt;codeEdi&gt;1080&lt;/codeEdi&gt;&lt;/cellule&gt;</v>
      </c>
    </row>
    <row r="14255" spans="1:1" x14ac:dyDescent="0.2">
      <c r="A14255" s="996" t="str">
        <f>CONCATENATE(Programme!D14256,Programme!E14256,Programme!F14256,Programme!G14256,Programme!H14256,Programme!I14256,Programme!J14256)</f>
        <v>&lt;valeur&gt;&lt;/valeur&gt;</v>
      </c>
    </row>
    <row r="14256" spans="1:1" x14ac:dyDescent="0.2">
      <c r="A14256" s="996" t="str">
        <f>CONCATENATE(Programme!D14257,Programme!E14257,Programme!F14257,Programme!G14257,Programme!H14257,Programme!I14257,Programme!J14257)</f>
        <v>&lt;numeroLigne&gt;122&lt;/numeroLigne&gt;</v>
      </c>
    </row>
    <row r="14257" spans="1:1" x14ac:dyDescent="0.2">
      <c r="A14257" s="996" t="str">
        <f>CONCATENATE(Programme!D14258,Programme!E14258,Programme!F14258,Programme!G14258,Programme!H14258,Programme!I14258,Programme!J14258)</f>
        <v>&lt;/ValeurCellule&gt;</v>
      </c>
    </row>
    <row r="14258" spans="1:1" x14ac:dyDescent="0.2">
      <c r="A14258" s="996" t="str">
        <f>CONCATENATE(Programme!D14259,Programme!E14259,Programme!F14259,Programme!G14259,Programme!H14259,Programme!I14259,Programme!J14259)</f>
        <v>&lt;ValeurCellule&gt;</v>
      </c>
    </row>
    <row r="14259" spans="1:1" x14ac:dyDescent="0.2">
      <c r="A14259" s="996" t="str">
        <f>CONCATENATE(Programme!D14260,Programme!E14260,Programme!F14260,Programme!G14260,Programme!H14260,Programme!I14260,Programme!J14260)</f>
        <v>&lt;cellule&gt;&lt;codeEdi&gt;1081&lt;/codeEdi&gt;&lt;/cellule&gt;</v>
      </c>
    </row>
    <row r="14260" spans="1:1" x14ac:dyDescent="0.2">
      <c r="A14260" s="996" t="str">
        <f>CONCATENATE(Programme!D14261,Programme!E14261,Programme!F14261,Programme!G14261,Programme!H14261,Programme!I14261,Programme!J14261)</f>
        <v>&lt;valeur&gt;&lt;/valeur&gt;</v>
      </c>
    </row>
    <row r="14261" spans="1:1" x14ac:dyDescent="0.2">
      <c r="A14261" s="996" t="str">
        <f>CONCATENATE(Programme!D14262,Programme!E14262,Programme!F14262,Programme!G14262,Programme!H14262,Programme!I14262,Programme!J14262)</f>
        <v>&lt;numeroLigne&gt;122&lt;/numeroLigne&gt;</v>
      </c>
    </row>
    <row r="14262" spans="1:1" x14ac:dyDescent="0.2">
      <c r="A14262" s="996" t="str">
        <f>CONCATENATE(Programme!D14263,Programme!E14263,Programme!F14263,Programme!G14263,Programme!H14263,Programme!I14263,Programme!J14263)</f>
        <v>&lt;/ValeurCellule&gt;</v>
      </c>
    </row>
    <row r="14263" spans="1:1" x14ac:dyDescent="0.2">
      <c r="A14263" s="996" t="str">
        <f>CONCATENATE(Programme!D14264,Programme!E14264,Programme!F14264,Programme!G14264,Programme!H14264,Programme!I14264,Programme!J14264)</f>
        <v>&lt;ValeurCellule&gt;</v>
      </c>
    </row>
    <row r="14264" spans="1:1" x14ac:dyDescent="0.2">
      <c r="A14264" s="996" t="str">
        <f>CONCATENATE(Programme!D14265,Programme!E14265,Programme!F14265,Programme!G14265,Programme!H14265,Programme!I14265,Programme!J14265)</f>
        <v>&lt;cellule&gt;&lt;codeEdi&gt;1082&lt;/codeEdi&gt;&lt;/cellule&gt;</v>
      </c>
    </row>
    <row r="14265" spans="1:1" x14ac:dyDescent="0.2">
      <c r="A14265" s="996" t="str">
        <f>CONCATENATE(Programme!D14266,Programme!E14266,Programme!F14266,Programme!G14266,Programme!H14266,Programme!I14266,Programme!J14266)</f>
        <v>&lt;valeur&gt;&lt;/valeur&gt;</v>
      </c>
    </row>
    <row r="14266" spans="1:1" x14ac:dyDescent="0.2">
      <c r="A14266" s="996" t="str">
        <f>CONCATENATE(Programme!D14267,Programme!E14267,Programme!F14267,Programme!G14267,Programme!H14267,Programme!I14267,Programme!J14267)</f>
        <v>&lt;numeroLigne&gt;122&lt;/numeroLigne&gt;</v>
      </c>
    </row>
    <row r="14267" spans="1:1" x14ac:dyDescent="0.2">
      <c r="A14267" s="996" t="str">
        <f>CONCATENATE(Programme!D14268,Programme!E14268,Programme!F14268,Programme!G14268,Programme!H14268,Programme!I14268,Programme!J14268)</f>
        <v>&lt;/ValeurCellule&gt;</v>
      </c>
    </row>
    <row r="14268" spans="1:1" x14ac:dyDescent="0.2">
      <c r="A14268" s="996" t="str">
        <f>CONCATENATE(Programme!D14269,Programme!E14269,Programme!F14269,Programme!G14269,Programme!H14269,Programme!I14269,Programme!J14269)</f>
        <v>&lt;ValeurCellule&gt;</v>
      </c>
    </row>
    <row r="14269" spans="1:1" x14ac:dyDescent="0.2">
      <c r="A14269" s="996" t="str">
        <f>CONCATENATE(Programme!D14270,Programme!E14270,Programme!F14270,Programme!G14270,Programme!H14270,Programme!I14270,Programme!J14270)</f>
        <v>&lt;cellule&gt;&lt;codeEdi&gt;1083&lt;/codeEdi&gt;&lt;/cellule&gt;</v>
      </c>
    </row>
    <row r="14270" spans="1:1" x14ac:dyDescent="0.2">
      <c r="A14270" s="996" t="str">
        <f>CONCATENATE(Programme!D14271,Programme!E14271,Programme!F14271,Programme!G14271,Programme!H14271,Programme!I14271,Programme!J14271)</f>
        <v>&lt;valeur&gt;&lt;/valeur&gt;</v>
      </c>
    </row>
    <row r="14271" spans="1:1" x14ac:dyDescent="0.2">
      <c r="A14271" s="996" t="str">
        <f>CONCATENATE(Programme!D14272,Programme!E14272,Programme!F14272,Programme!G14272,Programme!H14272,Programme!I14272,Programme!J14272)</f>
        <v>&lt;numeroLigne&gt;122&lt;/numeroLigne&gt;</v>
      </c>
    </row>
    <row r="14272" spans="1:1" x14ac:dyDescent="0.2">
      <c r="A14272" s="996" t="str">
        <f>CONCATENATE(Programme!D14273,Programme!E14273,Programme!F14273,Programme!G14273,Programme!H14273,Programme!I14273,Programme!J14273)</f>
        <v>&lt;/ValeurCellule&gt;</v>
      </c>
    </row>
    <row r="14273" spans="1:1" x14ac:dyDescent="0.2">
      <c r="A14273" s="996" t="str">
        <f>CONCATENATE(Programme!D14274,Programme!E14274,Programme!F14274,Programme!G14274,Programme!H14274,Programme!I14274,Programme!J14274)</f>
        <v>&lt;ValeurCellule&gt;</v>
      </c>
    </row>
    <row r="14274" spans="1:1" x14ac:dyDescent="0.2">
      <c r="A14274" s="996" t="str">
        <f>CONCATENATE(Programme!D14275,Programme!E14275,Programme!F14275,Programme!G14275,Programme!H14275,Programme!I14275,Programme!J14275)</f>
        <v>&lt;cellule&gt;&lt;codeEdi&gt;1084&lt;/codeEdi&gt;&lt;/cellule&gt;</v>
      </c>
    </row>
    <row r="14275" spans="1:1" x14ac:dyDescent="0.2">
      <c r="A14275" s="996" t="str">
        <f>CONCATENATE(Programme!D14276,Programme!E14276,Programme!F14276,Programme!G14276,Programme!H14276,Programme!I14276,Programme!J14276)</f>
        <v>&lt;valeur&gt;&lt;/valeur&gt;</v>
      </c>
    </row>
    <row r="14276" spans="1:1" x14ac:dyDescent="0.2">
      <c r="A14276" s="996" t="str">
        <f>CONCATENATE(Programme!D14277,Programme!E14277,Programme!F14277,Programme!G14277,Programme!H14277,Programme!I14277,Programme!J14277)</f>
        <v>&lt;numeroLigne&gt;122&lt;/numeroLigne&gt;</v>
      </c>
    </row>
    <row r="14277" spans="1:1" x14ac:dyDescent="0.2">
      <c r="A14277" s="996" t="str">
        <f>CONCATENATE(Programme!D14278,Programme!E14278,Programme!F14278,Programme!G14278,Programme!H14278,Programme!I14278,Programme!J14278)</f>
        <v>&lt;/ValeurCellule&gt;</v>
      </c>
    </row>
    <row r="14278" spans="1:1" x14ac:dyDescent="0.2">
      <c r="A14278" s="996" t="str">
        <f>CONCATENATE(Programme!D14279,Programme!E14279,Programme!F14279,Programme!G14279,Programme!H14279,Programme!I14279,Programme!J14279)</f>
        <v>&lt;ValeurCellule&gt;</v>
      </c>
    </row>
    <row r="14279" spans="1:1" x14ac:dyDescent="0.2">
      <c r="A14279" s="996" t="str">
        <f>CONCATENATE(Programme!D14280,Programme!E14280,Programme!F14280,Programme!G14280,Programme!H14280,Programme!I14280,Programme!J14280)</f>
        <v>&lt;cellule&gt;&lt;codeEdi&gt;1085&lt;/codeEdi&gt;&lt;/cellule&gt;</v>
      </c>
    </row>
    <row r="14280" spans="1:1" x14ac:dyDescent="0.2">
      <c r="A14280" s="996" t="str">
        <f>CONCATENATE(Programme!D14281,Programme!E14281,Programme!F14281,Programme!G14281,Programme!H14281,Programme!I14281,Programme!J14281)</f>
        <v>&lt;valeur&gt;&lt;/valeur&gt;</v>
      </c>
    </row>
    <row r="14281" spans="1:1" x14ac:dyDescent="0.2">
      <c r="A14281" s="996" t="str">
        <f>CONCATENATE(Programme!D14282,Programme!E14282,Programme!F14282,Programme!G14282,Programme!H14282,Programme!I14282,Programme!J14282)</f>
        <v>&lt;numeroLigne&gt;122&lt;/numeroLigne&gt;</v>
      </c>
    </row>
    <row r="14282" spans="1:1" x14ac:dyDescent="0.2">
      <c r="A14282" s="996" t="str">
        <f>CONCATENATE(Programme!D14283,Programme!E14283,Programme!F14283,Programme!G14283,Programme!H14283,Programme!I14283,Programme!J14283)</f>
        <v>&lt;/ValeurCellule&gt;</v>
      </c>
    </row>
    <row r="14283" spans="1:1" x14ac:dyDescent="0.2">
      <c r="A14283" s="996" t="str">
        <f>CONCATENATE(Programme!D14284,Programme!E14284,Programme!F14284,Programme!G14284,Programme!H14284,Programme!I14284,Programme!J14284)</f>
        <v>&lt;ValeurCellule&gt;</v>
      </c>
    </row>
    <row r="14284" spans="1:1" x14ac:dyDescent="0.2">
      <c r="A14284" s="996" t="str">
        <f>CONCATENATE(Programme!D14285,Programme!E14285,Programme!F14285,Programme!G14285,Programme!H14285,Programme!I14285,Programme!J14285)</f>
        <v>&lt;cellule&gt;&lt;codeEdi&gt;1086&lt;/codeEdi&gt;&lt;/cellule&gt;</v>
      </c>
    </row>
    <row r="14285" spans="1:1" x14ac:dyDescent="0.2">
      <c r="A14285" s="996" t="str">
        <f>CONCATENATE(Programme!D14286,Programme!E14286,Programme!F14286,Programme!G14286,Programme!H14286,Programme!I14286,Programme!J14286)</f>
        <v>&lt;valeur&gt;&lt;/valeur&gt;</v>
      </c>
    </row>
    <row r="14286" spans="1:1" x14ac:dyDescent="0.2">
      <c r="A14286" s="996" t="str">
        <f>CONCATENATE(Programme!D14287,Programme!E14287,Programme!F14287,Programme!G14287,Programme!H14287,Programme!I14287,Programme!J14287)</f>
        <v>&lt;numeroLigne&gt;122&lt;/numeroLigne&gt;</v>
      </c>
    </row>
    <row r="14287" spans="1:1" x14ac:dyDescent="0.2">
      <c r="A14287" s="996" t="str">
        <f>CONCATENATE(Programme!D14288,Programme!E14288,Programme!F14288,Programme!G14288,Programme!H14288,Programme!I14288,Programme!J14288)</f>
        <v>&lt;/ValeurCellule&gt;</v>
      </c>
    </row>
    <row r="14288" spans="1:1" x14ac:dyDescent="0.2">
      <c r="A14288" s="996" t="str">
        <f>CONCATENATE(Programme!D14289,Programme!E14289,Programme!F14289,Programme!G14289,Programme!H14289,Programme!I14289,Programme!J14289)</f>
        <v>&lt;ValeurCellule&gt;</v>
      </c>
    </row>
    <row r="14289" spans="1:1" x14ac:dyDescent="0.2">
      <c r="A14289" s="996" t="str">
        <f>CONCATENATE(Programme!D14290,Programme!E14290,Programme!F14290,Programme!G14290,Programme!H14290,Programme!I14290,Programme!J14290)</f>
        <v>&lt;cellule&gt;&lt;codeEdi&gt;10061&lt;/codeEdi&gt;&lt;/cellule&gt;</v>
      </c>
    </row>
    <row r="14290" spans="1:1" x14ac:dyDescent="0.2">
      <c r="A14290" s="996" t="str">
        <f>CONCATENATE(Programme!D14291,Programme!E14291,Programme!F14291,Programme!G14291,Programme!H14291,Programme!I14291,Programme!J14291)</f>
        <v>&lt;valeur&gt;&lt;/valeur&gt;</v>
      </c>
    </row>
    <row r="14291" spans="1:1" x14ac:dyDescent="0.2">
      <c r="A14291" s="996" t="str">
        <f>CONCATENATE(Programme!D14292,Programme!E14292,Programme!F14292,Programme!G14292,Programme!H14292,Programme!I14292,Programme!J14292)</f>
        <v>&lt;numeroLigne&gt;123&lt;/numeroLigne&gt;</v>
      </c>
    </row>
    <row r="14292" spans="1:1" x14ac:dyDescent="0.2">
      <c r="A14292" s="996" t="str">
        <f>CONCATENATE(Programme!D14293,Programme!E14293,Programme!F14293,Programme!G14293,Programme!H14293,Programme!I14293,Programme!J14293)</f>
        <v>&lt;/ValeurCellule&gt;</v>
      </c>
    </row>
    <row r="14293" spans="1:1" x14ac:dyDescent="0.2">
      <c r="A14293" s="996" t="str">
        <f>CONCATENATE(Programme!D14294,Programme!E14294,Programme!F14294,Programme!G14294,Programme!H14294,Programme!I14294,Programme!J14294)</f>
        <v>&lt;ValeurCellule&gt;</v>
      </c>
    </row>
    <row r="14294" spans="1:1" x14ac:dyDescent="0.2">
      <c r="A14294" s="996" t="str">
        <f>CONCATENATE(Programme!D14295,Programme!E14295,Programme!F14295,Programme!G14295,Programme!H14295,Programme!I14295,Programme!J14295)</f>
        <v>&lt;cellule&gt;&lt;codeEdi&gt;1078&lt;/codeEdi&gt;&lt;/cellule&gt;</v>
      </c>
    </row>
    <row r="14295" spans="1:1" x14ac:dyDescent="0.2">
      <c r="A14295" s="996" t="str">
        <f>CONCATENATE(Programme!D14296,Programme!E14296,Programme!F14296,Programme!G14296,Programme!H14296,Programme!I14296,Programme!J14296)</f>
        <v>&lt;valeur&gt;&lt;/valeur&gt;</v>
      </c>
    </row>
    <row r="14296" spans="1:1" x14ac:dyDescent="0.2">
      <c r="A14296" s="996" t="str">
        <f>CONCATENATE(Programme!D14297,Programme!E14297,Programme!F14297,Programme!G14297,Programme!H14297,Programme!I14297,Programme!J14297)</f>
        <v>&lt;numeroLigne&gt;123&lt;/numeroLigne&gt;</v>
      </c>
    </row>
    <row r="14297" spans="1:1" x14ac:dyDescent="0.2">
      <c r="A14297" s="996" t="str">
        <f>CONCATENATE(Programme!D14298,Programme!E14298,Programme!F14298,Programme!G14298,Programme!H14298,Programme!I14298,Programme!J14298)</f>
        <v>&lt;/ValeurCellule&gt;</v>
      </c>
    </row>
    <row r="14298" spans="1:1" x14ac:dyDescent="0.2">
      <c r="A14298" s="996" t="str">
        <f>CONCATENATE(Programme!D14299,Programme!E14299,Programme!F14299,Programme!G14299,Programme!H14299,Programme!I14299,Programme!J14299)</f>
        <v>&lt;ValeurCellule&gt;</v>
      </c>
    </row>
    <row r="14299" spans="1:1" x14ac:dyDescent="0.2">
      <c r="A14299" s="996" t="str">
        <f>CONCATENATE(Programme!D14300,Programme!E14300,Programme!F14300,Programme!G14300,Programme!H14300,Programme!I14300,Programme!J14300)</f>
        <v>&lt;cellule&gt;&lt;codeEdi&gt;1079&lt;/codeEdi&gt;&lt;/cellule&gt;</v>
      </c>
    </row>
    <row r="14300" spans="1:1" x14ac:dyDescent="0.2">
      <c r="A14300" s="996" t="str">
        <f>CONCATENATE(Programme!D14301,Programme!E14301,Programme!F14301,Programme!G14301,Programme!H14301,Programme!I14301,Programme!J14301)</f>
        <v>&lt;valeur&gt;&lt;/valeur&gt;</v>
      </c>
    </row>
    <row r="14301" spans="1:1" x14ac:dyDescent="0.2">
      <c r="A14301" s="996" t="str">
        <f>CONCATENATE(Programme!D14302,Programme!E14302,Programme!F14302,Programme!G14302,Programme!H14302,Programme!I14302,Programme!J14302)</f>
        <v>&lt;numeroLigne&gt;123&lt;/numeroLigne&gt;</v>
      </c>
    </row>
    <row r="14302" spans="1:1" x14ac:dyDescent="0.2">
      <c r="A14302" s="996" t="str">
        <f>CONCATENATE(Programme!D14303,Programme!E14303,Programme!F14303,Programme!G14303,Programme!H14303,Programme!I14303,Programme!J14303)</f>
        <v>&lt;/ValeurCellule&gt;</v>
      </c>
    </row>
    <row r="14303" spans="1:1" x14ac:dyDescent="0.2">
      <c r="A14303" s="996" t="str">
        <f>CONCATENATE(Programme!D14304,Programme!E14304,Programme!F14304,Programme!G14304,Programme!H14304,Programme!I14304,Programme!J14304)</f>
        <v>&lt;ValeurCellule&gt;</v>
      </c>
    </row>
    <row r="14304" spans="1:1" x14ac:dyDescent="0.2">
      <c r="A14304" s="996" t="str">
        <f>CONCATENATE(Programme!D14305,Programme!E14305,Programme!F14305,Programme!G14305,Programme!H14305,Programme!I14305,Programme!J14305)</f>
        <v>&lt;cellule&gt;&lt;codeEdi&gt;1080&lt;/codeEdi&gt;&lt;/cellule&gt;</v>
      </c>
    </row>
    <row r="14305" spans="1:1" x14ac:dyDescent="0.2">
      <c r="A14305" s="996" t="str">
        <f>CONCATENATE(Programme!D14306,Programme!E14306,Programme!F14306,Programme!G14306,Programme!H14306,Programme!I14306,Programme!J14306)</f>
        <v>&lt;valeur&gt;&lt;/valeur&gt;</v>
      </c>
    </row>
    <row r="14306" spans="1:1" x14ac:dyDescent="0.2">
      <c r="A14306" s="996" t="str">
        <f>CONCATENATE(Programme!D14307,Programme!E14307,Programme!F14307,Programme!G14307,Programme!H14307,Programme!I14307,Programme!J14307)</f>
        <v>&lt;numeroLigne&gt;123&lt;/numeroLigne&gt;</v>
      </c>
    </row>
    <row r="14307" spans="1:1" x14ac:dyDescent="0.2">
      <c r="A14307" s="996" t="str">
        <f>CONCATENATE(Programme!D14308,Programme!E14308,Programme!F14308,Programme!G14308,Programme!H14308,Programme!I14308,Programme!J14308)</f>
        <v>&lt;/ValeurCellule&gt;</v>
      </c>
    </row>
    <row r="14308" spans="1:1" x14ac:dyDescent="0.2">
      <c r="A14308" s="996" t="str">
        <f>CONCATENATE(Programme!D14309,Programme!E14309,Programme!F14309,Programme!G14309,Programme!H14309,Programme!I14309,Programme!J14309)</f>
        <v>&lt;ValeurCellule&gt;</v>
      </c>
    </row>
    <row r="14309" spans="1:1" x14ac:dyDescent="0.2">
      <c r="A14309" s="996" t="str">
        <f>CONCATENATE(Programme!D14310,Programme!E14310,Programme!F14310,Programme!G14310,Programme!H14310,Programme!I14310,Programme!J14310)</f>
        <v>&lt;cellule&gt;&lt;codeEdi&gt;1081&lt;/codeEdi&gt;&lt;/cellule&gt;</v>
      </c>
    </row>
    <row r="14310" spans="1:1" x14ac:dyDescent="0.2">
      <c r="A14310" s="996" t="str">
        <f>CONCATENATE(Programme!D14311,Programme!E14311,Programme!F14311,Programme!G14311,Programme!H14311,Programme!I14311,Programme!J14311)</f>
        <v>&lt;valeur&gt;&lt;/valeur&gt;</v>
      </c>
    </row>
    <row r="14311" spans="1:1" x14ac:dyDescent="0.2">
      <c r="A14311" s="996" t="str">
        <f>CONCATENATE(Programme!D14312,Programme!E14312,Programme!F14312,Programme!G14312,Programme!H14312,Programme!I14312,Programme!J14312)</f>
        <v>&lt;numeroLigne&gt;123&lt;/numeroLigne&gt;</v>
      </c>
    </row>
    <row r="14312" spans="1:1" x14ac:dyDescent="0.2">
      <c r="A14312" s="996" t="str">
        <f>CONCATENATE(Programme!D14313,Programme!E14313,Programme!F14313,Programme!G14313,Programme!H14313,Programme!I14313,Programme!J14313)</f>
        <v>&lt;/ValeurCellule&gt;</v>
      </c>
    </row>
    <row r="14313" spans="1:1" x14ac:dyDescent="0.2">
      <c r="A14313" s="996" t="str">
        <f>CONCATENATE(Programme!D14314,Programme!E14314,Programme!F14314,Programme!G14314,Programme!H14314,Programme!I14314,Programme!J14314)</f>
        <v>&lt;ValeurCellule&gt;</v>
      </c>
    </row>
    <row r="14314" spans="1:1" x14ac:dyDescent="0.2">
      <c r="A14314" s="996" t="str">
        <f>CONCATENATE(Programme!D14315,Programme!E14315,Programme!F14315,Programme!G14315,Programme!H14315,Programme!I14315,Programme!J14315)</f>
        <v>&lt;cellule&gt;&lt;codeEdi&gt;1082&lt;/codeEdi&gt;&lt;/cellule&gt;</v>
      </c>
    </row>
    <row r="14315" spans="1:1" x14ac:dyDescent="0.2">
      <c r="A14315" s="996" t="str">
        <f>CONCATENATE(Programme!D14316,Programme!E14316,Programme!F14316,Programme!G14316,Programme!H14316,Programme!I14316,Programme!J14316)</f>
        <v>&lt;valeur&gt;&lt;/valeur&gt;</v>
      </c>
    </row>
    <row r="14316" spans="1:1" x14ac:dyDescent="0.2">
      <c r="A14316" s="996" t="str">
        <f>CONCATENATE(Programme!D14317,Programme!E14317,Programme!F14317,Programme!G14317,Programme!H14317,Programme!I14317,Programme!J14317)</f>
        <v>&lt;numeroLigne&gt;123&lt;/numeroLigne&gt;</v>
      </c>
    </row>
    <row r="14317" spans="1:1" x14ac:dyDescent="0.2">
      <c r="A14317" s="996" t="str">
        <f>CONCATENATE(Programme!D14318,Programme!E14318,Programme!F14318,Programme!G14318,Programme!H14318,Programme!I14318,Programme!J14318)</f>
        <v>&lt;/ValeurCellule&gt;</v>
      </c>
    </row>
    <row r="14318" spans="1:1" x14ac:dyDescent="0.2">
      <c r="A14318" s="996" t="str">
        <f>CONCATENATE(Programme!D14319,Programme!E14319,Programme!F14319,Programme!G14319,Programme!H14319,Programme!I14319,Programme!J14319)</f>
        <v>&lt;ValeurCellule&gt;</v>
      </c>
    </row>
    <row r="14319" spans="1:1" x14ac:dyDescent="0.2">
      <c r="A14319" s="996" t="str">
        <f>CONCATENATE(Programme!D14320,Programme!E14320,Programme!F14320,Programme!G14320,Programme!H14320,Programme!I14320,Programme!J14320)</f>
        <v>&lt;cellule&gt;&lt;codeEdi&gt;1083&lt;/codeEdi&gt;&lt;/cellule&gt;</v>
      </c>
    </row>
    <row r="14320" spans="1:1" x14ac:dyDescent="0.2">
      <c r="A14320" s="996" t="str">
        <f>CONCATENATE(Programme!D14321,Programme!E14321,Programme!F14321,Programme!G14321,Programme!H14321,Programme!I14321,Programme!J14321)</f>
        <v>&lt;valeur&gt;&lt;/valeur&gt;</v>
      </c>
    </row>
    <row r="14321" spans="1:1" x14ac:dyDescent="0.2">
      <c r="A14321" s="996" t="str">
        <f>CONCATENATE(Programme!D14322,Programme!E14322,Programme!F14322,Programme!G14322,Programme!H14322,Programme!I14322,Programme!J14322)</f>
        <v>&lt;numeroLigne&gt;123&lt;/numeroLigne&gt;</v>
      </c>
    </row>
    <row r="14322" spans="1:1" x14ac:dyDescent="0.2">
      <c r="A14322" s="996" t="str">
        <f>CONCATENATE(Programme!D14323,Programme!E14323,Programme!F14323,Programme!G14323,Programme!H14323,Programme!I14323,Programme!J14323)</f>
        <v>&lt;/ValeurCellule&gt;</v>
      </c>
    </row>
    <row r="14323" spans="1:1" x14ac:dyDescent="0.2">
      <c r="A14323" s="996" t="str">
        <f>CONCATENATE(Programme!D14324,Programme!E14324,Programme!F14324,Programme!G14324,Programme!H14324,Programme!I14324,Programme!J14324)</f>
        <v>&lt;ValeurCellule&gt;</v>
      </c>
    </row>
    <row r="14324" spans="1:1" x14ac:dyDescent="0.2">
      <c r="A14324" s="996" t="str">
        <f>CONCATENATE(Programme!D14325,Programme!E14325,Programme!F14325,Programme!G14325,Programme!H14325,Programme!I14325,Programme!J14325)</f>
        <v>&lt;cellule&gt;&lt;codeEdi&gt;1084&lt;/codeEdi&gt;&lt;/cellule&gt;</v>
      </c>
    </row>
    <row r="14325" spans="1:1" x14ac:dyDescent="0.2">
      <c r="A14325" s="996" t="str">
        <f>CONCATENATE(Programme!D14326,Programme!E14326,Programme!F14326,Programme!G14326,Programme!H14326,Programme!I14326,Programme!J14326)</f>
        <v>&lt;valeur&gt;&lt;/valeur&gt;</v>
      </c>
    </row>
    <row r="14326" spans="1:1" x14ac:dyDescent="0.2">
      <c r="A14326" s="996" t="str">
        <f>CONCATENATE(Programme!D14327,Programme!E14327,Programme!F14327,Programme!G14327,Programme!H14327,Programme!I14327,Programme!J14327)</f>
        <v>&lt;numeroLigne&gt;123&lt;/numeroLigne&gt;</v>
      </c>
    </row>
    <row r="14327" spans="1:1" x14ac:dyDescent="0.2">
      <c r="A14327" s="996" t="str">
        <f>CONCATENATE(Programme!D14328,Programme!E14328,Programme!F14328,Programme!G14328,Programme!H14328,Programme!I14328,Programme!J14328)</f>
        <v>&lt;/ValeurCellule&gt;</v>
      </c>
    </row>
    <row r="14328" spans="1:1" x14ac:dyDescent="0.2">
      <c r="A14328" s="996" t="str">
        <f>CONCATENATE(Programme!D14329,Programme!E14329,Programme!F14329,Programme!G14329,Programme!H14329,Programme!I14329,Programme!J14329)</f>
        <v>&lt;ValeurCellule&gt;</v>
      </c>
    </row>
    <row r="14329" spans="1:1" x14ac:dyDescent="0.2">
      <c r="A14329" s="996" t="str">
        <f>CONCATENATE(Programme!D14330,Programme!E14330,Programme!F14330,Programme!G14330,Programme!H14330,Programme!I14330,Programme!J14330)</f>
        <v>&lt;cellule&gt;&lt;codeEdi&gt;1085&lt;/codeEdi&gt;&lt;/cellule&gt;</v>
      </c>
    </row>
    <row r="14330" spans="1:1" x14ac:dyDescent="0.2">
      <c r="A14330" s="996" t="str">
        <f>CONCATENATE(Programme!D14331,Programme!E14331,Programme!F14331,Programme!G14331,Programme!H14331,Programme!I14331,Programme!J14331)</f>
        <v>&lt;valeur&gt;&lt;/valeur&gt;</v>
      </c>
    </row>
    <row r="14331" spans="1:1" x14ac:dyDescent="0.2">
      <c r="A14331" s="996" t="str">
        <f>CONCATENATE(Programme!D14332,Programme!E14332,Programme!F14332,Programme!G14332,Programme!H14332,Programme!I14332,Programme!J14332)</f>
        <v>&lt;numeroLigne&gt;123&lt;/numeroLigne&gt;</v>
      </c>
    </row>
    <row r="14332" spans="1:1" x14ac:dyDescent="0.2">
      <c r="A14332" s="996" t="str">
        <f>CONCATENATE(Programme!D14333,Programme!E14333,Programme!F14333,Programme!G14333,Programme!H14333,Programme!I14333,Programme!J14333)</f>
        <v>&lt;/ValeurCellule&gt;</v>
      </c>
    </row>
    <row r="14333" spans="1:1" x14ac:dyDescent="0.2">
      <c r="A14333" s="996" t="str">
        <f>CONCATENATE(Programme!D14334,Programme!E14334,Programme!F14334,Programme!G14334,Programme!H14334,Programme!I14334,Programme!J14334)</f>
        <v>&lt;ValeurCellule&gt;</v>
      </c>
    </row>
    <row r="14334" spans="1:1" x14ac:dyDescent="0.2">
      <c r="A14334" s="996" t="str">
        <f>CONCATENATE(Programme!D14335,Programme!E14335,Programme!F14335,Programme!G14335,Programme!H14335,Programme!I14335,Programme!J14335)</f>
        <v>&lt;cellule&gt;&lt;codeEdi&gt;1086&lt;/codeEdi&gt;&lt;/cellule&gt;</v>
      </c>
    </row>
    <row r="14335" spans="1:1" x14ac:dyDescent="0.2">
      <c r="A14335" s="996" t="str">
        <f>CONCATENATE(Programme!D14336,Programme!E14336,Programme!F14336,Programme!G14336,Programme!H14336,Programme!I14336,Programme!J14336)</f>
        <v>&lt;valeur&gt;&lt;/valeur&gt;</v>
      </c>
    </row>
    <row r="14336" spans="1:1" x14ac:dyDescent="0.2">
      <c r="A14336" s="996" t="str">
        <f>CONCATENATE(Programme!D14337,Programme!E14337,Programme!F14337,Programme!G14337,Programme!H14337,Programme!I14337,Programme!J14337)</f>
        <v>&lt;numeroLigne&gt;123&lt;/numeroLigne&gt;</v>
      </c>
    </row>
    <row r="14337" spans="1:1" x14ac:dyDescent="0.2">
      <c r="A14337" s="996" t="str">
        <f>CONCATENATE(Programme!D14338,Programme!E14338,Programme!F14338,Programme!G14338,Programme!H14338,Programme!I14338,Programme!J14338)</f>
        <v>&lt;/ValeurCellule&gt;</v>
      </c>
    </row>
    <row r="14338" spans="1:1" x14ac:dyDescent="0.2">
      <c r="A14338" s="996" t="str">
        <f>CONCATENATE(Programme!D14339,Programme!E14339,Programme!F14339,Programme!G14339,Programme!H14339,Programme!I14339,Programme!J14339)</f>
        <v>&lt;ValeurCellule&gt;</v>
      </c>
    </row>
    <row r="14339" spans="1:1" x14ac:dyDescent="0.2">
      <c r="A14339" s="996" t="str">
        <f>CONCATENATE(Programme!D14340,Programme!E14340,Programme!F14340,Programme!G14340,Programme!H14340,Programme!I14340,Programme!J14340)</f>
        <v>&lt;cellule&gt;&lt;codeEdi&gt;10061&lt;/codeEdi&gt;&lt;/cellule&gt;</v>
      </c>
    </row>
    <row r="14340" spans="1:1" x14ac:dyDescent="0.2">
      <c r="A14340" s="996" t="str">
        <f>CONCATENATE(Programme!D14341,Programme!E14341,Programme!F14341,Programme!G14341,Programme!H14341,Programme!I14341,Programme!J14341)</f>
        <v>&lt;valeur&gt;&lt;/valeur&gt;</v>
      </c>
    </row>
    <row r="14341" spans="1:1" x14ac:dyDescent="0.2">
      <c r="A14341" s="996" t="str">
        <f>CONCATENATE(Programme!D14342,Programme!E14342,Programme!F14342,Programme!G14342,Programme!H14342,Programme!I14342,Programme!J14342)</f>
        <v>&lt;numeroLigne&gt;124&lt;/numeroLigne&gt;</v>
      </c>
    </row>
    <row r="14342" spans="1:1" x14ac:dyDescent="0.2">
      <c r="A14342" s="996" t="str">
        <f>CONCATENATE(Programme!D14343,Programme!E14343,Programme!F14343,Programme!G14343,Programme!H14343,Programme!I14343,Programme!J14343)</f>
        <v>&lt;/ValeurCellule&gt;</v>
      </c>
    </row>
    <row r="14343" spans="1:1" x14ac:dyDescent="0.2">
      <c r="A14343" s="996" t="str">
        <f>CONCATENATE(Programme!D14344,Programme!E14344,Programme!F14344,Programme!G14344,Programme!H14344,Programme!I14344,Programme!J14344)</f>
        <v>&lt;ValeurCellule&gt;</v>
      </c>
    </row>
    <row r="14344" spans="1:1" x14ac:dyDescent="0.2">
      <c r="A14344" s="996" t="str">
        <f>CONCATENATE(Programme!D14345,Programme!E14345,Programme!F14345,Programme!G14345,Programme!H14345,Programme!I14345,Programme!J14345)</f>
        <v>&lt;cellule&gt;&lt;codeEdi&gt;1078&lt;/codeEdi&gt;&lt;/cellule&gt;</v>
      </c>
    </row>
    <row r="14345" spans="1:1" x14ac:dyDescent="0.2">
      <c r="A14345" s="996" t="str">
        <f>CONCATENATE(Programme!D14346,Programme!E14346,Programme!F14346,Programme!G14346,Programme!H14346,Programme!I14346,Programme!J14346)</f>
        <v>&lt;valeur&gt;&lt;/valeur&gt;</v>
      </c>
    </row>
    <row r="14346" spans="1:1" x14ac:dyDescent="0.2">
      <c r="A14346" s="996" t="str">
        <f>CONCATENATE(Programme!D14347,Programme!E14347,Programme!F14347,Programme!G14347,Programme!H14347,Programme!I14347,Programme!J14347)</f>
        <v>&lt;numeroLigne&gt;124&lt;/numeroLigne&gt;</v>
      </c>
    </row>
    <row r="14347" spans="1:1" x14ac:dyDescent="0.2">
      <c r="A14347" s="996" t="str">
        <f>CONCATENATE(Programme!D14348,Programme!E14348,Programme!F14348,Programme!G14348,Programme!H14348,Programme!I14348,Programme!J14348)</f>
        <v>&lt;/ValeurCellule&gt;</v>
      </c>
    </row>
    <row r="14348" spans="1:1" x14ac:dyDescent="0.2">
      <c r="A14348" s="996" t="str">
        <f>CONCATENATE(Programme!D14349,Programme!E14349,Programme!F14349,Programme!G14349,Programme!H14349,Programme!I14349,Programme!J14349)</f>
        <v>&lt;ValeurCellule&gt;</v>
      </c>
    </row>
    <row r="14349" spans="1:1" x14ac:dyDescent="0.2">
      <c r="A14349" s="996" t="str">
        <f>CONCATENATE(Programme!D14350,Programme!E14350,Programme!F14350,Programme!G14350,Programme!H14350,Programme!I14350,Programme!J14350)</f>
        <v>&lt;cellule&gt;&lt;codeEdi&gt;1079&lt;/codeEdi&gt;&lt;/cellule&gt;</v>
      </c>
    </row>
    <row r="14350" spans="1:1" x14ac:dyDescent="0.2">
      <c r="A14350" s="996" t="str">
        <f>CONCATENATE(Programme!D14351,Programme!E14351,Programme!F14351,Programme!G14351,Programme!H14351,Programme!I14351,Programme!J14351)</f>
        <v>&lt;valeur&gt;&lt;/valeur&gt;</v>
      </c>
    </row>
    <row r="14351" spans="1:1" x14ac:dyDescent="0.2">
      <c r="A14351" s="996" t="str">
        <f>CONCATENATE(Programme!D14352,Programme!E14352,Programme!F14352,Programme!G14352,Programme!H14352,Programme!I14352,Programme!J14352)</f>
        <v>&lt;numeroLigne&gt;124&lt;/numeroLigne&gt;</v>
      </c>
    </row>
    <row r="14352" spans="1:1" x14ac:dyDescent="0.2">
      <c r="A14352" s="996" t="str">
        <f>CONCATENATE(Programme!D14353,Programme!E14353,Programme!F14353,Programme!G14353,Programme!H14353,Programme!I14353,Programme!J14353)</f>
        <v>&lt;/ValeurCellule&gt;</v>
      </c>
    </row>
    <row r="14353" spans="1:1" x14ac:dyDescent="0.2">
      <c r="A14353" s="996" t="str">
        <f>CONCATENATE(Programme!D14354,Programme!E14354,Programme!F14354,Programme!G14354,Programme!H14354,Programme!I14354,Programme!J14354)</f>
        <v>&lt;ValeurCellule&gt;</v>
      </c>
    </row>
    <row r="14354" spans="1:1" x14ac:dyDescent="0.2">
      <c r="A14354" s="996" t="str">
        <f>CONCATENATE(Programme!D14355,Programme!E14355,Programme!F14355,Programme!G14355,Programme!H14355,Programme!I14355,Programme!J14355)</f>
        <v>&lt;cellule&gt;&lt;codeEdi&gt;1080&lt;/codeEdi&gt;&lt;/cellule&gt;</v>
      </c>
    </row>
    <row r="14355" spans="1:1" x14ac:dyDescent="0.2">
      <c r="A14355" s="996" t="str">
        <f>CONCATENATE(Programme!D14356,Programme!E14356,Programme!F14356,Programme!G14356,Programme!H14356,Programme!I14356,Programme!J14356)</f>
        <v>&lt;valeur&gt;&lt;/valeur&gt;</v>
      </c>
    </row>
    <row r="14356" spans="1:1" x14ac:dyDescent="0.2">
      <c r="A14356" s="996" t="str">
        <f>CONCATENATE(Programme!D14357,Programme!E14357,Programme!F14357,Programme!G14357,Programme!H14357,Programme!I14357,Programme!J14357)</f>
        <v>&lt;numeroLigne&gt;124&lt;/numeroLigne&gt;</v>
      </c>
    </row>
    <row r="14357" spans="1:1" x14ac:dyDescent="0.2">
      <c r="A14357" s="996" t="str">
        <f>CONCATENATE(Programme!D14358,Programme!E14358,Programme!F14358,Programme!G14358,Programme!H14358,Programme!I14358,Programme!J14358)</f>
        <v>&lt;/ValeurCellule&gt;</v>
      </c>
    </row>
    <row r="14358" spans="1:1" x14ac:dyDescent="0.2">
      <c r="A14358" s="996" t="str">
        <f>CONCATENATE(Programme!D14359,Programme!E14359,Programme!F14359,Programme!G14359,Programme!H14359,Programme!I14359,Programme!J14359)</f>
        <v>&lt;ValeurCellule&gt;</v>
      </c>
    </row>
    <row r="14359" spans="1:1" x14ac:dyDescent="0.2">
      <c r="A14359" s="996" t="str">
        <f>CONCATENATE(Programme!D14360,Programme!E14360,Programme!F14360,Programme!G14360,Programme!H14360,Programme!I14360,Programme!J14360)</f>
        <v>&lt;cellule&gt;&lt;codeEdi&gt;1081&lt;/codeEdi&gt;&lt;/cellule&gt;</v>
      </c>
    </row>
    <row r="14360" spans="1:1" x14ac:dyDescent="0.2">
      <c r="A14360" s="996" t="str">
        <f>CONCATENATE(Programme!D14361,Programme!E14361,Programme!F14361,Programme!G14361,Programme!H14361,Programme!I14361,Programme!J14361)</f>
        <v>&lt;valeur&gt;&lt;/valeur&gt;</v>
      </c>
    </row>
    <row r="14361" spans="1:1" x14ac:dyDescent="0.2">
      <c r="A14361" s="996" t="str">
        <f>CONCATENATE(Programme!D14362,Programme!E14362,Programme!F14362,Programme!G14362,Programme!H14362,Programme!I14362,Programme!J14362)</f>
        <v>&lt;numeroLigne&gt;124&lt;/numeroLigne&gt;</v>
      </c>
    </row>
    <row r="14362" spans="1:1" x14ac:dyDescent="0.2">
      <c r="A14362" s="996" t="str">
        <f>CONCATENATE(Programme!D14363,Programme!E14363,Programme!F14363,Programme!G14363,Programme!H14363,Programme!I14363,Programme!J14363)</f>
        <v>&lt;/ValeurCellule&gt;</v>
      </c>
    </row>
    <row r="14363" spans="1:1" x14ac:dyDescent="0.2">
      <c r="A14363" s="996" t="str">
        <f>CONCATENATE(Programme!D14364,Programme!E14364,Programme!F14364,Programme!G14364,Programme!H14364,Programme!I14364,Programme!J14364)</f>
        <v>&lt;ValeurCellule&gt;</v>
      </c>
    </row>
    <row r="14364" spans="1:1" x14ac:dyDescent="0.2">
      <c r="A14364" s="996" t="str">
        <f>CONCATENATE(Programme!D14365,Programme!E14365,Programme!F14365,Programme!G14365,Programme!H14365,Programme!I14365,Programme!J14365)</f>
        <v>&lt;cellule&gt;&lt;codeEdi&gt;1082&lt;/codeEdi&gt;&lt;/cellule&gt;</v>
      </c>
    </row>
    <row r="14365" spans="1:1" x14ac:dyDescent="0.2">
      <c r="A14365" s="996" t="str">
        <f>CONCATENATE(Programme!D14366,Programme!E14366,Programme!F14366,Programme!G14366,Programme!H14366,Programme!I14366,Programme!J14366)</f>
        <v>&lt;valeur&gt;&lt;/valeur&gt;</v>
      </c>
    </row>
    <row r="14366" spans="1:1" x14ac:dyDescent="0.2">
      <c r="A14366" s="996" t="str">
        <f>CONCATENATE(Programme!D14367,Programme!E14367,Programme!F14367,Programme!G14367,Programme!H14367,Programme!I14367,Programme!J14367)</f>
        <v>&lt;numeroLigne&gt;124&lt;/numeroLigne&gt;</v>
      </c>
    </row>
    <row r="14367" spans="1:1" x14ac:dyDescent="0.2">
      <c r="A14367" s="996" t="str">
        <f>CONCATENATE(Programme!D14368,Programme!E14368,Programme!F14368,Programme!G14368,Programme!H14368,Programme!I14368,Programme!J14368)</f>
        <v>&lt;/ValeurCellule&gt;</v>
      </c>
    </row>
    <row r="14368" spans="1:1" x14ac:dyDescent="0.2">
      <c r="A14368" s="996" t="str">
        <f>CONCATENATE(Programme!D14369,Programme!E14369,Programme!F14369,Programme!G14369,Programme!H14369,Programme!I14369,Programme!J14369)</f>
        <v>&lt;ValeurCellule&gt;</v>
      </c>
    </row>
    <row r="14369" spans="1:1" x14ac:dyDescent="0.2">
      <c r="A14369" s="996" t="str">
        <f>CONCATENATE(Programme!D14370,Programme!E14370,Programme!F14370,Programme!G14370,Programme!H14370,Programme!I14370,Programme!J14370)</f>
        <v>&lt;cellule&gt;&lt;codeEdi&gt;1083&lt;/codeEdi&gt;&lt;/cellule&gt;</v>
      </c>
    </row>
    <row r="14370" spans="1:1" x14ac:dyDescent="0.2">
      <c r="A14370" s="996" t="str">
        <f>CONCATENATE(Programme!D14371,Programme!E14371,Programme!F14371,Programme!G14371,Programme!H14371,Programme!I14371,Programme!J14371)</f>
        <v>&lt;valeur&gt;&lt;/valeur&gt;</v>
      </c>
    </row>
    <row r="14371" spans="1:1" x14ac:dyDescent="0.2">
      <c r="A14371" s="996" t="str">
        <f>CONCATENATE(Programme!D14372,Programme!E14372,Programme!F14372,Programme!G14372,Programme!H14372,Programme!I14372,Programme!J14372)</f>
        <v>&lt;numeroLigne&gt;124&lt;/numeroLigne&gt;</v>
      </c>
    </row>
    <row r="14372" spans="1:1" x14ac:dyDescent="0.2">
      <c r="A14372" s="996" t="str">
        <f>CONCATENATE(Programme!D14373,Programme!E14373,Programme!F14373,Programme!G14373,Programme!H14373,Programme!I14373,Programme!J14373)</f>
        <v>&lt;/ValeurCellule&gt;</v>
      </c>
    </row>
    <row r="14373" spans="1:1" x14ac:dyDescent="0.2">
      <c r="A14373" s="996" t="str">
        <f>CONCATENATE(Programme!D14374,Programme!E14374,Programme!F14374,Programme!G14374,Programme!H14374,Programme!I14374,Programme!J14374)</f>
        <v>&lt;ValeurCellule&gt;</v>
      </c>
    </row>
    <row r="14374" spans="1:1" x14ac:dyDescent="0.2">
      <c r="A14374" s="996" t="str">
        <f>CONCATENATE(Programme!D14375,Programme!E14375,Programme!F14375,Programme!G14375,Programme!H14375,Programme!I14375,Programme!J14375)</f>
        <v>&lt;cellule&gt;&lt;codeEdi&gt;1084&lt;/codeEdi&gt;&lt;/cellule&gt;</v>
      </c>
    </row>
    <row r="14375" spans="1:1" x14ac:dyDescent="0.2">
      <c r="A14375" s="996" t="str">
        <f>CONCATENATE(Programme!D14376,Programme!E14376,Programme!F14376,Programme!G14376,Programme!H14376,Programme!I14376,Programme!J14376)</f>
        <v>&lt;valeur&gt;&lt;/valeur&gt;</v>
      </c>
    </row>
    <row r="14376" spans="1:1" x14ac:dyDescent="0.2">
      <c r="A14376" s="996" t="str">
        <f>CONCATENATE(Programme!D14377,Programme!E14377,Programme!F14377,Programme!G14377,Programme!H14377,Programme!I14377,Programme!J14377)</f>
        <v>&lt;numeroLigne&gt;124&lt;/numeroLigne&gt;</v>
      </c>
    </row>
    <row r="14377" spans="1:1" x14ac:dyDescent="0.2">
      <c r="A14377" s="996" t="str">
        <f>CONCATENATE(Programme!D14378,Programme!E14378,Programme!F14378,Programme!G14378,Programme!H14378,Programme!I14378,Programme!J14378)</f>
        <v>&lt;/ValeurCellule&gt;</v>
      </c>
    </row>
    <row r="14378" spans="1:1" x14ac:dyDescent="0.2">
      <c r="A14378" s="996" t="str">
        <f>CONCATENATE(Programme!D14379,Programme!E14379,Programme!F14379,Programme!G14379,Programme!H14379,Programme!I14379,Programme!J14379)</f>
        <v>&lt;ValeurCellule&gt;</v>
      </c>
    </row>
    <row r="14379" spans="1:1" x14ac:dyDescent="0.2">
      <c r="A14379" s="996" t="str">
        <f>CONCATENATE(Programme!D14380,Programme!E14380,Programme!F14380,Programme!G14380,Programme!H14380,Programme!I14380,Programme!J14380)</f>
        <v>&lt;cellule&gt;&lt;codeEdi&gt;1085&lt;/codeEdi&gt;&lt;/cellule&gt;</v>
      </c>
    </row>
    <row r="14380" spans="1:1" x14ac:dyDescent="0.2">
      <c r="A14380" s="996" t="str">
        <f>CONCATENATE(Programme!D14381,Programme!E14381,Programme!F14381,Programme!G14381,Programme!H14381,Programme!I14381,Programme!J14381)</f>
        <v>&lt;valeur&gt;&lt;/valeur&gt;</v>
      </c>
    </row>
    <row r="14381" spans="1:1" x14ac:dyDescent="0.2">
      <c r="A14381" s="996" t="str">
        <f>CONCATENATE(Programme!D14382,Programme!E14382,Programme!F14382,Programme!G14382,Programme!H14382,Programme!I14382,Programme!J14382)</f>
        <v>&lt;numeroLigne&gt;124&lt;/numeroLigne&gt;</v>
      </c>
    </row>
    <row r="14382" spans="1:1" x14ac:dyDescent="0.2">
      <c r="A14382" s="996" t="str">
        <f>CONCATENATE(Programme!D14383,Programme!E14383,Programme!F14383,Programme!G14383,Programme!H14383,Programme!I14383,Programme!J14383)</f>
        <v>&lt;/ValeurCellule&gt;</v>
      </c>
    </row>
    <row r="14383" spans="1:1" x14ac:dyDescent="0.2">
      <c r="A14383" s="996" t="str">
        <f>CONCATENATE(Programme!D14384,Programme!E14384,Programme!F14384,Programme!G14384,Programme!H14384,Programme!I14384,Programme!J14384)</f>
        <v>&lt;ValeurCellule&gt;</v>
      </c>
    </row>
    <row r="14384" spans="1:1" x14ac:dyDescent="0.2">
      <c r="A14384" s="996" t="str">
        <f>CONCATENATE(Programme!D14385,Programme!E14385,Programme!F14385,Programme!G14385,Programme!H14385,Programme!I14385,Programme!J14385)</f>
        <v>&lt;cellule&gt;&lt;codeEdi&gt;1086&lt;/codeEdi&gt;&lt;/cellule&gt;</v>
      </c>
    </row>
    <row r="14385" spans="1:1" x14ac:dyDescent="0.2">
      <c r="A14385" s="996" t="str">
        <f>CONCATENATE(Programme!D14386,Programme!E14386,Programme!F14386,Programme!G14386,Programme!H14386,Programme!I14386,Programme!J14386)</f>
        <v>&lt;valeur&gt;&lt;/valeur&gt;</v>
      </c>
    </row>
    <row r="14386" spans="1:1" x14ac:dyDescent="0.2">
      <c r="A14386" s="996" t="str">
        <f>CONCATENATE(Programme!D14387,Programme!E14387,Programme!F14387,Programme!G14387,Programme!H14387,Programme!I14387,Programme!J14387)</f>
        <v>&lt;numeroLigne&gt;124&lt;/numeroLigne&gt;</v>
      </c>
    </row>
    <row r="14387" spans="1:1" x14ac:dyDescent="0.2">
      <c r="A14387" s="996" t="str">
        <f>CONCATENATE(Programme!D14388,Programme!E14388,Programme!F14388,Programme!G14388,Programme!H14388,Programme!I14388,Programme!J14388)</f>
        <v>&lt;/ValeurCellule&gt;</v>
      </c>
    </row>
    <row r="14388" spans="1:1" x14ac:dyDescent="0.2">
      <c r="A14388" s="996" t="str">
        <f>CONCATENATE(Programme!D14389,Programme!E14389,Programme!F14389,Programme!G14389,Programme!H14389,Programme!I14389,Programme!J14389)</f>
        <v>&lt;ValeurCellule&gt;</v>
      </c>
    </row>
    <row r="14389" spans="1:1" x14ac:dyDescent="0.2">
      <c r="A14389" s="996" t="str">
        <f>CONCATENATE(Programme!D14390,Programme!E14390,Programme!F14390,Programme!G14390,Programme!H14390,Programme!I14390,Programme!J14390)</f>
        <v>&lt;cellule&gt;&lt;codeEdi&gt;10061&lt;/codeEdi&gt;&lt;/cellule&gt;</v>
      </c>
    </row>
    <row r="14390" spans="1:1" x14ac:dyDescent="0.2">
      <c r="A14390" s="996" t="str">
        <f>CONCATENATE(Programme!D14391,Programme!E14391,Programme!F14391,Programme!G14391,Programme!H14391,Programme!I14391,Programme!J14391)</f>
        <v>&lt;valeur&gt;&lt;/valeur&gt;</v>
      </c>
    </row>
    <row r="14391" spans="1:1" x14ac:dyDescent="0.2">
      <c r="A14391" s="996" t="str">
        <f>CONCATENATE(Programme!D14392,Programme!E14392,Programme!F14392,Programme!G14392,Programme!H14392,Programme!I14392,Programme!J14392)</f>
        <v>&lt;numeroLigne&gt;125&lt;/numeroLigne&gt;</v>
      </c>
    </row>
    <row r="14392" spans="1:1" x14ac:dyDescent="0.2">
      <c r="A14392" s="996" t="str">
        <f>CONCATENATE(Programme!D14393,Programme!E14393,Programme!F14393,Programme!G14393,Programme!H14393,Programme!I14393,Programme!J14393)</f>
        <v>&lt;/ValeurCellule&gt;</v>
      </c>
    </row>
    <row r="14393" spans="1:1" x14ac:dyDescent="0.2">
      <c r="A14393" s="996" t="str">
        <f>CONCATENATE(Programme!D14394,Programme!E14394,Programme!F14394,Programme!G14394,Programme!H14394,Programme!I14394,Programme!J14394)</f>
        <v>&lt;ValeurCellule&gt;</v>
      </c>
    </row>
    <row r="14394" spans="1:1" x14ac:dyDescent="0.2">
      <c r="A14394" s="996" t="str">
        <f>CONCATENATE(Programme!D14395,Programme!E14395,Programme!F14395,Programme!G14395,Programme!H14395,Programme!I14395,Programme!J14395)</f>
        <v>&lt;cellule&gt;&lt;codeEdi&gt;1078&lt;/codeEdi&gt;&lt;/cellule&gt;</v>
      </c>
    </row>
    <row r="14395" spans="1:1" x14ac:dyDescent="0.2">
      <c r="A14395" s="996" t="str">
        <f>CONCATENATE(Programme!D14396,Programme!E14396,Programme!F14396,Programme!G14396,Programme!H14396,Programme!I14396,Programme!J14396)</f>
        <v>&lt;valeur&gt;&lt;/valeur&gt;</v>
      </c>
    </row>
    <row r="14396" spans="1:1" x14ac:dyDescent="0.2">
      <c r="A14396" s="996" t="str">
        <f>CONCATENATE(Programme!D14397,Programme!E14397,Programme!F14397,Programme!G14397,Programme!H14397,Programme!I14397,Programme!J14397)</f>
        <v>&lt;numeroLigne&gt;125&lt;/numeroLigne&gt;</v>
      </c>
    </row>
    <row r="14397" spans="1:1" x14ac:dyDescent="0.2">
      <c r="A14397" s="996" t="str">
        <f>CONCATENATE(Programme!D14398,Programme!E14398,Programme!F14398,Programme!G14398,Programme!H14398,Programme!I14398,Programme!J14398)</f>
        <v>&lt;/ValeurCellule&gt;</v>
      </c>
    </row>
    <row r="14398" spans="1:1" x14ac:dyDescent="0.2">
      <c r="A14398" s="996" t="str">
        <f>CONCATENATE(Programme!D14399,Programme!E14399,Programme!F14399,Programme!G14399,Programme!H14399,Programme!I14399,Programme!J14399)</f>
        <v>&lt;ValeurCellule&gt;</v>
      </c>
    </row>
    <row r="14399" spans="1:1" x14ac:dyDescent="0.2">
      <c r="A14399" s="996" t="str">
        <f>CONCATENATE(Programme!D14400,Programme!E14400,Programme!F14400,Programme!G14400,Programme!H14400,Programme!I14400,Programme!J14400)</f>
        <v>&lt;cellule&gt;&lt;codeEdi&gt;1079&lt;/codeEdi&gt;&lt;/cellule&gt;</v>
      </c>
    </row>
    <row r="14400" spans="1:1" x14ac:dyDescent="0.2">
      <c r="A14400" s="996" t="str">
        <f>CONCATENATE(Programme!D14401,Programme!E14401,Programme!F14401,Programme!G14401,Programme!H14401,Programme!I14401,Programme!J14401)</f>
        <v>&lt;valeur&gt;&lt;/valeur&gt;</v>
      </c>
    </row>
    <row r="14401" spans="1:1" x14ac:dyDescent="0.2">
      <c r="A14401" s="996" t="str">
        <f>CONCATENATE(Programme!D14402,Programme!E14402,Programme!F14402,Programme!G14402,Programme!H14402,Programme!I14402,Programme!J14402)</f>
        <v>&lt;numeroLigne&gt;125&lt;/numeroLigne&gt;</v>
      </c>
    </row>
    <row r="14402" spans="1:1" x14ac:dyDescent="0.2">
      <c r="A14402" s="996" t="str">
        <f>CONCATENATE(Programme!D14403,Programme!E14403,Programme!F14403,Programme!G14403,Programme!H14403,Programme!I14403,Programme!J14403)</f>
        <v>&lt;/ValeurCellule&gt;</v>
      </c>
    </row>
    <row r="14403" spans="1:1" x14ac:dyDescent="0.2">
      <c r="A14403" s="996" t="str">
        <f>CONCATENATE(Programme!D14404,Programme!E14404,Programme!F14404,Programme!G14404,Programme!H14404,Programme!I14404,Programme!J14404)</f>
        <v>&lt;ValeurCellule&gt;</v>
      </c>
    </row>
    <row r="14404" spans="1:1" x14ac:dyDescent="0.2">
      <c r="A14404" s="996" t="str">
        <f>CONCATENATE(Programme!D14405,Programme!E14405,Programme!F14405,Programme!G14405,Programme!H14405,Programme!I14405,Programme!J14405)</f>
        <v>&lt;cellule&gt;&lt;codeEdi&gt;1080&lt;/codeEdi&gt;&lt;/cellule&gt;</v>
      </c>
    </row>
    <row r="14405" spans="1:1" x14ac:dyDescent="0.2">
      <c r="A14405" s="996" t="str">
        <f>CONCATENATE(Programme!D14406,Programme!E14406,Programme!F14406,Programme!G14406,Programme!H14406,Programme!I14406,Programme!J14406)</f>
        <v>&lt;valeur&gt;&lt;/valeur&gt;</v>
      </c>
    </row>
    <row r="14406" spans="1:1" x14ac:dyDescent="0.2">
      <c r="A14406" s="996" t="str">
        <f>CONCATENATE(Programme!D14407,Programme!E14407,Programme!F14407,Programme!G14407,Programme!H14407,Programme!I14407,Programme!J14407)</f>
        <v>&lt;numeroLigne&gt;125&lt;/numeroLigne&gt;</v>
      </c>
    </row>
    <row r="14407" spans="1:1" x14ac:dyDescent="0.2">
      <c r="A14407" s="996" t="str">
        <f>CONCATENATE(Programme!D14408,Programme!E14408,Programme!F14408,Programme!G14408,Programme!H14408,Programme!I14408,Programme!J14408)</f>
        <v>&lt;/ValeurCellule&gt;</v>
      </c>
    </row>
    <row r="14408" spans="1:1" x14ac:dyDescent="0.2">
      <c r="A14408" s="996" t="str">
        <f>CONCATENATE(Programme!D14409,Programme!E14409,Programme!F14409,Programme!G14409,Programme!H14409,Programme!I14409,Programme!J14409)</f>
        <v>&lt;ValeurCellule&gt;</v>
      </c>
    </row>
    <row r="14409" spans="1:1" x14ac:dyDescent="0.2">
      <c r="A14409" s="996" t="str">
        <f>CONCATENATE(Programme!D14410,Programme!E14410,Programme!F14410,Programme!G14410,Programme!H14410,Programme!I14410,Programme!J14410)</f>
        <v>&lt;cellule&gt;&lt;codeEdi&gt;1081&lt;/codeEdi&gt;&lt;/cellule&gt;</v>
      </c>
    </row>
    <row r="14410" spans="1:1" x14ac:dyDescent="0.2">
      <c r="A14410" s="996" t="str">
        <f>CONCATENATE(Programme!D14411,Programme!E14411,Programme!F14411,Programme!G14411,Programme!H14411,Programme!I14411,Programme!J14411)</f>
        <v>&lt;valeur&gt;&lt;/valeur&gt;</v>
      </c>
    </row>
    <row r="14411" spans="1:1" x14ac:dyDescent="0.2">
      <c r="A14411" s="996" t="str">
        <f>CONCATENATE(Programme!D14412,Programme!E14412,Programme!F14412,Programme!G14412,Programme!H14412,Programme!I14412,Programme!J14412)</f>
        <v>&lt;numeroLigne&gt;125&lt;/numeroLigne&gt;</v>
      </c>
    </row>
    <row r="14412" spans="1:1" x14ac:dyDescent="0.2">
      <c r="A14412" s="996" t="str">
        <f>CONCATENATE(Programme!D14413,Programme!E14413,Programme!F14413,Programme!G14413,Programme!H14413,Programme!I14413,Programme!J14413)</f>
        <v>&lt;/ValeurCellule&gt;</v>
      </c>
    </row>
    <row r="14413" spans="1:1" x14ac:dyDescent="0.2">
      <c r="A14413" s="996" t="str">
        <f>CONCATENATE(Programme!D14414,Programme!E14414,Programme!F14414,Programme!G14414,Programme!H14414,Programme!I14414,Programme!J14414)</f>
        <v>&lt;ValeurCellule&gt;</v>
      </c>
    </row>
    <row r="14414" spans="1:1" x14ac:dyDescent="0.2">
      <c r="A14414" s="996" t="str">
        <f>CONCATENATE(Programme!D14415,Programme!E14415,Programme!F14415,Programme!G14415,Programme!H14415,Programme!I14415,Programme!J14415)</f>
        <v>&lt;cellule&gt;&lt;codeEdi&gt;1082&lt;/codeEdi&gt;&lt;/cellule&gt;</v>
      </c>
    </row>
    <row r="14415" spans="1:1" x14ac:dyDescent="0.2">
      <c r="A14415" s="996" t="str">
        <f>CONCATENATE(Programme!D14416,Programme!E14416,Programme!F14416,Programme!G14416,Programme!H14416,Programme!I14416,Programme!J14416)</f>
        <v>&lt;valeur&gt;&lt;/valeur&gt;</v>
      </c>
    </row>
    <row r="14416" spans="1:1" x14ac:dyDescent="0.2">
      <c r="A14416" s="996" t="str">
        <f>CONCATENATE(Programme!D14417,Programme!E14417,Programme!F14417,Programme!G14417,Programme!H14417,Programme!I14417,Programme!J14417)</f>
        <v>&lt;numeroLigne&gt;125&lt;/numeroLigne&gt;</v>
      </c>
    </row>
    <row r="14417" spans="1:1" x14ac:dyDescent="0.2">
      <c r="A14417" s="996" t="str">
        <f>CONCATENATE(Programme!D14418,Programme!E14418,Programme!F14418,Programme!G14418,Programme!H14418,Programme!I14418,Programme!J14418)</f>
        <v>&lt;/ValeurCellule&gt;</v>
      </c>
    </row>
    <row r="14418" spans="1:1" x14ac:dyDescent="0.2">
      <c r="A14418" s="996" t="str">
        <f>CONCATENATE(Programme!D14419,Programme!E14419,Programme!F14419,Programme!G14419,Programme!H14419,Programme!I14419,Programme!J14419)</f>
        <v>&lt;ValeurCellule&gt;</v>
      </c>
    </row>
    <row r="14419" spans="1:1" x14ac:dyDescent="0.2">
      <c r="A14419" s="996" t="str">
        <f>CONCATENATE(Programme!D14420,Programme!E14420,Programme!F14420,Programme!G14420,Programme!H14420,Programme!I14420,Programme!J14420)</f>
        <v>&lt;cellule&gt;&lt;codeEdi&gt;1083&lt;/codeEdi&gt;&lt;/cellule&gt;</v>
      </c>
    </row>
    <row r="14420" spans="1:1" x14ac:dyDescent="0.2">
      <c r="A14420" s="996" t="str">
        <f>CONCATENATE(Programme!D14421,Programme!E14421,Programme!F14421,Programme!G14421,Programme!H14421,Programme!I14421,Programme!J14421)</f>
        <v>&lt;valeur&gt;&lt;/valeur&gt;</v>
      </c>
    </row>
    <row r="14421" spans="1:1" x14ac:dyDescent="0.2">
      <c r="A14421" s="996" t="str">
        <f>CONCATENATE(Programme!D14422,Programme!E14422,Programme!F14422,Programme!G14422,Programme!H14422,Programme!I14422,Programme!J14422)</f>
        <v>&lt;numeroLigne&gt;125&lt;/numeroLigne&gt;</v>
      </c>
    </row>
    <row r="14422" spans="1:1" x14ac:dyDescent="0.2">
      <c r="A14422" s="996" t="str">
        <f>CONCATENATE(Programme!D14423,Programme!E14423,Programme!F14423,Programme!G14423,Programme!H14423,Programme!I14423,Programme!J14423)</f>
        <v>&lt;/ValeurCellule&gt;</v>
      </c>
    </row>
    <row r="14423" spans="1:1" x14ac:dyDescent="0.2">
      <c r="A14423" s="996" t="str">
        <f>CONCATENATE(Programme!D14424,Programme!E14424,Programme!F14424,Programme!G14424,Programme!H14424,Programme!I14424,Programme!J14424)</f>
        <v>&lt;ValeurCellule&gt;</v>
      </c>
    </row>
    <row r="14424" spans="1:1" x14ac:dyDescent="0.2">
      <c r="A14424" s="996" t="str">
        <f>CONCATENATE(Programme!D14425,Programme!E14425,Programme!F14425,Programme!G14425,Programme!H14425,Programme!I14425,Programme!J14425)</f>
        <v>&lt;cellule&gt;&lt;codeEdi&gt;1084&lt;/codeEdi&gt;&lt;/cellule&gt;</v>
      </c>
    </row>
    <row r="14425" spans="1:1" x14ac:dyDescent="0.2">
      <c r="A14425" s="996" t="str">
        <f>CONCATENATE(Programme!D14426,Programme!E14426,Programme!F14426,Programme!G14426,Programme!H14426,Programme!I14426,Programme!J14426)</f>
        <v>&lt;valeur&gt;&lt;/valeur&gt;</v>
      </c>
    </row>
    <row r="14426" spans="1:1" x14ac:dyDescent="0.2">
      <c r="A14426" s="996" t="str">
        <f>CONCATENATE(Programme!D14427,Programme!E14427,Programme!F14427,Programme!G14427,Programme!H14427,Programme!I14427,Programme!J14427)</f>
        <v>&lt;numeroLigne&gt;125&lt;/numeroLigne&gt;</v>
      </c>
    </row>
    <row r="14427" spans="1:1" x14ac:dyDescent="0.2">
      <c r="A14427" s="996" t="str">
        <f>CONCATENATE(Programme!D14428,Programme!E14428,Programme!F14428,Programme!G14428,Programme!H14428,Programme!I14428,Programme!J14428)</f>
        <v>&lt;/ValeurCellule&gt;</v>
      </c>
    </row>
    <row r="14428" spans="1:1" x14ac:dyDescent="0.2">
      <c r="A14428" s="996" t="str">
        <f>CONCATENATE(Programme!D14429,Programme!E14429,Programme!F14429,Programme!G14429,Programme!H14429,Programme!I14429,Programme!J14429)</f>
        <v>&lt;ValeurCellule&gt;</v>
      </c>
    </row>
    <row r="14429" spans="1:1" x14ac:dyDescent="0.2">
      <c r="A14429" s="996" t="str">
        <f>CONCATENATE(Programme!D14430,Programme!E14430,Programme!F14430,Programme!G14430,Programme!H14430,Programme!I14430,Programme!J14430)</f>
        <v>&lt;cellule&gt;&lt;codeEdi&gt;1085&lt;/codeEdi&gt;&lt;/cellule&gt;</v>
      </c>
    </row>
    <row r="14430" spans="1:1" x14ac:dyDescent="0.2">
      <c r="A14430" s="996" t="str">
        <f>CONCATENATE(Programme!D14431,Programme!E14431,Programme!F14431,Programme!G14431,Programme!H14431,Programme!I14431,Programme!J14431)</f>
        <v>&lt;valeur&gt;&lt;/valeur&gt;</v>
      </c>
    </row>
    <row r="14431" spans="1:1" x14ac:dyDescent="0.2">
      <c r="A14431" s="996" t="str">
        <f>CONCATENATE(Programme!D14432,Programme!E14432,Programme!F14432,Programme!G14432,Programme!H14432,Programme!I14432,Programme!J14432)</f>
        <v>&lt;numeroLigne&gt;125&lt;/numeroLigne&gt;</v>
      </c>
    </row>
    <row r="14432" spans="1:1" x14ac:dyDescent="0.2">
      <c r="A14432" s="996" t="str">
        <f>CONCATENATE(Programme!D14433,Programme!E14433,Programme!F14433,Programme!G14433,Programme!H14433,Programme!I14433,Programme!J14433)</f>
        <v>&lt;/ValeurCellule&gt;</v>
      </c>
    </row>
    <row r="14433" spans="1:1" x14ac:dyDescent="0.2">
      <c r="A14433" s="996" t="str">
        <f>CONCATENATE(Programme!D14434,Programme!E14434,Programme!F14434,Programme!G14434,Programme!H14434,Programme!I14434,Programme!J14434)</f>
        <v>&lt;ValeurCellule&gt;</v>
      </c>
    </row>
    <row r="14434" spans="1:1" x14ac:dyDescent="0.2">
      <c r="A14434" s="996" t="str">
        <f>CONCATENATE(Programme!D14435,Programme!E14435,Programme!F14435,Programme!G14435,Programme!H14435,Programme!I14435,Programme!J14435)</f>
        <v>&lt;cellule&gt;&lt;codeEdi&gt;1086&lt;/codeEdi&gt;&lt;/cellule&gt;</v>
      </c>
    </row>
    <row r="14435" spans="1:1" x14ac:dyDescent="0.2">
      <c r="A14435" s="996" t="str">
        <f>CONCATENATE(Programme!D14436,Programme!E14436,Programme!F14436,Programme!G14436,Programme!H14436,Programme!I14436,Programme!J14436)</f>
        <v>&lt;valeur&gt;&lt;/valeur&gt;</v>
      </c>
    </row>
    <row r="14436" spans="1:1" x14ac:dyDescent="0.2">
      <c r="A14436" s="996" t="str">
        <f>CONCATENATE(Programme!D14437,Programme!E14437,Programme!F14437,Programme!G14437,Programme!H14437,Programme!I14437,Programme!J14437)</f>
        <v>&lt;numeroLigne&gt;125&lt;/numeroLigne&gt;</v>
      </c>
    </row>
    <row r="14437" spans="1:1" x14ac:dyDescent="0.2">
      <c r="A14437" s="996" t="str">
        <f>CONCATENATE(Programme!D14438,Programme!E14438,Programme!F14438,Programme!G14438,Programme!H14438,Programme!I14438,Programme!J14438)</f>
        <v>&lt;/ValeurCellule&gt;</v>
      </c>
    </row>
    <row r="14438" spans="1:1" x14ac:dyDescent="0.2">
      <c r="A14438" s="996" t="str">
        <f>CONCATENATE(Programme!D14439,Programme!E14439,Programme!F14439,Programme!G14439,Programme!H14439,Programme!I14439,Programme!J14439)</f>
        <v>&lt;ValeurCellule&gt;</v>
      </c>
    </row>
    <row r="14439" spans="1:1" x14ac:dyDescent="0.2">
      <c r="A14439" s="996" t="str">
        <f>CONCATENATE(Programme!D14440,Programme!E14440,Programme!F14440,Programme!G14440,Programme!H14440,Programme!I14440,Programme!J14440)</f>
        <v>&lt;cellule&gt;&lt;codeEdi&gt;10061&lt;/codeEdi&gt;&lt;/cellule&gt;</v>
      </c>
    </row>
    <row r="14440" spans="1:1" x14ac:dyDescent="0.2">
      <c r="A14440" s="996" t="str">
        <f>CONCATENATE(Programme!D14441,Programme!E14441,Programme!F14441,Programme!G14441,Programme!H14441,Programme!I14441,Programme!J14441)</f>
        <v>&lt;valeur&gt;&lt;/valeur&gt;</v>
      </c>
    </row>
    <row r="14441" spans="1:1" x14ac:dyDescent="0.2">
      <c r="A14441" s="996" t="str">
        <f>CONCATENATE(Programme!D14442,Programme!E14442,Programme!F14442,Programme!G14442,Programme!H14442,Programme!I14442,Programme!J14442)</f>
        <v>&lt;numeroLigne&gt;126&lt;/numeroLigne&gt;</v>
      </c>
    </row>
    <row r="14442" spans="1:1" x14ac:dyDescent="0.2">
      <c r="A14442" s="996" t="str">
        <f>CONCATENATE(Programme!D14443,Programme!E14443,Programme!F14443,Programme!G14443,Programme!H14443,Programme!I14443,Programme!J14443)</f>
        <v>&lt;/ValeurCellule&gt;</v>
      </c>
    </row>
    <row r="14443" spans="1:1" x14ac:dyDescent="0.2">
      <c r="A14443" s="996" t="str">
        <f>CONCATENATE(Programme!D14444,Programme!E14444,Programme!F14444,Programme!G14444,Programme!H14444,Programme!I14444,Programme!J14444)</f>
        <v>&lt;ValeurCellule&gt;</v>
      </c>
    </row>
    <row r="14444" spans="1:1" x14ac:dyDescent="0.2">
      <c r="A14444" s="996" t="str">
        <f>CONCATENATE(Programme!D14445,Programme!E14445,Programme!F14445,Programme!G14445,Programme!H14445,Programme!I14445,Programme!J14445)</f>
        <v>&lt;cellule&gt;&lt;codeEdi&gt;1078&lt;/codeEdi&gt;&lt;/cellule&gt;</v>
      </c>
    </row>
    <row r="14445" spans="1:1" x14ac:dyDescent="0.2">
      <c r="A14445" s="996" t="str">
        <f>CONCATENATE(Programme!D14446,Programme!E14446,Programme!F14446,Programme!G14446,Programme!H14446,Programme!I14446,Programme!J14446)</f>
        <v>&lt;valeur&gt;&lt;/valeur&gt;</v>
      </c>
    </row>
    <row r="14446" spans="1:1" x14ac:dyDescent="0.2">
      <c r="A14446" s="996" t="str">
        <f>CONCATENATE(Programme!D14447,Programme!E14447,Programme!F14447,Programme!G14447,Programme!H14447,Programme!I14447,Programme!J14447)</f>
        <v>&lt;numeroLigne&gt;126&lt;/numeroLigne&gt;</v>
      </c>
    </row>
    <row r="14447" spans="1:1" x14ac:dyDescent="0.2">
      <c r="A14447" s="996" t="str">
        <f>CONCATENATE(Programme!D14448,Programme!E14448,Programme!F14448,Programme!G14448,Programme!H14448,Programme!I14448,Programme!J14448)</f>
        <v>&lt;/ValeurCellule&gt;</v>
      </c>
    </row>
    <row r="14448" spans="1:1" x14ac:dyDescent="0.2">
      <c r="A14448" s="996" t="str">
        <f>CONCATENATE(Programme!D14449,Programme!E14449,Programme!F14449,Programme!G14449,Programme!H14449,Programme!I14449,Programme!J14449)</f>
        <v>&lt;ValeurCellule&gt;</v>
      </c>
    </row>
    <row r="14449" spans="1:1" x14ac:dyDescent="0.2">
      <c r="A14449" s="996" t="str">
        <f>CONCATENATE(Programme!D14450,Programme!E14450,Programme!F14450,Programme!G14450,Programme!H14450,Programme!I14450,Programme!J14450)</f>
        <v>&lt;cellule&gt;&lt;codeEdi&gt;1079&lt;/codeEdi&gt;&lt;/cellule&gt;</v>
      </c>
    </row>
    <row r="14450" spans="1:1" x14ac:dyDescent="0.2">
      <c r="A14450" s="996" t="str">
        <f>CONCATENATE(Programme!D14451,Programme!E14451,Programme!F14451,Programme!G14451,Programme!H14451,Programme!I14451,Programme!J14451)</f>
        <v>&lt;valeur&gt;&lt;/valeur&gt;</v>
      </c>
    </row>
    <row r="14451" spans="1:1" x14ac:dyDescent="0.2">
      <c r="A14451" s="996" t="str">
        <f>CONCATENATE(Programme!D14452,Programme!E14452,Programme!F14452,Programme!G14452,Programme!H14452,Programme!I14452,Programme!J14452)</f>
        <v>&lt;numeroLigne&gt;126&lt;/numeroLigne&gt;</v>
      </c>
    </row>
    <row r="14452" spans="1:1" x14ac:dyDescent="0.2">
      <c r="A14452" s="996" t="str">
        <f>CONCATENATE(Programme!D14453,Programme!E14453,Programme!F14453,Programme!G14453,Programme!H14453,Programme!I14453,Programme!J14453)</f>
        <v>&lt;/ValeurCellule&gt;</v>
      </c>
    </row>
    <row r="14453" spans="1:1" x14ac:dyDescent="0.2">
      <c r="A14453" s="996" t="str">
        <f>CONCATENATE(Programme!D14454,Programme!E14454,Programme!F14454,Programme!G14454,Programme!H14454,Programme!I14454,Programme!J14454)</f>
        <v>&lt;ValeurCellule&gt;</v>
      </c>
    </row>
    <row r="14454" spans="1:1" x14ac:dyDescent="0.2">
      <c r="A14454" s="996" t="str">
        <f>CONCATENATE(Programme!D14455,Programme!E14455,Programme!F14455,Programme!G14455,Programme!H14455,Programme!I14455,Programme!J14455)</f>
        <v>&lt;cellule&gt;&lt;codeEdi&gt;1080&lt;/codeEdi&gt;&lt;/cellule&gt;</v>
      </c>
    </row>
    <row r="14455" spans="1:1" x14ac:dyDescent="0.2">
      <c r="A14455" s="996" t="str">
        <f>CONCATENATE(Programme!D14456,Programme!E14456,Programme!F14456,Programme!G14456,Programme!H14456,Programme!I14456,Programme!J14456)</f>
        <v>&lt;valeur&gt;&lt;/valeur&gt;</v>
      </c>
    </row>
    <row r="14456" spans="1:1" x14ac:dyDescent="0.2">
      <c r="A14456" s="996" t="str">
        <f>CONCATENATE(Programme!D14457,Programme!E14457,Programme!F14457,Programme!G14457,Programme!H14457,Programme!I14457,Programme!J14457)</f>
        <v>&lt;numeroLigne&gt;126&lt;/numeroLigne&gt;</v>
      </c>
    </row>
    <row r="14457" spans="1:1" x14ac:dyDescent="0.2">
      <c r="A14457" s="996" t="str">
        <f>CONCATENATE(Programme!D14458,Programme!E14458,Programme!F14458,Programme!G14458,Programme!H14458,Programme!I14458,Programme!J14458)</f>
        <v>&lt;/ValeurCellule&gt;</v>
      </c>
    </row>
    <row r="14458" spans="1:1" x14ac:dyDescent="0.2">
      <c r="A14458" s="996" t="str">
        <f>CONCATENATE(Programme!D14459,Programme!E14459,Programme!F14459,Programme!G14459,Programme!H14459,Programme!I14459,Programme!J14459)</f>
        <v>&lt;ValeurCellule&gt;</v>
      </c>
    </row>
    <row r="14459" spans="1:1" x14ac:dyDescent="0.2">
      <c r="A14459" s="996" t="str">
        <f>CONCATENATE(Programme!D14460,Programme!E14460,Programme!F14460,Programme!G14460,Programme!H14460,Programme!I14460,Programme!J14460)</f>
        <v>&lt;cellule&gt;&lt;codeEdi&gt;1081&lt;/codeEdi&gt;&lt;/cellule&gt;</v>
      </c>
    </row>
    <row r="14460" spans="1:1" x14ac:dyDescent="0.2">
      <c r="A14460" s="996" t="str">
        <f>CONCATENATE(Programme!D14461,Programme!E14461,Programme!F14461,Programme!G14461,Programme!H14461,Programme!I14461,Programme!J14461)</f>
        <v>&lt;valeur&gt;&lt;/valeur&gt;</v>
      </c>
    </row>
    <row r="14461" spans="1:1" x14ac:dyDescent="0.2">
      <c r="A14461" s="996" t="str">
        <f>CONCATENATE(Programme!D14462,Programme!E14462,Programme!F14462,Programme!G14462,Programme!H14462,Programme!I14462,Programme!J14462)</f>
        <v>&lt;numeroLigne&gt;126&lt;/numeroLigne&gt;</v>
      </c>
    </row>
    <row r="14462" spans="1:1" x14ac:dyDescent="0.2">
      <c r="A14462" s="996" t="str">
        <f>CONCATENATE(Programme!D14463,Programme!E14463,Programme!F14463,Programme!G14463,Programme!H14463,Programme!I14463,Programme!J14463)</f>
        <v>&lt;/ValeurCellule&gt;</v>
      </c>
    </row>
    <row r="14463" spans="1:1" x14ac:dyDescent="0.2">
      <c r="A14463" s="996" t="str">
        <f>CONCATENATE(Programme!D14464,Programme!E14464,Programme!F14464,Programme!G14464,Programme!H14464,Programme!I14464,Programme!J14464)</f>
        <v>&lt;ValeurCellule&gt;</v>
      </c>
    </row>
    <row r="14464" spans="1:1" x14ac:dyDescent="0.2">
      <c r="A14464" s="996" t="str">
        <f>CONCATENATE(Programme!D14465,Programme!E14465,Programme!F14465,Programme!G14465,Programme!H14465,Programme!I14465,Programme!J14465)</f>
        <v>&lt;cellule&gt;&lt;codeEdi&gt;1082&lt;/codeEdi&gt;&lt;/cellule&gt;</v>
      </c>
    </row>
    <row r="14465" spans="1:1" x14ac:dyDescent="0.2">
      <c r="A14465" s="996" t="str">
        <f>CONCATENATE(Programme!D14466,Programme!E14466,Programme!F14466,Programme!G14466,Programme!H14466,Programme!I14466,Programme!J14466)</f>
        <v>&lt;valeur&gt;&lt;/valeur&gt;</v>
      </c>
    </row>
    <row r="14466" spans="1:1" x14ac:dyDescent="0.2">
      <c r="A14466" s="996" t="str">
        <f>CONCATENATE(Programme!D14467,Programme!E14467,Programme!F14467,Programme!G14467,Programme!H14467,Programme!I14467,Programme!J14467)</f>
        <v>&lt;numeroLigne&gt;126&lt;/numeroLigne&gt;</v>
      </c>
    </row>
    <row r="14467" spans="1:1" x14ac:dyDescent="0.2">
      <c r="A14467" s="996" t="str">
        <f>CONCATENATE(Programme!D14468,Programme!E14468,Programme!F14468,Programme!G14468,Programme!H14468,Programme!I14468,Programme!J14468)</f>
        <v>&lt;/ValeurCellule&gt;</v>
      </c>
    </row>
    <row r="14468" spans="1:1" x14ac:dyDescent="0.2">
      <c r="A14468" s="996" t="str">
        <f>CONCATENATE(Programme!D14469,Programme!E14469,Programme!F14469,Programme!G14469,Programme!H14469,Programme!I14469,Programme!J14469)</f>
        <v>&lt;ValeurCellule&gt;</v>
      </c>
    </row>
    <row r="14469" spans="1:1" x14ac:dyDescent="0.2">
      <c r="A14469" s="996" t="str">
        <f>CONCATENATE(Programme!D14470,Programme!E14470,Programme!F14470,Programme!G14470,Programme!H14470,Programme!I14470,Programme!J14470)</f>
        <v>&lt;cellule&gt;&lt;codeEdi&gt;1083&lt;/codeEdi&gt;&lt;/cellule&gt;</v>
      </c>
    </row>
    <row r="14470" spans="1:1" x14ac:dyDescent="0.2">
      <c r="A14470" s="996" t="str">
        <f>CONCATENATE(Programme!D14471,Programme!E14471,Programme!F14471,Programme!G14471,Programme!H14471,Programme!I14471,Programme!J14471)</f>
        <v>&lt;valeur&gt;&lt;/valeur&gt;</v>
      </c>
    </row>
    <row r="14471" spans="1:1" x14ac:dyDescent="0.2">
      <c r="A14471" s="996" t="str">
        <f>CONCATENATE(Programme!D14472,Programme!E14472,Programme!F14472,Programme!G14472,Programme!H14472,Programme!I14472,Programme!J14472)</f>
        <v>&lt;numeroLigne&gt;126&lt;/numeroLigne&gt;</v>
      </c>
    </row>
    <row r="14472" spans="1:1" x14ac:dyDescent="0.2">
      <c r="A14472" s="996" t="str">
        <f>CONCATENATE(Programme!D14473,Programme!E14473,Programme!F14473,Programme!G14473,Programme!H14473,Programme!I14473,Programme!J14473)</f>
        <v>&lt;/ValeurCellule&gt;</v>
      </c>
    </row>
    <row r="14473" spans="1:1" x14ac:dyDescent="0.2">
      <c r="A14473" s="996" t="str">
        <f>CONCATENATE(Programme!D14474,Programme!E14474,Programme!F14474,Programme!G14474,Programme!H14474,Programme!I14474,Programme!J14474)</f>
        <v>&lt;ValeurCellule&gt;</v>
      </c>
    </row>
    <row r="14474" spans="1:1" x14ac:dyDescent="0.2">
      <c r="A14474" s="996" t="str">
        <f>CONCATENATE(Programme!D14475,Programme!E14475,Programme!F14475,Programme!G14475,Programme!H14475,Programme!I14475,Programme!J14475)</f>
        <v>&lt;cellule&gt;&lt;codeEdi&gt;1084&lt;/codeEdi&gt;&lt;/cellule&gt;</v>
      </c>
    </row>
    <row r="14475" spans="1:1" x14ac:dyDescent="0.2">
      <c r="A14475" s="996" t="str">
        <f>CONCATENATE(Programme!D14476,Programme!E14476,Programme!F14476,Programme!G14476,Programme!H14476,Programme!I14476,Programme!J14476)</f>
        <v>&lt;valeur&gt;&lt;/valeur&gt;</v>
      </c>
    </row>
    <row r="14476" spans="1:1" x14ac:dyDescent="0.2">
      <c r="A14476" s="996" t="str">
        <f>CONCATENATE(Programme!D14477,Programme!E14477,Programme!F14477,Programme!G14477,Programme!H14477,Programme!I14477,Programme!J14477)</f>
        <v>&lt;numeroLigne&gt;126&lt;/numeroLigne&gt;</v>
      </c>
    </row>
    <row r="14477" spans="1:1" x14ac:dyDescent="0.2">
      <c r="A14477" s="996" t="str">
        <f>CONCATENATE(Programme!D14478,Programme!E14478,Programme!F14478,Programme!G14478,Programme!H14478,Programme!I14478,Programme!J14478)</f>
        <v>&lt;/ValeurCellule&gt;</v>
      </c>
    </row>
    <row r="14478" spans="1:1" x14ac:dyDescent="0.2">
      <c r="A14478" s="996" t="str">
        <f>CONCATENATE(Programme!D14479,Programme!E14479,Programme!F14479,Programme!G14479,Programme!H14479,Programme!I14479,Programme!J14479)</f>
        <v>&lt;ValeurCellule&gt;</v>
      </c>
    </row>
    <row r="14479" spans="1:1" x14ac:dyDescent="0.2">
      <c r="A14479" s="996" t="str">
        <f>CONCATENATE(Programme!D14480,Programme!E14480,Programme!F14480,Programme!G14480,Programme!H14480,Programme!I14480,Programme!J14480)</f>
        <v>&lt;cellule&gt;&lt;codeEdi&gt;1085&lt;/codeEdi&gt;&lt;/cellule&gt;</v>
      </c>
    </row>
    <row r="14480" spans="1:1" x14ac:dyDescent="0.2">
      <c r="A14480" s="996" t="str">
        <f>CONCATENATE(Programme!D14481,Programme!E14481,Programme!F14481,Programme!G14481,Programme!H14481,Programme!I14481,Programme!J14481)</f>
        <v>&lt;valeur&gt;&lt;/valeur&gt;</v>
      </c>
    </row>
    <row r="14481" spans="1:1" x14ac:dyDescent="0.2">
      <c r="A14481" s="996" t="str">
        <f>CONCATENATE(Programme!D14482,Programme!E14482,Programme!F14482,Programme!G14482,Programme!H14482,Programme!I14482,Programme!J14482)</f>
        <v>&lt;numeroLigne&gt;126&lt;/numeroLigne&gt;</v>
      </c>
    </row>
    <row r="14482" spans="1:1" x14ac:dyDescent="0.2">
      <c r="A14482" s="996" t="str">
        <f>CONCATENATE(Programme!D14483,Programme!E14483,Programme!F14483,Programme!G14483,Programme!H14483,Programme!I14483,Programme!J14483)</f>
        <v>&lt;/ValeurCellule&gt;</v>
      </c>
    </row>
    <row r="14483" spans="1:1" x14ac:dyDescent="0.2">
      <c r="A14483" s="996" t="str">
        <f>CONCATENATE(Programme!D14484,Programme!E14484,Programme!F14484,Programme!G14484,Programme!H14484,Programme!I14484,Programme!J14484)</f>
        <v>&lt;ValeurCellule&gt;</v>
      </c>
    </row>
    <row r="14484" spans="1:1" x14ac:dyDescent="0.2">
      <c r="A14484" s="996" t="str">
        <f>CONCATENATE(Programme!D14485,Programme!E14485,Programme!F14485,Programme!G14485,Programme!H14485,Programme!I14485,Programme!J14485)</f>
        <v>&lt;cellule&gt;&lt;codeEdi&gt;1086&lt;/codeEdi&gt;&lt;/cellule&gt;</v>
      </c>
    </row>
    <row r="14485" spans="1:1" x14ac:dyDescent="0.2">
      <c r="A14485" s="996" t="str">
        <f>CONCATENATE(Programme!D14486,Programme!E14486,Programme!F14486,Programme!G14486,Programme!H14486,Programme!I14486,Programme!J14486)</f>
        <v>&lt;valeur&gt;&lt;/valeur&gt;</v>
      </c>
    </row>
    <row r="14486" spans="1:1" x14ac:dyDescent="0.2">
      <c r="A14486" s="996" t="str">
        <f>CONCATENATE(Programme!D14487,Programme!E14487,Programme!F14487,Programme!G14487,Programme!H14487,Programme!I14487,Programme!J14487)</f>
        <v>&lt;numeroLigne&gt;126&lt;/numeroLigne&gt;</v>
      </c>
    </row>
    <row r="14487" spans="1:1" x14ac:dyDescent="0.2">
      <c r="A14487" s="996" t="str">
        <f>CONCATENATE(Programme!D14488,Programme!E14488,Programme!F14488,Programme!G14488,Programme!H14488,Programme!I14488,Programme!J14488)</f>
        <v>&lt;/ValeurCellule&gt;</v>
      </c>
    </row>
    <row r="14488" spans="1:1" x14ac:dyDescent="0.2">
      <c r="A14488" s="996" t="str">
        <f>CONCATENATE(Programme!D14489,Programme!E14489,Programme!F14489,Programme!G14489,Programme!H14489,Programme!I14489,Programme!J14489)</f>
        <v>&lt;ValeurCellule&gt;</v>
      </c>
    </row>
    <row r="14489" spans="1:1" x14ac:dyDescent="0.2">
      <c r="A14489" s="996" t="str">
        <f>CONCATENATE(Programme!D14490,Programme!E14490,Programme!F14490,Programme!G14490,Programme!H14490,Programme!I14490,Programme!J14490)</f>
        <v>&lt;cellule&gt;&lt;codeEdi&gt;10061&lt;/codeEdi&gt;&lt;/cellule&gt;</v>
      </c>
    </row>
    <row r="14490" spans="1:1" x14ac:dyDescent="0.2">
      <c r="A14490" s="996" t="str">
        <f>CONCATENATE(Programme!D14491,Programme!E14491,Programme!F14491,Programme!G14491,Programme!H14491,Programme!I14491,Programme!J14491)</f>
        <v>&lt;valeur&gt;&lt;/valeur&gt;</v>
      </c>
    </row>
    <row r="14491" spans="1:1" x14ac:dyDescent="0.2">
      <c r="A14491" s="996" t="str">
        <f>CONCATENATE(Programme!D14492,Programme!E14492,Programme!F14492,Programme!G14492,Programme!H14492,Programme!I14492,Programme!J14492)</f>
        <v>&lt;numeroLigne&gt;127&lt;/numeroLigne&gt;</v>
      </c>
    </row>
    <row r="14492" spans="1:1" x14ac:dyDescent="0.2">
      <c r="A14492" s="996" t="str">
        <f>CONCATENATE(Programme!D14493,Programme!E14493,Programme!F14493,Programme!G14493,Programme!H14493,Programme!I14493,Programme!J14493)</f>
        <v>&lt;/ValeurCellule&gt;</v>
      </c>
    </row>
    <row r="14493" spans="1:1" x14ac:dyDescent="0.2">
      <c r="A14493" s="996" t="str">
        <f>CONCATENATE(Programme!D14494,Programme!E14494,Programme!F14494,Programme!G14494,Programme!H14494,Programme!I14494,Programme!J14494)</f>
        <v>&lt;ValeurCellule&gt;</v>
      </c>
    </row>
    <row r="14494" spans="1:1" x14ac:dyDescent="0.2">
      <c r="A14494" s="996" t="str">
        <f>CONCATENATE(Programme!D14495,Programme!E14495,Programme!F14495,Programme!G14495,Programme!H14495,Programme!I14495,Programme!J14495)</f>
        <v>&lt;cellule&gt;&lt;codeEdi&gt;1078&lt;/codeEdi&gt;&lt;/cellule&gt;</v>
      </c>
    </row>
    <row r="14495" spans="1:1" x14ac:dyDescent="0.2">
      <c r="A14495" s="996" t="str">
        <f>CONCATENATE(Programme!D14496,Programme!E14496,Programme!F14496,Programme!G14496,Programme!H14496,Programme!I14496,Programme!J14496)</f>
        <v>&lt;valeur&gt;&lt;/valeur&gt;</v>
      </c>
    </row>
    <row r="14496" spans="1:1" x14ac:dyDescent="0.2">
      <c r="A14496" s="996" t="str">
        <f>CONCATENATE(Programme!D14497,Programme!E14497,Programme!F14497,Programme!G14497,Programme!H14497,Programme!I14497,Programme!J14497)</f>
        <v>&lt;numeroLigne&gt;127&lt;/numeroLigne&gt;</v>
      </c>
    </row>
    <row r="14497" spans="1:1" x14ac:dyDescent="0.2">
      <c r="A14497" s="996" t="str">
        <f>CONCATENATE(Programme!D14498,Programme!E14498,Programme!F14498,Programme!G14498,Programme!H14498,Programme!I14498,Programme!J14498)</f>
        <v>&lt;/ValeurCellule&gt;</v>
      </c>
    </row>
    <row r="14498" spans="1:1" x14ac:dyDescent="0.2">
      <c r="A14498" s="996" t="str">
        <f>CONCATENATE(Programme!D14499,Programme!E14499,Programme!F14499,Programme!G14499,Programme!H14499,Programme!I14499,Programme!J14499)</f>
        <v>&lt;ValeurCellule&gt;</v>
      </c>
    </row>
    <row r="14499" spans="1:1" x14ac:dyDescent="0.2">
      <c r="A14499" s="996" t="str">
        <f>CONCATENATE(Programme!D14500,Programme!E14500,Programme!F14500,Programme!G14500,Programme!H14500,Programme!I14500,Programme!J14500)</f>
        <v>&lt;cellule&gt;&lt;codeEdi&gt;1079&lt;/codeEdi&gt;&lt;/cellule&gt;</v>
      </c>
    </row>
    <row r="14500" spans="1:1" x14ac:dyDescent="0.2">
      <c r="A14500" s="996" t="str">
        <f>CONCATENATE(Programme!D14501,Programme!E14501,Programme!F14501,Programme!G14501,Programme!H14501,Programme!I14501,Programme!J14501)</f>
        <v>&lt;valeur&gt;&lt;/valeur&gt;</v>
      </c>
    </row>
    <row r="14501" spans="1:1" x14ac:dyDescent="0.2">
      <c r="A14501" s="996" t="str">
        <f>CONCATENATE(Programme!D14502,Programme!E14502,Programme!F14502,Programme!G14502,Programme!H14502,Programme!I14502,Programme!J14502)</f>
        <v>&lt;numeroLigne&gt;127&lt;/numeroLigne&gt;</v>
      </c>
    </row>
    <row r="14502" spans="1:1" x14ac:dyDescent="0.2">
      <c r="A14502" s="996" t="str">
        <f>CONCATENATE(Programme!D14503,Programme!E14503,Programme!F14503,Programme!G14503,Programme!H14503,Programme!I14503,Programme!J14503)</f>
        <v>&lt;/ValeurCellule&gt;</v>
      </c>
    </row>
    <row r="14503" spans="1:1" x14ac:dyDescent="0.2">
      <c r="A14503" s="996" t="str">
        <f>CONCATENATE(Programme!D14504,Programme!E14504,Programme!F14504,Programme!G14504,Programme!H14504,Programme!I14504,Programme!J14504)</f>
        <v>&lt;ValeurCellule&gt;</v>
      </c>
    </row>
    <row r="14504" spans="1:1" x14ac:dyDescent="0.2">
      <c r="A14504" s="996" t="str">
        <f>CONCATENATE(Programme!D14505,Programme!E14505,Programme!F14505,Programme!G14505,Programme!H14505,Programme!I14505,Programme!J14505)</f>
        <v>&lt;cellule&gt;&lt;codeEdi&gt;1080&lt;/codeEdi&gt;&lt;/cellule&gt;</v>
      </c>
    </row>
    <row r="14505" spans="1:1" x14ac:dyDescent="0.2">
      <c r="A14505" s="996" t="str">
        <f>CONCATENATE(Programme!D14506,Programme!E14506,Programme!F14506,Programme!G14506,Programme!H14506,Programme!I14506,Programme!J14506)</f>
        <v>&lt;valeur&gt;&lt;/valeur&gt;</v>
      </c>
    </row>
    <row r="14506" spans="1:1" x14ac:dyDescent="0.2">
      <c r="A14506" s="996" t="str">
        <f>CONCATENATE(Programme!D14507,Programme!E14507,Programme!F14507,Programme!G14507,Programme!H14507,Programme!I14507,Programme!J14507)</f>
        <v>&lt;numeroLigne&gt;127&lt;/numeroLigne&gt;</v>
      </c>
    </row>
    <row r="14507" spans="1:1" x14ac:dyDescent="0.2">
      <c r="A14507" s="996" t="str">
        <f>CONCATENATE(Programme!D14508,Programme!E14508,Programme!F14508,Programme!G14508,Programme!H14508,Programme!I14508,Programme!J14508)</f>
        <v>&lt;/ValeurCellule&gt;</v>
      </c>
    </row>
    <row r="14508" spans="1:1" x14ac:dyDescent="0.2">
      <c r="A14508" s="996" t="str">
        <f>CONCATENATE(Programme!D14509,Programme!E14509,Programme!F14509,Programme!G14509,Programme!H14509,Programme!I14509,Programme!J14509)</f>
        <v>&lt;ValeurCellule&gt;</v>
      </c>
    </row>
    <row r="14509" spans="1:1" x14ac:dyDescent="0.2">
      <c r="A14509" s="996" t="str">
        <f>CONCATENATE(Programme!D14510,Programme!E14510,Programme!F14510,Programme!G14510,Programme!H14510,Programme!I14510,Programme!J14510)</f>
        <v>&lt;cellule&gt;&lt;codeEdi&gt;1081&lt;/codeEdi&gt;&lt;/cellule&gt;</v>
      </c>
    </row>
    <row r="14510" spans="1:1" x14ac:dyDescent="0.2">
      <c r="A14510" s="996" t="str">
        <f>CONCATENATE(Programme!D14511,Programme!E14511,Programme!F14511,Programme!G14511,Programme!H14511,Programme!I14511,Programme!J14511)</f>
        <v>&lt;valeur&gt;&lt;/valeur&gt;</v>
      </c>
    </row>
    <row r="14511" spans="1:1" x14ac:dyDescent="0.2">
      <c r="A14511" s="996" t="str">
        <f>CONCATENATE(Programme!D14512,Programme!E14512,Programme!F14512,Programme!G14512,Programme!H14512,Programme!I14512,Programme!J14512)</f>
        <v>&lt;numeroLigne&gt;127&lt;/numeroLigne&gt;</v>
      </c>
    </row>
    <row r="14512" spans="1:1" x14ac:dyDescent="0.2">
      <c r="A14512" s="996" t="str">
        <f>CONCATENATE(Programme!D14513,Programme!E14513,Programme!F14513,Programme!G14513,Programme!H14513,Programme!I14513,Programme!J14513)</f>
        <v>&lt;/ValeurCellule&gt;</v>
      </c>
    </row>
    <row r="14513" spans="1:1" x14ac:dyDescent="0.2">
      <c r="A14513" s="996" t="str">
        <f>CONCATENATE(Programme!D14514,Programme!E14514,Programme!F14514,Programme!G14514,Programme!H14514,Programme!I14514,Programme!J14514)</f>
        <v>&lt;ValeurCellule&gt;</v>
      </c>
    </row>
    <row r="14514" spans="1:1" x14ac:dyDescent="0.2">
      <c r="A14514" s="996" t="str">
        <f>CONCATENATE(Programme!D14515,Programme!E14515,Programme!F14515,Programme!G14515,Programme!H14515,Programme!I14515,Programme!J14515)</f>
        <v>&lt;cellule&gt;&lt;codeEdi&gt;1082&lt;/codeEdi&gt;&lt;/cellule&gt;</v>
      </c>
    </row>
    <row r="14515" spans="1:1" x14ac:dyDescent="0.2">
      <c r="A14515" s="996" t="str">
        <f>CONCATENATE(Programme!D14516,Programme!E14516,Programme!F14516,Programme!G14516,Programme!H14516,Programme!I14516,Programme!J14516)</f>
        <v>&lt;valeur&gt;&lt;/valeur&gt;</v>
      </c>
    </row>
    <row r="14516" spans="1:1" x14ac:dyDescent="0.2">
      <c r="A14516" s="996" t="str">
        <f>CONCATENATE(Programme!D14517,Programme!E14517,Programme!F14517,Programme!G14517,Programme!H14517,Programme!I14517,Programme!J14517)</f>
        <v>&lt;numeroLigne&gt;127&lt;/numeroLigne&gt;</v>
      </c>
    </row>
    <row r="14517" spans="1:1" x14ac:dyDescent="0.2">
      <c r="A14517" s="996" t="str">
        <f>CONCATENATE(Programme!D14518,Programme!E14518,Programme!F14518,Programme!G14518,Programme!H14518,Programme!I14518,Programme!J14518)</f>
        <v>&lt;/ValeurCellule&gt;</v>
      </c>
    </row>
    <row r="14518" spans="1:1" x14ac:dyDescent="0.2">
      <c r="A14518" s="996" t="str">
        <f>CONCATENATE(Programme!D14519,Programme!E14519,Programme!F14519,Programme!G14519,Programme!H14519,Programme!I14519,Programme!J14519)</f>
        <v>&lt;ValeurCellule&gt;</v>
      </c>
    </row>
    <row r="14519" spans="1:1" x14ac:dyDescent="0.2">
      <c r="A14519" s="996" t="str">
        <f>CONCATENATE(Programme!D14520,Programme!E14520,Programme!F14520,Programme!G14520,Programme!H14520,Programme!I14520,Programme!J14520)</f>
        <v>&lt;cellule&gt;&lt;codeEdi&gt;1083&lt;/codeEdi&gt;&lt;/cellule&gt;</v>
      </c>
    </row>
    <row r="14520" spans="1:1" x14ac:dyDescent="0.2">
      <c r="A14520" s="996" t="str">
        <f>CONCATENATE(Programme!D14521,Programme!E14521,Programme!F14521,Programme!G14521,Programme!H14521,Programme!I14521,Programme!J14521)</f>
        <v>&lt;valeur&gt;&lt;/valeur&gt;</v>
      </c>
    </row>
    <row r="14521" spans="1:1" x14ac:dyDescent="0.2">
      <c r="A14521" s="996" t="str">
        <f>CONCATENATE(Programme!D14522,Programme!E14522,Programme!F14522,Programme!G14522,Programme!H14522,Programme!I14522,Programme!J14522)</f>
        <v>&lt;numeroLigne&gt;127&lt;/numeroLigne&gt;</v>
      </c>
    </row>
    <row r="14522" spans="1:1" x14ac:dyDescent="0.2">
      <c r="A14522" s="996" t="str">
        <f>CONCATENATE(Programme!D14523,Programme!E14523,Programme!F14523,Programme!G14523,Programme!H14523,Programme!I14523,Programme!J14523)</f>
        <v>&lt;/ValeurCellule&gt;</v>
      </c>
    </row>
    <row r="14523" spans="1:1" x14ac:dyDescent="0.2">
      <c r="A14523" s="996" t="str">
        <f>CONCATENATE(Programme!D14524,Programme!E14524,Programme!F14524,Programme!G14524,Programme!H14524,Programme!I14524,Programme!J14524)</f>
        <v>&lt;ValeurCellule&gt;</v>
      </c>
    </row>
    <row r="14524" spans="1:1" x14ac:dyDescent="0.2">
      <c r="A14524" s="996" t="str">
        <f>CONCATENATE(Programme!D14525,Programme!E14525,Programme!F14525,Programme!G14525,Programme!H14525,Programme!I14525,Programme!J14525)</f>
        <v>&lt;cellule&gt;&lt;codeEdi&gt;1084&lt;/codeEdi&gt;&lt;/cellule&gt;</v>
      </c>
    </row>
    <row r="14525" spans="1:1" x14ac:dyDescent="0.2">
      <c r="A14525" s="996" t="str">
        <f>CONCATENATE(Programme!D14526,Programme!E14526,Programme!F14526,Programme!G14526,Programme!H14526,Programme!I14526,Programme!J14526)</f>
        <v>&lt;valeur&gt;&lt;/valeur&gt;</v>
      </c>
    </row>
    <row r="14526" spans="1:1" x14ac:dyDescent="0.2">
      <c r="A14526" s="996" t="str">
        <f>CONCATENATE(Programme!D14527,Programme!E14527,Programme!F14527,Programme!G14527,Programme!H14527,Programme!I14527,Programme!J14527)</f>
        <v>&lt;numeroLigne&gt;127&lt;/numeroLigne&gt;</v>
      </c>
    </row>
    <row r="14527" spans="1:1" x14ac:dyDescent="0.2">
      <c r="A14527" s="996" t="str">
        <f>CONCATENATE(Programme!D14528,Programme!E14528,Programme!F14528,Programme!G14528,Programme!H14528,Programme!I14528,Programme!J14528)</f>
        <v>&lt;/ValeurCellule&gt;</v>
      </c>
    </row>
    <row r="14528" spans="1:1" x14ac:dyDescent="0.2">
      <c r="A14528" s="996" t="str">
        <f>CONCATENATE(Programme!D14529,Programme!E14529,Programme!F14529,Programme!G14529,Programme!H14529,Programme!I14529,Programme!J14529)</f>
        <v>&lt;ValeurCellule&gt;</v>
      </c>
    </row>
    <row r="14529" spans="1:1" x14ac:dyDescent="0.2">
      <c r="A14529" s="996" t="str">
        <f>CONCATENATE(Programme!D14530,Programme!E14530,Programme!F14530,Programme!G14530,Programme!H14530,Programme!I14530,Programme!J14530)</f>
        <v>&lt;cellule&gt;&lt;codeEdi&gt;1085&lt;/codeEdi&gt;&lt;/cellule&gt;</v>
      </c>
    </row>
    <row r="14530" spans="1:1" x14ac:dyDescent="0.2">
      <c r="A14530" s="996" t="str">
        <f>CONCATENATE(Programme!D14531,Programme!E14531,Programme!F14531,Programme!G14531,Programme!H14531,Programme!I14531,Programme!J14531)</f>
        <v>&lt;valeur&gt;&lt;/valeur&gt;</v>
      </c>
    </row>
    <row r="14531" spans="1:1" x14ac:dyDescent="0.2">
      <c r="A14531" s="996" t="str">
        <f>CONCATENATE(Programme!D14532,Programme!E14532,Programme!F14532,Programme!G14532,Programme!H14532,Programme!I14532,Programme!J14532)</f>
        <v>&lt;numeroLigne&gt;127&lt;/numeroLigne&gt;</v>
      </c>
    </row>
    <row r="14532" spans="1:1" x14ac:dyDescent="0.2">
      <c r="A14532" s="996" t="str">
        <f>CONCATENATE(Programme!D14533,Programme!E14533,Programme!F14533,Programme!G14533,Programme!H14533,Programme!I14533,Programme!J14533)</f>
        <v>&lt;/ValeurCellule&gt;</v>
      </c>
    </row>
    <row r="14533" spans="1:1" x14ac:dyDescent="0.2">
      <c r="A14533" s="996" t="str">
        <f>CONCATENATE(Programme!D14534,Programme!E14534,Programme!F14534,Programme!G14534,Programme!H14534,Programme!I14534,Programme!J14534)</f>
        <v>&lt;ValeurCellule&gt;</v>
      </c>
    </row>
    <row r="14534" spans="1:1" x14ac:dyDescent="0.2">
      <c r="A14534" s="996" t="str">
        <f>CONCATENATE(Programme!D14535,Programme!E14535,Programme!F14535,Programme!G14535,Programme!H14535,Programme!I14535,Programme!J14535)</f>
        <v>&lt;cellule&gt;&lt;codeEdi&gt;1086&lt;/codeEdi&gt;&lt;/cellule&gt;</v>
      </c>
    </row>
    <row r="14535" spans="1:1" x14ac:dyDescent="0.2">
      <c r="A14535" s="996" t="str">
        <f>CONCATENATE(Programme!D14536,Programme!E14536,Programme!F14536,Programme!G14536,Programme!H14536,Programme!I14536,Programme!J14536)</f>
        <v>&lt;valeur&gt;&lt;/valeur&gt;</v>
      </c>
    </row>
    <row r="14536" spans="1:1" x14ac:dyDescent="0.2">
      <c r="A14536" s="996" t="str">
        <f>CONCATENATE(Programme!D14537,Programme!E14537,Programme!F14537,Programme!G14537,Programme!H14537,Programme!I14537,Programme!J14537)</f>
        <v>&lt;numeroLigne&gt;127&lt;/numeroLigne&gt;</v>
      </c>
    </row>
    <row r="14537" spans="1:1" x14ac:dyDescent="0.2">
      <c r="A14537" s="996" t="str">
        <f>CONCATENATE(Programme!D14538,Programme!E14538,Programme!F14538,Programme!G14538,Programme!H14538,Programme!I14538,Programme!J14538)</f>
        <v>&lt;/ValeurCellule&gt;</v>
      </c>
    </row>
    <row r="14538" spans="1:1" x14ac:dyDescent="0.2">
      <c r="A14538" s="996" t="str">
        <f>CONCATENATE(Programme!D14539,Programme!E14539,Programme!F14539,Programme!G14539,Programme!H14539,Programme!I14539,Programme!J14539)</f>
        <v>&lt;ValeurCellule&gt;</v>
      </c>
    </row>
    <row r="14539" spans="1:1" x14ac:dyDescent="0.2">
      <c r="A14539" s="996" t="str">
        <f>CONCATENATE(Programme!D14540,Programme!E14540,Programme!F14540,Programme!G14540,Programme!H14540,Programme!I14540,Programme!J14540)</f>
        <v>&lt;cellule&gt;&lt;codeEdi&gt;10061&lt;/codeEdi&gt;&lt;/cellule&gt;</v>
      </c>
    </row>
    <row r="14540" spans="1:1" x14ac:dyDescent="0.2">
      <c r="A14540" s="996" t="str">
        <f>CONCATENATE(Programme!D14541,Programme!E14541,Programme!F14541,Programme!G14541,Programme!H14541,Programme!I14541,Programme!J14541)</f>
        <v>&lt;valeur&gt;&lt;/valeur&gt;</v>
      </c>
    </row>
    <row r="14541" spans="1:1" x14ac:dyDescent="0.2">
      <c r="A14541" s="996" t="str">
        <f>CONCATENATE(Programme!D14542,Programme!E14542,Programme!F14542,Programme!G14542,Programme!H14542,Programme!I14542,Programme!J14542)</f>
        <v>&lt;numeroLigne&gt;128&lt;/numeroLigne&gt;</v>
      </c>
    </row>
    <row r="14542" spans="1:1" x14ac:dyDescent="0.2">
      <c r="A14542" s="996" t="str">
        <f>CONCATENATE(Programme!D14543,Programme!E14543,Programme!F14543,Programme!G14543,Programme!H14543,Programme!I14543,Programme!J14543)</f>
        <v>&lt;/ValeurCellule&gt;</v>
      </c>
    </row>
    <row r="14543" spans="1:1" x14ac:dyDescent="0.2">
      <c r="A14543" s="996" t="str">
        <f>CONCATENATE(Programme!D14544,Programme!E14544,Programme!F14544,Programme!G14544,Programme!H14544,Programme!I14544,Programme!J14544)</f>
        <v>&lt;ValeurCellule&gt;</v>
      </c>
    </row>
    <row r="14544" spans="1:1" x14ac:dyDescent="0.2">
      <c r="A14544" s="996" t="str">
        <f>CONCATENATE(Programme!D14545,Programme!E14545,Programme!F14545,Programme!G14545,Programme!H14545,Programme!I14545,Programme!J14545)</f>
        <v>&lt;cellule&gt;&lt;codeEdi&gt;1078&lt;/codeEdi&gt;&lt;/cellule&gt;</v>
      </c>
    </row>
    <row r="14545" spans="1:1" x14ac:dyDescent="0.2">
      <c r="A14545" s="996" t="str">
        <f>CONCATENATE(Programme!D14546,Programme!E14546,Programme!F14546,Programme!G14546,Programme!H14546,Programme!I14546,Programme!J14546)</f>
        <v>&lt;valeur&gt;&lt;/valeur&gt;</v>
      </c>
    </row>
    <row r="14546" spans="1:1" x14ac:dyDescent="0.2">
      <c r="A14546" s="996" t="str">
        <f>CONCATENATE(Programme!D14547,Programme!E14547,Programme!F14547,Programme!G14547,Programme!H14547,Programme!I14547,Programme!J14547)</f>
        <v>&lt;numeroLigne&gt;128&lt;/numeroLigne&gt;</v>
      </c>
    </row>
    <row r="14547" spans="1:1" x14ac:dyDescent="0.2">
      <c r="A14547" s="996" t="str">
        <f>CONCATENATE(Programme!D14548,Programme!E14548,Programme!F14548,Programme!G14548,Programme!H14548,Programme!I14548,Programme!J14548)</f>
        <v>&lt;/ValeurCellule&gt;</v>
      </c>
    </row>
    <row r="14548" spans="1:1" x14ac:dyDescent="0.2">
      <c r="A14548" s="996" t="str">
        <f>CONCATENATE(Programme!D14549,Programme!E14549,Programme!F14549,Programme!G14549,Programme!H14549,Programme!I14549,Programme!J14549)</f>
        <v>&lt;ValeurCellule&gt;</v>
      </c>
    </row>
    <row r="14549" spans="1:1" x14ac:dyDescent="0.2">
      <c r="A14549" s="996" t="str">
        <f>CONCATENATE(Programme!D14550,Programme!E14550,Programme!F14550,Programme!G14550,Programme!H14550,Programme!I14550,Programme!J14550)</f>
        <v>&lt;cellule&gt;&lt;codeEdi&gt;1079&lt;/codeEdi&gt;&lt;/cellule&gt;</v>
      </c>
    </row>
    <row r="14550" spans="1:1" x14ac:dyDescent="0.2">
      <c r="A14550" s="996" t="str">
        <f>CONCATENATE(Programme!D14551,Programme!E14551,Programme!F14551,Programme!G14551,Programme!H14551,Programme!I14551,Programme!J14551)</f>
        <v>&lt;valeur&gt;&lt;/valeur&gt;</v>
      </c>
    </row>
    <row r="14551" spans="1:1" x14ac:dyDescent="0.2">
      <c r="A14551" s="996" t="str">
        <f>CONCATENATE(Programme!D14552,Programme!E14552,Programme!F14552,Programme!G14552,Programme!H14552,Programme!I14552,Programme!J14552)</f>
        <v>&lt;numeroLigne&gt;128&lt;/numeroLigne&gt;</v>
      </c>
    </row>
    <row r="14552" spans="1:1" x14ac:dyDescent="0.2">
      <c r="A14552" s="996" t="str">
        <f>CONCATENATE(Programme!D14553,Programme!E14553,Programme!F14553,Programme!G14553,Programme!H14553,Programme!I14553,Programme!J14553)</f>
        <v>&lt;/ValeurCellule&gt;</v>
      </c>
    </row>
    <row r="14553" spans="1:1" x14ac:dyDescent="0.2">
      <c r="A14553" s="996" t="str">
        <f>CONCATENATE(Programme!D14554,Programme!E14554,Programme!F14554,Programme!G14554,Programme!H14554,Programme!I14554,Programme!J14554)</f>
        <v>&lt;ValeurCellule&gt;</v>
      </c>
    </row>
    <row r="14554" spans="1:1" x14ac:dyDescent="0.2">
      <c r="A14554" s="996" t="str">
        <f>CONCATENATE(Programme!D14555,Programme!E14555,Programme!F14555,Programme!G14555,Programme!H14555,Programme!I14555,Programme!J14555)</f>
        <v>&lt;cellule&gt;&lt;codeEdi&gt;1080&lt;/codeEdi&gt;&lt;/cellule&gt;</v>
      </c>
    </row>
    <row r="14555" spans="1:1" x14ac:dyDescent="0.2">
      <c r="A14555" s="996" t="str">
        <f>CONCATENATE(Programme!D14556,Programme!E14556,Programme!F14556,Programme!G14556,Programme!H14556,Programme!I14556,Programme!J14556)</f>
        <v>&lt;valeur&gt;&lt;/valeur&gt;</v>
      </c>
    </row>
    <row r="14556" spans="1:1" x14ac:dyDescent="0.2">
      <c r="A14556" s="996" t="str">
        <f>CONCATENATE(Programme!D14557,Programme!E14557,Programme!F14557,Programme!G14557,Programme!H14557,Programme!I14557,Programme!J14557)</f>
        <v>&lt;numeroLigne&gt;128&lt;/numeroLigne&gt;</v>
      </c>
    </row>
    <row r="14557" spans="1:1" x14ac:dyDescent="0.2">
      <c r="A14557" s="996" t="str">
        <f>CONCATENATE(Programme!D14558,Programme!E14558,Programme!F14558,Programme!G14558,Programme!H14558,Programme!I14558,Programme!J14558)</f>
        <v>&lt;/ValeurCellule&gt;</v>
      </c>
    </row>
    <row r="14558" spans="1:1" x14ac:dyDescent="0.2">
      <c r="A14558" s="996" t="str">
        <f>CONCATENATE(Programme!D14559,Programme!E14559,Programme!F14559,Programme!G14559,Programme!H14559,Programme!I14559,Programme!J14559)</f>
        <v>&lt;ValeurCellule&gt;</v>
      </c>
    </row>
    <row r="14559" spans="1:1" x14ac:dyDescent="0.2">
      <c r="A14559" s="996" t="str">
        <f>CONCATENATE(Programme!D14560,Programme!E14560,Programme!F14560,Programme!G14560,Programme!H14560,Programme!I14560,Programme!J14560)</f>
        <v>&lt;cellule&gt;&lt;codeEdi&gt;1081&lt;/codeEdi&gt;&lt;/cellule&gt;</v>
      </c>
    </row>
    <row r="14560" spans="1:1" x14ac:dyDescent="0.2">
      <c r="A14560" s="996" t="str">
        <f>CONCATENATE(Programme!D14561,Programme!E14561,Programme!F14561,Programme!G14561,Programme!H14561,Programme!I14561,Programme!J14561)</f>
        <v>&lt;valeur&gt;&lt;/valeur&gt;</v>
      </c>
    </row>
    <row r="14561" spans="1:1" x14ac:dyDescent="0.2">
      <c r="A14561" s="996" t="str">
        <f>CONCATENATE(Programme!D14562,Programme!E14562,Programme!F14562,Programme!G14562,Programme!H14562,Programme!I14562,Programme!J14562)</f>
        <v>&lt;numeroLigne&gt;128&lt;/numeroLigne&gt;</v>
      </c>
    </row>
    <row r="14562" spans="1:1" x14ac:dyDescent="0.2">
      <c r="A14562" s="996" t="str">
        <f>CONCATENATE(Programme!D14563,Programme!E14563,Programme!F14563,Programme!G14563,Programme!H14563,Programme!I14563,Programme!J14563)</f>
        <v>&lt;/ValeurCellule&gt;</v>
      </c>
    </row>
    <row r="14563" spans="1:1" x14ac:dyDescent="0.2">
      <c r="A14563" s="996" t="str">
        <f>CONCATENATE(Programme!D14564,Programme!E14564,Programme!F14564,Programme!G14564,Programme!H14564,Programme!I14564,Programme!J14564)</f>
        <v>&lt;ValeurCellule&gt;</v>
      </c>
    </row>
    <row r="14564" spans="1:1" x14ac:dyDescent="0.2">
      <c r="A14564" s="996" t="str">
        <f>CONCATENATE(Programme!D14565,Programme!E14565,Programme!F14565,Programme!G14565,Programme!H14565,Programme!I14565,Programme!J14565)</f>
        <v>&lt;cellule&gt;&lt;codeEdi&gt;1082&lt;/codeEdi&gt;&lt;/cellule&gt;</v>
      </c>
    </row>
    <row r="14565" spans="1:1" x14ac:dyDescent="0.2">
      <c r="A14565" s="996" t="str">
        <f>CONCATENATE(Programme!D14566,Programme!E14566,Programme!F14566,Programme!G14566,Programme!H14566,Programme!I14566,Programme!J14566)</f>
        <v>&lt;valeur&gt;&lt;/valeur&gt;</v>
      </c>
    </row>
    <row r="14566" spans="1:1" x14ac:dyDescent="0.2">
      <c r="A14566" s="996" t="str">
        <f>CONCATENATE(Programme!D14567,Programme!E14567,Programme!F14567,Programme!G14567,Programme!H14567,Programme!I14567,Programme!J14567)</f>
        <v>&lt;numeroLigne&gt;128&lt;/numeroLigne&gt;</v>
      </c>
    </row>
    <row r="14567" spans="1:1" x14ac:dyDescent="0.2">
      <c r="A14567" s="996" t="str">
        <f>CONCATENATE(Programme!D14568,Programme!E14568,Programme!F14568,Programme!G14568,Programme!H14568,Programme!I14568,Programme!J14568)</f>
        <v>&lt;/ValeurCellule&gt;</v>
      </c>
    </row>
    <row r="14568" spans="1:1" x14ac:dyDescent="0.2">
      <c r="A14568" s="996" t="str">
        <f>CONCATENATE(Programme!D14569,Programme!E14569,Programme!F14569,Programme!G14569,Programme!H14569,Programme!I14569,Programme!J14569)</f>
        <v>&lt;ValeurCellule&gt;</v>
      </c>
    </row>
    <row r="14569" spans="1:1" x14ac:dyDescent="0.2">
      <c r="A14569" s="996" t="str">
        <f>CONCATENATE(Programme!D14570,Programme!E14570,Programme!F14570,Programme!G14570,Programme!H14570,Programme!I14570,Programme!J14570)</f>
        <v>&lt;cellule&gt;&lt;codeEdi&gt;1083&lt;/codeEdi&gt;&lt;/cellule&gt;</v>
      </c>
    </row>
    <row r="14570" spans="1:1" x14ac:dyDescent="0.2">
      <c r="A14570" s="996" t="str">
        <f>CONCATENATE(Programme!D14571,Programme!E14571,Programme!F14571,Programme!G14571,Programme!H14571,Programme!I14571,Programme!J14571)</f>
        <v>&lt;valeur&gt;&lt;/valeur&gt;</v>
      </c>
    </row>
    <row r="14571" spans="1:1" x14ac:dyDescent="0.2">
      <c r="A14571" s="996" t="str">
        <f>CONCATENATE(Programme!D14572,Programme!E14572,Programme!F14572,Programme!G14572,Programme!H14572,Programme!I14572,Programme!J14572)</f>
        <v>&lt;numeroLigne&gt;128&lt;/numeroLigne&gt;</v>
      </c>
    </row>
    <row r="14572" spans="1:1" x14ac:dyDescent="0.2">
      <c r="A14572" s="996" t="str">
        <f>CONCATENATE(Programme!D14573,Programme!E14573,Programme!F14573,Programme!G14573,Programme!H14573,Programme!I14573,Programme!J14573)</f>
        <v>&lt;/ValeurCellule&gt;</v>
      </c>
    </row>
    <row r="14573" spans="1:1" x14ac:dyDescent="0.2">
      <c r="A14573" s="996" t="str">
        <f>CONCATENATE(Programme!D14574,Programme!E14574,Programme!F14574,Programme!G14574,Programme!H14574,Programme!I14574,Programme!J14574)</f>
        <v>&lt;ValeurCellule&gt;</v>
      </c>
    </row>
    <row r="14574" spans="1:1" x14ac:dyDescent="0.2">
      <c r="A14574" s="996" t="str">
        <f>CONCATENATE(Programme!D14575,Programme!E14575,Programme!F14575,Programme!G14575,Programme!H14575,Programme!I14575,Programme!J14575)</f>
        <v>&lt;cellule&gt;&lt;codeEdi&gt;1084&lt;/codeEdi&gt;&lt;/cellule&gt;</v>
      </c>
    </row>
    <row r="14575" spans="1:1" x14ac:dyDescent="0.2">
      <c r="A14575" s="996" t="str">
        <f>CONCATENATE(Programme!D14576,Programme!E14576,Programme!F14576,Programme!G14576,Programme!H14576,Programme!I14576,Programme!J14576)</f>
        <v>&lt;valeur&gt;&lt;/valeur&gt;</v>
      </c>
    </row>
    <row r="14576" spans="1:1" x14ac:dyDescent="0.2">
      <c r="A14576" s="996" t="str">
        <f>CONCATENATE(Programme!D14577,Programme!E14577,Programme!F14577,Programme!G14577,Programme!H14577,Programme!I14577,Programme!J14577)</f>
        <v>&lt;numeroLigne&gt;128&lt;/numeroLigne&gt;</v>
      </c>
    </row>
    <row r="14577" spans="1:1" x14ac:dyDescent="0.2">
      <c r="A14577" s="996" t="str">
        <f>CONCATENATE(Programme!D14578,Programme!E14578,Programme!F14578,Programme!G14578,Programme!H14578,Programme!I14578,Programme!J14578)</f>
        <v>&lt;/ValeurCellule&gt;</v>
      </c>
    </row>
    <row r="14578" spans="1:1" x14ac:dyDescent="0.2">
      <c r="A14578" s="996" t="str">
        <f>CONCATENATE(Programme!D14579,Programme!E14579,Programme!F14579,Programme!G14579,Programme!H14579,Programme!I14579,Programme!J14579)</f>
        <v>&lt;ValeurCellule&gt;</v>
      </c>
    </row>
    <row r="14579" spans="1:1" x14ac:dyDescent="0.2">
      <c r="A14579" s="996" t="str">
        <f>CONCATENATE(Programme!D14580,Programme!E14580,Programme!F14580,Programme!G14580,Programme!H14580,Programme!I14580,Programme!J14580)</f>
        <v>&lt;cellule&gt;&lt;codeEdi&gt;1085&lt;/codeEdi&gt;&lt;/cellule&gt;</v>
      </c>
    </row>
    <row r="14580" spans="1:1" x14ac:dyDescent="0.2">
      <c r="A14580" s="996" t="str">
        <f>CONCATENATE(Programme!D14581,Programme!E14581,Programme!F14581,Programme!G14581,Programme!H14581,Programme!I14581,Programme!J14581)</f>
        <v>&lt;valeur&gt;&lt;/valeur&gt;</v>
      </c>
    </row>
    <row r="14581" spans="1:1" x14ac:dyDescent="0.2">
      <c r="A14581" s="996" t="str">
        <f>CONCATENATE(Programme!D14582,Programme!E14582,Programme!F14582,Programme!G14582,Programme!H14582,Programme!I14582,Programme!J14582)</f>
        <v>&lt;numeroLigne&gt;128&lt;/numeroLigne&gt;</v>
      </c>
    </row>
    <row r="14582" spans="1:1" x14ac:dyDescent="0.2">
      <c r="A14582" s="996" t="str">
        <f>CONCATENATE(Programme!D14583,Programme!E14583,Programme!F14583,Programme!G14583,Programme!H14583,Programme!I14583,Programme!J14583)</f>
        <v>&lt;/ValeurCellule&gt;</v>
      </c>
    </row>
    <row r="14583" spans="1:1" x14ac:dyDescent="0.2">
      <c r="A14583" s="996" t="str">
        <f>CONCATENATE(Programme!D14584,Programme!E14584,Programme!F14584,Programme!G14584,Programme!H14584,Programme!I14584,Programme!J14584)</f>
        <v>&lt;ValeurCellule&gt;</v>
      </c>
    </row>
    <row r="14584" spans="1:1" x14ac:dyDescent="0.2">
      <c r="A14584" s="996" t="str">
        <f>CONCATENATE(Programme!D14585,Programme!E14585,Programme!F14585,Programme!G14585,Programme!H14585,Programme!I14585,Programme!J14585)</f>
        <v>&lt;cellule&gt;&lt;codeEdi&gt;1086&lt;/codeEdi&gt;&lt;/cellule&gt;</v>
      </c>
    </row>
    <row r="14585" spans="1:1" x14ac:dyDescent="0.2">
      <c r="A14585" s="996" t="str">
        <f>CONCATENATE(Programme!D14586,Programme!E14586,Programme!F14586,Programme!G14586,Programme!H14586,Programme!I14586,Programme!J14586)</f>
        <v>&lt;valeur&gt;&lt;/valeur&gt;</v>
      </c>
    </row>
    <row r="14586" spans="1:1" x14ac:dyDescent="0.2">
      <c r="A14586" s="996" t="str">
        <f>CONCATENATE(Programme!D14587,Programme!E14587,Programme!F14587,Programme!G14587,Programme!H14587,Programme!I14587,Programme!J14587)</f>
        <v>&lt;numeroLigne&gt;128&lt;/numeroLigne&gt;</v>
      </c>
    </row>
    <row r="14587" spans="1:1" x14ac:dyDescent="0.2">
      <c r="A14587" s="996" t="str">
        <f>CONCATENATE(Programme!D14588,Programme!E14588,Programme!F14588,Programme!G14588,Programme!H14588,Programme!I14588,Programme!J14588)</f>
        <v>&lt;/ValeurCellule&gt;</v>
      </c>
    </row>
    <row r="14588" spans="1:1" x14ac:dyDescent="0.2">
      <c r="A14588" s="996" t="str">
        <f>CONCATENATE(Programme!D14589,Programme!E14589,Programme!F14589,Programme!G14589,Programme!H14589,Programme!I14589,Programme!J14589)</f>
        <v>&lt;ValeurCellule&gt;</v>
      </c>
    </row>
    <row r="14589" spans="1:1" x14ac:dyDescent="0.2">
      <c r="A14589" s="996" t="str">
        <f>CONCATENATE(Programme!D14590,Programme!E14590,Programme!F14590,Programme!G14590,Programme!H14590,Programme!I14590,Programme!J14590)</f>
        <v>&lt;cellule&gt;&lt;codeEdi&gt;10061&lt;/codeEdi&gt;&lt;/cellule&gt;</v>
      </c>
    </row>
    <row r="14590" spans="1:1" x14ac:dyDescent="0.2">
      <c r="A14590" s="996" t="str">
        <f>CONCATENATE(Programme!D14591,Programme!E14591,Programme!F14591,Programme!G14591,Programme!H14591,Programme!I14591,Programme!J14591)</f>
        <v>&lt;valeur&gt;&lt;/valeur&gt;</v>
      </c>
    </row>
    <row r="14591" spans="1:1" x14ac:dyDescent="0.2">
      <c r="A14591" s="996" t="str">
        <f>CONCATENATE(Programme!D14592,Programme!E14592,Programme!F14592,Programme!G14592,Programme!H14592,Programme!I14592,Programme!J14592)</f>
        <v>&lt;numeroLigne&gt;129&lt;/numeroLigne&gt;</v>
      </c>
    </row>
    <row r="14592" spans="1:1" x14ac:dyDescent="0.2">
      <c r="A14592" s="996" t="str">
        <f>CONCATENATE(Programme!D14593,Programme!E14593,Programme!F14593,Programme!G14593,Programme!H14593,Programme!I14593,Programme!J14593)</f>
        <v>&lt;/ValeurCellule&gt;</v>
      </c>
    </row>
    <row r="14593" spans="1:1" x14ac:dyDescent="0.2">
      <c r="A14593" s="996" t="str">
        <f>CONCATENATE(Programme!D14594,Programme!E14594,Programme!F14594,Programme!G14594,Programme!H14594,Programme!I14594,Programme!J14594)</f>
        <v>&lt;ValeurCellule&gt;</v>
      </c>
    </row>
    <row r="14594" spans="1:1" x14ac:dyDescent="0.2">
      <c r="A14594" s="996" t="str">
        <f>CONCATENATE(Programme!D14595,Programme!E14595,Programme!F14595,Programme!G14595,Programme!H14595,Programme!I14595,Programme!J14595)</f>
        <v>&lt;cellule&gt;&lt;codeEdi&gt;1078&lt;/codeEdi&gt;&lt;/cellule&gt;</v>
      </c>
    </row>
    <row r="14595" spans="1:1" x14ac:dyDescent="0.2">
      <c r="A14595" s="996" t="str">
        <f>CONCATENATE(Programme!D14596,Programme!E14596,Programme!F14596,Programme!G14596,Programme!H14596,Programme!I14596,Programme!J14596)</f>
        <v>&lt;valeur&gt;&lt;/valeur&gt;</v>
      </c>
    </row>
    <row r="14596" spans="1:1" x14ac:dyDescent="0.2">
      <c r="A14596" s="996" t="str">
        <f>CONCATENATE(Programme!D14597,Programme!E14597,Programme!F14597,Programme!G14597,Programme!H14597,Programme!I14597,Programme!J14597)</f>
        <v>&lt;numeroLigne&gt;129&lt;/numeroLigne&gt;</v>
      </c>
    </row>
    <row r="14597" spans="1:1" x14ac:dyDescent="0.2">
      <c r="A14597" s="996" t="str">
        <f>CONCATENATE(Programme!D14598,Programme!E14598,Programme!F14598,Programme!G14598,Programme!H14598,Programme!I14598,Programme!J14598)</f>
        <v>&lt;/ValeurCellule&gt;</v>
      </c>
    </row>
    <row r="14598" spans="1:1" x14ac:dyDescent="0.2">
      <c r="A14598" s="996" t="str">
        <f>CONCATENATE(Programme!D14599,Programme!E14599,Programme!F14599,Programme!G14599,Programme!H14599,Programme!I14599,Programme!J14599)</f>
        <v>&lt;ValeurCellule&gt;</v>
      </c>
    </row>
    <row r="14599" spans="1:1" x14ac:dyDescent="0.2">
      <c r="A14599" s="996" t="str">
        <f>CONCATENATE(Programme!D14600,Programme!E14600,Programme!F14600,Programme!G14600,Programme!H14600,Programme!I14600,Programme!J14600)</f>
        <v>&lt;cellule&gt;&lt;codeEdi&gt;1079&lt;/codeEdi&gt;&lt;/cellule&gt;</v>
      </c>
    </row>
    <row r="14600" spans="1:1" x14ac:dyDescent="0.2">
      <c r="A14600" s="996" t="str">
        <f>CONCATENATE(Programme!D14601,Programme!E14601,Programme!F14601,Programme!G14601,Programme!H14601,Programme!I14601,Programme!J14601)</f>
        <v>&lt;valeur&gt;&lt;/valeur&gt;</v>
      </c>
    </row>
    <row r="14601" spans="1:1" x14ac:dyDescent="0.2">
      <c r="A14601" s="996" t="str">
        <f>CONCATENATE(Programme!D14602,Programme!E14602,Programme!F14602,Programme!G14602,Programme!H14602,Programme!I14602,Programme!J14602)</f>
        <v>&lt;numeroLigne&gt;129&lt;/numeroLigne&gt;</v>
      </c>
    </row>
    <row r="14602" spans="1:1" x14ac:dyDescent="0.2">
      <c r="A14602" s="996" t="str">
        <f>CONCATENATE(Programme!D14603,Programme!E14603,Programme!F14603,Programme!G14603,Programme!H14603,Programme!I14603,Programme!J14603)</f>
        <v>&lt;/ValeurCellule&gt;</v>
      </c>
    </row>
    <row r="14603" spans="1:1" x14ac:dyDescent="0.2">
      <c r="A14603" s="996" t="str">
        <f>CONCATENATE(Programme!D14604,Programme!E14604,Programme!F14604,Programme!G14604,Programme!H14604,Programme!I14604,Programme!J14604)</f>
        <v>&lt;ValeurCellule&gt;</v>
      </c>
    </row>
    <row r="14604" spans="1:1" x14ac:dyDescent="0.2">
      <c r="A14604" s="996" t="str">
        <f>CONCATENATE(Programme!D14605,Programme!E14605,Programme!F14605,Programme!G14605,Programme!H14605,Programme!I14605,Programme!J14605)</f>
        <v>&lt;cellule&gt;&lt;codeEdi&gt;1080&lt;/codeEdi&gt;&lt;/cellule&gt;</v>
      </c>
    </row>
    <row r="14605" spans="1:1" x14ac:dyDescent="0.2">
      <c r="A14605" s="996" t="str">
        <f>CONCATENATE(Programme!D14606,Programme!E14606,Programme!F14606,Programme!G14606,Programme!H14606,Programme!I14606,Programme!J14606)</f>
        <v>&lt;valeur&gt;&lt;/valeur&gt;</v>
      </c>
    </row>
    <row r="14606" spans="1:1" x14ac:dyDescent="0.2">
      <c r="A14606" s="996" t="str">
        <f>CONCATENATE(Programme!D14607,Programme!E14607,Programme!F14607,Programme!G14607,Programme!H14607,Programme!I14607,Programme!J14607)</f>
        <v>&lt;numeroLigne&gt;129&lt;/numeroLigne&gt;</v>
      </c>
    </row>
    <row r="14607" spans="1:1" x14ac:dyDescent="0.2">
      <c r="A14607" s="996" t="str">
        <f>CONCATENATE(Programme!D14608,Programme!E14608,Programme!F14608,Programme!G14608,Programme!H14608,Programme!I14608,Programme!J14608)</f>
        <v>&lt;/ValeurCellule&gt;</v>
      </c>
    </row>
    <row r="14608" spans="1:1" x14ac:dyDescent="0.2">
      <c r="A14608" s="996" t="str">
        <f>CONCATENATE(Programme!D14609,Programme!E14609,Programme!F14609,Programme!G14609,Programme!H14609,Programme!I14609,Programme!J14609)</f>
        <v>&lt;ValeurCellule&gt;</v>
      </c>
    </row>
    <row r="14609" spans="1:1" x14ac:dyDescent="0.2">
      <c r="A14609" s="996" t="str">
        <f>CONCATENATE(Programme!D14610,Programme!E14610,Programme!F14610,Programme!G14610,Programme!H14610,Programme!I14610,Programme!J14610)</f>
        <v>&lt;cellule&gt;&lt;codeEdi&gt;1081&lt;/codeEdi&gt;&lt;/cellule&gt;</v>
      </c>
    </row>
    <row r="14610" spans="1:1" x14ac:dyDescent="0.2">
      <c r="A14610" s="996" t="str">
        <f>CONCATENATE(Programme!D14611,Programme!E14611,Programme!F14611,Programme!G14611,Programme!H14611,Programme!I14611,Programme!J14611)</f>
        <v>&lt;valeur&gt;&lt;/valeur&gt;</v>
      </c>
    </row>
    <row r="14611" spans="1:1" x14ac:dyDescent="0.2">
      <c r="A14611" s="996" t="str">
        <f>CONCATENATE(Programme!D14612,Programme!E14612,Programme!F14612,Programme!G14612,Programme!H14612,Programme!I14612,Programme!J14612)</f>
        <v>&lt;numeroLigne&gt;129&lt;/numeroLigne&gt;</v>
      </c>
    </row>
    <row r="14612" spans="1:1" x14ac:dyDescent="0.2">
      <c r="A14612" s="996" t="str">
        <f>CONCATENATE(Programme!D14613,Programme!E14613,Programme!F14613,Programme!G14613,Programme!H14613,Programme!I14613,Programme!J14613)</f>
        <v>&lt;/ValeurCellule&gt;</v>
      </c>
    </row>
    <row r="14613" spans="1:1" x14ac:dyDescent="0.2">
      <c r="A14613" s="996" t="str">
        <f>CONCATENATE(Programme!D14614,Programme!E14614,Programme!F14614,Programme!G14614,Programme!H14614,Programme!I14614,Programme!J14614)</f>
        <v>&lt;ValeurCellule&gt;</v>
      </c>
    </row>
    <row r="14614" spans="1:1" x14ac:dyDescent="0.2">
      <c r="A14614" s="996" t="str">
        <f>CONCATENATE(Programme!D14615,Programme!E14615,Programme!F14615,Programme!G14615,Programme!H14615,Programme!I14615,Programme!J14615)</f>
        <v>&lt;cellule&gt;&lt;codeEdi&gt;1082&lt;/codeEdi&gt;&lt;/cellule&gt;</v>
      </c>
    </row>
    <row r="14615" spans="1:1" x14ac:dyDescent="0.2">
      <c r="A14615" s="996" t="str">
        <f>CONCATENATE(Programme!D14616,Programme!E14616,Programme!F14616,Programme!G14616,Programme!H14616,Programme!I14616,Programme!J14616)</f>
        <v>&lt;valeur&gt;&lt;/valeur&gt;</v>
      </c>
    </row>
    <row r="14616" spans="1:1" x14ac:dyDescent="0.2">
      <c r="A14616" s="996" t="str">
        <f>CONCATENATE(Programme!D14617,Programme!E14617,Programme!F14617,Programme!G14617,Programme!H14617,Programme!I14617,Programme!J14617)</f>
        <v>&lt;numeroLigne&gt;129&lt;/numeroLigne&gt;</v>
      </c>
    </row>
    <row r="14617" spans="1:1" x14ac:dyDescent="0.2">
      <c r="A14617" s="996" t="str">
        <f>CONCATENATE(Programme!D14618,Programme!E14618,Programme!F14618,Programme!G14618,Programme!H14618,Programme!I14618,Programme!J14618)</f>
        <v>&lt;/ValeurCellule&gt;</v>
      </c>
    </row>
    <row r="14618" spans="1:1" x14ac:dyDescent="0.2">
      <c r="A14618" s="996" t="str">
        <f>CONCATENATE(Programme!D14619,Programme!E14619,Programme!F14619,Programme!G14619,Programme!H14619,Programme!I14619,Programme!J14619)</f>
        <v>&lt;ValeurCellule&gt;</v>
      </c>
    </row>
    <row r="14619" spans="1:1" x14ac:dyDescent="0.2">
      <c r="A14619" s="996" t="str">
        <f>CONCATENATE(Programme!D14620,Programme!E14620,Programme!F14620,Programme!G14620,Programme!H14620,Programme!I14620,Programme!J14620)</f>
        <v>&lt;cellule&gt;&lt;codeEdi&gt;1083&lt;/codeEdi&gt;&lt;/cellule&gt;</v>
      </c>
    </row>
    <row r="14620" spans="1:1" x14ac:dyDescent="0.2">
      <c r="A14620" s="996" t="str">
        <f>CONCATENATE(Programme!D14621,Programme!E14621,Programme!F14621,Programme!G14621,Programme!H14621,Programme!I14621,Programme!J14621)</f>
        <v>&lt;valeur&gt;&lt;/valeur&gt;</v>
      </c>
    </row>
    <row r="14621" spans="1:1" x14ac:dyDescent="0.2">
      <c r="A14621" s="996" t="str">
        <f>CONCATENATE(Programme!D14622,Programme!E14622,Programme!F14622,Programme!G14622,Programme!H14622,Programme!I14622,Programme!J14622)</f>
        <v>&lt;numeroLigne&gt;129&lt;/numeroLigne&gt;</v>
      </c>
    </row>
    <row r="14622" spans="1:1" x14ac:dyDescent="0.2">
      <c r="A14622" s="996" t="str">
        <f>CONCATENATE(Programme!D14623,Programme!E14623,Programme!F14623,Programme!G14623,Programme!H14623,Programme!I14623,Programme!J14623)</f>
        <v>&lt;/ValeurCellule&gt;</v>
      </c>
    </row>
    <row r="14623" spans="1:1" x14ac:dyDescent="0.2">
      <c r="A14623" s="996" t="str">
        <f>CONCATENATE(Programme!D14624,Programme!E14624,Programme!F14624,Programme!G14624,Programme!H14624,Programme!I14624,Programme!J14624)</f>
        <v>&lt;ValeurCellule&gt;</v>
      </c>
    </row>
    <row r="14624" spans="1:1" x14ac:dyDescent="0.2">
      <c r="A14624" s="996" t="str">
        <f>CONCATENATE(Programme!D14625,Programme!E14625,Programme!F14625,Programme!G14625,Programme!H14625,Programme!I14625,Programme!J14625)</f>
        <v>&lt;cellule&gt;&lt;codeEdi&gt;1084&lt;/codeEdi&gt;&lt;/cellule&gt;</v>
      </c>
    </row>
    <row r="14625" spans="1:1" x14ac:dyDescent="0.2">
      <c r="A14625" s="996" t="str">
        <f>CONCATENATE(Programme!D14626,Programme!E14626,Programme!F14626,Programme!G14626,Programme!H14626,Programme!I14626,Programme!J14626)</f>
        <v>&lt;valeur&gt;&lt;/valeur&gt;</v>
      </c>
    </row>
    <row r="14626" spans="1:1" x14ac:dyDescent="0.2">
      <c r="A14626" s="996" t="str">
        <f>CONCATENATE(Programme!D14627,Programme!E14627,Programme!F14627,Programme!G14627,Programme!H14627,Programme!I14627,Programme!J14627)</f>
        <v>&lt;numeroLigne&gt;129&lt;/numeroLigne&gt;</v>
      </c>
    </row>
    <row r="14627" spans="1:1" x14ac:dyDescent="0.2">
      <c r="A14627" s="996" t="str">
        <f>CONCATENATE(Programme!D14628,Programme!E14628,Programme!F14628,Programme!G14628,Programme!H14628,Programme!I14628,Programme!J14628)</f>
        <v>&lt;/ValeurCellule&gt;</v>
      </c>
    </row>
    <row r="14628" spans="1:1" x14ac:dyDescent="0.2">
      <c r="A14628" s="996" t="str">
        <f>CONCATENATE(Programme!D14629,Programme!E14629,Programme!F14629,Programme!G14629,Programme!H14629,Programme!I14629,Programme!J14629)</f>
        <v>&lt;ValeurCellule&gt;</v>
      </c>
    </row>
    <row r="14629" spans="1:1" x14ac:dyDescent="0.2">
      <c r="A14629" s="996" t="str">
        <f>CONCATENATE(Programme!D14630,Programme!E14630,Programme!F14630,Programme!G14630,Programme!H14630,Programme!I14630,Programme!J14630)</f>
        <v>&lt;cellule&gt;&lt;codeEdi&gt;1085&lt;/codeEdi&gt;&lt;/cellule&gt;</v>
      </c>
    </row>
    <row r="14630" spans="1:1" x14ac:dyDescent="0.2">
      <c r="A14630" s="996" t="str">
        <f>CONCATENATE(Programme!D14631,Programme!E14631,Programme!F14631,Programme!G14631,Programme!H14631,Programme!I14631,Programme!J14631)</f>
        <v>&lt;valeur&gt;&lt;/valeur&gt;</v>
      </c>
    </row>
    <row r="14631" spans="1:1" x14ac:dyDescent="0.2">
      <c r="A14631" s="996" t="str">
        <f>CONCATENATE(Programme!D14632,Programme!E14632,Programme!F14632,Programme!G14632,Programme!H14632,Programme!I14632,Programme!J14632)</f>
        <v>&lt;numeroLigne&gt;129&lt;/numeroLigne&gt;</v>
      </c>
    </row>
    <row r="14632" spans="1:1" x14ac:dyDescent="0.2">
      <c r="A14632" s="996" t="str">
        <f>CONCATENATE(Programme!D14633,Programme!E14633,Programme!F14633,Programme!G14633,Programme!H14633,Programme!I14633,Programme!J14633)</f>
        <v>&lt;/ValeurCellule&gt;</v>
      </c>
    </row>
    <row r="14633" spans="1:1" x14ac:dyDescent="0.2">
      <c r="A14633" s="996" t="str">
        <f>CONCATENATE(Programme!D14634,Programme!E14634,Programme!F14634,Programme!G14634,Programme!H14634,Programme!I14634,Programme!J14634)</f>
        <v>&lt;ValeurCellule&gt;</v>
      </c>
    </row>
    <row r="14634" spans="1:1" x14ac:dyDescent="0.2">
      <c r="A14634" s="996" t="str">
        <f>CONCATENATE(Programme!D14635,Programme!E14635,Programme!F14635,Programme!G14635,Programme!H14635,Programme!I14635,Programme!J14635)</f>
        <v>&lt;cellule&gt;&lt;codeEdi&gt;1086&lt;/codeEdi&gt;&lt;/cellule&gt;</v>
      </c>
    </row>
    <row r="14635" spans="1:1" x14ac:dyDescent="0.2">
      <c r="A14635" s="996" t="str">
        <f>CONCATENATE(Programme!D14636,Programme!E14636,Programme!F14636,Programme!G14636,Programme!H14636,Programme!I14636,Programme!J14636)</f>
        <v>&lt;valeur&gt;&lt;/valeur&gt;</v>
      </c>
    </row>
    <row r="14636" spans="1:1" x14ac:dyDescent="0.2">
      <c r="A14636" s="996" t="str">
        <f>CONCATENATE(Programme!D14637,Programme!E14637,Programme!F14637,Programme!G14637,Programme!H14637,Programme!I14637,Programme!J14637)</f>
        <v>&lt;numeroLigne&gt;129&lt;/numeroLigne&gt;</v>
      </c>
    </row>
    <row r="14637" spans="1:1" x14ac:dyDescent="0.2">
      <c r="A14637" s="996" t="str">
        <f>CONCATENATE(Programme!D14638,Programme!E14638,Programme!F14638,Programme!G14638,Programme!H14638,Programme!I14638,Programme!J14638)</f>
        <v>&lt;/ValeurCellule&gt;</v>
      </c>
    </row>
    <row r="14638" spans="1:1" x14ac:dyDescent="0.2">
      <c r="A14638" s="996" t="str">
        <f>CONCATENATE(Programme!D14639,Programme!E14639,Programme!F14639,Programme!G14639,Programme!H14639,Programme!I14639,Programme!J14639)</f>
        <v>&lt;ValeurCellule&gt;</v>
      </c>
    </row>
    <row r="14639" spans="1:1" x14ac:dyDescent="0.2">
      <c r="A14639" s="996" t="str">
        <f>CONCATENATE(Programme!D14640,Programme!E14640,Programme!F14640,Programme!G14640,Programme!H14640,Programme!I14640,Programme!J14640)</f>
        <v>&lt;cellule&gt;&lt;codeEdi&gt;10061&lt;/codeEdi&gt;&lt;/cellule&gt;</v>
      </c>
    </row>
    <row r="14640" spans="1:1" x14ac:dyDescent="0.2">
      <c r="A14640" s="996" t="str">
        <f>CONCATENATE(Programme!D14641,Programme!E14641,Programme!F14641,Programme!G14641,Programme!H14641,Programme!I14641,Programme!J14641)</f>
        <v>&lt;valeur&gt;&lt;/valeur&gt;</v>
      </c>
    </row>
    <row r="14641" spans="1:1" x14ac:dyDescent="0.2">
      <c r="A14641" s="996" t="str">
        <f>CONCATENATE(Programme!D14642,Programme!E14642,Programme!F14642,Programme!G14642,Programme!H14642,Programme!I14642,Programme!J14642)</f>
        <v>&lt;numeroLigne&gt;130&lt;/numeroLigne&gt;</v>
      </c>
    </row>
    <row r="14642" spans="1:1" x14ac:dyDescent="0.2">
      <c r="A14642" s="996" t="str">
        <f>CONCATENATE(Programme!D14643,Programme!E14643,Programme!F14643,Programme!G14643,Programme!H14643,Programme!I14643,Programme!J14643)</f>
        <v>&lt;/ValeurCellule&gt;</v>
      </c>
    </row>
    <row r="14643" spans="1:1" x14ac:dyDescent="0.2">
      <c r="A14643" s="996" t="str">
        <f>CONCATENATE(Programme!D14644,Programme!E14644,Programme!F14644,Programme!G14644,Programme!H14644,Programme!I14644,Programme!J14644)</f>
        <v>&lt;ValeurCellule&gt;</v>
      </c>
    </row>
    <row r="14644" spans="1:1" x14ac:dyDescent="0.2">
      <c r="A14644" s="996" t="str">
        <f>CONCATENATE(Programme!D14645,Programme!E14645,Programme!F14645,Programme!G14645,Programme!H14645,Programme!I14645,Programme!J14645)</f>
        <v>&lt;cellule&gt;&lt;codeEdi&gt;1078&lt;/codeEdi&gt;&lt;/cellule&gt;</v>
      </c>
    </row>
    <row r="14645" spans="1:1" x14ac:dyDescent="0.2">
      <c r="A14645" s="996" t="str">
        <f>CONCATENATE(Programme!D14646,Programme!E14646,Programme!F14646,Programme!G14646,Programme!H14646,Programme!I14646,Programme!J14646)</f>
        <v>&lt;valeur&gt;&lt;/valeur&gt;</v>
      </c>
    </row>
    <row r="14646" spans="1:1" x14ac:dyDescent="0.2">
      <c r="A14646" s="996" t="str">
        <f>CONCATENATE(Programme!D14647,Programme!E14647,Programme!F14647,Programme!G14647,Programme!H14647,Programme!I14647,Programme!J14647)</f>
        <v>&lt;numeroLigne&gt;130&lt;/numeroLigne&gt;</v>
      </c>
    </row>
    <row r="14647" spans="1:1" x14ac:dyDescent="0.2">
      <c r="A14647" s="996" t="str">
        <f>CONCATENATE(Programme!D14648,Programme!E14648,Programme!F14648,Programme!G14648,Programme!H14648,Programme!I14648,Programme!J14648)</f>
        <v>&lt;/ValeurCellule&gt;</v>
      </c>
    </row>
    <row r="14648" spans="1:1" x14ac:dyDescent="0.2">
      <c r="A14648" s="996" t="str">
        <f>CONCATENATE(Programme!D14649,Programme!E14649,Programme!F14649,Programme!G14649,Programme!H14649,Programme!I14649,Programme!J14649)</f>
        <v>&lt;ValeurCellule&gt;</v>
      </c>
    </row>
    <row r="14649" spans="1:1" x14ac:dyDescent="0.2">
      <c r="A14649" s="996" t="str">
        <f>CONCATENATE(Programme!D14650,Programme!E14650,Programme!F14650,Programme!G14650,Programme!H14650,Programme!I14650,Programme!J14650)</f>
        <v>&lt;cellule&gt;&lt;codeEdi&gt;1079&lt;/codeEdi&gt;&lt;/cellule&gt;</v>
      </c>
    </row>
    <row r="14650" spans="1:1" x14ac:dyDescent="0.2">
      <c r="A14650" s="996" t="str">
        <f>CONCATENATE(Programme!D14651,Programme!E14651,Programme!F14651,Programme!G14651,Programme!H14651,Programme!I14651,Programme!J14651)</f>
        <v>&lt;valeur&gt;&lt;/valeur&gt;</v>
      </c>
    </row>
    <row r="14651" spans="1:1" x14ac:dyDescent="0.2">
      <c r="A14651" s="996" t="str">
        <f>CONCATENATE(Programme!D14652,Programme!E14652,Programme!F14652,Programme!G14652,Programme!H14652,Programme!I14652,Programme!J14652)</f>
        <v>&lt;numeroLigne&gt;130&lt;/numeroLigne&gt;</v>
      </c>
    </row>
    <row r="14652" spans="1:1" x14ac:dyDescent="0.2">
      <c r="A14652" s="996" t="str">
        <f>CONCATENATE(Programme!D14653,Programme!E14653,Programme!F14653,Programme!G14653,Programme!H14653,Programme!I14653,Programme!J14653)</f>
        <v>&lt;/ValeurCellule&gt;</v>
      </c>
    </row>
    <row r="14653" spans="1:1" x14ac:dyDescent="0.2">
      <c r="A14653" s="996" t="str">
        <f>CONCATENATE(Programme!D14654,Programme!E14654,Programme!F14654,Programme!G14654,Programme!H14654,Programme!I14654,Programme!J14654)</f>
        <v>&lt;ValeurCellule&gt;</v>
      </c>
    </row>
    <row r="14654" spans="1:1" x14ac:dyDescent="0.2">
      <c r="A14654" s="996" t="str">
        <f>CONCATENATE(Programme!D14655,Programme!E14655,Programme!F14655,Programme!G14655,Programme!H14655,Programme!I14655,Programme!J14655)</f>
        <v>&lt;cellule&gt;&lt;codeEdi&gt;1080&lt;/codeEdi&gt;&lt;/cellule&gt;</v>
      </c>
    </row>
    <row r="14655" spans="1:1" x14ac:dyDescent="0.2">
      <c r="A14655" s="996" t="str">
        <f>CONCATENATE(Programme!D14656,Programme!E14656,Programme!F14656,Programme!G14656,Programme!H14656,Programme!I14656,Programme!J14656)</f>
        <v>&lt;valeur&gt;&lt;/valeur&gt;</v>
      </c>
    </row>
    <row r="14656" spans="1:1" x14ac:dyDescent="0.2">
      <c r="A14656" s="996" t="str">
        <f>CONCATENATE(Programme!D14657,Programme!E14657,Programme!F14657,Programme!G14657,Programme!H14657,Programme!I14657,Programme!J14657)</f>
        <v>&lt;numeroLigne&gt;130&lt;/numeroLigne&gt;</v>
      </c>
    </row>
    <row r="14657" spans="1:1" x14ac:dyDescent="0.2">
      <c r="A14657" s="996" t="str">
        <f>CONCATENATE(Programme!D14658,Programme!E14658,Programme!F14658,Programme!G14658,Programme!H14658,Programme!I14658,Programme!J14658)</f>
        <v>&lt;/ValeurCellule&gt;</v>
      </c>
    </row>
    <row r="14658" spans="1:1" x14ac:dyDescent="0.2">
      <c r="A14658" s="996" t="str">
        <f>CONCATENATE(Programme!D14659,Programme!E14659,Programme!F14659,Programme!G14659,Programme!H14659,Programme!I14659,Programme!J14659)</f>
        <v>&lt;ValeurCellule&gt;</v>
      </c>
    </row>
    <row r="14659" spans="1:1" x14ac:dyDescent="0.2">
      <c r="A14659" s="996" t="str">
        <f>CONCATENATE(Programme!D14660,Programme!E14660,Programme!F14660,Programme!G14660,Programme!H14660,Programme!I14660,Programme!J14660)</f>
        <v>&lt;cellule&gt;&lt;codeEdi&gt;1081&lt;/codeEdi&gt;&lt;/cellule&gt;</v>
      </c>
    </row>
    <row r="14660" spans="1:1" x14ac:dyDescent="0.2">
      <c r="A14660" s="996" t="str">
        <f>CONCATENATE(Programme!D14661,Programme!E14661,Programme!F14661,Programme!G14661,Programme!H14661,Programme!I14661,Programme!J14661)</f>
        <v>&lt;valeur&gt;&lt;/valeur&gt;</v>
      </c>
    </row>
    <row r="14661" spans="1:1" x14ac:dyDescent="0.2">
      <c r="A14661" s="996" t="str">
        <f>CONCATENATE(Programme!D14662,Programme!E14662,Programme!F14662,Programme!G14662,Programme!H14662,Programme!I14662,Programme!J14662)</f>
        <v>&lt;numeroLigne&gt;130&lt;/numeroLigne&gt;</v>
      </c>
    </row>
    <row r="14662" spans="1:1" x14ac:dyDescent="0.2">
      <c r="A14662" s="996" t="str">
        <f>CONCATENATE(Programme!D14663,Programme!E14663,Programme!F14663,Programme!G14663,Programme!H14663,Programme!I14663,Programme!J14663)</f>
        <v>&lt;/ValeurCellule&gt;</v>
      </c>
    </row>
    <row r="14663" spans="1:1" x14ac:dyDescent="0.2">
      <c r="A14663" s="996" t="str">
        <f>CONCATENATE(Programme!D14664,Programme!E14664,Programme!F14664,Programme!G14664,Programme!H14664,Programme!I14664,Programme!J14664)</f>
        <v>&lt;ValeurCellule&gt;</v>
      </c>
    </row>
    <row r="14664" spans="1:1" x14ac:dyDescent="0.2">
      <c r="A14664" s="996" t="str">
        <f>CONCATENATE(Programme!D14665,Programme!E14665,Programme!F14665,Programme!G14665,Programme!H14665,Programme!I14665,Programme!J14665)</f>
        <v>&lt;cellule&gt;&lt;codeEdi&gt;1082&lt;/codeEdi&gt;&lt;/cellule&gt;</v>
      </c>
    </row>
    <row r="14665" spans="1:1" x14ac:dyDescent="0.2">
      <c r="A14665" s="996" t="str">
        <f>CONCATENATE(Programme!D14666,Programme!E14666,Programme!F14666,Programme!G14666,Programme!H14666,Programme!I14666,Programme!J14666)</f>
        <v>&lt;valeur&gt;&lt;/valeur&gt;</v>
      </c>
    </row>
    <row r="14666" spans="1:1" x14ac:dyDescent="0.2">
      <c r="A14666" s="996" t="str">
        <f>CONCATENATE(Programme!D14667,Programme!E14667,Programme!F14667,Programme!G14667,Programme!H14667,Programme!I14667,Programme!J14667)</f>
        <v>&lt;numeroLigne&gt;130&lt;/numeroLigne&gt;</v>
      </c>
    </row>
    <row r="14667" spans="1:1" x14ac:dyDescent="0.2">
      <c r="A14667" s="996" t="str">
        <f>CONCATENATE(Programme!D14668,Programme!E14668,Programme!F14668,Programme!G14668,Programme!H14668,Programme!I14668,Programme!J14668)</f>
        <v>&lt;/ValeurCellule&gt;</v>
      </c>
    </row>
    <row r="14668" spans="1:1" x14ac:dyDescent="0.2">
      <c r="A14668" s="996" t="str">
        <f>CONCATENATE(Programme!D14669,Programme!E14669,Programme!F14669,Programme!G14669,Programme!H14669,Programme!I14669,Programme!J14669)</f>
        <v>&lt;ValeurCellule&gt;</v>
      </c>
    </row>
    <row r="14669" spans="1:1" x14ac:dyDescent="0.2">
      <c r="A14669" s="996" t="str">
        <f>CONCATENATE(Programme!D14670,Programme!E14670,Programme!F14670,Programme!G14670,Programme!H14670,Programme!I14670,Programme!J14670)</f>
        <v>&lt;cellule&gt;&lt;codeEdi&gt;1083&lt;/codeEdi&gt;&lt;/cellule&gt;</v>
      </c>
    </row>
    <row r="14670" spans="1:1" x14ac:dyDescent="0.2">
      <c r="A14670" s="996" t="str">
        <f>CONCATENATE(Programme!D14671,Programme!E14671,Programme!F14671,Programme!G14671,Programme!H14671,Programme!I14671,Programme!J14671)</f>
        <v>&lt;valeur&gt;&lt;/valeur&gt;</v>
      </c>
    </row>
    <row r="14671" spans="1:1" x14ac:dyDescent="0.2">
      <c r="A14671" s="996" t="str">
        <f>CONCATENATE(Programme!D14672,Programme!E14672,Programme!F14672,Programme!G14672,Programme!H14672,Programme!I14672,Programme!J14672)</f>
        <v>&lt;numeroLigne&gt;130&lt;/numeroLigne&gt;</v>
      </c>
    </row>
    <row r="14672" spans="1:1" x14ac:dyDescent="0.2">
      <c r="A14672" s="996" t="str">
        <f>CONCATENATE(Programme!D14673,Programme!E14673,Programme!F14673,Programme!G14673,Programme!H14673,Programme!I14673,Programme!J14673)</f>
        <v>&lt;/ValeurCellule&gt;</v>
      </c>
    </row>
    <row r="14673" spans="1:1" x14ac:dyDescent="0.2">
      <c r="A14673" s="996" t="str">
        <f>CONCATENATE(Programme!D14674,Programme!E14674,Programme!F14674,Programme!G14674,Programme!H14674,Programme!I14674,Programme!J14674)</f>
        <v>&lt;ValeurCellule&gt;</v>
      </c>
    </row>
    <row r="14674" spans="1:1" x14ac:dyDescent="0.2">
      <c r="A14674" s="996" t="str">
        <f>CONCATENATE(Programme!D14675,Programme!E14675,Programme!F14675,Programme!G14675,Programme!H14675,Programme!I14675,Programme!J14675)</f>
        <v>&lt;cellule&gt;&lt;codeEdi&gt;1084&lt;/codeEdi&gt;&lt;/cellule&gt;</v>
      </c>
    </row>
    <row r="14675" spans="1:1" x14ac:dyDescent="0.2">
      <c r="A14675" s="996" t="str">
        <f>CONCATENATE(Programme!D14676,Programme!E14676,Programme!F14676,Programme!G14676,Programme!H14676,Programme!I14676,Programme!J14676)</f>
        <v>&lt;valeur&gt;&lt;/valeur&gt;</v>
      </c>
    </row>
    <row r="14676" spans="1:1" x14ac:dyDescent="0.2">
      <c r="A14676" s="996" t="str">
        <f>CONCATENATE(Programme!D14677,Programme!E14677,Programme!F14677,Programme!G14677,Programme!H14677,Programme!I14677,Programme!J14677)</f>
        <v>&lt;numeroLigne&gt;130&lt;/numeroLigne&gt;</v>
      </c>
    </row>
    <row r="14677" spans="1:1" x14ac:dyDescent="0.2">
      <c r="A14677" s="996" t="str">
        <f>CONCATENATE(Programme!D14678,Programme!E14678,Programme!F14678,Programme!G14678,Programme!H14678,Programme!I14678,Programme!J14678)</f>
        <v>&lt;/ValeurCellule&gt;</v>
      </c>
    </row>
    <row r="14678" spans="1:1" x14ac:dyDescent="0.2">
      <c r="A14678" s="996" t="str">
        <f>CONCATENATE(Programme!D14679,Programme!E14679,Programme!F14679,Programme!G14679,Programme!H14679,Programme!I14679,Programme!J14679)</f>
        <v>&lt;ValeurCellule&gt;</v>
      </c>
    </row>
    <row r="14679" spans="1:1" x14ac:dyDescent="0.2">
      <c r="A14679" s="996" t="str">
        <f>CONCATENATE(Programme!D14680,Programme!E14680,Programme!F14680,Programme!G14680,Programme!H14680,Programme!I14680,Programme!J14680)</f>
        <v>&lt;cellule&gt;&lt;codeEdi&gt;1085&lt;/codeEdi&gt;&lt;/cellule&gt;</v>
      </c>
    </row>
    <row r="14680" spans="1:1" x14ac:dyDescent="0.2">
      <c r="A14680" s="996" t="str">
        <f>CONCATENATE(Programme!D14681,Programme!E14681,Programme!F14681,Programme!G14681,Programme!H14681,Programme!I14681,Programme!J14681)</f>
        <v>&lt;valeur&gt;&lt;/valeur&gt;</v>
      </c>
    </row>
    <row r="14681" spans="1:1" x14ac:dyDescent="0.2">
      <c r="A14681" s="996" t="str">
        <f>CONCATENATE(Programme!D14682,Programme!E14682,Programme!F14682,Programme!G14682,Programme!H14682,Programme!I14682,Programme!J14682)</f>
        <v>&lt;numeroLigne&gt;130&lt;/numeroLigne&gt;</v>
      </c>
    </row>
    <row r="14682" spans="1:1" x14ac:dyDescent="0.2">
      <c r="A14682" s="996" t="str">
        <f>CONCATENATE(Programme!D14683,Programme!E14683,Programme!F14683,Programme!G14683,Programme!H14683,Programme!I14683,Programme!J14683)</f>
        <v>&lt;/ValeurCellule&gt;</v>
      </c>
    </row>
    <row r="14683" spans="1:1" x14ac:dyDescent="0.2">
      <c r="A14683" s="996" t="str">
        <f>CONCATENATE(Programme!D14684,Programme!E14684,Programme!F14684,Programme!G14684,Programme!H14684,Programme!I14684,Programme!J14684)</f>
        <v>&lt;ValeurCellule&gt;</v>
      </c>
    </row>
    <row r="14684" spans="1:1" x14ac:dyDescent="0.2">
      <c r="A14684" s="996" t="str">
        <f>CONCATENATE(Programme!D14685,Programme!E14685,Programme!F14685,Programme!G14685,Programme!H14685,Programme!I14685,Programme!J14685)</f>
        <v>&lt;cellule&gt;&lt;codeEdi&gt;1086&lt;/codeEdi&gt;&lt;/cellule&gt;</v>
      </c>
    </row>
    <row r="14685" spans="1:1" x14ac:dyDescent="0.2">
      <c r="A14685" s="996" t="str">
        <f>CONCATENATE(Programme!D14686,Programme!E14686,Programme!F14686,Programme!G14686,Programme!H14686,Programme!I14686,Programme!J14686)</f>
        <v>&lt;valeur&gt;&lt;/valeur&gt;</v>
      </c>
    </row>
    <row r="14686" spans="1:1" x14ac:dyDescent="0.2">
      <c r="A14686" s="996" t="str">
        <f>CONCATENATE(Programme!D14687,Programme!E14687,Programme!F14687,Programme!G14687,Programme!H14687,Programme!I14687,Programme!J14687)</f>
        <v>&lt;numeroLigne&gt;130&lt;/numeroLigne&gt;</v>
      </c>
    </row>
    <row r="14687" spans="1:1" x14ac:dyDescent="0.2">
      <c r="A14687" s="996" t="str">
        <f>CONCATENATE(Programme!D14688,Programme!E14688,Programme!F14688,Programme!G14688,Programme!H14688,Programme!I14688,Programme!J14688)</f>
        <v>&lt;/ValeurCellule&gt;</v>
      </c>
    </row>
    <row r="14688" spans="1:1" x14ac:dyDescent="0.2">
      <c r="A14688" s="996" t="str">
        <f>CONCATENATE(Programme!D14689,Programme!E14689,Programme!F14689,Programme!G14689,Programme!H14689,Programme!I14689,Programme!J14689)</f>
        <v>&lt;ValeurCellule&gt;</v>
      </c>
    </row>
    <row r="14689" spans="1:1" x14ac:dyDescent="0.2">
      <c r="A14689" s="996" t="str">
        <f>CONCATENATE(Programme!D14690,Programme!E14690,Programme!F14690,Programme!G14690,Programme!H14690,Programme!I14690,Programme!J14690)</f>
        <v>&lt;cellule&gt;&lt;codeEdi&gt;10061&lt;/codeEdi&gt;&lt;/cellule&gt;</v>
      </c>
    </row>
    <row r="14690" spans="1:1" x14ac:dyDescent="0.2">
      <c r="A14690" s="996" t="str">
        <f>CONCATENATE(Programme!D14691,Programme!E14691,Programme!F14691,Programme!G14691,Programme!H14691,Programme!I14691,Programme!J14691)</f>
        <v>&lt;valeur&gt;&lt;/valeur&gt;</v>
      </c>
    </row>
    <row r="14691" spans="1:1" x14ac:dyDescent="0.2">
      <c r="A14691" s="996" t="str">
        <f>CONCATENATE(Programme!D14692,Programme!E14692,Programme!F14692,Programme!G14692,Programme!H14692,Programme!I14692,Programme!J14692)</f>
        <v>&lt;numeroLigne&gt;131&lt;/numeroLigne&gt;</v>
      </c>
    </row>
    <row r="14692" spans="1:1" x14ac:dyDescent="0.2">
      <c r="A14692" s="996" t="str">
        <f>CONCATENATE(Programme!D14693,Programme!E14693,Programme!F14693,Programme!G14693,Programme!H14693,Programme!I14693,Programme!J14693)</f>
        <v>&lt;/ValeurCellule&gt;</v>
      </c>
    </row>
    <row r="14693" spans="1:1" x14ac:dyDescent="0.2">
      <c r="A14693" s="996" t="str">
        <f>CONCATENATE(Programme!D14694,Programme!E14694,Programme!F14694,Programme!G14694,Programme!H14694,Programme!I14694,Programme!J14694)</f>
        <v>&lt;ValeurCellule&gt;</v>
      </c>
    </row>
    <row r="14694" spans="1:1" x14ac:dyDescent="0.2">
      <c r="A14694" s="996" t="str">
        <f>CONCATENATE(Programme!D14695,Programme!E14695,Programme!F14695,Programme!G14695,Programme!H14695,Programme!I14695,Programme!J14695)</f>
        <v>&lt;cellule&gt;&lt;codeEdi&gt;1078&lt;/codeEdi&gt;&lt;/cellule&gt;</v>
      </c>
    </row>
    <row r="14695" spans="1:1" x14ac:dyDescent="0.2">
      <c r="A14695" s="996" t="str">
        <f>CONCATENATE(Programme!D14696,Programme!E14696,Programme!F14696,Programme!G14696,Programme!H14696,Programme!I14696,Programme!J14696)</f>
        <v>&lt;valeur&gt;&lt;/valeur&gt;</v>
      </c>
    </row>
    <row r="14696" spans="1:1" x14ac:dyDescent="0.2">
      <c r="A14696" s="996" t="str">
        <f>CONCATENATE(Programme!D14697,Programme!E14697,Programme!F14697,Programme!G14697,Programme!H14697,Programme!I14697,Programme!J14697)</f>
        <v>&lt;numeroLigne&gt;131&lt;/numeroLigne&gt;</v>
      </c>
    </row>
    <row r="14697" spans="1:1" x14ac:dyDescent="0.2">
      <c r="A14697" s="996" t="str">
        <f>CONCATENATE(Programme!D14698,Programme!E14698,Programme!F14698,Programme!G14698,Programme!H14698,Programme!I14698,Programme!J14698)</f>
        <v>&lt;/ValeurCellule&gt;</v>
      </c>
    </row>
    <row r="14698" spans="1:1" x14ac:dyDescent="0.2">
      <c r="A14698" s="996" t="str">
        <f>CONCATENATE(Programme!D14699,Programme!E14699,Programme!F14699,Programme!G14699,Programme!H14699,Programme!I14699,Programme!J14699)</f>
        <v>&lt;ValeurCellule&gt;</v>
      </c>
    </row>
    <row r="14699" spans="1:1" x14ac:dyDescent="0.2">
      <c r="A14699" s="996" t="str">
        <f>CONCATENATE(Programme!D14700,Programme!E14700,Programme!F14700,Programme!G14700,Programme!H14700,Programme!I14700,Programme!J14700)</f>
        <v>&lt;cellule&gt;&lt;codeEdi&gt;1079&lt;/codeEdi&gt;&lt;/cellule&gt;</v>
      </c>
    </row>
    <row r="14700" spans="1:1" x14ac:dyDescent="0.2">
      <c r="A14700" s="996" t="str">
        <f>CONCATENATE(Programme!D14701,Programme!E14701,Programme!F14701,Programme!G14701,Programme!H14701,Programme!I14701,Programme!J14701)</f>
        <v>&lt;valeur&gt;&lt;/valeur&gt;</v>
      </c>
    </row>
    <row r="14701" spans="1:1" x14ac:dyDescent="0.2">
      <c r="A14701" s="996" t="str">
        <f>CONCATENATE(Programme!D14702,Programme!E14702,Programme!F14702,Programme!G14702,Programme!H14702,Programme!I14702,Programme!J14702)</f>
        <v>&lt;numeroLigne&gt;131&lt;/numeroLigne&gt;</v>
      </c>
    </row>
    <row r="14702" spans="1:1" x14ac:dyDescent="0.2">
      <c r="A14702" s="996" t="str">
        <f>CONCATENATE(Programme!D14703,Programme!E14703,Programme!F14703,Programme!G14703,Programme!H14703,Programme!I14703,Programme!J14703)</f>
        <v>&lt;/ValeurCellule&gt;</v>
      </c>
    </row>
    <row r="14703" spans="1:1" x14ac:dyDescent="0.2">
      <c r="A14703" s="996" t="str">
        <f>CONCATENATE(Programme!D14704,Programme!E14704,Programme!F14704,Programme!G14704,Programme!H14704,Programme!I14704,Programme!J14704)</f>
        <v>&lt;ValeurCellule&gt;</v>
      </c>
    </row>
    <row r="14704" spans="1:1" x14ac:dyDescent="0.2">
      <c r="A14704" s="996" t="str">
        <f>CONCATENATE(Programme!D14705,Programme!E14705,Programme!F14705,Programme!G14705,Programme!H14705,Programme!I14705,Programme!J14705)</f>
        <v>&lt;cellule&gt;&lt;codeEdi&gt;1080&lt;/codeEdi&gt;&lt;/cellule&gt;</v>
      </c>
    </row>
    <row r="14705" spans="1:1" x14ac:dyDescent="0.2">
      <c r="A14705" s="996" t="str">
        <f>CONCATENATE(Programme!D14706,Programme!E14706,Programme!F14706,Programme!G14706,Programme!H14706,Programme!I14706,Programme!J14706)</f>
        <v>&lt;valeur&gt;&lt;/valeur&gt;</v>
      </c>
    </row>
    <row r="14706" spans="1:1" x14ac:dyDescent="0.2">
      <c r="A14706" s="996" t="str">
        <f>CONCATENATE(Programme!D14707,Programme!E14707,Programme!F14707,Programme!G14707,Programme!H14707,Programme!I14707,Programme!J14707)</f>
        <v>&lt;numeroLigne&gt;131&lt;/numeroLigne&gt;</v>
      </c>
    </row>
    <row r="14707" spans="1:1" x14ac:dyDescent="0.2">
      <c r="A14707" s="996" t="str">
        <f>CONCATENATE(Programme!D14708,Programme!E14708,Programme!F14708,Programme!G14708,Programme!H14708,Programme!I14708,Programme!J14708)</f>
        <v>&lt;/ValeurCellule&gt;</v>
      </c>
    </row>
    <row r="14708" spans="1:1" x14ac:dyDescent="0.2">
      <c r="A14708" s="996" t="str">
        <f>CONCATENATE(Programme!D14709,Programme!E14709,Programme!F14709,Programme!G14709,Programme!H14709,Programme!I14709,Programme!J14709)</f>
        <v>&lt;ValeurCellule&gt;</v>
      </c>
    </row>
    <row r="14709" spans="1:1" x14ac:dyDescent="0.2">
      <c r="A14709" s="996" t="str">
        <f>CONCATENATE(Programme!D14710,Programme!E14710,Programme!F14710,Programme!G14710,Programme!H14710,Programme!I14710,Programme!J14710)</f>
        <v>&lt;cellule&gt;&lt;codeEdi&gt;1081&lt;/codeEdi&gt;&lt;/cellule&gt;</v>
      </c>
    </row>
    <row r="14710" spans="1:1" x14ac:dyDescent="0.2">
      <c r="A14710" s="996" t="str">
        <f>CONCATENATE(Programme!D14711,Programme!E14711,Programme!F14711,Programme!G14711,Programme!H14711,Programme!I14711,Programme!J14711)</f>
        <v>&lt;valeur&gt;&lt;/valeur&gt;</v>
      </c>
    </row>
    <row r="14711" spans="1:1" x14ac:dyDescent="0.2">
      <c r="A14711" s="996" t="str">
        <f>CONCATENATE(Programme!D14712,Programme!E14712,Programme!F14712,Programme!G14712,Programme!H14712,Programme!I14712,Programme!J14712)</f>
        <v>&lt;numeroLigne&gt;131&lt;/numeroLigne&gt;</v>
      </c>
    </row>
    <row r="14712" spans="1:1" x14ac:dyDescent="0.2">
      <c r="A14712" s="996" t="str">
        <f>CONCATENATE(Programme!D14713,Programme!E14713,Programme!F14713,Programme!G14713,Programme!H14713,Programme!I14713,Programme!J14713)</f>
        <v>&lt;/ValeurCellule&gt;</v>
      </c>
    </row>
    <row r="14713" spans="1:1" x14ac:dyDescent="0.2">
      <c r="A14713" s="996" t="str">
        <f>CONCATENATE(Programme!D14714,Programme!E14714,Programme!F14714,Programme!G14714,Programme!H14714,Programme!I14714,Programme!J14714)</f>
        <v>&lt;ValeurCellule&gt;</v>
      </c>
    </row>
    <row r="14714" spans="1:1" x14ac:dyDescent="0.2">
      <c r="A14714" s="996" t="str">
        <f>CONCATENATE(Programme!D14715,Programme!E14715,Programme!F14715,Programme!G14715,Programme!H14715,Programme!I14715,Programme!J14715)</f>
        <v>&lt;cellule&gt;&lt;codeEdi&gt;1082&lt;/codeEdi&gt;&lt;/cellule&gt;</v>
      </c>
    </row>
    <row r="14715" spans="1:1" x14ac:dyDescent="0.2">
      <c r="A14715" s="996" t="str">
        <f>CONCATENATE(Programme!D14716,Programme!E14716,Programme!F14716,Programme!G14716,Programme!H14716,Programme!I14716,Programme!J14716)</f>
        <v>&lt;valeur&gt;&lt;/valeur&gt;</v>
      </c>
    </row>
    <row r="14716" spans="1:1" x14ac:dyDescent="0.2">
      <c r="A14716" s="996" t="str">
        <f>CONCATENATE(Programme!D14717,Programme!E14717,Programme!F14717,Programme!G14717,Programme!H14717,Programme!I14717,Programme!J14717)</f>
        <v>&lt;numeroLigne&gt;131&lt;/numeroLigne&gt;</v>
      </c>
    </row>
    <row r="14717" spans="1:1" x14ac:dyDescent="0.2">
      <c r="A14717" s="996" t="str">
        <f>CONCATENATE(Programme!D14718,Programme!E14718,Programme!F14718,Programme!G14718,Programme!H14718,Programme!I14718,Programme!J14718)</f>
        <v>&lt;/ValeurCellule&gt;</v>
      </c>
    </row>
    <row r="14718" spans="1:1" x14ac:dyDescent="0.2">
      <c r="A14718" s="996" t="str">
        <f>CONCATENATE(Programme!D14719,Programme!E14719,Programme!F14719,Programme!G14719,Programme!H14719,Programme!I14719,Programme!J14719)</f>
        <v>&lt;ValeurCellule&gt;</v>
      </c>
    </row>
    <row r="14719" spans="1:1" x14ac:dyDescent="0.2">
      <c r="A14719" s="996" t="str">
        <f>CONCATENATE(Programme!D14720,Programme!E14720,Programme!F14720,Programme!G14720,Programme!H14720,Programme!I14720,Programme!J14720)</f>
        <v>&lt;cellule&gt;&lt;codeEdi&gt;1083&lt;/codeEdi&gt;&lt;/cellule&gt;</v>
      </c>
    </row>
    <row r="14720" spans="1:1" x14ac:dyDescent="0.2">
      <c r="A14720" s="996" t="str">
        <f>CONCATENATE(Programme!D14721,Programme!E14721,Programme!F14721,Programme!G14721,Programme!H14721,Programme!I14721,Programme!J14721)</f>
        <v>&lt;valeur&gt;&lt;/valeur&gt;</v>
      </c>
    </row>
    <row r="14721" spans="1:1" x14ac:dyDescent="0.2">
      <c r="A14721" s="996" t="str">
        <f>CONCATENATE(Programme!D14722,Programme!E14722,Programme!F14722,Programme!G14722,Programme!H14722,Programme!I14722,Programme!J14722)</f>
        <v>&lt;numeroLigne&gt;131&lt;/numeroLigne&gt;</v>
      </c>
    </row>
    <row r="14722" spans="1:1" x14ac:dyDescent="0.2">
      <c r="A14722" s="996" t="str">
        <f>CONCATENATE(Programme!D14723,Programme!E14723,Programme!F14723,Programme!G14723,Programme!H14723,Programme!I14723,Programme!J14723)</f>
        <v>&lt;/ValeurCellule&gt;</v>
      </c>
    </row>
    <row r="14723" spans="1:1" x14ac:dyDescent="0.2">
      <c r="A14723" s="996" t="str">
        <f>CONCATENATE(Programme!D14724,Programme!E14724,Programme!F14724,Programme!G14724,Programme!H14724,Programme!I14724,Programme!J14724)</f>
        <v>&lt;ValeurCellule&gt;</v>
      </c>
    </row>
    <row r="14724" spans="1:1" x14ac:dyDescent="0.2">
      <c r="A14724" s="996" t="str">
        <f>CONCATENATE(Programme!D14725,Programme!E14725,Programme!F14725,Programme!G14725,Programme!H14725,Programme!I14725,Programme!J14725)</f>
        <v>&lt;cellule&gt;&lt;codeEdi&gt;1084&lt;/codeEdi&gt;&lt;/cellule&gt;</v>
      </c>
    </row>
    <row r="14725" spans="1:1" x14ac:dyDescent="0.2">
      <c r="A14725" s="996" t="str">
        <f>CONCATENATE(Programme!D14726,Programme!E14726,Programme!F14726,Programme!G14726,Programme!H14726,Programme!I14726,Programme!J14726)</f>
        <v>&lt;valeur&gt;&lt;/valeur&gt;</v>
      </c>
    </row>
    <row r="14726" spans="1:1" x14ac:dyDescent="0.2">
      <c r="A14726" s="996" t="str">
        <f>CONCATENATE(Programme!D14727,Programme!E14727,Programme!F14727,Programme!G14727,Programme!H14727,Programme!I14727,Programme!J14727)</f>
        <v>&lt;numeroLigne&gt;131&lt;/numeroLigne&gt;</v>
      </c>
    </row>
    <row r="14727" spans="1:1" x14ac:dyDescent="0.2">
      <c r="A14727" s="996" t="str">
        <f>CONCATENATE(Programme!D14728,Programme!E14728,Programme!F14728,Programme!G14728,Programme!H14728,Programme!I14728,Programme!J14728)</f>
        <v>&lt;/ValeurCellule&gt;</v>
      </c>
    </row>
    <row r="14728" spans="1:1" x14ac:dyDescent="0.2">
      <c r="A14728" s="996" t="str">
        <f>CONCATENATE(Programme!D14729,Programme!E14729,Programme!F14729,Programme!G14729,Programme!H14729,Programme!I14729,Programme!J14729)</f>
        <v>&lt;ValeurCellule&gt;</v>
      </c>
    </row>
    <row r="14729" spans="1:1" x14ac:dyDescent="0.2">
      <c r="A14729" s="996" t="str">
        <f>CONCATENATE(Programme!D14730,Programme!E14730,Programme!F14730,Programme!G14730,Programme!H14730,Programme!I14730,Programme!J14730)</f>
        <v>&lt;cellule&gt;&lt;codeEdi&gt;1085&lt;/codeEdi&gt;&lt;/cellule&gt;</v>
      </c>
    </row>
    <row r="14730" spans="1:1" x14ac:dyDescent="0.2">
      <c r="A14730" s="996" t="str">
        <f>CONCATENATE(Programme!D14731,Programme!E14731,Programme!F14731,Programme!G14731,Programme!H14731,Programme!I14731,Programme!J14731)</f>
        <v>&lt;valeur&gt;&lt;/valeur&gt;</v>
      </c>
    </row>
    <row r="14731" spans="1:1" x14ac:dyDescent="0.2">
      <c r="A14731" s="996" t="str">
        <f>CONCATENATE(Programme!D14732,Programme!E14732,Programme!F14732,Programme!G14732,Programme!H14732,Programme!I14732,Programme!J14732)</f>
        <v>&lt;numeroLigne&gt;131&lt;/numeroLigne&gt;</v>
      </c>
    </row>
    <row r="14732" spans="1:1" x14ac:dyDescent="0.2">
      <c r="A14732" s="996" t="str">
        <f>CONCATENATE(Programme!D14733,Programme!E14733,Programme!F14733,Programme!G14733,Programme!H14733,Programme!I14733,Programme!J14733)</f>
        <v>&lt;/ValeurCellule&gt;</v>
      </c>
    </row>
    <row r="14733" spans="1:1" x14ac:dyDescent="0.2">
      <c r="A14733" s="996" t="str">
        <f>CONCATENATE(Programme!D14734,Programme!E14734,Programme!F14734,Programme!G14734,Programme!H14734,Programme!I14734,Programme!J14734)</f>
        <v>&lt;ValeurCellule&gt;</v>
      </c>
    </row>
    <row r="14734" spans="1:1" x14ac:dyDescent="0.2">
      <c r="A14734" s="996" t="str">
        <f>CONCATENATE(Programme!D14735,Programme!E14735,Programme!F14735,Programme!G14735,Programme!H14735,Programme!I14735,Programme!J14735)</f>
        <v>&lt;cellule&gt;&lt;codeEdi&gt;1086&lt;/codeEdi&gt;&lt;/cellule&gt;</v>
      </c>
    </row>
    <row r="14735" spans="1:1" x14ac:dyDescent="0.2">
      <c r="A14735" s="996" t="str">
        <f>CONCATENATE(Programme!D14736,Programme!E14736,Programme!F14736,Programme!G14736,Programme!H14736,Programme!I14736,Programme!J14736)</f>
        <v>&lt;valeur&gt;&lt;/valeur&gt;</v>
      </c>
    </row>
    <row r="14736" spans="1:1" x14ac:dyDescent="0.2">
      <c r="A14736" s="996" t="str">
        <f>CONCATENATE(Programme!D14737,Programme!E14737,Programme!F14737,Programme!G14737,Programme!H14737,Programme!I14737,Programme!J14737)</f>
        <v>&lt;numeroLigne&gt;131&lt;/numeroLigne&gt;</v>
      </c>
    </row>
    <row r="14737" spans="1:1" x14ac:dyDescent="0.2">
      <c r="A14737" s="996" t="str">
        <f>CONCATENATE(Programme!D14738,Programme!E14738,Programme!F14738,Programme!G14738,Programme!H14738,Programme!I14738,Programme!J14738)</f>
        <v>&lt;/ValeurCellule&gt;</v>
      </c>
    </row>
    <row r="14738" spans="1:1" x14ac:dyDescent="0.2">
      <c r="A14738" s="996" t="str">
        <f>CONCATENATE(Programme!D14739,Programme!E14739,Programme!F14739,Programme!G14739,Programme!H14739,Programme!I14739,Programme!J14739)</f>
        <v>&lt;ValeurCellule&gt;</v>
      </c>
    </row>
    <row r="14739" spans="1:1" x14ac:dyDescent="0.2">
      <c r="A14739" s="996" t="str">
        <f>CONCATENATE(Programme!D14740,Programme!E14740,Programme!F14740,Programme!G14740,Programme!H14740,Programme!I14740,Programme!J14740)</f>
        <v>&lt;cellule&gt;&lt;codeEdi&gt;10061&lt;/codeEdi&gt;&lt;/cellule&gt;</v>
      </c>
    </row>
    <row r="14740" spans="1:1" x14ac:dyDescent="0.2">
      <c r="A14740" s="996" t="str">
        <f>CONCATENATE(Programme!D14741,Programme!E14741,Programme!F14741,Programme!G14741,Programme!H14741,Programme!I14741,Programme!J14741)</f>
        <v>&lt;valeur&gt;&lt;/valeur&gt;</v>
      </c>
    </row>
    <row r="14741" spans="1:1" x14ac:dyDescent="0.2">
      <c r="A14741" s="996" t="str">
        <f>CONCATENATE(Programme!D14742,Programme!E14742,Programme!F14742,Programme!G14742,Programme!H14742,Programme!I14742,Programme!J14742)</f>
        <v>&lt;numeroLigne&gt;132&lt;/numeroLigne&gt;</v>
      </c>
    </row>
    <row r="14742" spans="1:1" x14ac:dyDescent="0.2">
      <c r="A14742" s="996" t="str">
        <f>CONCATENATE(Programme!D14743,Programme!E14743,Programme!F14743,Programme!G14743,Programme!H14743,Programme!I14743,Programme!J14743)</f>
        <v>&lt;/ValeurCellule&gt;</v>
      </c>
    </row>
    <row r="14743" spans="1:1" x14ac:dyDescent="0.2">
      <c r="A14743" s="996" t="str">
        <f>CONCATENATE(Programme!D14744,Programme!E14744,Programme!F14744,Programme!G14744,Programme!H14744,Programme!I14744,Programme!J14744)</f>
        <v>&lt;ValeurCellule&gt;</v>
      </c>
    </row>
    <row r="14744" spans="1:1" x14ac:dyDescent="0.2">
      <c r="A14744" s="996" t="str">
        <f>CONCATENATE(Programme!D14745,Programme!E14745,Programme!F14745,Programme!G14745,Programme!H14745,Programme!I14745,Programme!J14745)</f>
        <v>&lt;cellule&gt;&lt;codeEdi&gt;1078&lt;/codeEdi&gt;&lt;/cellule&gt;</v>
      </c>
    </row>
    <row r="14745" spans="1:1" x14ac:dyDescent="0.2">
      <c r="A14745" s="996" t="str">
        <f>CONCATENATE(Programme!D14746,Programme!E14746,Programme!F14746,Programme!G14746,Programme!H14746,Programme!I14746,Programme!J14746)</f>
        <v>&lt;valeur&gt;&lt;/valeur&gt;</v>
      </c>
    </row>
    <row r="14746" spans="1:1" x14ac:dyDescent="0.2">
      <c r="A14746" s="996" t="str">
        <f>CONCATENATE(Programme!D14747,Programme!E14747,Programme!F14747,Programme!G14747,Programme!H14747,Programme!I14747,Programme!J14747)</f>
        <v>&lt;numeroLigne&gt;132&lt;/numeroLigne&gt;</v>
      </c>
    </row>
    <row r="14747" spans="1:1" x14ac:dyDescent="0.2">
      <c r="A14747" s="996" t="str">
        <f>CONCATENATE(Programme!D14748,Programme!E14748,Programme!F14748,Programme!G14748,Programme!H14748,Programme!I14748,Programme!J14748)</f>
        <v>&lt;/ValeurCellule&gt;</v>
      </c>
    </row>
    <row r="14748" spans="1:1" x14ac:dyDescent="0.2">
      <c r="A14748" s="996" t="str">
        <f>CONCATENATE(Programme!D14749,Programme!E14749,Programme!F14749,Programme!G14749,Programme!H14749,Programme!I14749,Programme!J14749)</f>
        <v>&lt;ValeurCellule&gt;</v>
      </c>
    </row>
    <row r="14749" spans="1:1" x14ac:dyDescent="0.2">
      <c r="A14749" s="996" t="str">
        <f>CONCATENATE(Programme!D14750,Programme!E14750,Programme!F14750,Programme!G14750,Programme!H14750,Programme!I14750,Programme!J14750)</f>
        <v>&lt;cellule&gt;&lt;codeEdi&gt;1079&lt;/codeEdi&gt;&lt;/cellule&gt;</v>
      </c>
    </row>
    <row r="14750" spans="1:1" x14ac:dyDescent="0.2">
      <c r="A14750" s="996" t="str">
        <f>CONCATENATE(Programme!D14751,Programme!E14751,Programme!F14751,Programme!G14751,Programme!H14751,Programme!I14751,Programme!J14751)</f>
        <v>&lt;valeur&gt;&lt;/valeur&gt;</v>
      </c>
    </row>
    <row r="14751" spans="1:1" x14ac:dyDescent="0.2">
      <c r="A14751" s="996" t="str">
        <f>CONCATENATE(Programme!D14752,Programme!E14752,Programme!F14752,Programme!G14752,Programme!H14752,Programme!I14752,Programme!J14752)</f>
        <v>&lt;numeroLigne&gt;132&lt;/numeroLigne&gt;</v>
      </c>
    </row>
    <row r="14752" spans="1:1" x14ac:dyDescent="0.2">
      <c r="A14752" s="996" t="str">
        <f>CONCATENATE(Programme!D14753,Programme!E14753,Programme!F14753,Programme!G14753,Programme!H14753,Programme!I14753,Programme!J14753)</f>
        <v>&lt;/ValeurCellule&gt;</v>
      </c>
    </row>
    <row r="14753" spans="1:1" x14ac:dyDescent="0.2">
      <c r="A14753" s="996" t="str">
        <f>CONCATENATE(Programme!D14754,Programme!E14754,Programme!F14754,Programme!G14754,Programme!H14754,Programme!I14754,Programme!J14754)</f>
        <v>&lt;ValeurCellule&gt;</v>
      </c>
    </row>
    <row r="14754" spans="1:1" x14ac:dyDescent="0.2">
      <c r="A14754" s="996" t="str">
        <f>CONCATENATE(Programme!D14755,Programme!E14755,Programme!F14755,Programme!G14755,Programme!H14755,Programme!I14755,Programme!J14755)</f>
        <v>&lt;cellule&gt;&lt;codeEdi&gt;1080&lt;/codeEdi&gt;&lt;/cellule&gt;</v>
      </c>
    </row>
    <row r="14755" spans="1:1" x14ac:dyDescent="0.2">
      <c r="A14755" s="996" t="str">
        <f>CONCATENATE(Programme!D14756,Programme!E14756,Programme!F14756,Programme!G14756,Programme!H14756,Programme!I14756,Programme!J14756)</f>
        <v>&lt;valeur&gt;&lt;/valeur&gt;</v>
      </c>
    </row>
    <row r="14756" spans="1:1" x14ac:dyDescent="0.2">
      <c r="A14756" s="996" t="str">
        <f>CONCATENATE(Programme!D14757,Programme!E14757,Programme!F14757,Programme!G14757,Programme!H14757,Programme!I14757,Programme!J14757)</f>
        <v>&lt;numeroLigne&gt;132&lt;/numeroLigne&gt;</v>
      </c>
    </row>
    <row r="14757" spans="1:1" x14ac:dyDescent="0.2">
      <c r="A14757" s="996" t="str">
        <f>CONCATENATE(Programme!D14758,Programme!E14758,Programme!F14758,Programme!G14758,Programme!H14758,Programme!I14758,Programme!J14758)</f>
        <v>&lt;/ValeurCellule&gt;</v>
      </c>
    </row>
    <row r="14758" spans="1:1" x14ac:dyDescent="0.2">
      <c r="A14758" s="996" t="str">
        <f>CONCATENATE(Programme!D14759,Programme!E14759,Programme!F14759,Programme!G14759,Programme!H14759,Programme!I14759,Programme!J14759)</f>
        <v>&lt;ValeurCellule&gt;</v>
      </c>
    </row>
    <row r="14759" spans="1:1" x14ac:dyDescent="0.2">
      <c r="A14759" s="996" t="str">
        <f>CONCATENATE(Programme!D14760,Programme!E14760,Programme!F14760,Programme!G14760,Programme!H14760,Programme!I14760,Programme!J14760)</f>
        <v>&lt;cellule&gt;&lt;codeEdi&gt;1081&lt;/codeEdi&gt;&lt;/cellule&gt;</v>
      </c>
    </row>
    <row r="14760" spans="1:1" x14ac:dyDescent="0.2">
      <c r="A14760" s="996" t="str">
        <f>CONCATENATE(Programme!D14761,Programme!E14761,Programme!F14761,Programme!G14761,Programme!H14761,Programme!I14761,Programme!J14761)</f>
        <v>&lt;valeur&gt;&lt;/valeur&gt;</v>
      </c>
    </row>
    <row r="14761" spans="1:1" x14ac:dyDescent="0.2">
      <c r="A14761" s="996" t="str">
        <f>CONCATENATE(Programme!D14762,Programme!E14762,Programme!F14762,Programme!G14762,Programme!H14762,Programme!I14762,Programme!J14762)</f>
        <v>&lt;numeroLigne&gt;132&lt;/numeroLigne&gt;</v>
      </c>
    </row>
    <row r="14762" spans="1:1" x14ac:dyDescent="0.2">
      <c r="A14762" s="996" t="str">
        <f>CONCATENATE(Programme!D14763,Programme!E14763,Programme!F14763,Programme!G14763,Programme!H14763,Programme!I14763,Programme!J14763)</f>
        <v>&lt;/ValeurCellule&gt;</v>
      </c>
    </row>
    <row r="14763" spans="1:1" x14ac:dyDescent="0.2">
      <c r="A14763" s="996" t="str">
        <f>CONCATENATE(Programme!D14764,Programme!E14764,Programme!F14764,Programme!G14764,Programme!H14764,Programme!I14764,Programme!J14764)</f>
        <v>&lt;ValeurCellule&gt;</v>
      </c>
    </row>
    <row r="14764" spans="1:1" x14ac:dyDescent="0.2">
      <c r="A14764" s="996" t="str">
        <f>CONCATENATE(Programme!D14765,Programme!E14765,Programme!F14765,Programme!G14765,Programme!H14765,Programme!I14765,Programme!J14765)</f>
        <v>&lt;cellule&gt;&lt;codeEdi&gt;1082&lt;/codeEdi&gt;&lt;/cellule&gt;</v>
      </c>
    </row>
    <row r="14765" spans="1:1" x14ac:dyDescent="0.2">
      <c r="A14765" s="996" t="str">
        <f>CONCATENATE(Programme!D14766,Programme!E14766,Programme!F14766,Programme!G14766,Programme!H14766,Programme!I14766,Programme!J14766)</f>
        <v>&lt;valeur&gt;&lt;/valeur&gt;</v>
      </c>
    </row>
    <row r="14766" spans="1:1" x14ac:dyDescent="0.2">
      <c r="A14766" s="996" t="str">
        <f>CONCATENATE(Programme!D14767,Programme!E14767,Programme!F14767,Programme!G14767,Programme!H14767,Programme!I14767,Programme!J14767)</f>
        <v>&lt;numeroLigne&gt;132&lt;/numeroLigne&gt;</v>
      </c>
    </row>
    <row r="14767" spans="1:1" x14ac:dyDescent="0.2">
      <c r="A14767" s="996" t="str">
        <f>CONCATENATE(Programme!D14768,Programme!E14768,Programme!F14768,Programme!G14768,Programme!H14768,Programme!I14768,Programme!J14768)</f>
        <v>&lt;/ValeurCellule&gt;</v>
      </c>
    </row>
    <row r="14768" spans="1:1" x14ac:dyDescent="0.2">
      <c r="A14768" s="996" t="str">
        <f>CONCATENATE(Programme!D14769,Programme!E14769,Programme!F14769,Programme!G14769,Programme!H14769,Programme!I14769,Programme!J14769)</f>
        <v>&lt;ValeurCellule&gt;</v>
      </c>
    </row>
    <row r="14769" spans="1:1" x14ac:dyDescent="0.2">
      <c r="A14769" s="996" t="str">
        <f>CONCATENATE(Programme!D14770,Programme!E14770,Programme!F14770,Programme!G14770,Programme!H14770,Programme!I14770,Programme!J14770)</f>
        <v>&lt;cellule&gt;&lt;codeEdi&gt;1083&lt;/codeEdi&gt;&lt;/cellule&gt;</v>
      </c>
    </row>
    <row r="14770" spans="1:1" x14ac:dyDescent="0.2">
      <c r="A14770" s="996" t="str">
        <f>CONCATENATE(Programme!D14771,Programme!E14771,Programme!F14771,Programme!G14771,Programme!H14771,Programme!I14771,Programme!J14771)</f>
        <v>&lt;valeur&gt;&lt;/valeur&gt;</v>
      </c>
    </row>
    <row r="14771" spans="1:1" x14ac:dyDescent="0.2">
      <c r="A14771" s="996" t="str">
        <f>CONCATENATE(Programme!D14772,Programme!E14772,Programme!F14772,Programme!G14772,Programme!H14772,Programme!I14772,Programme!J14772)</f>
        <v>&lt;numeroLigne&gt;132&lt;/numeroLigne&gt;</v>
      </c>
    </row>
    <row r="14772" spans="1:1" x14ac:dyDescent="0.2">
      <c r="A14772" s="996" t="str">
        <f>CONCATENATE(Programme!D14773,Programme!E14773,Programme!F14773,Programme!G14773,Programme!H14773,Programme!I14773,Programme!J14773)</f>
        <v>&lt;/ValeurCellule&gt;</v>
      </c>
    </row>
    <row r="14773" spans="1:1" x14ac:dyDescent="0.2">
      <c r="A14773" s="996" t="str">
        <f>CONCATENATE(Programme!D14774,Programme!E14774,Programme!F14774,Programme!G14774,Programme!H14774,Programme!I14774,Programme!J14774)</f>
        <v>&lt;ValeurCellule&gt;</v>
      </c>
    </row>
    <row r="14774" spans="1:1" x14ac:dyDescent="0.2">
      <c r="A14774" s="996" t="str">
        <f>CONCATENATE(Programme!D14775,Programme!E14775,Programme!F14775,Programme!G14775,Programme!H14775,Programme!I14775,Programme!J14775)</f>
        <v>&lt;cellule&gt;&lt;codeEdi&gt;1084&lt;/codeEdi&gt;&lt;/cellule&gt;</v>
      </c>
    </row>
    <row r="14775" spans="1:1" x14ac:dyDescent="0.2">
      <c r="A14775" s="996" t="str">
        <f>CONCATENATE(Programme!D14776,Programme!E14776,Programme!F14776,Programme!G14776,Programme!H14776,Programme!I14776,Programme!J14776)</f>
        <v>&lt;valeur&gt;&lt;/valeur&gt;</v>
      </c>
    </row>
    <row r="14776" spans="1:1" x14ac:dyDescent="0.2">
      <c r="A14776" s="996" t="str">
        <f>CONCATENATE(Programme!D14777,Programme!E14777,Programme!F14777,Programme!G14777,Programme!H14777,Programme!I14777,Programme!J14777)</f>
        <v>&lt;numeroLigne&gt;132&lt;/numeroLigne&gt;</v>
      </c>
    </row>
    <row r="14777" spans="1:1" x14ac:dyDescent="0.2">
      <c r="A14777" s="996" t="str">
        <f>CONCATENATE(Programme!D14778,Programme!E14778,Programme!F14778,Programme!G14778,Programme!H14778,Programme!I14778,Programme!J14778)</f>
        <v>&lt;/ValeurCellule&gt;</v>
      </c>
    </row>
    <row r="14778" spans="1:1" x14ac:dyDescent="0.2">
      <c r="A14778" s="996" t="str">
        <f>CONCATENATE(Programme!D14779,Programme!E14779,Programme!F14779,Programme!G14779,Programme!H14779,Programme!I14779,Programme!J14779)</f>
        <v>&lt;ValeurCellule&gt;</v>
      </c>
    </row>
    <row r="14779" spans="1:1" x14ac:dyDescent="0.2">
      <c r="A14779" s="996" t="str">
        <f>CONCATENATE(Programme!D14780,Programme!E14780,Programme!F14780,Programme!G14780,Programme!H14780,Programme!I14780,Programme!J14780)</f>
        <v>&lt;cellule&gt;&lt;codeEdi&gt;1085&lt;/codeEdi&gt;&lt;/cellule&gt;</v>
      </c>
    </row>
    <row r="14780" spans="1:1" x14ac:dyDescent="0.2">
      <c r="A14780" s="996" t="str">
        <f>CONCATENATE(Programme!D14781,Programme!E14781,Programme!F14781,Programme!G14781,Programme!H14781,Programme!I14781,Programme!J14781)</f>
        <v>&lt;valeur&gt;&lt;/valeur&gt;</v>
      </c>
    </row>
    <row r="14781" spans="1:1" x14ac:dyDescent="0.2">
      <c r="A14781" s="996" t="str">
        <f>CONCATENATE(Programme!D14782,Programme!E14782,Programme!F14782,Programme!G14782,Programme!H14782,Programme!I14782,Programme!J14782)</f>
        <v>&lt;numeroLigne&gt;132&lt;/numeroLigne&gt;</v>
      </c>
    </row>
    <row r="14782" spans="1:1" x14ac:dyDescent="0.2">
      <c r="A14782" s="996" t="str">
        <f>CONCATENATE(Programme!D14783,Programme!E14783,Programme!F14783,Programme!G14783,Programme!H14783,Programme!I14783,Programme!J14783)</f>
        <v>&lt;/ValeurCellule&gt;</v>
      </c>
    </row>
    <row r="14783" spans="1:1" x14ac:dyDescent="0.2">
      <c r="A14783" s="996" t="str">
        <f>CONCATENATE(Programme!D14784,Programme!E14784,Programme!F14784,Programme!G14784,Programme!H14784,Programme!I14784,Programme!J14784)</f>
        <v>&lt;ValeurCellule&gt;</v>
      </c>
    </row>
    <row r="14784" spans="1:1" x14ac:dyDescent="0.2">
      <c r="A14784" s="996" t="str">
        <f>CONCATENATE(Programme!D14785,Programme!E14785,Programme!F14785,Programme!G14785,Programme!H14785,Programme!I14785,Programme!J14785)</f>
        <v>&lt;cellule&gt;&lt;codeEdi&gt;1086&lt;/codeEdi&gt;&lt;/cellule&gt;</v>
      </c>
    </row>
    <row r="14785" spans="1:1" x14ac:dyDescent="0.2">
      <c r="A14785" s="996" t="str">
        <f>CONCATENATE(Programme!D14786,Programme!E14786,Programme!F14786,Programme!G14786,Programme!H14786,Programme!I14786,Programme!J14786)</f>
        <v>&lt;valeur&gt;&lt;/valeur&gt;</v>
      </c>
    </row>
    <row r="14786" spans="1:1" x14ac:dyDescent="0.2">
      <c r="A14786" s="996" t="str">
        <f>CONCATENATE(Programme!D14787,Programme!E14787,Programme!F14787,Programme!G14787,Programme!H14787,Programme!I14787,Programme!J14787)</f>
        <v>&lt;numeroLigne&gt;132&lt;/numeroLigne&gt;</v>
      </c>
    </row>
    <row r="14787" spans="1:1" x14ac:dyDescent="0.2">
      <c r="A14787" s="996" t="str">
        <f>CONCATENATE(Programme!D14788,Programme!E14788,Programme!F14788,Programme!G14788,Programme!H14788,Programme!I14788,Programme!J14788)</f>
        <v>&lt;/ValeurCellule&gt;</v>
      </c>
    </row>
    <row r="14788" spans="1:1" x14ac:dyDescent="0.2">
      <c r="A14788" s="996" t="str">
        <f>CONCATENATE(Programme!D14789,Programme!E14789,Programme!F14789,Programme!G14789,Programme!H14789,Programme!I14789,Programme!J14789)</f>
        <v>&lt;ValeurCellule&gt;</v>
      </c>
    </row>
    <row r="14789" spans="1:1" x14ac:dyDescent="0.2">
      <c r="A14789" s="996" t="str">
        <f>CONCATENATE(Programme!D14790,Programme!E14790,Programme!F14790,Programme!G14790,Programme!H14790,Programme!I14790,Programme!J14790)</f>
        <v>&lt;cellule&gt;&lt;codeEdi&gt;10061&lt;/codeEdi&gt;&lt;/cellule&gt;</v>
      </c>
    </row>
    <row r="14790" spans="1:1" x14ac:dyDescent="0.2">
      <c r="A14790" s="996" t="str">
        <f>CONCATENATE(Programme!D14791,Programme!E14791,Programme!F14791,Programme!G14791,Programme!H14791,Programme!I14791,Programme!J14791)</f>
        <v>&lt;valeur&gt;&lt;/valeur&gt;</v>
      </c>
    </row>
    <row r="14791" spans="1:1" x14ac:dyDescent="0.2">
      <c r="A14791" s="996" t="str">
        <f>CONCATENATE(Programme!D14792,Programme!E14792,Programme!F14792,Programme!G14792,Programme!H14792,Programme!I14792,Programme!J14792)</f>
        <v>&lt;numeroLigne&gt;133&lt;/numeroLigne&gt;</v>
      </c>
    </row>
    <row r="14792" spans="1:1" x14ac:dyDescent="0.2">
      <c r="A14792" s="996" t="str">
        <f>CONCATENATE(Programme!D14793,Programme!E14793,Programme!F14793,Programme!G14793,Programme!H14793,Programme!I14793,Programme!J14793)</f>
        <v>&lt;/ValeurCellule&gt;</v>
      </c>
    </row>
    <row r="14793" spans="1:1" x14ac:dyDescent="0.2">
      <c r="A14793" s="996" t="str">
        <f>CONCATENATE(Programme!D14794,Programme!E14794,Programme!F14794,Programme!G14794,Programme!H14794,Programme!I14794,Programme!J14794)</f>
        <v>&lt;ValeurCellule&gt;</v>
      </c>
    </row>
    <row r="14794" spans="1:1" x14ac:dyDescent="0.2">
      <c r="A14794" s="996" t="str">
        <f>CONCATENATE(Programme!D14795,Programme!E14795,Programme!F14795,Programme!G14795,Programme!H14795,Programme!I14795,Programme!J14795)</f>
        <v>&lt;cellule&gt;&lt;codeEdi&gt;1078&lt;/codeEdi&gt;&lt;/cellule&gt;</v>
      </c>
    </row>
    <row r="14795" spans="1:1" x14ac:dyDescent="0.2">
      <c r="A14795" s="996" t="str">
        <f>CONCATENATE(Programme!D14796,Programme!E14796,Programme!F14796,Programme!G14796,Programme!H14796,Programme!I14796,Programme!J14796)</f>
        <v>&lt;valeur&gt;&lt;/valeur&gt;</v>
      </c>
    </row>
    <row r="14796" spans="1:1" x14ac:dyDescent="0.2">
      <c r="A14796" s="996" t="str">
        <f>CONCATENATE(Programme!D14797,Programme!E14797,Programme!F14797,Programme!G14797,Programme!H14797,Programme!I14797,Programme!J14797)</f>
        <v>&lt;numeroLigne&gt;133&lt;/numeroLigne&gt;</v>
      </c>
    </row>
    <row r="14797" spans="1:1" x14ac:dyDescent="0.2">
      <c r="A14797" s="996" t="str">
        <f>CONCATENATE(Programme!D14798,Programme!E14798,Programme!F14798,Programme!G14798,Programme!H14798,Programme!I14798,Programme!J14798)</f>
        <v>&lt;/ValeurCellule&gt;</v>
      </c>
    </row>
    <row r="14798" spans="1:1" x14ac:dyDescent="0.2">
      <c r="A14798" s="996" t="str">
        <f>CONCATENATE(Programme!D14799,Programme!E14799,Programme!F14799,Programme!G14799,Programme!H14799,Programme!I14799,Programme!J14799)</f>
        <v>&lt;ValeurCellule&gt;</v>
      </c>
    </row>
    <row r="14799" spans="1:1" x14ac:dyDescent="0.2">
      <c r="A14799" s="996" t="str">
        <f>CONCATENATE(Programme!D14800,Programme!E14800,Programme!F14800,Programme!G14800,Programme!H14800,Programme!I14800,Programme!J14800)</f>
        <v>&lt;cellule&gt;&lt;codeEdi&gt;1079&lt;/codeEdi&gt;&lt;/cellule&gt;</v>
      </c>
    </row>
    <row r="14800" spans="1:1" x14ac:dyDescent="0.2">
      <c r="A14800" s="996" t="str">
        <f>CONCATENATE(Programme!D14801,Programme!E14801,Programme!F14801,Programme!G14801,Programme!H14801,Programme!I14801,Programme!J14801)</f>
        <v>&lt;valeur&gt;&lt;/valeur&gt;</v>
      </c>
    </row>
    <row r="14801" spans="1:1" x14ac:dyDescent="0.2">
      <c r="A14801" s="996" t="str">
        <f>CONCATENATE(Programme!D14802,Programme!E14802,Programme!F14802,Programme!G14802,Programme!H14802,Programme!I14802,Programme!J14802)</f>
        <v>&lt;numeroLigne&gt;133&lt;/numeroLigne&gt;</v>
      </c>
    </row>
    <row r="14802" spans="1:1" x14ac:dyDescent="0.2">
      <c r="A14802" s="996" t="str">
        <f>CONCATENATE(Programme!D14803,Programme!E14803,Programme!F14803,Programme!G14803,Programme!H14803,Programme!I14803,Programme!J14803)</f>
        <v>&lt;/ValeurCellule&gt;</v>
      </c>
    </row>
    <row r="14803" spans="1:1" x14ac:dyDescent="0.2">
      <c r="A14803" s="996" t="str">
        <f>CONCATENATE(Programme!D14804,Programme!E14804,Programme!F14804,Programme!G14804,Programme!H14804,Programme!I14804,Programme!J14804)</f>
        <v>&lt;ValeurCellule&gt;</v>
      </c>
    </row>
    <row r="14804" spans="1:1" x14ac:dyDescent="0.2">
      <c r="A14804" s="996" t="str">
        <f>CONCATENATE(Programme!D14805,Programme!E14805,Programme!F14805,Programme!G14805,Programme!H14805,Programme!I14805,Programme!J14805)</f>
        <v>&lt;cellule&gt;&lt;codeEdi&gt;1080&lt;/codeEdi&gt;&lt;/cellule&gt;</v>
      </c>
    </row>
    <row r="14805" spans="1:1" x14ac:dyDescent="0.2">
      <c r="A14805" s="996" t="str">
        <f>CONCATENATE(Programme!D14806,Programme!E14806,Programme!F14806,Programme!G14806,Programme!H14806,Programme!I14806,Programme!J14806)</f>
        <v>&lt;valeur&gt;&lt;/valeur&gt;</v>
      </c>
    </row>
    <row r="14806" spans="1:1" x14ac:dyDescent="0.2">
      <c r="A14806" s="996" t="str">
        <f>CONCATENATE(Programme!D14807,Programme!E14807,Programme!F14807,Programme!G14807,Programme!H14807,Programme!I14807,Programme!J14807)</f>
        <v>&lt;numeroLigne&gt;133&lt;/numeroLigne&gt;</v>
      </c>
    </row>
    <row r="14807" spans="1:1" x14ac:dyDescent="0.2">
      <c r="A14807" s="996" t="str">
        <f>CONCATENATE(Programme!D14808,Programme!E14808,Programme!F14808,Programme!G14808,Programme!H14808,Programme!I14808,Programme!J14808)</f>
        <v>&lt;/ValeurCellule&gt;</v>
      </c>
    </row>
    <row r="14808" spans="1:1" x14ac:dyDescent="0.2">
      <c r="A14808" s="996" t="str">
        <f>CONCATENATE(Programme!D14809,Programme!E14809,Programme!F14809,Programme!G14809,Programme!H14809,Programme!I14809,Programme!J14809)</f>
        <v>&lt;ValeurCellule&gt;</v>
      </c>
    </row>
    <row r="14809" spans="1:1" x14ac:dyDescent="0.2">
      <c r="A14809" s="996" t="str">
        <f>CONCATENATE(Programme!D14810,Programme!E14810,Programme!F14810,Programme!G14810,Programme!H14810,Programme!I14810,Programme!J14810)</f>
        <v>&lt;cellule&gt;&lt;codeEdi&gt;1081&lt;/codeEdi&gt;&lt;/cellule&gt;</v>
      </c>
    </row>
    <row r="14810" spans="1:1" x14ac:dyDescent="0.2">
      <c r="A14810" s="996" t="str">
        <f>CONCATENATE(Programme!D14811,Programme!E14811,Programme!F14811,Programme!G14811,Programme!H14811,Programme!I14811,Programme!J14811)</f>
        <v>&lt;valeur&gt;&lt;/valeur&gt;</v>
      </c>
    </row>
    <row r="14811" spans="1:1" x14ac:dyDescent="0.2">
      <c r="A14811" s="996" t="str">
        <f>CONCATENATE(Programme!D14812,Programme!E14812,Programme!F14812,Programme!G14812,Programme!H14812,Programme!I14812,Programme!J14812)</f>
        <v>&lt;numeroLigne&gt;133&lt;/numeroLigne&gt;</v>
      </c>
    </row>
    <row r="14812" spans="1:1" x14ac:dyDescent="0.2">
      <c r="A14812" s="996" t="str">
        <f>CONCATENATE(Programme!D14813,Programme!E14813,Programme!F14813,Programme!G14813,Programme!H14813,Programme!I14813,Programme!J14813)</f>
        <v>&lt;/ValeurCellule&gt;</v>
      </c>
    </row>
    <row r="14813" spans="1:1" x14ac:dyDescent="0.2">
      <c r="A14813" s="996" t="str">
        <f>CONCATENATE(Programme!D14814,Programme!E14814,Programme!F14814,Programme!G14814,Programme!H14814,Programme!I14814,Programme!J14814)</f>
        <v>&lt;ValeurCellule&gt;</v>
      </c>
    </row>
    <row r="14814" spans="1:1" x14ac:dyDescent="0.2">
      <c r="A14814" s="996" t="str">
        <f>CONCATENATE(Programme!D14815,Programme!E14815,Programme!F14815,Programme!G14815,Programme!H14815,Programme!I14815,Programme!J14815)</f>
        <v>&lt;cellule&gt;&lt;codeEdi&gt;1082&lt;/codeEdi&gt;&lt;/cellule&gt;</v>
      </c>
    </row>
    <row r="14815" spans="1:1" x14ac:dyDescent="0.2">
      <c r="A14815" s="996" t="str">
        <f>CONCATENATE(Programme!D14816,Programme!E14816,Programme!F14816,Programme!G14816,Programme!H14816,Programme!I14816,Programme!J14816)</f>
        <v>&lt;valeur&gt;&lt;/valeur&gt;</v>
      </c>
    </row>
    <row r="14816" spans="1:1" x14ac:dyDescent="0.2">
      <c r="A14816" s="996" t="str">
        <f>CONCATENATE(Programme!D14817,Programme!E14817,Programme!F14817,Programme!G14817,Programme!H14817,Programme!I14817,Programme!J14817)</f>
        <v>&lt;numeroLigne&gt;133&lt;/numeroLigne&gt;</v>
      </c>
    </row>
    <row r="14817" spans="1:1" x14ac:dyDescent="0.2">
      <c r="A14817" s="996" t="str">
        <f>CONCATENATE(Programme!D14818,Programme!E14818,Programme!F14818,Programme!G14818,Programme!H14818,Programme!I14818,Programme!J14818)</f>
        <v>&lt;/ValeurCellule&gt;</v>
      </c>
    </row>
    <row r="14818" spans="1:1" x14ac:dyDescent="0.2">
      <c r="A14818" s="996" t="str">
        <f>CONCATENATE(Programme!D14819,Programme!E14819,Programme!F14819,Programme!G14819,Programme!H14819,Programme!I14819,Programme!J14819)</f>
        <v>&lt;ValeurCellule&gt;</v>
      </c>
    </row>
    <row r="14819" spans="1:1" x14ac:dyDescent="0.2">
      <c r="A14819" s="996" t="str">
        <f>CONCATENATE(Programme!D14820,Programme!E14820,Programme!F14820,Programme!G14820,Programme!H14820,Programme!I14820,Programme!J14820)</f>
        <v>&lt;cellule&gt;&lt;codeEdi&gt;1083&lt;/codeEdi&gt;&lt;/cellule&gt;</v>
      </c>
    </row>
    <row r="14820" spans="1:1" x14ac:dyDescent="0.2">
      <c r="A14820" s="996" t="str">
        <f>CONCATENATE(Programme!D14821,Programme!E14821,Programme!F14821,Programme!G14821,Programme!H14821,Programme!I14821,Programme!J14821)</f>
        <v>&lt;valeur&gt;&lt;/valeur&gt;</v>
      </c>
    </row>
    <row r="14821" spans="1:1" x14ac:dyDescent="0.2">
      <c r="A14821" s="996" t="str">
        <f>CONCATENATE(Programme!D14822,Programme!E14822,Programme!F14822,Programme!G14822,Programme!H14822,Programme!I14822,Programme!J14822)</f>
        <v>&lt;numeroLigne&gt;133&lt;/numeroLigne&gt;</v>
      </c>
    </row>
    <row r="14822" spans="1:1" x14ac:dyDescent="0.2">
      <c r="A14822" s="996" t="str">
        <f>CONCATENATE(Programme!D14823,Programme!E14823,Programme!F14823,Programme!G14823,Programme!H14823,Programme!I14823,Programme!J14823)</f>
        <v>&lt;/ValeurCellule&gt;</v>
      </c>
    </row>
    <row r="14823" spans="1:1" x14ac:dyDescent="0.2">
      <c r="A14823" s="996" t="str">
        <f>CONCATENATE(Programme!D14824,Programme!E14824,Programme!F14824,Programme!G14824,Programme!H14824,Programme!I14824,Programme!J14824)</f>
        <v>&lt;ValeurCellule&gt;</v>
      </c>
    </row>
    <row r="14824" spans="1:1" x14ac:dyDescent="0.2">
      <c r="A14824" s="996" t="str">
        <f>CONCATENATE(Programme!D14825,Programme!E14825,Programme!F14825,Programme!G14825,Programme!H14825,Programme!I14825,Programme!J14825)</f>
        <v>&lt;cellule&gt;&lt;codeEdi&gt;1084&lt;/codeEdi&gt;&lt;/cellule&gt;</v>
      </c>
    </row>
    <row r="14825" spans="1:1" x14ac:dyDescent="0.2">
      <c r="A14825" s="996" t="str">
        <f>CONCATENATE(Programme!D14826,Programme!E14826,Programme!F14826,Programme!G14826,Programme!H14826,Programme!I14826,Programme!J14826)</f>
        <v>&lt;valeur&gt;&lt;/valeur&gt;</v>
      </c>
    </row>
    <row r="14826" spans="1:1" x14ac:dyDescent="0.2">
      <c r="A14826" s="996" t="str">
        <f>CONCATENATE(Programme!D14827,Programme!E14827,Programme!F14827,Programme!G14827,Programme!H14827,Programme!I14827,Programme!J14827)</f>
        <v>&lt;numeroLigne&gt;133&lt;/numeroLigne&gt;</v>
      </c>
    </row>
    <row r="14827" spans="1:1" x14ac:dyDescent="0.2">
      <c r="A14827" s="996" t="str">
        <f>CONCATENATE(Programme!D14828,Programme!E14828,Programme!F14828,Programme!G14828,Programme!H14828,Programme!I14828,Programme!J14828)</f>
        <v>&lt;/ValeurCellule&gt;</v>
      </c>
    </row>
    <row r="14828" spans="1:1" x14ac:dyDescent="0.2">
      <c r="A14828" s="996" t="str">
        <f>CONCATENATE(Programme!D14829,Programme!E14829,Programme!F14829,Programme!G14829,Programme!H14829,Programme!I14829,Programme!J14829)</f>
        <v>&lt;ValeurCellule&gt;</v>
      </c>
    </row>
    <row r="14829" spans="1:1" x14ac:dyDescent="0.2">
      <c r="A14829" s="996" t="str">
        <f>CONCATENATE(Programme!D14830,Programme!E14830,Programme!F14830,Programme!G14830,Programme!H14830,Programme!I14830,Programme!J14830)</f>
        <v>&lt;cellule&gt;&lt;codeEdi&gt;1085&lt;/codeEdi&gt;&lt;/cellule&gt;</v>
      </c>
    </row>
    <row r="14830" spans="1:1" x14ac:dyDescent="0.2">
      <c r="A14830" s="996" t="str">
        <f>CONCATENATE(Programme!D14831,Programme!E14831,Programme!F14831,Programme!G14831,Programme!H14831,Programme!I14831,Programme!J14831)</f>
        <v>&lt;valeur&gt;&lt;/valeur&gt;</v>
      </c>
    </row>
    <row r="14831" spans="1:1" x14ac:dyDescent="0.2">
      <c r="A14831" s="996" t="str">
        <f>CONCATENATE(Programme!D14832,Programme!E14832,Programme!F14832,Programme!G14832,Programme!H14832,Programme!I14832,Programme!J14832)</f>
        <v>&lt;numeroLigne&gt;133&lt;/numeroLigne&gt;</v>
      </c>
    </row>
    <row r="14832" spans="1:1" x14ac:dyDescent="0.2">
      <c r="A14832" s="996" t="str">
        <f>CONCATENATE(Programme!D14833,Programme!E14833,Programme!F14833,Programme!G14833,Programme!H14833,Programme!I14833,Programme!J14833)</f>
        <v>&lt;/ValeurCellule&gt;</v>
      </c>
    </row>
    <row r="14833" spans="1:1" x14ac:dyDescent="0.2">
      <c r="A14833" s="996" t="str">
        <f>CONCATENATE(Programme!D14834,Programme!E14834,Programme!F14834,Programme!G14834,Programme!H14834,Programme!I14834,Programme!J14834)</f>
        <v>&lt;ValeurCellule&gt;</v>
      </c>
    </row>
    <row r="14834" spans="1:1" x14ac:dyDescent="0.2">
      <c r="A14834" s="996" t="str">
        <f>CONCATENATE(Programme!D14835,Programme!E14835,Programme!F14835,Programme!G14835,Programme!H14835,Programme!I14835,Programme!J14835)</f>
        <v>&lt;cellule&gt;&lt;codeEdi&gt;1086&lt;/codeEdi&gt;&lt;/cellule&gt;</v>
      </c>
    </row>
    <row r="14835" spans="1:1" x14ac:dyDescent="0.2">
      <c r="A14835" s="996" t="str">
        <f>CONCATENATE(Programme!D14836,Programme!E14836,Programme!F14836,Programme!G14836,Programme!H14836,Programme!I14836,Programme!J14836)</f>
        <v>&lt;valeur&gt;&lt;/valeur&gt;</v>
      </c>
    </row>
    <row r="14836" spans="1:1" x14ac:dyDescent="0.2">
      <c r="A14836" s="996" t="str">
        <f>CONCATENATE(Programme!D14837,Programme!E14837,Programme!F14837,Programme!G14837,Programme!H14837,Programme!I14837,Programme!J14837)</f>
        <v>&lt;numeroLigne&gt;133&lt;/numeroLigne&gt;</v>
      </c>
    </row>
    <row r="14837" spans="1:1" x14ac:dyDescent="0.2">
      <c r="A14837" s="996" t="str">
        <f>CONCATENATE(Programme!D14838,Programme!E14838,Programme!F14838,Programme!G14838,Programme!H14838,Programme!I14838,Programme!J14838)</f>
        <v>&lt;/ValeurCellule&gt;</v>
      </c>
    </row>
    <row r="14838" spans="1:1" x14ac:dyDescent="0.2">
      <c r="A14838" s="996" t="str">
        <f>CONCATENATE(Programme!D14839,Programme!E14839,Programme!F14839,Programme!G14839,Programme!H14839,Programme!I14839,Programme!J14839)</f>
        <v>&lt;ValeurCellule&gt;</v>
      </c>
    </row>
    <row r="14839" spans="1:1" x14ac:dyDescent="0.2">
      <c r="A14839" s="996" t="str">
        <f>CONCATENATE(Programme!D14840,Programme!E14840,Programme!F14840,Programme!G14840,Programme!H14840,Programme!I14840,Programme!J14840)</f>
        <v>&lt;cellule&gt;&lt;codeEdi&gt;10061&lt;/codeEdi&gt;&lt;/cellule&gt;</v>
      </c>
    </row>
    <row r="14840" spans="1:1" x14ac:dyDescent="0.2">
      <c r="A14840" s="996" t="str">
        <f>CONCATENATE(Programme!D14841,Programme!E14841,Programme!F14841,Programme!G14841,Programme!H14841,Programme!I14841,Programme!J14841)</f>
        <v>&lt;valeur&gt;&lt;/valeur&gt;</v>
      </c>
    </row>
    <row r="14841" spans="1:1" x14ac:dyDescent="0.2">
      <c r="A14841" s="996" t="str">
        <f>CONCATENATE(Programme!D14842,Programme!E14842,Programme!F14842,Programme!G14842,Programme!H14842,Programme!I14842,Programme!J14842)</f>
        <v>&lt;numeroLigne&gt;134&lt;/numeroLigne&gt;</v>
      </c>
    </row>
    <row r="14842" spans="1:1" x14ac:dyDescent="0.2">
      <c r="A14842" s="996" t="str">
        <f>CONCATENATE(Programme!D14843,Programme!E14843,Programme!F14843,Programme!G14843,Programme!H14843,Programme!I14843,Programme!J14843)</f>
        <v>&lt;/ValeurCellule&gt;</v>
      </c>
    </row>
    <row r="14843" spans="1:1" x14ac:dyDescent="0.2">
      <c r="A14843" s="996" t="str">
        <f>CONCATENATE(Programme!D14844,Programme!E14844,Programme!F14844,Programme!G14844,Programme!H14844,Programme!I14844,Programme!J14844)</f>
        <v>&lt;ValeurCellule&gt;</v>
      </c>
    </row>
    <row r="14844" spans="1:1" x14ac:dyDescent="0.2">
      <c r="A14844" s="996" t="str">
        <f>CONCATENATE(Programme!D14845,Programme!E14845,Programme!F14845,Programme!G14845,Programme!H14845,Programme!I14845,Programme!J14845)</f>
        <v>&lt;cellule&gt;&lt;codeEdi&gt;1078&lt;/codeEdi&gt;&lt;/cellule&gt;</v>
      </c>
    </row>
    <row r="14845" spans="1:1" x14ac:dyDescent="0.2">
      <c r="A14845" s="996" t="str">
        <f>CONCATENATE(Programme!D14846,Programme!E14846,Programme!F14846,Programme!G14846,Programme!H14846,Programme!I14846,Programme!J14846)</f>
        <v>&lt;valeur&gt;&lt;/valeur&gt;</v>
      </c>
    </row>
    <row r="14846" spans="1:1" x14ac:dyDescent="0.2">
      <c r="A14846" s="996" t="str">
        <f>CONCATENATE(Programme!D14847,Programme!E14847,Programme!F14847,Programme!G14847,Programme!H14847,Programme!I14847,Programme!J14847)</f>
        <v>&lt;numeroLigne&gt;134&lt;/numeroLigne&gt;</v>
      </c>
    </row>
    <row r="14847" spans="1:1" x14ac:dyDescent="0.2">
      <c r="A14847" s="996" t="str">
        <f>CONCATENATE(Programme!D14848,Programme!E14848,Programme!F14848,Programme!G14848,Programme!H14848,Programme!I14848,Programme!J14848)</f>
        <v>&lt;/ValeurCellule&gt;</v>
      </c>
    </row>
    <row r="14848" spans="1:1" x14ac:dyDescent="0.2">
      <c r="A14848" s="996" t="str">
        <f>CONCATENATE(Programme!D14849,Programme!E14849,Programme!F14849,Programme!G14849,Programme!H14849,Programme!I14849,Programme!J14849)</f>
        <v>&lt;ValeurCellule&gt;</v>
      </c>
    </row>
    <row r="14849" spans="1:1" x14ac:dyDescent="0.2">
      <c r="A14849" s="996" t="str">
        <f>CONCATENATE(Programme!D14850,Programme!E14850,Programme!F14850,Programme!G14850,Programme!H14850,Programme!I14850,Programme!J14850)</f>
        <v>&lt;cellule&gt;&lt;codeEdi&gt;1079&lt;/codeEdi&gt;&lt;/cellule&gt;</v>
      </c>
    </row>
    <row r="14850" spans="1:1" x14ac:dyDescent="0.2">
      <c r="A14850" s="996" t="str">
        <f>CONCATENATE(Programme!D14851,Programme!E14851,Programme!F14851,Programme!G14851,Programme!H14851,Programme!I14851,Programme!J14851)</f>
        <v>&lt;valeur&gt;&lt;/valeur&gt;</v>
      </c>
    </row>
    <row r="14851" spans="1:1" x14ac:dyDescent="0.2">
      <c r="A14851" s="996" t="str">
        <f>CONCATENATE(Programme!D14852,Programme!E14852,Programme!F14852,Programme!G14852,Programme!H14852,Programme!I14852,Programme!J14852)</f>
        <v>&lt;numeroLigne&gt;134&lt;/numeroLigne&gt;</v>
      </c>
    </row>
    <row r="14852" spans="1:1" x14ac:dyDescent="0.2">
      <c r="A14852" s="996" t="str">
        <f>CONCATENATE(Programme!D14853,Programme!E14853,Programme!F14853,Programme!G14853,Programme!H14853,Programme!I14853,Programme!J14853)</f>
        <v>&lt;/ValeurCellule&gt;</v>
      </c>
    </row>
    <row r="14853" spans="1:1" x14ac:dyDescent="0.2">
      <c r="A14853" s="996" t="str">
        <f>CONCATENATE(Programme!D14854,Programme!E14854,Programme!F14854,Programme!G14854,Programme!H14854,Programme!I14854,Programme!J14854)</f>
        <v>&lt;ValeurCellule&gt;</v>
      </c>
    </row>
    <row r="14854" spans="1:1" x14ac:dyDescent="0.2">
      <c r="A14854" s="996" t="str">
        <f>CONCATENATE(Programme!D14855,Programme!E14855,Programme!F14855,Programme!G14855,Programme!H14855,Programme!I14855,Programme!J14855)</f>
        <v>&lt;cellule&gt;&lt;codeEdi&gt;1080&lt;/codeEdi&gt;&lt;/cellule&gt;</v>
      </c>
    </row>
    <row r="14855" spans="1:1" x14ac:dyDescent="0.2">
      <c r="A14855" s="996" t="str">
        <f>CONCATENATE(Programme!D14856,Programme!E14856,Programme!F14856,Programme!G14856,Programme!H14856,Programme!I14856,Programme!J14856)</f>
        <v>&lt;valeur&gt;&lt;/valeur&gt;</v>
      </c>
    </row>
    <row r="14856" spans="1:1" x14ac:dyDescent="0.2">
      <c r="A14856" s="996" t="str">
        <f>CONCATENATE(Programme!D14857,Programme!E14857,Programme!F14857,Programme!G14857,Programme!H14857,Programme!I14857,Programme!J14857)</f>
        <v>&lt;numeroLigne&gt;134&lt;/numeroLigne&gt;</v>
      </c>
    </row>
    <row r="14857" spans="1:1" x14ac:dyDescent="0.2">
      <c r="A14857" s="996" t="str">
        <f>CONCATENATE(Programme!D14858,Programme!E14858,Programme!F14858,Programme!G14858,Programme!H14858,Programme!I14858,Programme!J14858)</f>
        <v>&lt;/ValeurCellule&gt;</v>
      </c>
    </row>
    <row r="14858" spans="1:1" x14ac:dyDescent="0.2">
      <c r="A14858" s="996" t="str">
        <f>CONCATENATE(Programme!D14859,Programme!E14859,Programme!F14859,Programme!G14859,Programme!H14859,Programme!I14859,Programme!J14859)</f>
        <v>&lt;ValeurCellule&gt;</v>
      </c>
    </row>
    <row r="14859" spans="1:1" x14ac:dyDescent="0.2">
      <c r="A14859" s="996" t="str">
        <f>CONCATENATE(Programme!D14860,Programme!E14860,Programme!F14860,Programme!G14860,Programme!H14860,Programme!I14860,Programme!J14860)</f>
        <v>&lt;cellule&gt;&lt;codeEdi&gt;1081&lt;/codeEdi&gt;&lt;/cellule&gt;</v>
      </c>
    </row>
    <row r="14860" spans="1:1" x14ac:dyDescent="0.2">
      <c r="A14860" s="996" t="str">
        <f>CONCATENATE(Programme!D14861,Programme!E14861,Programme!F14861,Programme!G14861,Programme!H14861,Programme!I14861,Programme!J14861)</f>
        <v>&lt;valeur&gt;&lt;/valeur&gt;</v>
      </c>
    </row>
    <row r="14861" spans="1:1" x14ac:dyDescent="0.2">
      <c r="A14861" s="996" t="str">
        <f>CONCATENATE(Programme!D14862,Programme!E14862,Programme!F14862,Programme!G14862,Programme!H14862,Programme!I14862,Programme!J14862)</f>
        <v>&lt;numeroLigne&gt;134&lt;/numeroLigne&gt;</v>
      </c>
    </row>
    <row r="14862" spans="1:1" x14ac:dyDescent="0.2">
      <c r="A14862" s="996" t="str">
        <f>CONCATENATE(Programme!D14863,Programme!E14863,Programme!F14863,Programme!G14863,Programme!H14863,Programme!I14863,Programme!J14863)</f>
        <v>&lt;/ValeurCellule&gt;</v>
      </c>
    </row>
    <row r="14863" spans="1:1" x14ac:dyDescent="0.2">
      <c r="A14863" s="996" t="str">
        <f>CONCATENATE(Programme!D14864,Programme!E14864,Programme!F14864,Programme!G14864,Programme!H14864,Programme!I14864,Programme!J14864)</f>
        <v>&lt;ValeurCellule&gt;</v>
      </c>
    </row>
    <row r="14864" spans="1:1" x14ac:dyDescent="0.2">
      <c r="A14864" s="996" t="str">
        <f>CONCATENATE(Programme!D14865,Programme!E14865,Programme!F14865,Programme!G14865,Programme!H14865,Programme!I14865,Programme!J14865)</f>
        <v>&lt;cellule&gt;&lt;codeEdi&gt;1082&lt;/codeEdi&gt;&lt;/cellule&gt;</v>
      </c>
    </row>
    <row r="14865" spans="1:1" x14ac:dyDescent="0.2">
      <c r="A14865" s="996" t="str">
        <f>CONCATENATE(Programme!D14866,Programme!E14866,Programme!F14866,Programme!G14866,Programme!H14866,Programme!I14866,Programme!J14866)</f>
        <v>&lt;valeur&gt;&lt;/valeur&gt;</v>
      </c>
    </row>
    <row r="14866" spans="1:1" x14ac:dyDescent="0.2">
      <c r="A14866" s="996" t="str">
        <f>CONCATENATE(Programme!D14867,Programme!E14867,Programme!F14867,Programme!G14867,Programme!H14867,Programme!I14867,Programme!J14867)</f>
        <v>&lt;numeroLigne&gt;134&lt;/numeroLigne&gt;</v>
      </c>
    </row>
    <row r="14867" spans="1:1" x14ac:dyDescent="0.2">
      <c r="A14867" s="996" t="str">
        <f>CONCATENATE(Programme!D14868,Programme!E14868,Programme!F14868,Programme!G14868,Programme!H14868,Programme!I14868,Programme!J14868)</f>
        <v>&lt;/ValeurCellule&gt;</v>
      </c>
    </row>
    <row r="14868" spans="1:1" x14ac:dyDescent="0.2">
      <c r="A14868" s="996" t="str">
        <f>CONCATENATE(Programme!D14869,Programme!E14869,Programme!F14869,Programme!G14869,Programme!H14869,Programme!I14869,Programme!J14869)</f>
        <v>&lt;ValeurCellule&gt;</v>
      </c>
    </row>
    <row r="14869" spans="1:1" x14ac:dyDescent="0.2">
      <c r="A14869" s="996" t="str">
        <f>CONCATENATE(Programme!D14870,Programme!E14870,Programme!F14870,Programme!G14870,Programme!H14870,Programme!I14870,Programme!J14870)</f>
        <v>&lt;cellule&gt;&lt;codeEdi&gt;1083&lt;/codeEdi&gt;&lt;/cellule&gt;</v>
      </c>
    </row>
    <row r="14870" spans="1:1" x14ac:dyDescent="0.2">
      <c r="A14870" s="996" t="str">
        <f>CONCATENATE(Programme!D14871,Programme!E14871,Programme!F14871,Programme!G14871,Programme!H14871,Programme!I14871,Programme!J14871)</f>
        <v>&lt;valeur&gt;&lt;/valeur&gt;</v>
      </c>
    </row>
    <row r="14871" spans="1:1" x14ac:dyDescent="0.2">
      <c r="A14871" s="996" t="str">
        <f>CONCATENATE(Programme!D14872,Programme!E14872,Programme!F14872,Programme!G14872,Programme!H14872,Programme!I14872,Programme!J14872)</f>
        <v>&lt;numeroLigne&gt;134&lt;/numeroLigne&gt;</v>
      </c>
    </row>
    <row r="14872" spans="1:1" x14ac:dyDescent="0.2">
      <c r="A14872" s="996" t="str">
        <f>CONCATENATE(Programme!D14873,Programme!E14873,Programme!F14873,Programme!G14873,Programme!H14873,Programme!I14873,Programme!J14873)</f>
        <v>&lt;/ValeurCellule&gt;</v>
      </c>
    </row>
    <row r="14873" spans="1:1" x14ac:dyDescent="0.2">
      <c r="A14873" s="996" t="str">
        <f>CONCATENATE(Programme!D14874,Programme!E14874,Programme!F14874,Programme!G14874,Programme!H14874,Programme!I14874,Programme!J14874)</f>
        <v>&lt;ValeurCellule&gt;</v>
      </c>
    </row>
    <row r="14874" spans="1:1" x14ac:dyDescent="0.2">
      <c r="A14874" s="996" t="str">
        <f>CONCATENATE(Programme!D14875,Programme!E14875,Programme!F14875,Programme!G14875,Programme!H14875,Programme!I14875,Programme!J14875)</f>
        <v>&lt;cellule&gt;&lt;codeEdi&gt;1084&lt;/codeEdi&gt;&lt;/cellule&gt;</v>
      </c>
    </row>
    <row r="14875" spans="1:1" x14ac:dyDescent="0.2">
      <c r="A14875" s="996" t="str">
        <f>CONCATENATE(Programme!D14876,Programme!E14876,Programme!F14876,Programme!G14876,Programme!H14876,Programme!I14876,Programme!J14876)</f>
        <v>&lt;valeur&gt;&lt;/valeur&gt;</v>
      </c>
    </row>
    <row r="14876" spans="1:1" x14ac:dyDescent="0.2">
      <c r="A14876" s="996" t="str">
        <f>CONCATENATE(Programme!D14877,Programme!E14877,Programme!F14877,Programme!G14877,Programme!H14877,Programme!I14877,Programme!J14877)</f>
        <v>&lt;numeroLigne&gt;134&lt;/numeroLigne&gt;</v>
      </c>
    </row>
    <row r="14877" spans="1:1" x14ac:dyDescent="0.2">
      <c r="A14877" s="996" t="str">
        <f>CONCATENATE(Programme!D14878,Programme!E14878,Programme!F14878,Programme!G14878,Programme!H14878,Programme!I14878,Programme!J14878)</f>
        <v>&lt;/ValeurCellule&gt;</v>
      </c>
    </row>
    <row r="14878" spans="1:1" x14ac:dyDescent="0.2">
      <c r="A14878" s="996" t="str">
        <f>CONCATENATE(Programme!D14879,Programme!E14879,Programme!F14879,Programme!G14879,Programme!H14879,Programme!I14879,Programme!J14879)</f>
        <v>&lt;ValeurCellule&gt;</v>
      </c>
    </row>
    <row r="14879" spans="1:1" x14ac:dyDescent="0.2">
      <c r="A14879" s="996" t="str">
        <f>CONCATENATE(Programme!D14880,Programme!E14880,Programme!F14880,Programme!G14880,Programme!H14880,Programme!I14880,Programme!J14880)</f>
        <v>&lt;cellule&gt;&lt;codeEdi&gt;1085&lt;/codeEdi&gt;&lt;/cellule&gt;</v>
      </c>
    </row>
    <row r="14880" spans="1:1" x14ac:dyDescent="0.2">
      <c r="A14880" s="996" t="str">
        <f>CONCATENATE(Programme!D14881,Programme!E14881,Programme!F14881,Programme!G14881,Programme!H14881,Programme!I14881,Programme!J14881)</f>
        <v>&lt;valeur&gt;&lt;/valeur&gt;</v>
      </c>
    </row>
    <row r="14881" spans="1:1" x14ac:dyDescent="0.2">
      <c r="A14881" s="996" t="str">
        <f>CONCATENATE(Programme!D14882,Programme!E14882,Programme!F14882,Programme!G14882,Programme!H14882,Programme!I14882,Programme!J14882)</f>
        <v>&lt;numeroLigne&gt;134&lt;/numeroLigne&gt;</v>
      </c>
    </row>
    <row r="14882" spans="1:1" x14ac:dyDescent="0.2">
      <c r="A14882" s="996" t="str">
        <f>CONCATENATE(Programme!D14883,Programme!E14883,Programme!F14883,Programme!G14883,Programme!H14883,Programme!I14883,Programme!J14883)</f>
        <v>&lt;/ValeurCellule&gt;</v>
      </c>
    </row>
    <row r="14883" spans="1:1" x14ac:dyDescent="0.2">
      <c r="A14883" s="996" t="str">
        <f>CONCATENATE(Programme!D14884,Programme!E14884,Programme!F14884,Programme!G14884,Programme!H14884,Programme!I14884,Programme!J14884)</f>
        <v>&lt;ValeurCellule&gt;</v>
      </c>
    </row>
    <row r="14884" spans="1:1" x14ac:dyDescent="0.2">
      <c r="A14884" s="996" t="str">
        <f>CONCATENATE(Programme!D14885,Programme!E14885,Programme!F14885,Programme!G14885,Programme!H14885,Programme!I14885,Programme!J14885)</f>
        <v>&lt;cellule&gt;&lt;codeEdi&gt;1086&lt;/codeEdi&gt;&lt;/cellule&gt;</v>
      </c>
    </row>
    <row r="14885" spans="1:1" x14ac:dyDescent="0.2">
      <c r="A14885" s="996" t="str">
        <f>CONCATENATE(Programme!D14886,Programme!E14886,Programme!F14886,Programme!G14886,Programme!H14886,Programme!I14886,Programme!J14886)</f>
        <v>&lt;valeur&gt;&lt;/valeur&gt;</v>
      </c>
    </row>
    <row r="14886" spans="1:1" x14ac:dyDescent="0.2">
      <c r="A14886" s="996" t="str">
        <f>CONCATENATE(Programme!D14887,Programme!E14887,Programme!F14887,Programme!G14887,Programme!H14887,Programme!I14887,Programme!J14887)</f>
        <v>&lt;numeroLigne&gt;134&lt;/numeroLigne&gt;</v>
      </c>
    </row>
    <row r="14887" spans="1:1" x14ac:dyDescent="0.2">
      <c r="A14887" s="996" t="str">
        <f>CONCATENATE(Programme!D14888,Programme!E14888,Programme!F14888,Programme!G14888,Programme!H14888,Programme!I14888,Programme!J14888)</f>
        <v>&lt;/ValeurCellule&gt;</v>
      </c>
    </row>
    <row r="14888" spans="1:1" x14ac:dyDescent="0.2">
      <c r="A14888" s="996" t="str">
        <f>CONCATENATE(Programme!D14889,Programme!E14889,Programme!F14889,Programme!G14889,Programme!H14889,Programme!I14889,Programme!J14889)</f>
        <v>&lt;ValeurCellule&gt;</v>
      </c>
    </row>
    <row r="14889" spans="1:1" x14ac:dyDescent="0.2">
      <c r="A14889" s="996" t="str">
        <f>CONCATENATE(Programme!D14890,Programme!E14890,Programme!F14890,Programme!G14890,Programme!H14890,Programme!I14890,Programme!J14890)</f>
        <v>&lt;cellule&gt;&lt;codeEdi&gt;10061&lt;/codeEdi&gt;&lt;/cellule&gt;</v>
      </c>
    </row>
    <row r="14890" spans="1:1" x14ac:dyDescent="0.2">
      <c r="A14890" s="996" t="str">
        <f>CONCATENATE(Programme!D14891,Programme!E14891,Programme!F14891,Programme!G14891,Programme!H14891,Programme!I14891,Programme!J14891)</f>
        <v>&lt;valeur&gt;&lt;/valeur&gt;</v>
      </c>
    </row>
    <row r="14891" spans="1:1" x14ac:dyDescent="0.2">
      <c r="A14891" s="996" t="str">
        <f>CONCATENATE(Programme!D14892,Programme!E14892,Programme!F14892,Programme!G14892,Programme!H14892,Programme!I14892,Programme!J14892)</f>
        <v>&lt;numeroLigne&gt;135&lt;/numeroLigne&gt;</v>
      </c>
    </row>
    <row r="14892" spans="1:1" x14ac:dyDescent="0.2">
      <c r="A14892" s="996" t="str">
        <f>CONCATENATE(Programme!D14893,Programme!E14893,Programme!F14893,Programme!G14893,Programme!H14893,Programme!I14893,Programme!J14893)</f>
        <v>&lt;/ValeurCellule&gt;</v>
      </c>
    </row>
    <row r="14893" spans="1:1" x14ac:dyDescent="0.2">
      <c r="A14893" s="996" t="str">
        <f>CONCATENATE(Programme!D14894,Programme!E14894,Programme!F14894,Programme!G14894,Programme!H14894,Programme!I14894,Programme!J14894)</f>
        <v>&lt;ValeurCellule&gt;</v>
      </c>
    </row>
    <row r="14894" spans="1:1" x14ac:dyDescent="0.2">
      <c r="A14894" s="996" t="str">
        <f>CONCATENATE(Programme!D14895,Programme!E14895,Programme!F14895,Programme!G14895,Programme!H14895,Programme!I14895,Programme!J14895)</f>
        <v>&lt;cellule&gt;&lt;codeEdi&gt;1078&lt;/codeEdi&gt;&lt;/cellule&gt;</v>
      </c>
    </row>
    <row r="14895" spans="1:1" x14ac:dyDescent="0.2">
      <c r="A14895" s="996" t="str">
        <f>CONCATENATE(Programme!D14896,Programme!E14896,Programme!F14896,Programme!G14896,Programme!H14896,Programme!I14896,Programme!J14896)</f>
        <v>&lt;valeur&gt;&lt;/valeur&gt;</v>
      </c>
    </row>
    <row r="14896" spans="1:1" x14ac:dyDescent="0.2">
      <c r="A14896" s="996" t="str">
        <f>CONCATENATE(Programme!D14897,Programme!E14897,Programme!F14897,Programme!G14897,Programme!H14897,Programme!I14897,Programme!J14897)</f>
        <v>&lt;numeroLigne&gt;135&lt;/numeroLigne&gt;</v>
      </c>
    </row>
    <row r="14897" spans="1:1" x14ac:dyDescent="0.2">
      <c r="A14897" s="996" t="str">
        <f>CONCATENATE(Programme!D14898,Programme!E14898,Programme!F14898,Programme!G14898,Programme!H14898,Programme!I14898,Programme!J14898)</f>
        <v>&lt;/ValeurCellule&gt;</v>
      </c>
    </row>
    <row r="14898" spans="1:1" x14ac:dyDescent="0.2">
      <c r="A14898" s="996" t="str">
        <f>CONCATENATE(Programme!D14899,Programme!E14899,Programme!F14899,Programme!G14899,Programme!H14899,Programme!I14899,Programme!J14899)</f>
        <v>&lt;ValeurCellule&gt;</v>
      </c>
    </row>
    <row r="14899" spans="1:1" x14ac:dyDescent="0.2">
      <c r="A14899" s="996" t="str">
        <f>CONCATENATE(Programme!D14900,Programme!E14900,Programme!F14900,Programme!G14900,Programme!H14900,Programme!I14900,Programme!J14900)</f>
        <v>&lt;cellule&gt;&lt;codeEdi&gt;1079&lt;/codeEdi&gt;&lt;/cellule&gt;</v>
      </c>
    </row>
    <row r="14900" spans="1:1" x14ac:dyDescent="0.2">
      <c r="A14900" s="996" t="str">
        <f>CONCATENATE(Programme!D14901,Programme!E14901,Programme!F14901,Programme!G14901,Programme!H14901,Programme!I14901,Programme!J14901)</f>
        <v>&lt;valeur&gt;&lt;/valeur&gt;</v>
      </c>
    </row>
    <row r="14901" spans="1:1" x14ac:dyDescent="0.2">
      <c r="A14901" s="996" t="str">
        <f>CONCATENATE(Programme!D14902,Programme!E14902,Programme!F14902,Programme!G14902,Programme!H14902,Programme!I14902,Programme!J14902)</f>
        <v>&lt;numeroLigne&gt;135&lt;/numeroLigne&gt;</v>
      </c>
    </row>
    <row r="14902" spans="1:1" x14ac:dyDescent="0.2">
      <c r="A14902" s="996" t="str">
        <f>CONCATENATE(Programme!D14903,Programme!E14903,Programme!F14903,Programme!G14903,Programme!H14903,Programme!I14903,Programme!J14903)</f>
        <v>&lt;/ValeurCellule&gt;</v>
      </c>
    </row>
    <row r="14903" spans="1:1" x14ac:dyDescent="0.2">
      <c r="A14903" s="996" t="str">
        <f>CONCATENATE(Programme!D14904,Programme!E14904,Programme!F14904,Programme!G14904,Programme!H14904,Programme!I14904,Programme!J14904)</f>
        <v>&lt;ValeurCellule&gt;</v>
      </c>
    </row>
    <row r="14904" spans="1:1" x14ac:dyDescent="0.2">
      <c r="A14904" s="996" t="str">
        <f>CONCATENATE(Programme!D14905,Programme!E14905,Programme!F14905,Programme!G14905,Programme!H14905,Programme!I14905,Programme!J14905)</f>
        <v>&lt;cellule&gt;&lt;codeEdi&gt;1080&lt;/codeEdi&gt;&lt;/cellule&gt;</v>
      </c>
    </row>
    <row r="14905" spans="1:1" x14ac:dyDescent="0.2">
      <c r="A14905" s="996" t="str">
        <f>CONCATENATE(Programme!D14906,Programme!E14906,Programme!F14906,Programme!G14906,Programme!H14906,Programme!I14906,Programme!J14906)</f>
        <v>&lt;valeur&gt;&lt;/valeur&gt;</v>
      </c>
    </row>
    <row r="14906" spans="1:1" x14ac:dyDescent="0.2">
      <c r="A14906" s="996" t="str">
        <f>CONCATENATE(Programme!D14907,Programme!E14907,Programme!F14907,Programme!G14907,Programme!H14907,Programme!I14907,Programme!J14907)</f>
        <v>&lt;numeroLigne&gt;135&lt;/numeroLigne&gt;</v>
      </c>
    </row>
    <row r="14907" spans="1:1" x14ac:dyDescent="0.2">
      <c r="A14907" s="996" t="str">
        <f>CONCATENATE(Programme!D14908,Programme!E14908,Programme!F14908,Programme!G14908,Programme!H14908,Programme!I14908,Programme!J14908)</f>
        <v>&lt;/ValeurCellule&gt;</v>
      </c>
    </row>
    <row r="14908" spans="1:1" x14ac:dyDescent="0.2">
      <c r="A14908" s="996" t="str">
        <f>CONCATENATE(Programme!D14909,Programme!E14909,Programme!F14909,Programme!G14909,Programme!H14909,Programme!I14909,Programme!J14909)</f>
        <v>&lt;ValeurCellule&gt;</v>
      </c>
    </row>
    <row r="14909" spans="1:1" x14ac:dyDescent="0.2">
      <c r="A14909" s="996" t="str">
        <f>CONCATENATE(Programme!D14910,Programme!E14910,Programme!F14910,Programme!G14910,Programme!H14910,Programme!I14910,Programme!J14910)</f>
        <v>&lt;cellule&gt;&lt;codeEdi&gt;1081&lt;/codeEdi&gt;&lt;/cellule&gt;</v>
      </c>
    </row>
    <row r="14910" spans="1:1" x14ac:dyDescent="0.2">
      <c r="A14910" s="996" t="str">
        <f>CONCATENATE(Programme!D14911,Programme!E14911,Programme!F14911,Programme!G14911,Programme!H14911,Programme!I14911,Programme!J14911)</f>
        <v>&lt;valeur&gt;&lt;/valeur&gt;</v>
      </c>
    </row>
    <row r="14911" spans="1:1" x14ac:dyDescent="0.2">
      <c r="A14911" s="996" t="str">
        <f>CONCATENATE(Programme!D14912,Programme!E14912,Programme!F14912,Programme!G14912,Programme!H14912,Programme!I14912,Programme!J14912)</f>
        <v>&lt;numeroLigne&gt;135&lt;/numeroLigne&gt;</v>
      </c>
    </row>
    <row r="14912" spans="1:1" x14ac:dyDescent="0.2">
      <c r="A14912" s="996" t="str">
        <f>CONCATENATE(Programme!D14913,Programme!E14913,Programme!F14913,Programme!G14913,Programme!H14913,Programme!I14913,Programme!J14913)</f>
        <v>&lt;/ValeurCellule&gt;</v>
      </c>
    </row>
    <row r="14913" spans="1:1" x14ac:dyDescent="0.2">
      <c r="A14913" s="996" t="str">
        <f>CONCATENATE(Programme!D14914,Programme!E14914,Programme!F14914,Programme!G14914,Programme!H14914,Programme!I14914,Programme!J14914)</f>
        <v>&lt;ValeurCellule&gt;</v>
      </c>
    </row>
    <row r="14914" spans="1:1" x14ac:dyDescent="0.2">
      <c r="A14914" s="996" t="str">
        <f>CONCATENATE(Programme!D14915,Programme!E14915,Programme!F14915,Programme!G14915,Programme!H14915,Programme!I14915,Programme!J14915)</f>
        <v>&lt;cellule&gt;&lt;codeEdi&gt;1082&lt;/codeEdi&gt;&lt;/cellule&gt;</v>
      </c>
    </row>
    <row r="14915" spans="1:1" x14ac:dyDescent="0.2">
      <c r="A14915" s="996" t="str">
        <f>CONCATENATE(Programme!D14916,Programme!E14916,Programme!F14916,Programme!G14916,Programme!H14916,Programme!I14916,Programme!J14916)</f>
        <v>&lt;valeur&gt;&lt;/valeur&gt;</v>
      </c>
    </row>
    <row r="14916" spans="1:1" x14ac:dyDescent="0.2">
      <c r="A14916" s="996" t="str">
        <f>CONCATENATE(Programme!D14917,Programme!E14917,Programme!F14917,Programme!G14917,Programme!H14917,Programme!I14917,Programme!J14917)</f>
        <v>&lt;numeroLigne&gt;135&lt;/numeroLigne&gt;</v>
      </c>
    </row>
    <row r="14917" spans="1:1" x14ac:dyDescent="0.2">
      <c r="A14917" s="996" t="str">
        <f>CONCATENATE(Programme!D14918,Programme!E14918,Programme!F14918,Programme!G14918,Programme!H14918,Programme!I14918,Programme!J14918)</f>
        <v>&lt;/ValeurCellule&gt;</v>
      </c>
    </row>
    <row r="14918" spans="1:1" x14ac:dyDescent="0.2">
      <c r="A14918" s="996" t="str">
        <f>CONCATENATE(Programme!D14919,Programme!E14919,Programme!F14919,Programme!G14919,Programme!H14919,Programme!I14919,Programme!J14919)</f>
        <v>&lt;ValeurCellule&gt;</v>
      </c>
    </row>
    <row r="14919" spans="1:1" x14ac:dyDescent="0.2">
      <c r="A14919" s="996" t="str">
        <f>CONCATENATE(Programme!D14920,Programme!E14920,Programme!F14920,Programme!G14920,Programme!H14920,Programme!I14920,Programme!J14920)</f>
        <v>&lt;cellule&gt;&lt;codeEdi&gt;1083&lt;/codeEdi&gt;&lt;/cellule&gt;</v>
      </c>
    </row>
    <row r="14920" spans="1:1" x14ac:dyDescent="0.2">
      <c r="A14920" s="996" t="str">
        <f>CONCATENATE(Programme!D14921,Programme!E14921,Programme!F14921,Programme!G14921,Programme!H14921,Programme!I14921,Programme!J14921)</f>
        <v>&lt;valeur&gt;&lt;/valeur&gt;</v>
      </c>
    </row>
    <row r="14921" spans="1:1" x14ac:dyDescent="0.2">
      <c r="A14921" s="996" t="str">
        <f>CONCATENATE(Programme!D14922,Programme!E14922,Programme!F14922,Programme!G14922,Programme!H14922,Programme!I14922,Programme!J14922)</f>
        <v>&lt;numeroLigne&gt;135&lt;/numeroLigne&gt;</v>
      </c>
    </row>
    <row r="14922" spans="1:1" x14ac:dyDescent="0.2">
      <c r="A14922" s="996" t="str">
        <f>CONCATENATE(Programme!D14923,Programme!E14923,Programme!F14923,Programme!G14923,Programme!H14923,Programme!I14923,Programme!J14923)</f>
        <v>&lt;/ValeurCellule&gt;</v>
      </c>
    </row>
    <row r="14923" spans="1:1" x14ac:dyDescent="0.2">
      <c r="A14923" s="996" t="str">
        <f>CONCATENATE(Programme!D14924,Programme!E14924,Programme!F14924,Programme!G14924,Programme!H14924,Programme!I14924,Programme!J14924)</f>
        <v>&lt;ValeurCellule&gt;</v>
      </c>
    </row>
    <row r="14924" spans="1:1" x14ac:dyDescent="0.2">
      <c r="A14924" s="996" t="str">
        <f>CONCATENATE(Programme!D14925,Programme!E14925,Programme!F14925,Programme!G14925,Programme!H14925,Programme!I14925,Programme!J14925)</f>
        <v>&lt;cellule&gt;&lt;codeEdi&gt;1084&lt;/codeEdi&gt;&lt;/cellule&gt;</v>
      </c>
    </row>
    <row r="14925" spans="1:1" x14ac:dyDescent="0.2">
      <c r="A14925" s="996" t="str">
        <f>CONCATENATE(Programme!D14926,Programme!E14926,Programme!F14926,Programme!G14926,Programme!H14926,Programme!I14926,Programme!J14926)</f>
        <v>&lt;valeur&gt;&lt;/valeur&gt;</v>
      </c>
    </row>
    <row r="14926" spans="1:1" x14ac:dyDescent="0.2">
      <c r="A14926" s="996" t="str">
        <f>CONCATENATE(Programme!D14927,Programme!E14927,Programme!F14927,Programme!G14927,Programme!H14927,Programme!I14927,Programme!J14927)</f>
        <v>&lt;numeroLigne&gt;135&lt;/numeroLigne&gt;</v>
      </c>
    </row>
    <row r="14927" spans="1:1" x14ac:dyDescent="0.2">
      <c r="A14927" s="996" t="str">
        <f>CONCATENATE(Programme!D14928,Programme!E14928,Programme!F14928,Programme!G14928,Programme!H14928,Programme!I14928,Programme!J14928)</f>
        <v>&lt;/ValeurCellule&gt;</v>
      </c>
    </row>
    <row r="14928" spans="1:1" x14ac:dyDescent="0.2">
      <c r="A14928" s="996" t="str">
        <f>CONCATENATE(Programme!D14929,Programme!E14929,Programme!F14929,Programme!G14929,Programme!H14929,Programme!I14929,Programme!J14929)</f>
        <v>&lt;ValeurCellule&gt;</v>
      </c>
    </row>
    <row r="14929" spans="1:1" x14ac:dyDescent="0.2">
      <c r="A14929" s="996" t="str">
        <f>CONCATENATE(Programme!D14930,Programme!E14930,Programme!F14930,Programme!G14930,Programme!H14930,Programme!I14930,Programme!J14930)</f>
        <v>&lt;cellule&gt;&lt;codeEdi&gt;1085&lt;/codeEdi&gt;&lt;/cellule&gt;</v>
      </c>
    </row>
    <row r="14930" spans="1:1" x14ac:dyDescent="0.2">
      <c r="A14930" s="996" t="str">
        <f>CONCATENATE(Programme!D14931,Programme!E14931,Programme!F14931,Programme!G14931,Programme!H14931,Programme!I14931,Programme!J14931)</f>
        <v>&lt;valeur&gt;&lt;/valeur&gt;</v>
      </c>
    </row>
    <row r="14931" spans="1:1" x14ac:dyDescent="0.2">
      <c r="A14931" s="996" t="str">
        <f>CONCATENATE(Programme!D14932,Programme!E14932,Programme!F14932,Programme!G14932,Programme!H14932,Programme!I14932,Programme!J14932)</f>
        <v>&lt;numeroLigne&gt;135&lt;/numeroLigne&gt;</v>
      </c>
    </row>
    <row r="14932" spans="1:1" x14ac:dyDescent="0.2">
      <c r="A14932" s="996" t="str">
        <f>CONCATENATE(Programme!D14933,Programme!E14933,Programme!F14933,Programme!G14933,Programme!H14933,Programme!I14933,Programme!J14933)</f>
        <v>&lt;/ValeurCellule&gt;</v>
      </c>
    </row>
    <row r="14933" spans="1:1" x14ac:dyDescent="0.2">
      <c r="A14933" s="996" t="str">
        <f>CONCATENATE(Programme!D14934,Programme!E14934,Programme!F14934,Programme!G14934,Programme!H14934,Programme!I14934,Programme!J14934)</f>
        <v>&lt;ValeurCellule&gt;</v>
      </c>
    </row>
    <row r="14934" spans="1:1" x14ac:dyDescent="0.2">
      <c r="A14934" s="996" t="str">
        <f>CONCATENATE(Programme!D14935,Programme!E14935,Programme!F14935,Programme!G14935,Programme!H14935,Programme!I14935,Programme!J14935)</f>
        <v>&lt;cellule&gt;&lt;codeEdi&gt;1086&lt;/codeEdi&gt;&lt;/cellule&gt;</v>
      </c>
    </row>
    <row r="14935" spans="1:1" x14ac:dyDescent="0.2">
      <c r="A14935" s="996" t="str">
        <f>CONCATENATE(Programme!D14936,Programme!E14936,Programme!F14936,Programme!G14936,Programme!H14936,Programme!I14936,Programme!J14936)</f>
        <v>&lt;valeur&gt;&lt;/valeur&gt;</v>
      </c>
    </row>
    <row r="14936" spans="1:1" x14ac:dyDescent="0.2">
      <c r="A14936" s="996" t="str">
        <f>CONCATENATE(Programme!D14937,Programme!E14937,Programme!F14937,Programme!G14937,Programme!H14937,Programme!I14937,Programme!J14937)</f>
        <v>&lt;numeroLigne&gt;135&lt;/numeroLigne&gt;</v>
      </c>
    </row>
    <row r="14937" spans="1:1" x14ac:dyDescent="0.2">
      <c r="A14937" s="996" t="str">
        <f>CONCATENATE(Programme!D14938,Programme!E14938,Programme!F14938,Programme!G14938,Programme!H14938,Programme!I14938,Programme!J14938)</f>
        <v>&lt;/ValeurCellule&gt;</v>
      </c>
    </row>
    <row r="14938" spans="1:1" x14ac:dyDescent="0.2">
      <c r="A14938" s="996" t="str">
        <f>CONCATENATE(Programme!D14939,Programme!E14939,Programme!F14939,Programme!G14939,Programme!H14939,Programme!I14939,Programme!J14939)</f>
        <v>&lt;ValeurCellule&gt;</v>
      </c>
    </row>
    <row r="14939" spans="1:1" x14ac:dyDescent="0.2">
      <c r="A14939" s="996" t="str">
        <f>CONCATENATE(Programme!D14940,Programme!E14940,Programme!F14940,Programme!G14940,Programme!H14940,Programme!I14940,Programme!J14940)</f>
        <v>&lt;cellule&gt;&lt;codeEdi&gt;10061&lt;/codeEdi&gt;&lt;/cellule&gt;</v>
      </c>
    </row>
    <row r="14940" spans="1:1" x14ac:dyDescent="0.2">
      <c r="A14940" s="996" t="str">
        <f>CONCATENATE(Programme!D14941,Programme!E14941,Programme!F14941,Programme!G14941,Programme!H14941,Programme!I14941,Programme!J14941)</f>
        <v>&lt;valeur&gt;&lt;/valeur&gt;</v>
      </c>
    </row>
    <row r="14941" spans="1:1" x14ac:dyDescent="0.2">
      <c r="A14941" s="996" t="str">
        <f>CONCATENATE(Programme!D14942,Programme!E14942,Programme!F14942,Programme!G14942,Programme!H14942,Programme!I14942,Programme!J14942)</f>
        <v>&lt;numeroLigne&gt;136&lt;/numeroLigne&gt;</v>
      </c>
    </row>
    <row r="14942" spans="1:1" x14ac:dyDescent="0.2">
      <c r="A14942" s="996" t="str">
        <f>CONCATENATE(Programme!D14943,Programme!E14943,Programme!F14943,Programme!G14943,Programme!H14943,Programme!I14943,Programme!J14943)</f>
        <v>&lt;/ValeurCellule&gt;</v>
      </c>
    </row>
    <row r="14943" spans="1:1" x14ac:dyDescent="0.2">
      <c r="A14943" s="996" t="str">
        <f>CONCATENATE(Programme!D14944,Programme!E14944,Programme!F14944,Programme!G14944,Programme!H14944,Programme!I14944,Programme!J14944)</f>
        <v>&lt;ValeurCellule&gt;</v>
      </c>
    </row>
    <row r="14944" spans="1:1" x14ac:dyDescent="0.2">
      <c r="A14944" s="996" t="str">
        <f>CONCATENATE(Programme!D14945,Programme!E14945,Programme!F14945,Programme!G14945,Programme!H14945,Programme!I14945,Programme!J14945)</f>
        <v>&lt;cellule&gt;&lt;codeEdi&gt;1078&lt;/codeEdi&gt;&lt;/cellule&gt;</v>
      </c>
    </row>
    <row r="14945" spans="1:1" x14ac:dyDescent="0.2">
      <c r="A14945" s="996" t="str">
        <f>CONCATENATE(Programme!D14946,Programme!E14946,Programme!F14946,Programme!G14946,Programme!H14946,Programme!I14946,Programme!J14946)</f>
        <v>&lt;valeur&gt;&lt;/valeur&gt;</v>
      </c>
    </row>
    <row r="14946" spans="1:1" x14ac:dyDescent="0.2">
      <c r="A14946" s="996" t="str">
        <f>CONCATENATE(Programme!D14947,Programme!E14947,Programme!F14947,Programme!G14947,Programme!H14947,Programme!I14947,Programme!J14947)</f>
        <v>&lt;numeroLigne&gt;136&lt;/numeroLigne&gt;</v>
      </c>
    </row>
    <row r="14947" spans="1:1" x14ac:dyDescent="0.2">
      <c r="A14947" s="996" t="str">
        <f>CONCATENATE(Programme!D14948,Programme!E14948,Programme!F14948,Programme!G14948,Programme!H14948,Programme!I14948,Programme!J14948)</f>
        <v>&lt;/ValeurCellule&gt;</v>
      </c>
    </row>
    <row r="14948" spans="1:1" x14ac:dyDescent="0.2">
      <c r="A14948" s="996" t="str">
        <f>CONCATENATE(Programme!D14949,Programme!E14949,Programme!F14949,Programme!G14949,Programme!H14949,Programme!I14949,Programme!J14949)</f>
        <v>&lt;ValeurCellule&gt;</v>
      </c>
    </row>
    <row r="14949" spans="1:1" x14ac:dyDescent="0.2">
      <c r="A14949" s="996" t="str">
        <f>CONCATENATE(Programme!D14950,Programme!E14950,Programme!F14950,Programme!G14950,Programme!H14950,Programme!I14950,Programme!J14950)</f>
        <v>&lt;cellule&gt;&lt;codeEdi&gt;1079&lt;/codeEdi&gt;&lt;/cellule&gt;</v>
      </c>
    </row>
    <row r="14950" spans="1:1" x14ac:dyDescent="0.2">
      <c r="A14950" s="996" t="str">
        <f>CONCATENATE(Programme!D14951,Programme!E14951,Programme!F14951,Programme!G14951,Programme!H14951,Programme!I14951,Programme!J14951)</f>
        <v>&lt;valeur&gt;&lt;/valeur&gt;</v>
      </c>
    </row>
    <row r="14951" spans="1:1" x14ac:dyDescent="0.2">
      <c r="A14951" s="996" t="str">
        <f>CONCATENATE(Programme!D14952,Programme!E14952,Programme!F14952,Programme!G14952,Programme!H14952,Programme!I14952,Programme!J14952)</f>
        <v>&lt;numeroLigne&gt;136&lt;/numeroLigne&gt;</v>
      </c>
    </row>
    <row r="14952" spans="1:1" x14ac:dyDescent="0.2">
      <c r="A14952" s="996" t="str">
        <f>CONCATENATE(Programme!D14953,Programme!E14953,Programme!F14953,Programme!G14953,Programme!H14953,Programme!I14953,Programme!J14953)</f>
        <v>&lt;/ValeurCellule&gt;</v>
      </c>
    </row>
    <row r="14953" spans="1:1" x14ac:dyDescent="0.2">
      <c r="A14953" s="996" t="str">
        <f>CONCATENATE(Programme!D14954,Programme!E14954,Programme!F14954,Programme!G14954,Programme!H14954,Programme!I14954,Programme!J14954)</f>
        <v>&lt;ValeurCellule&gt;</v>
      </c>
    </row>
    <row r="14954" spans="1:1" x14ac:dyDescent="0.2">
      <c r="A14954" s="996" t="str">
        <f>CONCATENATE(Programme!D14955,Programme!E14955,Programme!F14955,Programme!G14955,Programme!H14955,Programme!I14955,Programme!J14955)</f>
        <v>&lt;cellule&gt;&lt;codeEdi&gt;1080&lt;/codeEdi&gt;&lt;/cellule&gt;</v>
      </c>
    </row>
    <row r="14955" spans="1:1" x14ac:dyDescent="0.2">
      <c r="A14955" s="996" t="str">
        <f>CONCATENATE(Programme!D14956,Programme!E14956,Programme!F14956,Programme!G14956,Programme!H14956,Programme!I14956,Programme!J14956)</f>
        <v>&lt;valeur&gt;&lt;/valeur&gt;</v>
      </c>
    </row>
    <row r="14956" spans="1:1" x14ac:dyDescent="0.2">
      <c r="A14956" s="996" t="str">
        <f>CONCATENATE(Programme!D14957,Programme!E14957,Programme!F14957,Programme!G14957,Programme!H14957,Programme!I14957,Programme!J14957)</f>
        <v>&lt;numeroLigne&gt;136&lt;/numeroLigne&gt;</v>
      </c>
    </row>
    <row r="14957" spans="1:1" x14ac:dyDescent="0.2">
      <c r="A14957" s="996" t="str">
        <f>CONCATENATE(Programme!D14958,Programme!E14958,Programme!F14958,Programme!G14958,Programme!H14958,Programme!I14958,Programme!J14958)</f>
        <v>&lt;/ValeurCellule&gt;</v>
      </c>
    </row>
    <row r="14958" spans="1:1" x14ac:dyDescent="0.2">
      <c r="A14958" s="996" t="str">
        <f>CONCATENATE(Programme!D14959,Programme!E14959,Programme!F14959,Programme!G14959,Programme!H14959,Programme!I14959,Programme!J14959)</f>
        <v>&lt;ValeurCellule&gt;</v>
      </c>
    </row>
    <row r="14959" spans="1:1" x14ac:dyDescent="0.2">
      <c r="A14959" s="996" t="str">
        <f>CONCATENATE(Programme!D14960,Programme!E14960,Programme!F14960,Programme!G14960,Programme!H14960,Programme!I14960,Programme!J14960)</f>
        <v>&lt;cellule&gt;&lt;codeEdi&gt;1081&lt;/codeEdi&gt;&lt;/cellule&gt;</v>
      </c>
    </row>
    <row r="14960" spans="1:1" x14ac:dyDescent="0.2">
      <c r="A14960" s="996" t="str">
        <f>CONCATENATE(Programme!D14961,Programme!E14961,Programme!F14961,Programme!G14961,Programme!H14961,Programme!I14961,Programme!J14961)</f>
        <v>&lt;valeur&gt;&lt;/valeur&gt;</v>
      </c>
    </row>
    <row r="14961" spans="1:1" x14ac:dyDescent="0.2">
      <c r="A14961" s="996" t="str">
        <f>CONCATENATE(Programme!D14962,Programme!E14962,Programme!F14962,Programme!G14962,Programme!H14962,Programme!I14962,Programme!J14962)</f>
        <v>&lt;numeroLigne&gt;136&lt;/numeroLigne&gt;</v>
      </c>
    </row>
    <row r="14962" spans="1:1" x14ac:dyDescent="0.2">
      <c r="A14962" s="996" t="str">
        <f>CONCATENATE(Programme!D14963,Programme!E14963,Programme!F14963,Programme!G14963,Programme!H14963,Programme!I14963,Programme!J14963)</f>
        <v>&lt;/ValeurCellule&gt;</v>
      </c>
    </row>
    <row r="14963" spans="1:1" x14ac:dyDescent="0.2">
      <c r="A14963" s="996" t="str">
        <f>CONCATENATE(Programme!D14964,Programme!E14964,Programme!F14964,Programme!G14964,Programme!H14964,Programme!I14964,Programme!J14964)</f>
        <v>&lt;ValeurCellule&gt;</v>
      </c>
    </row>
    <row r="14964" spans="1:1" x14ac:dyDescent="0.2">
      <c r="A14964" s="996" t="str">
        <f>CONCATENATE(Programme!D14965,Programme!E14965,Programme!F14965,Programme!G14965,Programme!H14965,Programme!I14965,Programme!J14965)</f>
        <v>&lt;cellule&gt;&lt;codeEdi&gt;1082&lt;/codeEdi&gt;&lt;/cellule&gt;</v>
      </c>
    </row>
    <row r="14965" spans="1:1" x14ac:dyDescent="0.2">
      <c r="A14965" s="996" t="str">
        <f>CONCATENATE(Programme!D14966,Programme!E14966,Programme!F14966,Programme!G14966,Programme!H14966,Programme!I14966,Programme!J14966)</f>
        <v>&lt;valeur&gt;&lt;/valeur&gt;</v>
      </c>
    </row>
    <row r="14966" spans="1:1" x14ac:dyDescent="0.2">
      <c r="A14966" s="996" t="str">
        <f>CONCATENATE(Programme!D14967,Programme!E14967,Programme!F14967,Programme!G14967,Programme!H14967,Programme!I14967,Programme!J14967)</f>
        <v>&lt;numeroLigne&gt;136&lt;/numeroLigne&gt;</v>
      </c>
    </row>
    <row r="14967" spans="1:1" x14ac:dyDescent="0.2">
      <c r="A14967" s="996" t="str">
        <f>CONCATENATE(Programme!D14968,Programme!E14968,Programme!F14968,Programme!G14968,Programme!H14968,Programme!I14968,Programme!J14968)</f>
        <v>&lt;/ValeurCellule&gt;</v>
      </c>
    </row>
    <row r="14968" spans="1:1" x14ac:dyDescent="0.2">
      <c r="A14968" s="996" t="str">
        <f>CONCATENATE(Programme!D14969,Programme!E14969,Programme!F14969,Programme!G14969,Programme!H14969,Programme!I14969,Programme!J14969)</f>
        <v>&lt;ValeurCellule&gt;</v>
      </c>
    </row>
    <row r="14969" spans="1:1" x14ac:dyDescent="0.2">
      <c r="A14969" s="996" t="str">
        <f>CONCATENATE(Programme!D14970,Programme!E14970,Programme!F14970,Programme!G14970,Programme!H14970,Programme!I14970,Programme!J14970)</f>
        <v>&lt;cellule&gt;&lt;codeEdi&gt;1083&lt;/codeEdi&gt;&lt;/cellule&gt;</v>
      </c>
    </row>
    <row r="14970" spans="1:1" x14ac:dyDescent="0.2">
      <c r="A14970" s="996" t="str">
        <f>CONCATENATE(Programme!D14971,Programme!E14971,Programme!F14971,Programme!G14971,Programme!H14971,Programme!I14971,Programme!J14971)</f>
        <v>&lt;valeur&gt;&lt;/valeur&gt;</v>
      </c>
    </row>
    <row r="14971" spans="1:1" x14ac:dyDescent="0.2">
      <c r="A14971" s="996" t="str">
        <f>CONCATENATE(Programme!D14972,Programme!E14972,Programme!F14972,Programme!G14972,Programme!H14972,Programme!I14972,Programme!J14972)</f>
        <v>&lt;numeroLigne&gt;136&lt;/numeroLigne&gt;</v>
      </c>
    </row>
    <row r="14972" spans="1:1" x14ac:dyDescent="0.2">
      <c r="A14972" s="996" t="str">
        <f>CONCATENATE(Programme!D14973,Programme!E14973,Programme!F14973,Programme!G14973,Programme!H14973,Programme!I14973,Programme!J14973)</f>
        <v>&lt;/ValeurCellule&gt;</v>
      </c>
    </row>
    <row r="14973" spans="1:1" x14ac:dyDescent="0.2">
      <c r="A14973" s="996" t="str">
        <f>CONCATENATE(Programme!D14974,Programme!E14974,Programme!F14974,Programme!G14974,Programme!H14974,Programme!I14974,Programme!J14974)</f>
        <v>&lt;ValeurCellule&gt;</v>
      </c>
    </row>
    <row r="14974" spans="1:1" x14ac:dyDescent="0.2">
      <c r="A14974" s="996" t="str">
        <f>CONCATENATE(Programme!D14975,Programme!E14975,Programme!F14975,Programme!G14975,Programme!H14975,Programme!I14975,Programme!J14975)</f>
        <v>&lt;cellule&gt;&lt;codeEdi&gt;1084&lt;/codeEdi&gt;&lt;/cellule&gt;</v>
      </c>
    </row>
    <row r="14975" spans="1:1" x14ac:dyDescent="0.2">
      <c r="A14975" s="996" t="str">
        <f>CONCATENATE(Programme!D14976,Programme!E14976,Programme!F14976,Programme!G14976,Programme!H14976,Programme!I14976,Programme!J14976)</f>
        <v>&lt;valeur&gt;&lt;/valeur&gt;</v>
      </c>
    </row>
    <row r="14976" spans="1:1" x14ac:dyDescent="0.2">
      <c r="A14976" s="996" t="str">
        <f>CONCATENATE(Programme!D14977,Programme!E14977,Programme!F14977,Programme!G14977,Programme!H14977,Programme!I14977,Programme!J14977)</f>
        <v>&lt;numeroLigne&gt;136&lt;/numeroLigne&gt;</v>
      </c>
    </row>
    <row r="14977" spans="1:1" x14ac:dyDescent="0.2">
      <c r="A14977" s="996" t="str">
        <f>CONCATENATE(Programme!D14978,Programme!E14978,Programme!F14978,Programme!G14978,Programme!H14978,Programme!I14978,Programme!J14978)</f>
        <v>&lt;/ValeurCellule&gt;</v>
      </c>
    </row>
    <row r="14978" spans="1:1" x14ac:dyDescent="0.2">
      <c r="A14978" s="996" t="str">
        <f>CONCATENATE(Programme!D14979,Programme!E14979,Programme!F14979,Programme!G14979,Programme!H14979,Programme!I14979,Programme!J14979)</f>
        <v>&lt;ValeurCellule&gt;</v>
      </c>
    </row>
    <row r="14979" spans="1:1" x14ac:dyDescent="0.2">
      <c r="A14979" s="996" t="str">
        <f>CONCATENATE(Programme!D14980,Programme!E14980,Programme!F14980,Programme!G14980,Programme!H14980,Programme!I14980,Programme!J14980)</f>
        <v>&lt;cellule&gt;&lt;codeEdi&gt;1085&lt;/codeEdi&gt;&lt;/cellule&gt;</v>
      </c>
    </row>
    <row r="14980" spans="1:1" x14ac:dyDescent="0.2">
      <c r="A14980" s="996" t="str">
        <f>CONCATENATE(Programme!D14981,Programme!E14981,Programme!F14981,Programme!G14981,Programme!H14981,Programme!I14981,Programme!J14981)</f>
        <v>&lt;valeur&gt;&lt;/valeur&gt;</v>
      </c>
    </row>
    <row r="14981" spans="1:1" x14ac:dyDescent="0.2">
      <c r="A14981" s="996" t="str">
        <f>CONCATENATE(Programme!D14982,Programme!E14982,Programme!F14982,Programme!G14982,Programme!H14982,Programme!I14982,Programme!J14982)</f>
        <v>&lt;numeroLigne&gt;136&lt;/numeroLigne&gt;</v>
      </c>
    </row>
    <row r="14982" spans="1:1" x14ac:dyDescent="0.2">
      <c r="A14982" s="996" t="str">
        <f>CONCATENATE(Programme!D14983,Programme!E14983,Programme!F14983,Programme!G14983,Programme!H14983,Programme!I14983,Programme!J14983)</f>
        <v>&lt;/ValeurCellule&gt;</v>
      </c>
    </row>
    <row r="14983" spans="1:1" x14ac:dyDescent="0.2">
      <c r="A14983" s="996" t="str">
        <f>CONCATENATE(Programme!D14984,Programme!E14984,Programme!F14984,Programme!G14984,Programme!H14984,Programme!I14984,Programme!J14984)</f>
        <v>&lt;ValeurCellule&gt;</v>
      </c>
    </row>
    <row r="14984" spans="1:1" x14ac:dyDescent="0.2">
      <c r="A14984" s="996" t="str">
        <f>CONCATENATE(Programme!D14985,Programme!E14985,Programme!F14985,Programme!G14985,Programme!H14985,Programme!I14985,Programme!J14985)</f>
        <v>&lt;cellule&gt;&lt;codeEdi&gt;1086&lt;/codeEdi&gt;&lt;/cellule&gt;</v>
      </c>
    </row>
    <row r="14985" spans="1:1" x14ac:dyDescent="0.2">
      <c r="A14985" s="996" t="str">
        <f>CONCATENATE(Programme!D14986,Programme!E14986,Programme!F14986,Programme!G14986,Programme!H14986,Programme!I14986,Programme!J14986)</f>
        <v>&lt;valeur&gt;&lt;/valeur&gt;</v>
      </c>
    </row>
    <row r="14986" spans="1:1" x14ac:dyDescent="0.2">
      <c r="A14986" s="996" t="str">
        <f>CONCATENATE(Programme!D14987,Programme!E14987,Programme!F14987,Programme!G14987,Programme!H14987,Programme!I14987,Programme!J14987)</f>
        <v>&lt;numeroLigne&gt;136&lt;/numeroLigne&gt;</v>
      </c>
    </row>
    <row r="14987" spans="1:1" x14ac:dyDescent="0.2">
      <c r="A14987" s="996" t="str">
        <f>CONCATENATE(Programme!D14988,Programme!E14988,Programme!F14988,Programme!G14988,Programme!H14988,Programme!I14988,Programme!J14988)</f>
        <v>&lt;/ValeurCellule&gt;</v>
      </c>
    </row>
    <row r="14988" spans="1:1" x14ac:dyDescent="0.2">
      <c r="A14988" s="996" t="str">
        <f>CONCATENATE(Programme!D14989,Programme!E14989,Programme!F14989,Programme!G14989,Programme!H14989,Programme!I14989,Programme!J14989)</f>
        <v>&lt;ValeurCellule&gt;</v>
      </c>
    </row>
    <row r="14989" spans="1:1" x14ac:dyDescent="0.2">
      <c r="A14989" s="996" t="str">
        <f>CONCATENATE(Programme!D14990,Programme!E14990,Programme!F14990,Programme!G14990,Programme!H14990,Programme!I14990,Programme!J14990)</f>
        <v>&lt;cellule&gt;&lt;codeEdi&gt;10061&lt;/codeEdi&gt;&lt;/cellule&gt;</v>
      </c>
    </row>
    <row r="14990" spans="1:1" x14ac:dyDescent="0.2">
      <c r="A14990" s="996" t="str">
        <f>CONCATENATE(Programme!D14991,Programme!E14991,Programme!F14991,Programme!G14991,Programme!H14991,Programme!I14991,Programme!J14991)</f>
        <v>&lt;valeur&gt;&lt;/valeur&gt;</v>
      </c>
    </row>
    <row r="14991" spans="1:1" x14ac:dyDescent="0.2">
      <c r="A14991" s="996" t="str">
        <f>CONCATENATE(Programme!D14992,Programme!E14992,Programme!F14992,Programme!G14992,Programme!H14992,Programme!I14992,Programme!J14992)</f>
        <v>&lt;numeroLigne&gt;137&lt;/numeroLigne&gt;</v>
      </c>
    </row>
    <row r="14992" spans="1:1" x14ac:dyDescent="0.2">
      <c r="A14992" s="996" t="str">
        <f>CONCATENATE(Programme!D14993,Programme!E14993,Programme!F14993,Programme!G14993,Programme!H14993,Programme!I14993,Programme!J14993)</f>
        <v>&lt;/ValeurCellule&gt;</v>
      </c>
    </row>
    <row r="14993" spans="1:1" x14ac:dyDescent="0.2">
      <c r="A14993" s="996" t="str">
        <f>CONCATENATE(Programme!D14994,Programme!E14994,Programme!F14994,Programme!G14994,Programme!H14994,Programme!I14994,Programme!J14994)</f>
        <v>&lt;ValeurCellule&gt;</v>
      </c>
    </row>
    <row r="14994" spans="1:1" x14ac:dyDescent="0.2">
      <c r="A14994" s="996" t="str">
        <f>CONCATENATE(Programme!D14995,Programme!E14995,Programme!F14995,Programme!G14995,Programme!H14995,Programme!I14995,Programme!J14995)</f>
        <v>&lt;cellule&gt;&lt;codeEdi&gt;1078&lt;/codeEdi&gt;&lt;/cellule&gt;</v>
      </c>
    </row>
    <row r="14995" spans="1:1" x14ac:dyDescent="0.2">
      <c r="A14995" s="996" t="str">
        <f>CONCATENATE(Programme!D14996,Programme!E14996,Programme!F14996,Programme!G14996,Programme!H14996,Programme!I14996,Programme!J14996)</f>
        <v>&lt;valeur&gt;&lt;/valeur&gt;</v>
      </c>
    </row>
    <row r="14996" spans="1:1" x14ac:dyDescent="0.2">
      <c r="A14996" s="996" t="str">
        <f>CONCATENATE(Programme!D14997,Programme!E14997,Programme!F14997,Programme!G14997,Programme!H14997,Programme!I14997,Programme!J14997)</f>
        <v>&lt;numeroLigne&gt;137&lt;/numeroLigne&gt;</v>
      </c>
    </row>
    <row r="14997" spans="1:1" x14ac:dyDescent="0.2">
      <c r="A14997" s="996" t="str">
        <f>CONCATENATE(Programme!D14998,Programme!E14998,Programme!F14998,Programme!G14998,Programme!H14998,Programme!I14998,Programme!J14998)</f>
        <v>&lt;/ValeurCellule&gt;</v>
      </c>
    </row>
    <row r="14998" spans="1:1" x14ac:dyDescent="0.2">
      <c r="A14998" s="996" t="str">
        <f>CONCATENATE(Programme!D14999,Programme!E14999,Programme!F14999,Programme!G14999,Programme!H14999,Programme!I14999,Programme!J14999)</f>
        <v>&lt;ValeurCellule&gt;</v>
      </c>
    </row>
    <row r="14999" spans="1:1" x14ac:dyDescent="0.2">
      <c r="A14999" s="996" t="str">
        <f>CONCATENATE(Programme!D15000,Programme!E15000,Programme!F15000,Programme!G15000,Programme!H15000,Programme!I15000,Programme!J15000)</f>
        <v>&lt;cellule&gt;&lt;codeEdi&gt;1079&lt;/codeEdi&gt;&lt;/cellule&gt;</v>
      </c>
    </row>
    <row r="15000" spans="1:1" x14ac:dyDescent="0.2">
      <c r="A15000" s="996" t="str">
        <f>CONCATENATE(Programme!D15001,Programme!E15001,Programme!F15001,Programme!G15001,Programme!H15001,Programme!I15001,Programme!J15001)</f>
        <v>&lt;valeur&gt;&lt;/valeur&gt;</v>
      </c>
    </row>
    <row r="15001" spans="1:1" x14ac:dyDescent="0.2">
      <c r="A15001" s="996" t="str">
        <f>CONCATENATE(Programme!D15002,Programme!E15002,Programme!F15002,Programme!G15002,Programme!H15002,Programme!I15002,Programme!J15002)</f>
        <v>&lt;numeroLigne&gt;137&lt;/numeroLigne&gt;</v>
      </c>
    </row>
    <row r="15002" spans="1:1" x14ac:dyDescent="0.2">
      <c r="A15002" s="996" t="str">
        <f>CONCATENATE(Programme!D15003,Programme!E15003,Programme!F15003,Programme!G15003,Programme!H15003,Programme!I15003,Programme!J15003)</f>
        <v>&lt;/ValeurCellule&gt;</v>
      </c>
    </row>
    <row r="15003" spans="1:1" x14ac:dyDescent="0.2">
      <c r="A15003" s="996" t="str">
        <f>CONCATENATE(Programme!D15004,Programme!E15004,Programme!F15004,Programme!G15004,Programme!H15004,Programme!I15004,Programme!J15004)</f>
        <v>&lt;ValeurCellule&gt;</v>
      </c>
    </row>
    <row r="15004" spans="1:1" x14ac:dyDescent="0.2">
      <c r="A15004" s="996" t="str">
        <f>CONCATENATE(Programme!D15005,Programme!E15005,Programme!F15005,Programme!G15005,Programme!H15005,Programme!I15005,Programme!J15005)</f>
        <v>&lt;cellule&gt;&lt;codeEdi&gt;1080&lt;/codeEdi&gt;&lt;/cellule&gt;</v>
      </c>
    </row>
    <row r="15005" spans="1:1" x14ac:dyDescent="0.2">
      <c r="A15005" s="996" t="str">
        <f>CONCATENATE(Programme!D15006,Programme!E15006,Programme!F15006,Programme!G15006,Programme!H15006,Programme!I15006,Programme!J15006)</f>
        <v>&lt;valeur&gt;&lt;/valeur&gt;</v>
      </c>
    </row>
    <row r="15006" spans="1:1" x14ac:dyDescent="0.2">
      <c r="A15006" s="996" t="str">
        <f>CONCATENATE(Programme!D15007,Programme!E15007,Programme!F15007,Programme!G15007,Programme!H15007,Programme!I15007,Programme!J15007)</f>
        <v>&lt;numeroLigne&gt;137&lt;/numeroLigne&gt;</v>
      </c>
    </row>
    <row r="15007" spans="1:1" x14ac:dyDescent="0.2">
      <c r="A15007" s="996" t="str">
        <f>CONCATENATE(Programme!D15008,Programme!E15008,Programme!F15008,Programme!G15008,Programme!H15008,Programme!I15008,Programme!J15008)</f>
        <v>&lt;/ValeurCellule&gt;</v>
      </c>
    </row>
    <row r="15008" spans="1:1" x14ac:dyDescent="0.2">
      <c r="A15008" s="996" t="str">
        <f>CONCATENATE(Programme!D15009,Programme!E15009,Programme!F15009,Programme!G15009,Programme!H15009,Programme!I15009,Programme!J15009)</f>
        <v>&lt;ValeurCellule&gt;</v>
      </c>
    </row>
    <row r="15009" spans="1:1" x14ac:dyDescent="0.2">
      <c r="A15009" s="996" t="str">
        <f>CONCATENATE(Programme!D15010,Programme!E15010,Programme!F15010,Programme!G15010,Programme!H15010,Programme!I15010,Programme!J15010)</f>
        <v>&lt;cellule&gt;&lt;codeEdi&gt;1081&lt;/codeEdi&gt;&lt;/cellule&gt;</v>
      </c>
    </row>
    <row r="15010" spans="1:1" x14ac:dyDescent="0.2">
      <c r="A15010" s="996" t="str">
        <f>CONCATENATE(Programme!D15011,Programme!E15011,Programme!F15011,Programme!G15011,Programme!H15011,Programme!I15011,Programme!J15011)</f>
        <v>&lt;valeur&gt;&lt;/valeur&gt;</v>
      </c>
    </row>
    <row r="15011" spans="1:1" x14ac:dyDescent="0.2">
      <c r="A15011" s="996" t="str">
        <f>CONCATENATE(Programme!D15012,Programme!E15012,Programme!F15012,Programme!G15012,Programme!H15012,Programme!I15012,Programme!J15012)</f>
        <v>&lt;numeroLigne&gt;137&lt;/numeroLigne&gt;</v>
      </c>
    </row>
    <row r="15012" spans="1:1" x14ac:dyDescent="0.2">
      <c r="A15012" s="996" t="str">
        <f>CONCATENATE(Programme!D15013,Programme!E15013,Programme!F15013,Programme!G15013,Programme!H15013,Programme!I15013,Programme!J15013)</f>
        <v>&lt;/ValeurCellule&gt;</v>
      </c>
    </row>
    <row r="15013" spans="1:1" x14ac:dyDescent="0.2">
      <c r="A15013" s="996" t="str">
        <f>CONCATENATE(Programme!D15014,Programme!E15014,Programme!F15014,Programme!G15014,Programme!H15014,Programme!I15014,Programme!J15014)</f>
        <v>&lt;ValeurCellule&gt;</v>
      </c>
    </row>
    <row r="15014" spans="1:1" x14ac:dyDescent="0.2">
      <c r="A15014" s="996" t="str">
        <f>CONCATENATE(Programme!D15015,Programme!E15015,Programme!F15015,Programme!G15015,Programme!H15015,Programme!I15015,Programme!J15015)</f>
        <v>&lt;cellule&gt;&lt;codeEdi&gt;1082&lt;/codeEdi&gt;&lt;/cellule&gt;</v>
      </c>
    </row>
    <row r="15015" spans="1:1" x14ac:dyDescent="0.2">
      <c r="A15015" s="996" t="str">
        <f>CONCATENATE(Programme!D15016,Programme!E15016,Programme!F15016,Programme!G15016,Programme!H15016,Programme!I15016,Programme!J15016)</f>
        <v>&lt;valeur&gt;&lt;/valeur&gt;</v>
      </c>
    </row>
    <row r="15016" spans="1:1" x14ac:dyDescent="0.2">
      <c r="A15016" s="996" t="str">
        <f>CONCATENATE(Programme!D15017,Programme!E15017,Programme!F15017,Programme!G15017,Programme!H15017,Programme!I15017,Programme!J15017)</f>
        <v>&lt;numeroLigne&gt;137&lt;/numeroLigne&gt;</v>
      </c>
    </row>
    <row r="15017" spans="1:1" x14ac:dyDescent="0.2">
      <c r="A15017" s="996" t="str">
        <f>CONCATENATE(Programme!D15018,Programme!E15018,Programme!F15018,Programme!G15018,Programme!H15018,Programme!I15018,Programme!J15018)</f>
        <v>&lt;/ValeurCellule&gt;</v>
      </c>
    </row>
    <row r="15018" spans="1:1" x14ac:dyDescent="0.2">
      <c r="A15018" s="996" t="str">
        <f>CONCATENATE(Programme!D15019,Programme!E15019,Programme!F15019,Programme!G15019,Programme!H15019,Programme!I15019,Programme!J15019)</f>
        <v>&lt;ValeurCellule&gt;</v>
      </c>
    </row>
    <row r="15019" spans="1:1" x14ac:dyDescent="0.2">
      <c r="A15019" s="996" t="str">
        <f>CONCATENATE(Programme!D15020,Programme!E15020,Programme!F15020,Programme!G15020,Programme!H15020,Programme!I15020,Programme!J15020)</f>
        <v>&lt;cellule&gt;&lt;codeEdi&gt;1083&lt;/codeEdi&gt;&lt;/cellule&gt;</v>
      </c>
    </row>
    <row r="15020" spans="1:1" x14ac:dyDescent="0.2">
      <c r="A15020" s="996" t="str">
        <f>CONCATENATE(Programme!D15021,Programme!E15021,Programme!F15021,Programme!G15021,Programme!H15021,Programme!I15021,Programme!J15021)</f>
        <v>&lt;valeur&gt;&lt;/valeur&gt;</v>
      </c>
    </row>
    <row r="15021" spans="1:1" x14ac:dyDescent="0.2">
      <c r="A15021" s="996" t="str">
        <f>CONCATENATE(Programme!D15022,Programme!E15022,Programme!F15022,Programme!G15022,Programme!H15022,Programme!I15022,Programme!J15022)</f>
        <v>&lt;numeroLigne&gt;137&lt;/numeroLigne&gt;</v>
      </c>
    </row>
    <row r="15022" spans="1:1" x14ac:dyDescent="0.2">
      <c r="A15022" s="996" t="str">
        <f>CONCATENATE(Programme!D15023,Programme!E15023,Programme!F15023,Programme!G15023,Programme!H15023,Programme!I15023,Programme!J15023)</f>
        <v>&lt;/ValeurCellule&gt;</v>
      </c>
    </row>
    <row r="15023" spans="1:1" x14ac:dyDescent="0.2">
      <c r="A15023" s="996" t="str">
        <f>CONCATENATE(Programme!D15024,Programme!E15024,Programme!F15024,Programme!G15024,Programme!H15024,Programme!I15024,Programme!J15024)</f>
        <v>&lt;ValeurCellule&gt;</v>
      </c>
    </row>
    <row r="15024" spans="1:1" x14ac:dyDescent="0.2">
      <c r="A15024" s="996" t="str">
        <f>CONCATENATE(Programme!D15025,Programme!E15025,Programme!F15025,Programme!G15025,Programme!H15025,Programme!I15025,Programme!J15025)</f>
        <v>&lt;cellule&gt;&lt;codeEdi&gt;1084&lt;/codeEdi&gt;&lt;/cellule&gt;</v>
      </c>
    </row>
    <row r="15025" spans="1:1" x14ac:dyDescent="0.2">
      <c r="A15025" s="996" t="str">
        <f>CONCATENATE(Programme!D15026,Programme!E15026,Programme!F15026,Programme!G15026,Programme!H15026,Programme!I15026,Programme!J15026)</f>
        <v>&lt;valeur&gt;&lt;/valeur&gt;</v>
      </c>
    </row>
    <row r="15026" spans="1:1" x14ac:dyDescent="0.2">
      <c r="A15026" s="996" t="str">
        <f>CONCATENATE(Programme!D15027,Programme!E15027,Programme!F15027,Programme!G15027,Programme!H15027,Programme!I15027,Programme!J15027)</f>
        <v>&lt;numeroLigne&gt;137&lt;/numeroLigne&gt;</v>
      </c>
    </row>
    <row r="15027" spans="1:1" x14ac:dyDescent="0.2">
      <c r="A15027" s="996" t="str">
        <f>CONCATENATE(Programme!D15028,Programme!E15028,Programme!F15028,Programme!G15028,Programme!H15028,Programme!I15028,Programme!J15028)</f>
        <v>&lt;/ValeurCellule&gt;</v>
      </c>
    </row>
    <row r="15028" spans="1:1" x14ac:dyDescent="0.2">
      <c r="A15028" s="996" t="str">
        <f>CONCATENATE(Programme!D15029,Programme!E15029,Programme!F15029,Programme!G15029,Programme!H15029,Programme!I15029,Programme!J15029)</f>
        <v>&lt;ValeurCellule&gt;</v>
      </c>
    </row>
    <row r="15029" spans="1:1" x14ac:dyDescent="0.2">
      <c r="A15029" s="996" t="str">
        <f>CONCATENATE(Programme!D15030,Programme!E15030,Programme!F15030,Programme!G15030,Programme!H15030,Programme!I15030,Programme!J15030)</f>
        <v>&lt;cellule&gt;&lt;codeEdi&gt;1085&lt;/codeEdi&gt;&lt;/cellule&gt;</v>
      </c>
    </row>
    <row r="15030" spans="1:1" x14ac:dyDescent="0.2">
      <c r="A15030" s="996" t="str">
        <f>CONCATENATE(Programme!D15031,Programme!E15031,Programme!F15031,Programme!G15031,Programme!H15031,Programme!I15031,Programme!J15031)</f>
        <v>&lt;valeur&gt;&lt;/valeur&gt;</v>
      </c>
    </row>
    <row r="15031" spans="1:1" x14ac:dyDescent="0.2">
      <c r="A15031" s="996" t="str">
        <f>CONCATENATE(Programme!D15032,Programme!E15032,Programme!F15032,Programme!G15032,Programme!H15032,Programme!I15032,Programme!J15032)</f>
        <v>&lt;numeroLigne&gt;137&lt;/numeroLigne&gt;</v>
      </c>
    </row>
    <row r="15032" spans="1:1" x14ac:dyDescent="0.2">
      <c r="A15032" s="996" t="str">
        <f>CONCATENATE(Programme!D15033,Programme!E15033,Programme!F15033,Programme!G15033,Programme!H15033,Programme!I15033,Programme!J15033)</f>
        <v>&lt;/ValeurCellule&gt;</v>
      </c>
    </row>
    <row r="15033" spans="1:1" x14ac:dyDescent="0.2">
      <c r="A15033" s="996" t="str">
        <f>CONCATENATE(Programme!D15034,Programme!E15034,Programme!F15034,Programme!G15034,Programme!H15034,Programme!I15034,Programme!J15034)</f>
        <v>&lt;ValeurCellule&gt;</v>
      </c>
    </row>
    <row r="15034" spans="1:1" x14ac:dyDescent="0.2">
      <c r="A15034" s="996" t="str">
        <f>CONCATENATE(Programme!D15035,Programme!E15035,Programme!F15035,Programme!G15035,Programme!H15035,Programme!I15035,Programme!J15035)</f>
        <v>&lt;cellule&gt;&lt;codeEdi&gt;1086&lt;/codeEdi&gt;&lt;/cellule&gt;</v>
      </c>
    </row>
    <row r="15035" spans="1:1" x14ac:dyDescent="0.2">
      <c r="A15035" s="996" t="str">
        <f>CONCATENATE(Programme!D15036,Programme!E15036,Programme!F15036,Programme!G15036,Programme!H15036,Programme!I15036,Programme!J15036)</f>
        <v>&lt;valeur&gt;&lt;/valeur&gt;</v>
      </c>
    </row>
    <row r="15036" spans="1:1" x14ac:dyDescent="0.2">
      <c r="A15036" s="996" t="str">
        <f>CONCATENATE(Programme!D15037,Programme!E15037,Programme!F15037,Programme!G15037,Programme!H15037,Programme!I15037,Programme!J15037)</f>
        <v>&lt;numeroLigne&gt;137&lt;/numeroLigne&gt;</v>
      </c>
    </row>
    <row r="15037" spans="1:1" x14ac:dyDescent="0.2">
      <c r="A15037" s="996" t="str">
        <f>CONCATENATE(Programme!D15038,Programme!E15038,Programme!F15038,Programme!G15038,Programme!H15038,Programme!I15038,Programme!J15038)</f>
        <v>&lt;/ValeurCellule&gt;</v>
      </c>
    </row>
    <row r="15038" spans="1:1" x14ac:dyDescent="0.2">
      <c r="A15038" s="996" t="str">
        <f>CONCATENATE(Programme!D15039,Programme!E15039,Programme!F15039,Programme!G15039,Programme!H15039,Programme!I15039,Programme!J15039)</f>
        <v>&lt;ValeurCellule&gt;</v>
      </c>
    </row>
    <row r="15039" spans="1:1" x14ac:dyDescent="0.2">
      <c r="A15039" s="996" t="str">
        <f>CONCATENATE(Programme!D15040,Programme!E15040,Programme!F15040,Programme!G15040,Programme!H15040,Programme!I15040,Programme!J15040)</f>
        <v>&lt;cellule&gt;&lt;codeEdi&gt;10061&lt;/codeEdi&gt;&lt;/cellule&gt;</v>
      </c>
    </row>
    <row r="15040" spans="1:1" x14ac:dyDescent="0.2">
      <c r="A15040" s="996" t="str">
        <f>CONCATENATE(Programme!D15041,Programme!E15041,Programme!F15041,Programme!G15041,Programme!H15041,Programme!I15041,Programme!J15041)</f>
        <v>&lt;valeur&gt;&lt;/valeur&gt;</v>
      </c>
    </row>
    <row r="15041" spans="1:1" x14ac:dyDescent="0.2">
      <c r="A15041" s="996" t="str">
        <f>CONCATENATE(Programme!D15042,Programme!E15042,Programme!F15042,Programme!G15042,Programme!H15042,Programme!I15042,Programme!J15042)</f>
        <v>&lt;numeroLigne&gt;138&lt;/numeroLigne&gt;</v>
      </c>
    </row>
    <row r="15042" spans="1:1" x14ac:dyDescent="0.2">
      <c r="A15042" s="996" t="str">
        <f>CONCATENATE(Programme!D15043,Programme!E15043,Programme!F15043,Programme!G15043,Programme!H15043,Programme!I15043,Programme!J15043)</f>
        <v>&lt;/ValeurCellule&gt;</v>
      </c>
    </row>
    <row r="15043" spans="1:1" x14ac:dyDescent="0.2">
      <c r="A15043" s="996" t="str">
        <f>CONCATENATE(Programme!D15044,Programme!E15044,Programme!F15044,Programme!G15044,Programme!H15044,Programme!I15044,Programme!J15044)</f>
        <v>&lt;ValeurCellule&gt;</v>
      </c>
    </row>
    <row r="15044" spans="1:1" x14ac:dyDescent="0.2">
      <c r="A15044" s="996" t="str">
        <f>CONCATENATE(Programme!D15045,Programme!E15045,Programme!F15045,Programme!G15045,Programme!H15045,Programme!I15045,Programme!J15045)</f>
        <v>&lt;cellule&gt;&lt;codeEdi&gt;1078&lt;/codeEdi&gt;&lt;/cellule&gt;</v>
      </c>
    </row>
    <row r="15045" spans="1:1" x14ac:dyDescent="0.2">
      <c r="A15045" s="996" t="str">
        <f>CONCATENATE(Programme!D15046,Programme!E15046,Programme!F15046,Programme!G15046,Programme!H15046,Programme!I15046,Programme!J15046)</f>
        <v>&lt;valeur&gt;&lt;/valeur&gt;</v>
      </c>
    </row>
    <row r="15046" spans="1:1" x14ac:dyDescent="0.2">
      <c r="A15046" s="996" t="str">
        <f>CONCATENATE(Programme!D15047,Programme!E15047,Programme!F15047,Programme!G15047,Programme!H15047,Programme!I15047,Programme!J15047)</f>
        <v>&lt;numeroLigne&gt;138&lt;/numeroLigne&gt;</v>
      </c>
    </row>
    <row r="15047" spans="1:1" x14ac:dyDescent="0.2">
      <c r="A15047" s="996" t="str">
        <f>CONCATENATE(Programme!D15048,Programme!E15048,Programme!F15048,Programme!G15048,Programme!H15048,Programme!I15048,Programme!J15048)</f>
        <v>&lt;/ValeurCellule&gt;</v>
      </c>
    </row>
    <row r="15048" spans="1:1" x14ac:dyDescent="0.2">
      <c r="A15048" s="996" t="str">
        <f>CONCATENATE(Programme!D15049,Programme!E15049,Programme!F15049,Programme!G15049,Programme!H15049,Programme!I15049,Programme!J15049)</f>
        <v>&lt;ValeurCellule&gt;</v>
      </c>
    </row>
    <row r="15049" spans="1:1" x14ac:dyDescent="0.2">
      <c r="A15049" s="996" t="str">
        <f>CONCATENATE(Programme!D15050,Programme!E15050,Programme!F15050,Programme!G15050,Programme!H15050,Programme!I15050,Programme!J15050)</f>
        <v>&lt;cellule&gt;&lt;codeEdi&gt;1079&lt;/codeEdi&gt;&lt;/cellule&gt;</v>
      </c>
    </row>
    <row r="15050" spans="1:1" x14ac:dyDescent="0.2">
      <c r="A15050" s="996" t="str">
        <f>CONCATENATE(Programme!D15051,Programme!E15051,Programme!F15051,Programme!G15051,Programme!H15051,Programme!I15051,Programme!J15051)</f>
        <v>&lt;valeur&gt;&lt;/valeur&gt;</v>
      </c>
    </row>
    <row r="15051" spans="1:1" x14ac:dyDescent="0.2">
      <c r="A15051" s="996" t="str">
        <f>CONCATENATE(Programme!D15052,Programme!E15052,Programme!F15052,Programme!G15052,Programme!H15052,Programme!I15052,Programme!J15052)</f>
        <v>&lt;numeroLigne&gt;138&lt;/numeroLigne&gt;</v>
      </c>
    </row>
    <row r="15052" spans="1:1" x14ac:dyDescent="0.2">
      <c r="A15052" s="996" t="str">
        <f>CONCATENATE(Programme!D15053,Programme!E15053,Programme!F15053,Programme!G15053,Programme!H15053,Programme!I15053,Programme!J15053)</f>
        <v>&lt;/ValeurCellule&gt;</v>
      </c>
    </row>
    <row r="15053" spans="1:1" x14ac:dyDescent="0.2">
      <c r="A15053" s="996" t="str">
        <f>CONCATENATE(Programme!D15054,Programme!E15054,Programme!F15054,Programme!G15054,Programme!H15054,Programme!I15054,Programme!J15054)</f>
        <v>&lt;ValeurCellule&gt;</v>
      </c>
    </row>
    <row r="15054" spans="1:1" x14ac:dyDescent="0.2">
      <c r="A15054" s="996" t="str">
        <f>CONCATENATE(Programme!D15055,Programme!E15055,Programme!F15055,Programme!G15055,Programme!H15055,Programme!I15055,Programme!J15055)</f>
        <v>&lt;cellule&gt;&lt;codeEdi&gt;1080&lt;/codeEdi&gt;&lt;/cellule&gt;</v>
      </c>
    </row>
    <row r="15055" spans="1:1" x14ac:dyDescent="0.2">
      <c r="A15055" s="996" t="str">
        <f>CONCATENATE(Programme!D15056,Programme!E15056,Programme!F15056,Programme!G15056,Programme!H15056,Programme!I15056,Programme!J15056)</f>
        <v>&lt;valeur&gt;&lt;/valeur&gt;</v>
      </c>
    </row>
    <row r="15056" spans="1:1" x14ac:dyDescent="0.2">
      <c r="A15056" s="996" t="str">
        <f>CONCATENATE(Programme!D15057,Programme!E15057,Programme!F15057,Programme!G15057,Programme!H15057,Programme!I15057,Programme!J15057)</f>
        <v>&lt;numeroLigne&gt;138&lt;/numeroLigne&gt;</v>
      </c>
    </row>
    <row r="15057" spans="1:1" x14ac:dyDescent="0.2">
      <c r="A15057" s="996" t="str">
        <f>CONCATENATE(Programme!D15058,Programme!E15058,Programme!F15058,Programme!G15058,Programme!H15058,Programme!I15058,Programme!J15058)</f>
        <v>&lt;/ValeurCellule&gt;</v>
      </c>
    </row>
    <row r="15058" spans="1:1" x14ac:dyDescent="0.2">
      <c r="A15058" s="996" t="str">
        <f>CONCATENATE(Programme!D15059,Programme!E15059,Programme!F15059,Programme!G15059,Programme!H15059,Programme!I15059,Programme!J15059)</f>
        <v>&lt;ValeurCellule&gt;</v>
      </c>
    </row>
    <row r="15059" spans="1:1" x14ac:dyDescent="0.2">
      <c r="A15059" s="996" t="str">
        <f>CONCATENATE(Programme!D15060,Programme!E15060,Programme!F15060,Programme!G15060,Programme!H15060,Programme!I15060,Programme!J15060)</f>
        <v>&lt;cellule&gt;&lt;codeEdi&gt;1081&lt;/codeEdi&gt;&lt;/cellule&gt;</v>
      </c>
    </row>
    <row r="15060" spans="1:1" x14ac:dyDescent="0.2">
      <c r="A15060" s="996" t="str">
        <f>CONCATENATE(Programme!D15061,Programme!E15061,Programme!F15061,Programme!G15061,Programme!H15061,Programme!I15061,Programme!J15061)</f>
        <v>&lt;valeur&gt;&lt;/valeur&gt;</v>
      </c>
    </row>
    <row r="15061" spans="1:1" x14ac:dyDescent="0.2">
      <c r="A15061" s="996" t="str">
        <f>CONCATENATE(Programme!D15062,Programme!E15062,Programme!F15062,Programme!G15062,Programme!H15062,Programme!I15062,Programme!J15062)</f>
        <v>&lt;numeroLigne&gt;138&lt;/numeroLigne&gt;</v>
      </c>
    </row>
    <row r="15062" spans="1:1" x14ac:dyDescent="0.2">
      <c r="A15062" s="996" t="str">
        <f>CONCATENATE(Programme!D15063,Programme!E15063,Programme!F15063,Programme!G15063,Programme!H15063,Programme!I15063,Programme!J15063)</f>
        <v>&lt;/ValeurCellule&gt;</v>
      </c>
    </row>
    <row r="15063" spans="1:1" x14ac:dyDescent="0.2">
      <c r="A15063" s="996" t="str">
        <f>CONCATENATE(Programme!D15064,Programme!E15064,Programme!F15064,Programme!G15064,Programme!H15064,Programme!I15064,Programme!J15064)</f>
        <v>&lt;ValeurCellule&gt;</v>
      </c>
    </row>
    <row r="15064" spans="1:1" x14ac:dyDescent="0.2">
      <c r="A15064" s="996" t="str">
        <f>CONCATENATE(Programme!D15065,Programme!E15065,Programme!F15065,Programme!G15065,Programme!H15065,Programme!I15065,Programme!J15065)</f>
        <v>&lt;cellule&gt;&lt;codeEdi&gt;1082&lt;/codeEdi&gt;&lt;/cellule&gt;</v>
      </c>
    </row>
    <row r="15065" spans="1:1" x14ac:dyDescent="0.2">
      <c r="A15065" s="996" t="str">
        <f>CONCATENATE(Programme!D15066,Programme!E15066,Programme!F15066,Programme!G15066,Programme!H15066,Programme!I15066,Programme!J15066)</f>
        <v>&lt;valeur&gt;&lt;/valeur&gt;</v>
      </c>
    </row>
    <row r="15066" spans="1:1" x14ac:dyDescent="0.2">
      <c r="A15066" s="996" t="str">
        <f>CONCATENATE(Programme!D15067,Programme!E15067,Programme!F15067,Programme!G15067,Programme!H15067,Programme!I15067,Programme!J15067)</f>
        <v>&lt;numeroLigne&gt;138&lt;/numeroLigne&gt;</v>
      </c>
    </row>
    <row r="15067" spans="1:1" x14ac:dyDescent="0.2">
      <c r="A15067" s="996" t="str">
        <f>CONCATENATE(Programme!D15068,Programme!E15068,Programme!F15068,Programme!G15068,Programme!H15068,Programme!I15068,Programme!J15068)</f>
        <v>&lt;/ValeurCellule&gt;</v>
      </c>
    </row>
    <row r="15068" spans="1:1" x14ac:dyDescent="0.2">
      <c r="A15068" s="996" t="str">
        <f>CONCATENATE(Programme!D15069,Programme!E15069,Programme!F15069,Programme!G15069,Programme!H15069,Programme!I15069,Programme!J15069)</f>
        <v>&lt;ValeurCellule&gt;</v>
      </c>
    </row>
    <row r="15069" spans="1:1" x14ac:dyDescent="0.2">
      <c r="A15069" s="996" t="str">
        <f>CONCATENATE(Programme!D15070,Programme!E15070,Programme!F15070,Programme!G15070,Programme!H15070,Programme!I15070,Programme!J15070)</f>
        <v>&lt;cellule&gt;&lt;codeEdi&gt;1083&lt;/codeEdi&gt;&lt;/cellule&gt;</v>
      </c>
    </row>
    <row r="15070" spans="1:1" x14ac:dyDescent="0.2">
      <c r="A15070" s="996" t="str">
        <f>CONCATENATE(Programme!D15071,Programme!E15071,Programme!F15071,Programme!G15071,Programme!H15071,Programme!I15071,Programme!J15071)</f>
        <v>&lt;valeur&gt;&lt;/valeur&gt;</v>
      </c>
    </row>
    <row r="15071" spans="1:1" x14ac:dyDescent="0.2">
      <c r="A15071" s="996" t="str">
        <f>CONCATENATE(Programme!D15072,Programme!E15072,Programme!F15072,Programme!G15072,Programme!H15072,Programme!I15072,Programme!J15072)</f>
        <v>&lt;numeroLigne&gt;138&lt;/numeroLigne&gt;</v>
      </c>
    </row>
    <row r="15072" spans="1:1" x14ac:dyDescent="0.2">
      <c r="A15072" s="996" t="str">
        <f>CONCATENATE(Programme!D15073,Programme!E15073,Programme!F15073,Programme!G15073,Programme!H15073,Programme!I15073,Programme!J15073)</f>
        <v>&lt;/ValeurCellule&gt;</v>
      </c>
    </row>
    <row r="15073" spans="1:1" x14ac:dyDescent="0.2">
      <c r="A15073" s="996" t="str">
        <f>CONCATENATE(Programme!D15074,Programme!E15074,Programme!F15074,Programme!G15074,Programme!H15074,Programme!I15074,Programme!J15074)</f>
        <v>&lt;ValeurCellule&gt;</v>
      </c>
    </row>
    <row r="15074" spans="1:1" x14ac:dyDescent="0.2">
      <c r="A15074" s="996" t="str">
        <f>CONCATENATE(Programme!D15075,Programme!E15075,Programme!F15075,Programme!G15075,Programme!H15075,Programme!I15075,Programme!J15075)</f>
        <v>&lt;cellule&gt;&lt;codeEdi&gt;1084&lt;/codeEdi&gt;&lt;/cellule&gt;</v>
      </c>
    </row>
    <row r="15075" spans="1:1" x14ac:dyDescent="0.2">
      <c r="A15075" s="996" t="str">
        <f>CONCATENATE(Programme!D15076,Programme!E15076,Programme!F15076,Programme!G15076,Programme!H15076,Programme!I15076,Programme!J15076)</f>
        <v>&lt;valeur&gt;&lt;/valeur&gt;</v>
      </c>
    </row>
    <row r="15076" spans="1:1" x14ac:dyDescent="0.2">
      <c r="A15076" s="996" t="str">
        <f>CONCATENATE(Programme!D15077,Programme!E15077,Programme!F15077,Programme!G15077,Programme!H15077,Programme!I15077,Programme!J15077)</f>
        <v>&lt;numeroLigne&gt;138&lt;/numeroLigne&gt;</v>
      </c>
    </row>
    <row r="15077" spans="1:1" x14ac:dyDescent="0.2">
      <c r="A15077" s="996" t="str">
        <f>CONCATENATE(Programme!D15078,Programme!E15078,Programme!F15078,Programme!G15078,Programme!H15078,Programme!I15078,Programme!J15078)</f>
        <v>&lt;/ValeurCellule&gt;</v>
      </c>
    </row>
    <row r="15078" spans="1:1" x14ac:dyDescent="0.2">
      <c r="A15078" s="996" t="str">
        <f>CONCATENATE(Programme!D15079,Programme!E15079,Programme!F15079,Programme!G15079,Programme!H15079,Programme!I15079,Programme!J15079)</f>
        <v>&lt;ValeurCellule&gt;</v>
      </c>
    </row>
    <row r="15079" spans="1:1" x14ac:dyDescent="0.2">
      <c r="A15079" s="996" t="str">
        <f>CONCATENATE(Programme!D15080,Programme!E15080,Programme!F15080,Programme!G15080,Programme!H15080,Programme!I15080,Programme!J15080)</f>
        <v>&lt;cellule&gt;&lt;codeEdi&gt;1085&lt;/codeEdi&gt;&lt;/cellule&gt;</v>
      </c>
    </row>
    <row r="15080" spans="1:1" x14ac:dyDescent="0.2">
      <c r="A15080" s="996" t="str">
        <f>CONCATENATE(Programme!D15081,Programme!E15081,Programme!F15081,Programme!G15081,Programme!H15081,Programme!I15081,Programme!J15081)</f>
        <v>&lt;valeur&gt;&lt;/valeur&gt;</v>
      </c>
    </row>
    <row r="15081" spans="1:1" x14ac:dyDescent="0.2">
      <c r="A15081" s="996" t="str">
        <f>CONCATENATE(Programme!D15082,Programme!E15082,Programme!F15082,Programme!G15082,Programme!H15082,Programme!I15082,Programme!J15082)</f>
        <v>&lt;numeroLigne&gt;138&lt;/numeroLigne&gt;</v>
      </c>
    </row>
    <row r="15082" spans="1:1" x14ac:dyDescent="0.2">
      <c r="A15082" s="996" t="str">
        <f>CONCATENATE(Programme!D15083,Programme!E15083,Programme!F15083,Programme!G15083,Programme!H15083,Programme!I15083,Programme!J15083)</f>
        <v>&lt;/ValeurCellule&gt;</v>
      </c>
    </row>
    <row r="15083" spans="1:1" x14ac:dyDescent="0.2">
      <c r="A15083" s="996" t="str">
        <f>CONCATENATE(Programme!D15084,Programme!E15084,Programme!F15084,Programme!G15084,Programme!H15084,Programme!I15084,Programme!J15084)</f>
        <v>&lt;ValeurCellule&gt;</v>
      </c>
    </row>
    <row r="15084" spans="1:1" x14ac:dyDescent="0.2">
      <c r="A15084" s="996" t="str">
        <f>CONCATENATE(Programme!D15085,Programme!E15085,Programme!F15085,Programme!G15085,Programme!H15085,Programme!I15085,Programme!J15085)</f>
        <v>&lt;cellule&gt;&lt;codeEdi&gt;1086&lt;/codeEdi&gt;&lt;/cellule&gt;</v>
      </c>
    </row>
    <row r="15085" spans="1:1" x14ac:dyDescent="0.2">
      <c r="A15085" s="996" t="str">
        <f>CONCATENATE(Programme!D15086,Programme!E15086,Programme!F15086,Programme!G15086,Programme!H15086,Programme!I15086,Programme!J15086)</f>
        <v>&lt;valeur&gt;&lt;/valeur&gt;</v>
      </c>
    </row>
    <row r="15086" spans="1:1" x14ac:dyDescent="0.2">
      <c r="A15086" s="996" t="str">
        <f>CONCATENATE(Programme!D15087,Programme!E15087,Programme!F15087,Programme!G15087,Programme!H15087,Programme!I15087,Programme!J15087)</f>
        <v>&lt;numeroLigne&gt;138&lt;/numeroLigne&gt;</v>
      </c>
    </row>
    <row r="15087" spans="1:1" x14ac:dyDescent="0.2">
      <c r="A15087" s="996" t="str">
        <f>CONCATENATE(Programme!D15088,Programme!E15088,Programme!F15088,Programme!G15088,Programme!H15088,Programme!I15088,Programme!J15088)</f>
        <v>&lt;/ValeurCellule&gt;</v>
      </c>
    </row>
    <row r="15088" spans="1:1" x14ac:dyDescent="0.2">
      <c r="A15088" s="996" t="str">
        <f>CONCATENATE(Programme!D15089,Programme!E15089,Programme!F15089,Programme!G15089,Programme!H15089,Programme!I15089,Programme!J15089)</f>
        <v>&lt;ValeurCellule&gt;</v>
      </c>
    </row>
    <row r="15089" spans="1:1" x14ac:dyDescent="0.2">
      <c r="A15089" s="996" t="str">
        <f>CONCATENATE(Programme!D15090,Programme!E15090,Programme!F15090,Programme!G15090,Programme!H15090,Programme!I15090,Programme!J15090)</f>
        <v>&lt;cellule&gt;&lt;codeEdi&gt;10061&lt;/codeEdi&gt;&lt;/cellule&gt;</v>
      </c>
    </row>
    <row r="15090" spans="1:1" x14ac:dyDescent="0.2">
      <c r="A15090" s="996" t="str">
        <f>CONCATENATE(Programme!D15091,Programme!E15091,Programme!F15091,Programme!G15091,Programme!H15091,Programme!I15091,Programme!J15091)</f>
        <v>&lt;valeur&gt;&lt;/valeur&gt;</v>
      </c>
    </row>
    <row r="15091" spans="1:1" x14ac:dyDescent="0.2">
      <c r="A15091" s="996" t="str">
        <f>CONCATENATE(Programme!D15092,Programme!E15092,Programme!F15092,Programme!G15092,Programme!H15092,Programme!I15092,Programme!J15092)</f>
        <v>&lt;numeroLigne&gt;139&lt;/numeroLigne&gt;</v>
      </c>
    </row>
    <row r="15092" spans="1:1" x14ac:dyDescent="0.2">
      <c r="A15092" s="996" t="str">
        <f>CONCATENATE(Programme!D15093,Programme!E15093,Programme!F15093,Programme!G15093,Programme!H15093,Programme!I15093,Programme!J15093)</f>
        <v>&lt;/ValeurCellule&gt;</v>
      </c>
    </row>
    <row r="15093" spans="1:1" x14ac:dyDescent="0.2">
      <c r="A15093" s="996" t="str">
        <f>CONCATENATE(Programme!D15094,Programme!E15094,Programme!F15094,Programme!G15094,Programme!H15094,Programme!I15094,Programme!J15094)</f>
        <v>&lt;ValeurCellule&gt;</v>
      </c>
    </row>
    <row r="15094" spans="1:1" x14ac:dyDescent="0.2">
      <c r="A15094" s="996" t="str">
        <f>CONCATENATE(Programme!D15095,Programme!E15095,Programme!F15095,Programme!G15095,Programme!H15095,Programme!I15095,Programme!J15095)</f>
        <v>&lt;cellule&gt;&lt;codeEdi&gt;1078&lt;/codeEdi&gt;&lt;/cellule&gt;</v>
      </c>
    </row>
    <row r="15095" spans="1:1" x14ac:dyDescent="0.2">
      <c r="A15095" s="996" t="str">
        <f>CONCATENATE(Programme!D15096,Programme!E15096,Programme!F15096,Programme!G15096,Programme!H15096,Programme!I15096,Programme!J15096)</f>
        <v>&lt;valeur&gt;&lt;/valeur&gt;</v>
      </c>
    </row>
    <row r="15096" spans="1:1" x14ac:dyDescent="0.2">
      <c r="A15096" s="996" t="str">
        <f>CONCATENATE(Programme!D15097,Programme!E15097,Programme!F15097,Programme!G15097,Programme!H15097,Programme!I15097,Programme!J15097)</f>
        <v>&lt;numeroLigne&gt;139&lt;/numeroLigne&gt;</v>
      </c>
    </row>
    <row r="15097" spans="1:1" x14ac:dyDescent="0.2">
      <c r="A15097" s="996" t="str">
        <f>CONCATENATE(Programme!D15098,Programme!E15098,Programme!F15098,Programme!G15098,Programme!H15098,Programme!I15098,Programme!J15098)</f>
        <v>&lt;/ValeurCellule&gt;</v>
      </c>
    </row>
    <row r="15098" spans="1:1" x14ac:dyDescent="0.2">
      <c r="A15098" s="996" t="str">
        <f>CONCATENATE(Programme!D15099,Programme!E15099,Programme!F15099,Programme!G15099,Programme!H15099,Programme!I15099,Programme!J15099)</f>
        <v>&lt;ValeurCellule&gt;</v>
      </c>
    </row>
    <row r="15099" spans="1:1" x14ac:dyDescent="0.2">
      <c r="A15099" s="996" t="str">
        <f>CONCATENATE(Programme!D15100,Programme!E15100,Programme!F15100,Programme!G15100,Programme!H15100,Programme!I15100,Programme!J15100)</f>
        <v>&lt;cellule&gt;&lt;codeEdi&gt;1079&lt;/codeEdi&gt;&lt;/cellule&gt;</v>
      </c>
    </row>
    <row r="15100" spans="1:1" x14ac:dyDescent="0.2">
      <c r="A15100" s="996" t="str">
        <f>CONCATENATE(Programme!D15101,Programme!E15101,Programme!F15101,Programme!G15101,Programme!H15101,Programme!I15101,Programme!J15101)</f>
        <v>&lt;valeur&gt;&lt;/valeur&gt;</v>
      </c>
    </row>
    <row r="15101" spans="1:1" x14ac:dyDescent="0.2">
      <c r="A15101" s="996" t="str">
        <f>CONCATENATE(Programme!D15102,Programme!E15102,Programme!F15102,Programme!G15102,Programme!H15102,Programme!I15102,Programme!J15102)</f>
        <v>&lt;numeroLigne&gt;139&lt;/numeroLigne&gt;</v>
      </c>
    </row>
    <row r="15102" spans="1:1" x14ac:dyDescent="0.2">
      <c r="A15102" s="996" t="str">
        <f>CONCATENATE(Programme!D15103,Programme!E15103,Programme!F15103,Programme!G15103,Programme!H15103,Programme!I15103,Programme!J15103)</f>
        <v>&lt;/ValeurCellule&gt;</v>
      </c>
    </row>
    <row r="15103" spans="1:1" x14ac:dyDescent="0.2">
      <c r="A15103" s="996" t="str">
        <f>CONCATENATE(Programme!D15104,Programme!E15104,Programme!F15104,Programme!G15104,Programme!H15104,Programme!I15104,Programme!J15104)</f>
        <v>&lt;ValeurCellule&gt;</v>
      </c>
    </row>
    <row r="15104" spans="1:1" x14ac:dyDescent="0.2">
      <c r="A15104" s="996" t="str">
        <f>CONCATENATE(Programme!D15105,Programme!E15105,Programme!F15105,Programme!G15105,Programme!H15105,Programme!I15105,Programme!J15105)</f>
        <v>&lt;cellule&gt;&lt;codeEdi&gt;1080&lt;/codeEdi&gt;&lt;/cellule&gt;</v>
      </c>
    </row>
    <row r="15105" spans="1:1" x14ac:dyDescent="0.2">
      <c r="A15105" s="996" t="str">
        <f>CONCATENATE(Programme!D15106,Programme!E15106,Programme!F15106,Programme!G15106,Programme!H15106,Programme!I15106,Programme!J15106)</f>
        <v>&lt;valeur&gt;&lt;/valeur&gt;</v>
      </c>
    </row>
    <row r="15106" spans="1:1" x14ac:dyDescent="0.2">
      <c r="A15106" s="996" t="str">
        <f>CONCATENATE(Programme!D15107,Programme!E15107,Programme!F15107,Programme!G15107,Programme!H15107,Programme!I15107,Programme!J15107)</f>
        <v>&lt;numeroLigne&gt;139&lt;/numeroLigne&gt;</v>
      </c>
    </row>
    <row r="15107" spans="1:1" x14ac:dyDescent="0.2">
      <c r="A15107" s="996" t="str">
        <f>CONCATENATE(Programme!D15108,Programme!E15108,Programme!F15108,Programme!G15108,Programme!H15108,Programme!I15108,Programme!J15108)</f>
        <v>&lt;/ValeurCellule&gt;</v>
      </c>
    </row>
    <row r="15108" spans="1:1" x14ac:dyDescent="0.2">
      <c r="A15108" s="996" t="str">
        <f>CONCATENATE(Programme!D15109,Programme!E15109,Programme!F15109,Programme!G15109,Programme!H15109,Programme!I15109,Programme!J15109)</f>
        <v>&lt;ValeurCellule&gt;</v>
      </c>
    </row>
    <row r="15109" spans="1:1" x14ac:dyDescent="0.2">
      <c r="A15109" s="996" t="str">
        <f>CONCATENATE(Programme!D15110,Programme!E15110,Programme!F15110,Programme!G15110,Programme!H15110,Programme!I15110,Programme!J15110)</f>
        <v>&lt;cellule&gt;&lt;codeEdi&gt;1081&lt;/codeEdi&gt;&lt;/cellule&gt;</v>
      </c>
    </row>
    <row r="15110" spans="1:1" x14ac:dyDescent="0.2">
      <c r="A15110" s="996" t="str">
        <f>CONCATENATE(Programme!D15111,Programme!E15111,Programme!F15111,Programme!G15111,Programme!H15111,Programme!I15111,Programme!J15111)</f>
        <v>&lt;valeur&gt;&lt;/valeur&gt;</v>
      </c>
    </row>
    <row r="15111" spans="1:1" x14ac:dyDescent="0.2">
      <c r="A15111" s="996" t="str">
        <f>CONCATENATE(Programme!D15112,Programme!E15112,Programme!F15112,Programme!G15112,Programme!H15112,Programme!I15112,Programme!J15112)</f>
        <v>&lt;numeroLigne&gt;139&lt;/numeroLigne&gt;</v>
      </c>
    </row>
    <row r="15112" spans="1:1" x14ac:dyDescent="0.2">
      <c r="A15112" s="996" t="str">
        <f>CONCATENATE(Programme!D15113,Programme!E15113,Programme!F15113,Programme!G15113,Programme!H15113,Programme!I15113,Programme!J15113)</f>
        <v>&lt;/ValeurCellule&gt;</v>
      </c>
    </row>
    <row r="15113" spans="1:1" x14ac:dyDescent="0.2">
      <c r="A15113" s="996" t="str">
        <f>CONCATENATE(Programme!D15114,Programme!E15114,Programme!F15114,Programme!G15114,Programme!H15114,Programme!I15114,Programme!J15114)</f>
        <v>&lt;ValeurCellule&gt;</v>
      </c>
    </row>
    <row r="15114" spans="1:1" x14ac:dyDescent="0.2">
      <c r="A15114" s="996" t="str">
        <f>CONCATENATE(Programme!D15115,Programme!E15115,Programme!F15115,Programme!G15115,Programme!H15115,Programme!I15115,Programme!J15115)</f>
        <v>&lt;cellule&gt;&lt;codeEdi&gt;1082&lt;/codeEdi&gt;&lt;/cellule&gt;</v>
      </c>
    </row>
    <row r="15115" spans="1:1" x14ac:dyDescent="0.2">
      <c r="A15115" s="996" t="str">
        <f>CONCATENATE(Programme!D15116,Programme!E15116,Programme!F15116,Programme!G15116,Programme!H15116,Programme!I15116,Programme!J15116)</f>
        <v>&lt;valeur&gt;&lt;/valeur&gt;</v>
      </c>
    </row>
    <row r="15116" spans="1:1" x14ac:dyDescent="0.2">
      <c r="A15116" s="996" t="str">
        <f>CONCATENATE(Programme!D15117,Programme!E15117,Programme!F15117,Programme!G15117,Programme!H15117,Programme!I15117,Programme!J15117)</f>
        <v>&lt;numeroLigne&gt;139&lt;/numeroLigne&gt;</v>
      </c>
    </row>
    <row r="15117" spans="1:1" x14ac:dyDescent="0.2">
      <c r="A15117" s="996" t="str">
        <f>CONCATENATE(Programme!D15118,Programme!E15118,Programme!F15118,Programme!G15118,Programme!H15118,Programme!I15118,Programme!J15118)</f>
        <v>&lt;/ValeurCellule&gt;</v>
      </c>
    </row>
    <row r="15118" spans="1:1" x14ac:dyDescent="0.2">
      <c r="A15118" s="996" t="str">
        <f>CONCATENATE(Programme!D15119,Programme!E15119,Programme!F15119,Programme!G15119,Programme!H15119,Programme!I15119,Programme!J15119)</f>
        <v>&lt;ValeurCellule&gt;</v>
      </c>
    </row>
    <row r="15119" spans="1:1" x14ac:dyDescent="0.2">
      <c r="A15119" s="996" t="str">
        <f>CONCATENATE(Programme!D15120,Programme!E15120,Programme!F15120,Programme!G15120,Programme!H15120,Programme!I15120,Programme!J15120)</f>
        <v>&lt;cellule&gt;&lt;codeEdi&gt;1083&lt;/codeEdi&gt;&lt;/cellule&gt;</v>
      </c>
    </row>
    <row r="15120" spans="1:1" x14ac:dyDescent="0.2">
      <c r="A15120" s="996" t="str">
        <f>CONCATENATE(Programme!D15121,Programme!E15121,Programme!F15121,Programme!G15121,Programme!H15121,Programme!I15121,Programme!J15121)</f>
        <v>&lt;valeur&gt;&lt;/valeur&gt;</v>
      </c>
    </row>
    <row r="15121" spans="1:1" x14ac:dyDescent="0.2">
      <c r="A15121" s="996" t="str">
        <f>CONCATENATE(Programme!D15122,Programme!E15122,Programme!F15122,Programme!G15122,Programme!H15122,Programme!I15122,Programme!J15122)</f>
        <v>&lt;numeroLigne&gt;139&lt;/numeroLigne&gt;</v>
      </c>
    </row>
    <row r="15122" spans="1:1" x14ac:dyDescent="0.2">
      <c r="A15122" s="996" t="str">
        <f>CONCATENATE(Programme!D15123,Programme!E15123,Programme!F15123,Programme!G15123,Programme!H15123,Programme!I15123,Programme!J15123)</f>
        <v>&lt;/ValeurCellule&gt;</v>
      </c>
    </row>
    <row r="15123" spans="1:1" x14ac:dyDescent="0.2">
      <c r="A15123" s="996" t="str">
        <f>CONCATENATE(Programme!D15124,Programme!E15124,Programme!F15124,Programme!G15124,Programme!H15124,Programme!I15124,Programme!J15124)</f>
        <v>&lt;ValeurCellule&gt;</v>
      </c>
    </row>
    <row r="15124" spans="1:1" x14ac:dyDescent="0.2">
      <c r="A15124" s="996" t="str">
        <f>CONCATENATE(Programme!D15125,Programme!E15125,Programme!F15125,Programme!G15125,Programme!H15125,Programme!I15125,Programme!J15125)</f>
        <v>&lt;cellule&gt;&lt;codeEdi&gt;1084&lt;/codeEdi&gt;&lt;/cellule&gt;</v>
      </c>
    </row>
    <row r="15125" spans="1:1" x14ac:dyDescent="0.2">
      <c r="A15125" s="996" t="str">
        <f>CONCATENATE(Programme!D15126,Programme!E15126,Programme!F15126,Programme!G15126,Programme!H15126,Programme!I15126,Programme!J15126)</f>
        <v>&lt;valeur&gt;&lt;/valeur&gt;</v>
      </c>
    </row>
    <row r="15126" spans="1:1" x14ac:dyDescent="0.2">
      <c r="A15126" s="996" t="str">
        <f>CONCATENATE(Programme!D15127,Programme!E15127,Programme!F15127,Programme!G15127,Programme!H15127,Programme!I15127,Programme!J15127)</f>
        <v>&lt;numeroLigne&gt;139&lt;/numeroLigne&gt;</v>
      </c>
    </row>
    <row r="15127" spans="1:1" x14ac:dyDescent="0.2">
      <c r="A15127" s="996" t="str">
        <f>CONCATENATE(Programme!D15128,Programme!E15128,Programme!F15128,Programme!G15128,Programme!H15128,Programme!I15128,Programme!J15128)</f>
        <v>&lt;/ValeurCellule&gt;</v>
      </c>
    </row>
    <row r="15128" spans="1:1" x14ac:dyDescent="0.2">
      <c r="A15128" s="996" t="str">
        <f>CONCATENATE(Programme!D15129,Programme!E15129,Programme!F15129,Programme!G15129,Programme!H15129,Programme!I15129,Programme!J15129)</f>
        <v>&lt;ValeurCellule&gt;</v>
      </c>
    </row>
    <row r="15129" spans="1:1" x14ac:dyDescent="0.2">
      <c r="A15129" s="996" t="str">
        <f>CONCATENATE(Programme!D15130,Programme!E15130,Programme!F15130,Programme!G15130,Programme!H15130,Programme!I15130,Programme!J15130)</f>
        <v>&lt;cellule&gt;&lt;codeEdi&gt;1085&lt;/codeEdi&gt;&lt;/cellule&gt;</v>
      </c>
    </row>
    <row r="15130" spans="1:1" x14ac:dyDescent="0.2">
      <c r="A15130" s="996" t="str">
        <f>CONCATENATE(Programme!D15131,Programme!E15131,Programme!F15131,Programme!G15131,Programme!H15131,Programme!I15131,Programme!J15131)</f>
        <v>&lt;valeur&gt;&lt;/valeur&gt;</v>
      </c>
    </row>
    <row r="15131" spans="1:1" x14ac:dyDescent="0.2">
      <c r="A15131" s="996" t="str">
        <f>CONCATENATE(Programme!D15132,Programme!E15132,Programme!F15132,Programme!G15132,Programme!H15132,Programme!I15132,Programme!J15132)</f>
        <v>&lt;numeroLigne&gt;139&lt;/numeroLigne&gt;</v>
      </c>
    </row>
    <row r="15132" spans="1:1" x14ac:dyDescent="0.2">
      <c r="A15132" s="996" t="str">
        <f>CONCATENATE(Programme!D15133,Programme!E15133,Programme!F15133,Programme!G15133,Programme!H15133,Programme!I15133,Programme!J15133)</f>
        <v>&lt;/ValeurCellule&gt;</v>
      </c>
    </row>
    <row r="15133" spans="1:1" x14ac:dyDescent="0.2">
      <c r="A15133" s="996" t="str">
        <f>CONCATENATE(Programme!D15134,Programme!E15134,Programme!F15134,Programme!G15134,Programme!H15134,Programme!I15134,Programme!J15134)</f>
        <v>&lt;ValeurCellule&gt;</v>
      </c>
    </row>
    <row r="15134" spans="1:1" x14ac:dyDescent="0.2">
      <c r="A15134" s="996" t="str">
        <f>CONCATENATE(Programme!D15135,Programme!E15135,Programme!F15135,Programme!G15135,Programme!H15135,Programme!I15135,Programme!J15135)</f>
        <v>&lt;cellule&gt;&lt;codeEdi&gt;1086&lt;/codeEdi&gt;&lt;/cellule&gt;</v>
      </c>
    </row>
    <row r="15135" spans="1:1" x14ac:dyDescent="0.2">
      <c r="A15135" s="996" t="str">
        <f>CONCATENATE(Programme!D15136,Programme!E15136,Programme!F15136,Programme!G15136,Programme!H15136,Programme!I15136,Programme!J15136)</f>
        <v>&lt;valeur&gt;&lt;/valeur&gt;</v>
      </c>
    </row>
    <row r="15136" spans="1:1" x14ac:dyDescent="0.2">
      <c r="A15136" s="996" t="str">
        <f>CONCATENATE(Programme!D15137,Programme!E15137,Programme!F15137,Programme!G15137,Programme!H15137,Programme!I15137,Programme!J15137)</f>
        <v>&lt;numeroLigne&gt;139&lt;/numeroLigne&gt;</v>
      </c>
    </row>
    <row r="15137" spans="1:1" x14ac:dyDescent="0.2">
      <c r="A15137" s="996" t="str">
        <f>CONCATENATE(Programme!D15138,Programme!E15138,Programme!F15138,Programme!G15138,Programme!H15138,Programme!I15138,Programme!J15138)</f>
        <v>&lt;/ValeurCellule&gt;</v>
      </c>
    </row>
    <row r="15138" spans="1:1" x14ac:dyDescent="0.2">
      <c r="A15138" s="996" t="str">
        <f>CONCATENATE(Programme!D15139,Programme!E15139,Programme!F15139,Programme!G15139,Programme!H15139,Programme!I15139,Programme!J15139)</f>
        <v>&lt;ValeurCellule&gt;</v>
      </c>
    </row>
    <row r="15139" spans="1:1" x14ac:dyDescent="0.2">
      <c r="A15139" s="996" t="str">
        <f>CONCATENATE(Programme!D15140,Programme!E15140,Programme!F15140,Programme!G15140,Programme!H15140,Programme!I15140,Programme!J15140)</f>
        <v>&lt;cellule&gt;&lt;codeEdi&gt;10061&lt;/codeEdi&gt;&lt;/cellule&gt;</v>
      </c>
    </row>
    <row r="15140" spans="1:1" x14ac:dyDescent="0.2">
      <c r="A15140" s="996" t="str">
        <f>CONCATENATE(Programme!D15141,Programme!E15141,Programme!F15141,Programme!G15141,Programme!H15141,Programme!I15141,Programme!J15141)</f>
        <v>&lt;valeur&gt;&lt;/valeur&gt;</v>
      </c>
    </row>
    <row r="15141" spans="1:1" x14ac:dyDescent="0.2">
      <c r="A15141" s="996" t="str">
        <f>CONCATENATE(Programme!D15142,Programme!E15142,Programme!F15142,Programme!G15142,Programme!H15142,Programme!I15142,Programme!J15142)</f>
        <v>&lt;numeroLigne&gt;140&lt;/numeroLigne&gt;</v>
      </c>
    </row>
    <row r="15142" spans="1:1" x14ac:dyDescent="0.2">
      <c r="A15142" s="996" t="str">
        <f>CONCATENATE(Programme!D15143,Programme!E15143,Programme!F15143,Programme!G15143,Programme!H15143,Programme!I15143,Programme!J15143)</f>
        <v>&lt;/ValeurCellule&gt;</v>
      </c>
    </row>
    <row r="15143" spans="1:1" x14ac:dyDescent="0.2">
      <c r="A15143" s="996" t="str">
        <f>CONCATENATE(Programme!D15144,Programme!E15144,Programme!F15144,Programme!G15144,Programme!H15144,Programme!I15144,Programme!J15144)</f>
        <v>&lt;ValeurCellule&gt;</v>
      </c>
    </row>
    <row r="15144" spans="1:1" x14ac:dyDescent="0.2">
      <c r="A15144" s="996" t="str">
        <f>CONCATENATE(Programme!D15145,Programme!E15145,Programme!F15145,Programme!G15145,Programme!H15145,Programme!I15145,Programme!J15145)</f>
        <v>&lt;cellule&gt;&lt;codeEdi&gt;1078&lt;/codeEdi&gt;&lt;/cellule&gt;</v>
      </c>
    </row>
    <row r="15145" spans="1:1" x14ac:dyDescent="0.2">
      <c r="A15145" s="996" t="str">
        <f>CONCATENATE(Programme!D15146,Programme!E15146,Programme!F15146,Programme!G15146,Programme!H15146,Programme!I15146,Programme!J15146)</f>
        <v>&lt;valeur&gt;&lt;/valeur&gt;</v>
      </c>
    </row>
    <row r="15146" spans="1:1" x14ac:dyDescent="0.2">
      <c r="A15146" s="996" t="str">
        <f>CONCATENATE(Programme!D15147,Programme!E15147,Programme!F15147,Programme!G15147,Programme!H15147,Programme!I15147,Programme!J15147)</f>
        <v>&lt;numeroLigne&gt;140&lt;/numeroLigne&gt;</v>
      </c>
    </row>
    <row r="15147" spans="1:1" x14ac:dyDescent="0.2">
      <c r="A15147" s="996" t="str">
        <f>CONCATENATE(Programme!D15148,Programme!E15148,Programme!F15148,Programme!G15148,Programme!H15148,Programme!I15148,Programme!J15148)</f>
        <v>&lt;/ValeurCellule&gt;</v>
      </c>
    </row>
    <row r="15148" spans="1:1" x14ac:dyDescent="0.2">
      <c r="A15148" s="996" t="str">
        <f>CONCATENATE(Programme!D15149,Programme!E15149,Programme!F15149,Programme!G15149,Programme!H15149,Programme!I15149,Programme!J15149)</f>
        <v>&lt;ValeurCellule&gt;</v>
      </c>
    </row>
    <row r="15149" spans="1:1" x14ac:dyDescent="0.2">
      <c r="A15149" s="996" t="str">
        <f>CONCATENATE(Programme!D15150,Programme!E15150,Programme!F15150,Programme!G15150,Programme!H15150,Programme!I15150,Programme!J15150)</f>
        <v>&lt;cellule&gt;&lt;codeEdi&gt;1079&lt;/codeEdi&gt;&lt;/cellule&gt;</v>
      </c>
    </row>
    <row r="15150" spans="1:1" x14ac:dyDescent="0.2">
      <c r="A15150" s="996" t="str">
        <f>CONCATENATE(Programme!D15151,Programme!E15151,Programme!F15151,Programme!G15151,Programme!H15151,Programme!I15151,Programme!J15151)</f>
        <v>&lt;valeur&gt;&lt;/valeur&gt;</v>
      </c>
    </row>
    <row r="15151" spans="1:1" x14ac:dyDescent="0.2">
      <c r="A15151" s="996" t="str">
        <f>CONCATENATE(Programme!D15152,Programme!E15152,Programme!F15152,Programme!G15152,Programme!H15152,Programme!I15152,Programme!J15152)</f>
        <v>&lt;numeroLigne&gt;140&lt;/numeroLigne&gt;</v>
      </c>
    </row>
    <row r="15152" spans="1:1" x14ac:dyDescent="0.2">
      <c r="A15152" s="996" t="str">
        <f>CONCATENATE(Programme!D15153,Programme!E15153,Programme!F15153,Programme!G15153,Programme!H15153,Programme!I15153,Programme!J15153)</f>
        <v>&lt;/ValeurCellule&gt;</v>
      </c>
    </row>
    <row r="15153" spans="1:1" x14ac:dyDescent="0.2">
      <c r="A15153" s="996" t="str">
        <f>CONCATENATE(Programme!D15154,Programme!E15154,Programme!F15154,Programme!G15154,Programme!H15154,Programme!I15154,Programme!J15154)</f>
        <v>&lt;ValeurCellule&gt;</v>
      </c>
    </row>
    <row r="15154" spans="1:1" x14ac:dyDescent="0.2">
      <c r="A15154" s="996" t="str">
        <f>CONCATENATE(Programme!D15155,Programme!E15155,Programme!F15155,Programme!G15155,Programme!H15155,Programme!I15155,Programme!J15155)</f>
        <v>&lt;cellule&gt;&lt;codeEdi&gt;1080&lt;/codeEdi&gt;&lt;/cellule&gt;</v>
      </c>
    </row>
    <row r="15155" spans="1:1" x14ac:dyDescent="0.2">
      <c r="A15155" s="996" t="str">
        <f>CONCATENATE(Programme!D15156,Programme!E15156,Programme!F15156,Programme!G15156,Programme!H15156,Programme!I15156,Programme!J15156)</f>
        <v>&lt;valeur&gt;&lt;/valeur&gt;</v>
      </c>
    </row>
    <row r="15156" spans="1:1" x14ac:dyDescent="0.2">
      <c r="A15156" s="996" t="str">
        <f>CONCATENATE(Programme!D15157,Programme!E15157,Programme!F15157,Programme!G15157,Programme!H15157,Programme!I15157,Programme!J15157)</f>
        <v>&lt;numeroLigne&gt;140&lt;/numeroLigne&gt;</v>
      </c>
    </row>
    <row r="15157" spans="1:1" x14ac:dyDescent="0.2">
      <c r="A15157" s="996" t="str">
        <f>CONCATENATE(Programme!D15158,Programme!E15158,Programme!F15158,Programme!G15158,Programme!H15158,Programme!I15158,Programme!J15158)</f>
        <v>&lt;/ValeurCellule&gt;</v>
      </c>
    </row>
    <row r="15158" spans="1:1" x14ac:dyDescent="0.2">
      <c r="A15158" s="996" t="str">
        <f>CONCATENATE(Programme!D15159,Programme!E15159,Programme!F15159,Programme!G15159,Programme!H15159,Programme!I15159,Programme!J15159)</f>
        <v>&lt;ValeurCellule&gt;</v>
      </c>
    </row>
    <row r="15159" spans="1:1" x14ac:dyDescent="0.2">
      <c r="A15159" s="996" t="str">
        <f>CONCATENATE(Programme!D15160,Programme!E15160,Programme!F15160,Programme!G15160,Programme!H15160,Programme!I15160,Programme!J15160)</f>
        <v>&lt;cellule&gt;&lt;codeEdi&gt;1081&lt;/codeEdi&gt;&lt;/cellule&gt;</v>
      </c>
    </row>
    <row r="15160" spans="1:1" x14ac:dyDescent="0.2">
      <c r="A15160" s="996" t="str">
        <f>CONCATENATE(Programme!D15161,Programme!E15161,Programme!F15161,Programme!G15161,Programme!H15161,Programme!I15161,Programme!J15161)</f>
        <v>&lt;valeur&gt;&lt;/valeur&gt;</v>
      </c>
    </row>
    <row r="15161" spans="1:1" x14ac:dyDescent="0.2">
      <c r="A15161" s="996" t="str">
        <f>CONCATENATE(Programme!D15162,Programme!E15162,Programme!F15162,Programme!G15162,Programme!H15162,Programme!I15162,Programme!J15162)</f>
        <v>&lt;numeroLigne&gt;140&lt;/numeroLigne&gt;</v>
      </c>
    </row>
    <row r="15162" spans="1:1" x14ac:dyDescent="0.2">
      <c r="A15162" s="996" t="str">
        <f>CONCATENATE(Programme!D15163,Programme!E15163,Programme!F15163,Programme!G15163,Programme!H15163,Programme!I15163,Programme!J15163)</f>
        <v>&lt;/ValeurCellule&gt;</v>
      </c>
    </row>
    <row r="15163" spans="1:1" x14ac:dyDescent="0.2">
      <c r="A15163" s="996" t="str">
        <f>CONCATENATE(Programme!D15164,Programme!E15164,Programme!F15164,Programme!G15164,Programme!H15164,Programme!I15164,Programme!J15164)</f>
        <v>&lt;ValeurCellule&gt;</v>
      </c>
    </row>
    <row r="15164" spans="1:1" x14ac:dyDescent="0.2">
      <c r="A15164" s="996" t="str">
        <f>CONCATENATE(Programme!D15165,Programme!E15165,Programme!F15165,Programme!G15165,Programme!H15165,Programme!I15165,Programme!J15165)</f>
        <v>&lt;cellule&gt;&lt;codeEdi&gt;1082&lt;/codeEdi&gt;&lt;/cellule&gt;</v>
      </c>
    </row>
    <row r="15165" spans="1:1" x14ac:dyDescent="0.2">
      <c r="A15165" s="996" t="str">
        <f>CONCATENATE(Programme!D15166,Programme!E15166,Programme!F15166,Programme!G15166,Programme!H15166,Programme!I15166,Programme!J15166)</f>
        <v>&lt;valeur&gt;&lt;/valeur&gt;</v>
      </c>
    </row>
    <row r="15166" spans="1:1" x14ac:dyDescent="0.2">
      <c r="A15166" s="996" t="str">
        <f>CONCATENATE(Programme!D15167,Programme!E15167,Programme!F15167,Programme!G15167,Programme!H15167,Programme!I15167,Programme!J15167)</f>
        <v>&lt;numeroLigne&gt;140&lt;/numeroLigne&gt;</v>
      </c>
    </row>
    <row r="15167" spans="1:1" x14ac:dyDescent="0.2">
      <c r="A15167" s="996" t="str">
        <f>CONCATENATE(Programme!D15168,Programme!E15168,Programme!F15168,Programme!G15168,Programme!H15168,Programme!I15168,Programme!J15168)</f>
        <v>&lt;/ValeurCellule&gt;</v>
      </c>
    </row>
    <row r="15168" spans="1:1" x14ac:dyDescent="0.2">
      <c r="A15168" s="996" t="str">
        <f>CONCATENATE(Programme!D15169,Programme!E15169,Programme!F15169,Programme!G15169,Programme!H15169,Programme!I15169,Programme!J15169)</f>
        <v>&lt;ValeurCellule&gt;</v>
      </c>
    </row>
    <row r="15169" spans="1:1" x14ac:dyDescent="0.2">
      <c r="A15169" s="996" t="str">
        <f>CONCATENATE(Programme!D15170,Programme!E15170,Programme!F15170,Programme!G15170,Programme!H15170,Programme!I15170,Programme!J15170)</f>
        <v>&lt;cellule&gt;&lt;codeEdi&gt;1083&lt;/codeEdi&gt;&lt;/cellule&gt;</v>
      </c>
    </row>
    <row r="15170" spans="1:1" x14ac:dyDescent="0.2">
      <c r="A15170" s="996" t="str">
        <f>CONCATENATE(Programme!D15171,Programme!E15171,Programme!F15171,Programme!G15171,Programme!H15171,Programme!I15171,Programme!J15171)</f>
        <v>&lt;valeur&gt;&lt;/valeur&gt;</v>
      </c>
    </row>
    <row r="15171" spans="1:1" x14ac:dyDescent="0.2">
      <c r="A15171" s="996" t="str">
        <f>CONCATENATE(Programme!D15172,Programme!E15172,Programme!F15172,Programme!G15172,Programme!H15172,Programme!I15172,Programme!J15172)</f>
        <v>&lt;numeroLigne&gt;140&lt;/numeroLigne&gt;</v>
      </c>
    </row>
    <row r="15172" spans="1:1" x14ac:dyDescent="0.2">
      <c r="A15172" s="996" t="str">
        <f>CONCATENATE(Programme!D15173,Programme!E15173,Programme!F15173,Programme!G15173,Programme!H15173,Programme!I15173,Programme!J15173)</f>
        <v>&lt;/ValeurCellule&gt;</v>
      </c>
    </row>
    <row r="15173" spans="1:1" x14ac:dyDescent="0.2">
      <c r="A15173" s="996" t="str">
        <f>CONCATENATE(Programme!D15174,Programme!E15174,Programme!F15174,Programme!G15174,Programme!H15174,Programme!I15174,Programme!J15174)</f>
        <v>&lt;ValeurCellule&gt;</v>
      </c>
    </row>
    <row r="15174" spans="1:1" x14ac:dyDescent="0.2">
      <c r="A15174" s="996" t="str">
        <f>CONCATENATE(Programme!D15175,Programme!E15175,Programme!F15175,Programme!G15175,Programme!H15175,Programme!I15175,Programme!J15175)</f>
        <v>&lt;cellule&gt;&lt;codeEdi&gt;1084&lt;/codeEdi&gt;&lt;/cellule&gt;</v>
      </c>
    </row>
    <row r="15175" spans="1:1" x14ac:dyDescent="0.2">
      <c r="A15175" s="996" t="str">
        <f>CONCATENATE(Programme!D15176,Programme!E15176,Programme!F15176,Programme!G15176,Programme!H15176,Programme!I15176,Programme!J15176)</f>
        <v>&lt;valeur&gt;&lt;/valeur&gt;</v>
      </c>
    </row>
    <row r="15176" spans="1:1" x14ac:dyDescent="0.2">
      <c r="A15176" s="996" t="str">
        <f>CONCATENATE(Programme!D15177,Programme!E15177,Programme!F15177,Programme!G15177,Programme!H15177,Programme!I15177,Programme!J15177)</f>
        <v>&lt;numeroLigne&gt;140&lt;/numeroLigne&gt;</v>
      </c>
    </row>
    <row r="15177" spans="1:1" x14ac:dyDescent="0.2">
      <c r="A15177" s="996" t="str">
        <f>CONCATENATE(Programme!D15178,Programme!E15178,Programme!F15178,Programme!G15178,Programme!H15178,Programme!I15178,Programme!J15178)</f>
        <v>&lt;/ValeurCellule&gt;</v>
      </c>
    </row>
    <row r="15178" spans="1:1" x14ac:dyDescent="0.2">
      <c r="A15178" s="996" t="str">
        <f>CONCATENATE(Programme!D15179,Programme!E15179,Programme!F15179,Programme!G15179,Programme!H15179,Programme!I15179,Programme!J15179)</f>
        <v>&lt;ValeurCellule&gt;</v>
      </c>
    </row>
    <row r="15179" spans="1:1" x14ac:dyDescent="0.2">
      <c r="A15179" s="996" t="str">
        <f>CONCATENATE(Programme!D15180,Programme!E15180,Programme!F15180,Programme!G15180,Programme!H15180,Programme!I15180,Programme!J15180)</f>
        <v>&lt;cellule&gt;&lt;codeEdi&gt;1085&lt;/codeEdi&gt;&lt;/cellule&gt;</v>
      </c>
    </row>
    <row r="15180" spans="1:1" x14ac:dyDescent="0.2">
      <c r="A15180" s="996" t="str">
        <f>CONCATENATE(Programme!D15181,Programme!E15181,Programme!F15181,Programme!G15181,Programme!H15181,Programme!I15181,Programme!J15181)</f>
        <v>&lt;valeur&gt;&lt;/valeur&gt;</v>
      </c>
    </row>
    <row r="15181" spans="1:1" x14ac:dyDescent="0.2">
      <c r="A15181" s="996" t="str">
        <f>CONCATENATE(Programme!D15182,Programme!E15182,Programme!F15182,Programme!G15182,Programme!H15182,Programme!I15182,Programme!J15182)</f>
        <v>&lt;numeroLigne&gt;140&lt;/numeroLigne&gt;</v>
      </c>
    </row>
    <row r="15182" spans="1:1" x14ac:dyDescent="0.2">
      <c r="A15182" s="996" t="str">
        <f>CONCATENATE(Programme!D15183,Programme!E15183,Programme!F15183,Programme!G15183,Programme!H15183,Programme!I15183,Programme!J15183)</f>
        <v>&lt;/ValeurCellule&gt;</v>
      </c>
    </row>
    <row r="15183" spans="1:1" x14ac:dyDescent="0.2">
      <c r="A15183" s="996" t="str">
        <f>CONCATENATE(Programme!D15184,Programme!E15184,Programme!F15184,Programme!G15184,Programme!H15184,Programme!I15184,Programme!J15184)</f>
        <v>&lt;ValeurCellule&gt;</v>
      </c>
    </row>
    <row r="15184" spans="1:1" x14ac:dyDescent="0.2">
      <c r="A15184" s="996" t="str">
        <f>CONCATENATE(Programme!D15185,Programme!E15185,Programme!F15185,Programme!G15185,Programme!H15185,Programme!I15185,Programme!J15185)</f>
        <v>&lt;cellule&gt;&lt;codeEdi&gt;1086&lt;/codeEdi&gt;&lt;/cellule&gt;</v>
      </c>
    </row>
    <row r="15185" spans="1:1" x14ac:dyDescent="0.2">
      <c r="A15185" s="996" t="str">
        <f>CONCATENATE(Programme!D15186,Programme!E15186,Programme!F15186,Programme!G15186,Programme!H15186,Programme!I15186,Programme!J15186)</f>
        <v>&lt;valeur&gt;&lt;/valeur&gt;</v>
      </c>
    </row>
    <row r="15186" spans="1:1" x14ac:dyDescent="0.2">
      <c r="A15186" s="996" t="str">
        <f>CONCATENATE(Programme!D15187,Programme!E15187,Programme!F15187,Programme!G15187,Programme!H15187,Programme!I15187,Programme!J15187)</f>
        <v>&lt;numeroLigne&gt;140&lt;/numeroLigne&gt;</v>
      </c>
    </row>
    <row r="15187" spans="1:1" x14ac:dyDescent="0.2">
      <c r="A15187" s="996" t="str">
        <f>CONCATENATE(Programme!D15188,Programme!E15188,Programme!F15188,Programme!G15188,Programme!H15188,Programme!I15188,Programme!J15188)</f>
        <v>&lt;/ValeurCellule&gt;</v>
      </c>
    </row>
    <row r="15188" spans="1:1" x14ac:dyDescent="0.2">
      <c r="A15188" s="996" t="str">
        <f>CONCATENATE(Programme!D15189,Programme!E15189,Programme!F15189,Programme!G15189,Programme!H15189,Programme!I15189,Programme!J15189)</f>
        <v>&lt;ValeurCellule&gt;</v>
      </c>
    </row>
    <row r="15189" spans="1:1" x14ac:dyDescent="0.2">
      <c r="A15189" s="996" t="str">
        <f>CONCATENATE(Programme!D15190,Programme!E15190,Programme!F15190,Programme!G15190,Programme!H15190,Programme!I15190,Programme!J15190)</f>
        <v>&lt;cellule&gt;&lt;codeEdi&gt;10061&lt;/codeEdi&gt;&lt;/cellule&gt;</v>
      </c>
    </row>
    <row r="15190" spans="1:1" x14ac:dyDescent="0.2">
      <c r="A15190" s="996" t="str">
        <f>CONCATENATE(Programme!D15191,Programme!E15191,Programme!F15191,Programme!G15191,Programme!H15191,Programme!I15191,Programme!J15191)</f>
        <v>&lt;valeur&gt;&lt;/valeur&gt;</v>
      </c>
    </row>
    <row r="15191" spans="1:1" x14ac:dyDescent="0.2">
      <c r="A15191" s="996" t="str">
        <f>CONCATENATE(Programme!D15192,Programme!E15192,Programme!F15192,Programme!G15192,Programme!H15192,Programme!I15192,Programme!J15192)</f>
        <v>&lt;numeroLigne&gt;141&lt;/numeroLigne&gt;</v>
      </c>
    </row>
    <row r="15192" spans="1:1" x14ac:dyDescent="0.2">
      <c r="A15192" s="996" t="str">
        <f>CONCATENATE(Programme!D15193,Programme!E15193,Programme!F15193,Programme!G15193,Programme!H15193,Programme!I15193,Programme!J15193)</f>
        <v>&lt;/ValeurCellule&gt;</v>
      </c>
    </row>
    <row r="15193" spans="1:1" x14ac:dyDescent="0.2">
      <c r="A15193" s="996" t="str">
        <f>CONCATENATE(Programme!D15194,Programme!E15194,Programme!F15194,Programme!G15194,Programme!H15194,Programme!I15194,Programme!J15194)</f>
        <v>&lt;ValeurCellule&gt;</v>
      </c>
    </row>
    <row r="15194" spans="1:1" x14ac:dyDescent="0.2">
      <c r="A15194" s="996" t="str">
        <f>CONCATENATE(Programme!D15195,Programme!E15195,Programme!F15195,Programme!G15195,Programme!H15195,Programme!I15195,Programme!J15195)</f>
        <v>&lt;cellule&gt;&lt;codeEdi&gt;1078&lt;/codeEdi&gt;&lt;/cellule&gt;</v>
      </c>
    </row>
    <row r="15195" spans="1:1" x14ac:dyDescent="0.2">
      <c r="A15195" s="996" t="str">
        <f>CONCATENATE(Programme!D15196,Programme!E15196,Programme!F15196,Programme!G15196,Programme!H15196,Programme!I15196,Programme!J15196)</f>
        <v>&lt;valeur&gt;&lt;/valeur&gt;</v>
      </c>
    </row>
    <row r="15196" spans="1:1" x14ac:dyDescent="0.2">
      <c r="A15196" s="996" t="str">
        <f>CONCATENATE(Programme!D15197,Programme!E15197,Programme!F15197,Programme!G15197,Programme!H15197,Programme!I15197,Programme!J15197)</f>
        <v>&lt;numeroLigne&gt;141&lt;/numeroLigne&gt;</v>
      </c>
    </row>
    <row r="15197" spans="1:1" x14ac:dyDescent="0.2">
      <c r="A15197" s="996" t="str">
        <f>CONCATENATE(Programme!D15198,Programme!E15198,Programme!F15198,Programme!G15198,Programme!H15198,Programme!I15198,Programme!J15198)</f>
        <v>&lt;/ValeurCellule&gt;</v>
      </c>
    </row>
    <row r="15198" spans="1:1" x14ac:dyDescent="0.2">
      <c r="A15198" s="996" t="str">
        <f>CONCATENATE(Programme!D15199,Programme!E15199,Programme!F15199,Programme!G15199,Programme!H15199,Programme!I15199,Programme!J15199)</f>
        <v>&lt;ValeurCellule&gt;</v>
      </c>
    </row>
    <row r="15199" spans="1:1" x14ac:dyDescent="0.2">
      <c r="A15199" s="996" t="str">
        <f>CONCATENATE(Programme!D15200,Programme!E15200,Programme!F15200,Programme!G15200,Programme!H15200,Programme!I15200,Programme!J15200)</f>
        <v>&lt;cellule&gt;&lt;codeEdi&gt;1079&lt;/codeEdi&gt;&lt;/cellule&gt;</v>
      </c>
    </row>
    <row r="15200" spans="1:1" x14ac:dyDescent="0.2">
      <c r="A15200" s="996" t="str">
        <f>CONCATENATE(Programme!D15201,Programme!E15201,Programme!F15201,Programme!G15201,Programme!H15201,Programme!I15201,Programme!J15201)</f>
        <v>&lt;valeur&gt;&lt;/valeur&gt;</v>
      </c>
    </row>
    <row r="15201" spans="1:1" x14ac:dyDescent="0.2">
      <c r="A15201" s="996" t="str">
        <f>CONCATENATE(Programme!D15202,Programme!E15202,Programme!F15202,Programme!G15202,Programme!H15202,Programme!I15202,Programme!J15202)</f>
        <v>&lt;numeroLigne&gt;141&lt;/numeroLigne&gt;</v>
      </c>
    </row>
    <row r="15202" spans="1:1" x14ac:dyDescent="0.2">
      <c r="A15202" s="996" t="str">
        <f>CONCATENATE(Programme!D15203,Programme!E15203,Programme!F15203,Programme!G15203,Programme!H15203,Programme!I15203,Programme!J15203)</f>
        <v>&lt;/ValeurCellule&gt;</v>
      </c>
    </row>
    <row r="15203" spans="1:1" x14ac:dyDescent="0.2">
      <c r="A15203" s="996" t="str">
        <f>CONCATENATE(Programme!D15204,Programme!E15204,Programme!F15204,Programme!G15204,Programme!H15204,Programme!I15204,Programme!J15204)</f>
        <v>&lt;ValeurCellule&gt;</v>
      </c>
    </row>
    <row r="15204" spans="1:1" x14ac:dyDescent="0.2">
      <c r="A15204" s="996" t="str">
        <f>CONCATENATE(Programme!D15205,Programme!E15205,Programme!F15205,Programme!G15205,Programme!H15205,Programme!I15205,Programme!J15205)</f>
        <v>&lt;cellule&gt;&lt;codeEdi&gt;1080&lt;/codeEdi&gt;&lt;/cellule&gt;</v>
      </c>
    </row>
    <row r="15205" spans="1:1" x14ac:dyDescent="0.2">
      <c r="A15205" s="996" t="str">
        <f>CONCATENATE(Programme!D15206,Programme!E15206,Programme!F15206,Programme!G15206,Programme!H15206,Programme!I15206,Programme!J15206)</f>
        <v>&lt;valeur&gt;&lt;/valeur&gt;</v>
      </c>
    </row>
    <row r="15206" spans="1:1" x14ac:dyDescent="0.2">
      <c r="A15206" s="996" t="str">
        <f>CONCATENATE(Programme!D15207,Programme!E15207,Programme!F15207,Programme!G15207,Programme!H15207,Programme!I15207,Programme!J15207)</f>
        <v>&lt;numeroLigne&gt;141&lt;/numeroLigne&gt;</v>
      </c>
    </row>
    <row r="15207" spans="1:1" x14ac:dyDescent="0.2">
      <c r="A15207" s="996" t="str">
        <f>CONCATENATE(Programme!D15208,Programme!E15208,Programme!F15208,Programme!G15208,Programme!H15208,Programme!I15208,Programme!J15208)</f>
        <v>&lt;/ValeurCellule&gt;</v>
      </c>
    </row>
    <row r="15208" spans="1:1" x14ac:dyDescent="0.2">
      <c r="A15208" s="996" t="str">
        <f>CONCATENATE(Programme!D15209,Programme!E15209,Programme!F15209,Programme!G15209,Programme!H15209,Programme!I15209,Programme!J15209)</f>
        <v>&lt;ValeurCellule&gt;</v>
      </c>
    </row>
    <row r="15209" spans="1:1" x14ac:dyDescent="0.2">
      <c r="A15209" s="996" t="str">
        <f>CONCATENATE(Programme!D15210,Programme!E15210,Programme!F15210,Programme!G15210,Programme!H15210,Programme!I15210,Programme!J15210)</f>
        <v>&lt;cellule&gt;&lt;codeEdi&gt;1081&lt;/codeEdi&gt;&lt;/cellule&gt;</v>
      </c>
    </row>
    <row r="15210" spans="1:1" x14ac:dyDescent="0.2">
      <c r="A15210" s="996" t="str">
        <f>CONCATENATE(Programme!D15211,Programme!E15211,Programme!F15211,Programme!G15211,Programme!H15211,Programme!I15211,Programme!J15211)</f>
        <v>&lt;valeur&gt;&lt;/valeur&gt;</v>
      </c>
    </row>
    <row r="15211" spans="1:1" x14ac:dyDescent="0.2">
      <c r="A15211" s="996" t="str">
        <f>CONCATENATE(Programme!D15212,Programme!E15212,Programme!F15212,Programme!G15212,Programme!H15212,Programme!I15212,Programme!J15212)</f>
        <v>&lt;numeroLigne&gt;141&lt;/numeroLigne&gt;</v>
      </c>
    </row>
    <row r="15212" spans="1:1" x14ac:dyDescent="0.2">
      <c r="A15212" s="996" t="str">
        <f>CONCATENATE(Programme!D15213,Programme!E15213,Programme!F15213,Programme!G15213,Programme!H15213,Programme!I15213,Programme!J15213)</f>
        <v>&lt;/ValeurCellule&gt;</v>
      </c>
    </row>
    <row r="15213" spans="1:1" x14ac:dyDescent="0.2">
      <c r="A15213" s="996" t="str">
        <f>CONCATENATE(Programme!D15214,Programme!E15214,Programme!F15214,Programme!G15214,Programme!H15214,Programme!I15214,Programme!J15214)</f>
        <v>&lt;ValeurCellule&gt;</v>
      </c>
    </row>
    <row r="15214" spans="1:1" x14ac:dyDescent="0.2">
      <c r="A15214" s="996" t="str">
        <f>CONCATENATE(Programme!D15215,Programme!E15215,Programme!F15215,Programme!G15215,Programme!H15215,Programme!I15215,Programme!J15215)</f>
        <v>&lt;cellule&gt;&lt;codeEdi&gt;1082&lt;/codeEdi&gt;&lt;/cellule&gt;</v>
      </c>
    </row>
    <row r="15215" spans="1:1" x14ac:dyDescent="0.2">
      <c r="A15215" s="996" t="str">
        <f>CONCATENATE(Programme!D15216,Programme!E15216,Programme!F15216,Programme!G15216,Programme!H15216,Programme!I15216,Programme!J15216)</f>
        <v>&lt;valeur&gt;&lt;/valeur&gt;</v>
      </c>
    </row>
    <row r="15216" spans="1:1" x14ac:dyDescent="0.2">
      <c r="A15216" s="996" t="str">
        <f>CONCATENATE(Programme!D15217,Programme!E15217,Programme!F15217,Programme!G15217,Programme!H15217,Programme!I15217,Programme!J15217)</f>
        <v>&lt;numeroLigne&gt;141&lt;/numeroLigne&gt;</v>
      </c>
    </row>
    <row r="15217" spans="1:1" x14ac:dyDescent="0.2">
      <c r="A15217" s="996" t="str">
        <f>CONCATENATE(Programme!D15218,Programme!E15218,Programme!F15218,Programme!G15218,Programme!H15218,Programme!I15218,Programme!J15218)</f>
        <v>&lt;/ValeurCellule&gt;</v>
      </c>
    </row>
    <row r="15218" spans="1:1" x14ac:dyDescent="0.2">
      <c r="A15218" s="996" t="str">
        <f>CONCATENATE(Programme!D15219,Programme!E15219,Programme!F15219,Programme!G15219,Programme!H15219,Programme!I15219,Programme!J15219)</f>
        <v>&lt;ValeurCellule&gt;</v>
      </c>
    </row>
    <row r="15219" spans="1:1" x14ac:dyDescent="0.2">
      <c r="A15219" s="996" t="str">
        <f>CONCATENATE(Programme!D15220,Programme!E15220,Programme!F15220,Programme!G15220,Programme!H15220,Programme!I15220,Programme!J15220)</f>
        <v>&lt;cellule&gt;&lt;codeEdi&gt;1083&lt;/codeEdi&gt;&lt;/cellule&gt;</v>
      </c>
    </row>
    <row r="15220" spans="1:1" x14ac:dyDescent="0.2">
      <c r="A15220" s="996" t="str">
        <f>CONCATENATE(Programme!D15221,Programme!E15221,Programme!F15221,Programme!G15221,Programme!H15221,Programme!I15221,Programme!J15221)</f>
        <v>&lt;valeur&gt;&lt;/valeur&gt;</v>
      </c>
    </row>
    <row r="15221" spans="1:1" x14ac:dyDescent="0.2">
      <c r="A15221" s="996" t="str">
        <f>CONCATENATE(Programme!D15222,Programme!E15222,Programme!F15222,Programme!G15222,Programme!H15222,Programme!I15222,Programme!J15222)</f>
        <v>&lt;numeroLigne&gt;141&lt;/numeroLigne&gt;</v>
      </c>
    </row>
    <row r="15222" spans="1:1" x14ac:dyDescent="0.2">
      <c r="A15222" s="996" t="str">
        <f>CONCATENATE(Programme!D15223,Programme!E15223,Programme!F15223,Programme!G15223,Programme!H15223,Programme!I15223,Programme!J15223)</f>
        <v>&lt;/ValeurCellule&gt;</v>
      </c>
    </row>
    <row r="15223" spans="1:1" x14ac:dyDescent="0.2">
      <c r="A15223" s="996" t="str">
        <f>CONCATENATE(Programme!D15224,Programme!E15224,Programme!F15224,Programme!G15224,Programme!H15224,Programme!I15224,Programme!J15224)</f>
        <v>&lt;ValeurCellule&gt;</v>
      </c>
    </row>
    <row r="15224" spans="1:1" x14ac:dyDescent="0.2">
      <c r="A15224" s="996" t="str">
        <f>CONCATENATE(Programme!D15225,Programme!E15225,Programme!F15225,Programme!G15225,Programme!H15225,Programme!I15225,Programme!J15225)</f>
        <v>&lt;cellule&gt;&lt;codeEdi&gt;1084&lt;/codeEdi&gt;&lt;/cellule&gt;</v>
      </c>
    </row>
    <row r="15225" spans="1:1" x14ac:dyDescent="0.2">
      <c r="A15225" s="996" t="str">
        <f>CONCATENATE(Programme!D15226,Programme!E15226,Programme!F15226,Programme!G15226,Programme!H15226,Programme!I15226,Programme!J15226)</f>
        <v>&lt;valeur&gt;&lt;/valeur&gt;</v>
      </c>
    </row>
    <row r="15226" spans="1:1" x14ac:dyDescent="0.2">
      <c r="A15226" s="996" t="str">
        <f>CONCATENATE(Programme!D15227,Programme!E15227,Programme!F15227,Programme!G15227,Programme!H15227,Programme!I15227,Programme!J15227)</f>
        <v>&lt;numeroLigne&gt;141&lt;/numeroLigne&gt;</v>
      </c>
    </row>
    <row r="15227" spans="1:1" x14ac:dyDescent="0.2">
      <c r="A15227" s="996" t="str">
        <f>CONCATENATE(Programme!D15228,Programme!E15228,Programme!F15228,Programme!G15228,Programme!H15228,Programme!I15228,Programme!J15228)</f>
        <v>&lt;/ValeurCellule&gt;</v>
      </c>
    </row>
    <row r="15228" spans="1:1" x14ac:dyDescent="0.2">
      <c r="A15228" s="996" t="str">
        <f>CONCATENATE(Programme!D15229,Programme!E15229,Programme!F15229,Programme!G15229,Programme!H15229,Programme!I15229,Programme!J15229)</f>
        <v>&lt;ValeurCellule&gt;</v>
      </c>
    </row>
    <row r="15229" spans="1:1" x14ac:dyDescent="0.2">
      <c r="A15229" s="996" t="str">
        <f>CONCATENATE(Programme!D15230,Programme!E15230,Programme!F15230,Programme!G15230,Programme!H15230,Programme!I15230,Programme!J15230)</f>
        <v>&lt;cellule&gt;&lt;codeEdi&gt;1085&lt;/codeEdi&gt;&lt;/cellule&gt;</v>
      </c>
    </row>
    <row r="15230" spans="1:1" x14ac:dyDescent="0.2">
      <c r="A15230" s="996" t="str">
        <f>CONCATENATE(Programme!D15231,Programme!E15231,Programme!F15231,Programme!G15231,Programme!H15231,Programme!I15231,Programme!J15231)</f>
        <v>&lt;valeur&gt;&lt;/valeur&gt;</v>
      </c>
    </row>
    <row r="15231" spans="1:1" x14ac:dyDescent="0.2">
      <c r="A15231" s="996" t="str">
        <f>CONCATENATE(Programme!D15232,Programme!E15232,Programme!F15232,Programme!G15232,Programme!H15232,Programme!I15232,Programme!J15232)</f>
        <v>&lt;numeroLigne&gt;141&lt;/numeroLigne&gt;</v>
      </c>
    </row>
    <row r="15232" spans="1:1" x14ac:dyDescent="0.2">
      <c r="A15232" s="996" t="str">
        <f>CONCATENATE(Programme!D15233,Programme!E15233,Programme!F15233,Programme!G15233,Programme!H15233,Programme!I15233,Programme!J15233)</f>
        <v>&lt;/ValeurCellule&gt;</v>
      </c>
    </row>
    <row r="15233" spans="1:1" x14ac:dyDescent="0.2">
      <c r="A15233" s="996" t="str">
        <f>CONCATENATE(Programme!D15234,Programme!E15234,Programme!F15234,Programme!G15234,Programme!H15234,Programme!I15234,Programme!J15234)</f>
        <v>&lt;ValeurCellule&gt;</v>
      </c>
    </row>
    <row r="15234" spans="1:1" x14ac:dyDescent="0.2">
      <c r="A15234" s="996" t="str">
        <f>CONCATENATE(Programme!D15235,Programme!E15235,Programme!F15235,Programme!G15235,Programme!H15235,Programme!I15235,Programme!J15235)</f>
        <v>&lt;cellule&gt;&lt;codeEdi&gt;1086&lt;/codeEdi&gt;&lt;/cellule&gt;</v>
      </c>
    </row>
    <row r="15235" spans="1:1" x14ac:dyDescent="0.2">
      <c r="A15235" s="996" t="str">
        <f>CONCATENATE(Programme!D15236,Programme!E15236,Programme!F15236,Programme!G15236,Programme!H15236,Programme!I15236,Programme!J15236)</f>
        <v>&lt;valeur&gt;&lt;/valeur&gt;</v>
      </c>
    </row>
    <row r="15236" spans="1:1" x14ac:dyDescent="0.2">
      <c r="A15236" s="996" t="str">
        <f>CONCATENATE(Programme!D15237,Programme!E15237,Programme!F15237,Programme!G15237,Programme!H15237,Programme!I15237,Programme!J15237)</f>
        <v>&lt;numeroLigne&gt;141&lt;/numeroLigne&gt;</v>
      </c>
    </row>
    <row r="15237" spans="1:1" x14ac:dyDescent="0.2">
      <c r="A15237" s="996" t="str">
        <f>CONCATENATE(Programme!D15238,Programme!E15238,Programme!F15238,Programme!G15238,Programme!H15238,Programme!I15238,Programme!J15238)</f>
        <v>&lt;/ValeurCellule&gt;</v>
      </c>
    </row>
    <row r="15238" spans="1:1" x14ac:dyDescent="0.2">
      <c r="A15238" s="996" t="str">
        <f>CONCATENATE(Programme!D15239,Programme!E15239,Programme!F15239,Programme!G15239,Programme!H15239,Programme!I15239,Programme!J15239)</f>
        <v>&lt;ValeurCellule&gt;</v>
      </c>
    </row>
    <row r="15239" spans="1:1" x14ac:dyDescent="0.2">
      <c r="A15239" s="996" t="str">
        <f>CONCATENATE(Programme!D15240,Programme!E15240,Programme!F15240,Programme!G15240,Programme!H15240,Programme!I15240,Programme!J15240)</f>
        <v>&lt;cellule&gt;&lt;codeEdi&gt;10061&lt;/codeEdi&gt;&lt;/cellule&gt;</v>
      </c>
    </row>
    <row r="15240" spans="1:1" x14ac:dyDescent="0.2">
      <c r="A15240" s="996" t="str">
        <f>CONCATENATE(Programme!D15241,Programme!E15241,Programme!F15241,Programme!G15241,Programme!H15241,Programme!I15241,Programme!J15241)</f>
        <v>&lt;valeur&gt;&lt;/valeur&gt;</v>
      </c>
    </row>
    <row r="15241" spans="1:1" x14ac:dyDescent="0.2">
      <c r="A15241" s="996" t="str">
        <f>CONCATENATE(Programme!D15242,Programme!E15242,Programme!F15242,Programme!G15242,Programme!H15242,Programme!I15242,Programme!J15242)</f>
        <v>&lt;numeroLigne&gt;142&lt;/numeroLigne&gt;</v>
      </c>
    </row>
    <row r="15242" spans="1:1" x14ac:dyDescent="0.2">
      <c r="A15242" s="996" t="str">
        <f>CONCATENATE(Programme!D15243,Programme!E15243,Programme!F15243,Programme!G15243,Programme!H15243,Programme!I15243,Programme!J15243)</f>
        <v>&lt;/ValeurCellule&gt;</v>
      </c>
    </row>
    <row r="15243" spans="1:1" x14ac:dyDescent="0.2">
      <c r="A15243" s="996" t="str">
        <f>CONCATENATE(Programme!D15244,Programme!E15244,Programme!F15244,Programme!G15244,Programme!H15244,Programme!I15244,Programme!J15244)</f>
        <v>&lt;ValeurCellule&gt;</v>
      </c>
    </row>
    <row r="15244" spans="1:1" x14ac:dyDescent="0.2">
      <c r="A15244" s="996" t="str">
        <f>CONCATENATE(Programme!D15245,Programme!E15245,Programme!F15245,Programme!G15245,Programme!H15245,Programme!I15245,Programme!J15245)</f>
        <v>&lt;cellule&gt;&lt;codeEdi&gt;1078&lt;/codeEdi&gt;&lt;/cellule&gt;</v>
      </c>
    </row>
    <row r="15245" spans="1:1" x14ac:dyDescent="0.2">
      <c r="A15245" s="996" t="str">
        <f>CONCATENATE(Programme!D15246,Programme!E15246,Programme!F15246,Programme!G15246,Programme!H15246,Programme!I15246,Programme!J15246)</f>
        <v>&lt;valeur&gt;&lt;/valeur&gt;</v>
      </c>
    </row>
    <row r="15246" spans="1:1" x14ac:dyDescent="0.2">
      <c r="A15246" s="996" t="str">
        <f>CONCATENATE(Programme!D15247,Programme!E15247,Programme!F15247,Programme!G15247,Programme!H15247,Programme!I15247,Programme!J15247)</f>
        <v>&lt;numeroLigne&gt;142&lt;/numeroLigne&gt;</v>
      </c>
    </row>
    <row r="15247" spans="1:1" x14ac:dyDescent="0.2">
      <c r="A15247" s="996" t="str">
        <f>CONCATENATE(Programme!D15248,Programme!E15248,Programme!F15248,Programme!G15248,Programme!H15248,Programme!I15248,Programme!J15248)</f>
        <v>&lt;/ValeurCellule&gt;</v>
      </c>
    </row>
    <row r="15248" spans="1:1" x14ac:dyDescent="0.2">
      <c r="A15248" s="996" t="str">
        <f>CONCATENATE(Programme!D15249,Programme!E15249,Programme!F15249,Programme!G15249,Programme!H15249,Programme!I15249,Programme!J15249)</f>
        <v>&lt;ValeurCellule&gt;</v>
      </c>
    </row>
    <row r="15249" spans="1:1" x14ac:dyDescent="0.2">
      <c r="A15249" s="996" t="str">
        <f>CONCATENATE(Programme!D15250,Programme!E15250,Programme!F15250,Programme!G15250,Programme!H15250,Programme!I15250,Programme!J15250)</f>
        <v>&lt;cellule&gt;&lt;codeEdi&gt;1079&lt;/codeEdi&gt;&lt;/cellule&gt;</v>
      </c>
    </row>
    <row r="15250" spans="1:1" x14ac:dyDescent="0.2">
      <c r="A15250" s="996" t="str">
        <f>CONCATENATE(Programme!D15251,Programme!E15251,Programme!F15251,Programme!G15251,Programme!H15251,Programme!I15251,Programme!J15251)</f>
        <v>&lt;valeur&gt;&lt;/valeur&gt;</v>
      </c>
    </row>
    <row r="15251" spans="1:1" x14ac:dyDescent="0.2">
      <c r="A15251" s="996" t="str">
        <f>CONCATENATE(Programme!D15252,Programme!E15252,Programme!F15252,Programme!G15252,Programme!H15252,Programme!I15252,Programme!J15252)</f>
        <v>&lt;numeroLigne&gt;142&lt;/numeroLigne&gt;</v>
      </c>
    </row>
    <row r="15252" spans="1:1" x14ac:dyDescent="0.2">
      <c r="A15252" s="996" t="str">
        <f>CONCATENATE(Programme!D15253,Programme!E15253,Programme!F15253,Programme!G15253,Programme!H15253,Programme!I15253,Programme!J15253)</f>
        <v>&lt;/ValeurCellule&gt;</v>
      </c>
    </row>
    <row r="15253" spans="1:1" x14ac:dyDescent="0.2">
      <c r="A15253" s="996" t="str">
        <f>CONCATENATE(Programme!D15254,Programme!E15254,Programme!F15254,Programme!G15254,Programme!H15254,Programme!I15254,Programme!J15254)</f>
        <v>&lt;ValeurCellule&gt;</v>
      </c>
    </row>
    <row r="15254" spans="1:1" x14ac:dyDescent="0.2">
      <c r="A15254" s="996" t="str">
        <f>CONCATENATE(Programme!D15255,Programme!E15255,Programme!F15255,Programme!G15255,Programme!H15255,Programme!I15255,Programme!J15255)</f>
        <v>&lt;cellule&gt;&lt;codeEdi&gt;1080&lt;/codeEdi&gt;&lt;/cellule&gt;</v>
      </c>
    </row>
    <row r="15255" spans="1:1" x14ac:dyDescent="0.2">
      <c r="A15255" s="996" t="str">
        <f>CONCATENATE(Programme!D15256,Programme!E15256,Programme!F15256,Programme!G15256,Programme!H15256,Programme!I15256,Programme!J15256)</f>
        <v>&lt;valeur&gt;&lt;/valeur&gt;</v>
      </c>
    </row>
    <row r="15256" spans="1:1" x14ac:dyDescent="0.2">
      <c r="A15256" s="996" t="str">
        <f>CONCATENATE(Programme!D15257,Programme!E15257,Programme!F15257,Programme!G15257,Programme!H15257,Programme!I15257,Programme!J15257)</f>
        <v>&lt;numeroLigne&gt;142&lt;/numeroLigne&gt;</v>
      </c>
    </row>
    <row r="15257" spans="1:1" x14ac:dyDescent="0.2">
      <c r="A15257" s="996" t="str">
        <f>CONCATENATE(Programme!D15258,Programme!E15258,Programme!F15258,Programme!G15258,Programme!H15258,Programme!I15258,Programme!J15258)</f>
        <v>&lt;/ValeurCellule&gt;</v>
      </c>
    </row>
    <row r="15258" spans="1:1" x14ac:dyDescent="0.2">
      <c r="A15258" s="996" t="str">
        <f>CONCATENATE(Programme!D15259,Programme!E15259,Programme!F15259,Programme!G15259,Programme!H15259,Programme!I15259,Programme!J15259)</f>
        <v>&lt;ValeurCellule&gt;</v>
      </c>
    </row>
    <row r="15259" spans="1:1" x14ac:dyDescent="0.2">
      <c r="A15259" s="996" t="str">
        <f>CONCATENATE(Programme!D15260,Programme!E15260,Programme!F15260,Programme!G15260,Programme!H15260,Programme!I15260,Programme!J15260)</f>
        <v>&lt;cellule&gt;&lt;codeEdi&gt;1081&lt;/codeEdi&gt;&lt;/cellule&gt;</v>
      </c>
    </row>
    <row r="15260" spans="1:1" x14ac:dyDescent="0.2">
      <c r="A15260" s="996" t="str">
        <f>CONCATENATE(Programme!D15261,Programme!E15261,Programme!F15261,Programme!G15261,Programme!H15261,Programme!I15261,Programme!J15261)</f>
        <v>&lt;valeur&gt;&lt;/valeur&gt;</v>
      </c>
    </row>
    <row r="15261" spans="1:1" x14ac:dyDescent="0.2">
      <c r="A15261" s="996" t="str">
        <f>CONCATENATE(Programme!D15262,Programme!E15262,Programme!F15262,Programme!G15262,Programme!H15262,Programme!I15262,Programme!J15262)</f>
        <v>&lt;numeroLigne&gt;142&lt;/numeroLigne&gt;</v>
      </c>
    </row>
    <row r="15262" spans="1:1" x14ac:dyDescent="0.2">
      <c r="A15262" s="996" t="str">
        <f>CONCATENATE(Programme!D15263,Programme!E15263,Programme!F15263,Programme!G15263,Programme!H15263,Programme!I15263,Programme!J15263)</f>
        <v>&lt;/ValeurCellule&gt;</v>
      </c>
    </row>
    <row r="15263" spans="1:1" x14ac:dyDescent="0.2">
      <c r="A15263" s="996" t="str">
        <f>CONCATENATE(Programme!D15264,Programme!E15264,Programme!F15264,Programme!G15264,Programme!H15264,Programme!I15264,Programme!J15264)</f>
        <v>&lt;ValeurCellule&gt;</v>
      </c>
    </row>
    <row r="15264" spans="1:1" x14ac:dyDescent="0.2">
      <c r="A15264" s="996" t="str">
        <f>CONCATENATE(Programme!D15265,Programme!E15265,Programme!F15265,Programme!G15265,Programme!H15265,Programme!I15265,Programme!J15265)</f>
        <v>&lt;cellule&gt;&lt;codeEdi&gt;1082&lt;/codeEdi&gt;&lt;/cellule&gt;</v>
      </c>
    </row>
    <row r="15265" spans="1:1" x14ac:dyDescent="0.2">
      <c r="A15265" s="996" t="str">
        <f>CONCATENATE(Programme!D15266,Programme!E15266,Programme!F15266,Programme!G15266,Programme!H15266,Programme!I15266,Programme!J15266)</f>
        <v>&lt;valeur&gt;&lt;/valeur&gt;</v>
      </c>
    </row>
    <row r="15266" spans="1:1" x14ac:dyDescent="0.2">
      <c r="A15266" s="996" t="str">
        <f>CONCATENATE(Programme!D15267,Programme!E15267,Programme!F15267,Programme!G15267,Programme!H15267,Programme!I15267,Programme!J15267)</f>
        <v>&lt;numeroLigne&gt;142&lt;/numeroLigne&gt;</v>
      </c>
    </row>
    <row r="15267" spans="1:1" x14ac:dyDescent="0.2">
      <c r="A15267" s="996" t="str">
        <f>CONCATENATE(Programme!D15268,Programme!E15268,Programme!F15268,Programme!G15268,Programme!H15268,Programme!I15268,Programme!J15268)</f>
        <v>&lt;/ValeurCellule&gt;</v>
      </c>
    </row>
    <row r="15268" spans="1:1" x14ac:dyDescent="0.2">
      <c r="A15268" s="996" t="str">
        <f>CONCATENATE(Programme!D15269,Programme!E15269,Programme!F15269,Programme!G15269,Programme!H15269,Programme!I15269,Programme!J15269)</f>
        <v>&lt;ValeurCellule&gt;</v>
      </c>
    </row>
    <row r="15269" spans="1:1" x14ac:dyDescent="0.2">
      <c r="A15269" s="996" t="str">
        <f>CONCATENATE(Programme!D15270,Programme!E15270,Programme!F15270,Programme!G15270,Programme!H15270,Programme!I15270,Programme!J15270)</f>
        <v>&lt;cellule&gt;&lt;codeEdi&gt;1083&lt;/codeEdi&gt;&lt;/cellule&gt;</v>
      </c>
    </row>
    <row r="15270" spans="1:1" x14ac:dyDescent="0.2">
      <c r="A15270" s="996" t="str">
        <f>CONCATENATE(Programme!D15271,Programme!E15271,Programme!F15271,Programme!G15271,Programme!H15271,Programme!I15271,Programme!J15271)</f>
        <v>&lt;valeur&gt;&lt;/valeur&gt;</v>
      </c>
    </row>
    <row r="15271" spans="1:1" x14ac:dyDescent="0.2">
      <c r="A15271" s="996" t="str">
        <f>CONCATENATE(Programme!D15272,Programme!E15272,Programme!F15272,Programme!G15272,Programme!H15272,Programme!I15272,Programme!J15272)</f>
        <v>&lt;numeroLigne&gt;142&lt;/numeroLigne&gt;</v>
      </c>
    </row>
    <row r="15272" spans="1:1" x14ac:dyDescent="0.2">
      <c r="A15272" s="996" t="str">
        <f>CONCATENATE(Programme!D15273,Programme!E15273,Programme!F15273,Programme!G15273,Programme!H15273,Programme!I15273,Programme!J15273)</f>
        <v>&lt;/ValeurCellule&gt;</v>
      </c>
    </row>
    <row r="15273" spans="1:1" x14ac:dyDescent="0.2">
      <c r="A15273" s="996" t="str">
        <f>CONCATENATE(Programme!D15274,Programme!E15274,Programme!F15274,Programme!G15274,Programme!H15274,Programme!I15274,Programme!J15274)</f>
        <v>&lt;ValeurCellule&gt;</v>
      </c>
    </row>
    <row r="15274" spans="1:1" x14ac:dyDescent="0.2">
      <c r="A15274" s="996" t="str">
        <f>CONCATENATE(Programme!D15275,Programme!E15275,Programme!F15275,Programme!G15275,Programme!H15275,Programme!I15275,Programme!J15275)</f>
        <v>&lt;cellule&gt;&lt;codeEdi&gt;1084&lt;/codeEdi&gt;&lt;/cellule&gt;</v>
      </c>
    </row>
    <row r="15275" spans="1:1" x14ac:dyDescent="0.2">
      <c r="A15275" s="996" t="str">
        <f>CONCATENATE(Programme!D15276,Programme!E15276,Programme!F15276,Programme!G15276,Programme!H15276,Programme!I15276,Programme!J15276)</f>
        <v>&lt;valeur&gt;&lt;/valeur&gt;</v>
      </c>
    </row>
    <row r="15276" spans="1:1" x14ac:dyDescent="0.2">
      <c r="A15276" s="996" t="str">
        <f>CONCATENATE(Programme!D15277,Programme!E15277,Programme!F15277,Programme!G15277,Programme!H15277,Programme!I15277,Programme!J15277)</f>
        <v>&lt;numeroLigne&gt;142&lt;/numeroLigne&gt;</v>
      </c>
    </row>
    <row r="15277" spans="1:1" x14ac:dyDescent="0.2">
      <c r="A15277" s="996" t="str">
        <f>CONCATENATE(Programme!D15278,Programme!E15278,Programme!F15278,Programme!G15278,Programme!H15278,Programme!I15278,Programme!J15278)</f>
        <v>&lt;/ValeurCellule&gt;</v>
      </c>
    </row>
    <row r="15278" spans="1:1" x14ac:dyDescent="0.2">
      <c r="A15278" s="996" t="str">
        <f>CONCATENATE(Programme!D15279,Programme!E15279,Programme!F15279,Programme!G15279,Programme!H15279,Programme!I15279,Programme!J15279)</f>
        <v>&lt;ValeurCellule&gt;</v>
      </c>
    </row>
    <row r="15279" spans="1:1" x14ac:dyDescent="0.2">
      <c r="A15279" s="996" t="str">
        <f>CONCATENATE(Programme!D15280,Programme!E15280,Programme!F15280,Programme!G15280,Programme!H15280,Programme!I15280,Programme!J15280)</f>
        <v>&lt;cellule&gt;&lt;codeEdi&gt;1085&lt;/codeEdi&gt;&lt;/cellule&gt;</v>
      </c>
    </row>
    <row r="15280" spans="1:1" x14ac:dyDescent="0.2">
      <c r="A15280" s="996" t="str">
        <f>CONCATENATE(Programme!D15281,Programme!E15281,Programme!F15281,Programme!G15281,Programme!H15281,Programme!I15281,Programme!J15281)</f>
        <v>&lt;valeur&gt;&lt;/valeur&gt;</v>
      </c>
    </row>
    <row r="15281" spans="1:1" x14ac:dyDescent="0.2">
      <c r="A15281" s="996" t="str">
        <f>CONCATENATE(Programme!D15282,Programme!E15282,Programme!F15282,Programme!G15282,Programme!H15282,Programme!I15282,Programme!J15282)</f>
        <v>&lt;numeroLigne&gt;142&lt;/numeroLigne&gt;</v>
      </c>
    </row>
    <row r="15282" spans="1:1" x14ac:dyDescent="0.2">
      <c r="A15282" s="996" t="str">
        <f>CONCATENATE(Programme!D15283,Programme!E15283,Programme!F15283,Programme!G15283,Programme!H15283,Programme!I15283,Programme!J15283)</f>
        <v>&lt;/ValeurCellule&gt;</v>
      </c>
    </row>
    <row r="15283" spans="1:1" x14ac:dyDescent="0.2">
      <c r="A15283" s="996" t="str">
        <f>CONCATENATE(Programme!D15284,Programme!E15284,Programme!F15284,Programme!G15284,Programme!H15284,Programme!I15284,Programme!J15284)</f>
        <v>&lt;ValeurCellule&gt;</v>
      </c>
    </row>
    <row r="15284" spans="1:1" x14ac:dyDescent="0.2">
      <c r="A15284" s="996" t="str">
        <f>CONCATENATE(Programme!D15285,Programme!E15285,Programme!F15285,Programme!G15285,Programme!H15285,Programme!I15285,Programme!J15285)</f>
        <v>&lt;cellule&gt;&lt;codeEdi&gt;1086&lt;/codeEdi&gt;&lt;/cellule&gt;</v>
      </c>
    </row>
    <row r="15285" spans="1:1" x14ac:dyDescent="0.2">
      <c r="A15285" s="996" t="str">
        <f>CONCATENATE(Programme!D15286,Programme!E15286,Programme!F15286,Programme!G15286,Programme!H15286,Programme!I15286,Programme!J15286)</f>
        <v>&lt;valeur&gt;&lt;/valeur&gt;</v>
      </c>
    </row>
    <row r="15286" spans="1:1" x14ac:dyDescent="0.2">
      <c r="A15286" s="996" t="str">
        <f>CONCATENATE(Programme!D15287,Programme!E15287,Programme!F15287,Programme!G15287,Programme!H15287,Programme!I15287,Programme!J15287)</f>
        <v>&lt;numeroLigne&gt;142&lt;/numeroLigne&gt;</v>
      </c>
    </row>
    <row r="15287" spans="1:1" x14ac:dyDescent="0.2">
      <c r="A15287" s="996" t="str">
        <f>CONCATENATE(Programme!D15288,Programme!E15288,Programme!F15288,Programme!G15288,Programme!H15288,Programme!I15288,Programme!J15288)</f>
        <v>&lt;/ValeurCellule&gt;</v>
      </c>
    </row>
    <row r="15288" spans="1:1" x14ac:dyDescent="0.2">
      <c r="A15288" s="996" t="str">
        <f>CONCATENATE(Programme!D15289,Programme!E15289,Programme!F15289,Programme!G15289,Programme!H15289,Programme!I15289,Programme!J15289)</f>
        <v>&lt;ValeurCellule&gt;</v>
      </c>
    </row>
    <row r="15289" spans="1:1" x14ac:dyDescent="0.2">
      <c r="A15289" s="996" t="str">
        <f>CONCATENATE(Programme!D15290,Programme!E15290,Programme!F15290,Programme!G15290,Programme!H15290,Programme!I15290,Programme!J15290)</f>
        <v>&lt;cellule&gt;&lt;codeEdi&gt;10061&lt;/codeEdi&gt;&lt;/cellule&gt;</v>
      </c>
    </row>
    <row r="15290" spans="1:1" x14ac:dyDescent="0.2">
      <c r="A15290" s="996" t="str">
        <f>CONCATENATE(Programme!D15291,Programme!E15291,Programme!F15291,Programme!G15291,Programme!H15291,Programme!I15291,Programme!J15291)</f>
        <v>&lt;valeur&gt;&lt;/valeur&gt;</v>
      </c>
    </row>
    <row r="15291" spans="1:1" x14ac:dyDescent="0.2">
      <c r="A15291" s="996" t="str">
        <f>CONCATENATE(Programme!D15292,Programme!E15292,Programme!F15292,Programme!G15292,Programme!H15292,Programme!I15292,Programme!J15292)</f>
        <v>&lt;numeroLigne&gt;143&lt;/numeroLigne&gt;</v>
      </c>
    </row>
    <row r="15292" spans="1:1" x14ac:dyDescent="0.2">
      <c r="A15292" s="996" t="str">
        <f>CONCATENATE(Programme!D15293,Programme!E15293,Programme!F15293,Programme!G15293,Programme!H15293,Programme!I15293,Programme!J15293)</f>
        <v>&lt;/ValeurCellule&gt;</v>
      </c>
    </row>
    <row r="15293" spans="1:1" x14ac:dyDescent="0.2">
      <c r="A15293" s="996" t="str">
        <f>CONCATENATE(Programme!D15294,Programme!E15294,Programme!F15294,Programme!G15294,Programme!H15294,Programme!I15294,Programme!J15294)</f>
        <v>&lt;ValeurCellule&gt;</v>
      </c>
    </row>
    <row r="15294" spans="1:1" x14ac:dyDescent="0.2">
      <c r="A15294" s="996" t="str">
        <f>CONCATENATE(Programme!D15295,Programme!E15295,Programme!F15295,Programme!G15295,Programme!H15295,Programme!I15295,Programme!J15295)</f>
        <v>&lt;cellule&gt;&lt;codeEdi&gt;1078&lt;/codeEdi&gt;&lt;/cellule&gt;</v>
      </c>
    </row>
    <row r="15295" spans="1:1" x14ac:dyDescent="0.2">
      <c r="A15295" s="996" t="str">
        <f>CONCATENATE(Programme!D15296,Programme!E15296,Programme!F15296,Programme!G15296,Programme!H15296,Programme!I15296,Programme!J15296)</f>
        <v>&lt;valeur&gt;&lt;/valeur&gt;</v>
      </c>
    </row>
    <row r="15296" spans="1:1" x14ac:dyDescent="0.2">
      <c r="A15296" s="996" t="str">
        <f>CONCATENATE(Programme!D15297,Programme!E15297,Programme!F15297,Programme!G15297,Programme!H15297,Programme!I15297,Programme!J15297)</f>
        <v>&lt;numeroLigne&gt;143&lt;/numeroLigne&gt;</v>
      </c>
    </row>
    <row r="15297" spans="1:1" x14ac:dyDescent="0.2">
      <c r="A15297" s="996" t="str">
        <f>CONCATENATE(Programme!D15298,Programme!E15298,Programme!F15298,Programme!G15298,Programme!H15298,Programme!I15298,Programme!J15298)</f>
        <v>&lt;/ValeurCellule&gt;</v>
      </c>
    </row>
    <row r="15298" spans="1:1" x14ac:dyDescent="0.2">
      <c r="A15298" s="996" t="str">
        <f>CONCATENATE(Programme!D15299,Programme!E15299,Programme!F15299,Programme!G15299,Programme!H15299,Programme!I15299,Programme!J15299)</f>
        <v>&lt;ValeurCellule&gt;</v>
      </c>
    </row>
    <row r="15299" spans="1:1" x14ac:dyDescent="0.2">
      <c r="A15299" s="996" t="str">
        <f>CONCATENATE(Programme!D15300,Programme!E15300,Programme!F15300,Programme!G15300,Programme!H15300,Programme!I15300,Programme!J15300)</f>
        <v>&lt;cellule&gt;&lt;codeEdi&gt;1079&lt;/codeEdi&gt;&lt;/cellule&gt;</v>
      </c>
    </row>
    <row r="15300" spans="1:1" x14ac:dyDescent="0.2">
      <c r="A15300" s="996" t="str">
        <f>CONCATENATE(Programme!D15301,Programme!E15301,Programme!F15301,Programme!G15301,Programme!H15301,Programme!I15301,Programme!J15301)</f>
        <v>&lt;valeur&gt;&lt;/valeur&gt;</v>
      </c>
    </row>
    <row r="15301" spans="1:1" x14ac:dyDescent="0.2">
      <c r="A15301" s="996" t="str">
        <f>CONCATENATE(Programme!D15302,Programme!E15302,Programme!F15302,Programme!G15302,Programme!H15302,Programme!I15302,Programme!J15302)</f>
        <v>&lt;numeroLigne&gt;143&lt;/numeroLigne&gt;</v>
      </c>
    </row>
    <row r="15302" spans="1:1" x14ac:dyDescent="0.2">
      <c r="A15302" s="996" t="str">
        <f>CONCATENATE(Programme!D15303,Programme!E15303,Programme!F15303,Programme!G15303,Programme!H15303,Programme!I15303,Programme!J15303)</f>
        <v>&lt;/ValeurCellule&gt;</v>
      </c>
    </row>
    <row r="15303" spans="1:1" x14ac:dyDescent="0.2">
      <c r="A15303" s="996" t="str">
        <f>CONCATENATE(Programme!D15304,Programme!E15304,Programme!F15304,Programme!G15304,Programme!H15304,Programme!I15304,Programme!J15304)</f>
        <v>&lt;ValeurCellule&gt;</v>
      </c>
    </row>
    <row r="15304" spans="1:1" x14ac:dyDescent="0.2">
      <c r="A15304" s="996" t="str">
        <f>CONCATENATE(Programme!D15305,Programme!E15305,Programme!F15305,Programme!G15305,Programme!H15305,Programme!I15305,Programme!J15305)</f>
        <v>&lt;cellule&gt;&lt;codeEdi&gt;1080&lt;/codeEdi&gt;&lt;/cellule&gt;</v>
      </c>
    </row>
    <row r="15305" spans="1:1" x14ac:dyDescent="0.2">
      <c r="A15305" s="996" t="str">
        <f>CONCATENATE(Programme!D15306,Programme!E15306,Programme!F15306,Programme!G15306,Programme!H15306,Programme!I15306,Programme!J15306)</f>
        <v>&lt;valeur&gt;&lt;/valeur&gt;</v>
      </c>
    </row>
    <row r="15306" spans="1:1" x14ac:dyDescent="0.2">
      <c r="A15306" s="996" t="str">
        <f>CONCATENATE(Programme!D15307,Programme!E15307,Programme!F15307,Programme!G15307,Programme!H15307,Programme!I15307,Programme!J15307)</f>
        <v>&lt;numeroLigne&gt;143&lt;/numeroLigne&gt;</v>
      </c>
    </row>
    <row r="15307" spans="1:1" x14ac:dyDescent="0.2">
      <c r="A15307" s="996" t="str">
        <f>CONCATENATE(Programme!D15308,Programme!E15308,Programme!F15308,Programme!G15308,Programme!H15308,Programme!I15308,Programme!J15308)</f>
        <v>&lt;/ValeurCellule&gt;</v>
      </c>
    </row>
    <row r="15308" spans="1:1" x14ac:dyDescent="0.2">
      <c r="A15308" s="996" t="str">
        <f>CONCATENATE(Programme!D15309,Programme!E15309,Programme!F15309,Programme!G15309,Programme!H15309,Programme!I15309,Programme!J15309)</f>
        <v>&lt;ValeurCellule&gt;</v>
      </c>
    </row>
    <row r="15309" spans="1:1" x14ac:dyDescent="0.2">
      <c r="A15309" s="996" t="str">
        <f>CONCATENATE(Programme!D15310,Programme!E15310,Programme!F15310,Programme!G15310,Programme!H15310,Programme!I15310,Programme!J15310)</f>
        <v>&lt;cellule&gt;&lt;codeEdi&gt;1081&lt;/codeEdi&gt;&lt;/cellule&gt;</v>
      </c>
    </row>
    <row r="15310" spans="1:1" x14ac:dyDescent="0.2">
      <c r="A15310" s="996" t="str">
        <f>CONCATENATE(Programme!D15311,Programme!E15311,Programme!F15311,Programme!G15311,Programme!H15311,Programme!I15311,Programme!J15311)</f>
        <v>&lt;valeur&gt;&lt;/valeur&gt;</v>
      </c>
    </row>
    <row r="15311" spans="1:1" x14ac:dyDescent="0.2">
      <c r="A15311" s="996" t="str">
        <f>CONCATENATE(Programme!D15312,Programme!E15312,Programme!F15312,Programme!G15312,Programme!H15312,Programme!I15312,Programme!J15312)</f>
        <v>&lt;numeroLigne&gt;143&lt;/numeroLigne&gt;</v>
      </c>
    </row>
    <row r="15312" spans="1:1" x14ac:dyDescent="0.2">
      <c r="A15312" s="996" t="str">
        <f>CONCATENATE(Programme!D15313,Programme!E15313,Programme!F15313,Programme!G15313,Programme!H15313,Programme!I15313,Programme!J15313)</f>
        <v>&lt;/ValeurCellule&gt;</v>
      </c>
    </row>
    <row r="15313" spans="1:1" x14ac:dyDescent="0.2">
      <c r="A15313" s="996" t="str">
        <f>CONCATENATE(Programme!D15314,Programme!E15314,Programme!F15314,Programme!G15314,Programme!H15314,Programme!I15314,Programme!J15314)</f>
        <v>&lt;ValeurCellule&gt;</v>
      </c>
    </row>
    <row r="15314" spans="1:1" x14ac:dyDescent="0.2">
      <c r="A15314" s="996" t="str">
        <f>CONCATENATE(Programme!D15315,Programme!E15315,Programme!F15315,Programme!G15315,Programme!H15315,Programme!I15315,Programme!J15315)</f>
        <v>&lt;cellule&gt;&lt;codeEdi&gt;1082&lt;/codeEdi&gt;&lt;/cellule&gt;</v>
      </c>
    </row>
    <row r="15315" spans="1:1" x14ac:dyDescent="0.2">
      <c r="A15315" s="996" t="str">
        <f>CONCATENATE(Programme!D15316,Programme!E15316,Programme!F15316,Programme!G15316,Programme!H15316,Programme!I15316,Programme!J15316)</f>
        <v>&lt;valeur&gt;&lt;/valeur&gt;</v>
      </c>
    </row>
    <row r="15316" spans="1:1" x14ac:dyDescent="0.2">
      <c r="A15316" s="996" t="str">
        <f>CONCATENATE(Programme!D15317,Programme!E15317,Programme!F15317,Programme!G15317,Programme!H15317,Programme!I15317,Programme!J15317)</f>
        <v>&lt;numeroLigne&gt;143&lt;/numeroLigne&gt;</v>
      </c>
    </row>
    <row r="15317" spans="1:1" x14ac:dyDescent="0.2">
      <c r="A15317" s="996" t="str">
        <f>CONCATENATE(Programme!D15318,Programme!E15318,Programme!F15318,Programme!G15318,Programme!H15318,Programme!I15318,Programme!J15318)</f>
        <v>&lt;/ValeurCellule&gt;</v>
      </c>
    </row>
    <row r="15318" spans="1:1" x14ac:dyDescent="0.2">
      <c r="A15318" s="996" t="str">
        <f>CONCATENATE(Programme!D15319,Programme!E15319,Programme!F15319,Programme!G15319,Programme!H15319,Programme!I15319,Programme!J15319)</f>
        <v>&lt;ValeurCellule&gt;</v>
      </c>
    </row>
    <row r="15319" spans="1:1" x14ac:dyDescent="0.2">
      <c r="A15319" s="996" t="str">
        <f>CONCATENATE(Programme!D15320,Programme!E15320,Programme!F15320,Programme!G15320,Programme!H15320,Programme!I15320,Programme!J15320)</f>
        <v>&lt;cellule&gt;&lt;codeEdi&gt;1083&lt;/codeEdi&gt;&lt;/cellule&gt;</v>
      </c>
    </row>
    <row r="15320" spans="1:1" x14ac:dyDescent="0.2">
      <c r="A15320" s="996" t="str">
        <f>CONCATENATE(Programme!D15321,Programme!E15321,Programme!F15321,Programme!G15321,Programme!H15321,Programme!I15321,Programme!J15321)</f>
        <v>&lt;valeur&gt;&lt;/valeur&gt;</v>
      </c>
    </row>
    <row r="15321" spans="1:1" x14ac:dyDescent="0.2">
      <c r="A15321" s="996" t="str">
        <f>CONCATENATE(Programme!D15322,Programme!E15322,Programme!F15322,Programme!G15322,Programme!H15322,Programme!I15322,Programme!J15322)</f>
        <v>&lt;numeroLigne&gt;143&lt;/numeroLigne&gt;</v>
      </c>
    </row>
    <row r="15322" spans="1:1" x14ac:dyDescent="0.2">
      <c r="A15322" s="996" t="str">
        <f>CONCATENATE(Programme!D15323,Programme!E15323,Programme!F15323,Programme!G15323,Programme!H15323,Programme!I15323,Programme!J15323)</f>
        <v>&lt;/ValeurCellule&gt;</v>
      </c>
    </row>
    <row r="15323" spans="1:1" x14ac:dyDescent="0.2">
      <c r="A15323" s="996" t="str">
        <f>CONCATENATE(Programme!D15324,Programme!E15324,Programme!F15324,Programme!G15324,Programme!H15324,Programme!I15324,Programme!J15324)</f>
        <v>&lt;ValeurCellule&gt;</v>
      </c>
    </row>
    <row r="15324" spans="1:1" x14ac:dyDescent="0.2">
      <c r="A15324" s="996" t="str">
        <f>CONCATENATE(Programme!D15325,Programme!E15325,Programme!F15325,Programme!G15325,Programme!H15325,Programme!I15325,Programme!J15325)</f>
        <v>&lt;cellule&gt;&lt;codeEdi&gt;1084&lt;/codeEdi&gt;&lt;/cellule&gt;</v>
      </c>
    </row>
    <row r="15325" spans="1:1" x14ac:dyDescent="0.2">
      <c r="A15325" s="996" t="str">
        <f>CONCATENATE(Programme!D15326,Programme!E15326,Programme!F15326,Programme!G15326,Programme!H15326,Programme!I15326,Programme!J15326)</f>
        <v>&lt;valeur&gt;&lt;/valeur&gt;</v>
      </c>
    </row>
    <row r="15326" spans="1:1" x14ac:dyDescent="0.2">
      <c r="A15326" s="996" t="str">
        <f>CONCATENATE(Programme!D15327,Programme!E15327,Programme!F15327,Programme!G15327,Programme!H15327,Programme!I15327,Programme!J15327)</f>
        <v>&lt;numeroLigne&gt;143&lt;/numeroLigne&gt;</v>
      </c>
    </row>
    <row r="15327" spans="1:1" x14ac:dyDescent="0.2">
      <c r="A15327" s="996" t="str">
        <f>CONCATENATE(Programme!D15328,Programme!E15328,Programme!F15328,Programme!G15328,Programme!H15328,Programme!I15328,Programme!J15328)</f>
        <v>&lt;/ValeurCellule&gt;</v>
      </c>
    </row>
    <row r="15328" spans="1:1" x14ac:dyDescent="0.2">
      <c r="A15328" s="996" t="str">
        <f>CONCATENATE(Programme!D15329,Programme!E15329,Programme!F15329,Programme!G15329,Programme!H15329,Programme!I15329,Programme!J15329)</f>
        <v>&lt;ValeurCellule&gt;</v>
      </c>
    </row>
    <row r="15329" spans="1:1" x14ac:dyDescent="0.2">
      <c r="A15329" s="996" t="str">
        <f>CONCATENATE(Programme!D15330,Programme!E15330,Programme!F15330,Programme!G15330,Programme!H15330,Programme!I15330,Programme!J15330)</f>
        <v>&lt;cellule&gt;&lt;codeEdi&gt;1085&lt;/codeEdi&gt;&lt;/cellule&gt;</v>
      </c>
    </row>
    <row r="15330" spans="1:1" x14ac:dyDescent="0.2">
      <c r="A15330" s="996" t="str">
        <f>CONCATENATE(Programme!D15331,Programme!E15331,Programme!F15331,Programme!G15331,Programme!H15331,Programme!I15331,Programme!J15331)</f>
        <v>&lt;valeur&gt;&lt;/valeur&gt;</v>
      </c>
    </row>
    <row r="15331" spans="1:1" x14ac:dyDescent="0.2">
      <c r="A15331" s="996" t="str">
        <f>CONCATENATE(Programme!D15332,Programme!E15332,Programme!F15332,Programme!G15332,Programme!H15332,Programme!I15332,Programme!J15332)</f>
        <v>&lt;numeroLigne&gt;143&lt;/numeroLigne&gt;</v>
      </c>
    </row>
    <row r="15332" spans="1:1" x14ac:dyDescent="0.2">
      <c r="A15332" s="996" t="str">
        <f>CONCATENATE(Programme!D15333,Programme!E15333,Programme!F15333,Programme!G15333,Programme!H15333,Programme!I15333,Programme!J15333)</f>
        <v>&lt;/ValeurCellule&gt;</v>
      </c>
    </row>
    <row r="15333" spans="1:1" x14ac:dyDescent="0.2">
      <c r="A15333" s="996" t="str">
        <f>CONCATENATE(Programme!D15334,Programme!E15334,Programme!F15334,Programme!G15334,Programme!H15334,Programme!I15334,Programme!J15334)</f>
        <v>&lt;ValeurCellule&gt;</v>
      </c>
    </row>
    <row r="15334" spans="1:1" x14ac:dyDescent="0.2">
      <c r="A15334" s="996" t="str">
        <f>CONCATENATE(Programme!D15335,Programme!E15335,Programme!F15335,Programme!G15335,Programme!H15335,Programme!I15335,Programme!J15335)</f>
        <v>&lt;cellule&gt;&lt;codeEdi&gt;1086&lt;/codeEdi&gt;&lt;/cellule&gt;</v>
      </c>
    </row>
    <row r="15335" spans="1:1" x14ac:dyDescent="0.2">
      <c r="A15335" s="996" t="str">
        <f>CONCATENATE(Programme!D15336,Programme!E15336,Programme!F15336,Programme!G15336,Programme!H15336,Programme!I15336,Programme!J15336)</f>
        <v>&lt;valeur&gt;&lt;/valeur&gt;</v>
      </c>
    </row>
    <row r="15336" spans="1:1" x14ac:dyDescent="0.2">
      <c r="A15336" s="996" t="str">
        <f>CONCATENATE(Programme!D15337,Programme!E15337,Programme!F15337,Programme!G15337,Programme!H15337,Programme!I15337,Programme!J15337)</f>
        <v>&lt;numeroLigne&gt;143&lt;/numeroLigne&gt;</v>
      </c>
    </row>
    <row r="15337" spans="1:1" x14ac:dyDescent="0.2">
      <c r="A15337" s="996" t="str">
        <f>CONCATENATE(Programme!D15338,Programme!E15338,Programme!F15338,Programme!G15338,Programme!H15338,Programme!I15338,Programme!J15338)</f>
        <v>&lt;/ValeurCellule&gt;</v>
      </c>
    </row>
    <row r="15338" spans="1:1" x14ac:dyDescent="0.2">
      <c r="A15338" s="996" t="str">
        <f>CONCATENATE(Programme!D15339,Programme!E15339,Programme!F15339,Programme!G15339,Programme!H15339,Programme!I15339,Programme!J15339)</f>
        <v>&lt;ValeurCellule&gt;</v>
      </c>
    </row>
    <row r="15339" spans="1:1" x14ac:dyDescent="0.2">
      <c r="A15339" s="996" t="str">
        <f>CONCATENATE(Programme!D15340,Programme!E15340,Programme!F15340,Programme!G15340,Programme!H15340,Programme!I15340,Programme!J15340)</f>
        <v>&lt;cellule&gt;&lt;codeEdi&gt;10061&lt;/codeEdi&gt;&lt;/cellule&gt;</v>
      </c>
    </row>
    <row r="15340" spans="1:1" x14ac:dyDescent="0.2">
      <c r="A15340" s="996" t="str">
        <f>CONCATENATE(Programme!D15341,Programme!E15341,Programme!F15341,Programme!G15341,Programme!H15341,Programme!I15341,Programme!J15341)</f>
        <v>&lt;valeur&gt;&lt;/valeur&gt;</v>
      </c>
    </row>
    <row r="15341" spans="1:1" x14ac:dyDescent="0.2">
      <c r="A15341" s="996" t="str">
        <f>CONCATENATE(Programme!D15342,Programme!E15342,Programme!F15342,Programme!G15342,Programme!H15342,Programme!I15342,Programme!J15342)</f>
        <v>&lt;numeroLigne&gt;144&lt;/numeroLigne&gt;</v>
      </c>
    </row>
    <row r="15342" spans="1:1" x14ac:dyDescent="0.2">
      <c r="A15342" s="996" t="str">
        <f>CONCATENATE(Programme!D15343,Programme!E15343,Programme!F15343,Programme!G15343,Programme!H15343,Programme!I15343,Programme!J15343)</f>
        <v>&lt;/ValeurCellule&gt;</v>
      </c>
    </row>
    <row r="15343" spans="1:1" x14ac:dyDescent="0.2">
      <c r="A15343" s="996" t="str">
        <f>CONCATENATE(Programme!D15344,Programme!E15344,Programme!F15344,Programme!G15344,Programme!H15344,Programme!I15344,Programme!J15344)</f>
        <v>&lt;ValeurCellule&gt;</v>
      </c>
    </row>
    <row r="15344" spans="1:1" x14ac:dyDescent="0.2">
      <c r="A15344" s="996" t="str">
        <f>CONCATENATE(Programme!D15345,Programme!E15345,Programme!F15345,Programme!G15345,Programme!H15345,Programme!I15345,Programme!J15345)</f>
        <v>&lt;cellule&gt;&lt;codeEdi&gt;1078&lt;/codeEdi&gt;&lt;/cellule&gt;</v>
      </c>
    </row>
    <row r="15345" spans="1:1" x14ac:dyDescent="0.2">
      <c r="A15345" s="996" t="str">
        <f>CONCATENATE(Programme!D15346,Programme!E15346,Programme!F15346,Programme!G15346,Programme!H15346,Programme!I15346,Programme!J15346)</f>
        <v>&lt;valeur&gt;&lt;/valeur&gt;</v>
      </c>
    </row>
    <row r="15346" spans="1:1" x14ac:dyDescent="0.2">
      <c r="A15346" s="996" t="str">
        <f>CONCATENATE(Programme!D15347,Programme!E15347,Programme!F15347,Programme!G15347,Programme!H15347,Programme!I15347,Programme!J15347)</f>
        <v>&lt;numeroLigne&gt;144&lt;/numeroLigne&gt;</v>
      </c>
    </row>
    <row r="15347" spans="1:1" x14ac:dyDescent="0.2">
      <c r="A15347" s="996" t="str">
        <f>CONCATENATE(Programme!D15348,Programme!E15348,Programme!F15348,Programme!G15348,Programme!H15348,Programme!I15348,Programme!J15348)</f>
        <v>&lt;/ValeurCellule&gt;</v>
      </c>
    </row>
    <row r="15348" spans="1:1" x14ac:dyDescent="0.2">
      <c r="A15348" s="996" t="str">
        <f>CONCATENATE(Programme!D15349,Programme!E15349,Programme!F15349,Programme!G15349,Programme!H15349,Programme!I15349,Programme!J15349)</f>
        <v>&lt;ValeurCellule&gt;</v>
      </c>
    </row>
    <row r="15349" spans="1:1" x14ac:dyDescent="0.2">
      <c r="A15349" s="996" t="str">
        <f>CONCATENATE(Programme!D15350,Programme!E15350,Programme!F15350,Programme!G15350,Programme!H15350,Programme!I15350,Programme!J15350)</f>
        <v>&lt;cellule&gt;&lt;codeEdi&gt;1079&lt;/codeEdi&gt;&lt;/cellule&gt;</v>
      </c>
    </row>
    <row r="15350" spans="1:1" x14ac:dyDescent="0.2">
      <c r="A15350" s="996" t="str">
        <f>CONCATENATE(Programme!D15351,Programme!E15351,Programme!F15351,Programme!G15351,Programme!H15351,Programme!I15351,Programme!J15351)</f>
        <v>&lt;valeur&gt;&lt;/valeur&gt;</v>
      </c>
    </row>
    <row r="15351" spans="1:1" x14ac:dyDescent="0.2">
      <c r="A15351" s="996" t="str">
        <f>CONCATENATE(Programme!D15352,Programme!E15352,Programme!F15352,Programme!G15352,Programme!H15352,Programme!I15352,Programme!J15352)</f>
        <v>&lt;numeroLigne&gt;144&lt;/numeroLigne&gt;</v>
      </c>
    </row>
    <row r="15352" spans="1:1" x14ac:dyDescent="0.2">
      <c r="A15352" s="996" t="str">
        <f>CONCATENATE(Programme!D15353,Programme!E15353,Programme!F15353,Programme!G15353,Programme!H15353,Programme!I15353,Programme!J15353)</f>
        <v>&lt;/ValeurCellule&gt;</v>
      </c>
    </row>
    <row r="15353" spans="1:1" x14ac:dyDescent="0.2">
      <c r="A15353" s="996" t="str">
        <f>CONCATENATE(Programme!D15354,Programme!E15354,Programme!F15354,Programme!G15354,Programme!H15354,Programme!I15354,Programme!J15354)</f>
        <v>&lt;ValeurCellule&gt;</v>
      </c>
    </row>
    <row r="15354" spans="1:1" x14ac:dyDescent="0.2">
      <c r="A15354" s="996" t="str">
        <f>CONCATENATE(Programme!D15355,Programme!E15355,Programme!F15355,Programme!G15355,Programme!H15355,Programme!I15355,Programme!J15355)</f>
        <v>&lt;cellule&gt;&lt;codeEdi&gt;1080&lt;/codeEdi&gt;&lt;/cellule&gt;</v>
      </c>
    </row>
    <row r="15355" spans="1:1" x14ac:dyDescent="0.2">
      <c r="A15355" s="996" t="str">
        <f>CONCATENATE(Programme!D15356,Programme!E15356,Programme!F15356,Programme!G15356,Programme!H15356,Programme!I15356,Programme!J15356)</f>
        <v>&lt;valeur&gt;&lt;/valeur&gt;</v>
      </c>
    </row>
    <row r="15356" spans="1:1" x14ac:dyDescent="0.2">
      <c r="A15356" s="996" t="str">
        <f>CONCATENATE(Programme!D15357,Programme!E15357,Programme!F15357,Programme!G15357,Programme!H15357,Programme!I15357,Programme!J15357)</f>
        <v>&lt;numeroLigne&gt;144&lt;/numeroLigne&gt;</v>
      </c>
    </row>
    <row r="15357" spans="1:1" x14ac:dyDescent="0.2">
      <c r="A15357" s="996" t="str">
        <f>CONCATENATE(Programme!D15358,Programme!E15358,Programme!F15358,Programme!G15358,Programme!H15358,Programme!I15358,Programme!J15358)</f>
        <v>&lt;/ValeurCellule&gt;</v>
      </c>
    </row>
    <row r="15358" spans="1:1" x14ac:dyDescent="0.2">
      <c r="A15358" s="996" t="str">
        <f>CONCATENATE(Programme!D15359,Programme!E15359,Programme!F15359,Programme!G15359,Programme!H15359,Programme!I15359,Programme!J15359)</f>
        <v>&lt;ValeurCellule&gt;</v>
      </c>
    </row>
    <row r="15359" spans="1:1" x14ac:dyDescent="0.2">
      <c r="A15359" s="996" t="str">
        <f>CONCATENATE(Programme!D15360,Programme!E15360,Programme!F15360,Programme!G15360,Programme!H15360,Programme!I15360,Programme!J15360)</f>
        <v>&lt;cellule&gt;&lt;codeEdi&gt;1081&lt;/codeEdi&gt;&lt;/cellule&gt;</v>
      </c>
    </row>
    <row r="15360" spans="1:1" x14ac:dyDescent="0.2">
      <c r="A15360" s="996" t="str">
        <f>CONCATENATE(Programme!D15361,Programme!E15361,Programme!F15361,Programme!G15361,Programme!H15361,Programme!I15361,Programme!J15361)</f>
        <v>&lt;valeur&gt;&lt;/valeur&gt;</v>
      </c>
    </row>
    <row r="15361" spans="1:1" x14ac:dyDescent="0.2">
      <c r="A15361" s="996" t="str">
        <f>CONCATENATE(Programme!D15362,Programme!E15362,Programme!F15362,Programme!G15362,Programme!H15362,Programme!I15362,Programme!J15362)</f>
        <v>&lt;numeroLigne&gt;144&lt;/numeroLigne&gt;</v>
      </c>
    </row>
    <row r="15362" spans="1:1" x14ac:dyDescent="0.2">
      <c r="A15362" s="996" t="str">
        <f>CONCATENATE(Programme!D15363,Programme!E15363,Programme!F15363,Programme!G15363,Programme!H15363,Programme!I15363,Programme!J15363)</f>
        <v>&lt;/ValeurCellule&gt;</v>
      </c>
    </row>
    <row r="15363" spans="1:1" x14ac:dyDescent="0.2">
      <c r="A15363" s="996" t="str">
        <f>CONCATENATE(Programme!D15364,Programme!E15364,Programme!F15364,Programme!G15364,Programme!H15364,Programme!I15364,Programme!J15364)</f>
        <v>&lt;ValeurCellule&gt;</v>
      </c>
    </row>
    <row r="15364" spans="1:1" x14ac:dyDescent="0.2">
      <c r="A15364" s="996" t="str">
        <f>CONCATENATE(Programme!D15365,Programme!E15365,Programme!F15365,Programme!G15365,Programme!H15365,Programme!I15365,Programme!J15365)</f>
        <v>&lt;cellule&gt;&lt;codeEdi&gt;1082&lt;/codeEdi&gt;&lt;/cellule&gt;</v>
      </c>
    </row>
    <row r="15365" spans="1:1" x14ac:dyDescent="0.2">
      <c r="A15365" s="996" t="str">
        <f>CONCATENATE(Programme!D15366,Programme!E15366,Programme!F15366,Programme!G15366,Programme!H15366,Programme!I15366,Programme!J15366)</f>
        <v>&lt;valeur&gt;&lt;/valeur&gt;</v>
      </c>
    </row>
    <row r="15366" spans="1:1" x14ac:dyDescent="0.2">
      <c r="A15366" s="996" t="str">
        <f>CONCATENATE(Programme!D15367,Programme!E15367,Programme!F15367,Programme!G15367,Programme!H15367,Programme!I15367,Programme!J15367)</f>
        <v>&lt;numeroLigne&gt;144&lt;/numeroLigne&gt;</v>
      </c>
    </row>
    <row r="15367" spans="1:1" x14ac:dyDescent="0.2">
      <c r="A15367" s="996" t="str">
        <f>CONCATENATE(Programme!D15368,Programme!E15368,Programme!F15368,Programme!G15368,Programme!H15368,Programme!I15368,Programme!J15368)</f>
        <v>&lt;/ValeurCellule&gt;</v>
      </c>
    </row>
    <row r="15368" spans="1:1" x14ac:dyDescent="0.2">
      <c r="A15368" s="996" t="str">
        <f>CONCATENATE(Programme!D15369,Programme!E15369,Programme!F15369,Programme!G15369,Programme!H15369,Programme!I15369,Programme!J15369)</f>
        <v>&lt;ValeurCellule&gt;</v>
      </c>
    </row>
    <row r="15369" spans="1:1" x14ac:dyDescent="0.2">
      <c r="A15369" s="996" t="str">
        <f>CONCATENATE(Programme!D15370,Programme!E15370,Programme!F15370,Programme!G15370,Programme!H15370,Programme!I15370,Programme!J15370)</f>
        <v>&lt;cellule&gt;&lt;codeEdi&gt;1083&lt;/codeEdi&gt;&lt;/cellule&gt;</v>
      </c>
    </row>
    <row r="15370" spans="1:1" x14ac:dyDescent="0.2">
      <c r="A15370" s="996" t="str">
        <f>CONCATENATE(Programme!D15371,Programme!E15371,Programme!F15371,Programme!G15371,Programme!H15371,Programme!I15371,Programme!J15371)</f>
        <v>&lt;valeur&gt;&lt;/valeur&gt;</v>
      </c>
    </row>
    <row r="15371" spans="1:1" x14ac:dyDescent="0.2">
      <c r="A15371" s="996" t="str">
        <f>CONCATENATE(Programme!D15372,Programme!E15372,Programme!F15372,Programme!G15372,Programme!H15372,Programme!I15372,Programme!J15372)</f>
        <v>&lt;numeroLigne&gt;144&lt;/numeroLigne&gt;</v>
      </c>
    </row>
    <row r="15372" spans="1:1" x14ac:dyDescent="0.2">
      <c r="A15372" s="996" t="str">
        <f>CONCATENATE(Programme!D15373,Programme!E15373,Programme!F15373,Programme!G15373,Programme!H15373,Programme!I15373,Programme!J15373)</f>
        <v>&lt;/ValeurCellule&gt;</v>
      </c>
    </row>
    <row r="15373" spans="1:1" x14ac:dyDescent="0.2">
      <c r="A15373" s="996" t="str">
        <f>CONCATENATE(Programme!D15374,Programme!E15374,Programme!F15374,Programme!G15374,Programme!H15374,Programme!I15374,Programme!J15374)</f>
        <v>&lt;ValeurCellule&gt;</v>
      </c>
    </row>
    <row r="15374" spans="1:1" x14ac:dyDescent="0.2">
      <c r="A15374" s="996" t="str">
        <f>CONCATENATE(Programme!D15375,Programme!E15375,Programme!F15375,Programme!G15375,Programme!H15375,Programme!I15375,Programme!J15375)</f>
        <v>&lt;cellule&gt;&lt;codeEdi&gt;1084&lt;/codeEdi&gt;&lt;/cellule&gt;</v>
      </c>
    </row>
    <row r="15375" spans="1:1" x14ac:dyDescent="0.2">
      <c r="A15375" s="996" t="str">
        <f>CONCATENATE(Programme!D15376,Programme!E15376,Programme!F15376,Programme!G15376,Programme!H15376,Programme!I15376,Programme!J15376)</f>
        <v>&lt;valeur&gt;&lt;/valeur&gt;</v>
      </c>
    </row>
    <row r="15376" spans="1:1" x14ac:dyDescent="0.2">
      <c r="A15376" s="996" t="str">
        <f>CONCATENATE(Programme!D15377,Programme!E15377,Programme!F15377,Programme!G15377,Programme!H15377,Programme!I15377,Programme!J15377)</f>
        <v>&lt;numeroLigne&gt;144&lt;/numeroLigne&gt;</v>
      </c>
    </row>
    <row r="15377" spans="1:1" x14ac:dyDescent="0.2">
      <c r="A15377" s="996" t="str">
        <f>CONCATENATE(Programme!D15378,Programme!E15378,Programme!F15378,Programme!G15378,Programme!H15378,Programme!I15378,Programme!J15378)</f>
        <v>&lt;/ValeurCellule&gt;</v>
      </c>
    </row>
    <row r="15378" spans="1:1" x14ac:dyDescent="0.2">
      <c r="A15378" s="996" t="str">
        <f>CONCATENATE(Programme!D15379,Programme!E15379,Programme!F15379,Programme!G15379,Programme!H15379,Programme!I15379,Programme!J15379)</f>
        <v>&lt;ValeurCellule&gt;</v>
      </c>
    </row>
    <row r="15379" spans="1:1" x14ac:dyDescent="0.2">
      <c r="A15379" s="996" t="str">
        <f>CONCATENATE(Programme!D15380,Programme!E15380,Programme!F15380,Programme!G15380,Programme!H15380,Programme!I15380,Programme!J15380)</f>
        <v>&lt;cellule&gt;&lt;codeEdi&gt;1085&lt;/codeEdi&gt;&lt;/cellule&gt;</v>
      </c>
    </row>
    <row r="15380" spans="1:1" x14ac:dyDescent="0.2">
      <c r="A15380" s="996" t="str">
        <f>CONCATENATE(Programme!D15381,Programme!E15381,Programme!F15381,Programme!G15381,Programme!H15381,Programme!I15381,Programme!J15381)</f>
        <v>&lt;valeur&gt;&lt;/valeur&gt;</v>
      </c>
    </row>
    <row r="15381" spans="1:1" x14ac:dyDescent="0.2">
      <c r="A15381" s="996" t="str">
        <f>CONCATENATE(Programme!D15382,Programme!E15382,Programme!F15382,Programme!G15382,Programme!H15382,Programme!I15382,Programme!J15382)</f>
        <v>&lt;numeroLigne&gt;144&lt;/numeroLigne&gt;</v>
      </c>
    </row>
    <row r="15382" spans="1:1" x14ac:dyDescent="0.2">
      <c r="A15382" s="996" t="str">
        <f>CONCATENATE(Programme!D15383,Programme!E15383,Programme!F15383,Programme!G15383,Programme!H15383,Programme!I15383,Programme!J15383)</f>
        <v>&lt;/ValeurCellule&gt;</v>
      </c>
    </row>
    <row r="15383" spans="1:1" x14ac:dyDescent="0.2">
      <c r="A15383" s="996" t="str">
        <f>CONCATENATE(Programme!D15384,Programme!E15384,Programme!F15384,Programme!G15384,Programme!H15384,Programme!I15384,Programme!J15384)</f>
        <v>&lt;ValeurCellule&gt;</v>
      </c>
    </row>
    <row r="15384" spans="1:1" x14ac:dyDescent="0.2">
      <c r="A15384" s="996" t="str">
        <f>CONCATENATE(Programme!D15385,Programme!E15385,Programme!F15385,Programme!G15385,Programme!H15385,Programme!I15385,Programme!J15385)</f>
        <v>&lt;cellule&gt;&lt;codeEdi&gt;1086&lt;/codeEdi&gt;&lt;/cellule&gt;</v>
      </c>
    </row>
    <row r="15385" spans="1:1" x14ac:dyDescent="0.2">
      <c r="A15385" s="996" t="str">
        <f>CONCATENATE(Programme!D15386,Programme!E15386,Programme!F15386,Programme!G15386,Programme!H15386,Programme!I15386,Programme!J15386)</f>
        <v>&lt;valeur&gt;&lt;/valeur&gt;</v>
      </c>
    </row>
    <row r="15386" spans="1:1" x14ac:dyDescent="0.2">
      <c r="A15386" s="996" t="str">
        <f>CONCATENATE(Programme!D15387,Programme!E15387,Programme!F15387,Programme!G15387,Programme!H15387,Programme!I15387,Programme!J15387)</f>
        <v>&lt;numeroLigne&gt;144&lt;/numeroLigne&gt;</v>
      </c>
    </row>
    <row r="15387" spans="1:1" x14ac:dyDescent="0.2">
      <c r="A15387" s="996" t="str">
        <f>CONCATENATE(Programme!D15388,Programme!E15388,Programme!F15388,Programme!G15388,Programme!H15388,Programme!I15388,Programme!J15388)</f>
        <v>&lt;/ValeurCellule&gt;</v>
      </c>
    </row>
    <row r="15388" spans="1:1" x14ac:dyDescent="0.2">
      <c r="A15388" s="996" t="str">
        <f>CONCATENATE(Programme!D15389,Programme!E15389,Programme!F15389,Programme!G15389,Programme!H15389,Programme!I15389,Programme!J15389)</f>
        <v>&lt;ValeurCellule&gt;</v>
      </c>
    </row>
    <row r="15389" spans="1:1" x14ac:dyDescent="0.2">
      <c r="A15389" s="996" t="str">
        <f>CONCATENATE(Programme!D15390,Programme!E15390,Programme!F15390,Programme!G15390,Programme!H15390,Programme!I15390,Programme!J15390)</f>
        <v>&lt;cellule&gt;&lt;codeEdi&gt;10061&lt;/codeEdi&gt;&lt;/cellule&gt;</v>
      </c>
    </row>
    <row r="15390" spans="1:1" x14ac:dyDescent="0.2">
      <c r="A15390" s="996" t="str">
        <f>CONCATENATE(Programme!D15391,Programme!E15391,Programme!F15391,Programme!G15391,Programme!H15391,Programme!I15391,Programme!J15391)</f>
        <v>&lt;valeur&gt;&lt;/valeur&gt;</v>
      </c>
    </row>
    <row r="15391" spans="1:1" x14ac:dyDescent="0.2">
      <c r="A15391" s="996" t="str">
        <f>CONCATENATE(Programme!D15392,Programme!E15392,Programme!F15392,Programme!G15392,Programme!H15392,Programme!I15392,Programme!J15392)</f>
        <v>&lt;numeroLigne&gt;145&lt;/numeroLigne&gt;</v>
      </c>
    </row>
    <row r="15392" spans="1:1" x14ac:dyDescent="0.2">
      <c r="A15392" s="996" t="str">
        <f>CONCATENATE(Programme!D15393,Programme!E15393,Programme!F15393,Programme!G15393,Programme!H15393,Programme!I15393,Programme!J15393)</f>
        <v>&lt;/ValeurCellule&gt;</v>
      </c>
    </row>
    <row r="15393" spans="1:1" x14ac:dyDescent="0.2">
      <c r="A15393" s="996" t="str">
        <f>CONCATENATE(Programme!D15394,Programme!E15394,Programme!F15394,Programme!G15394,Programme!H15394,Programme!I15394,Programme!J15394)</f>
        <v>&lt;ValeurCellule&gt;</v>
      </c>
    </row>
    <row r="15394" spans="1:1" x14ac:dyDescent="0.2">
      <c r="A15394" s="996" t="str">
        <f>CONCATENATE(Programme!D15395,Programme!E15395,Programme!F15395,Programme!G15395,Programme!H15395,Programme!I15395,Programme!J15395)</f>
        <v>&lt;cellule&gt;&lt;codeEdi&gt;1078&lt;/codeEdi&gt;&lt;/cellule&gt;</v>
      </c>
    </row>
    <row r="15395" spans="1:1" x14ac:dyDescent="0.2">
      <c r="A15395" s="996" t="str">
        <f>CONCATENATE(Programme!D15396,Programme!E15396,Programme!F15396,Programme!G15396,Programme!H15396,Programme!I15396,Programme!J15396)</f>
        <v>&lt;valeur&gt;&lt;/valeur&gt;</v>
      </c>
    </row>
    <row r="15396" spans="1:1" x14ac:dyDescent="0.2">
      <c r="A15396" s="996" t="str">
        <f>CONCATENATE(Programme!D15397,Programme!E15397,Programme!F15397,Programme!G15397,Programme!H15397,Programme!I15397,Programme!J15397)</f>
        <v>&lt;numeroLigne&gt;145&lt;/numeroLigne&gt;</v>
      </c>
    </row>
    <row r="15397" spans="1:1" x14ac:dyDescent="0.2">
      <c r="A15397" s="996" t="str">
        <f>CONCATENATE(Programme!D15398,Programme!E15398,Programme!F15398,Programme!G15398,Programme!H15398,Programme!I15398,Programme!J15398)</f>
        <v>&lt;/ValeurCellule&gt;</v>
      </c>
    </row>
    <row r="15398" spans="1:1" x14ac:dyDescent="0.2">
      <c r="A15398" s="996" t="str">
        <f>CONCATENATE(Programme!D15399,Programme!E15399,Programme!F15399,Programme!G15399,Programme!H15399,Programme!I15399,Programme!J15399)</f>
        <v>&lt;ValeurCellule&gt;</v>
      </c>
    </row>
    <row r="15399" spans="1:1" x14ac:dyDescent="0.2">
      <c r="A15399" s="996" t="str">
        <f>CONCATENATE(Programme!D15400,Programme!E15400,Programme!F15400,Programme!G15400,Programme!H15400,Programme!I15400,Programme!J15400)</f>
        <v>&lt;cellule&gt;&lt;codeEdi&gt;1079&lt;/codeEdi&gt;&lt;/cellule&gt;</v>
      </c>
    </row>
    <row r="15400" spans="1:1" x14ac:dyDescent="0.2">
      <c r="A15400" s="996" t="str">
        <f>CONCATENATE(Programme!D15401,Programme!E15401,Programme!F15401,Programme!G15401,Programme!H15401,Programme!I15401,Programme!J15401)</f>
        <v>&lt;valeur&gt;&lt;/valeur&gt;</v>
      </c>
    </row>
    <row r="15401" spans="1:1" x14ac:dyDescent="0.2">
      <c r="A15401" s="996" t="str">
        <f>CONCATENATE(Programme!D15402,Programme!E15402,Programme!F15402,Programme!G15402,Programme!H15402,Programme!I15402,Programme!J15402)</f>
        <v>&lt;numeroLigne&gt;145&lt;/numeroLigne&gt;</v>
      </c>
    </row>
    <row r="15402" spans="1:1" x14ac:dyDescent="0.2">
      <c r="A15402" s="996" t="str">
        <f>CONCATENATE(Programme!D15403,Programme!E15403,Programme!F15403,Programme!G15403,Programme!H15403,Programme!I15403,Programme!J15403)</f>
        <v>&lt;/ValeurCellule&gt;</v>
      </c>
    </row>
    <row r="15403" spans="1:1" x14ac:dyDescent="0.2">
      <c r="A15403" s="996" t="str">
        <f>CONCATENATE(Programme!D15404,Programme!E15404,Programme!F15404,Programme!G15404,Programme!H15404,Programme!I15404,Programme!J15404)</f>
        <v>&lt;ValeurCellule&gt;</v>
      </c>
    </row>
    <row r="15404" spans="1:1" x14ac:dyDescent="0.2">
      <c r="A15404" s="996" t="str">
        <f>CONCATENATE(Programme!D15405,Programme!E15405,Programme!F15405,Programme!G15405,Programme!H15405,Programme!I15405,Programme!J15405)</f>
        <v>&lt;cellule&gt;&lt;codeEdi&gt;1080&lt;/codeEdi&gt;&lt;/cellule&gt;</v>
      </c>
    </row>
    <row r="15405" spans="1:1" x14ac:dyDescent="0.2">
      <c r="A15405" s="996" t="str">
        <f>CONCATENATE(Programme!D15406,Programme!E15406,Programme!F15406,Programme!G15406,Programme!H15406,Programme!I15406,Programme!J15406)</f>
        <v>&lt;valeur&gt;&lt;/valeur&gt;</v>
      </c>
    </row>
    <row r="15406" spans="1:1" x14ac:dyDescent="0.2">
      <c r="A15406" s="996" t="str">
        <f>CONCATENATE(Programme!D15407,Programme!E15407,Programme!F15407,Programme!G15407,Programme!H15407,Programme!I15407,Programme!J15407)</f>
        <v>&lt;numeroLigne&gt;145&lt;/numeroLigne&gt;</v>
      </c>
    </row>
    <row r="15407" spans="1:1" x14ac:dyDescent="0.2">
      <c r="A15407" s="996" t="str">
        <f>CONCATENATE(Programme!D15408,Programme!E15408,Programme!F15408,Programme!G15408,Programme!H15408,Programme!I15408,Programme!J15408)</f>
        <v>&lt;/ValeurCellule&gt;</v>
      </c>
    </row>
    <row r="15408" spans="1:1" x14ac:dyDescent="0.2">
      <c r="A15408" s="996" t="str">
        <f>CONCATENATE(Programme!D15409,Programme!E15409,Programme!F15409,Programme!G15409,Programme!H15409,Programme!I15409,Programme!J15409)</f>
        <v>&lt;ValeurCellule&gt;</v>
      </c>
    </row>
    <row r="15409" spans="1:1" x14ac:dyDescent="0.2">
      <c r="A15409" s="996" t="str">
        <f>CONCATENATE(Programme!D15410,Programme!E15410,Programme!F15410,Programme!G15410,Programme!H15410,Programme!I15410,Programme!J15410)</f>
        <v>&lt;cellule&gt;&lt;codeEdi&gt;1081&lt;/codeEdi&gt;&lt;/cellule&gt;</v>
      </c>
    </row>
    <row r="15410" spans="1:1" x14ac:dyDescent="0.2">
      <c r="A15410" s="996" t="str">
        <f>CONCATENATE(Programme!D15411,Programme!E15411,Programme!F15411,Programme!G15411,Programme!H15411,Programme!I15411,Programme!J15411)</f>
        <v>&lt;valeur&gt;&lt;/valeur&gt;</v>
      </c>
    </row>
    <row r="15411" spans="1:1" x14ac:dyDescent="0.2">
      <c r="A15411" s="996" t="str">
        <f>CONCATENATE(Programme!D15412,Programme!E15412,Programme!F15412,Programme!G15412,Programme!H15412,Programme!I15412,Programme!J15412)</f>
        <v>&lt;numeroLigne&gt;145&lt;/numeroLigne&gt;</v>
      </c>
    </row>
    <row r="15412" spans="1:1" x14ac:dyDescent="0.2">
      <c r="A15412" s="996" t="str">
        <f>CONCATENATE(Programme!D15413,Programme!E15413,Programme!F15413,Programme!G15413,Programme!H15413,Programme!I15413,Programme!J15413)</f>
        <v>&lt;/ValeurCellule&gt;</v>
      </c>
    </row>
    <row r="15413" spans="1:1" x14ac:dyDescent="0.2">
      <c r="A15413" s="996" t="str">
        <f>CONCATENATE(Programme!D15414,Programme!E15414,Programme!F15414,Programme!G15414,Programme!H15414,Programme!I15414,Programme!J15414)</f>
        <v>&lt;ValeurCellule&gt;</v>
      </c>
    </row>
    <row r="15414" spans="1:1" x14ac:dyDescent="0.2">
      <c r="A15414" s="996" t="str">
        <f>CONCATENATE(Programme!D15415,Programme!E15415,Programme!F15415,Programme!G15415,Programme!H15415,Programme!I15415,Programme!J15415)</f>
        <v>&lt;cellule&gt;&lt;codeEdi&gt;1082&lt;/codeEdi&gt;&lt;/cellule&gt;</v>
      </c>
    </row>
    <row r="15415" spans="1:1" x14ac:dyDescent="0.2">
      <c r="A15415" s="996" t="str">
        <f>CONCATENATE(Programme!D15416,Programme!E15416,Programme!F15416,Programme!G15416,Programme!H15416,Programme!I15416,Programme!J15416)</f>
        <v>&lt;valeur&gt;&lt;/valeur&gt;</v>
      </c>
    </row>
    <row r="15416" spans="1:1" x14ac:dyDescent="0.2">
      <c r="A15416" s="996" t="str">
        <f>CONCATENATE(Programme!D15417,Programme!E15417,Programme!F15417,Programme!G15417,Programme!H15417,Programme!I15417,Programme!J15417)</f>
        <v>&lt;numeroLigne&gt;145&lt;/numeroLigne&gt;</v>
      </c>
    </row>
    <row r="15417" spans="1:1" x14ac:dyDescent="0.2">
      <c r="A15417" s="996" t="str">
        <f>CONCATENATE(Programme!D15418,Programme!E15418,Programme!F15418,Programme!G15418,Programme!H15418,Programme!I15418,Programme!J15418)</f>
        <v>&lt;/ValeurCellule&gt;</v>
      </c>
    </row>
    <row r="15418" spans="1:1" x14ac:dyDescent="0.2">
      <c r="A15418" s="996" t="str">
        <f>CONCATENATE(Programme!D15419,Programme!E15419,Programme!F15419,Programme!G15419,Programme!H15419,Programme!I15419,Programme!J15419)</f>
        <v>&lt;ValeurCellule&gt;</v>
      </c>
    </row>
    <row r="15419" spans="1:1" x14ac:dyDescent="0.2">
      <c r="A15419" s="996" t="str">
        <f>CONCATENATE(Programme!D15420,Programme!E15420,Programme!F15420,Programme!G15420,Programme!H15420,Programme!I15420,Programme!J15420)</f>
        <v>&lt;cellule&gt;&lt;codeEdi&gt;1083&lt;/codeEdi&gt;&lt;/cellule&gt;</v>
      </c>
    </row>
    <row r="15420" spans="1:1" x14ac:dyDescent="0.2">
      <c r="A15420" s="996" t="str">
        <f>CONCATENATE(Programme!D15421,Programme!E15421,Programme!F15421,Programme!G15421,Programme!H15421,Programme!I15421,Programme!J15421)</f>
        <v>&lt;valeur&gt;&lt;/valeur&gt;</v>
      </c>
    </row>
    <row r="15421" spans="1:1" x14ac:dyDescent="0.2">
      <c r="A15421" s="996" t="str">
        <f>CONCATENATE(Programme!D15422,Programme!E15422,Programme!F15422,Programme!G15422,Programme!H15422,Programme!I15422,Programme!J15422)</f>
        <v>&lt;numeroLigne&gt;145&lt;/numeroLigne&gt;</v>
      </c>
    </row>
    <row r="15422" spans="1:1" x14ac:dyDescent="0.2">
      <c r="A15422" s="996" t="str">
        <f>CONCATENATE(Programme!D15423,Programme!E15423,Programme!F15423,Programme!G15423,Programme!H15423,Programme!I15423,Programme!J15423)</f>
        <v>&lt;/ValeurCellule&gt;</v>
      </c>
    </row>
    <row r="15423" spans="1:1" x14ac:dyDescent="0.2">
      <c r="A15423" s="996" t="str">
        <f>CONCATENATE(Programme!D15424,Programme!E15424,Programme!F15424,Programme!G15424,Programme!H15424,Programme!I15424,Programme!J15424)</f>
        <v>&lt;ValeurCellule&gt;</v>
      </c>
    </row>
    <row r="15424" spans="1:1" x14ac:dyDescent="0.2">
      <c r="A15424" s="996" t="str">
        <f>CONCATENATE(Programme!D15425,Programme!E15425,Programme!F15425,Programme!G15425,Programme!H15425,Programme!I15425,Programme!J15425)</f>
        <v>&lt;cellule&gt;&lt;codeEdi&gt;1084&lt;/codeEdi&gt;&lt;/cellule&gt;</v>
      </c>
    </row>
    <row r="15425" spans="1:1" x14ac:dyDescent="0.2">
      <c r="A15425" s="996" t="str">
        <f>CONCATENATE(Programme!D15426,Programme!E15426,Programme!F15426,Programme!G15426,Programme!H15426,Programme!I15426,Programme!J15426)</f>
        <v>&lt;valeur&gt;&lt;/valeur&gt;</v>
      </c>
    </row>
    <row r="15426" spans="1:1" x14ac:dyDescent="0.2">
      <c r="A15426" s="996" t="str">
        <f>CONCATENATE(Programme!D15427,Programme!E15427,Programme!F15427,Programme!G15427,Programme!H15427,Programme!I15427,Programme!J15427)</f>
        <v>&lt;numeroLigne&gt;145&lt;/numeroLigne&gt;</v>
      </c>
    </row>
    <row r="15427" spans="1:1" x14ac:dyDescent="0.2">
      <c r="A15427" s="996" t="str">
        <f>CONCATENATE(Programme!D15428,Programme!E15428,Programme!F15428,Programme!G15428,Programme!H15428,Programme!I15428,Programme!J15428)</f>
        <v>&lt;/ValeurCellule&gt;</v>
      </c>
    </row>
    <row r="15428" spans="1:1" x14ac:dyDescent="0.2">
      <c r="A15428" s="996" t="str">
        <f>CONCATENATE(Programme!D15429,Programme!E15429,Programme!F15429,Programme!G15429,Programme!H15429,Programme!I15429,Programme!J15429)</f>
        <v>&lt;ValeurCellule&gt;</v>
      </c>
    </row>
    <row r="15429" spans="1:1" x14ac:dyDescent="0.2">
      <c r="A15429" s="996" t="str">
        <f>CONCATENATE(Programme!D15430,Programme!E15430,Programme!F15430,Programme!G15430,Programme!H15430,Programme!I15430,Programme!J15430)</f>
        <v>&lt;cellule&gt;&lt;codeEdi&gt;1085&lt;/codeEdi&gt;&lt;/cellule&gt;</v>
      </c>
    </row>
    <row r="15430" spans="1:1" x14ac:dyDescent="0.2">
      <c r="A15430" s="996" t="str">
        <f>CONCATENATE(Programme!D15431,Programme!E15431,Programme!F15431,Programme!G15431,Programme!H15431,Programme!I15431,Programme!J15431)</f>
        <v>&lt;valeur&gt;&lt;/valeur&gt;</v>
      </c>
    </row>
    <row r="15431" spans="1:1" x14ac:dyDescent="0.2">
      <c r="A15431" s="996" t="str">
        <f>CONCATENATE(Programme!D15432,Programme!E15432,Programme!F15432,Programme!G15432,Programme!H15432,Programme!I15432,Programme!J15432)</f>
        <v>&lt;numeroLigne&gt;145&lt;/numeroLigne&gt;</v>
      </c>
    </row>
    <row r="15432" spans="1:1" x14ac:dyDescent="0.2">
      <c r="A15432" s="996" t="str">
        <f>CONCATENATE(Programme!D15433,Programme!E15433,Programme!F15433,Programme!G15433,Programme!H15433,Programme!I15433,Programme!J15433)</f>
        <v>&lt;/ValeurCellule&gt;</v>
      </c>
    </row>
    <row r="15433" spans="1:1" x14ac:dyDescent="0.2">
      <c r="A15433" s="996" t="str">
        <f>CONCATENATE(Programme!D15434,Programme!E15434,Programme!F15434,Programme!G15434,Programme!H15434,Programme!I15434,Programme!J15434)</f>
        <v>&lt;ValeurCellule&gt;</v>
      </c>
    </row>
    <row r="15434" spans="1:1" x14ac:dyDescent="0.2">
      <c r="A15434" s="996" t="str">
        <f>CONCATENATE(Programme!D15435,Programme!E15435,Programme!F15435,Programme!G15435,Programme!H15435,Programme!I15435,Programme!J15435)</f>
        <v>&lt;cellule&gt;&lt;codeEdi&gt;1086&lt;/codeEdi&gt;&lt;/cellule&gt;</v>
      </c>
    </row>
    <row r="15435" spans="1:1" x14ac:dyDescent="0.2">
      <c r="A15435" s="996" t="str">
        <f>CONCATENATE(Programme!D15436,Programme!E15436,Programme!F15436,Programme!G15436,Programme!H15436,Programme!I15436,Programme!J15436)</f>
        <v>&lt;valeur&gt;&lt;/valeur&gt;</v>
      </c>
    </row>
    <row r="15436" spans="1:1" x14ac:dyDescent="0.2">
      <c r="A15436" s="996" t="str">
        <f>CONCATENATE(Programme!D15437,Programme!E15437,Programme!F15437,Programme!G15437,Programme!H15437,Programme!I15437,Programme!J15437)</f>
        <v>&lt;numeroLigne&gt;145&lt;/numeroLigne&gt;</v>
      </c>
    </row>
    <row r="15437" spans="1:1" x14ac:dyDescent="0.2">
      <c r="A15437" s="996" t="str">
        <f>CONCATENATE(Programme!D15438,Programme!E15438,Programme!F15438,Programme!G15438,Programme!H15438,Programme!I15438,Programme!J15438)</f>
        <v>&lt;/ValeurCellule&gt;</v>
      </c>
    </row>
    <row r="15438" spans="1:1" x14ac:dyDescent="0.2">
      <c r="A15438" s="996" t="str">
        <f>CONCATENATE(Programme!D15439,Programme!E15439,Programme!F15439,Programme!G15439,Programme!H15439,Programme!I15439,Programme!J15439)</f>
        <v>&lt;ValeurCellule&gt;</v>
      </c>
    </row>
    <row r="15439" spans="1:1" x14ac:dyDescent="0.2">
      <c r="A15439" s="996" t="str">
        <f>CONCATENATE(Programme!D15440,Programme!E15440,Programme!F15440,Programme!G15440,Programme!H15440,Programme!I15440,Programme!J15440)</f>
        <v>&lt;cellule&gt;&lt;codeEdi&gt;10061&lt;/codeEdi&gt;&lt;/cellule&gt;</v>
      </c>
    </row>
    <row r="15440" spans="1:1" x14ac:dyDescent="0.2">
      <c r="A15440" s="996" t="str">
        <f>CONCATENATE(Programme!D15441,Programme!E15441,Programme!F15441,Programme!G15441,Programme!H15441,Programme!I15441,Programme!J15441)</f>
        <v>&lt;valeur&gt;&lt;/valeur&gt;</v>
      </c>
    </row>
    <row r="15441" spans="1:1" x14ac:dyDescent="0.2">
      <c r="A15441" s="996" t="str">
        <f>CONCATENATE(Programme!D15442,Programme!E15442,Programme!F15442,Programme!G15442,Programme!H15442,Programme!I15442,Programme!J15442)</f>
        <v>&lt;numeroLigne&gt;146&lt;/numeroLigne&gt;</v>
      </c>
    </row>
    <row r="15442" spans="1:1" x14ac:dyDescent="0.2">
      <c r="A15442" s="996" t="str">
        <f>CONCATENATE(Programme!D15443,Programme!E15443,Programme!F15443,Programme!G15443,Programme!H15443,Programme!I15443,Programme!J15443)</f>
        <v>&lt;/ValeurCellule&gt;</v>
      </c>
    </row>
    <row r="15443" spans="1:1" x14ac:dyDescent="0.2">
      <c r="A15443" s="996" t="str">
        <f>CONCATENATE(Programme!D15444,Programme!E15444,Programme!F15444,Programme!G15444,Programme!H15444,Programme!I15444,Programme!J15444)</f>
        <v>&lt;ValeurCellule&gt;</v>
      </c>
    </row>
    <row r="15444" spans="1:1" x14ac:dyDescent="0.2">
      <c r="A15444" s="996" t="str">
        <f>CONCATENATE(Programme!D15445,Programme!E15445,Programme!F15445,Programme!G15445,Programme!H15445,Programme!I15445,Programme!J15445)</f>
        <v>&lt;cellule&gt;&lt;codeEdi&gt;1078&lt;/codeEdi&gt;&lt;/cellule&gt;</v>
      </c>
    </row>
    <row r="15445" spans="1:1" x14ac:dyDescent="0.2">
      <c r="A15445" s="996" t="str">
        <f>CONCATENATE(Programme!D15446,Programme!E15446,Programme!F15446,Programme!G15446,Programme!H15446,Programme!I15446,Programme!J15446)</f>
        <v>&lt;valeur&gt;&lt;/valeur&gt;</v>
      </c>
    </row>
    <row r="15446" spans="1:1" x14ac:dyDescent="0.2">
      <c r="A15446" s="996" t="str">
        <f>CONCATENATE(Programme!D15447,Programme!E15447,Programme!F15447,Programme!G15447,Programme!H15447,Programme!I15447,Programme!J15447)</f>
        <v>&lt;numeroLigne&gt;146&lt;/numeroLigne&gt;</v>
      </c>
    </row>
    <row r="15447" spans="1:1" x14ac:dyDescent="0.2">
      <c r="A15447" s="996" t="str">
        <f>CONCATENATE(Programme!D15448,Programme!E15448,Programme!F15448,Programme!G15448,Programme!H15448,Programme!I15448,Programme!J15448)</f>
        <v>&lt;/ValeurCellule&gt;</v>
      </c>
    </row>
    <row r="15448" spans="1:1" x14ac:dyDescent="0.2">
      <c r="A15448" s="996" t="str">
        <f>CONCATENATE(Programme!D15449,Programme!E15449,Programme!F15449,Programme!G15449,Programme!H15449,Programme!I15449,Programme!J15449)</f>
        <v>&lt;ValeurCellule&gt;</v>
      </c>
    </row>
    <row r="15449" spans="1:1" x14ac:dyDescent="0.2">
      <c r="A15449" s="996" t="str">
        <f>CONCATENATE(Programme!D15450,Programme!E15450,Programme!F15450,Programme!G15450,Programme!H15450,Programme!I15450,Programme!J15450)</f>
        <v>&lt;cellule&gt;&lt;codeEdi&gt;1079&lt;/codeEdi&gt;&lt;/cellule&gt;</v>
      </c>
    </row>
    <row r="15450" spans="1:1" x14ac:dyDescent="0.2">
      <c r="A15450" s="996" t="str">
        <f>CONCATENATE(Programme!D15451,Programme!E15451,Programme!F15451,Programme!G15451,Programme!H15451,Programme!I15451,Programme!J15451)</f>
        <v>&lt;valeur&gt;&lt;/valeur&gt;</v>
      </c>
    </row>
    <row r="15451" spans="1:1" x14ac:dyDescent="0.2">
      <c r="A15451" s="996" t="str">
        <f>CONCATENATE(Programme!D15452,Programme!E15452,Programme!F15452,Programme!G15452,Programme!H15452,Programme!I15452,Programme!J15452)</f>
        <v>&lt;numeroLigne&gt;146&lt;/numeroLigne&gt;</v>
      </c>
    </row>
    <row r="15452" spans="1:1" x14ac:dyDescent="0.2">
      <c r="A15452" s="996" t="str">
        <f>CONCATENATE(Programme!D15453,Programme!E15453,Programme!F15453,Programme!G15453,Programme!H15453,Programme!I15453,Programme!J15453)</f>
        <v>&lt;/ValeurCellule&gt;</v>
      </c>
    </row>
    <row r="15453" spans="1:1" x14ac:dyDescent="0.2">
      <c r="A15453" s="996" t="str">
        <f>CONCATENATE(Programme!D15454,Programme!E15454,Programme!F15454,Programme!G15454,Programme!H15454,Programme!I15454,Programme!J15454)</f>
        <v>&lt;ValeurCellule&gt;</v>
      </c>
    </row>
    <row r="15454" spans="1:1" x14ac:dyDescent="0.2">
      <c r="A15454" s="996" t="str">
        <f>CONCATENATE(Programme!D15455,Programme!E15455,Programme!F15455,Programme!G15455,Programme!H15455,Programme!I15455,Programme!J15455)</f>
        <v>&lt;cellule&gt;&lt;codeEdi&gt;1080&lt;/codeEdi&gt;&lt;/cellule&gt;</v>
      </c>
    </row>
    <row r="15455" spans="1:1" x14ac:dyDescent="0.2">
      <c r="A15455" s="996" t="str">
        <f>CONCATENATE(Programme!D15456,Programme!E15456,Programme!F15456,Programme!G15456,Programme!H15456,Programme!I15456,Programme!J15456)</f>
        <v>&lt;valeur&gt;&lt;/valeur&gt;</v>
      </c>
    </row>
    <row r="15456" spans="1:1" x14ac:dyDescent="0.2">
      <c r="A15456" s="996" t="str">
        <f>CONCATENATE(Programme!D15457,Programme!E15457,Programme!F15457,Programme!G15457,Programme!H15457,Programme!I15457,Programme!J15457)</f>
        <v>&lt;numeroLigne&gt;146&lt;/numeroLigne&gt;</v>
      </c>
    </row>
    <row r="15457" spans="1:1" x14ac:dyDescent="0.2">
      <c r="A15457" s="996" t="str">
        <f>CONCATENATE(Programme!D15458,Programme!E15458,Programme!F15458,Programme!G15458,Programme!H15458,Programme!I15458,Programme!J15458)</f>
        <v>&lt;/ValeurCellule&gt;</v>
      </c>
    </row>
    <row r="15458" spans="1:1" x14ac:dyDescent="0.2">
      <c r="A15458" s="996" t="str">
        <f>CONCATENATE(Programme!D15459,Programme!E15459,Programme!F15459,Programme!G15459,Programme!H15459,Programme!I15459,Programme!J15459)</f>
        <v>&lt;ValeurCellule&gt;</v>
      </c>
    </row>
    <row r="15459" spans="1:1" x14ac:dyDescent="0.2">
      <c r="A15459" s="996" t="str">
        <f>CONCATENATE(Programme!D15460,Programme!E15460,Programme!F15460,Programme!G15460,Programme!H15460,Programme!I15460,Programme!J15460)</f>
        <v>&lt;cellule&gt;&lt;codeEdi&gt;1081&lt;/codeEdi&gt;&lt;/cellule&gt;</v>
      </c>
    </row>
    <row r="15460" spans="1:1" x14ac:dyDescent="0.2">
      <c r="A15460" s="996" t="str">
        <f>CONCATENATE(Programme!D15461,Programme!E15461,Programme!F15461,Programme!G15461,Programme!H15461,Programme!I15461,Programme!J15461)</f>
        <v>&lt;valeur&gt;&lt;/valeur&gt;</v>
      </c>
    </row>
    <row r="15461" spans="1:1" x14ac:dyDescent="0.2">
      <c r="A15461" s="996" t="str">
        <f>CONCATENATE(Programme!D15462,Programme!E15462,Programme!F15462,Programme!G15462,Programme!H15462,Programme!I15462,Programme!J15462)</f>
        <v>&lt;numeroLigne&gt;146&lt;/numeroLigne&gt;</v>
      </c>
    </row>
    <row r="15462" spans="1:1" x14ac:dyDescent="0.2">
      <c r="A15462" s="996" t="str">
        <f>CONCATENATE(Programme!D15463,Programme!E15463,Programme!F15463,Programme!G15463,Programme!H15463,Programme!I15463,Programme!J15463)</f>
        <v>&lt;/ValeurCellule&gt;</v>
      </c>
    </row>
    <row r="15463" spans="1:1" x14ac:dyDescent="0.2">
      <c r="A15463" s="996" t="str">
        <f>CONCATENATE(Programme!D15464,Programme!E15464,Programme!F15464,Programme!G15464,Programme!H15464,Programme!I15464,Programme!J15464)</f>
        <v>&lt;ValeurCellule&gt;</v>
      </c>
    </row>
    <row r="15464" spans="1:1" x14ac:dyDescent="0.2">
      <c r="A15464" s="996" t="str">
        <f>CONCATENATE(Programme!D15465,Programme!E15465,Programme!F15465,Programme!G15465,Programme!H15465,Programme!I15465,Programme!J15465)</f>
        <v>&lt;cellule&gt;&lt;codeEdi&gt;1082&lt;/codeEdi&gt;&lt;/cellule&gt;</v>
      </c>
    </row>
    <row r="15465" spans="1:1" x14ac:dyDescent="0.2">
      <c r="A15465" s="996" t="str">
        <f>CONCATENATE(Programme!D15466,Programme!E15466,Programme!F15466,Programme!G15466,Programme!H15466,Programme!I15466,Programme!J15466)</f>
        <v>&lt;valeur&gt;&lt;/valeur&gt;</v>
      </c>
    </row>
    <row r="15466" spans="1:1" x14ac:dyDescent="0.2">
      <c r="A15466" s="996" t="str">
        <f>CONCATENATE(Programme!D15467,Programme!E15467,Programme!F15467,Programme!G15467,Programme!H15467,Programme!I15467,Programme!J15467)</f>
        <v>&lt;numeroLigne&gt;146&lt;/numeroLigne&gt;</v>
      </c>
    </row>
    <row r="15467" spans="1:1" x14ac:dyDescent="0.2">
      <c r="A15467" s="996" t="str">
        <f>CONCATENATE(Programme!D15468,Programme!E15468,Programme!F15468,Programme!G15468,Programme!H15468,Programme!I15468,Programme!J15468)</f>
        <v>&lt;/ValeurCellule&gt;</v>
      </c>
    </row>
    <row r="15468" spans="1:1" x14ac:dyDescent="0.2">
      <c r="A15468" s="996" t="str">
        <f>CONCATENATE(Programme!D15469,Programme!E15469,Programme!F15469,Programme!G15469,Programme!H15469,Programme!I15469,Programme!J15469)</f>
        <v>&lt;ValeurCellule&gt;</v>
      </c>
    </row>
    <row r="15469" spans="1:1" x14ac:dyDescent="0.2">
      <c r="A15469" s="996" t="str">
        <f>CONCATENATE(Programme!D15470,Programme!E15470,Programme!F15470,Programme!G15470,Programme!H15470,Programme!I15470,Programme!J15470)</f>
        <v>&lt;cellule&gt;&lt;codeEdi&gt;1083&lt;/codeEdi&gt;&lt;/cellule&gt;</v>
      </c>
    </row>
    <row r="15470" spans="1:1" x14ac:dyDescent="0.2">
      <c r="A15470" s="996" t="str">
        <f>CONCATENATE(Programme!D15471,Programme!E15471,Programme!F15471,Programme!G15471,Programme!H15471,Programme!I15471,Programme!J15471)</f>
        <v>&lt;valeur&gt;&lt;/valeur&gt;</v>
      </c>
    </row>
    <row r="15471" spans="1:1" x14ac:dyDescent="0.2">
      <c r="A15471" s="996" t="str">
        <f>CONCATENATE(Programme!D15472,Programme!E15472,Programme!F15472,Programme!G15472,Programme!H15472,Programme!I15472,Programme!J15472)</f>
        <v>&lt;numeroLigne&gt;146&lt;/numeroLigne&gt;</v>
      </c>
    </row>
    <row r="15472" spans="1:1" x14ac:dyDescent="0.2">
      <c r="A15472" s="996" t="str">
        <f>CONCATENATE(Programme!D15473,Programme!E15473,Programme!F15473,Programme!G15473,Programme!H15473,Programme!I15473,Programme!J15473)</f>
        <v>&lt;/ValeurCellule&gt;</v>
      </c>
    </row>
    <row r="15473" spans="1:1" x14ac:dyDescent="0.2">
      <c r="A15473" s="996" t="str">
        <f>CONCATENATE(Programme!D15474,Programme!E15474,Programme!F15474,Programme!G15474,Programme!H15474,Programme!I15474,Programme!J15474)</f>
        <v>&lt;ValeurCellule&gt;</v>
      </c>
    </row>
    <row r="15474" spans="1:1" x14ac:dyDescent="0.2">
      <c r="A15474" s="996" t="str">
        <f>CONCATENATE(Programme!D15475,Programme!E15475,Programme!F15475,Programme!G15475,Programme!H15475,Programme!I15475,Programme!J15475)</f>
        <v>&lt;cellule&gt;&lt;codeEdi&gt;1084&lt;/codeEdi&gt;&lt;/cellule&gt;</v>
      </c>
    </row>
    <row r="15475" spans="1:1" x14ac:dyDescent="0.2">
      <c r="A15475" s="996" t="str">
        <f>CONCATENATE(Programme!D15476,Programme!E15476,Programme!F15476,Programme!G15476,Programme!H15476,Programme!I15476,Programme!J15476)</f>
        <v>&lt;valeur&gt;&lt;/valeur&gt;</v>
      </c>
    </row>
    <row r="15476" spans="1:1" x14ac:dyDescent="0.2">
      <c r="A15476" s="996" t="str">
        <f>CONCATENATE(Programme!D15477,Programme!E15477,Programme!F15477,Programme!G15477,Programme!H15477,Programme!I15477,Programme!J15477)</f>
        <v>&lt;numeroLigne&gt;146&lt;/numeroLigne&gt;</v>
      </c>
    </row>
    <row r="15477" spans="1:1" x14ac:dyDescent="0.2">
      <c r="A15477" s="996" t="str">
        <f>CONCATENATE(Programme!D15478,Programme!E15478,Programme!F15478,Programme!G15478,Programme!H15478,Programme!I15478,Programme!J15478)</f>
        <v>&lt;/ValeurCellule&gt;</v>
      </c>
    </row>
    <row r="15478" spans="1:1" x14ac:dyDescent="0.2">
      <c r="A15478" s="996" t="str">
        <f>CONCATENATE(Programme!D15479,Programme!E15479,Programme!F15479,Programme!G15479,Programme!H15479,Programme!I15479,Programme!J15479)</f>
        <v>&lt;ValeurCellule&gt;</v>
      </c>
    </row>
    <row r="15479" spans="1:1" x14ac:dyDescent="0.2">
      <c r="A15479" s="996" t="str">
        <f>CONCATENATE(Programme!D15480,Programme!E15480,Programme!F15480,Programme!G15480,Programme!H15480,Programme!I15480,Programme!J15480)</f>
        <v>&lt;cellule&gt;&lt;codeEdi&gt;1085&lt;/codeEdi&gt;&lt;/cellule&gt;</v>
      </c>
    </row>
    <row r="15480" spans="1:1" x14ac:dyDescent="0.2">
      <c r="A15480" s="996" t="str">
        <f>CONCATENATE(Programme!D15481,Programme!E15481,Programme!F15481,Programme!G15481,Programme!H15481,Programme!I15481,Programme!J15481)</f>
        <v>&lt;valeur&gt;&lt;/valeur&gt;</v>
      </c>
    </row>
    <row r="15481" spans="1:1" x14ac:dyDescent="0.2">
      <c r="A15481" s="996" t="str">
        <f>CONCATENATE(Programme!D15482,Programme!E15482,Programme!F15482,Programme!G15482,Programme!H15482,Programme!I15482,Programme!J15482)</f>
        <v>&lt;numeroLigne&gt;146&lt;/numeroLigne&gt;</v>
      </c>
    </row>
    <row r="15482" spans="1:1" x14ac:dyDescent="0.2">
      <c r="A15482" s="996" t="str">
        <f>CONCATENATE(Programme!D15483,Programme!E15483,Programme!F15483,Programme!G15483,Programme!H15483,Programme!I15483,Programme!J15483)</f>
        <v>&lt;/ValeurCellule&gt;</v>
      </c>
    </row>
    <row r="15483" spans="1:1" x14ac:dyDescent="0.2">
      <c r="A15483" s="996" t="str">
        <f>CONCATENATE(Programme!D15484,Programme!E15484,Programme!F15484,Programme!G15484,Programme!H15484,Programme!I15484,Programme!J15484)</f>
        <v>&lt;ValeurCellule&gt;</v>
      </c>
    </row>
    <row r="15484" spans="1:1" x14ac:dyDescent="0.2">
      <c r="A15484" s="996" t="str">
        <f>CONCATENATE(Programme!D15485,Programme!E15485,Programme!F15485,Programme!G15485,Programme!H15485,Programme!I15485,Programme!J15485)</f>
        <v>&lt;cellule&gt;&lt;codeEdi&gt;1086&lt;/codeEdi&gt;&lt;/cellule&gt;</v>
      </c>
    </row>
    <row r="15485" spans="1:1" x14ac:dyDescent="0.2">
      <c r="A15485" s="996" t="str">
        <f>CONCATENATE(Programme!D15486,Programme!E15486,Programme!F15486,Programme!G15486,Programme!H15486,Programme!I15486,Programme!J15486)</f>
        <v>&lt;valeur&gt;&lt;/valeur&gt;</v>
      </c>
    </row>
    <row r="15486" spans="1:1" x14ac:dyDescent="0.2">
      <c r="A15486" s="996" t="str">
        <f>CONCATENATE(Programme!D15487,Programme!E15487,Programme!F15487,Programme!G15487,Programme!H15487,Programme!I15487,Programme!J15487)</f>
        <v>&lt;numeroLigne&gt;146&lt;/numeroLigne&gt;</v>
      </c>
    </row>
    <row r="15487" spans="1:1" x14ac:dyDescent="0.2">
      <c r="A15487" s="996" t="str">
        <f>CONCATENATE(Programme!D15488,Programme!E15488,Programme!F15488,Programme!G15488,Programme!H15488,Programme!I15488,Programme!J15488)</f>
        <v>&lt;/ValeurCellule&gt;</v>
      </c>
    </row>
    <row r="15488" spans="1:1" x14ac:dyDescent="0.2">
      <c r="A15488" s="996" t="str">
        <f>CONCATENATE(Programme!D15489,Programme!E15489,Programme!F15489,Programme!G15489,Programme!H15489,Programme!I15489,Programme!J15489)</f>
        <v>&lt;ValeurCellule&gt;</v>
      </c>
    </row>
    <row r="15489" spans="1:1" x14ac:dyDescent="0.2">
      <c r="A15489" s="996" t="str">
        <f>CONCATENATE(Programme!D15490,Programme!E15490,Programme!F15490,Programme!G15490,Programme!H15490,Programme!I15490,Programme!J15490)</f>
        <v>&lt;cellule&gt;&lt;codeEdi&gt;10061&lt;/codeEdi&gt;&lt;/cellule&gt;</v>
      </c>
    </row>
    <row r="15490" spans="1:1" x14ac:dyDescent="0.2">
      <c r="A15490" s="996" t="str">
        <f>CONCATENATE(Programme!D15491,Programme!E15491,Programme!F15491,Programme!G15491,Programme!H15491,Programme!I15491,Programme!J15491)</f>
        <v>&lt;valeur&gt;&lt;/valeur&gt;</v>
      </c>
    </row>
    <row r="15491" spans="1:1" x14ac:dyDescent="0.2">
      <c r="A15491" s="996" t="str">
        <f>CONCATENATE(Programme!D15492,Programme!E15492,Programme!F15492,Programme!G15492,Programme!H15492,Programme!I15492,Programme!J15492)</f>
        <v>&lt;numeroLigne&gt;147&lt;/numeroLigne&gt;</v>
      </c>
    </row>
    <row r="15492" spans="1:1" x14ac:dyDescent="0.2">
      <c r="A15492" s="996" t="str">
        <f>CONCATENATE(Programme!D15493,Programme!E15493,Programme!F15493,Programme!G15493,Programme!H15493,Programme!I15493,Programme!J15493)</f>
        <v>&lt;/ValeurCellule&gt;</v>
      </c>
    </row>
    <row r="15493" spans="1:1" x14ac:dyDescent="0.2">
      <c r="A15493" s="996" t="str">
        <f>CONCATENATE(Programme!D15494,Programme!E15494,Programme!F15494,Programme!G15494,Programme!H15494,Programme!I15494,Programme!J15494)</f>
        <v>&lt;ValeurCellule&gt;</v>
      </c>
    </row>
    <row r="15494" spans="1:1" x14ac:dyDescent="0.2">
      <c r="A15494" s="996" t="str">
        <f>CONCATENATE(Programme!D15495,Programme!E15495,Programme!F15495,Programme!G15495,Programme!H15495,Programme!I15495,Programme!J15495)</f>
        <v>&lt;cellule&gt;&lt;codeEdi&gt;1078&lt;/codeEdi&gt;&lt;/cellule&gt;</v>
      </c>
    </row>
    <row r="15495" spans="1:1" x14ac:dyDescent="0.2">
      <c r="A15495" s="996" t="str">
        <f>CONCATENATE(Programme!D15496,Programme!E15496,Programme!F15496,Programme!G15496,Programme!H15496,Programme!I15496,Programme!J15496)</f>
        <v>&lt;valeur&gt;&lt;/valeur&gt;</v>
      </c>
    </row>
    <row r="15496" spans="1:1" x14ac:dyDescent="0.2">
      <c r="A15496" s="996" t="str">
        <f>CONCATENATE(Programme!D15497,Programme!E15497,Programme!F15497,Programme!G15497,Programme!H15497,Programme!I15497,Programme!J15497)</f>
        <v>&lt;numeroLigne&gt;147&lt;/numeroLigne&gt;</v>
      </c>
    </row>
    <row r="15497" spans="1:1" x14ac:dyDescent="0.2">
      <c r="A15497" s="996" t="str">
        <f>CONCATENATE(Programme!D15498,Programme!E15498,Programme!F15498,Programme!G15498,Programme!H15498,Programme!I15498,Programme!J15498)</f>
        <v>&lt;/ValeurCellule&gt;</v>
      </c>
    </row>
    <row r="15498" spans="1:1" x14ac:dyDescent="0.2">
      <c r="A15498" s="996" t="str">
        <f>CONCATENATE(Programme!D15499,Programme!E15499,Programme!F15499,Programme!G15499,Programme!H15499,Programme!I15499,Programme!J15499)</f>
        <v>&lt;ValeurCellule&gt;</v>
      </c>
    </row>
    <row r="15499" spans="1:1" x14ac:dyDescent="0.2">
      <c r="A15499" s="996" t="str">
        <f>CONCATENATE(Programme!D15500,Programme!E15500,Programme!F15500,Programme!G15500,Programme!H15500,Programme!I15500,Programme!J15500)</f>
        <v>&lt;cellule&gt;&lt;codeEdi&gt;1079&lt;/codeEdi&gt;&lt;/cellule&gt;</v>
      </c>
    </row>
    <row r="15500" spans="1:1" x14ac:dyDescent="0.2">
      <c r="A15500" s="996" t="str">
        <f>CONCATENATE(Programme!D15501,Programme!E15501,Programme!F15501,Programme!G15501,Programme!H15501,Programme!I15501,Programme!J15501)</f>
        <v>&lt;valeur&gt;&lt;/valeur&gt;</v>
      </c>
    </row>
    <row r="15501" spans="1:1" x14ac:dyDescent="0.2">
      <c r="A15501" s="996" t="str">
        <f>CONCATENATE(Programme!D15502,Programme!E15502,Programme!F15502,Programme!G15502,Programme!H15502,Programme!I15502,Programme!J15502)</f>
        <v>&lt;numeroLigne&gt;147&lt;/numeroLigne&gt;</v>
      </c>
    </row>
    <row r="15502" spans="1:1" x14ac:dyDescent="0.2">
      <c r="A15502" s="996" t="str">
        <f>CONCATENATE(Programme!D15503,Programme!E15503,Programme!F15503,Programme!G15503,Programme!H15503,Programme!I15503,Programme!J15503)</f>
        <v>&lt;/ValeurCellule&gt;</v>
      </c>
    </row>
    <row r="15503" spans="1:1" x14ac:dyDescent="0.2">
      <c r="A15503" s="996" t="str">
        <f>CONCATENATE(Programme!D15504,Programme!E15504,Programme!F15504,Programme!G15504,Programme!H15504,Programme!I15504,Programme!J15504)</f>
        <v>&lt;ValeurCellule&gt;</v>
      </c>
    </row>
    <row r="15504" spans="1:1" x14ac:dyDescent="0.2">
      <c r="A15504" s="996" t="str">
        <f>CONCATENATE(Programme!D15505,Programme!E15505,Programme!F15505,Programme!G15505,Programme!H15505,Programme!I15505,Programme!J15505)</f>
        <v>&lt;cellule&gt;&lt;codeEdi&gt;1080&lt;/codeEdi&gt;&lt;/cellule&gt;</v>
      </c>
    </row>
    <row r="15505" spans="1:1" x14ac:dyDescent="0.2">
      <c r="A15505" s="996" t="str">
        <f>CONCATENATE(Programme!D15506,Programme!E15506,Programme!F15506,Programme!G15506,Programme!H15506,Programme!I15506,Programme!J15506)</f>
        <v>&lt;valeur&gt;&lt;/valeur&gt;</v>
      </c>
    </row>
    <row r="15506" spans="1:1" x14ac:dyDescent="0.2">
      <c r="A15506" s="996" t="str">
        <f>CONCATENATE(Programme!D15507,Programme!E15507,Programme!F15507,Programme!G15507,Programme!H15507,Programme!I15507,Programme!J15507)</f>
        <v>&lt;numeroLigne&gt;147&lt;/numeroLigne&gt;</v>
      </c>
    </row>
    <row r="15507" spans="1:1" x14ac:dyDescent="0.2">
      <c r="A15507" s="996" t="str">
        <f>CONCATENATE(Programme!D15508,Programme!E15508,Programme!F15508,Programme!G15508,Programme!H15508,Programme!I15508,Programme!J15508)</f>
        <v>&lt;/ValeurCellule&gt;</v>
      </c>
    </row>
    <row r="15508" spans="1:1" x14ac:dyDescent="0.2">
      <c r="A15508" s="996" t="str">
        <f>CONCATENATE(Programme!D15509,Programme!E15509,Programme!F15509,Programme!G15509,Programme!H15509,Programme!I15509,Programme!J15509)</f>
        <v>&lt;ValeurCellule&gt;</v>
      </c>
    </row>
    <row r="15509" spans="1:1" x14ac:dyDescent="0.2">
      <c r="A15509" s="996" t="str">
        <f>CONCATENATE(Programme!D15510,Programme!E15510,Programme!F15510,Programme!G15510,Programme!H15510,Programme!I15510,Programme!J15510)</f>
        <v>&lt;cellule&gt;&lt;codeEdi&gt;1081&lt;/codeEdi&gt;&lt;/cellule&gt;</v>
      </c>
    </row>
    <row r="15510" spans="1:1" x14ac:dyDescent="0.2">
      <c r="A15510" s="996" t="str">
        <f>CONCATENATE(Programme!D15511,Programme!E15511,Programme!F15511,Programme!G15511,Programme!H15511,Programme!I15511,Programme!J15511)</f>
        <v>&lt;valeur&gt;&lt;/valeur&gt;</v>
      </c>
    </row>
    <row r="15511" spans="1:1" x14ac:dyDescent="0.2">
      <c r="A15511" s="996" t="str">
        <f>CONCATENATE(Programme!D15512,Programme!E15512,Programme!F15512,Programme!G15512,Programme!H15512,Programme!I15512,Programme!J15512)</f>
        <v>&lt;numeroLigne&gt;147&lt;/numeroLigne&gt;</v>
      </c>
    </row>
    <row r="15512" spans="1:1" x14ac:dyDescent="0.2">
      <c r="A15512" s="996" t="str">
        <f>CONCATENATE(Programme!D15513,Programme!E15513,Programme!F15513,Programme!G15513,Programme!H15513,Programme!I15513,Programme!J15513)</f>
        <v>&lt;/ValeurCellule&gt;</v>
      </c>
    </row>
    <row r="15513" spans="1:1" x14ac:dyDescent="0.2">
      <c r="A15513" s="996" t="str">
        <f>CONCATENATE(Programme!D15514,Programme!E15514,Programme!F15514,Programme!G15514,Programme!H15514,Programme!I15514,Programme!J15514)</f>
        <v>&lt;ValeurCellule&gt;</v>
      </c>
    </row>
    <row r="15514" spans="1:1" x14ac:dyDescent="0.2">
      <c r="A15514" s="996" t="str">
        <f>CONCATENATE(Programme!D15515,Programme!E15515,Programme!F15515,Programme!G15515,Programme!H15515,Programme!I15515,Programme!J15515)</f>
        <v>&lt;cellule&gt;&lt;codeEdi&gt;1082&lt;/codeEdi&gt;&lt;/cellule&gt;</v>
      </c>
    </row>
    <row r="15515" spans="1:1" x14ac:dyDescent="0.2">
      <c r="A15515" s="996" t="str">
        <f>CONCATENATE(Programme!D15516,Programme!E15516,Programme!F15516,Programme!G15516,Programme!H15516,Programme!I15516,Programme!J15516)</f>
        <v>&lt;valeur&gt;&lt;/valeur&gt;</v>
      </c>
    </row>
    <row r="15516" spans="1:1" x14ac:dyDescent="0.2">
      <c r="A15516" s="996" t="str">
        <f>CONCATENATE(Programme!D15517,Programme!E15517,Programme!F15517,Programme!G15517,Programme!H15517,Programme!I15517,Programme!J15517)</f>
        <v>&lt;numeroLigne&gt;147&lt;/numeroLigne&gt;</v>
      </c>
    </row>
    <row r="15517" spans="1:1" x14ac:dyDescent="0.2">
      <c r="A15517" s="996" t="str">
        <f>CONCATENATE(Programme!D15518,Programme!E15518,Programme!F15518,Programme!G15518,Programme!H15518,Programme!I15518,Programme!J15518)</f>
        <v>&lt;/ValeurCellule&gt;</v>
      </c>
    </row>
    <row r="15518" spans="1:1" x14ac:dyDescent="0.2">
      <c r="A15518" s="996" t="str">
        <f>CONCATENATE(Programme!D15519,Programme!E15519,Programme!F15519,Programme!G15519,Programme!H15519,Programme!I15519,Programme!J15519)</f>
        <v>&lt;ValeurCellule&gt;</v>
      </c>
    </row>
    <row r="15519" spans="1:1" x14ac:dyDescent="0.2">
      <c r="A15519" s="996" t="str">
        <f>CONCATENATE(Programme!D15520,Programme!E15520,Programme!F15520,Programme!G15520,Programme!H15520,Programme!I15520,Programme!J15520)</f>
        <v>&lt;cellule&gt;&lt;codeEdi&gt;1083&lt;/codeEdi&gt;&lt;/cellule&gt;</v>
      </c>
    </row>
    <row r="15520" spans="1:1" x14ac:dyDescent="0.2">
      <c r="A15520" s="996" t="str">
        <f>CONCATENATE(Programme!D15521,Programme!E15521,Programme!F15521,Programme!G15521,Programme!H15521,Programme!I15521,Programme!J15521)</f>
        <v>&lt;valeur&gt;&lt;/valeur&gt;</v>
      </c>
    </row>
    <row r="15521" spans="1:1" x14ac:dyDescent="0.2">
      <c r="A15521" s="996" t="str">
        <f>CONCATENATE(Programme!D15522,Programme!E15522,Programme!F15522,Programme!G15522,Programme!H15522,Programme!I15522,Programme!J15522)</f>
        <v>&lt;numeroLigne&gt;147&lt;/numeroLigne&gt;</v>
      </c>
    </row>
    <row r="15522" spans="1:1" x14ac:dyDescent="0.2">
      <c r="A15522" s="996" t="str">
        <f>CONCATENATE(Programme!D15523,Programme!E15523,Programme!F15523,Programme!G15523,Programme!H15523,Programme!I15523,Programme!J15523)</f>
        <v>&lt;/ValeurCellule&gt;</v>
      </c>
    </row>
    <row r="15523" spans="1:1" x14ac:dyDescent="0.2">
      <c r="A15523" s="996" t="str">
        <f>CONCATENATE(Programme!D15524,Programme!E15524,Programme!F15524,Programme!G15524,Programme!H15524,Programme!I15524,Programme!J15524)</f>
        <v>&lt;ValeurCellule&gt;</v>
      </c>
    </row>
    <row r="15524" spans="1:1" x14ac:dyDescent="0.2">
      <c r="A15524" s="996" t="str">
        <f>CONCATENATE(Programme!D15525,Programme!E15525,Programme!F15525,Programme!G15525,Programme!H15525,Programme!I15525,Programme!J15525)</f>
        <v>&lt;cellule&gt;&lt;codeEdi&gt;1084&lt;/codeEdi&gt;&lt;/cellule&gt;</v>
      </c>
    </row>
    <row r="15525" spans="1:1" x14ac:dyDescent="0.2">
      <c r="A15525" s="996" t="str">
        <f>CONCATENATE(Programme!D15526,Programme!E15526,Programme!F15526,Programme!G15526,Programme!H15526,Programme!I15526,Programme!J15526)</f>
        <v>&lt;valeur&gt;&lt;/valeur&gt;</v>
      </c>
    </row>
    <row r="15526" spans="1:1" x14ac:dyDescent="0.2">
      <c r="A15526" s="996" t="str">
        <f>CONCATENATE(Programme!D15527,Programme!E15527,Programme!F15527,Programme!G15527,Programme!H15527,Programme!I15527,Programme!J15527)</f>
        <v>&lt;numeroLigne&gt;147&lt;/numeroLigne&gt;</v>
      </c>
    </row>
    <row r="15527" spans="1:1" x14ac:dyDescent="0.2">
      <c r="A15527" s="996" t="str">
        <f>CONCATENATE(Programme!D15528,Programme!E15528,Programme!F15528,Programme!G15528,Programme!H15528,Programme!I15528,Programme!J15528)</f>
        <v>&lt;/ValeurCellule&gt;</v>
      </c>
    </row>
    <row r="15528" spans="1:1" x14ac:dyDescent="0.2">
      <c r="A15528" s="996" t="str">
        <f>CONCATENATE(Programme!D15529,Programme!E15529,Programme!F15529,Programme!G15529,Programme!H15529,Programme!I15529,Programme!J15529)</f>
        <v>&lt;ValeurCellule&gt;</v>
      </c>
    </row>
    <row r="15529" spans="1:1" x14ac:dyDescent="0.2">
      <c r="A15529" s="996" t="str">
        <f>CONCATENATE(Programme!D15530,Programme!E15530,Programme!F15530,Programme!G15530,Programme!H15530,Programme!I15530,Programme!J15530)</f>
        <v>&lt;cellule&gt;&lt;codeEdi&gt;1085&lt;/codeEdi&gt;&lt;/cellule&gt;</v>
      </c>
    </row>
    <row r="15530" spans="1:1" x14ac:dyDescent="0.2">
      <c r="A15530" s="996" t="str">
        <f>CONCATENATE(Programme!D15531,Programme!E15531,Programme!F15531,Programme!G15531,Programme!H15531,Programme!I15531,Programme!J15531)</f>
        <v>&lt;valeur&gt;&lt;/valeur&gt;</v>
      </c>
    </row>
    <row r="15531" spans="1:1" x14ac:dyDescent="0.2">
      <c r="A15531" s="996" t="str">
        <f>CONCATENATE(Programme!D15532,Programme!E15532,Programme!F15532,Programme!G15532,Programme!H15532,Programme!I15532,Programme!J15532)</f>
        <v>&lt;numeroLigne&gt;147&lt;/numeroLigne&gt;</v>
      </c>
    </row>
    <row r="15532" spans="1:1" x14ac:dyDescent="0.2">
      <c r="A15532" s="996" t="str">
        <f>CONCATENATE(Programme!D15533,Programme!E15533,Programme!F15533,Programme!G15533,Programme!H15533,Programme!I15533,Programme!J15533)</f>
        <v>&lt;/ValeurCellule&gt;</v>
      </c>
    </row>
    <row r="15533" spans="1:1" x14ac:dyDescent="0.2">
      <c r="A15533" s="996" t="str">
        <f>CONCATENATE(Programme!D15534,Programme!E15534,Programme!F15534,Programme!G15534,Programme!H15534,Programme!I15534,Programme!J15534)</f>
        <v>&lt;ValeurCellule&gt;</v>
      </c>
    </row>
    <row r="15534" spans="1:1" x14ac:dyDescent="0.2">
      <c r="A15534" s="996" t="str">
        <f>CONCATENATE(Programme!D15535,Programme!E15535,Programme!F15535,Programme!G15535,Programme!H15535,Programme!I15535,Programme!J15535)</f>
        <v>&lt;cellule&gt;&lt;codeEdi&gt;1086&lt;/codeEdi&gt;&lt;/cellule&gt;</v>
      </c>
    </row>
    <row r="15535" spans="1:1" x14ac:dyDescent="0.2">
      <c r="A15535" s="996" t="str">
        <f>CONCATENATE(Programme!D15536,Programme!E15536,Programme!F15536,Programme!G15536,Programme!H15536,Programme!I15536,Programme!J15536)</f>
        <v>&lt;valeur&gt;&lt;/valeur&gt;</v>
      </c>
    </row>
    <row r="15536" spans="1:1" x14ac:dyDescent="0.2">
      <c r="A15536" s="996" t="str">
        <f>CONCATENATE(Programme!D15537,Programme!E15537,Programme!F15537,Programme!G15537,Programme!H15537,Programme!I15537,Programme!J15537)</f>
        <v>&lt;numeroLigne&gt;147&lt;/numeroLigne&gt;</v>
      </c>
    </row>
    <row r="15537" spans="1:1" x14ac:dyDescent="0.2">
      <c r="A15537" s="996" t="str">
        <f>CONCATENATE(Programme!D15538,Programme!E15538,Programme!F15538,Programme!G15538,Programme!H15538,Programme!I15538,Programme!J15538)</f>
        <v>&lt;/ValeurCellule&gt;</v>
      </c>
    </row>
    <row r="15538" spans="1:1" x14ac:dyDescent="0.2">
      <c r="A15538" s="996" t="str">
        <f>CONCATENATE(Programme!D15539,Programme!E15539,Programme!F15539,Programme!G15539,Programme!H15539,Programme!I15539,Programme!J15539)</f>
        <v>&lt;ValeurCellule&gt;</v>
      </c>
    </row>
    <row r="15539" spans="1:1" x14ac:dyDescent="0.2">
      <c r="A15539" s="996" t="str">
        <f>CONCATENATE(Programme!D15540,Programme!E15540,Programme!F15540,Programme!G15540,Programme!H15540,Programme!I15540,Programme!J15540)</f>
        <v>&lt;cellule&gt;&lt;codeEdi&gt;10061&lt;/codeEdi&gt;&lt;/cellule&gt;</v>
      </c>
    </row>
    <row r="15540" spans="1:1" x14ac:dyDescent="0.2">
      <c r="A15540" s="996" t="str">
        <f>CONCATENATE(Programme!D15541,Programme!E15541,Programme!F15541,Programme!G15541,Programme!H15541,Programme!I15541,Programme!J15541)</f>
        <v>&lt;valeur&gt;&lt;/valeur&gt;</v>
      </c>
    </row>
    <row r="15541" spans="1:1" x14ac:dyDescent="0.2">
      <c r="A15541" s="996" t="str">
        <f>CONCATENATE(Programme!D15542,Programme!E15542,Programme!F15542,Programme!G15542,Programme!H15542,Programme!I15542,Programme!J15542)</f>
        <v>&lt;numeroLigne&gt;148&lt;/numeroLigne&gt;</v>
      </c>
    </row>
    <row r="15542" spans="1:1" x14ac:dyDescent="0.2">
      <c r="A15542" s="996" t="str">
        <f>CONCATENATE(Programme!D15543,Programme!E15543,Programme!F15543,Programme!G15543,Programme!H15543,Programme!I15543,Programme!J15543)</f>
        <v>&lt;/ValeurCellule&gt;</v>
      </c>
    </row>
    <row r="15543" spans="1:1" x14ac:dyDescent="0.2">
      <c r="A15543" s="996" t="str">
        <f>CONCATENATE(Programme!D15544,Programme!E15544,Programme!F15544,Programme!G15544,Programme!H15544,Programme!I15544,Programme!J15544)</f>
        <v>&lt;ValeurCellule&gt;</v>
      </c>
    </row>
    <row r="15544" spans="1:1" x14ac:dyDescent="0.2">
      <c r="A15544" s="996" t="str">
        <f>CONCATENATE(Programme!D15545,Programme!E15545,Programme!F15545,Programme!G15545,Programme!H15545,Programme!I15545,Programme!J15545)</f>
        <v>&lt;cellule&gt;&lt;codeEdi&gt;1078&lt;/codeEdi&gt;&lt;/cellule&gt;</v>
      </c>
    </row>
    <row r="15545" spans="1:1" x14ac:dyDescent="0.2">
      <c r="A15545" s="996" t="str">
        <f>CONCATENATE(Programme!D15546,Programme!E15546,Programme!F15546,Programme!G15546,Programme!H15546,Programme!I15546,Programme!J15546)</f>
        <v>&lt;valeur&gt;&lt;/valeur&gt;</v>
      </c>
    </row>
    <row r="15546" spans="1:1" x14ac:dyDescent="0.2">
      <c r="A15546" s="996" t="str">
        <f>CONCATENATE(Programme!D15547,Programme!E15547,Programme!F15547,Programme!G15547,Programme!H15547,Programme!I15547,Programme!J15547)</f>
        <v>&lt;numeroLigne&gt;148&lt;/numeroLigne&gt;</v>
      </c>
    </row>
    <row r="15547" spans="1:1" x14ac:dyDescent="0.2">
      <c r="A15547" s="996" t="str">
        <f>CONCATENATE(Programme!D15548,Programme!E15548,Programme!F15548,Programme!G15548,Programme!H15548,Programme!I15548,Programme!J15548)</f>
        <v>&lt;/ValeurCellule&gt;</v>
      </c>
    </row>
    <row r="15548" spans="1:1" x14ac:dyDescent="0.2">
      <c r="A15548" s="996" t="str">
        <f>CONCATENATE(Programme!D15549,Programme!E15549,Programme!F15549,Programme!G15549,Programme!H15549,Programme!I15549,Programme!J15549)</f>
        <v>&lt;ValeurCellule&gt;</v>
      </c>
    </row>
    <row r="15549" spans="1:1" x14ac:dyDescent="0.2">
      <c r="A15549" s="996" t="str">
        <f>CONCATENATE(Programme!D15550,Programme!E15550,Programme!F15550,Programme!G15550,Programme!H15550,Programme!I15550,Programme!J15550)</f>
        <v>&lt;cellule&gt;&lt;codeEdi&gt;1079&lt;/codeEdi&gt;&lt;/cellule&gt;</v>
      </c>
    </row>
    <row r="15550" spans="1:1" x14ac:dyDescent="0.2">
      <c r="A15550" s="996" t="str">
        <f>CONCATENATE(Programme!D15551,Programme!E15551,Programme!F15551,Programme!G15551,Programme!H15551,Programme!I15551,Programme!J15551)</f>
        <v>&lt;valeur&gt;&lt;/valeur&gt;</v>
      </c>
    </row>
    <row r="15551" spans="1:1" x14ac:dyDescent="0.2">
      <c r="A15551" s="996" t="str">
        <f>CONCATENATE(Programme!D15552,Programme!E15552,Programme!F15552,Programme!G15552,Programme!H15552,Programme!I15552,Programme!J15552)</f>
        <v>&lt;numeroLigne&gt;148&lt;/numeroLigne&gt;</v>
      </c>
    </row>
    <row r="15552" spans="1:1" x14ac:dyDescent="0.2">
      <c r="A15552" s="996" t="str">
        <f>CONCATENATE(Programme!D15553,Programme!E15553,Programme!F15553,Programme!G15553,Programme!H15553,Programme!I15553,Programme!J15553)</f>
        <v>&lt;/ValeurCellule&gt;</v>
      </c>
    </row>
    <row r="15553" spans="1:1" x14ac:dyDescent="0.2">
      <c r="A15553" s="996" t="str">
        <f>CONCATENATE(Programme!D15554,Programme!E15554,Programme!F15554,Programme!G15554,Programme!H15554,Programme!I15554,Programme!J15554)</f>
        <v>&lt;ValeurCellule&gt;</v>
      </c>
    </row>
    <row r="15554" spans="1:1" x14ac:dyDescent="0.2">
      <c r="A15554" s="996" t="str">
        <f>CONCATENATE(Programme!D15555,Programme!E15555,Programme!F15555,Programme!G15555,Programme!H15555,Programme!I15555,Programme!J15555)</f>
        <v>&lt;cellule&gt;&lt;codeEdi&gt;1080&lt;/codeEdi&gt;&lt;/cellule&gt;</v>
      </c>
    </row>
    <row r="15555" spans="1:1" x14ac:dyDescent="0.2">
      <c r="A15555" s="996" t="str">
        <f>CONCATENATE(Programme!D15556,Programme!E15556,Programme!F15556,Programme!G15556,Programme!H15556,Programme!I15556,Programme!J15556)</f>
        <v>&lt;valeur&gt;&lt;/valeur&gt;</v>
      </c>
    </row>
    <row r="15556" spans="1:1" x14ac:dyDescent="0.2">
      <c r="A15556" s="996" t="str">
        <f>CONCATENATE(Programme!D15557,Programme!E15557,Programme!F15557,Programme!G15557,Programme!H15557,Programme!I15557,Programme!J15557)</f>
        <v>&lt;numeroLigne&gt;148&lt;/numeroLigne&gt;</v>
      </c>
    </row>
    <row r="15557" spans="1:1" x14ac:dyDescent="0.2">
      <c r="A15557" s="996" t="str">
        <f>CONCATENATE(Programme!D15558,Programme!E15558,Programme!F15558,Programme!G15558,Programme!H15558,Programme!I15558,Programme!J15558)</f>
        <v>&lt;/ValeurCellule&gt;</v>
      </c>
    </row>
    <row r="15558" spans="1:1" x14ac:dyDescent="0.2">
      <c r="A15558" s="996" t="str">
        <f>CONCATENATE(Programme!D15559,Programme!E15559,Programme!F15559,Programme!G15559,Programme!H15559,Programme!I15559,Programme!J15559)</f>
        <v>&lt;ValeurCellule&gt;</v>
      </c>
    </row>
    <row r="15559" spans="1:1" x14ac:dyDescent="0.2">
      <c r="A15559" s="996" t="str">
        <f>CONCATENATE(Programme!D15560,Programme!E15560,Programme!F15560,Programme!G15560,Programme!H15560,Programme!I15560,Programme!J15560)</f>
        <v>&lt;cellule&gt;&lt;codeEdi&gt;1081&lt;/codeEdi&gt;&lt;/cellule&gt;</v>
      </c>
    </row>
    <row r="15560" spans="1:1" x14ac:dyDescent="0.2">
      <c r="A15560" s="996" t="str">
        <f>CONCATENATE(Programme!D15561,Programme!E15561,Programme!F15561,Programme!G15561,Programme!H15561,Programme!I15561,Programme!J15561)</f>
        <v>&lt;valeur&gt;&lt;/valeur&gt;</v>
      </c>
    </row>
    <row r="15561" spans="1:1" x14ac:dyDescent="0.2">
      <c r="A15561" s="996" t="str">
        <f>CONCATENATE(Programme!D15562,Programme!E15562,Programme!F15562,Programme!G15562,Programme!H15562,Programme!I15562,Programme!J15562)</f>
        <v>&lt;numeroLigne&gt;148&lt;/numeroLigne&gt;</v>
      </c>
    </row>
    <row r="15562" spans="1:1" x14ac:dyDescent="0.2">
      <c r="A15562" s="996" t="str">
        <f>CONCATENATE(Programme!D15563,Programme!E15563,Programme!F15563,Programme!G15563,Programme!H15563,Programme!I15563,Programme!J15563)</f>
        <v>&lt;/ValeurCellule&gt;</v>
      </c>
    </row>
    <row r="15563" spans="1:1" x14ac:dyDescent="0.2">
      <c r="A15563" s="996" t="str">
        <f>CONCATENATE(Programme!D15564,Programme!E15564,Programme!F15564,Programme!G15564,Programme!H15564,Programme!I15564,Programme!J15564)</f>
        <v>&lt;ValeurCellule&gt;</v>
      </c>
    </row>
    <row r="15564" spans="1:1" x14ac:dyDescent="0.2">
      <c r="A15564" s="996" t="str">
        <f>CONCATENATE(Programme!D15565,Programme!E15565,Programme!F15565,Programme!G15565,Programme!H15565,Programme!I15565,Programme!J15565)</f>
        <v>&lt;cellule&gt;&lt;codeEdi&gt;1082&lt;/codeEdi&gt;&lt;/cellule&gt;</v>
      </c>
    </row>
    <row r="15565" spans="1:1" x14ac:dyDescent="0.2">
      <c r="A15565" s="996" t="str">
        <f>CONCATENATE(Programme!D15566,Programme!E15566,Programme!F15566,Programme!G15566,Programme!H15566,Programme!I15566,Programme!J15566)</f>
        <v>&lt;valeur&gt;&lt;/valeur&gt;</v>
      </c>
    </row>
    <row r="15566" spans="1:1" x14ac:dyDescent="0.2">
      <c r="A15566" s="996" t="str">
        <f>CONCATENATE(Programme!D15567,Programme!E15567,Programme!F15567,Programme!G15567,Programme!H15567,Programme!I15567,Programme!J15567)</f>
        <v>&lt;numeroLigne&gt;148&lt;/numeroLigne&gt;</v>
      </c>
    </row>
    <row r="15567" spans="1:1" x14ac:dyDescent="0.2">
      <c r="A15567" s="996" t="str">
        <f>CONCATENATE(Programme!D15568,Programme!E15568,Programme!F15568,Programme!G15568,Programme!H15568,Programme!I15568,Programme!J15568)</f>
        <v>&lt;/ValeurCellule&gt;</v>
      </c>
    </row>
    <row r="15568" spans="1:1" x14ac:dyDescent="0.2">
      <c r="A15568" s="996" t="str">
        <f>CONCATENATE(Programme!D15569,Programme!E15569,Programme!F15569,Programme!G15569,Programme!H15569,Programme!I15569,Programme!J15569)</f>
        <v>&lt;ValeurCellule&gt;</v>
      </c>
    </row>
    <row r="15569" spans="1:1" x14ac:dyDescent="0.2">
      <c r="A15569" s="996" t="str">
        <f>CONCATENATE(Programme!D15570,Programme!E15570,Programme!F15570,Programme!G15570,Programme!H15570,Programme!I15570,Programme!J15570)</f>
        <v>&lt;cellule&gt;&lt;codeEdi&gt;1083&lt;/codeEdi&gt;&lt;/cellule&gt;</v>
      </c>
    </row>
    <row r="15570" spans="1:1" x14ac:dyDescent="0.2">
      <c r="A15570" s="996" t="str">
        <f>CONCATENATE(Programme!D15571,Programme!E15571,Programme!F15571,Programme!G15571,Programme!H15571,Programme!I15571,Programme!J15571)</f>
        <v>&lt;valeur&gt;&lt;/valeur&gt;</v>
      </c>
    </row>
    <row r="15571" spans="1:1" x14ac:dyDescent="0.2">
      <c r="A15571" s="996" t="str">
        <f>CONCATENATE(Programme!D15572,Programme!E15572,Programme!F15572,Programme!G15572,Programme!H15572,Programme!I15572,Programme!J15572)</f>
        <v>&lt;numeroLigne&gt;148&lt;/numeroLigne&gt;</v>
      </c>
    </row>
    <row r="15572" spans="1:1" x14ac:dyDescent="0.2">
      <c r="A15572" s="996" t="str">
        <f>CONCATENATE(Programme!D15573,Programme!E15573,Programme!F15573,Programme!G15573,Programme!H15573,Programme!I15573,Programme!J15573)</f>
        <v>&lt;/ValeurCellule&gt;</v>
      </c>
    </row>
    <row r="15573" spans="1:1" x14ac:dyDescent="0.2">
      <c r="A15573" s="996" t="str">
        <f>CONCATENATE(Programme!D15574,Programme!E15574,Programme!F15574,Programme!G15574,Programme!H15574,Programme!I15574,Programme!J15574)</f>
        <v>&lt;ValeurCellule&gt;</v>
      </c>
    </row>
    <row r="15574" spans="1:1" x14ac:dyDescent="0.2">
      <c r="A15574" s="996" t="str">
        <f>CONCATENATE(Programme!D15575,Programme!E15575,Programme!F15575,Programme!G15575,Programme!H15575,Programme!I15575,Programme!J15575)</f>
        <v>&lt;cellule&gt;&lt;codeEdi&gt;1084&lt;/codeEdi&gt;&lt;/cellule&gt;</v>
      </c>
    </row>
    <row r="15575" spans="1:1" x14ac:dyDescent="0.2">
      <c r="A15575" s="996" t="str">
        <f>CONCATENATE(Programme!D15576,Programme!E15576,Programme!F15576,Programme!G15576,Programme!H15576,Programme!I15576,Programme!J15576)</f>
        <v>&lt;valeur&gt;&lt;/valeur&gt;</v>
      </c>
    </row>
    <row r="15576" spans="1:1" x14ac:dyDescent="0.2">
      <c r="A15576" s="996" t="str">
        <f>CONCATENATE(Programme!D15577,Programme!E15577,Programme!F15577,Programme!G15577,Programme!H15577,Programme!I15577,Programme!J15577)</f>
        <v>&lt;numeroLigne&gt;148&lt;/numeroLigne&gt;</v>
      </c>
    </row>
    <row r="15577" spans="1:1" x14ac:dyDescent="0.2">
      <c r="A15577" s="996" t="str">
        <f>CONCATENATE(Programme!D15578,Programme!E15578,Programme!F15578,Programme!G15578,Programme!H15578,Programme!I15578,Programme!J15578)</f>
        <v>&lt;/ValeurCellule&gt;</v>
      </c>
    </row>
    <row r="15578" spans="1:1" x14ac:dyDescent="0.2">
      <c r="A15578" s="996" t="str">
        <f>CONCATENATE(Programme!D15579,Programme!E15579,Programme!F15579,Programme!G15579,Programme!H15579,Programme!I15579,Programme!J15579)</f>
        <v>&lt;ValeurCellule&gt;</v>
      </c>
    </row>
    <row r="15579" spans="1:1" x14ac:dyDescent="0.2">
      <c r="A15579" s="996" t="str">
        <f>CONCATENATE(Programme!D15580,Programme!E15580,Programme!F15580,Programme!G15580,Programme!H15580,Programme!I15580,Programme!J15580)</f>
        <v>&lt;cellule&gt;&lt;codeEdi&gt;1085&lt;/codeEdi&gt;&lt;/cellule&gt;</v>
      </c>
    </row>
    <row r="15580" spans="1:1" x14ac:dyDescent="0.2">
      <c r="A15580" s="996" t="str">
        <f>CONCATENATE(Programme!D15581,Programme!E15581,Programme!F15581,Programme!G15581,Programme!H15581,Programme!I15581,Programme!J15581)</f>
        <v>&lt;valeur&gt;&lt;/valeur&gt;</v>
      </c>
    </row>
    <row r="15581" spans="1:1" x14ac:dyDescent="0.2">
      <c r="A15581" s="996" t="str">
        <f>CONCATENATE(Programme!D15582,Programme!E15582,Programme!F15582,Programme!G15582,Programme!H15582,Programme!I15582,Programme!J15582)</f>
        <v>&lt;numeroLigne&gt;148&lt;/numeroLigne&gt;</v>
      </c>
    </row>
    <row r="15582" spans="1:1" x14ac:dyDescent="0.2">
      <c r="A15582" s="996" t="str">
        <f>CONCATENATE(Programme!D15583,Programme!E15583,Programme!F15583,Programme!G15583,Programme!H15583,Programme!I15583,Programme!J15583)</f>
        <v>&lt;/ValeurCellule&gt;</v>
      </c>
    </row>
    <row r="15583" spans="1:1" x14ac:dyDescent="0.2">
      <c r="A15583" s="996" t="str">
        <f>CONCATENATE(Programme!D15584,Programme!E15584,Programme!F15584,Programme!G15584,Programme!H15584,Programme!I15584,Programme!J15584)</f>
        <v>&lt;ValeurCellule&gt;</v>
      </c>
    </row>
    <row r="15584" spans="1:1" x14ac:dyDescent="0.2">
      <c r="A15584" s="996" t="str">
        <f>CONCATENATE(Programme!D15585,Programme!E15585,Programme!F15585,Programme!G15585,Programme!H15585,Programme!I15585,Programme!J15585)</f>
        <v>&lt;cellule&gt;&lt;codeEdi&gt;1086&lt;/codeEdi&gt;&lt;/cellule&gt;</v>
      </c>
    </row>
    <row r="15585" spans="1:1" x14ac:dyDescent="0.2">
      <c r="A15585" s="996" t="str">
        <f>CONCATENATE(Programme!D15586,Programme!E15586,Programme!F15586,Programme!G15586,Programme!H15586,Programme!I15586,Programme!J15586)</f>
        <v>&lt;valeur&gt;&lt;/valeur&gt;</v>
      </c>
    </row>
    <row r="15586" spans="1:1" x14ac:dyDescent="0.2">
      <c r="A15586" s="996" t="str">
        <f>CONCATENATE(Programme!D15587,Programme!E15587,Programme!F15587,Programme!G15587,Programme!H15587,Programme!I15587,Programme!J15587)</f>
        <v>&lt;numeroLigne&gt;148&lt;/numeroLigne&gt;</v>
      </c>
    </row>
    <row r="15587" spans="1:1" x14ac:dyDescent="0.2">
      <c r="A15587" s="996" t="str">
        <f>CONCATENATE(Programme!D15588,Programme!E15588,Programme!F15588,Programme!G15588,Programme!H15588,Programme!I15588,Programme!J15588)</f>
        <v>&lt;/ValeurCellule&gt;</v>
      </c>
    </row>
    <row r="15588" spans="1:1" x14ac:dyDescent="0.2">
      <c r="A15588" s="996" t="str">
        <f>CONCATENATE(Programme!D15589,Programme!E15589,Programme!F15589,Programme!G15589,Programme!H15589,Programme!I15589,Programme!J15589)</f>
        <v>&lt;ValeurCellule&gt;</v>
      </c>
    </row>
    <row r="15589" spans="1:1" x14ac:dyDescent="0.2">
      <c r="A15589" s="996" t="str">
        <f>CONCATENATE(Programme!D15590,Programme!E15590,Programme!F15590,Programme!G15590,Programme!H15590,Programme!I15590,Programme!J15590)</f>
        <v>&lt;cellule&gt;&lt;codeEdi&gt;10061&lt;/codeEdi&gt;&lt;/cellule&gt;</v>
      </c>
    </row>
    <row r="15590" spans="1:1" x14ac:dyDescent="0.2">
      <c r="A15590" s="996" t="str">
        <f>CONCATENATE(Programme!D15591,Programme!E15591,Programme!F15591,Programme!G15591,Programme!H15591,Programme!I15591,Programme!J15591)</f>
        <v>&lt;valeur&gt;&lt;/valeur&gt;</v>
      </c>
    </row>
    <row r="15591" spans="1:1" x14ac:dyDescent="0.2">
      <c r="A15591" s="996" t="str">
        <f>CONCATENATE(Programme!D15592,Programme!E15592,Programme!F15592,Programme!G15592,Programme!H15592,Programme!I15592,Programme!J15592)</f>
        <v>&lt;numeroLigne&gt;149&lt;/numeroLigne&gt;</v>
      </c>
    </row>
    <row r="15592" spans="1:1" x14ac:dyDescent="0.2">
      <c r="A15592" s="996" t="str">
        <f>CONCATENATE(Programme!D15593,Programme!E15593,Programme!F15593,Programme!G15593,Programme!H15593,Programme!I15593,Programme!J15593)</f>
        <v>&lt;/ValeurCellule&gt;</v>
      </c>
    </row>
    <row r="15593" spans="1:1" x14ac:dyDescent="0.2">
      <c r="A15593" s="996" t="str">
        <f>CONCATENATE(Programme!D15594,Programme!E15594,Programme!F15594,Programme!G15594,Programme!H15594,Programme!I15594,Programme!J15594)</f>
        <v>&lt;ValeurCellule&gt;</v>
      </c>
    </row>
    <row r="15594" spans="1:1" x14ac:dyDescent="0.2">
      <c r="A15594" s="996" t="str">
        <f>CONCATENATE(Programme!D15595,Programme!E15595,Programme!F15595,Programme!G15595,Programme!H15595,Programme!I15595,Programme!J15595)</f>
        <v>&lt;cellule&gt;&lt;codeEdi&gt;1078&lt;/codeEdi&gt;&lt;/cellule&gt;</v>
      </c>
    </row>
    <row r="15595" spans="1:1" x14ac:dyDescent="0.2">
      <c r="A15595" s="996" t="str">
        <f>CONCATENATE(Programme!D15596,Programme!E15596,Programme!F15596,Programme!G15596,Programme!H15596,Programme!I15596,Programme!J15596)</f>
        <v>&lt;valeur&gt;&lt;/valeur&gt;</v>
      </c>
    </row>
    <row r="15596" spans="1:1" x14ac:dyDescent="0.2">
      <c r="A15596" s="996" t="str">
        <f>CONCATENATE(Programme!D15597,Programme!E15597,Programme!F15597,Programme!G15597,Programme!H15597,Programme!I15597,Programme!J15597)</f>
        <v>&lt;numeroLigne&gt;149&lt;/numeroLigne&gt;</v>
      </c>
    </row>
    <row r="15597" spans="1:1" x14ac:dyDescent="0.2">
      <c r="A15597" s="996" t="str">
        <f>CONCATENATE(Programme!D15598,Programme!E15598,Programme!F15598,Programme!G15598,Programme!H15598,Programme!I15598,Programme!J15598)</f>
        <v>&lt;/ValeurCellule&gt;</v>
      </c>
    </row>
    <row r="15598" spans="1:1" x14ac:dyDescent="0.2">
      <c r="A15598" s="996" t="str">
        <f>CONCATENATE(Programme!D15599,Programme!E15599,Programme!F15599,Programme!G15599,Programme!H15599,Programme!I15599,Programme!J15599)</f>
        <v>&lt;ValeurCellule&gt;</v>
      </c>
    </row>
    <row r="15599" spans="1:1" x14ac:dyDescent="0.2">
      <c r="A15599" s="996" t="str">
        <f>CONCATENATE(Programme!D15600,Programme!E15600,Programme!F15600,Programme!G15600,Programme!H15600,Programme!I15600,Programme!J15600)</f>
        <v>&lt;cellule&gt;&lt;codeEdi&gt;1079&lt;/codeEdi&gt;&lt;/cellule&gt;</v>
      </c>
    </row>
    <row r="15600" spans="1:1" x14ac:dyDescent="0.2">
      <c r="A15600" s="996" t="str">
        <f>CONCATENATE(Programme!D15601,Programme!E15601,Programme!F15601,Programme!G15601,Programme!H15601,Programme!I15601,Programme!J15601)</f>
        <v>&lt;valeur&gt;&lt;/valeur&gt;</v>
      </c>
    </row>
    <row r="15601" spans="1:1" x14ac:dyDescent="0.2">
      <c r="A15601" s="996" t="str">
        <f>CONCATENATE(Programme!D15602,Programme!E15602,Programme!F15602,Programme!G15602,Programme!H15602,Programme!I15602,Programme!J15602)</f>
        <v>&lt;numeroLigne&gt;149&lt;/numeroLigne&gt;</v>
      </c>
    </row>
    <row r="15602" spans="1:1" x14ac:dyDescent="0.2">
      <c r="A15602" s="996" t="str">
        <f>CONCATENATE(Programme!D15603,Programme!E15603,Programme!F15603,Programme!G15603,Programme!H15603,Programme!I15603,Programme!J15603)</f>
        <v>&lt;/ValeurCellule&gt;</v>
      </c>
    </row>
    <row r="15603" spans="1:1" x14ac:dyDescent="0.2">
      <c r="A15603" s="996" t="str">
        <f>CONCATENATE(Programme!D15604,Programme!E15604,Programme!F15604,Programme!G15604,Programme!H15604,Programme!I15604,Programme!J15604)</f>
        <v>&lt;ValeurCellule&gt;</v>
      </c>
    </row>
    <row r="15604" spans="1:1" x14ac:dyDescent="0.2">
      <c r="A15604" s="996" t="str">
        <f>CONCATENATE(Programme!D15605,Programme!E15605,Programme!F15605,Programme!G15605,Programme!H15605,Programme!I15605,Programme!J15605)</f>
        <v>&lt;cellule&gt;&lt;codeEdi&gt;1080&lt;/codeEdi&gt;&lt;/cellule&gt;</v>
      </c>
    </row>
    <row r="15605" spans="1:1" x14ac:dyDescent="0.2">
      <c r="A15605" s="996" t="str">
        <f>CONCATENATE(Programme!D15606,Programme!E15606,Programme!F15606,Programme!G15606,Programme!H15606,Programme!I15606,Programme!J15606)</f>
        <v>&lt;valeur&gt;&lt;/valeur&gt;</v>
      </c>
    </row>
    <row r="15606" spans="1:1" x14ac:dyDescent="0.2">
      <c r="A15606" s="996" t="str">
        <f>CONCATENATE(Programme!D15607,Programme!E15607,Programme!F15607,Programme!G15607,Programme!H15607,Programme!I15607,Programme!J15607)</f>
        <v>&lt;numeroLigne&gt;149&lt;/numeroLigne&gt;</v>
      </c>
    </row>
    <row r="15607" spans="1:1" x14ac:dyDescent="0.2">
      <c r="A15607" s="996" t="str">
        <f>CONCATENATE(Programme!D15608,Programme!E15608,Programme!F15608,Programme!G15608,Programme!H15608,Programme!I15608,Programme!J15608)</f>
        <v>&lt;/ValeurCellule&gt;</v>
      </c>
    </row>
    <row r="15608" spans="1:1" x14ac:dyDescent="0.2">
      <c r="A15608" s="996" t="str">
        <f>CONCATENATE(Programme!D15609,Programme!E15609,Programme!F15609,Programme!G15609,Programme!H15609,Programme!I15609,Programme!J15609)</f>
        <v>&lt;ValeurCellule&gt;</v>
      </c>
    </row>
    <row r="15609" spans="1:1" x14ac:dyDescent="0.2">
      <c r="A15609" s="996" t="str">
        <f>CONCATENATE(Programme!D15610,Programme!E15610,Programme!F15610,Programme!G15610,Programme!H15610,Programme!I15610,Programme!J15610)</f>
        <v>&lt;cellule&gt;&lt;codeEdi&gt;1081&lt;/codeEdi&gt;&lt;/cellule&gt;</v>
      </c>
    </row>
    <row r="15610" spans="1:1" x14ac:dyDescent="0.2">
      <c r="A15610" s="996" t="str">
        <f>CONCATENATE(Programme!D15611,Programme!E15611,Programme!F15611,Programme!G15611,Programme!H15611,Programme!I15611,Programme!J15611)</f>
        <v>&lt;valeur&gt;&lt;/valeur&gt;</v>
      </c>
    </row>
    <row r="15611" spans="1:1" x14ac:dyDescent="0.2">
      <c r="A15611" s="996" t="str">
        <f>CONCATENATE(Programme!D15612,Programme!E15612,Programme!F15612,Programme!G15612,Programme!H15612,Programme!I15612,Programme!J15612)</f>
        <v>&lt;numeroLigne&gt;149&lt;/numeroLigne&gt;</v>
      </c>
    </row>
    <row r="15612" spans="1:1" x14ac:dyDescent="0.2">
      <c r="A15612" s="996" t="str">
        <f>CONCATENATE(Programme!D15613,Programme!E15613,Programme!F15613,Programme!G15613,Programme!H15613,Programme!I15613,Programme!J15613)</f>
        <v>&lt;/ValeurCellule&gt;</v>
      </c>
    </row>
    <row r="15613" spans="1:1" x14ac:dyDescent="0.2">
      <c r="A15613" s="996" t="str">
        <f>CONCATENATE(Programme!D15614,Programme!E15614,Programme!F15614,Programme!G15614,Programme!H15614,Programme!I15614,Programme!J15614)</f>
        <v>&lt;ValeurCellule&gt;</v>
      </c>
    </row>
    <row r="15614" spans="1:1" x14ac:dyDescent="0.2">
      <c r="A15614" s="996" t="str">
        <f>CONCATENATE(Programme!D15615,Programme!E15615,Programme!F15615,Programme!G15615,Programme!H15615,Programme!I15615,Programme!J15615)</f>
        <v>&lt;cellule&gt;&lt;codeEdi&gt;1082&lt;/codeEdi&gt;&lt;/cellule&gt;</v>
      </c>
    </row>
    <row r="15615" spans="1:1" x14ac:dyDescent="0.2">
      <c r="A15615" s="996" t="str">
        <f>CONCATENATE(Programme!D15616,Programme!E15616,Programme!F15616,Programme!G15616,Programme!H15616,Programme!I15616,Programme!J15616)</f>
        <v>&lt;valeur&gt;&lt;/valeur&gt;</v>
      </c>
    </row>
    <row r="15616" spans="1:1" x14ac:dyDescent="0.2">
      <c r="A15616" s="996" t="str">
        <f>CONCATENATE(Programme!D15617,Programme!E15617,Programme!F15617,Programme!G15617,Programme!H15617,Programme!I15617,Programme!J15617)</f>
        <v>&lt;numeroLigne&gt;149&lt;/numeroLigne&gt;</v>
      </c>
    </row>
    <row r="15617" spans="1:1" x14ac:dyDescent="0.2">
      <c r="A15617" s="996" t="str">
        <f>CONCATENATE(Programme!D15618,Programme!E15618,Programme!F15618,Programme!G15618,Programme!H15618,Programme!I15618,Programme!J15618)</f>
        <v>&lt;/ValeurCellule&gt;</v>
      </c>
    </row>
    <row r="15618" spans="1:1" x14ac:dyDescent="0.2">
      <c r="A15618" s="996" t="str">
        <f>CONCATENATE(Programme!D15619,Programme!E15619,Programme!F15619,Programme!G15619,Programme!H15619,Programme!I15619,Programme!J15619)</f>
        <v>&lt;ValeurCellule&gt;</v>
      </c>
    </row>
    <row r="15619" spans="1:1" x14ac:dyDescent="0.2">
      <c r="A15619" s="996" t="str">
        <f>CONCATENATE(Programme!D15620,Programme!E15620,Programme!F15620,Programme!G15620,Programme!H15620,Programme!I15620,Programme!J15620)</f>
        <v>&lt;cellule&gt;&lt;codeEdi&gt;1083&lt;/codeEdi&gt;&lt;/cellule&gt;</v>
      </c>
    </row>
    <row r="15620" spans="1:1" x14ac:dyDescent="0.2">
      <c r="A15620" s="996" t="str">
        <f>CONCATENATE(Programme!D15621,Programme!E15621,Programme!F15621,Programme!G15621,Programme!H15621,Programme!I15621,Programme!J15621)</f>
        <v>&lt;valeur&gt;&lt;/valeur&gt;</v>
      </c>
    </row>
    <row r="15621" spans="1:1" x14ac:dyDescent="0.2">
      <c r="A15621" s="996" t="str">
        <f>CONCATENATE(Programme!D15622,Programme!E15622,Programme!F15622,Programme!G15622,Programme!H15622,Programme!I15622,Programme!J15622)</f>
        <v>&lt;numeroLigne&gt;149&lt;/numeroLigne&gt;</v>
      </c>
    </row>
    <row r="15622" spans="1:1" x14ac:dyDescent="0.2">
      <c r="A15622" s="996" t="str">
        <f>CONCATENATE(Programme!D15623,Programme!E15623,Programme!F15623,Programme!G15623,Programme!H15623,Programme!I15623,Programme!J15623)</f>
        <v>&lt;/ValeurCellule&gt;</v>
      </c>
    </row>
    <row r="15623" spans="1:1" x14ac:dyDescent="0.2">
      <c r="A15623" s="996" t="str">
        <f>CONCATENATE(Programme!D15624,Programme!E15624,Programme!F15624,Programme!G15624,Programme!H15624,Programme!I15624,Programme!J15624)</f>
        <v>&lt;ValeurCellule&gt;</v>
      </c>
    </row>
    <row r="15624" spans="1:1" x14ac:dyDescent="0.2">
      <c r="A15624" s="996" t="str">
        <f>CONCATENATE(Programme!D15625,Programme!E15625,Programme!F15625,Programme!G15625,Programme!H15625,Programme!I15625,Programme!J15625)</f>
        <v>&lt;cellule&gt;&lt;codeEdi&gt;1084&lt;/codeEdi&gt;&lt;/cellule&gt;</v>
      </c>
    </row>
    <row r="15625" spans="1:1" x14ac:dyDescent="0.2">
      <c r="A15625" s="996" t="str">
        <f>CONCATENATE(Programme!D15626,Programme!E15626,Programme!F15626,Programme!G15626,Programme!H15626,Programme!I15626,Programme!J15626)</f>
        <v>&lt;valeur&gt;&lt;/valeur&gt;</v>
      </c>
    </row>
    <row r="15626" spans="1:1" x14ac:dyDescent="0.2">
      <c r="A15626" s="996" t="str">
        <f>CONCATENATE(Programme!D15627,Programme!E15627,Programme!F15627,Programme!G15627,Programme!H15627,Programme!I15627,Programme!J15627)</f>
        <v>&lt;numeroLigne&gt;149&lt;/numeroLigne&gt;</v>
      </c>
    </row>
    <row r="15627" spans="1:1" x14ac:dyDescent="0.2">
      <c r="A15627" s="996" t="str">
        <f>CONCATENATE(Programme!D15628,Programme!E15628,Programme!F15628,Programme!G15628,Programme!H15628,Programme!I15628,Programme!J15628)</f>
        <v>&lt;/ValeurCellule&gt;</v>
      </c>
    </row>
    <row r="15628" spans="1:1" x14ac:dyDescent="0.2">
      <c r="A15628" s="996" t="str">
        <f>CONCATENATE(Programme!D15629,Programme!E15629,Programme!F15629,Programme!G15629,Programme!H15629,Programme!I15629,Programme!J15629)</f>
        <v>&lt;ValeurCellule&gt;</v>
      </c>
    </row>
    <row r="15629" spans="1:1" x14ac:dyDescent="0.2">
      <c r="A15629" s="996" t="str">
        <f>CONCATENATE(Programme!D15630,Programme!E15630,Programme!F15630,Programme!G15630,Programme!H15630,Programme!I15630,Programme!J15630)</f>
        <v>&lt;cellule&gt;&lt;codeEdi&gt;1085&lt;/codeEdi&gt;&lt;/cellule&gt;</v>
      </c>
    </row>
    <row r="15630" spans="1:1" x14ac:dyDescent="0.2">
      <c r="A15630" s="996" t="str">
        <f>CONCATENATE(Programme!D15631,Programme!E15631,Programme!F15631,Programme!G15631,Programme!H15631,Programme!I15631,Programme!J15631)</f>
        <v>&lt;valeur&gt;&lt;/valeur&gt;</v>
      </c>
    </row>
    <row r="15631" spans="1:1" x14ac:dyDescent="0.2">
      <c r="A15631" s="996" t="str">
        <f>CONCATENATE(Programme!D15632,Programme!E15632,Programme!F15632,Programme!G15632,Programme!H15632,Programme!I15632,Programme!J15632)</f>
        <v>&lt;numeroLigne&gt;149&lt;/numeroLigne&gt;</v>
      </c>
    </row>
    <row r="15632" spans="1:1" x14ac:dyDescent="0.2">
      <c r="A15632" s="996" t="str">
        <f>CONCATENATE(Programme!D15633,Programme!E15633,Programme!F15633,Programme!G15633,Programme!H15633,Programme!I15633,Programme!J15633)</f>
        <v>&lt;/ValeurCellule&gt;</v>
      </c>
    </row>
    <row r="15633" spans="1:1" x14ac:dyDescent="0.2">
      <c r="A15633" s="996" t="str">
        <f>CONCATENATE(Programme!D15634,Programme!E15634,Programme!F15634,Programme!G15634,Programme!H15634,Programme!I15634,Programme!J15634)</f>
        <v>&lt;ValeurCellule&gt;</v>
      </c>
    </row>
    <row r="15634" spans="1:1" x14ac:dyDescent="0.2">
      <c r="A15634" s="996" t="str">
        <f>CONCATENATE(Programme!D15635,Programme!E15635,Programme!F15635,Programme!G15635,Programme!H15635,Programme!I15635,Programme!J15635)</f>
        <v>&lt;cellule&gt;&lt;codeEdi&gt;1086&lt;/codeEdi&gt;&lt;/cellule&gt;</v>
      </c>
    </row>
    <row r="15635" spans="1:1" x14ac:dyDescent="0.2">
      <c r="A15635" s="996" t="str">
        <f>CONCATENATE(Programme!D15636,Programme!E15636,Programme!F15636,Programme!G15636,Programme!H15636,Programme!I15636,Programme!J15636)</f>
        <v>&lt;valeur&gt;&lt;/valeur&gt;</v>
      </c>
    </row>
    <row r="15636" spans="1:1" x14ac:dyDescent="0.2">
      <c r="A15636" s="996" t="str">
        <f>CONCATENATE(Programme!D15637,Programme!E15637,Programme!F15637,Programme!G15637,Programme!H15637,Programme!I15637,Programme!J15637)</f>
        <v>&lt;numeroLigne&gt;149&lt;/numeroLigne&gt;</v>
      </c>
    </row>
    <row r="15637" spans="1:1" x14ac:dyDescent="0.2">
      <c r="A15637" s="996" t="str">
        <f>CONCATENATE(Programme!D15638,Programme!E15638,Programme!F15638,Programme!G15638,Programme!H15638,Programme!I15638,Programme!J15638)</f>
        <v>&lt;/ValeurCellule&gt;</v>
      </c>
    </row>
    <row r="15638" spans="1:1" x14ac:dyDescent="0.2">
      <c r="A15638" s="996" t="str">
        <f>CONCATENATE(Programme!D15639,Programme!E15639,Programme!F15639,Programme!G15639,Programme!H15639,Programme!I15639,Programme!J15639)</f>
        <v>&lt;ValeurCellule&gt;</v>
      </c>
    </row>
    <row r="15639" spans="1:1" x14ac:dyDescent="0.2">
      <c r="A15639" s="996" t="str">
        <f>CONCATENATE(Programme!D15640,Programme!E15640,Programme!F15640,Programme!G15640,Programme!H15640,Programme!I15640,Programme!J15640)</f>
        <v>&lt;cellule&gt;&lt;codeEdi&gt;10061&lt;/codeEdi&gt;&lt;/cellule&gt;</v>
      </c>
    </row>
    <row r="15640" spans="1:1" x14ac:dyDescent="0.2">
      <c r="A15640" s="996" t="str">
        <f>CONCATENATE(Programme!D15641,Programme!E15641,Programme!F15641,Programme!G15641,Programme!H15641,Programme!I15641,Programme!J15641)</f>
        <v>&lt;valeur&gt;&lt;/valeur&gt;</v>
      </c>
    </row>
    <row r="15641" spans="1:1" x14ac:dyDescent="0.2">
      <c r="A15641" s="996" t="str">
        <f>CONCATENATE(Programme!D15642,Programme!E15642,Programme!F15642,Programme!G15642,Programme!H15642,Programme!I15642,Programme!J15642)</f>
        <v>&lt;numeroLigne&gt;150&lt;/numeroLigne&gt;</v>
      </c>
    </row>
    <row r="15642" spans="1:1" x14ac:dyDescent="0.2">
      <c r="A15642" s="996" t="str">
        <f>CONCATENATE(Programme!D15643,Programme!E15643,Programme!F15643,Programme!G15643,Programme!H15643,Programme!I15643,Programme!J15643)</f>
        <v>&lt;/ValeurCellule&gt;</v>
      </c>
    </row>
    <row r="15643" spans="1:1" x14ac:dyDescent="0.2">
      <c r="A15643" s="996" t="str">
        <f>CONCATENATE(Programme!D15644,Programme!E15644,Programme!F15644,Programme!G15644,Programme!H15644,Programme!I15644,Programme!J15644)</f>
        <v>&lt;ValeurCellule&gt;</v>
      </c>
    </row>
    <row r="15644" spans="1:1" x14ac:dyDescent="0.2">
      <c r="A15644" s="996" t="str">
        <f>CONCATENATE(Programme!D15645,Programme!E15645,Programme!F15645,Programme!G15645,Programme!H15645,Programme!I15645,Programme!J15645)</f>
        <v>&lt;cellule&gt;&lt;codeEdi&gt;1078&lt;/codeEdi&gt;&lt;/cellule&gt;</v>
      </c>
    </row>
    <row r="15645" spans="1:1" x14ac:dyDescent="0.2">
      <c r="A15645" s="996" t="str">
        <f>CONCATENATE(Programme!D15646,Programme!E15646,Programme!F15646,Programme!G15646,Programme!H15646,Programme!I15646,Programme!J15646)</f>
        <v>&lt;valeur&gt;&lt;/valeur&gt;</v>
      </c>
    </row>
    <row r="15646" spans="1:1" x14ac:dyDescent="0.2">
      <c r="A15646" s="996" t="str">
        <f>CONCATENATE(Programme!D15647,Programme!E15647,Programme!F15647,Programme!G15647,Programme!H15647,Programme!I15647,Programme!J15647)</f>
        <v>&lt;numeroLigne&gt;150&lt;/numeroLigne&gt;</v>
      </c>
    </row>
    <row r="15647" spans="1:1" x14ac:dyDescent="0.2">
      <c r="A15647" s="996" t="str">
        <f>CONCATENATE(Programme!D15648,Programme!E15648,Programme!F15648,Programme!G15648,Programme!H15648,Programme!I15648,Programme!J15648)</f>
        <v>&lt;/ValeurCellule&gt;</v>
      </c>
    </row>
    <row r="15648" spans="1:1" x14ac:dyDescent="0.2">
      <c r="A15648" s="996" t="str">
        <f>CONCATENATE(Programme!D15649,Programme!E15649,Programme!F15649,Programme!G15649,Programme!H15649,Programme!I15649,Programme!J15649)</f>
        <v>&lt;ValeurCellule&gt;</v>
      </c>
    </row>
    <row r="15649" spans="1:1" x14ac:dyDescent="0.2">
      <c r="A15649" s="996" t="str">
        <f>CONCATENATE(Programme!D15650,Programme!E15650,Programme!F15650,Programme!G15650,Programme!H15650,Programme!I15650,Programme!J15650)</f>
        <v>&lt;cellule&gt;&lt;codeEdi&gt;1079&lt;/codeEdi&gt;&lt;/cellule&gt;</v>
      </c>
    </row>
    <row r="15650" spans="1:1" x14ac:dyDescent="0.2">
      <c r="A15650" s="996" t="str">
        <f>CONCATENATE(Programme!D15651,Programme!E15651,Programme!F15651,Programme!G15651,Programme!H15651,Programme!I15651,Programme!J15651)</f>
        <v>&lt;valeur&gt;&lt;/valeur&gt;</v>
      </c>
    </row>
    <row r="15651" spans="1:1" x14ac:dyDescent="0.2">
      <c r="A15651" s="996" t="str">
        <f>CONCATENATE(Programme!D15652,Programme!E15652,Programme!F15652,Programme!G15652,Programme!H15652,Programme!I15652,Programme!J15652)</f>
        <v>&lt;numeroLigne&gt;150&lt;/numeroLigne&gt;</v>
      </c>
    </row>
    <row r="15652" spans="1:1" x14ac:dyDescent="0.2">
      <c r="A15652" s="996" t="str">
        <f>CONCATENATE(Programme!D15653,Programme!E15653,Programme!F15653,Programme!G15653,Programme!H15653,Programme!I15653,Programme!J15653)</f>
        <v>&lt;/ValeurCellule&gt;</v>
      </c>
    </row>
    <row r="15653" spans="1:1" x14ac:dyDescent="0.2">
      <c r="A15653" s="996" t="str">
        <f>CONCATENATE(Programme!D15654,Programme!E15654,Programme!F15654,Programme!G15654,Programme!H15654,Programme!I15654,Programme!J15654)</f>
        <v>&lt;ValeurCellule&gt;</v>
      </c>
    </row>
    <row r="15654" spans="1:1" x14ac:dyDescent="0.2">
      <c r="A15654" s="996" t="str">
        <f>CONCATENATE(Programme!D15655,Programme!E15655,Programme!F15655,Programme!G15655,Programme!H15655,Programme!I15655,Programme!J15655)</f>
        <v>&lt;cellule&gt;&lt;codeEdi&gt;1080&lt;/codeEdi&gt;&lt;/cellule&gt;</v>
      </c>
    </row>
    <row r="15655" spans="1:1" x14ac:dyDescent="0.2">
      <c r="A15655" s="996" t="str">
        <f>CONCATENATE(Programme!D15656,Programme!E15656,Programme!F15656,Programme!G15656,Programme!H15656,Programme!I15656,Programme!J15656)</f>
        <v>&lt;valeur&gt;&lt;/valeur&gt;</v>
      </c>
    </row>
    <row r="15656" spans="1:1" x14ac:dyDescent="0.2">
      <c r="A15656" s="996" t="str">
        <f>CONCATENATE(Programme!D15657,Programme!E15657,Programme!F15657,Programme!G15657,Programme!H15657,Programme!I15657,Programme!J15657)</f>
        <v>&lt;numeroLigne&gt;150&lt;/numeroLigne&gt;</v>
      </c>
    </row>
    <row r="15657" spans="1:1" x14ac:dyDescent="0.2">
      <c r="A15657" s="996" t="str">
        <f>CONCATENATE(Programme!D15658,Programme!E15658,Programme!F15658,Programme!G15658,Programme!H15658,Programme!I15658,Programme!J15658)</f>
        <v>&lt;/ValeurCellule&gt;</v>
      </c>
    </row>
    <row r="15658" spans="1:1" x14ac:dyDescent="0.2">
      <c r="A15658" s="996" t="str">
        <f>CONCATENATE(Programme!D15659,Programme!E15659,Programme!F15659,Programme!G15659,Programme!H15659,Programme!I15659,Programme!J15659)</f>
        <v>&lt;ValeurCellule&gt;</v>
      </c>
    </row>
    <row r="15659" spans="1:1" x14ac:dyDescent="0.2">
      <c r="A15659" s="996" t="str">
        <f>CONCATENATE(Programme!D15660,Programme!E15660,Programme!F15660,Programme!G15660,Programme!H15660,Programme!I15660,Programme!J15660)</f>
        <v>&lt;cellule&gt;&lt;codeEdi&gt;1081&lt;/codeEdi&gt;&lt;/cellule&gt;</v>
      </c>
    </row>
    <row r="15660" spans="1:1" x14ac:dyDescent="0.2">
      <c r="A15660" s="996" t="str">
        <f>CONCATENATE(Programme!D15661,Programme!E15661,Programme!F15661,Programme!G15661,Programme!H15661,Programme!I15661,Programme!J15661)</f>
        <v>&lt;valeur&gt;&lt;/valeur&gt;</v>
      </c>
    </row>
    <row r="15661" spans="1:1" x14ac:dyDescent="0.2">
      <c r="A15661" s="996" t="str">
        <f>CONCATENATE(Programme!D15662,Programme!E15662,Programme!F15662,Programme!G15662,Programme!H15662,Programme!I15662,Programme!J15662)</f>
        <v>&lt;numeroLigne&gt;150&lt;/numeroLigne&gt;</v>
      </c>
    </row>
    <row r="15662" spans="1:1" x14ac:dyDescent="0.2">
      <c r="A15662" s="996" t="str">
        <f>CONCATENATE(Programme!D15663,Programme!E15663,Programme!F15663,Programme!G15663,Programme!H15663,Programme!I15663,Programme!J15663)</f>
        <v>&lt;/ValeurCellule&gt;</v>
      </c>
    </row>
    <row r="15663" spans="1:1" x14ac:dyDescent="0.2">
      <c r="A15663" s="996" t="str">
        <f>CONCATENATE(Programme!D15664,Programme!E15664,Programme!F15664,Programme!G15664,Programme!H15664,Programme!I15664,Programme!J15664)</f>
        <v>&lt;ValeurCellule&gt;</v>
      </c>
    </row>
    <row r="15664" spans="1:1" x14ac:dyDescent="0.2">
      <c r="A15664" s="996" t="str">
        <f>CONCATENATE(Programme!D15665,Programme!E15665,Programme!F15665,Programme!G15665,Programme!H15665,Programme!I15665,Programme!J15665)</f>
        <v>&lt;cellule&gt;&lt;codeEdi&gt;1082&lt;/codeEdi&gt;&lt;/cellule&gt;</v>
      </c>
    </row>
    <row r="15665" spans="1:1" x14ac:dyDescent="0.2">
      <c r="A15665" s="996" t="str">
        <f>CONCATENATE(Programme!D15666,Programme!E15666,Programme!F15666,Programme!G15666,Programme!H15666,Programme!I15666,Programme!J15666)</f>
        <v>&lt;valeur&gt;&lt;/valeur&gt;</v>
      </c>
    </row>
    <row r="15666" spans="1:1" x14ac:dyDescent="0.2">
      <c r="A15666" s="996" t="str">
        <f>CONCATENATE(Programme!D15667,Programme!E15667,Programme!F15667,Programme!G15667,Programme!H15667,Programme!I15667,Programme!J15667)</f>
        <v>&lt;numeroLigne&gt;150&lt;/numeroLigne&gt;</v>
      </c>
    </row>
    <row r="15667" spans="1:1" x14ac:dyDescent="0.2">
      <c r="A15667" s="996" t="str">
        <f>CONCATENATE(Programme!D15668,Programme!E15668,Programme!F15668,Programme!G15668,Programme!H15668,Programme!I15668,Programme!J15668)</f>
        <v>&lt;/ValeurCellule&gt;</v>
      </c>
    </row>
    <row r="15668" spans="1:1" x14ac:dyDescent="0.2">
      <c r="A15668" s="996" t="str">
        <f>CONCATENATE(Programme!D15669,Programme!E15669,Programme!F15669,Programme!G15669,Programme!H15669,Programme!I15669,Programme!J15669)</f>
        <v>&lt;ValeurCellule&gt;</v>
      </c>
    </row>
    <row r="15669" spans="1:1" x14ac:dyDescent="0.2">
      <c r="A15669" s="996" t="str">
        <f>CONCATENATE(Programme!D15670,Programme!E15670,Programme!F15670,Programme!G15670,Programme!H15670,Programme!I15670,Programme!J15670)</f>
        <v>&lt;cellule&gt;&lt;codeEdi&gt;1083&lt;/codeEdi&gt;&lt;/cellule&gt;</v>
      </c>
    </row>
    <row r="15670" spans="1:1" x14ac:dyDescent="0.2">
      <c r="A15670" s="996" t="str">
        <f>CONCATENATE(Programme!D15671,Programme!E15671,Programme!F15671,Programme!G15671,Programme!H15671,Programme!I15671,Programme!J15671)</f>
        <v>&lt;valeur&gt;&lt;/valeur&gt;</v>
      </c>
    </row>
    <row r="15671" spans="1:1" x14ac:dyDescent="0.2">
      <c r="A15671" s="996" t="str">
        <f>CONCATENATE(Programme!D15672,Programme!E15672,Programme!F15672,Programme!G15672,Programme!H15672,Programme!I15672,Programme!J15672)</f>
        <v>&lt;numeroLigne&gt;150&lt;/numeroLigne&gt;</v>
      </c>
    </row>
    <row r="15672" spans="1:1" x14ac:dyDescent="0.2">
      <c r="A15672" s="996" t="str">
        <f>CONCATENATE(Programme!D15673,Programme!E15673,Programme!F15673,Programme!G15673,Programme!H15673,Programme!I15673,Programme!J15673)</f>
        <v>&lt;/ValeurCellule&gt;</v>
      </c>
    </row>
    <row r="15673" spans="1:1" x14ac:dyDescent="0.2">
      <c r="A15673" s="996" t="str">
        <f>CONCATENATE(Programme!D15674,Programme!E15674,Programme!F15674,Programme!G15674,Programme!H15674,Programme!I15674,Programme!J15674)</f>
        <v>&lt;ValeurCellule&gt;</v>
      </c>
    </row>
    <row r="15674" spans="1:1" x14ac:dyDescent="0.2">
      <c r="A15674" s="996" t="str">
        <f>CONCATENATE(Programme!D15675,Programme!E15675,Programme!F15675,Programme!G15675,Programme!H15675,Programme!I15675,Programme!J15675)</f>
        <v>&lt;cellule&gt;&lt;codeEdi&gt;1084&lt;/codeEdi&gt;&lt;/cellule&gt;</v>
      </c>
    </row>
    <row r="15675" spans="1:1" x14ac:dyDescent="0.2">
      <c r="A15675" s="996" t="str">
        <f>CONCATENATE(Programme!D15676,Programme!E15676,Programme!F15676,Programme!G15676,Programme!H15676,Programme!I15676,Programme!J15676)</f>
        <v>&lt;valeur&gt;&lt;/valeur&gt;</v>
      </c>
    </row>
    <row r="15676" spans="1:1" x14ac:dyDescent="0.2">
      <c r="A15676" s="996" t="str">
        <f>CONCATENATE(Programme!D15677,Programme!E15677,Programme!F15677,Programme!G15677,Programme!H15677,Programme!I15677,Programme!J15677)</f>
        <v>&lt;numeroLigne&gt;150&lt;/numeroLigne&gt;</v>
      </c>
    </row>
    <row r="15677" spans="1:1" x14ac:dyDescent="0.2">
      <c r="A15677" s="996" t="str">
        <f>CONCATENATE(Programme!D15678,Programme!E15678,Programme!F15678,Programme!G15678,Programme!H15678,Programme!I15678,Programme!J15678)</f>
        <v>&lt;/ValeurCellule&gt;</v>
      </c>
    </row>
    <row r="15678" spans="1:1" x14ac:dyDescent="0.2">
      <c r="A15678" s="996" t="str">
        <f>CONCATENATE(Programme!D15679,Programme!E15679,Programme!F15679,Programme!G15679,Programme!H15679,Programme!I15679,Programme!J15679)</f>
        <v>&lt;ValeurCellule&gt;</v>
      </c>
    </row>
    <row r="15679" spans="1:1" x14ac:dyDescent="0.2">
      <c r="A15679" s="996" t="str">
        <f>CONCATENATE(Programme!D15680,Programme!E15680,Programme!F15680,Programme!G15680,Programme!H15680,Programme!I15680,Programme!J15680)</f>
        <v>&lt;cellule&gt;&lt;codeEdi&gt;1085&lt;/codeEdi&gt;&lt;/cellule&gt;</v>
      </c>
    </row>
    <row r="15680" spans="1:1" x14ac:dyDescent="0.2">
      <c r="A15680" s="996" t="str">
        <f>CONCATENATE(Programme!D15681,Programme!E15681,Programme!F15681,Programme!G15681,Programme!H15681,Programme!I15681,Programme!J15681)</f>
        <v>&lt;valeur&gt;&lt;/valeur&gt;</v>
      </c>
    </row>
    <row r="15681" spans="1:1" x14ac:dyDescent="0.2">
      <c r="A15681" s="996" t="str">
        <f>CONCATENATE(Programme!D15682,Programme!E15682,Programme!F15682,Programme!G15682,Programme!H15682,Programme!I15682,Programme!J15682)</f>
        <v>&lt;numeroLigne&gt;150&lt;/numeroLigne&gt;</v>
      </c>
    </row>
    <row r="15682" spans="1:1" x14ac:dyDescent="0.2">
      <c r="A15682" s="996" t="str">
        <f>CONCATENATE(Programme!D15683,Programme!E15683,Programme!F15683,Programme!G15683,Programme!H15683,Programme!I15683,Programme!J15683)</f>
        <v>&lt;/ValeurCellule&gt;</v>
      </c>
    </row>
    <row r="15683" spans="1:1" x14ac:dyDescent="0.2">
      <c r="A15683" s="996" t="str">
        <f>CONCATENATE(Programme!D15684,Programme!E15684,Programme!F15684,Programme!G15684,Programme!H15684,Programme!I15684,Programme!J15684)</f>
        <v>&lt;ValeurCellule&gt;</v>
      </c>
    </row>
    <row r="15684" spans="1:1" x14ac:dyDescent="0.2">
      <c r="A15684" s="996" t="str">
        <f>CONCATENATE(Programme!D15685,Programme!E15685,Programme!F15685,Programme!G15685,Programme!H15685,Programme!I15685,Programme!J15685)</f>
        <v>&lt;cellule&gt;&lt;codeEdi&gt;1086&lt;/codeEdi&gt;&lt;/cellule&gt;</v>
      </c>
    </row>
    <row r="15685" spans="1:1" x14ac:dyDescent="0.2">
      <c r="A15685" s="996" t="str">
        <f>CONCATENATE(Programme!D15686,Programme!E15686,Programme!F15686,Programme!G15686,Programme!H15686,Programme!I15686,Programme!J15686)</f>
        <v>&lt;valeur&gt;&lt;/valeur&gt;</v>
      </c>
    </row>
    <row r="15686" spans="1:1" x14ac:dyDescent="0.2">
      <c r="A15686" s="996" t="str">
        <f>CONCATENATE(Programme!D15687,Programme!E15687,Programme!F15687,Programme!G15687,Programme!H15687,Programme!I15687,Programme!J15687)</f>
        <v>&lt;numeroLigne&gt;150&lt;/numeroLigne&gt;</v>
      </c>
    </row>
    <row r="15687" spans="1:1" x14ac:dyDescent="0.2">
      <c r="A15687" s="996" t="str">
        <f>CONCATENATE(Programme!D15688,Programme!E15688,Programme!F15688,Programme!G15688,Programme!H15688,Programme!I15688,Programme!J15688)</f>
        <v>&lt;/ValeurCellule&gt;</v>
      </c>
    </row>
    <row r="15688" spans="1:1" x14ac:dyDescent="0.2">
      <c r="A15688" s="996" t="str">
        <f>CONCATENATE(Programme!D15689,Programme!E15689,Programme!F15689,Programme!G15689,Programme!H15689,Programme!I15689,Programme!J15689)</f>
        <v>&lt;ValeurCellule&gt;</v>
      </c>
    </row>
    <row r="15689" spans="1:1" x14ac:dyDescent="0.2">
      <c r="A15689" s="996" t="str">
        <f>CONCATENATE(Programme!D15690,Programme!E15690,Programme!F15690,Programme!G15690,Programme!H15690,Programme!I15690,Programme!J15690)</f>
        <v>&lt;cellule&gt;&lt;codeEdi&gt;10061&lt;/codeEdi&gt;&lt;/cellule&gt;</v>
      </c>
    </row>
    <row r="15690" spans="1:1" x14ac:dyDescent="0.2">
      <c r="A15690" s="996" t="str">
        <f>CONCATENATE(Programme!D15691,Programme!E15691,Programme!F15691,Programme!G15691,Programme!H15691,Programme!I15691,Programme!J15691)</f>
        <v>&lt;valeur&gt;&lt;/valeur&gt;</v>
      </c>
    </row>
    <row r="15691" spans="1:1" x14ac:dyDescent="0.2">
      <c r="A15691" s="996" t="str">
        <f>CONCATENATE(Programme!D15692,Programme!E15692,Programme!F15692,Programme!G15692,Programme!H15692,Programme!I15692,Programme!J15692)</f>
        <v>&lt;numeroLigne&gt;151&lt;/numeroLigne&gt;</v>
      </c>
    </row>
    <row r="15692" spans="1:1" x14ac:dyDescent="0.2">
      <c r="A15692" s="996" t="str">
        <f>CONCATENATE(Programme!D15693,Programme!E15693,Programme!F15693,Programme!G15693,Programme!H15693,Programme!I15693,Programme!J15693)</f>
        <v>&lt;/ValeurCellule&gt;</v>
      </c>
    </row>
    <row r="15693" spans="1:1" x14ac:dyDescent="0.2">
      <c r="A15693" s="996" t="str">
        <f>CONCATENATE(Programme!D15694,Programme!E15694,Programme!F15694,Programme!G15694,Programme!H15694,Programme!I15694,Programme!J15694)</f>
        <v>&lt;ValeurCellule&gt;</v>
      </c>
    </row>
    <row r="15694" spans="1:1" x14ac:dyDescent="0.2">
      <c r="A15694" s="996" t="str">
        <f>CONCATENATE(Programme!D15695,Programme!E15695,Programme!F15695,Programme!G15695,Programme!H15695,Programme!I15695,Programme!J15695)</f>
        <v>&lt;cellule&gt;&lt;codeEdi&gt;1078&lt;/codeEdi&gt;&lt;/cellule&gt;</v>
      </c>
    </row>
    <row r="15695" spans="1:1" x14ac:dyDescent="0.2">
      <c r="A15695" s="996" t="str">
        <f>CONCATENATE(Programme!D15696,Programme!E15696,Programme!F15696,Programme!G15696,Programme!H15696,Programme!I15696,Programme!J15696)</f>
        <v>&lt;valeur&gt;&lt;/valeur&gt;</v>
      </c>
    </row>
    <row r="15696" spans="1:1" x14ac:dyDescent="0.2">
      <c r="A15696" s="996" t="str">
        <f>CONCATENATE(Programme!D15697,Programme!E15697,Programme!F15697,Programme!G15697,Programme!H15697,Programme!I15697,Programme!J15697)</f>
        <v>&lt;numeroLigne&gt;151&lt;/numeroLigne&gt;</v>
      </c>
    </row>
    <row r="15697" spans="1:1" x14ac:dyDescent="0.2">
      <c r="A15697" s="996" t="str">
        <f>CONCATENATE(Programme!D15698,Programme!E15698,Programme!F15698,Programme!G15698,Programme!H15698,Programme!I15698,Programme!J15698)</f>
        <v>&lt;/ValeurCellule&gt;</v>
      </c>
    </row>
    <row r="15698" spans="1:1" x14ac:dyDescent="0.2">
      <c r="A15698" s="996" t="str">
        <f>CONCATENATE(Programme!D15699,Programme!E15699,Programme!F15699,Programme!G15699,Programme!H15699,Programme!I15699,Programme!J15699)</f>
        <v>&lt;ValeurCellule&gt;</v>
      </c>
    </row>
    <row r="15699" spans="1:1" x14ac:dyDescent="0.2">
      <c r="A15699" s="996" t="str">
        <f>CONCATENATE(Programme!D15700,Programme!E15700,Programme!F15700,Programme!G15700,Programme!H15700,Programme!I15700,Programme!J15700)</f>
        <v>&lt;cellule&gt;&lt;codeEdi&gt;1079&lt;/codeEdi&gt;&lt;/cellule&gt;</v>
      </c>
    </row>
    <row r="15700" spans="1:1" x14ac:dyDescent="0.2">
      <c r="A15700" s="996" t="str">
        <f>CONCATENATE(Programme!D15701,Programme!E15701,Programme!F15701,Programme!G15701,Programme!H15701,Programme!I15701,Programme!J15701)</f>
        <v>&lt;valeur&gt;&lt;/valeur&gt;</v>
      </c>
    </row>
    <row r="15701" spans="1:1" x14ac:dyDescent="0.2">
      <c r="A15701" s="996" t="str">
        <f>CONCATENATE(Programme!D15702,Programme!E15702,Programme!F15702,Programme!G15702,Programme!H15702,Programme!I15702,Programme!J15702)</f>
        <v>&lt;numeroLigne&gt;151&lt;/numeroLigne&gt;</v>
      </c>
    </row>
    <row r="15702" spans="1:1" x14ac:dyDescent="0.2">
      <c r="A15702" s="996" t="str">
        <f>CONCATENATE(Programme!D15703,Programme!E15703,Programme!F15703,Programme!G15703,Programme!H15703,Programme!I15703,Programme!J15703)</f>
        <v>&lt;/ValeurCellule&gt;</v>
      </c>
    </row>
    <row r="15703" spans="1:1" x14ac:dyDescent="0.2">
      <c r="A15703" s="996" t="str">
        <f>CONCATENATE(Programme!D15704,Programme!E15704,Programme!F15704,Programme!G15704,Programme!H15704,Programme!I15704,Programme!J15704)</f>
        <v>&lt;ValeurCellule&gt;</v>
      </c>
    </row>
    <row r="15704" spans="1:1" x14ac:dyDescent="0.2">
      <c r="A15704" s="996" t="str">
        <f>CONCATENATE(Programme!D15705,Programme!E15705,Programme!F15705,Programme!G15705,Programme!H15705,Programme!I15705,Programme!J15705)</f>
        <v>&lt;cellule&gt;&lt;codeEdi&gt;1080&lt;/codeEdi&gt;&lt;/cellule&gt;</v>
      </c>
    </row>
    <row r="15705" spans="1:1" x14ac:dyDescent="0.2">
      <c r="A15705" s="996" t="str">
        <f>CONCATENATE(Programme!D15706,Programme!E15706,Programme!F15706,Programme!G15706,Programme!H15706,Programme!I15706,Programme!J15706)</f>
        <v>&lt;valeur&gt;&lt;/valeur&gt;</v>
      </c>
    </row>
    <row r="15706" spans="1:1" x14ac:dyDescent="0.2">
      <c r="A15706" s="996" t="str">
        <f>CONCATENATE(Programme!D15707,Programme!E15707,Programme!F15707,Programme!G15707,Programme!H15707,Programme!I15707,Programme!J15707)</f>
        <v>&lt;numeroLigne&gt;151&lt;/numeroLigne&gt;</v>
      </c>
    </row>
    <row r="15707" spans="1:1" x14ac:dyDescent="0.2">
      <c r="A15707" s="996" t="str">
        <f>CONCATENATE(Programme!D15708,Programme!E15708,Programme!F15708,Programme!G15708,Programme!H15708,Programme!I15708,Programme!J15708)</f>
        <v>&lt;/ValeurCellule&gt;</v>
      </c>
    </row>
    <row r="15708" spans="1:1" x14ac:dyDescent="0.2">
      <c r="A15708" s="996" t="str">
        <f>CONCATENATE(Programme!D15709,Programme!E15709,Programme!F15709,Programme!G15709,Programme!H15709,Programme!I15709,Programme!J15709)</f>
        <v>&lt;ValeurCellule&gt;</v>
      </c>
    </row>
    <row r="15709" spans="1:1" x14ac:dyDescent="0.2">
      <c r="A15709" s="996" t="str">
        <f>CONCATENATE(Programme!D15710,Programme!E15710,Programme!F15710,Programme!G15710,Programme!H15710,Programme!I15710,Programme!J15710)</f>
        <v>&lt;cellule&gt;&lt;codeEdi&gt;1081&lt;/codeEdi&gt;&lt;/cellule&gt;</v>
      </c>
    </row>
    <row r="15710" spans="1:1" x14ac:dyDescent="0.2">
      <c r="A15710" s="996" t="str">
        <f>CONCATENATE(Programme!D15711,Programme!E15711,Programme!F15711,Programme!G15711,Programme!H15711,Programme!I15711,Programme!J15711)</f>
        <v>&lt;valeur&gt;&lt;/valeur&gt;</v>
      </c>
    </row>
    <row r="15711" spans="1:1" x14ac:dyDescent="0.2">
      <c r="A15711" s="996" t="str">
        <f>CONCATENATE(Programme!D15712,Programme!E15712,Programme!F15712,Programme!G15712,Programme!H15712,Programme!I15712,Programme!J15712)</f>
        <v>&lt;numeroLigne&gt;151&lt;/numeroLigne&gt;</v>
      </c>
    </row>
    <row r="15712" spans="1:1" x14ac:dyDescent="0.2">
      <c r="A15712" s="996" t="str">
        <f>CONCATENATE(Programme!D15713,Programme!E15713,Programme!F15713,Programme!G15713,Programme!H15713,Programme!I15713,Programme!J15713)</f>
        <v>&lt;/ValeurCellule&gt;</v>
      </c>
    </row>
    <row r="15713" spans="1:1" x14ac:dyDescent="0.2">
      <c r="A15713" s="996" t="str">
        <f>CONCATENATE(Programme!D15714,Programme!E15714,Programme!F15714,Programme!G15714,Programme!H15714,Programme!I15714,Programme!J15714)</f>
        <v>&lt;ValeurCellule&gt;</v>
      </c>
    </row>
    <row r="15714" spans="1:1" x14ac:dyDescent="0.2">
      <c r="A15714" s="996" t="str">
        <f>CONCATENATE(Programme!D15715,Programme!E15715,Programme!F15715,Programme!G15715,Programme!H15715,Programme!I15715,Programme!J15715)</f>
        <v>&lt;cellule&gt;&lt;codeEdi&gt;1082&lt;/codeEdi&gt;&lt;/cellule&gt;</v>
      </c>
    </row>
    <row r="15715" spans="1:1" x14ac:dyDescent="0.2">
      <c r="A15715" s="996" t="str">
        <f>CONCATENATE(Programme!D15716,Programme!E15716,Programme!F15716,Programme!G15716,Programme!H15716,Programme!I15716,Programme!J15716)</f>
        <v>&lt;valeur&gt;&lt;/valeur&gt;</v>
      </c>
    </row>
    <row r="15716" spans="1:1" x14ac:dyDescent="0.2">
      <c r="A15716" s="996" t="str">
        <f>CONCATENATE(Programme!D15717,Programme!E15717,Programme!F15717,Programme!G15717,Programme!H15717,Programme!I15717,Programme!J15717)</f>
        <v>&lt;numeroLigne&gt;151&lt;/numeroLigne&gt;</v>
      </c>
    </row>
    <row r="15717" spans="1:1" x14ac:dyDescent="0.2">
      <c r="A15717" s="996" t="str">
        <f>CONCATENATE(Programme!D15718,Programme!E15718,Programme!F15718,Programme!G15718,Programme!H15718,Programme!I15718,Programme!J15718)</f>
        <v>&lt;/ValeurCellule&gt;</v>
      </c>
    </row>
    <row r="15718" spans="1:1" x14ac:dyDescent="0.2">
      <c r="A15718" s="996" t="str">
        <f>CONCATENATE(Programme!D15719,Programme!E15719,Programme!F15719,Programme!G15719,Programme!H15719,Programme!I15719,Programme!J15719)</f>
        <v>&lt;ValeurCellule&gt;</v>
      </c>
    </row>
    <row r="15719" spans="1:1" x14ac:dyDescent="0.2">
      <c r="A15719" s="996" t="str">
        <f>CONCATENATE(Programme!D15720,Programme!E15720,Programme!F15720,Programme!G15720,Programme!H15720,Programme!I15720,Programme!J15720)</f>
        <v>&lt;cellule&gt;&lt;codeEdi&gt;1083&lt;/codeEdi&gt;&lt;/cellule&gt;</v>
      </c>
    </row>
    <row r="15720" spans="1:1" x14ac:dyDescent="0.2">
      <c r="A15720" s="996" t="str">
        <f>CONCATENATE(Programme!D15721,Programme!E15721,Programme!F15721,Programme!G15721,Programme!H15721,Programme!I15721,Programme!J15721)</f>
        <v>&lt;valeur&gt;&lt;/valeur&gt;</v>
      </c>
    </row>
    <row r="15721" spans="1:1" x14ac:dyDescent="0.2">
      <c r="A15721" s="996" t="str">
        <f>CONCATENATE(Programme!D15722,Programme!E15722,Programme!F15722,Programme!G15722,Programme!H15722,Programme!I15722,Programme!J15722)</f>
        <v>&lt;numeroLigne&gt;151&lt;/numeroLigne&gt;</v>
      </c>
    </row>
    <row r="15722" spans="1:1" x14ac:dyDescent="0.2">
      <c r="A15722" s="996" t="str">
        <f>CONCATENATE(Programme!D15723,Programme!E15723,Programme!F15723,Programme!G15723,Programme!H15723,Programme!I15723,Programme!J15723)</f>
        <v>&lt;/ValeurCellule&gt;</v>
      </c>
    </row>
    <row r="15723" spans="1:1" x14ac:dyDescent="0.2">
      <c r="A15723" s="996" t="str">
        <f>CONCATENATE(Programme!D15724,Programme!E15724,Programme!F15724,Programme!G15724,Programme!H15724,Programme!I15724,Programme!J15724)</f>
        <v>&lt;ValeurCellule&gt;</v>
      </c>
    </row>
    <row r="15724" spans="1:1" x14ac:dyDescent="0.2">
      <c r="A15724" s="996" t="str">
        <f>CONCATENATE(Programme!D15725,Programme!E15725,Programme!F15725,Programme!G15725,Programme!H15725,Programme!I15725,Programme!J15725)</f>
        <v>&lt;cellule&gt;&lt;codeEdi&gt;1084&lt;/codeEdi&gt;&lt;/cellule&gt;</v>
      </c>
    </row>
    <row r="15725" spans="1:1" x14ac:dyDescent="0.2">
      <c r="A15725" s="996" t="str">
        <f>CONCATENATE(Programme!D15726,Programme!E15726,Programme!F15726,Programme!G15726,Programme!H15726,Programme!I15726,Programme!J15726)</f>
        <v>&lt;valeur&gt;&lt;/valeur&gt;</v>
      </c>
    </row>
    <row r="15726" spans="1:1" x14ac:dyDescent="0.2">
      <c r="A15726" s="996" t="str">
        <f>CONCATENATE(Programme!D15727,Programme!E15727,Programme!F15727,Programme!G15727,Programme!H15727,Programme!I15727,Programme!J15727)</f>
        <v>&lt;numeroLigne&gt;151&lt;/numeroLigne&gt;</v>
      </c>
    </row>
    <row r="15727" spans="1:1" x14ac:dyDescent="0.2">
      <c r="A15727" s="996" t="str">
        <f>CONCATENATE(Programme!D15728,Programme!E15728,Programme!F15728,Programme!G15728,Programme!H15728,Programme!I15728,Programme!J15728)</f>
        <v>&lt;/ValeurCellule&gt;</v>
      </c>
    </row>
    <row r="15728" spans="1:1" x14ac:dyDescent="0.2">
      <c r="A15728" s="996" t="str">
        <f>CONCATENATE(Programme!D15729,Programme!E15729,Programme!F15729,Programme!G15729,Programme!H15729,Programme!I15729,Programme!J15729)</f>
        <v>&lt;ValeurCellule&gt;</v>
      </c>
    </row>
    <row r="15729" spans="1:1" x14ac:dyDescent="0.2">
      <c r="A15729" s="996" t="str">
        <f>CONCATENATE(Programme!D15730,Programme!E15730,Programme!F15730,Programme!G15730,Programme!H15730,Programme!I15730,Programme!J15730)</f>
        <v>&lt;cellule&gt;&lt;codeEdi&gt;1085&lt;/codeEdi&gt;&lt;/cellule&gt;</v>
      </c>
    </row>
    <row r="15730" spans="1:1" x14ac:dyDescent="0.2">
      <c r="A15730" s="996" t="str">
        <f>CONCATENATE(Programme!D15731,Programme!E15731,Programme!F15731,Programme!G15731,Programme!H15731,Programme!I15731,Programme!J15731)</f>
        <v>&lt;valeur&gt;&lt;/valeur&gt;</v>
      </c>
    </row>
    <row r="15731" spans="1:1" x14ac:dyDescent="0.2">
      <c r="A15731" s="996" t="str">
        <f>CONCATENATE(Programme!D15732,Programme!E15732,Programme!F15732,Programme!G15732,Programme!H15732,Programme!I15732,Programme!J15732)</f>
        <v>&lt;numeroLigne&gt;151&lt;/numeroLigne&gt;</v>
      </c>
    </row>
    <row r="15732" spans="1:1" x14ac:dyDescent="0.2">
      <c r="A15732" s="996" t="str">
        <f>CONCATENATE(Programme!D15733,Programme!E15733,Programme!F15733,Programme!G15733,Programme!H15733,Programme!I15733,Programme!J15733)</f>
        <v>&lt;/ValeurCellule&gt;</v>
      </c>
    </row>
    <row r="15733" spans="1:1" x14ac:dyDescent="0.2">
      <c r="A15733" s="996" t="str">
        <f>CONCATENATE(Programme!D15734,Programme!E15734,Programme!F15734,Programme!G15734,Programme!H15734,Programme!I15734,Programme!J15734)</f>
        <v>&lt;ValeurCellule&gt;</v>
      </c>
    </row>
    <row r="15734" spans="1:1" x14ac:dyDescent="0.2">
      <c r="A15734" s="996" t="str">
        <f>CONCATENATE(Programme!D15735,Programme!E15735,Programme!F15735,Programme!G15735,Programme!H15735,Programme!I15735,Programme!J15735)</f>
        <v>&lt;cellule&gt;&lt;codeEdi&gt;1086&lt;/codeEdi&gt;&lt;/cellule&gt;</v>
      </c>
    </row>
    <row r="15735" spans="1:1" x14ac:dyDescent="0.2">
      <c r="A15735" s="996" t="str">
        <f>CONCATENATE(Programme!D15736,Programme!E15736,Programme!F15736,Programme!G15736,Programme!H15736,Programme!I15736,Programme!J15736)</f>
        <v>&lt;valeur&gt;&lt;/valeur&gt;</v>
      </c>
    </row>
    <row r="15736" spans="1:1" x14ac:dyDescent="0.2">
      <c r="A15736" s="996" t="str">
        <f>CONCATENATE(Programme!D15737,Programme!E15737,Programme!F15737,Programme!G15737,Programme!H15737,Programme!I15737,Programme!J15737)</f>
        <v>&lt;numeroLigne&gt;151&lt;/numeroLigne&gt;</v>
      </c>
    </row>
    <row r="15737" spans="1:1" x14ac:dyDescent="0.2">
      <c r="A15737" s="996" t="str">
        <f>CONCATENATE(Programme!D15738,Programme!E15738,Programme!F15738,Programme!G15738,Programme!H15738,Programme!I15738,Programme!J15738)</f>
        <v>&lt;/ValeurCellule&gt;</v>
      </c>
    </row>
    <row r="15738" spans="1:1" x14ac:dyDescent="0.2">
      <c r="A15738" s="996" t="str">
        <f>CONCATENATE(Programme!D15739,Programme!E15739,Programme!F15739,Programme!G15739,Programme!H15739,Programme!I15739,Programme!J15739)</f>
        <v>&lt;ValeurCellule&gt;</v>
      </c>
    </row>
    <row r="15739" spans="1:1" x14ac:dyDescent="0.2">
      <c r="A15739" s="996" t="str">
        <f>CONCATENATE(Programme!D15740,Programme!E15740,Programme!F15740,Programme!G15740,Programme!H15740,Programme!I15740,Programme!J15740)</f>
        <v>&lt;cellule&gt;&lt;codeEdi&gt;10061&lt;/codeEdi&gt;&lt;/cellule&gt;</v>
      </c>
    </row>
    <row r="15740" spans="1:1" x14ac:dyDescent="0.2">
      <c r="A15740" s="996" t="str">
        <f>CONCATENATE(Programme!D15741,Programme!E15741,Programme!F15741,Programme!G15741,Programme!H15741,Programme!I15741,Programme!J15741)</f>
        <v>&lt;valeur&gt;&lt;/valeur&gt;</v>
      </c>
    </row>
    <row r="15741" spans="1:1" x14ac:dyDescent="0.2">
      <c r="A15741" s="996" t="str">
        <f>CONCATENATE(Programme!D15742,Programme!E15742,Programme!F15742,Programme!G15742,Programme!H15742,Programme!I15742,Programme!J15742)</f>
        <v>&lt;numeroLigne&gt;152&lt;/numeroLigne&gt;</v>
      </c>
    </row>
    <row r="15742" spans="1:1" x14ac:dyDescent="0.2">
      <c r="A15742" s="996" t="str">
        <f>CONCATENATE(Programme!D15743,Programme!E15743,Programme!F15743,Programme!G15743,Programme!H15743,Programme!I15743,Programme!J15743)</f>
        <v>&lt;/ValeurCellule&gt;</v>
      </c>
    </row>
    <row r="15743" spans="1:1" x14ac:dyDescent="0.2">
      <c r="A15743" s="996" t="str">
        <f>CONCATENATE(Programme!D15744,Programme!E15744,Programme!F15744,Programme!G15744,Programme!H15744,Programme!I15744,Programme!J15744)</f>
        <v>&lt;ValeurCellule&gt;</v>
      </c>
    </row>
    <row r="15744" spans="1:1" x14ac:dyDescent="0.2">
      <c r="A15744" s="996" t="str">
        <f>CONCATENATE(Programme!D15745,Programme!E15745,Programme!F15745,Programme!G15745,Programme!H15745,Programme!I15745,Programme!J15745)</f>
        <v>&lt;cellule&gt;&lt;codeEdi&gt;1078&lt;/codeEdi&gt;&lt;/cellule&gt;</v>
      </c>
    </row>
    <row r="15745" spans="1:1" x14ac:dyDescent="0.2">
      <c r="A15745" s="996" t="str">
        <f>CONCATENATE(Programme!D15746,Programme!E15746,Programme!F15746,Programme!G15746,Programme!H15746,Programme!I15746,Programme!J15746)</f>
        <v>&lt;valeur&gt;&lt;/valeur&gt;</v>
      </c>
    </row>
    <row r="15746" spans="1:1" x14ac:dyDescent="0.2">
      <c r="A15746" s="996" t="str">
        <f>CONCATENATE(Programme!D15747,Programme!E15747,Programme!F15747,Programme!G15747,Programme!H15747,Programme!I15747,Programme!J15747)</f>
        <v>&lt;numeroLigne&gt;152&lt;/numeroLigne&gt;</v>
      </c>
    </row>
    <row r="15747" spans="1:1" x14ac:dyDescent="0.2">
      <c r="A15747" s="996" t="str">
        <f>CONCATENATE(Programme!D15748,Programme!E15748,Programme!F15748,Programme!G15748,Programme!H15748,Programme!I15748,Programme!J15748)</f>
        <v>&lt;/ValeurCellule&gt;</v>
      </c>
    </row>
    <row r="15748" spans="1:1" x14ac:dyDescent="0.2">
      <c r="A15748" s="996" t="str">
        <f>CONCATENATE(Programme!D15749,Programme!E15749,Programme!F15749,Programme!G15749,Programme!H15749,Programme!I15749,Programme!J15749)</f>
        <v>&lt;ValeurCellule&gt;</v>
      </c>
    </row>
    <row r="15749" spans="1:1" x14ac:dyDescent="0.2">
      <c r="A15749" s="996" t="str">
        <f>CONCATENATE(Programme!D15750,Programme!E15750,Programme!F15750,Programme!G15750,Programme!H15750,Programme!I15750,Programme!J15750)</f>
        <v>&lt;cellule&gt;&lt;codeEdi&gt;1079&lt;/codeEdi&gt;&lt;/cellule&gt;</v>
      </c>
    </row>
    <row r="15750" spans="1:1" x14ac:dyDescent="0.2">
      <c r="A15750" s="996" t="str">
        <f>CONCATENATE(Programme!D15751,Programme!E15751,Programme!F15751,Programme!G15751,Programme!H15751,Programme!I15751,Programme!J15751)</f>
        <v>&lt;valeur&gt;&lt;/valeur&gt;</v>
      </c>
    </row>
    <row r="15751" spans="1:1" x14ac:dyDescent="0.2">
      <c r="A15751" s="996" t="str">
        <f>CONCATENATE(Programme!D15752,Programme!E15752,Programme!F15752,Programme!G15752,Programme!H15752,Programme!I15752,Programme!J15752)</f>
        <v>&lt;numeroLigne&gt;152&lt;/numeroLigne&gt;</v>
      </c>
    </row>
    <row r="15752" spans="1:1" x14ac:dyDescent="0.2">
      <c r="A15752" s="996" t="str">
        <f>CONCATENATE(Programme!D15753,Programme!E15753,Programme!F15753,Programme!G15753,Programme!H15753,Programme!I15753,Programme!J15753)</f>
        <v>&lt;/ValeurCellule&gt;</v>
      </c>
    </row>
    <row r="15753" spans="1:1" x14ac:dyDescent="0.2">
      <c r="A15753" s="996" t="str">
        <f>CONCATENATE(Programme!D15754,Programme!E15754,Programme!F15754,Programme!G15754,Programme!H15754,Programme!I15754,Programme!J15754)</f>
        <v>&lt;ValeurCellule&gt;</v>
      </c>
    </row>
    <row r="15754" spans="1:1" x14ac:dyDescent="0.2">
      <c r="A15754" s="996" t="str">
        <f>CONCATENATE(Programme!D15755,Programme!E15755,Programme!F15755,Programme!G15755,Programme!H15755,Programme!I15755,Programme!J15755)</f>
        <v>&lt;cellule&gt;&lt;codeEdi&gt;1080&lt;/codeEdi&gt;&lt;/cellule&gt;</v>
      </c>
    </row>
    <row r="15755" spans="1:1" x14ac:dyDescent="0.2">
      <c r="A15755" s="996" t="str">
        <f>CONCATENATE(Programme!D15756,Programme!E15756,Programme!F15756,Programme!G15756,Programme!H15756,Programme!I15756,Programme!J15756)</f>
        <v>&lt;valeur&gt;&lt;/valeur&gt;</v>
      </c>
    </row>
    <row r="15756" spans="1:1" x14ac:dyDescent="0.2">
      <c r="A15756" s="996" t="str">
        <f>CONCATENATE(Programme!D15757,Programme!E15757,Programme!F15757,Programme!G15757,Programme!H15757,Programme!I15757,Programme!J15757)</f>
        <v>&lt;numeroLigne&gt;152&lt;/numeroLigne&gt;</v>
      </c>
    </row>
    <row r="15757" spans="1:1" x14ac:dyDescent="0.2">
      <c r="A15757" s="996" t="str">
        <f>CONCATENATE(Programme!D15758,Programme!E15758,Programme!F15758,Programme!G15758,Programme!H15758,Programme!I15758,Programme!J15758)</f>
        <v>&lt;/ValeurCellule&gt;</v>
      </c>
    </row>
    <row r="15758" spans="1:1" x14ac:dyDescent="0.2">
      <c r="A15758" s="996" t="str">
        <f>CONCATENATE(Programme!D15759,Programme!E15759,Programme!F15759,Programme!G15759,Programme!H15759,Programme!I15759,Programme!J15759)</f>
        <v>&lt;ValeurCellule&gt;</v>
      </c>
    </row>
    <row r="15759" spans="1:1" x14ac:dyDescent="0.2">
      <c r="A15759" s="996" t="str">
        <f>CONCATENATE(Programme!D15760,Programme!E15760,Programme!F15760,Programme!G15760,Programme!H15760,Programme!I15760,Programme!J15760)</f>
        <v>&lt;cellule&gt;&lt;codeEdi&gt;1081&lt;/codeEdi&gt;&lt;/cellule&gt;</v>
      </c>
    </row>
    <row r="15760" spans="1:1" x14ac:dyDescent="0.2">
      <c r="A15760" s="996" t="str">
        <f>CONCATENATE(Programme!D15761,Programme!E15761,Programme!F15761,Programme!G15761,Programme!H15761,Programme!I15761,Programme!J15761)</f>
        <v>&lt;valeur&gt;&lt;/valeur&gt;</v>
      </c>
    </row>
    <row r="15761" spans="1:1" x14ac:dyDescent="0.2">
      <c r="A15761" s="996" t="str">
        <f>CONCATENATE(Programme!D15762,Programme!E15762,Programme!F15762,Programme!G15762,Programme!H15762,Programme!I15762,Programme!J15762)</f>
        <v>&lt;numeroLigne&gt;152&lt;/numeroLigne&gt;</v>
      </c>
    </row>
    <row r="15762" spans="1:1" x14ac:dyDescent="0.2">
      <c r="A15762" s="996" t="str">
        <f>CONCATENATE(Programme!D15763,Programme!E15763,Programme!F15763,Programme!G15763,Programme!H15763,Programme!I15763,Programme!J15763)</f>
        <v>&lt;/ValeurCellule&gt;</v>
      </c>
    </row>
    <row r="15763" spans="1:1" x14ac:dyDescent="0.2">
      <c r="A15763" s="996" t="str">
        <f>CONCATENATE(Programme!D15764,Programme!E15764,Programme!F15764,Programme!G15764,Programme!H15764,Programme!I15764,Programme!J15764)</f>
        <v>&lt;ValeurCellule&gt;</v>
      </c>
    </row>
    <row r="15764" spans="1:1" x14ac:dyDescent="0.2">
      <c r="A15764" s="996" t="str">
        <f>CONCATENATE(Programme!D15765,Programme!E15765,Programme!F15765,Programme!G15765,Programme!H15765,Programme!I15765,Programme!J15765)</f>
        <v>&lt;cellule&gt;&lt;codeEdi&gt;1082&lt;/codeEdi&gt;&lt;/cellule&gt;</v>
      </c>
    </row>
    <row r="15765" spans="1:1" x14ac:dyDescent="0.2">
      <c r="A15765" s="996" t="str">
        <f>CONCATENATE(Programme!D15766,Programme!E15766,Programme!F15766,Programme!G15766,Programme!H15766,Programme!I15766,Programme!J15766)</f>
        <v>&lt;valeur&gt;&lt;/valeur&gt;</v>
      </c>
    </row>
    <row r="15766" spans="1:1" x14ac:dyDescent="0.2">
      <c r="A15766" s="996" t="str">
        <f>CONCATENATE(Programme!D15767,Programme!E15767,Programme!F15767,Programme!G15767,Programme!H15767,Programme!I15767,Programme!J15767)</f>
        <v>&lt;numeroLigne&gt;152&lt;/numeroLigne&gt;</v>
      </c>
    </row>
    <row r="15767" spans="1:1" x14ac:dyDescent="0.2">
      <c r="A15767" s="996" t="str">
        <f>CONCATENATE(Programme!D15768,Programme!E15768,Programme!F15768,Programme!G15768,Programme!H15768,Programme!I15768,Programme!J15768)</f>
        <v>&lt;/ValeurCellule&gt;</v>
      </c>
    </row>
    <row r="15768" spans="1:1" x14ac:dyDescent="0.2">
      <c r="A15768" s="996" t="str">
        <f>CONCATENATE(Programme!D15769,Programme!E15769,Programme!F15769,Programme!G15769,Programme!H15769,Programme!I15769,Programme!J15769)</f>
        <v>&lt;ValeurCellule&gt;</v>
      </c>
    </row>
    <row r="15769" spans="1:1" x14ac:dyDescent="0.2">
      <c r="A15769" s="996" t="str">
        <f>CONCATENATE(Programme!D15770,Programme!E15770,Programme!F15770,Programme!G15770,Programme!H15770,Programme!I15770,Programme!J15770)</f>
        <v>&lt;cellule&gt;&lt;codeEdi&gt;1083&lt;/codeEdi&gt;&lt;/cellule&gt;</v>
      </c>
    </row>
    <row r="15770" spans="1:1" x14ac:dyDescent="0.2">
      <c r="A15770" s="996" t="str">
        <f>CONCATENATE(Programme!D15771,Programme!E15771,Programme!F15771,Programme!G15771,Programme!H15771,Programme!I15771,Programme!J15771)</f>
        <v>&lt;valeur&gt;&lt;/valeur&gt;</v>
      </c>
    </row>
    <row r="15771" spans="1:1" x14ac:dyDescent="0.2">
      <c r="A15771" s="996" t="str">
        <f>CONCATENATE(Programme!D15772,Programme!E15772,Programme!F15772,Programme!G15772,Programme!H15772,Programme!I15772,Programme!J15772)</f>
        <v>&lt;numeroLigne&gt;152&lt;/numeroLigne&gt;</v>
      </c>
    </row>
    <row r="15772" spans="1:1" x14ac:dyDescent="0.2">
      <c r="A15772" s="996" t="str">
        <f>CONCATENATE(Programme!D15773,Programme!E15773,Programme!F15773,Programme!G15773,Programme!H15773,Programme!I15773,Programme!J15773)</f>
        <v>&lt;/ValeurCellule&gt;</v>
      </c>
    </row>
    <row r="15773" spans="1:1" x14ac:dyDescent="0.2">
      <c r="A15773" s="996" t="str">
        <f>CONCATENATE(Programme!D15774,Programme!E15774,Programme!F15774,Programme!G15774,Programme!H15774,Programme!I15774,Programme!J15774)</f>
        <v>&lt;ValeurCellule&gt;</v>
      </c>
    </row>
    <row r="15774" spans="1:1" x14ac:dyDescent="0.2">
      <c r="A15774" s="996" t="str">
        <f>CONCATENATE(Programme!D15775,Programme!E15775,Programme!F15775,Programme!G15775,Programme!H15775,Programme!I15775,Programme!J15775)</f>
        <v>&lt;cellule&gt;&lt;codeEdi&gt;1084&lt;/codeEdi&gt;&lt;/cellule&gt;</v>
      </c>
    </row>
    <row r="15775" spans="1:1" x14ac:dyDescent="0.2">
      <c r="A15775" s="996" t="str">
        <f>CONCATENATE(Programme!D15776,Programme!E15776,Programme!F15776,Programme!G15776,Programme!H15776,Programme!I15776,Programme!J15776)</f>
        <v>&lt;valeur&gt;&lt;/valeur&gt;</v>
      </c>
    </row>
    <row r="15776" spans="1:1" x14ac:dyDescent="0.2">
      <c r="A15776" s="996" t="str">
        <f>CONCATENATE(Programme!D15777,Programme!E15777,Programme!F15777,Programme!G15777,Programme!H15777,Programme!I15777,Programme!J15777)</f>
        <v>&lt;numeroLigne&gt;152&lt;/numeroLigne&gt;</v>
      </c>
    </row>
    <row r="15777" spans="1:1" x14ac:dyDescent="0.2">
      <c r="A15777" s="996" t="str">
        <f>CONCATENATE(Programme!D15778,Programme!E15778,Programme!F15778,Programme!G15778,Programme!H15778,Programme!I15778,Programme!J15778)</f>
        <v>&lt;/ValeurCellule&gt;</v>
      </c>
    </row>
    <row r="15778" spans="1:1" x14ac:dyDescent="0.2">
      <c r="A15778" s="996" t="str">
        <f>CONCATENATE(Programme!D15779,Programme!E15779,Programme!F15779,Programme!G15779,Programme!H15779,Programme!I15779,Programme!J15779)</f>
        <v>&lt;ValeurCellule&gt;</v>
      </c>
    </row>
    <row r="15779" spans="1:1" x14ac:dyDescent="0.2">
      <c r="A15779" s="996" t="str">
        <f>CONCATENATE(Programme!D15780,Programme!E15780,Programme!F15780,Programme!G15780,Programme!H15780,Programme!I15780,Programme!J15780)</f>
        <v>&lt;cellule&gt;&lt;codeEdi&gt;1085&lt;/codeEdi&gt;&lt;/cellule&gt;</v>
      </c>
    </row>
    <row r="15780" spans="1:1" x14ac:dyDescent="0.2">
      <c r="A15780" s="996" t="str">
        <f>CONCATENATE(Programme!D15781,Programme!E15781,Programme!F15781,Programme!G15781,Programme!H15781,Programme!I15781,Programme!J15781)</f>
        <v>&lt;valeur&gt;&lt;/valeur&gt;</v>
      </c>
    </row>
    <row r="15781" spans="1:1" x14ac:dyDescent="0.2">
      <c r="A15781" s="996" t="str">
        <f>CONCATENATE(Programme!D15782,Programme!E15782,Programme!F15782,Programme!G15782,Programme!H15782,Programme!I15782,Programme!J15782)</f>
        <v>&lt;numeroLigne&gt;152&lt;/numeroLigne&gt;</v>
      </c>
    </row>
    <row r="15782" spans="1:1" x14ac:dyDescent="0.2">
      <c r="A15782" s="996" t="str">
        <f>CONCATENATE(Programme!D15783,Programme!E15783,Programme!F15783,Programme!G15783,Programme!H15783,Programme!I15783,Programme!J15783)</f>
        <v>&lt;/ValeurCellule&gt;</v>
      </c>
    </row>
    <row r="15783" spans="1:1" x14ac:dyDescent="0.2">
      <c r="A15783" s="996" t="str">
        <f>CONCATENATE(Programme!D15784,Programme!E15784,Programme!F15784,Programme!G15784,Programme!H15784,Programme!I15784,Programme!J15784)</f>
        <v>&lt;ValeurCellule&gt;</v>
      </c>
    </row>
    <row r="15784" spans="1:1" x14ac:dyDescent="0.2">
      <c r="A15784" s="996" t="str">
        <f>CONCATENATE(Programme!D15785,Programme!E15785,Programme!F15785,Programme!G15785,Programme!H15785,Programme!I15785,Programme!J15785)</f>
        <v>&lt;cellule&gt;&lt;codeEdi&gt;1086&lt;/codeEdi&gt;&lt;/cellule&gt;</v>
      </c>
    </row>
    <row r="15785" spans="1:1" x14ac:dyDescent="0.2">
      <c r="A15785" s="996" t="str">
        <f>CONCATENATE(Programme!D15786,Programme!E15786,Programme!F15786,Programme!G15786,Programme!H15786,Programme!I15786,Programme!J15786)</f>
        <v>&lt;valeur&gt;&lt;/valeur&gt;</v>
      </c>
    </row>
    <row r="15786" spans="1:1" x14ac:dyDescent="0.2">
      <c r="A15786" s="996" t="str">
        <f>CONCATENATE(Programme!D15787,Programme!E15787,Programme!F15787,Programme!G15787,Programme!H15787,Programme!I15787,Programme!J15787)</f>
        <v>&lt;numeroLigne&gt;152&lt;/numeroLigne&gt;</v>
      </c>
    </row>
    <row r="15787" spans="1:1" x14ac:dyDescent="0.2">
      <c r="A15787" s="996" t="str">
        <f>CONCATENATE(Programme!D15788,Programme!E15788,Programme!F15788,Programme!G15788,Programme!H15788,Programme!I15788,Programme!J15788)</f>
        <v>&lt;/ValeurCellule&gt;</v>
      </c>
    </row>
    <row r="15788" spans="1:1" x14ac:dyDescent="0.2">
      <c r="A15788" s="996" t="str">
        <f>CONCATENATE(Programme!D15789,Programme!E15789,Programme!F15789,Programme!G15789,Programme!H15789,Programme!I15789,Programme!J15789)</f>
        <v>&lt;ValeurCellule&gt;</v>
      </c>
    </row>
    <row r="15789" spans="1:1" x14ac:dyDescent="0.2">
      <c r="A15789" s="996" t="str">
        <f>CONCATENATE(Programme!D15790,Programme!E15790,Programme!F15790,Programme!G15790,Programme!H15790,Programme!I15790,Programme!J15790)</f>
        <v>&lt;cellule&gt;&lt;codeEdi&gt;10061&lt;/codeEdi&gt;&lt;/cellule&gt;</v>
      </c>
    </row>
    <row r="15790" spans="1:1" x14ac:dyDescent="0.2">
      <c r="A15790" s="996" t="str">
        <f>CONCATENATE(Programme!D15791,Programme!E15791,Programme!F15791,Programme!G15791,Programme!H15791,Programme!I15791,Programme!J15791)</f>
        <v>&lt;valeur&gt;&lt;/valeur&gt;</v>
      </c>
    </row>
    <row r="15791" spans="1:1" x14ac:dyDescent="0.2">
      <c r="A15791" s="996" t="str">
        <f>CONCATENATE(Programme!D15792,Programme!E15792,Programme!F15792,Programme!G15792,Programme!H15792,Programme!I15792,Programme!J15792)</f>
        <v>&lt;numeroLigne&gt;153&lt;/numeroLigne&gt;</v>
      </c>
    </row>
    <row r="15792" spans="1:1" x14ac:dyDescent="0.2">
      <c r="A15792" s="996" t="str">
        <f>CONCATENATE(Programme!D15793,Programme!E15793,Programme!F15793,Programme!G15793,Programme!H15793,Programme!I15793,Programme!J15793)</f>
        <v>&lt;/ValeurCellule&gt;</v>
      </c>
    </row>
    <row r="15793" spans="1:1" x14ac:dyDescent="0.2">
      <c r="A15793" s="996" t="str">
        <f>CONCATENATE(Programme!D15794,Programme!E15794,Programme!F15794,Programme!G15794,Programme!H15794,Programme!I15794,Programme!J15794)</f>
        <v>&lt;ValeurCellule&gt;</v>
      </c>
    </row>
    <row r="15794" spans="1:1" x14ac:dyDescent="0.2">
      <c r="A15794" s="996" t="str">
        <f>CONCATENATE(Programme!D15795,Programme!E15795,Programme!F15795,Programme!G15795,Programme!H15795,Programme!I15795,Programme!J15795)</f>
        <v>&lt;cellule&gt;&lt;codeEdi&gt;1078&lt;/codeEdi&gt;&lt;/cellule&gt;</v>
      </c>
    </row>
    <row r="15795" spans="1:1" x14ac:dyDescent="0.2">
      <c r="A15795" s="996" t="str">
        <f>CONCATENATE(Programme!D15796,Programme!E15796,Programme!F15796,Programme!G15796,Programme!H15796,Programme!I15796,Programme!J15796)</f>
        <v>&lt;valeur&gt;&lt;/valeur&gt;</v>
      </c>
    </row>
    <row r="15796" spans="1:1" x14ac:dyDescent="0.2">
      <c r="A15796" s="996" t="str">
        <f>CONCATENATE(Programme!D15797,Programme!E15797,Programme!F15797,Programme!G15797,Programme!H15797,Programme!I15797,Programme!J15797)</f>
        <v>&lt;numeroLigne&gt;153&lt;/numeroLigne&gt;</v>
      </c>
    </row>
    <row r="15797" spans="1:1" x14ac:dyDescent="0.2">
      <c r="A15797" s="996" t="str">
        <f>CONCATENATE(Programme!D15798,Programme!E15798,Programme!F15798,Programme!G15798,Programme!H15798,Programme!I15798,Programme!J15798)</f>
        <v>&lt;/ValeurCellule&gt;</v>
      </c>
    </row>
    <row r="15798" spans="1:1" x14ac:dyDescent="0.2">
      <c r="A15798" s="996" t="str">
        <f>CONCATENATE(Programme!D15799,Programme!E15799,Programme!F15799,Programme!G15799,Programme!H15799,Programme!I15799,Programme!J15799)</f>
        <v>&lt;ValeurCellule&gt;</v>
      </c>
    </row>
    <row r="15799" spans="1:1" x14ac:dyDescent="0.2">
      <c r="A15799" s="996" t="str">
        <f>CONCATENATE(Programme!D15800,Programme!E15800,Programme!F15800,Programme!G15800,Programme!H15800,Programme!I15800,Programme!J15800)</f>
        <v>&lt;cellule&gt;&lt;codeEdi&gt;1079&lt;/codeEdi&gt;&lt;/cellule&gt;</v>
      </c>
    </row>
    <row r="15800" spans="1:1" x14ac:dyDescent="0.2">
      <c r="A15800" s="996" t="str">
        <f>CONCATENATE(Programme!D15801,Programme!E15801,Programme!F15801,Programme!G15801,Programme!H15801,Programme!I15801,Programme!J15801)</f>
        <v>&lt;valeur&gt;&lt;/valeur&gt;</v>
      </c>
    </row>
    <row r="15801" spans="1:1" x14ac:dyDescent="0.2">
      <c r="A15801" s="996" t="str">
        <f>CONCATENATE(Programme!D15802,Programme!E15802,Programme!F15802,Programme!G15802,Programme!H15802,Programme!I15802,Programme!J15802)</f>
        <v>&lt;numeroLigne&gt;153&lt;/numeroLigne&gt;</v>
      </c>
    </row>
    <row r="15802" spans="1:1" x14ac:dyDescent="0.2">
      <c r="A15802" s="996" t="str">
        <f>CONCATENATE(Programme!D15803,Programme!E15803,Programme!F15803,Programme!G15803,Programme!H15803,Programme!I15803,Programme!J15803)</f>
        <v>&lt;/ValeurCellule&gt;</v>
      </c>
    </row>
    <row r="15803" spans="1:1" x14ac:dyDescent="0.2">
      <c r="A15803" s="996" t="str">
        <f>CONCATENATE(Programme!D15804,Programme!E15804,Programme!F15804,Programme!G15804,Programme!H15804,Programme!I15804,Programme!J15804)</f>
        <v>&lt;ValeurCellule&gt;</v>
      </c>
    </row>
    <row r="15804" spans="1:1" x14ac:dyDescent="0.2">
      <c r="A15804" s="996" t="str">
        <f>CONCATENATE(Programme!D15805,Programme!E15805,Programme!F15805,Programme!G15805,Programme!H15805,Programme!I15805,Programme!J15805)</f>
        <v>&lt;cellule&gt;&lt;codeEdi&gt;1080&lt;/codeEdi&gt;&lt;/cellule&gt;</v>
      </c>
    </row>
    <row r="15805" spans="1:1" x14ac:dyDescent="0.2">
      <c r="A15805" s="996" t="str">
        <f>CONCATENATE(Programme!D15806,Programme!E15806,Programme!F15806,Programme!G15806,Programme!H15806,Programme!I15806,Programme!J15806)</f>
        <v>&lt;valeur&gt;&lt;/valeur&gt;</v>
      </c>
    </row>
    <row r="15806" spans="1:1" x14ac:dyDescent="0.2">
      <c r="A15806" s="996" t="str">
        <f>CONCATENATE(Programme!D15807,Programme!E15807,Programme!F15807,Programme!G15807,Programme!H15807,Programme!I15807,Programme!J15807)</f>
        <v>&lt;numeroLigne&gt;153&lt;/numeroLigne&gt;</v>
      </c>
    </row>
    <row r="15807" spans="1:1" x14ac:dyDescent="0.2">
      <c r="A15807" s="996" t="str">
        <f>CONCATENATE(Programme!D15808,Programme!E15808,Programme!F15808,Programme!G15808,Programme!H15808,Programme!I15808,Programme!J15808)</f>
        <v>&lt;/ValeurCellule&gt;</v>
      </c>
    </row>
    <row r="15808" spans="1:1" x14ac:dyDescent="0.2">
      <c r="A15808" s="996" t="str">
        <f>CONCATENATE(Programme!D15809,Programme!E15809,Programme!F15809,Programme!G15809,Programme!H15809,Programme!I15809,Programme!J15809)</f>
        <v>&lt;ValeurCellule&gt;</v>
      </c>
    </row>
    <row r="15809" spans="1:1" x14ac:dyDescent="0.2">
      <c r="A15809" s="996" t="str">
        <f>CONCATENATE(Programme!D15810,Programme!E15810,Programme!F15810,Programme!G15810,Programme!H15810,Programme!I15810,Programme!J15810)</f>
        <v>&lt;cellule&gt;&lt;codeEdi&gt;1081&lt;/codeEdi&gt;&lt;/cellule&gt;</v>
      </c>
    </row>
    <row r="15810" spans="1:1" x14ac:dyDescent="0.2">
      <c r="A15810" s="996" t="str">
        <f>CONCATENATE(Programme!D15811,Programme!E15811,Programme!F15811,Programme!G15811,Programme!H15811,Programme!I15811,Programme!J15811)</f>
        <v>&lt;valeur&gt;&lt;/valeur&gt;</v>
      </c>
    </row>
    <row r="15811" spans="1:1" x14ac:dyDescent="0.2">
      <c r="A15811" s="996" t="str">
        <f>CONCATENATE(Programme!D15812,Programme!E15812,Programme!F15812,Programme!G15812,Programme!H15812,Programme!I15812,Programme!J15812)</f>
        <v>&lt;numeroLigne&gt;153&lt;/numeroLigne&gt;</v>
      </c>
    </row>
    <row r="15812" spans="1:1" x14ac:dyDescent="0.2">
      <c r="A15812" s="996" t="str">
        <f>CONCATENATE(Programme!D15813,Programme!E15813,Programme!F15813,Programme!G15813,Programme!H15813,Programme!I15813,Programme!J15813)</f>
        <v>&lt;/ValeurCellule&gt;</v>
      </c>
    </row>
    <row r="15813" spans="1:1" x14ac:dyDescent="0.2">
      <c r="A15813" s="996" t="str">
        <f>CONCATENATE(Programme!D15814,Programme!E15814,Programme!F15814,Programme!G15814,Programme!H15814,Programme!I15814,Programme!J15814)</f>
        <v>&lt;ValeurCellule&gt;</v>
      </c>
    </row>
    <row r="15814" spans="1:1" x14ac:dyDescent="0.2">
      <c r="A15814" s="996" t="str">
        <f>CONCATENATE(Programme!D15815,Programme!E15815,Programme!F15815,Programme!G15815,Programme!H15815,Programme!I15815,Programme!J15815)</f>
        <v>&lt;cellule&gt;&lt;codeEdi&gt;1082&lt;/codeEdi&gt;&lt;/cellule&gt;</v>
      </c>
    </row>
    <row r="15815" spans="1:1" x14ac:dyDescent="0.2">
      <c r="A15815" s="996" t="str">
        <f>CONCATENATE(Programme!D15816,Programme!E15816,Programme!F15816,Programme!G15816,Programme!H15816,Programme!I15816,Programme!J15816)</f>
        <v>&lt;valeur&gt;&lt;/valeur&gt;</v>
      </c>
    </row>
    <row r="15816" spans="1:1" x14ac:dyDescent="0.2">
      <c r="A15816" s="996" t="str">
        <f>CONCATENATE(Programme!D15817,Programme!E15817,Programme!F15817,Programme!G15817,Programme!H15817,Programme!I15817,Programme!J15817)</f>
        <v>&lt;numeroLigne&gt;153&lt;/numeroLigne&gt;</v>
      </c>
    </row>
    <row r="15817" spans="1:1" x14ac:dyDescent="0.2">
      <c r="A15817" s="996" t="str">
        <f>CONCATENATE(Programme!D15818,Programme!E15818,Programme!F15818,Programme!G15818,Programme!H15818,Programme!I15818,Programme!J15818)</f>
        <v>&lt;/ValeurCellule&gt;</v>
      </c>
    </row>
    <row r="15818" spans="1:1" x14ac:dyDescent="0.2">
      <c r="A15818" s="996" t="str">
        <f>CONCATENATE(Programme!D15819,Programme!E15819,Programme!F15819,Programme!G15819,Programme!H15819,Programme!I15819,Programme!J15819)</f>
        <v>&lt;ValeurCellule&gt;</v>
      </c>
    </row>
    <row r="15819" spans="1:1" x14ac:dyDescent="0.2">
      <c r="A15819" s="996" t="str">
        <f>CONCATENATE(Programme!D15820,Programme!E15820,Programme!F15820,Programme!G15820,Programme!H15820,Programme!I15820,Programme!J15820)</f>
        <v>&lt;cellule&gt;&lt;codeEdi&gt;1083&lt;/codeEdi&gt;&lt;/cellule&gt;</v>
      </c>
    </row>
    <row r="15820" spans="1:1" x14ac:dyDescent="0.2">
      <c r="A15820" s="996" t="str">
        <f>CONCATENATE(Programme!D15821,Programme!E15821,Programme!F15821,Programme!G15821,Programme!H15821,Programme!I15821,Programme!J15821)</f>
        <v>&lt;valeur&gt;&lt;/valeur&gt;</v>
      </c>
    </row>
    <row r="15821" spans="1:1" x14ac:dyDescent="0.2">
      <c r="A15821" s="996" t="str">
        <f>CONCATENATE(Programme!D15822,Programme!E15822,Programme!F15822,Programme!G15822,Programme!H15822,Programme!I15822,Programme!J15822)</f>
        <v>&lt;numeroLigne&gt;153&lt;/numeroLigne&gt;</v>
      </c>
    </row>
    <row r="15822" spans="1:1" x14ac:dyDescent="0.2">
      <c r="A15822" s="996" t="str">
        <f>CONCATENATE(Programme!D15823,Programme!E15823,Programme!F15823,Programme!G15823,Programme!H15823,Programme!I15823,Programme!J15823)</f>
        <v>&lt;/ValeurCellule&gt;</v>
      </c>
    </row>
    <row r="15823" spans="1:1" x14ac:dyDescent="0.2">
      <c r="A15823" s="996" t="str">
        <f>CONCATENATE(Programme!D15824,Programme!E15824,Programme!F15824,Programme!G15824,Programme!H15824,Programme!I15824,Programme!J15824)</f>
        <v>&lt;ValeurCellule&gt;</v>
      </c>
    </row>
    <row r="15824" spans="1:1" x14ac:dyDescent="0.2">
      <c r="A15824" s="996" t="str">
        <f>CONCATENATE(Programme!D15825,Programme!E15825,Programme!F15825,Programme!G15825,Programme!H15825,Programme!I15825,Programme!J15825)</f>
        <v>&lt;cellule&gt;&lt;codeEdi&gt;1084&lt;/codeEdi&gt;&lt;/cellule&gt;</v>
      </c>
    </row>
    <row r="15825" spans="1:1" x14ac:dyDescent="0.2">
      <c r="A15825" s="996" t="str">
        <f>CONCATENATE(Programme!D15826,Programme!E15826,Programme!F15826,Programme!G15826,Programme!H15826,Programme!I15826,Programme!J15826)</f>
        <v>&lt;valeur&gt;&lt;/valeur&gt;</v>
      </c>
    </row>
    <row r="15826" spans="1:1" x14ac:dyDescent="0.2">
      <c r="A15826" s="996" t="str">
        <f>CONCATENATE(Programme!D15827,Programme!E15827,Programme!F15827,Programme!G15827,Programme!H15827,Programme!I15827,Programme!J15827)</f>
        <v>&lt;numeroLigne&gt;153&lt;/numeroLigne&gt;</v>
      </c>
    </row>
    <row r="15827" spans="1:1" x14ac:dyDescent="0.2">
      <c r="A15827" s="996" t="str">
        <f>CONCATENATE(Programme!D15828,Programme!E15828,Programme!F15828,Programme!G15828,Programme!H15828,Programme!I15828,Programme!J15828)</f>
        <v>&lt;/ValeurCellule&gt;</v>
      </c>
    </row>
    <row r="15828" spans="1:1" x14ac:dyDescent="0.2">
      <c r="A15828" s="996" t="str">
        <f>CONCATENATE(Programme!D15829,Programme!E15829,Programme!F15829,Programme!G15829,Programme!H15829,Programme!I15829,Programme!J15829)</f>
        <v>&lt;ValeurCellule&gt;</v>
      </c>
    </row>
    <row r="15829" spans="1:1" x14ac:dyDescent="0.2">
      <c r="A15829" s="996" t="str">
        <f>CONCATENATE(Programme!D15830,Programme!E15830,Programme!F15830,Programme!G15830,Programme!H15830,Programme!I15830,Programme!J15830)</f>
        <v>&lt;cellule&gt;&lt;codeEdi&gt;1085&lt;/codeEdi&gt;&lt;/cellule&gt;</v>
      </c>
    </row>
    <row r="15830" spans="1:1" x14ac:dyDescent="0.2">
      <c r="A15830" s="996" t="str">
        <f>CONCATENATE(Programme!D15831,Programme!E15831,Programme!F15831,Programme!G15831,Programme!H15831,Programme!I15831,Programme!J15831)</f>
        <v>&lt;valeur&gt;&lt;/valeur&gt;</v>
      </c>
    </row>
    <row r="15831" spans="1:1" x14ac:dyDescent="0.2">
      <c r="A15831" s="996" t="str">
        <f>CONCATENATE(Programme!D15832,Programme!E15832,Programme!F15832,Programme!G15832,Programme!H15832,Programme!I15832,Programme!J15832)</f>
        <v>&lt;numeroLigne&gt;153&lt;/numeroLigne&gt;</v>
      </c>
    </row>
    <row r="15832" spans="1:1" x14ac:dyDescent="0.2">
      <c r="A15832" s="996" t="str">
        <f>CONCATENATE(Programme!D15833,Programme!E15833,Programme!F15833,Programme!G15833,Programme!H15833,Programme!I15833,Programme!J15833)</f>
        <v>&lt;/ValeurCellule&gt;</v>
      </c>
    </row>
    <row r="15833" spans="1:1" x14ac:dyDescent="0.2">
      <c r="A15833" s="996" t="str">
        <f>CONCATENATE(Programme!D15834,Programme!E15834,Programme!F15834,Programme!G15834,Programme!H15834,Programme!I15834,Programme!J15834)</f>
        <v>&lt;ValeurCellule&gt;</v>
      </c>
    </row>
    <row r="15834" spans="1:1" x14ac:dyDescent="0.2">
      <c r="A15834" s="996" t="str">
        <f>CONCATENATE(Programme!D15835,Programme!E15835,Programme!F15835,Programme!G15835,Programme!H15835,Programme!I15835,Programme!J15835)</f>
        <v>&lt;cellule&gt;&lt;codeEdi&gt;1086&lt;/codeEdi&gt;&lt;/cellule&gt;</v>
      </c>
    </row>
    <row r="15835" spans="1:1" x14ac:dyDescent="0.2">
      <c r="A15835" s="996" t="str">
        <f>CONCATENATE(Programme!D15836,Programme!E15836,Programme!F15836,Programme!G15836,Programme!H15836,Programme!I15836,Programme!J15836)</f>
        <v>&lt;valeur&gt;&lt;/valeur&gt;</v>
      </c>
    </row>
    <row r="15836" spans="1:1" x14ac:dyDescent="0.2">
      <c r="A15836" s="996" t="str">
        <f>CONCATENATE(Programme!D15837,Programme!E15837,Programme!F15837,Programme!G15837,Programme!H15837,Programme!I15837,Programme!J15837)</f>
        <v>&lt;numeroLigne&gt;153&lt;/numeroLigne&gt;</v>
      </c>
    </row>
    <row r="15837" spans="1:1" x14ac:dyDescent="0.2">
      <c r="A15837" s="996" t="str">
        <f>CONCATENATE(Programme!D15838,Programme!E15838,Programme!F15838,Programme!G15838,Programme!H15838,Programme!I15838,Programme!J15838)</f>
        <v>&lt;/ValeurCellule&gt;</v>
      </c>
    </row>
    <row r="15838" spans="1:1" x14ac:dyDescent="0.2">
      <c r="A15838" s="996" t="str">
        <f>CONCATENATE(Programme!D15839,Programme!E15839,Programme!F15839,Programme!G15839,Programme!H15839,Programme!I15839,Programme!J15839)</f>
        <v>&lt;ValeurCellule&gt;</v>
      </c>
    </row>
    <row r="15839" spans="1:1" x14ac:dyDescent="0.2">
      <c r="A15839" s="996" t="str">
        <f>CONCATENATE(Programme!D15840,Programme!E15840,Programme!F15840,Programme!G15840,Programme!H15840,Programme!I15840,Programme!J15840)</f>
        <v>&lt;cellule&gt;&lt;codeEdi&gt;10061&lt;/codeEdi&gt;&lt;/cellule&gt;</v>
      </c>
    </row>
    <row r="15840" spans="1:1" x14ac:dyDescent="0.2">
      <c r="A15840" s="996" t="str">
        <f>CONCATENATE(Programme!D15841,Programme!E15841,Programme!F15841,Programme!G15841,Programme!H15841,Programme!I15841,Programme!J15841)</f>
        <v>&lt;valeur&gt;&lt;/valeur&gt;</v>
      </c>
    </row>
    <row r="15841" spans="1:1" x14ac:dyDescent="0.2">
      <c r="A15841" s="996" t="str">
        <f>CONCATENATE(Programme!D15842,Programme!E15842,Programme!F15842,Programme!G15842,Programme!H15842,Programme!I15842,Programme!J15842)</f>
        <v>&lt;numeroLigne&gt;154&lt;/numeroLigne&gt;</v>
      </c>
    </row>
    <row r="15842" spans="1:1" x14ac:dyDescent="0.2">
      <c r="A15842" s="996" t="str">
        <f>CONCATENATE(Programme!D15843,Programme!E15843,Programme!F15843,Programme!G15843,Programme!H15843,Programme!I15843,Programme!J15843)</f>
        <v>&lt;/ValeurCellule&gt;</v>
      </c>
    </row>
    <row r="15843" spans="1:1" x14ac:dyDescent="0.2">
      <c r="A15843" s="996" t="str">
        <f>CONCATENATE(Programme!D15844,Programme!E15844,Programme!F15844,Programme!G15844,Programme!H15844,Programme!I15844,Programme!J15844)</f>
        <v>&lt;ValeurCellule&gt;</v>
      </c>
    </row>
    <row r="15844" spans="1:1" x14ac:dyDescent="0.2">
      <c r="A15844" s="996" t="str">
        <f>CONCATENATE(Programme!D15845,Programme!E15845,Programme!F15845,Programme!G15845,Programme!H15845,Programme!I15845,Programme!J15845)</f>
        <v>&lt;cellule&gt;&lt;codeEdi&gt;1078&lt;/codeEdi&gt;&lt;/cellule&gt;</v>
      </c>
    </row>
    <row r="15845" spans="1:1" x14ac:dyDescent="0.2">
      <c r="A15845" s="996" t="str">
        <f>CONCATENATE(Programme!D15846,Programme!E15846,Programme!F15846,Programme!G15846,Programme!H15846,Programme!I15846,Programme!J15846)</f>
        <v>&lt;valeur&gt;&lt;/valeur&gt;</v>
      </c>
    </row>
    <row r="15846" spans="1:1" x14ac:dyDescent="0.2">
      <c r="A15846" s="996" t="str">
        <f>CONCATENATE(Programme!D15847,Programme!E15847,Programme!F15847,Programme!G15847,Programme!H15847,Programme!I15847,Programme!J15847)</f>
        <v>&lt;numeroLigne&gt;154&lt;/numeroLigne&gt;</v>
      </c>
    </row>
    <row r="15847" spans="1:1" x14ac:dyDescent="0.2">
      <c r="A15847" s="996" t="str">
        <f>CONCATENATE(Programme!D15848,Programme!E15848,Programme!F15848,Programme!G15848,Programme!H15848,Programme!I15848,Programme!J15848)</f>
        <v>&lt;/ValeurCellule&gt;</v>
      </c>
    </row>
    <row r="15848" spans="1:1" x14ac:dyDescent="0.2">
      <c r="A15848" s="996" t="str">
        <f>CONCATENATE(Programme!D15849,Programme!E15849,Programme!F15849,Programme!G15849,Programme!H15849,Programme!I15849,Programme!J15849)</f>
        <v>&lt;ValeurCellule&gt;</v>
      </c>
    </row>
    <row r="15849" spans="1:1" x14ac:dyDescent="0.2">
      <c r="A15849" s="996" t="str">
        <f>CONCATENATE(Programme!D15850,Programme!E15850,Programme!F15850,Programme!G15850,Programme!H15850,Programme!I15850,Programme!J15850)</f>
        <v>&lt;cellule&gt;&lt;codeEdi&gt;1079&lt;/codeEdi&gt;&lt;/cellule&gt;</v>
      </c>
    </row>
    <row r="15850" spans="1:1" x14ac:dyDescent="0.2">
      <c r="A15850" s="996" t="str">
        <f>CONCATENATE(Programme!D15851,Programme!E15851,Programme!F15851,Programme!G15851,Programme!H15851,Programme!I15851,Programme!J15851)</f>
        <v>&lt;valeur&gt;&lt;/valeur&gt;</v>
      </c>
    </row>
    <row r="15851" spans="1:1" x14ac:dyDescent="0.2">
      <c r="A15851" s="996" t="str">
        <f>CONCATENATE(Programme!D15852,Programme!E15852,Programme!F15852,Programme!G15852,Programme!H15852,Programme!I15852,Programme!J15852)</f>
        <v>&lt;numeroLigne&gt;154&lt;/numeroLigne&gt;</v>
      </c>
    </row>
    <row r="15852" spans="1:1" x14ac:dyDescent="0.2">
      <c r="A15852" s="996" t="str">
        <f>CONCATENATE(Programme!D15853,Programme!E15853,Programme!F15853,Programme!G15853,Programme!H15853,Programme!I15853,Programme!J15853)</f>
        <v>&lt;/ValeurCellule&gt;</v>
      </c>
    </row>
    <row r="15853" spans="1:1" x14ac:dyDescent="0.2">
      <c r="A15853" s="996" t="str">
        <f>CONCATENATE(Programme!D15854,Programme!E15854,Programme!F15854,Programme!G15854,Programme!H15854,Programme!I15854,Programme!J15854)</f>
        <v>&lt;ValeurCellule&gt;</v>
      </c>
    </row>
    <row r="15854" spans="1:1" x14ac:dyDescent="0.2">
      <c r="A15854" s="996" t="str">
        <f>CONCATENATE(Programme!D15855,Programme!E15855,Programme!F15855,Programme!G15855,Programme!H15855,Programme!I15855,Programme!J15855)</f>
        <v>&lt;cellule&gt;&lt;codeEdi&gt;1080&lt;/codeEdi&gt;&lt;/cellule&gt;</v>
      </c>
    </row>
    <row r="15855" spans="1:1" x14ac:dyDescent="0.2">
      <c r="A15855" s="996" t="str">
        <f>CONCATENATE(Programme!D15856,Programme!E15856,Programme!F15856,Programme!G15856,Programme!H15856,Programme!I15856,Programme!J15856)</f>
        <v>&lt;valeur&gt;&lt;/valeur&gt;</v>
      </c>
    </row>
    <row r="15856" spans="1:1" x14ac:dyDescent="0.2">
      <c r="A15856" s="996" t="str">
        <f>CONCATENATE(Programme!D15857,Programme!E15857,Programme!F15857,Programme!G15857,Programme!H15857,Programme!I15857,Programme!J15857)</f>
        <v>&lt;numeroLigne&gt;154&lt;/numeroLigne&gt;</v>
      </c>
    </row>
    <row r="15857" spans="1:1" x14ac:dyDescent="0.2">
      <c r="A15857" s="996" t="str">
        <f>CONCATENATE(Programme!D15858,Programme!E15858,Programme!F15858,Programme!G15858,Programme!H15858,Programme!I15858,Programme!J15858)</f>
        <v>&lt;/ValeurCellule&gt;</v>
      </c>
    </row>
    <row r="15858" spans="1:1" x14ac:dyDescent="0.2">
      <c r="A15858" s="996" t="str">
        <f>CONCATENATE(Programme!D15859,Programme!E15859,Programme!F15859,Programme!G15859,Programme!H15859,Programme!I15859,Programme!J15859)</f>
        <v>&lt;ValeurCellule&gt;</v>
      </c>
    </row>
    <row r="15859" spans="1:1" x14ac:dyDescent="0.2">
      <c r="A15859" s="996" t="str">
        <f>CONCATENATE(Programme!D15860,Programme!E15860,Programme!F15860,Programme!G15860,Programme!H15860,Programme!I15860,Programme!J15860)</f>
        <v>&lt;cellule&gt;&lt;codeEdi&gt;1081&lt;/codeEdi&gt;&lt;/cellule&gt;</v>
      </c>
    </row>
    <row r="15860" spans="1:1" x14ac:dyDescent="0.2">
      <c r="A15860" s="996" t="str">
        <f>CONCATENATE(Programme!D15861,Programme!E15861,Programme!F15861,Programme!G15861,Programme!H15861,Programme!I15861,Programme!J15861)</f>
        <v>&lt;valeur&gt;&lt;/valeur&gt;</v>
      </c>
    </row>
    <row r="15861" spans="1:1" x14ac:dyDescent="0.2">
      <c r="A15861" s="996" t="str">
        <f>CONCATENATE(Programme!D15862,Programme!E15862,Programme!F15862,Programme!G15862,Programme!H15862,Programme!I15862,Programme!J15862)</f>
        <v>&lt;numeroLigne&gt;154&lt;/numeroLigne&gt;</v>
      </c>
    </row>
    <row r="15862" spans="1:1" x14ac:dyDescent="0.2">
      <c r="A15862" s="996" t="str">
        <f>CONCATENATE(Programme!D15863,Programme!E15863,Programme!F15863,Programme!G15863,Programme!H15863,Programme!I15863,Programme!J15863)</f>
        <v>&lt;/ValeurCellule&gt;</v>
      </c>
    </row>
    <row r="15863" spans="1:1" x14ac:dyDescent="0.2">
      <c r="A15863" s="996" t="str">
        <f>CONCATENATE(Programme!D15864,Programme!E15864,Programme!F15864,Programme!G15864,Programme!H15864,Programme!I15864,Programme!J15864)</f>
        <v>&lt;ValeurCellule&gt;</v>
      </c>
    </row>
    <row r="15864" spans="1:1" x14ac:dyDescent="0.2">
      <c r="A15864" s="996" t="str">
        <f>CONCATENATE(Programme!D15865,Programme!E15865,Programme!F15865,Programme!G15865,Programme!H15865,Programme!I15865,Programme!J15865)</f>
        <v>&lt;cellule&gt;&lt;codeEdi&gt;1082&lt;/codeEdi&gt;&lt;/cellule&gt;</v>
      </c>
    </row>
    <row r="15865" spans="1:1" x14ac:dyDescent="0.2">
      <c r="A15865" s="996" t="str">
        <f>CONCATENATE(Programme!D15866,Programme!E15866,Programme!F15866,Programme!G15866,Programme!H15866,Programme!I15866,Programme!J15866)</f>
        <v>&lt;valeur&gt;&lt;/valeur&gt;</v>
      </c>
    </row>
    <row r="15866" spans="1:1" x14ac:dyDescent="0.2">
      <c r="A15866" s="996" t="str">
        <f>CONCATENATE(Programme!D15867,Programme!E15867,Programme!F15867,Programme!G15867,Programme!H15867,Programme!I15867,Programme!J15867)</f>
        <v>&lt;numeroLigne&gt;154&lt;/numeroLigne&gt;</v>
      </c>
    </row>
    <row r="15867" spans="1:1" x14ac:dyDescent="0.2">
      <c r="A15867" s="996" t="str">
        <f>CONCATENATE(Programme!D15868,Programme!E15868,Programme!F15868,Programme!G15868,Programme!H15868,Programme!I15868,Programme!J15868)</f>
        <v>&lt;/ValeurCellule&gt;</v>
      </c>
    </row>
    <row r="15868" spans="1:1" x14ac:dyDescent="0.2">
      <c r="A15868" s="996" t="str">
        <f>CONCATENATE(Programme!D15869,Programme!E15869,Programme!F15869,Programme!G15869,Programme!H15869,Programme!I15869,Programme!J15869)</f>
        <v>&lt;ValeurCellule&gt;</v>
      </c>
    </row>
    <row r="15869" spans="1:1" x14ac:dyDescent="0.2">
      <c r="A15869" s="996" t="str">
        <f>CONCATENATE(Programme!D15870,Programme!E15870,Programme!F15870,Programme!G15870,Programme!H15870,Programme!I15870,Programme!J15870)</f>
        <v>&lt;cellule&gt;&lt;codeEdi&gt;1083&lt;/codeEdi&gt;&lt;/cellule&gt;</v>
      </c>
    </row>
    <row r="15870" spans="1:1" x14ac:dyDescent="0.2">
      <c r="A15870" s="996" t="str">
        <f>CONCATENATE(Programme!D15871,Programme!E15871,Programme!F15871,Programme!G15871,Programme!H15871,Programme!I15871,Programme!J15871)</f>
        <v>&lt;valeur&gt;&lt;/valeur&gt;</v>
      </c>
    </row>
    <row r="15871" spans="1:1" x14ac:dyDescent="0.2">
      <c r="A15871" s="996" t="str">
        <f>CONCATENATE(Programme!D15872,Programme!E15872,Programme!F15872,Programme!G15872,Programme!H15872,Programme!I15872,Programme!J15872)</f>
        <v>&lt;numeroLigne&gt;154&lt;/numeroLigne&gt;</v>
      </c>
    </row>
    <row r="15872" spans="1:1" x14ac:dyDescent="0.2">
      <c r="A15872" s="996" t="str">
        <f>CONCATENATE(Programme!D15873,Programme!E15873,Programme!F15873,Programme!G15873,Programme!H15873,Programme!I15873,Programme!J15873)</f>
        <v>&lt;/ValeurCellule&gt;</v>
      </c>
    </row>
    <row r="15873" spans="1:1" x14ac:dyDescent="0.2">
      <c r="A15873" s="996" t="str">
        <f>CONCATENATE(Programme!D15874,Programme!E15874,Programme!F15874,Programme!G15874,Programme!H15874,Programme!I15874,Programme!J15874)</f>
        <v>&lt;ValeurCellule&gt;</v>
      </c>
    </row>
    <row r="15874" spans="1:1" x14ac:dyDescent="0.2">
      <c r="A15874" s="996" t="str">
        <f>CONCATENATE(Programme!D15875,Programme!E15875,Programme!F15875,Programme!G15875,Programme!H15875,Programme!I15875,Programme!J15875)</f>
        <v>&lt;cellule&gt;&lt;codeEdi&gt;1084&lt;/codeEdi&gt;&lt;/cellule&gt;</v>
      </c>
    </row>
    <row r="15875" spans="1:1" x14ac:dyDescent="0.2">
      <c r="A15875" s="996" t="str">
        <f>CONCATENATE(Programme!D15876,Programme!E15876,Programme!F15876,Programme!G15876,Programme!H15876,Programme!I15876,Programme!J15876)</f>
        <v>&lt;valeur&gt;&lt;/valeur&gt;</v>
      </c>
    </row>
    <row r="15876" spans="1:1" x14ac:dyDescent="0.2">
      <c r="A15876" s="996" t="str">
        <f>CONCATENATE(Programme!D15877,Programme!E15877,Programme!F15877,Programme!G15877,Programme!H15877,Programme!I15877,Programme!J15877)</f>
        <v>&lt;numeroLigne&gt;154&lt;/numeroLigne&gt;</v>
      </c>
    </row>
    <row r="15877" spans="1:1" x14ac:dyDescent="0.2">
      <c r="A15877" s="996" t="str">
        <f>CONCATENATE(Programme!D15878,Programme!E15878,Programme!F15878,Programme!G15878,Programme!H15878,Programme!I15878,Programme!J15878)</f>
        <v>&lt;/ValeurCellule&gt;</v>
      </c>
    </row>
    <row r="15878" spans="1:1" x14ac:dyDescent="0.2">
      <c r="A15878" s="996" t="str">
        <f>CONCATENATE(Programme!D15879,Programme!E15879,Programme!F15879,Programme!G15879,Programme!H15879,Programme!I15879,Programme!J15879)</f>
        <v>&lt;ValeurCellule&gt;</v>
      </c>
    </row>
    <row r="15879" spans="1:1" x14ac:dyDescent="0.2">
      <c r="A15879" s="996" t="str">
        <f>CONCATENATE(Programme!D15880,Programme!E15880,Programme!F15880,Programme!G15880,Programme!H15880,Programme!I15880,Programme!J15880)</f>
        <v>&lt;cellule&gt;&lt;codeEdi&gt;1085&lt;/codeEdi&gt;&lt;/cellule&gt;</v>
      </c>
    </row>
    <row r="15880" spans="1:1" x14ac:dyDescent="0.2">
      <c r="A15880" s="996" t="str">
        <f>CONCATENATE(Programme!D15881,Programme!E15881,Programme!F15881,Programme!G15881,Programme!H15881,Programme!I15881,Programme!J15881)</f>
        <v>&lt;valeur&gt;&lt;/valeur&gt;</v>
      </c>
    </row>
    <row r="15881" spans="1:1" x14ac:dyDescent="0.2">
      <c r="A15881" s="996" t="str">
        <f>CONCATENATE(Programme!D15882,Programme!E15882,Programme!F15882,Programme!G15882,Programme!H15882,Programme!I15882,Programme!J15882)</f>
        <v>&lt;numeroLigne&gt;154&lt;/numeroLigne&gt;</v>
      </c>
    </row>
    <row r="15882" spans="1:1" x14ac:dyDescent="0.2">
      <c r="A15882" s="996" t="str">
        <f>CONCATENATE(Programme!D15883,Programme!E15883,Programme!F15883,Programme!G15883,Programme!H15883,Programme!I15883,Programme!J15883)</f>
        <v>&lt;/ValeurCellule&gt;</v>
      </c>
    </row>
    <row r="15883" spans="1:1" x14ac:dyDescent="0.2">
      <c r="A15883" s="996" t="str">
        <f>CONCATENATE(Programme!D15884,Programme!E15884,Programme!F15884,Programme!G15884,Programme!H15884,Programme!I15884,Programme!J15884)</f>
        <v>&lt;ValeurCellule&gt;</v>
      </c>
    </row>
    <row r="15884" spans="1:1" x14ac:dyDescent="0.2">
      <c r="A15884" s="996" t="str">
        <f>CONCATENATE(Programme!D15885,Programme!E15885,Programme!F15885,Programme!G15885,Programme!H15885,Programme!I15885,Programme!J15885)</f>
        <v>&lt;cellule&gt;&lt;codeEdi&gt;1086&lt;/codeEdi&gt;&lt;/cellule&gt;</v>
      </c>
    </row>
    <row r="15885" spans="1:1" x14ac:dyDescent="0.2">
      <c r="A15885" s="996" t="str">
        <f>CONCATENATE(Programme!D15886,Programme!E15886,Programme!F15886,Programme!G15886,Programme!H15886,Programme!I15886,Programme!J15886)</f>
        <v>&lt;valeur&gt;&lt;/valeur&gt;</v>
      </c>
    </row>
    <row r="15886" spans="1:1" x14ac:dyDescent="0.2">
      <c r="A15886" s="996" t="str">
        <f>CONCATENATE(Programme!D15887,Programme!E15887,Programme!F15887,Programme!G15887,Programme!H15887,Programme!I15887,Programme!J15887)</f>
        <v>&lt;numeroLigne&gt;154&lt;/numeroLigne&gt;</v>
      </c>
    </row>
    <row r="15887" spans="1:1" x14ac:dyDescent="0.2">
      <c r="A15887" s="996" t="str">
        <f>CONCATENATE(Programme!D15888,Programme!E15888,Programme!F15888,Programme!G15888,Programme!H15888,Programme!I15888,Programme!J15888)</f>
        <v>&lt;/ValeurCellule&gt;</v>
      </c>
    </row>
    <row r="15888" spans="1:1" x14ac:dyDescent="0.2">
      <c r="A15888" s="996" t="str">
        <f>CONCATENATE(Programme!D15889,Programme!E15889,Programme!F15889,Programme!G15889,Programme!H15889,Programme!I15889,Programme!J15889)</f>
        <v>&lt;ValeurCellule&gt;</v>
      </c>
    </row>
    <row r="15889" spans="1:1" x14ac:dyDescent="0.2">
      <c r="A15889" s="996" t="str">
        <f>CONCATENATE(Programme!D15890,Programme!E15890,Programme!F15890,Programme!G15890,Programme!H15890,Programme!I15890,Programme!J15890)</f>
        <v>&lt;cellule&gt;&lt;codeEdi&gt;10061&lt;/codeEdi&gt;&lt;/cellule&gt;</v>
      </c>
    </row>
    <row r="15890" spans="1:1" x14ac:dyDescent="0.2">
      <c r="A15890" s="996" t="str">
        <f>CONCATENATE(Programme!D15891,Programme!E15891,Programme!F15891,Programme!G15891,Programme!H15891,Programme!I15891,Programme!J15891)</f>
        <v>&lt;valeur&gt;&lt;/valeur&gt;</v>
      </c>
    </row>
    <row r="15891" spans="1:1" x14ac:dyDescent="0.2">
      <c r="A15891" s="996" t="str">
        <f>CONCATENATE(Programme!D15892,Programme!E15892,Programme!F15892,Programme!G15892,Programme!H15892,Programme!I15892,Programme!J15892)</f>
        <v>&lt;numeroLigne&gt;155&lt;/numeroLigne&gt;</v>
      </c>
    </row>
    <row r="15892" spans="1:1" x14ac:dyDescent="0.2">
      <c r="A15892" s="996" t="str">
        <f>CONCATENATE(Programme!D15893,Programme!E15893,Programme!F15893,Programme!G15893,Programme!H15893,Programme!I15893,Programme!J15893)</f>
        <v>&lt;/ValeurCellule&gt;</v>
      </c>
    </row>
    <row r="15893" spans="1:1" x14ac:dyDescent="0.2">
      <c r="A15893" s="996" t="str">
        <f>CONCATENATE(Programme!D15894,Programme!E15894,Programme!F15894,Programme!G15894,Programme!H15894,Programme!I15894,Programme!J15894)</f>
        <v>&lt;ValeurCellule&gt;</v>
      </c>
    </row>
    <row r="15894" spans="1:1" x14ac:dyDescent="0.2">
      <c r="A15894" s="996" t="str">
        <f>CONCATENATE(Programme!D15895,Programme!E15895,Programme!F15895,Programme!G15895,Programme!H15895,Programme!I15895,Programme!J15895)</f>
        <v>&lt;cellule&gt;&lt;codeEdi&gt;1078&lt;/codeEdi&gt;&lt;/cellule&gt;</v>
      </c>
    </row>
    <row r="15895" spans="1:1" x14ac:dyDescent="0.2">
      <c r="A15895" s="996" t="str">
        <f>CONCATENATE(Programme!D15896,Programme!E15896,Programme!F15896,Programme!G15896,Programme!H15896,Programme!I15896,Programme!J15896)</f>
        <v>&lt;valeur&gt;&lt;/valeur&gt;</v>
      </c>
    </row>
    <row r="15896" spans="1:1" x14ac:dyDescent="0.2">
      <c r="A15896" s="996" t="str">
        <f>CONCATENATE(Programme!D15897,Programme!E15897,Programme!F15897,Programme!G15897,Programme!H15897,Programme!I15897,Programme!J15897)</f>
        <v>&lt;numeroLigne&gt;155&lt;/numeroLigne&gt;</v>
      </c>
    </row>
    <row r="15897" spans="1:1" x14ac:dyDescent="0.2">
      <c r="A15897" s="996" t="str">
        <f>CONCATENATE(Programme!D15898,Programme!E15898,Programme!F15898,Programme!G15898,Programme!H15898,Programme!I15898,Programme!J15898)</f>
        <v>&lt;/ValeurCellule&gt;</v>
      </c>
    </row>
    <row r="15898" spans="1:1" x14ac:dyDescent="0.2">
      <c r="A15898" s="996" t="str">
        <f>CONCATENATE(Programme!D15899,Programme!E15899,Programme!F15899,Programme!G15899,Programme!H15899,Programme!I15899,Programme!J15899)</f>
        <v>&lt;ValeurCellule&gt;</v>
      </c>
    </row>
    <row r="15899" spans="1:1" x14ac:dyDescent="0.2">
      <c r="A15899" s="996" t="str">
        <f>CONCATENATE(Programme!D15900,Programme!E15900,Programme!F15900,Programme!G15900,Programme!H15900,Programme!I15900,Programme!J15900)</f>
        <v>&lt;cellule&gt;&lt;codeEdi&gt;1079&lt;/codeEdi&gt;&lt;/cellule&gt;</v>
      </c>
    </row>
    <row r="15900" spans="1:1" x14ac:dyDescent="0.2">
      <c r="A15900" s="996" t="str">
        <f>CONCATENATE(Programme!D15901,Programme!E15901,Programme!F15901,Programme!G15901,Programme!H15901,Programme!I15901,Programme!J15901)</f>
        <v>&lt;valeur&gt;&lt;/valeur&gt;</v>
      </c>
    </row>
    <row r="15901" spans="1:1" x14ac:dyDescent="0.2">
      <c r="A15901" s="996" t="str">
        <f>CONCATENATE(Programme!D15902,Programme!E15902,Programme!F15902,Programme!G15902,Programme!H15902,Programme!I15902,Programme!J15902)</f>
        <v>&lt;numeroLigne&gt;155&lt;/numeroLigne&gt;</v>
      </c>
    </row>
    <row r="15902" spans="1:1" x14ac:dyDescent="0.2">
      <c r="A15902" s="996" t="str">
        <f>CONCATENATE(Programme!D15903,Programme!E15903,Programme!F15903,Programme!G15903,Programme!H15903,Programme!I15903,Programme!J15903)</f>
        <v>&lt;/ValeurCellule&gt;</v>
      </c>
    </row>
    <row r="15903" spans="1:1" x14ac:dyDescent="0.2">
      <c r="A15903" s="996" t="str">
        <f>CONCATENATE(Programme!D15904,Programme!E15904,Programme!F15904,Programme!G15904,Programme!H15904,Programme!I15904,Programme!J15904)</f>
        <v>&lt;ValeurCellule&gt;</v>
      </c>
    </row>
    <row r="15904" spans="1:1" x14ac:dyDescent="0.2">
      <c r="A15904" s="996" t="str">
        <f>CONCATENATE(Programme!D15905,Programme!E15905,Programme!F15905,Programme!G15905,Programme!H15905,Programme!I15905,Programme!J15905)</f>
        <v>&lt;cellule&gt;&lt;codeEdi&gt;1080&lt;/codeEdi&gt;&lt;/cellule&gt;</v>
      </c>
    </row>
    <row r="15905" spans="1:1" x14ac:dyDescent="0.2">
      <c r="A15905" s="996" t="str">
        <f>CONCATENATE(Programme!D15906,Programme!E15906,Programme!F15906,Programme!G15906,Programme!H15906,Programme!I15906,Programme!J15906)</f>
        <v>&lt;valeur&gt;&lt;/valeur&gt;</v>
      </c>
    </row>
    <row r="15906" spans="1:1" x14ac:dyDescent="0.2">
      <c r="A15906" s="996" t="str">
        <f>CONCATENATE(Programme!D15907,Programme!E15907,Programme!F15907,Programme!G15907,Programme!H15907,Programme!I15907,Programme!J15907)</f>
        <v>&lt;numeroLigne&gt;155&lt;/numeroLigne&gt;</v>
      </c>
    </row>
    <row r="15907" spans="1:1" x14ac:dyDescent="0.2">
      <c r="A15907" s="996" t="str">
        <f>CONCATENATE(Programme!D15908,Programme!E15908,Programme!F15908,Programme!G15908,Programme!H15908,Programme!I15908,Programme!J15908)</f>
        <v>&lt;/ValeurCellule&gt;</v>
      </c>
    </row>
    <row r="15908" spans="1:1" x14ac:dyDescent="0.2">
      <c r="A15908" s="996" t="str">
        <f>CONCATENATE(Programme!D15909,Programme!E15909,Programme!F15909,Programme!G15909,Programme!H15909,Programme!I15909,Programme!J15909)</f>
        <v>&lt;ValeurCellule&gt;</v>
      </c>
    </row>
    <row r="15909" spans="1:1" x14ac:dyDescent="0.2">
      <c r="A15909" s="996" t="str">
        <f>CONCATENATE(Programme!D15910,Programme!E15910,Programme!F15910,Programme!G15910,Programme!H15910,Programme!I15910,Programme!J15910)</f>
        <v>&lt;cellule&gt;&lt;codeEdi&gt;1081&lt;/codeEdi&gt;&lt;/cellule&gt;</v>
      </c>
    </row>
    <row r="15910" spans="1:1" x14ac:dyDescent="0.2">
      <c r="A15910" s="996" t="str">
        <f>CONCATENATE(Programme!D15911,Programme!E15911,Programme!F15911,Programme!G15911,Programme!H15911,Programme!I15911,Programme!J15911)</f>
        <v>&lt;valeur&gt;&lt;/valeur&gt;</v>
      </c>
    </row>
    <row r="15911" spans="1:1" x14ac:dyDescent="0.2">
      <c r="A15911" s="996" t="str">
        <f>CONCATENATE(Programme!D15912,Programme!E15912,Programme!F15912,Programme!G15912,Programme!H15912,Programme!I15912,Programme!J15912)</f>
        <v>&lt;numeroLigne&gt;155&lt;/numeroLigne&gt;</v>
      </c>
    </row>
    <row r="15912" spans="1:1" x14ac:dyDescent="0.2">
      <c r="A15912" s="996" t="str">
        <f>CONCATENATE(Programme!D15913,Programme!E15913,Programme!F15913,Programme!G15913,Programme!H15913,Programme!I15913,Programme!J15913)</f>
        <v>&lt;/ValeurCellule&gt;</v>
      </c>
    </row>
    <row r="15913" spans="1:1" x14ac:dyDescent="0.2">
      <c r="A15913" s="996" t="str">
        <f>CONCATENATE(Programme!D15914,Programme!E15914,Programme!F15914,Programme!G15914,Programme!H15914,Programme!I15914,Programme!J15914)</f>
        <v>&lt;ValeurCellule&gt;</v>
      </c>
    </row>
    <row r="15914" spans="1:1" x14ac:dyDescent="0.2">
      <c r="A15914" s="996" t="str">
        <f>CONCATENATE(Programme!D15915,Programme!E15915,Programme!F15915,Programme!G15915,Programme!H15915,Programme!I15915,Programme!J15915)</f>
        <v>&lt;cellule&gt;&lt;codeEdi&gt;1082&lt;/codeEdi&gt;&lt;/cellule&gt;</v>
      </c>
    </row>
    <row r="15915" spans="1:1" x14ac:dyDescent="0.2">
      <c r="A15915" s="996" t="str">
        <f>CONCATENATE(Programme!D15916,Programme!E15916,Programme!F15916,Programme!G15916,Programme!H15916,Programme!I15916,Programme!J15916)</f>
        <v>&lt;valeur&gt;&lt;/valeur&gt;</v>
      </c>
    </row>
    <row r="15916" spans="1:1" x14ac:dyDescent="0.2">
      <c r="A15916" s="996" t="str">
        <f>CONCATENATE(Programme!D15917,Programme!E15917,Programme!F15917,Programme!G15917,Programme!H15917,Programme!I15917,Programme!J15917)</f>
        <v>&lt;numeroLigne&gt;155&lt;/numeroLigne&gt;</v>
      </c>
    </row>
    <row r="15917" spans="1:1" x14ac:dyDescent="0.2">
      <c r="A15917" s="996" t="str">
        <f>CONCATENATE(Programme!D15918,Programme!E15918,Programme!F15918,Programme!G15918,Programme!H15918,Programme!I15918,Programme!J15918)</f>
        <v>&lt;/ValeurCellule&gt;</v>
      </c>
    </row>
    <row r="15918" spans="1:1" x14ac:dyDescent="0.2">
      <c r="A15918" s="996" t="str">
        <f>CONCATENATE(Programme!D15919,Programme!E15919,Programme!F15919,Programme!G15919,Programme!H15919,Programme!I15919,Programme!J15919)</f>
        <v>&lt;ValeurCellule&gt;</v>
      </c>
    </row>
    <row r="15919" spans="1:1" x14ac:dyDescent="0.2">
      <c r="A15919" s="996" t="str">
        <f>CONCATENATE(Programme!D15920,Programme!E15920,Programme!F15920,Programme!G15920,Programme!H15920,Programme!I15920,Programme!J15920)</f>
        <v>&lt;cellule&gt;&lt;codeEdi&gt;1083&lt;/codeEdi&gt;&lt;/cellule&gt;</v>
      </c>
    </row>
    <row r="15920" spans="1:1" x14ac:dyDescent="0.2">
      <c r="A15920" s="996" t="str">
        <f>CONCATENATE(Programme!D15921,Programme!E15921,Programme!F15921,Programme!G15921,Programme!H15921,Programme!I15921,Programme!J15921)</f>
        <v>&lt;valeur&gt;&lt;/valeur&gt;</v>
      </c>
    </row>
    <row r="15921" spans="1:1" x14ac:dyDescent="0.2">
      <c r="A15921" s="996" t="str">
        <f>CONCATENATE(Programme!D15922,Programme!E15922,Programme!F15922,Programme!G15922,Programme!H15922,Programme!I15922,Programme!J15922)</f>
        <v>&lt;numeroLigne&gt;155&lt;/numeroLigne&gt;</v>
      </c>
    </row>
    <row r="15922" spans="1:1" x14ac:dyDescent="0.2">
      <c r="A15922" s="996" t="str">
        <f>CONCATENATE(Programme!D15923,Programme!E15923,Programme!F15923,Programme!G15923,Programme!H15923,Programme!I15923,Programme!J15923)</f>
        <v>&lt;/ValeurCellule&gt;</v>
      </c>
    </row>
    <row r="15923" spans="1:1" x14ac:dyDescent="0.2">
      <c r="A15923" s="996" t="str">
        <f>CONCATENATE(Programme!D15924,Programme!E15924,Programme!F15924,Programme!G15924,Programme!H15924,Programme!I15924,Programme!J15924)</f>
        <v>&lt;ValeurCellule&gt;</v>
      </c>
    </row>
    <row r="15924" spans="1:1" x14ac:dyDescent="0.2">
      <c r="A15924" s="996" t="str">
        <f>CONCATENATE(Programme!D15925,Programme!E15925,Programme!F15925,Programme!G15925,Programme!H15925,Programme!I15925,Programme!J15925)</f>
        <v>&lt;cellule&gt;&lt;codeEdi&gt;1084&lt;/codeEdi&gt;&lt;/cellule&gt;</v>
      </c>
    </row>
    <row r="15925" spans="1:1" x14ac:dyDescent="0.2">
      <c r="A15925" s="996" t="str">
        <f>CONCATENATE(Programme!D15926,Programme!E15926,Programme!F15926,Programme!G15926,Programme!H15926,Programme!I15926,Programme!J15926)</f>
        <v>&lt;valeur&gt;&lt;/valeur&gt;</v>
      </c>
    </row>
    <row r="15926" spans="1:1" x14ac:dyDescent="0.2">
      <c r="A15926" s="996" t="str">
        <f>CONCATENATE(Programme!D15927,Programme!E15927,Programme!F15927,Programme!G15927,Programme!H15927,Programme!I15927,Programme!J15927)</f>
        <v>&lt;numeroLigne&gt;155&lt;/numeroLigne&gt;</v>
      </c>
    </row>
    <row r="15927" spans="1:1" x14ac:dyDescent="0.2">
      <c r="A15927" s="996" t="str">
        <f>CONCATENATE(Programme!D15928,Programme!E15928,Programme!F15928,Programme!G15928,Programme!H15928,Programme!I15928,Programme!J15928)</f>
        <v>&lt;/ValeurCellule&gt;</v>
      </c>
    </row>
    <row r="15928" spans="1:1" x14ac:dyDescent="0.2">
      <c r="A15928" s="996" t="str">
        <f>CONCATENATE(Programme!D15929,Programme!E15929,Programme!F15929,Programme!G15929,Programme!H15929,Programme!I15929,Programme!J15929)</f>
        <v>&lt;ValeurCellule&gt;</v>
      </c>
    </row>
    <row r="15929" spans="1:1" x14ac:dyDescent="0.2">
      <c r="A15929" s="996" t="str">
        <f>CONCATENATE(Programme!D15930,Programme!E15930,Programme!F15930,Programme!G15930,Programme!H15930,Programme!I15930,Programme!J15930)</f>
        <v>&lt;cellule&gt;&lt;codeEdi&gt;1085&lt;/codeEdi&gt;&lt;/cellule&gt;</v>
      </c>
    </row>
    <row r="15930" spans="1:1" x14ac:dyDescent="0.2">
      <c r="A15930" s="996" t="str">
        <f>CONCATENATE(Programme!D15931,Programme!E15931,Programme!F15931,Programme!G15931,Programme!H15931,Programme!I15931,Programme!J15931)</f>
        <v>&lt;valeur&gt;&lt;/valeur&gt;</v>
      </c>
    </row>
    <row r="15931" spans="1:1" x14ac:dyDescent="0.2">
      <c r="A15931" s="996" t="str">
        <f>CONCATENATE(Programme!D15932,Programme!E15932,Programme!F15932,Programme!G15932,Programme!H15932,Programme!I15932,Programme!J15932)</f>
        <v>&lt;numeroLigne&gt;155&lt;/numeroLigne&gt;</v>
      </c>
    </row>
    <row r="15932" spans="1:1" x14ac:dyDescent="0.2">
      <c r="A15932" s="996" t="str">
        <f>CONCATENATE(Programme!D15933,Programme!E15933,Programme!F15933,Programme!G15933,Programme!H15933,Programme!I15933,Programme!J15933)</f>
        <v>&lt;/ValeurCellule&gt;</v>
      </c>
    </row>
    <row r="15933" spans="1:1" x14ac:dyDescent="0.2">
      <c r="A15933" s="996" t="str">
        <f>CONCATENATE(Programme!D15934,Programme!E15934,Programme!F15934,Programme!G15934,Programme!H15934,Programme!I15934,Programme!J15934)</f>
        <v>&lt;ValeurCellule&gt;</v>
      </c>
    </row>
    <row r="15934" spans="1:1" x14ac:dyDescent="0.2">
      <c r="A15934" s="996" t="str">
        <f>CONCATENATE(Programme!D15935,Programme!E15935,Programme!F15935,Programme!G15935,Programme!H15935,Programme!I15935,Programme!J15935)</f>
        <v>&lt;cellule&gt;&lt;codeEdi&gt;1086&lt;/codeEdi&gt;&lt;/cellule&gt;</v>
      </c>
    </row>
    <row r="15935" spans="1:1" x14ac:dyDescent="0.2">
      <c r="A15935" s="996" t="str">
        <f>CONCATENATE(Programme!D15936,Programme!E15936,Programme!F15936,Programme!G15936,Programme!H15936,Programme!I15936,Programme!J15936)</f>
        <v>&lt;valeur&gt;&lt;/valeur&gt;</v>
      </c>
    </row>
    <row r="15936" spans="1:1" x14ac:dyDescent="0.2">
      <c r="A15936" s="996" t="str">
        <f>CONCATENATE(Programme!D15937,Programme!E15937,Programme!F15937,Programme!G15937,Programme!H15937,Programme!I15937,Programme!J15937)</f>
        <v>&lt;numeroLigne&gt;155&lt;/numeroLigne&gt;</v>
      </c>
    </row>
    <row r="15937" spans="1:1" x14ac:dyDescent="0.2">
      <c r="A15937" s="996" t="str">
        <f>CONCATENATE(Programme!D15938,Programme!E15938,Programme!F15938,Programme!G15938,Programme!H15938,Programme!I15938,Programme!J15938)</f>
        <v>&lt;/ValeurCellule&gt;</v>
      </c>
    </row>
    <row r="15938" spans="1:1" x14ac:dyDescent="0.2">
      <c r="A15938" s="996" t="str">
        <f>CONCATENATE(Programme!D15939,Programme!E15939,Programme!F15939,Programme!G15939,Programme!H15939,Programme!I15939,Programme!J15939)</f>
        <v>&lt;ValeurCellule&gt;</v>
      </c>
    </row>
    <row r="15939" spans="1:1" x14ac:dyDescent="0.2">
      <c r="A15939" s="996" t="str">
        <f>CONCATENATE(Programme!D15940,Programme!E15940,Programme!F15940,Programme!G15940,Programme!H15940,Programme!I15940,Programme!J15940)</f>
        <v>&lt;cellule&gt;&lt;codeEdi&gt;10061&lt;/codeEdi&gt;&lt;/cellule&gt;</v>
      </c>
    </row>
    <row r="15940" spans="1:1" x14ac:dyDescent="0.2">
      <c r="A15940" s="996" t="str">
        <f>CONCATENATE(Programme!D15941,Programme!E15941,Programme!F15941,Programme!G15941,Programme!H15941,Programme!I15941,Programme!J15941)</f>
        <v>&lt;valeur&gt;&lt;/valeur&gt;</v>
      </c>
    </row>
    <row r="15941" spans="1:1" x14ac:dyDescent="0.2">
      <c r="A15941" s="996" t="str">
        <f>CONCATENATE(Programme!D15942,Programme!E15942,Programme!F15942,Programme!G15942,Programme!H15942,Programme!I15942,Programme!J15942)</f>
        <v>&lt;numeroLigne&gt;156&lt;/numeroLigne&gt;</v>
      </c>
    </row>
    <row r="15942" spans="1:1" x14ac:dyDescent="0.2">
      <c r="A15942" s="996" t="str">
        <f>CONCATENATE(Programme!D15943,Programme!E15943,Programme!F15943,Programme!G15943,Programme!H15943,Programme!I15943,Programme!J15943)</f>
        <v>&lt;/ValeurCellule&gt;</v>
      </c>
    </row>
    <row r="15943" spans="1:1" x14ac:dyDescent="0.2">
      <c r="A15943" s="996" t="str">
        <f>CONCATENATE(Programme!D15944,Programme!E15944,Programme!F15944,Programme!G15944,Programme!H15944,Programme!I15944,Programme!J15944)</f>
        <v>&lt;ValeurCellule&gt;</v>
      </c>
    </row>
    <row r="15944" spans="1:1" x14ac:dyDescent="0.2">
      <c r="A15944" s="996" t="str">
        <f>CONCATENATE(Programme!D15945,Programme!E15945,Programme!F15945,Programme!G15945,Programme!H15945,Programme!I15945,Programme!J15945)</f>
        <v>&lt;cellule&gt;&lt;codeEdi&gt;1078&lt;/codeEdi&gt;&lt;/cellule&gt;</v>
      </c>
    </row>
    <row r="15945" spans="1:1" x14ac:dyDescent="0.2">
      <c r="A15945" s="996" t="str">
        <f>CONCATENATE(Programme!D15946,Programme!E15946,Programme!F15946,Programme!G15946,Programme!H15946,Programme!I15946,Programme!J15946)</f>
        <v>&lt;valeur&gt;&lt;/valeur&gt;</v>
      </c>
    </row>
    <row r="15946" spans="1:1" x14ac:dyDescent="0.2">
      <c r="A15946" s="996" t="str">
        <f>CONCATENATE(Programme!D15947,Programme!E15947,Programme!F15947,Programme!G15947,Programme!H15947,Programme!I15947,Programme!J15947)</f>
        <v>&lt;numeroLigne&gt;156&lt;/numeroLigne&gt;</v>
      </c>
    </row>
    <row r="15947" spans="1:1" x14ac:dyDescent="0.2">
      <c r="A15947" s="996" t="str">
        <f>CONCATENATE(Programme!D15948,Programme!E15948,Programme!F15948,Programme!G15948,Programme!H15948,Programme!I15948,Programme!J15948)</f>
        <v>&lt;/ValeurCellule&gt;</v>
      </c>
    </row>
    <row r="15948" spans="1:1" x14ac:dyDescent="0.2">
      <c r="A15948" s="996" t="str">
        <f>CONCATENATE(Programme!D15949,Programme!E15949,Programme!F15949,Programme!G15949,Programme!H15949,Programme!I15949,Programme!J15949)</f>
        <v>&lt;ValeurCellule&gt;</v>
      </c>
    </row>
    <row r="15949" spans="1:1" x14ac:dyDescent="0.2">
      <c r="A15949" s="996" t="str">
        <f>CONCATENATE(Programme!D15950,Programme!E15950,Programme!F15950,Programme!G15950,Programme!H15950,Programme!I15950,Programme!J15950)</f>
        <v>&lt;cellule&gt;&lt;codeEdi&gt;1079&lt;/codeEdi&gt;&lt;/cellule&gt;</v>
      </c>
    </row>
    <row r="15950" spans="1:1" x14ac:dyDescent="0.2">
      <c r="A15950" s="996" t="str">
        <f>CONCATENATE(Programme!D15951,Programme!E15951,Programme!F15951,Programme!G15951,Programme!H15951,Programme!I15951,Programme!J15951)</f>
        <v>&lt;valeur&gt;&lt;/valeur&gt;</v>
      </c>
    </row>
    <row r="15951" spans="1:1" x14ac:dyDescent="0.2">
      <c r="A15951" s="996" t="str">
        <f>CONCATENATE(Programme!D15952,Programme!E15952,Programme!F15952,Programme!G15952,Programme!H15952,Programme!I15952,Programme!J15952)</f>
        <v>&lt;numeroLigne&gt;156&lt;/numeroLigne&gt;</v>
      </c>
    </row>
    <row r="15952" spans="1:1" x14ac:dyDescent="0.2">
      <c r="A15952" s="996" t="str">
        <f>CONCATENATE(Programme!D15953,Programme!E15953,Programme!F15953,Programme!G15953,Programme!H15953,Programme!I15953,Programme!J15953)</f>
        <v>&lt;/ValeurCellule&gt;</v>
      </c>
    </row>
    <row r="15953" spans="1:1" x14ac:dyDescent="0.2">
      <c r="A15953" s="996" t="str">
        <f>CONCATENATE(Programme!D15954,Programme!E15954,Programme!F15954,Programme!G15954,Programme!H15954,Programme!I15954,Programme!J15954)</f>
        <v>&lt;ValeurCellule&gt;</v>
      </c>
    </row>
    <row r="15954" spans="1:1" x14ac:dyDescent="0.2">
      <c r="A15954" s="996" t="str">
        <f>CONCATENATE(Programme!D15955,Programme!E15955,Programme!F15955,Programme!G15955,Programme!H15955,Programme!I15955,Programme!J15955)</f>
        <v>&lt;cellule&gt;&lt;codeEdi&gt;1080&lt;/codeEdi&gt;&lt;/cellule&gt;</v>
      </c>
    </row>
    <row r="15955" spans="1:1" x14ac:dyDescent="0.2">
      <c r="A15955" s="996" t="str">
        <f>CONCATENATE(Programme!D15956,Programme!E15956,Programme!F15956,Programme!G15956,Programme!H15956,Programme!I15956,Programme!J15956)</f>
        <v>&lt;valeur&gt;&lt;/valeur&gt;</v>
      </c>
    </row>
    <row r="15956" spans="1:1" x14ac:dyDescent="0.2">
      <c r="A15956" s="996" t="str">
        <f>CONCATENATE(Programme!D15957,Programme!E15957,Programme!F15957,Programme!G15957,Programme!H15957,Programme!I15957,Programme!J15957)</f>
        <v>&lt;numeroLigne&gt;156&lt;/numeroLigne&gt;</v>
      </c>
    </row>
    <row r="15957" spans="1:1" x14ac:dyDescent="0.2">
      <c r="A15957" s="996" t="str">
        <f>CONCATENATE(Programme!D15958,Programme!E15958,Programme!F15958,Programme!G15958,Programme!H15958,Programme!I15958,Programme!J15958)</f>
        <v>&lt;/ValeurCellule&gt;</v>
      </c>
    </row>
    <row r="15958" spans="1:1" x14ac:dyDescent="0.2">
      <c r="A15958" s="996" t="str">
        <f>CONCATENATE(Programme!D15959,Programme!E15959,Programme!F15959,Programme!G15959,Programme!H15959,Programme!I15959,Programme!J15959)</f>
        <v>&lt;ValeurCellule&gt;</v>
      </c>
    </row>
    <row r="15959" spans="1:1" x14ac:dyDescent="0.2">
      <c r="A15959" s="996" t="str">
        <f>CONCATENATE(Programme!D15960,Programme!E15960,Programme!F15960,Programme!G15960,Programme!H15960,Programme!I15960,Programme!J15960)</f>
        <v>&lt;cellule&gt;&lt;codeEdi&gt;1081&lt;/codeEdi&gt;&lt;/cellule&gt;</v>
      </c>
    </row>
    <row r="15960" spans="1:1" x14ac:dyDescent="0.2">
      <c r="A15960" s="996" t="str">
        <f>CONCATENATE(Programme!D15961,Programme!E15961,Programme!F15961,Programme!G15961,Programme!H15961,Programme!I15961,Programme!J15961)</f>
        <v>&lt;valeur&gt;&lt;/valeur&gt;</v>
      </c>
    </row>
    <row r="15961" spans="1:1" x14ac:dyDescent="0.2">
      <c r="A15961" s="996" t="str">
        <f>CONCATENATE(Programme!D15962,Programme!E15962,Programme!F15962,Programme!G15962,Programme!H15962,Programme!I15962,Programme!J15962)</f>
        <v>&lt;numeroLigne&gt;156&lt;/numeroLigne&gt;</v>
      </c>
    </row>
    <row r="15962" spans="1:1" x14ac:dyDescent="0.2">
      <c r="A15962" s="996" t="str">
        <f>CONCATENATE(Programme!D15963,Programme!E15963,Programme!F15963,Programme!G15963,Programme!H15963,Programme!I15963,Programme!J15963)</f>
        <v>&lt;/ValeurCellule&gt;</v>
      </c>
    </row>
    <row r="15963" spans="1:1" x14ac:dyDescent="0.2">
      <c r="A15963" s="996" t="str">
        <f>CONCATENATE(Programme!D15964,Programme!E15964,Programme!F15964,Programme!G15964,Programme!H15964,Programme!I15964,Programme!J15964)</f>
        <v>&lt;ValeurCellule&gt;</v>
      </c>
    </row>
    <row r="15964" spans="1:1" x14ac:dyDescent="0.2">
      <c r="A15964" s="996" t="str">
        <f>CONCATENATE(Programme!D15965,Programme!E15965,Programme!F15965,Programme!G15965,Programme!H15965,Programme!I15965,Programme!J15965)</f>
        <v>&lt;cellule&gt;&lt;codeEdi&gt;1082&lt;/codeEdi&gt;&lt;/cellule&gt;</v>
      </c>
    </row>
    <row r="15965" spans="1:1" x14ac:dyDescent="0.2">
      <c r="A15965" s="996" t="str">
        <f>CONCATENATE(Programme!D15966,Programme!E15966,Programme!F15966,Programme!G15966,Programme!H15966,Programme!I15966,Programme!J15966)</f>
        <v>&lt;valeur&gt;&lt;/valeur&gt;</v>
      </c>
    </row>
    <row r="15966" spans="1:1" x14ac:dyDescent="0.2">
      <c r="A15966" s="996" t="str">
        <f>CONCATENATE(Programme!D15967,Programme!E15967,Programme!F15967,Programme!G15967,Programme!H15967,Programme!I15967,Programme!J15967)</f>
        <v>&lt;numeroLigne&gt;156&lt;/numeroLigne&gt;</v>
      </c>
    </row>
    <row r="15967" spans="1:1" x14ac:dyDescent="0.2">
      <c r="A15967" s="996" t="str">
        <f>CONCATENATE(Programme!D15968,Programme!E15968,Programme!F15968,Programme!G15968,Programme!H15968,Programme!I15968,Programme!J15968)</f>
        <v>&lt;/ValeurCellule&gt;</v>
      </c>
    </row>
    <row r="15968" spans="1:1" x14ac:dyDescent="0.2">
      <c r="A15968" s="996" t="str">
        <f>CONCATENATE(Programme!D15969,Programme!E15969,Programme!F15969,Programme!G15969,Programme!H15969,Programme!I15969,Programme!J15969)</f>
        <v>&lt;ValeurCellule&gt;</v>
      </c>
    </row>
    <row r="15969" spans="1:1" x14ac:dyDescent="0.2">
      <c r="A15969" s="996" t="str">
        <f>CONCATENATE(Programme!D15970,Programme!E15970,Programme!F15970,Programme!G15970,Programme!H15970,Programme!I15970,Programme!J15970)</f>
        <v>&lt;cellule&gt;&lt;codeEdi&gt;1083&lt;/codeEdi&gt;&lt;/cellule&gt;</v>
      </c>
    </row>
    <row r="15970" spans="1:1" x14ac:dyDescent="0.2">
      <c r="A15970" s="996" t="str">
        <f>CONCATENATE(Programme!D15971,Programme!E15971,Programme!F15971,Programme!G15971,Programme!H15971,Programme!I15971,Programme!J15971)</f>
        <v>&lt;valeur&gt;&lt;/valeur&gt;</v>
      </c>
    </row>
    <row r="15971" spans="1:1" x14ac:dyDescent="0.2">
      <c r="A15971" s="996" t="str">
        <f>CONCATENATE(Programme!D15972,Programme!E15972,Programme!F15972,Programme!G15972,Programme!H15972,Programme!I15972,Programme!J15972)</f>
        <v>&lt;numeroLigne&gt;156&lt;/numeroLigne&gt;</v>
      </c>
    </row>
    <row r="15972" spans="1:1" x14ac:dyDescent="0.2">
      <c r="A15972" s="996" t="str">
        <f>CONCATENATE(Programme!D15973,Programme!E15973,Programme!F15973,Programme!G15973,Programme!H15973,Programme!I15973,Programme!J15973)</f>
        <v>&lt;/ValeurCellule&gt;</v>
      </c>
    </row>
    <row r="15973" spans="1:1" x14ac:dyDescent="0.2">
      <c r="A15973" s="996" t="str">
        <f>CONCATENATE(Programme!D15974,Programme!E15974,Programme!F15974,Programme!G15974,Programme!H15974,Programme!I15974,Programme!J15974)</f>
        <v>&lt;ValeurCellule&gt;</v>
      </c>
    </row>
    <row r="15974" spans="1:1" x14ac:dyDescent="0.2">
      <c r="A15974" s="996" t="str">
        <f>CONCATENATE(Programme!D15975,Programme!E15975,Programme!F15975,Programme!G15975,Programme!H15975,Programme!I15975,Programme!J15975)</f>
        <v>&lt;cellule&gt;&lt;codeEdi&gt;1084&lt;/codeEdi&gt;&lt;/cellule&gt;</v>
      </c>
    </row>
    <row r="15975" spans="1:1" x14ac:dyDescent="0.2">
      <c r="A15975" s="996" t="str">
        <f>CONCATENATE(Programme!D15976,Programme!E15976,Programme!F15976,Programme!G15976,Programme!H15976,Programme!I15976,Programme!J15976)</f>
        <v>&lt;valeur&gt;&lt;/valeur&gt;</v>
      </c>
    </row>
    <row r="15976" spans="1:1" x14ac:dyDescent="0.2">
      <c r="A15976" s="996" t="str">
        <f>CONCATENATE(Programme!D15977,Programme!E15977,Programme!F15977,Programme!G15977,Programme!H15977,Programme!I15977,Programme!J15977)</f>
        <v>&lt;numeroLigne&gt;156&lt;/numeroLigne&gt;</v>
      </c>
    </row>
    <row r="15977" spans="1:1" x14ac:dyDescent="0.2">
      <c r="A15977" s="996" t="str">
        <f>CONCATENATE(Programme!D15978,Programme!E15978,Programme!F15978,Programme!G15978,Programme!H15978,Programme!I15978,Programme!J15978)</f>
        <v>&lt;/ValeurCellule&gt;</v>
      </c>
    </row>
    <row r="15978" spans="1:1" x14ac:dyDescent="0.2">
      <c r="A15978" s="996" t="str">
        <f>CONCATENATE(Programme!D15979,Programme!E15979,Programme!F15979,Programme!G15979,Programme!H15979,Programme!I15979,Programme!J15979)</f>
        <v>&lt;ValeurCellule&gt;</v>
      </c>
    </row>
    <row r="15979" spans="1:1" x14ac:dyDescent="0.2">
      <c r="A15979" s="996" t="str">
        <f>CONCATENATE(Programme!D15980,Programme!E15980,Programme!F15980,Programme!G15980,Programme!H15980,Programme!I15980,Programme!J15980)</f>
        <v>&lt;cellule&gt;&lt;codeEdi&gt;1085&lt;/codeEdi&gt;&lt;/cellule&gt;</v>
      </c>
    </row>
    <row r="15980" spans="1:1" x14ac:dyDescent="0.2">
      <c r="A15980" s="996" t="str">
        <f>CONCATENATE(Programme!D15981,Programme!E15981,Programme!F15981,Programme!G15981,Programme!H15981,Programme!I15981,Programme!J15981)</f>
        <v>&lt;valeur&gt;&lt;/valeur&gt;</v>
      </c>
    </row>
    <row r="15981" spans="1:1" x14ac:dyDescent="0.2">
      <c r="A15981" s="996" t="str">
        <f>CONCATENATE(Programme!D15982,Programme!E15982,Programme!F15982,Programme!G15982,Programme!H15982,Programme!I15982,Programme!J15982)</f>
        <v>&lt;numeroLigne&gt;156&lt;/numeroLigne&gt;</v>
      </c>
    </row>
    <row r="15982" spans="1:1" x14ac:dyDescent="0.2">
      <c r="A15982" s="996" t="str">
        <f>CONCATENATE(Programme!D15983,Programme!E15983,Programme!F15983,Programme!G15983,Programme!H15983,Programme!I15983,Programme!J15983)</f>
        <v>&lt;/ValeurCellule&gt;</v>
      </c>
    </row>
    <row r="15983" spans="1:1" x14ac:dyDescent="0.2">
      <c r="A15983" s="996" t="str">
        <f>CONCATENATE(Programme!D15984,Programme!E15984,Programme!F15984,Programme!G15984,Programme!H15984,Programme!I15984,Programme!J15984)</f>
        <v>&lt;ValeurCellule&gt;</v>
      </c>
    </row>
    <row r="15984" spans="1:1" x14ac:dyDescent="0.2">
      <c r="A15984" s="996" t="str">
        <f>CONCATENATE(Programme!D15985,Programme!E15985,Programme!F15985,Programme!G15985,Programme!H15985,Programme!I15985,Programme!J15985)</f>
        <v>&lt;cellule&gt;&lt;codeEdi&gt;1086&lt;/codeEdi&gt;&lt;/cellule&gt;</v>
      </c>
    </row>
    <row r="15985" spans="1:1" x14ac:dyDescent="0.2">
      <c r="A15985" s="996" t="str">
        <f>CONCATENATE(Programme!D15986,Programme!E15986,Programme!F15986,Programme!G15986,Programme!H15986,Programme!I15986,Programme!J15986)</f>
        <v>&lt;valeur&gt;&lt;/valeur&gt;</v>
      </c>
    </row>
    <row r="15986" spans="1:1" x14ac:dyDescent="0.2">
      <c r="A15986" s="996" t="str">
        <f>CONCATENATE(Programme!D15987,Programme!E15987,Programme!F15987,Programme!G15987,Programme!H15987,Programme!I15987,Programme!J15987)</f>
        <v>&lt;numeroLigne&gt;156&lt;/numeroLigne&gt;</v>
      </c>
    </row>
    <row r="15987" spans="1:1" x14ac:dyDescent="0.2">
      <c r="A15987" s="996" t="str">
        <f>CONCATENATE(Programme!D15988,Programme!E15988,Programme!F15988,Programme!G15988,Programme!H15988,Programme!I15988,Programme!J15988)</f>
        <v>&lt;/ValeurCellule&gt;</v>
      </c>
    </row>
    <row r="15988" spans="1:1" x14ac:dyDescent="0.2">
      <c r="A15988" s="996" t="str">
        <f>CONCATENATE(Programme!D15989,Programme!E15989,Programme!F15989,Programme!G15989,Programme!H15989,Programme!I15989,Programme!J15989)</f>
        <v>&lt;ValeurCellule&gt;</v>
      </c>
    </row>
    <row r="15989" spans="1:1" x14ac:dyDescent="0.2">
      <c r="A15989" s="996" t="str">
        <f>CONCATENATE(Programme!D15990,Programme!E15990,Programme!F15990,Programme!G15990,Programme!H15990,Programme!I15990,Programme!J15990)</f>
        <v>&lt;cellule&gt;&lt;codeEdi&gt;10061&lt;/codeEdi&gt;&lt;/cellule&gt;</v>
      </c>
    </row>
    <row r="15990" spans="1:1" x14ac:dyDescent="0.2">
      <c r="A15990" s="996" t="str">
        <f>CONCATENATE(Programme!D15991,Programme!E15991,Programme!F15991,Programme!G15991,Programme!H15991,Programme!I15991,Programme!J15991)</f>
        <v>&lt;valeur&gt;&lt;/valeur&gt;</v>
      </c>
    </row>
    <row r="15991" spans="1:1" x14ac:dyDescent="0.2">
      <c r="A15991" s="996" t="str">
        <f>CONCATENATE(Programme!D15992,Programme!E15992,Programme!F15992,Programme!G15992,Programme!H15992,Programme!I15992,Programme!J15992)</f>
        <v>&lt;numeroLigne&gt;157&lt;/numeroLigne&gt;</v>
      </c>
    </row>
    <row r="15992" spans="1:1" x14ac:dyDescent="0.2">
      <c r="A15992" s="996" t="str">
        <f>CONCATENATE(Programme!D15993,Programme!E15993,Programme!F15993,Programme!G15993,Programme!H15993,Programme!I15993,Programme!J15993)</f>
        <v>&lt;/ValeurCellule&gt;</v>
      </c>
    </row>
    <row r="15993" spans="1:1" x14ac:dyDescent="0.2">
      <c r="A15993" s="996" t="str">
        <f>CONCATENATE(Programme!D15994,Programme!E15994,Programme!F15994,Programme!G15994,Programme!H15994,Programme!I15994,Programme!J15994)</f>
        <v>&lt;ValeurCellule&gt;</v>
      </c>
    </row>
    <row r="15994" spans="1:1" x14ac:dyDescent="0.2">
      <c r="A15994" s="996" t="str">
        <f>CONCATENATE(Programme!D15995,Programme!E15995,Programme!F15995,Programme!G15995,Programme!H15995,Programme!I15995,Programme!J15995)</f>
        <v>&lt;cellule&gt;&lt;codeEdi&gt;1078&lt;/codeEdi&gt;&lt;/cellule&gt;</v>
      </c>
    </row>
    <row r="15995" spans="1:1" x14ac:dyDescent="0.2">
      <c r="A15995" s="996" t="str">
        <f>CONCATENATE(Programme!D15996,Programme!E15996,Programme!F15996,Programme!G15996,Programme!H15996,Programme!I15996,Programme!J15996)</f>
        <v>&lt;valeur&gt;&lt;/valeur&gt;</v>
      </c>
    </row>
    <row r="15996" spans="1:1" x14ac:dyDescent="0.2">
      <c r="A15996" s="996" t="str">
        <f>CONCATENATE(Programme!D15997,Programme!E15997,Programme!F15997,Programme!G15997,Programme!H15997,Programme!I15997,Programme!J15997)</f>
        <v>&lt;numeroLigne&gt;157&lt;/numeroLigne&gt;</v>
      </c>
    </row>
    <row r="15997" spans="1:1" x14ac:dyDescent="0.2">
      <c r="A15997" s="996" t="str">
        <f>CONCATENATE(Programme!D15998,Programme!E15998,Programme!F15998,Programme!G15998,Programme!H15998,Programme!I15998,Programme!J15998)</f>
        <v>&lt;/ValeurCellule&gt;</v>
      </c>
    </row>
    <row r="15998" spans="1:1" x14ac:dyDescent="0.2">
      <c r="A15998" s="996" t="str">
        <f>CONCATENATE(Programme!D15999,Programme!E15999,Programme!F15999,Programme!G15999,Programme!H15999,Programme!I15999,Programme!J15999)</f>
        <v>&lt;ValeurCellule&gt;</v>
      </c>
    </row>
    <row r="15999" spans="1:1" x14ac:dyDescent="0.2">
      <c r="A15999" s="996" t="str">
        <f>CONCATENATE(Programme!D16000,Programme!E16000,Programme!F16000,Programme!G16000,Programme!H16000,Programme!I16000,Programme!J16000)</f>
        <v>&lt;cellule&gt;&lt;codeEdi&gt;1079&lt;/codeEdi&gt;&lt;/cellule&gt;</v>
      </c>
    </row>
    <row r="16000" spans="1:1" x14ac:dyDescent="0.2">
      <c r="A16000" s="996" t="str">
        <f>CONCATENATE(Programme!D16001,Programme!E16001,Programme!F16001,Programme!G16001,Programme!H16001,Programme!I16001,Programme!J16001)</f>
        <v>&lt;valeur&gt;&lt;/valeur&gt;</v>
      </c>
    </row>
    <row r="16001" spans="1:1" x14ac:dyDescent="0.2">
      <c r="A16001" s="996" t="str">
        <f>CONCATENATE(Programme!D16002,Programme!E16002,Programme!F16002,Programme!G16002,Programme!H16002,Programme!I16002,Programme!J16002)</f>
        <v>&lt;numeroLigne&gt;157&lt;/numeroLigne&gt;</v>
      </c>
    </row>
    <row r="16002" spans="1:1" x14ac:dyDescent="0.2">
      <c r="A16002" s="996" t="str">
        <f>CONCATENATE(Programme!D16003,Programme!E16003,Programme!F16003,Programme!G16003,Programme!H16003,Programme!I16003,Programme!J16003)</f>
        <v>&lt;/ValeurCellule&gt;</v>
      </c>
    </row>
    <row r="16003" spans="1:1" x14ac:dyDescent="0.2">
      <c r="A16003" s="996" t="str">
        <f>CONCATENATE(Programme!D16004,Programme!E16004,Programme!F16004,Programme!G16004,Programme!H16004,Programme!I16004,Programme!J16004)</f>
        <v>&lt;ValeurCellule&gt;</v>
      </c>
    </row>
    <row r="16004" spans="1:1" x14ac:dyDescent="0.2">
      <c r="A16004" s="996" t="str">
        <f>CONCATENATE(Programme!D16005,Programme!E16005,Programme!F16005,Programme!G16005,Programme!H16005,Programme!I16005,Programme!J16005)</f>
        <v>&lt;cellule&gt;&lt;codeEdi&gt;1080&lt;/codeEdi&gt;&lt;/cellule&gt;</v>
      </c>
    </row>
    <row r="16005" spans="1:1" x14ac:dyDescent="0.2">
      <c r="A16005" s="996" t="str">
        <f>CONCATENATE(Programme!D16006,Programme!E16006,Programme!F16006,Programme!G16006,Programme!H16006,Programme!I16006,Programme!J16006)</f>
        <v>&lt;valeur&gt;&lt;/valeur&gt;</v>
      </c>
    </row>
    <row r="16006" spans="1:1" x14ac:dyDescent="0.2">
      <c r="A16006" s="996" t="str">
        <f>CONCATENATE(Programme!D16007,Programme!E16007,Programme!F16007,Programme!G16007,Programme!H16007,Programme!I16007,Programme!J16007)</f>
        <v>&lt;numeroLigne&gt;157&lt;/numeroLigne&gt;</v>
      </c>
    </row>
    <row r="16007" spans="1:1" x14ac:dyDescent="0.2">
      <c r="A16007" s="996" t="str">
        <f>CONCATENATE(Programme!D16008,Programme!E16008,Programme!F16008,Programme!G16008,Programme!H16008,Programme!I16008,Programme!J16008)</f>
        <v>&lt;/ValeurCellule&gt;</v>
      </c>
    </row>
    <row r="16008" spans="1:1" x14ac:dyDescent="0.2">
      <c r="A16008" s="996" t="str">
        <f>CONCATENATE(Programme!D16009,Programme!E16009,Programme!F16009,Programme!G16009,Programme!H16009,Programme!I16009,Programme!J16009)</f>
        <v>&lt;ValeurCellule&gt;</v>
      </c>
    </row>
    <row r="16009" spans="1:1" x14ac:dyDescent="0.2">
      <c r="A16009" s="996" t="str">
        <f>CONCATENATE(Programme!D16010,Programme!E16010,Programme!F16010,Programme!G16010,Programme!H16010,Programme!I16010,Programme!J16010)</f>
        <v>&lt;cellule&gt;&lt;codeEdi&gt;1081&lt;/codeEdi&gt;&lt;/cellule&gt;</v>
      </c>
    </row>
    <row r="16010" spans="1:1" x14ac:dyDescent="0.2">
      <c r="A16010" s="996" t="str">
        <f>CONCATENATE(Programme!D16011,Programme!E16011,Programme!F16011,Programme!G16011,Programme!H16011,Programme!I16011,Programme!J16011)</f>
        <v>&lt;valeur&gt;&lt;/valeur&gt;</v>
      </c>
    </row>
    <row r="16011" spans="1:1" x14ac:dyDescent="0.2">
      <c r="A16011" s="996" t="str">
        <f>CONCATENATE(Programme!D16012,Programme!E16012,Programme!F16012,Programme!G16012,Programme!H16012,Programme!I16012,Programme!J16012)</f>
        <v>&lt;numeroLigne&gt;157&lt;/numeroLigne&gt;</v>
      </c>
    </row>
    <row r="16012" spans="1:1" x14ac:dyDescent="0.2">
      <c r="A16012" s="996" t="str">
        <f>CONCATENATE(Programme!D16013,Programme!E16013,Programme!F16013,Programme!G16013,Programme!H16013,Programme!I16013,Programme!J16013)</f>
        <v>&lt;/ValeurCellule&gt;</v>
      </c>
    </row>
    <row r="16013" spans="1:1" x14ac:dyDescent="0.2">
      <c r="A16013" s="996" t="str">
        <f>CONCATENATE(Programme!D16014,Programme!E16014,Programme!F16014,Programme!G16014,Programme!H16014,Programme!I16014,Programme!J16014)</f>
        <v>&lt;ValeurCellule&gt;</v>
      </c>
    </row>
    <row r="16014" spans="1:1" x14ac:dyDescent="0.2">
      <c r="A16014" s="996" t="str">
        <f>CONCATENATE(Programme!D16015,Programme!E16015,Programme!F16015,Programme!G16015,Programme!H16015,Programme!I16015,Programme!J16015)</f>
        <v>&lt;cellule&gt;&lt;codeEdi&gt;1082&lt;/codeEdi&gt;&lt;/cellule&gt;</v>
      </c>
    </row>
    <row r="16015" spans="1:1" x14ac:dyDescent="0.2">
      <c r="A16015" s="996" t="str">
        <f>CONCATENATE(Programme!D16016,Programme!E16016,Programme!F16016,Programme!G16016,Programme!H16016,Programme!I16016,Programme!J16016)</f>
        <v>&lt;valeur&gt;&lt;/valeur&gt;</v>
      </c>
    </row>
    <row r="16016" spans="1:1" x14ac:dyDescent="0.2">
      <c r="A16016" s="996" t="str">
        <f>CONCATENATE(Programme!D16017,Programme!E16017,Programme!F16017,Programme!G16017,Programme!H16017,Programme!I16017,Programme!J16017)</f>
        <v>&lt;numeroLigne&gt;157&lt;/numeroLigne&gt;</v>
      </c>
    </row>
    <row r="16017" spans="1:1" x14ac:dyDescent="0.2">
      <c r="A16017" s="996" t="str">
        <f>CONCATENATE(Programme!D16018,Programme!E16018,Programme!F16018,Programme!G16018,Programme!H16018,Programme!I16018,Programme!J16018)</f>
        <v>&lt;/ValeurCellule&gt;</v>
      </c>
    </row>
    <row r="16018" spans="1:1" x14ac:dyDescent="0.2">
      <c r="A16018" s="996" t="str">
        <f>CONCATENATE(Programme!D16019,Programme!E16019,Programme!F16019,Programme!G16019,Programme!H16019,Programme!I16019,Programme!J16019)</f>
        <v>&lt;ValeurCellule&gt;</v>
      </c>
    </row>
    <row r="16019" spans="1:1" x14ac:dyDescent="0.2">
      <c r="A16019" s="996" t="str">
        <f>CONCATENATE(Programme!D16020,Programme!E16020,Programme!F16020,Programme!G16020,Programme!H16020,Programme!I16020,Programme!J16020)</f>
        <v>&lt;cellule&gt;&lt;codeEdi&gt;1083&lt;/codeEdi&gt;&lt;/cellule&gt;</v>
      </c>
    </row>
    <row r="16020" spans="1:1" x14ac:dyDescent="0.2">
      <c r="A16020" s="996" t="str">
        <f>CONCATENATE(Programme!D16021,Programme!E16021,Programme!F16021,Programme!G16021,Programme!H16021,Programme!I16021,Programme!J16021)</f>
        <v>&lt;valeur&gt;&lt;/valeur&gt;</v>
      </c>
    </row>
    <row r="16021" spans="1:1" x14ac:dyDescent="0.2">
      <c r="A16021" s="996" t="str">
        <f>CONCATENATE(Programme!D16022,Programme!E16022,Programme!F16022,Programme!G16022,Programme!H16022,Programme!I16022,Programme!J16022)</f>
        <v>&lt;numeroLigne&gt;157&lt;/numeroLigne&gt;</v>
      </c>
    </row>
    <row r="16022" spans="1:1" x14ac:dyDescent="0.2">
      <c r="A16022" s="996" t="str">
        <f>CONCATENATE(Programme!D16023,Programme!E16023,Programme!F16023,Programme!G16023,Programme!H16023,Programme!I16023,Programme!J16023)</f>
        <v>&lt;/ValeurCellule&gt;</v>
      </c>
    </row>
    <row r="16023" spans="1:1" x14ac:dyDescent="0.2">
      <c r="A16023" s="996" t="str">
        <f>CONCATENATE(Programme!D16024,Programme!E16024,Programme!F16024,Programme!G16024,Programme!H16024,Programme!I16024,Programme!J16024)</f>
        <v>&lt;ValeurCellule&gt;</v>
      </c>
    </row>
    <row r="16024" spans="1:1" x14ac:dyDescent="0.2">
      <c r="A16024" s="996" t="str">
        <f>CONCATENATE(Programme!D16025,Programme!E16025,Programme!F16025,Programme!G16025,Programme!H16025,Programme!I16025,Programme!J16025)</f>
        <v>&lt;cellule&gt;&lt;codeEdi&gt;1084&lt;/codeEdi&gt;&lt;/cellule&gt;</v>
      </c>
    </row>
    <row r="16025" spans="1:1" x14ac:dyDescent="0.2">
      <c r="A16025" s="996" t="str">
        <f>CONCATENATE(Programme!D16026,Programme!E16026,Programme!F16026,Programme!G16026,Programme!H16026,Programme!I16026,Programme!J16026)</f>
        <v>&lt;valeur&gt;&lt;/valeur&gt;</v>
      </c>
    </row>
    <row r="16026" spans="1:1" x14ac:dyDescent="0.2">
      <c r="A16026" s="996" t="str">
        <f>CONCATENATE(Programme!D16027,Programme!E16027,Programme!F16027,Programme!G16027,Programme!H16027,Programme!I16027,Programme!J16027)</f>
        <v>&lt;numeroLigne&gt;157&lt;/numeroLigne&gt;</v>
      </c>
    </row>
    <row r="16027" spans="1:1" x14ac:dyDescent="0.2">
      <c r="A16027" s="996" t="str">
        <f>CONCATENATE(Programme!D16028,Programme!E16028,Programme!F16028,Programme!G16028,Programme!H16028,Programme!I16028,Programme!J16028)</f>
        <v>&lt;/ValeurCellule&gt;</v>
      </c>
    </row>
    <row r="16028" spans="1:1" x14ac:dyDescent="0.2">
      <c r="A16028" s="996" t="str">
        <f>CONCATENATE(Programme!D16029,Programme!E16029,Programme!F16029,Programme!G16029,Programme!H16029,Programme!I16029,Programme!J16029)</f>
        <v>&lt;ValeurCellule&gt;</v>
      </c>
    </row>
    <row r="16029" spans="1:1" x14ac:dyDescent="0.2">
      <c r="A16029" s="996" t="str">
        <f>CONCATENATE(Programme!D16030,Programme!E16030,Programme!F16030,Programme!G16030,Programme!H16030,Programme!I16030,Programme!J16030)</f>
        <v>&lt;cellule&gt;&lt;codeEdi&gt;1085&lt;/codeEdi&gt;&lt;/cellule&gt;</v>
      </c>
    </row>
    <row r="16030" spans="1:1" x14ac:dyDescent="0.2">
      <c r="A16030" s="996" t="str">
        <f>CONCATENATE(Programme!D16031,Programme!E16031,Programme!F16031,Programme!G16031,Programme!H16031,Programme!I16031,Programme!J16031)</f>
        <v>&lt;valeur&gt;&lt;/valeur&gt;</v>
      </c>
    </row>
    <row r="16031" spans="1:1" x14ac:dyDescent="0.2">
      <c r="A16031" s="996" t="str">
        <f>CONCATENATE(Programme!D16032,Programme!E16032,Programme!F16032,Programme!G16032,Programme!H16032,Programme!I16032,Programme!J16032)</f>
        <v>&lt;numeroLigne&gt;157&lt;/numeroLigne&gt;</v>
      </c>
    </row>
    <row r="16032" spans="1:1" x14ac:dyDescent="0.2">
      <c r="A16032" s="996" t="str">
        <f>CONCATENATE(Programme!D16033,Programme!E16033,Programme!F16033,Programme!G16033,Programme!H16033,Programme!I16033,Programme!J16033)</f>
        <v>&lt;/ValeurCellule&gt;</v>
      </c>
    </row>
    <row r="16033" spans="1:1" x14ac:dyDescent="0.2">
      <c r="A16033" s="996" t="str">
        <f>CONCATENATE(Programme!D16034,Programme!E16034,Programme!F16034,Programme!G16034,Programme!H16034,Programme!I16034,Programme!J16034)</f>
        <v>&lt;ValeurCellule&gt;</v>
      </c>
    </row>
    <row r="16034" spans="1:1" x14ac:dyDescent="0.2">
      <c r="A16034" s="996" t="str">
        <f>CONCATENATE(Programme!D16035,Programme!E16035,Programme!F16035,Programme!G16035,Programme!H16035,Programme!I16035,Programme!J16035)</f>
        <v>&lt;cellule&gt;&lt;codeEdi&gt;1086&lt;/codeEdi&gt;&lt;/cellule&gt;</v>
      </c>
    </row>
    <row r="16035" spans="1:1" x14ac:dyDescent="0.2">
      <c r="A16035" s="996" t="str">
        <f>CONCATENATE(Programme!D16036,Programme!E16036,Programme!F16036,Programme!G16036,Programme!H16036,Programme!I16036,Programme!J16036)</f>
        <v>&lt;valeur&gt;&lt;/valeur&gt;</v>
      </c>
    </row>
    <row r="16036" spans="1:1" x14ac:dyDescent="0.2">
      <c r="A16036" s="996" t="str">
        <f>CONCATENATE(Programme!D16037,Programme!E16037,Programme!F16037,Programme!G16037,Programme!H16037,Programme!I16037,Programme!J16037)</f>
        <v>&lt;numeroLigne&gt;157&lt;/numeroLigne&gt;</v>
      </c>
    </row>
    <row r="16037" spans="1:1" x14ac:dyDescent="0.2">
      <c r="A16037" s="996" t="str">
        <f>CONCATENATE(Programme!D16038,Programme!E16038,Programme!F16038,Programme!G16038,Programme!H16038,Programme!I16038,Programme!J16038)</f>
        <v>&lt;/ValeurCellule&gt;</v>
      </c>
    </row>
    <row r="16038" spans="1:1" x14ac:dyDescent="0.2">
      <c r="A16038" s="996" t="str">
        <f>CONCATENATE(Programme!D16039,Programme!E16039,Programme!F16039,Programme!G16039,Programme!H16039,Programme!I16039,Programme!J16039)</f>
        <v>&lt;ValeurCellule&gt;</v>
      </c>
    </row>
    <row r="16039" spans="1:1" x14ac:dyDescent="0.2">
      <c r="A16039" s="996" t="str">
        <f>CONCATENATE(Programme!D16040,Programme!E16040,Programme!F16040,Programme!G16040,Programme!H16040,Programme!I16040,Programme!J16040)</f>
        <v>&lt;cellule&gt;&lt;codeEdi&gt;10061&lt;/codeEdi&gt;&lt;/cellule&gt;</v>
      </c>
    </row>
    <row r="16040" spans="1:1" x14ac:dyDescent="0.2">
      <c r="A16040" s="996" t="str">
        <f>CONCATENATE(Programme!D16041,Programme!E16041,Programme!F16041,Programme!G16041,Programme!H16041,Programme!I16041,Programme!J16041)</f>
        <v>&lt;valeur&gt;&lt;/valeur&gt;</v>
      </c>
    </row>
    <row r="16041" spans="1:1" x14ac:dyDescent="0.2">
      <c r="A16041" s="996" t="str">
        <f>CONCATENATE(Programme!D16042,Programme!E16042,Programme!F16042,Programme!G16042,Programme!H16042,Programme!I16042,Programme!J16042)</f>
        <v>&lt;numeroLigne&gt;158&lt;/numeroLigne&gt;</v>
      </c>
    </row>
    <row r="16042" spans="1:1" x14ac:dyDescent="0.2">
      <c r="A16042" s="996" t="str">
        <f>CONCATENATE(Programme!D16043,Programme!E16043,Programme!F16043,Programme!G16043,Programme!H16043,Programme!I16043,Programme!J16043)</f>
        <v>&lt;/ValeurCellule&gt;</v>
      </c>
    </row>
    <row r="16043" spans="1:1" x14ac:dyDescent="0.2">
      <c r="A16043" s="996" t="str">
        <f>CONCATENATE(Programme!D16044,Programme!E16044,Programme!F16044,Programme!G16044,Programme!H16044,Programme!I16044,Programme!J16044)</f>
        <v>&lt;ValeurCellule&gt;</v>
      </c>
    </row>
    <row r="16044" spans="1:1" x14ac:dyDescent="0.2">
      <c r="A16044" s="996" t="str">
        <f>CONCATENATE(Programme!D16045,Programme!E16045,Programme!F16045,Programme!G16045,Programme!H16045,Programme!I16045,Programme!J16045)</f>
        <v>&lt;cellule&gt;&lt;codeEdi&gt;1078&lt;/codeEdi&gt;&lt;/cellule&gt;</v>
      </c>
    </row>
    <row r="16045" spans="1:1" x14ac:dyDescent="0.2">
      <c r="A16045" s="996" t="str">
        <f>CONCATENATE(Programme!D16046,Programme!E16046,Programme!F16046,Programme!G16046,Programme!H16046,Programme!I16046,Programme!J16046)</f>
        <v>&lt;valeur&gt;&lt;/valeur&gt;</v>
      </c>
    </row>
    <row r="16046" spans="1:1" x14ac:dyDescent="0.2">
      <c r="A16046" s="996" t="str">
        <f>CONCATENATE(Programme!D16047,Programme!E16047,Programme!F16047,Programme!G16047,Programme!H16047,Programme!I16047,Programme!J16047)</f>
        <v>&lt;numeroLigne&gt;158&lt;/numeroLigne&gt;</v>
      </c>
    </row>
    <row r="16047" spans="1:1" x14ac:dyDescent="0.2">
      <c r="A16047" s="996" t="str">
        <f>CONCATENATE(Programme!D16048,Programme!E16048,Programme!F16048,Programme!G16048,Programme!H16048,Programme!I16048,Programme!J16048)</f>
        <v>&lt;/ValeurCellule&gt;</v>
      </c>
    </row>
    <row r="16048" spans="1:1" x14ac:dyDescent="0.2">
      <c r="A16048" s="996" t="str">
        <f>CONCATENATE(Programme!D16049,Programme!E16049,Programme!F16049,Programme!G16049,Programme!H16049,Programme!I16049,Programme!J16049)</f>
        <v>&lt;ValeurCellule&gt;</v>
      </c>
    </row>
    <row r="16049" spans="1:1" x14ac:dyDescent="0.2">
      <c r="A16049" s="996" t="str">
        <f>CONCATENATE(Programme!D16050,Programme!E16050,Programme!F16050,Programme!G16050,Programme!H16050,Programme!I16050,Programme!J16050)</f>
        <v>&lt;cellule&gt;&lt;codeEdi&gt;1079&lt;/codeEdi&gt;&lt;/cellule&gt;</v>
      </c>
    </row>
    <row r="16050" spans="1:1" x14ac:dyDescent="0.2">
      <c r="A16050" s="996" t="str">
        <f>CONCATENATE(Programme!D16051,Programme!E16051,Programme!F16051,Programme!G16051,Programme!H16051,Programme!I16051,Programme!J16051)</f>
        <v>&lt;valeur&gt;&lt;/valeur&gt;</v>
      </c>
    </row>
    <row r="16051" spans="1:1" x14ac:dyDescent="0.2">
      <c r="A16051" s="996" t="str">
        <f>CONCATENATE(Programme!D16052,Programme!E16052,Programme!F16052,Programme!G16052,Programme!H16052,Programme!I16052,Programme!J16052)</f>
        <v>&lt;numeroLigne&gt;158&lt;/numeroLigne&gt;</v>
      </c>
    </row>
    <row r="16052" spans="1:1" x14ac:dyDescent="0.2">
      <c r="A16052" s="996" t="str">
        <f>CONCATENATE(Programme!D16053,Programme!E16053,Programme!F16053,Programme!G16053,Programme!H16053,Programme!I16053,Programme!J16053)</f>
        <v>&lt;/ValeurCellule&gt;</v>
      </c>
    </row>
    <row r="16053" spans="1:1" x14ac:dyDescent="0.2">
      <c r="A16053" s="996" t="str">
        <f>CONCATENATE(Programme!D16054,Programme!E16054,Programme!F16054,Programme!G16054,Programme!H16054,Programme!I16054,Programme!J16054)</f>
        <v>&lt;ValeurCellule&gt;</v>
      </c>
    </row>
    <row r="16054" spans="1:1" x14ac:dyDescent="0.2">
      <c r="A16054" s="996" t="str">
        <f>CONCATENATE(Programme!D16055,Programme!E16055,Programme!F16055,Programme!G16055,Programme!H16055,Programme!I16055,Programme!J16055)</f>
        <v>&lt;cellule&gt;&lt;codeEdi&gt;1080&lt;/codeEdi&gt;&lt;/cellule&gt;</v>
      </c>
    </row>
    <row r="16055" spans="1:1" x14ac:dyDescent="0.2">
      <c r="A16055" s="996" t="str">
        <f>CONCATENATE(Programme!D16056,Programme!E16056,Programme!F16056,Programme!G16056,Programme!H16056,Programme!I16056,Programme!J16056)</f>
        <v>&lt;valeur&gt;&lt;/valeur&gt;</v>
      </c>
    </row>
    <row r="16056" spans="1:1" x14ac:dyDescent="0.2">
      <c r="A16056" s="996" t="str">
        <f>CONCATENATE(Programme!D16057,Programme!E16057,Programme!F16057,Programme!G16057,Programme!H16057,Programme!I16057,Programme!J16057)</f>
        <v>&lt;numeroLigne&gt;158&lt;/numeroLigne&gt;</v>
      </c>
    </row>
    <row r="16057" spans="1:1" x14ac:dyDescent="0.2">
      <c r="A16057" s="996" t="str">
        <f>CONCATENATE(Programme!D16058,Programme!E16058,Programme!F16058,Programme!G16058,Programme!H16058,Programme!I16058,Programme!J16058)</f>
        <v>&lt;/ValeurCellule&gt;</v>
      </c>
    </row>
    <row r="16058" spans="1:1" x14ac:dyDescent="0.2">
      <c r="A16058" s="996" t="str">
        <f>CONCATENATE(Programme!D16059,Programme!E16059,Programme!F16059,Programme!G16059,Programme!H16059,Programme!I16059,Programme!J16059)</f>
        <v>&lt;ValeurCellule&gt;</v>
      </c>
    </row>
    <row r="16059" spans="1:1" x14ac:dyDescent="0.2">
      <c r="A16059" s="996" t="str">
        <f>CONCATENATE(Programme!D16060,Programme!E16060,Programme!F16060,Programme!G16060,Programme!H16060,Programme!I16060,Programme!J16060)</f>
        <v>&lt;cellule&gt;&lt;codeEdi&gt;1081&lt;/codeEdi&gt;&lt;/cellule&gt;</v>
      </c>
    </row>
    <row r="16060" spans="1:1" x14ac:dyDescent="0.2">
      <c r="A16060" s="996" t="str">
        <f>CONCATENATE(Programme!D16061,Programme!E16061,Programme!F16061,Programme!G16061,Programme!H16061,Programme!I16061,Programme!J16061)</f>
        <v>&lt;valeur&gt;&lt;/valeur&gt;</v>
      </c>
    </row>
    <row r="16061" spans="1:1" x14ac:dyDescent="0.2">
      <c r="A16061" s="996" t="str">
        <f>CONCATENATE(Programme!D16062,Programme!E16062,Programme!F16062,Programme!G16062,Programme!H16062,Programme!I16062,Programme!J16062)</f>
        <v>&lt;numeroLigne&gt;158&lt;/numeroLigne&gt;</v>
      </c>
    </row>
    <row r="16062" spans="1:1" x14ac:dyDescent="0.2">
      <c r="A16062" s="996" t="str">
        <f>CONCATENATE(Programme!D16063,Programme!E16063,Programme!F16063,Programme!G16063,Programme!H16063,Programme!I16063,Programme!J16063)</f>
        <v>&lt;/ValeurCellule&gt;</v>
      </c>
    </row>
    <row r="16063" spans="1:1" x14ac:dyDescent="0.2">
      <c r="A16063" s="996" t="str">
        <f>CONCATENATE(Programme!D16064,Programme!E16064,Programme!F16064,Programme!G16064,Programme!H16064,Programme!I16064,Programme!J16064)</f>
        <v>&lt;ValeurCellule&gt;</v>
      </c>
    </row>
    <row r="16064" spans="1:1" x14ac:dyDescent="0.2">
      <c r="A16064" s="996" t="str">
        <f>CONCATENATE(Programme!D16065,Programme!E16065,Programme!F16065,Programme!G16065,Programme!H16065,Programme!I16065,Programme!J16065)</f>
        <v>&lt;cellule&gt;&lt;codeEdi&gt;1082&lt;/codeEdi&gt;&lt;/cellule&gt;</v>
      </c>
    </row>
    <row r="16065" spans="1:1" x14ac:dyDescent="0.2">
      <c r="A16065" s="996" t="str">
        <f>CONCATENATE(Programme!D16066,Programme!E16066,Programme!F16066,Programme!G16066,Programme!H16066,Programme!I16066,Programme!J16066)</f>
        <v>&lt;valeur&gt;&lt;/valeur&gt;</v>
      </c>
    </row>
    <row r="16066" spans="1:1" x14ac:dyDescent="0.2">
      <c r="A16066" s="996" t="str">
        <f>CONCATENATE(Programme!D16067,Programme!E16067,Programme!F16067,Programme!G16067,Programme!H16067,Programme!I16067,Programme!J16067)</f>
        <v>&lt;numeroLigne&gt;158&lt;/numeroLigne&gt;</v>
      </c>
    </row>
    <row r="16067" spans="1:1" x14ac:dyDescent="0.2">
      <c r="A16067" s="996" t="str">
        <f>CONCATENATE(Programme!D16068,Programme!E16068,Programme!F16068,Programme!G16068,Programme!H16068,Programme!I16068,Programme!J16068)</f>
        <v>&lt;/ValeurCellule&gt;</v>
      </c>
    </row>
    <row r="16068" spans="1:1" x14ac:dyDescent="0.2">
      <c r="A16068" s="996" t="str">
        <f>CONCATENATE(Programme!D16069,Programme!E16069,Programme!F16069,Programme!G16069,Programme!H16069,Programme!I16069,Programme!J16069)</f>
        <v>&lt;ValeurCellule&gt;</v>
      </c>
    </row>
    <row r="16069" spans="1:1" x14ac:dyDescent="0.2">
      <c r="A16069" s="996" t="str">
        <f>CONCATENATE(Programme!D16070,Programme!E16070,Programme!F16070,Programme!G16070,Programme!H16070,Programme!I16070,Programme!J16070)</f>
        <v>&lt;cellule&gt;&lt;codeEdi&gt;1083&lt;/codeEdi&gt;&lt;/cellule&gt;</v>
      </c>
    </row>
    <row r="16070" spans="1:1" x14ac:dyDescent="0.2">
      <c r="A16070" s="996" t="str">
        <f>CONCATENATE(Programme!D16071,Programme!E16071,Programme!F16071,Programme!G16071,Programme!H16071,Programme!I16071,Programme!J16071)</f>
        <v>&lt;valeur&gt;&lt;/valeur&gt;</v>
      </c>
    </row>
    <row r="16071" spans="1:1" x14ac:dyDescent="0.2">
      <c r="A16071" s="996" t="str">
        <f>CONCATENATE(Programme!D16072,Programme!E16072,Programme!F16072,Programme!G16072,Programme!H16072,Programme!I16072,Programme!J16072)</f>
        <v>&lt;numeroLigne&gt;158&lt;/numeroLigne&gt;</v>
      </c>
    </row>
    <row r="16072" spans="1:1" x14ac:dyDescent="0.2">
      <c r="A16072" s="996" t="str">
        <f>CONCATENATE(Programme!D16073,Programme!E16073,Programme!F16073,Programme!G16073,Programme!H16073,Programme!I16073,Programme!J16073)</f>
        <v>&lt;/ValeurCellule&gt;</v>
      </c>
    </row>
    <row r="16073" spans="1:1" x14ac:dyDescent="0.2">
      <c r="A16073" s="996" t="str">
        <f>CONCATENATE(Programme!D16074,Programme!E16074,Programme!F16074,Programme!G16074,Programme!H16074,Programme!I16074,Programme!J16074)</f>
        <v>&lt;ValeurCellule&gt;</v>
      </c>
    </row>
    <row r="16074" spans="1:1" x14ac:dyDescent="0.2">
      <c r="A16074" s="996" t="str">
        <f>CONCATENATE(Programme!D16075,Programme!E16075,Programme!F16075,Programme!G16075,Programme!H16075,Programme!I16075,Programme!J16075)</f>
        <v>&lt;cellule&gt;&lt;codeEdi&gt;1084&lt;/codeEdi&gt;&lt;/cellule&gt;</v>
      </c>
    </row>
    <row r="16075" spans="1:1" x14ac:dyDescent="0.2">
      <c r="A16075" s="996" t="str">
        <f>CONCATENATE(Programme!D16076,Programme!E16076,Programme!F16076,Programme!G16076,Programme!H16076,Programme!I16076,Programme!J16076)</f>
        <v>&lt;valeur&gt;&lt;/valeur&gt;</v>
      </c>
    </row>
    <row r="16076" spans="1:1" x14ac:dyDescent="0.2">
      <c r="A16076" s="996" t="str">
        <f>CONCATENATE(Programme!D16077,Programme!E16077,Programme!F16077,Programme!G16077,Programme!H16077,Programme!I16077,Programme!J16077)</f>
        <v>&lt;numeroLigne&gt;158&lt;/numeroLigne&gt;</v>
      </c>
    </row>
    <row r="16077" spans="1:1" x14ac:dyDescent="0.2">
      <c r="A16077" s="996" t="str">
        <f>CONCATENATE(Programme!D16078,Programme!E16078,Programme!F16078,Programme!G16078,Programme!H16078,Programme!I16078,Programme!J16078)</f>
        <v>&lt;/ValeurCellule&gt;</v>
      </c>
    </row>
    <row r="16078" spans="1:1" x14ac:dyDescent="0.2">
      <c r="A16078" s="996" t="str">
        <f>CONCATENATE(Programme!D16079,Programme!E16079,Programme!F16079,Programme!G16079,Programme!H16079,Programme!I16079,Programme!J16079)</f>
        <v>&lt;ValeurCellule&gt;</v>
      </c>
    </row>
    <row r="16079" spans="1:1" x14ac:dyDescent="0.2">
      <c r="A16079" s="996" t="str">
        <f>CONCATENATE(Programme!D16080,Programme!E16080,Programme!F16080,Programme!G16080,Programme!H16080,Programme!I16080,Programme!J16080)</f>
        <v>&lt;cellule&gt;&lt;codeEdi&gt;1085&lt;/codeEdi&gt;&lt;/cellule&gt;</v>
      </c>
    </row>
    <row r="16080" spans="1:1" x14ac:dyDescent="0.2">
      <c r="A16080" s="996" t="str">
        <f>CONCATENATE(Programme!D16081,Programme!E16081,Programme!F16081,Programme!G16081,Programme!H16081,Programme!I16081,Programme!J16081)</f>
        <v>&lt;valeur&gt;&lt;/valeur&gt;</v>
      </c>
    </row>
    <row r="16081" spans="1:1" x14ac:dyDescent="0.2">
      <c r="A16081" s="996" t="str">
        <f>CONCATENATE(Programme!D16082,Programme!E16082,Programme!F16082,Programme!G16082,Programme!H16082,Programme!I16082,Programme!J16082)</f>
        <v>&lt;numeroLigne&gt;158&lt;/numeroLigne&gt;</v>
      </c>
    </row>
    <row r="16082" spans="1:1" x14ac:dyDescent="0.2">
      <c r="A16082" s="996" t="str">
        <f>CONCATENATE(Programme!D16083,Programme!E16083,Programme!F16083,Programme!G16083,Programme!H16083,Programme!I16083,Programme!J16083)</f>
        <v>&lt;/ValeurCellule&gt;</v>
      </c>
    </row>
    <row r="16083" spans="1:1" x14ac:dyDescent="0.2">
      <c r="A16083" s="996" t="str">
        <f>CONCATENATE(Programme!D16084,Programme!E16084,Programme!F16084,Programme!G16084,Programme!H16084,Programme!I16084,Programme!J16084)</f>
        <v>&lt;ValeurCellule&gt;</v>
      </c>
    </row>
    <row r="16084" spans="1:1" x14ac:dyDescent="0.2">
      <c r="A16084" s="996" t="str">
        <f>CONCATENATE(Programme!D16085,Programme!E16085,Programme!F16085,Programme!G16085,Programme!H16085,Programme!I16085,Programme!J16085)</f>
        <v>&lt;cellule&gt;&lt;codeEdi&gt;1086&lt;/codeEdi&gt;&lt;/cellule&gt;</v>
      </c>
    </row>
    <row r="16085" spans="1:1" x14ac:dyDescent="0.2">
      <c r="A16085" s="996" t="str">
        <f>CONCATENATE(Programme!D16086,Programme!E16086,Programme!F16086,Programme!G16086,Programme!H16086,Programme!I16086,Programme!J16086)</f>
        <v>&lt;valeur&gt;&lt;/valeur&gt;</v>
      </c>
    </row>
    <row r="16086" spans="1:1" x14ac:dyDescent="0.2">
      <c r="A16086" s="996" t="str">
        <f>CONCATENATE(Programme!D16087,Programme!E16087,Programme!F16087,Programme!G16087,Programme!H16087,Programme!I16087,Programme!J16087)</f>
        <v>&lt;numeroLigne&gt;158&lt;/numeroLigne&gt;</v>
      </c>
    </row>
    <row r="16087" spans="1:1" x14ac:dyDescent="0.2">
      <c r="A16087" s="996" t="str">
        <f>CONCATENATE(Programme!D16088,Programme!E16088,Programme!F16088,Programme!G16088,Programme!H16088,Programme!I16088,Programme!J16088)</f>
        <v>&lt;/ValeurCellule&gt;</v>
      </c>
    </row>
    <row r="16088" spans="1:1" x14ac:dyDescent="0.2">
      <c r="A16088" s="996" t="str">
        <f>CONCATENATE(Programme!D16089,Programme!E16089,Programme!F16089,Programme!G16089,Programme!H16089,Programme!I16089,Programme!J16089)</f>
        <v>&lt;ValeurCellule&gt;</v>
      </c>
    </row>
    <row r="16089" spans="1:1" x14ac:dyDescent="0.2">
      <c r="A16089" s="996" t="str">
        <f>CONCATENATE(Programme!D16090,Programme!E16090,Programme!F16090,Programme!G16090,Programme!H16090,Programme!I16090,Programme!J16090)</f>
        <v>&lt;cellule&gt;&lt;codeEdi&gt;10061&lt;/codeEdi&gt;&lt;/cellule&gt;</v>
      </c>
    </row>
    <row r="16090" spans="1:1" x14ac:dyDescent="0.2">
      <c r="A16090" s="996" t="str">
        <f>CONCATENATE(Programme!D16091,Programme!E16091,Programme!F16091,Programme!G16091,Programme!H16091,Programme!I16091,Programme!J16091)</f>
        <v>&lt;valeur&gt;&lt;/valeur&gt;</v>
      </c>
    </row>
    <row r="16091" spans="1:1" x14ac:dyDescent="0.2">
      <c r="A16091" s="996" t="str">
        <f>CONCATENATE(Programme!D16092,Programme!E16092,Programme!F16092,Programme!G16092,Programme!H16092,Programme!I16092,Programme!J16092)</f>
        <v>&lt;numeroLigne&gt;159&lt;/numeroLigne&gt;</v>
      </c>
    </row>
    <row r="16092" spans="1:1" x14ac:dyDescent="0.2">
      <c r="A16092" s="996" t="str">
        <f>CONCATENATE(Programme!D16093,Programme!E16093,Programme!F16093,Programme!G16093,Programme!H16093,Programme!I16093,Programme!J16093)</f>
        <v>&lt;/ValeurCellule&gt;</v>
      </c>
    </row>
    <row r="16093" spans="1:1" x14ac:dyDescent="0.2">
      <c r="A16093" s="996" t="str">
        <f>CONCATENATE(Programme!D16094,Programme!E16094,Programme!F16094,Programme!G16094,Programme!H16094,Programme!I16094,Programme!J16094)</f>
        <v>&lt;ValeurCellule&gt;</v>
      </c>
    </row>
    <row r="16094" spans="1:1" x14ac:dyDescent="0.2">
      <c r="A16094" s="996" t="str">
        <f>CONCATENATE(Programme!D16095,Programme!E16095,Programme!F16095,Programme!G16095,Programme!H16095,Programme!I16095,Programme!J16095)</f>
        <v>&lt;cellule&gt;&lt;codeEdi&gt;1078&lt;/codeEdi&gt;&lt;/cellule&gt;</v>
      </c>
    </row>
    <row r="16095" spans="1:1" x14ac:dyDescent="0.2">
      <c r="A16095" s="996" t="str">
        <f>CONCATENATE(Programme!D16096,Programme!E16096,Programme!F16096,Programme!G16096,Programme!H16096,Programme!I16096,Programme!J16096)</f>
        <v>&lt;valeur&gt;&lt;/valeur&gt;</v>
      </c>
    </row>
    <row r="16096" spans="1:1" x14ac:dyDescent="0.2">
      <c r="A16096" s="996" t="str">
        <f>CONCATENATE(Programme!D16097,Programme!E16097,Programme!F16097,Programme!G16097,Programme!H16097,Programme!I16097,Programme!J16097)</f>
        <v>&lt;numeroLigne&gt;159&lt;/numeroLigne&gt;</v>
      </c>
    </row>
    <row r="16097" spans="1:1" x14ac:dyDescent="0.2">
      <c r="A16097" s="996" t="str">
        <f>CONCATENATE(Programme!D16098,Programme!E16098,Programme!F16098,Programme!G16098,Programme!H16098,Programme!I16098,Programme!J16098)</f>
        <v>&lt;/ValeurCellule&gt;</v>
      </c>
    </row>
    <row r="16098" spans="1:1" x14ac:dyDescent="0.2">
      <c r="A16098" s="996" t="str">
        <f>CONCATENATE(Programme!D16099,Programme!E16099,Programme!F16099,Programme!G16099,Programme!H16099,Programme!I16099,Programme!J16099)</f>
        <v>&lt;ValeurCellule&gt;</v>
      </c>
    </row>
    <row r="16099" spans="1:1" x14ac:dyDescent="0.2">
      <c r="A16099" s="996" t="str">
        <f>CONCATENATE(Programme!D16100,Programme!E16100,Programme!F16100,Programme!G16100,Programme!H16100,Programme!I16100,Programme!J16100)</f>
        <v>&lt;cellule&gt;&lt;codeEdi&gt;1079&lt;/codeEdi&gt;&lt;/cellule&gt;</v>
      </c>
    </row>
    <row r="16100" spans="1:1" x14ac:dyDescent="0.2">
      <c r="A16100" s="996" t="str">
        <f>CONCATENATE(Programme!D16101,Programme!E16101,Programme!F16101,Programme!G16101,Programme!H16101,Programme!I16101,Programme!J16101)</f>
        <v>&lt;valeur&gt;&lt;/valeur&gt;</v>
      </c>
    </row>
    <row r="16101" spans="1:1" x14ac:dyDescent="0.2">
      <c r="A16101" s="996" t="str">
        <f>CONCATENATE(Programme!D16102,Programme!E16102,Programme!F16102,Programme!G16102,Programme!H16102,Programme!I16102,Programme!J16102)</f>
        <v>&lt;numeroLigne&gt;159&lt;/numeroLigne&gt;</v>
      </c>
    </row>
    <row r="16102" spans="1:1" x14ac:dyDescent="0.2">
      <c r="A16102" s="996" t="str">
        <f>CONCATENATE(Programme!D16103,Programme!E16103,Programme!F16103,Programme!G16103,Programme!H16103,Programme!I16103,Programme!J16103)</f>
        <v>&lt;/ValeurCellule&gt;</v>
      </c>
    </row>
    <row r="16103" spans="1:1" x14ac:dyDescent="0.2">
      <c r="A16103" s="996" t="str">
        <f>CONCATENATE(Programme!D16104,Programme!E16104,Programme!F16104,Programme!G16104,Programme!H16104,Programme!I16104,Programme!J16104)</f>
        <v>&lt;ValeurCellule&gt;</v>
      </c>
    </row>
    <row r="16104" spans="1:1" x14ac:dyDescent="0.2">
      <c r="A16104" s="996" t="str">
        <f>CONCATENATE(Programme!D16105,Programme!E16105,Programme!F16105,Programme!G16105,Programme!H16105,Programme!I16105,Programme!J16105)</f>
        <v>&lt;cellule&gt;&lt;codeEdi&gt;1080&lt;/codeEdi&gt;&lt;/cellule&gt;</v>
      </c>
    </row>
    <row r="16105" spans="1:1" x14ac:dyDescent="0.2">
      <c r="A16105" s="996" t="str">
        <f>CONCATENATE(Programme!D16106,Programme!E16106,Programme!F16106,Programme!G16106,Programme!H16106,Programme!I16106,Programme!J16106)</f>
        <v>&lt;valeur&gt;&lt;/valeur&gt;</v>
      </c>
    </row>
    <row r="16106" spans="1:1" x14ac:dyDescent="0.2">
      <c r="A16106" s="996" t="str">
        <f>CONCATENATE(Programme!D16107,Programme!E16107,Programme!F16107,Programme!G16107,Programme!H16107,Programme!I16107,Programme!J16107)</f>
        <v>&lt;numeroLigne&gt;159&lt;/numeroLigne&gt;</v>
      </c>
    </row>
    <row r="16107" spans="1:1" x14ac:dyDescent="0.2">
      <c r="A16107" s="996" t="str">
        <f>CONCATENATE(Programme!D16108,Programme!E16108,Programme!F16108,Programme!G16108,Programme!H16108,Programme!I16108,Programme!J16108)</f>
        <v>&lt;/ValeurCellule&gt;</v>
      </c>
    </row>
    <row r="16108" spans="1:1" x14ac:dyDescent="0.2">
      <c r="A16108" s="996" t="str">
        <f>CONCATENATE(Programme!D16109,Programme!E16109,Programme!F16109,Programme!G16109,Programme!H16109,Programme!I16109,Programme!J16109)</f>
        <v>&lt;ValeurCellule&gt;</v>
      </c>
    </row>
    <row r="16109" spans="1:1" x14ac:dyDescent="0.2">
      <c r="A16109" s="996" t="str">
        <f>CONCATENATE(Programme!D16110,Programme!E16110,Programme!F16110,Programme!G16110,Programme!H16110,Programme!I16110,Programme!J16110)</f>
        <v>&lt;cellule&gt;&lt;codeEdi&gt;1081&lt;/codeEdi&gt;&lt;/cellule&gt;</v>
      </c>
    </row>
    <row r="16110" spans="1:1" x14ac:dyDescent="0.2">
      <c r="A16110" s="996" t="str">
        <f>CONCATENATE(Programme!D16111,Programme!E16111,Programme!F16111,Programme!G16111,Programme!H16111,Programme!I16111,Programme!J16111)</f>
        <v>&lt;valeur&gt;&lt;/valeur&gt;</v>
      </c>
    </row>
    <row r="16111" spans="1:1" x14ac:dyDescent="0.2">
      <c r="A16111" s="996" t="str">
        <f>CONCATENATE(Programme!D16112,Programme!E16112,Programme!F16112,Programme!G16112,Programme!H16112,Programme!I16112,Programme!J16112)</f>
        <v>&lt;numeroLigne&gt;159&lt;/numeroLigne&gt;</v>
      </c>
    </row>
    <row r="16112" spans="1:1" x14ac:dyDescent="0.2">
      <c r="A16112" s="996" t="str">
        <f>CONCATENATE(Programme!D16113,Programme!E16113,Programme!F16113,Programme!G16113,Programme!H16113,Programme!I16113,Programme!J16113)</f>
        <v>&lt;/ValeurCellule&gt;</v>
      </c>
    </row>
    <row r="16113" spans="1:1" x14ac:dyDescent="0.2">
      <c r="A16113" s="996" t="str">
        <f>CONCATENATE(Programme!D16114,Programme!E16114,Programme!F16114,Programme!G16114,Programme!H16114,Programme!I16114,Programme!J16114)</f>
        <v>&lt;ValeurCellule&gt;</v>
      </c>
    </row>
    <row r="16114" spans="1:1" x14ac:dyDescent="0.2">
      <c r="A16114" s="996" t="str">
        <f>CONCATENATE(Programme!D16115,Programme!E16115,Programme!F16115,Programme!G16115,Programme!H16115,Programme!I16115,Programme!J16115)</f>
        <v>&lt;cellule&gt;&lt;codeEdi&gt;1082&lt;/codeEdi&gt;&lt;/cellule&gt;</v>
      </c>
    </row>
    <row r="16115" spans="1:1" x14ac:dyDescent="0.2">
      <c r="A16115" s="996" t="str">
        <f>CONCATENATE(Programme!D16116,Programme!E16116,Programme!F16116,Programme!G16116,Programme!H16116,Programme!I16116,Programme!J16116)</f>
        <v>&lt;valeur&gt;&lt;/valeur&gt;</v>
      </c>
    </row>
    <row r="16116" spans="1:1" x14ac:dyDescent="0.2">
      <c r="A16116" s="996" t="str">
        <f>CONCATENATE(Programme!D16117,Programme!E16117,Programme!F16117,Programme!G16117,Programme!H16117,Programme!I16117,Programme!J16117)</f>
        <v>&lt;numeroLigne&gt;159&lt;/numeroLigne&gt;</v>
      </c>
    </row>
    <row r="16117" spans="1:1" x14ac:dyDescent="0.2">
      <c r="A16117" s="996" t="str">
        <f>CONCATENATE(Programme!D16118,Programme!E16118,Programme!F16118,Programme!G16118,Programme!H16118,Programme!I16118,Programme!J16118)</f>
        <v>&lt;/ValeurCellule&gt;</v>
      </c>
    </row>
    <row r="16118" spans="1:1" x14ac:dyDescent="0.2">
      <c r="A16118" s="996" t="str">
        <f>CONCATENATE(Programme!D16119,Programme!E16119,Programme!F16119,Programme!G16119,Programme!H16119,Programme!I16119,Programme!J16119)</f>
        <v>&lt;ValeurCellule&gt;</v>
      </c>
    </row>
    <row r="16119" spans="1:1" x14ac:dyDescent="0.2">
      <c r="A16119" s="996" t="str">
        <f>CONCATENATE(Programme!D16120,Programme!E16120,Programme!F16120,Programme!G16120,Programme!H16120,Programme!I16120,Programme!J16120)</f>
        <v>&lt;cellule&gt;&lt;codeEdi&gt;1083&lt;/codeEdi&gt;&lt;/cellule&gt;</v>
      </c>
    </row>
    <row r="16120" spans="1:1" x14ac:dyDescent="0.2">
      <c r="A16120" s="996" t="str">
        <f>CONCATENATE(Programme!D16121,Programme!E16121,Programme!F16121,Programme!G16121,Programme!H16121,Programme!I16121,Programme!J16121)</f>
        <v>&lt;valeur&gt;&lt;/valeur&gt;</v>
      </c>
    </row>
    <row r="16121" spans="1:1" x14ac:dyDescent="0.2">
      <c r="A16121" s="996" t="str">
        <f>CONCATENATE(Programme!D16122,Programme!E16122,Programme!F16122,Programme!G16122,Programme!H16122,Programme!I16122,Programme!J16122)</f>
        <v>&lt;numeroLigne&gt;159&lt;/numeroLigne&gt;</v>
      </c>
    </row>
    <row r="16122" spans="1:1" x14ac:dyDescent="0.2">
      <c r="A16122" s="996" t="str">
        <f>CONCATENATE(Programme!D16123,Programme!E16123,Programme!F16123,Programme!G16123,Programme!H16123,Programme!I16123,Programme!J16123)</f>
        <v>&lt;/ValeurCellule&gt;</v>
      </c>
    </row>
    <row r="16123" spans="1:1" x14ac:dyDescent="0.2">
      <c r="A16123" s="996" t="str">
        <f>CONCATENATE(Programme!D16124,Programme!E16124,Programme!F16124,Programme!G16124,Programme!H16124,Programme!I16124,Programme!J16124)</f>
        <v>&lt;ValeurCellule&gt;</v>
      </c>
    </row>
    <row r="16124" spans="1:1" x14ac:dyDescent="0.2">
      <c r="A16124" s="996" t="str">
        <f>CONCATENATE(Programme!D16125,Programme!E16125,Programme!F16125,Programme!G16125,Programme!H16125,Programme!I16125,Programme!J16125)</f>
        <v>&lt;cellule&gt;&lt;codeEdi&gt;1084&lt;/codeEdi&gt;&lt;/cellule&gt;</v>
      </c>
    </row>
    <row r="16125" spans="1:1" x14ac:dyDescent="0.2">
      <c r="A16125" s="996" t="str">
        <f>CONCATENATE(Programme!D16126,Programme!E16126,Programme!F16126,Programme!G16126,Programme!H16126,Programme!I16126,Programme!J16126)</f>
        <v>&lt;valeur&gt;&lt;/valeur&gt;</v>
      </c>
    </row>
    <row r="16126" spans="1:1" x14ac:dyDescent="0.2">
      <c r="A16126" s="996" t="str">
        <f>CONCATENATE(Programme!D16127,Programme!E16127,Programme!F16127,Programme!G16127,Programme!H16127,Programme!I16127,Programme!J16127)</f>
        <v>&lt;numeroLigne&gt;159&lt;/numeroLigne&gt;</v>
      </c>
    </row>
    <row r="16127" spans="1:1" x14ac:dyDescent="0.2">
      <c r="A16127" s="996" t="str">
        <f>CONCATENATE(Programme!D16128,Programme!E16128,Programme!F16128,Programme!G16128,Programme!H16128,Programme!I16128,Programme!J16128)</f>
        <v>&lt;/ValeurCellule&gt;</v>
      </c>
    </row>
    <row r="16128" spans="1:1" x14ac:dyDescent="0.2">
      <c r="A16128" s="996" t="str">
        <f>CONCATENATE(Programme!D16129,Programme!E16129,Programme!F16129,Programme!G16129,Programme!H16129,Programme!I16129,Programme!J16129)</f>
        <v>&lt;ValeurCellule&gt;</v>
      </c>
    </row>
    <row r="16129" spans="1:1" x14ac:dyDescent="0.2">
      <c r="A16129" s="996" t="str">
        <f>CONCATENATE(Programme!D16130,Programme!E16130,Programme!F16130,Programme!G16130,Programme!H16130,Programme!I16130,Programme!J16130)</f>
        <v>&lt;cellule&gt;&lt;codeEdi&gt;1085&lt;/codeEdi&gt;&lt;/cellule&gt;</v>
      </c>
    </row>
    <row r="16130" spans="1:1" x14ac:dyDescent="0.2">
      <c r="A16130" s="996" t="str">
        <f>CONCATENATE(Programme!D16131,Programme!E16131,Programme!F16131,Programme!G16131,Programme!H16131,Programme!I16131,Programme!J16131)</f>
        <v>&lt;valeur&gt;&lt;/valeur&gt;</v>
      </c>
    </row>
    <row r="16131" spans="1:1" x14ac:dyDescent="0.2">
      <c r="A16131" s="996" t="str">
        <f>CONCATENATE(Programme!D16132,Programme!E16132,Programme!F16132,Programme!G16132,Programme!H16132,Programme!I16132,Programme!J16132)</f>
        <v>&lt;numeroLigne&gt;159&lt;/numeroLigne&gt;</v>
      </c>
    </row>
    <row r="16132" spans="1:1" x14ac:dyDescent="0.2">
      <c r="A16132" s="996" t="str">
        <f>CONCATENATE(Programme!D16133,Programme!E16133,Programme!F16133,Programme!G16133,Programme!H16133,Programme!I16133,Programme!J16133)</f>
        <v>&lt;/ValeurCellule&gt;</v>
      </c>
    </row>
    <row r="16133" spans="1:1" x14ac:dyDescent="0.2">
      <c r="A16133" s="996" t="str">
        <f>CONCATENATE(Programme!D16134,Programme!E16134,Programme!F16134,Programme!G16134,Programme!H16134,Programme!I16134,Programme!J16134)</f>
        <v>&lt;ValeurCellule&gt;</v>
      </c>
    </row>
    <row r="16134" spans="1:1" x14ac:dyDescent="0.2">
      <c r="A16134" s="996" t="str">
        <f>CONCATENATE(Programme!D16135,Programme!E16135,Programme!F16135,Programme!G16135,Programme!H16135,Programme!I16135,Programme!J16135)</f>
        <v>&lt;cellule&gt;&lt;codeEdi&gt;1086&lt;/codeEdi&gt;&lt;/cellule&gt;</v>
      </c>
    </row>
    <row r="16135" spans="1:1" x14ac:dyDescent="0.2">
      <c r="A16135" s="996" t="str">
        <f>CONCATENATE(Programme!D16136,Programme!E16136,Programme!F16136,Programme!G16136,Programme!H16136,Programme!I16136,Programme!J16136)</f>
        <v>&lt;valeur&gt;&lt;/valeur&gt;</v>
      </c>
    </row>
    <row r="16136" spans="1:1" x14ac:dyDescent="0.2">
      <c r="A16136" s="996" t="str">
        <f>CONCATENATE(Programme!D16137,Programme!E16137,Programme!F16137,Programme!G16137,Programme!H16137,Programme!I16137,Programme!J16137)</f>
        <v>&lt;numeroLigne&gt;159&lt;/numeroLigne&gt;</v>
      </c>
    </row>
    <row r="16137" spans="1:1" x14ac:dyDescent="0.2">
      <c r="A16137" s="996" t="str">
        <f>CONCATENATE(Programme!D16138,Programme!E16138,Programme!F16138,Programme!G16138,Programme!H16138,Programme!I16138,Programme!J16138)</f>
        <v>&lt;/ValeurCellule&gt;</v>
      </c>
    </row>
    <row r="16138" spans="1:1" x14ac:dyDescent="0.2">
      <c r="A16138" s="996" t="str">
        <f>CONCATENATE(Programme!D16139,Programme!E16139,Programme!F16139,Programme!G16139,Programme!H16139,Programme!I16139,Programme!J16139)</f>
        <v>&lt;ValeurCellule&gt;</v>
      </c>
    </row>
    <row r="16139" spans="1:1" x14ac:dyDescent="0.2">
      <c r="A16139" s="996" t="str">
        <f>CONCATENATE(Programme!D16140,Programme!E16140,Programme!F16140,Programme!G16140,Programme!H16140,Programme!I16140,Programme!J16140)</f>
        <v>&lt;cellule&gt;&lt;codeEdi&gt;10061&lt;/codeEdi&gt;&lt;/cellule&gt;</v>
      </c>
    </row>
    <row r="16140" spans="1:1" x14ac:dyDescent="0.2">
      <c r="A16140" s="996" t="str">
        <f>CONCATENATE(Programme!D16141,Programme!E16141,Programme!F16141,Programme!G16141,Programme!H16141,Programme!I16141,Programme!J16141)</f>
        <v>&lt;valeur&gt;&lt;/valeur&gt;</v>
      </c>
    </row>
    <row r="16141" spans="1:1" x14ac:dyDescent="0.2">
      <c r="A16141" s="996" t="str">
        <f>CONCATENATE(Programme!D16142,Programme!E16142,Programme!F16142,Programme!G16142,Programme!H16142,Programme!I16142,Programme!J16142)</f>
        <v>&lt;numeroLigne&gt;160&lt;/numeroLigne&gt;</v>
      </c>
    </row>
    <row r="16142" spans="1:1" x14ac:dyDescent="0.2">
      <c r="A16142" s="996" t="str">
        <f>CONCATENATE(Programme!D16143,Programme!E16143,Programme!F16143,Programme!G16143,Programme!H16143,Programme!I16143,Programme!J16143)</f>
        <v>&lt;/ValeurCellule&gt;</v>
      </c>
    </row>
    <row r="16143" spans="1:1" x14ac:dyDescent="0.2">
      <c r="A16143" s="996" t="str">
        <f>CONCATENATE(Programme!D16144,Programme!E16144,Programme!F16144,Programme!G16144,Programme!H16144,Programme!I16144,Programme!J16144)</f>
        <v>&lt;ValeurCellule&gt;</v>
      </c>
    </row>
    <row r="16144" spans="1:1" x14ac:dyDescent="0.2">
      <c r="A16144" s="996" t="str">
        <f>CONCATENATE(Programme!D16145,Programme!E16145,Programme!F16145,Programme!G16145,Programme!H16145,Programme!I16145,Programme!J16145)</f>
        <v>&lt;cellule&gt;&lt;codeEdi&gt;1078&lt;/codeEdi&gt;&lt;/cellule&gt;</v>
      </c>
    </row>
    <row r="16145" spans="1:1" x14ac:dyDescent="0.2">
      <c r="A16145" s="996" t="str">
        <f>CONCATENATE(Programme!D16146,Programme!E16146,Programme!F16146,Programme!G16146,Programme!H16146,Programme!I16146,Programme!J16146)</f>
        <v>&lt;valeur&gt;&lt;/valeur&gt;</v>
      </c>
    </row>
    <row r="16146" spans="1:1" x14ac:dyDescent="0.2">
      <c r="A16146" s="996" t="str">
        <f>CONCATENATE(Programme!D16147,Programme!E16147,Programme!F16147,Programme!G16147,Programme!H16147,Programme!I16147,Programme!J16147)</f>
        <v>&lt;numeroLigne&gt;160&lt;/numeroLigne&gt;</v>
      </c>
    </row>
    <row r="16147" spans="1:1" x14ac:dyDescent="0.2">
      <c r="A16147" s="996" t="str">
        <f>CONCATENATE(Programme!D16148,Programme!E16148,Programme!F16148,Programme!G16148,Programme!H16148,Programme!I16148,Programme!J16148)</f>
        <v>&lt;/ValeurCellule&gt;</v>
      </c>
    </row>
    <row r="16148" spans="1:1" x14ac:dyDescent="0.2">
      <c r="A16148" s="996" t="str">
        <f>CONCATENATE(Programme!D16149,Programme!E16149,Programme!F16149,Programme!G16149,Programme!H16149,Programme!I16149,Programme!J16149)</f>
        <v>&lt;ValeurCellule&gt;</v>
      </c>
    </row>
    <row r="16149" spans="1:1" x14ac:dyDescent="0.2">
      <c r="A16149" s="996" t="str">
        <f>CONCATENATE(Programme!D16150,Programme!E16150,Programme!F16150,Programme!G16150,Programme!H16150,Programme!I16150,Programme!J16150)</f>
        <v>&lt;cellule&gt;&lt;codeEdi&gt;1079&lt;/codeEdi&gt;&lt;/cellule&gt;</v>
      </c>
    </row>
    <row r="16150" spans="1:1" x14ac:dyDescent="0.2">
      <c r="A16150" s="996" t="str">
        <f>CONCATENATE(Programme!D16151,Programme!E16151,Programme!F16151,Programme!G16151,Programme!H16151,Programme!I16151,Programme!J16151)</f>
        <v>&lt;valeur&gt;&lt;/valeur&gt;</v>
      </c>
    </row>
    <row r="16151" spans="1:1" x14ac:dyDescent="0.2">
      <c r="A16151" s="996" t="str">
        <f>CONCATENATE(Programme!D16152,Programme!E16152,Programme!F16152,Programme!G16152,Programme!H16152,Programme!I16152,Programme!J16152)</f>
        <v>&lt;numeroLigne&gt;160&lt;/numeroLigne&gt;</v>
      </c>
    </row>
    <row r="16152" spans="1:1" x14ac:dyDescent="0.2">
      <c r="A16152" s="996" t="str">
        <f>CONCATENATE(Programme!D16153,Programme!E16153,Programme!F16153,Programme!G16153,Programme!H16153,Programme!I16153,Programme!J16153)</f>
        <v>&lt;/ValeurCellule&gt;</v>
      </c>
    </row>
    <row r="16153" spans="1:1" x14ac:dyDescent="0.2">
      <c r="A16153" s="996" t="str">
        <f>CONCATENATE(Programme!D16154,Programme!E16154,Programme!F16154,Programme!G16154,Programme!H16154,Programme!I16154,Programme!J16154)</f>
        <v>&lt;ValeurCellule&gt;</v>
      </c>
    </row>
    <row r="16154" spans="1:1" x14ac:dyDescent="0.2">
      <c r="A16154" s="996" t="str">
        <f>CONCATENATE(Programme!D16155,Programme!E16155,Programme!F16155,Programme!G16155,Programme!H16155,Programme!I16155,Programme!J16155)</f>
        <v>&lt;cellule&gt;&lt;codeEdi&gt;1080&lt;/codeEdi&gt;&lt;/cellule&gt;</v>
      </c>
    </row>
    <row r="16155" spans="1:1" x14ac:dyDescent="0.2">
      <c r="A16155" s="996" t="str">
        <f>CONCATENATE(Programme!D16156,Programme!E16156,Programme!F16156,Programme!G16156,Programme!H16156,Programme!I16156,Programme!J16156)</f>
        <v>&lt;valeur&gt;&lt;/valeur&gt;</v>
      </c>
    </row>
    <row r="16156" spans="1:1" x14ac:dyDescent="0.2">
      <c r="A16156" s="996" t="str">
        <f>CONCATENATE(Programme!D16157,Programme!E16157,Programme!F16157,Programme!G16157,Programme!H16157,Programme!I16157,Programme!J16157)</f>
        <v>&lt;numeroLigne&gt;160&lt;/numeroLigne&gt;</v>
      </c>
    </row>
    <row r="16157" spans="1:1" x14ac:dyDescent="0.2">
      <c r="A16157" s="996" t="str">
        <f>CONCATENATE(Programme!D16158,Programme!E16158,Programme!F16158,Programme!G16158,Programme!H16158,Programme!I16158,Programme!J16158)</f>
        <v>&lt;/ValeurCellule&gt;</v>
      </c>
    </row>
    <row r="16158" spans="1:1" x14ac:dyDescent="0.2">
      <c r="A16158" s="996" t="str">
        <f>CONCATENATE(Programme!D16159,Programme!E16159,Programme!F16159,Programme!G16159,Programme!H16159,Programme!I16159,Programme!J16159)</f>
        <v>&lt;ValeurCellule&gt;</v>
      </c>
    </row>
    <row r="16159" spans="1:1" x14ac:dyDescent="0.2">
      <c r="A16159" s="996" t="str">
        <f>CONCATENATE(Programme!D16160,Programme!E16160,Programme!F16160,Programme!G16160,Programme!H16160,Programme!I16160,Programme!J16160)</f>
        <v>&lt;cellule&gt;&lt;codeEdi&gt;1081&lt;/codeEdi&gt;&lt;/cellule&gt;</v>
      </c>
    </row>
    <row r="16160" spans="1:1" x14ac:dyDescent="0.2">
      <c r="A16160" s="996" t="str">
        <f>CONCATENATE(Programme!D16161,Programme!E16161,Programme!F16161,Programme!G16161,Programme!H16161,Programme!I16161,Programme!J16161)</f>
        <v>&lt;valeur&gt;&lt;/valeur&gt;</v>
      </c>
    </row>
    <row r="16161" spans="1:1" x14ac:dyDescent="0.2">
      <c r="A16161" s="996" t="str">
        <f>CONCATENATE(Programme!D16162,Programme!E16162,Programme!F16162,Programme!G16162,Programme!H16162,Programme!I16162,Programme!J16162)</f>
        <v>&lt;numeroLigne&gt;160&lt;/numeroLigne&gt;</v>
      </c>
    </row>
    <row r="16162" spans="1:1" x14ac:dyDescent="0.2">
      <c r="A16162" s="996" t="str">
        <f>CONCATENATE(Programme!D16163,Programme!E16163,Programme!F16163,Programme!G16163,Programme!H16163,Programme!I16163,Programme!J16163)</f>
        <v>&lt;/ValeurCellule&gt;</v>
      </c>
    </row>
    <row r="16163" spans="1:1" x14ac:dyDescent="0.2">
      <c r="A16163" s="996" t="str">
        <f>CONCATENATE(Programme!D16164,Programme!E16164,Programme!F16164,Programme!G16164,Programme!H16164,Programme!I16164,Programme!J16164)</f>
        <v>&lt;ValeurCellule&gt;</v>
      </c>
    </row>
    <row r="16164" spans="1:1" x14ac:dyDescent="0.2">
      <c r="A16164" s="996" t="str">
        <f>CONCATENATE(Programme!D16165,Programme!E16165,Programme!F16165,Programme!G16165,Programme!H16165,Programme!I16165,Programme!J16165)</f>
        <v>&lt;cellule&gt;&lt;codeEdi&gt;1082&lt;/codeEdi&gt;&lt;/cellule&gt;</v>
      </c>
    </row>
    <row r="16165" spans="1:1" x14ac:dyDescent="0.2">
      <c r="A16165" s="996" t="str">
        <f>CONCATENATE(Programme!D16166,Programme!E16166,Programme!F16166,Programme!G16166,Programme!H16166,Programme!I16166,Programme!J16166)</f>
        <v>&lt;valeur&gt;&lt;/valeur&gt;</v>
      </c>
    </row>
    <row r="16166" spans="1:1" x14ac:dyDescent="0.2">
      <c r="A16166" s="996" t="str">
        <f>CONCATENATE(Programme!D16167,Programme!E16167,Programme!F16167,Programme!G16167,Programme!H16167,Programme!I16167,Programme!J16167)</f>
        <v>&lt;numeroLigne&gt;160&lt;/numeroLigne&gt;</v>
      </c>
    </row>
    <row r="16167" spans="1:1" x14ac:dyDescent="0.2">
      <c r="A16167" s="996" t="str">
        <f>CONCATENATE(Programme!D16168,Programme!E16168,Programme!F16168,Programme!G16168,Programme!H16168,Programme!I16168,Programme!J16168)</f>
        <v>&lt;/ValeurCellule&gt;</v>
      </c>
    </row>
    <row r="16168" spans="1:1" x14ac:dyDescent="0.2">
      <c r="A16168" s="996" t="str">
        <f>CONCATENATE(Programme!D16169,Programme!E16169,Programme!F16169,Programme!G16169,Programme!H16169,Programme!I16169,Programme!J16169)</f>
        <v>&lt;ValeurCellule&gt;</v>
      </c>
    </row>
    <row r="16169" spans="1:1" x14ac:dyDescent="0.2">
      <c r="A16169" s="996" t="str">
        <f>CONCATENATE(Programme!D16170,Programme!E16170,Programme!F16170,Programme!G16170,Programme!H16170,Programme!I16170,Programme!J16170)</f>
        <v>&lt;cellule&gt;&lt;codeEdi&gt;1083&lt;/codeEdi&gt;&lt;/cellule&gt;</v>
      </c>
    </row>
    <row r="16170" spans="1:1" x14ac:dyDescent="0.2">
      <c r="A16170" s="996" t="str">
        <f>CONCATENATE(Programme!D16171,Programme!E16171,Programme!F16171,Programme!G16171,Programme!H16171,Programme!I16171,Programme!J16171)</f>
        <v>&lt;valeur&gt;&lt;/valeur&gt;</v>
      </c>
    </row>
    <row r="16171" spans="1:1" x14ac:dyDescent="0.2">
      <c r="A16171" s="996" t="str">
        <f>CONCATENATE(Programme!D16172,Programme!E16172,Programme!F16172,Programme!G16172,Programme!H16172,Programme!I16172,Programme!J16172)</f>
        <v>&lt;numeroLigne&gt;160&lt;/numeroLigne&gt;</v>
      </c>
    </row>
    <row r="16172" spans="1:1" x14ac:dyDescent="0.2">
      <c r="A16172" s="996" t="str">
        <f>CONCATENATE(Programme!D16173,Programme!E16173,Programme!F16173,Programme!G16173,Programme!H16173,Programme!I16173,Programme!J16173)</f>
        <v>&lt;/ValeurCellule&gt;</v>
      </c>
    </row>
    <row r="16173" spans="1:1" x14ac:dyDescent="0.2">
      <c r="A16173" s="996" t="str">
        <f>CONCATENATE(Programme!D16174,Programme!E16174,Programme!F16174,Programme!G16174,Programme!H16174,Programme!I16174,Programme!J16174)</f>
        <v>&lt;ValeurCellule&gt;</v>
      </c>
    </row>
    <row r="16174" spans="1:1" x14ac:dyDescent="0.2">
      <c r="A16174" s="996" t="str">
        <f>CONCATENATE(Programme!D16175,Programme!E16175,Programme!F16175,Programme!G16175,Programme!H16175,Programme!I16175,Programme!J16175)</f>
        <v>&lt;cellule&gt;&lt;codeEdi&gt;1084&lt;/codeEdi&gt;&lt;/cellule&gt;</v>
      </c>
    </row>
    <row r="16175" spans="1:1" x14ac:dyDescent="0.2">
      <c r="A16175" s="996" t="str">
        <f>CONCATENATE(Programme!D16176,Programme!E16176,Programme!F16176,Programme!G16176,Programme!H16176,Programme!I16176,Programme!J16176)</f>
        <v>&lt;valeur&gt;&lt;/valeur&gt;</v>
      </c>
    </row>
    <row r="16176" spans="1:1" x14ac:dyDescent="0.2">
      <c r="A16176" s="996" t="str">
        <f>CONCATENATE(Programme!D16177,Programme!E16177,Programme!F16177,Programme!G16177,Programme!H16177,Programme!I16177,Programme!J16177)</f>
        <v>&lt;numeroLigne&gt;160&lt;/numeroLigne&gt;</v>
      </c>
    </row>
    <row r="16177" spans="1:1" x14ac:dyDescent="0.2">
      <c r="A16177" s="996" t="str">
        <f>CONCATENATE(Programme!D16178,Programme!E16178,Programme!F16178,Programme!G16178,Programme!H16178,Programme!I16178,Programme!J16178)</f>
        <v>&lt;/ValeurCellule&gt;</v>
      </c>
    </row>
    <row r="16178" spans="1:1" x14ac:dyDescent="0.2">
      <c r="A16178" s="996" t="str">
        <f>CONCATENATE(Programme!D16179,Programme!E16179,Programme!F16179,Programme!G16179,Programme!H16179,Programme!I16179,Programme!J16179)</f>
        <v>&lt;ValeurCellule&gt;</v>
      </c>
    </row>
    <row r="16179" spans="1:1" x14ac:dyDescent="0.2">
      <c r="A16179" s="996" t="str">
        <f>CONCATENATE(Programme!D16180,Programme!E16180,Programme!F16180,Programme!G16180,Programme!H16180,Programme!I16180,Programme!J16180)</f>
        <v>&lt;cellule&gt;&lt;codeEdi&gt;1085&lt;/codeEdi&gt;&lt;/cellule&gt;</v>
      </c>
    </row>
    <row r="16180" spans="1:1" x14ac:dyDescent="0.2">
      <c r="A16180" s="996" t="str">
        <f>CONCATENATE(Programme!D16181,Programme!E16181,Programme!F16181,Programme!G16181,Programme!H16181,Programme!I16181,Programme!J16181)</f>
        <v>&lt;valeur&gt;&lt;/valeur&gt;</v>
      </c>
    </row>
    <row r="16181" spans="1:1" x14ac:dyDescent="0.2">
      <c r="A16181" s="996" t="str">
        <f>CONCATENATE(Programme!D16182,Programme!E16182,Programme!F16182,Programme!G16182,Programme!H16182,Programme!I16182,Programme!J16182)</f>
        <v>&lt;numeroLigne&gt;160&lt;/numeroLigne&gt;</v>
      </c>
    </row>
    <row r="16182" spans="1:1" x14ac:dyDescent="0.2">
      <c r="A16182" s="996" t="str">
        <f>CONCATENATE(Programme!D16183,Programme!E16183,Programme!F16183,Programme!G16183,Programme!H16183,Programme!I16183,Programme!J16183)</f>
        <v>&lt;/ValeurCellule&gt;</v>
      </c>
    </row>
    <row r="16183" spans="1:1" x14ac:dyDescent="0.2">
      <c r="A16183" s="996" t="str">
        <f>CONCATENATE(Programme!D16184,Programme!E16184,Programme!F16184,Programme!G16184,Programme!H16184,Programme!I16184,Programme!J16184)</f>
        <v>&lt;ValeurCellule&gt;</v>
      </c>
    </row>
    <row r="16184" spans="1:1" x14ac:dyDescent="0.2">
      <c r="A16184" s="996" t="str">
        <f>CONCATENATE(Programme!D16185,Programme!E16185,Programme!F16185,Programme!G16185,Programme!H16185,Programme!I16185,Programme!J16185)</f>
        <v>&lt;cellule&gt;&lt;codeEdi&gt;1086&lt;/codeEdi&gt;&lt;/cellule&gt;</v>
      </c>
    </row>
    <row r="16185" spans="1:1" x14ac:dyDescent="0.2">
      <c r="A16185" s="996" t="str">
        <f>CONCATENATE(Programme!D16186,Programme!E16186,Programme!F16186,Programme!G16186,Programme!H16186,Programme!I16186,Programme!J16186)</f>
        <v>&lt;valeur&gt;&lt;/valeur&gt;</v>
      </c>
    </row>
    <row r="16186" spans="1:1" x14ac:dyDescent="0.2">
      <c r="A16186" s="996" t="str">
        <f>CONCATENATE(Programme!D16187,Programme!E16187,Programme!F16187,Programme!G16187,Programme!H16187,Programme!I16187,Programme!J16187)</f>
        <v>&lt;numeroLigne&gt;160&lt;/numeroLigne&gt;</v>
      </c>
    </row>
    <row r="16187" spans="1:1" x14ac:dyDescent="0.2">
      <c r="A16187" s="996" t="str">
        <f>CONCATENATE(Programme!D16188,Programme!E16188,Programme!F16188,Programme!G16188,Programme!H16188,Programme!I16188,Programme!J16188)</f>
        <v>&lt;/ValeurCellule&gt;</v>
      </c>
    </row>
    <row r="16188" spans="1:1" x14ac:dyDescent="0.2">
      <c r="A16188" s="996" t="str">
        <f>CONCATENATE(Programme!D16189,Programme!E16189,Programme!F16189,Programme!G16189,Programme!H16189,Programme!I16189,Programme!J16189)</f>
        <v>&lt;ValeurCellule&gt;</v>
      </c>
    </row>
    <row r="16189" spans="1:1" x14ac:dyDescent="0.2">
      <c r="A16189" s="996" t="str">
        <f>CONCATENATE(Programme!D16190,Programme!E16190,Programme!F16190,Programme!G16190,Programme!H16190,Programme!I16190,Programme!J16190)</f>
        <v>&lt;cellule&gt;&lt;codeEdi&gt;10061&lt;/codeEdi&gt;&lt;/cellule&gt;</v>
      </c>
    </row>
    <row r="16190" spans="1:1" x14ac:dyDescent="0.2">
      <c r="A16190" s="996" t="str">
        <f>CONCATENATE(Programme!D16191,Programme!E16191,Programme!F16191,Programme!G16191,Programme!H16191,Programme!I16191,Programme!J16191)</f>
        <v>&lt;valeur&gt;&lt;/valeur&gt;</v>
      </c>
    </row>
    <row r="16191" spans="1:1" x14ac:dyDescent="0.2">
      <c r="A16191" s="996" t="str">
        <f>CONCATENATE(Programme!D16192,Programme!E16192,Programme!F16192,Programme!G16192,Programme!H16192,Programme!I16192,Programme!J16192)</f>
        <v>&lt;numeroLigne&gt;161&lt;/numeroLigne&gt;</v>
      </c>
    </row>
    <row r="16192" spans="1:1" x14ac:dyDescent="0.2">
      <c r="A16192" s="996" t="str">
        <f>CONCATENATE(Programme!D16193,Programme!E16193,Programme!F16193,Programme!G16193,Programme!H16193,Programme!I16193,Programme!J16193)</f>
        <v>&lt;/ValeurCellule&gt;</v>
      </c>
    </row>
    <row r="16193" spans="1:1" x14ac:dyDescent="0.2">
      <c r="A16193" s="996" t="str">
        <f>CONCATENATE(Programme!D16194,Programme!E16194,Programme!F16194,Programme!G16194,Programme!H16194,Programme!I16194,Programme!J16194)</f>
        <v>&lt;ValeurCellule&gt;</v>
      </c>
    </row>
    <row r="16194" spans="1:1" x14ac:dyDescent="0.2">
      <c r="A16194" s="996" t="str">
        <f>CONCATENATE(Programme!D16195,Programme!E16195,Programme!F16195,Programme!G16195,Programme!H16195,Programme!I16195,Programme!J16195)</f>
        <v>&lt;cellule&gt;&lt;codeEdi&gt;1078&lt;/codeEdi&gt;&lt;/cellule&gt;</v>
      </c>
    </row>
    <row r="16195" spans="1:1" x14ac:dyDescent="0.2">
      <c r="A16195" s="996" t="str">
        <f>CONCATENATE(Programme!D16196,Programme!E16196,Programme!F16196,Programme!G16196,Programme!H16196,Programme!I16196,Programme!J16196)</f>
        <v>&lt;valeur&gt;&lt;/valeur&gt;</v>
      </c>
    </row>
    <row r="16196" spans="1:1" x14ac:dyDescent="0.2">
      <c r="A16196" s="996" t="str">
        <f>CONCATENATE(Programme!D16197,Programme!E16197,Programme!F16197,Programme!G16197,Programme!H16197,Programme!I16197,Programme!J16197)</f>
        <v>&lt;numeroLigne&gt;161&lt;/numeroLigne&gt;</v>
      </c>
    </row>
    <row r="16197" spans="1:1" x14ac:dyDescent="0.2">
      <c r="A16197" s="996" t="str">
        <f>CONCATENATE(Programme!D16198,Programme!E16198,Programme!F16198,Programme!G16198,Programme!H16198,Programme!I16198,Programme!J16198)</f>
        <v>&lt;/ValeurCellule&gt;</v>
      </c>
    </row>
    <row r="16198" spans="1:1" x14ac:dyDescent="0.2">
      <c r="A16198" s="996" t="str">
        <f>CONCATENATE(Programme!D16199,Programme!E16199,Programme!F16199,Programme!G16199,Programme!H16199,Programme!I16199,Programme!J16199)</f>
        <v>&lt;ValeurCellule&gt;</v>
      </c>
    </row>
    <row r="16199" spans="1:1" x14ac:dyDescent="0.2">
      <c r="A16199" s="996" t="str">
        <f>CONCATENATE(Programme!D16200,Programme!E16200,Programme!F16200,Programme!G16200,Programme!H16200,Programme!I16200,Programme!J16200)</f>
        <v>&lt;cellule&gt;&lt;codeEdi&gt;1079&lt;/codeEdi&gt;&lt;/cellule&gt;</v>
      </c>
    </row>
    <row r="16200" spans="1:1" x14ac:dyDescent="0.2">
      <c r="A16200" s="996" t="str">
        <f>CONCATENATE(Programme!D16201,Programme!E16201,Programme!F16201,Programme!G16201,Programme!H16201,Programme!I16201,Programme!J16201)</f>
        <v>&lt;valeur&gt;&lt;/valeur&gt;</v>
      </c>
    </row>
    <row r="16201" spans="1:1" x14ac:dyDescent="0.2">
      <c r="A16201" s="996" t="str">
        <f>CONCATENATE(Programme!D16202,Programme!E16202,Programme!F16202,Programme!G16202,Programme!H16202,Programme!I16202,Programme!J16202)</f>
        <v>&lt;numeroLigne&gt;161&lt;/numeroLigne&gt;</v>
      </c>
    </row>
    <row r="16202" spans="1:1" x14ac:dyDescent="0.2">
      <c r="A16202" s="996" t="str">
        <f>CONCATENATE(Programme!D16203,Programme!E16203,Programme!F16203,Programme!G16203,Programme!H16203,Programme!I16203,Programme!J16203)</f>
        <v>&lt;/ValeurCellule&gt;</v>
      </c>
    </row>
    <row r="16203" spans="1:1" x14ac:dyDescent="0.2">
      <c r="A16203" s="996" t="str">
        <f>CONCATENATE(Programme!D16204,Programme!E16204,Programme!F16204,Programme!G16204,Programme!H16204,Programme!I16204,Programme!J16204)</f>
        <v>&lt;ValeurCellule&gt;</v>
      </c>
    </row>
    <row r="16204" spans="1:1" x14ac:dyDescent="0.2">
      <c r="A16204" s="996" t="str">
        <f>CONCATENATE(Programme!D16205,Programme!E16205,Programme!F16205,Programme!G16205,Programme!H16205,Programme!I16205,Programme!J16205)</f>
        <v>&lt;cellule&gt;&lt;codeEdi&gt;1080&lt;/codeEdi&gt;&lt;/cellule&gt;</v>
      </c>
    </row>
    <row r="16205" spans="1:1" x14ac:dyDescent="0.2">
      <c r="A16205" s="996" t="str">
        <f>CONCATENATE(Programme!D16206,Programme!E16206,Programme!F16206,Programme!G16206,Programme!H16206,Programme!I16206,Programme!J16206)</f>
        <v>&lt;valeur&gt;&lt;/valeur&gt;</v>
      </c>
    </row>
    <row r="16206" spans="1:1" x14ac:dyDescent="0.2">
      <c r="A16206" s="996" t="str">
        <f>CONCATENATE(Programme!D16207,Programme!E16207,Programme!F16207,Programme!G16207,Programme!H16207,Programme!I16207,Programme!J16207)</f>
        <v>&lt;numeroLigne&gt;161&lt;/numeroLigne&gt;</v>
      </c>
    </row>
    <row r="16207" spans="1:1" x14ac:dyDescent="0.2">
      <c r="A16207" s="996" t="str">
        <f>CONCATENATE(Programme!D16208,Programme!E16208,Programme!F16208,Programme!G16208,Programme!H16208,Programme!I16208,Programme!J16208)</f>
        <v>&lt;/ValeurCellule&gt;</v>
      </c>
    </row>
    <row r="16208" spans="1:1" x14ac:dyDescent="0.2">
      <c r="A16208" s="996" t="str">
        <f>CONCATENATE(Programme!D16209,Programme!E16209,Programme!F16209,Programme!G16209,Programme!H16209,Programme!I16209,Programme!J16209)</f>
        <v>&lt;ValeurCellule&gt;</v>
      </c>
    </row>
    <row r="16209" spans="1:1" x14ac:dyDescent="0.2">
      <c r="A16209" s="996" t="str">
        <f>CONCATENATE(Programme!D16210,Programme!E16210,Programme!F16210,Programme!G16210,Programme!H16210,Programme!I16210,Programme!J16210)</f>
        <v>&lt;cellule&gt;&lt;codeEdi&gt;1081&lt;/codeEdi&gt;&lt;/cellule&gt;</v>
      </c>
    </row>
    <row r="16210" spans="1:1" x14ac:dyDescent="0.2">
      <c r="A16210" s="996" t="str">
        <f>CONCATENATE(Programme!D16211,Programme!E16211,Programme!F16211,Programme!G16211,Programme!H16211,Programme!I16211,Programme!J16211)</f>
        <v>&lt;valeur&gt;&lt;/valeur&gt;</v>
      </c>
    </row>
    <row r="16211" spans="1:1" x14ac:dyDescent="0.2">
      <c r="A16211" s="996" t="str">
        <f>CONCATENATE(Programme!D16212,Programme!E16212,Programme!F16212,Programme!G16212,Programme!H16212,Programme!I16212,Programme!J16212)</f>
        <v>&lt;numeroLigne&gt;161&lt;/numeroLigne&gt;</v>
      </c>
    </row>
    <row r="16212" spans="1:1" x14ac:dyDescent="0.2">
      <c r="A16212" s="996" t="str">
        <f>CONCATENATE(Programme!D16213,Programme!E16213,Programme!F16213,Programme!G16213,Programme!H16213,Programme!I16213,Programme!J16213)</f>
        <v>&lt;/ValeurCellule&gt;</v>
      </c>
    </row>
    <row r="16213" spans="1:1" x14ac:dyDescent="0.2">
      <c r="A16213" s="996" t="str">
        <f>CONCATENATE(Programme!D16214,Programme!E16214,Programme!F16214,Programme!G16214,Programme!H16214,Programme!I16214,Programme!J16214)</f>
        <v>&lt;ValeurCellule&gt;</v>
      </c>
    </row>
    <row r="16214" spans="1:1" x14ac:dyDescent="0.2">
      <c r="A16214" s="996" t="str">
        <f>CONCATENATE(Programme!D16215,Programme!E16215,Programme!F16215,Programme!G16215,Programme!H16215,Programme!I16215,Programme!J16215)</f>
        <v>&lt;cellule&gt;&lt;codeEdi&gt;1082&lt;/codeEdi&gt;&lt;/cellule&gt;</v>
      </c>
    </row>
    <row r="16215" spans="1:1" x14ac:dyDescent="0.2">
      <c r="A16215" s="996" t="str">
        <f>CONCATENATE(Programme!D16216,Programme!E16216,Programme!F16216,Programme!G16216,Programme!H16216,Programme!I16216,Programme!J16216)</f>
        <v>&lt;valeur&gt;&lt;/valeur&gt;</v>
      </c>
    </row>
    <row r="16216" spans="1:1" x14ac:dyDescent="0.2">
      <c r="A16216" s="996" t="str">
        <f>CONCATENATE(Programme!D16217,Programme!E16217,Programme!F16217,Programme!G16217,Programme!H16217,Programme!I16217,Programme!J16217)</f>
        <v>&lt;numeroLigne&gt;161&lt;/numeroLigne&gt;</v>
      </c>
    </row>
    <row r="16217" spans="1:1" x14ac:dyDescent="0.2">
      <c r="A16217" s="996" t="str">
        <f>CONCATENATE(Programme!D16218,Programme!E16218,Programme!F16218,Programme!G16218,Programme!H16218,Programme!I16218,Programme!J16218)</f>
        <v>&lt;/ValeurCellule&gt;</v>
      </c>
    </row>
    <row r="16218" spans="1:1" x14ac:dyDescent="0.2">
      <c r="A16218" s="996" t="str">
        <f>CONCATENATE(Programme!D16219,Programme!E16219,Programme!F16219,Programme!G16219,Programme!H16219,Programme!I16219,Programme!J16219)</f>
        <v>&lt;ValeurCellule&gt;</v>
      </c>
    </row>
    <row r="16219" spans="1:1" x14ac:dyDescent="0.2">
      <c r="A16219" s="996" t="str">
        <f>CONCATENATE(Programme!D16220,Programme!E16220,Programme!F16220,Programme!G16220,Programme!H16220,Programme!I16220,Programme!J16220)</f>
        <v>&lt;cellule&gt;&lt;codeEdi&gt;1083&lt;/codeEdi&gt;&lt;/cellule&gt;</v>
      </c>
    </row>
    <row r="16220" spans="1:1" x14ac:dyDescent="0.2">
      <c r="A16220" s="996" t="str">
        <f>CONCATENATE(Programme!D16221,Programme!E16221,Programme!F16221,Programme!G16221,Programme!H16221,Programme!I16221,Programme!J16221)</f>
        <v>&lt;valeur&gt;&lt;/valeur&gt;</v>
      </c>
    </row>
    <row r="16221" spans="1:1" x14ac:dyDescent="0.2">
      <c r="A16221" s="996" t="str">
        <f>CONCATENATE(Programme!D16222,Programme!E16222,Programme!F16222,Programme!G16222,Programme!H16222,Programme!I16222,Programme!J16222)</f>
        <v>&lt;numeroLigne&gt;161&lt;/numeroLigne&gt;</v>
      </c>
    </row>
    <row r="16222" spans="1:1" x14ac:dyDescent="0.2">
      <c r="A16222" s="996" t="str">
        <f>CONCATENATE(Programme!D16223,Programme!E16223,Programme!F16223,Programme!G16223,Programme!H16223,Programme!I16223,Programme!J16223)</f>
        <v>&lt;/ValeurCellule&gt;</v>
      </c>
    </row>
    <row r="16223" spans="1:1" x14ac:dyDescent="0.2">
      <c r="A16223" s="996" t="str">
        <f>CONCATENATE(Programme!D16224,Programme!E16224,Programme!F16224,Programme!G16224,Programme!H16224,Programme!I16224,Programme!J16224)</f>
        <v>&lt;ValeurCellule&gt;</v>
      </c>
    </row>
    <row r="16224" spans="1:1" x14ac:dyDescent="0.2">
      <c r="A16224" s="996" t="str">
        <f>CONCATENATE(Programme!D16225,Programme!E16225,Programme!F16225,Programme!G16225,Programme!H16225,Programme!I16225,Programme!J16225)</f>
        <v>&lt;cellule&gt;&lt;codeEdi&gt;1084&lt;/codeEdi&gt;&lt;/cellule&gt;</v>
      </c>
    </row>
    <row r="16225" spans="1:1" x14ac:dyDescent="0.2">
      <c r="A16225" s="996" t="str">
        <f>CONCATENATE(Programme!D16226,Programme!E16226,Programme!F16226,Programme!G16226,Programme!H16226,Programme!I16226,Programme!J16226)</f>
        <v>&lt;valeur&gt;&lt;/valeur&gt;</v>
      </c>
    </row>
    <row r="16226" spans="1:1" x14ac:dyDescent="0.2">
      <c r="A16226" s="996" t="str">
        <f>CONCATENATE(Programme!D16227,Programme!E16227,Programme!F16227,Programme!G16227,Programme!H16227,Programme!I16227,Programme!J16227)</f>
        <v>&lt;numeroLigne&gt;161&lt;/numeroLigne&gt;</v>
      </c>
    </row>
    <row r="16227" spans="1:1" x14ac:dyDescent="0.2">
      <c r="A16227" s="996" t="str">
        <f>CONCATENATE(Programme!D16228,Programme!E16228,Programme!F16228,Programme!G16228,Programme!H16228,Programme!I16228,Programme!J16228)</f>
        <v>&lt;/ValeurCellule&gt;</v>
      </c>
    </row>
    <row r="16228" spans="1:1" x14ac:dyDescent="0.2">
      <c r="A16228" s="996" t="str">
        <f>CONCATENATE(Programme!D16229,Programme!E16229,Programme!F16229,Programme!G16229,Programme!H16229,Programme!I16229,Programme!J16229)</f>
        <v>&lt;ValeurCellule&gt;</v>
      </c>
    </row>
    <row r="16229" spans="1:1" x14ac:dyDescent="0.2">
      <c r="A16229" s="996" t="str">
        <f>CONCATENATE(Programme!D16230,Programme!E16230,Programme!F16230,Programme!G16230,Programme!H16230,Programme!I16230,Programme!J16230)</f>
        <v>&lt;cellule&gt;&lt;codeEdi&gt;1085&lt;/codeEdi&gt;&lt;/cellule&gt;</v>
      </c>
    </row>
    <row r="16230" spans="1:1" x14ac:dyDescent="0.2">
      <c r="A16230" s="996" t="str">
        <f>CONCATENATE(Programme!D16231,Programme!E16231,Programme!F16231,Programme!G16231,Programme!H16231,Programme!I16231,Programme!J16231)</f>
        <v>&lt;valeur&gt;&lt;/valeur&gt;</v>
      </c>
    </row>
    <row r="16231" spans="1:1" x14ac:dyDescent="0.2">
      <c r="A16231" s="996" t="str">
        <f>CONCATENATE(Programme!D16232,Programme!E16232,Programme!F16232,Programme!G16232,Programme!H16232,Programme!I16232,Programme!J16232)</f>
        <v>&lt;numeroLigne&gt;161&lt;/numeroLigne&gt;</v>
      </c>
    </row>
    <row r="16232" spans="1:1" x14ac:dyDescent="0.2">
      <c r="A16232" s="996" t="str">
        <f>CONCATENATE(Programme!D16233,Programme!E16233,Programme!F16233,Programme!G16233,Programme!H16233,Programme!I16233,Programme!J16233)</f>
        <v>&lt;/ValeurCellule&gt;</v>
      </c>
    </row>
    <row r="16233" spans="1:1" x14ac:dyDescent="0.2">
      <c r="A16233" s="996" t="str">
        <f>CONCATENATE(Programme!D16234,Programme!E16234,Programme!F16234,Programme!G16234,Programme!H16234,Programme!I16234,Programme!J16234)</f>
        <v>&lt;ValeurCellule&gt;</v>
      </c>
    </row>
    <row r="16234" spans="1:1" x14ac:dyDescent="0.2">
      <c r="A16234" s="996" t="str">
        <f>CONCATENATE(Programme!D16235,Programme!E16235,Programme!F16235,Programme!G16235,Programme!H16235,Programme!I16235,Programme!J16235)</f>
        <v>&lt;cellule&gt;&lt;codeEdi&gt;1086&lt;/codeEdi&gt;&lt;/cellule&gt;</v>
      </c>
    </row>
    <row r="16235" spans="1:1" x14ac:dyDescent="0.2">
      <c r="A16235" s="996" t="str">
        <f>CONCATENATE(Programme!D16236,Programme!E16236,Programme!F16236,Programme!G16236,Programme!H16236,Programme!I16236,Programme!J16236)</f>
        <v>&lt;valeur&gt;&lt;/valeur&gt;</v>
      </c>
    </row>
    <row r="16236" spans="1:1" x14ac:dyDescent="0.2">
      <c r="A16236" s="996" t="str">
        <f>CONCATENATE(Programme!D16237,Programme!E16237,Programme!F16237,Programme!G16237,Programme!H16237,Programme!I16237,Programme!J16237)</f>
        <v>&lt;numeroLigne&gt;161&lt;/numeroLigne&gt;</v>
      </c>
    </row>
    <row r="16237" spans="1:1" x14ac:dyDescent="0.2">
      <c r="A16237" s="996" t="str">
        <f>CONCATENATE(Programme!D16238,Programme!E16238,Programme!F16238,Programme!G16238,Programme!H16238,Programme!I16238,Programme!J16238)</f>
        <v>&lt;/ValeurCellule&gt;</v>
      </c>
    </row>
    <row r="16238" spans="1:1" x14ac:dyDescent="0.2">
      <c r="A16238" s="996" t="str">
        <f>CONCATENATE(Programme!D16239,Programme!E16239,Programme!F16239,Programme!G16239,Programme!H16239,Programme!I16239,Programme!J16239)</f>
        <v>&lt;ValeurCellule&gt;</v>
      </c>
    </row>
    <row r="16239" spans="1:1" x14ac:dyDescent="0.2">
      <c r="A16239" s="996" t="str">
        <f>CONCATENATE(Programme!D16240,Programme!E16240,Programme!F16240,Programme!G16240,Programme!H16240,Programme!I16240,Programme!J16240)</f>
        <v>&lt;cellule&gt;&lt;codeEdi&gt;10061&lt;/codeEdi&gt;&lt;/cellule&gt;</v>
      </c>
    </row>
    <row r="16240" spans="1:1" x14ac:dyDescent="0.2">
      <c r="A16240" s="996" t="str">
        <f>CONCATENATE(Programme!D16241,Programme!E16241,Programme!F16241,Programme!G16241,Programme!H16241,Programme!I16241,Programme!J16241)</f>
        <v>&lt;valeur&gt;&lt;/valeur&gt;</v>
      </c>
    </row>
    <row r="16241" spans="1:1" x14ac:dyDescent="0.2">
      <c r="A16241" s="996" t="str">
        <f>CONCATENATE(Programme!D16242,Programme!E16242,Programme!F16242,Programme!G16242,Programme!H16242,Programme!I16242,Programme!J16242)</f>
        <v>&lt;numeroLigne&gt;162&lt;/numeroLigne&gt;</v>
      </c>
    </row>
    <row r="16242" spans="1:1" x14ac:dyDescent="0.2">
      <c r="A16242" s="996" t="str">
        <f>CONCATENATE(Programme!D16243,Programme!E16243,Programme!F16243,Programme!G16243,Programme!H16243,Programme!I16243,Programme!J16243)</f>
        <v>&lt;/ValeurCellule&gt;</v>
      </c>
    </row>
    <row r="16243" spans="1:1" x14ac:dyDescent="0.2">
      <c r="A16243" s="996" t="str">
        <f>CONCATENATE(Programme!D16244,Programme!E16244,Programme!F16244,Programme!G16244,Programme!H16244,Programme!I16244,Programme!J16244)</f>
        <v>&lt;ValeurCellule&gt;</v>
      </c>
    </row>
    <row r="16244" spans="1:1" x14ac:dyDescent="0.2">
      <c r="A16244" s="996" t="str">
        <f>CONCATENATE(Programme!D16245,Programme!E16245,Programme!F16245,Programme!G16245,Programme!H16245,Programme!I16245,Programme!J16245)</f>
        <v>&lt;cellule&gt;&lt;codeEdi&gt;1078&lt;/codeEdi&gt;&lt;/cellule&gt;</v>
      </c>
    </row>
    <row r="16245" spans="1:1" x14ac:dyDescent="0.2">
      <c r="A16245" s="996" t="str">
        <f>CONCATENATE(Programme!D16246,Programme!E16246,Programme!F16246,Programme!G16246,Programme!H16246,Programme!I16246,Programme!J16246)</f>
        <v>&lt;valeur&gt;&lt;/valeur&gt;</v>
      </c>
    </row>
    <row r="16246" spans="1:1" x14ac:dyDescent="0.2">
      <c r="A16246" s="996" t="str">
        <f>CONCATENATE(Programme!D16247,Programme!E16247,Programme!F16247,Programme!G16247,Programme!H16247,Programme!I16247,Programme!J16247)</f>
        <v>&lt;numeroLigne&gt;162&lt;/numeroLigne&gt;</v>
      </c>
    </row>
    <row r="16247" spans="1:1" x14ac:dyDescent="0.2">
      <c r="A16247" s="996" t="str">
        <f>CONCATENATE(Programme!D16248,Programme!E16248,Programme!F16248,Programme!G16248,Programme!H16248,Programme!I16248,Programme!J16248)</f>
        <v>&lt;/ValeurCellule&gt;</v>
      </c>
    </row>
    <row r="16248" spans="1:1" x14ac:dyDescent="0.2">
      <c r="A16248" s="996" t="str">
        <f>CONCATENATE(Programme!D16249,Programme!E16249,Programme!F16249,Programme!G16249,Programme!H16249,Programme!I16249,Programme!J16249)</f>
        <v>&lt;ValeurCellule&gt;</v>
      </c>
    </row>
    <row r="16249" spans="1:1" x14ac:dyDescent="0.2">
      <c r="A16249" s="996" t="str">
        <f>CONCATENATE(Programme!D16250,Programme!E16250,Programme!F16250,Programme!G16250,Programme!H16250,Programme!I16250,Programme!J16250)</f>
        <v>&lt;cellule&gt;&lt;codeEdi&gt;1079&lt;/codeEdi&gt;&lt;/cellule&gt;</v>
      </c>
    </row>
    <row r="16250" spans="1:1" x14ac:dyDescent="0.2">
      <c r="A16250" s="996" t="str">
        <f>CONCATENATE(Programme!D16251,Programme!E16251,Programme!F16251,Programme!G16251,Programme!H16251,Programme!I16251,Programme!J16251)</f>
        <v>&lt;valeur&gt;&lt;/valeur&gt;</v>
      </c>
    </row>
    <row r="16251" spans="1:1" x14ac:dyDescent="0.2">
      <c r="A16251" s="996" t="str">
        <f>CONCATENATE(Programme!D16252,Programme!E16252,Programme!F16252,Programme!G16252,Programme!H16252,Programme!I16252,Programme!J16252)</f>
        <v>&lt;numeroLigne&gt;162&lt;/numeroLigne&gt;</v>
      </c>
    </row>
    <row r="16252" spans="1:1" x14ac:dyDescent="0.2">
      <c r="A16252" s="996" t="str">
        <f>CONCATENATE(Programme!D16253,Programme!E16253,Programme!F16253,Programme!G16253,Programme!H16253,Programme!I16253,Programme!J16253)</f>
        <v>&lt;/ValeurCellule&gt;</v>
      </c>
    </row>
    <row r="16253" spans="1:1" x14ac:dyDescent="0.2">
      <c r="A16253" s="996" t="str">
        <f>CONCATENATE(Programme!D16254,Programme!E16254,Programme!F16254,Programme!G16254,Programme!H16254,Programme!I16254,Programme!J16254)</f>
        <v>&lt;ValeurCellule&gt;</v>
      </c>
    </row>
    <row r="16254" spans="1:1" x14ac:dyDescent="0.2">
      <c r="A16254" s="996" t="str">
        <f>CONCATENATE(Programme!D16255,Programme!E16255,Programme!F16255,Programme!G16255,Programme!H16255,Programme!I16255,Programme!J16255)</f>
        <v>&lt;cellule&gt;&lt;codeEdi&gt;1080&lt;/codeEdi&gt;&lt;/cellule&gt;</v>
      </c>
    </row>
    <row r="16255" spans="1:1" x14ac:dyDescent="0.2">
      <c r="A16255" s="996" t="str">
        <f>CONCATENATE(Programme!D16256,Programme!E16256,Programme!F16256,Programme!G16256,Programme!H16256,Programme!I16256,Programme!J16256)</f>
        <v>&lt;valeur&gt;&lt;/valeur&gt;</v>
      </c>
    </row>
    <row r="16256" spans="1:1" x14ac:dyDescent="0.2">
      <c r="A16256" s="996" t="str">
        <f>CONCATENATE(Programme!D16257,Programme!E16257,Programme!F16257,Programme!G16257,Programme!H16257,Programme!I16257,Programme!J16257)</f>
        <v>&lt;numeroLigne&gt;162&lt;/numeroLigne&gt;</v>
      </c>
    </row>
    <row r="16257" spans="1:1" x14ac:dyDescent="0.2">
      <c r="A16257" s="996" t="str">
        <f>CONCATENATE(Programme!D16258,Programme!E16258,Programme!F16258,Programme!G16258,Programme!H16258,Programme!I16258,Programme!J16258)</f>
        <v>&lt;/ValeurCellule&gt;</v>
      </c>
    </row>
    <row r="16258" spans="1:1" x14ac:dyDescent="0.2">
      <c r="A16258" s="996" t="str">
        <f>CONCATENATE(Programme!D16259,Programme!E16259,Programme!F16259,Programme!G16259,Programme!H16259,Programme!I16259,Programme!J16259)</f>
        <v>&lt;ValeurCellule&gt;</v>
      </c>
    </row>
    <row r="16259" spans="1:1" x14ac:dyDescent="0.2">
      <c r="A16259" s="996" t="str">
        <f>CONCATENATE(Programme!D16260,Programme!E16260,Programme!F16260,Programme!G16260,Programme!H16260,Programme!I16260,Programme!J16260)</f>
        <v>&lt;cellule&gt;&lt;codeEdi&gt;1081&lt;/codeEdi&gt;&lt;/cellule&gt;</v>
      </c>
    </row>
    <row r="16260" spans="1:1" x14ac:dyDescent="0.2">
      <c r="A16260" s="996" t="str">
        <f>CONCATENATE(Programme!D16261,Programme!E16261,Programme!F16261,Programme!G16261,Programme!H16261,Programme!I16261,Programme!J16261)</f>
        <v>&lt;valeur&gt;&lt;/valeur&gt;</v>
      </c>
    </row>
    <row r="16261" spans="1:1" x14ac:dyDescent="0.2">
      <c r="A16261" s="996" t="str">
        <f>CONCATENATE(Programme!D16262,Programme!E16262,Programme!F16262,Programme!G16262,Programme!H16262,Programme!I16262,Programme!J16262)</f>
        <v>&lt;numeroLigne&gt;162&lt;/numeroLigne&gt;</v>
      </c>
    </row>
    <row r="16262" spans="1:1" x14ac:dyDescent="0.2">
      <c r="A16262" s="996" t="str">
        <f>CONCATENATE(Programme!D16263,Programme!E16263,Programme!F16263,Programme!G16263,Programme!H16263,Programme!I16263,Programme!J16263)</f>
        <v>&lt;/ValeurCellule&gt;</v>
      </c>
    </row>
    <row r="16263" spans="1:1" x14ac:dyDescent="0.2">
      <c r="A16263" s="996" t="str">
        <f>CONCATENATE(Programme!D16264,Programme!E16264,Programme!F16264,Programme!G16264,Programme!H16264,Programme!I16264,Programme!J16264)</f>
        <v>&lt;ValeurCellule&gt;</v>
      </c>
    </row>
    <row r="16264" spans="1:1" x14ac:dyDescent="0.2">
      <c r="A16264" s="996" t="str">
        <f>CONCATENATE(Programme!D16265,Programme!E16265,Programme!F16265,Programme!G16265,Programme!H16265,Programme!I16265,Programme!J16265)</f>
        <v>&lt;cellule&gt;&lt;codeEdi&gt;1082&lt;/codeEdi&gt;&lt;/cellule&gt;</v>
      </c>
    </row>
    <row r="16265" spans="1:1" x14ac:dyDescent="0.2">
      <c r="A16265" s="996" t="str">
        <f>CONCATENATE(Programme!D16266,Programme!E16266,Programme!F16266,Programme!G16266,Programme!H16266,Programme!I16266,Programme!J16266)</f>
        <v>&lt;valeur&gt;&lt;/valeur&gt;</v>
      </c>
    </row>
    <row r="16266" spans="1:1" x14ac:dyDescent="0.2">
      <c r="A16266" s="996" t="str">
        <f>CONCATENATE(Programme!D16267,Programme!E16267,Programme!F16267,Programme!G16267,Programme!H16267,Programme!I16267,Programme!J16267)</f>
        <v>&lt;numeroLigne&gt;162&lt;/numeroLigne&gt;</v>
      </c>
    </row>
    <row r="16267" spans="1:1" x14ac:dyDescent="0.2">
      <c r="A16267" s="996" t="str">
        <f>CONCATENATE(Programme!D16268,Programme!E16268,Programme!F16268,Programme!G16268,Programme!H16268,Programme!I16268,Programme!J16268)</f>
        <v>&lt;/ValeurCellule&gt;</v>
      </c>
    </row>
    <row r="16268" spans="1:1" x14ac:dyDescent="0.2">
      <c r="A16268" s="996" t="str">
        <f>CONCATENATE(Programme!D16269,Programme!E16269,Programme!F16269,Programme!G16269,Programme!H16269,Programme!I16269,Programme!J16269)</f>
        <v>&lt;ValeurCellule&gt;</v>
      </c>
    </row>
    <row r="16269" spans="1:1" x14ac:dyDescent="0.2">
      <c r="A16269" s="996" t="str">
        <f>CONCATENATE(Programme!D16270,Programme!E16270,Programme!F16270,Programme!G16270,Programme!H16270,Programme!I16270,Programme!J16270)</f>
        <v>&lt;cellule&gt;&lt;codeEdi&gt;1083&lt;/codeEdi&gt;&lt;/cellule&gt;</v>
      </c>
    </row>
    <row r="16270" spans="1:1" x14ac:dyDescent="0.2">
      <c r="A16270" s="996" t="str">
        <f>CONCATENATE(Programme!D16271,Programme!E16271,Programme!F16271,Programme!G16271,Programme!H16271,Programme!I16271,Programme!J16271)</f>
        <v>&lt;valeur&gt;&lt;/valeur&gt;</v>
      </c>
    </row>
    <row r="16271" spans="1:1" x14ac:dyDescent="0.2">
      <c r="A16271" s="996" t="str">
        <f>CONCATENATE(Programme!D16272,Programme!E16272,Programme!F16272,Programme!G16272,Programme!H16272,Programme!I16272,Programme!J16272)</f>
        <v>&lt;numeroLigne&gt;162&lt;/numeroLigne&gt;</v>
      </c>
    </row>
    <row r="16272" spans="1:1" x14ac:dyDescent="0.2">
      <c r="A16272" s="996" t="str">
        <f>CONCATENATE(Programme!D16273,Programme!E16273,Programme!F16273,Programme!G16273,Programme!H16273,Programme!I16273,Programme!J16273)</f>
        <v>&lt;/ValeurCellule&gt;</v>
      </c>
    </row>
    <row r="16273" spans="1:1" x14ac:dyDescent="0.2">
      <c r="A16273" s="996" t="str">
        <f>CONCATENATE(Programme!D16274,Programme!E16274,Programme!F16274,Programme!G16274,Programme!H16274,Programme!I16274,Programme!J16274)</f>
        <v>&lt;ValeurCellule&gt;</v>
      </c>
    </row>
    <row r="16274" spans="1:1" x14ac:dyDescent="0.2">
      <c r="A16274" s="996" t="str">
        <f>CONCATENATE(Programme!D16275,Programme!E16275,Programme!F16275,Programme!G16275,Programme!H16275,Programme!I16275,Programme!J16275)</f>
        <v>&lt;cellule&gt;&lt;codeEdi&gt;1084&lt;/codeEdi&gt;&lt;/cellule&gt;</v>
      </c>
    </row>
    <row r="16275" spans="1:1" x14ac:dyDescent="0.2">
      <c r="A16275" s="996" t="str">
        <f>CONCATENATE(Programme!D16276,Programme!E16276,Programme!F16276,Programme!G16276,Programme!H16276,Programme!I16276,Programme!J16276)</f>
        <v>&lt;valeur&gt;&lt;/valeur&gt;</v>
      </c>
    </row>
    <row r="16276" spans="1:1" x14ac:dyDescent="0.2">
      <c r="A16276" s="996" t="str">
        <f>CONCATENATE(Programme!D16277,Programme!E16277,Programme!F16277,Programme!G16277,Programme!H16277,Programme!I16277,Programme!J16277)</f>
        <v>&lt;numeroLigne&gt;162&lt;/numeroLigne&gt;</v>
      </c>
    </row>
    <row r="16277" spans="1:1" x14ac:dyDescent="0.2">
      <c r="A16277" s="996" t="str">
        <f>CONCATENATE(Programme!D16278,Programme!E16278,Programme!F16278,Programme!G16278,Programme!H16278,Programme!I16278,Programme!J16278)</f>
        <v>&lt;/ValeurCellule&gt;</v>
      </c>
    </row>
    <row r="16278" spans="1:1" x14ac:dyDescent="0.2">
      <c r="A16278" s="996" t="str">
        <f>CONCATENATE(Programme!D16279,Programme!E16279,Programme!F16279,Programme!G16279,Programme!H16279,Programme!I16279,Programme!J16279)</f>
        <v>&lt;ValeurCellule&gt;</v>
      </c>
    </row>
    <row r="16279" spans="1:1" x14ac:dyDescent="0.2">
      <c r="A16279" s="996" t="str">
        <f>CONCATENATE(Programme!D16280,Programme!E16280,Programme!F16280,Programme!G16280,Programme!H16280,Programme!I16280,Programme!J16280)</f>
        <v>&lt;cellule&gt;&lt;codeEdi&gt;1085&lt;/codeEdi&gt;&lt;/cellule&gt;</v>
      </c>
    </row>
    <row r="16280" spans="1:1" x14ac:dyDescent="0.2">
      <c r="A16280" s="996" t="str">
        <f>CONCATENATE(Programme!D16281,Programme!E16281,Programme!F16281,Programme!G16281,Programme!H16281,Programme!I16281,Programme!J16281)</f>
        <v>&lt;valeur&gt;&lt;/valeur&gt;</v>
      </c>
    </row>
    <row r="16281" spans="1:1" x14ac:dyDescent="0.2">
      <c r="A16281" s="996" t="str">
        <f>CONCATENATE(Programme!D16282,Programme!E16282,Programme!F16282,Programme!G16282,Programme!H16282,Programme!I16282,Programme!J16282)</f>
        <v>&lt;numeroLigne&gt;162&lt;/numeroLigne&gt;</v>
      </c>
    </row>
    <row r="16282" spans="1:1" x14ac:dyDescent="0.2">
      <c r="A16282" s="996" t="str">
        <f>CONCATENATE(Programme!D16283,Programme!E16283,Programme!F16283,Programme!G16283,Programme!H16283,Programme!I16283,Programme!J16283)</f>
        <v>&lt;/ValeurCellule&gt;</v>
      </c>
    </row>
    <row r="16283" spans="1:1" x14ac:dyDescent="0.2">
      <c r="A16283" s="996" t="str">
        <f>CONCATENATE(Programme!D16284,Programme!E16284,Programme!F16284,Programme!G16284,Programme!H16284,Programme!I16284,Programme!J16284)</f>
        <v>&lt;ValeurCellule&gt;</v>
      </c>
    </row>
    <row r="16284" spans="1:1" x14ac:dyDescent="0.2">
      <c r="A16284" s="996" t="str">
        <f>CONCATENATE(Programme!D16285,Programme!E16285,Programme!F16285,Programme!G16285,Programme!H16285,Programme!I16285,Programme!J16285)</f>
        <v>&lt;cellule&gt;&lt;codeEdi&gt;1086&lt;/codeEdi&gt;&lt;/cellule&gt;</v>
      </c>
    </row>
    <row r="16285" spans="1:1" x14ac:dyDescent="0.2">
      <c r="A16285" s="996" t="str">
        <f>CONCATENATE(Programme!D16286,Programme!E16286,Programme!F16286,Programme!G16286,Programme!H16286,Programme!I16286,Programme!J16286)</f>
        <v>&lt;valeur&gt;&lt;/valeur&gt;</v>
      </c>
    </row>
    <row r="16286" spans="1:1" x14ac:dyDescent="0.2">
      <c r="A16286" s="996" t="str">
        <f>CONCATENATE(Programme!D16287,Programme!E16287,Programme!F16287,Programme!G16287,Programme!H16287,Programme!I16287,Programme!J16287)</f>
        <v>&lt;numeroLigne&gt;162&lt;/numeroLigne&gt;</v>
      </c>
    </row>
    <row r="16287" spans="1:1" x14ac:dyDescent="0.2">
      <c r="A16287" s="996" t="str">
        <f>CONCATENATE(Programme!D16288,Programme!E16288,Programme!F16288,Programme!G16288,Programme!H16288,Programme!I16288,Programme!J16288)</f>
        <v>&lt;/ValeurCellule&gt;</v>
      </c>
    </row>
    <row r="16288" spans="1:1" x14ac:dyDescent="0.2">
      <c r="A16288" s="996" t="str">
        <f>CONCATENATE(Programme!D16289,Programme!E16289,Programme!F16289,Programme!G16289,Programme!H16289,Programme!I16289,Programme!J16289)</f>
        <v>&lt;ValeurCellule&gt;</v>
      </c>
    </row>
    <row r="16289" spans="1:1" x14ac:dyDescent="0.2">
      <c r="A16289" s="996" t="str">
        <f>CONCATENATE(Programme!D16290,Programme!E16290,Programme!F16290,Programme!G16290,Programme!H16290,Programme!I16290,Programme!J16290)</f>
        <v>&lt;cellule&gt;&lt;codeEdi&gt;10061&lt;/codeEdi&gt;&lt;/cellule&gt;</v>
      </c>
    </row>
    <row r="16290" spans="1:1" x14ac:dyDescent="0.2">
      <c r="A16290" s="996" t="str">
        <f>CONCATENATE(Programme!D16291,Programme!E16291,Programme!F16291,Programme!G16291,Programme!H16291,Programme!I16291,Programme!J16291)</f>
        <v>&lt;valeur&gt;&lt;/valeur&gt;</v>
      </c>
    </row>
    <row r="16291" spans="1:1" x14ac:dyDescent="0.2">
      <c r="A16291" s="996" t="str">
        <f>CONCATENATE(Programme!D16292,Programme!E16292,Programme!F16292,Programme!G16292,Programme!H16292,Programme!I16292,Programme!J16292)</f>
        <v>&lt;numeroLigne&gt;163&lt;/numeroLigne&gt;</v>
      </c>
    </row>
    <row r="16292" spans="1:1" x14ac:dyDescent="0.2">
      <c r="A16292" s="996" t="str">
        <f>CONCATENATE(Programme!D16293,Programme!E16293,Programme!F16293,Programme!G16293,Programme!H16293,Programme!I16293,Programme!J16293)</f>
        <v>&lt;/ValeurCellule&gt;</v>
      </c>
    </row>
    <row r="16293" spans="1:1" x14ac:dyDescent="0.2">
      <c r="A16293" s="996" t="str">
        <f>CONCATENATE(Programme!D16294,Programme!E16294,Programme!F16294,Programme!G16294,Programme!H16294,Programme!I16294,Programme!J16294)</f>
        <v>&lt;ValeurCellule&gt;</v>
      </c>
    </row>
    <row r="16294" spans="1:1" x14ac:dyDescent="0.2">
      <c r="A16294" s="996" t="str">
        <f>CONCATENATE(Programme!D16295,Programme!E16295,Programme!F16295,Programme!G16295,Programme!H16295,Programme!I16295,Programme!J16295)</f>
        <v>&lt;cellule&gt;&lt;codeEdi&gt;1078&lt;/codeEdi&gt;&lt;/cellule&gt;</v>
      </c>
    </row>
    <row r="16295" spans="1:1" x14ac:dyDescent="0.2">
      <c r="A16295" s="996" t="str">
        <f>CONCATENATE(Programme!D16296,Programme!E16296,Programme!F16296,Programme!G16296,Programme!H16296,Programme!I16296,Programme!J16296)</f>
        <v>&lt;valeur&gt;&lt;/valeur&gt;</v>
      </c>
    </row>
    <row r="16296" spans="1:1" x14ac:dyDescent="0.2">
      <c r="A16296" s="996" t="str">
        <f>CONCATENATE(Programme!D16297,Programme!E16297,Programme!F16297,Programme!G16297,Programme!H16297,Programme!I16297,Programme!J16297)</f>
        <v>&lt;numeroLigne&gt;163&lt;/numeroLigne&gt;</v>
      </c>
    </row>
    <row r="16297" spans="1:1" x14ac:dyDescent="0.2">
      <c r="A16297" s="996" t="str">
        <f>CONCATENATE(Programme!D16298,Programme!E16298,Programme!F16298,Programme!G16298,Programme!H16298,Programme!I16298,Programme!J16298)</f>
        <v>&lt;/ValeurCellule&gt;</v>
      </c>
    </row>
    <row r="16298" spans="1:1" x14ac:dyDescent="0.2">
      <c r="A16298" s="996" t="str">
        <f>CONCATENATE(Programme!D16299,Programme!E16299,Programme!F16299,Programme!G16299,Programme!H16299,Programme!I16299,Programme!J16299)</f>
        <v>&lt;ValeurCellule&gt;</v>
      </c>
    </row>
    <row r="16299" spans="1:1" x14ac:dyDescent="0.2">
      <c r="A16299" s="996" t="str">
        <f>CONCATENATE(Programme!D16300,Programme!E16300,Programme!F16300,Programme!G16300,Programme!H16300,Programme!I16300,Programme!J16300)</f>
        <v>&lt;cellule&gt;&lt;codeEdi&gt;1079&lt;/codeEdi&gt;&lt;/cellule&gt;</v>
      </c>
    </row>
    <row r="16300" spans="1:1" x14ac:dyDescent="0.2">
      <c r="A16300" s="996" t="str">
        <f>CONCATENATE(Programme!D16301,Programme!E16301,Programme!F16301,Programme!G16301,Programme!H16301,Programme!I16301,Programme!J16301)</f>
        <v>&lt;valeur&gt;&lt;/valeur&gt;</v>
      </c>
    </row>
    <row r="16301" spans="1:1" x14ac:dyDescent="0.2">
      <c r="A16301" s="996" t="str">
        <f>CONCATENATE(Programme!D16302,Programme!E16302,Programme!F16302,Programme!G16302,Programme!H16302,Programme!I16302,Programme!J16302)</f>
        <v>&lt;numeroLigne&gt;163&lt;/numeroLigne&gt;</v>
      </c>
    </row>
    <row r="16302" spans="1:1" x14ac:dyDescent="0.2">
      <c r="A16302" s="996" t="str">
        <f>CONCATENATE(Programme!D16303,Programme!E16303,Programme!F16303,Programme!G16303,Programme!H16303,Programme!I16303,Programme!J16303)</f>
        <v>&lt;/ValeurCellule&gt;</v>
      </c>
    </row>
    <row r="16303" spans="1:1" x14ac:dyDescent="0.2">
      <c r="A16303" s="996" t="str">
        <f>CONCATENATE(Programme!D16304,Programme!E16304,Programme!F16304,Programme!G16304,Programme!H16304,Programme!I16304,Programme!J16304)</f>
        <v>&lt;ValeurCellule&gt;</v>
      </c>
    </row>
    <row r="16304" spans="1:1" x14ac:dyDescent="0.2">
      <c r="A16304" s="996" t="str">
        <f>CONCATENATE(Programme!D16305,Programme!E16305,Programme!F16305,Programme!G16305,Programme!H16305,Programme!I16305,Programme!J16305)</f>
        <v>&lt;cellule&gt;&lt;codeEdi&gt;1080&lt;/codeEdi&gt;&lt;/cellule&gt;</v>
      </c>
    </row>
    <row r="16305" spans="1:1" x14ac:dyDescent="0.2">
      <c r="A16305" s="996" t="str">
        <f>CONCATENATE(Programme!D16306,Programme!E16306,Programme!F16306,Programme!G16306,Programme!H16306,Programme!I16306,Programme!J16306)</f>
        <v>&lt;valeur&gt;&lt;/valeur&gt;</v>
      </c>
    </row>
    <row r="16306" spans="1:1" x14ac:dyDescent="0.2">
      <c r="A16306" s="996" t="str">
        <f>CONCATENATE(Programme!D16307,Programme!E16307,Programme!F16307,Programme!G16307,Programme!H16307,Programme!I16307,Programme!J16307)</f>
        <v>&lt;numeroLigne&gt;163&lt;/numeroLigne&gt;</v>
      </c>
    </row>
    <row r="16307" spans="1:1" x14ac:dyDescent="0.2">
      <c r="A16307" s="996" t="str">
        <f>CONCATENATE(Programme!D16308,Programme!E16308,Programme!F16308,Programme!G16308,Programme!H16308,Programme!I16308,Programme!J16308)</f>
        <v>&lt;/ValeurCellule&gt;</v>
      </c>
    </row>
    <row r="16308" spans="1:1" x14ac:dyDescent="0.2">
      <c r="A16308" s="996" t="str">
        <f>CONCATENATE(Programme!D16309,Programme!E16309,Programme!F16309,Programme!G16309,Programme!H16309,Programme!I16309,Programme!J16309)</f>
        <v>&lt;ValeurCellule&gt;</v>
      </c>
    </row>
    <row r="16309" spans="1:1" x14ac:dyDescent="0.2">
      <c r="A16309" s="996" t="str">
        <f>CONCATENATE(Programme!D16310,Programme!E16310,Programme!F16310,Programme!G16310,Programme!H16310,Programme!I16310,Programme!J16310)</f>
        <v>&lt;cellule&gt;&lt;codeEdi&gt;1081&lt;/codeEdi&gt;&lt;/cellule&gt;</v>
      </c>
    </row>
    <row r="16310" spans="1:1" x14ac:dyDescent="0.2">
      <c r="A16310" s="996" t="str">
        <f>CONCATENATE(Programme!D16311,Programme!E16311,Programme!F16311,Programme!G16311,Programme!H16311,Programme!I16311,Programme!J16311)</f>
        <v>&lt;valeur&gt;&lt;/valeur&gt;</v>
      </c>
    </row>
    <row r="16311" spans="1:1" x14ac:dyDescent="0.2">
      <c r="A16311" s="996" t="str">
        <f>CONCATENATE(Programme!D16312,Programme!E16312,Programme!F16312,Programme!G16312,Programme!H16312,Programme!I16312,Programme!J16312)</f>
        <v>&lt;numeroLigne&gt;163&lt;/numeroLigne&gt;</v>
      </c>
    </row>
    <row r="16312" spans="1:1" x14ac:dyDescent="0.2">
      <c r="A16312" s="996" t="str">
        <f>CONCATENATE(Programme!D16313,Programme!E16313,Programme!F16313,Programme!G16313,Programme!H16313,Programme!I16313,Programme!J16313)</f>
        <v>&lt;/ValeurCellule&gt;</v>
      </c>
    </row>
    <row r="16313" spans="1:1" x14ac:dyDescent="0.2">
      <c r="A16313" s="996" t="str">
        <f>CONCATENATE(Programme!D16314,Programme!E16314,Programme!F16314,Programme!G16314,Programme!H16314,Programme!I16314,Programme!J16314)</f>
        <v>&lt;ValeurCellule&gt;</v>
      </c>
    </row>
    <row r="16314" spans="1:1" x14ac:dyDescent="0.2">
      <c r="A16314" s="996" t="str">
        <f>CONCATENATE(Programme!D16315,Programme!E16315,Programme!F16315,Programme!G16315,Programme!H16315,Programme!I16315,Programme!J16315)</f>
        <v>&lt;cellule&gt;&lt;codeEdi&gt;1082&lt;/codeEdi&gt;&lt;/cellule&gt;</v>
      </c>
    </row>
    <row r="16315" spans="1:1" x14ac:dyDescent="0.2">
      <c r="A16315" s="996" t="str">
        <f>CONCATENATE(Programme!D16316,Programme!E16316,Programme!F16316,Programme!G16316,Programme!H16316,Programme!I16316,Programme!J16316)</f>
        <v>&lt;valeur&gt;&lt;/valeur&gt;</v>
      </c>
    </row>
    <row r="16316" spans="1:1" x14ac:dyDescent="0.2">
      <c r="A16316" s="996" t="str">
        <f>CONCATENATE(Programme!D16317,Programme!E16317,Programme!F16317,Programme!G16317,Programme!H16317,Programme!I16317,Programme!J16317)</f>
        <v>&lt;numeroLigne&gt;163&lt;/numeroLigne&gt;</v>
      </c>
    </row>
    <row r="16317" spans="1:1" x14ac:dyDescent="0.2">
      <c r="A16317" s="996" t="str">
        <f>CONCATENATE(Programme!D16318,Programme!E16318,Programme!F16318,Programme!G16318,Programme!H16318,Programme!I16318,Programme!J16318)</f>
        <v>&lt;/ValeurCellule&gt;</v>
      </c>
    </row>
    <row r="16318" spans="1:1" x14ac:dyDescent="0.2">
      <c r="A16318" s="996" t="str">
        <f>CONCATENATE(Programme!D16319,Programme!E16319,Programme!F16319,Programme!G16319,Programme!H16319,Programme!I16319,Programme!J16319)</f>
        <v>&lt;ValeurCellule&gt;</v>
      </c>
    </row>
    <row r="16319" spans="1:1" x14ac:dyDescent="0.2">
      <c r="A16319" s="996" t="str">
        <f>CONCATENATE(Programme!D16320,Programme!E16320,Programme!F16320,Programme!G16320,Programme!H16320,Programme!I16320,Programme!J16320)</f>
        <v>&lt;cellule&gt;&lt;codeEdi&gt;1083&lt;/codeEdi&gt;&lt;/cellule&gt;</v>
      </c>
    </row>
    <row r="16320" spans="1:1" x14ac:dyDescent="0.2">
      <c r="A16320" s="996" t="str">
        <f>CONCATENATE(Programme!D16321,Programme!E16321,Programme!F16321,Programme!G16321,Programme!H16321,Programme!I16321,Programme!J16321)</f>
        <v>&lt;valeur&gt;&lt;/valeur&gt;</v>
      </c>
    </row>
    <row r="16321" spans="1:1" x14ac:dyDescent="0.2">
      <c r="A16321" s="996" t="str">
        <f>CONCATENATE(Programme!D16322,Programme!E16322,Programme!F16322,Programme!G16322,Programme!H16322,Programme!I16322,Programme!J16322)</f>
        <v>&lt;numeroLigne&gt;163&lt;/numeroLigne&gt;</v>
      </c>
    </row>
    <row r="16322" spans="1:1" x14ac:dyDescent="0.2">
      <c r="A16322" s="996" t="str">
        <f>CONCATENATE(Programme!D16323,Programme!E16323,Programme!F16323,Programme!G16323,Programme!H16323,Programme!I16323,Programme!J16323)</f>
        <v>&lt;/ValeurCellule&gt;</v>
      </c>
    </row>
    <row r="16323" spans="1:1" x14ac:dyDescent="0.2">
      <c r="A16323" s="996" t="str">
        <f>CONCATENATE(Programme!D16324,Programme!E16324,Programme!F16324,Programme!G16324,Programme!H16324,Programme!I16324,Programme!J16324)</f>
        <v>&lt;ValeurCellule&gt;</v>
      </c>
    </row>
    <row r="16324" spans="1:1" x14ac:dyDescent="0.2">
      <c r="A16324" s="996" t="str">
        <f>CONCATENATE(Programme!D16325,Programme!E16325,Programme!F16325,Programme!G16325,Programme!H16325,Programme!I16325,Programme!J16325)</f>
        <v>&lt;cellule&gt;&lt;codeEdi&gt;1084&lt;/codeEdi&gt;&lt;/cellule&gt;</v>
      </c>
    </row>
    <row r="16325" spans="1:1" x14ac:dyDescent="0.2">
      <c r="A16325" s="996" t="str">
        <f>CONCATENATE(Programme!D16326,Programme!E16326,Programme!F16326,Programme!G16326,Programme!H16326,Programme!I16326,Programme!J16326)</f>
        <v>&lt;valeur&gt;&lt;/valeur&gt;</v>
      </c>
    </row>
    <row r="16326" spans="1:1" x14ac:dyDescent="0.2">
      <c r="A16326" s="996" t="str">
        <f>CONCATENATE(Programme!D16327,Programme!E16327,Programme!F16327,Programme!G16327,Programme!H16327,Programme!I16327,Programme!J16327)</f>
        <v>&lt;numeroLigne&gt;163&lt;/numeroLigne&gt;</v>
      </c>
    </row>
    <row r="16327" spans="1:1" x14ac:dyDescent="0.2">
      <c r="A16327" s="996" t="str">
        <f>CONCATENATE(Programme!D16328,Programme!E16328,Programme!F16328,Programme!G16328,Programme!H16328,Programme!I16328,Programme!J16328)</f>
        <v>&lt;/ValeurCellule&gt;</v>
      </c>
    </row>
    <row r="16328" spans="1:1" x14ac:dyDescent="0.2">
      <c r="A16328" s="996" t="str">
        <f>CONCATENATE(Programme!D16329,Programme!E16329,Programme!F16329,Programme!G16329,Programme!H16329,Programme!I16329,Programme!J16329)</f>
        <v>&lt;ValeurCellule&gt;</v>
      </c>
    </row>
    <row r="16329" spans="1:1" x14ac:dyDescent="0.2">
      <c r="A16329" s="996" t="str">
        <f>CONCATENATE(Programme!D16330,Programme!E16330,Programme!F16330,Programme!G16330,Programme!H16330,Programme!I16330,Programme!J16330)</f>
        <v>&lt;cellule&gt;&lt;codeEdi&gt;1085&lt;/codeEdi&gt;&lt;/cellule&gt;</v>
      </c>
    </row>
    <row r="16330" spans="1:1" x14ac:dyDescent="0.2">
      <c r="A16330" s="996" t="str">
        <f>CONCATENATE(Programme!D16331,Programme!E16331,Programme!F16331,Programme!G16331,Programme!H16331,Programme!I16331,Programme!J16331)</f>
        <v>&lt;valeur&gt;&lt;/valeur&gt;</v>
      </c>
    </row>
    <row r="16331" spans="1:1" x14ac:dyDescent="0.2">
      <c r="A16331" s="996" t="str">
        <f>CONCATENATE(Programme!D16332,Programme!E16332,Programme!F16332,Programme!G16332,Programme!H16332,Programme!I16332,Programme!J16332)</f>
        <v>&lt;numeroLigne&gt;163&lt;/numeroLigne&gt;</v>
      </c>
    </row>
    <row r="16332" spans="1:1" x14ac:dyDescent="0.2">
      <c r="A16332" s="996" t="str">
        <f>CONCATENATE(Programme!D16333,Programme!E16333,Programme!F16333,Programme!G16333,Programme!H16333,Programme!I16333,Programme!J16333)</f>
        <v>&lt;/ValeurCellule&gt;</v>
      </c>
    </row>
    <row r="16333" spans="1:1" x14ac:dyDescent="0.2">
      <c r="A16333" s="996" t="str">
        <f>CONCATENATE(Programme!D16334,Programme!E16334,Programme!F16334,Programme!G16334,Programme!H16334,Programme!I16334,Programme!J16334)</f>
        <v>&lt;ValeurCellule&gt;</v>
      </c>
    </row>
    <row r="16334" spans="1:1" x14ac:dyDescent="0.2">
      <c r="A16334" s="996" t="str">
        <f>CONCATENATE(Programme!D16335,Programme!E16335,Programme!F16335,Programme!G16335,Programme!H16335,Programme!I16335,Programme!J16335)</f>
        <v>&lt;cellule&gt;&lt;codeEdi&gt;1086&lt;/codeEdi&gt;&lt;/cellule&gt;</v>
      </c>
    </row>
    <row r="16335" spans="1:1" x14ac:dyDescent="0.2">
      <c r="A16335" s="996" t="str">
        <f>CONCATENATE(Programme!D16336,Programme!E16336,Programme!F16336,Programme!G16336,Programme!H16336,Programme!I16336,Programme!J16336)</f>
        <v>&lt;valeur&gt;&lt;/valeur&gt;</v>
      </c>
    </row>
    <row r="16336" spans="1:1" x14ac:dyDescent="0.2">
      <c r="A16336" s="996" t="str">
        <f>CONCATENATE(Programme!D16337,Programme!E16337,Programme!F16337,Programme!G16337,Programme!H16337,Programme!I16337,Programme!J16337)</f>
        <v>&lt;numeroLigne&gt;163&lt;/numeroLigne&gt;</v>
      </c>
    </row>
    <row r="16337" spans="1:1" x14ac:dyDescent="0.2">
      <c r="A16337" s="996" t="str">
        <f>CONCATENATE(Programme!D16338,Programme!E16338,Programme!F16338,Programme!G16338,Programme!H16338,Programme!I16338,Programme!J16338)</f>
        <v>&lt;/ValeurCellule&gt;</v>
      </c>
    </row>
    <row r="16338" spans="1:1" x14ac:dyDescent="0.2">
      <c r="A16338" s="996" t="str">
        <f>CONCATENATE(Programme!D16339,Programme!E16339,Programme!F16339,Programme!G16339,Programme!H16339,Programme!I16339,Programme!J16339)</f>
        <v>&lt;ValeurCellule&gt;</v>
      </c>
    </row>
    <row r="16339" spans="1:1" x14ac:dyDescent="0.2">
      <c r="A16339" s="996" t="str">
        <f>CONCATENATE(Programme!D16340,Programme!E16340,Programme!F16340,Programme!G16340,Programme!H16340,Programme!I16340,Programme!J16340)</f>
        <v>&lt;cellule&gt;&lt;codeEdi&gt;10061&lt;/codeEdi&gt;&lt;/cellule&gt;</v>
      </c>
    </row>
    <row r="16340" spans="1:1" x14ac:dyDescent="0.2">
      <c r="A16340" s="996" t="str">
        <f>CONCATENATE(Programme!D16341,Programme!E16341,Programme!F16341,Programme!G16341,Programme!H16341,Programme!I16341,Programme!J16341)</f>
        <v>&lt;valeur&gt;&lt;/valeur&gt;</v>
      </c>
    </row>
    <row r="16341" spans="1:1" x14ac:dyDescent="0.2">
      <c r="A16341" s="996" t="str">
        <f>CONCATENATE(Programme!D16342,Programme!E16342,Programme!F16342,Programme!G16342,Programme!H16342,Programme!I16342,Programme!J16342)</f>
        <v>&lt;numeroLigne&gt;164&lt;/numeroLigne&gt;</v>
      </c>
    </row>
    <row r="16342" spans="1:1" x14ac:dyDescent="0.2">
      <c r="A16342" s="996" t="str">
        <f>CONCATENATE(Programme!D16343,Programme!E16343,Programme!F16343,Programme!G16343,Programme!H16343,Programme!I16343,Programme!J16343)</f>
        <v>&lt;/ValeurCellule&gt;</v>
      </c>
    </row>
    <row r="16343" spans="1:1" x14ac:dyDescent="0.2">
      <c r="A16343" s="996" t="str">
        <f>CONCATENATE(Programme!D16344,Programme!E16344,Programme!F16344,Programme!G16344,Programme!H16344,Programme!I16344,Programme!J16344)</f>
        <v>&lt;ValeurCellule&gt;</v>
      </c>
    </row>
    <row r="16344" spans="1:1" x14ac:dyDescent="0.2">
      <c r="A16344" s="996" t="str">
        <f>CONCATENATE(Programme!D16345,Programme!E16345,Programme!F16345,Programme!G16345,Programme!H16345,Programme!I16345,Programme!J16345)</f>
        <v>&lt;cellule&gt;&lt;codeEdi&gt;1078&lt;/codeEdi&gt;&lt;/cellule&gt;</v>
      </c>
    </row>
    <row r="16345" spans="1:1" x14ac:dyDescent="0.2">
      <c r="A16345" s="996" t="str">
        <f>CONCATENATE(Programme!D16346,Programme!E16346,Programme!F16346,Programme!G16346,Programme!H16346,Programme!I16346,Programme!J16346)</f>
        <v>&lt;valeur&gt;&lt;/valeur&gt;</v>
      </c>
    </row>
    <row r="16346" spans="1:1" x14ac:dyDescent="0.2">
      <c r="A16346" s="996" t="str">
        <f>CONCATENATE(Programme!D16347,Programme!E16347,Programme!F16347,Programme!G16347,Programme!H16347,Programme!I16347,Programme!J16347)</f>
        <v>&lt;numeroLigne&gt;164&lt;/numeroLigne&gt;</v>
      </c>
    </row>
    <row r="16347" spans="1:1" x14ac:dyDescent="0.2">
      <c r="A16347" s="996" t="str">
        <f>CONCATENATE(Programme!D16348,Programme!E16348,Programme!F16348,Programme!G16348,Programme!H16348,Programme!I16348,Programme!J16348)</f>
        <v>&lt;/ValeurCellule&gt;</v>
      </c>
    </row>
    <row r="16348" spans="1:1" x14ac:dyDescent="0.2">
      <c r="A16348" s="996" t="str">
        <f>CONCATENATE(Programme!D16349,Programme!E16349,Programme!F16349,Programme!G16349,Programme!H16349,Programme!I16349,Programme!J16349)</f>
        <v>&lt;ValeurCellule&gt;</v>
      </c>
    </row>
    <row r="16349" spans="1:1" x14ac:dyDescent="0.2">
      <c r="A16349" s="996" t="str">
        <f>CONCATENATE(Programme!D16350,Programme!E16350,Programme!F16350,Programme!G16350,Programme!H16350,Programme!I16350,Programme!J16350)</f>
        <v>&lt;cellule&gt;&lt;codeEdi&gt;1079&lt;/codeEdi&gt;&lt;/cellule&gt;</v>
      </c>
    </row>
    <row r="16350" spans="1:1" x14ac:dyDescent="0.2">
      <c r="A16350" s="996" t="str">
        <f>CONCATENATE(Programme!D16351,Programme!E16351,Programme!F16351,Programme!G16351,Programme!H16351,Programme!I16351,Programme!J16351)</f>
        <v>&lt;valeur&gt;&lt;/valeur&gt;</v>
      </c>
    </row>
    <row r="16351" spans="1:1" x14ac:dyDescent="0.2">
      <c r="A16351" s="996" t="str">
        <f>CONCATENATE(Programme!D16352,Programme!E16352,Programme!F16352,Programme!G16352,Programme!H16352,Programme!I16352,Programme!J16352)</f>
        <v>&lt;numeroLigne&gt;164&lt;/numeroLigne&gt;</v>
      </c>
    </row>
    <row r="16352" spans="1:1" x14ac:dyDescent="0.2">
      <c r="A16352" s="996" t="str">
        <f>CONCATENATE(Programme!D16353,Programme!E16353,Programme!F16353,Programme!G16353,Programme!H16353,Programme!I16353,Programme!J16353)</f>
        <v>&lt;/ValeurCellule&gt;</v>
      </c>
    </row>
    <row r="16353" spans="1:1" x14ac:dyDescent="0.2">
      <c r="A16353" s="996" t="str">
        <f>CONCATENATE(Programme!D16354,Programme!E16354,Programme!F16354,Programme!G16354,Programme!H16354,Programme!I16354,Programme!J16354)</f>
        <v>&lt;ValeurCellule&gt;</v>
      </c>
    </row>
    <row r="16354" spans="1:1" x14ac:dyDescent="0.2">
      <c r="A16354" s="996" t="str">
        <f>CONCATENATE(Programme!D16355,Programme!E16355,Programme!F16355,Programme!G16355,Programme!H16355,Programme!I16355,Programme!J16355)</f>
        <v>&lt;cellule&gt;&lt;codeEdi&gt;1080&lt;/codeEdi&gt;&lt;/cellule&gt;</v>
      </c>
    </row>
    <row r="16355" spans="1:1" x14ac:dyDescent="0.2">
      <c r="A16355" s="996" t="str">
        <f>CONCATENATE(Programme!D16356,Programme!E16356,Programme!F16356,Programme!G16356,Programme!H16356,Programme!I16356,Programme!J16356)</f>
        <v>&lt;valeur&gt;&lt;/valeur&gt;</v>
      </c>
    </row>
    <row r="16356" spans="1:1" x14ac:dyDescent="0.2">
      <c r="A16356" s="996" t="str">
        <f>CONCATENATE(Programme!D16357,Programme!E16357,Programme!F16357,Programme!G16357,Programme!H16357,Programme!I16357,Programme!J16357)</f>
        <v>&lt;numeroLigne&gt;164&lt;/numeroLigne&gt;</v>
      </c>
    </row>
    <row r="16357" spans="1:1" x14ac:dyDescent="0.2">
      <c r="A16357" s="996" t="str">
        <f>CONCATENATE(Programme!D16358,Programme!E16358,Programme!F16358,Programme!G16358,Programme!H16358,Programme!I16358,Programme!J16358)</f>
        <v>&lt;/ValeurCellule&gt;</v>
      </c>
    </row>
    <row r="16358" spans="1:1" x14ac:dyDescent="0.2">
      <c r="A16358" s="996" t="str">
        <f>CONCATENATE(Programme!D16359,Programme!E16359,Programme!F16359,Programme!G16359,Programme!H16359,Programme!I16359,Programme!J16359)</f>
        <v>&lt;ValeurCellule&gt;</v>
      </c>
    </row>
    <row r="16359" spans="1:1" x14ac:dyDescent="0.2">
      <c r="A16359" s="996" t="str">
        <f>CONCATENATE(Programme!D16360,Programme!E16360,Programme!F16360,Programme!G16360,Programme!H16360,Programme!I16360,Programme!J16360)</f>
        <v>&lt;cellule&gt;&lt;codeEdi&gt;1081&lt;/codeEdi&gt;&lt;/cellule&gt;</v>
      </c>
    </row>
    <row r="16360" spans="1:1" x14ac:dyDescent="0.2">
      <c r="A16360" s="996" t="str">
        <f>CONCATENATE(Programme!D16361,Programme!E16361,Programme!F16361,Programme!G16361,Programme!H16361,Programme!I16361,Programme!J16361)</f>
        <v>&lt;valeur&gt;&lt;/valeur&gt;</v>
      </c>
    </row>
    <row r="16361" spans="1:1" x14ac:dyDescent="0.2">
      <c r="A16361" s="996" t="str">
        <f>CONCATENATE(Programme!D16362,Programme!E16362,Programme!F16362,Programme!G16362,Programme!H16362,Programme!I16362,Programme!J16362)</f>
        <v>&lt;numeroLigne&gt;164&lt;/numeroLigne&gt;</v>
      </c>
    </row>
    <row r="16362" spans="1:1" x14ac:dyDescent="0.2">
      <c r="A16362" s="996" t="str">
        <f>CONCATENATE(Programme!D16363,Programme!E16363,Programme!F16363,Programme!G16363,Programme!H16363,Programme!I16363,Programme!J16363)</f>
        <v>&lt;/ValeurCellule&gt;</v>
      </c>
    </row>
    <row r="16363" spans="1:1" x14ac:dyDescent="0.2">
      <c r="A16363" s="996" t="str">
        <f>CONCATENATE(Programme!D16364,Programme!E16364,Programme!F16364,Programme!G16364,Programme!H16364,Programme!I16364,Programme!J16364)</f>
        <v>&lt;ValeurCellule&gt;</v>
      </c>
    </row>
    <row r="16364" spans="1:1" x14ac:dyDescent="0.2">
      <c r="A16364" s="996" t="str">
        <f>CONCATENATE(Programme!D16365,Programme!E16365,Programme!F16365,Programme!G16365,Programme!H16365,Programme!I16365,Programme!J16365)</f>
        <v>&lt;cellule&gt;&lt;codeEdi&gt;1082&lt;/codeEdi&gt;&lt;/cellule&gt;</v>
      </c>
    </row>
    <row r="16365" spans="1:1" x14ac:dyDescent="0.2">
      <c r="A16365" s="996" t="str">
        <f>CONCATENATE(Programme!D16366,Programme!E16366,Programme!F16366,Programme!G16366,Programme!H16366,Programme!I16366,Programme!J16366)</f>
        <v>&lt;valeur&gt;&lt;/valeur&gt;</v>
      </c>
    </row>
    <row r="16366" spans="1:1" x14ac:dyDescent="0.2">
      <c r="A16366" s="996" t="str">
        <f>CONCATENATE(Programme!D16367,Programme!E16367,Programme!F16367,Programme!G16367,Programme!H16367,Programme!I16367,Programme!J16367)</f>
        <v>&lt;numeroLigne&gt;164&lt;/numeroLigne&gt;</v>
      </c>
    </row>
    <row r="16367" spans="1:1" x14ac:dyDescent="0.2">
      <c r="A16367" s="996" t="str">
        <f>CONCATENATE(Programme!D16368,Programme!E16368,Programme!F16368,Programme!G16368,Programme!H16368,Programme!I16368,Programme!J16368)</f>
        <v>&lt;/ValeurCellule&gt;</v>
      </c>
    </row>
    <row r="16368" spans="1:1" x14ac:dyDescent="0.2">
      <c r="A16368" s="996" t="str">
        <f>CONCATENATE(Programme!D16369,Programme!E16369,Programme!F16369,Programme!G16369,Programme!H16369,Programme!I16369,Programme!J16369)</f>
        <v>&lt;ValeurCellule&gt;</v>
      </c>
    </row>
    <row r="16369" spans="1:1" x14ac:dyDescent="0.2">
      <c r="A16369" s="996" t="str">
        <f>CONCATENATE(Programme!D16370,Programme!E16370,Programme!F16370,Programme!G16370,Programme!H16370,Programme!I16370,Programme!J16370)</f>
        <v>&lt;cellule&gt;&lt;codeEdi&gt;1083&lt;/codeEdi&gt;&lt;/cellule&gt;</v>
      </c>
    </row>
    <row r="16370" spans="1:1" x14ac:dyDescent="0.2">
      <c r="A16370" s="996" t="str">
        <f>CONCATENATE(Programme!D16371,Programme!E16371,Programme!F16371,Programme!G16371,Programme!H16371,Programme!I16371,Programme!J16371)</f>
        <v>&lt;valeur&gt;&lt;/valeur&gt;</v>
      </c>
    </row>
    <row r="16371" spans="1:1" x14ac:dyDescent="0.2">
      <c r="A16371" s="996" t="str">
        <f>CONCATENATE(Programme!D16372,Programme!E16372,Programme!F16372,Programme!G16372,Programme!H16372,Programme!I16372,Programme!J16372)</f>
        <v>&lt;numeroLigne&gt;164&lt;/numeroLigne&gt;</v>
      </c>
    </row>
    <row r="16372" spans="1:1" x14ac:dyDescent="0.2">
      <c r="A16372" s="996" t="str">
        <f>CONCATENATE(Programme!D16373,Programme!E16373,Programme!F16373,Programme!G16373,Programme!H16373,Programme!I16373,Programme!J16373)</f>
        <v>&lt;/ValeurCellule&gt;</v>
      </c>
    </row>
    <row r="16373" spans="1:1" x14ac:dyDescent="0.2">
      <c r="A16373" s="996" t="str">
        <f>CONCATENATE(Programme!D16374,Programme!E16374,Programme!F16374,Programme!G16374,Programme!H16374,Programme!I16374,Programme!J16374)</f>
        <v>&lt;ValeurCellule&gt;</v>
      </c>
    </row>
    <row r="16374" spans="1:1" x14ac:dyDescent="0.2">
      <c r="A16374" s="996" t="str">
        <f>CONCATENATE(Programme!D16375,Programme!E16375,Programme!F16375,Programme!G16375,Programme!H16375,Programme!I16375,Programme!J16375)</f>
        <v>&lt;cellule&gt;&lt;codeEdi&gt;1084&lt;/codeEdi&gt;&lt;/cellule&gt;</v>
      </c>
    </row>
    <row r="16375" spans="1:1" x14ac:dyDescent="0.2">
      <c r="A16375" s="996" t="str">
        <f>CONCATENATE(Programme!D16376,Programme!E16376,Programme!F16376,Programme!G16376,Programme!H16376,Programme!I16376,Programme!J16376)</f>
        <v>&lt;valeur&gt;&lt;/valeur&gt;</v>
      </c>
    </row>
    <row r="16376" spans="1:1" x14ac:dyDescent="0.2">
      <c r="A16376" s="996" t="str">
        <f>CONCATENATE(Programme!D16377,Programme!E16377,Programme!F16377,Programme!G16377,Programme!H16377,Programme!I16377,Programme!J16377)</f>
        <v>&lt;numeroLigne&gt;164&lt;/numeroLigne&gt;</v>
      </c>
    </row>
    <row r="16377" spans="1:1" x14ac:dyDescent="0.2">
      <c r="A16377" s="996" t="str">
        <f>CONCATENATE(Programme!D16378,Programme!E16378,Programme!F16378,Programme!G16378,Programme!H16378,Programme!I16378,Programme!J16378)</f>
        <v>&lt;/ValeurCellule&gt;</v>
      </c>
    </row>
    <row r="16378" spans="1:1" x14ac:dyDescent="0.2">
      <c r="A16378" s="996" t="str">
        <f>CONCATENATE(Programme!D16379,Programme!E16379,Programme!F16379,Programme!G16379,Programme!H16379,Programme!I16379,Programme!J16379)</f>
        <v>&lt;ValeurCellule&gt;</v>
      </c>
    </row>
    <row r="16379" spans="1:1" x14ac:dyDescent="0.2">
      <c r="A16379" s="996" t="str">
        <f>CONCATENATE(Programme!D16380,Programme!E16380,Programme!F16380,Programme!G16380,Programme!H16380,Programme!I16380,Programme!J16380)</f>
        <v>&lt;cellule&gt;&lt;codeEdi&gt;1085&lt;/codeEdi&gt;&lt;/cellule&gt;</v>
      </c>
    </row>
    <row r="16380" spans="1:1" x14ac:dyDescent="0.2">
      <c r="A16380" s="996" t="str">
        <f>CONCATENATE(Programme!D16381,Programme!E16381,Programme!F16381,Programme!G16381,Programme!H16381,Programme!I16381,Programme!J16381)</f>
        <v>&lt;valeur&gt;&lt;/valeur&gt;</v>
      </c>
    </row>
    <row r="16381" spans="1:1" x14ac:dyDescent="0.2">
      <c r="A16381" s="996" t="str">
        <f>CONCATENATE(Programme!D16382,Programme!E16382,Programme!F16382,Programme!G16382,Programme!H16382,Programme!I16382,Programme!J16382)</f>
        <v>&lt;numeroLigne&gt;164&lt;/numeroLigne&gt;</v>
      </c>
    </row>
    <row r="16382" spans="1:1" x14ac:dyDescent="0.2">
      <c r="A16382" s="996" t="str">
        <f>CONCATENATE(Programme!D16383,Programme!E16383,Programme!F16383,Programme!G16383,Programme!H16383,Programme!I16383,Programme!J16383)</f>
        <v>&lt;/ValeurCellule&gt;</v>
      </c>
    </row>
    <row r="16383" spans="1:1" x14ac:dyDescent="0.2">
      <c r="A16383" s="996" t="str">
        <f>CONCATENATE(Programme!D16384,Programme!E16384,Programme!F16384,Programme!G16384,Programme!H16384,Programme!I16384,Programme!J16384)</f>
        <v>&lt;ValeurCellule&gt;</v>
      </c>
    </row>
    <row r="16384" spans="1:1" x14ac:dyDescent="0.2">
      <c r="A16384" s="996" t="str">
        <f>CONCATENATE(Programme!D16385,Programme!E16385,Programme!F16385,Programme!G16385,Programme!H16385,Programme!I16385,Programme!J16385)</f>
        <v>&lt;cellule&gt;&lt;codeEdi&gt;1086&lt;/codeEdi&gt;&lt;/cellule&gt;</v>
      </c>
    </row>
    <row r="16385" spans="1:1" x14ac:dyDescent="0.2">
      <c r="A16385" s="996" t="str">
        <f>CONCATENATE(Programme!D16386,Programme!E16386,Programme!F16386,Programme!G16386,Programme!H16386,Programme!I16386,Programme!J16386)</f>
        <v>&lt;valeur&gt;&lt;/valeur&gt;</v>
      </c>
    </row>
    <row r="16386" spans="1:1" x14ac:dyDescent="0.2">
      <c r="A16386" s="996" t="str">
        <f>CONCATENATE(Programme!D16387,Programme!E16387,Programme!F16387,Programme!G16387,Programme!H16387,Programme!I16387,Programme!J16387)</f>
        <v>&lt;numeroLigne&gt;164&lt;/numeroLigne&gt;</v>
      </c>
    </row>
    <row r="16387" spans="1:1" x14ac:dyDescent="0.2">
      <c r="A16387" s="996" t="str">
        <f>CONCATENATE(Programme!D16388,Programme!E16388,Programme!F16388,Programme!G16388,Programme!H16388,Programme!I16388,Programme!J16388)</f>
        <v>&lt;/ValeurCellule&gt;</v>
      </c>
    </row>
    <row r="16388" spans="1:1" x14ac:dyDescent="0.2">
      <c r="A16388" s="996" t="str">
        <f>CONCATENATE(Programme!D16389,Programme!E16389,Programme!F16389,Programme!G16389,Programme!H16389,Programme!I16389,Programme!J16389)</f>
        <v>&lt;ValeurCellule&gt;</v>
      </c>
    </row>
    <row r="16389" spans="1:1" x14ac:dyDescent="0.2">
      <c r="A16389" s="996" t="str">
        <f>CONCATENATE(Programme!D16390,Programme!E16390,Programme!F16390,Programme!G16390,Programme!H16390,Programme!I16390,Programme!J16390)</f>
        <v>&lt;cellule&gt;&lt;codeEdi&gt;10061&lt;/codeEdi&gt;&lt;/cellule&gt;</v>
      </c>
    </row>
    <row r="16390" spans="1:1" x14ac:dyDescent="0.2">
      <c r="A16390" s="996" t="str">
        <f>CONCATENATE(Programme!D16391,Programme!E16391,Programme!F16391,Programme!G16391,Programme!H16391,Programme!I16391,Programme!J16391)</f>
        <v>&lt;valeur&gt;&lt;/valeur&gt;</v>
      </c>
    </row>
    <row r="16391" spans="1:1" x14ac:dyDescent="0.2">
      <c r="A16391" s="996" t="str">
        <f>CONCATENATE(Programme!D16392,Programme!E16392,Programme!F16392,Programme!G16392,Programme!H16392,Programme!I16392,Programme!J16392)</f>
        <v>&lt;numeroLigne&gt;165&lt;/numeroLigne&gt;</v>
      </c>
    </row>
    <row r="16392" spans="1:1" x14ac:dyDescent="0.2">
      <c r="A16392" s="996" t="str">
        <f>CONCATENATE(Programme!D16393,Programme!E16393,Programme!F16393,Programme!G16393,Programme!H16393,Programme!I16393,Programme!J16393)</f>
        <v>&lt;/ValeurCellule&gt;</v>
      </c>
    </row>
    <row r="16393" spans="1:1" x14ac:dyDescent="0.2">
      <c r="A16393" s="996" t="str">
        <f>CONCATENATE(Programme!D16394,Programme!E16394,Programme!F16394,Programme!G16394,Programme!H16394,Programme!I16394,Programme!J16394)</f>
        <v>&lt;ValeurCellule&gt;</v>
      </c>
    </row>
    <row r="16394" spans="1:1" x14ac:dyDescent="0.2">
      <c r="A16394" s="996" t="str">
        <f>CONCATENATE(Programme!D16395,Programme!E16395,Programme!F16395,Programme!G16395,Programme!H16395,Programme!I16395,Programme!J16395)</f>
        <v>&lt;cellule&gt;&lt;codeEdi&gt;1078&lt;/codeEdi&gt;&lt;/cellule&gt;</v>
      </c>
    </row>
    <row r="16395" spans="1:1" x14ac:dyDescent="0.2">
      <c r="A16395" s="996" t="str">
        <f>CONCATENATE(Programme!D16396,Programme!E16396,Programme!F16396,Programme!G16396,Programme!H16396,Programme!I16396,Programme!J16396)</f>
        <v>&lt;valeur&gt;&lt;/valeur&gt;</v>
      </c>
    </row>
    <row r="16396" spans="1:1" x14ac:dyDescent="0.2">
      <c r="A16396" s="996" t="str">
        <f>CONCATENATE(Programme!D16397,Programme!E16397,Programme!F16397,Programme!G16397,Programme!H16397,Programme!I16397,Programme!J16397)</f>
        <v>&lt;numeroLigne&gt;165&lt;/numeroLigne&gt;</v>
      </c>
    </row>
    <row r="16397" spans="1:1" x14ac:dyDescent="0.2">
      <c r="A16397" s="996" t="str">
        <f>CONCATENATE(Programme!D16398,Programme!E16398,Programme!F16398,Programme!G16398,Programme!H16398,Programme!I16398,Programme!J16398)</f>
        <v>&lt;/ValeurCellule&gt;</v>
      </c>
    </row>
    <row r="16398" spans="1:1" x14ac:dyDescent="0.2">
      <c r="A16398" s="996" t="str">
        <f>CONCATENATE(Programme!D16399,Programme!E16399,Programme!F16399,Programme!G16399,Programme!H16399,Programme!I16399,Programme!J16399)</f>
        <v>&lt;ValeurCellule&gt;</v>
      </c>
    </row>
    <row r="16399" spans="1:1" x14ac:dyDescent="0.2">
      <c r="A16399" s="996" t="str">
        <f>CONCATENATE(Programme!D16400,Programme!E16400,Programme!F16400,Programme!G16400,Programme!H16400,Programme!I16400,Programme!J16400)</f>
        <v>&lt;cellule&gt;&lt;codeEdi&gt;1079&lt;/codeEdi&gt;&lt;/cellule&gt;</v>
      </c>
    </row>
    <row r="16400" spans="1:1" x14ac:dyDescent="0.2">
      <c r="A16400" s="996" t="str">
        <f>CONCATENATE(Programme!D16401,Programme!E16401,Programme!F16401,Programme!G16401,Programme!H16401,Programme!I16401,Programme!J16401)</f>
        <v>&lt;valeur&gt;&lt;/valeur&gt;</v>
      </c>
    </row>
    <row r="16401" spans="1:1" x14ac:dyDescent="0.2">
      <c r="A16401" s="996" t="str">
        <f>CONCATENATE(Programme!D16402,Programme!E16402,Programme!F16402,Programme!G16402,Programme!H16402,Programme!I16402,Programme!J16402)</f>
        <v>&lt;numeroLigne&gt;165&lt;/numeroLigne&gt;</v>
      </c>
    </row>
    <row r="16402" spans="1:1" x14ac:dyDescent="0.2">
      <c r="A16402" s="996" t="str">
        <f>CONCATENATE(Programme!D16403,Programme!E16403,Programme!F16403,Programme!G16403,Programme!H16403,Programme!I16403,Programme!J16403)</f>
        <v>&lt;/ValeurCellule&gt;</v>
      </c>
    </row>
    <row r="16403" spans="1:1" x14ac:dyDescent="0.2">
      <c r="A16403" s="996" t="str">
        <f>CONCATENATE(Programme!D16404,Programme!E16404,Programme!F16404,Programme!G16404,Programme!H16404,Programme!I16404,Programme!J16404)</f>
        <v>&lt;ValeurCellule&gt;</v>
      </c>
    </row>
    <row r="16404" spans="1:1" x14ac:dyDescent="0.2">
      <c r="A16404" s="996" t="str">
        <f>CONCATENATE(Programme!D16405,Programme!E16405,Programme!F16405,Programme!G16405,Programme!H16405,Programme!I16405,Programme!J16405)</f>
        <v>&lt;cellule&gt;&lt;codeEdi&gt;1080&lt;/codeEdi&gt;&lt;/cellule&gt;</v>
      </c>
    </row>
    <row r="16405" spans="1:1" x14ac:dyDescent="0.2">
      <c r="A16405" s="996" t="str">
        <f>CONCATENATE(Programme!D16406,Programme!E16406,Programme!F16406,Programme!G16406,Programme!H16406,Programme!I16406,Programme!J16406)</f>
        <v>&lt;valeur&gt;&lt;/valeur&gt;</v>
      </c>
    </row>
    <row r="16406" spans="1:1" x14ac:dyDescent="0.2">
      <c r="A16406" s="996" t="str">
        <f>CONCATENATE(Programme!D16407,Programme!E16407,Programme!F16407,Programme!G16407,Programme!H16407,Programme!I16407,Programme!J16407)</f>
        <v>&lt;numeroLigne&gt;165&lt;/numeroLigne&gt;</v>
      </c>
    </row>
    <row r="16407" spans="1:1" x14ac:dyDescent="0.2">
      <c r="A16407" s="996" t="str">
        <f>CONCATENATE(Programme!D16408,Programme!E16408,Programme!F16408,Programme!G16408,Programme!H16408,Programme!I16408,Programme!J16408)</f>
        <v>&lt;/ValeurCellule&gt;</v>
      </c>
    </row>
    <row r="16408" spans="1:1" x14ac:dyDescent="0.2">
      <c r="A16408" s="996" t="str">
        <f>CONCATENATE(Programme!D16409,Programme!E16409,Programme!F16409,Programme!G16409,Programme!H16409,Programme!I16409,Programme!J16409)</f>
        <v>&lt;ValeurCellule&gt;</v>
      </c>
    </row>
    <row r="16409" spans="1:1" x14ac:dyDescent="0.2">
      <c r="A16409" s="996" t="str">
        <f>CONCATENATE(Programme!D16410,Programme!E16410,Programme!F16410,Programme!G16410,Programme!H16410,Programme!I16410,Programme!J16410)</f>
        <v>&lt;cellule&gt;&lt;codeEdi&gt;1081&lt;/codeEdi&gt;&lt;/cellule&gt;</v>
      </c>
    </row>
    <row r="16410" spans="1:1" x14ac:dyDescent="0.2">
      <c r="A16410" s="996" t="str">
        <f>CONCATENATE(Programme!D16411,Programme!E16411,Programme!F16411,Programme!G16411,Programme!H16411,Programme!I16411,Programme!J16411)</f>
        <v>&lt;valeur&gt;&lt;/valeur&gt;</v>
      </c>
    </row>
    <row r="16411" spans="1:1" x14ac:dyDescent="0.2">
      <c r="A16411" s="996" t="str">
        <f>CONCATENATE(Programme!D16412,Programme!E16412,Programme!F16412,Programme!G16412,Programme!H16412,Programme!I16412,Programme!J16412)</f>
        <v>&lt;numeroLigne&gt;165&lt;/numeroLigne&gt;</v>
      </c>
    </row>
    <row r="16412" spans="1:1" x14ac:dyDescent="0.2">
      <c r="A16412" s="996" t="str">
        <f>CONCATENATE(Programme!D16413,Programme!E16413,Programme!F16413,Programme!G16413,Programme!H16413,Programme!I16413,Programme!J16413)</f>
        <v>&lt;/ValeurCellule&gt;</v>
      </c>
    </row>
    <row r="16413" spans="1:1" x14ac:dyDescent="0.2">
      <c r="A16413" s="996" t="str">
        <f>CONCATENATE(Programme!D16414,Programme!E16414,Programme!F16414,Programme!G16414,Programme!H16414,Programme!I16414,Programme!J16414)</f>
        <v>&lt;ValeurCellule&gt;</v>
      </c>
    </row>
    <row r="16414" spans="1:1" x14ac:dyDescent="0.2">
      <c r="A16414" s="996" t="str">
        <f>CONCATENATE(Programme!D16415,Programme!E16415,Programme!F16415,Programme!G16415,Programme!H16415,Programme!I16415,Programme!J16415)</f>
        <v>&lt;cellule&gt;&lt;codeEdi&gt;1082&lt;/codeEdi&gt;&lt;/cellule&gt;</v>
      </c>
    </row>
    <row r="16415" spans="1:1" x14ac:dyDescent="0.2">
      <c r="A16415" s="996" t="str">
        <f>CONCATENATE(Programme!D16416,Programme!E16416,Programme!F16416,Programme!G16416,Programme!H16416,Programme!I16416,Programme!J16416)</f>
        <v>&lt;valeur&gt;&lt;/valeur&gt;</v>
      </c>
    </row>
    <row r="16416" spans="1:1" x14ac:dyDescent="0.2">
      <c r="A16416" s="996" t="str">
        <f>CONCATENATE(Programme!D16417,Programme!E16417,Programme!F16417,Programme!G16417,Programme!H16417,Programme!I16417,Programme!J16417)</f>
        <v>&lt;numeroLigne&gt;165&lt;/numeroLigne&gt;</v>
      </c>
    </row>
    <row r="16417" spans="1:1" x14ac:dyDescent="0.2">
      <c r="A16417" s="996" t="str">
        <f>CONCATENATE(Programme!D16418,Programme!E16418,Programme!F16418,Programme!G16418,Programme!H16418,Programme!I16418,Programme!J16418)</f>
        <v>&lt;/ValeurCellule&gt;</v>
      </c>
    </row>
    <row r="16418" spans="1:1" x14ac:dyDescent="0.2">
      <c r="A16418" s="996" t="str">
        <f>CONCATENATE(Programme!D16419,Programme!E16419,Programme!F16419,Programme!G16419,Programme!H16419,Programme!I16419,Programme!J16419)</f>
        <v>&lt;ValeurCellule&gt;</v>
      </c>
    </row>
    <row r="16419" spans="1:1" x14ac:dyDescent="0.2">
      <c r="A16419" s="996" t="str">
        <f>CONCATENATE(Programme!D16420,Programme!E16420,Programme!F16420,Programme!G16420,Programme!H16420,Programme!I16420,Programme!J16420)</f>
        <v>&lt;cellule&gt;&lt;codeEdi&gt;1083&lt;/codeEdi&gt;&lt;/cellule&gt;</v>
      </c>
    </row>
    <row r="16420" spans="1:1" x14ac:dyDescent="0.2">
      <c r="A16420" s="996" t="str">
        <f>CONCATENATE(Programme!D16421,Programme!E16421,Programme!F16421,Programme!G16421,Programme!H16421,Programme!I16421,Programme!J16421)</f>
        <v>&lt;valeur&gt;&lt;/valeur&gt;</v>
      </c>
    </row>
    <row r="16421" spans="1:1" x14ac:dyDescent="0.2">
      <c r="A16421" s="996" t="str">
        <f>CONCATENATE(Programme!D16422,Programme!E16422,Programme!F16422,Programme!G16422,Programme!H16422,Programme!I16422,Programme!J16422)</f>
        <v>&lt;numeroLigne&gt;165&lt;/numeroLigne&gt;</v>
      </c>
    </row>
    <row r="16422" spans="1:1" x14ac:dyDescent="0.2">
      <c r="A16422" s="996" t="str">
        <f>CONCATENATE(Programme!D16423,Programme!E16423,Programme!F16423,Programme!G16423,Programme!H16423,Programme!I16423,Programme!J16423)</f>
        <v>&lt;/ValeurCellule&gt;</v>
      </c>
    </row>
    <row r="16423" spans="1:1" x14ac:dyDescent="0.2">
      <c r="A16423" s="996" t="str">
        <f>CONCATENATE(Programme!D16424,Programme!E16424,Programme!F16424,Programme!G16424,Programme!H16424,Programme!I16424,Programme!J16424)</f>
        <v>&lt;ValeurCellule&gt;</v>
      </c>
    </row>
    <row r="16424" spans="1:1" x14ac:dyDescent="0.2">
      <c r="A16424" s="996" t="str">
        <f>CONCATENATE(Programme!D16425,Programme!E16425,Programme!F16425,Programme!G16425,Programme!H16425,Programme!I16425,Programme!J16425)</f>
        <v>&lt;cellule&gt;&lt;codeEdi&gt;1084&lt;/codeEdi&gt;&lt;/cellule&gt;</v>
      </c>
    </row>
    <row r="16425" spans="1:1" x14ac:dyDescent="0.2">
      <c r="A16425" s="996" t="str">
        <f>CONCATENATE(Programme!D16426,Programme!E16426,Programme!F16426,Programme!G16426,Programme!H16426,Programme!I16426,Programme!J16426)</f>
        <v>&lt;valeur&gt;&lt;/valeur&gt;</v>
      </c>
    </row>
    <row r="16426" spans="1:1" x14ac:dyDescent="0.2">
      <c r="A16426" s="996" t="str">
        <f>CONCATENATE(Programme!D16427,Programme!E16427,Programme!F16427,Programme!G16427,Programme!H16427,Programme!I16427,Programme!J16427)</f>
        <v>&lt;numeroLigne&gt;165&lt;/numeroLigne&gt;</v>
      </c>
    </row>
    <row r="16427" spans="1:1" x14ac:dyDescent="0.2">
      <c r="A16427" s="996" t="str">
        <f>CONCATENATE(Programme!D16428,Programme!E16428,Programme!F16428,Programme!G16428,Programme!H16428,Programme!I16428,Programme!J16428)</f>
        <v>&lt;/ValeurCellule&gt;</v>
      </c>
    </row>
    <row r="16428" spans="1:1" x14ac:dyDescent="0.2">
      <c r="A16428" s="996" t="str">
        <f>CONCATENATE(Programme!D16429,Programme!E16429,Programme!F16429,Programme!G16429,Programme!H16429,Programme!I16429,Programme!J16429)</f>
        <v>&lt;ValeurCellule&gt;</v>
      </c>
    </row>
    <row r="16429" spans="1:1" x14ac:dyDescent="0.2">
      <c r="A16429" s="996" t="str">
        <f>CONCATENATE(Programme!D16430,Programme!E16430,Programme!F16430,Programme!G16430,Programme!H16430,Programme!I16430,Programme!J16430)</f>
        <v>&lt;cellule&gt;&lt;codeEdi&gt;1085&lt;/codeEdi&gt;&lt;/cellule&gt;</v>
      </c>
    </row>
    <row r="16430" spans="1:1" x14ac:dyDescent="0.2">
      <c r="A16430" s="996" t="str">
        <f>CONCATENATE(Programme!D16431,Programme!E16431,Programme!F16431,Programme!G16431,Programme!H16431,Programme!I16431,Programme!J16431)</f>
        <v>&lt;valeur&gt;&lt;/valeur&gt;</v>
      </c>
    </row>
    <row r="16431" spans="1:1" x14ac:dyDescent="0.2">
      <c r="A16431" s="996" t="str">
        <f>CONCATENATE(Programme!D16432,Programme!E16432,Programme!F16432,Programme!G16432,Programme!H16432,Programme!I16432,Programme!J16432)</f>
        <v>&lt;numeroLigne&gt;165&lt;/numeroLigne&gt;</v>
      </c>
    </row>
    <row r="16432" spans="1:1" x14ac:dyDescent="0.2">
      <c r="A16432" s="996" t="str">
        <f>CONCATENATE(Programme!D16433,Programme!E16433,Programme!F16433,Programme!G16433,Programme!H16433,Programme!I16433,Programme!J16433)</f>
        <v>&lt;/ValeurCellule&gt;</v>
      </c>
    </row>
    <row r="16433" spans="1:1" x14ac:dyDescent="0.2">
      <c r="A16433" s="996" t="str">
        <f>CONCATENATE(Programme!D16434,Programme!E16434,Programme!F16434,Programme!G16434,Programme!H16434,Programme!I16434,Programme!J16434)</f>
        <v>&lt;ValeurCellule&gt;</v>
      </c>
    </row>
    <row r="16434" spans="1:1" x14ac:dyDescent="0.2">
      <c r="A16434" s="996" t="str">
        <f>CONCATENATE(Programme!D16435,Programme!E16435,Programme!F16435,Programme!G16435,Programme!H16435,Programme!I16435,Programme!J16435)</f>
        <v>&lt;cellule&gt;&lt;codeEdi&gt;1086&lt;/codeEdi&gt;&lt;/cellule&gt;</v>
      </c>
    </row>
    <row r="16435" spans="1:1" x14ac:dyDescent="0.2">
      <c r="A16435" s="996" t="str">
        <f>CONCATENATE(Programme!D16436,Programme!E16436,Programme!F16436,Programme!G16436,Programme!H16436,Programme!I16436,Programme!J16436)</f>
        <v>&lt;valeur&gt;&lt;/valeur&gt;</v>
      </c>
    </row>
    <row r="16436" spans="1:1" x14ac:dyDescent="0.2">
      <c r="A16436" s="996" t="str">
        <f>CONCATENATE(Programme!D16437,Programme!E16437,Programme!F16437,Programme!G16437,Programme!H16437,Programme!I16437,Programme!J16437)</f>
        <v>&lt;numeroLigne&gt;165&lt;/numeroLigne&gt;</v>
      </c>
    </row>
    <row r="16437" spans="1:1" x14ac:dyDescent="0.2">
      <c r="A16437" s="996" t="str">
        <f>CONCATENATE(Programme!D16438,Programme!E16438,Programme!F16438,Programme!G16438,Programme!H16438,Programme!I16438,Programme!J16438)</f>
        <v>&lt;/ValeurCellule&gt;</v>
      </c>
    </row>
    <row r="16438" spans="1:1" x14ac:dyDescent="0.2">
      <c r="A16438" s="996" t="str">
        <f>CONCATENATE(Programme!D16439,Programme!E16439,Programme!F16439,Programme!G16439,Programme!H16439,Programme!I16439,Programme!J16439)</f>
        <v>&lt;ValeurCellule&gt;</v>
      </c>
    </row>
    <row r="16439" spans="1:1" x14ac:dyDescent="0.2">
      <c r="A16439" s="996" t="str">
        <f>CONCATENATE(Programme!D16440,Programme!E16440,Programme!F16440,Programme!G16440,Programme!H16440,Programme!I16440,Programme!J16440)</f>
        <v>&lt;cellule&gt;&lt;codeEdi&gt;10061&lt;/codeEdi&gt;&lt;/cellule&gt;</v>
      </c>
    </row>
    <row r="16440" spans="1:1" x14ac:dyDescent="0.2">
      <c r="A16440" s="996" t="str">
        <f>CONCATENATE(Programme!D16441,Programme!E16441,Programme!F16441,Programme!G16441,Programme!H16441,Programme!I16441,Programme!J16441)</f>
        <v>&lt;valeur&gt;&lt;/valeur&gt;</v>
      </c>
    </row>
    <row r="16441" spans="1:1" x14ac:dyDescent="0.2">
      <c r="A16441" s="996" t="str">
        <f>CONCATENATE(Programme!D16442,Programme!E16442,Programme!F16442,Programme!G16442,Programme!H16442,Programme!I16442,Programme!J16442)</f>
        <v>&lt;numeroLigne&gt;166&lt;/numeroLigne&gt;</v>
      </c>
    </row>
    <row r="16442" spans="1:1" x14ac:dyDescent="0.2">
      <c r="A16442" s="996" t="str">
        <f>CONCATENATE(Programme!D16443,Programme!E16443,Programme!F16443,Programme!G16443,Programme!H16443,Programme!I16443,Programme!J16443)</f>
        <v>&lt;/ValeurCellule&gt;</v>
      </c>
    </row>
    <row r="16443" spans="1:1" x14ac:dyDescent="0.2">
      <c r="A16443" s="996" t="str">
        <f>CONCATENATE(Programme!D16444,Programme!E16444,Programme!F16444,Programme!G16444,Programme!H16444,Programme!I16444,Programme!J16444)</f>
        <v>&lt;ValeurCellule&gt;</v>
      </c>
    </row>
    <row r="16444" spans="1:1" x14ac:dyDescent="0.2">
      <c r="A16444" s="996" t="str">
        <f>CONCATENATE(Programme!D16445,Programme!E16445,Programme!F16445,Programme!G16445,Programme!H16445,Programme!I16445,Programme!J16445)</f>
        <v>&lt;cellule&gt;&lt;codeEdi&gt;1078&lt;/codeEdi&gt;&lt;/cellule&gt;</v>
      </c>
    </row>
    <row r="16445" spans="1:1" x14ac:dyDescent="0.2">
      <c r="A16445" s="996" t="str">
        <f>CONCATENATE(Programme!D16446,Programme!E16446,Programme!F16446,Programme!G16446,Programme!H16446,Programme!I16446,Programme!J16446)</f>
        <v>&lt;valeur&gt;&lt;/valeur&gt;</v>
      </c>
    </row>
    <row r="16446" spans="1:1" x14ac:dyDescent="0.2">
      <c r="A16446" s="996" t="str">
        <f>CONCATENATE(Programme!D16447,Programme!E16447,Programme!F16447,Programme!G16447,Programme!H16447,Programme!I16447,Programme!J16447)</f>
        <v>&lt;numeroLigne&gt;166&lt;/numeroLigne&gt;</v>
      </c>
    </row>
    <row r="16447" spans="1:1" x14ac:dyDescent="0.2">
      <c r="A16447" s="996" t="str">
        <f>CONCATENATE(Programme!D16448,Programme!E16448,Programme!F16448,Programme!G16448,Programme!H16448,Programme!I16448,Programme!J16448)</f>
        <v>&lt;/ValeurCellule&gt;</v>
      </c>
    </row>
    <row r="16448" spans="1:1" x14ac:dyDescent="0.2">
      <c r="A16448" s="996" t="str">
        <f>CONCATENATE(Programme!D16449,Programme!E16449,Programme!F16449,Programme!G16449,Programme!H16449,Programme!I16449,Programme!J16449)</f>
        <v>&lt;ValeurCellule&gt;</v>
      </c>
    </row>
    <row r="16449" spans="1:1" x14ac:dyDescent="0.2">
      <c r="A16449" s="996" t="str">
        <f>CONCATENATE(Programme!D16450,Programme!E16450,Programme!F16450,Programme!G16450,Programme!H16450,Programme!I16450,Programme!J16450)</f>
        <v>&lt;cellule&gt;&lt;codeEdi&gt;1079&lt;/codeEdi&gt;&lt;/cellule&gt;</v>
      </c>
    </row>
    <row r="16450" spans="1:1" x14ac:dyDescent="0.2">
      <c r="A16450" s="996" t="str">
        <f>CONCATENATE(Programme!D16451,Programme!E16451,Programme!F16451,Programme!G16451,Programme!H16451,Programme!I16451,Programme!J16451)</f>
        <v>&lt;valeur&gt;&lt;/valeur&gt;</v>
      </c>
    </row>
    <row r="16451" spans="1:1" x14ac:dyDescent="0.2">
      <c r="A16451" s="996" t="str">
        <f>CONCATENATE(Programme!D16452,Programme!E16452,Programme!F16452,Programme!G16452,Programme!H16452,Programme!I16452,Programme!J16452)</f>
        <v>&lt;numeroLigne&gt;166&lt;/numeroLigne&gt;</v>
      </c>
    </row>
    <row r="16452" spans="1:1" x14ac:dyDescent="0.2">
      <c r="A16452" s="996" t="str">
        <f>CONCATENATE(Programme!D16453,Programme!E16453,Programme!F16453,Programme!G16453,Programme!H16453,Programme!I16453,Programme!J16453)</f>
        <v>&lt;/ValeurCellule&gt;</v>
      </c>
    </row>
    <row r="16453" spans="1:1" x14ac:dyDescent="0.2">
      <c r="A16453" s="996" t="str">
        <f>CONCATENATE(Programme!D16454,Programme!E16454,Programme!F16454,Programme!G16454,Programme!H16454,Programme!I16454,Programme!J16454)</f>
        <v>&lt;ValeurCellule&gt;</v>
      </c>
    </row>
    <row r="16454" spans="1:1" x14ac:dyDescent="0.2">
      <c r="A16454" s="996" t="str">
        <f>CONCATENATE(Programme!D16455,Programme!E16455,Programme!F16455,Programme!G16455,Programme!H16455,Programme!I16455,Programme!J16455)</f>
        <v>&lt;cellule&gt;&lt;codeEdi&gt;1080&lt;/codeEdi&gt;&lt;/cellule&gt;</v>
      </c>
    </row>
    <row r="16455" spans="1:1" x14ac:dyDescent="0.2">
      <c r="A16455" s="996" t="str">
        <f>CONCATENATE(Programme!D16456,Programme!E16456,Programme!F16456,Programme!G16456,Programme!H16456,Programme!I16456,Programme!J16456)</f>
        <v>&lt;valeur&gt;&lt;/valeur&gt;</v>
      </c>
    </row>
    <row r="16456" spans="1:1" x14ac:dyDescent="0.2">
      <c r="A16456" s="996" t="str">
        <f>CONCATENATE(Programme!D16457,Programme!E16457,Programme!F16457,Programme!G16457,Programme!H16457,Programme!I16457,Programme!J16457)</f>
        <v>&lt;numeroLigne&gt;166&lt;/numeroLigne&gt;</v>
      </c>
    </row>
    <row r="16457" spans="1:1" x14ac:dyDescent="0.2">
      <c r="A16457" s="996" t="str">
        <f>CONCATENATE(Programme!D16458,Programme!E16458,Programme!F16458,Programme!G16458,Programme!H16458,Programme!I16458,Programme!J16458)</f>
        <v>&lt;/ValeurCellule&gt;</v>
      </c>
    </row>
    <row r="16458" spans="1:1" x14ac:dyDescent="0.2">
      <c r="A16458" s="996" t="str">
        <f>CONCATENATE(Programme!D16459,Programme!E16459,Programme!F16459,Programme!G16459,Programme!H16459,Programme!I16459,Programme!J16459)</f>
        <v>&lt;ValeurCellule&gt;</v>
      </c>
    </row>
    <row r="16459" spans="1:1" x14ac:dyDescent="0.2">
      <c r="A16459" s="996" t="str">
        <f>CONCATENATE(Programme!D16460,Programme!E16460,Programme!F16460,Programme!G16460,Programme!H16460,Programme!I16460,Programme!J16460)</f>
        <v>&lt;cellule&gt;&lt;codeEdi&gt;1081&lt;/codeEdi&gt;&lt;/cellule&gt;</v>
      </c>
    </row>
    <row r="16460" spans="1:1" x14ac:dyDescent="0.2">
      <c r="A16460" s="996" t="str">
        <f>CONCATENATE(Programme!D16461,Programme!E16461,Programme!F16461,Programme!G16461,Programme!H16461,Programme!I16461,Programme!J16461)</f>
        <v>&lt;valeur&gt;&lt;/valeur&gt;</v>
      </c>
    </row>
    <row r="16461" spans="1:1" x14ac:dyDescent="0.2">
      <c r="A16461" s="996" t="str">
        <f>CONCATENATE(Programme!D16462,Programme!E16462,Programme!F16462,Programme!G16462,Programme!H16462,Programme!I16462,Programme!J16462)</f>
        <v>&lt;numeroLigne&gt;166&lt;/numeroLigne&gt;</v>
      </c>
    </row>
    <row r="16462" spans="1:1" x14ac:dyDescent="0.2">
      <c r="A16462" s="996" t="str">
        <f>CONCATENATE(Programme!D16463,Programme!E16463,Programme!F16463,Programme!G16463,Programme!H16463,Programme!I16463,Programme!J16463)</f>
        <v>&lt;/ValeurCellule&gt;</v>
      </c>
    </row>
    <row r="16463" spans="1:1" x14ac:dyDescent="0.2">
      <c r="A16463" s="996" t="str">
        <f>CONCATENATE(Programme!D16464,Programme!E16464,Programme!F16464,Programme!G16464,Programme!H16464,Programme!I16464,Programme!J16464)</f>
        <v>&lt;ValeurCellule&gt;</v>
      </c>
    </row>
    <row r="16464" spans="1:1" x14ac:dyDescent="0.2">
      <c r="A16464" s="996" t="str">
        <f>CONCATENATE(Programme!D16465,Programme!E16465,Programme!F16465,Programme!G16465,Programme!H16465,Programme!I16465,Programme!J16465)</f>
        <v>&lt;cellule&gt;&lt;codeEdi&gt;1082&lt;/codeEdi&gt;&lt;/cellule&gt;</v>
      </c>
    </row>
    <row r="16465" spans="1:1" x14ac:dyDescent="0.2">
      <c r="A16465" s="996" t="str">
        <f>CONCATENATE(Programme!D16466,Programme!E16466,Programme!F16466,Programme!G16466,Programme!H16466,Programme!I16466,Programme!J16466)</f>
        <v>&lt;valeur&gt;&lt;/valeur&gt;</v>
      </c>
    </row>
    <row r="16466" spans="1:1" x14ac:dyDescent="0.2">
      <c r="A16466" s="996" t="str">
        <f>CONCATENATE(Programme!D16467,Programme!E16467,Programme!F16467,Programme!G16467,Programme!H16467,Programme!I16467,Programme!J16467)</f>
        <v>&lt;numeroLigne&gt;166&lt;/numeroLigne&gt;</v>
      </c>
    </row>
    <row r="16467" spans="1:1" x14ac:dyDescent="0.2">
      <c r="A16467" s="996" t="str">
        <f>CONCATENATE(Programme!D16468,Programme!E16468,Programme!F16468,Programme!G16468,Programme!H16468,Programme!I16468,Programme!J16468)</f>
        <v>&lt;/ValeurCellule&gt;</v>
      </c>
    </row>
    <row r="16468" spans="1:1" x14ac:dyDescent="0.2">
      <c r="A16468" s="996" t="str">
        <f>CONCATENATE(Programme!D16469,Programme!E16469,Programme!F16469,Programme!G16469,Programme!H16469,Programme!I16469,Programme!J16469)</f>
        <v>&lt;ValeurCellule&gt;</v>
      </c>
    </row>
    <row r="16469" spans="1:1" x14ac:dyDescent="0.2">
      <c r="A16469" s="996" t="str">
        <f>CONCATENATE(Programme!D16470,Programme!E16470,Programme!F16470,Programme!G16470,Programme!H16470,Programme!I16470,Programme!J16470)</f>
        <v>&lt;cellule&gt;&lt;codeEdi&gt;1083&lt;/codeEdi&gt;&lt;/cellule&gt;</v>
      </c>
    </row>
    <row r="16470" spans="1:1" x14ac:dyDescent="0.2">
      <c r="A16470" s="996" t="str">
        <f>CONCATENATE(Programme!D16471,Programme!E16471,Programme!F16471,Programme!G16471,Programme!H16471,Programme!I16471,Programme!J16471)</f>
        <v>&lt;valeur&gt;&lt;/valeur&gt;</v>
      </c>
    </row>
    <row r="16471" spans="1:1" x14ac:dyDescent="0.2">
      <c r="A16471" s="996" t="str">
        <f>CONCATENATE(Programme!D16472,Programme!E16472,Programme!F16472,Programme!G16472,Programme!H16472,Programme!I16472,Programme!J16472)</f>
        <v>&lt;numeroLigne&gt;166&lt;/numeroLigne&gt;</v>
      </c>
    </row>
    <row r="16472" spans="1:1" x14ac:dyDescent="0.2">
      <c r="A16472" s="996" t="str">
        <f>CONCATENATE(Programme!D16473,Programme!E16473,Programme!F16473,Programme!G16473,Programme!H16473,Programme!I16473,Programme!J16473)</f>
        <v>&lt;/ValeurCellule&gt;</v>
      </c>
    </row>
    <row r="16473" spans="1:1" x14ac:dyDescent="0.2">
      <c r="A16473" s="996" t="str">
        <f>CONCATENATE(Programme!D16474,Programme!E16474,Programme!F16474,Programme!G16474,Programme!H16474,Programme!I16474,Programme!J16474)</f>
        <v>&lt;ValeurCellule&gt;</v>
      </c>
    </row>
    <row r="16474" spans="1:1" x14ac:dyDescent="0.2">
      <c r="A16474" s="996" t="str">
        <f>CONCATENATE(Programme!D16475,Programme!E16475,Programme!F16475,Programme!G16475,Programme!H16475,Programme!I16475,Programme!J16475)</f>
        <v>&lt;cellule&gt;&lt;codeEdi&gt;1084&lt;/codeEdi&gt;&lt;/cellule&gt;</v>
      </c>
    </row>
    <row r="16475" spans="1:1" x14ac:dyDescent="0.2">
      <c r="A16475" s="996" t="str">
        <f>CONCATENATE(Programme!D16476,Programme!E16476,Programme!F16476,Programme!G16476,Programme!H16476,Programme!I16476,Programme!J16476)</f>
        <v>&lt;valeur&gt;&lt;/valeur&gt;</v>
      </c>
    </row>
    <row r="16476" spans="1:1" x14ac:dyDescent="0.2">
      <c r="A16476" s="996" t="str">
        <f>CONCATENATE(Programme!D16477,Programme!E16477,Programme!F16477,Programme!G16477,Programme!H16477,Programme!I16477,Programme!J16477)</f>
        <v>&lt;numeroLigne&gt;166&lt;/numeroLigne&gt;</v>
      </c>
    </row>
    <row r="16477" spans="1:1" x14ac:dyDescent="0.2">
      <c r="A16477" s="996" t="str">
        <f>CONCATENATE(Programme!D16478,Programme!E16478,Programme!F16478,Programme!G16478,Programme!H16478,Programme!I16478,Programme!J16478)</f>
        <v>&lt;/ValeurCellule&gt;</v>
      </c>
    </row>
    <row r="16478" spans="1:1" x14ac:dyDescent="0.2">
      <c r="A16478" s="996" t="str">
        <f>CONCATENATE(Programme!D16479,Programme!E16479,Programme!F16479,Programme!G16479,Programme!H16479,Programme!I16479,Programme!J16479)</f>
        <v>&lt;ValeurCellule&gt;</v>
      </c>
    </row>
    <row r="16479" spans="1:1" x14ac:dyDescent="0.2">
      <c r="A16479" s="996" t="str">
        <f>CONCATENATE(Programme!D16480,Programme!E16480,Programme!F16480,Programme!G16480,Programme!H16480,Programme!I16480,Programme!J16480)</f>
        <v>&lt;cellule&gt;&lt;codeEdi&gt;1085&lt;/codeEdi&gt;&lt;/cellule&gt;</v>
      </c>
    </row>
    <row r="16480" spans="1:1" x14ac:dyDescent="0.2">
      <c r="A16480" s="996" t="str">
        <f>CONCATENATE(Programme!D16481,Programme!E16481,Programme!F16481,Programme!G16481,Programme!H16481,Programme!I16481,Programme!J16481)</f>
        <v>&lt;valeur&gt;&lt;/valeur&gt;</v>
      </c>
    </row>
    <row r="16481" spans="1:1" x14ac:dyDescent="0.2">
      <c r="A16481" s="996" t="str">
        <f>CONCATENATE(Programme!D16482,Programme!E16482,Programme!F16482,Programme!G16482,Programme!H16482,Programme!I16482,Programme!J16482)</f>
        <v>&lt;numeroLigne&gt;166&lt;/numeroLigne&gt;</v>
      </c>
    </row>
    <row r="16482" spans="1:1" x14ac:dyDescent="0.2">
      <c r="A16482" s="996" t="str">
        <f>CONCATENATE(Programme!D16483,Programme!E16483,Programme!F16483,Programme!G16483,Programme!H16483,Programme!I16483,Programme!J16483)</f>
        <v>&lt;/ValeurCellule&gt;</v>
      </c>
    </row>
    <row r="16483" spans="1:1" x14ac:dyDescent="0.2">
      <c r="A16483" s="996" t="str">
        <f>CONCATENATE(Programme!D16484,Programme!E16484,Programme!F16484,Programme!G16484,Programme!H16484,Programme!I16484,Programme!J16484)</f>
        <v>&lt;ValeurCellule&gt;</v>
      </c>
    </row>
    <row r="16484" spans="1:1" x14ac:dyDescent="0.2">
      <c r="A16484" s="996" t="str">
        <f>CONCATENATE(Programme!D16485,Programme!E16485,Programme!F16485,Programme!G16485,Programme!H16485,Programme!I16485,Programme!J16485)</f>
        <v>&lt;cellule&gt;&lt;codeEdi&gt;1086&lt;/codeEdi&gt;&lt;/cellule&gt;</v>
      </c>
    </row>
    <row r="16485" spans="1:1" x14ac:dyDescent="0.2">
      <c r="A16485" s="996" t="str">
        <f>CONCATENATE(Programme!D16486,Programme!E16486,Programme!F16486,Programme!G16486,Programme!H16486,Programme!I16486,Programme!J16486)</f>
        <v>&lt;valeur&gt;&lt;/valeur&gt;</v>
      </c>
    </row>
    <row r="16486" spans="1:1" x14ac:dyDescent="0.2">
      <c r="A16486" s="996" t="str">
        <f>CONCATENATE(Programme!D16487,Programme!E16487,Programme!F16487,Programme!G16487,Programme!H16487,Programme!I16487,Programme!J16487)</f>
        <v>&lt;numeroLigne&gt;166&lt;/numeroLigne&gt;</v>
      </c>
    </row>
    <row r="16487" spans="1:1" x14ac:dyDescent="0.2">
      <c r="A16487" s="996" t="str">
        <f>CONCATENATE(Programme!D16488,Programme!E16488,Programme!F16488,Programme!G16488,Programme!H16488,Programme!I16488,Programme!J16488)</f>
        <v>&lt;/ValeurCellule&gt;</v>
      </c>
    </row>
    <row r="16488" spans="1:1" x14ac:dyDescent="0.2">
      <c r="A16488" s="996" t="str">
        <f>CONCATENATE(Programme!D16489,Programme!E16489,Programme!F16489,Programme!G16489,Programme!H16489,Programme!I16489,Programme!J16489)</f>
        <v>&lt;ValeurCellule&gt;</v>
      </c>
    </row>
    <row r="16489" spans="1:1" x14ac:dyDescent="0.2">
      <c r="A16489" s="996" t="str">
        <f>CONCATENATE(Programme!D16490,Programme!E16490,Programme!F16490,Programme!G16490,Programme!H16490,Programme!I16490,Programme!J16490)</f>
        <v>&lt;cellule&gt;&lt;codeEdi&gt;10061&lt;/codeEdi&gt;&lt;/cellule&gt;</v>
      </c>
    </row>
    <row r="16490" spans="1:1" x14ac:dyDescent="0.2">
      <c r="A16490" s="996" t="str">
        <f>CONCATENATE(Programme!D16491,Programme!E16491,Programme!F16491,Programme!G16491,Programme!H16491,Programme!I16491,Programme!J16491)</f>
        <v>&lt;valeur&gt;&lt;/valeur&gt;</v>
      </c>
    </row>
    <row r="16491" spans="1:1" x14ac:dyDescent="0.2">
      <c r="A16491" s="996" t="str">
        <f>CONCATENATE(Programme!D16492,Programme!E16492,Programme!F16492,Programme!G16492,Programme!H16492,Programme!I16492,Programme!J16492)</f>
        <v>&lt;numeroLigne&gt;167&lt;/numeroLigne&gt;</v>
      </c>
    </row>
    <row r="16492" spans="1:1" x14ac:dyDescent="0.2">
      <c r="A16492" s="996" t="str">
        <f>CONCATENATE(Programme!D16493,Programme!E16493,Programme!F16493,Programme!G16493,Programme!H16493,Programme!I16493,Programme!J16493)</f>
        <v>&lt;/ValeurCellule&gt;</v>
      </c>
    </row>
    <row r="16493" spans="1:1" x14ac:dyDescent="0.2">
      <c r="A16493" s="996" t="str">
        <f>CONCATENATE(Programme!D16494,Programme!E16494,Programme!F16494,Programme!G16494,Programme!H16494,Programme!I16494,Programme!J16494)</f>
        <v>&lt;ValeurCellule&gt;</v>
      </c>
    </row>
    <row r="16494" spans="1:1" x14ac:dyDescent="0.2">
      <c r="A16494" s="996" t="str">
        <f>CONCATENATE(Programme!D16495,Programme!E16495,Programme!F16495,Programme!G16495,Programme!H16495,Programme!I16495,Programme!J16495)</f>
        <v>&lt;cellule&gt;&lt;codeEdi&gt;1078&lt;/codeEdi&gt;&lt;/cellule&gt;</v>
      </c>
    </row>
    <row r="16495" spans="1:1" x14ac:dyDescent="0.2">
      <c r="A16495" s="996" t="str">
        <f>CONCATENATE(Programme!D16496,Programme!E16496,Programme!F16496,Programme!G16496,Programme!H16496,Programme!I16496,Programme!J16496)</f>
        <v>&lt;valeur&gt;&lt;/valeur&gt;</v>
      </c>
    </row>
    <row r="16496" spans="1:1" x14ac:dyDescent="0.2">
      <c r="A16496" s="996" t="str">
        <f>CONCATENATE(Programme!D16497,Programme!E16497,Programme!F16497,Programme!G16497,Programme!H16497,Programme!I16497,Programme!J16497)</f>
        <v>&lt;numeroLigne&gt;167&lt;/numeroLigne&gt;</v>
      </c>
    </row>
    <row r="16497" spans="1:1" x14ac:dyDescent="0.2">
      <c r="A16497" s="996" t="str">
        <f>CONCATENATE(Programme!D16498,Programme!E16498,Programme!F16498,Programme!G16498,Programme!H16498,Programme!I16498,Programme!J16498)</f>
        <v>&lt;/ValeurCellule&gt;</v>
      </c>
    </row>
    <row r="16498" spans="1:1" x14ac:dyDescent="0.2">
      <c r="A16498" s="996" t="str">
        <f>CONCATENATE(Programme!D16499,Programme!E16499,Programme!F16499,Programme!G16499,Programme!H16499,Programme!I16499,Programme!J16499)</f>
        <v>&lt;ValeurCellule&gt;</v>
      </c>
    </row>
    <row r="16499" spans="1:1" x14ac:dyDescent="0.2">
      <c r="A16499" s="996" t="str">
        <f>CONCATENATE(Programme!D16500,Programme!E16500,Programme!F16500,Programme!G16500,Programme!H16500,Programme!I16500,Programme!J16500)</f>
        <v>&lt;cellule&gt;&lt;codeEdi&gt;1079&lt;/codeEdi&gt;&lt;/cellule&gt;</v>
      </c>
    </row>
    <row r="16500" spans="1:1" x14ac:dyDescent="0.2">
      <c r="A16500" s="996" t="str">
        <f>CONCATENATE(Programme!D16501,Programme!E16501,Programme!F16501,Programme!G16501,Programme!H16501,Programme!I16501,Programme!J16501)</f>
        <v>&lt;valeur&gt;&lt;/valeur&gt;</v>
      </c>
    </row>
    <row r="16501" spans="1:1" x14ac:dyDescent="0.2">
      <c r="A16501" s="996" t="str">
        <f>CONCATENATE(Programme!D16502,Programme!E16502,Programme!F16502,Programme!G16502,Programme!H16502,Programme!I16502,Programme!J16502)</f>
        <v>&lt;numeroLigne&gt;167&lt;/numeroLigne&gt;</v>
      </c>
    </row>
    <row r="16502" spans="1:1" x14ac:dyDescent="0.2">
      <c r="A16502" s="996" t="str">
        <f>CONCATENATE(Programme!D16503,Programme!E16503,Programme!F16503,Programme!G16503,Programme!H16503,Programme!I16503,Programme!J16503)</f>
        <v>&lt;/ValeurCellule&gt;</v>
      </c>
    </row>
    <row r="16503" spans="1:1" x14ac:dyDescent="0.2">
      <c r="A16503" s="996" t="str">
        <f>CONCATENATE(Programme!D16504,Programme!E16504,Programme!F16504,Programme!G16504,Programme!H16504,Programme!I16504,Programme!J16504)</f>
        <v>&lt;ValeurCellule&gt;</v>
      </c>
    </row>
    <row r="16504" spans="1:1" x14ac:dyDescent="0.2">
      <c r="A16504" s="996" t="str">
        <f>CONCATENATE(Programme!D16505,Programme!E16505,Programme!F16505,Programme!G16505,Programme!H16505,Programme!I16505,Programme!J16505)</f>
        <v>&lt;cellule&gt;&lt;codeEdi&gt;1080&lt;/codeEdi&gt;&lt;/cellule&gt;</v>
      </c>
    </row>
    <row r="16505" spans="1:1" x14ac:dyDescent="0.2">
      <c r="A16505" s="996" t="str">
        <f>CONCATENATE(Programme!D16506,Programme!E16506,Programme!F16506,Programme!G16506,Programme!H16506,Programme!I16506,Programme!J16506)</f>
        <v>&lt;valeur&gt;&lt;/valeur&gt;</v>
      </c>
    </row>
    <row r="16506" spans="1:1" x14ac:dyDescent="0.2">
      <c r="A16506" s="996" t="str">
        <f>CONCATENATE(Programme!D16507,Programme!E16507,Programme!F16507,Programme!G16507,Programme!H16507,Programme!I16507,Programme!J16507)</f>
        <v>&lt;numeroLigne&gt;167&lt;/numeroLigne&gt;</v>
      </c>
    </row>
    <row r="16507" spans="1:1" x14ac:dyDescent="0.2">
      <c r="A16507" s="996" t="str">
        <f>CONCATENATE(Programme!D16508,Programme!E16508,Programme!F16508,Programme!G16508,Programme!H16508,Programme!I16508,Programme!J16508)</f>
        <v>&lt;/ValeurCellule&gt;</v>
      </c>
    </row>
    <row r="16508" spans="1:1" x14ac:dyDescent="0.2">
      <c r="A16508" s="996" t="str">
        <f>CONCATENATE(Programme!D16509,Programme!E16509,Programme!F16509,Programme!G16509,Programme!H16509,Programme!I16509,Programme!J16509)</f>
        <v>&lt;ValeurCellule&gt;</v>
      </c>
    </row>
    <row r="16509" spans="1:1" x14ac:dyDescent="0.2">
      <c r="A16509" s="996" t="str">
        <f>CONCATENATE(Programme!D16510,Programme!E16510,Programme!F16510,Programme!G16510,Programme!H16510,Programme!I16510,Programme!J16510)</f>
        <v>&lt;cellule&gt;&lt;codeEdi&gt;1081&lt;/codeEdi&gt;&lt;/cellule&gt;</v>
      </c>
    </row>
    <row r="16510" spans="1:1" x14ac:dyDescent="0.2">
      <c r="A16510" s="996" t="str">
        <f>CONCATENATE(Programme!D16511,Programme!E16511,Programme!F16511,Programme!G16511,Programme!H16511,Programme!I16511,Programme!J16511)</f>
        <v>&lt;valeur&gt;&lt;/valeur&gt;</v>
      </c>
    </row>
    <row r="16511" spans="1:1" x14ac:dyDescent="0.2">
      <c r="A16511" s="996" t="str">
        <f>CONCATENATE(Programme!D16512,Programme!E16512,Programme!F16512,Programme!G16512,Programme!H16512,Programme!I16512,Programme!J16512)</f>
        <v>&lt;numeroLigne&gt;167&lt;/numeroLigne&gt;</v>
      </c>
    </row>
    <row r="16512" spans="1:1" x14ac:dyDescent="0.2">
      <c r="A16512" s="996" t="str">
        <f>CONCATENATE(Programme!D16513,Programme!E16513,Programme!F16513,Programme!G16513,Programme!H16513,Programme!I16513,Programme!J16513)</f>
        <v>&lt;/ValeurCellule&gt;</v>
      </c>
    </row>
    <row r="16513" spans="1:1" x14ac:dyDescent="0.2">
      <c r="A16513" s="996" t="str">
        <f>CONCATENATE(Programme!D16514,Programme!E16514,Programme!F16514,Programme!G16514,Programme!H16514,Programme!I16514,Programme!J16514)</f>
        <v>&lt;ValeurCellule&gt;</v>
      </c>
    </row>
    <row r="16514" spans="1:1" x14ac:dyDescent="0.2">
      <c r="A16514" s="996" t="str">
        <f>CONCATENATE(Programme!D16515,Programme!E16515,Programme!F16515,Programme!G16515,Programme!H16515,Programme!I16515,Programme!J16515)</f>
        <v>&lt;cellule&gt;&lt;codeEdi&gt;1082&lt;/codeEdi&gt;&lt;/cellule&gt;</v>
      </c>
    </row>
    <row r="16515" spans="1:1" x14ac:dyDescent="0.2">
      <c r="A16515" s="996" t="str">
        <f>CONCATENATE(Programme!D16516,Programme!E16516,Programme!F16516,Programme!G16516,Programme!H16516,Programme!I16516,Programme!J16516)</f>
        <v>&lt;valeur&gt;&lt;/valeur&gt;</v>
      </c>
    </row>
    <row r="16516" spans="1:1" x14ac:dyDescent="0.2">
      <c r="A16516" s="996" t="str">
        <f>CONCATENATE(Programme!D16517,Programme!E16517,Programme!F16517,Programme!G16517,Programme!H16517,Programme!I16517,Programme!J16517)</f>
        <v>&lt;numeroLigne&gt;167&lt;/numeroLigne&gt;</v>
      </c>
    </row>
    <row r="16517" spans="1:1" x14ac:dyDescent="0.2">
      <c r="A16517" s="996" t="str">
        <f>CONCATENATE(Programme!D16518,Programme!E16518,Programme!F16518,Programme!G16518,Programme!H16518,Programme!I16518,Programme!J16518)</f>
        <v>&lt;/ValeurCellule&gt;</v>
      </c>
    </row>
    <row r="16518" spans="1:1" x14ac:dyDescent="0.2">
      <c r="A16518" s="996" t="str">
        <f>CONCATENATE(Programme!D16519,Programme!E16519,Programme!F16519,Programme!G16519,Programme!H16519,Programme!I16519,Programme!J16519)</f>
        <v>&lt;ValeurCellule&gt;</v>
      </c>
    </row>
    <row r="16519" spans="1:1" x14ac:dyDescent="0.2">
      <c r="A16519" s="996" t="str">
        <f>CONCATENATE(Programme!D16520,Programme!E16520,Programme!F16520,Programme!G16520,Programme!H16520,Programme!I16520,Programme!J16520)</f>
        <v>&lt;cellule&gt;&lt;codeEdi&gt;1083&lt;/codeEdi&gt;&lt;/cellule&gt;</v>
      </c>
    </row>
    <row r="16520" spans="1:1" x14ac:dyDescent="0.2">
      <c r="A16520" s="996" t="str">
        <f>CONCATENATE(Programme!D16521,Programme!E16521,Programme!F16521,Programme!G16521,Programme!H16521,Programme!I16521,Programme!J16521)</f>
        <v>&lt;valeur&gt;&lt;/valeur&gt;</v>
      </c>
    </row>
    <row r="16521" spans="1:1" x14ac:dyDescent="0.2">
      <c r="A16521" s="996" t="str">
        <f>CONCATENATE(Programme!D16522,Programme!E16522,Programme!F16522,Programme!G16522,Programme!H16522,Programme!I16522,Programme!J16522)</f>
        <v>&lt;numeroLigne&gt;167&lt;/numeroLigne&gt;</v>
      </c>
    </row>
    <row r="16522" spans="1:1" x14ac:dyDescent="0.2">
      <c r="A16522" s="996" t="str">
        <f>CONCATENATE(Programme!D16523,Programme!E16523,Programme!F16523,Programme!G16523,Programme!H16523,Programme!I16523,Programme!J16523)</f>
        <v>&lt;/ValeurCellule&gt;</v>
      </c>
    </row>
    <row r="16523" spans="1:1" x14ac:dyDescent="0.2">
      <c r="A16523" s="996" t="str">
        <f>CONCATENATE(Programme!D16524,Programme!E16524,Programme!F16524,Programme!G16524,Programme!H16524,Programme!I16524,Programme!J16524)</f>
        <v>&lt;ValeurCellule&gt;</v>
      </c>
    </row>
    <row r="16524" spans="1:1" x14ac:dyDescent="0.2">
      <c r="A16524" s="996" t="str">
        <f>CONCATENATE(Programme!D16525,Programme!E16525,Programme!F16525,Programme!G16525,Programme!H16525,Programme!I16525,Programme!J16525)</f>
        <v>&lt;cellule&gt;&lt;codeEdi&gt;1084&lt;/codeEdi&gt;&lt;/cellule&gt;</v>
      </c>
    </row>
    <row r="16525" spans="1:1" x14ac:dyDescent="0.2">
      <c r="A16525" s="996" t="str">
        <f>CONCATENATE(Programme!D16526,Programme!E16526,Programme!F16526,Programme!G16526,Programme!H16526,Programme!I16526,Programme!J16526)</f>
        <v>&lt;valeur&gt;&lt;/valeur&gt;</v>
      </c>
    </row>
    <row r="16526" spans="1:1" x14ac:dyDescent="0.2">
      <c r="A16526" s="996" t="str">
        <f>CONCATENATE(Programme!D16527,Programme!E16527,Programme!F16527,Programme!G16527,Programme!H16527,Programme!I16527,Programme!J16527)</f>
        <v>&lt;numeroLigne&gt;167&lt;/numeroLigne&gt;</v>
      </c>
    </row>
    <row r="16527" spans="1:1" x14ac:dyDescent="0.2">
      <c r="A16527" s="996" t="str">
        <f>CONCATENATE(Programme!D16528,Programme!E16528,Programme!F16528,Programme!G16528,Programme!H16528,Programme!I16528,Programme!J16528)</f>
        <v>&lt;/ValeurCellule&gt;</v>
      </c>
    </row>
    <row r="16528" spans="1:1" x14ac:dyDescent="0.2">
      <c r="A16528" s="996" t="str">
        <f>CONCATENATE(Programme!D16529,Programme!E16529,Programme!F16529,Programme!G16529,Programme!H16529,Programme!I16529,Programme!J16529)</f>
        <v>&lt;ValeurCellule&gt;</v>
      </c>
    </row>
    <row r="16529" spans="1:1" x14ac:dyDescent="0.2">
      <c r="A16529" s="996" t="str">
        <f>CONCATENATE(Programme!D16530,Programme!E16530,Programme!F16530,Programme!G16530,Programme!H16530,Programme!I16530,Programme!J16530)</f>
        <v>&lt;cellule&gt;&lt;codeEdi&gt;1085&lt;/codeEdi&gt;&lt;/cellule&gt;</v>
      </c>
    </row>
    <row r="16530" spans="1:1" x14ac:dyDescent="0.2">
      <c r="A16530" s="996" t="str">
        <f>CONCATENATE(Programme!D16531,Programme!E16531,Programme!F16531,Programme!G16531,Programme!H16531,Programme!I16531,Programme!J16531)</f>
        <v>&lt;valeur&gt;&lt;/valeur&gt;</v>
      </c>
    </row>
    <row r="16531" spans="1:1" x14ac:dyDescent="0.2">
      <c r="A16531" s="996" t="str">
        <f>CONCATENATE(Programme!D16532,Programme!E16532,Programme!F16532,Programme!G16532,Programme!H16532,Programme!I16532,Programme!J16532)</f>
        <v>&lt;numeroLigne&gt;167&lt;/numeroLigne&gt;</v>
      </c>
    </row>
    <row r="16532" spans="1:1" x14ac:dyDescent="0.2">
      <c r="A16532" s="996" t="str">
        <f>CONCATENATE(Programme!D16533,Programme!E16533,Programme!F16533,Programme!G16533,Programme!H16533,Programme!I16533,Programme!J16533)</f>
        <v>&lt;/ValeurCellule&gt;</v>
      </c>
    </row>
    <row r="16533" spans="1:1" x14ac:dyDescent="0.2">
      <c r="A16533" s="996" t="str">
        <f>CONCATENATE(Programme!D16534,Programme!E16534,Programme!F16534,Programme!G16534,Programme!H16534,Programme!I16534,Programme!J16534)</f>
        <v>&lt;ValeurCellule&gt;</v>
      </c>
    </row>
    <row r="16534" spans="1:1" x14ac:dyDescent="0.2">
      <c r="A16534" s="996" t="str">
        <f>CONCATENATE(Programme!D16535,Programme!E16535,Programme!F16535,Programme!G16535,Programme!H16535,Programme!I16535,Programme!J16535)</f>
        <v>&lt;cellule&gt;&lt;codeEdi&gt;1086&lt;/codeEdi&gt;&lt;/cellule&gt;</v>
      </c>
    </row>
    <row r="16535" spans="1:1" x14ac:dyDescent="0.2">
      <c r="A16535" s="996" t="str">
        <f>CONCATENATE(Programme!D16536,Programme!E16536,Programme!F16536,Programme!G16536,Programme!H16536,Programme!I16536,Programme!J16536)</f>
        <v>&lt;valeur&gt;&lt;/valeur&gt;</v>
      </c>
    </row>
    <row r="16536" spans="1:1" x14ac:dyDescent="0.2">
      <c r="A16536" s="996" t="str">
        <f>CONCATENATE(Programme!D16537,Programme!E16537,Programme!F16537,Programme!G16537,Programme!H16537,Programme!I16537,Programme!J16537)</f>
        <v>&lt;numeroLigne&gt;167&lt;/numeroLigne&gt;</v>
      </c>
    </row>
    <row r="16537" spans="1:1" x14ac:dyDescent="0.2">
      <c r="A16537" s="996" t="str">
        <f>CONCATENATE(Programme!D16538,Programme!E16538,Programme!F16538,Programme!G16538,Programme!H16538,Programme!I16538,Programme!J16538)</f>
        <v>&lt;/ValeurCellule&gt;</v>
      </c>
    </row>
    <row r="16538" spans="1:1" x14ac:dyDescent="0.2">
      <c r="A16538" s="996" t="str">
        <f>CONCATENATE(Programme!D16539,Programme!E16539,Programme!F16539,Programme!G16539,Programme!H16539,Programme!I16539,Programme!J16539)</f>
        <v>&lt;ValeurCellule&gt;</v>
      </c>
    </row>
    <row r="16539" spans="1:1" x14ac:dyDescent="0.2">
      <c r="A16539" s="996" t="str">
        <f>CONCATENATE(Programme!D16540,Programme!E16540,Programme!F16540,Programme!G16540,Programme!H16540,Programme!I16540,Programme!J16540)</f>
        <v>&lt;cellule&gt;&lt;codeEdi&gt;10061&lt;/codeEdi&gt;&lt;/cellule&gt;</v>
      </c>
    </row>
    <row r="16540" spans="1:1" x14ac:dyDescent="0.2">
      <c r="A16540" s="996" t="str">
        <f>CONCATENATE(Programme!D16541,Programme!E16541,Programme!F16541,Programme!G16541,Programme!H16541,Programme!I16541,Programme!J16541)</f>
        <v>&lt;valeur&gt;&lt;/valeur&gt;</v>
      </c>
    </row>
    <row r="16541" spans="1:1" x14ac:dyDescent="0.2">
      <c r="A16541" s="996" t="str">
        <f>CONCATENATE(Programme!D16542,Programme!E16542,Programme!F16542,Programme!G16542,Programme!H16542,Programme!I16542,Programme!J16542)</f>
        <v>&lt;numeroLigne&gt;168&lt;/numeroLigne&gt;</v>
      </c>
    </row>
    <row r="16542" spans="1:1" x14ac:dyDescent="0.2">
      <c r="A16542" s="996" t="str">
        <f>CONCATENATE(Programme!D16543,Programme!E16543,Programme!F16543,Programme!G16543,Programme!H16543,Programme!I16543,Programme!J16543)</f>
        <v>&lt;/ValeurCellule&gt;</v>
      </c>
    </row>
    <row r="16543" spans="1:1" x14ac:dyDescent="0.2">
      <c r="A16543" s="996" t="str">
        <f>CONCATENATE(Programme!D16544,Programme!E16544,Programme!F16544,Programme!G16544,Programme!H16544,Programme!I16544,Programme!J16544)</f>
        <v>&lt;ValeurCellule&gt;</v>
      </c>
    </row>
    <row r="16544" spans="1:1" x14ac:dyDescent="0.2">
      <c r="A16544" s="996" t="str">
        <f>CONCATENATE(Programme!D16545,Programme!E16545,Programme!F16545,Programme!G16545,Programme!H16545,Programme!I16545,Programme!J16545)</f>
        <v>&lt;cellule&gt;&lt;codeEdi&gt;1078&lt;/codeEdi&gt;&lt;/cellule&gt;</v>
      </c>
    </row>
    <row r="16545" spans="1:1" x14ac:dyDescent="0.2">
      <c r="A16545" s="996" t="str">
        <f>CONCATENATE(Programme!D16546,Programme!E16546,Programme!F16546,Programme!G16546,Programme!H16546,Programme!I16546,Programme!J16546)</f>
        <v>&lt;valeur&gt;&lt;/valeur&gt;</v>
      </c>
    </row>
    <row r="16546" spans="1:1" x14ac:dyDescent="0.2">
      <c r="A16546" s="996" t="str">
        <f>CONCATENATE(Programme!D16547,Programme!E16547,Programme!F16547,Programme!G16547,Programme!H16547,Programme!I16547,Programme!J16547)</f>
        <v>&lt;numeroLigne&gt;168&lt;/numeroLigne&gt;</v>
      </c>
    </row>
    <row r="16547" spans="1:1" x14ac:dyDescent="0.2">
      <c r="A16547" s="996" t="str">
        <f>CONCATENATE(Programme!D16548,Programme!E16548,Programme!F16548,Programme!G16548,Programme!H16548,Programme!I16548,Programme!J16548)</f>
        <v>&lt;/ValeurCellule&gt;</v>
      </c>
    </row>
    <row r="16548" spans="1:1" x14ac:dyDescent="0.2">
      <c r="A16548" s="996" t="str">
        <f>CONCATENATE(Programme!D16549,Programme!E16549,Programme!F16549,Programme!G16549,Programme!H16549,Programme!I16549,Programme!J16549)</f>
        <v>&lt;ValeurCellule&gt;</v>
      </c>
    </row>
    <row r="16549" spans="1:1" x14ac:dyDescent="0.2">
      <c r="A16549" s="996" t="str">
        <f>CONCATENATE(Programme!D16550,Programme!E16550,Programme!F16550,Programme!G16550,Programme!H16550,Programme!I16550,Programme!J16550)</f>
        <v>&lt;cellule&gt;&lt;codeEdi&gt;1079&lt;/codeEdi&gt;&lt;/cellule&gt;</v>
      </c>
    </row>
    <row r="16550" spans="1:1" x14ac:dyDescent="0.2">
      <c r="A16550" s="996" t="str">
        <f>CONCATENATE(Programme!D16551,Programme!E16551,Programme!F16551,Programme!G16551,Programme!H16551,Programme!I16551,Programme!J16551)</f>
        <v>&lt;valeur&gt;&lt;/valeur&gt;</v>
      </c>
    </row>
    <row r="16551" spans="1:1" x14ac:dyDescent="0.2">
      <c r="A16551" s="996" t="str">
        <f>CONCATENATE(Programme!D16552,Programme!E16552,Programme!F16552,Programme!G16552,Programme!H16552,Programme!I16552,Programme!J16552)</f>
        <v>&lt;numeroLigne&gt;168&lt;/numeroLigne&gt;</v>
      </c>
    </row>
    <row r="16552" spans="1:1" x14ac:dyDescent="0.2">
      <c r="A16552" s="996" t="str">
        <f>CONCATENATE(Programme!D16553,Programme!E16553,Programme!F16553,Programme!G16553,Programme!H16553,Programme!I16553,Programme!J16553)</f>
        <v>&lt;/ValeurCellule&gt;</v>
      </c>
    </row>
    <row r="16553" spans="1:1" x14ac:dyDescent="0.2">
      <c r="A16553" s="996" t="str">
        <f>CONCATENATE(Programme!D16554,Programme!E16554,Programme!F16554,Programme!G16554,Programme!H16554,Programme!I16554,Programme!J16554)</f>
        <v>&lt;ValeurCellule&gt;</v>
      </c>
    </row>
    <row r="16554" spans="1:1" x14ac:dyDescent="0.2">
      <c r="A16554" s="996" t="str">
        <f>CONCATENATE(Programme!D16555,Programme!E16555,Programme!F16555,Programme!G16555,Programme!H16555,Programme!I16555,Programme!J16555)</f>
        <v>&lt;cellule&gt;&lt;codeEdi&gt;1080&lt;/codeEdi&gt;&lt;/cellule&gt;</v>
      </c>
    </row>
    <row r="16555" spans="1:1" x14ac:dyDescent="0.2">
      <c r="A16555" s="996" t="str">
        <f>CONCATENATE(Programme!D16556,Programme!E16556,Programme!F16556,Programme!G16556,Programme!H16556,Programme!I16556,Programme!J16556)</f>
        <v>&lt;valeur&gt;&lt;/valeur&gt;</v>
      </c>
    </row>
    <row r="16556" spans="1:1" x14ac:dyDescent="0.2">
      <c r="A16556" s="996" t="str">
        <f>CONCATENATE(Programme!D16557,Programme!E16557,Programme!F16557,Programme!G16557,Programme!H16557,Programme!I16557,Programme!J16557)</f>
        <v>&lt;numeroLigne&gt;168&lt;/numeroLigne&gt;</v>
      </c>
    </row>
    <row r="16557" spans="1:1" x14ac:dyDescent="0.2">
      <c r="A16557" s="996" t="str">
        <f>CONCATENATE(Programme!D16558,Programme!E16558,Programme!F16558,Programme!G16558,Programme!H16558,Programme!I16558,Programme!J16558)</f>
        <v>&lt;/ValeurCellule&gt;</v>
      </c>
    </row>
    <row r="16558" spans="1:1" x14ac:dyDescent="0.2">
      <c r="A16558" s="996" t="str">
        <f>CONCATENATE(Programme!D16559,Programme!E16559,Programme!F16559,Programme!G16559,Programme!H16559,Programme!I16559,Programme!J16559)</f>
        <v>&lt;ValeurCellule&gt;</v>
      </c>
    </row>
    <row r="16559" spans="1:1" x14ac:dyDescent="0.2">
      <c r="A16559" s="996" t="str">
        <f>CONCATENATE(Programme!D16560,Programme!E16560,Programme!F16560,Programme!G16560,Programme!H16560,Programme!I16560,Programme!J16560)</f>
        <v>&lt;cellule&gt;&lt;codeEdi&gt;1081&lt;/codeEdi&gt;&lt;/cellule&gt;</v>
      </c>
    </row>
    <row r="16560" spans="1:1" x14ac:dyDescent="0.2">
      <c r="A16560" s="996" t="str">
        <f>CONCATENATE(Programme!D16561,Programme!E16561,Programme!F16561,Programme!G16561,Programme!H16561,Programme!I16561,Programme!J16561)</f>
        <v>&lt;valeur&gt;&lt;/valeur&gt;</v>
      </c>
    </row>
    <row r="16561" spans="1:1" x14ac:dyDescent="0.2">
      <c r="A16561" s="996" t="str">
        <f>CONCATENATE(Programme!D16562,Programme!E16562,Programme!F16562,Programme!G16562,Programme!H16562,Programme!I16562,Programme!J16562)</f>
        <v>&lt;numeroLigne&gt;168&lt;/numeroLigne&gt;</v>
      </c>
    </row>
    <row r="16562" spans="1:1" x14ac:dyDescent="0.2">
      <c r="A16562" s="996" t="str">
        <f>CONCATENATE(Programme!D16563,Programme!E16563,Programme!F16563,Programme!G16563,Programme!H16563,Programme!I16563,Programme!J16563)</f>
        <v>&lt;/ValeurCellule&gt;</v>
      </c>
    </row>
    <row r="16563" spans="1:1" x14ac:dyDescent="0.2">
      <c r="A16563" s="996" t="str">
        <f>CONCATENATE(Programme!D16564,Programme!E16564,Programme!F16564,Programme!G16564,Programme!H16564,Programme!I16564,Programme!J16564)</f>
        <v>&lt;ValeurCellule&gt;</v>
      </c>
    </row>
    <row r="16564" spans="1:1" x14ac:dyDescent="0.2">
      <c r="A16564" s="996" t="str">
        <f>CONCATENATE(Programme!D16565,Programme!E16565,Programme!F16565,Programme!G16565,Programme!H16565,Programme!I16565,Programme!J16565)</f>
        <v>&lt;cellule&gt;&lt;codeEdi&gt;1082&lt;/codeEdi&gt;&lt;/cellule&gt;</v>
      </c>
    </row>
    <row r="16565" spans="1:1" x14ac:dyDescent="0.2">
      <c r="A16565" s="996" t="str">
        <f>CONCATENATE(Programme!D16566,Programme!E16566,Programme!F16566,Programme!G16566,Programme!H16566,Programme!I16566,Programme!J16566)</f>
        <v>&lt;valeur&gt;&lt;/valeur&gt;</v>
      </c>
    </row>
    <row r="16566" spans="1:1" x14ac:dyDescent="0.2">
      <c r="A16566" s="996" t="str">
        <f>CONCATENATE(Programme!D16567,Programme!E16567,Programme!F16567,Programme!G16567,Programme!H16567,Programme!I16567,Programme!J16567)</f>
        <v>&lt;numeroLigne&gt;168&lt;/numeroLigne&gt;</v>
      </c>
    </row>
    <row r="16567" spans="1:1" x14ac:dyDescent="0.2">
      <c r="A16567" s="996" t="str">
        <f>CONCATENATE(Programme!D16568,Programme!E16568,Programme!F16568,Programme!G16568,Programme!H16568,Programme!I16568,Programme!J16568)</f>
        <v>&lt;/ValeurCellule&gt;</v>
      </c>
    </row>
    <row r="16568" spans="1:1" x14ac:dyDescent="0.2">
      <c r="A16568" s="996" t="str">
        <f>CONCATENATE(Programme!D16569,Programme!E16569,Programme!F16569,Programme!G16569,Programme!H16569,Programme!I16569,Programme!J16569)</f>
        <v>&lt;ValeurCellule&gt;</v>
      </c>
    </row>
    <row r="16569" spans="1:1" x14ac:dyDescent="0.2">
      <c r="A16569" s="996" t="str">
        <f>CONCATENATE(Programme!D16570,Programme!E16570,Programme!F16570,Programme!G16570,Programme!H16570,Programme!I16570,Programme!J16570)</f>
        <v>&lt;cellule&gt;&lt;codeEdi&gt;1083&lt;/codeEdi&gt;&lt;/cellule&gt;</v>
      </c>
    </row>
    <row r="16570" spans="1:1" x14ac:dyDescent="0.2">
      <c r="A16570" s="996" t="str">
        <f>CONCATENATE(Programme!D16571,Programme!E16571,Programme!F16571,Programme!G16571,Programme!H16571,Programme!I16571,Programme!J16571)</f>
        <v>&lt;valeur&gt;&lt;/valeur&gt;</v>
      </c>
    </row>
    <row r="16571" spans="1:1" x14ac:dyDescent="0.2">
      <c r="A16571" s="996" t="str">
        <f>CONCATENATE(Programme!D16572,Programme!E16572,Programme!F16572,Programme!G16572,Programme!H16572,Programme!I16572,Programme!J16572)</f>
        <v>&lt;numeroLigne&gt;168&lt;/numeroLigne&gt;</v>
      </c>
    </row>
    <row r="16572" spans="1:1" x14ac:dyDescent="0.2">
      <c r="A16572" s="996" t="str">
        <f>CONCATENATE(Programme!D16573,Programme!E16573,Programme!F16573,Programme!G16573,Programme!H16573,Programme!I16573,Programme!J16573)</f>
        <v>&lt;/ValeurCellule&gt;</v>
      </c>
    </row>
    <row r="16573" spans="1:1" x14ac:dyDescent="0.2">
      <c r="A16573" s="996" t="str">
        <f>CONCATENATE(Programme!D16574,Programme!E16574,Programme!F16574,Programme!G16574,Programme!H16574,Programme!I16574,Programme!J16574)</f>
        <v>&lt;ValeurCellule&gt;</v>
      </c>
    </row>
    <row r="16574" spans="1:1" x14ac:dyDescent="0.2">
      <c r="A16574" s="996" t="str">
        <f>CONCATENATE(Programme!D16575,Programme!E16575,Programme!F16575,Programme!G16575,Programme!H16575,Programme!I16575,Programme!J16575)</f>
        <v>&lt;cellule&gt;&lt;codeEdi&gt;1084&lt;/codeEdi&gt;&lt;/cellule&gt;</v>
      </c>
    </row>
    <row r="16575" spans="1:1" x14ac:dyDescent="0.2">
      <c r="A16575" s="996" t="str">
        <f>CONCATENATE(Programme!D16576,Programme!E16576,Programme!F16576,Programme!G16576,Programme!H16576,Programme!I16576,Programme!J16576)</f>
        <v>&lt;valeur&gt;&lt;/valeur&gt;</v>
      </c>
    </row>
    <row r="16576" spans="1:1" x14ac:dyDescent="0.2">
      <c r="A16576" s="996" t="str">
        <f>CONCATENATE(Programme!D16577,Programme!E16577,Programme!F16577,Programme!G16577,Programme!H16577,Programme!I16577,Programme!J16577)</f>
        <v>&lt;numeroLigne&gt;168&lt;/numeroLigne&gt;</v>
      </c>
    </row>
    <row r="16577" spans="1:1" x14ac:dyDescent="0.2">
      <c r="A16577" s="996" t="str">
        <f>CONCATENATE(Programme!D16578,Programme!E16578,Programme!F16578,Programme!G16578,Programme!H16578,Programme!I16578,Programme!J16578)</f>
        <v>&lt;/ValeurCellule&gt;</v>
      </c>
    </row>
    <row r="16578" spans="1:1" x14ac:dyDescent="0.2">
      <c r="A16578" s="996" t="str">
        <f>CONCATENATE(Programme!D16579,Programme!E16579,Programme!F16579,Programme!G16579,Programme!H16579,Programme!I16579,Programme!J16579)</f>
        <v>&lt;ValeurCellule&gt;</v>
      </c>
    </row>
    <row r="16579" spans="1:1" x14ac:dyDescent="0.2">
      <c r="A16579" s="996" t="str">
        <f>CONCATENATE(Programme!D16580,Programme!E16580,Programme!F16580,Programme!G16580,Programme!H16580,Programme!I16580,Programme!J16580)</f>
        <v>&lt;cellule&gt;&lt;codeEdi&gt;1085&lt;/codeEdi&gt;&lt;/cellule&gt;</v>
      </c>
    </row>
    <row r="16580" spans="1:1" x14ac:dyDescent="0.2">
      <c r="A16580" s="996" t="str">
        <f>CONCATENATE(Programme!D16581,Programme!E16581,Programme!F16581,Programme!G16581,Programme!H16581,Programme!I16581,Programme!J16581)</f>
        <v>&lt;valeur&gt;&lt;/valeur&gt;</v>
      </c>
    </row>
    <row r="16581" spans="1:1" x14ac:dyDescent="0.2">
      <c r="A16581" s="996" t="str">
        <f>CONCATENATE(Programme!D16582,Programme!E16582,Programme!F16582,Programme!G16582,Programme!H16582,Programme!I16582,Programme!J16582)</f>
        <v>&lt;numeroLigne&gt;168&lt;/numeroLigne&gt;</v>
      </c>
    </row>
    <row r="16582" spans="1:1" x14ac:dyDescent="0.2">
      <c r="A16582" s="996" t="str">
        <f>CONCATENATE(Programme!D16583,Programme!E16583,Programme!F16583,Programme!G16583,Programme!H16583,Programme!I16583,Programme!J16583)</f>
        <v>&lt;/ValeurCellule&gt;</v>
      </c>
    </row>
    <row r="16583" spans="1:1" x14ac:dyDescent="0.2">
      <c r="A16583" s="996" t="str">
        <f>CONCATENATE(Programme!D16584,Programme!E16584,Programme!F16584,Programme!G16584,Programme!H16584,Programme!I16584,Programme!J16584)</f>
        <v>&lt;ValeurCellule&gt;</v>
      </c>
    </row>
    <row r="16584" spans="1:1" x14ac:dyDescent="0.2">
      <c r="A16584" s="996" t="str">
        <f>CONCATENATE(Programme!D16585,Programme!E16585,Programme!F16585,Programme!G16585,Programme!H16585,Programme!I16585,Programme!J16585)</f>
        <v>&lt;cellule&gt;&lt;codeEdi&gt;1086&lt;/codeEdi&gt;&lt;/cellule&gt;</v>
      </c>
    </row>
    <row r="16585" spans="1:1" x14ac:dyDescent="0.2">
      <c r="A16585" s="996" t="str">
        <f>CONCATENATE(Programme!D16586,Programme!E16586,Programme!F16586,Programme!G16586,Programme!H16586,Programme!I16586,Programme!J16586)</f>
        <v>&lt;valeur&gt;&lt;/valeur&gt;</v>
      </c>
    </row>
    <row r="16586" spans="1:1" x14ac:dyDescent="0.2">
      <c r="A16586" s="996" t="str">
        <f>CONCATENATE(Programme!D16587,Programme!E16587,Programme!F16587,Programme!G16587,Programme!H16587,Programme!I16587,Programme!J16587)</f>
        <v>&lt;numeroLigne&gt;168&lt;/numeroLigne&gt;</v>
      </c>
    </row>
    <row r="16587" spans="1:1" x14ac:dyDescent="0.2">
      <c r="A16587" s="996" t="str">
        <f>CONCATENATE(Programme!D16588,Programme!E16588,Programme!F16588,Programme!G16588,Programme!H16588,Programme!I16588,Programme!J16588)</f>
        <v>&lt;/ValeurCellule&gt;</v>
      </c>
    </row>
    <row r="16588" spans="1:1" x14ac:dyDescent="0.2">
      <c r="A16588" s="996" t="str">
        <f>CONCATENATE(Programme!D16589,Programme!E16589,Programme!F16589,Programme!G16589,Programme!H16589,Programme!I16589,Programme!J16589)</f>
        <v>&lt;ValeurCellule&gt;</v>
      </c>
    </row>
    <row r="16589" spans="1:1" x14ac:dyDescent="0.2">
      <c r="A16589" s="996" t="str">
        <f>CONCATENATE(Programme!D16590,Programme!E16590,Programme!F16590,Programme!G16590,Programme!H16590,Programme!I16590,Programme!J16590)</f>
        <v>&lt;cellule&gt;&lt;codeEdi&gt;10061&lt;/codeEdi&gt;&lt;/cellule&gt;</v>
      </c>
    </row>
    <row r="16590" spans="1:1" x14ac:dyDescent="0.2">
      <c r="A16590" s="996" t="str">
        <f>CONCATENATE(Programme!D16591,Programme!E16591,Programme!F16591,Programme!G16591,Programme!H16591,Programme!I16591,Programme!J16591)</f>
        <v>&lt;valeur&gt;&lt;/valeur&gt;</v>
      </c>
    </row>
    <row r="16591" spans="1:1" x14ac:dyDescent="0.2">
      <c r="A16591" s="996" t="str">
        <f>CONCATENATE(Programme!D16592,Programme!E16592,Programme!F16592,Programme!G16592,Programme!H16592,Programme!I16592,Programme!J16592)</f>
        <v>&lt;numeroLigne&gt;169&lt;/numeroLigne&gt;</v>
      </c>
    </row>
    <row r="16592" spans="1:1" x14ac:dyDescent="0.2">
      <c r="A16592" s="996" t="str">
        <f>CONCATENATE(Programme!D16593,Programme!E16593,Programme!F16593,Programme!G16593,Programme!H16593,Programme!I16593,Programme!J16593)</f>
        <v>&lt;/ValeurCellule&gt;</v>
      </c>
    </row>
    <row r="16593" spans="1:1" x14ac:dyDescent="0.2">
      <c r="A16593" s="996" t="str">
        <f>CONCATENATE(Programme!D16594,Programme!E16594,Programme!F16594,Programme!G16594,Programme!H16594,Programme!I16594,Programme!J16594)</f>
        <v>&lt;ValeurCellule&gt;</v>
      </c>
    </row>
    <row r="16594" spans="1:1" x14ac:dyDescent="0.2">
      <c r="A16594" s="996" t="str">
        <f>CONCATENATE(Programme!D16595,Programme!E16595,Programme!F16595,Programme!G16595,Programme!H16595,Programme!I16595,Programme!J16595)</f>
        <v>&lt;cellule&gt;&lt;codeEdi&gt;1078&lt;/codeEdi&gt;&lt;/cellule&gt;</v>
      </c>
    </row>
    <row r="16595" spans="1:1" x14ac:dyDescent="0.2">
      <c r="A16595" s="996" t="str">
        <f>CONCATENATE(Programme!D16596,Programme!E16596,Programme!F16596,Programme!G16596,Programme!H16596,Programme!I16596,Programme!J16596)</f>
        <v>&lt;valeur&gt;&lt;/valeur&gt;</v>
      </c>
    </row>
    <row r="16596" spans="1:1" x14ac:dyDescent="0.2">
      <c r="A16596" s="996" t="str">
        <f>CONCATENATE(Programme!D16597,Programme!E16597,Programme!F16597,Programme!G16597,Programme!H16597,Programme!I16597,Programme!J16597)</f>
        <v>&lt;numeroLigne&gt;169&lt;/numeroLigne&gt;</v>
      </c>
    </row>
    <row r="16597" spans="1:1" x14ac:dyDescent="0.2">
      <c r="A16597" s="996" t="str">
        <f>CONCATENATE(Programme!D16598,Programme!E16598,Programme!F16598,Programme!G16598,Programme!H16598,Programme!I16598,Programme!J16598)</f>
        <v>&lt;/ValeurCellule&gt;</v>
      </c>
    </row>
    <row r="16598" spans="1:1" x14ac:dyDescent="0.2">
      <c r="A16598" s="996" t="str">
        <f>CONCATENATE(Programme!D16599,Programme!E16599,Programme!F16599,Programme!G16599,Programme!H16599,Programme!I16599,Programme!J16599)</f>
        <v>&lt;ValeurCellule&gt;</v>
      </c>
    </row>
    <row r="16599" spans="1:1" x14ac:dyDescent="0.2">
      <c r="A16599" s="996" t="str">
        <f>CONCATENATE(Programme!D16600,Programme!E16600,Programme!F16600,Programme!G16600,Programme!H16600,Programme!I16600,Programme!J16600)</f>
        <v>&lt;cellule&gt;&lt;codeEdi&gt;1079&lt;/codeEdi&gt;&lt;/cellule&gt;</v>
      </c>
    </row>
    <row r="16600" spans="1:1" x14ac:dyDescent="0.2">
      <c r="A16600" s="996" t="str">
        <f>CONCATENATE(Programme!D16601,Programme!E16601,Programme!F16601,Programme!G16601,Programme!H16601,Programme!I16601,Programme!J16601)</f>
        <v>&lt;valeur&gt;&lt;/valeur&gt;</v>
      </c>
    </row>
    <row r="16601" spans="1:1" x14ac:dyDescent="0.2">
      <c r="A16601" s="996" t="str">
        <f>CONCATENATE(Programme!D16602,Programme!E16602,Programme!F16602,Programme!G16602,Programme!H16602,Programme!I16602,Programme!J16602)</f>
        <v>&lt;numeroLigne&gt;169&lt;/numeroLigne&gt;</v>
      </c>
    </row>
    <row r="16602" spans="1:1" x14ac:dyDescent="0.2">
      <c r="A16602" s="996" t="str">
        <f>CONCATENATE(Programme!D16603,Programme!E16603,Programme!F16603,Programme!G16603,Programme!H16603,Programme!I16603,Programme!J16603)</f>
        <v>&lt;/ValeurCellule&gt;</v>
      </c>
    </row>
    <row r="16603" spans="1:1" x14ac:dyDescent="0.2">
      <c r="A16603" s="996" t="str">
        <f>CONCATENATE(Programme!D16604,Programme!E16604,Programme!F16604,Programme!G16604,Programme!H16604,Programme!I16604,Programme!J16604)</f>
        <v>&lt;ValeurCellule&gt;</v>
      </c>
    </row>
    <row r="16604" spans="1:1" x14ac:dyDescent="0.2">
      <c r="A16604" s="996" t="str">
        <f>CONCATENATE(Programme!D16605,Programme!E16605,Programme!F16605,Programme!G16605,Programme!H16605,Programme!I16605,Programme!J16605)</f>
        <v>&lt;cellule&gt;&lt;codeEdi&gt;1080&lt;/codeEdi&gt;&lt;/cellule&gt;</v>
      </c>
    </row>
    <row r="16605" spans="1:1" x14ac:dyDescent="0.2">
      <c r="A16605" s="996" t="str">
        <f>CONCATENATE(Programme!D16606,Programme!E16606,Programme!F16606,Programme!G16606,Programme!H16606,Programme!I16606,Programme!J16606)</f>
        <v>&lt;valeur&gt;&lt;/valeur&gt;</v>
      </c>
    </row>
    <row r="16606" spans="1:1" x14ac:dyDescent="0.2">
      <c r="A16606" s="996" t="str">
        <f>CONCATENATE(Programme!D16607,Programme!E16607,Programme!F16607,Programme!G16607,Programme!H16607,Programme!I16607,Programme!J16607)</f>
        <v>&lt;numeroLigne&gt;169&lt;/numeroLigne&gt;</v>
      </c>
    </row>
    <row r="16607" spans="1:1" x14ac:dyDescent="0.2">
      <c r="A16607" s="996" t="str">
        <f>CONCATENATE(Programme!D16608,Programme!E16608,Programme!F16608,Programme!G16608,Programme!H16608,Programme!I16608,Programme!J16608)</f>
        <v>&lt;/ValeurCellule&gt;</v>
      </c>
    </row>
    <row r="16608" spans="1:1" x14ac:dyDescent="0.2">
      <c r="A16608" s="996" t="str">
        <f>CONCATENATE(Programme!D16609,Programme!E16609,Programme!F16609,Programme!G16609,Programme!H16609,Programme!I16609,Programme!J16609)</f>
        <v>&lt;ValeurCellule&gt;</v>
      </c>
    </row>
    <row r="16609" spans="1:1" x14ac:dyDescent="0.2">
      <c r="A16609" s="996" t="str">
        <f>CONCATENATE(Programme!D16610,Programme!E16610,Programme!F16610,Programme!G16610,Programme!H16610,Programme!I16610,Programme!J16610)</f>
        <v>&lt;cellule&gt;&lt;codeEdi&gt;1081&lt;/codeEdi&gt;&lt;/cellule&gt;</v>
      </c>
    </row>
    <row r="16610" spans="1:1" x14ac:dyDescent="0.2">
      <c r="A16610" s="996" t="str">
        <f>CONCATENATE(Programme!D16611,Programme!E16611,Programme!F16611,Programme!G16611,Programme!H16611,Programme!I16611,Programme!J16611)</f>
        <v>&lt;valeur&gt;&lt;/valeur&gt;</v>
      </c>
    </row>
    <row r="16611" spans="1:1" x14ac:dyDescent="0.2">
      <c r="A16611" s="996" t="str">
        <f>CONCATENATE(Programme!D16612,Programme!E16612,Programme!F16612,Programme!G16612,Programme!H16612,Programme!I16612,Programme!J16612)</f>
        <v>&lt;numeroLigne&gt;169&lt;/numeroLigne&gt;</v>
      </c>
    </row>
    <row r="16612" spans="1:1" x14ac:dyDescent="0.2">
      <c r="A16612" s="996" t="str">
        <f>CONCATENATE(Programme!D16613,Programme!E16613,Programme!F16613,Programme!G16613,Programme!H16613,Programme!I16613,Programme!J16613)</f>
        <v>&lt;/ValeurCellule&gt;</v>
      </c>
    </row>
    <row r="16613" spans="1:1" x14ac:dyDescent="0.2">
      <c r="A16613" s="996" t="str">
        <f>CONCATENATE(Programme!D16614,Programme!E16614,Programme!F16614,Programme!G16614,Programme!H16614,Programme!I16614,Programme!J16614)</f>
        <v>&lt;ValeurCellule&gt;</v>
      </c>
    </row>
    <row r="16614" spans="1:1" x14ac:dyDescent="0.2">
      <c r="A16614" s="996" t="str">
        <f>CONCATENATE(Programme!D16615,Programme!E16615,Programme!F16615,Programme!G16615,Programme!H16615,Programme!I16615,Programme!J16615)</f>
        <v>&lt;cellule&gt;&lt;codeEdi&gt;1082&lt;/codeEdi&gt;&lt;/cellule&gt;</v>
      </c>
    </row>
    <row r="16615" spans="1:1" x14ac:dyDescent="0.2">
      <c r="A16615" s="996" t="str">
        <f>CONCATENATE(Programme!D16616,Programme!E16616,Programme!F16616,Programme!G16616,Programme!H16616,Programme!I16616,Programme!J16616)</f>
        <v>&lt;valeur&gt;&lt;/valeur&gt;</v>
      </c>
    </row>
    <row r="16616" spans="1:1" x14ac:dyDescent="0.2">
      <c r="A16616" s="996" t="str">
        <f>CONCATENATE(Programme!D16617,Programme!E16617,Programme!F16617,Programme!G16617,Programme!H16617,Programme!I16617,Programme!J16617)</f>
        <v>&lt;numeroLigne&gt;169&lt;/numeroLigne&gt;</v>
      </c>
    </row>
    <row r="16617" spans="1:1" x14ac:dyDescent="0.2">
      <c r="A16617" s="996" t="str">
        <f>CONCATENATE(Programme!D16618,Programme!E16618,Programme!F16618,Programme!G16618,Programme!H16618,Programme!I16618,Programme!J16618)</f>
        <v>&lt;/ValeurCellule&gt;</v>
      </c>
    </row>
    <row r="16618" spans="1:1" x14ac:dyDescent="0.2">
      <c r="A16618" s="996" t="str">
        <f>CONCATENATE(Programme!D16619,Programme!E16619,Programme!F16619,Programme!G16619,Programme!H16619,Programme!I16619,Programme!J16619)</f>
        <v>&lt;ValeurCellule&gt;</v>
      </c>
    </row>
    <row r="16619" spans="1:1" x14ac:dyDescent="0.2">
      <c r="A16619" s="996" t="str">
        <f>CONCATENATE(Programme!D16620,Programme!E16620,Programme!F16620,Programme!G16620,Programme!H16620,Programme!I16620,Programme!J16620)</f>
        <v>&lt;cellule&gt;&lt;codeEdi&gt;1083&lt;/codeEdi&gt;&lt;/cellule&gt;</v>
      </c>
    </row>
    <row r="16620" spans="1:1" x14ac:dyDescent="0.2">
      <c r="A16620" s="996" t="str">
        <f>CONCATENATE(Programme!D16621,Programme!E16621,Programme!F16621,Programme!G16621,Programme!H16621,Programme!I16621,Programme!J16621)</f>
        <v>&lt;valeur&gt;&lt;/valeur&gt;</v>
      </c>
    </row>
    <row r="16621" spans="1:1" x14ac:dyDescent="0.2">
      <c r="A16621" s="996" t="str">
        <f>CONCATENATE(Programme!D16622,Programme!E16622,Programme!F16622,Programme!G16622,Programme!H16622,Programme!I16622,Programme!J16622)</f>
        <v>&lt;numeroLigne&gt;169&lt;/numeroLigne&gt;</v>
      </c>
    </row>
    <row r="16622" spans="1:1" x14ac:dyDescent="0.2">
      <c r="A16622" s="996" t="str">
        <f>CONCATENATE(Programme!D16623,Programme!E16623,Programme!F16623,Programme!G16623,Programme!H16623,Programme!I16623,Programme!J16623)</f>
        <v>&lt;/ValeurCellule&gt;</v>
      </c>
    </row>
    <row r="16623" spans="1:1" x14ac:dyDescent="0.2">
      <c r="A16623" s="996" t="str">
        <f>CONCATENATE(Programme!D16624,Programme!E16624,Programme!F16624,Programme!G16624,Programme!H16624,Programme!I16624,Programme!J16624)</f>
        <v>&lt;ValeurCellule&gt;</v>
      </c>
    </row>
    <row r="16624" spans="1:1" x14ac:dyDescent="0.2">
      <c r="A16624" s="996" t="str">
        <f>CONCATENATE(Programme!D16625,Programme!E16625,Programme!F16625,Programme!G16625,Programme!H16625,Programme!I16625,Programme!J16625)</f>
        <v>&lt;cellule&gt;&lt;codeEdi&gt;1084&lt;/codeEdi&gt;&lt;/cellule&gt;</v>
      </c>
    </row>
    <row r="16625" spans="1:1" x14ac:dyDescent="0.2">
      <c r="A16625" s="996" t="str">
        <f>CONCATENATE(Programme!D16626,Programme!E16626,Programme!F16626,Programme!G16626,Programme!H16626,Programme!I16626,Programme!J16626)</f>
        <v>&lt;valeur&gt;&lt;/valeur&gt;</v>
      </c>
    </row>
    <row r="16626" spans="1:1" x14ac:dyDescent="0.2">
      <c r="A16626" s="996" t="str">
        <f>CONCATENATE(Programme!D16627,Programme!E16627,Programme!F16627,Programme!G16627,Programme!H16627,Programme!I16627,Programme!J16627)</f>
        <v>&lt;numeroLigne&gt;169&lt;/numeroLigne&gt;</v>
      </c>
    </row>
    <row r="16627" spans="1:1" x14ac:dyDescent="0.2">
      <c r="A16627" s="996" t="str">
        <f>CONCATENATE(Programme!D16628,Programme!E16628,Programme!F16628,Programme!G16628,Programme!H16628,Programme!I16628,Programme!J16628)</f>
        <v>&lt;/ValeurCellule&gt;</v>
      </c>
    </row>
    <row r="16628" spans="1:1" x14ac:dyDescent="0.2">
      <c r="A16628" s="996" t="str">
        <f>CONCATENATE(Programme!D16629,Programme!E16629,Programme!F16629,Programme!G16629,Programme!H16629,Programme!I16629,Programme!J16629)</f>
        <v>&lt;ValeurCellule&gt;</v>
      </c>
    </row>
    <row r="16629" spans="1:1" x14ac:dyDescent="0.2">
      <c r="A16629" s="996" t="str">
        <f>CONCATENATE(Programme!D16630,Programme!E16630,Programme!F16630,Programme!G16630,Programme!H16630,Programme!I16630,Programme!J16630)</f>
        <v>&lt;cellule&gt;&lt;codeEdi&gt;1085&lt;/codeEdi&gt;&lt;/cellule&gt;</v>
      </c>
    </row>
    <row r="16630" spans="1:1" x14ac:dyDescent="0.2">
      <c r="A16630" s="996" t="str">
        <f>CONCATENATE(Programme!D16631,Programme!E16631,Programme!F16631,Programme!G16631,Programme!H16631,Programme!I16631,Programme!J16631)</f>
        <v>&lt;valeur&gt;&lt;/valeur&gt;</v>
      </c>
    </row>
    <row r="16631" spans="1:1" x14ac:dyDescent="0.2">
      <c r="A16631" s="996" t="str">
        <f>CONCATENATE(Programme!D16632,Programme!E16632,Programme!F16632,Programme!G16632,Programme!H16632,Programme!I16632,Programme!J16632)</f>
        <v>&lt;numeroLigne&gt;169&lt;/numeroLigne&gt;</v>
      </c>
    </row>
    <row r="16632" spans="1:1" x14ac:dyDescent="0.2">
      <c r="A16632" s="996" t="str">
        <f>CONCATENATE(Programme!D16633,Programme!E16633,Programme!F16633,Programme!G16633,Programme!H16633,Programme!I16633,Programme!J16633)</f>
        <v>&lt;/ValeurCellule&gt;</v>
      </c>
    </row>
    <row r="16633" spans="1:1" x14ac:dyDescent="0.2">
      <c r="A16633" s="996" t="str">
        <f>CONCATENATE(Programme!D16634,Programme!E16634,Programme!F16634,Programme!G16634,Programme!H16634,Programme!I16634,Programme!J16634)</f>
        <v>&lt;ValeurCellule&gt;</v>
      </c>
    </row>
    <row r="16634" spans="1:1" x14ac:dyDescent="0.2">
      <c r="A16634" s="996" t="str">
        <f>CONCATENATE(Programme!D16635,Programme!E16635,Programme!F16635,Programme!G16635,Programme!H16635,Programme!I16635,Programme!J16635)</f>
        <v>&lt;cellule&gt;&lt;codeEdi&gt;1086&lt;/codeEdi&gt;&lt;/cellule&gt;</v>
      </c>
    </row>
    <row r="16635" spans="1:1" x14ac:dyDescent="0.2">
      <c r="A16635" s="996" t="str">
        <f>CONCATENATE(Programme!D16636,Programme!E16636,Programme!F16636,Programme!G16636,Programme!H16636,Programme!I16636,Programme!J16636)</f>
        <v>&lt;valeur&gt;&lt;/valeur&gt;</v>
      </c>
    </row>
    <row r="16636" spans="1:1" x14ac:dyDescent="0.2">
      <c r="A16636" s="996" t="str">
        <f>CONCATENATE(Programme!D16637,Programme!E16637,Programme!F16637,Programme!G16637,Programme!H16637,Programme!I16637,Programme!J16637)</f>
        <v>&lt;numeroLigne&gt;169&lt;/numeroLigne&gt;</v>
      </c>
    </row>
    <row r="16637" spans="1:1" x14ac:dyDescent="0.2">
      <c r="A16637" s="996" t="str">
        <f>CONCATENATE(Programme!D16638,Programme!E16638,Programme!F16638,Programme!G16638,Programme!H16638,Programme!I16638,Programme!J16638)</f>
        <v>&lt;/ValeurCellule&gt;</v>
      </c>
    </row>
    <row r="16638" spans="1:1" x14ac:dyDescent="0.2">
      <c r="A16638" s="996" t="str">
        <f>CONCATENATE(Programme!D16639,Programme!E16639,Programme!F16639,Programme!G16639,Programme!H16639,Programme!I16639,Programme!J16639)</f>
        <v>&lt;ValeurCellule&gt;</v>
      </c>
    </row>
    <row r="16639" spans="1:1" x14ac:dyDescent="0.2">
      <c r="A16639" s="996" t="str">
        <f>CONCATENATE(Programme!D16640,Programme!E16640,Programme!F16640,Programme!G16640,Programme!H16640,Programme!I16640,Programme!J16640)</f>
        <v>&lt;cellule&gt;&lt;codeEdi&gt;10061&lt;/codeEdi&gt;&lt;/cellule&gt;</v>
      </c>
    </row>
    <row r="16640" spans="1:1" x14ac:dyDescent="0.2">
      <c r="A16640" s="996" t="str">
        <f>CONCATENATE(Programme!D16641,Programme!E16641,Programme!F16641,Programme!G16641,Programme!H16641,Programme!I16641,Programme!J16641)</f>
        <v>&lt;valeur&gt;&lt;/valeur&gt;</v>
      </c>
    </row>
    <row r="16641" spans="1:1" x14ac:dyDescent="0.2">
      <c r="A16641" s="996" t="str">
        <f>CONCATENATE(Programme!D16642,Programme!E16642,Programme!F16642,Programme!G16642,Programme!H16642,Programme!I16642,Programme!J16642)</f>
        <v>&lt;numeroLigne&gt;170&lt;/numeroLigne&gt;</v>
      </c>
    </row>
    <row r="16642" spans="1:1" x14ac:dyDescent="0.2">
      <c r="A16642" s="996" t="str">
        <f>CONCATENATE(Programme!D16643,Programme!E16643,Programme!F16643,Programme!G16643,Programme!H16643,Programme!I16643,Programme!J16643)</f>
        <v>&lt;/ValeurCellule&gt;</v>
      </c>
    </row>
    <row r="16643" spans="1:1" x14ac:dyDescent="0.2">
      <c r="A16643" s="996" t="str">
        <f>CONCATENATE(Programme!D16644,Programme!E16644,Programme!F16644,Programme!G16644,Programme!H16644,Programme!I16644,Programme!J16644)</f>
        <v>&lt;ValeurCellule&gt;</v>
      </c>
    </row>
    <row r="16644" spans="1:1" x14ac:dyDescent="0.2">
      <c r="A16644" s="996" t="str">
        <f>CONCATENATE(Programme!D16645,Programme!E16645,Programme!F16645,Programme!G16645,Programme!H16645,Programme!I16645,Programme!J16645)</f>
        <v>&lt;cellule&gt;&lt;codeEdi&gt;1078&lt;/codeEdi&gt;&lt;/cellule&gt;</v>
      </c>
    </row>
    <row r="16645" spans="1:1" x14ac:dyDescent="0.2">
      <c r="A16645" s="996" t="str">
        <f>CONCATENATE(Programme!D16646,Programme!E16646,Programme!F16646,Programme!G16646,Programme!H16646,Programme!I16646,Programme!J16646)</f>
        <v>&lt;valeur&gt;&lt;/valeur&gt;</v>
      </c>
    </row>
    <row r="16646" spans="1:1" x14ac:dyDescent="0.2">
      <c r="A16646" s="996" t="str">
        <f>CONCATENATE(Programme!D16647,Programme!E16647,Programme!F16647,Programme!G16647,Programme!H16647,Programme!I16647,Programme!J16647)</f>
        <v>&lt;numeroLigne&gt;170&lt;/numeroLigne&gt;</v>
      </c>
    </row>
    <row r="16647" spans="1:1" x14ac:dyDescent="0.2">
      <c r="A16647" s="996" t="str">
        <f>CONCATENATE(Programme!D16648,Programme!E16648,Programme!F16648,Programme!G16648,Programme!H16648,Programme!I16648,Programme!J16648)</f>
        <v>&lt;/ValeurCellule&gt;</v>
      </c>
    </row>
    <row r="16648" spans="1:1" x14ac:dyDescent="0.2">
      <c r="A16648" s="996" t="str">
        <f>CONCATENATE(Programme!D16649,Programme!E16649,Programme!F16649,Programme!G16649,Programme!H16649,Programme!I16649,Programme!J16649)</f>
        <v>&lt;ValeurCellule&gt;</v>
      </c>
    </row>
    <row r="16649" spans="1:1" x14ac:dyDescent="0.2">
      <c r="A16649" s="996" t="str">
        <f>CONCATENATE(Programme!D16650,Programme!E16650,Programme!F16650,Programme!G16650,Programme!H16650,Programme!I16650,Programme!J16650)</f>
        <v>&lt;cellule&gt;&lt;codeEdi&gt;1079&lt;/codeEdi&gt;&lt;/cellule&gt;</v>
      </c>
    </row>
    <row r="16650" spans="1:1" x14ac:dyDescent="0.2">
      <c r="A16650" s="996" t="str">
        <f>CONCATENATE(Programme!D16651,Programme!E16651,Programme!F16651,Programme!G16651,Programme!H16651,Programme!I16651,Programme!J16651)</f>
        <v>&lt;valeur&gt;&lt;/valeur&gt;</v>
      </c>
    </row>
    <row r="16651" spans="1:1" x14ac:dyDescent="0.2">
      <c r="A16651" s="996" t="str">
        <f>CONCATENATE(Programme!D16652,Programme!E16652,Programme!F16652,Programme!G16652,Programme!H16652,Programme!I16652,Programme!J16652)</f>
        <v>&lt;numeroLigne&gt;170&lt;/numeroLigne&gt;</v>
      </c>
    </row>
    <row r="16652" spans="1:1" x14ac:dyDescent="0.2">
      <c r="A16652" s="996" t="str">
        <f>CONCATENATE(Programme!D16653,Programme!E16653,Programme!F16653,Programme!G16653,Programme!H16653,Programme!I16653,Programme!J16653)</f>
        <v>&lt;/ValeurCellule&gt;</v>
      </c>
    </row>
    <row r="16653" spans="1:1" x14ac:dyDescent="0.2">
      <c r="A16653" s="996" t="str">
        <f>CONCATENATE(Programme!D16654,Programme!E16654,Programme!F16654,Programme!G16654,Programme!H16654,Programme!I16654,Programme!J16654)</f>
        <v>&lt;ValeurCellule&gt;</v>
      </c>
    </row>
    <row r="16654" spans="1:1" x14ac:dyDescent="0.2">
      <c r="A16654" s="996" t="str">
        <f>CONCATENATE(Programme!D16655,Programme!E16655,Programme!F16655,Programme!G16655,Programme!H16655,Programme!I16655,Programme!J16655)</f>
        <v>&lt;cellule&gt;&lt;codeEdi&gt;1080&lt;/codeEdi&gt;&lt;/cellule&gt;</v>
      </c>
    </row>
    <row r="16655" spans="1:1" x14ac:dyDescent="0.2">
      <c r="A16655" s="996" t="str">
        <f>CONCATENATE(Programme!D16656,Programme!E16656,Programme!F16656,Programme!G16656,Programme!H16656,Programme!I16656,Programme!J16656)</f>
        <v>&lt;valeur&gt;&lt;/valeur&gt;</v>
      </c>
    </row>
    <row r="16656" spans="1:1" x14ac:dyDescent="0.2">
      <c r="A16656" s="996" t="str">
        <f>CONCATENATE(Programme!D16657,Programme!E16657,Programme!F16657,Programme!G16657,Programme!H16657,Programme!I16657,Programme!J16657)</f>
        <v>&lt;numeroLigne&gt;170&lt;/numeroLigne&gt;</v>
      </c>
    </row>
    <row r="16657" spans="1:1" x14ac:dyDescent="0.2">
      <c r="A16657" s="996" t="str">
        <f>CONCATENATE(Programme!D16658,Programme!E16658,Programme!F16658,Programme!G16658,Programme!H16658,Programme!I16658,Programme!J16658)</f>
        <v>&lt;/ValeurCellule&gt;</v>
      </c>
    </row>
    <row r="16658" spans="1:1" x14ac:dyDescent="0.2">
      <c r="A16658" s="996" t="str">
        <f>CONCATENATE(Programme!D16659,Programme!E16659,Programme!F16659,Programme!G16659,Programme!H16659,Programme!I16659,Programme!J16659)</f>
        <v>&lt;ValeurCellule&gt;</v>
      </c>
    </row>
    <row r="16659" spans="1:1" x14ac:dyDescent="0.2">
      <c r="A16659" s="996" t="str">
        <f>CONCATENATE(Programme!D16660,Programme!E16660,Programme!F16660,Programme!G16660,Programme!H16660,Programme!I16660,Programme!J16660)</f>
        <v>&lt;cellule&gt;&lt;codeEdi&gt;1081&lt;/codeEdi&gt;&lt;/cellule&gt;</v>
      </c>
    </row>
    <row r="16660" spans="1:1" x14ac:dyDescent="0.2">
      <c r="A16660" s="996" t="str">
        <f>CONCATENATE(Programme!D16661,Programme!E16661,Programme!F16661,Programme!G16661,Programme!H16661,Programme!I16661,Programme!J16661)</f>
        <v>&lt;valeur&gt;&lt;/valeur&gt;</v>
      </c>
    </row>
    <row r="16661" spans="1:1" x14ac:dyDescent="0.2">
      <c r="A16661" s="996" t="str">
        <f>CONCATENATE(Programme!D16662,Programme!E16662,Programme!F16662,Programme!G16662,Programme!H16662,Programme!I16662,Programme!J16662)</f>
        <v>&lt;numeroLigne&gt;170&lt;/numeroLigne&gt;</v>
      </c>
    </row>
    <row r="16662" spans="1:1" x14ac:dyDescent="0.2">
      <c r="A16662" s="996" t="str">
        <f>CONCATENATE(Programme!D16663,Programme!E16663,Programme!F16663,Programme!G16663,Programme!H16663,Programme!I16663,Programme!J16663)</f>
        <v>&lt;/ValeurCellule&gt;</v>
      </c>
    </row>
    <row r="16663" spans="1:1" x14ac:dyDescent="0.2">
      <c r="A16663" s="996" t="str">
        <f>CONCATENATE(Programme!D16664,Programme!E16664,Programme!F16664,Programme!G16664,Programme!H16664,Programme!I16664,Programme!J16664)</f>
        <v>&lt;ValeurCellule&gt;</v>
      </c>
    </row>
    <row r="16664" spans="1:1" x14ac:dyDescent="0.2">
      <c r="A16664" s="996" t="str">
        <f>CONCATENATE(Programme!D16665,Programme!E16665,Programme!F16665,Programme!G16665,Programme!H16665,Programme!I16665,Programme!J16665)</f>
        <v>&lt;cellule&gt;&lt;codeEdi&gt;1082&lt;/codeEdi&gt;&lt;/cellule&gt;</v>
      </c>
    </row>
    <row r="16665" spans="1:1" x14ac:dyDescent="0.2">
      <c r="A16665" s="996" t="str">
        <f>CONCATENATE(Programme!D16666,Programme!E16666,Programme!F16666,Programme!G16666,Programme!H16666,Programme!I16666,Programme!J16666)</f>
        <v>&lt;valeur&gt;&lt;/valeur&gt;</v>
      </c>
    </row>
    <row r="16666" spans="1:1" x14ac:dyDescent="0.2">
      <c r="A16666" s="996" t="str">
        <f>CONCATENATE(Programme!D16667,Programme!E16667,Programme!F16667,Programme!G16667,Programme!H16667,Programme!I16667,Programme!J16667)</f>
        <v>&lt;numeroLigne&gt;170&lt;/numeroLigne&gt;</v>
      </c>
    </row>
    <row r="16667" spans="1:1" x14ac:dyDescent="0.2">
      <c r="A16667" s="996" t="str">
        <f>CONCATENATE(Programme!D16668,Programme!E16668,Programme!F16668,Programme!G16668,Programme!H16668,Programme!I16668,Programme!J16668)</f>
        <v>&lt;/ValeurCellule&gt;</v>
      </c>
    </row>
    <row r="16668" spans="1:1" x14ac:dyDescent="0.2">
      <c r="A16668" s="996" t="str">
        <f>CONCATENATE(Programme!D16669,Programme!E16669,Programme!F16669,Programme!G16669,Programme!H16669,Programme!I16669,Programme!J16669)</f>
        <v>&lt;ValeurCellule&gt;</v>
      </c>
    </row>
    <row r="16669" spans="1:1" x14ac:dyDescent="0.2">
      <c r="A16669" s="996" t="str">
        <f>CONCATENATE(Programme!D16670,Programme!E16670,Programme!F16670,Programme!G16670,Programme!H16670,Programme!I16670,Programme!J16670)</f>
        <v>&lt;cellule&gt;&lt;codeEdi&gt;1083&lt;/codeEdi&gt;&lt;/cellule&gt;</v>
      </c>
    </row>
    <row r="16670" spans="1:1" x14ac:dyDescent="0.2">
      <c r="A16670" s="996" t="str">
        <f>CONCATENATE(Programme!D16671,Programme!E16671,Programme!F16671,Programme!G16671,Programme!H16671,Programme!I16671,Programme!J16671)</f>
        <v>&lt;valeur&gt;&lt;/valeur&gt;</v>
      </c>
    </row>
    <row r="16671" spans="1:1" x14ac:dyDescent="0.2">
      <c r="A16671" s="996" t="str">
        <f>CONCATENATE(Programme!D16672,Programme!E16672,Programme!F16672,Programme!G16672,Programme!H16672,Programme!I16672,Programme!J16672)</f>
        <v>&lt;numeroLigne&gt;170&lt;/numeroLigne&gt;</v>
      </c>
    </row>
    <row r="16672" spans="1:1" x14ac:dyDescent="0.2">
      <c r="A16672" s="996" t="str">
        <f>CONCATENATE(Programme!D16673,Programme!E16673,Programme!F16673,Programme!G16673,Programme!H16673,Programme!I16673,Programme!J16673)</f>
        <v>&lt;/ValeurCellule&gt;</v>
      </c>
    </row>
    <row r="16673" spans="1:1" x14ac:dyDescent="0.2">
      <c r="A16673" s="996" t="str">
        <f>CONCATENATE(Programme!D16674,Programme!E16674,Programme!F16674,Programme!G16674,Programme!H16674,Programme!I16674,Programme!J16674)</f>
        <v>&lt;ValeurCellule&gt;</v>
      </c>
    </row>
    <row r="16674" spans="1:1" x14ac:dyDescent="0.2">
      <c r="A16674" s="996" t="str">
        <f>CONCATENATE(Programme!D16675,Programme!E16675,Programme!F16675,Programme!G16675,Programme!H16675,Programme!I16675,Programme!J16675)</f>
        <v>&lt;cellule&gt;&lt;codeEdi&gt;1084&lt;/codeEdi&gt;&lt;/cellule&gt;</v>
      </c>
    </row>
    <row r="16675" spans="1:1" x14ac:dyDescent="0.2">
      <c r="A16675" s="996" t="str">
        <f>CONCATENATE(Programme!D16676,Programme!E16676,Programme!F16676,Programme!G16676,Programme!H16676,Programme!I16676,Programme!J16676)</f>
        <v>&lt;valeur&gt;&lt;/valeur&gt;</v>
      </c>
    </row>
    <row r="16676" spans="1:1" x14ac:dyDescent="0.2">
      <c r="A16676" s="996" t="str">
        <f>CONCATENATE(Programme!D16677,Programme!E16677,Programme!F16677,Programme!G16677,Programme!H16677,Programme!I16677,Programme!J16677)</f>
        <v>&lt;numeroLigne&gt;170&lt;/numeroLigne&gt;</v>
      </c>
    </row>
    <row r="16677" spans="1:1" x14ac:dyDescent="0.2">
      <c r="A16677" s="996" t="str">
        <f>CONCATENATE(Programme!D16678,Programme!E16678,Programme!F16678,Programme!G16678,Programme!H16678,Programme!I16678,Programme!J16678)</f>
        <v>&lt;/ValeurCellule&gt;</v>
      </c>
    </row>
    <row r="16678" spans="1:1" x14ac:dyDescent="0.2">
      <c r="A16678" s="996" t="str">
        <f>CONCATENATE(Programme!D16679,Programme!E16679,Programme!F16679,Programme!G16679,Programme!H16679,Programme!I16679,Programme!J16679)</f>
        <v>&lt;ValeurCellule&gt;</v>
      </c>
    </row>
    <row r="16679" spans="1:1" x14ac:dyDescent="0.2">
      <c r="A16679" s="996" t="str">
        <f>CONCATENATE(Programme!D16680,Programme!E16680,Programme!F16680,Programme!G16680,Programme!H16680,Programme!I16680,Programme!J16680)</f>
        <v>&lt;cellule&gt;&lt;codeEdi&gt;1085&lt;/codeEdi&gt;&lt;/cellule&gt;</v>
      </c>
    </row>
    <row r="16680" spans="1:1" x14ac:dyDescent="0.2">
      <c r="A16680" s="996" t="str">
        <f>CONCATENATE(Programme!D16681,Programme!E16681,Programme!F16681,Programme!G16681,Programme!H16681,Programme!I16681,Programme!J16681)</f>
        <v>&lt;valeur&gt;&lt;/valeur&gt;</v>
      </c>
    </row>
    <row r="16681" spans="1:1" x14ac:dyDescent="0.2">
      <c r="A16681" s="996" t="str">
        <f>CONCATENATE(Programme!D16682,Programme!E16682,Programme!F16682,Programme!G16682,Programme!H16682,Programme!I16682,Programme!J16682)</f>
        <v>&lt;numeroLigne&gt;170&lt;/numeroLigne&gt;</v>
      </c>
    </row>
    <row r="16682" spans="1:1" x14ac:dyDescent="0.2">
      <c r="A16682" s="996" t="str">
        <f>CONCATENATE(Programme!D16683,Programme!E16683,Programme!F16683,Programme!G16683,Programme!H16683,Programme!I16683,Programme!J16683)</f>
        <v>&lt;/ValeurCellule&gt;</v>
      </c>
    </row>
    <row r="16683" spans="1:1" x14ac:dyDescent="0.2">
      <c r="A16683" s="996" t="str">
        <f>CONCATENATE(Programme!D16684,Programme!E16684,Programme!F16684,Programme!G16684,Programme!H16684,Programme!I16684,Programme!J16684)</f>
        <v>&lt;ValeurCellule&gt;</v>
      </c>
    </row>
    <row r="16684" spans="1:1" x14ac:dyDescent="0.2">
      <c r="A16684" s="996" t="str">
        <f>CONCATENATE(Programme!D16685,Programme!E16685,Programme!F16685,Programme!G16685,Programme!H16685,Programme!I16685,Programme!J16685)</f>
        <v>&lt;cellule&gt;&lt;codeEdi&gt;1086&lt;/codeEdi&gt;&lt;/cellule&gt;</v>
      </c>
    </row>
    <row r="16685" spans="1:1" x14ac:dyDescent="0.2">
      <c r="A16685" s="996" t="str">
        <f>CONCATENATE(Programme!D16686,Programme!E16686,Programme!F16686,Programme!G16686,Programme!H16686,Programme!I16686,Programme!J16686)</f>
        <v>&lt;valeur&gt;&lt;/valeur&gt;</v>
      </c>
    </row>
    <row r="16686" spans="1:1" x14ac:dyDescent="0.2">
      <c r="A16686" s="996" t="str">
        <f>CONCATENATE(Programme!D16687,Programme!E16687,Programme!F16687,Programme!G16687,Programme!H16687,Programme!I16687,Programme!J16687)</f>
        <v>&lt;numeroLigne&gt;170&lt;/numeroLigne&gt;</v>
      </c>
    </row>
    <row r="16687" spans="1:1" x14ac:dyDescent="0.2">
      <c r="A16687" s="996" t="str">
        <f>CONCATENATE(Programme!D16688,Programme!E16688,Programme!F16688,Programme!G16688,Programme!H16688,Programme!I16688,Programme!J16688)</f>
        <v>&lt;/ValeurCellule&gt;</v>
      </c>
    </row>
    <row r="16688" spans="1:1" x14ac:dyDescent="0.2">
      <c r="A16688" s="996" t="str">
        <f>CONCATENATE(Programme!D16689,Programme!E16689,Programme!F16689,Programme!G16689,Programme!H16689,Programme!I16689,Programme!J16689)</f>
        <v>&lt;ValeurCellule&gt;</v>
      </c>
    </row>
    <row r="16689" spans="1:1" x14ac:dyDescent="0.2">
      <c r="A16689" s="996" t="str">
        <f>CONCATENATE(Programme!D16690,Programme!E16690,Programme!F16690,Programme!G16690,Programme!H16690,Programme!I16690,Programme!J16690)</f>
        <v>&lt;cellule&gt;&lt;codeEdi&gt;10061&lt;/codeEdi&gt;&lt;/cellule&gt;</v>
      </c>
    </row>
    <row r="16690" spans="1:1" x14ac:dyDescent="0.2">
      <c r="A16690" s="996" t="str">
        <f>CONCATENATE(Programme!D16691,Programme!E16691,Programme!F16691,Programme!G16691,Programme!H16691,Programme!I16691,Programme!J16691)</f>
        <v>&lt;valeur&gt;&lt;/valeur&gt;</v>
      </c>
    </row>
    <row r="16691" spans="1:1" x14ac:dyDescent="0.2">
      <c r="A16691" s="996" t="str">
        <f>CONCATENATE(Programme!D16692,Programme!E16692,Programme!F16692,Programme!G16692,Programme!H16692,Programme!I16692,Programme!J16692)</f>
        <v>&lt;numeroLigne&gt;171&lt;/numeroLigne&gt;</v>
      </c>
    </row>
    <row r="16692" spans="1:1" x14ac:dyDescent="0.2">
      <c r="A16692" s="996" t="str">
        <f>CONCATENATE(Programme!D16693,Programme!E16693,Programme!F16693,Programme!G16693,Programme!H16693,Programme!I16693,Programme!J16693)</f>
        <v>&lt;/ValeurCellule&gt;</v>
      </c>
    </row>
    <row r="16693" spans="1:1" x14ac:dyDescent="0.2">
      <c r="A16693" s="996" t="str">
        <f>CONCATENATE(Programme!D16694,Programme!E16694,Programme!F16694,Programme!G16694,Programme!H16694,Programme!I16694,Programme!J16694)</f>
        <v>&lt;ValeurCellule&gt;</v>
      </c>
    </row>
    <row r="16694" spans="1:1" x14ac:dyDescent="0.2">
      <c r="A16694" s="996" t="str">
        <f>CONCATENATE(Programme!D16695,Programme!E16695,Programme!F16695,Programme!G16695,Programme!H16695,Programme!I16695,Programme!J16695)</f>
        <v>&lt;cellule&gt;&lt;codeEdi&gt;1078&lt;/codeEdi&gt;&lt;/cellule&gt;</v>
      </c>
    </row>
    <row r="16695" spans="1:1" x14ac:dyDescent="0.2">
      <c r="A16695" s="996" t="str">
        <f>CONCATENATE(Programme!D16696,Programme!E16696,Programme!F16696,Programme!G16696,Programme!H16696,Programme!I16696,Programme!J16696)</f>
        <v>&lt;valeur&gt;&lt;/valeur&gt;</v>
      </c>
    </row>
    <row r="16696" spans="1:1" x14ac:dyDescent="0.2">
      <c r="A16696" s="996" t="str">
        <f>CONCATENATE(Programme!D16697,Programme!E16697,Programme!F16697,Programme!G16697,Programme!H16697,Programme!I16697,Programme!J16697)</f>
        <v>&lt;numeroLigne&gt;171&lt;/numeroLigne&gt;</v>
      </c>
    </row>
    <row r="16697" spans="1:1" x14ac:dyDescent="0.2">
      <c r="A16697" s="996" t="str">
        <f>CONCATENATE(Programme!D16698,Programme!E16698,Programme!F16698,Programme!G16698,Programme!H16698,Programme!I16698,Programme!J16698)</f>
        <v>&lt;/ValeurCellule&gt;</v>
      </c>
    </row>
    <row r="16698" spans="1:1" x14ac:dyDescent="0.2">
      <c r="A16698" s="996" t="str">
        <f>CONCATENATE(Programme!D16699,Programme!E16699,Programme!F16699,Programme!G16699,Programme!H16699,Programme!I16699,Programme!J16699)</f>
        <v>&lt;ValeurCellule&gt;</v>
      </c>
    </row>
    <row r="16699" spans="1:1" x14ac:dyDescent="0.2">
      <c r="A16699" s="996" t="str">
        <f>CONCATENATE(Programme!D16700,Programme!E16700,Programme!F16700,Programme!G16700,Programme!H16700,Programme!I16700,Programme!J16700)</f>
        <v>&lt;cellule&gt;&lt;codeEdi&gt;1079&lt;/codeEdi&gt;&lt;/cellule&gt;</v>
      </c>
    </row>
    <row r="16700" spans="1:1" x14ac:dyDescent="0.2">
      <c r="A16700" s="996" t="str">
        <f>CONCATENATE(Programme!D16701,Programme!E16701,Programme!F16701,Programme!G16701,Programme!H16701,Programme!I16701,Programme!J16701)</f>
        <v>&lt;valeur&gt;&lt;/valeur&gt;</v>
      </c>
    </row>
    <row r="16701" spans="1:1" x14ac:dyDescent="0.2">
      <c r="A16701" s="996" t="str">
        <f>CONCATENATE(Programme!D16702,Programme!E16702,Programme!F16702,Programme!G16702,Programme!H16702,Programme!I16702,Programme!J16702)</f>
        <v>&lt;numeroLigne&gt;171&lt;/numeroLigne&gt;</v>
      </c>
    </row>
    <row r="16702" spans="1:1" x14ac:dyDescent="0.2">
      <c r="A16702" s="996" t="str">
        <f>CONCATENATE(Programme!D16703,Programme!E16703,Programme!F16703,Programme!G16703,Programme!H16703,Programme!I16703,Programme!J16703)</f>
        <v>&lt;/ValeurCellule&gt;</v>
      </c>
    </row>
    <row r="16703" spans="1:1" x14ac:dyDescent="0.2">
      <c r="A16703" s="996" t="str">
        <f>CONCATENATE(Programme!D16704,Programme!E16704,Programme!F16704,Programme!G16704,Programme!H16704,Programme!I16704,Programme!J16704)</f>
        <v>&lt;ValeurCellule&gt;</v>
      </c>
    </row>
    <row r="16704" spans="1:1" x14ac:dyDescent="0.2">
      <c r="A16704" s="996" t="str">
        <f>CONCATENATE(Programme!D16705,Programme!E16705,Programme!F16705,Programme!G16705,Programme!H16705,Programme!I16705,Programme!J16705)</f>
        <v>&lt;cellule&gt;&lt;codeEdi&gt;1080&lt;/codeEdi&gt;&lt;/cellule&gt;</v>
      </c>
    </row>
    <row r="16705" spans="1:1" x14ac:dyDescent="0.2">
      <c r="A16705" s="996" t="str">
        <f>CONCATENATE(Programme!D16706,Programme!E16706,Programme!F16706,Programme!G16706,Programme!H16706,Programme!I16706,Programme!J16706)</f>
        <v>&lt;valeur&gt;&lt;/valeur&gt;</v>
      </c>
    </row>
    <row r="16706" spans="1:1" x14ac:dyDescent="0.2">
      <c r="A16706" s="996" t="str">
        <f>CONCATENATE(Programme!D16707,Programme!E16707,Programme!F16707,Programme!G16707,Programme!H16707,Programme!I16707,Programme!J16707)</f>
        <v>&lt;numeroLigne&gt;171&lt;/numeroLigne&gt;</v>
      </c>
    </row>
    <row r="16707" spans="1:1" x14ac:dyDescent="0.2">
      <c r="A16707" s="996" t="str">
        <f>CONCATENATE(Programme!D16708,Programme!E16708,Programme!F16708,Programme!G16708,Programme!H16708,Programme!I16708,Programme!J16708)</f>
        <v>&lt;/ValeurCellule&gt;</v>
      </c>
    </row>
    <row r="16708" spans="1:1" x14ac:dyDescent="0.2">
      <c r="A16708" s="996" t="str">
        <f>CONCATENATE(Programme!D16709,Programme!E16709,Programme!F16709,Programme!G16709,Programme!H16709,Programme!I16709,Programme!J16709)</f>
        <v>&lt;ValeurCellule&gt;</v>
      </c>
    </row>
    <row r="16709" spans="1:1" x14ac:dyDescent="0.2">
      <c r="A16709" s="996" t="str">
        <f>CONCATENATE(Programme!D16710,Programme!E16710,Programme!F16710,Programme!G16710,Programme!H16710,Programme!I16710,Programme!J16710)</f>
        <v>&lt;cellule&gt;&lt;codeEdi&gt;1081&lt;/codeEdi&gt;&lt;/cellule&gt;</v>
      </c>
    </row>
    <row r="16710" spans="1:1" x14ac:dyDescent="0.2">
      <c r="A16710" s="996" t="str">
        <f>CONCATENATE(Programme!D16711,Programme!E16711,Programme!F16711,Programme!G16711,Programme!H16711,Programme!I16711,Programme!J16711)</f>
        <v>&lt;valeur&gt;&lt;/valeur&gt;</v>
      </c>
    </row>
    <row r="16711" spans="1:1" x14ac:dyDescent="0.2">
      <c r="A16711" s="996" t="str">
        <f>CONCATENATE(Programme!D16712,Programme!E16712,Programme!F16712,Programme!G16712,Programme!H16712,Programme!I16712,Programme!J16712)</f>
        <v>&lt;numeroLigne&gt;171&lt;/numeroLigne&gt;</v>
      </c>
    </row>
    <row r="16712" spans="1:1" x14ac:dyDescent="0.2">
      <c r="A16712" s="996" t="str">
        <f>CONCATENATE(Programme!D16713,Programme!E16713,Programme!F16713,Programme!G16713,Programme!H16713,Programme!I16713,Programme!J16713)</f>
        <v>&lt;/ValeurCellule&gt;</v>
      </c>
    </row>
    <row r="16713" spans="1:1" x14ac:dyDescent="0.2">
      <c r="A16713" s="996" t="str">
        <f>CONCATENATE(Programme!D16714,Programme!E16714,Programme!F16714,Programme!G16714,Programme!H16714,Programme!I16714,Programme!J16714)</f>
        <v>&lt;ValeurCellule&gt;</v>
      </c>
    </row>
    <row r="16714" spans="1:1" x14ac:dyDescent="0.2">
      <c r="A16714" s="996" t="str">
        <f>CONCATENATE(Programme!D16715,Programme!E16715,Programme!F16715,Programme!G16715,Programme!H16715,Programme!I16715,Programme!J16715)</f>
        <v>&lt;cellule&gt;&lt;codeEdi&gt;1082&lt;/codeEdi&gt;&lt;/cellule&gt;</v>
      </c>
    </row>
    <row r="16715" spans="1:1" x14ac:dyDescent="0.2">
      <c r="A16715" s="996" t="str">
        <f>CONCATENATE(Programme!D16716,Programme!E16716,Programme!F16716,Programme!G16716,Programme!H16716,Programme!I16716,Programme!J16716)</f>
        <v>&lt;valeur&gt;&lt;/valeur&gt;</v>
      </c>
    </row>
    <row r="16716" spans="1:1" x14ac:dyDescent="0.2">
      <c r="A16716" s="996" t="str">
        <f>CONCATENATE(Programme!D16717,Programme!E16717,Programme!F16717,Programme!G16717,Programme!H16717,Programme!I16717,Programme!J16717)</f>
        <v>&lt;numeroLigne&gt;171&lt;/numeroLigne&gt;</v>
      </c>
    </row>
    <row r="16717" spans="1:1" x14ac:dyDescent="0.2">
      <c r="A16717" s="996" t="str">
        <f>CONCATENATE(Programme!D16718,Programme!E16718,Programme!F16718,Programme!G16718,Programme!H16718,Programme!I16718,Programme!J16718)</f>
        <v>&lt;/ValeurCellule&gt;</v>
      </c>
    </row>
    <row r="16718" spans="1:1" x14ac:dyDescent="0.2">
      <c r="A16718" s="996" t="str">
        <f>CONCATENATE(Programme!D16719,Programme!E16719,Programme!F16719,Programme!G16719,Programme!H16719,Programme!I16719,Programme!J16719)</f>
        <v>&lt;ValeurCellule&gt;</v>
      </c>
    </row>
    <row r="16719" spans="1:1" x14ac:dyDescent="0.2">
      <c r="A16719" s="996" t="str">
        <f>CONCATENATE(Programme!D16720,Programme!E16720,Programme!F16720,Programme!G16720,Programme!H16720,Programme!I16720,Programme!J16720)</f>
        <v>&lt;cellule&gt;&lt;codeEdi&gt;1083&lt;/codeEdi&gt;&lt;/cellule&gt;</v>
      </c>
    </row>
    <row r="16720" spans="1:1" x14ac:dyDescent="0.2">
      <c r="A16720" s="996" t="str">
        <f>CONCATENATE(Programme!D16721,Programme!E16721,Programme!F16721,Programme!G16721,Programme!H16721,Programme!I16721,Programme!J16721)</f>
        <v>&lt;valeur&gt;&lt;/valeur&gt;</v>
      </c>
    </row>
    <row r="16721" spans="1:1" x14ac:dyDescent="0.2">
      <c r="A16721" s="996" t="str">
        <f>CONCATENATE(Programme!D16722,Programme!E16722,Programme!F16722,Programme!G16722,Programme!H16722,Programme!I16722,Programme!J16722)</f>
        <v>&lt;numeroLigne&gt;171&lt;/numeroLigne&gt;</v>
      </c>
    </row>
    <row r="16722" spans="1:1" x14ac:dyDescent="0.2">
      <c r="A16722" s="996" t="str">
        <f>CONCATENATE(Programme!D16723,Programme!E16723,Programme!F16723,Programme!G16723,Programme!H16723,Programme!I16723,Programme!J16723)</f>
        <v>&lt;/ValeurCellule&gt;</v>
      </c>
    </row>
    <row r="16723" spans="1:1" x14ac:dyDescent="0.2">
      <c r="A16723" s="996" t="str">
        <f>CONCATENATE(Programme!D16724,Programme!E16724,Programme!F16724,Programme!G16724,Programme!H16724,Programme!I16724,Programme!J16724)</f>
        <v>&lt;ValeurCellule&gt;</v>
      </c>
    </row>
    <row r="16724" spans="1:1" x14ac:dyDescent="0.2">
      <c r="A16724" s="996" t="str">
        <f>CONCATENATE(Programme!D16725,Programme!E16725,Programme!F16725,Programme!G16725,Programme!H16725,Programme!I16725,Programme!J16725)</f>
        <v>&lt;cellule&gt;&lt;codeEdi&gt;1084&lt;/codeEdi&gt;&lt;/cellule&gt;</v>
      </c>
    </row>
    <row r="16725" spans="1:1" x14ac:dyDescent="0.2">
      <c r="A16725" s="996" t="str">
        <f>CONCATENATE(Programme!D16726,Programme!E16726,Programme!F16726,Programme!G16726,Programme!H16726,Programme!I16726,Programme!J16726)</f>
        <v>&lt;valeur&gt;&lt;/valeur&gt;</v>
      </c>
    </row>
    <row r="16726" spans="1:1" x14ac:dyDescent="0.2">
      <c r="A16726" s="996" t="str">
        <f>CONCATENATE(Programme!D16727,Programme!E16727,Programme!F16727,Programme!G16727,Programme!H16727,Programme!I16727,Programme!J16727)</f>
        <v>&lt;numeroLigne&gt;171&lt;/numeroLigne&gt;</v>
      </c>
    </row>
    <row r="16727" spans="1:1" x14ac:dyDescent="0.2">
      <c r="A16727" s="996" t="str">
        <f>CONCATENATE(Programme!D16728,Programme!E16728,Programme!F16728,Programme!G16728,Programme!H16728,Programme!I16728,Programme!J16728)</f>
        <v>&lt;/ValeurCellule&gt;</v>
      </c>
    </row>
    <row r="16728" spans="1:1" x14ac:dyDescent="0.2">
      <c r="A16728" s="996" t="str">
        <f>CONCATENATE(Programme!D16729,Programme!E16729,Programme!F16729,Programme!G16729,Programme!H16729,Programme!I16729,Programme!J16729)</f>
        <v>&lt;ValeurCellule&gt;</v>
      </c>
    </row>
    <row r="16729" spans="1:1" x14ac:dyDescent="0.2">
      <c r="A16729" s="996" t="str">
        <f>CONCATENATE(Programme!D16730,Programme!E16730,Programme!F16730,Programme!G16730,Programme!H16730,Programme!I16730,Programme!J16730)</f>
        <v>&lt;cellule&gt;&lt;codeEdi&gt;1085&lt;/codeEdi&gt;&lt;/cellule&gt;</v>
      </c>
    </row>
    <row r="16730" spans="1:1" x14ac:dyDescent="0.2">
      <c r="A16730" s="996" t="str">
        <f>CONCATENATE(Programme!D16731,Programme!E16731,Programme!F16731,Programme!G16731,Programme!H16731,Programme!I16731,Programme!J16731)</f>
        <v>&lt;valeur&gt;&lt;/valeur&gt;</v>
      </c>
    </row>
    <row r="16731" spans="1:1" x14ac:dyDescent="0.2">
      <c r="A16731" s="996" t="str">
        <f>CONCATENATE(Programme!D16732,Programme!E16732,Programme!F16732,Programme!G16732,Programme!H16732,Programme!I16732,Programme!J16732)</f>
        <v>&lt;numeroLigne&gt;171&lt;/numeroLigne&gt;</v>
      </c>
    </row>
    <row r="16732" spans="1:1" x14ac:dyDescent="0.2">
      <c r="A16732" s="996" t="str">
        <f>CONCATENATE(Programme!D16733,Programme!E16733,Programme!F16733,Programme!G16733,Programme!H16733,Programme!I16733,Programme!J16733)</f>
        <v>&lt;/ValeurCellule&gt;</v>
      </c>
    </row>
    <row r="16733" spans="1:1" x14ac:dyDescent="0.2">
      <c r="A16733" s="996" t="str">
        <f>CONCATENATE(Programme!D16734,Programme!E16734,Programme!F16734,Programme!G16734,Programme!H16734,Programme!I16734,Programme!J16734)</f>
        <v>&lt;ValeurCellule&gt;</v>
      </c>
    </row>
    <row r="16734" spans="1:1" x14ac:dyDescent="0.2">
      <c r="A16734" s="996" t="str">
        <f>CONCATENATE(Programme!D16735,Programme!E16735,Programme!F16735,Programme!G16735,Programme!H16735,Programme!I16735,Programme!J16735)</f>
        <v>&lt;cellule&gt;&lt;codeEdi&gt;1086&lt;/codeEdi&gt;&lt;/cellule&gt;</v>
      </c>
    </row>
    <row r="16735" spans="1:1" x14ac:dyDescent="0.2">
      <c r="A16735" s="996" t="str">
        <f>CONCATENATE(Programme!D16736,Programme!E16736,Programme!F16736,Programme!G16736,Programme!H16736,Programme!I16736,Programme!J16736)</f>
        <v>&lt;valeur&gt;&lt;/valeur&gt;</v>
      </c>
    </row>
    <row r="16736" spans="1:1" x14ac:dyDescent="0.2">
      <c r="A16736" s="996" t="str">
        <f>CONCATENATE(Programme!D16737,Programme!E16737,Programme!F16737,Programme!G16737,Programme!H16737,Programme!I16737,Programme!J16737)</f>
        <v>&lt;numeroLigne&gt;171&lt;/numeroLigne&gt;</v>
      </c>
    </row>
    <row r="16737" spans="1:1" x14ac:dyDescent="0.2">
      <c r="A16737" s="996" t="str">
        <f>CONCATENATE(Programme!D16738,Programme!E16738,Programme!F16738,Programme!G16738,Programme!H16738,Programme!I16738,Programme!J16738)</f>
        <v>&lt;/ValeurCellule&gt;</v>
      </c>
    </row>
    <row r="16738" spans="1:1" x14ac:dyDescent="0.2">
      <c r="A16738" s="996" t="str">
        <f>CONCATENATE(Programme!D16739,Programme!E16739,Programme!F16739,Programme!G16739,Programme!H16739,Programme!I16739,Programme!J16739)</f>
        <v>&lt;ValeurCellule&gt;</v>
      </c>
    </row>
    <row r="16739" spans="1:1" x14ac:dyDescent="0.2">
      <c r="A16739" s="996" t="str">
        <f>CONCATENATE(Programme!D16740,Programme!E16740,Programme!F16740,Programme!G16740,Programme!H16740,Programme!I16740,Programme!J16740)</f>
        <v>&lt;cellule&gt;&lt;codeEdi&gt;10061&lt;/codeEdi&gt;&lt;/cellule&gt;</v>
      </c>
    </row>
    <row r="16740" spans="1:1" x14ac:dyDescent="0.2">
      <c r="A16740" s="996" t="str">
        <f>CONCATENATE(Programme!D16741,Programme!E16741,Programme!F16741,Programme!G16741,Programme!H16741,Programme!I16741,Programme!J16741)</f>
        <v>&lt;valeur&gt;&lt;/valeur&gt;</v>
      </c>
    </row>
    <row r="16741" spans="1:1" x14ac:dyDescent="0.2">
      <c r="A16741" s="996" t="str">
        <f>CONCATENATE(Programme!D16742,Programme!E16742,Programme!F16742,Programme!G16742,Programme!H16742,Programme!I16742,Programme!J16742)</f>
        <v>&lt;numeroLigne&gt;172&lt;/numeroLigne&gt;</v>
      </c>
    </row>
    <row r="16742" spans="1:1" x14ac:dyDescent="0.2">
      <c r="A16742" s="996" t="str">
        <f>CONCATENATE(Programme!D16743,Programme!E16743,Programme!F16743,Programme!G16743,Programme!H16743,Programme!I16743,Programme!J16743)</f>
        <v>&lt;/ValeurCellule&gt;</v>
      </c>
    </row>
    <row r="16743" spans="1:1" x14ac:dyDescent="0.2">
      <c r="A16743" s="996" t="str">
        <f>CONCATENATE(Programme!D16744,Programme!E16744,Programme!F16744,Programme!G16744,Programme!H16744,Programme!I16744,Programme!J16744)</f>
        <v>&lt;ValeurCellule&gt;</v>
      </c>
    </row>
    <row r="16744" spans="1:1" x14ac:dyDescent="0.2">
      <c r="A16744" s="996" t="str">
        <f>CONCATENATE(Programme!D16745,Programme!E16745,Programme!F16745,Programme!G16745,Programme!H16745,Programme!I16745,Programme!J16745)</f>
        <v>&lt;cellule&gt;&lt;codeEdi&gt;1078&lt;/codeEdi&gt;&lt;/cellule&gt;</v>
      </c>
    </row>
    <row r="16745" spans="1:1" x14ac:dyDescent="0.2">
      <c r="A16745" s="996" t="str">
        <f>CONCATENATE(Programme!D16746,Programme!E16746,Programme!F16746,Programme!G16746,Programme!H16746,Programme!I16746,Programme!J16746)</f>
        <v>&lt;valeur&gt;&lt;/valeur&gt;</v>
      </c>
    </row>
    <row r="16746" spans="1:1" x14ac:dyDescent="0.2">
      <c r="A16746" s="996" t="str">
        <f>CONCATENATE(Programme!D16747,Programme!E16747,Programme!F16747,Programme!G16747,Programme!H16747,Programme!I16747,Programme!J16747)</f>
        <v>&lt;numeroLigne&gt;172&lt;/numeroLigne&gt;</v>
      </c>
    </row>
    <row r="16747" spans="1:1" x14ac:dyDescent="0.2">
      <c r="A16747" s="996" t="str">
        <f>CONCATENATE(Programme!D16748,Programme!E16748,Programme!F16748,Programme!G16748,Programme!H16748,Programme!I16748,Programme!J16748)</f>
        <v>&lt;/ValeurCellule&gt;</v>
      </c>
    </row>
    <row r="16748" spans="1:1" x14ac:dyDescent="0.2">
      <c r="A16748" s="996" t="str">
        <f>CONCATENATE(Programme!D16749,Programme!E16749,Programme!F16749,Programme!G16749,Programme!H16749,Programme!I16749,Programme!J16749)</f>
        <v>&lt;ValeurCellule&gt;</v>
      </c>
    </row>
    <row r="16749" spans="1:1" x14ac:dyDescent="0.2">
      <c r="A16749" s="996" t="str">
        <f>CONCATENATE(Programme!D16750,Programme!E16750,Programme!F16750,Programme!G16750,Programme!H16750,Programme!I16750,Programme!J16750)</f>
        <v>&lt;cellule&gt;&lt;codeEdi&gt;1079&lt;/codeEdi&gt;&lt;/cellule&gt;</v>
      </c>
    </row>
    <row r="16750" spans="1:1" x14ac:dyDescent="0.2">
      <c r="A16750" s="996" t="str">
        <f>CONCATENATE(Programme!D16751,Programme!E16751,Programme!F16751,Programme!G16751,Programme!H16751,Programme!I16751,Programme!J16751)</f>
        <v>&lt;valeur&gt;&lt;/valeur&gt;</v>
      </c>
    </row>
    <row r="16751" spans="1:1" x14ac:dyDescent="0.2">
      <c r="A16751" s="996" t="str">
        <f>CONCATENATE(Programme!D16752,Programme!E16752,Programme!F16752,Programme!G16752,Programme!H16752,Programme!I16752,Programme!J16752)</f>
        <v>&lt;numeroLigne&gt;172&lt;/numeroLigne&gt;</v>
      </c>
    </row>
    <row r="16752" spans="1:1" x14ac:dyDescent="0.2">
      <c r="A16752" s="996" t="str">
        <f>CONCATENATE(Programme!D16753,Programme!E16753,Programme!F16753,Programme!G16753,Programme!H16753,Programme!I16753,Programme!J16753)</f>
        <v>&lt;/ValeurCellule&gt;</v>
      </c>
    </row>
    <row r="16753" spans="1:1" x14ac:dyDescent="0.2">
      <c r="A16753" s="996" t="str">
        <f>CONCATENATE(Programme!D16754,Programme!E16754,Programme!F16754,Programme!G16754,Programme!H16754,Programme!I16754,Programme!J16754)</f>
        <v>&lt;ValeurCellule&gt;</v>
      </c>
    </row>
    <row r="16754" spans="1:1" x14ac:dyDescent="0.2">
      <c r="A16754" s="996" t="str">
        <f>CONCATENATE(Programme!D16755,Programme!E16755,Programme!F16755,Programme!G16755,Programme!H16755,Programme!I16755,Programme!J16755)</f>
        <v>&lt;cellule&gt;&lt;codeEdi&gt;1080&lt;/codeEdi&gt;&lt;/cellule&gt;</v>
      </c>
    </row>
    <row r="16755" spans="1:1" x14ac:dyDescent="0.2">
      <c r="A16755" s="996" t="str">
        <f>CONCATENATE(Programme!D16756,Programme!E16756,Programme!F16756,Programme!G16756,Programme!H16756,Programme!I16756,Programme!J16756)</f>
        <v>&lt;valeur&gt;&lt;/valeur&gt;</v>
      </c>
    </row>
    <row r="16756" spans="1:1" x14ac:dyDescent="0.2">
      <c r="A16756" s="996" t="str">
        <f>CONCATENATE(Programme!D16757,Programme!E16757,Programme!F16757,Programme!G16757,Programme!H16757,Programme!I16757,Programme!J16757)</f>
        <v>&lt;numeroLigne&gt;172&lt;/numeroLigne&gt;</v>
      </c>
    </row>
    <row r="16757" spans="1:1" x14ac:dyDescent="0.2">
      <c r="A16757" s="996" t="str">
        <f>CONCATENATE(Programme!D16758,Programme!E16758,Programme!F16758,Programme!G16758,Programme!H16758,Programme!I16758,Programme!J16758)</f>
        <v>&lt;/ValeurCellule&gt;</v>
      </c>
    </row>
    <row r="16758" spans="1:1" x14ac:dyDescent="0.2">
      <c r="A16758" s="996" t="str">
        <f>CONCATENATE(Programme!D16759,Programme!E16759,Programme!F16759,Programme!G16759,Programme!H16759,Programme!I16759,Programme!J16759)</f>
        <v>&lt;ValeurCellule&gt;</v>
      </c>
    </row>
    <row r="16759" spans="1:1" x14ac:dyDescent="0.2">
      <c r="A16759" s="996" t="str">
        <f>CONCATENATE(Programme!D16760,Programme!E16760,Programme!F16760,Programme!G16760,Programme!H16760,Programme!I16760,Programme!J16760)</f>
        <v>&lt;cellule&gt;&lt;codeEdi&gt;1081&lt;/codeEdi&gt;&lt;/cellule&gt;</v>
      </c>
    </row>
    <row r="16760" spans="1:1" x14ac:dyDescent="0.2">
      <c r="A16760" s="996" t="str">
        <f>CONCATENATE(Programme!D16761,Programme!E16761,Programme!F16761,Programme!G16761,Programme!H16761,Programme!I16761,Programme!J16761)</f>
        <v>&lt;valeur&gt;&lt;/valeur&gt;</v>
      </c>
    </row>
    <row r="16761" spans="1:1" x14ac:dyDescent="0.2">
      <c r="A16761" s="996" t="str">
        <f>CONCATENATE(Programme!D16762,Programme!E16762,Programme!F16762,Programme!G16762,Programme!H16762,Programme!I16762,Programme!J16762)</f>
        <v>&lt;numeroLigne&gt;172&lt;/numeroLigne&gt;</v>
      </c>
    </row>
    <row r="16762" spans="1:1" x14ac:dyDescent="0.2">
      <c r="A16762" s="996" t="str">
        <f>CONCATENATE(Programme!D16763,Programme!E16763,Programme!F16763,Programme!G16763,Programme!H16763,Programme!I16763,Programme!J16763)</f>
        <v>&lt;/ValeurCellule&gt;</v>
      </c>
    </row>
    <row r="16763" spans="1:1" x14ac:dyDescent="0.2">
      <c r="A16763" s="996" t="str">
        <f>CONCATENATE(Programme!D16764,Programme!E16764,Programme!F16764,Programme!G16764,Programme!H16764,Programme!I16764,Programme!J16764)</f>
        <v>&lt;ValeurCellule&gt;</v>
      </c>
    </row>
    <row r="16764" spans="1:1" x14ac:dyDescent="0.2">
      <c r="A16764" s="996" t="str">
        <f>CONCATENATE(Programme!D16765,Programme!E16765,Programme!F16765,Programme!G16765,Programme!H16765,Programme!I16765,Programme!J16765)</f>
        <v>&lt;cellule&gt;&lt;codeEdi&gt;1082&lt;/codeEdi&gt;&lt;/cellule&gt;</v>
      </c>
    </row>
    <row r="16765" spans="1:1" x14ac:dyDescent="0.2">
      <c r="A16765" s="996" t="str">
        <f>CONCATENATE(Programme!D16766,Programme!E16766,Programme!F16766,Programme!G16766,Programme!H16766,Programme!I16766,Programme!J16766)</f>
        <v>&lt;valeur&gt;&lt;/valeur&gt;</v>
      </c>
    </row>
    <row r="16766" spans="1:1" x14ac:dyDescent="0.2">
      <c r="A16766" s="996" t="str">
        <f>CONCATENATE(Programme!D16767,Programme!E16767,Programme!F16767,Programme!G16767,Programme!H16767,Programme!I16767,Programme!J16767)</f>
        <v>&lt;numeroLigne&gt;172&lt;/numeroLigne&gt;</v>
      </c>
    </row>
    <row r="16767" spans="1:1" x14ac:dyDescent="0.2">
      <c r="A16767" s="996" t="str">
        <f>CONCATENATE(Programme!D16768,Programme!E16768,Programme!F16768,Programme!G16768,Programme!H16768,Programme!I16768,Programme!J16768)</f>
        <v>&lt;/ValeurCellule&gt;</v>
      </c>
    </row>
    <row r="16768" spans="1:1" x14ac:dyDescent="0.2">
      <c r="A16768" s="996" t="str">
        <f>CONCATENATE(Programme!D16769,Programme!E16769,Programme!F16769,Programme!G16769,Programme!H16769,Programme!I16769,Programme!J16769)</f>
        <v>&lt;ValeurCellule&gt;</v>
      </c>
    </row>
    <row r="16769" spans="1:1" x14ac:dyDescent="0.2">
      <c r="A16769" s="996" t="str">
        <f>CONCATENATE(Programme!D16770,Programme!E16770,Programme!F16770,Programme!G16770,Programme!H16770,Programme!I16770,Programme!J16770)</f>
        <v>&lt;cellule&gt;&lt;codeEdi&gt;1083&lt;/codeEdi&gt;&lt;/cellule&gt;</v>
      </c>
    </row>
    <row r="16770" spans="1:1" x14ac:dyDescent="0.2">
      <c r="A16770" s="996" t="str">
        <f>CONCATENATE(Programme!D16771,Programme!E16771,Programme!F16771,Programme!G16771,Programme!H16771,Programme!I16771,Programme!J16771)</f>
        <v>&lt;valeur&gt;&lt;/valeur&gt;</v>
      </c>
    </row>
    <row r="16771" spans="1:1" x14ac:dyDescent="0.2">
      <c r="A16771" s="996" t="str">
        <f>CONCATENATE(Programme!D16772,Programme!E16772,Programme!F16772,Programme!G16772,Programme!H16772,Programme!I16772,Programme!J16772)</f>
        <v>&lt;numeroLigne&gt;172&lt;/numeroLigne&gt;</v>
      </c>
    </row>
    <row r="16772" spans="1:1" x14ac:dyDescent="0.2">
      <c r="A16772" s="996" t="str">
        <f>CONCATENATE(Programme!D16773,Programme!E16773,Programme!F16773,Programme!G16773,Programme!H16773,Programme!I16773,Programme!J16773)</f>
        <v>&lt;/ValeurCellule&gt;</v>
      </c>
    </row>
    <row r="16773" spans="1:1" x14ac:dyDescent="0.2">
      <c r="A16773" s="996" t="str">
        <f>CONCATENATE(Programme!D16774,Programme!E16774,Programme!F16774,Programme!G16774,Programme!H16774,Programme!I16774,Programme!J16774)</f>
        <v>&lt;ValeurCellule&gt;</v>
      </c>
    </row>
    <row r="16774" spans="1:1" x14ac:dyDescent="0.2">
      <c r="A16774" s="996" t="str">
        <f>CONCATENATE(Programme!D16775,Programme!E16775,Programme!F16775,Programme!G16775,Programme!H16775,Programme!I16775,Programme!J16775)</f>
        <v>&lt;cellule&gt;&lt;codeEdi&gt;1084&lt;/codeEdi&gt;&lt;/cellule&gt;</v>
      </c>
    </row>
    <row r="16775" spans="1:1" x14ac:dyDescent="0.2">
      <c r="A16775" s="996" t="str">
        <f>CONCATENATE(Programme!D16776,Programme!E16776,Programme!F16776,Programme!G16776,Programme!H16776,Programme!I16776,Programme!J16776)</f>
        <v>&lt;valeur&gt;&lt;/valeur&gt;</v>
      </c>
    </row>
    <row r="16776" spans="1:1" x14ac:dyDescent="0.2">
      <c r="A16776" s="996" t="str">
        <f>CONCATENATE(Programme!D16777,Programme!E16777,Programme!F16777,Programme!G16777,Programme!H16777,Programme!I16777,Programme!J16777)</f>
        <v>&lt;numeroLigne&gt;172&lt;/numeroLigne&gt;</v>
      </c>
    </row>
    <row r="16777" spans="1:1" x14ac:dyDescent="0.2">
      <c r="A16777" s="996" t="str">
        <f>CONCATENATE(Programme!D16778,Programme!E16778,Programme!F16778,Programme!G16778,Programme!H16778,Programme!I16778,Programme!J16778)</f>
        <v>&lt;/ValeurCellule&gt;</v>
      </c>
    </row>
    <row r="16778" spans="1:1" x14ac:dyDescent="0.2">
      <c r="A16778" s="996" t="str">
        <f>CONCATENATE(Programme!D16779,Programme!E16779,Programme!F16779,Programme!G16779,Programme!H16779,Programme!I16779,Programme!J16779)</f>
        <v>&lt;ValeurCellule&gt;</v>
      </c>
    </row>
    <row r="16779" spans="1:1" x14ac:dyDescent="0.2">
      <c r="A16779" s="996" t="str">
        <f>CONCATENATE(Programme!D16780,Programme!E16780,Programme!F16780,Programme!G16780,Programme!H16780,Programme!I16780,Programme!J16780)</f>
        <v>&lt;cellule&gt;&lt;codeEdi&gt;1085&lt;/codeEdi&gt;&lt;/cellule&gt;</v>
      </c>
    </row>
    <row r="16780" spans="1:1" x14ac:dyDescent="0.2">
      <c r="A16780" s="996" t="str">
        <f>CONCATENATE(Programme!D16781,Programme!E16781,Programme!F16781,Programme!G16781,Programme!H16781,Programme!I16781,Programme!J16781)</f>
        <v>&lt;valeur&gt;&lt;/valeur&gt;</v>
      </c>
    </row>
    <row r="16781" spans="1:1" x14ac:dyDescent="0.2">
      <c r="A16781" s="996" t="str">
        <f>CONCATENATE(Programme!D16782,Programme!E16782,Programme!F16782,Programme!G16782,Programme!H16782,Programme!I16782,Programme!J16782)</f>
        <v>&lt;numeroLigne&gt;172&lt;/numeroLigne&gt;</v>
      </c>
    </row>
    <row r="16782" spans="1:1" x14ac:dyDescent="0.2">
      <c r="A16782" s="996" t="str">
        <f>CONCATENATE(Programme!D16783,Programme!E16783,Programme!F16783,Programme!G16783,Programme!H16783,Programme!I16783,Programme!J16783)</f>
        <v>&lt;/ValeurCellule&gt;</v>
      </c>
    </row>
    <row r="16783" spans="1:1" x14ac:dyDescent="0.2">
      <c r="A16783" s="996" t="str">
        <f>CONCATENATE(Programme!D16784,Programme!E16784,Programme!F16784,Programme!G16784,Programme!H16784,Programme!I16784,Programme!J16784)</f>
        <v>&lt;ValeurCellule&gt;</v>
      </c>
    </row>
    <row r="16784" spans="1:1" x14ac:dyDescent="0.2">
      <c r="A16784" s="996" t="str">
        <f>CONCATENATE(Programme!D16785,Programme!E16785,Programme!F16785,Programme!G16785,Programme!H16785,Programme!I16785,Programme!J16785)</f>
        <v>&lt;cellule&gt;&lt;codeEdi&gt;1086&lt;/codeEdi&gt;&lt;/cellule&gt;</v>
      </c>
    </row>
    <row r="16785" spans="1:1" x14ac:dyDescent="0.2">
      <c r="A16785" s="996" t="str">
        <f>CONCATENATE(Programme!D16786,Programme!E16786,Programme!F16786,Programme!G16786,Programme!H16786,Programme!I16786,Programme!J16786)</f>
        <v>&lt;valeur&gt;&lt;/valeur&gt;</v>
      </c>
    </row>
    <row r="16786" spans="1:1" x14ac:dyDescent="0.2">
      <c r="A16786" s="996" t="str">
        <f>CONCATENATE(Programme!D16787,Programme!E16787,Programme!F16787,Programme!G16787,Programme!H16787,Programme!I16787,Programme!J16787)</f>
        <v>&lt;numeroLigne&gt;172&lt;/numeroLigne&gt;</v>
      </c>
    </row>
    <row r="16787" spans="1:1" x14ac:dyDescent="0.2">
      <c r="A16787" s="996" t="str">
        <f>CONCATENATE(Programme!D16788,Programme!E16788,Programme!F16788,Programme!G16788,Programme!H16788,Programme!I16788,Programme!J16788)</f>
        <v>&lt;/ValeurCellule&gt;</v>
      </c>
    </row>
    <row r="16788" spans="1:1" x14ac:dyDescent="0.2">
      <c r="A16788" s="996" t="str">
        <f>CONCATENATE(Programme!D16789,Programme!E16789,Programme!F16789,Programme!G16789,Programme!H16789,Programme!I16789,Programme!J16789)</f>
        <v>&lt;ValeurCellule&gt;</v>
      </c>
    </row>
    <row r="16789" spans="1:1" x14ac:dyDescent="0.2">
      <c r="A16789" s="996" t="str">
        <f>CONCATENATE(Programme!D16790,Programme!E16790,Programme!F16790,Programme!G16790,Programme!H16790,Programme!I16790,Programme!J16790)</f>
        <v>&lt;cellule&gt;&lt;codeEdi&gt;10061&lt;/codeEdi&gt;&lt;/cellule&gt;</v>
      </c>
    </row>
    <row r="16790" spans="1:1" x14ac:dyDescent="0.2">
      <c r="A16790" s="996" t="str">
        <f>CONCATENATE(Programme!D16791,Programme!E16791,Programme!F16791,Programme!G16791,Programme!H16791,Programme!I16791,Programme!J16791)</f>
        <v>&lt;valeur&gt;&lt;/valeur&gt;</v>
      </c>
    </row>
    <row r="16791" spans="1:1" x14ac:dyDescent="0.2">
      <c r="A16791" s="996" t="str">
        <f>CONCATENATE(Programme!D16792,Programme!E16792,Programme!F16792,Programme!G16792,Programme!H16792,Programme!I16792,Programme!J16792)</f>
        <v>&lt;numeroLigne&gt;173&lt;/numeroLigne&gt;</v>
      </c>
    </row>
    <row r="16792" spans="1:1" x14ac:dyDescent="0.2">
      <c r="A16792" s="996" t="str">
        <f>CONCATENATE(Programme!D16793,Programme!E16793,Programme!F16793,Programme!G16793,Programme!H16793,Programme!I16793,Programme!J16793)</f>
        <v>&lt;/ValeurCellule&gt;</v>
      </c>
    </row>
    <row r="16793" spans="1:1" x14ac:dyDescent="0.2">
      <c r="A16793" s="996" t="str">
        <f>CONCATENATE(Programme!D16794,Programme!E16794,Programme!F16794,Programme!G16794,Programme!H16794,Programme!I16794,Programme!J16794)</f>
        <v>&lt;ValeurCellule&gt;</v>
      </c>
    </row>
    <row r="16794" spans="1:1" x14ac:dyDescent="0.2">
      <c r="A16794" s="996" t="str">
        <f>CONCATENATE(Programme!D16795,Programme!E16795,Programme!F16795,Programme!G16795,Programme!H16795,Programme!I16795,Programme!J16795)</f>
        <v>&lt;cellule&gt;&lt;codeEdi&gt;1078&lt;/codeEdi&gt;&lt;/cellule&gt;</v>
      </c>
    </row>
    <row r="16795" spans="1:1" x14ac:dyDescent="0.2">
      <c r="A16795" s="996" t="str">
        <f>CONCATENATE(Programme!D16796,Programme!E16796,Programme!F16796,Programme!G16796,Programme!H16796,Programme!I16796,Programme!J16796)</f>
        <v>&lt;valeur&gt;&lt;/valeur&gt;</v>
      </c>
    </row>
    <row r="16796" spans="1:1" x14ac:dyDescent="0.2">
      <c r="A16796" s="996" t="str">
        <f>CONCATENATE(Programme!D16797,Programme!E16797,Programme!F16797,Programme!G16797,Programme!H16797,Programme!I16797,Programme!J16797)</f>
        <v>&lt;numeroLigne&gt;173&lt;/numeroLigne&gt;</v>
      </c>
    </row>
    <row r="16797" spans="1:1" x14ac:dyDescent="0.2">
      <c r="A16797" s="996" t="str">
        <f>CONCATENATE(Programme!D16798,Programme!E16798,Programme!F16798,Programme!G16798,Programme!H16798,Programme!I16798,Programme!J16798)</f>
        <v>&lt;/ValeurCellule&gt;</v>
      </c>
    </row>
    <row r="16798" spans="1:1" x14ac:dyDescent="0.2">
      <c r="A16798" s="996" t="str">
        <f>CONCATENATE(Programme!D16799,Programme!E16799,Programme!F16799,Programme!G16799,Programme!H16799,Programme!I16799,Programme!J16799)</f>
        <v>&lt;ValeurCellule&gt;</v>
      </c>
    </row>
    <row r="16799" spans="1:1" x14ac:dyDescent="0.2">
      <c r="A16799" s="996" t="str">
        <f>CONCATENATE(Programme!D16800,Programme!E16800,Programme!F16800,Programme!G16800,Programme!H16800,Programme!I16800,Programme!J16800)</f>
        <v>&lt;cellule&gt;&lt;codeEdi&gt;1079&lt;/codeEdi&gt;&lt;/cellule&gt;</v>
      </c>
    </row>
    <row r="16800" spans="1:1" x14ac:dyDescent="0.2">
      <c r="A16800" s="996" t="str">
        <f>CONCATENATE(Programme!D16801,Programme!E16801,Programme!F16801,Programme!G16801,Programme!H16801,Programme!I16801,Programme!J16801)</f>
        <v>&lt;valeur&gt;&lt;/valeur&gt;</v>
      </c>
    </row>
    <row r="16801" spans="1:1" x14ac:dyDescent="0.2">
      <c r="A16801" s="996" t="str">
        <f>CONCATENATE(Programme!D16802,Programme!E16802,Programme!F16802,Programme!G16802,Programme!H16802,Programme!I16802,Programme!J16802)</f>
        <v>&lt;numeroLigne&gt;173&lt;/numeroLigne&gt;</v>
      </c>
    </row>
    <row r="16802" spans="1:1" x14ac:dyDescent="0.2">
      <c r="A16802" s="996" t="str">
        <f>CONCATENATE(Programme!D16803,Programme!E16803,Programme!F16803,Programme!G16803,Programme!H16803,Programme!I16803,Programme!J16803)</f>
        <v>&lt;/ValeurCellule&gt;</v>
      </c>
    </row>
    <row r="16803" spans="1:1" x14ac:dyDescent="0.2">
      <c r="A16803" s="996" t="str">
        <f>CONCATENATE(Programme!D16804,Programme!E16804,Programme!F16804,Programme!G16804,Programme!H16804,Programme!I16804,Programme!J16804)</f>
        <v>&lt;ValeurCellule&gt;</v>
      </c>
    </row>
    <row r="16804" spans="1:1" x14ac:dyDescent="0.2">
      <c r="A16804" s="996" t="str">
        <f>CONCATENATE(Programme!D16805,Programme!E16805,Programme!F16805,Programme!G16805,Programme!H16805,Programme!I16805,Programme!J16805)</f>
        <v>&lt;cellule&gt;&lt;codeEdi&gt;1080&lt;/codeEdi&gt;&lt;/cellule&gt;</v>
      </c>
    </row>
    <row r="16805" spans="1:1" x14ac:dyDescent="0.2">
      <c r="A16805" s="996" t="str">
        <f>CONCATENATE(Programme!D16806,Programme!E16806,Programme!F16806,Programme!G16806,Programme!H16806,Programme!I16806,Programme!J16806)</f>
        <v>&lt;valeur&gt;&lt;/valeur&gt;</v>
      </c>
    </row>
    <row r="16806" spans="1:1" x14ac:dyDescent="0.2">
      <c r="A16806" s="996" t="str">
        <f>CONCATENATE(Programme!D16807,Programme!E16807,Programme!F16807,Programme!G16807,Programme!H16807,Programme!I16807,Programme!J16807)</f>
        <v>&lt;numeroLigne&gt;173&lt;/numeroLigne&gt;</v>
      </c>
    </row>
    <row r="16807" spans="1:1" x14ac:dyDescent="0.2">
      <c r="A16807" s="996" t="str">
        <f>CONCATENATE(Programme!D16808,Programme!E16808,Programme!F16808,Programme!G16808,Programme!H16808,Programme!I16808,Programme!J16808)</f>
        <v>&lt;/ValeurCellule&gt;</v>
      </c>
    </row>
    <row r="16808" spans="1:1" x14ac:dyDescent="0.2">
      <c r="A16808" s="996" t="str">
        <f>CONCATENATE(Programme!D16809,Programme!E16809,Programme!F16809,Programme!G16809,Programme!H16809,Programme!I16809,Programme!J16809)</f>
        <v>&lt;ValeurCellule&gt;</v>
      </c>
    </row>
    <row r="16809" spans="1:1" x14ac:dyDescent="0.2">
      <c r="A16809" s="996" t="str">
        <f>CONCATENATE(Programme!D16810,Programme!E16810,Programme!F16810,Programme!G16810,Programme!H16810,Programme!I16810,Programme!J16810)</f>
        <v>&lt;cellule&gt;&lt;codeEdi&gt;1081&lt;/codeEdi&gt;&lt;/cellule&gt;</v>
      </c>
    </row>
    <row r="16810" spans="1:1" x14ac:dyDescent="0.2">
      <c r="A16810" s="996" t="str">
        <f>CONCATENATE(Programme!D16811,Programme!E16811,Programme!F16811,Programme!G16811,Programme!H16811,Programme!I16811,Programme!J16811)</f>
        <v>&lt;valeur&gt;&lt;/valeur&gt;</v>
      </c>
    </row>
    <row r="16811" spans="1:1" x14ac:dyDescent="0.2">
      <c r="A16811" s="996" t="str">
        <f>CONCATENATE(Programme!D16812,Programme!E16812,Programme!F16812,Programme!G16812,Programme!H16812,Programme!I16812,Programme!J16812)</f>
        <v>&lt;numeroLigne&gt;173&lt;/numeroLigne&gt;</v>
      </c>
    </row>
    <row r="16812" spans="1:1" x14ac:dyDescent="0.2">
      <c r="A16812" s="996" t="str">
        <f>CONCATENATE(Programme!D16813,Programme!E16813,Programme!F16813,Programme!G16813,Programme!H16813,Programme!I16813,Programme!J16813)</f>
        <v>&lt;/ValeurCellule&gt;</v>
      </c>
    </row>
    <row r="16813" spans="1:1" x14ac:dyDescent="0.2">
      <c r="A16813" s="996" t="str">
        <f>CONCATENATE(Programme!D16814,Programme!E16814,Programme!F16814,Programme!G16814,Programme!H16814,Programme!I16814,Programme!J16814)</f>
        <v>&lt;ValeurCellule&gt;</v>
      </c>
    </row>
    <row r="16814" spans="1:1" x14ac:dyDescent="0.2">
      <c r="A16814" s="996" t="str">
        <f>CONCATENATE(Programme!D16815,Programme!E16815,Programme!F16815,Programme!G16815,Programme!H16815,Programme!I16815,Programme!J16815)</f>
        <v>&lt;cellule&gt;&lt;codeEdi&gt;1082&lt;/codeEdi&gt;&lt;/cellule&gt;</v>
      </c>
    </row>
    <row r="16815" spans="1:1" x14ac:dyDescent="0.2">
      <c r="A16815" s="996" t="str">
        <f>CONCATENATE(Programme!D16816,Programme!E16816,Programme!F16816,Programme!G16816,Programme!H16816,Programme!I16816,Programme!J16816)</f>
        <v>&lt;valeur&gt;&lt;/valeur&gt;</v>
      </c>
    </row>
    <row r="16816" spans="1:1" x14ac:dyDescent="0.2">
      <c r="A16816" s="996" t="str">
        <f>CONCATENATE(Programme!D16817,Programme!E16817,Programme!F16817,Programme!G16817,Programme!H16817,Programme!I16817,Programme!J16817)</f>
        <v>&lt;numeroLigne&gt;173&lt;/numeroLigne&gt;</v>
      </c>
    </row>
    <row r="16817" spans="1:1" x14ac:dyDescent="0.2">
      <c r="A16817" s="996" t="str">
        <f>CONCATENATE(Programme!D16818,Programme!E16818,Programme!F16818,Programme!G16818,Programme!H16818,Programme!I16818,Programme!J16818)</f>
        <v>&lt;/ValeurCellule&gt;</v>
      </c>
    </row>
    <row r="16818" spans="1:1" x14ac:dyDescent="0.2">
      <c r="A16818" s="996" t="str">
        <f>CONCATENATE(Programme!D16819,Programme!E16819,Programme!F16819,Programme!G16819,Programme!H16819,Programme!I16819,Programme!J16819)</f>
        <v>&lt;ValeurCellule&gt;</v>
      </c>
    </row>
    <row r="16819" spans="1:1" x14ac:dyDescent="0.2">
      <c r="A16819" s="996" t="str">
        <f>CONCATENATE(Programme!D16820,Programme!E16820,Programme!F16820,Programme!G16820,Programme!H16820,Programme!I16820,Programme!J16820)</f>
        <v>&lt;cellule&gt;&lt;codeEdi&gt;1083&lt;/codeEdi&gt;&lt;/cellule&gt;</v>
      </c>
    </row>
    <row r="16820" spans="1:1" x14ac:dyDescent="0.2">
      <c r="A16820" s="996" t="str">
        <f>CONCATENATE(Programme!D16821,Programme!E16821,Programme!F16821,Programme!G16821,Programme!H16821,Programme!I16821,Programme!J16821)</f>
        <v>&lt;valeur&gt;&lt;/valeur&gt;</v>
      </c>
    </row>
    <row r="16821" spans="1:1" x14ac:dyDescent="0.2">
      <c r="A16821" s="996" t="str">
        <f>CONCATENATE(Programme!D16822,Programme!E16822,Programme!F16822,Programme!G16822,Programme!H16822,Programme!I16822,Programme!J16822)</f>
        <v>&lt;numeroLigne&gt;173&lt;/numeroLigne&gt;</v>
      </c>
    </row>
    <row r="16822" spans="1:1" x14ac:dyDescent="0.2">
      <c r="A16822" s="996" t="str">
        <f>CONCATENATE(Programme!D16823,Programme!E16823,Programme!F16823,Programme!G16823,Programme!H16823,Programme!I16823,Programme!J16823)</f>
        <v>&lt;/ValeurCellule&gt;</v>
      </c>
    </row>
    <row r="16823" spans="1:1" x14ac:dyDescent="0.2">
      <c r="A16823" s="996" t="str">
        <f>CONCATENATE(Programme!D16824,Programme!E16824,Programme!F16824,Programme!G16824,Programme!H16824,Programme!I16824,Programme!J16824)</f>
        <v>&lt;ValeurCellule&gt;</v>
      </c>
    </row>
    <row r="16824" spans="1:1" x14ac:dyDescent="0.2">
      <c r="A16824" s="996" t="str">
        <f>CONCATENATE(Programme!D16825,Programme!E16825,Programme!F16825,Programme!G16825,Programme!H16825,Programme!I16825,Programme!J16825)</f>
        <v>&lt;cellule&gt;&lt;codeEdi&gt;1084&lt;/codeEdi&gt;&lt;/cellule&gt;</v>
      </c>
    </row>
    <row r="16825" spans="1:1" x14ac:dyDescent="0.2">
      <c r="A16825" s="996" t="str">
        <f>CONCATENATE(Programme!D16826,Programme!E16826,Programme!F16826,Programme!G16826,Programme!H16826,Programme!I16826,Programme!J16826)</f>
        <v>&lt;valeur&gt;&lt;/valeur&gt;</v>
      </c>
    </row>
    <row r="16826" spans="1:1" x14ac:dyDescent="0.2">
      <c r="A16826" s="996" t="str">
        <f>CONCATENATE(Programme!D16827,Programme!E16827,Programme!F16827,Programme!G16827,Programme!H16827,Programme!I16827,Programme!J16827)</f>
        <v>&lt;numeroLigne&gt;173&lt;/numeroLigne&gt;</v>
      </c>
    </row>
    <row r="16827" spans="1:1" x14ac:dyDescent="0.2">
      <c r="A16827" s="996" t="str">
        <f>CONCATENATE(Programme!D16828,Programme!E16828,Programme!F16828,Programme!G16828,Programme!H16828,Programme!I16828,Programme!J16828)</f>
        <v>&lt;/ValeurCellule&gt;</v>
      </c>
    </row>
    <row r="16828" spans="1:1" x14ac:dyDescent="0.2">
      <c r="A16828" s="996" t="str">
        <f>CONCATENATE(Programme!D16829,Programme!E16829,Programme!F16829,Programme!G16829,Programme!H16829,Programme!I16829,Programme!J16829)</f>
        <v>&lt;ValeurCellule&gt;</v>
      </c>
    </row>
    <row r="16829" spans="1:1" x14ac:dyDescent="0.2">
      <c r="A16829" s="996" t="str">
        <f>CONCATENATE(Programme!D16830,Programme!E16830,Programme!F16830,Programme!G16830,Programme!H16830,Programme!I16830,Programme!J16830)</f>
        <v>&lt;cellule&gt;&lt;codeEdi&gt;1085&lt;/codeEdi&gt;&lt;/cellule&gt;</v>
      </c>
    </row>
    <row r="16830" spans="1:1" x14ac:dyDescent="0.2">
      <c r="A16830" s="996" t="str">
        <f>CONCATENATE(Programme!D16831,Programme!E16831,Programme!F16831,Programme!G16831,Programme!H16831,Programme!I16831,Programme!J16831)</f>
        <v>&lt;valeur&gt;&lt;/valeur&gt;</v>
      </c>
    </row>
    <row r="16831" spans="1:1" x14ac:dyDescent="0.2">
      <c r="A16831" s="996" t="str">
        <f>CONCATENATE(Programme!D16832,Programme!E16832,Programme!F16832,Programme!G16832,Programme!H16832,Programme!I16832,Programme!J16832)</f>
        <v>&lt;numeroLigne&gt;173&lt;/numeroLigne&gt;</v>
      </c>
    </row>
    <row r="16832" spans="1:1" x14ac:dyDescent="0.2">
      <c r="A16832" s="996" t="str">
        <f>CONCATENATE(Programme!D16833,Programme!E16833,Programme!F16833,Programme!G16833,Programme!H16833,Programme!I16833,Programme!J16833)</f>
        <v>&lt;/ValeurCellule&gt;</v>
      </c>
    </row>
    <row r="16833" spans="1:1" x14ac:dyDescent="0.2">
      <c r="A16833" s="996" t="str">
        <f>CONCATENATE(Programme!D16834,Programme!E16834,Programme!F16834,Programme!G16834,Programme!H16834,Programme!I16834,Programme!J16834)</f>
        <v>&lt;ValeurCellule&gt;</v>
      </c>
    </row>
    <row r="16834" spans="1:1" x14ac:dyDescent="0.2">
      <c r="A16834" s="996" t="str">
        <f>CONCATENATE(Programme!D16835,Programme!E16835,Programme!F16835,Programme!G16835,Programme!H16835,Programme!I16835,Programme!J16835)</f>
        <v>&lt;cellule&gt;&lt;codeEdi&gt;1086&lt;/codeEdi&gt;&lt;/cellule&gt;</v>
      </c>
    </row>
    <row r="16835" spans="1:1" x14ac:dyDescent="0.2">
      <c r="A16835" s="996" t="str">
        <f>CONCATENATE(Programme!D16836,Programme!E16836,Programme!F16836,Programme!G16836,Programme!H16836,Programme!I16836,Programme!J16836)</f>
        <v>&lt;valeur&gt;&lt;/valeur&gt;</v>
      </c>
    </row>
    <row r="16836" spans="1:1" x14ac:dyDescent="0.2">
      <c r="A16836" s="996" t="str">
        <f>CONCATENATE(Programme!D16837,Programme!E16837,Programme!F16837,Programme!G16837,Programme!H16837,Programme!I16837,Programme!J16837)</f>
        <v>&lt;numeroLigne&gt;173&lt;/numeroLigne&gt;</v>
      </c>
    </row>
    <row r="16837" spans="1:1" x14ac:dyDescent="0.2">
      <c r="A16837" s="996" t="str">
        <f>CONCATENATE(Programme!D16838,Programme!E16838,Programme!F16838,Programme!G16838,Programme!H16838,Programme!I16838,Programme!J16838)</f>
        <v>&lt;/ValeurCellule&gt;</v>
      </c>
    </row>
    <row r="16838" spans="1:1" x14ac:dyDescent="0.2">
      <c r="A16838" s="996" t="str">
        <f>CONCATENATE(Programme!D16839,Programme!E16839,Programme!F16839,Programme!G16839,Programme!H16839,Programme!I16839,Programme!J16839)</f>
        <v>&lt;ValeurCellule&gt;</v>
      </c>
    </row>
    <row r="16839" spans="1:1" x14ac:dyDescent="0.2">
      <c r="A16839" s="996" t="str">
        <f>CONCATENATE(Programme!D16840,Programme!E16840,Programme!F16840,Programme!G16840,Programme!H16840,Programme!I16840,Programme!J16840)</f>
        <v>&lt;cellule&gt;&lt;codeEdi&gt;10061&lt;/codeEdi&gt;&lt;/cellule&gt;</v>
      </c>
    </row>
    <row r="16840" spans="1:1" x14ac:dyDescent="0.2">
      <c r="A16840" s="996" t="str">
        <f>CONCATENATE(Programme!D16841,Programme!E16841,Programme!F16841,Programme!G16841,Programme!H16841,Programme!I16841,Programme!J16841)</f>
        <v>&lt;valeur&gt;&lt;/valeur&gt;</v>
      </c>
    </row>
    <row r="16841" spans="1:1" x14ac:dyDescent="0.2">
      <c r="A16841" s="996" t="str">
        <f>CONCATENATE(Programme!D16842,Programme!E16842,Programme!F16842,Programme!G16842,Programme!H16842,Programme!I16842,Programme!J16842)</f>
        <v>&lt;numeroLigne&gt;174&lt;/numeroLigne&gt;</v>
      </c>
    </row>
    <row r="16842" spans="1:1" x14ac:dyDescent="0.2">
      <c r="A16842" s="996" t="str">
        <f>CONCATENATE(Programme!D16843,Programme!E16843,Programme!F16843,Programme!G16843,Programme!H16843,Programme!I16843,Programme!J16843)</f>
        <v>&lt;/ValeurCellule&gt;</v>
      </c>
    </row>
    <row r="16843" spans="1:1" x14ac:dyDescent="0.2">
      <c r="A16843" s="996" t="str">
        <f>CONCATENATE(Programme!D16844,Programme!E16844,Programme!F16844,Programme!G16844,Programme!H16844,Programme!I16844,Programme!J16844)</f>
        <v>&lt;ValeurCellule&gt;</v>
      </c>
    </row>
    <row r="16844" spans="1:1" x14ac:dyDescent="0.2">
      <c r="A16844" s="996" t="str">
        <f>CONCATENATE(Programme!D16845,Programme!E16845,Programme!F16845,Programme!G16845,Programme!H16845,Programme!I16845,Programme!J16845)</f>
        <v>&lt;cellule&gt;&lt;codeEdi&gt;1078&lt;/codeEdi&gt;&lt;/cellule&gt;</v>
      </c>
    </row>
    <row r="16845" spans="1:1" x14ac:dyDescent="0.2">
      <c r="A16845" s="996" t="str">
        <f>CONCATENATE(Programme!D16846,Programme!E16846,Programme!F16846,Programme!G16846,Programme!H16846,Programme!I16846,Programme!J16846)</f>
        <v>&lt;valeur&gt;&lt;/valeur&gt;</v>
      </c>
    </row>
    <row r="16846" spans="1:1" x14ac:dyDescent="0.2">
      <c r="A16846" s="996" t="str">
        <f>CONCATENATE(Programme!D16847,Programme!E16847,Programme!F16847,Programme!G16847,Programme!H16847,Programme!I16847,Programme!J16847)</f>
        <v>&lt;numeroLigne&gt;174&lt;/numeroLigne&gt;</v>
      </c>
    </row>
    <row r="16847" spans="1:1" x14ac:dyDescent="0.2">
      <c r="A16847" s="996" t="str">
        <f>CONCATENATE(Programme!D16848,Programme!E16848,Programme!F16848,Programme!G16848,Programme!H16848,Programme!I16848,Programme!J16848)</f>
        <v>&lt;/ValeurCellule&gt;</v>
      </c>
    </row>
    <row r="16848" spans="1:1" x14ac:dyDescent="0.2">
      <c r="A16848" s="996" t="str">
        <f>CONCATENATE(Programme!D16849,Programme!E16849,Programme!F16849,Programme!G16849,Programme!H16849,Programme!I16849,Programme!J16849)</f>
        <v>&lt;ValeurCellule&gt;</v>
      </c>
    </row>
    <row r="16849" spans="1:1" x14ac:dyDescent="0.2">
      <c r="A16849" s="996" t="str">
        <f>CONCATENATE(Programme!D16850,Programme!E16850,Programme!F16850,Programme!G16850,Programme!H16850,Programme!I16850,Programme!J16850)</f>
        <v>&lt;cellule&gt;&lt;codeEdi&gt;1079&lt;/codeEdi&gt;&lt;/cellule&gt;</v>
      </c>
    </row>
    <row r="16850" spans="1:1" x14ac:dyDescent="0.2">
      <c r="A16850" s="996" t="str">
        <f>CONCATENATE(Programme!D16851,Programme!E16851,Programme!F16851,Programme!G16851,Programme!H16851,Programme!I16851,Programme!J16851)</f>
        <v>&lt;valeur&gt;&lt;/valeur&gt;</v>
      </c>
    </row>
    <row r="16851" spans="1:1" x14ac:dyDescent="0.2">
      <c r="A16851" s="996" t="str">
        <f>CONCATENATE(Programme!D16852,Programme!E16852,Programme!F16852,Programme!G16852,Programme!H16852,Programme!I16852,Programme!J16852)</f>
        <v>&lt;numeroLigne&gt;174&lt;/numeroLigne&gt;</v>
      </c>
    </row>
    <row r="16852" spans="1:1" x14ac:dyDescent="0.2">
      <c r="A16852" s="996" t="str">
        <f>CONCATENATE(Programme!D16853,Programme!E16853,Programme!F16853,Programme!G16853,Programme!H16853,Programme!I16853,Programme!J16853)</f>
        <v>&lt;/ValeurCellule&gt;</v>
      </c>
    </row>
    <row r="16853" spans="1:1" x14ac:dyDescent="0.2">
      <c r="A16853" s="996" t="str">
        <f>CONCATENATE(Programme!D16854,Programme!E16854,Programme!F16854,Programme!G16854,Programme!H16854,Programme!I16854,Programme!J16854)</f>
        <v>&lt;ValeurCellule&gt;</v>
      </c>
    </row>
    <row r="16854" spans="1:1" x14ac:dyDescent="0.2">
      <c r="A16854" s="996" t="str">
        <f>CONCATENATE(Programme!D16855,Programme!E16855,Programme!F16855,Programme!G16855,Programme!H16855,Programme!I16855,Programme!J16855)</f>
        <v>&lt;cellule&gt;&lt;codeEdi&gt;1080&lt;/codeEdi&gt;&lt;/cellule&gt;</v>
      </c>
    </row>
    <row r="16855" spans="1:1" x14ac:dyDescent="0.2">
      <c r="A16855" s="996" t="str">
        <f>CONCATENATE(Programme!D16856,Programme!E16856,Programme!F16856,Programme!G16856,Programme!H16856,Programme!I16856,Programme!J16856)</f>
        <v>&lt;valeur&gt;&lt;/valeur&gt;</v>
      </c>
    </row>
    <row r="16856" spans="1:1" x14ac:dyDescent="0.2">
      <c r="A16856" s="996" t="str">
        <f>CONCATENATE(Programme!D16857,Programme!E16857,Programme!F16857,Programme!G16857,Programme!H16857,Programme!I16857,Programme!J16857)</f>
        <v>&lt;numeroLigne&gt;174&lt;/numeroLigne&gt;</v>
      </c>
    </row>
    <row r="16857" spans="1:1" x14ac:dyDescent="0.2">
      <c r="A16857" s="996" t="str">
        <f>CONCATENATE(Programme!D16858,Programme!E16858,Programme!F16858,Programme!G16858,Programme!H16858,Programme!I16858,Programme!J16858)</f>
        <v>&lt;/ValeurCellule&gt;</v>
      </c>
    </row>
    <row r="16858" spans="1:1" x14ac:dyDescent="0.2">
      <c r="A16858" s="996" t="str">
        <f>CONCATENATE(Programme!D16859,Programme!E16859,Programme!F16859,Programme!G16859,Programme!H16859,Programme!I16859,Programme!J16859)</f>
        <v>&lt;ValeurCellule&gt;</v>
      </c>
    </row>
    <row r="16859" spans="1:1" x14ac:dyDescent="0.2">
      <c r="A16859" s="996" t="str">
        <f>CONCATENATE(Programme!D16860,Programme!E16860,Programme!F16860,Programme!G16860,Programme!H16860,Programme!I16860,Programme!J16860)</f>
        <v>&lt;cellule&gt;&lt;codeEdi&gt;1081&lt;/codeEdi&gt;&lt;/cellule&gt;</v>
      </c>
    </row>
    <row r="16860" spans="1:1" x14ac:dyDescent="0.2">
      <c r="A16860" s="996" t="str">
        <f>CONCATENATE(Programme!D16861,Programme!E16861,Programme!F16861,Programme!G16861,Programme!H16861,Programme!I16861,Programme!J16861)</f>
        <v>&lt;valeur&gt;&lt;/valeur&gt;</v>
      </c>
    </row>
    <row r="16861" spans="1:1" x14ac:dyDescent="0.2">
      <c r="A16861" s="996" t="str">
        <f>CONCATENATE(Programme!D16862,Programme!E16862,Programme!F16862,Programme!G16862,Programme!H16862,Programme!I16862,Programme!J16862)</f>
        <v>&lt;numeroLigne&gt;174&lt;/numeroLigne&gt;</v>
      </c>
    </row>
    <row r="16862" spans="1:1" x14ac:dyDescent="0.2">
      <c r="A16862" s="996" t="str">
        <f>CONCATENATE(Programme!D16863,Programme!E16863,Programme!F16863,Programme!G16863,Programme!H16863,Programme!I16863,Programme!J16863)</f>
        <v>&lt;/ValeurCellule&gt;</v>
      </c>
    </row>
    <row r="16863" spans="1:1" x14ac:dyDescent="0.2">
      <c r="A16863" s="996" t="str">
        <f>CONCATENATE(Programme!D16864,Programme!E16864,Programme!F16864,Programme!G16864,Programme!H16864,Programme!I16864,Programme!J16864)</f>
        <v>&lt;ValeurCellule&gt;</v>
      </c>
    </row>
    <row r="16864" spans="1:1" x14ac:dyDescent="0.2">
      <c r="A16864" s="996" t="str">
        <f>CONCATENATE(Programme!D16865,Programme!E16865,Programme!F16865,Programme!G16865,Programme!H16865,Programme!I16865,Programme!J16865)</f>
        <v>&lt;cellule&gt;&lt;codeEdi&gt;1082&lt;/codeEdi&gt;&lt;/cellule&gt;</v>
      </c>
    </row>
    <row r="16865" spans="1:1" x14ac:dyDescent="0.2">
      <c r="A16865" s="996" t="str">
        <f>CONCATENATE(Programme!D16866,Programme!E16866,Programme!F16866,Programme!G16866,Programme!H16866,Programme!I16866,Programme!J16866)</f>
        <v>&lt;valeur&gt;&lt;/valeur&gt;</v>
      </c>
    </row>
    <row r="16866" spans="1:1" x14ac:dyDescent="0.2">
      <c r="A16866" s="996" t="str">
        <f>CONCATENATE(Programme!D16867,Programme!E16867,Programme!F16867,Programme!G16867,Programme!H16867,Programme!I16867,Programme!J16867)</f>
        <v>&lt;numeroLigne&gt;174&lt;/numeroLigne&gt;</v>
      </c>
    </row>
    <row r="16867" spans="1:1" x14ac:dyDescent="0.2">
      <c r="A16867" s="996" t="str">
        <f>CONCATENATE(Programme!D16868,Programme!E16868,Programme!F16868,Programme!G16868,Programme!H16868,Programme!I16868,Programme!J16868)</f>
        <v>&lt;/ValeurCellule&gt;</v>
      </c>
    </row>
    <row r="16868" spans="1:1" x14ac:dyDescent="0.2">
      <c r="A16868" s="996" t="str">
        <f>CONCATENATE(Programme!D16869,Programme!E16869,Programme!F16869,Programme!G16869,Programme!H16869,Programme!I16869,Programme!J16869)</f>
        <v>&lt;ValeurCellule&gt;</v>
      </c>
    </row>
    <row r="16869" spans="1:1" x14ac:dyDescent="0.2">
      <c r="A16869" s="996" t="str">
        <f>CONCATENATE(Programme!D16870,Programme!E16870,Programme!F16870,Programme!G16870,Programme!H16870,Programme!I16870,Programme!J16870)</f>
        <v>&lt;cellule&gt;&lt;codeEdi&gt;1083&lt;/codeEdi&gt;&lt;/cellule&gt;</v>
      </c>
    </row>
    <row r="16870" spans="1:1" x14ac:dyDescent="0.2">
      <c r="A16870" s="996" t="str">
        <f>CONCATENATE(Programme!D16871,Programme!E16871,Programme!F16871,Programme!G16871,Programme!H16871,Programme!I16871,Programme!J16871)</f>
        <v>&lt;valeur&gt;&lt;/valeur&gt;</v>
      </c>
    </row>
    <row r="16871" spans="1:1" x14ac:dyDescent="0.2">
      <c r="A16871" s="996" t="str">
        <f>CONCATENATE(Programme!D16872,Programme!E16872,Programme!F16872,Programme!G16872,Programme!H16872,Programme!I16872,Programme!J16872)</f>
        <v>&lt;numeroLigne&gt;174&lt;/numeroLigne&gt;</v>
      </c>
    </row>
    <row r="16872" spans="1:1" x14ac:dyDescent="0.2">
      <c r="A16872" s="996" t="str">
        <f>CONCATENATE(Programme!D16873,Programme!E16873,Programme!F16873,Programme!G16873,Programme!H16873,Programme!I16873,Programme!J16873)</f>
        <v>&lt;/ValeurCellule&gt;</v>
      </c>
    </row>
    <row r="16873" spans="1:1" x14ac:dyDescent="0.2">
      <c r="A16873" s="996" t="str">
        <f>CONCATENATE(Programme!D16874,Programme!E16874,Programme!F16874,Programme!G16874,Programme!H16874,Programme!I16874,Programme!J16874)</f>
        <v>&lt;ValeurCellule&gt;</v>
      </c>
    </row>
    <row r="16874" spans="1:1" x14ac:dyDescent="0.2">
      <c r="A16874" s="996" t="str">
        <f>CONCATENATE(Programme!D16875,Programme!E16875,Programme!F16875,Programme!G16875,Programme!H16875,Programme!I16875,Programme!J16875)</f>
        <v>&lt;cellule&gt;&lt;codeEdi&gt;1084&lt;/codeEdi&gt;&lt;/cellule&gt;</v>
      </c>
    </row>
    <row r="16875" spans="1:1" x14ac:dyDescent="0.2">
      <c r="A16875" s="996" t="str">
        <f>CONCATENATE(Programme!D16876,Programme!E16876,Programme!F16876,Programme!G16876,Programme!H16876,Programme!I16876,Programme!J16876)</f>
        <v>&lt;valeur&gt;&lt;/valeur&gt;</v>
      </c>
    </row>
    <row r="16876" spans="1:1" x14ac:dyDescent="0.2">
      <c r="A16876" s="996" t="str">
        <f>CONCATENATE(Programme!D16877,Programme!E16877,Programme!F16877,Programme!G16877,Programme!H16877,Programme!I16877,Programme!J16877)</f>
        <v>&lt;numeroLigne&gt;174&lt;/numeroLigne&gt;</v>
      </c>
    </row>
    <row r="16877" spans="1:1" x14ac:dyDescent="0.2">
      <c r="A16877" s="996" t="str">
        <f>CONCATENATE(Programme!D16878,Programme!E16878,Programme!F16878,Programme!G16878,Programme!H16878,Programme!I16878,Programme!J16878)</f>
        <v>&lt;/ValeurCellule&gt;</v>
      </c>
    </row>
    <row r="16878" spans="1:1" x14ac:dyDescent="0.2">
      <c r="A16878" s="996" t="str">
        <f>CONCATENATE(Programme!D16879,Programme!E16879,Programme!F16879,Programme!G16879,Programme!H16879,Programme!I16879,Programme!J16879)</f>
        <v>&lt;ValeurCellule&gt;</v>
      </c>
    </row>
    <row r="16879" spans="1:1" x14ac:dyDescent="0.2">
      <c r="A16879" s="996" t="str">
        <f>CONCATENATE(Programme!D16880,Programme!E16880,Programme!F16880,Programme!G16880,Programme!H16880,Programme!I16880,Programme!J16880)</f>
        <v>&lt;cellule&gt;&lt;codeEdi&gt;1085&lt;/codeEdi&gt;&lt;/cellule&gt;</v>
      </c>
    </row>
    <row r="16880" spans="1:1" x14ac:dyDescent="0.2">
      <c r="A16880" s="996" t="str">
        <f>CONCATENATE(Programme!D16881,Programme!E16881,Programme!F16881,Programme!G16881,Programme!H16881,Programme!I16881,Programme!J16881)</f>
        <v>&lt;valeur&gt;&lt;/valeur&gt;</v>
      </c>
    </row>
    <row r="16881" spans="1:1" x14ac:dyDescent="0.2">
      <c r="A16881" s="996" t="str">
        <f>CONCATENATE(Programme!D16882,Programme!E16882,Programme!F16882,Programme!G16882,Programme!H16882,Programme!I16882,Programme!J16882)</f>
        <v>&lt;numeroLigne&gt;174&lt;/numeroLigne&gt;</v>
      </c>
    </row>
    <row r="16882" spans="1:1" x14ac:dyDescent="0.2">
      <c r="A16882" s="996" t="str">
        <f>CONCATENATE(Programme!D16883,Programme!E16883,Programme!F16883,Programme!G16883,Programme!H16883,Programme!I16883,Programme!J16883)</f>
        <v>&lt;/ValeurCellule&gt;</v>
      </c>
    </row>
    <row r="16883" spans="1:1" x14ac:dyDescent="0.2">
      <c r="A16883" s="996" t="str">
        <f>CONCATENATE(Programme!D16884,Programme!E16884,Programme!F16884,Programme!G16884,Programme!H16884,Programme!I16884,Programme!J16884)</f>
        <v>&lt;ValeurCellule&gt;</v>
      </c>
    </row>
    <row r="16884" spans="1:1" x14ac:dyDescent="0.2">
      <c r="A16884" s="996" t="str">
        <f>CONCATENATE(Programme!D16885,Programme!E16885,Programme!F16885,Programme!G16885,Programme!H16885,Programme!I16885,Programme!J16885)</f>
        <v>&lt;cellule&gt;&lt;codeEdi&gt;1086&lt;/codeEdi&gt;&lt;/cellule&gt;</v>
      </c>
    </row>
    <row r="16885" spans="1:1" x14ac:dyDescent="0.2">
      <c r="A16885" s="996" t="str">
        <f>CONCATENATE(Programme!D16886,Programme!E16886,Programme!F16886,Programme!G16886,Programme!H16886,Programme!I16886,Programme!J16886)</f>
        <v>&lt;valeur&gt;&lt;/valeur&gt;</v>
      </c>
    </row>
    <row r="16886" spans="1:1" x14ac:dyDescent="0.2">
      <c r="A16886" s="996" t="str">
        <f>CONCATENATE(Programme!D16887,Programme!E16887,Programme!F16887,Programme!G16887,Programme!H16887,Programme!I16887,Programme!J16887)</f>
        <v>&lt;numeroLigne&gt;174&lt;/numeroLigne&gt;</v>
      </c>
    </row>
    <row r="16887" spans="1:1" x14ac:dyDescent="0.2">
      <c r="A16887" s="996" t="str">
        <f>CONCATENATE(Programme!D16888,Programme!E16888,Programme!F16888,Programme!G16888,Programme!H16888,Programme!I16888,Programme!J16888)</f>
        <v>&lt;/ValeurCellule&gt;</v>
      </c>
    </row>
    <row r="16888" spans="1:1" x14ac:dyDescent="0.2">
      <c r="A16888" s="996" t="str">
        <f>CONCATENATE(Programme!D16889,Programme!E16889,Programme!F16889,Programme!G16889,Programme!H16889,Programme!I16889,Programme!J16889)</f>
        <v>&lt;ValeurCellule&gt;</v>
      </c>
    </row>
    <row r="16889" spans="1:1" x14ac:dyDescent="0.2">
      <c r="A16889" s="996" t="str">
        <f>CONCATENATE(Programme!D16890,Programme!E16890,Programme!F16890,Programme!G16890,Programme!H16890,Programme!I16890,Programme!J16890)</f>
        <v>&lt;cellule&gt;&lt;codeEdi&gt;10061&lt;/codeEdi&gt;&lt;/cellule&gt;</v>
      </c>
    </row>
    <row r="16890" spans="1:1" x14ac:dyDescent="0.2">
      <c r="A16890" s="996" t="str">
        <f>CONCATENATE(Programme!D16891,Programme!E16891,Programme!F16891,Programme!G16891,Programme!H16891,Programme!I16891,Programme!J16891)</f>
        <v>&lt;valeur&gt;&lt;/valeur&gt;</v>
      </c>
    </row>
    <row r="16891" spans="1:1" x14ac:dyDescent="0.2">
      <c r="A16891" s="996" t="str">
        <f>CONCATENATE(Programme!D16892,Programme!E16892,Programme!F16892,Programme!G16892,Programme!H16892,Programme!I16892,Programme!J16892)</f>
        <v>&lt;numeroLigne&gt;175&lt;/numeroLigne&gt;</v>
      </c>
    </row>
    <row r="16892" spans="1:1" x14ac:dyDescent="0.2">
      <c r="A16892" s="996" t="str">
        <f>CONCATENATE(Programme!D16893,Programme!E16893,Programme!F16893,Programme!G16893,Programme!H16893,Programme!I16893,Programme!J16893)</f>
        <v>&lt;/ValeurCellule&gt;</v>
      </c>
    </row>
    <row r="16893" spans="1:1" x14ac:dyDescent="0.2">
      <c r="A16893" s="996" t="str">
        <f>CONCATENATE(Programme!D16894,Programme!E16894,Programme!F16894,Programme!G16894,Programme!H16894,Programme!I16894,Programme!J16894)</f>
        <v>&lt;ValeurCellule&gt;</v>
      </c>
    </row>
    <row r="16894" spans="1:1" x14ac:dyDescent="0.2">
      <c r="A16894" s="996" t="str">
        <f>CONCATENATE(Programme!D16895,Programme!E16895,Programme!F16895,Programme!G16895,Programme!H16895,Programme!I16895,Programme!J16895)</f>
        <v>&lt;cellule&gt;&lt;codeEdi&gt;1078&lt;/codeEdi&gt;&lt;/cellule&gt;</v>
      </c>
    </row>
    <row r="16895" spans="1:1" x14ac:dyDescent="0.2">
      <c r="A16895" s="996" t="str">
        <f>CONCATENATE(Programme!D16896,Programme!E16896,Programme!F16896,Programme!G16896,Programme!H16896,Programme!I16896,Programme!J16896)</f>
        <v>&lt;valeur&gt;&lt;/valeur&gt;</v>
      </c>
    </row>
    <row r="16896" spans="1:1" x14ac:dyDescent="0.2">
      <c r="A16896" s="996" t="str">
        <f>CONCATENATE(Programme!D16897,Programme!E16897,Programme!F16897,Programme!G16897,Programme!H16897,Programme!I16897,Programme!J16897)</f>
        <v>&lt;numeroLigne&gt;175&lt;/numeroLigne&gt;</v>
      </c>
    </row>
    <row r="16897" spans="1:1" x14ac:dyDescent="0.2">
      <c r="A16897" s="996" t="str">
        <f>CONCATENATE(Programme!D16898,Programme!E16898,Programme!F16898,Programme!G16898,Programme!H16898,Programme!I16898,Programme!J16898)</f>
        <v>&lt;/ValeurCellule&gt;</v>
      </c>
    </row>
    <row r="16898" spans="1:1" x14ac:dyDescent="0.2">
      <c r="A16898" s="996" t="str">
        <f>CONCATENATE(Programme!D16899,Programme!E16899,Programme!F16899,Programme!G16899,Programme!H16899,Programme!I16899,Programme!J16899)</f>
        <v>&lt;ValeurCellule&gt;</v>
      </c>
    </row>
    <row r="16899" spans="1:1" x14ac:dyDescent="0.2">
      <c r="A16899" s="996" t="str">
        <f>CONCATENATE(Programme!D16900,Programme!E16900,Programme!F16900,Programme!G16900,Programme!H16900,Programme!I16900,Programme!J16900)</f>
        <v>&lt;cellule&gt;&lt;codeEdi&gt;1079&lt;/codeEdi&gt;&lt;/cellule&gt;</v>
      </c>
    </row>
    <row r="16900" spans="1:1" x14ac:dyDescent="0.2">
      <c r="A16900" s="996" t="str">
        <f>CONCATENATE(Programme!D16901,Programme!E16901,Programme!F16901,Programme!G16901,Programme!H16901,Programme!I16901,Programme!J16901)</f>
        <v>&lt;valeur&gt;&lt;/valeur&gt;</v>
      </c>
    </row>
    <row r="16901" spans="1:1" x14ac:dyDescent="0.2">
      <c r="A16901" s="996" t="str">
        <f>CONCATENATE(Programme!D16902,Programme!E16902,Programme!F16902,Programme!G16902,Programme!H16902,Programme!I16902,Programme!J16902)</f>
        <v>&lt;numeroLigne&gt;175&lt;/numeroLigne&gt;</v>
      </c>
    </row>
    <row r="16902" spans="1:1" x14ac:dyDescent="0.2">
      <c r="A16902" s="996" t="str">
        <f>CONCATENATE(Programme!D16903,Programme!E16903,Programme!F16903,Programme!G16903,Programme!H16903,Programme!I16903,Programme!J16903)</f>
        <v>&lt;/ValeurCellule&gt;</v>
      </c>
    </row>
    <row r="16903" spans="1:1" x14ac:dyDescent="0.2">
      <c r="A16903" s="996" t="str">
        <f>CONCATENATE(Programme!D16904,Programme!E16904,Programme!F16904,Programme!G16904,Programme!H16904,Programme!I16904,Programme!J16904)</f>
        <v>&lt;ValeurCellule&gt;</v>
      </c>
    </row>
    <row r="16904" spans="1:1" x14ac:dyDescent="0.2">
      <c r="A16904" s="996" t="str">
        <f>CONCATENATE(Programme!D16905,Programme!E16905,Programme!F16905,Programme!G16905,Programme!H16905,Programme!I16905,Programme!J16905)</f>
        <v>&lt;cellule&gt;&lt;codeEdi&gt;1080&lt;/codeEdi&gt;&lt;/cellule&gt;</v>
      </c>
    </row>
    <row r="16905" spans="1:1" x14ac:dyDescent="0.2">
      <c r="A16905" s="996" t="str">
        <f>CONCATENATE(Programme!D16906,Programme!E16906,Programme!F16906,Programme!G16906,Programme!H16906,Programme!I16906,Programme!J16906)</f>
        <v>&lt;valeur&gt;&lt;/valeur&gt;</v>
      </c>
    </row>
    <row r="16906" spans="1:1" x14ac:dyDescent="0.2">
      <c r="A16906" s="996" t="str">
        <f>CONCATENATE(Programme!D16907,Programme!E16907,Programme!F16907,Programme!G16907,Programme!H16907,Programme!I16907,Programme!J16907)</f>
        <v>&lt;numeroLigne&gt;175&lt;/numeroLigne&gt;</v>
      </c>
    </row>
    <row r="16907" spans="1:1" x14ac:dyDescent="0.2">
      <c r="A16907" s="996" t="str">
        <f>CONCATENATE(Programme!D16908,Programme!E16908,Programme!F16908,Programme!G16908,Programme!H16908,Programme!I16908,Programme!J16908)</f>
        <v>&lt;/ValeurCellule&gt;</v>
      </c>
    </row>
    <row r="16908" spans="1:1" x14ac:dyDescent="0.2">
      <c r="A16908" s="996" t="str">
        <f>CONCATENATE(Programme!D16909,Programme!E16909,Programme!F16909,Programme!G16909,Programme!H16909,Programme!I16909,Programme!J16909)</f>
        <v>&lt;ValeurCellule&gt;</v>
      </c>
    </row>
    <row r="16909" spans="1:1" x14ac:dyDescent="0.2">
      <c r="A16909" s="996" t="str">
        <f>CONCATENATE(Programme!D16910,Programme!E16910,Programme!F16910,Programme!G16910,Programme!H16910,Programme!I16910,Programme!J16910)</f>
        <v>&lt;cellule&gt;&lt;codeEdi&gt;1081&lt;/codeEdi&gt;&lt;/cellule&gt;</v>
      </c>
    </row>
    <row r="16910" spans="1:1" x14ac:dyDescent="0.2">
      <c r="A16910" s="996" t="str">
        <f>CONCATENATE(Programme!D16911,Programme!E16911,Programme!F16911,Programme!G16911,Programme!H16911,Programme!I16911,Programme!J16911)</f>
        <v>&lt;valeur&gt;&lt;/valeur&gt;</v>
      </c>
    </row>
    <row r="16911" spans="1:1" x14ac:dyDescent="0.2">
      <c r="A16911" s="996" t="str">
        <f>CONCATENATE(Programme!D16912,Programme!E16912,Programme!F16912,Programme!G16912,Programme!H16912,Programme!I16912,Programme!J16912)</f>
        <v>&lt;numeroLigne&gt;175&lt;/numeroLigne&gt;</v>
      </c>
    </row>
    <row r="16912" spans="1:1" x14ac:dyDescent="0.2">
      <c r="A16912" s="996" t="str">
        <f>CONCATENATE(Programme!D16913,Programme!E16913,Programme!F16913,Programme!G16913,Programme!H16913,Programme!I16913,Programme!J16913)</f>
        <v>&lt;/ValeurCellule&gt;</v>
      </c>
    </row>
    <row r="16913" spans="1:1" x14ac:dyDescent="0.2">
      <c r="A16913" s="996" t="str">
        <f>CONCATENATE(Programme!D16914,Programme!E16914,Programme!F16914,Programme!G16914,Programme!H16914,Programme!I16914,Programme!J16914)</f>
        <v>&lt;ValeurCellule&gt;</v>
      </c>
    </row>
    <row r="16914" spans="1:1" x14ac:dyDescent="0.2">
      <c r="A16914" s="996" t="str">
        <f>CONCATENATE(Programme!D16915,Programme!E16915,Programme!F16915,Programme!G16915,Programme!H16915,Programme!I16915,Programme!J16915)</f>
        <v>&lt;cellule&gt;&lt;codeEdi&gt;1082&lt;/codeEdi&gt;&lt;/cellule&gt;</v>
      </c>
    </row>
    <row r="16915" spans="1:1" x14ac:dyDescent="0.2">
      <c r="A16915" s="996" t="str">
        <f>CONCATENATE(Programme!D16916,Programme!E16916,Programme!F16916,Programme!G16916,Programme!H16916,Programme!I16916,Programme!J16916)</f>
        <v>&lt;valeur&gt;&lt;/valeur&gt;</v>
      </c>
    </row>
    <row r="16916" spans="1:1" x14ac:dyDescent="0.2">
      <c r="A16916" s="996" t="str">
        <f>CONCATENATE(Programme!D16917,Programme!E16917,Programme!F16917,Programme!G16917,Programme!H16917,Programme!I16917,Programme!J16917)</f>
        <v>&lt;numeroLigne&gt;175&lt;/numeroLigne&gt;</v>
      </c>
    </row>
    <row r="16917" spans="1:1" x14ac:dyDescent="0.2">
      <c r="A16917" s="996" t="str">
        <f>CONCATENATE(Programme!D16918,Programme!E16918,Programme!F16918,Programme!G16918,Programme!H16918,Programme!I16918,Programme!J16918)</f>
        <v>&lt;/ValeurCellule&gt;</v>
      </c>
    </row>
    <row r="16918" spans="1:1" x14ac:dyDescent="0.2">
      <c r="A16918" s="996" t="str">
        <f>CONCATENATE(Programme!D16919,Programme!E16919,Programme!F16919,Programme!G16919,Programme!H16919,Programme!I16919,Programme!J16919)</f>
        <v>&lt;ValeurCellule&gt;</v>
      </c>
    </row>
    <row r="16919" spans="1:1" x14ac:dyDescent="0.2">
      <c r="A16919" s="996" t="str">
        <f>CONCATENATE(Programme!D16920,Programme!E16920,Programme!F16920,Programme!G16920,Programme!H16920,Programme!I16920,Programme!J16920)</f>
        <v>&lt;cellule&gt;&lt;codeEdi&gt;1083&lt;/codeEdi&gt;&lt;/cellule&gt;</v>
      </c>
    </row>
    <row r="16920" spans="1:1" x14ac:dyDescent="0.2">
      <c r="A16920" s="996" t="str">
        <f>CONCATENATE(Programme!D16921,Programme!E16921,Programme!F16921,Programme!G16921,Programme!H16921,Programme!I16921,Programme!J16921)</f>
        <v>&lt;valeur&gt;&lt;/valeur&gt;</v>
      </c>
    </row>
    <row r="16921" spans="1:1" x14ac:dyDescent="0.2">
      <c r="A16921" s="996" t="str">
        <f>CONCATENATE(Programme!D16922,Programme!E16922,Programme!F16922,Programme!G16922,Programme!H16922,Programme!I16922,Programme!J16922)</f>
        <v>&lt;numeroLigne&gt;175&lt;/numeroLigne&gt;</v>
      </c>
    </row>
    <row r="16922" spans="1:1" x14ac:dyDescent="0.2">
      <c r="A16922" s="996" t="str">
        <f>CONCATENATE(Programme!D16923,Programme!E16923,Programme!F16923,Programme!G16923,Programme!H16923,Programme!I16923,Programme!J16923)</f>
        <v>&lt;/ValeurCellule&gt;</v>
      </c>
    </row>
    <row r="16923" spans="1:1" x14ac:dyDescent="0.2">
      <c r="A16923" s="996" t="str">
        <f>CONCATENATE(Programme!D16924,Programme!E16924,Programme!F16924,Programme!G16924,Programme!H16924,Programme!I16924,Programme!J16924)</f>
        <v>&lt;ValeurCellule&gt;</v>
      </c>
    </row>
    <row r="16924" spans="1:1" x14ac:dyDescent="0.2">
      <c r="A16924" s="996" t="str">
        <f>CONCATENATE(Programme!D16925,Programme!E16925,Programme!F16925,Programme!G16925,Programme!H16925,Programme!I16925,Programme!J16925)</f>
        <v>&lt;cellule&gt;&lt;codeEdi&gt;1084&lt;/codeEdi&gt;&lt;/cellule&gt;</v>
      </c>
    </row>
    <row r="16925" spans="1:1" x14ac:dyDescent="0.2">
      <c r="A16925" s="996" t="str">
        <f>CONCATENATE(Programme!D16926,Programme!E16926,Programme!F16926,Programme!G16926,Programme!H16926,Programme!I16926,Programme!J16926)</f>
        <v>&lt;valeur&gt;&lt;/valeur&gt;</v>
      </c>
    </row>
    <row r="16926" spans="1:1" x14ac:dyDescent="0.2">
      <c r="A16926" s="996" t="str">
        <f>CONCATENATE(Programme!D16927,Programme!E16927,Programme!F16927,Programme!G16927,Programme!H16927,Programme!I16927,Programme!J16927)</f>
        <v>&lt;numeroLigne&gt;175&lt;/numeroLigne&gt;</v>
      </c>
    </row>
    <row r="16927" spans="1:1" x14ac:dyDescent="0.2">
      <c r="A16927" s="996" t="str">
        <f>CONCATENATE(Programme!D16928,Programme!E16928,Programme!F16928,Programme!G16928,Programme!H16928,Programme!I16928,Programme!J16928)</f>
        <v>&lt;/ValeurCellule&gt;</v>
      </c>
    </row>
    <row r="16928" spans="1:1" x14ac:dyDescent="0.2">
      <c r="A16928" s="996" t="str">
        <f>CONCATENATE(Programme!D16929,Programme!E16929,Programme!F16929,Programme!G16929,Programme!H16929,Programme!I16929,Programme!J16929)</f>
        <v>&lt;ValeurCellule&gt;</v>
      </c>
    </row>
    <row r="16929" spans="1:1" x14ac:dyDescent="0.2">
      <c r="A16929" s="996" t="str">
        <f>CONCATENATE(Programme!D16930,Programme!E16930,Programme!F16930,Programme!G16930,Programme!H16930,Programme!I16930,Programme!J16930)</f>
        <v>&lt;cellule&gt;&lt;codeEdi&gt;1085&lt;/codeEdi&gt;&lt;/cellule&gt;</v>
      </c>
    </row>
    <row r="16930" spans="1:1" x14ac:dyDescent="0.2">
      <c r="A16930" s="996" t="str">
        <f>CONCATENATE(Programme!D16931,Programme!E16931,Programme!F16931,Programme!G16931,Programme!H16931,Programme!I16931,Programme!J16931)</f>
        <v>&lt;valeur&gt;&lt;/valeur&gt;</v>
      </c>
    </row>
    <row r="16931" spans="1:1" x14ac:dyDescent="0.2">
      <c r="A16931" s="996" t="str">
        <f>CONCATENATE(Programme!D16932,Programme!E16932,Programme!F16932,Programme!G16932,Programme!H16932,Programme!I16932,Programme!J16932)</f>
        <v>&lt;numeroLigne&gt;175&lt;/numeroLigne&gt;</v>
      </c>
    </row>
    <row r="16932" spans="1:1" x14ac:dyDescent="0.2">
      <c r="A16932" s="996" t="str">
        <f>CONCATENATE(Programme!D16933,Programme!E16933,Programme!F16933,Programme!G16933,Programme!H16933,Programme!I16933,Programme!J16933)</f>
        <v>&lt;/ValeurCellule&gt;</v>
      </c>
    </row>
    <row r="16933" spans="1:1" x14ac:dyDescent="0.2">
      <c r="A16933" s="996" t="str">
        <f>CONCATENATE(Programme!D16934,Programme!E16934,Programme!F16934,Programme!G16934,Programme!H16934,Programme!I16934,Programme!J16934)</f>
        <v>&lt;ValeurCellule&gt;</v>
      </c>
    </row>
    <row r="16934" spans="1:1" x14ac:dyDescent="0.2">
      <c r="A16934" s="996" t="str">
        <f>CONCATENATE(Programme!D16935,Programme!E16935,Programme!F16935,Programme!G16935,Programme!H16935,Programme!I16935,Programme!J16935)</f>
        <v>&lt;cellule&gt;&lt;codeEdi&gt;1086&lt;/codeEdi&gt;&lt;/cellule&gt;</v>
      </c>
    </row>
    <row r="16935" spans="1:1" x14ac:dyDescent="0.2">
      <c r="A16935" s="996" t="str">
        <f>CONCATENATE(Programme!D16936,Programme!E16936,Programme!F16936,Programme!G16936,Programme!H16936,Programme!I16936,Programme!J16936)</f>
        <v>&lt;valeur&gt;&lt;/valeur&gt;</v>
      </c>
    </row>
    <row r="16936" spans="1:1" x14ac:dyDescent="0.2">
      <c r="A16936" s="996" t="str">
        <f>CONCATENATE(Programme!D16937,Programme!E16937,Programme!F16937,Programme!G16937,Programme!H16937,Programme!I16937,Programme!J16937)</f>
        <v>&lt;numeroLigne&gt;175&lt;/numeroLigne&gt;</v>
      </c>
    </row>
    <row r="16937" spans="1:1" x14ac:dyDescent="0.2">
      <c r="A16937" s="996" t="str">
        <f>CONCATENATE(Programme!D16938,Programme!E16938,Programme!F16938,Programme!G16938,Programme!H16938,Programme!I16938,Programme!J16938)</f>
        <v>&lt;/ValeurCellule&gt;</v>
      </c>
    </row>
    <row r="16938" spans="1:1" x14ac:dyDescent="0.2">
      <c r="A16938" s="996" t="str">
        <f>CONCATENATE(Programme!D16939,Programme!E16939,Programme!F16939,Programme!G16939,Programme!H16939,Programme!I16939,Programme!J16939)</f>
        <v>&lt;ValeurCellule&gt;</v>
      </c>
    </row>
    <row r="16939" spans="1:1" x14ac:dyDescent="0.2">
      <c r="A16939" s="996" t="str">
        <f>CONCATENATE(Programme!D16940,Programme!E16940,Programme!F16940,Programme!G16940,Programme!H16940,Programme!I16940,Programme!J16940)</f>
        <v>&lt;cellule&gt;&lt;codeEdi&gt;10061&lt;/codeEdi&gt;&lt;/cellule&gt;</v>
      </c>
    </row>
    <row r="16940" spans="1:1" x14ac:dyDescent="0.2">
      <c r="A16940" s="996" t="str">
        <f>CONCATENATE(Programme!D16941,Programme!E16941,Programme!F16941,Programme!G16941,Programme!H16941,Programme!I16941,Programme!J16941)</f>
        <v>&lt;valeur&gt;&lt;/valeur&gt;</v>
      </c>
    </row>
    <row r="16941" spans="1:1" x14ac:dyDescent="0.2">
      <c r="A16941" s="996" t="str">
        <f>CONCATENATE(Programme!D16942,Programme!E16942,Programme!F16942,Programme!G16942,Programme!H16942,Programme!I16942,Programme!J16942)</f>
        <v>&lt;numeroLigne&gt;176&lt;/numeroLigne&gt;</v>
      </c>
    </row>
    <row r="16942" spans="1:1" x14ac:dyDescent="0.2">
      <c r="A16942" s="996" t="str">
        <f>CONCATENATE(Programme!D16943,Programme!E16943,Programme!F16943,Programme!G16943,Programme!H16943,Programme!I16943,Programme!J16943)</f>
        <v>&lt;/ValeurCellule&gt;</v>
      </c>
    </row>
    <row r="16943" spans="1:1" x14ac:dyDescent="0.2">
      <c r="A16943" s="996" t="str">
        <f>CONCATENATE(Programme!D16944,Programme!E16944,Programme!F16944,Programme!G16944,Programme!H16944,Programme!I16944,Programme!J16944)</f>
        <v>&lt;ValeurCellule&gt;</v>
      </c>
    </row>
    <row r="16944" spans="1:1" x14ac:dyDescent="0.2">
      <c r="A16944" s="996" t="str">
        <f>CONCATENATE(Programme!D16945,Programme!E16945,Programme!F16945,Programme!G16945,Programme!H16945,Programme!I16945,Programme!J16945)</f>
        <v>&lt;cellule&gt;&lt;codeEdi&gt;1078&lt;/codeEdi&gt;&lt;/cellule&gt;</v>
      </c>
    </row>
    <row r="16945" spans="1:1" x14ac:dyDescent="0.2">
      <c r="A16945" s="996" t="str">
        <f>CONCATENATE(Programme!D16946,Programme!E16946,Programme!F16946,Programme!G16946,Programme!H16946,Programme!I16946,Programme!J16946)</f>
        <v>&lt;valeur&gt;&lt;/valeur&gt;</v>
      </c>
    </row>
    <row r="16946" spans="1:1" x14ac:dyDescent="0.2">
      <c r="A16946" s="996" t="str">
        <f>CONCATENATE(Programme!D16947,Programme!E16947,Programme!F16947,Programme!G16947,Programme!H16947,Programme!I16947,Programme!J16947)</f>
        <v>&lt;numeroLigne&gt;176&lt;/numeroLigne&gt;</v>
      </c>
    </row>
    <row r="16947" spans="1:1" x14ac:dyDescent="0.2">
      <c r="A16947" s="996" t="str">
        <f>CONCATENATE(Programme!D16948,Programme!E16948,Programme!F16948,Programme!G16948,Programme!H16948,Programme!I16948,Programme!J16948)</f>
        <v>&lt;/ValeurCellule&gt;</v>
      </c>
    </row>
    <row r="16948" spans="1:1" x14ac:dyDescent="0.2">
      <c r="A16948" s="996" t="str">
        <f>CONCATENATE(Programme!D16949,Programme!E16949,Programme!F16949,Programme!G16949,Programme!H16949,Programme!I16949,Programme!J16949)</f>
        <v>&lt;ValeurCellule&gt;</v>
      </c>
    </row>
    <row r="16949" spans="1:1" x14ac:dyDescent="0.2">
      <c r="A16949" s="996" t="str">
        <f>CONCATENATE(Programme!D16950,Programme!E16950,Programme!F16950,Programme!G16950,Programme!H16950,Programme!I16950,Programme!J16950)</f>
        <v>&lt;cellule&gt;&lt;codeEdi&gt;1079&lt;/codeEdi&gt;&lt;/cellule&gt;</v>
      </c>
    </row>
    <row r="16950" spans="1:1" x14ac:dyDescent="0.2">
      <c r="A16950" s="996" t="str">
        <f>CONCATENATE(Programme!D16951,Programme!E16951,Programme!F16951,Programme!G16951,Programme!H16951,Programme!I16951,Programme!J16951)</f>
        <v>&lt;valeur&gt;&lt;/valeur&gt;</v>
      </c>
    </row>
    <row r="16951" spans="1:1" x14ac:dyDescent="0.2">
      <c r="A16951" s="996" t="str">
        <f>CONCATENATE(Programme!D16952,Programme!E16952,Programme!F16952,Programme!G16952,Programme!H16952,Programme!I16952,Programme!J16952)</f>
        <v>&lt;numeroLigne&gt;176&lt;/numeroLigne&gt;</v>
      </c>
    </row>
    <row r="16952" spans="1:1" x14ac:dyDescent="0.2">
      <c r="A16952" s="996" t="str">
        <f>CONCATENATE(Programme!D16953,Programme!E16953,Programme!F16953,Programme!G16953,Programme!H16953,Programme!I16953,Programme!J16953)</f>
        <v>&lt;/ValeurCellule&gt;</v>
      </c>
    </row>
    <row r="16953" spans="1:1" x14ac:dyDescent="0.2">
      <c r="A16953" s="996" t="str">
        <f>CONCATENATE(Programme!D16954,Programme!E16954,Programme!F16954,Programme!G16954,Programme!H16954,Programme!I16954,Programme!J16954)</f>
        <v>&lt;ValeurCellule&gt;</v>
      </c>
    </row>
    <row r="16954" spans="1:1" x14ac:dyDescent="0.2">
      <c r="A16954" s="996" t="str">
        <f>CONCATENATE(Programme!D16955,Programme!E16955,Programme!F16955,Programme!G16955,Programme!H16955,Programme!I16955,Programme!J16955)</f>
        <v>&lt;cellule&gt;&lt;codeEdi&gt;1080&lt;/codeEdi&gt;&lt;/cellule&gt;</v>
      </c>
    </row>
    <row r="16955" spans="1:1" x14ac:dyDescent="0.2">
      <c r="A16955" s="996" t="str">
        <f>CONCATENATE(Programme!D16956,Programme!E16956,Programme!F16956,Programme!G16956,Programme!H16956,Programme!I16956,Programme!J16956)</f>
        <v>&lt;valeur&gt;&lt;/valeur&gt;</v>
      </c>
    </row>
    <row r="16956" spans="1:1" x14ac:dyDescent="0.2">
      <c r="A16956" s="996" t="str">
        <f>CONCATENATE(Programme!D16957,Programme!E16957,Programme!F16957,Programme!G16957,Programme!H16957,Programme!I16957,Programme!J16957)</f>
        <v>&lt;numeroLigne&gt;176&lt;/numeroLigne&gt;</v>
      </c>
    </row>
    <row r="16957" spans="1:1" x14ac:dyDescent="0.2">
      <c r="A16957" s="996" t="str">
        <f>CONCATENATE(Programme!D16958,Programme!E16958,Programme!F16958,Programme!G16958,Programme!H16958,Programme!I16958,Programme!J16958)</f>
        <v>&lt;/ValeurCellule&gt;</v>
      </c>
    </row>
    <row r="16958" spans="1:1" x14ac:dyDescent="0.2">
      <c r="A16958" s="996" t="str">
        <f>CONCATENATE(Programme!D16959,Programme!E16959,Programme!F16959,Programme!G16959,Programme!H16959,Programme!I16959,Programme!J16959)</f>
        <v>&lt;ValeurCellule&gt;</v>
      </c>
    </row>
    <row r="16959" spans="1:1" x14ac:dyDescent="0.2">
      <c r="A16959" s="996" t="str">
        <f>CONCATENATE(Programme!D16960,Programme!E16960,Programme!F16960,Programme!G16960,Programme!H16960,Programme!I16960,Programme!J16960)</f>
        <v>&lt;cellule&gt;&lt;codeEdi&gt;1081&lt;/codeEdi&gt;&lt;/cellule&gt;</v>
      </c>
    </row>
    <row r="16960" spans="1:1" x14ac:dyDescent="0.2">
      <c r="A16960" s="996" t="str">
        <f>CONCATENATE(Programme!D16961,Programme!E16961,Programme!F16961,Programme!G16961,Programme!H16961,Programme!I16961,Programme!J16961)</f>
        <v>&lt;valeur&gt;&lt;/valeur&gt;</v>
      </c>
    </row>
    <row r="16961" spans="1:1" x14ac:dyDescent="0.2">
      <c r="A16961" s="996" t="str">
        <f>CONCATENATE(Programme!D16962,Programme!E16962,Programme!F16962,Programme!G16962,Programme!H16962,Programme!I16962,Programme!J16962)</f>
        <v>&lt;numeroLigne&gt;176&lt;/numeroLigne&gt;</v>
      </c>
    </row>
    <row r="16962" spans="1:1" x14ac:dyDescent="0.2">
      <c r="A16962" s="996" t="str">
        <f>CONCATENATE(Programme!D16963,Programme!E16963,Programme!F16963,Programme!G16963,Programme!H16963,Programme!I16963,Programme!J16963)</f>
        <v>&lt;/ValeurCellule&gt;</v>
      </c>
    </row>
    <row r="16963" spans="1:1" x14ac:dyDescent="0.2">
      <c r="A16963" s="996" t="str">
        <f>CONCATENATE(Programme!D16964,Programme!E16964,Programme!F16964,Programme!G16964,Programme!H16964,Programme!I16964,Programme!J16964)</f>
        <v>&lt;ValeurCellule&gt;</v>
      </c>
    </row>
    <row r="16964" spans="1:1" x14ac:dyDescent="0.2">
      <c r="A16964" s="996" t="str">
        <f>CONCATENATE(Programme!D16965,Programme!E16965,Programme!F16965,Programme!G16965,Programme!H16965,Programme!I16965,Programme!J16965)</f>
        <v>&lt;cellule&gt;&lt;codeEdi&gt;1082&lt;/codeEdi&gt;&lt;/cellule&gt;</v>
      </c>
    </row>
    <row r="16965" spans="1:1" x14ac:dyDescent="0.2">
      <c r="A16965" s="996" t="str">
        <f>CONCATENATE(Programme!D16966,Programme!E16966,Programme!F16966,Programme!G16966,Programme!H16966,Programme!I16966,Programme!J16966)</f>
        <v>&lt;valeur&gt;&lt;/valeur&gt;</v>
      </c>
    </row>
    <row r="16966" spans="1:1" x14ac:dyDescent="0.2">
      <c r="A16966" s="996" t="str">
        <f>CONCATENATE(Programme!D16967,Programme!E16967,Programme!F16967,Programme!G16967,Programme!H16967,Programme!I16967,Programme!J16967)</f>
        <v>&lt;numeroLigne&gt;176&lt;/numeroLigne&gt;</v>
      </c>
    </row>
    <row r="16967" spans="1:1" x14ac:dyDescent="0.2">
      <c r="A16967" s="996" t="str">
        <f>CONCATENATE(Programme!D16968,Programme!E16968,Programme!F16968,Programme!G16968,Programme!H16968,Programme!I16968,Programme!J16968)</f>
        <v>&lt;/ValeurCellule&gt;</v>
      </c>
    </row>
    <row r="16968" spans="1:1" x14ac:dyDescent="0.2">
      <c r="A16968" s="996" t="str">
        <f>CONCATENATE(Programme!D16969,Programme!E16969,Programme!F16969,Programme!G16969,Programme!H16969,Programme!I16969,Programme!J16969)</f>
        <v>&lt;ValeurCellule&gt;</v>
      </c>
    </row>
    <row r="16969" spans="1:1" x14ac:dyDescent="0.2">
      <c r="A16969" s="996" t="str">
        <f>CONCATENATE(Programme!D16970,Programme!E16970,Programme!F16970,Programme!G16970,Programme!H16970,Programme!I16970,Programme!J16970)</f>
        <v>&lt;cellule&gt;&lt;codeEdi&gt;1083&lt;/codeEdi&gt;&lt;/cellule&gt;</v>
      </c>
    </row>
    <row r="16970" spans="1:1" x14ac:dyDescent="0.2">
      <c r="A16970" s="996" t="str">
        <f>CONCATENATE(Programme!D16971,Programme!E16971,Programme!F16971,Programme!G16971,Programme!H16971,Programme!I16971,Programme!J16971)</f>
        <v>&lt;valeur&gt;&lt;/valeur&gt;</v>
      </c>
    </row>
    <row r="16971" spans="1:1" x14ac:dyDescent="0.2">
      <c r="A16971" s="996" t="str">
        <f>CONCATENATE(Programme!D16972,Programme!E16972,Programme!F16972,Programme!G16972,Programme!H16972,Programme!I16972,Programme!J16972)</f>
        <v>&lt;numeroLigne&gt;176&lt;/numeroLigne&gt;</v>
      </c>
    </row>
    <row r="16972" spans="1:1" x14ac:dyDescent="0.2">
      <c r="A16972" s="996" t="str">
        <f>CONCATENATE(Programme!D16973,Programme!E16973,Programme!F16973,Programme!G16973,Programme!H16973,Programme!I16973,Programme!J16973)</f>
        <v>&lt;/ValeurCellule&gt;</v>
      </c>
    </row>
    <row r="16973" spans="1:1" x14ac:dyDescent="0.2">
      <c r="A16973" s="996" t="str">
        <f>CONCATENATE(Programme!D16974,Programme!E16974,Programme!F16974,Programme!G16974,Programme!H16974,Programme!I16974,Programme!J16974)</f>
        <v>&lt;ValeurCellule&gt;</v>
      </c>
    </row>
    <row r="16974" spans="1:1" x14ac:dyDescent="0.2">
      <c r="A16974" s="996" t="str">
        <f>CONCATENATE(Programme!D16975,Programme!E16975,Programme!F16975,Programme!G16975,Programme!H16975,Programme!I16975,Programme!J16975)</f>
        <v>&lt;cellule&gt;&lt;codeEdi&gt;1084&lt;/codeEdi&gt;&lt;/cellule&gt;</v>
      </c>
    </row>
    <row r="16975" spans="1:1" x14ac:dyDescent="0.2">
      <c r="A16975" s="996" t="str">
        <f>CONCATENATE(Programme!D16976,Programme!E16976,Programme!F16976,Programme!G16976,Programme!H16976,Programme!I16976,Programme!J16976)</f>
        <v>&lt;valeur&gt;&lt;/valeur&gt;</v>
      </c>
    </row>
    <row r="16976" spans="1:1" x14ac:dyDescent="0.2">
      <c r="A16976" s="996" t="str">
        <f>CONCATENATE(Programme!D16977,Programme!E16977,Programme!F16977,Programme!G16977,Programme!H16977,Programme!I16977,Programme!J16977)</f>
        <v>&lt;numeroLigne&gt;176&lt;/numeroLigne&gt;</v>
      </c>
    </row>
    <row r="16977" spans="1:1" x14ac:dyDescent="0.2">
      <c r="A16977" s="996" t="str">
        <f>CONCATENATE(Programme!D16978,Programme!E16978,Programme!F16978,Programme!G16978,Programme!H16978,Programme!I16978,Programme!J16978)</f>
        <v>&lt;/ValeurCellule&gt;</v>
      </c>
    </row>
    <row r="16978" spans="1:1" x14ac:dyDescent="0.2">
      <c r="A16978" s="996" t="str">
        <f>CONCATENATE(Programme!D16979,Programme!E16979,Programme!F16979,Programme!G16979,Programme!H16979,Programme!I16979,Programme!J16979)</f>
        <v>&lt;ValeurCellule&gt;</v>
      </c>
    </row>
    <row r="16979" spans="1:1" x14ac:dyDescent="0.2">
      <c r="A16979" s="996" t="str">
        <f>CONCATENATE(Programme!D16980,Programme!E16980,Programme!F16980,Programme!G16980,Programme!H16980,Programme!I16980,Programme!J16980)</f>
        <v>&lt;cellule&gt;&lt;codeEdi&gt;1085&lt;/codeEdi&gt;&lt;/cellule&gt;</v>
      </c>
    </row>
    <row r="16980" spans="1:1" x14ac:dyDescent="0.2">
      <c r="A16980" s="996" t="str">
        <f>CONCATENATE(Programme!D16981,Programme!E16981,Programme!F16981,Programme!G16981,Programme!H16981,Programme!I16981,Programme!J16981)</f>
        <v>&lt;valeur&gt;&lt;/valeur&gt;</v>
      </c>
    </row>
    <row r="16981" spans="1:1" x14ac:dyDescent="0.2">
      <c r="A16981" s="996" t="str">
        <f>CONCATENATE(Programme!D16982,Programme!E16982,Programme!F16982,Programme!G16982,Programme!H16982,Programme!I16982,Programme!J16982)</f>
        <v>&lt;numeroLigne&gt;176&lt;/numeroLigne&gt;</v>
      </c>
    </row>
    <row r="16982" spans="1:1" x14ac:dyDescent="0.2">
      <c r="A16982" s="996" t="str">
        <f>CONCATENATE(Programme!D16983,Programme!E16983,Programme!F16983,Programme!G16983,Programme!H16983,Programme!I16983,Programme!J16983)</f>
        <v>&lt;/ValeurCellule&gt;</v>
      </c>
    </row>
    <row r="16983" spans="1:1" x14ac:dyDescent="0.2">
      <c r="A16983" s="996" t="str">
        <f>CONCATENATE(Programme!D16984,Programme!E16984,Programme!F16984,Programme!G16984,Programme!H16984,Programme!I16984,Programme!J16984)</f>
        <v>&lt;ValeurCellule&gt;</v>
      </c>
    </row>
    <row r="16984" spans="1:1" x14ac:dyDescent="0.2">
      <c r="A16984" s="996" t="str">
        <f>CONCATENATE(Programme!D16985,Programme!E16985,Programme!F16985,Programme!G16985,Programme!H16985,Programme!I16985,Programme!J16985)</f>
        <v>&lt;cellule&gt;&lt;codeEdi&gt;1086&lt;/codeEdi&gt;&lt;/cellule&gt;</v>
      </c>
    </row>
    <row r="16985" spans="1:1" x14ac:dyDescent="0.2">
      <c r="A16985" s="996" t="str">
        <f>CONCATENATE(Programme!D16986,Programme!E16986,Programme!F16986,Programme!G16986,Programme!H16986,Programme!I16986,Programme!J16986)</f>
        <v>&lt;valeur&gt;&lt;/valeur&gt;</v>
      </c>
    </row>
    <row r="16986" spans="1:1" x14ac:dyDescent="0.2">
      <c r="A16986" s="996" t="str">
        <f>CONCATENATE(Programme!D16987,Programme!E16987,Programme!F16987,Programme!G16987,Programme!H16987,Programme!I16987,Programme!J16987)</f>
        <v>&lt;numeroLigne&gt;176&lt;/numeroLigne&gt;</v>
      </c>
    </row>
    <row r="16987" spans="1:1" x14ac:dyDescent="0.2">
      <c r="A16987" s="996" t="str">
        <f>CONCATENATE(Programme!D16988,Programme!E16988,Programme!F16988,Programme!G16988,Programme!H16988,Programme!I16988,Programme!J16988)</f>
        <v>&lt;/ValeurCellule&gt;</v>
      </c>
    </row>
    <row r="16988" spans="1:1" x14ac:dyDescent="0.2">
      <c r="A16988" s="996" t="str">
        <f>CONCATENATE(Programme!D16989,Programme!E16989,Programme!F16989,Programme!G16989,Programme!H16989,Programme!I16989,Programme!J16989)</f>
        <v>&lt;ValeurCellule&gt;</v>
      </c>
    </row>
    <row r="16989" spans="1:1" x14ac:dyDescent="0.2">
      <c r="A16989" s="996" t="str">
        <f>CONCATENATE(Programme!D16990,Programme!E16990,Programme!F16990,Programme!G16990,Programme!H16990,Programme!I16990,Programme!J16990)</f>
        <v>&lt;cellule&gt;&lt;codeEdi&gt;10061&lt;/codeEdi&gt;&lt;/cellule&gt;</v>
      </c>
    </row>
    <row r="16990" spans="1:1" x14ac:dyDescent="0.2">
      <c r="A16990" s="996" t="str">
        <f>CONCATENATE(Programme!D16991,Programme!E16991,Programme!F16991,Programme!G16991,Programme!H16991,Programme!I16991,Programme!J16991)</f>
        <v>&lt;valeur&gt;&lt;/valeur&gt;</v>
      </c>
    </row>
    <row r="16991" spans="1:1" x14ac:dyDescent="0.2">
      <c r="A16991" s="996" t="str">
        <f>CONCATENATE(Programme!D16992,Programme!E16992,Programme!F16992,Programme!G16992,Programme!H16992,Programme!I16992,Programme!J16992)</f>
        <v>&lt;numeroLigne&gt;177&lt;/numeroLigne&gt;</v>
      </c>
    </row>
    <row r="16992" spans="1:1" x14ac:dyDescent="0.2">
      <c r="A16992" s="996" t="str">
        <f>CONCATENATE(Programme!D16993,Programme!E16993,Programme!F16993,Programme!G16993,Programme!H16993,Programme!I16993,Programme!J16993)</f>
        <v>&lt;/ValeurCellule&gt;</v>
      </c>
    </row>
    <row r="16993" spans="1:1" x14ac:dyDescent="0.2">
      <c r="A16993" s="996" t="str">
        <f>CONCATENATE(Programme!D16994,Programme!E16994,Programme!F16994,Programme!G16994,Programme!H16994,Programme!I16994,Programme!J16994)</f>
        <v>&lt;ValeurCellule&gt;</v>
      </c>
    </row>
    <row r="16994" spans="1:1" x14ac:dyDescent="0.2">
      <c r="A16994" s="996" t="str">
        <f>CONCATENATE(Programme!D16995,Programme!E16995,Programme!F16995,Programme!G16995,Programme!H16995,Programme!I16995,Programme!J16995)</f>
        <v>&lt;cellule&gt;&lt;codeEdi&gt;1078&lt;/codeEdi&gt;&lt;/cellule&gt;</v>
      </c>
    </row>
    <row r="16995" spans="1:1" x14ac:dyDescent="0.2">
      <c r="A16995" s="996" t="str">
        <f>CONCATENATE(Programme!D16996,Programme!E16996,Programme!F16996,Programme!G16996,Programme!H16996,Programme!I16996,Programme!J16996)</f>
        <v>&lt;valeur&gt;&lt;/valeur&gt;</v>
      </c>
    </row>
    <row r="16996" spans="1:1" x14ac:dyDescent="0.2">
      <c r="A16996" s="996" t="str">
        <f>CONCATENATE(Programme!D16997,Programme!E16997,Programme!F16997,Programme!G16997,Programme!H16997,Programme!I16997,Programme!J16997)</f>
        <v>&lt;numeroLigne&gt;177&lt;/numeroLigne&gt;</v>
      </c>
    </row>
    <row r="16997" spans="1:1" x14ac:dyDescent="0.2">
      <c r="A16997" s="996" t="str">
        <f>CONCATENATE(Programme!D16998,Programme!E16998,Programme!F16998,Programme!G16998,Programme!H16998,Programme!I16998,Programme!J16998)</f>
        <v>&lt;/ValeurCellule&gt;</v>
      </c>
    </row>
    <row r="16998" spans="1:1" x14ac:dyDescent="0.2">
      <c r="A16998" s="996" t="str">
        <f>CONCATENATE(Programme!D16999,Programme!E16999,Programme!F16999,Programme!G16999,Programme!H16999,Programme!I16999,Programme!J16999)</f>
        <v>&lt;ValeurCellule&gt;</v>
      </c>
    </row>
    <row r="16999" spans="1:1" x14ac:dyDescent="0.2">
      <c r="A16999" s="996" t="str">
        <f>CONCATENATE(Programme!D17000,Programme!E17000,Programme!F17000,Programme!G17000,Programme!H17000,Programme!I17000,Programme!J17000)</f>
        <v>&lt;cellule&gt;&lt;codeEdi&gt;1079&lt;/codeEdi&gt;&lt;/cellule&gt;</v>
      </c>
    </row>
    <row r="17000" spans="1:1" x14ac:dyDescent="0.2">
      <c r="A17000" s="996" t="str">
        <f>CONCATENATE(Programme!D17001,Programme!E17001,Programme!F17001,Programme!G17001,Programme!H17001,Programme!I17001,Programme!J17001)</f>
        <v>&lt;valeur&gt;&lt;/valeur&gt;</v>
      </c>
    </row>
    <row r="17001" spans="1:1" x14ac:dyDescent="0.2">
      <c r="A17001" s="996" t="str">
        <f>CONCATENATE(Programme!D17002,Programme!E17002,Programme!F17002,Programme!G17002,Programme!H17002,Programme!I17002,Programme!J17002)</f>
        <v>&lt;numeroLigne&gt;177&lt;/numeroLigne&gt;</v>
      </c>
    </row>
    <row r="17002" spans="1:1" x14ac:dyDescent="0.2">
      <c r="A17002" s="996" t="str">
        <f>CONCATENATE(Programme!D17003,Programme!E17003,Programme!F17003,Programme!G17003,Programme!H17003,Programme!I17003,Programme!J17003)</f>
        <v>&lt;/ValeurCellule&gt;</v>
      </c>
    </row>
    <row r="17003" spans="1:1" x14ac:dyDescent="0.2">
      <c r="A17003" s="996" t="str">
        <f>CONCATENATE(Programme!D17004,Programme!E17004,Programme!F17004,Programme!G17004,Programme!H17004,Programme!I17004,Programme!J17004)</f>
        <v>&lt;ValeurCellule&gt;</v>
      </c>
    </row>
    <row r="17004" spans="1:1" x14ac:dyDescent="0.2">
      <c r="A17004" s="996" t="str">
        <f>CONCATENATE(Programme!D17005,Programme!E17005,Programme!F17005,Programme!G17005,Programme!H17005,Programme!I17005,Programme!J17005)</f>
        <v>&lt;cellule&gt;&lt;codeEdi&gt;1080&lt;/codeEdi&gt;&lt;/cellule&gt;</v>
      </c>
    </row>
    <row r="17005" spans="1:1" x14ac:dyDescent="0.2">
      <c r="A17005" s="996" t="str">
        <f>CONCATENATE(Programme!D17006,Programme!E17006,Programme!F17006,Programme!G17006,Programme!H17006,Programme!I17006,Programme!J17006)</f>
        <v>&lt;valeur&gt;&lt;/valeur&gt;</v>
      </c>
    </row>
    <row r="17006" spans="1:1" x14ac:dyDescent="0.2">
      <c r="A17006" s="996" t="str">
        <f>CONCATENATE(Programme!D17007,Programme!E17007,Programme!F17007,Programme!G17007,Programme!H17007,Programme!I17007,Programme!J17007)</f>
        <v>&lt;numeroLigne&gt;177&lt;/numeroLigne&gt;</v>
      </c>
    </row>
    <row r="17007" spans="1:1" x14ac:dyDescent="0.2">
      <c r="A17007" s="996" t="str">
        <f>CONCATENATE(Programme!D17008,Programme!E17008,Programme!F17008,Programme!G17008,Programme!H17008,Programme!I17008,Programme!J17008)</f>
        <v>&lt;/ValeurCellule&gt;</v>
      </c>
    </row>
    <row r="17008" spans="1:1" x14ac:dyDescent="0.2">
      <c r="A17008" s="996" t="str">
        <f>CONCATENATE(Programme!D17009,Programme!E17009,Programme!F17009,Programme!G17009,Programme!H17009,Programme!I17009,Programme!J17009)</f>
        <v>&lt;ValeurCellule&gt;</v>
      </c>
    </row>
    <row r="17009" spans="1:1" x14ac:dyDescent="0.2">
      <c r="A17009" s="996" t="str">
        <f>CONCATENATE(Programme!D17010,Programme!E17010,Programme!F17010,Programme!G17010,Programme!H17010,Programme!I17010,Programme!J17010)</f>
        <v>&lt;cellule&gt;&lt;codeEdi&gt;1081&lt;/codeEdi&gt;&lt;/cellule&gt;</v>
      </c>
    </row>
    <row r="17010" spans="1:1" x14ac:dyDescent="0.2">
      <c r="A17010" s="996" t="str">
        <f>CONCATENATE(Programme!D17011,Programme!E17011,Programme!F17011,Programme!G17011,Programme!H17011,Programme!I17011,Programme!J17011)</f>
        <v>&lt;valeur&gt;&lt;/valeur&gt;</v>
      </c>
    </row>
    <row r="17011" spans="1:1" x14ac:dyDescent="0.2">
      <c r="A17011" s="996" t="str">
        <f>CONCATENATE(Programme!D17012,Programme!E17012,Programme!F17012,Programme!G17012,Programme!H17012,Programme!I17012,Programme!J17012)</f>
        <v>&lt;numeroLigne&gt;177&lt;/numeroLigne&gt;</v>
      </c>
    </row>
    <row r="17012" spans="1:1" x14ac:dyDescent="0.2">
      <c r="A17012" s="996" t="str">
        <f>CONCATENATE(Programme!D17013,Programme!E17013,Programme!F17013,Programme!G17013,Programme!H17013,Programme!I17013,Programme!J17013)</f>
        <v>&lt;/ValeurCellule&gt;</v>
      </c>
    </row>
    <row r="17013" spans="1:1" x14ac:dyDescent="0.2">
      <c r="A17013" s="996" t="str">
        <f>CONCATENATE(Programme!D17014,Programme!E17014,Programme!F17014,Programme!G17014,Programme!H17014,Programme!I17014,Programme!J17014)</f>
        <v>&lt;ValeurCellule&gt;</v>
      </c>
    </row>
    <row r="17014" spans="1:1" x14ac:dyDescent="0.2">
      <c r="A17014" s="996" t="str">
        <f>CONCATENATE(Programme!D17015,Programme!E17015,Programme!F17015,Programme!G17015,Programme!H17015,Programme!I17015,Programme!J17015)</f>
        <v>&lt;cellule&gt;&lt;codeEdi&gt;1082&lt;/codeEdi&gt;&lt;/cellule&gt;</v>
      </c>
    </row>
    <row r="17015" spans="1:1" x14ac:dyDescent="0.2">
      <c r="A17015" s="996" t="str">
        <f>CONCATENATE(Programme!D17016,Programme!E17016,Programme!F17016,Programme!G17016,Programme!H17016,Programme!I17016,Programme!J17016)</f>
        <v>&lt;valeur&gt;&lt;/valeur&gt;</v>
      </c>
    </row>
    <row r="17016" spans="1:1" x14ac:dyDescent="0.2">
      <c r="A17016" s="996" t="str">
        <f>CONCATENATE(Programme!D17017,Programme!E17017,Programme!F17017,Programme!G17017,Programme!H17017,Programme!I17017,Programme!J17017)</f>
        <v>&lt;numeroLigne&gt;177&lt;/numeroLigne&gt;</v>
      </c>
    </row>
    <row r="17017" spans="1:1" x14ac:dyDescent="0.2">
      <c r="A17017" s="996" t="str">
        <f>CONCATENATE(Programme!D17018,Programme!E17018,Programme!F17018,Programme!G17018,Programme!H17018,Programme!I17018,Programme!J17018)</f>
        <v>&lt;/ValeurCellule&gt;</v>
      </c>
    </row>
    <row r="17018" spans="1:1" x14ac:dyDescent="0.2">
      <c r="A17018" s="996" t="str">
        <f>CONCATENATE(Programme!D17019,Programme!E17019,Programme!F17019,Programme!G17019,Programme!H17019,Programme!I17019,Programme!J17019)</f>
        <v>&lt;ValeurCellule&gt;</v>
      </c>
    </row>
    <row r="17019" spans="1:1" x14ac:dyDescent="0.2">
      <c r="A17019" s="996" t="str">
        <f>CONCATENATE(Programme!D17020,Programme!E17020,Programme!F17020,Programme!G17020,Programme!H17020,Programme!I17020,Programme!J17020)</f>
        <v>&lt;cellule&gt;&lt;codeEdi&gt;1083&lt;/codeEdi&gt;&lt;/cellule&gt;</v>
      </c>
    </row>
    <row r="17020" spans="1:1" x14ac:dyDescent="0.2">
      <c r="A17020" s="996" t="str">
        <f>CONCATENATE(Programme!D17021,Programme!E17021,Programme!F17021,Programme!G17021,Programme!H17021,Programme!I17021,Programme!J17021)</f>
        <v>&lt;valeur&gt;&lt;/valeur&gt;</v>
      </c>
    </row>
    <row r="17021" spans="1:1" x14ac:dyDescent="0.2">
      <c r="A17021" s="996" t="str">
        <f>CONCATENATE(Programme!D17022,Programme!E17022,Programme!F17022,Programme!G17022,Programme!H17022,Programme!I17022,Programme!J17022)</f>
        <v>&lt;numeroLigne&gt;177&lt;/numeroLigne&gt;</v>
      </c>
    </row>
    <row r="17022" spans="1:1" x14ac:dyDescent="0.2">
      <c r="A17022" s="996" t="str">
        <f>CONCATENATE(Programme!D17023,Programme!E17023,Programme!F17023,Programme!G17023,Programme!H17023,Programme!I17023,Programme!J17023)</f>
        <v>&lt;/ValeurCellule&gt;</v>
      </c>
    </row>
    <row r="17023" spans="1:1" x14ac:dyDescent="0.2">
      <c r="A17023" s="996" t="str">
        <f>CONCATENATE(Programme!D17024,Programme!E17024,Programme!F17024,Programme!G17024,Programme!H17024,Programme!I17024,Programme!J17024)</f>
        <v>&lt;ValeurCellule&gt;</v>
      </c>
    </row>
    <row r="17024" spans="1:1" x14ac:dyDescent="0.2">
      <c r="A17024" s="996" t="str">
        <f>CONCATENATE(Programme!D17025,Programme!E17025,Programme!F17025,Programme!G17025,Programme!H17025,Programme!I17025,Programme!J17025)</f>
        <v>&lt;cellule&gt;&lt;codeEdi&gt;1084&lt;/codeEdi&gt;&lt;/cellule&gt;</v>
      </c>
    </row>
    <row r="17025" spans="1:1" x14ac:dyDescent="0.2">
      <c r="A17025" s="996" t="str">
        <f>CONCATENATE(Programme!D17026,Programme!E17026,Programme!F17026,Programme!G17026,Programme!H17026,Programme!I17026,Programme!J17026)</f>
        <v>&lt;valeur&gt;&lt;/valeur&gt;</v>
      </c>
    </row>
    <row r="17026" spans="1:1" x14ac:dyDescent="0.2">
      <c r="A17026" s="996" t="str">
        <f>CONCATENATE(Programme!D17027,Programme!E17027,Programme!F17027,Programme!G17027,Programme!H17027,Programme!I17027,Programme!J17027)</f>
        <v>&lt;numeroLigne&gt;177&lt;/numeroLigne&gt;</v>
      </c>
    </row>
    <row r="17027" spans="1:1" x14ac:dyDescent="0.2">
      <c r="A17027" s="996" t="str">
        <f>CONCATENATE(Programme!D17028,Programme!E17028,Programme!F17028,Programme!G17028,Programme!H17028,Programme!I17028,Programme!J17028)</f>
        <v>&lt;/ValeurCellule&gt;</v>
      </c>
    </row>
    <row r="17028" spans="1:1" x14ac:dyDescent="0.2">
      <c r="A17028" s="996" t="str">
        <f>CONCATENATE(Programme!D17029,Programme!E17029,Programme!F17029,Programme!G17029,Programme!H17029,Programme!I17029,Programme!J17029)</f>
        <v>&lt;ValeurCellule&gt;</v>
      </c>
    </row>
    <row r="17029" spans="1:1" x14ac:dyDescent="0.2">
      <c r="A17029" s="996" t="str">
        <f>CONCATENATE(Programme!D17030,Programme!E17030,Programme!F17030,Programme!G17030,Programme!H17030,Programme!I17030,Programme!J17030)</f>
        <v>&lt;cellule&gt;&lt;codeEdi&gt;1085&lt;/codeEdi&gt;&lt;/cellule&gt;</v>
      </c>
    </row>
    <row r="17030" spans="1:1" x14ac:dyDescent="0.2">
      <c r="A17030" s="996" t="str">
        <f>CONCATENATE(Programme!D17031,Programme!E17031,Programme!F17031,Programme!G17031,Programme!H17031,Programme!I17031,Programme!J17031)</f>
        <v>&lt;valeur&gt;&lt;/valeur&gt;</v>
      </c>
    </row>
    <row r="17031" spans="1:1" x14ac:dyDescent="0.2">
      <c r="A17031" s="996" t="str">
        <f>CONCATENATE(Programme!D17032,Programme!E17032,Programme!F17032,Programme!G17032,Programme!H17032,Programme!I17032,Programme!J17032)</f>
        <v>&lt;numeroLigne&gt;177&lt;/numeroLigne&gt;</v>
      </c>
    </row>
    <row r="17032" spans="1:1" x14ac:dyDescent="0.2">
      <c r="A17032" s="996" t="str">
        <f>CONCATENATE(Programme!D17033,Programme!E17033,Programme!F17033,Programme!G17033,Programme!H17033,Programme!I17033,Programme!J17033)</f>
        <v>&lt;/ValeurCellule&gt;</v>
      </c>
    </row>
    <row r="17033" spans="1:1" x14ac:dyDescent="0.2">
      <c r="A17033" s="996" t="str">
        <f>CONCATENATE(Programme!D17034,Programme!E17034,Programme!F17034,Programme!G17034,Programme!H17034,Programme!I17034,Programme!J17034)</f>
        <v>&lt;ValeurCellule&gt;</v>
      </c>
    </row>
    <row r="17034" spans="1:1" x14ac:dyDescent="0.2">
      <c r="A17034" s="996" t="str">
        <f>CONCATENATE(Programme!D17035,Programme!E17035,Programme!F17035,Programme!G17035,Programme!H17035,Programme!I17035,Programme!J17035)</f>
        <v>&lt;cellule&gt;&lt;codeEdi&gt;1086&lt;/codeEdi&gt;&lt;/cellule&gt;</v>
      </c>
    </row>
    <row r="17035" spans="1:1" x14ac:dyDescent="0.2">
      <c r="A17035" s="996" t="str">
        <f>CONCATENATE(Programme!D17036,Programme!E17036,Programme!F17036,Programme!G17036,Programme!H17036,Programme!I17036,Programme!J17036)</f>
        <v>&lt;valeur&gt;&lt;/valeur&gt;</v>
      </c>
    </row>
    <row r="17036" spans="1:1" x14ac:dyDescent="0.2">
      <c r="A17036" s="996" t="str">
        <f>CONCATENATE(Programme!D17037,Programme!E17037,Programme!F17037,Programme!G17037,Programme!H17037,Programme!I17037,Programme!J17037)</f>
        <v>&lt;numeroLigne&gt;177&lt;/numeroLigne&gt;</v>
      </c>
    </row>
    <row r="17037" spans="1:1" x14ac:dyDescent="0.2">
      <c r="A17037" s="996" t="str">
        <f>CONCATENATE(Programme!D17038,Programme!E17038,Programme!F17038,Programme!G17038,Programme!H17038,Programme!I17038,Programme!J17038)</f>
        <v>&lt;/ValeurCellule&gt;</v>
      </c>
    </row>
    <row r="17038" spans="1:1" x14ac:dyDescent="0.2">
      <c r="A17038" s="996" t="str">
        <f>CONCATENATE(Programme!D17039,Programme!E17039,Programme!F17039,Programme!G17039,Programme!H17039,Programme!I17039,Programme!J17039)</f>
        <v>&lt;ValeurCellule&gt;</v>
      </c>
    </row>
    <row r="17039" spans="1:1" x14ac:dyDescent="0.2">
      <c r="A17039" s="996" t="str">
        <f>CONCATENATE(Programme!D17040,Programme!E17040,Programme!F17040,Programme!G17040,Programme!H17040,Programme!I17040,Programme!J17040)</f>
        <v>&lt;cellule&gt;&lt;codeEdi&gt;10061&lt;/codeEdi&gt;&lt;/cellule&gt;</v>
      </c>
    </row>
    <row r="17040" spans="1:1" x14ac:dyDescent="0.2">
      <c r="A17040" s="996" t="str">
        <f>CONCATENATE(Programme!D17041,Programme!E17041,Programme!F17041,Programme!G17041,Programme!H17041,Programme!I17041,Programme!J17041)</f>
        <v>&lt;valeur&gt;&lt;/valeur&gt;</v>
      </c>
    </row>
    <row r="17041" spans="1:1" x14ac:dyDescent="0.2">
      <c r="A17041" s="996" t="str">
        <f>CONCATENATE(Programme!D17042,Programme!E17042,Programme!F17042,Programme!G17042,Programme!H17042,Programme!I17042,Programme!J17042)</f>
        <v>&lt;numeroLigne&gt;178&lt;/numeroLigne&gt;</v>
      </c>
    </row>
    <row r="17042" spans="1:1" x14ac:dyDescent="0.2">
      <c r="A17042" s="996" t="str">
        <f>CONCATENATE(Programme!D17043,Programme!E17043,Programme!F17043,Programme!G17043,Programme!H17043,Programme!I17043,Programme!J17043)</f>
        <v>&lt;/ValeurCellule&gt;</v>
      </c>
    </row>
    <row r="17043" spans="1:1" x14ac:dyDescent="0.2">
      <c r="A17043" s="996" t="str">
        <f>CONCATENATE(Programme!D17044,Programme!E17044,Programme!F17044,Programme!G17044,Programme!H17044,Programme!I17044,Programme!J17044)</f>
        <v>&lt;ValeurCellule&gt;</v>
      </c>
    </row>
    <row r="17044" spans="1:1" x14ac:dyDescent="0.2">
      <c r="A17044" s="996" t="str">
        <f>CONCATENATE(Programme!D17045,Programme!E17045,Programme!F17045,Programme!G17045,Programme!H17045,Programme!I17045,Programme!J17045)</f>
        <v>&lt;cellule&gt;&lt;codeEdi&gt;1078&lt;/codeEdi&gt;&lt;/cellule&gt;</v>
      </c>
    </row>
    <row r="17045" spans="1:1" x14ac:dyDescent="0.2">
      <c r="A17045" s="996" t="str">
        <f>CONCATENATE(Programme!D17046,Programme!E17046,Programme!F17046,Programme!G17046,Programme!H17046,Programme!I17046,Programme!J17046)</f>
        <v>&lt;valeur&gt;&lt;/valeur&gt;</v>
      </c>
    </row>
    <row r="17046" spans="1:1" x14ac:dyDescent="0.2">
      <c r="A17046" s="996" t="str">
        <f>CONCATENATE(Programme!D17047,Programme!E17047,Programme!F17047,Programme!G17047,Programme!H17047,Programme!I17047,Programme!J17047)</f>
        <v>&lt;numeroLigne&gt;178&lt;/numeroLigne&gt;</v>
      </c>
    </row>
    <row r="17047" spans="1:1" x14ac:dyDescent="0.2">
      <c r="A17047" s="996" t="str">
        <f>CONCATENATE(Programme!D17048,Programme!E17048,Programme!F17048,Programme!G17048,Programme!H17048,Programme!I17048,Programme!J17048)</f>
        <v>&lt;/ValeurCellule&gt;</v>
      </c>
    </row>
    <row r="17048" spans="1:1" x14ac:dyDescent="0.2">
      <c r="A17048" s="996" t="str">
        <f>CONCATENATE(Programme!D17049,Programme!E17049,Programme!F17049,Programme!G17049,Programme!H17049,Programme!I17049,Programme!J17049)</f>
        <v>&lt;ValeurCellule&gt;</v>
      </c>
    </row>
    <row r="17049" spans="1:1" x14ac:dyDescent="0.2">
      <c r="A17049" s="996" t="str">
        <f>CONCATENATE(Programme!D17050,Programme!E17050,Programme!F17050,Programme!G17050,Programme!H17050,Programme!I17050,Programme!J17050)</f>
        <v>&lt;cellule&gt;&lt;codeEdi&gt;1079&lt;/codeEdi&gt;&lt;/cellule&gt;</v>
      </c>
    </row>
    <row r="17050" spans="1:1" x14ac:dyDescent="0.2">
      <c r="A17050" s="996" t="str">
        <f>CONCATENATE(Programme!D17051,Programme!E17051,Programme!F17051,Programme!G17051,Programme!H17051,Programme!I17051,Programme!J17051)</f>
        <v>&lt;valeur&gt;&lt;/valeur&gt;</v>
      </c>
    </row>
    <row r="17051" spans="1:1" x14ac:dyDescent="0.2">
      <c r="A17051" s="996" t="str">
        <f>CONCATENATE(Programme!D17052,Programme!E17052,Programme!F17052,Programme!G17052,Programme!H17052,Programme!I17052,Programme!J17052)</f>
        <v>&lt;numeroLigne&gt;178&lt;/numeroLigne&gt;</v>
      </c>
    </row>
    <row r="17052" spans="1:1" x14ac:dyDescent="0.2">
      <c r="A17052" s="996" t="str">
        <f>CONCATENATE(Programme!D17053,Programme!E17053,Programme!F17053,Programme!G17053,Programme!H17053,Programme!I17053,Programme!J17053)</f>
        <v>&lt;/ValeurCellule&gt;</v>
      </c>
    </row>
    <row r="17053" spans="1:1" x14ac:dyDescent="0.2">
      <c r="A17053" s="996" t="str">
        <f>CONCATENATE(Programme!D17054,Programme!E17054,Programme!F17054,Programme!G17054,Programme!H17054,Programme!I17054,Programme!J17054)</f>
        <v>&lt;ValeurCellule&gt;</v>
      </c>
    </row>
    <row r="17054" spans="1:1" x14ac:dyDescent="0.2">
      <c r="A17054" s="996" t="str">
        <f>CONCATENATE(Programme!D17055,Programme!E17055,Programme!F17055,Programme!G17055,Programme!H17055,Programme!I17055,Programme!J17055)</f>
        <v>&lt;cellule&gt;&lt;codeEdi&gt;1080&lt;/codeEdi&gt;&lt;/cellule&gt;</v>
      </c>
    </row>
    <row r="17055" spans="1:1" x14ac:dyDescent="0.2">
      <c r="A17055" s="996" t="str">
        <f>CONCATENATE(Programme!D17056,Programme!E17056,Programme!F17056,Programme!G17056,Programme!H17056,Programme!I17056,Programme!J17056)</f>
        <v>&lt;valeur&gt;&lt;/valeur&gt;</v>
      </c>
    </row>
    <row r="17056" spans="1:1" x14ac:dyDescent="0.2">
      <c r="A17056" s="996" t="str">
        <f>CONCATENATE(Programme!D17057,Programme!E17057,Programme!F17057,Programme!G17057,Programme!H17057,Programme!I17057,Programme!J17057)</f>
        <v>&lt;numeroLigne&gt;178&lt;/numeroLigne&gt;</v>
      </c>
    </row>
    <row r="17057" spans="1:1" x14ac:dyDescent="0.2">
      <c r="A17057" s="996" t="str">
        <f>CONCATENATE(Programme!D17058,Programme!E17058,Programme!F17058,Programme!G17058,Programme!H17058,Programme!I17058,Programme!J17058)</f>
        <v>&lt;/ValeurCellule&gt;</v>
      </c>
    </row>
    <row r="17058" spans="1:1" x14ac:dyDescent="0.2">
      <c r="A17058" s="996" t="str">
        <f>CONCATENATE(Programme!D17059,Programme!E17059,Programme!F17059,Programme!G17059,Programme!H17059,Programme!I17059,Programme!J17059)</f>
        <v>&lt;ValeurCellule&gt;</v>
      </c>
    </row>
    <row r="17059" spans="1:1" x14ac:dyDescent="0.2">
      <c r="A17059" s="996" t="str">
        <f>CONCATENATE(Programme!D17060,Programme!E17060,Programme!F17060,Programme!G17060,Programme!H17060,Programme!I17060,Programme!J17060)</f>
        <v>&lt;cellule&gt;&lt;codeEdi&gt;1081&lt;/codeEdi&gt;&lt;/cellule&gt;</v>
      </c>
    </row>
    <row r="17060" spans="1:1" x14ac:dyDescent="0.2">
      <c r="A17060" s="996" t="str">
        <f>CONCATENATE(Programme!D17061,Programme!E17061,Programme!F17061,Programme!G17061,Programme!H17061,Programme!I17061,Programme!J17061)</f>
        <v>&lt;valeur&gt;&lt;/valeur&gt;</v>
      </c>
    </row>
    <row r="17061" spans="1:1" x14ac:dyDescent="0.2">
      <c r="A17061" s="996" t="str">
        <f>CONCATENATE(Programme!D17062,Programme!E17062,Programme!F17062,Programme!G17062,Programme!H17062,Programme!I17062,Programme!J17062)</f>
        <v>&lt;numeroLigne&gt;178&lt;/numeroLigne&gt;</v>
      </c>
    </row>
    <row r="17062" spans="1:1" x14ac:dyDescent="0.2">
      <c r="A17062" s="996" t="str">
        <f>CONCATENATE(Programme!D17063,Programme!E17063,Programme!F17063,Programme!G17063,Programme!H17063,Programme!I17063,Programme!J17063)</f>
        <v>&lt;/ValeurCellule&gt;</v>
      </c>
    </row>
    <row r="17063" spans="1:1" x14ac:dyDescent="0.2">
      <c r="A17063" s="996" t="str">
        <f>CONCATENATE(Programme!D17064,Programme!E17064,Programme!F17064,Programme!G17064,Programme!H17064,Programme!I17064,Programme!J17064)</f>
        <v>&lt;ValeurCellule&gt;</v>
      </c>
    </row>
    <row r="17064" spans="1:1" x14ac:dyDescent="0.2">
      <c r="A17064" s="996" t="str">
        <f>CONCATENATE(Programme!D17065,Programme!E17065,Programme!F17065,Programme!G17065,Programme!H17065,Programme!I17065,Programme!J17065)</f>
        <v>&lt;cellule&gt;&lt;codeEdi&gt;1082&lt;/codeEdi&gt;&lt;/cellule&gt;</v>
      </c>
    </row>
    <row r="17065" spans="1:1" x14ac:dyDescent="0.2">
      <c r="A17065" s="996" t="str">
        <f>CONCATENATE(Programme!D17066,Programme!E17066,Programme!F17066,Programme!G17066,Programme!H17066,Programme!I17066,Programme!J17066)</f>
        <v>&lt;valeur&gt;&lt;/valeur&gt;</v>
      </c>
    </row>
    <row r="17066" spans="1:1" x14ac:dyDescent="0.2">
      <c r="A17066" s="996" t="str">
        <f>CONCATENATE(Programme!D17067,Programme!E17067,Programme!F17067,Programme!G17067,Programme!H17067,Programme!I17067,Programme!J17067)</f>
        <v>&lt;numeroLigne&gt;178&lt;/numeroLigne&gt;</v>
      </c>
    </row>
    <row r="17067" spans="1:1" x14ac:dyDescent="0.2">
      <c r="A17067" s="996" t="str">
        <f>CONCATENATE(Programme!D17068,Programme!E17068,Programme!F17068,Programme!G17068,Programme!H17068,Programme!I17068,Programme!J17068)</f>
        <v>&lt;/ValeurCellule&gt;</v>
      </c>
    </row>
    <row r="17068" spans="1:1" x14ac:dyDescent="0.2">
      <c r="A17068" s="996" t="str">
        <f>CONCATENATE(Programme!D17069,Programme!E17069,Programme!F17069,Programme!G17069,Programme!H17069,Programme!I17069,Programme!J17069)</f>
        <v>&lt;ValeurCellule&gt;</v>
      </c>
    </row>
    <row r="17069" spans="1:1" x14ac:dyDescent="0.2">
      <c r="A17069" s="996" t="str">
        <f>CONCATENATE(Programme!D17070,Programme!E17070,Programme!F17070,Programme!G17070,Programme!H17070,Programme!I17070,Programme!J17070)</f>
        <v>&lt;cellule&gt;&lt;codeEdi&gt;1083&lt;/codeEdi&gt;&lt;/cellule&gt;</v>
      </c>
    </row>
    <row r="17070" spans="1:1" x14ac:dyDescent="0.2">
      <c r="A17070" s="996" t="str">
        <f>CONCATENATE(Programme!D17071,Programme!E17071,Programme!F17071,Programme!G17071,Programme!H17071,Programme!I17071,Programme!J17071)</f>
        <v>&lt;valeur&gt;&lt;/valeur&gt;</v>
      </c>
    </row>
    <row r="17071" spans="1:1" x14ac:dyDescent="0.2">
      <c r="A17071" s="996" t="str">
        <f>CONCATENATE(Programme!D17072,Programme!E17072,Programme!F17072,Programme!G17072,Programme!H17072,Programme!I17072,Programme!J17072)</f>
        <v>&lt;numeroLigne&gt;178&lt;/numeroLigne&gt;</v>
      </c>
    </row>
    <row r="17072" spans="1:1" x14ac:dyDescent="0.2">
      <c r="A17072" s="996" t="str">
        <f>CONCATENATE(Programme!D17073,Programme!E17073,Programme!F17073,Programme!G17073,Programme!H17073,Programme!I17073,Programme!J17073)</f>
        <v>&lt;/ValeurCellule&gt;</v>
      </c>
    </row>
    <row r="17073" spans="1:1" x14ac:dyDescent="0.2">
      <c r="A17073" s="996" t="str">
        <f>CONCATENATE(Programme!D17074,Programme!E17074,Programme!F17074,Programme!G17074,Programme!H17074,Programme!I17074,Programme!J17074)</f>
        <v>&lt;ValeurCellule&gt;</v>
      </c>
    </row>
    <row r="17074" spans="1:1" x14ac:dyDescent="0.2">
      <c r="A17074" s="996" t="str">
        <f>CONCATENATE(Programme!D17075,Programme!E17075,Programme!F17075,Programme!G17075,Programme!H17075,Programme!I17075,Programme!J17075)</f>
        <v>&lt;cellule&gt;&lt;codeEdi&gt;1084&lt;/codeEdi&gt;&lt;/cellule&gt;</v>
      </c>
    </row>
    <row r="17075" spans="1:1" x14ac:dyDescent="0.2">
      <c r="A17075" s="996" t="str">
        <f>CONCATENATE(Programme!D17076,Programme!E17076,Programme!F17076,Programme!G17076,Programme!H17076,Programme!I17076,Programme!J17076)</f>
        <v>&lt;valeur&gt;&lt;/valeur&gt;</v>
      </c>
    </row>
    <row r="17076" spans="1:1" x14ac:dyDescent="0.2">
      <c r="A17076" s="996" t="str">
        <f>CONCATENATE(Programme!D17077,Programme!E17077,Programme!F17077,Programme!G17077,Programme!H17077,Programme!I17077,Programme!J17077)</f>
        <v>&lt;numeroLigne&gt;178&lt;/numeroLigne&gt;</v>
      </c>
    </row>
    <row r="17077" spans="1:1" x14ac:dyDescent="0.2">
      <c r="A17077" s="996" t="str">
        <f>CONCATENATE(Programme!D17078,Programme!E17078,Programme!F17078,Programme!G17078,Programme!H17078,Programme!I17078,Programme!J17078)</f>
        <v>&lt;/ValeurCellule&gt;</v>
      </c>
    </row>
    <row r="17078" spans="1:1" x14ac:dyDescent="0.2">
      <c r="A17078" s="996" t="str">
        <f>CONCATENATE(Programme!D17079,Programme!E17079,Programme!F17079,Programme!G17079,Programme!H17079,Programme!I17079,Programme!J17079)</f>
        <v>&lt;ValeurCellule&gt;</v>
      </c>
    </row>
    <row r="17079" spans="1:1" x14ac:dyDescent="0.2">
      <c r="A17079" s="996" t="str">
        <f>CONCATENATE(Programme!D17080,Programme!E17080,Programme!F17080,Programme!G17080,Programme!H17080,Programme!I17080,Programme!J17080)</f>
        <v>&lt;cellule&gt;&lt;codeEdi&gt;1085&lt;/codeEdi&gt;&lt;/cellule&gt;</v>
      </c>
    </row>
    <row r="17080" spans="1:1" x14ac:dyDescent="0.2">
      <c r="A17080" s="996" t="str">
        <f>CONCATENATE(Programme!D17081,Programme!E17081,Programme!F17081,Programme!G17081,Programme!H17081,Programme!I17081,Programme!J17081)</f>
        <v>&lt;valeur&gt;&lt;/valeur&gt;</v>
      </c>
    </row>
    <row r="17081" spans="1:1" x14ac:dyDescent="0.2">
      <c r="A17081" s="996" t="str">
        <f>CONCATENATE(Programme!D17082,Programme!E17082,Programme!F17082,Programme!G17082,Programme!H17082,Programme!I17082,Programme!J17082)</f>
        <v>&lt;numeroLigne&gt;178&lt;/numeroLigne&gt;</v>
      </c>
    </row>
    <row r="17082" spans="1:1" x14ac:dyDescent="0.2">
      <c r="A17082" s="996" t="str">
        <f>CONCATENATE(Programme!D17083,Programme!E17083,Programme!F17083,Programme!G17083,Programme!H17083,Programme!I17083,Programme!J17083)</f>
        <v>&lt;/ValeurCellule&gt;</v>
      </c>
    </row>
    <row r="17083" spans="1:1" x14ac:dyDescent="0.2">
      <c r="A17083" s="996" t="str">
        <f>CONCATENATE(Programme!D17084,Programme!E17084,Programme!F17084,Programme!G17084,Programme!H17084,Programme!I17084,Programme!J17084)</f>
        <v>&lt;ValeurCellule&gt;</v>
      </c>
    </row>
    <row r="17084" spans="1:1" x14ac:dyDescent="0.2">
      <c r="A17084" s="996" t="str">
        <f>CONCATENATE(Programme!D17085,Programme!E17085,Programme!F17085,Programme!G17085,Programme!H17085,Programme!I17085,Programme!J17085)</f>
        <v>&lt;cellule&gt;&lt;codeEdi&gt;1086&lt;/codeEdi&gt;&lt;/cellule&gt;</v>
      </c>
    </row>
    <row r="17085" spans="1:1" x14ac:dyDescent="0.2">
      <c r="A17085" s="996" t="str">
        <f>CONCATENATE(Programme!D17086,Programme!E17086,Programme!F17086,Programme!G17086,Programme!H17086,Programme!I17086,Programme!J17086)</f>
        <v>&lt;valeur&gt;&lt;/valeur&gt;</v>
      </c>
    </row>
    <row r="17086" spans="1:1" x14ac:dyDescent="0.2">
      <c r="A17086" s="996" t="str">
        <f>CONCATENATE(Programme!D17087,Programme!E17087,Programme!F17087,Programme!G17087,Programme!H17087,Programme!I17087,Programme!J17087)</f>
        <v>&lt;numeroLigne&gt;178&lt;/numeroLigne&gt;</v>
      </c>
    </row>
    <row r="17087" spans="1:1" x14ac:dyDescent="0.2">
      <c r="A17087" s="996" t="str">
        <f>CONCATENATE(Programme!D17088,Programme!E17088,Programme!F17088,Programme!G17088,Programme!H17088,Programme!I17088,Programme!J17088)</f>
        <v>&lt;/ValeurCellule&gt;</v>
      </c>
    </row>
    <row r="17088" spans="1:1" x14ac:dyDescent="0.2">
      <c r="A17088" s="996" t="str">
        <f>CONCATENATE(Programme!D17089,Programme!E17089,Programme!F17089,Programme!G17089,Programme!H17089,Programme!I17089,Programme!J17089)</f>
        <v>&lt;ValeurCellule&gt;</v>
      </c>
    </row>
    <row r="17089" spans="1:1" x14ac:dyDescent="0.2">
      <c r="A17089" s="996" t="str">
        <f>CONCATENATE(Programme!D17090,Programme!E17090,Programme!F17090,Programme!G17090,Programme!H17090,Programme!I17090,Programme!J17090)</f>
        <v>&lt;cellule&gt;&lt;codeEdi&gt;10061&lt;/codeEdi&gt;&lt;/cellule&gt;</v>
      </c>
    </row>
    <row r="17090" spans="1:1" x14ac:dyDescent="0.2">
      <c r="A17090" s="996" t="str">
        <f>CONCATENATE(Programme!D17091,Programme!E17091,Programme!F17091,Programme!G17091,Programme!H17091,Programme!I17091,Programme!J17091)</f>
        <v>&lt;valeur&gt;&lt;/valeur&gt;</v>
      </c>
    </row>
    <row r="17091" spans="1:1" x14ac:dyDescent="0.2">
      <c r="A17091" s="996" t="str">
        <f>CONCATENATE(Programme!D17092,Programme!E17092,Programme!F17092,Programme!G17092,Programme!H17092,Programme!I17092,Programme!J17092)</f>
        <v>&lt;numeroLigne&gt;179&lt;/numeroLigne&gt;</v>
      </c>
    </row>
    <row r="17092" spans="1:1" x14ac:dyDescent="0.2">
      <c r="A17092" s="996" t="str">
        <f>CONCATENATE(Programme!D17093,Programme!E17093,Programme!F17093,Programme!G17093,Programme!H17093,Programme!I17093,Programme!J17093)</f>
        <v>&lt;/ValeurCellule&gt;</v>
      </c>
    </row>
    <row r="17093" spans="1:1" x14ac:dyDescent="0.2">
      <c r="A17093" s="996" t="str">
        <f>CONCATENATE(Programme!D17094,Programme!E17094,Programme!F17094,Programme!G17094,Programme!H17094,Programme!I17094,Programme!J17094)</f>
        <v>&lt;ValeurCellule&gt;</v>
      </c>
    </row>
    <row r="17094" spans="1:1" x14ac:dyDescent="0.2">
      <c r="A17094" s="996" t="str">
        <f>CONCATENATE(Programme!D17095,Programme!E17095,Programme!F17095,Programme!G17095,Programme!H17095,Programme!I17095,Programme!J17095)</f>
        <v>&lt;cellule&gt;&lt;codeEdi&gt;1078&lt;/codeEdi&gt;&lt;/cellule&gt;</v>
      </c>
    </row>
    <row r="17095" spans="1:1" x14ac:dyDescent="0.2">
      <c r="A17095" s="996" t="str">
        <f>CONCATENATE(Programme!D17096,Programme!E17096,Programme!F17096,Programme!G17096,Programme!H17096,Programme!I17096,Programme!J17096)</f>
        <v>&lt;valeur&gt;&lt;/valeur&gt;</v>
      </c>
    </row>
    <row r="17096" spans="1:1" x14ac:dyDescent="0.2">
      <c r="A17096" s="996" t="str">
        <f>CONCATENATE(Programme!D17097,Programme!E17097,Programme!F17097,Programme!G17097,Programme!H17097,Programme!I17097,Programme!J17097)</f>
        <v>&lt;numeroLigne&gt;179&lt;/numeroLigne&gt;</v>
      </c>
    </row>
    <row r="17097" spans="1:1" x14ac:dyDescent="0.2">
      <c r="A17097" s="996" t="str">
        <f>CONCATENATE(Programme!D17098,Programme!E17098,Programme!F17098,Programme!G17098,Programme!H17098,Programme!I17098,Programme!J17098)</f>
        <v>&lt;/ValeurCellule&gt;</v>
      </c>
    </row>
    <row r="17098" spans="1:1" x14ac:dyDescent="0.2">
      <c r="A17098" s="996" t="str">
        <f>CONCATENATE(Programme!D17099,Programme!E17099,Programme!F17099,Programme!G17099,Programme!H17099,Programme!I17099,Programme!J17099)</f>
        <v>&lt;ValeurCellule&gt;</v>
      </c>
    </row>
    <row r="17099" spans="1:1" x14ac:dyDescent="0.2">
      <c r="A17099" s="996" t="str">
        <f>CONCATENATE(Programme!D17100,Programme!E17100,Programme!F17100,Programme!G17100,Programme!H17100,Programme!I17100,Programme!J17100)</f>
        <v>&lt;cellule&gt;&lt;codeEdi&gt;1079&lt;/codeEdi&gt;&lt;/cellule&gt;</v>
      </c>
    </row>
    <row r="17100" spans="1:1" x14ac:dyDescent="0.2">
      <c r="A17100" s="996" t="str">
        <f>CONCATENATE(Programme!D17101,Programme!E17101,Programme!F17101,Programme!G17101,Programme!H17101,Programme!I17101,Programme!J17101)</f>
        <v>&lt;valeur&gt;&lt;/valeur&gt;</v>
      </c>
    </row>
    <row r="17101" spans="1:1" x14ac:dyDescent="0.2">
      <c r="A17101" s="996" t="str">
        <f>CONCATENATE(Programme!D17102,Programme!E17102,Programme!F17102,Programme!G17102,Programme!H17102,Programme!I17102,Programme!J17102)</f>
        <v>&lt;numeroLigne&gt;179&lt;/numeroLigne&gt;</v>
      </c>
    </row>
    <row r="17102" spans="1:1" x14ac:dyDescent="0.2">
      <c r="A17102" s="996" t="str">
        <f>CONCATENATE(Programme!D17103,Programme!E17103,Programme!F17103,Programme!G17103,Programme!H17103,Programme!I17103,Programme!J17103)</f>
        <v>&lt;/ValeurCellule&gt;</v>
      </c>
    </row>
    <row r="17103" spans="1:1" x14ac:dyDescent="0.2">
      <c r="A17103" s="996" t="str">
        <f>CONCATENATE(Programme!D17104,Programme!E17104,Programme!F17104,Programme!G17104,Programme!H17104,Programme!I17104,Programme!J17104)</f>
        <v>&lt;ValeurCellule&gt;</v>
      </c>
    </row>
    <row r="17104" spans="1:1" x14ac:dyDescent="0.2">
      <c r="A17104" s="996" t="str">
        <f>CONCATENATE(Programme!D17105,Programme!E17105,Programme!F17105,Programme!G17105,Programme!H17105,Programme!I17105,Programme!J17105)</f>
        <v>&lt;cellule&gt;&lt;codeEdi&gt;1080&lt;/codeEdi&gt;&lt;/cellule&gt;</v>
      </c>
    </row>
    <row r="17105" spans="1:1" x14ac:dyDescent="0.2">
      <c r="A17105" s="996" t="str">
        <f>CONCATENATE(Programme!D17106,Programme!E17106,Programme!F17106,Programme!G17106,Programme!H17106,Programme!I17106,Programme!J17106)</f>
        <v>&lt;valeur&gt;&lt;/valeur&gt;</v>
      </c>
    </row>
    <row r="17106" spans="1:1" x14ac:dyDescent="0.2">
      <c r="A17106" s="996" t="str">
        <f>CONCATENATE(Programme!D17107,Programme!E17107,Programme!F17107,Programme!G17107,Programme!H17107,Programme!I17107,Programme!J17107)</f>
        <v>&lt;numeroLigne&gt;179&lt;/numeroLigne&gt;</v>
      </c>
    </row>
    <row r="17107" spans="1:1" x14ac:dyDescent="0.2">
      <c r="A17107" s="996" t="str">
        <f>CONCATENATE(Programme!D17108,Programme!E17108,Programme!F17108,Programme!G17108,Programme!H17108,Programme!I17108,Programme!J17108)</f>
        <v>&lt;/ValeurCellule&gt;</v>
      </c>
    </row>
    <row r="17108" spans="1:1" x14ac:dyDescent="0.2">
      <c r="A17108" s="996" t="str">
        <f>CONCATENATE(Programme!D17109,Programme!E17109,Programme!F17109,Programme!G17109,Programme!H17109,Programme!I17109,Programme!J17109)</f>
        <v>&lt;ValeurCellule&gt;</v>
      </c>
    </row>
    <row r="17109" spans="1:1" x14ac:dyDescent="0.2">
      <c r="A17109" s="996" t="str">
        <f>CONCATENATE(Programme!D17110,Programme!E17110,Programme!F17110,Programme!G17110,Programme!H17110,Programme!I17110,Programme!J17110)</f>
        <v>&lt;cellule&gt;&lt;codeEdi&gt;1081&lt;/codeEdi&gt;&lt;/cellule&gt;</v>
      </c>
    </row>
    <row r="17110" spans="1:1" x14ac:dyDescent="0.2">
      <c r="A17110" s="996" t="str">
        <f>CONCATENATE(Programme!D17111,Programme!E17111,Programme!F17111,Programme!G17111,Programme!H17111,Programme!I17111,Programme!J17111)</f>
        <v>&lt;valeur&gt;&lt;/valeur&gt;</v>
      </c>
    </row>
    <row r="17111" spans="1:1" x14ac:dyDescent="0.2">
      <c r="A17111" s="996" t="str">
        <f>CONCATENATE(Programme!D17112,Programme!E17112,Programme!F17112,Programme!G17112,Programme!H17112,Programme!I17112,Programme!J17112)</f>
        <v>&lt;numeroLigne&gt;179&lt;/numeroLigne&gt;</v>
      </c>
    </row>
    <row r="17112" spans="1:1" x14ac:dyDescent="0.2">
      <c r="A17112" s="996" t="str">
        <f>CONCATENATE(Programme!D17113,Programme!E17113,Programme!F17113,Programme!G17113,Programme!H17113,Programme!I17113,Programme!J17113)</f>
        <v>&lt;/ValeurCellule&gt;</v>
      </c>
    </row>
    <row r="17113" spans="1:1" x14ac:dyDescent="0.2">
      <c r="A17113" s="996" t="str">
        <f>CONCATENATE(Programme!D17114,Programme!E17114,Programme!F17114,Programme!G17114,Programme!H17114,Programme!I17114,Programme!J17114)</f>
        <v>&lt;ValeurCellule&gt;</v>
      </c>
    </row>
    <row r="17114" spans="1:1" x14ac:dyDescent="0.2">
      <c r="A17114" s="996" t="str">
        <f>CONCATENATE(Programme!D17115,Programme!E17115,Programme!F17115,Programme!G17115,Programme!H17115,Programme!I17115,Programme!J17115)</f>
        <v>&lt;cellule&gt;&lt;codeEdi&gt;1082&lt;/codeEdi&gt;&lt;/cellule&gt;</v>
      </c>
    </row>
    <row r="17115" spans="1:1" x14ac:dyDescent="0.2">
      <c r="A17115" s="996" t="str">
        <f>CONCATENATE(Programme!D17116,Programme!E17116,Programme!F17116,Programme!G17116,Programme!H17116,Programme!I17116,Programme!J17116)</f>
        <v>&lt;valeur&gt;&lt;/valeur&gt;</v>
      </c>
    </row>
    <row r="17116" spans="1:1" x14ac:dyDescent="0.2">
      <c r="A17116" s="996" t="str">
        <f>CONCATENATE(Programme!D17117,Programme!E17117,Programme!F17117,Programme!G17117,Programme!H17117,Programme!I17117,Programme!J17117)</f>
        <v>&lt;numeroLigne&gt;179&lt;/numeroLigne&gt;</v>
      </c>
    </row>
    <row r="17117" spans="1:1" x14ac:dyDescent="0.2">
      <c r="A17117" s="996" t="str">
        <f>CONCATENATE(Programme!D17118,Programme!E17118,Programme!F17118,Programme!G17118,Programme!H17118,Programme!I17118,Programme!J17118)</f>
        <v>&lt;/ValeurCellule&gt;</v>
      </c>
    </row>
    <row r="17118" spans="1:1" x14ac:dyDescent="0.2">
      <c r="A17118" s="996" t="str">
        <f>CONCATENATE(Programme!D17119,Programme!E17119,Programme!F17119,Programme!G17119,Programme!H17119,Programme!I17119,Programme!J17119)</f>
        <v>&lt;ValeurCellule&gt;</v>
      </c>
    </row>
    <row r="17119" spans="1:1" x14ac:dyDescent="0.2">
      <c r="A17119" s="996" t="str">
        <f>CONCATENATE(Programme!D17120,Programme!E17120,Programme!F17120,Programme!G17120,Programme!H17120,Programme!I17120,Programme!J17120)</f>
        <v>&lt;cellule&gt;&lt;codeEdi&gt;1083&lt;/codeEdi&gt;&lt;/cellule&gt;</v>
      </c>
    </row>
    <row r="17120" spans="1:1" x14ac:dyDescent="0.2">
      <c r="A17120" s="996" t="str">
        <f>CONCATENATE(Programme!D17121,Programme!E17121,Programme!F17121,Programme!G17121,Programme!H17121,Programme!I17121,Programme!J17121)</f>
        <v>&lt;valeur&gt;&lt;/valeur&gt;</v>
      </c>
    </row>
    <row r="17121" spans="1:1" x14ac:dyDescent="0.2">
      <c r="A17121" s="996" t="str">
        <f>CONCATENATE(Programme!D17122,Programme!E17122,Programme!F17122,Programme!G17122,Programme!H17122,Programme!I17122,Programme!J17122)</f>
        <v>&lt;numeroLigne&gt;179&lt;/numeroLigne&gt;</v>
      </c>
    </row>
    <row r="17122" spans="1:1" x14ac:dyDescent="0.2">
      <c r="A17122" s="996" t="str">
        <f>CONCATENATE(Programme!D17123,Programme!E17123,Programme!F17123,Programme!G17123,Programme!H17123,Programme!I17123,Programme!J17123)</f>
        <v>&lt;/ValeurCellule&gt;</v>
      </c>
    </row>
    <row r="17123" spans="1:1" x14ac:dyDescent="0.2">
      <c r="A17123" s="996" t="str">
        <f>CONCATENATE(Programme!D17124,Programme!E17124,Programme!F17124,Programme!G17124,Programme!H17124,Programme!I17124,Programme!J17124)</f>
        <v>&lt;ValeurCellule&gt;</v>
      </c>
    </row>
    <row r="17124" spans="1:1" x14ac:dyDescent="0.2">
      <c r="A17124" s="996" t="str">
        <f>CONCATENATE(Programme!D17125,Programme!E17125,Programme!F17125,Programme!G17125,Programme!H17125,Programme!I17125,Programme!J17125)</f>
        <v>&lt;cellule&gt;&lt;codeEdi&gt;1084&lt;/codeEdi&gt;&lt;/cellule&gt;</v>
      </c>
    </row>
    <row r="17125" spans="1:1" x14ac:dyDescent="0.2">
      <c r="A17125" s="996" t="str">
        <f>CONCATENATE(Programme!D17126,Programme!E17126,Programme!F17126,Programme!G17126,Programme!H17126,Programme!I17126,Programme!J17126)</f>
        <v>&lt;valeur&gt;&lt;/valeur&gt;</v>
      </c>
    </row>
    <row r="17126" spans="1:1" x14ac:dyDescent="0.2">
      <c r="A17126" s="996" t="str">
        <f>CONCATENATE(Programme!D17127,Programme!E17127,Programme!F17127,Programme!G17127,Programme!H17127,Programme!I17127,Programme!J17127)</f>
        <v>&lt;numeroLigne&gt;179&lt;/numeroLigne&gt;</v>
      </c>
    </row>
    <row r="17127" spans="1:1" x14ac:dyDescent="0.2">
      <c r="A17127" s="996" t="str">
        <f>CONCATENATE(Programme!D17128,Programme!E17128,Programme!F17128,Programme!G17128,Programme!H17128,Programme!I17128,Programme!J17128)</f>
        <v>&lt;/ValeurCellule&gt;</v>
      </c>
    </row>
    <row r="17128" spans="1:1" x14ac:dyDescent="0.2">
      <c r="A17128" s="996" t="str">
        <f>CONCATENATE(Programme!D17129,Programme!E17129,Programme!F17129,Programme!G17129,Programme!H17129,Programme!I17129,Programme!J17129)</f>
        <v>&lt;ValeurCellule&gt;</v>
      </c>
    </row>
    <row r="17129" spans="1:1" x14ac:dyDescent="0.2">
      <c r="A17129" s="996" t="str">
        <f>CONCATENATE(Programme!D17130,Programme!E17130,Programme!F17130,Programme!G17130,Programme!H17130,Programme!I17130,Programme!J17130)</f>
        <v>&lt;cellule&gt;&lt;codeEdi&gt;1085&lt;/codeEdi&gt;&lt;/cellule&gt;</v>
      </c>
    </row>
    <row r="17130" spans="1:1" x14ac:dyDescent="0.2">
      <c r="A17130" s="996" t="str">
        <f>CONCATENATE(Programme!D17131,Programme!E17131,Programme!F17131,Programme!G17131,Programme!H17131,Programme!I17131,Programme!J17131)</f>
        <v>&lt;valeur&gt;&lt;/valeur&gt;</v>
      </c>
    </row>
    <row r="17131" spans="1:1" x14ac:dyDescent="0.2">
      <c r="A17131" s="996" t="str">
        <f>CONCATENATE(Programme!D17132,Programme!E17132,Programme!F17132,Programme!G17132,Programme!H17132,Programme!I17132,Programme!J17132)</f>
        <v>&lt;numeroLigne&gt;179&lt;/numeroLigne&gt;</v>
      </c>
    </row>
    <row r="17132" spans="1:1" x14ac:dyDescent="0.2">
      <c r="A17132" s="996" t="str">
        <f>CONCATENATE(Programme!D17133,Programme!E17133,Programme!F17133,Programme!G17133,Programme!H17133,Programme!I17133,Programme!J17133)</f>
        <v>&lt;/ValeurCellule&gt;</v>
      </c>
    </row>
    <row r="17133" spans="1:1" x14ac:dyDescent="0.2">
      <c r="A17133" s="996" t="str">
        <f>CONCATENATE(Programme!D17134,Programme!E17134,Programme!F17134,Programme!G17134,Programme!H17134,Programme!I17134,Programme!J17134)</f>
        <v>&lt;ValeurCellule&gt;</v>
      </c>
    </row>
    <row r="17134" spans="1:1" x14ac:dyDescent="0.2">
      <c r="A17134" s="996" t="str">
        <f>CONCATENATE(Programme!D17135,Programme!E17135,Programme!F17135,Programme!G17135,Programme!H17135,Programme!I17135,Programme!J17135)</f>
        <v>&lt;cellule&gt;&lt;codeEdi&gt;1086&lt;/codeEdi&gt;&lt;/cellule&gt;</v>
      </c>
    </row>
    <row r="17135" spans="1:1" x14ac:dyDescent="0.2">
      <c r="A17135" s="996" t="str">
        <f>CONCATENATE(Programme!D17136,Programme!E17136,Programme!F17136,Programme!G17136,Programme!H17136,Programme!I17136,Programme!J17136)</f>
        <v>&lt;valeur&gt;&lt;/valeur&gt;</v>
      </c>
    </row>
    <row r="17136" spans="1:1" x14ac:dyDescent="0.2">
      <c r="A17136" s="996" t="str">
        <f>CONCATENATE(Programme!D17137,Programme!E17137,Programme!F17137,Programme!G17137,Programme!H17137,Programme!I17137,Programme!J17137)</f>
        <v>&lt;numeroLigne&gt;179&lt;/numeroLigne&gt;</v>
      </c>
    </row>
    <row r="17137" spans="1:1" x14ac:dyDescent="0.2">
      <c r="A17137" s="996" t="str">
        <f>CONCATENATE(Programme!D17138,Programme!E17138,Programme!F17138,Programme!G17138,Programme!H17138,Programme!I17138,Programme!J17138)</f>
        <v>&lt;/ValeurCellule&gt;</v>
      </c>
    </row>
    <row r="17138" spans="1:1" x14ac:dyDescent="0.2">
      <c r="A17138" s="996" t="str">
        <f>CONCATENATE(Programme!D17139,Programme!E17139,Programme!F17139,Programme!G17139,Programme!H17139,Programme!I17139,Programme!J17139)</f>
        <v>&lt;ValeurCellule&gt;</v>
      </c>
    </row>
    <row r="17139" spans="1:1" x14ac:dyDescent="0.2">
      <c r="A17139" s="996" t="str">
        <f>CONCATENATE(Programme!D17140,Programme!E17140,Programme!F17140,Programme!G17140,Programme!H17140,Programme!I17140,Programme!J17140)</f>
        <v>&lt;cellule&gt;&lt;codeEdi&gt;10061&lt;/codeEdi&gt;&lt;/cellule&gt;</v>
      </c>
    </row>
    <row r="17140" spans="1:1" x14ac:dyDescent="0.2">
      <c r="A17140" s="996" t="str">
        <f>CONCATENATE(Programme!D17141,Programme!E17141,Programme!F17141,Programme!G17141,Programme!H17141,Programme!I17141,Programme!J17141)</f>
        <v>&lt;valeur&gt;&lt;/valeur&gt;</v>
      </c>
    </row>
    <row r="17141" spans="1:1" x14ac:dyDescent="0.2">
      <c r="A17141" s="996" t="str">
        <f>CONCATENATE(Programme!D17142,Programme!E17142,Programme!F17142,Programme!G17142,Programme!H17142,Programme!I17142,Programme!J17142)</f>
        <v>&lt;numeroLigne&gt;180&lt;/numeroLigne&gt;</v>
      </c>
    </row>
    <row r="17142" spans="1:1" x14ac:dyDescent="0.2">
      <c r="A17142" s="996" t="str">
        <f>CONCATENATE(Programme!D17143,Programme!E17143,Programme!F17143,Programme!G17143,Programme!H17143,Programme!I17143,Programme!J17143)</f>
        <v>&lt;/ValeurCellule&gt;</v>
      </c>
    </row>
    <row r="17143" spans="1:1" x14ac:dyDescent="0.2">
      <c r="A17143" s="996" t="str">
        <f>CONCATENATE(Programme!D17144,Programme!E17144,Programme!F17144,Programme!G17144,Programme!H17144,Programme!I17144,Programme!J17144)</f>
        <v>&lt;ValeurCellule&gt;</v>
      </c>
    </row>
    <row r="17144" spans="1:1" x14ac:dyDescent="0.2">
      <c r="A17144" s="996" t="str">
        <f>CONCATENATE(Programme!D17145,Programme!E17145,Programme!F17145,Programme!G17145,Programme!H17145,Programme!I17145,Programme!J17145)</f>
        <v>&lt;cellule&gt;&lt;codeEdi&gt;1078&lt;/codeEdi&gt;&lt;/cellule&gt;</v>
      </c>
    </row>
    <row r="17145" spans="1:1" x14ac:dyDescent="0.2">
      <c r="A17145" s="996" t="str">
        <f>CONCATENATE(Programme!D17146,Programme!E17146,Programme!F17146,Programme!G17146,Programme!H17146,Programme!I17146,Programme!J17146)</f>
        <v>&lt;valeur&gt;&lt;/valeur&gt;</v>
      </c>
    </row>
    <row r="17146" spans="1:1" x14ac:dyDescent="0.2">
      <c r="A17146" s="996" t="str">
        <f>CONCATENATE(Programme!D17147,Programme!E17147,Programme!F17147,Programme!G17147,Programme!H17147,Programme!I17147,Programme!J17147)</f>
        <v>&lt;numeroLigne&gt;180&lt;/numeroLigne&gt;</v>
      </c>
    </row>
    <row r="17147" spans="1:1" x14ac:dyDescent="0.2">
      <c r="A17147" s="996" t="str">
        <f>CONCATENATE(Programme!D17148,Programme!E17148,Programme!F17148,Programme!G17148,Programme!H17148,Programme!I17148,Programme!J17148)</f>
        <v>&lt;/ValeurCellule&gt;</v>
      </c>
    </row>
    <row r="17148" spans="1:1" x14ac:dyDescent="0.2">
      <c r="A17148" s="996" t="str">
        <f>CONCATENATE(Programme!D17149,Programme!E17149,Programme!F17149,Programme!G17149,Programme!H17149,Programme!I17149,Programme!J17149)</f>
        <v>&lt;ValeurCellule&gt;</v>
      </c>
    </row>
    <row r="17149" spans="1:1" x14ac:dyDescent="0.2">
      <c r="A17149" s="996" t="str">
        <f>CONCATENATE(Programme!D17150,Programme!E17150,Programme!F17150,Programme!G17150,Programme!H17150,Programme!I17150,Programme!J17150)</f>
        <v>&lt;cellule&gt;&lt;codeEdi&gt;1079&lt;/codeEdi&gt;&lt;/cellule&gt;</v>
      </c>
    </row>
    <row r="17150" spans="1:1" x14ac:dyDescent="0.2">
      <c r="A17150" s="996" t="str">
        <f>CONCATENATE(Programme!D17151,Programme!E17151,Programme!F17151,Programme!G17151,Programme!H17151,Programme!I17151,Programme!J17151)</f>
        <v>&lt;valeur&gt;&lt;/valeur&gt;</v>
      </c>
    </row>
    <row r="17151" spans="1:1" x14ac:dyDescent="0.2">
      <c r="A17151" s="996" t="str">
        <f>CONCATENATE(Programme!D17152,Programme!E17152,Programme!F17152,Programme!G17152,Programme!H17152,Programme!I17152,Programme!J17152)</f>
        <v>&lt;numeroLigne&gt;180&lt;/numeroLigne&gt;</v>
      </c>
    </row>
    <row r="17152" spans="1:1" x14ac:dyDescent="0.2">
      <c r="A17152" s="996" t="str">
        <f>CONCATENATE(Programme!D17153,Programme!E17153,Programme!F17153,Programme!G17153,Programme!H17153,Programme!I17153,Programme!J17153)</f>
        <v>&lt;/ValeurCellule&gt;</v>
      </c>
    </row>
    <row r="17153" spans="1:1" x14ac:dyDescent="0.2">
      <c r="A17153" s="996" t="str">
        <f>CONCATENATE(Programme!D17154,Programme!E17154,Programme!F17154,Programme!G17154,Programme!H17154,Programme!I17154,Programme!J17154)</f>
        <v>&lt;ValeurCellule&gt;</v>
      </c>
    </row>
    <row r="17154" spans="1:1" x14ac:dyDescent="0.2">
      <c r="A17154" s="996" t="str">
        <f>CONCATENATE(Programme!D17155,Programme!E17155,Programme!F17155,Programme!G17155,Programme!H17155,Programme!I17155,Programme!J17155)</f>
        <v>&lt;cellule&gt;&lt;codeEdi&gt;1080&lt;/codeEdi&gt;&lt;/cellule&gt;</v>
      </c>
    </row>
    <row r="17155" spans="1:1" x14ac:dyDescent="0.2">
      <c r="A17155" s="996" t="str">
        <f>CONCATENATE(Programme!D17156,Programme!E17156,Programme!F17156,Programme!G17156,Programme!H17156,Programme!I17156,Programme!J17156)</f>
        <v>&lt;valeur&gt;&lt;/valeur&gt;</v>
      </c>
    </row>
    <row r="17156" spans="1:1" x14ac:dyDescent="0.2">
      <c r="A17156" s="996" t="str">
        <f>CONCATENATE(Programme!D17157,Programme!E17157,Programme!F17157,Programme!G17157,Programme!H17157,Programme!I17157,Programme!J17157)</f>
        <v>&lt;numeroLigne&gt;180&lt;/numeroLigne&gt;</v>
      </c>
    </row>
    <row r="17157" spans="1:1" x14ac:dyDescent="0.2">
      <c r="A17157" s="996" t="str">
        <f>CONCATENATE(Programme!D17158,Programme!E17158,Programme!F17158,Programme!G17158,Programme!H17158,Programme!I17158,Programme!J17158)</f>
        <v>&lt;/ValeurCellule&gt;</v>
      </c>
    </row>
    <row r="17158" spans="1:1" x14ac:dyDescent="0.2">
      <c r="A17158" s="996" t="str">
        <f>CONCATENATE(Programme!D17159,Programme!E17159,Programme!F17159,Programme!G17159,Programme!H17159,Programme!I17159,Programme!J17159)</f>
        <v>&lt;ValeurCellule&gt;</v>
      </c>
    </row>
    <row r="17159" spans="1:1" x14ac:dyDescent="0.2">
      <c r="A17159" s="996" t="str">
        <f>CONCATENATE(Programme!D17160,Programme!E17160,Programme!F17160,Programme!G17160,Programme!H17160,Programme!I17160,Programme!J17160)</f>
        <v>&lt;cellule&gt;&lt;codeEdi&gt;1081&lt;/codeEdi&gt;&lt;/cellule&gt;</v>
      </c>
    </row>
    <row r="17160" spans="1:1" x14ac:dyDescent="0.2">
      <c r="A17160" s="996" t="str">
        <f>CONCATENATE(Programme!D17161,Programme!E17161,Programme!F17161,Programme!G17161,Programme!H17161,Programme!I17161,Programme!J17161)</f>
        <v>&lt;valeur&gt;&lt;/valeur&gt;</v>
      </c>
    </row>
    <row r="17161" spans="1:1" x14ac:dyDescent="0.2">
      <c r="A17161" s="996" t="str">
        <f>CONCATENATE(Programme!D17162,Programme!E17162,Programme!F17162,Programme!G17162,Programme!H17162,Programme!I17162,Programme!J17162)</f>
        <v>&lt;numeroLigne&gt;180&lt;/numeroLigne&gt;</v>
      </c>
    </row>
    <row r="17162" spans="1:1" x14ac:dyDescent="0.2">
      <c r="A17162" s="996" t="str">
        <f>CONCATENATE(Programme!D17163,Programme!E17163,Programme!F17163,Programme!G17163,Programme!H17163,Programme!I17163,Programme!J17163)</f>
        <v>&lt;/ValeurCellule&gt;</v>
      </c>
    </row>
    <row r="17163" spans="1:1" x14ac:dyDescent="0.2">
      <c r="A17163" s="996" t="str">
        <f>CONCATENATE(Programme!D17164,Programme!E17164,Programme!F17164,Programme!G17164,Programme!H17164,Programme!I17164,Programme!J17164)</f>
        <v>&lt;ValeurCellule&gt;</v>
      </c>
    </row>
    <row r="17164" spans="1:1" x14ac:dyDescent="0.2">
      <c r="A17164" s="996" t="str">
        <f>CONCATENATE(Programme!D17165,Programme!E17165,Programme!F17165,Programme!G17165,Programme!H17165,Programme!I17165,Programme!J17165)</f>
        <v>&lt;cellule&gt;&lt;codeEdi&gt;1082&lt;/codeEdi&gt;&lt;/cellule&gt;</v>
      </c>
    </row>
    <row r="17165" spans="1:1" x14ac:dyDescent="0.2">
      <c r="A17165" s="996" t="str">
        <f>CONCATENATE(Programme!D17166,Programme!E17166,Programme!F17166,Programme!G17166,Programme!H17166,Programme!I17166,Programme!J17166)</f>
        <v>&lt;valeur&gt;&lt;/valeur&gt;</v>
      </c>
    </row>
    <row r="17166" spans="1:1" x14ac:dyDescent="0.2">
      <c r="A17166" s="996" t="str">
        <f>CONCATENATE(Programme!D17167,Programme!E17167,Programme!F17167,Programme!G17167,Programme!H17167,Programme!I17167,Programme!J17167)</f>
        <v>&lt;numeroLigne&gt;180&lt;/numeroLigne&gt;</v>
      </c>
    </row>
    <row r="17167" spans="1:1" x14ac:dyDescent="0.2">
      <c r="A17167" s="996" t="str">
        <f>CONCATENATE(Programme!D17168,Programme!E17168,Programme!F17168,Programme!G17168,Programme!H17168,Programme!I17168,Programme!J17168)</f>
        <v>&lt;/ValeurCellule&gt;</v>
      </c>
    </row>
    <row r="17168" spans="1:1" x14ac:dyDescent="0.2">
      <c r="A17168" s="996" t="str">
        <f>CONCATENATE(Programme!D17169,Programme!E17169,Programme!F17169,Programme!G17169,Programme!H17169,Programme!I17169,Programme!J17169)</f>
        <v>&lt;ValeurCellule&gt;</v>
      </c>
    </row>
    <row r="17169" spans="1:1" x14ac:dyDescent="0.2">
      <c r="A17169" s="996" t="str">
        <f>CONCATENATE(Programme!D17170,Programme!E17170,Programme!F17170,Programme!G17170,Programme!H17170,Programme!I17170,Programme!J17170)</f>
        <v>&lt;cellule&gt;&lt;codeEdi&gt;1083&lt;/codeEdi&gt;&lt;/cellule&gt;</v>
      </c>
    </row>
    <row r="17170" spans="1:1" x14ac:dyDescent="0.2">
      <c r="A17170" s="996" t="str">
        <f>CONCATENATE(Programme!D17171,Programme!E17171,Programme!F17171,Programme!G17171,Programme!H17171,Programme!I17171,Programme!J17171)</f>
        <v>&lt;valeur&gt;&lt;/valeur&gt;</v>
      </c>
    </row>
    <row r="17171" spans="1:1" x14ac:dyDescent="0.2">
      <c r="A17171" s="996" t="str">
        <f>CONCATENATE(Programme!D17172,Programme!E17172,Programme!F17172,Programme!G17172,Programme!H17172,Programme!I17172,Programme!J17172)</f>
        <v>&lt;numeroLigne&gt;180&lt;/numeroLigne&gt;</v>
      </c>
    </row>
    <row r="17172" spans="1:1" x14ac:dyDescent="0.2">
      <c r="A17172" s="996" t="str">
        <f>CONCATENATE(Programme!D17173,Programme!E17173,Programme!F17173,Programme!G17173,Programme!H17173,Programme!I17173,Programme!J17173)</f>
        <v>&lt;/ValeurCellule&gt;</v>
      </c>
    </row>
    <row r="17173" spans="1:1" x14ac:dyDescent="0.2">
      <c r="A17173" s="996" t="str">
        <f>CONCATENATE(Programme!D17174,Programme!E17174,Programme!F17174,Programme!G17174,Programme!H17174,Programme!I17174,Programme!J17174)</f>
        <v>&lt;ValeurCellule&gt;</v>
      </c>
    </row>
    <row r="17174" spans="1:1" x14ac:dyDescent="0.2">
      <c r="A17174" s="996" t="str">
        <f>CONCATENATE(Programme!D17175,Programme!E17175,Programme!F17175,Programme!G17175,Programme!H17175,Programme!I17175,Programme!J17175)</f>
        <v>&lt;cellule&gt;&lt;codeEdi&gt;1084&lt;/codeEdi&gt;&lt;/cellule&gt;</v>
      </c>
    </row>
    <row r="17175" spans="1:1" x14ac:dyDescent="0.2">
      <c r="A17175" s="996" t="str">
        <f>CONCATENATE(Programme!D17176,Programme!E17176,Programme!F17176,Programme!G17176,Programme!H17176,Programme!I17176,Programme!J17176)</f>
        <v>&lt;valeur&gt;&lt;/valeur&gt;</v>
      </c>
    </row>
    <row r="17176" spans="1:1" x14ac:dyDescent="0.2">
      <c r="A17176" s="996" t="str">
        <f>CONCATENATE(Programme!D17177,Programme!E17177,Programme!F17177,Programme!G17177,Programme!H17177,Programme!I17177,Programme!J17177)</f>
        <v>&lt;numeroLigne&gt;180&lt;/numeroLigne&gt;</v>
      </c>
    </row>
    <row r="17177" spans="1:1" x14ac:dyDescent="0.2">
      <c r="A17177" s="996" t="str">
        <f>CONCATENATE(Programme!D17178,Programme!E17178,Programme!F17178,Programme!G17178,Programme!H17178,Programme!I17178,Programme!J17178)</f>
        <v>&lt;/ValeurCellule&gt;</v>
      </c>
    </row>
    <row r="17178" spans="1:1" x14ac:dyDescent="0.2">
      <c r="A17178" s="996" t="str">
        <f>CONCATENATE(Programme!D17179,Programme!E17179,Programme!F17179,Programme!G17179,Programme!H17179,Programme!I17179,Programme!J17179)</f>
        <v>&lt;ValeurCellule&gt;</v>
      </c>
    </row>
    <row r="17179" spans="1:1" x14ac:dyDescent="0.2">
      <c r="A17179" s="996" t="str">
        <f>CONCATENATE(Programme!D17180,Programme!E17180,Programme!F17180,Programme!G17180,Programme!H17180,Programme!I17180,Programme!J17180)</f>
        <v>&lt;cellule&gt;&lt;codeEdi&gt;1085&lt;/codeEdi&gt;&lt;/cellule&gt;</v>
      </c>
    </row>
    <row r="17180" spans="1:1" x14ac:dyDescent="0.2">
      <c r="A17180" s="996" t="str">
        <f>CONCATENATE(Programme!D17181,Programme!E17181,Programme!F17181,Programme!G17181,Programme!H17181,Programme!I17181,Programme!J17181)</f>
        <v>&lt;valeur&gt;&lt;/valeur&gt;</v>
      </c>
    </row>
    <row r="17181" spans="1:1" x14ac:dyDescent="0.2">
      <c r="A17181" s="996" t="str">
        <f>CONCATENATE(Programme!D17182,Programme!E17182,Programme!F17182,Programme!G17182,Programme!H17182,Programme!I17182,Programme!J17182)</f>
        <v>&lt;numeroLigne&gt;180&lt;/numeroLigne&gt;</v>
      </c>
    </row>
    <row r="17182" spans="1:1" x14ac:dyDescent="0.2">
      <c r="A17182" s="996" t="str">
        <f>CONCATENATE(Programme!D17183,Programme!E17183,Programme!F17183,Programme!G17183,Programme!H17183,Programme!I17183,Programme!J17183)</f>
        <v>&lt;/ValeurCellule&gt;</v>
      </c>
    </row>
    <row r="17183" spans="1:1" x14ac:dyDescent="0.2">
      <c r="A17183" s="996" t="str">
        <f>CONCATENATE(Programme!D17184,Programme!E17184,Programme!F17184,Programme!G17184,Programme!H17184,Programme!I17184,Programme!J17184)</f>
        <v>&lt;ValeurCellule&gt;</v>
      </c>
    </row>
    <row r="17184" spans="1:1" x14ac:dyDescent="0.2">
      <c r="A17184" s="996" t="str">
        <f>CONCATENATE(Programme!D17185,Programme!E17185,Programme!F17185,Programme!G17185,Programme!H17185,Programme!I17185,Programme!J17185)</f>
        <v>&lt;cellule&gt;&lt;codeEdi&gt;1086&lt;/codeEdi&gt;&lt;/cellule&gt;</v>
      </c>
    </row>
    <row r="17185" spans="1:1" x14ac:dyDescent="0.2">
      <c r="A17185" s="996" t="str">
        <f>CONCATENATE(Programme!D17186,Programme!E17186,Programme!F17186,Programme!G17186,Programme!H17186,Programme!I17186,Programme!J17186)</f>
        <v>&lt;valeur&gt;&lt;/valeur&gt;</v>
      </c>
    </row>
    <row r="17186" spans="1:1" x14ac:dyDescent="0.2">
      <c r="A17186" s="996" t="str">
        <f>CONCATENATE(Programme!D17187,Programme!E17187,Programme!F17187,Programme!G17187,Programme!H17187,Programme!I17187,Programme!J17187)</f>
        <v>&lt;numeroLigne&gt;180&lt;/numeroLigne&gt;</v>
      </c>
    </row>
    <row r="17187" spans="1:1" x14ac:dyDescent="0.2">
      <c r="A17187" s="996" t="str">
        <f>CONCATENATE(Programme!D17188,Programme!E17188,Programme!F17188,Programme!G17188,Programme!H17188,Programme!I17188,Programme!J17188)</f>
        <v>&lt;/ValeurCellule&gt;</v>
      </c>
    </row>
    <row r="17188" spans="1:1" x14ac:dyDescent="0.2">
      <c r="A17188" s="996" t="str">
        <f>CONCATENATE(Programme!D17189,Programme!E17189,Programme!F17189,Programme!G17189,Programme!H17189,Programme!I17189,Programme!J17189)</f>
        <v>&lt;ValeurCellule&gt;</v>
      </c>
    </row>
    <row r="17189" spans="1:1" x14ac:dyDescent="0.2">
      <c r="A17189" s="996" t="str">
        <f>CONCATENATE(Programme!D17190,Programme!E17190,Programme!F17190,Programme!G17190,Programme!H17190,Programme!I17190,Programme!J17190)</f>
        <v>&lt;cellule&gt;&lt;codeEdi&gt;10061&lt;/codeEdi&gt;&lt;/cellule&gt;</v>
      </c>
    </row>
    <row r="17190" spans="1:1" x14ac:dyDescent="0.2">
      <c r="A17190" s="996" t="str">
        <f>CONCATENATE(Programme!D17191,Programme!E17191,Programme!F17191,Programme!G17191,Programme!H17191,Programme!I17191,Programme!J17191)</f>
        <v>&lt;valeur&gt;&lt;/valeur&gt;</v>
      </c>
    </row>
    <row r="17191" spans="1:1" x14ac:dyDescent="0.2">
      <c r="A17191" s="996" t="str">
        <f>CONCATENATE(Programme!D17192,Programme!E17192,Programme!F17192,Programme!G17192,Programme!H17192,Programme!I17192,Programme!J17192)</f>
        <v>&lt;numeroLigne&gt;181&lt;/numeroLigne&gt;</v>
      </c>
    </row>
    <row r="17192" spans="1:1" x14ac:dyDescent="0.2">
      <c r="A17192" s="996" t="str">
        <f>CONCATENATE(Programme!D17193,Programme!E17193,Programme!F17193,Programme!G17193,Programme!H17193,Programme!I17193,Programme!J17193)</f>
        <v>&lt;/ValeurCellule&gt;</v>
      </c>
    </row>
    <row r="17193" spans="1:1" x14ac:dyDescent="0.2">
      <c r="A17193" s="996" t="str">
        <f>CONCATENATE(Programme!D17194,Programme!E17194,Programme!F17194,Programme!G17194,Programme!H17194,Programme!I17194,Programme!J17194)</f>
        <v>&lt;ValeurCellule&gt;</v>
      </c>
    </row>
    <row r="17194" spans="1:1" x14ac:dyDescent="0.2">
      <c r="A17194" s="996" t="str">
        <f>CONCATENATE(Programme!D17195,Programme!E17195,Programme!F17195,Programme!G17195,Programme!H17195,Programme!I17195,Programme!J17195)</f>
        <v>&lt;cellule&gt;&lt;codeEdi&gt;1078&lt;/codeEdi&gt;&lt;/cellule&gt;</v>
      </c>
    </row>
    <row r="17195" spans="1:1" x14ac:dyDescent="0.2">
      <c r="A17195" s="996" t="str">
        <f>CONCATENATE(Programme!D17196,Programme!E17196,Programme!F17196,Programme!G17196,Programme!H17196,Programme!I17196,Programme!J17196)</f>
        <v>&lt;valeur&gt;&lt;/valeur&gt;</v>
      </c>
    </row>
    <row r="17196" spans="1:1" x14ac:dyDescent="0.2">
      <c r="A17196" s="996" t="str">
        <f>CONCATENATE(Programme!D17197,Programme!E17197,Programme!F17197,Programme!G17197,Programme!H17197,Programme!I17197,Programme!J17197)</f>
        <v>&lt;numeroLigne&gt;181&lt;/numeroLigne&gt;</v>
      </c>
    </row>
    <row r="17197" spans="1:1" x14ac:dyDescent="0.2">
      <c r="A17197" s="996" t="str">
        <f>CONCATENATE(Programme!D17198,Programme!E17198,Programme!F17198,Programme!G17198,Programme!H17198,Programme!I17198,Programme!J17198)</f>
        <v>&lt;/ValeurCellule&gt;</v>
      </c>
    </row>
    <row r="17198" spans="1:1" x14ac:dyDescent="0.2">
      <c r="A17198" s="996" t="str">
        <f>CONCATENATE(Programme!D17199,Programme!E17199,Programme!F17199,Programme!G17199,Programme!H17199,Programme!I17199,Programme!J17199)</f>
        <v>&lt;ValeurCellule&gt;</v>
      </c>
    </row>
    <row r="17199" spans="1:1" x14ac:dyDescent="0.2">
      <c r="A17199" s="996" t="str">
        <f>CONCATENATE(Programme!D17200,Programme!E17200,Programme!F17200,Programme!G17200,Programme!H17200,Programme!I17200,Programme!J17200)</f>
        <v>&lt;cellule&gt;&lt;codeEdi&gt;1079&lt;/codeEdi&gt;&lt;/cellule&gt;</v>
      </c>
    </row>
    <row r="17200" spans="1:1" x14ac:dyDescent="0.2">
      <c r="A17200" s="996" t="str">
        <f>CONCATENATE(Programme!D17201,Programme!E17201,Programme!F17201,Programme!G17201,Programme!H17201,Programme!I17201,Programme!J17201)</f>
        <v>&lt;valeur&gt;&lt;/valeur&gt;</v>
      </c>
    </row>
    <row r="17201" spans="1:1" x14ac:dyDescent="0.2">
      <c r="A17201" s="996" t="str">
        <f>CONCATENATE(Programme!D17202,Programme!E17202,Programme!F17202,Programme!G17202,Programme!H17202,Programme!I17202,Programme!J17202)</f>
        <v>&lt;numeroLigne&gt;181&lt;/numeroLigne&gt;</v>
      </c>
    </row>
    <row r="17202" spans="1:1" x14ac:dyDescent="0.2">
      <c r="A17202" s="996" t="str">
        <f>CONCATENATE(Programme!D17203,Programme!E17203,Programme!F17203,Programme!G17203,Programme!H17203,Programme!I17203,Programme!J17203)</f>
        <v>&lt;/ValeurCellule&gt;</v>
      </c>
    </row>
    <row r="17203" spans="1:1" x14ac:dyDescent="0.2">
      <c r="A17203" s="996" t="str">
        <f>CONCATENATE(Programme!D17204,Programme!E17204,Programme!F17204,Programme!G17204,Programme!H17204,Programme!I17204,Programme!J17204)</f>
        <v>&lt;ValeurCellule&gt;</v>
      </c>
    </row>
    <row r="17204" spans="1:1" x14ac:dyDescent="0.2">
      <c r="A17204" s="996" t="str">
        <f>CONCATENATE(Programme!D17205,Programme!E17205,Programme!F17205,Programme!G17205,Programme!H17205,Programme!I17205,Programme!J17205)</f>
        <v>&lt;cellule&gt;&lt;codeEdi&gt;1080&lt;/codeEdi&gt;&lt;/cellule&gt;</v>
      </c>
    </row>
    <row r="17205" spans="1:1" x14ac:dyDescent="0.2">
      <c r="A17205" s="996" t="str">
        <f>CONCATENATE(Programme!D17206,Programme!E17206,Programme!F17206,Programme!G17206,Programme!H17206,Programme!I17206,Programme!J17206)</f>
        <v>&lt;valeur&gt;&lt;/valeur&gt;</v>
      </c>
    </row>
    <row r="17206" spans="1:1" x14ac:dyDescent="0.2">
      <c r="A17206" s="996" t="str">
        <f>CONCATENATE(Programme!D17207,Programme!E17207,Programme!F17207,Programme!G17207,Programme!H17207,Programme!I17207,Programme!J17207)</f>
        <v>&lt;numeroLigne&gt;181&lt;/numeroLigne&gt;</v>
      </c>
    </row>
    <row r="17207" spans="1:1" x14ac:dyDescent="0.2">
      <c r="A17207" s="996" t="str">
        <f>CONCATENATE(Programme!D17208,Programme!E17208,Programme!F17208,Programme!G17208,Programme!H17208,Programme!I17208,Programme!J17208)</f>
        <v>&lt;/ValeurCellule&gt;</v>
      </c>
    </row>
    <row r="17208" spans="1:1" x14ac:dyDescent="0.2">
      <c r="A17208" s="996" t="str">
        <f>CONCATENATE(Programme!D17209,Programme!E17209,Programme!F17209,Programme!G17209,Programme!H17209,Programme!I17209,Programme!J17209)</f>
        <v>&lt;ValeurCellule&gt;</v>
      </c>
    </row>
    <row r="17209" spans="1:1" x14ac:dyDescent="0.2">
      <c r="A17209" s="996" t="str">
        <f>CONCATENATE(Programme!D17210,Programme!E17210,Programme!F17210,Programme!G17210,Programme!H17210,Programme!I17210,Programme!J17210)</f>
        <v>&lt;cellule&gt;&lt;codeEdi&gt;1081&lt;/codeEdi&gt;&lt;/cellule&gt;</v>
      </c>
    </row>
    <row r="17210" spans="1:1" x14ac:dyDescent="0.2">
      <c r="A17210" s="996" t="str">
        <f>CONCATENATE(Programme!D17211,Programme!E17211,Programme!F17211,Programme!G17211,Programme!H17211,Programme!I17211,Programme!J17211)</f>
        <v>&lt;valeur&gt;&lt;/valeur&gt;</v>
      </c>
    </row>
    <row r="17211" spans="1:1" x14ac:dyDescent="0.2">
      <c r="A17211" s="996" t="str">
        <f>CONCATENATE(Programme!D17212,Programme!E17212,Programme!F17212,Programme!G17212,Programme!H17212,Programme!I17212,Programme!J17212)</f>
        <v>&lt;numeroLigne&gt;181&lt;/numeroLigne&gt;</v>
      </c>
    </row>
    <row r="17212" spans="1:1" x14ac:dyDescent="0.2">
      <c r="A17212" s="996" t="str">
        <f>CONCATENATE(Programme!D17213,Programme!E17213,Programme!F17213,Programme!G17213,Programme!H17213,Programme!I17213,Programme!J17213)</f>
        <v>&lt;/ValeurCellule&gt;</v>
      </c>
    </row>
    <row r="17213" spans="1:1" x14ac:dyDescent="0.2">
      <c r="A17213" s="996" t="str">
        <f>CONCATENATE(Programme!D17214,Programme!E17214,Programme!F17214,Programme!G17214,Programme!H17214,Programme!I17214,Programme!J17214)</f>
        <v>&lt;ValeurCellule&gt;</v>
      </c>
    </row>
    <row r="17214" spans="1:1" x14ac:dyDescent="0.2">
      <c r="A17214" s="996" t="str">
        <f>CONCATENATE(Programme!D17215,Programme!E17215,Programme!F17215,Programme!G17215,Programme!H17215,Programme!I17215,Programme!J17215)</f>
        <v>&lt;cellule&gt;&lt;codeEdi&gt;1082&lt;/codeEdi&gt;&lt;/cellule&gt;</v>
      </c>
    </row>
    <row r="17215" spans="1:1" x14ac:dyDescent="0.2">
      <c r="A17215" s="996" t="str">
        <f>CONCATENATE(Programme!D17216,Programme!E17216,Programme!F17216,Programme!G17216,Programme!H17216,Programme!I17216,Programme!J17216)</f>
        <v>&lt;valeur&gt;&lt;/valeur&gt;</v>
      </c>
    </row>
    <row r="17216" spans="1:1" x14ac:dyDescent="0.2">
      <c r="A17216" s="996" t="str">
        <f>CONCATENATE(Programme!D17217,Programme!E17217,Programme!F17217,Programme!G17217,Programme!H17217,Programme!I17217,Programme!J17217)</f>
        <v>&lt;numeroLigne&gt;181&lt;/numeroLigne&gt;</v>
      </c>
    </row>
    <row r="17217" spans="1:1" x14ac:dyDescent="0.2">
      <c r="A17217" s="996" t="str">
        <f>CONCATENATE(Programme!D17218,Programme!E17218,Programme!F17218,Programme!G17218,Programme!H17218,Programme!I17218,Programme!J17218)</f>
        <v>&lt;/ValeurCellule&gt;</v>
      </c>
    </row>
    <row r="17218" spans="1:1" x14ac:dyDescent="0.2">
      <c r="A17218" s="996" t="str">
        <f>CONCATENATE(Programme!D17219,Programme!E17219,Programme!F17219,Programme!G17219,Programme!H17219,Programme!I17219,Programme!J17219)</f>
        <v>&lt;ValeurCellule&gt;</v>
      </c>
    </row>
    <row r="17219" spans="1:1" x14ac:dyDescent="0.2">
      <c r="A17219" s="996" t="str">
        <f>CONCATENATE(Programme!D17220,Programme!E17220,Programme!F17220,Programme!G17220,Programme!H17220,Programme!I17220,Programme!J17220)</f>
        <v>&lt;cellule&gt;&lt;codeEdi&gt;1083&lt;/codeEdi&gt;&lt;/cellule&gt;</v>
      </c>
    </row>
    <row r="17220" spans="1:1" x14ac:dyDescent="0.2">
      <c r="A17220" s="996" t="str">
        <f>CONCATENATE(Programme!D17221,Programme!E17221,Programme!F17221,Programme!G17221,Programme!H17221,Programme!I17221,Programme!J17221)</f>
        <v>&lt;valeur&gt;&lt;/valeur&gt;</v>
      </c>
    </row>
    <row r="17221" spans="1:1" x14ac:dyDescent="0.2">
      <c r="A17221" s="996" t="str">
        <f>CONCATENATE(Programme!D17222,Programme!E17222,Programme!F17222,Programme!G17222,Programme!H17222,Programme!I17222,Programme!J17222)</f>
        <v>&lt;numeroLigne&gt;181&lt;/numeroLigne&gt;</v>
      </c>
    </row>
    <row r="17222" spans="1:1" x14ac:dyDescent="0.2">
      <c r="A17222" s="996" t="str">
        <f>CONCATENATE(Programme!D17223,Programme!E17223,Programme!F17223,Programme!G17223,Programme!H17223,Programme!I17223,Programme!J17223)</f>
        <v>&lt;/ValeurCellule&gt;</v>
      </c>
    </row>
    <row r="17223" spans="1:1" x14ac:dyDescent="0.2">
      <c r="A17223" s="996" t="str">
        <f>CONCATENATE(Programme!D17224,Programme!E17224,Programme!F17224,Programme!G17224,Programme!H17224,Programme!I17224,Programme!J17224)</f>
        <v>&lt;ValeurCellule&gt;</v>
      </c>
    </row>
    <row r="17224" spans="1:1" x14ac:dyDescent="0.2">
      <c r="A17224" s="996" t="str">
        <f>CONCATENATE(Programme!D17225,Programme!E17225,Programme!F17225,Programme!G17225,Programme!H17225,Programme!I17225,Programme!J17225)</f>
        <v>&lt;cellule&gt;&lt;codeEdi&gt;1084&lt;/codeEdi&gt;&lt;/cellule&gt;</v>
      </c>
    </row>
    <row r="17225" spans="1:1" x14ac:dyDescent="0.2">
      <c r="A17225" s="996" t="str">
        <f>CONCATENATE(Programme!D17226,Programme!E17226,Programme!F17226,Programme!G17226,Programme!H17226,Programme!I17226,Programme!J17226)</f>
        <v>&lt;valeur&gt;&lt;/valeur&gt;</v>
      </c>
    </row>
    <row r="17226" spans="1:1" x14ac:dyDescent="0.2">
      <c r="A17226" s="996" t="str">
        <f>CONCATENATE(Programme!D17227,Programme!E17227,Programme!F17227,Programme!G17227,Programme!H17227,Programme!I17227,Programme!J17227)</f>
        <v>&lt;numeroLigne&gt;181&lt;/numeroLigne&gt;</v>
      </c>
    </row>
    <row r="17227" spans="1:1" x14ac:dyDescent="0.2">
      <c r="A17227" s="996" t="str">
        <f>CONCATENATE(Programme!D17228,Programme!E17228,Programme!F17228,Programme!G17228,Programme!H17228,Programme!I17228,Programme!J17228)</f>
        <v>&lt;/ValeurCellule&gt;</v>
      </c>
    </row>
    <row r="17228" spans="1:1" x14ac:dyDescent="0.2">
      <c r="A17228" s="996" t="str">
        <f>CONCATENATE(Programme!D17229,Programme!E17229,Programme!F17229,Programme!G17229,Programme!H17229,Programme!I17229,Programme!J17229)</f>
        <v>&lt;ValeurCellule&gt;</v>
      </c>
    </row>
    <row r="17229" spans="1:1" x14ac:dyDescent="0.2">
      <c r="A17229" s="996" t="str">
        <f>CONCATENATE(Programme!D17230,Programme!E17230,Programme!F17230,Programme!G17230,Programme!H17230,Programme!I17230,Programme!J17230)</f>
        <v>&lt;cellule&gt;&lt;codeEdi&gt;1085&lt;/codeEdi&gt;&lt;/cellule&gt;</v>
      </c>
    </row>
    <row r="17230" spans="1:1" x14ac:dyDescent="0.2">
      <c r="A17230" s="996" t="str">
        <f>CONCATENATE(Programme!D17231,Programme!E17231,Programme!F17231,Programme!G17231,Programme!H17231,Programme!I17231,Programme!J17231)</f>
        <v>&lt;valeur&gt;&lt;/valeur&gt;</v>
      </c>
    </row>
    <row r="17231" spans="1:1" x14ac:dyDescent="0.2">
      <c r="A17231" s="996" t="str">
        <f>CONCATENATE(Programme!D17232,Programme!E17232,Programme!F17232,Programme!G17232,Programme!H17232,Programme!I17232,Programme!J17232)</f>
        <v>&lt;numeroLigne&gt;181&lt;/numeroLigne&gt;</v>
      </c>
    </row>
    <row r="17232" spans="1:1" x14ac:dyDescent="0.2">
      <c r="A17232" s="996" t="str">
        <f>CONCATENATE(Programme!D17233,Programme!E17233,Programme!F17233,Programme!G17233,Programme!H17233,Programme!I17233,Programme!J17233)</f>
        <v>&lt;/ValeurCellule&gt;</v>
      </c>
    </row>
    <row r="17233" spans="1:1" x14ac:dyDescent="0.2">
      <c r="A17233" s="996" t="str">
        <f>CONCATENATE(Programme!D17234,Programme!E17234,Programme!F17234,Programme!G17234,Programme!H17234,Programme!I17234,Programme!J17234)</f>
        <v>&lt;ValeurCellule&gt;</v>
      </c>
    </row>
    <row r="17234" spans="1:1" x14ac:dyDescent="0.2">
      <c r="A17234" s="996" t="str">
        <f>CONCATENATE(Programme!D17235,Programme!E17235,Programme!F17235,Programme!G17235,Programme!H17235,Programme!I17235,Programme!J17235)</f>
        <v>&lt;cellule&gt;&lt;codeEdi&gt;1086&lt;/codeEdi&gt;&lt;/cellule&gt;</v>
      </c>
    </row>
    <row r="17235" spans="1:1" x14ac:dyDescent="0.2">
      <c r="A17235" s="996" t="str">
        <f>CONCATENATE(Programme!D17236,Programme!E17236,Programme!F17236,Programme!G17236,Programme!H17236,Programme!I17236,Programme!J17236)</f>
        <v>&lt;valeur&gt;&lt;/valeur&gt;</v>
      </c>
    </row>
    <row r="17236" spans="1:1" x14ac:dyDescent="0.2">
      <c r="A17236" s="996" t="str">
        <f>CONCATENATE(Programme!D17237,Programme!E17237,Programme!F17237,Programme!G17237,Programme!H17237,Programme!I17237,Programme!J17237)</f>
        <v>&lt;numeroLigne&gt;181&lt;/numeroLigne&gt;</v>
      </c>
    </row>
    <row r="17237" spans="1:1" x14ac:dyDescent="0.2">
      <c r="A17237" s="996" t="str">
        <f>CONCATENATE(Programme!D17238,Programme!E17238,Programme!F17238,Programme!G17238,Programme!H17238,Programme!I17238,Programme!J17238)</f>
        <v>&lt;/ValeurCellule&gt;</v>
      </c>
    </row>
    <row r="17238" spans="1:1" x14ac:dyDescent="0.2">
      <c r="A17238" s="996" t="str">
        <f>CONCATENATE(Programme!D17239,Programme!E17239,Programme!F17239,Programme!G17239,Programme!H17239,Programme!I17239,Programme!J17239)</f>
        <v>&lt;ValeurCellule&gt;</v>
      </c>
    </row>
    <row r="17239" spans="1:1" x14ac:dyDescent="0.2">
      <c r="A17239" s="996" t="str">
        <f>CONCATENATE(Programme!D17240,Programme!E17240,Programme!F17240,Programme!G17240,Programme!H17240,Programme!I17240,Programme!J17240)</f>
        <v>&lt;cellule&gt;&lt;codeEdi&gt;10061&lt;/codeEdi&gt;&lt;/cellule&gt;</v>
      </c>
    </row>
    <row r="17240" spans="1:1" x14ac:dyDescent="0.2">
      <c r="A17240" s="996" t="str">
        <f>CONCATENATE(Programme!D17241,Programme!E17241,Programme!F17241,Programme!G17241,Programme!H17241,Programme!I17241,Programme!J17241)</f>
        <v>&lt;valeur&gt;&lt;/valeur&gt;</v>
      </c>
    </row>
    <row r="17241" spans="1:1" x14ac:dyDescent="0.2">
      <c r="A17241" s="996" t="str">
        <f>CONCATENATE(Programme!D17242,Programme!E17242,Programme!F17242,Programme!G17242,Programme!H17242,Programme!I17242,Programme!J17242)</f>
        <v>&lt;numeroLigne&gt;182&lt;/numeroLigne&gt;</v>
      </c>
    </row>
    <row r="17242" spans="1:1" x14ac:dyDescent="0.2">
      <c r="A17242" s="996" t="str">
        <f>CONCATENATE(Programme!D17243,Programme!E17243,Programme!F17243,Programme!G17243,Programme!H17243,Programme!I17243,Programme!J17243)</f>
        <v>&lt;/ValeurCellule&gt;</v>
      </c>
    </row>
    <row r="17243" spans="1:1" x14ac:dyDescent="0.2">
      <c r="A17243" s="996" t="str">
        <f>CONCATENATE(Programme!D17244,Programme!E17244,Programme!F17244,Programme!G17244,Programme!H17244,Programme!I17244,Programme!J17244)</f>
        <v>&lt;ValeurCellule&gt;</v>
      </c>
    </row>
    <row r="17244" spans="1:1" x14ac:dyDescent="0.2">
      <c r="A17244" s="996" t="str">
        <f>CONCATENATE(Programme!D17245,Programme!E17245,Programme!F17245,Programme!G17245,Programme!H17245,Programme!I17245,Programme!J17245)</f>
        <v>&lt;cellule&gt;&lt;codeEdi&gt;1078&lt;/codeEdi&gt;&lt;/cellule&gt;</v>
      </c>
    </row>
    <row r="17245" spans="1:1" x14ac:dyDescent="0.2">
      <c r="A17245" s="996" t="str">
        <f>CONCATENATE(Programme!D17246,Programme!E17246,Programme!F17246,Programme!G17246,Programme!H17246,Programme!I17246,Programme!J17246)</f>
        <v>&lt;valeur&gt;&lt;/valeur&gt;</v>
      </c>
    </row>
    <row r="17246" spans="1:1" x14ac:dyDescent="0.2">
      <c r="A17246" s="996" t="str">
        <f>CONCATENATE(Programme!D17247,Programme!E17247,Programme!F17247,Programme!G17247,Programme!H17247,Programme!I17247,Programme!J17247)</f>
        <v>&lt;numeroLigne&gt;182&lt;/numeroLigne&gt;</v>
      </c>
    </row>
    <row r="17247" spans="1:1" x14ac:dyDescent="0.2">
      <c r="A17247" s="996" t="str">
        <f>CONCATENATE(Programme!D17248,Programme!E17248,Programme!F17248,Programme!G17248,Programme!H17248,Programme!I17248,Programme!J17248)</f>
        <v>&lt;/ValeurCellule&gt;</v>
      </c>
    </row>
    <row r="17248" spans="1:1" x14ac:dyDescent="0.2">
      <c r="A17248" s="996" t="str">
        <f>CONCATENATE(Programme!D17249,Programme!E17249,Programme!F17249,Programme!G17249,Programme!H17249,Programme!I17249,Programme!J17249)</f>
        <v>&lt;ValeurCellule&gt;</v>
      </c>
    </row>
    <row r="17249" spans="1:1" x14ac:dyDescent="0.2">
      <c r="A17249" s="996" t="str">
        <f>CONCATENATE(Programme!D17250,Programme!E17250,Programme!F17250,Programme!G17250,Programme!H17250,Programme!I17250,Programme!J17250)</f>
        <v>&lt;cellule&gt;&lt;codeEdi&gt;1079&lt;/codeEdi&gt;&lt;/cellule&gt;</v>
      </c>
    </row>
    <row r="17250" spans="1:1" x14ac:dyDescent="0.2">
      <c r="A17250" s="996" t="str">
        <f>CONCATENATE(Programme!D17251,Programme!E17251,Programme!F17251,Programme!G17251,Programme!H17251,Programme!I17251,Programme!J17251)</f>
        <v>&lt;valeur&gt;&lt;/valeur&gt;</v>
      </c>
    </row>
    <row r="17251" spans="1:1" x14ac:dyDescent="0.2">
      <c r="A17251" s="996" t="str">
        <f>CONCATENATE(Programme!D17252,Programme!E17252,Programme!F17252,Programme!G17252,Programme!H17252,Programme!I17252,Programme!J17252)</f>
        <v>&lt;numeroLigne&gt;182&lt;/numeroLigne&gt;</v>
      </c>
    </row>
    <row r="17252" spans="1:1" x14ac:dyDescent="0.2">
      <c r="A17252" s="996" t="str">
        <f>CONCATENATE(Programme!D17253,Programme!E17253,Programme!F17253,Programme!G17253,Programme!H17253,Programme!I17253,Programme!J17253)</f>
        <v>&lt;/ValeurCellule&gt;</v>
      </c>
    </row>
    <row r="17253" spans="1:1" x14ac:dyDescent="0.2">
      <c r="A17253" s="996" t="str">
        <f>CONCATENATE(Programme!D17254,Programme!E17254,Programme!F17254,Programme!G17254,Programme!H17254,Programme!I17254,Programme!J17254)</f>
        <v>&lt;ValeurCellule&gt;</v>
      </c>
    </row>
    <row r="17254" spans="1:1" x14ac:dyDescent="0.2">
      <c r="A17254" s="996" t="str">
        <f>CONCATENATE(Programme!D17255,Programme!E17255,Programme!F17255,Programme!G17255,Programme!H17255,Programme!I17255,Programme!J17255)</f>
        <v>&lt;cellule&gt;&lt;codeEdi&gt;1080&lt;/codeEdi&gt;&lt;/cellule&gt;</v>
      </c>
    </row>
    <row r="17255" spans="1:1" x14ac:dyDescent="0.2">
      <c r="A17255" s="996" t="str">
        <f>CONCATENATE(Programme!D17256,Programme!E17256,Programme!F17256,Programme!G17256,Programme!H17256,Programme!I17256,Programme!J17256)</f>
        <v>&lt;valeur&gt;&lt;/valeur&gt;</v>
      </c>
    </row>
    <row r="17256" spans="1:1" x14ac:dyDescent="0.2">
      <c r="A17256" s="996" t="str">
        <f>CONCATENATE(Programme!D17257,Programme!E17257,Programme!F17257,Programme!G17257,Programme!H17257,Programme!I17257,Programme!J17257)</f>
        <v>&lt;numeroLigne&gt;182&lt;/numeroLigne&gt;</v>
      </c>
    </row>
    <row r="17257" spans="1:1" x14ac:dyDescent="0.2">
      <c r="A17257" s="996" t="str">
        <f>CONCATENATE(Programme!D17258,Programme!E17258,Programme!F17258,Programme!G17258,Programme!H17258,Programme!I17258,Programme!J17258)</f>
        <v>&lt;/ValeurCellule&gt;</v>
      </c>
    </row>
    <row r="17258" spans="1:1" x14ac:dyDescent="0.2">
      <c r="A17258" s="996" t="str">
        <f>CONCATENATE(Programme!D17259,Programme!E17259,Programme!F17259,Programme!G17259,Programme!H17259,Programme!I17259,Programme!J17259)</f>
        <v>&lt;ValeurCellule&gt;</v>
      </c>
    </row>
    <row r="17259" spans="1:1" x14ac:dyDescent="0.2">
      <c r="A17259" s="996" t="str">
        <f>CONCATENATE(Programme!D17260,Programme!E17260,Programme!F17260,Programme!G17260,Programme!H17260,Programme!I17260,Programme!J17260)</f>
        <v>&lt;cellule&gt;&lt;codeEdi&gt;1081&lt;/codeEdi&gt;&lt;/cellule&gt;</v>
      </c>
    </row>
    <row r="17260" spans="1:1" x14ac:dyDescent="0.2">
      <c r="A17260" s="996" t="str">
        <f>CONCATENATE(Programme!D17261,Programme!E17261,Programme!F17261,Programme!G17261,Programme!H17261,Programme!I17261,Programme!J17261)</f>
        <v>&lt;valeur&gt;&lt;/valeur&gt;</v>
      </c>
    </row>
    <row r="17261" spans="1:1" x14ac:dyDescent="0.2">
      <c r="A17261" s="996" t="str">
        <f>CONCATENATE(Programme!D17262,Programme!E17262,Programme!F17262,Programme!G17262,Programme!H17262,Programme!I17262,Programme!J17262)</f>
        <v>&lt;numeroLigne&gt;182&lt;/numeroLigne&gt;</v>
      </c>
    </row>
    <row r="17262" spans="1:1" x14ac:dyDescent="0.2">
      <c r="A17262" s="996" t="str">
        <f>CONCATENATE(Programme!D17263,Programme!E17263,Programme!F17263,Programme!G17263,Programme!H17263,Programme!I17263,Programme!J17263)</f>
        <v>&lt;/ValeurCellule&gt;</v>
      </c>
    </row>
    <row r="17263" spans="1:1" x14ac:dyDescent="0.2">
      <c r="A17263" s="996" t="str">
        <f>CONCATENATE(Programme!D17264,Programme!E17264,Programme!F17264,Programme!G17264,Programme!H17264,Programme!I17264,Programme!J17264)</f>
        <v>&lt;ValeurCellule&gt;</v>
      </c>
    </row>
    <row r="17264" spans="1:1" x14ac:dyDescent="0.2">
      <c r="A17264" s="996" t="str">
        <f>CONCATENATE(Programme!D17265,Programme!E17265,Programme!F17265,Programme!G17265,Programme!H17265,Programme!I17265,Programme!J17265)</f>
        <v>&lt;cellule&gt;&lt;codeEdi&gt;1082&lt;/codeEdi&gt;&lt;/cellule&gt;</v>
      </c>
    </row>
    <row r="17265" spans="1:1" x14ac:dyDescent="0.2">
      <c r="A17265" s="996" t="str">
        <f>CONCATENATE(Programme!D17266,Programme!E17266,Programme!F17266,Programme!G17266,Programme!H17266,Programme!I17266,Programme!J17266)</f>
        <v>&lt;valeur&gt;&lt;/valeur&gt;</v>
      </c>
    </row>
    <row r="17266" spans="1:1" x14ac:dyDescent="0.2">
      <c r="A17266" s="996" t="str">
        <f>CONCATENATE(Programme!D17267,Programme!E17267,Programme!F17267,Programme!G17267,Programme!H17267,Programme!I17267,Programme!J17267)</f>
        <v>&lt;numeroLigne&gt;182&lt;/numeroLigne&gt;</v>
      </c>
    </row>
    <row r="17267" spans="1:1" x14ac:dyDescent="0.2">
      <c r="A17267" s="996" t="str">
        <f>CONCATENATE(Programme!D17268,Programme!E17268,Programme!F17268,Programme!G17268,Programme!H17268,Programme!I17268,Programme!J17268)</f>
        <v>&lt;/ValeurCellule&gt;</v>
      </c>
    </row>
    <row r="17268" spans="1:1" x14ac:dyDescent="0.2">
      <c r="A17268" s="996" t="str">
        <f>CONCATENATE(Programme!D17269,Programme!E17269,Programme!F17269,Programme!G17269,Programme!H17269,Programme!I17269,Programme!J17269)</f>
        <v>&lt;ValeurCellule&gt;</v>
      </c>
    </row>
    <row r="17269" spans="1:1" x14ac:dyDescent="0.2">
      <c r="A17269" s="996" t="str">
        <f>CONCATENATE(Programme!D17270,Programme!E17270,Programme!F17270,Programme!G17270,Programme!H17270,Programme!I17270,Programme!J17270)</f>
        <v>&lt;cellule&gt;&lt;codeEdi&gt;1083&lt;/codeEdi&gt;&lt;/cellule&gt;</v>
      </c>
    </row>
    <row r="17270" spans="1:1" x14ac:dyDescent="0.2">
      <c r="A17270" s="996" t="str">
        <f>CONCATENATE(Programme!D17271,Programme!E17271,Programme!F17271,Programme!G17271,Programme!H17271,Programme!I17271,Programme!J17271)</f>
        <v>&lt;valeur&gt;&lt;/valeur&gt;</v>
      </c>
    </row>
    <row r="17271" spans="1:1" x14ac:dyDescent="0.2">
      <c r="A17271" s="996" t="str">
        <f>CONCATENATE(Programme!D17272,Programme!E17272,Programme!F17272,Programme!G17272,Programme!H17272,Programme!I17272,Programme!J17272)</f>
        <v>&lt;numeroLigne&gt;182&lt;/numeroLigne&gt;</v>
      </c>
    </row>
    <row r="17272" spans="1:1" x14ac:dyDescent="0.2">
      <c r="A17272" s="996" t="str">
        <f>CONCATENATE(Programme!D17273,Programme!E17273,Programme!F17273,Programme!G17273,Programme!H17273,Programme!I17273,Programme!J17273)</f>
        <v>&lt;/ValeurCellule&gt;</v>
      </c>
    </row>
    <row r="17273" spans="1:1" x14ac:dyDescent="0.2">
      <c r="A17273" s="996" t="str">
        <f>CONCATENATE(Programme!D17274,Programme!E17274,Programme!F17274,Programme!G17274,Programme!H17274,Programme!I17274,Programme!J17274)</f>
        <v>&lt;ValeurCellule&gt;</v>
      </c>
    </row>
    <row r="17274" spans="1:1" x14ac:dyDescent="0.2">
      <c r="A17274" s="996" t="str">
        <f>CONCATENATE(Programme!D17275,Programme!E17275,Programme!F17275,Programme!G17275,Programme!H17275,Programme!I17275,Programme!J17275)</f>
        <v>&lt;cellule&gt;&lt;codeEdi&gt;1084&lt;/codeEdi&gt;&lt;/cellule&gt;</v>
      </c>
    </row>
    <row r="17275" spans="1:1" x14ac:dyDescent="0.2">
      <c r="A17275" s="996" t="str">
        <f>CONCATENATE(Programme!D17276,Programme!E17276,Programme!F17276,Programme!G17276,Programme!H17276,Programme!I17276,Programme!J17276)</f>
        <v>&lt;valeur&gt;&lt;/valeur&gt;</v>
      </c>
    </row>
    <row r="17276" spans="1:1" x14ac:dyDescent="0.2">
      <c r="A17276" s="996" t="str">
        <f>CONCATENATE(Programme!D17277,Programme!E17277,Programme!F17277,Programme!G17277,Programme!H17277,Programme!I17277,Programme!J17277)</f>
        <v>&lt;numeroLigne&gt;182&lt;/numeroLigne&gt;</v>
      </c>
    </row>
    <row r="17277" spans="1:1" x14ac:dyDescent="0.2">
      <c r="A17277" s="996" t="str">
        <f>CONCATENATE(Programme!D17278,Programme!E17278,Programme!F17278,Programme!G17278,Programme!H17278,Programme!I17278,Programme!J17278)</f>
        <v>&lt;/ValeurCellule&gt;</v>
      </c>
    </row>
    <row r="17278" spans="1:1" x14ac:dyDescent="0.2">
      <c r="A17278" s="996" t="str">
        <f>CONCATENATE(Programme!D17279,Programme!E17279,Programme!F17279,Programme!G17279,Programme!H17279,Programme!I17279,Programme!J17279)</f>
        <v>&lt;ValeurCellule&gt;</v>
      </c>
    </row>
    <row r="17279" spans="1:1" x14ac:dyDescent="0.2">
      <c r="A17279" s="996" t="str">
        <f>CONCATENATE(Programme!D17280,Programme!E17280,Programme!F17280,Programme!G17280,Programme!H17280,Programme!I17280,Programme!J17280)</f>
        <v>&lt;cellule&gt;&lt;codeEdi&gt;1085&lt;/codeEdi&gt;&lt;/cellule&gt;</v>
      </c>
    </row>
    <row r="17280" spans="1:1" x14ac:dyDescent="0.2">
      <c r="A17280" s="996" t="str">
        <f>CONCATENATE(Programme!D17281,Programme!E17281,Programme!F17281,Programme!G17281,Programme!H17281,Programme!I17281,Programme!J17281)</f>
        <v>&lt;valeur&gt;&lt;/valeur&gt;</v>
      </c>
    </row>
    <row r="17281" spans="1:1" x14ac:dyDescent="0.2">
      <c r="A17281" s="996" t="str">
        <f>CONCATENATE(Programme!D17282,Programme!E17282,Programme!F17282,Programme!G17282,Programme!H17282,Programme!I17282,Programme!J17282)</f>
        <v>&lt;numeroLigne&gt;182&lt;/numeroLigne&gt;</v>
      </c>
    </row>
    <row r="17282" spans="1:1" x14ac:dyDescent="0.2">
      <c r="A17282" s="996" t="str">
        <f>CONCATENATE(Programme!D17283,Programme!E17283,Programme!F17283,Programme!G17283,Programme!H17283,Programme!I17283,Programme!J17283)</f>
        <v>&lt;/ValeurCellule&gt;</v>
      </c>
    </row>
    <row r="17283" spans="1:1" x14ac:dyDescent="0.2">
      <c r="A17283" s="996" t="str">
        <f>CONCATENATE(Programme!D17284,Programme!E17284,Programme!F17284,Programme!G17284,Programme!H17284,Programme!I17284,Programme!J17284)</f>
        <v>&lt;ValeurCellule&gt;</v>
      </c>
    </row>
    <row r="17284" spans="1:1" x14ac:dyDescent="0.2">
      <c r="A17284" s="996" t="str">
        <f>CONCATENATE(Programme!D17285,Programme!E17285,Programme!F17285,Programme!G17285,Programme!H17285,Programme!I17285,Programme!J17285)</f>
        <v>&lt;cellule&gt;&lt;codeEdi&gt;1086&lt;/codeEdi&gt;&lt;/cellule&gt;</v>
      </c>
    </row>
    <row r="17285" spans="1:1" x14ac:dyDescent="0.2">
      <c r="A17285" s="996" t="str">
        <f>CONCATENATE(Programme!D17286,Programme!E17286,Programme!F17286,Programme!G17286,Programme!H17286,Programme!I17286,Programme!J17286)</f>
        <v>&lt;valeur&gt;&lt;/valeur&gt;</v>
      </c>
    </row>
    <row r="17286" spans="1:1" x14ac:dyDescent="0.2">
      <c r="A17286" s="996" t="str">
        <f>CONCATENATE(Programme!D17287,Programme!E17287,Programme!F17287,Programme!G17287,Programme!H17287,Programme!I17287,Programme!J17287)</f>
        <v>&lt;numeroLigne&gt;182&lt;/numeroLigne&gt;</v>
      </c>
    </row>
    <row r="17287" spans="1:1" x14ac:dyDescent="0.2">
      <c r="A17287" s="996" t="str">
        <f>CONCATENATE(Programme!D17288,Programme!E17288,Programme!F17288,Programme!G17288,Programme!H17288,Programme!I17288,Programme!J17288)</f>
        <v>&lt;/ValeurCellule&gt;</v>
      </c>
    </row>
    <row r="17288" spans="1:1" x14ac:dyDescent="0.2">
      <c r="A17288" s="996" t="str">
        <f>CONCATENATE(Programme!D17289,Programme!E17289,Programme!F17289,Programme!G17289,Programme!H17289,Programme!I17289,Programme!J17289)</f>
        <v>&lt;ValeurCellule&gt;</v>
      </c>
    </row>
    <row r="17289" spans="1:1" x14ac:dyDescent="0.2">
      <c r="A17289" s="996" t="str">
        <f>CONCATENATE(Programme!D17290,Programme!E17290,Programme!F17290,Programme!G17290,Programme!H17290,Programme!I17290,Programme!J17290)</f>
        <v>&lt;cellule&gt;</v>
      </c>
    </row>
    <row r="17290" spans="1:1" x14ac:dyDescent="0.2">
      <c r="A17290" s="996" t="str">
        <f>CONCATENATE(Programme!D17291,Programme!E17291,Programme!F17291,Programme!G17291,Programme!H17291,Programme!I17291,Programme!J17291)</f>
        <v>&lt;codeEdi&gt;1088&lt;/codeEdi&gt;</v>
      </c>
    </row>
    <row r="17291" spans="1:1" x14ac:dyDescent="0.2">
      <c r="A17291" s="996" t="str">
        <f>CONCATENATE(Programme!D17292,Programme!E17292,Programme!F17292,Programme!G17292,Programme!H17292,Programme!I17292,Programme!J17292)</f>
        <v>&lt;/cellule&gt;</v>
      </c>
    </row>
    <row r="17292" spans="1:1" x14ac:dyDescent="0.2">
      <c r="A17292" s="996" t="str">
        <f>CONCATENATE(Programme!D17293,Programme!E17293,Programme!F17293,Programme!G17293,Programme!H17293,Programme!I17293,Programme!J17293)</f>
        <v>&lt;valeur&gt;0&lt;/valeur&gt;</v>
      </c>
    </row>
    <row r="17293" spans="1:1" x14ac:dyDescent="0.2">
      <c r="A17293" s="996" t="str">
        <f>CONCATENATE(Programme!D17294,Programme!E17294,Programme!F17294,Programme!G17294,Programme!H17294,Programme!I17294,Programme!J17294)</f>
        <v>&lt;/ValeurCellule&gt;</v>
      </c>
    </row>
    <row r="17294" spans="1:1" x14ac:dyDescent="0.2">
      <c r="A17294" s="996" t="str">
        <f>CONCATENATE(Programme!D17295,Programme!E17295,Programme!F17295,Programme!G17295,Programme!H17295,Programme!I17295,Programme!J17295)</f>
        <v>&lt;ValeurCellule&gt;</v>
      </c>
    </row>
    <row r="17295" spans="1:1" x14ac:dyDescent="0.2">
      <c r="A17295" s="996" t="str">
        <f>CONCATENATE(Programme!D17296,Programme!E17296,Programme!F17296,Programme!G17296,Programme!H17296,Programme!I17296,Programme!J17296)</f>
        <v>&lt;cellule&gt;</v>
      </c>
    </row>
    <row r="17296" spans="1:1" x14ac:dyDescent="0.2">
      <c r="A17296" s="996" t="str">
        <f>CONCATENATE(Programme!D17297,Programme!E17297,Programme!F17297,Programme!G17297,Programme!H17297,Programme!I17297,Programme!J17297)</f>
        <v>&lt;codeEdi&gt;1089&lt;/codeEdi&gt;</v>
      </c>
    </row>
    <row r="17297" spans="1:1" x14ac:dyDescent="0.2">
      <c r="A17297" s="996" t="str">
        <f>CONCATENATE(Programme!D17298,Programme!E17298,Programme!F17298,Programme!G17298,Programme!H17298,Programme!I17298,Programme!J17298)</f>
        <v>&lt;/cellule&gt;</v>
      </c>
    </row>
    <row r="17298" spans="1:1" x14ac:dyDescent="0.2">
      <c r="A17298" s="996" t="str">
        <f>CONCATENATE(Programme!D17299,Programme!E17299,Programme!F17299,Programme!G17299,Programme!H17299,Programme!I17299,Programme!J17299)</f>
        <v>&lt;valeur&gt;0&lt;/valeur&gt;</v>
      </c>
    </row>
    <row r="17299" spans="1:1" x14ac:dyDescent="0.2">
      <c r="A17299" s="996" t="str">
        <f>CONCATENATE(Programme!D17300,Programme!E17300,Programme!F17300,Programme!G17300,Programme!H17300,Programme!I17300,Programme!J17300)</f>
        <v>&lt;/ValeurCellule&gt;</v>
      </c>
    </row>
    <row r="17300" spans="1:1" x14ac:dyDescent="0.2">
      <c r="A17300" s="996" t="str">
        <f>CONCATENATE(Programme!D17301,Programme!E17301,Programme!F17301,Programme!G17301,Programme!H17301,Programme!I17301,Programme!J17301)</f>
        <v>&lt;ValeurCellule&gt;</v>
      </c>
    </row>
    <row r="17301" spans="1:1" x14ac:dyDescent="0.2">
      <c r="A17301" s="996" t="str">
        <f>CONCATENATE(Programme!D17302,Programme!E17302,Programme!F17302,Programme!G17302,Programme!H17302,Programme!I17302,Programme!J17302)</f>
        <v>&lt;cellule&gt;</v>
      </c>
    </row>
    <row r="17302" spans="1:1" x14ac:dyDescent="0.2">
      <c r="A17302" s="996" t="str">
        <f>CONCATENATE(Programme!D17303,Programme!E17303,Programme!F17303,Programme!G17303,Programme!H17303,Programme!I17303,Programme!J17303)</f>
        <v>&lt;codeEdi&gt;1090&lt;/codeEdi&gt;</v>
      </c>
    </row>
    <row r="17303" spans="1:1" x14ac:dyDescent="0.2">
      <c r="A17303" s="996" t="str">
        <f>CONCATENATE(Programme!D17304,Programme!E17304,Programme!F17304,Programme!G17304,Programme!H17304,Programme!I17304,Programme!J17304)</f>
        <v>&lt;/cellule&gt;</v>
      </c>
    </row>
    <row r="17304" spans="1:1" x14ac:dyDescent="0.2">
      <c r="A17304" s="996" t="str">
        <f>CONCATENATE(Programme!D17305,Programme!E17305,Programme!F17305,Programme!G17305,Programme!H17305,Programme!I17305,Programme!J17305)</f>
        <v>&lt;valeur&gt;0&lt;/valeur&gt;</v>
      </c>
    </row>
    <row r="17305" spans="1:1" x14ac:dyDescent="0.2">
      <c r="A17305" s="996" t="str">
        <f>CONCATENATE(Programme!D17306,Programme!E17306,Programme!F17306,Programme!G17306,Programme!H17306,Programme!I17306,Programme!J17306)</f>
        <v>&lt;/ValeurCellule&gt;</v>
      </c>
    </row>
    <row r="17306" spans="1:1" x14ac:dyDescent="0.2">
      <c r="A17306" s="996" t="str">
        <f>CONCATENATE(Programme!D17307,Programme!E17307,Programme!F17307,Programme!G17307,Programme!H17307,Programme!I17307,Programme!J17307)</f>
        <v>&lt;ValeurCellule&gt;</v>
      </c>
    </row>
    <row r="17307" spans="1:1" x14ac:dyDescent="0.2">
      <c r="A17307" s="996" t="str">
        <f>CONCATENATE(Programme!D17308,Programme!E17308,Programme!F17308,Programme!G17308,Programme!H17308,Programme!I17308,Programme!J17308)</f>
        <v>&lt;cellule&gt;</v>
      </c>
    </row>
    <row r="17308" spans="1:1" x14ac:dyDescent="0.2">
      <c r="A17308" s="996" t="str">
        <f>CONCATENATE(Programme!D17309,Programme!E17309,Programme!F17309,Programme!G17309,Programme!H17309,Programme!I17309,Programme!J17309)</f>
        <v>&lt;codeEdi&gt;1091&lt;/codeEdi&gt;</v>
      </c>
    </row>
    <row r="17309" spans="1:1" x14ac:dyDescent="0.2">
      <c r="A17309" s="996" t="str">
        <f>CONCATENATE(Programme!D17310,Programme!E17310,Programme!F17310,Programme!G17310,Programme!H17310,Programme!I17310,Programme!J17310)</f>
        <v>&lt;/cellule&gt;</v>
      </c>
    </row>
    <row r="17310" spans="1:1" x14ac:dyDescent="0.2">
      <c r="A17310" s="996" t="str">
        <f>CONCATENATE(Programme!D17311,Programme!E17311,Programme!F17311,Programme!G17311,Programme!H17311,Programme!I17311,Programme!J17311)</f>
        <v>&lt;valeur&gt;&lt;/valeur&gt;</v>
      </c>
    </row>
    <row r="17311" spans="1:1" x14ac:dyDescent="0.2">
      <c r="A17311" s="996" t="str">
        <f>CONCATENATE(Programme!D17312,Programme!E17312,Programme!F17312,Programme!G17312,Programme!H17312,Programme!I17312,Programme!J17312)</f>
        <v>&lt;/ValeurCellule&gt;</v>
      </c>
    </row>
    <row r="17312" spans="1:1" x14ac:dyDescent="0.2">
      <c r="A17312" s="996" t="str">
        <f>CONCATENATE(Programme!D17313,Programme!E17313,Programme!F17313,Programme!G17313,Programme!H17313,Programme!I17313,Programme!J17313)</f>
        <v>&lt;ValeurCellule&gt;</v>
      </c>
    </row>
    <row r="17313" spans="1:1" x14ac:dyDescent="0.2">
      <c r="A17313" s="996" t="str">
        <f>CONCATENATE(Programme!D17314,Programme!E17314,Programme!F17314,Programme!G17314,Programme!H17314,Programme!I17314,Programme!J17314)</f>
        <v>&lt;cellule&gt;</v>
      </c>
    </row>
    <row r="17314" spans="1:1" x14ac:dyDescent="0.2">
      <c r="A17314" s="996" t="str">
        <f>CONCATENATE(Programme!D17315,Programme!E17315,Programme!F17315,Programme!G17315,Programme!H17315,Programme!I17315,Programme!J17315)</f>
        <v>&lt;codeEdi&gt;1093&lt;/codeEdi&gt;</v>
      </c>
    </row>
    <row r="17315" spans="1:1" x14ac:dyDescent="0.2">
      <c r="A17315" s="996" t="str">
        <f>CONCATENATE(Programme!D17316,Programme!E17316,Programme!F17316,Programme!G17316,Programme!H17316,Programme!I17316,Programme!J17316)</f>
        <v>&lt;/cellule&gt;</v>
      </c>
    </row>
    <row r="17316" spans="1:1" x14ac:dyDescent="0.2">
      <c r="A17316" s="996" t="str">
        <f>CONCATENATE(Programme!D17317,Programme!E17317,Programme!F17317,Programme!G17317,Programme!H17317,Programme!I17317,Programme!J17317)</f>
        <v>&lt;valeur&gt;0&lt;/valeur&gt;</v>
      </c>
    </row>
    <row r="17317" spans="1:1" x14ac:dyDescent="0.2">
      <c r="A17317" s="996" t="str">
        <f>CONCATENATE(Programme!D17318,Programme!E17318,Programme!F17318,Programme!G17318,Programme!H17318,Programme!I17318,Programme!J17318)</f>
        <v>&lt;/ValeurCellule&gt;</v>
      </c>
    </row>
    <row r="17318" spans="1:1" x14ac:dyDescent="0.2">
      <c r="A17318" s="996" t="str">
        <f>CONCATENATE(Programme!D17319,Programme!E17319,Programme!F17319,Programme!G17319,Programme!H17319,Programme!I17319,Programme!J17319)</f>
        <v>&lt;ValeurCellule&gt;</v>
      </c>
    </row>
    <row r="17319" spans="1:1" x14ac:dyDescent="0.2">
      <c r="A17319" s="996" t="str">
        <f>CONCATENATE(Programme!D17320,Programme!E17320,Programme!F17320,Programme!G17320,Programme!H17320,Programme!I17320,Programme!J17320)</f>
        <v>&lt;cellule&gt;</v>
      </c>
    </row>
    <row r="17320" spans="1:1" x14ac:dyDescent="0.2">
      <c r="A17320" s="996" t="str">
        <f>CONCATENATE(Programme!D17321,Programme!E17321,Programme!F17321,Programme!G17321,Programme!H17321,Programme!I17321,Programme!J17321)</f>
        <v>&lt;codeEdi&gt;1094&lt;/codeEdi&gt;</v>
      </c>
    </row>
    <row r="17321" spans="1:1" x14ac:dyDescent="0.2">
      <c r="A17321" s="996" t="str">
        <f>CONCATENATE(Programme!D17322,Programme!E17322,Programme!F17322,Programme!G17322,Programme!H17322,Programme!I17322,Programme!J17322)</f>
        <v>&lt;/cellule&gt;</v>
      </c>
    </row>
    <row r="17322" spans="1:1" x14ac:dyDescent="0.2">
      <c r="A17322" s="996" t="str">
        <f>CONCATENATE(Programme!D17323,Programme!E17323,Programme!F17323,Programme!G17323,Programme!H17323,Programme!I17323,Programme!J17323)</f>
        <v>&lt;valeur&gt;0&lt;/valeur&gt;</v>
      </c>
    </row>
    <row r="17323" spans="1:1" x14ac:dyDescent="0.2">
      <c r="A17323" s="996" t="str">
        <f>CONCATENATE(Programme!D17324,Programme!E17324,Programme!F17324,Programme!G17324,Programme!H17324,Programme!I17324,Programme!J17324)</f>
        <v>&lt;/ValeurCellule&gt;</v>
      </c>
    </row>
    <row r="17324" spans="1:1" x14ac:dyDescent="0.2">
      <c r="A17324" s="996" t="str">
        <f>CONCATENATE(Programme!D17325,Programme!E17325,Programme!F17325,Programme!G17325,Programme!H17325,Programme!I17325,Programme!J17325)</f>
        <v>&lt;/groupeValeurs&gt;</v>
      </c>
    </row>
    <row r="17325" spans="1:1" x14ac:dyDescent="0.2">
      <c r="A17325" s="996" t="str">
        <f>CONCATENATE(Programme!D17326,Programme!E17326,Programme!F17326,Programme!G17326,Programme!H17326,Programme!I17326,Programme!J17326)</f>
        <v>&lt;extraFieldvaleurs&gt;</v>
      </c>
    </row>
    <row r="17326" spans="1:1" x14ac:dyDescent="0.2">
      <c r="A17326" s="996" t="str">
        <f>CONCATENATE(Programme!D17327,Programme!E17327,Programme!F17327,Programme!G17327,Programme!H17327,Programme!I17327,Programme!J17327)</f>
        <v>&lt;ExtraFieldValeur&gt;</v>
      </c>
    </row>
    <row r="17327" spans="1:1" x14ac:dyDescent="0.2">
      <c r="A17327" s="996" t="str">
        <f>CONCATENATE(Programme!D17328,Programme!E17328,Programme!F17328,Programme!G17328,Programme!H17328,Programme!I17328,Programme!J17328)</f>
        <v xml:space="preserve"> &lt;extraField&gt;</v>
      </c>
    </row>
    <row r="17328" spans="1:1" x14ac:dyDescent="0.2">
      <c r="A17328" s="996" t="str">
        <f>CONCATENATE(Programme!D17329,Programme!E17329,Programme!F17329,Programme!G17329,Programme!H17329,Programme!I17329,Programme!J17329)</f>
        <v>&lt;code&gt;22&lt;/code&gt;</v>
      </c>
    </row>
    <row r="17329" spans="1:1" x14ac:dyDescent="0.2">
      <c r="A17329" s="996" t="str">
        <f>CONCATENATE(Programme!D17330,Programme!E17330,Programme!F17330,Programme!G17330,Programme!H17330,Programme!I17330,Programme!J17330)</f>
        <v xml:space="preserve">&lt;/extraField&gt; </v>
      </c>
    </row>
    <row r="17330" spans="1:1" x14ac:dyDescent="0.2">
      <c r="A17330" s="996" t="str">
        <f>CONCATENATE(Programme!D17331,Programme!E17331,Programme!F17331,Programme!G17331,Programme!H17331,Programme!I17331,Programme!J17331)</f>
        <v>&lt;valeur&gt;0&lt;/valeur&gt;</v>
      </c>
    </row>
    <row r="17331" spans="1:1" x14ac:dyDescent="0.2">
      <c r="A17331" s="996" t="str">
        <f>CONCATENATE(Programme!D17332,Programme!E17332,Programme!F17332,Programme!G17332,Programme!H17332,Programme!I17332,Programme!J17332)</f>
        <v>&lt;/ExtraFieldValeur&gt;</v>
      </c>
    </row>
    <row r="17332" spans="1:1" x14ac:dyDescent="0.2">
      <c r="A17332" s="996" t="str">
        <f>CONCATENATE(Programme!D17333,Programme!E17333,Programme!F17333,Programme!G17333,Programme!H17333,Programme!I17333,Programme!J17333)</f>
        <v>&lt;ExtraFieldValeur&gt;</v>
      </c>
    </row>
    <row r="17333" spans="1:1" x14ac:dyDescent="0.2">
      <c r="A17333" s="996" t="str">
        <f>CONCATENATE(Programme!D17334,Programme!E17334,Programme!F17334,Programme!G17334,Programme!H17334,Programme!I17334,Programme!J17334)</f>
        <v xml:space="preserve"> &lt;extraField&gt;</v>
      </c>
    </row>
    <row r="17334" spans="1:1" x14ac:dyDescent="0.2">
      <c r="A17334" s="996" t="str">
        <f>CONCATENATE(Programme!D17335,Programme!E17335,Programme!F17335,Programme!G17335,Programme!H17335,Programme!I17335,Programme!J17335)</f>
        <v>&lt;code&gt;50&lt;/code&gt;</v>
      </c>
    </row>
    <row r="17335" spans="1:1" x14ac:dyDescent="0.2">
      <c r="A17335" s="996" t="str">
        <f>CONCATENATE(Programme!D17336,Programme!E17336,Programme!F17336,Programme!G17336,Programme!H17336,Programme!I17336,Programme!J17336)</f>
        <v xml:space="preserve">&lt;/extraField&gt; </v>
      </c>
    </row>
    <row r="17336" spans="1:1" x14ac:dyDescent="0.2">
      <c r="A17336" s="996" t="str">
        <f>CONCATENATE(Programme!D17337,Programme!E17337,Programme!F17337,Programme!G17337,Programme!H17337,Programme!I17337,Programme!J17337)</f>
        <v>&lt;valeur&gt;31/12/2015&lt;/valeur&gt;</v>
      </c>
    </row>
    <row r="17337" spans="1:1" x14ac:dyDescent="0.2">
      <c r="A17337" s="996" t="str">
        <f>CONCATENATE(Programme!D17338,Programme!E17338,Programme!F17338,Programme!G17338,Programme!H17338,Programme!I17338,Programme!J17338)</f>
        <v>&lt;/ExtraFieldValeur&gt;</v>
      </c>
    </row>
    <row r="17338" spans="1:1" x14ac:dyDescent="0.2">
      <c r="A17338" s="996" t="str">
        <f>CONCATENATE(Programme!D17339,Programme!E17339,Programme!F17339,Programme!G17339,Programme!H17339,Programme!I17339,Programme!J17339)</f>
        <v>&lt;ExtraFieldValeur&gt;</v>
      </c>
    </row>
    <row r="17339" spans="1:1" x14ac:dyDescent="0.2">
      <c r="A17339" s="996" t="str">
        <f>CONCATENATE(Programme!D17340,Programme!E17340,Programme!F17340,Programme!G17340,Programme!H17340,Programme!I17340,Programme!J17340)</f>
        <v xml:space="preserve"> &lt;extraField&gt;</v>
      </c>
    </row>
    <row r="17340" spans="1:1" x14ac:dyDescent="0.2">
      <c r="A17340" s="996" t="str">
        <f>CONCATENATE(Programme!D17341,Programme!E17341,Programme!F17341,Programme!G17341,Programme!H17341,Programme!I17341,Programme!J17341)</f>
        <v>&lt;code&gt;51&lt;/code&gt;</v>
      </c>
    </row>
    <row r="17341" spans="1:1" x14ac:dyDescent="0.2">
      <c r="A17341" s="996" t="str">
        <f>CONCATENATE(Programme!D17342,Programme!E17342,Programme!F17342,Programme!G17342,Programme!H17342,Programme!I17342,Programme!J17342)</f>
        <v xml:space="preserve">&lt;/extraField&gt; </v>
      </c>
    </row>
    <row r="17342" spans="1:1" x14ac:dyDescent="0.2">
      <c r="A17342" s="996" t="str">
        <f>CONCATENATE(Programme!D17343,Programme!E17343,Programme!F17343,Programme!G17343,Programme!H17343,Programme!I17343,Programme!J17343)</f>
        <v>&lt;valeur&gt;01/01/2015&lt;/valeur&gt;</v>
      </c>
    </row>
    <row r="17343" spans="1:1" x14ac:dyDescent="0.2">
      <c r="A17343" s="996" t="str">
        <f>CONCATENATE(Programme!D17344,Programme!E17344,Programme!F17344,Programme!G17344,Programme!H17344,Programme!I17344,Programme!J17344)</f>
        <v>&lt;/ExtraFieldValeur&gt;</v>
      </c>
    </row>
    <row r="17344" spans="1:1" x14ac:dyDescent="0.2">
      <c r="A17344" s="996" t="str">
        <f>CONCATENATE(Programme!D17345,Programme!E17345,Programme!F17345,Programme!G17345,Programme!H17345,Programme!I17345,Programme!J17345)</f>
        <v>&lt;ExtraFieldValeur&gt;</v>
      </c>
    </row>
    <row r="17345" spans="1:1" x14ac:dyDescent="0.2">
      <c r="A17345" s="996" t="str">
        <f>CONCATENATE(Programme!D17346,Programme!E17346,Programme!F17346,Programme!G17346,Programme!H17346,Programme!I17346,Programme!J17346)</f>
        <v xml:space="preserve"> &lt;extraField&gt;</v>
      </c>
    </row>
    <row r="17346" spans="1:1" x14ac:dyDescent="0.2">
      <c r="A17346" s="996" t="str">
        <f>CONCATENATE(Programme!D17347,Programme!E17347,Programme!F17347,Programme!G17347,Programme!H17347,Programme!I17347,Programme!J17347)</f>
        <v>&lt;code&gt;52&lt;/code&gt;</v>
      </c>
    </row>
    <row r="17347" spans="1:1" x14ac:dyDescent="0.2">
      <c r="A17347" s="996" t="str">
        <f>CONCATENATE(Programme!D17348,Programme!E17348,Programme!F17348,Programme!G17348,Programme!H17348,Programme!I17348,Programme!J17348)</f>
        <v xml:space="preserve">&lt;/extraField&gt; </v>
      </c>
    </row>
    <row r="17348" spans="1:1" x14ac:dyDescent="0.2">
      <c r="A17348" s="996" t="str">
        <f>CONCATENATE(Programme!D17349,Programme!E17349,Programme!F17349,Programme!G17349,Programme!H17349,Programme!I17349,Programme!J17349)</f>
        <v>&lt;valeur&gt;31/12/2015&lt;/valeur&gt;</v>
      </c>
    </row>
    <row r="17349" spans="1:1" x14ac:dyDescent="0.2">
      <c r="A17349" s="996" t="str">
        <f>CONCATENATE(Programme!D17350,Programme!E17350,Programme!F17350,Programme!G17350,Programme!H17350,Programme!I17350,Programme!J17350)</f>
        <v>&lt;/ExtraFieldValeur&gt;</v>
      </c>
    </row>
    <row r="17350" spans="1:1" x14ac:dyDescent="0.2">
      <c r="A17350" s="996" t="str">
        <f>CONCATENATE(Programme!D17351,Programme!E17351,Programme!F17351,Programme!G17351,Programme!H17351,Programme!I17351,Programme!J17351)</f>
        <v>&lt;/extraFieldvaleurs&gt;</v>
      </c>
    </row>
    <row r="17351" spans="1:1" x14ac:dyDescent="0.2">
      <c r="A17351" s="996" t="str">
        <f>CONCATENATE(Programme!D17352,Programme!E17352,Programme!F17352,Programme!G17352,Programme!H17352,Programme!I17352,Programme!J17352)</f>
        <v>&lt;/ValeursTableau&gt;</v>
      </c>
    </row>
    <row r="17352" spans="1:1" x14ac:dyDescent="0.2">
      <c r="A17352" s="996" t="str">
        <f>CONCATENATE(Programme!D17353,Programme!E17353,Programme!F17353,Programme!G17353,Programme!H17353,Programme!I17353,Programme!J17353)</f>
        <v>&lt;ValeursTableau&gt;</v>
      </c>
    </row>
    <row r="17353" spans="1:1" x14ac:dyDescent="0.2">
      <c r="A17353" s="996" t="str">
        <f>CONCATENATE(Programme!D17354,Programme!E17354,Programme!F17354,Programme!G17354,Programme!H17354,Programme!I17354,Programme!J17354)</f>
        <v>&lt;tableau&gt;&lt;id&gt;26&lt;/id&gt;&lt;/tableau&gt;</v>
      </c>
    </row>
    <row r="17354" spans="1:1" x14ac:dyDescent="0.2">
      <c r="A17354" s="996" t="str">
        <f>CONCATENATE(Programme!D17355,Programme!E17355,Programme!F17355,Programme!G17355,Programme!H17355,Programme!I17355,Programme!J17355)</f>
        <v>&lt;groupeValeurs&gt;</v>
      </c>
    </row>
    <row r="17355" spans="1:1" x14ac:dyDescent="0.2">
      <c r="A17355" s="996" t="str">
        <f>CONCATENATE(Programme!D17356,Programme!E17356,Programme!F17356,Programme!G17356,Programme!H17356,Programme!I17356,Programme!J17356)</f>
        <v>&lt;ValeurCellule&gt;</v>
      </c>
    </row>
    <row r="17356" spans="1:1" x14ac:dyDescent="0.2">
      <c r="A17356" s="996" t="str">
        <f>CONCATENATE(Programme!D17357,Programme!E17357,Programme!F17357,Programme!G17357,Programme!H17357,Programme!I17357,Programme!J17357)</f>
        <v>&lt;cellule&gt;</v>
      </c>
    </row>
    <row r="17357" spans="1:1" x14ac:dyDescent="0.2">
      <c r="A17357" s="996" t="str">
        <f>CONCATENATE(Programme!D17358,Programme!E17358,Programme!F17358,Programme!G17358,Programme!H17358,Programme!I17358,Programme!J17358)</f>
        <v>&lt;codeEdi&gt;1110&lt;/codeEdi&gt;</v>
      </c>
    </row>
    <row r="17358" spans="1:1" x14ac:dyDescent="0.2">
      <c r="A17358" s="996" t="str">
        <f>CONCATENATE(Programme!D17359,Programme!E17359,Programme!F17359,Programme!G17359,Programme!H17359,Programme!I17359,Programme!J17359)</f>
        <v>&lt;/cellule&gt;</v>
      </c>
    </row>
    <row r="17359" spans="1:1" x14ac:dyDescent="0.2">
      <c r="A17359" s="996" t="str">
        <f>CONCATENATE(Programme!D17360,Programme!E17360,Programme!F17360,Programme!G17360,Programme!H17360,Programme!I17360,Programme!J17360)</f>
        <v>&lt;valeur&gt;&lt;/valeur&gt;</v>
      </c>
    </row>
    <row r="17360" spans="1:1" x14ac:dyDescent="0.2">
      <c r="A17360" s="996" t="str">
        <f>CONCATENATE(Programme!D17361,Programme!E17361,Programme!F17361,Programme!G17361,Programme!H17361,Programme!I17361,Programme!J17361)</f>
        <v>&lt;/ValeurCellule&gt;</v>
      </c>
    </row>
    <row r="17361" spans="1:1" x14ac:dyDescent="0.2">
      <c r="A17361" s="996" t="str">
        <f>CONCATENATE(Programme!D17362,Programme!E17362,Programme!F17362,Programme!G17362,Programme!H17362,Programme!I17362,Programme!J17362)</f>
        <v>&lt;ValeurCellule&gt;</v>
      </c>
    </row>
    <row r="17362" spans="1:1" x14ac:dyDescent="0.2">
      <c r="A17362" s="996" t="str">
        <f>CONCATENATE(Programme!D17363,Programme!E17363,Programme!F17363,Programme!G17363,Programme!H17363,Programme!I17363,Programme!J17363)</f>
        <v>&lt;cellule&gt;</v>
      </c>
    </row>
    <row r="17363" spans="1:1" x14ac:dyDescent="0.2">
      <c r="A17363" s="996" t="str">
        <f>CONCATENATE(Programme!D17364,Programme!E17364,Programme!F17364,Programme!G17364,Programme!H17364,Programme!I17364,Programme!J17364)</f>
        <v>&lt;codeEdi&gt;1119&lt;/codeEdi&gt;</v>
      </c>
    </row>
    <row r="17364" spans="1:1" x14ac:dyDescent="0.2">
      <c r="A17364" s="996" t="str">
        <f>CONCATENATE(Programme!D17365,Programme!E17365,Programme!F17365,Programme!G17365,Programme!H17365,Programme!I17365,Programme!J17365)</f>
        <v>&lt;/cellule&gt;</v>
      </c>
    </row>
    <row r="17365" spans="1:1" x14ac:dyDescent="0.2">
      <c r="A17365" s="996" t="str">
        <f>CONCATENATE(Programme!D17366,Programme!E17366,Programme!F17366,Programme!G17366,Programme!H17366,Programme!I17366,Programme!J17366)</f>
        <v>&lt;valeur&gt;&lt;/valeur&gt;</v>
      </c>
    </row>
    <row r="17366" spans="1:1" x14ac:dyDescent="0.2">
      <c r="A17366" s="996" t="str">
        <f>CONCATENATE(Programme!D17367,Programme!E17367,Programme!F17367,Programme!G17367,Programme!H17367,Programme!I17367,Programme!J17367)</f>
        <v>&lt;/ValeurCellule&gt;</v>
      </c>
    </row>
    <row r="17367" spans="1:1" x14ac:dyDescent="0.2">
      <c r="A17367" s="996" t="str">
        <f>CONCATENATE(Programme!D17368,Programme!E17368,Programme!F17368,Programme!G17368,Programme!H17368,Programme!I17368,Programme!J17368)</f>
        <v>&lt;ValeurCellule&gt;</v>
      </c>
    </row>
    <row r="17368" spans="1:1" x14ac:dyDescent="0.2">
      <c r="A17368" s="996" t="str">
        <f>CONCATENATE(Programme!D17369,Programme!E17369,Programme!F17369,Programme!G17369,Programme!H17369,Programme!I17369,Programme!J17369)</f>
        <v>&lt;cellule&gt;</v>
      </c>
    </row>
    <row r="17369" spans="1:1" x14ac:dyDescent="0.2">
      <c r="A17369" s="996" t="str">
        <f>CONCATENATE(Programme!D17370,Programme!E17370,Programme!F17370,Programme!G17370,Programme!H17370,Programme!I17370,Programme!J17370)</f>
        <v>&lt;codeEdi&gt;1128&lt;/codeEdi&gt;</v>
      </c>
    </row>
    <row r="17370" spans="1:1" x14ac:dyDescent="0.2">
      <c r="A17370" s="996" t="str">
        <f>CONCATENATE(Programme!D17371,Programme!E17371,Programme!F17371,Programme!G17371,Programme!H17371,Programme!I17371,Programme!J17371)</f>
        <v>&lt;/cellule&gt;</v>
      </c>
    </row>
    <row r="17371" spans="1:1" x14ac:dyDescent="0.2">
      <c r="A17371" s="996" t="str">
        <f>CONCATENATE(Programme!D17372,Programme!E17372,Programme!F17372,Programme!G17372,Programme!H17372,Programme!I17372,Programme!J17372)</f>
        <v>&lt;valeur&gt;&lt;/valeur&gt;</v>
      </c>
    </row>
    <row r="17372" spans="1:1" x14ac:dyDescent="0.2">
      <c r="A17372" s="996" t="str">
        <f>CONCATENATE(Programme!D17373,Programme!E17373,Programme!F17373,Programme!G17373,Programme!H17373,Programme!I17373,Programme!J17373)</f>
        <v>&lt;/ValeurCellule&gt;</v>
      </c>
    </row>
    <row r="17373" spans="1:1" x14ac:dyDescent="0.2">
      <c r="A17373" s="996" t="str">
        <f>CONCATENATE(Programme!D17374,Programme!E17374,Programme!F17374,Programme!G17374,Programme!H17374,Programme!I17374,Programme!J17374)</f>
        <v>&lt;ValeurCellule&gt;</v>
      </c>
    </row>
    <row r="17374" spans="1:1" x14ac:dyDescent="0.2">
      <c r="A17374" s="996" t="str">
        <f>CONCATENATE(Programme!D17375,Programme!E17375,Programme!F17375,Programme!G17375,Programme!H17375,Programme!I17375,Programme!J17375)</f>
        <v>&lt;cellule&gt;</v>
      </c>
    </row>
    <row r="17375" spans="1:1" x14ac:dyDescent="0.2">
      <c r="A17375" s="996" t="str">
        <f>CONCATENATE(Programme!D17376,Programme!E17376,Programme!F17376,Programme!G17376,Programme!H17376,Programme!I17376,Programme!J17376)</f>
        <v>&lt;codeEdi&gt;1137&lt;/codeEdi&gt;</v>
      </c>
    </row>
    <row r="17376" spans="1:1" x14ac:dyDescent="0.2">
      <c r="A17376" s="996" t="str">
        <f>CONCATENATE(Programme!D17377,Programme!E17377,Programme!F17377,Programme!G17377,Programme!H17377,Programme!I17377,Programme!J17377)</f>
        <v>&lt;/cellule&gt;</v>
      </c>
    </row>
    <row r="17377" spans="1:1" x14ac:dyDescent="0.2">
      <c r="A17377" s="996" t="str">
        <f>CONCATENATE(Programme!D17378,Programme!E17378,Programme!F17378,Programme!G17378,Programme!H17378,Programme!I17378,Programme!J17378)</f>
        <v>&lt;valeur&gt;&lt;/valeur&gt;</v>
      </c>
    </row>
    <row r="17378" spans="1:1" x14ac:dyDescent="0.2">
      <c r="A17378" s="996" t="str">
        <f>CONCATENATE(Programme!D17379,Programme!E17379,Programme!F17379,Programme!G17379,Programme!H17379,Programme!I17379,Programme!J17379)</f>
        <v>&lt;/ValeurCellule&gt;</v>
      </c>
    </row>
    <row r="17379" spans="1:1" x14ac:dyDescent="0.2">
      <c r="A17379" s="996" t="str">
        <f>CONCATENATE(Programme!D17380,Programme!E17380,Programme!F17380,Programme!G17380,Programme!H17380,Programme!I17380,Programme!J17380)</f>
        <v>&lt;ValeurCellule&gt;</v>
      </c>
    </row>
    <row r="17380" spans="1:1" x14ac:dyDescent="0.2">
      <c r="A17380" s="996" t="str">
        <f>CONCATENATE(Programme!D17381,Programme!E17381,Programme!F17381,Programme!G17381,Programme!H17381,Programme!I17381,Programme!J17381)</f>
        <v>&lt;cellule&gt;</v>
      </c>
    </row>
    <row r="17381" spans="1:1" x14ac:dyDescent="0.2">
      <c r="A17381" s="996" t="str">
        <f>CONCATENATE(Programme!D17382,Programme!E17382,Programme!F17382,Programme!G17382,Programme!H17382,Programme!I17382,Programme!J17382)</f>
        <v>&lt;codeEdi&gt;1146&lt;/codeEdi&gt;</v>
      </c>
    </row>
    <row r="17382" spans="1:1" x14ac:dyDescent="0.2">
      <c r="A17382" s="996" t="str">
        <f>CONCATENATE(Programme!D17383,Programme!E17383,Programme!F17383,Programme!G17383,Programme!H17383,Programme!I17383,Programme!J17383)</f>
        <v>&lt;/cellule&gt;</v>
      </c>
    </row>
    <row r="17383" spans="1:1" x14ac:dyDescent="0.2">
      <c r="A17383" s="996" t="str">
        <f>CONCATENATE(Programme!D17384,Programme!E17384,Programme!F17384,Programme!G17384,Programme!H17384,Programme!I17384,Programme!J17384)</f>
        <v>&lt;valeur&gt;&lt;/valeur&gt;</v>
      </c>
    </row>
    <row r="17384" spans="1:1" x14ac:dyDescent="0.2">
      <c r="A17384" s="996" t="str">
        <f>CONCATENATE(Programme!D17385,Programme!E17385,Programme!F17385,Programme!G17385,Programme!H17385,Programme!I17385,Programme!J17385)</f>
        <v>&lt;/ValeurCellule&gt;</v>
      </c>
    </row>
    <row r="17385" spans="1:1" x14ac:dyDescent="0.2">
      <c r="A17385" s="996" t="str">
        <f>CONCATENATE(Programme!D17386,Programme!E17386,Programme!F17386,Programme!G17386,Programme!H17386,Programme!I17386,Programme!J17386)</f>
        <v>&lt;ValeurCellule&gt;</v>
      </c>
    </row>
    <row r="17386" spans="1:1" x14ac:dyDescent="0.2">
      <c r="A17386" s="996" t="str">
        <f>CONCATENATE(Programme!D17387,Programme!E17387,Programme!F17387,Programme!G17387,Programme!H17387,Programme!I17387,Programme!J17387)</f>
        <v>&lt;cellule&gt;</v>
      </c>
    </row>
    <row r="17387" spans="1:1" x14ac:dyDescent="0.2">
      <c r="A17387" s="996" t="str">
        <f>CONCATENATE(Programme!D17388,Programme!E17388,Programme!F17388,Programme!G17388,Programme!H17388,Programme!I17388,Programme!J17388)</f>
        <v>&lt;codeEdi&gt;1155&lt;/codeEdi&gt;</v>
      </c>
    </row>
    <row r="17388" spans="1:1" x14ac:dyDescent="0.2">
      <c r="A17388" s="996" t="str">
        <f>CONCATENATE(Programme!D17389,Programme!E17389,Programme!F17389,Programme!G17389,Programme!H17389,Programme!I17389,Programme!J17389)</f>
        <v>&lt;/cellule&gt;</v>
      </c>
    </row>
    <row r="17389" spans="1:1" x14ac:dyDescent="0.2">
      <c r="A17389" s="996" t="str">
        <f>CONCATENATE(Programme!D17390,Programme!E17390,Programme!F17390,Programme!G17390,Programme!H17390,Programme!I17390,Programme!J17390)</f>
        <v>&lt;valeur&gt;&lt;/valeur&gt;</v>
      </c>
    </row>
    <row r="17390" spans="1:1" x14ac:dyDescent="0.2">
      <c r="A17390" s="996" t="str">
        <f>CONCATENATE(Programme!D17391,Programme!E17391,Programme!F17391,Programme!G17391,Programme!H17391,Programme!I17391,Programme!J17391)</f>
        <v>&lt;/ValeurCellule&gt;</v>
      </c>
    </row>
    <row r="17391" spans="1:1" x14ac:dyDescent="0.2">
      <c r="A17391" s="996" t="str">
        <f>CONCATENATE(Programme!D17392,Programme!E17392,Programme!F17392,Programme!G17392,Programme!H17392,Programme!I17392,Programme!J17392)</f>
        <v>&lt;ValeurCellule&gt;</v>
      </c>
    </row>
    <row r="17392" spans="1:1" x14ac:dyDescent="0.2">
      <c r="A17392" s="996" t="str">
        <f>CONCATENATE(Programme!D17393,Programme!E17393,Programme!F17393,Programme!G17393,Programme!H17393,Programme!I17393,Programme!J17393)</f>
        <v>&lt;cellule&gt;</v>
      </c>
    </row>
    <row r="17393" spans="1:1" x14ac:dyDescent="0.2">
      <c r="A17393" s="996" t="str">
        <f>CONCATENATE(Programme!D17394,Programme!E17394,Programme!F17394,Programme!G17394,Programme!H17394,Programme!I17394,Programme!J17394)</f>
        <v>&lt;codeEdi&gt;1164&lt;/codeEdi&gt;</v>
      </c>
    </row>
    <row r="17394" spans="1:1" x14ac:dyDescent="0.2">
      <c r="A17394" s="996" t="str">
        <f>CONCATENATE(Programme!D17395,Programme!E17395,Programme!F17395,Programme!G17395,Programme!H17395,Programme!I17395,Programme!J17395)</f>
        <v>&lt;/cellule&gt;</v>
      </c>
    </row>
    <row r="17395" spans="1:1" x14ac:dyDescent="0.2">
      <c r="A17395" s="996" t="str">
        <f>CONCATENATE(Programme!D17396,Programme!E17396,Programme!F17396,Programme!G17396,Programme!H17396,Programme!I17396,Programme!J17396)</f>
        <v>&lt;valeur&gt;&lt;/valeur&gt;</v>
      </c>
    </row>
    <row r="17396" spans="1:1" x14ac:dyDescent="0.2">
      <c r="A17396" s="996" t="str">
        <f>CONCATENATE(Programme!D17397,Programme!E17397,Programme!F17397,Programme!G17397,Programme!H17397,Programme!I17397,Programme!J17397)</f>
        <v>&lt;/ValeurCellule&gt;</v>
      </c>
    </row>
    <row r="17397" spans="1:1" x14ac:dyDescent="0.2">
      <c r="A17397" s="996" t="str">
        <f>CONCATENATE(Programme!D17398,Programme!E17398,Programme!F17398,Programme!G17398,Programme!H17398,Programme!I17398,Programme!J17398)</f>
        <v>&lt;ValeurCellule&gt;</v>
      </c>
    </row>
    <row r="17398" spans="1:1" x14ac:dyDescent="0.2">
      <c r="A17398" s="996" t="str">
        <f>CONCATENATE(Programme!D17399,Programme!E17399,Programme!F17399,Programme!G17399,Programme!H17399,Programme!I17399,Programme!J17399)</f>
        <v>&lt;cellule&gt;</v>
      </c>
    </row>
    <row r="17399" spans="1:1" x14ac:dyDescent="0.2">
      <c r="A17399" s="996" t="str">
        <f>CONCATENATE(Programme!D17400,Programme!E17400,Programme!F17400,Programme!G17400,Programme!H17400,Programme!I17400,Programme!J17400)</f>
        <v>&lt;codeEdi&gt;1173&lt;/codeEdi&gt;</v>
      </c>
    </row>
    <row r="17400" spans="1:1" x14ac:dyDescent="0.2">
      <c r="A17400" s="996" t="str">
        <f>CONCATENATE(Programme!D17401,Programme!E17401,Programme!F17401,Programme!G17401,Programme!H17401,Programme!I17401,Programme!J17401)</f>
        <v>&lt;/cellule&gt;</v>
      </c>
    </row>
    <row r="17401" spans="1:1" x14ac:dyDescent="0.2">
      <c r="A17401" s="996" t="str">
        <f>CONCATENATE(Programme!D17402,Programme!E17402,Programme!F17402,Programme!G17402,Programme!H17402,Programme!I17402,Programme!J17402)</f>
        <v>&lt;valeur&gt;&lt;/valeur&gt;</v>
      </c>
    </row>
    <row r="17402" spans="1:1" x14ac:dyDescent="0.2">
      <c r="A17402" s="996" t="str">
        <f>CONCATENATE(Programme!D17403,Programme!E17403,Programme!F17403,Programme!G17403,Programme!H17403,Programme!I17403,Programme!J17403)</f>
        <v>&lt;/ValeurCellule&gt;</v>
      </c>
    </row>
    <row r="17403" spans="1:1" x14ac:dyDescent="0.2">
      <c r="A17403" s="996" t="str">
        <f>CONCATENATE(Programme!D17404,Programme!E17404,Programme!F17404,Programme!G17404,Programme!H17404,Programme!I17404,Programme!J17404)</f>
        <v>&lt;ValeurCellule&gt;</v>
      </c>
    </row>
    <row r="17404" spans="1:1" x14ac:dyDescent="0.2">
      <c r="A17404" s="996" t="str">
        <f>CONCATENATE(Programme!D17405,Programme!E17405,Programme!F17405,Programme!G17405,Programme!H17405,Programme!I17405,Programme!J17405)</f>
        <v>&lt;cellule&gt;</v>
      </c>
    </row>
    <row r="17405" spans="1:1" x14ac:dyDescent="0.2">
      <c r="A17405" s="996" t="str">
        <f>CONCATENATE(Programme!D17406,Programme!E17406,Programme!F17406,Programme!G17406,Programme!H17406,Programme!I17406,Programme!J17406)</f>
        <v>&lt;codeEdi&gt;1182&lt;/codeEdi&gt;</v>
      </c>
    </row>
    <row r="17406" spans="1:1" x14ac:dyDescent="0.2">
      <c r="A17406" s="996" t="str">
        <f>CONCATENATE(Programme!D17407,Programme!E17407,Programme!F17407,Programme!G17407,Programme!H17407,Programme!I17407,Programme!J17407)</f>
        <v>&lt;/cellule&gt;</v>
      </c>
    </row>
    <row r="17407" spans="1:1" x14ac:dyDescent="0.2">
      <c r="A17407" s="996" t="str">
        <f>CONCATENATE(Programme!D17408,Programme!E17408,Programme!F17408,Programme!G17408,Programme!H17408,Programme!I17408,Programme!J17408)</f>
        <v>&lt;valeur&gt;&lt;/valeur&gt;</v>
      </c>
    </row>
    <row r="17408" spans="1:1" x14ac:dyDescent="0.2">
      <c r="A17408" s="996" t="str">
        <f>CONCATENATE(Programme!D17409,Programme!E17409,Programme!F17409,Programme!G17409,Programme!H17409,Programme!I17409,Programme!J17409)</f>
        <v>&lt;/ValeurCellule&gt;</v>
      </c>
    </row>
    <row r="17409" spans="1:1" x14ac:dyDescent="0.2">
      <c r="A17409" s="996" t="str">
        <f>CONCATENATE(Programme!D17410,Programme!E17410,Programme!F17410,Programme!G17410,Programme!H17410,Programme!I17410,Programme!J17410)</f>
        <v>&lt;ValeurCellule&gt;</v>
      </c>
    </row>
    <row r="17410" spans="1:1" x14ac:dyDescent="0.2">
      <c r="A17410" s="996" t="str">
        <f>CONCATENATE(Programme!D17411,Programme!E17411,Programme!F17411,Programme!G17411,Programme!H17411,Programme!I17411,Programme!J17411)</f>
        <v>&lt;cellule&gt;</v>
      </c>
    </row>
    <row r="17411" spans="1:1" x14ac:dyDescent="0.2">
      <c r="A17411" s="996" t="str">
        <f>CONCATENATE(Programme!D17412,Programme!E17412,Programme!F17412,Programme!G17412,Programme!H17412,Programme!I17412,Programme!J17412)</f>
        <v>&lt;codeEdi&gt;1191&lt;/codeEdi&gt;</v>
      </c>
    </row>
    <row r="17412" spans="1:1" x14ac:dyDescent="0.2">
      <c r="A17412" s="996" t="str">
        <f>CONCATENATE(Programme!D17413,Programme!E17413,Programme!F17413,Programme!G17413,Programme!H17413,Programme!I17413,Programme!J17413)</f>
        <v>&lt;/cellule&gt;</v>
      </c>
    </row>
    <row r="17413" spans="1:1" x14ac:dyDescent="0.2">
      <c r="A17413" s="996" t="str">
        <f>CONCATENATE(Programme!D17414,Programme!E17414,Programme!F17414,Programme!G17414,Programme!H17414,Programme!I17414,Programme!J17414)</f>
        <v>&lt;valeur&gt;&lt;/valeur&gt;</v>
      </c>
    </row>
    <row r="17414" spans="1:1" x14ac:dyDescent="0.2">
      <c r="A17414" s="996" t="str">
        <f>CONCATENATE(Programme!D17415,Programme!E17415,Programme!F17415,Programme!G17415,Programme!H17415,Programme!I17415,Programme!J17415)</f>
        <v>&lt;/ValeurCellule&gt;</v>
      </c>
    </row>
    <row r="17415" spans="1:1" x14ac:dyDescent="0.2">
      <c r="A17415" s="996" t="str">
        <f>CONCATENATE(Programme!D17416,Programme!E17416,Programme!F17416,Programme!G17416,Programme!H17416,Programme!I17416,Programme!J17416)</f>
        <v>&lt;ValeurCellule&gt;</v>
      </c>
    </row>
    <row r="17416" spans="1:1" x14ac:dyDescent="0.2">
      <c r="A17416" s="996" t="str">
        <f>CONCATENATE(Programme!D17417,Programme!E17417,Programme!F17417,Programme!G17417,Programme!H17417,Programme!I17417,Programme!J17417)</f>
        <v>&lt;cellule&gt;</v>
      </c>
    </row>
    <row r="17417" spans="1:1" x14ac:dyDescent="0.2">
      <c r="A17417" s="996" t="str">
        <f>CONCATENATE(Programme!D17418,Programme!E17418,Programme!F17418,Programme!G17418,Programme!H17418,Programme!I17418,Programme!J17418)</f>
        <v>&lt;codeEdi&gt;1200&lt;/codeEdi&gt;</v>
      </c>
    </row>
    <row r="17418" spans="1:1" x14ac:dyDescent="0.2">
      <c r="A17418" s="996" t="str">
        <f>CONCATENATE(Programme!D17419,Programme!E17419,Programme!F17419,Programme!G17419,Programme!H17419,Programme!I17419,Programme!J17419)</f>
        <v>&lt;/cellule&gt;</v>
      </c>
    </row>
    <row r="17419" spans="1:1" x14ac:dyDescent="0.2">
      <c r="A17419" s="996" t="str">
        <f>CONCATENATE(Programme!D17420,Programme!E17420,Programme!F17420,Programme!G17420,Programme!H17420,Programme!I17420,Programme!J17420)</f>
        <v>&lt;valeur&gt;0&lt;/valeur&gt;</v>
      </c>
    </row>
    <row r="17420" spans="1:1" x14ac:dyDescent="0.2">
      <c r="A17420" s="996" t="str">
        <f>CONCATENATE(Programme!D17421,Programme!E17421,Programme!F17421,Programme!G17421,Programme!H17421,Programme!I17421,Programme!J17421)</f>
        <v>&lt;/ValeurCellule&gt;</v>
      </c>
    </row>
    <row r="17421" spans="1:1" x14ac:dyDescent="0.2">
      <c r="A17421" s="996" t="str">
        <f>CONCATENATE(Programme!D17422,Programme!E17422,Programme!F17422,Programme!G17422,Programme!H17422,Programme!I17422,Programme!J17422)</f>
        <v>&lt;ValeurCellule&gt;</v>
      </c>
    </row>
    <row r="17422" spans="1:1" x14ac:dyDescent="0.2">
      <c r="A17422" s="996" t="str">
        <f>CONCATENATE(Programme!D17423,Programme!E17423,Programme!F17423,Programme!G17423,Programme!H17423,Programme!I17423,Programme!J17423)</f>
        <v>&lt;cellule&gt;</v>
      </c>
    </row>
    <row r="17423" spans="1:1" x14ac:dyDescent="0.2">
      <c r="A17423" s="996" t="str">
        <f>CONCATENATE(Programme!D17424,Programme!E17424,Programme!F17424,Programme!G17424,Programme!H17424,Programme!I17424,Programme!J17424)</f>
        <v>&lt;codeEdi&gt;1111&lt;/codeEdi&gt;</v>
      </c>
    </row>
    <row r="17424" spans="1:1" x14ac:dyDescent="0.2">
      <c r="A17424" s="996" t="str">
        <f>CONCATENATE(Programme!D17425,Programme!E17425,Programme!F17425,Programme!G17425,Programme!H17425,Programme!I17425,Programme!J17425)</f>
        <v>&lt;/cellule&gt;</v>
      </c>
    </row>
    <row r="17425" spans="1:1" x14ac:dyDescent="0.2">
      <c r="A17425" s="996" t="str">
        <f>CONCATENATE(Programme!D17426,Programme!E17426,Programme!F17426,Programme!G17426,Programme!H17426,Programme!I17426,Programme!J17426)</f>
        <v>&lt;valeur&gt;&lt;/valeur&gt;</v>
      </c>
    </row>
    <row r="17426" spans="1:1" x14ac:dyDescent="0.2">
      <c r="A17426" s="996" t="str">
        <f>CONCATENATE(Programme!D17427,Programme!E17427,Programme!F17427,Programme!G17427,Programme!H17427,Programme!I17427,Programme!J17427)</f>
        <v>&lt;/ValeurCellule&gt;</v>
      </c>
    </row>
    <row r="17427" spans="1:1" x14ac:dyDescent="0.2">
      <c r="A17427" s="996" t="str">
        <f>CONCATENATE(Programme!D17428,Programme!E17428,Programme!F17428,Programme!G17428,Programme!H17428,Programme!I17428,Programme!J17428)</f>
        <v>&lt;ValeurCellule&gt;</v>
      </c>
    </row>
    <row r="17428" spans="1:1" x14ac:dyDescent="0.2">
      <c r="A17428" s="996" t="str">
        <f>CONCATENATE(Programme!D17429,Programme!E17429,Programme!F17429,Programme!G17429,Programme!H17429,Programme!I17429,Programme!J17429)</f>
        <v>&lt;cellule&gt;</v>
      </c>
    </row>
    <row r="17429" spans="1:1" x14ac:dyDescent="0.2">
      <c r="A17429" s="996" t="str">
        <f>CONCATENATE(Programme!D17430,Programme!E17430,Programme!F17430,Programme!G17430,Programme!H17430,Programme!I17430,Programme!J17430)</f>
        <v>&lt;codeEdi&gt;1120&lt;/codeEdi&gt;</v>
      </c>
    </row>
    <row r="17430" spans="1:1" x14ac:dyDescent="0.2">
      <c r="A17430" s="996" t="str">
        <f>CONCATENATE(Programme!D17431,Programme!E17431,Programme!F17431,Programme!G17431,Programme!H17431,Programme!I17431,Programme!J17431)</f>
        <v>&lt;/cellule&gt;</v>
      </c>
    </row>
    <row r="17431" spans="1:1" x14ac:dyDescent="0.2">
      <c r="A17431" s="996" t="str">
        <f>CONCATENATE(Programme!D17432,Programme!E17432,Programme!F17432,Programme!G17432,Programme!H17432,Programme!I17432,Programme!J17432)</f>
        <v>&lt;valeur&gt;&lt;/valeur&gt;</v>
      </c>
    </row>
    <row r="17432" spans="1:1" x14ac:dyDescent="0.2">
      <c r="A17432" s="996" t="str">
        <f>CONCATENATE(Programme!D17433,Programme!E17433,Programme!F17433,Programme!G17433,Programme!H17433,Programme!I17433,Programme!J17433)</f>
        <v>&lt;/ValeurCellule&gt;</v>
      </c>
    </row>
    <row r="17433" spans="1:1" x14ac:dyDescent="0.2">
      <c r="A17433" s="996" t="str">
        <f>CONCATENATE(Programme!D17434,Programme!E17434,Programme!F17434,Programme!G17434,Programme!H17434,Programme!I17434,Programme!J17434)</f>
        <v>&lt;ValeurCellule&gt;</v>
      </c>
    </row>
    <row r="17434" spans="1:1" x14ac:dyDescent="0.2">
      <c r="A17434" s="996" t="str">
        <f>CONCATENATE(Programme!D17435,Programme!E17435,Programme!F17435,Programme!G17435,Programme!H17435,Programme!I17435,Programme!J17435)</f>
        <v>&lt;cellule&gt;</v>
      </c>
    </row>
    <row r="17435" spans="1:1" x14ac:dyDescent="0.2">
      <c r="A17435" s="996" t="str">
        <f>CONCATENATE(Programme!D17436,Programme!E17436,Programme!F17436,Programme!G17436,Programme!H17436,Programme!I17436,Programme!J17436)</f>
        <v>&lt;codeEdi&gt;1129&lt;/codeEdi&gt;</v>
      </c>
    </row>
    <row r="17436" spans="1:1" x14ac:dyDescent="0.2">
      <c r="A17436" s="996" t="str">
        <f>CONCATENATE(Programme!D17437,Programme!E17437,Programme!F17437,Programme!G17437,Programme!H17437,Programme!I17437,Programme!J17437)</f>
        <v>&lt;/cellule&gt;</v>
      </c>
    </row>
    <row r="17437" spans="1:1" x14ac:dyDescent="0.2">
      <c r="A17437" s="996" t="str">
        <f>CONCATENATE(Programme!D17438,Programme!E17438,Programme!F17438,Programme!G17438,Programme!H17438,Programme!I17438,Programme!J17438)</f>
        <v>&lt;valeur&gt;&lt;/valeur&gt;</v>
      </c>
    </row>
    <row r="17438" spans="1:1" x14ac:dyDescent="0.2">
      <c r="A17438" s="996" t="str">
        <f>CONCATENATE(Programme!D17439,Programme!E17439,Programme!F17439,Programme!G17439,Programme!H17439,Programme!I17439,Programme!J17439)</f>
        <v>&lt;/ValeurCellule&gt;</v>
      </c>
    </row>
    <row r="17439" spans="1:1" x14ac:dyDescent="0.2">
      <c r="A17439" s="996" t="str">
        <f>CONCATENATE(Programme!D17440,Programme!E17440,Programme!F17440,Programme!G17440,Programme!H17440,Programme!I17440,Programme!J17440)</f>
        <v>&lt;ValeurCellule&gt;</v>
      </c>
    </row>
    <row r="17440" spans="1:1" x14ac:dyDescent="0.2">
      <c r="A17440" s="996" t="str">
        <f>CONCATENATE(Programme!D17441,Programme!E17441,Programme!F17441,Programme!G17441,Programme!H17441,Programme!I17441,Programme!J17441)</f>
        <v>&lt;cellule&gt;</v>
      </c>
    </row>
    <row r="17441" spans="1:1" x14ac:dyDescent="0.2">
      <c r="A17441" s="996" t="str">
        <f>CONCATENATE(Programme!D17442,Programme!E17442,Programme!F17442,Programme!G17442,Programme!H17442,Programme!I17442,Programme!J17442)</f>
        <v>&lt;codeEdi&gt;1138&lt;/codeEdi&gt;</v>
      </c>
    </row>
    <row r="17442" spans="1:1" x14ac:dyDescent="0.2">
      <c r="A17442" s="996" t="str">
        <f>CONCATENATE(Programme!D17443,Programme!E17443,Programme!F17443,Programme!G17443,Programme!H17443,Programme!I17443,Programme!J17443)</f>
        <v>&lt;/cellule&gt;</v>
      </c>
    </row>
    <row r="17443" spans="1:1" x14ac:dyDescent="0.2">
      <c r="A17443" s="996" t="str">
        <f>CONCATENATE(Programme!D17444,Programme!E17444,Programme!F17444,Programme!G17444,Programme!H17444,Programme!I17444,Programme!J17444)</f>
        <v>&lt;valeur&gt;&lt;/valeur&gt;</v>
      </c>
    </row>
    <row r="17444" spans="1:1" x14ac:dyDescent="0.2">
      <c r="A17444" s="996" t="str">
        <f>CONCATENATE(Programme!D17445,Programme!E17445,Programme!F17445,Programme!G17445,Programme!H17445,Programme!I17445,Programme!J17445)</f>
        <v>&lt;/ValeurCellule&gt;</v>
      </c>
    </row>
    <row r="17445" spans="1:1" x14ac:dyDescent="0.2">
      <c r="A17445" s="996" t="str">
        <f>CONCATENATE(Programme!D17446,Programme!E17446,Programme!F17446,Programme!G17446,Programme!H17446,Programme!I17446,Programme!J17446)</f>
        <v>&lt;ValeurCellule&gt;</v>
      </c>
    </row>
    <row r="17446" spans="1:1" x14ac:dyDescent="0.2">
      <c r="A17446" s="996" t="str">
        <f>CONCATENATE(Programme!D17447,Programme!E17447,Programme!F17447,Programme!G17447,Programme!H17447,Programme!I17447,Programme!J17447)</f>
        <v>&lt;cellule&gt;</v>
      </c>
    </row>
    <row r="17447" spans="1:1" x14ac:dyDescent="0.2">
      <c r="A17447" s="996" t="str">
        <f>CONCATENATE(Programme!D17448,Programme!E17448,Programme!F17448,Programme!G17448,Programme!H17448,Programme!I17448,Programme!J17448)</f>
        <v>&lt;codeEdi&gt;1147&lt;/codeEdi&gt;</v>
      </c>
    </row>
    <row r="17448" spans="1:1" x14ac:dyDescent="0.2">
      <c r="A17448" s="996" t="str">
        <f>CONCATENATE(Programme!D17449,Programme!E17449,Programme!F17449,Programme!G17449,Programme!H17449,Programme!I17449,Programme!J17449)</f>
        <v>&lt;/cellule&gt;</v>
      </c>
    </row>
    <row r="17449" spans="1:1" x14ac:dyDescent="0.2">
      <c r="A17449" s="996" t="str">
        <f>CONCATENATE(Programme!D17450,Programme!E17450,Programme!F17450,Programme!G17450,Programme!H17450,Programme!I17450,Programme!J17450)</f>
        <v>&lt;valeur&gt;&lt;/valeur&gt;</v>
      </c>
    </row>
    <row r="17450" spans="1:1" x14ac:dyDescent="0.2">
      <c r="A17450" s="996" t="str">
        <f>CONCATENATE(Programme!D17451,Programme!E17451,Programme!F17451,Programme!G17451,Programme!H17451,Programme!I17451,Programme!J17451)</f>
        <v>&lt;/ValeurCellule&gt;</v>
      </c>
    </row>
    <row r="17451" spans="1:1" x14ac:dyDescent="0.2">
      <c r="A17451" s="996" t="str">
        <f>CONCATENATE(Programme!D17452,Programme!E17452,Programme!F17452,Programme!G17452,Programme!H17452,Programme!I17452,Programme!J17452)</f>
        <v>&lt;ValeurCellule&gt;</v>
      </c>
    </row>
    <row r="17452" spans="1:1" x14ac:dyDescent="0.2">
      <c r="A17452" s="996" t="str">
        <f>CONCATENATE(Programme!D17453,Programme!E17453,Programme!F17453,Programme!G17453,Programme!H17453,Programme!I17453,Programme!J17453)</f>
        <v>&lt;cellule&gt;</v>
      </c>
    </row>
    <row r="17453" spans="1:1" x14ac:dyDescent="0.2">
      <c r="A17453" s="996" t="str">
        <f>CONCATENATE(Programme!D17454,Programme!E17454,Programme!F17454,Programme!G17454,Programme!H17454,Programme!I17454,Programme!J17454)</f>
        <v>&lt;codeEdi&gt;1156&lt;/codeEdi&gt;</v>
      </c>
    </row>
    <row r="17454" spans="1:1" x14ac:dyDescent="0.2">
      <c r="A17454" s="996" t="str">
        <f>CONCATENATE(Programme!D17455,Programme!E17455,Programme!F17455,Programme!G17455,Programme!H17455,Programme!I17455,Programme!J17455)</f>
        <v>&lt;/cellule&gt;</v>
      </c>
    </row>
    <row r="17455" spans="1:1" x14ac:dyDescent="0.2">
      <c r="A17455" s="996" t="str">
        <f>CONCATENATE(Programme!D17456,Programme!E17456,Programme!F17456,Programme!G17456,Programme!H17456,Programme!I17456,Programme!J17456)</f>
        <v>&lt;valeur&gt;&lt;/valeur&gt;</v>
      </c>
    </row>
    <row r="17456" spans="1:1" x14ac:dyDescent="0.2">
      <c r="A17456" s="996" t="str">
        <f>CONCATENATE(Programme!D17457,Programme!E17457,Programme!F17457,Programme!G17457,Programme!H17457,Programme!I17457,Programme!J17457)</f>
        <v>&lt;/ValeurCellule&gt;</v>
      </c>
    </row>
    <row r="17457" spans="1:1" x14ac:dyDescent="0.2">
      <c r="A17457" s="996" t="str">
        <f>CONCATENATE(Programme!D17458,Programme!E17458,Programme!F17458,Programme!G17458,Programme!H17458,Programme!I17458,Programme!J17458)</f>
        <v>&lt;ValeurCellule&gt;</v>
      </c>
    </row>
    <row r="17458" spans="1:1" x14ac:dyDescent="0.2">
      <c r="A17458" s="996" t="str">
        <f>CONCATENATE(Programme!D17459,Programme!E17459,Programme!F17459,Programme!G17459,Programme!H17459,Programme!I17459,Programme!J17459)</f>
        <v>&lt;cellule&gt;</v>
      </c>
    </row>
    <row r="17459" spans="1:1" x14ac:dyDescent="0.2">
      <c r="A17459" s="996" t="str">
        <f>CONCATENATE(Programme!D17460,Programme!E17460,Programme!F17460,Programme!G17460,Programme!H17460,Programme!I17460,Programme!J17460)</f>
        <v>&lt;codeEdi&gt;1165&lt;/codeEdi&gt;</v>
      </c>
    </row>
    <row r="17460" spans="1:1" x14ac:dyDescent="0.2">
      <c r="A17460" s="996" t="str">
        <f>CONCATENATE(Programme!D17461,Programme!E17461,Programme!F17461,Programme!G17461,Programme!H17461,Programme!I17461,Programme!J17461)</f>
        <v>&lt;/cellule&gt;</v>
      </c>
    </row>
    <row r="17461" spans="1:1" x14ac:dyDescent="0.2">
      <c r="A17461" s="996" t="str">
        <f>CONCATENATE(Programme!D17462,Programme!E17462,Programme!F17462,Programme!G17462,Programme!H17462,Programme!I17462,Programme!J17462)</f>
        <v>&lt;valeur&gt;&lt;/valeur&gt;</v>
      </c>
    </row>
    <row r="17462" spans="1:1" x14ac:dyDescent="0.2">
      <c r="A17462" s="996" t="str">
        <f>CONCATENATE(Programme!D17463,Programme!E17463,Programme!F17463,Programme!G17463,Programme!H17463,Programme!I17463,Programme!J17463)</f>
        <v>&lt;/ValeurCellule&gt;</v>
      </c>
    </row>
    <row r="17463" spans="1:1" x14ac:dyDescent="0.2">
      <c r="A17463" s="996" t="str">
        <f>CONCATENATE(Programme!D17464,Programme!E17464,Programme!F17464,Programme!G17464,Programme!H17464,Programme!I17464,Programme!J17464)</f>
        <v>&lt;ValeurCellule&gt;</v>
      </c>
    </row>
    <row r="17464" spans="1:1" x14ac:dyDescent="0.2">
      <c r="A17464" s="996" t="str">
        <f>CONCATENATE(Programme!D17465,Programme!E17465,Programme!F17465,Programme!G17465,Programme!H17465,Programme!I17465,Programme!J17465)</f>
        <v>&lt;cellule&gt;</v>
      </c>
    </row>
    <row r="17465" spans="1:1" x14ac:dyDescent="0.2">
      <c r="A17465" s="996" t="str">
        <f>CONCATENATE(Programme!D17466,Programme!E17466,Programme!F17466,Programme!G17466,Programme!H17466,Programme!I17466,Programme!J17466)</f>
        <v>&lt;codeEdi&gt;1174&lt;/codeEdi&gt;</v>
      </c>
    </row>
    <row r="17466" spans="1:1" x14ac:dyDescent="0.2">
      <c r="A17466" s="996" t="str">
        <f>CONCATENATE(Programme!D17467,Programme!E17467,Programme!F17467,Programme!G17467,Programme!H17467,Programme!I17467,Programme!J17467)</f>
        <v>&lt;/cellule&gt;</v>
      </c>
    </row>
    <row r="17467" spans="1:1" x14ac:dyDescent="0.2">
      <c r="A17467" s="996" t="str">
        <f>CONCATENATE(Programme!D17468,Programme!E17468,Programme!F17468,Programme!G17468,Programme!H17468,Programme!I17468,Programme!J17468)</f>
        <v>&lt;valeur&gt;&lt;/valeur&gt;</v>
      </c>
    </row>
    <row r="17468" spans="1:1" x14ac:dyDescent="0.2">
      <c r="A17468" s="996" t="str">
        <f>CONCATENATE(Programme!D17469,Programme!E17469,Programme!F17469,Programme!G17469,Programme!H17469,Programme!I17469,Programme!J17469)</f>
        <v>&lt;/ValeurCellule&gt;</v>
      </c>
    </row>
    <row r="17469" spans="1:1" x14ac:dyDescent="0.2">
      <c r="A17469" s="996" t="str">
        <f>CONCATENATE(Programme!D17470,Programme!E17470,Programme!F17470,Programme!G17470,Programme!H17470,Programme!I17470,Programme!J17470)</f>
        <v>&lt;ValeurCellule&gt;</v>
      </c>
    </row>
    <row r="17470" spans="1:1" x14ac:dyDescent="0.2">
      <c r="A17470" s="996" t="str">
        <f>CONCATENATE(Programme!D17471,Programme!E17471,Programme!F17471,Programme!G17471,Programme!H17471,Programme!I17471,Programme!J17471)</f>
        <v>&lt;cellule&gt;</v>
      </c>
    </row>
    <row r="17471" spans="1:1" x14ac:dyDescent="0.2">
      <c r="A17471" s="996" t="str">
        <f>CONCATENATE(Programme!D17472,Programme!E17472,Programme!F17472,Programme!G17472,Programme!H17472,Programme!I17472,Programme!J17472)</f>
        <v>&lt;codeEdi&gt;1183&lt;/codeEdi&gt;</v>
      </c>
    </row>
    <row r="17472" spans="1:1" x14ac:dyDescent="0.2">
      <c r="A17472" s="996" t="str">
        <f>CONCATENATE(Programme!D17473,Programme!E17473,Programme!F17473,Programme!G17473,Programme!H17473,Programme!I17473,Programme!J17473)</f>
        <v>&lt;/cellule&gt;</v>
      </c>
    </row>
    <row r="17473" spans="1:1" x14ac:dyDescent="0.2">
      <c r="A17473" s="996" t="str">
        <f>CONCATENATE(Programme!D17474,Programme!E17474,Programme!F17474,Programme!G17474,Programme!H17474,Programme!I17474,Programme!J17474)</f>
        <v>&lt;valeur&gt;&lt;/valeur&gt;</v>
      </c>
    </row>
    <row r="17474" spans="1:1" x14ac:dyDescent="0.2">
      <c r="A17474" s="996" t="str">
        <f>CONCATENATE(Programme!D17475,Programme!E17475,Programme!F17475,Programme!G17475,Programme!H17475,Programme!I17475,Programme!J17475)</f>
        <v>&lt;/ValeurCellule&gt;</v>
      </c>
    </row>
    <row r="17475" spans="1:1" x14ac:dyDescent="0.2">
      <c r="A17475" s="996" t="str">
        <f>CONCATENATE(Programme!D17476,Programme!E17476,Programme!F17476,Programme!G17476,Programme!H17476,Programme!I17476,Programme!J17476)</f>
        <v>&lt;ValeurCellule&gt;</v>
      </c>
    </row>
    <row r="17476" spans="1:1" x14ac:dyDescent="0.2">
      <c r="A17476" s="996" t="str">
        <f>CONCATENATE(Programme!D17477,Programme!E17477,Programme!F17477,Programme!G17477,Programme!H17477,Programme!I17477,Programme!J17477)</f>
        <v>&lt;cellule&gt;</v>
      </c>
    </row>
    <row r="17477" spans="1:1" x14ac:dyDescent="0.2">
      <c r="A17477" s="996" t="str">
        <f>CONCATENATE(Programme!D17478,Programme!E17478,Programme!F17478,Programme!G17478,Programme!H17478,Programme!I17478,Programme!J17478)</f>
        <v>&lt;codeEdi&gt;1192&lt;/codeEdi&gt;</v>
      </c>
    </row>
    <row r="17478" spans="1:1" x14ac:dyDescent="0.2">
      <c r="A17478" s="996" t="str">
        <f>CONCATENATE(Programme!D17479,Programme!E17479,Programme!F17479,Programme!G17479,Programme!H17479,Programme!I17479,Programme!J17479)</f>
        <v>&lt;/cellule&gt;</v>
      </c>
    </row>
    <row r="17479" spans="1:1" x14ac:dyDescent="0.2">
      <c r="A17479" s="996" t="str">
        <f>CONCATENATE(Programme!D17480,Programme!E17480,Programme!F17480,Programme!G17480,Programme!H17480,Programme!I17480,Programme!J17480)</f>
        <v>&lt;valeur&gt;&lt;/valeur&gt;</v>
      </c>
    </row>
    <row r="17480" spans="1:1" x14ac:dyDescent="0.2">
      <c r="A17480" s="996" t="str">
        <f>CONCATENATE(Programme!D17481,Programme!E17481,Programme!F17481,Programme!G17481,Programme!H17481,Programme!I17481,Programme!J17481)</f>
        <v>&lt;/ValeurCellule&gt;</v>
      </c>
    </row>
    <row r="17481" spans="1:1" x14ac:dyDescent="0.2">
      <c r="A17481" s="996" t="str">
        <f>CONCATENATE(Programme!D17482,Programme!E17482,Programme!F17482,Programme!G17482,Programme!H17482,Programme!I17482,Programme!J17482)</f>
        <v>&lt;ValeurCellule&gt;</v>
      </c>
    </row>
    <row r="17482" spans="1:1" x14ac:dyDescent="0.2">
      <c r="A17482" s="996" t="str">
        <f>CONCATENATE(Programme!D17483,Programme!E17483,Programme!F17483,Programme!G17483,Programme!H17483,Programme!I17483,Programme!J17483)</f>
        <v>&lt;cellule&gt;</v>
      </c>
    </row>
    <row r="17483" spans="1:1" x14ac:dyDescent="0.2">
      <c r="A17483" s="996" t="str">
        <f>CONCATENATE(Programme!D17484,Programme!E17484,Programme!F17484,Programme!G17484,Programme!H17484,Programme!I17484,Programme!J17484)</f>
        <v>&lt;codeEdi&gt;1201&lt;/codeEdi&gt;</v>
      </c>
    </row>
    <row r="17484" spans="1:1" x14ac:dyDescent="0.2">
      <c r="A17484" s="996" t="str">
        <f>CONCATENATE(Programme!D17485,Programme!E17485,Programme!F17485,Programme!G17485,Programme!H17485,Programme!I17485,Programme!J17485)</f>
        <v>&lt;/cellule&gt;</v>
      </c>
    </row>
    <row r="17485" spans="1:1" x14ac:dyDescent="0.2">
      <c r="A17485" s="996" t="str">
        <f>CONCATENATE(Programme!D17486,Programme!E17486,Programme!F17486,Programme!G17486,Programme!H17486,Programme!I17486,Programme!J17486)</f>
        <v>&lt;valeur&gt;0&lt;/valeur&gt;</v>
      </c>
    </row>
    <row r="17486" spans="1:1" x14ac:dyDescent="0.2">
      <c r="A17486" s="996" t="str">
        <f>CONCATENATE(Programme!D17487,Programme!E17487,Programme!F17487,Programme!G17487,Programme!H17487,Programme!I17487,Programme!J17487)</f>
        <v>&lt;/ValeurCellule&gt;</v>
      </c>
    </row>
    <row r="17487" spans="1:1" x14ac:dyDescent="0.2">
      <c r="A17487" s="996" t="str">
        <f>CONCATENATE(Programme!D17488,Programme!E17488,Programme!F17488,Programme!G17488,Programme!H17488,Programme!I17488,Programme!J17488)</f>
        <v>&lt;ValeurCellule&gt;</v>
      </c>
    </row>
    <row r="17488" spans="1:1" x14ac:dyDescent="0.2">
      <c r="A17488" s="996" t="str">
        <f>CONCATENATE(Programme!D17489,Programme!E17489,Programme!F17489,Programme!G17489,Programme!H17489,Programme!I17489,Programme!J17489)</f>
        <v>&lt;cellule&gt;</v>
      </c>
    </row>
    <row r="17489" spans="1:1" x14ac:dyDescent="0.2">
      <c r="A17489" s="996" t="str">
        <f>CONCATENATE(Programme!D17490,Programme!E17490,Programme!F17490,Programme!G17490,Programme!H17490,Programme!I17490,Programme!J17490)</f>
        <v>&lt;codeEdi&gt;1112&lt;/codeEdi&gt;</v>
      </c>
    </row>
    <row r="17490" spans="1:1" x14ac:dyDescent="0.2">
      <c r="A17490" s="996" t="str">
        <f>CONCATENATE(Programme!D17491,Programme!E17491,Programme!F17491,Programme!G17491,Programme!H17491,Programme!I17491,Programme!J17491)</f>
        <v>&lt;/cellule&gt;</v>
      </c>
    </row>
    <row r="17491" spans="1:1" x14ac:dyDescent="0.2">
      <c r="A17491" s="996" t="str">
        <f>CONCATENATE(Programme!D17492,Programme!E17492,Programme!F17492,Programme!G17492,Programme!H17492,Programme!I17492,Programme!J17492)</f>
        <v>&lt;valeur&gt;&lt;/valeur&gt;</v>
      </c>
    </row>
    <row r="17492" spans="1:1" x14ac:dyDescent="0.2">
      <c r="A17492" s="996" t="str">
        <f>CONCATENATE(Programme!D17493,Programme!E17493,Programme!F17493,Programme!G17493,Programme!H17493,Programme!I17493,Programme!J17493)</f>
        <v>&lt;/ValeurCellule&gt;</v>
      </c>
    </row>
    <row r="17493" spans="1:1" x14ac:dyDescent="0.2">
      <c r="A17493" s="996" t="str">
        <f>CONCATENATE(Programme!D17494,Programme!E17494,Programme!F17494,Programme!G17494,Programme!H17494,Programme!I17494,Programme!J17494)</f>
        <v>&lt;ValeurCellule&gt;</v>
      </c>
    </row>
    <row r="17494" spans="1:1" x14ac:dyDescent="0.2">
      <c r="A17494" s="996" t="str">
        <f>CONCATENATE(Programme!D17495,Programme!E17495,Programme!F17495,Programme!G17495,Programme!H17495,Programme!I17495,Programme!J17495)</f>
        <v>&lt;cellule&gt;</v>
      </c>
    </row>
    <row r="17495" spans="1:1" x14ac:dyDescent="0.2">
      <c r="A17495" s="996" t="str">
        <f>CONCATENATE(Programme!D17496,Programme!E17496,Programme!F17496,Programme!G17496,Programme!H17496,Programme!I17496,Programme!J17496)</f>
        <v>&lt;codeEdi&gt;1121&lt;/codeEdi&gt;</v>
      </c>
    </row>
    <row r="17496" spans="1:1" x14ac:dyDescent="0.2">
      <c r="A17496" s="996" t="str">
        <f>CONCATENATE(Programme!D17497,Programme!E17497,Programme!F17497,Programme!G17497,Programme!H17497,Programme!I17497,Programme!J17497)</f>
        <v>&lt;/cellule&gt;</v>
      </c>
    </row>
    <row r="17497" spans="1:1" x14ac:dyDescent="0.2">
      <c r="A17497" s="996" t="str">
        <f>CONCATENATE(Programme!D17498,Programme!E17498,Programme!F17498,Programme!G17498,Programme!H17498,Programme!I17498,Programme!J17498)</f>
        <v>&lt;valeur&gt;&lt;/valeur&gt;</v>
      </c>
    </row>
    <row r="17498" spans="1:1" x14ac:dyDescent="0.2">
      <c r="A17498" s="996" t="str">
        <f>CONCATENATE(Programme!D17499,Programme!E17499,Programme!F17499,Programme!G17499,Programme!H17499,Programme!I17499,Programme!J17499)</f>
        <v>&lt;/ValeurCellule&gt;</v>
      </c>
    </row>
    <row r="17499" spans="1:1" x14ac:dyDescent="0.2">
      <c r="A17499" s="996" t="str">
        <f>CONCATENATE(Programme!D17500,Programme!E17500,Programme!F17500,Programme!G17500,Programme!H17500,Programme!I17500,Programme!J17500)</f>
        <v>&lt;ValeurCellule&gt;</v>
      </c>
    </row>
    <row r="17500" spans="1:1" x14ac:dyDescent="0.2">
      <c r="A17500" s="996" t="str">
        <f>CONCATENATE(Programme!D17501,Programme!E17501,Programme!F17501,Programme!G17501,Programme!H17501,Programme!I17501,Programme!J17501)</f>
        <v>&lt;cellule&gt;</v>
      </c>
    </row>
    <row r="17501" spans="1:1" x14ac:dyDescent="0.2">
      <c r="A17501" s="996" t="str">
        <f>CONCATENATE(Programme!D17502,Programme!E17502,Programme!F17502,Programme!G17502,Programme!H17502,Programme!I17502,Programme!J17502)</f>
        <v>&lt;codeEdi&gt;1130&lt;/codeEdi&gt;</v>
      </c>
    </row>
    <row r="17502" spans="1:1" x14ac:dyDescent="0.2">
      <c r="A17502" s="996" t="str">
        <f>CONCATENATE(Programme!D17503,Programme!E17503,Programme!F17503,Programme!G17503,Programme!H17503,Programme!I17503,Programme!J17503)</f>
        <v>&lt;/cellule&gt;</v>
      </c>
    </row>
    <row r="17503" spans="1:1" x14ac:dyDescent="0.2">
      <c r="A17503" s="996" t="str">
        <f>CONCATENATE(Programme!D17504,Programme!E17504,Programme!F17504,Programme!G17504,Programme!H17504,Programme!I17504,Programme!J17504)</f>
        <v>&lt;valeur&gt;&lt;/valeur&gt;</v>
      </c>
    </row>
    <row r="17504" spans="1:1" x14ac:dyDescent="0.2">
      <c r="A17504" s="996" t="str">
        <f>CONCATENATE(Programme!D17505,Programme!E17505,Programme!F17505,Programme!G17505,Programme!H17505,Programme!I17505,Programme!J17505)</f>
        <v>&lt;/ValeurCellule&gt;</v>
      </c>
    </row>
    <row r="17505" spans="1:1" x14ac:dyDescent="0.2">
      <c r="A17505" s="996" t="str">
        <f>CONCATENATE(Programme!D17506,Programme!E17506,Programme!F17506,Programme!G17506,Programme!H17506,Programme!I17506,Programme!J17506)</f>
        <v>&lt;ValeurCellule&gt;</v>
      </c>
    </row>
    <row r="17506" spans="1:1" x14ac:dyDescent="0.2">
      <c r="A17506" s="996" t="str">
        <f>CONCATENATE(Programme!D17507,Programme!E17507,Programme!F17507,Programme!G17507,Programme!H17507,Programme!I17507,Programme!J17507)</f>
        <v>&lt;cellule&gt;</v>
      </c>
    </row>
    <row r="17507" spans="1:1" x14ac:dyDescent="0.2">
      <c r="A17507" s="996" t="str">
        <f>CONCATENATE(Programme!D17508,Programme!E17508,Programme!F17508,Programme!G17508,Programme!H17508,Programme!I17508,Programme!J17508)</f>
        <v>&lt;codeEdi&gt;1139&lt;/codeEdi&gt;</v>
      </c>
    </row>
    <row r="17508" spans="1:1" x14ac:dyDescent="0.2">
      <c r="A17508" s="996" t="str">
        <f>CONCATENATE(Programme!D17509,Programme!E17509,Programme!F17509,Programme!G17509,Programme!H17509,Programme!I17509,Programme!J17509)</f>
        <v>&lt;/cellule&gt;</v>
      </c>
    </row>
    <row r="17509" spans="1:1" x14ac:dyDescent="0.2">
      <c r="A17509" s="996" t="str">
        <f>CONCATENATE(Programme!D17510,Programme!E17510,Programme!F17510,Programme!G17510,Programme!H17510,Programme!I17510,Programme!J17510)</f>
        <v>&lt;valeur&gt;&lt;/valeur&gt;</v>
      </c>
    </row>
    <row r="17510" spans="1:1" x14ac:dyDescent="0.2">
      <c r="A17510" s="996" t="str">
        <f>CONCATENATE(Programme!D17511,Programme!E17511,Programme!F17511,Programme!G17511,Programme!H17511,Programme!I17511,Programme!J17511)</f>
        <v>&lt;/ValeurCellule&gt;</v>
      </c>
    </row>
    <row r="17511" spans="1:1" x14ac:dyDescent="0.2">
      <c r="A17511" s="996" t="str">
        <f>CONCATENATE(Programme!D17512,Programme!E17512,Programme!F17512,Programme!G17512,Programme!H17512,Programme!I17512,Programme!J17512)</f>
        <v>&lt;ValeurCellule&gt;</v>
      </c>
    </row>
    <row r="17512" spans="1:1" x14ac:dyDescent="0.2">
      <c r="A17512" s="996" t="str">
        <f>CONCATENATE(Programme!D17513,Programme!E17513,Programme!F17513,Programme!G17513,Programme!H17513,Programme!I17513,Programme!J17513)</f>
        <v>&lt;cellule&gt;</v>
      </c>
    </row>
    <row r="17513" spans="1:1" x14ac:dyDescent="0.2">
      <c r="A17513" s="996" t="str">
        <f>CONCATENATE(Programme!D17514,Programme!E17514,Programme!F17514,Programme!G17514,Programme!H17514,Programme!I17514,Programme!J17514)</f>
        <v>&lt;codeEdi&gt;1148&lt;/codeEdi&gt;</v>
      </c>
    </row>
    <row r="17514" spans="1:1" x14ac:dyDescent="0.2">
      <c r="A17514" s="996" t="str">
        <f>CONCATENATE(Programme!D17515,Programme!E17515,Programme!F17515,Programme!G17515,Programme!H17515,Programme!I17515,Programme!J17515)</f>
        <v>&lt;/cellule&gt;</v>
      </c>
    </row>
    <row r="17515" spans="1:1" x14ac:dyDescent="0.2">
      <c r="A17515" s="996" t="str">
        <f>CONCATENATE(Programme!D17516,Programme!E17516,Programme!F17516,Programme!G17516,Programme!H17516,Programme!I17516,Programme!J17516)</f>
        <v>&lt;valeur&gt;&lt;/valeur&gt;</v>
      </c>
    </row>
    <row r="17516" spans="1:1" x14ac:dyDescent="0.2">
      <c r="A17516" s="996" t="str">
        <f>CONCATENATE(Programme!D17517,Programme!E17517,Programme!F17517,Programme!G17517,Programme!H17517,Programme!I17517,Programme!J17517)</f>
        <v>&lt;/ValeurCellule&gt;</v>
      </c>
    </row>
    <row r="17517" spans="1:1" x14ac:dyDescent="0.2">
      <c r="A17517" s="996" t="str">
        <f>CONCATENATE(Programme!D17518,Programme!E17518,Programme!F17518,Programme!G17518,Programme!H17518,Programme!I17518,Programme!J17518)</f>
        <v>&lt;ValeurCellule&gt;</v>
      </c>
    </row>
    <row r="17518" spans="1:1" x14ac:dyDescent="0.2">
      <c r="A17518" s="996" t="str">
        <f>CONCATENATE(Programme!D17519,Programme!E17519,Programme!F17519,Programme!G17519,Programme!H17519,Programme!I17519,Programme!J17519)</f>
        <v>&lt;cellule&gt;</v>
      </c>
    </row>
    <row r="17519" spans="1:1" x14ac:dyDescent="0.2">
      <c r="A17519" s="996" t="str">
        <f>CONCATENATE(Programme!D17520,Programme!E17520,Programme!F17520,Programme!G17520,Programme!H17520,Programme!I17520,Programme!J17520)</f>
        <v>&lt;codeEdi&gt;1157&lt;/codeEdi&gt;</v>
      </c>
    </row>
    <row r="17520" spans="1:1" x14ac:dyDescent="0.2">
      <c r="A17520" s="996" t="str">
        <f>CONCATENATE(Programme!D17521,Programme!E17521,Programme!F17521,Programme!G17521,Programme!H17521,Programme!I17521,Programme!J17521)</f>
        <v>&lt;/cellule&gt;</v>
      </c>
    </row>
    <row r="17521" spans="1:1" x14ac:dyDescent="0.2">
      <c r="A17521" s="996" t="str">
        <f>CONCATENATE(Programme!D17522,Programme!E17522,Programme!F17522,Programme!G17522,Programme!H17522,Programme!I17522,Programme!J17522)</f>
        <v>&lt;valeur&gt;&lt;/valeur&gt;</v>
      </c>
    </row>
    <row r="17522" spans="1:1" x14ac:dyDescent="0.2">
      <c r="A17522" s="996" t="str">
        <f>CONCATENATE(Programme!D17523,Programme!E17523,Programme!F17523,Programme!G17523,Programme!H17523,Programme!I17523,Programme!J17523)</f>
        <v>&lt;/ValeurCellule&gt;</v>
      </c>
    </row>
    <row r="17523" spans="1:1" x14ac:dyDescent="0.2">
      <c r="A17523" s="996" t="str">
        <f>CONCATENATE(Programme!D17524,Programme!E17524,Programme!F17524,Programme!G17524,Programme!H17524,Programme!I17524,Programme!J17524)</f>
        <v>&lt;ValeurCellule&gt;</v>
      </c>
    </row>
    <row r="17524" spans="1:1" x14ac:dyDescent="0.2">
      <c r="A17524" s="996" t="str">
        <f>CONCATENATE(Programme!D17525,Programme!E17525,Programme!F17525,Programme!G17525,Programme!H17525,Programme!I17525,Programme!J17525)</f>
        <v>&lt;cellule&gt;</v>
      </c>
    </row>
    <row r="17525" spans="1:1" x14ac:dyDescent="0.2">
      <c r="A17525" s="996" t="str">
        <f>CONCATENATE(Programme!D17526,Programme!E17526,Programme!F17526,Programme!G17526,Programme!H17526,Programme!I17526,Programme!J17526)</f>
        <v>&lt;codeEdi&gt;1166&lt;/codeEdi&gt;</v>
      </c>
    </row>
    <row r="17526" spans="1:1" x14ac:dyDescent="0.2">
      <c r="A17526" s="996" t="str">
        <f>CONCATENATE(Programme!D17527,Programme!E17527,Programme!F17527,Programme!G17527,Programme!H17527,Programme!I17527,Programme!J17527)</f>
        <v>&lt;/cellule&gt;</v>
      </c>
    </row>
    <row r="17527" spans="1:1" x14ac:dyDescent="0.2">
      <c r="A17527" s="996" t="str">
        <f>CONCATENATE(Programme!D17528,Programme!E17528,Programme!F17528,Programme!G17528,Programme!H17528,Programme!I17528,Programme!J17528)</f>
        <v>&lt;valeur&gt;&lt;/valeur&gt;</v>
      </c>
    </row>
    <row r="17528" spans="1:1" x14ac:dyDescent="0.2">
      <c r="A17528" s="996" t="str">
        <f>CONCATENATE(Programme!D17529,Programme!E17529,Programme!F17529,Programme!G17529,Programme!H17529,Programme!I17529,Programme!J17529)</f>
        <v>&lt;/ValeurCellule&gt;</v>
      </c>
    </row>
    <row r="17529" spans="1:1" x14ac:dyDescent="0.2">
      <c r="A17529" s="996" t="str">
        <f>CONCATENATE(Programme!D17530,Programme!E17530,Programme!F17530,Programme!G17530,Programme!H17530,Programme!I17530,Programme!J17530)</f>
        <v>&lt;ValeurCellule&gt;</v>
      </c>
    </row>
    <row r="17530" spans="1:1" x14ac:dyDescent="0.2">
      <c r="A17530" s="996" t="str">
        <f>CONCATENATE(Programme!D17531,Programme!E17531,Programme!F17531,Programme!G17531,Programme!H17531,Programme!I17531,Programme!J17531)</f>
        <v>&lt;cellule&gt;</v>
      </c>
    </row>
    <row r="17531" spans="1:1" x14ac:dyDescent="0.2">
      <c r="A17531" s="996" t="str">
        <f>CONCATENATE(Programme!D17532,Programme!E17532,Programme!F17532,Programme!G17532,Programme!H17532,Programme!I17532,Programme!J17532)</f>
        <v>&lt;codeEdi&gt;1184&lt;/codeEdi&gt;</v>
      </c>
    </row>
    <row r="17532" spans="1:1" x14ac:dyDescent="0.2">
      <c r="A17532" s="996" t="str">
        <f>CONCATENATE(Programme!D17533,Programme!E17533,Programme!F17533,Programme!G17533,Programme!H17533,Programme!I17533,Programme!J17533)</f>
        <v>&lt;/cellule&gt;</v>
      </c>
    </row>
    <row r="17533" spans="1:1" x14ac:dyDescent="0.2">
      <c r="A17533" s="996" t="str">
        <f>CONCATENATE(Programme!D17534,Programme!E17534,Programme!F17534,Programme!G17534,Programme!H17534,Programme!I17534,Programme!J17534)</f>
        <v>&lt;valeur&gt;&lt;/valeur&gt;</v>
      </c>
    </row>
    <row r="17534" spans="1:1" x14ac:dyDescent="0.2">
      <c r="A17534" s="996" t="str">
        <f>CONCATENATE(Programme!D17535,Programme!E17535,Programme!F17535,Programme!G17535,Programme!H17535,Programme!I17535,Programme!J17535)</f>
        <v>&lt;/ValeurCellule&gt;</v>
      </c>
    </row>
    <row r="17535" spans="1:1" x14ac:dyDescent="0.2">
      <c r="A17535" s="996" t="str">
        <f>CONCATENATE(Programme!D17536,Programme!E17536,Programme!F17536,Programme!G17536,Programme!H17536,Programme!I17536,Programme!J17536)</f>
        <v>&lt;ValeurCellule&gt;</v>
      </c>
    </row>
    <row r="17536" spans="1:1" x14ac:dyDescent="0.2">
      <c r="A17536" s="996" t="str">
        <f>CONCATENATE(Programme!D17537,Programme!E17537,Programme!F17537,Programme!G17537,Programme!H17537,Programme!I17537,Programme!J17537)</f>
        <v>&lt;cellule&gt;</v>
      </c>
    </row>
    <row r="17537" spans="1:1" x14ac:dyDescent="0.2">
      <c r="A17537" s="996" t="str">
        <f>CONCATENATE(Programme!D17538,Programme!E17538,Programme!F17538,Programme!G17538,Programme!H17538,Programme!I17538,Programme!J17538)</f>
        <v>&lt;codeEdi&gt;1193&lt;/codeEdi&gt;</v>
      </c>
    </row>
    <row r="17538" spans="1:1" x14ac:dyDescent="0.2">
      <c r="A17538" s="996" t="str">
        <f>CONCATENATE(Programme!D17539,Programme!E17539,Programme!F17539,Programme!G17539,Programme!H17539,Programme!I17539,Programme!J17539)</f>
        <v>&lt;/cellule&gt;</v>
      </c>
    </row>
    <row r="17539" spans="1:1" x14ac:dyDescent="0.2">
      <c r="A17539" s="996" t="str">
        <f>CONCATENATE(Programme!D17540,Programme!E17540,Programme!F17540,Programme!G17540,Programme!H17540,Programme!I17540,Programme!J17540)</f>
        <v>&lt;valeur&gt;&lt;/valeur&gt;</v>
      </c>
    </row>
    <row r="17540" spans="1:1" x14ac:dyDescent="0.2">
      <c r="A17540" s="996" t="str">
        <f>CONCATENATE(Programme!D17541,Programme!E17541,Programme!F17541,Programme!G17541,Programme!H17541,Programme!I17541,Programme!J17541)</f>
        <v>&lt;/ValeurCellule&gt;</v>
      </c>
    </row>
    <row r="17541" spans="1:1" x14ac:dyDescent="0.2">
      <c r="A17541" s="996" t="str">
        <f>CONCATENATE(Programme!D17542,Programme!E17542,Programme!F17542,Programme!G17542,Programme!H17542,Programme!I17542,Programme!J17542)</f>
        <v>&lt;ValeurCellule&gt;</v>
      </c>
    </row>
    <row r="17542" spans="1:1" x14ac:dyDescent="0.2">
      <c r="A17542" s="996" t="str">
        <f>CONCATENATE(Programme!D17543,Programme!E17543,Programme!F17543,Programme!G17543,Programme!H17543,Programme!I17543,Programme!J17543)</f>
        <v>&lt;cellule&gt;</v>
      </c>
    </row>
    <row r="17543" spans="1:1" x14ac:dyDescent="0.2">
      <c r="A17543" s="996" t="str">
        <f>CONCATENATE(Programme!D17544,Programme!E17544,Programme!F17544,Programme!G17544,Programme!H17544,Programme!I17544,Programme!J17544)</f>
        <v>&lt;codeEdi&gt;1202&lt;/codeEdi&gt;</v>
      </c>
    </row>
    <row r="17544" spans="1:1" x14ac:dyDescent="0.2">
      <c r="A17544" s="996" t="str">
        <f>CONCATENATE(Programme!D17545,Programme!E17545,Programme!F17545,Programme!G17545,Programme!H17545,Programme!I17545,Programme!J17545)</f>
        <v>&lt;/cellule&gt;</v>
      </c>
    </row>
    <row r="17545" spans="1:1" x14ac:dyDescent="0.2">
      <c r="A17545" s="996" t="str">
        <f>CONCATENATE(Programme!D17546,Programme!E17546,Programme!F17546,Programme!G17546,Programme!H17546,Programme!I17546,Programme!J17546)</f>
        <v>&lt;valeur&gt;0&lt;/valeur&gt;</v>
      </c>
    </row>
    <row r="17546" spans="1:1" x14ac:dyDescent="0.2">
      <c r="A17546" s="996" t="str">
        <f>CONCATENATE(Programme!D17547,Programme!E17547,Programme!F17547,Programme!G17547,Programme!H17547,Programme!I17547,Programme!J17547)</f>
        <v>&lt;/ValeurCellule&gt;</v>
      </c>
    </row>
    <row r="17547" spans="1:1" x14ac:dyDescent="0.2">
      <c r="A17547" s="996" t="str">
        <f>CONCATENATE(Programme!D17548,Programme!E17548,Programme!F17548,Programme!G17548,Programme!H17548,Programme!I17548,Programme!J17548)</f>
        <v>&lt;ValeurCellule&gt;</v>
      </c>
    </row>
    <row r="17548" spans="1:1" x14ac:dyDescent="0.2">
      <c r="A17548" s="996" t="str">
        <f>CONCATENATE(Programme!D17549,Programme!E17549,Programme!F17549,Programme!G17549,Programme!H17549,Programme!I17549,Programme!J17549)</f>
        <v>&lt;cellule&gt;</v>
      </c>
    </row>
    <row r="17549" spans="1:1" x14ac:dyDescent="0.2">
      <c r="A17549" s="996" t="str">
        <f>CONCATENATE(Programme!D17550,Programme!E17550,Programme!F17550,Programme!G17550,Programme!H17550,Programme!I17550,Programme!J17550)</f>
        <v>&lt;codeEdi&gt;1175&lt;/codeEdi&gt;</v>
      </c>
    </row>
    <row r="17550" spans="1:1" x14ac:dyDescent="0.2">
      <c r="A17550" s="996" t="str">
        <f>CONCATENATE(Programme!D17551,Programme!E17551,Programme!F17551,Programme!G17551,Programme!H17551,Programme!I17551,Programme!J17551)</f>
        <v>&lt;/cellule&gt;</v>
      </c>
    </row>
    <row r="17551" spans="1:1" x14ac:dyDescent="0.2">
      <c r="A17551" s="996" t="str">
        <f>CONCATENATE(Programme!D17552,Programme!E17552,Programme!F17552,Programme!G17552,Programme!H17552,Programme!I17552,Programme!J17552)</f>
        <v>&lt;valeur&gt;&lt;/valeur&gt;</v>
      </c>
    </row>
    <row r="17552" spans="1:1" x14ac:dyDescent="0.2">
      <c r="A17552" s="996" t="str">
        <f>CONCATENATE(Programme!D17553,Programme!E17553,Programme!F17553,Programme!G17553,Programme!H17553,Programme!I17553,Programme!J17553)</f>
        <v>&lt;/ValeurCellule&gt;</v>
      </c>
    </row>
    <row r="17553" spans="1:1" x14ac:dyDescent="0.2">
      <c r="A17553" s="996" t="str">
        <f>CONCATENATE(Programme!D17554,Programme!E17554,Programme!F17554,Programme!G17554,Programme!H17554,Programme!I17554,Programme!J17554)</f>
        <v>&lt;ValeurCellule&gt;</v>
      </c>
    </row>
    <row r="17554" spans="1:1" x14ac:dyDescent="0.2">
      <c r="A17554" s="996" t="str">
        <f>CONCATENATE(Programme!D17555,Programme!E17555,Programme!F17555,Programme!G17555,Programme!H17555,Programme!I17555,Programme!J17555)</f>
        <v>&lt;cellule&gt;</v>
      </c>
    </row>
    <row r="17555" spans="1:1" x14ac:dyDescent="0.2">
      <c r="A17555" s="996" t="str">
        <f>CONCATENATE(Programme!D17556,Programme!E17556,Programme!F17556,Programme!G17556,Programme!H17556,Programme!I17556,Programme!J17556)</f>
        <v>&lt;codeEdi&gt;1113&lt;/codeEdi&gt;</v>
      </c>
    </row>
    <row r="17556" spans="1:1" x14ac:dyDescent="0.2">
      <c r="A17556" s="996" t="str">
        <f>CONCATENATE(Programme!D17557,Programme!E17557,Programme!F17557,Programme!G17557,Programme!H17557,Programme!I17557,Programme!J17557)</f>
        <v>&lt;/cellule&gt;</v>
      </c>
    </row>
    <row r="17557" spans="1:1" x14ac:dyDescent="0.2">
      <c r="A17557" s="996" t="str">
        <f>CONCATENATE(Programme!D17558,Programme!E17558,Programme!F17558,Programme!G17558,Programme!H17558,Programme!I17558,Programme!J17558)</f>
        <v>&lt;valeur&gt;&lt;/valeur&gt;</v>
      </c>
    </row>
    <row r="17558" spans="1:1" x14ac:dyDescent="0.2">
      <c r="A17558" s="996" t="str">
        <f>CONCATENATE(Programme!D17559,Programme!E17559,Programme!F17559,Programme!G17559,Programme!H17559,Programme!I17559,Programme!J17559)</f>
        <v>&lt;/ValeurCellule&gt;</v>
      </c>
    </row>
    <row r="17559" spans="1:1" x14ac:dyDescent="0.2">
      <c r="A17559" s="996" t="str">
        <f>CONCATENATE(Programme!D17560,Programme!E17560,Programme!F17560,Programme!G17560,Programme!H17560,Programme!I17560,Programme!J17560)</f>
        <v>&lt;ValeurCellule&gt;</v>
      </c>
    </row>
    <row r="17560" spans="1:1" x14ac:dyDescent="0.2">
      <c r="A17560" s="996" t="str">
        <f>CONCATENATE(Programme!D17561,Programme!E17561,Programme!F17561,Programme!G17561,Programme!H17561,Programme!I17561,Programme!J17561)</f>
        <v>&lt;cellule&gt;</v>
      </c>
    </row>
    <row r="17561" spans="1:1" x14ac:dyDescent="0.2">
      <c r="A17561" s="996" t="str">
        <f>CONCATENATE(Programme!D17562,Programme!E17562,Programme!F17562,Programme!G17562,Programme!H17562,Programme!I17562,Programme!J17562)</f>
        <v>&lt;codeEdi&gt;1122&lt;/codeEdi&gt;</v>
      </c>
    </row>
    <row r="17562" spans="1:1" x14ac:dyDescent="0.2">
      <c r="A17562" s="996" t="str">
        <f>CONCATENATE(Programme!D17563,Programme!E17563,Programme!F17563,Programme!G17563,Programme!H17563,Programme!I17563,Programme!J17563)</f>
        <v>&lt;/cellule&gt;</v>
      </c>
    </row>
    <row r="17563" spans="1:1" x14ac:dyDescent="0.2">
      <c r="A17563" s="996" t="str">
        <f>CONCATENATE(Programme!D17564,Programme!E17564,Programme!F17564,Programme!G17564,Programme!H17564,Programme!I17564,Programme!J17564)</f>
        <v>&lt;valeur&gt;&lt;/valeur&gt;</v>
      </c>
    </row>
    <row r="17564" spans="1:1" x14ac:dyDescent="0.2">
      <c r="A17564" s="996" t="str">
        <f>CONCATENATE(Programme!D17565,Programme!E17565,Programme!F17565,Programme!G17565,Programme!H17565,Programme!I17565,Programme!J17565)</f>
        <v>&lt;/ValeurCellule&gt;</v>
      </c>
    </row>
    <row r="17565" spans="1:1" x14ac:dyDescent="0.2">
      <c r="A17565" s="996" t="str">
        <f>CONCATENATE(Programme!D17566,Programme!E17566,Programme!F17566,Programme!G17566,Programme!H17566,Programme!I17566,Programme!J17566)</f>
        <v>&lt;ValeurCellule&gt;</v>
      </c>
    </row>
    <row r="17566" spans="1:1" x14ac:dyDescent="0.2">
      <c r="A17566" s="996" t="str">
        <f>CONCATENATE(Programme!D17567,Programme!E17567,Programme!F17567,Programme!G17567,Programme!H17567,Programme!I17567,Programme!J17567)</f>
        <v>&lt;cellule&gt;</v>
      </c>
    </row>
    <row r="17567" spans="1:1" x14ac:dyDescent="0.2">
      <c r="A17567" s="996" t="str">
        <f>CONCATENATE(Programme!D17568,Programme!E17568,Programme!F17568,Programme!G17568,Programme!H17568,Programme!I17568,Programme!J17568)</f>
        <v>&lt;codeEdi&gt;1131&lt;/codeEdi&gt;</v>
      </c>
    </row>
    <row r="17568" spans="1:1" x14ac:dyDescent="0.2">
      <c r="A17568" s="996" t="str">
        <f>CONCATENATE(Programme!D17569,Programme!E17569,Programme!F17569,Programme!G17569,Programme!H17569,Programme!I17569,Programme!J17569)</f>
        <v>&lt;/cellule&gt;</v>
      </c>
    </row>
    <row r="17569" spans="1:1" x14ac:dyDescent="0.2">
      <c r="A17569" s="996" t="str">
        <f>CONCATENATE(Programme!D17570,Programme!E17570,Programme!F17570,Programme!G17570,Programme!H17570,Programme!I17570,Programme!J17570)</f>
        <v>&lt;valeur&gt;&lt;/valeur&gt;</v>
      </c>
    </row>
    <row r="17570" spans="1:1" x14ac:dyDescent="0.2">
      <c r="A17570" s="996" t="str">
        <f>CONCATENATE(Programme!D17571,Programme!E17571,Programme!F17571,Programme!G17571,Programme!H17571,Programme!I17571,Programme!J17571)</f>
        <v>&lt;/ValeurCellule&gt;</v>
      </c>
    </row>
    <row r="17571" spans="1:1" x14ac:dyDescent="0.2">
      <c r="A17571" s="996" t="str">
        <f>CONCATENATE(Programme!D17572,Programme!E17572,Programme!F17572,Programme!G17572,Programme!H17572,Programme!I17572,Programme!J17572)</f>
        <v>&lt;ValeurCellule&gt;</v>
      </c>
    </row>
    <row r="17572" spans="1:1" x14ac:dyDescent="0.2">
      <c r="A17572" s="996" t="str">
        <f>CONCATENATE(Programme!D17573,Programme!E17573,Programme!F17573,Programme!G17573,Programme!H17573,Programme!I17573,Programme!J17573)</f>
        <v>&lt;cellule&gt;</v>
      </c>
    </row>
    <row r="17573" spans="1:1" x14ac:dyDescent="0.2">
      <c r="A17573" s="996" t="str">
        <f>CONCATENATE(Programme!D17574,Programme!E17574,Programme!F17574,Programme!G17574,Programme!H17574,Programme!I17574,Programme!J17574)</f>
        <v>&lt;codeEdi&gt;1140&lt;/codeEdi&gt;</v>
      </c>
    </row>
    <row r="17574" spans="1:1" x14ac:dyDescent="0.2">
      <c r="A17574" s="996" t="str">
        <f>CONCATENATE(Programme!D17575,Programme!E17575,Programme!F17575,Programme!G17575,Programme!H17575,Programme!I17575,Programme!J17575)</f>
        <v>&lt;/cellule&gt;</v>
      </c>
    </row>
    <row r="17575" spans="1:1" x14ac:dyDescent="0.2">
      <c r="A17575" s="996" t="str">
        <f>CONCATENATE(Programme!D17576,Programme!E17576,Programme!F17576,Programme!G17576,Programme!H17576,Programme!I17576,Programme!J17576)</f>
        <v>&lt;valeur&gt;&lt;/valeur&gt;</v>
      </c>
    </row>
    <row r="17576" spans="1:1" x14ac:dyDescent="0.2">
      <c r="A17576" s="996" t="str">
        <f>CONCATENATE(Programme!D17577,Programme!E17577,Programme!F17577,Programme!G17577,Programme!H17577,Programme!I17577,Programme!J17577)</f>
        <v>&lt;/ValeurCellule&gt;</v>
      </c>
    </row>
    <row r="17577" spans="1:1" x14ac:dyDescent="0.2">
      <c r="A17577" s="996" t="str">
        <f>CONCATENATE(Programme!D17578,Programme!E17578,Programme!F17578,Programme!G17578,Programme!H17578,Programme!I17578,Programme!J17578)</f>
        <v>&lt;ValeurCellule&gt;</v>
      </c>
    </row>
    <row r="17578" spans="1:1" x14ac:dyDescent="0.2">
      <c r="A17578" s="996" t="str">
        <f>CONCATENATE(Programme!D17579,Programme!E17579,Programme!F17579,Programme!G17579,Programme!H17579,Programme!I17579,Programme!J17579)</f>
        <v>&lt;cellule&gt;</v>
      </c>
    </row>
    <row r="17579" spans="1:1" x14ac:dyDescent="0.2">
      <c r="A17579" s="996" t="str">
        <f>CONCATENATE(Programme!D17580,Programme!E17580,Programme!F17580,Programme!G17580,Programme!H17580,Programme!I17580,Programme!J17580)</f>
        <v>&lt;codeEdi&gt;1149&lt;/codeEdi&gt;</v>
      </c>
    </row>
    <row r="17580" spans="1:1" x14ac:dyDescent="0.2">
      <c r="A17580" s="996" t="str">
        <f>CONCATENATE(Programme!D17581,Programme!E17581,Programme!F17581,Programme!G17581,Programme!H17581,Programme!I17581,Programme!J17581)</f>
        <v>&lt;/cellule&gt;</v>
      </c>
    </row>
    <row r="17581" spans="1:1" x14ac:dyDescent="0.2">
      <c r="A17581" s="996" t="str">
        <f>CONCATENATE(Programme!D17582,Programme!E17582,Programme!F17582,Programme!G17582,Programme!H17582,Programme!I17582,Programme!J17582)</f>
        <v>&lt;valeur&gt;&lt;/valeur&gt;</v>
      </c>
    </row>
    <row r="17582" spans="1:1" x14ac:dyDescent="0.2">
      <c r="A17582" s="996" t="str">
        <f>CONCATENATE(Programme!D17583,Programme!E17583,Programme!F17583,Programme!G17583,Programme!H17583,Programme!I17583,Programme!J17583)</f>
        <v>&lt;/ValeurCellule&gt;</v>
      </c>
    </row>
    <row r="17583" spans="1:1" x14ac:dyDescent="0.2">
      <c r="A17583" s="996" t="str">
        <f>CONCATENATE(Programme!D17584,Programme!E17584,Programme!F17584,Programme!G17584,Programme!H17584,Programme!I17584,Programme!J17584)</f>
        <v>&lt;ValeurCellule&gt;</v>
      </c>
    </row>
    <row r="17584" spans="1:1" x14ac:dyDescent="0.2">
      <c r="A17584" s="996" t="str">
        <f>CONCATENATE(Programme!D17585,Programme!E17585,Programme!F17585,Programme!G17585,Programme!H17585,Programme!I17585,Programme!J17585)</f>
        <v>&lt;cellule&gt;</v>
      </c>
    </row>
    <row r="17585" spans="1:1" x14ac:dyDescent="0.2">
      <c r="A17585" s="996" t="str">
        <f>CONCATENATE(Programme!D17586,Programme!E17586,Programme!F17586,Programme!G17586,Programme!H17586,Programme!I17586,Programme!J17586)</f>
        <v>&lt;codeEdi&gt;1158&lt;/codeEdi&gt;</v>
      </c>
    </row>
    <row r="17586" spans="1:1" x14ac:dyDescent="0.2">
      <c r="A17586" s="996" t="str">
        <f>CONCATENATE(Programme!D17587,Programme!E17587,Programme!F17587,Programme!G17587,Programme!H17587,Programme!I17587,Programme!J17587)</f>
        <v>&lt;/cellule&gt;</v>
      </c>
    </row>
    <row r="17587" spans="1:1" x14ac:dyDescent="0.2">
      <c r="A17587" s="996" t="str">
        <f>CONCATENATE(Programme!D17588,Programme!E17588,Programme!F17588,Programme!G17588,Programme!H17588,Programme!I17588,Programme!J17588)</f>
        <v>&lt;valeur&gt;&lt;/valeur&gt;</v>
      </c>
    </row>
    <row r="17588" spans="1:1" x14ac:dyDescent="0.2">
      <c r="A17588" s="996" t="str">
        <f>CONCATENATE(Programme!D17589,Programme!E17589,Programme!F17589,Programme!G17589,Programme!H17589,Programme!I17589,Programme!J17589)</f>
        <v>&lt;/ValeurCellule&gt;</v>
      </c>
    </row>
    <row r="17589" spans="1:1" x14ac:dyDescent="0.2">
      <c r="A17589" s="996" t="str">
        <f>CONCATENATE(Programme!D17590,Programme!E17590,Programme!F17590,Programme!G17590,Programme!H17590,Programme!I17590,Programme!J17590)</f>
        <v>&lt;ValeurCellule&gt;</v>
      </c>
    </row>
    <row r="17590" spans="1:1" x14ac:dyDescent="0.2">
      <c r="A17590" s="996" t="str">
        <f>CONCATENATE(Programme!D17591,Programme!E17591,Programme!F17591,Programme!G17591,Programme!H17591,Programme!I17591,Programme!J17591)</f>
        <v>&lt;cellule&gt;</v>
      </c>
    </row>
    <row r="17591" spans="1:1" x14ac:dyDescent="0.2">
      <c r="A17591" s="996" t="str">
        <f>CONCATENATE(Programme!D17592,Programme!E17592,Programme!F17592,Programme!G17592,Programme!H17592,Programme!I17592,Programme!J17592)</f>
        <v>&lt;codeEdi&gt;1167&lt;/codeEdi&gt;</v>
      </c>
    </row>
    <row r="17592" spans="1:1" x14ac:dyDescent="0.2">
      <c r="A17592" s="996" t="str">
        <f>CONCATENATE(Programme!D17593,Programme!E17593,Programme!F17593,Programme!G17593,Programme!H17593,Programme!I17593,Programme!J17593)</f>
        <v>&lt;/cellule&gt;</v>
      </c>
    </row>
    <row r="17593" spans="1:1" x14ac:dyDescent="0.2">
      <c r="A17593" s="996" t="str">
        <f>CONCATENATE(Programme!D17594,Programme!E17594,Programme!F17594,Programme!G17594,Programme!H17594,Programme!I17594,Programme!J17594)</f>
        <v>&lt;valeur&gt;&lt;/valeur&gt;</v>
      </c>
    </row>
    <row r="17594" spans="1:1" x14ac:dyDescent="0.2">
      <c r="A17594" s="996" t="str">
        <f>CONCATENATE(Programme!D17595,Programme!E17595,Programme!F17595,Programme!G17595,Programme!H17595,Programme!I17595,Programme!J17595)</f>
        <v>&lt;/ValeurCellule&gt;</v>
      </c>
    </row>
    <row r="17595" spans="1:1" x14ac:dyDescent="0.2">
      <c r="A17595" s="996" t="str">
        <f>CONCATENATE(Programme!D17596,Programme!E17596,Programme!F17596,Programme!G17596,Programme!H17596,Programme!I17596,Programme!J17596)</f>
        <v>&lt;ValeurCellule&gt;</v>
      </c>
    </row>
    <row r="17596" spans="1:1" x14ac:dyDescent="0.2">
      <c r="A17596" s="996" t="str">
        <f>CONCATENATE(Programme!D17597,Programme!E17597,Programme!F17597,Programme!G17597,Programme!H17597,Programme!I17597,Programme!J17597)</f>
        <v>&lt;cellule&gt;</v>
      </c>
    </row>
    <row r="17597" spans="1:1" x14ac:dyDescent="0.2">
      <c r="A17597" s="996" t="str">
        <f>CONCATENATE(Programme!D17598,Programme!E17598,Programme!F17598,Programme!G17598,Programme!H17598,Programme!I17598,Programme!J17598)</f>
        <v>&lt;codeEdi&gt;1185&lt;/codeEdi&gt;</v>
      </c>
    </row>
    <row r="17598" spans="1:1" x14ac:dyDescent="0.2">
      <c r="A17598" s="996" t="str">
        <f>CONCATENATE(Programme!D17599,Programme!E17599,Programme!F17599,Programme!G17599,Programme!H17599,Programme!I17599,Programme!J17599)</f>
        <v>&lt;/cellule&gt;</v>
      </c>
    </row>
    <row r="17599" spans="1:1" x14ac:dyDescent="0.2">
      <c r="A17599" s="996" t="str">
        <f>CONCATENATE(Programme!D17600,Programme!E17600,Programme!F17600,Programme!G17600,Programme!H17600,Programme!I17600,Programme!J17600)</f>
        <v>&lt;valeur&gt;&lt;/valeur&gt;</v>
      </c>
    </row>
    <row r="17600" spans="1:1" x14ac:dyDescent="0.2">
      <c r="A17600" s="996" t="str">
        <f>CONCATENATE(Programme!D17601,Programme!E17601,Programme!F17601,Programme!G17601,Programme!H17601,Programme!I17601,Programme!J17601)</f>
        <v>&lt;/ValeurCellule&gt;</v>
      </c>
    </row>
    <row r="17601" spans="1:1" x14ac:dyDescent="0.2">
      <c r="A17601" s="996" t="str">
        <f>CONCATENATE(Programme!D17602,Programme!E17602,Programme!F17602,Programme!G17602,Programme!H17602,Programme!I17602,Programme!J17602)</f>
        <v>&lt;ValeurCellule&gt;</v>
      </c>
    </row>
    <row r="17602" spans="1:1" x14ac:dyDescent="0.2">
      <c r="A17602" s="996" t="str">
        <f>CONCATENATE(Programme!D17603,Programme!E17603,Programme!F17603,Programme!G17603,Programme!H17603,Programme!I17603,Programme!J17603)</f>
        <v>&lt;cellule&gt;</v>
      </c>
    </row>
    <row r="17603" spans="1:1" x14ac:dyDescent="0.2">
      <c r="A17603" s="996" t="str">
        <f>CONCATENATE(Programme!D17604,Programme!E17604,Programme!F17604,Programme!G17604,Programme!H17604,Programme!I17604,Programme!J17604)</f>
        <v>&lt;codeEdi&gt;1194&lt;/codeEdi&gt;</v>
      </c>
    </row>
    <row r="17604" spans="1:1" x14ac:dyDescent="0.2">
      <c r="A17604" s="996" t="str">
        <f>CONCATENATE(Programme!D17605,Programme!E17605,Programme!F17605,Programme!G17605,Programme!H17605,Programme!I17605,Programme!J17605)</f>
        <v>&lt;/cellule&gt;</v>
      </c>
    </row>
    <row r="17605" spans="1:1" x14ac:dyDescent="0.2">
      <c r="A17605" s="996" t="str">
        <f>CONCATENATE(Programme!D17606,Programme!E17606,Programme!F17606,Programme!G17606,Programme!H17606,Programme!I17606,Programme!J17606)</f>
        <v>&lt;valeur&gt;&lt;/valeur&gt;</v>
      </c>
    </row>
    <row r="17606" spans="1:1" x14ac:dyDescent="0.2">
      <c r="A17606" s="996" t="str">
        <f>CONCATENATE(Programme!D17607,Programme!E17607,Programme!F17607,Programme!G17607,Programme!H17607,Programme!I17607,Programme!J17607)</f>
        <v>&lt;/ValeurCellule&gt;</v>
      </c>
    </row>
    <row r="17607" spans="1:1" x14ac:dyDescent="0.2">
      <c r="A17607" s="996" t="str">
        <f>CONCATENATE(Programme!D17608,Programme!E17608,Programme!F17608,Programme!G17608,Programme!H17608,Programme!I17608,Programme!J17608)</f>
        <v>&lt;ValeurCellule&gt;</v>
      </c>
    </row>
    <row r="17608" spans="1:1" x14ac:dyDescent="0.2">
      <c r="A17608" s="996" t="str">
        <f>CONCATENATE(Programme!D17609,Programme!E17609,Programme!F17609,Programme!G17609,Programme!H17609,Programme!I17609,Programme!J17609)</f>
        <v>&lt;cellule&gt;</v>
      </c>
    </row>
    <row r="17609" spans="1:1" x14ac:dyDescent="0.2">
      <c r="A17609" s="996" t="str">
        <f>CONCATENATE(Programme!D17610,Programme!E17610,Programme!F17610,Programme!G17610,Programme!H17610,Programme!I17610,Programme!J17610)</f>
        <v>&lt;codeEdi&gt;1203&lt;/codeEdi&gt;</v>
      </c>
    </row>
    <row r="17610" spans="1:1" x14ac:dyDescent="0.2">
      <c r="A17610" s="996" t="str">
        <f>CONCATENATE(Programme!D17611,Programme!E17611,Programme!F17611,Programme!G17611,Programme!H17611,Programme!I17611,Programme!J17611)</f>
        <v>&lt;/cellule&gt;</v>
      </c>
    </row>
    <row r="17611" spans="1:1" x14ac:dyDescent="0.2">
      <c r="A17611" s="996" t="str">
        <f>CONCATENATE(Programme!D17612,Programme!E17612,Programme!F17612,Programme!G17612,Programme!H17612,Programme!I17612,Programme!J17612)</f>
        <v>&lt;valeur&gt;0&lt;/valeur&gt;</v>
      </c>
    </row>
    <row r="17612" spans="1:1" x14ac:dyDescent="0.2">
      <c r="A17612" s="996" t="str">
        <f>CONCATENATE(Programme!D17613,Programme!E17613,Programme!F17613,Programme!G17613,Programme!H17613,Programme!I17613,Programme!J17613)</f>
        <v>&lt;/ValeurCellule&gt;</v>
      </c>
    </row>
    <row r="17613" spans="1:1" x14ac:dyDescent="0.2">
      <c r="A17613" s="996" t="str">
        <f>CONCATENATE(Programme!D17614,Programme!E17614,Programme!F17614,Programme!G17614,Programme!H17614,Programme!I17614,Programme!J17614)</f>
        <v>&lt;ValeurCellule&gt;</v>
      </c>
    </row>
    <row r="17614" spans="1:1" x14ac:dyDescent="0.2">
      <c r="A17614" s="996" t="str">
        <f>CONCATENATE(Programme!D17615,Programme!E17615,Programme!F17615,Programme!G17615,Programme!H17615,Programme!I17615,Programme!J17615)</f>
        <v>&lt;cellule&gt;</v>
      </c>
    </row>
    <row r="17615" spans="1:1" x14ac:dyDescent="0.2">
      <c r="A17615" s="996" t="str">
        <f>CONCATENATE(Programme!D17616,Programme!E17616,Programme!F17616,Programme!G17616,Programme!H17616,Programme!I17616,Programme!J17616)</f>
        <v>&lt;codeEdi&gt;1176&lt;/codeEdi&gt;</v>
      </c>
    </row>
    <row r="17616" spans="1:1" x14ac:dyDescent="0.2">
      <c r="A17616" s="996" t="str">
        <f>CONCATENATE(Programme!D17617,Programme!E17617,Programme!F17617,Programme!G17617,Programme!H17617,Programme!I17617,Programme!J17617)</f>
        <v>&lt;/cellule&gt;</v>
      </c>
    </row>
    <row r="17617" spans="1:1" x14ac:dyDescent="0.2">
      <c r="A17617" s="996" t="str">
        <f>CONCATENATE(Programme!D17618,Programme!E17618,Programme!F17618,Programme!G17618,Programme!H17618,Programme!I17618,Programme!J17618)</f>
        <v>&lt;valeur&gt;&lt;/valeur&gt;</v>
      </c>
    </row>
    <row r="17618" spans="1:1" x14ac:dyDescent="0.2">
      <c r="A17618" s="996" t="str">
        <f>CONCATENATE(Programme!D17619,Programme!E17619,Programme!F17619,Programme!G17619,Programme!H17619,Programme!I17619,Programme!J17619)</f>
        <v>&lt;/ValeurCellule&gt;</v>
      </c>
    </row>
    <row r="17619" spans="1:1" x14ac:dyDescent="0.2">
      <c r="A17619" s="996" t="str">
        <f>CONCATENATE(Programme!D17620,Programme!E17620,Programme!F17620,Programme!G17620,Programme!H17620,Programme!I17620,Programme!J17620)</f>
        <v>&lt;ValeurCellule&gt;</v>
      </c>
    </row>
    <row r="17620" spans="1:1" x14ac:dyDescent="0.2">
      <c r="A17620" s="996" t="str">
        <f>CONCATENATE(Programme!D17621,Programme!E17621,Programme!F17621,Programme!G17621,Programme!H17621,Programme!I17621,Programme!J17621)</f>
        <v>&lt;cellule&gt;</v>
      </c>
    </row>
    <row r="17621" spans="1:1" x14ac:dyDescent="0.2">
      <c r="A17621" s="996" t="str">
        <f>CONCATENATE(Programme!D17622,Programme!E17622,Programme!F17622,Programme!G17622,Programme!H17622,Programme!I17622,Programme!J17622)</f>
        <v>&lt;codeEdi&gt;1114&lt;/codeEdi&gt;</v>
      </c>
    </row>
    <row r="17622" spans="1:1" x14ac:dyDescent="0.2">
      <c r="A17622" s="996" t="str">
        <f>CONCATENATE(Programme!D17623,Programme!E17623,Programme!F17623,Programme!G17623,Programme!H17623,Programme!I17623,Programme!J17623)</f>
        <v>&lt;/cellule&gt;</v>
      </c>
    </row>
    <row r="17623" spans="1:1" x14ac:dyDescent="0.2">
      <c r="A17623" s="996" t="str">
        <f>CONCATENATE(Programme!D17624,Programme!E17624,Programme!F17624,Programme!G17624,Programme!H17624,Programme!I17624,Programme!J17624)</f>
        <v>&lt;valeur&gt;&lt;/valeur&gt;</v>
      </c>
    </row>
    <row r="17624" spans="1:1" x14ac:dyDescent="0.2">
      <c r="A17624" s="996" t="str">
        <f>CONCATENATE(Programme!D17625,Programme!E17625,Programme!F17625,Programme!G17625,Programme!H17625,Programme!I17625,Programme!J17625)</f>
        <v>&lt;/ValeurCellule&gt;</v>
      </c>
    </row>
    <row r="17625" spans="1:1" x14ac:dyDescent="0.2">
      <c r="A17625" s="996" t="str">
        <f>CONCATENATE(Programme!D17626,Programme!E17626,Programme!F17626,Programme!G17626,Programme!H17626,Programme!I17626,Programme!J17626)</f>
        <v>&lt;ValeurCellule&gt;</v>
      </c>
    </row>
    <row r="17626" spans="1:1" x14ac:dyDescent="0.2">
      <c r="A17626" s="996" t="str">
        <f>CONCATENATE(Programme!D17627,Programme!E17627,Programme!F17627,Programme!G17627,Programme!H17627,Programme!I17627,Programme!J17627)</f>
        <v>&lt;cellule&gt;</v>
      </c>
    </row>
    <row r="17627" spans="1:1" x14ac:dyDescent="0.2">
      <c r="A17627" s="996" t="str">
        <f>CONCATENATE(Programme!D17628,Programme!E17628,Programme!F17628,Programme!G17628,Programme!H17628,Programme!I17628,Programme!J17628)</f>
        <v>&lt;codeEdi&gt;1123&lt;/codeEdi&gt;</v>
      </c>
    </row>
    <row r="17628" spans="1:1" x14ac:dyDescent="0.2">
      <c r="A17628" s="996" t="str">
        <f>CONCATENATE(Programme!D17629,Programme!E17629,Programme!F17629,Programme!G17629,Programme!H17629,Programme!I17629,Programme!J17629)</f>
        <v>&lt;/cellule&gt;</v>
      </c>
    </row>
    <row r="17629" spans="1:1" x14ac:dyDescent="0.2">
      <c r="A17629" s="996" t="str">
        <f>CONCATENATE(Programme!D17630,Programme!E17630,Programme!F17630,Programme!G17630,Programme!H17630,Programme!I17630,Programme!J17630)</f>
        <v>&lt;valeur&gt;&lt;/valeur&gt;</v>
      </c>
    </row>
    <row r="17630" spans="1:1" x14ac:dyDescent="0.2">
      <c r="A17630" s="996" t="str">
        <f>CONCATENATE(Programme!D17631,Programme!E17631,Programme!F17631,Programme!G17631,Programme!H17631,Programme!I17631,Programme!J17631)</f>
        <v>&lt;/ValeurCellule&gt;</v>
      </c>
    </row>
    <row r="17631" spans="1:1" x14ac:dyDescent="0.2">
      <c r="A17631" s="996" t="str">
        <f>CONCATENATE(Programme!D17632,Programme!E17632,Programme!F17632,Programme!G17632,Programme!H17632,Programme!I17632,Programme!J17632)</f>
        <v>&lt;ValeurCellule&gt;</v>
      </c>
    </row>
    <row r="17632" spans="1:1" x14ac:dyDescent="0.2">
      <c r="A17632" s="996" t="str">
        <f>CONCATENATE(Programme!D17633,Programme!E17633,Programme!F17633,Programme!G17633,Programme!H17633,Programme!I17633,Programme!J17633)</f>
        <v>&lt;cellule&gt;</v>
      </c>
    </row>
    <row r="17633" spans="1:1" x14ac:dyDescent="0.2">
      <c r="A17633" s="996" t="str">
        <f>CONCATENATE(Programme!D17634,Programme!E17634,Programme!F17634,Programme!G17634,Programme!H17634,Programme!I17634,Programme!J17634)</f>
        <v>&lt;codeEdi&gt;1132&lt;/codeEdi&gt;</v>
      </c>
    </row>
    <row r="17634" spans="1:1" x14ac:dyDescent="0.2">
      <c r="A17634" s="996" t="str">
        <f>CONCATENATE(Programme!D17635,Programme!E17635,Programme!F17635,Programme!G17635,Programme!H17635,Programme!I17635,Programme!J17635)</f>
        <v>&lt;/cellule&gt;</v>
      </c>
    </row>
    <row r="17635" spans="1:1" x14ac:dyDescent="0.2">
      <c r="A17635" s="996" t="str">
        <f>CONCATENATE(Programme!D17636,Programme!E17636,Programme!F17636,Programme!G17636,Programme!H17636,Programme!I17636,Programme!J17636)</f>
        <v>&lt;valeur&gt;&lt;/valeur&gt;</v>
      </c>
    </row>
    <row r="17636" spans="1:1" x14ac:dyDescent="0.2">
      <c r="A17636" s="996" t="str">
        <f>CONCATENATE(Programme!D17637,Programme!E17637,Programme!F17637,Programme!G17637,Programme!H17637,Programme!I17637,Programme!J17637)</f>
        <v>&lt;/ValeurCellule&gt;</v>
      </c>
    </row>
    <row r="17637" spans="1:1" x14ac:dyDescent="0.2">
      <c r="A17637" s="996" t="str">
        <f>CONCATENATE(Programme!D17638,Programme!E17638,Programme!F17638,Programme!G17638,Programme!H17638,Programme!I17638,Programme!J17638)</f>
        <v>&lt;ValeurCellule&gt;</v>
      </c>
    </row>
    <row r="17638" spans="1:1" x14ac:dyDescent="0.2">
      <c r="A17638" s="996" t="str">
        <f>CONCATENATE(Programme!D17639,Programme!E17639,Programme!F17639,Programme!G17639,Programme!H17639,Programme!I17639,Programme!J17639)</f>
        <v>&lt;cellule&gt;</v>
      </c>
    </row>
    <row r="17639" spans="1:1" x14ac:dyDescent="0.2">
      <c r="A17639" s="996" t="str">
        <f>CONCATENATE(Programme!D17640,Programme!E17640,Programme!F17640,Programme!G17640,Programme!H17640,Programme!I17640,Programme!J17640)</f>
        <v>&lt;codeEdi&gt;1141&lt;/codeEdi&gt;</v>
      </c>
    </row>
    <row r="17640" spans="1:1" x14ac:dyDescent="0.2">
      <c r="A17640" s="996" t="str">
        <f>CONCATENATE(Programme!D17641,Programme!E17641,Programme!F17641,Programme!G17641,Programme!H17641,Programme!I17641,Programme!J17641)</f>
        <v>&lt;/cellule&gt;</v>
      </c>
    </row>
    <row r="17641" spans="1:1" x14ac:dyDescent="0.2">
      <c r="A17641" s="996" t="str">
        <f>CONCATENATE(Programme!D17642,Programme!E17642,Programme!F17642,Programme!G17642,Programme!H17642,Programme!I17642,Programme!J17642)</f>
        <v>&lt;valeur&gt;&lt;/valeur&gt;</v>
      </c>
    </row>
    <row r="17642" spans="1:1" x14ac:dyDescent="0.2">
      <c r="A17642" s="996" t="str">
        <f>CONCATENATE(Programme!D17643,Programme!E17643,Programme!F17643,Programme!G17643,Programme!H17643,Programme!I17643,Programme!J17643)</f>
        <v>&lt;/ValeurCellule&gt;</v>
      </c>
    </row>
    <row r="17643" spans="1:1" x14ac:dyDescent="0.2">
      <c r="A17643" s="996" t="str">
        <f>CONCATENATE(Programme!D17644,Programme!E17644,Programme!F17644,Programme!G17644,Programme!H17644,Programme!I17644,Programme!J17644)</f>
        <v>&lt;ValeurCellule&gt;</v>
      </c>
    </row>
    <row r="17644" spans="1:1" x14ac:dyDescent="0.2">
      <c r="A17644" s="996" t="str">
        <f>CONCATENATE(Programme!D17645,Programme!E17645,Programme!F17645,Programme!G17645,Programme!H17645,Programme!I17645,Programme!J17645)</f>
        <v>&lt;cellule&gt;</v>
      </c>
    </row>
    <row r="17645" spans="1:1" x14ac:dyDescent="0.2">
      <c r="A17645" s="996" t="str">
        <f>CONCATENATE(Programme!D17646,Programme!E17646,Programme!F17646,Programme!G17646,Programme!H17646,Programme!I17646,Programme!J17646)</f>
        <v>&lt;codeEdi&gt;1150&lt;/codeEdi&gt;</v>
      </c>
    </row>
    <row r="17646" spans="1:1" x14ac:dyDescent="0.2">
      <c r="A17646" s="996" t="str">
        <f>CONCATENATE(Programme!D17647,Programme!E17647,Programme!F17647,Programme!G17647,Programme!H17647,Programme!I17647,Programme!J17647)</f>
        <v>&lt;/cellule&gt;</v>
      </c>
    </row>
    <row r="17647" spans="1:1" x14ac:dyDescent="0.2">
      <c r="A17647" s="996" t="str">
        <f>CONCATENATE(Programme!D17648,Programme!E17648,Programme!F17648,Programme!G17648,Programme!H17648,Programme!I17648,Programme!J17648)</f>
        <v>&lt;valeur&gt;&lt;/valeur&gt;</v>
      </c>
    </row>
    <row r="17648" spans="1:1" x14ac:dyDescent="0.2">
      <c r="A17648" s="996" t="str">
        <f>CONCATENATE(Programme!D17649,Programme!E17649,Programme!F17649,Programme!G17649,Programme!H17649,Programme!I17649,Programme!J17649)</f>
        <v>&lt;/ValeurCellule&gt;</v>
      </c>
    </row>
    <row r="17649" spans="1:1" x14ac:dyDescent="0.2">
      <c r="A17649" s="996" t="str">
        <f>CONCATENATE(Programme!D17650,Programme!E17650,Programme!F17650,Programme!G17650,Programme!H17650,Programme!I17650,Programme!J17650)</f>
        <v>&lt;ValeurCellule&gt;</v>
      </c>
    </row>
    <row r="17650" spans="1:1" x14ac:dyDescent="0.2">
      <c r="A17650" s="996" t="str">
        <f>CONCATENATE(Programme!D17651,Programme!E17651,Programme!F17651,Programme!G17651,Programme!H17651,Programme!I17651,Programme!J17651)</f>
        <v>&lt;cellule&gt;</v>
      </c>
    </row>
    <row r="17651" spans="1:1" x14ac:dyDescent="0.2">
      <c r="A17651" s="996" t="str">
        <f>CONCATENATE(Programme!D17652,Programme!E17652,Programme!F17652,Programme!G17652,Programme!H17652,Programme!I17652,Programme!J17652)</f>
        <v>&lt;codeEdi&gt;1159&lt;/codeEdi&gt;</v>
      </c>
    </row>
    <row r="17652" spans="1:1" x14ac:dyDescent="0.2">
      <c r="A17652" s="996" t="str">
        <f>CONCATENATE(Programme!D17653,Programme!E17653,Programme!F17653,Programme!G17653,Programme!H17653,Programme!I17653,Programme!J17653)</f>
        <v>&lt;/cellule&gt;</v>
      </c>
    </row>
    <row r="17653" spans="1:1" x14ac:dyDescent="0.2">
      <c r="A17653" s="996" t="str">
        <f>CONCATENATE(Programme!D17654,Programme!E17654,Programme!F17654,Programme!G17654,Programme!H17654,Programme!I17654,Programme!J17654)</f>
        <v>&lt;valeur&gt;&lt;/valeur&gt;</v>
      </c>
    </row>
    <row r="17654" spans="1:1" x14ac:dyDescent="0.2">
      <c r="A17654" s="996" t="str">
        <f>CONCATENATE(Programme!D17655,Programme!E17655,Programme!F17655,Programme!G17655,Programme!H17655,Programme!I17655,Programme!J17655)</f>
        <v>&lt;/ValeurCellule&gt;</v>
      </c>
    </row>
    <row r="17655" spans="1:1" x14ac:dyDescent="0.2">
      <c r="A17655" s="996" t="str">
        <f>CONCATENATE(Programme!D17656,Programme!E17656,Programme!F17656,Programme!G17656,Programme!H17656,Programme!I17656,Programme!J17656)</f>
        <v>&lt;ValeurCellule&gt;</v>
      </c>
    </row>
    <row r="17656" spans="1:1" x14ac:dyDescent="0.2">
      <c r="A17656" s="996" t="str">
        <f>CONCATENATE(Programme!D17657,Programme!E17657,Programme!F17657,Programme!G17657,Programme!H17657,Programme!I17657,Programme!J17657)</f>
        <v>&lt;cellule&gt;</v>
      </c>
    </row>
    <row r="17657" spans="1:1" x14ac:dyDescent="0.2">
      <c r="A17657" s="996" t="str">
        <f>CONCATENATE(Programme!D17658,Programme!E17658,Programme!F17658,Programme!G17658,Programme!H17658,Programme!I17658,Programme!J17658)</f>
        <v>&lt;codeEdi&gt;1168&lt;/codeEdi&gt;</v>
      </c>
    </row>
    <row r="17658" spans="1:1" x14ac:dyDescent="0.2">
      <c r="A17658" s="996" t="str">
        <f>CONCATENATE(Programme!D17659,Programme!E17659,Programme!F17659,Programme!G17659,Programme!H17659,Programme!I17659,Programme!J17659)</f>
        <v>&lt;/cellule&gt;</v>
      </c>
    </row>
    <row r="17659" spans="1:1" x14ac:dyDescent="0.2">
      <c r="A17659" s="996" t="str">
        <f>CONCATENATE(Programme!D17660,Programme!E17660,Programme!F17660,Programme!G17660,Programme!H17660,Programme!I17660,Programme!J17660)</f>
        <v>&lt;valeur&gt;&lt;/valeur&gt;</v>
      </c>
    </row>
    <row r="17660" spans="1:1" x14ac:dyDescent="0.2">
      <c r="A17660" s="996" t="str">
        <f>CONCATENATE(Programme!D17661,Programme!E17661,Programme!F17661,Programme!G17661,Programme!H17661,Programme!I17661,Programme!J17661)</f>
        <v>&lt;/ValeurCellule&gt;</v>
      </c>
    </row>
    <row r="17661" spans="1:1" x14ac:dyDescent="0.2">
      <c r="A17661" s="996" t="str">
        <f>CONCATENATE(Programme!D17662,Programme!E17662,Programme!F17662,Programme!G17662,Programme!H17662,Programme!I17662,Programme!J17662)</f>
        <v>&lt;ValeurCellule&gt;</v>
      </c>
    </row>
    <row r="17662" spans="1:1" x14ac:dyDescent="0.2">
      <c r="A17662" s="996" t="str">
        <f>CONCATENATE(Programme!D17663,Programme!E17663,Programme!F17663,Programme!G17663,Programme!H17663,Programme!I17663,Programme!J17663)</f>
        <v>&lt;cellule&gt;</v>
      </c>
    </row>
    <row r="17663" spans="1:1" x14ac:dyDescent="0.2">
      <c r="A17663" s="996" t="str">
        <f>CONCATENATE(Programme!D17664,Programme!E17664,Programme!F17664,Programme!G17664,Programme!H17664,Programme!I17664,Programme!J17664)</f>
        <v>&lt;codeEdi&gt;1177&lt;/codeEdi&gt;</v>
      </c>
    </row>
    <row r="17664" spans="1:1" x14ac:dyDescent="0.2">
      <c r="A17664" s="996" t="str">
        <f>CONCATENATE(Programme!D17665,Programme!E17665,Programme!F17665,Programme!G17665,Programme!H17665,Programme!I17665,Programme!J17665)</f>
        <v>&lt;/cellule&gt;</v>
      </c>
    </row>
    <row r="17665" spans="1:1" x14ac:dyDescent="0.2">
      <c r="A17665" s="996" t="str">
        <f>CONCATENATE(Programme!D17666,Programme!E17666,Programme!F17666,Programme!G17666,Programme!H17666,Programme!I17666,Programme!J17666)</f>
        <v>&lt;valeur&gt;&lt;/valeur&gt;</v>
      </c>
    </row>
    <row r="17666" spans="1:1" x14ac:dyDescent="0.2">
      <c r="A17666" s="996" t="str">
        <f>CONCATENATE(Programme!D17667,Programme!E17667,Programme!F17667,Programme!G17667,Programme!H17667,Programme!I17667,Programme!J17667)</f>
        <v>&lt;/ValeurCellule&gt;</v>
      </c>
    </row>
    <row r="17667" spans="1:1" x14ac:dyDescent="0.2">
      <c r="A17667" s="996" t="str">
        <f>CONCATENATE(Programme!D17668,Programme!E17668,Programme!F17668,Programme!G17668,Programme!H17668,Programme!I17668,Programme!J17668)</f>
        <v>&lt;ValeurCellule&gt;</v>
      </c>
    </row>
    <row r="17668" spans="1:1" x14ac:dyDescent="0.2">
      <c r="A17668" s="996" t="str">
        <f>CONCATENATE(Programme!D17669,Programme!E17669,Programme!F17669,Programme!G17669,Programme!H17669,Programme!I17669,Programme!J17669)</f>
        <v>&lt;cellule&gt;</v>
      </c>
    </row>
    <row r="17669" spans="1:1" x14ac:dyDescent="0.2">
      <c r="A17669" s="996" t="str">
        <f>CONCATENATE(Programme!D17670,Programme!E17670,Programme!F17670,Programme!G17670,Programme!H17670,Programme!I17670,Programme!J17670)</f>
        <v>&lt;codeEdi&gt;1186&lt;/codeEdi&gt;</v>
      </c>
    </row>
    <row r="17670" spans="1:1" x14ac:dyDescent="0.2">
      <c r="A17670" s="996" t="str">
        <f>CONCATENATE(Programme!D17671,Programme!E17671,Programme!F17671,Programme!G17671,Programme!H17671,Programme!I17671,Programme!J17671)</f>
        <v>&lt;/cellule&gt;</v>
      </c>
    </row>
    <row r="17671" spans="1:1" x14ac:dyDescent="0.2">
      <c r="A17671" s="996" t="str">
        <f>CONCATENATE(Programme!D17672,Programme!E17672,Programme!F17672,Programme!G17672,Programme!H17672,Programme!I17672,Programme!J17672)</f>
        <v>&lt;valeur&gt;&lt;/valeur&gt;</v>
      </c>
    </row>
    <row r="17672" spans="1:1" x14ac:dyDescent="0.2">
      <c r="A17672" s="996" t="str">
        <f>CONCATENATE(Programme!D17673,Programme!E17673,Programme!F17673,Programme!G17673,Programme!H17673,Programme!I17673,Programme!J17673)</f>
        <v>&lt;/ValeurCellule&gt;</v>
      </c>
    </row>
    <row r="17673" spans="1:1" x14ac:dyDescent="0.2">
      <c r="A17673" s="996" t="str">
        <f>CONCATENATE(Programme!D17674,Programme!E17674,Programme!F17674,Programme!G17674,Programme!H17674,Programme!I17674,Programme!J17674)</f>
        <v>&lt;ValeurCellule&gt;</v>
      </c>
    </row>
    <row r="17674" spans="1:1" x14ac:dyDescent="0.2">
      <c r="A17674" s="996" t="str">
        <f>CONCATENATE(Programme!D17675,Programme!E17675,Programme!F17675,Programme!G17675,Programme!H17675,Programme!I17675,Programme!J17675)</f>
        <v>&lt;cellule&gt;</v>
      </c>
    </row>
    <row r="17675" spans="1:1" x14ac:dyDescent="0.2">
      <c r="A17675" s="996" t="str">
        <f>CONCATENATE(Programme!D17676,Programme!E17676,Programme!F17676,Programme!G17676,Programme!H17676,Programme!I17676,Programme!J17676)</f>
        <v>&lt;codeEdi&gt;1195&lt;/codeEdi&gt;</v>
      </c>
    </row>
    <row r="17676" spans="1:1" x14ac:dyDescent="0.2">
      <c r="A17676" s="996" t="str">
        <f>CONCATENATE(Programme!D17677,Programme!E17677,Programme!F17677,Programme!G17677,Programme!H17677,Programme!I17677,Programme!J17677)</f>
        <v>&lt;/cellule&gt;</v>
      </c>
    </row>
    <row r="17677" spans="1:1" x14ac:dyDescent="0.2">
      <c r="A17677" s="996" t="str">
        <f>CONCATENATE(Programme!D17678,Programme!E17678,Programme!F17678,Programme!G17678,Programme!H17678,Programme!I17678,Programme!J17678)</f>
        <v>&lt;valeur&gt;&lt;/valeur&gt;</v>
      </c>
    </row>
    <row r="17678" spans="1:1" x14ac:dyDescent="0.2">
      <c r="A17678" s="996" t="str">
        <f>CONCATENATE(Programme!D17679,Programme!E17679,Programme!F17679,Programme!G17679,Programme!H17679,Programme!I17679,Programme!J17679)</f>
        <v>&lt;/ValeurCellule&gt;</v>
      </c>
    </row>
    <row r="17679" spans="1:1" x14ac:dyDescent="0.2">
      <c r="A17679" s="996" t="str">
        <f>CONCATENATE(Programme!D17680,Programme!E17680,Programme!F17680,Programme!G17680,Programme!H17680,Programme!I17680,Programme!J17680)</f>
        <v>&lt;ValeurCellule&gt;</v>
      </c>
    </row>
    <row r="17680" spans="1:1" x14ac:dyDescent="0.2">
      <c r="A17680" s="996" t="str">
        <f>CONCATENATE(Programme!D17681,Programme!E17681,Programme!F17681,Programme!G17681,Programme!H17681,Programme!I17681,Programme!J17681)</f>
        <v>&lt;cellule&gt;</v>
      </c>
    </row>
    <row r="17681" spans="1:1" x14ac:dyDescent="0.2">
      <c r="A17681" s="996" t="str">
        <f>CONCATENATE(Programme!D17682,Programme!E17682,Programme!F17682,Programme!G17682,Programme!H17682,Programme!I17682,Programme!J17682)</f>
        <v>&lt;codeEdi&gt;1204&lt;/codeEdi&gt;</v>
      </c>
    </row>
    <row r="17682" spans="1:1" x14ac:dyDescent="0.2">
      <c r="A17682" s="996" t="str">
        <f>CONCATENATE(Programme!D17683,Programme!E17683,Programme!F17683,Programme!G17683,Programme!H17683,Programme!I17683,Programme!J17683)</f>
        <v>&lt;/cellule&gt;</v>
      </c>
    </row>
    <row r="17683" spans="1:1" x14ac:dyDescent="0.2">
      <c r="A17683" s="996" t="str">
        <f>CONCATENATE(Programme!D17684,Programme!E17684,Programme!F17684,Programme!G17684,Programme!H17684,Programme!I17684,Programme!J17684)</f>
        <v>&lt;valeur&gt;0&lt;/valeur&gt;</v>
      </c>
    </row>
    <row r="17684" spans="1:1" x14ac:dyDescent="0.2">
      <c r="A17684" s="996" t="str">
        <f>CONCATENATE(Programme!D17685,Programme!E17685,Programme!F17685,Programme!G17685,Programme!H17685,Programme!I17685,Programme!J17685)</f>
        <v>&lt;/ValeurCellule&gt;</v>
      </c>
    </row>
    <row r="17685" spans="1:1" x14ac:dyDescent="0.2">
      <c r="A17685" s="996" t="str">
        <f>CONCATENATE(Programme!D17686,Programme!E17686,Programme!F17686,Programme!G17686,Programme!H17686,Programme!I17686,Programme!J17686)</f>
        <v>&lt;ValeurCellule&gt;</v>
      </c>
    </row>
    <row r="17686" spans="1:1" x14ac:dyDescent="0.2">
      <c r="A17686" s="996" t="str">
        <f>CONCATENATE(Programme!D17687,Programme!E17687,Programme!F17687,Programme!G17687,Programme!H17687,Programme!I17687,Programme!J17687)</f>
        <v>&lt;cellule&gt;</v>
      </c>
    </row>
    <row r="17687" spans="1:1" x14ac:dyDescent="0.2">
      <c r="A17687" s="996" t="str">
        <f>CONCATENATE(Programme!D17688,Programme!E17688,Programme!F17688,Programme!G17688,Programme!H17688,Programme!I17688,Programme!J17688)</f>
        <v>&lt;codeEdi&gt;1115&lt;/codeEdi&gt;</v>
      </c>
    </row>
    <row r="17688" spans="1:1" x14ac:dyDescent="0.2">
      <c r="A17688" s="996" t="str">
        <f>CONCATENATE(Programme!D17689,Programme!E17689,Programme!F17689,Programme!G17689,Programme!H17689,Programme!I17689,Programme!J17689)</f>
        <v>&lt;/cellule&gt;</v>
      </c>
    </row>
    <row r="17689" spans="1:1" x14ac:dyDescent="0.2">
      <c r="A17689" s="996" t="str">
        <f>CONCATENATE(Programme!D17690,Programme!E17690,Programme!F17690,Programme!G17690,Programme!H17690,Programme!I17690,Programme!J17690)</f>
        <v>&lt;valeur&gt;&lt;/valeur&gt;</v>
      </c>
    </row>
    <row r="17690" spans="1:1" x14ac:dyDescent="0.2">
      <c r="A17690" s="996" t="str">
        <f>CONCATENATE(Programme!D17691,Programme!E17691,Programme!F17691,Programme!G17691,Programme!H17691,Programme!I17691,Programme!J17691)</f>
        <v>&lt;/ValeurCellule&gt;</v>
      </c>
    </row>
    <row r="17691" spans="1:1" x14ac:dyDescent="0.2">
      <c r="A17691" s="996" t="str">
        <f>CONCATENATE(Programme!D17692,Programme!E17692,Programme!F17692,Programme!G17692,Programme!H17692,Programme!I17692,Programme!J17692)</f>
        <v>&lt;ValeurCellule&gt;</v>
      </c>
    </row>
    <row r="17692" spans="1:1" x14ac:dyDescent="0.2">
      <c r="A17692" s="996" t="str">
        <f>CONCATENATE(Programme!D17693,Programme!E17693,Programme!F17693,Programme!G17693,Programme!H17693,Programme!I17693,Programme!J17693)</f>
        <v>&lt;cellule&gt;</v>
      </c>
    </row>
    <row r="17693" spans="1:1" x14ac:dyDescent="0.2">
      <c r="A17693" s="996" t="str">
        <f>CONCATENATE(Programme!D17694,Programme!E17694,Programme!F17694,Programme!G17694,Programme!H17694,Programme!I17694,Programme!J17694)</f>
        <v>&lt;codeEdi&gt;1124&lt;/codeEdi&gt;</v>
      </c>
    </row>
    <row r="17694" spans="1:1" x14ac:dyDescent="0.2">
      <c r="A17694" s="996" t="str">
        <f>CONCATENATE(Programme!D17695,Programme!E17695,Programme!F17695,Programme!G17695,Programme!H17695,Programme!I17695,Programme!J17695)</f>
        <v>&lt;/cellule&gt;</v>
      </c>
    </row>
    <row r="17695" spans="1:1" x14ac:dyDescent="0.2">
      <c r="A17695" s="996" t="str">
        <f>CONCATENATE(Programme!D17696,Programme!E17696,Programme!F17696,Programme!G17696,Programme!H17696,Programme!I17696,Programme!J17696)</f>
        <v>&lt;valeur&gt;&lt;/valeur&gt;</v>
      </c>
    </row>
    <row r="17696" spans="1:1" x14ac:dyDescent="0.2">
      <c r="A17696" s="996" t="str">
        <f>CONCATENATE(Programme!D17697,Programme!E17697,Programme!F17697,Programme!G17697,Programme!H17697,Programme!I17697,Programme!J17697)</f>
        <v>&lt;/ValeurCellule&gt;</v>
      </c>
    </row>
    <row r="17697" spans="1:1" x14ac:dyDescent="0.2">
      <c r="A17697" s="996" t="str">
        <f>CONCATENATE(Programme!D17698,Programme!E17698,Programme!F17698,Programme!G17698,Programme!H17698,Programme!I17698,Programme!J17698)</f>
        <v>&lt;ValeurCellule&gt;</v>
      </c>
    </row>
    <row r="17698" spans="1:1" x14ac:dyDescent="0.2">
      <c r="A17698" s="996" t="str">
        <f>CONCATENATE(Programme!D17699,Programme!E17699,Programme!F17699,Programme!G17699,Programme!H17699,Programme!I17699,Programme!J17699)</f>
        <v>&lt;cellule&gt;</v>
      </c>
    </row>
    <row r="17699" spans="1:1" x14ac:dyDescent="0.2">
      <c r="A17699" s="996" t="str">
        <f>CONCATENATE(Programme!D17700,Programme!E17700,Programme!F17700,Programme!G17700,Programme!H17700,Programme!I17700,Programme!J17700)</f>
        <v>&lt;codeEdi&gt;1133&lt;/codeEdi&gt;</v>
      </c>
    </row>
    <row r="17700" spans="1:1" x14ac:dyDescent="0.2">
      <c r="A17700" s="996" t="str">
        <f>CONCATENATE(Programme!D17701,Programme!E17701,Programme!F17701,Programme!G17701,Programme!H17701,Programme!I17701,Programme!J17701)</f>
        <v>&lt;/cellule&gt;</v>
      </c>
    </row>
    <row r="17701" spans="1:1" x14ac:dyDescent="0.2">
      <c r="A17701" s="996" t="str">
        <f>CONCATENATE(Programme!D17702,Programme!E17702,Programme!F17702,Programme!G17702,Programme!H17702,Programme!I17702,Programme!J17702)</f>
        <v>&lt;valeur&gt;&lt;/valeur&gt;</v>
      </c>
    </row>
    <row r="17702" spans="1:1" x14ac:dyDescent="0.2">
      <c r="A17702" s="996" t="str">
        <f>CONCATENATE(Programme!D17703,Programme!E17703,Programme!F17703,Programme!G17703,Programme!H17703,Programme!I17703,Programme!J17703)</f>
        <v>&lt;/ValeurCellule&gt;</v>
      </c>
    </row>
    <row r="17703" spans="1:1" x14ac:dyDescent="0.2">
      <c r="A17703" s="996" t="str">
        <f>CONCATENATE(Programme!D17704,Programme!E17704,Programme!F17704,Programme!G17704,Programme!H17704,Programme!I17704,Programme!J17704)</f>
        <v>&lt;ValeurCellule&gt;</v>
      </c>
    </row>
    <row r="17704" spans="1:1" x14ac:dyDescent="0.2">
      <c r="A17704" s="996" t="str">
        <f>CONCATENATE(Programme!D17705,Programme!E17705,Programme!F17705,Programme!G17705,Programme!H17705,Programme!I17705,Programme!J17705)</f>
        <v>&lt;cellule&gt;</v>
      </c>
    </row>
    <row r="17705" spans="1:1" x14ac:dyDescent="0.2">
      <c r="A17705" s="996" t="str">
        <f>CONCATENATE(Programme!D17706,Programme!E17706,Programme!F17706,Programme!G17706,Programme!H17706,Programme!I17706,Programme!J17706)</f>
        <v>&lt;codeEdi&gt;1142&lt;/codeEdi&gt;</v>
      </c>
    </row>
    <row r="17706" spans="1:1" x14ac:dyDescent="0.2">
      <c r="A17706" s="996" t="str">
        <f>CONCATENATE(Programme!D17707,Programme!E17707,Programme!F17707,Programme!G17707,Programme!H17707,Programme!I17707,Programme!J17707)</f>
        <v>&lt;/cellule&gt;</v>
      </c>
    </row>
    <row r="17707" spans="1:1" x14ac:dyDescent="0.2">
      <c r="A17707" s="996" t="str">
        <f>CONCATENATE(Programme!D17708,Programme!E17708,Programme!F17708,Programme!G17708,Programme!H17708,Programme!I17708,Programme!J17708)</f>
        <v>&lt;valeur&gt;&lt;/valeur&gt;</v>
      </c>
    </row>
    <row r="17708" spans="1:1" x14ac:dyDescent="0.2">
      <c r="A17708" s="996" t="str">
        <f>CONCATENATE(Programme!D17709,Programme!E17709,Programme!F17709,Programme!G17709,Programme!H17709,Programme!I17709,Programme!J17709)</f>
        <v>&lt;/ValeurCellule&gt;</v>
      </c>
    </row>
    <row r="17709" spans="1:1" x14ac:dyDescent="0.2">
      <c r="A17709" s="996" t="str">
        <f>CONCATENATE(Programme!D17710,Programme!E17710,Programme!F17710,Programme!G17710,Programme!H17710,Programme!I17710,Programme!J17710)</f>
        <v>&lt;ValeurCellule&gt;</v>
      </c>
    </row>
    <row r="17710" spans="1:1" x14ac:dyDescent="0.2">
      <c r="A17710" s="996" t="str">
        <f>CONCATENATE(Programme!D17711,Programme!E17711,Programme!F17711,Programme!G17711,Programme!H17711,Programme!I17711,Programme!J17711)</f>
        <v>&lt;cellule&gt;</v>
      </c>
    </row>
    <row r="17711" spans="1:1" x14ac:dyDescent="0.2">
      <c r="A17711" s="996" t="str">
        <f>CONCATENATE(Programme!D17712,Programme!E17712,Programme!F17712,Programme!G17712,Programme!H17712,Programme!I17712,Programme!J17712)</f>
        <v>&lt;codeEdi&gt;1151&lt;/codeEdi&gt;</v>
      </c>
    </row>
    <row r="17712" spans="1:1" x14ac:dyDescent="0.2">
      <c r="A17712" s="996" t="str">
        <f>CONCATENATE(Programme!D17713,Programme!E17713,Programme!F17713,Programme!G17713,Programme!H17713,Programme!I17713,Programme!J17713)</f>
        <v>&lt;/cellule&gt;</v>
      </c>
    </row>
    <row r="17713" spans="1:1" x14ac:dyDescent="0.2">
      <c r="A17713" s="996" t="str">
        <f>CONCATENATE(Programme!D17714,Programme!E17714,Programme!F17714,Programme!G17714,Programme!H17714,Programme!I17714,Programme!J17714)</f>
        <v>&lt;valeur&gt;&lt;/valeur&gt;</v>
      </c>
    </row>
    <row r="17714" spans="1:1" x14ac:dyDescent="0.2">
      <c r="A17714" s="996" t="str">
        <f>CONCATENATE(Programme!D17715,Programme!E17715,Programme!F17715,Programme!G17715,Programme!H17715,Programme!I17715,Programme!J17715)</f>
        <v>&lt;/ValeurCellule&gt;</v>
      </c>
    </row>
    <row r="17715" spans="1:1" x14ac:dyDescent="0.2">
      <c r="A17715" s="996" t="str">
        <f>CONCATENATE(Programme!D17716,Programme!E17716,Programme!F17716,Programme!G17716,Programme!H17716,Programme!I17716,Programme!J17716)</f>
        <v>&lt;ValeurCellule&gt;</v>
      </c>
    </row>
    <row r="17716" spans="1:1" x14ac:dyDescent="0.2">
      <c r="A17716" s="996" t="str">
        <f>CONCATENATE(Programme!D17717,Programme!E17717,Programme!F17717,Programme!G17717,Programme!H17717,Programme!I17717,Programme!J17717)</f>
        <v>&lt;cellule&gt;</v>
      </c>
    </row>
    <row r="17717" spans="1:1" x14ac:dyDescent="0.2">
      <c r="A17717" s="996" t="str">
        <f>CONCATENATE(Programme!D17718,Programme!E17718,Programme!F17718,Programme!G17718,Programme!H17718,Programme!I17718,Programme!J17718)</f>
        <v>&lt;codeEdi&gt;1160&lt;/codeEdi&gt;</v>
      </c>
    </row>
    <row r="17718" spans="1:1" x14ac:dyDescent="0.2">
      <c r="A17718" s="996" t="str">
        <f>CONCATENATE(Programme!D17719,Programme!E17719,Programme!F17719,Programme!G17719,Programme!H17719,Programme!I17719,Programme!J17719)</f>
        <v>&lt;/cellule&gt;</v>
      </c>
    </row>
    <row r="17719" spans="1:1" x14ac:dyDescent="0.2">
      <c r="A17719" s="996" t="str">
        <f>CONCATENATE(Programme!D17720,Programme!E17720,Programme!F17720,Programme!G17720,Programme!H17720,Programme!I17720,Programme!J17720)</f>
        <v>&lt;valeur&gt;&lt;/valeur&gt;</v>
      </c>
    </row>
    <row r="17720" spans="1:1" x14ac:dyDescent="0.2">
      <c r="A17720" s="996" t="str">
        <f>CONCATENATE(Programme!D17721,Programme!E17721,Programme!F17721,Programme!G17721,Programme!H17721,Programme!I17721,Programme!J17721)</f>
        <v>&lt;/ValeurCellule&gt;</v>
      </c>
    </row>
    <row r="17721" spans="1:1" x14ac:dyDescent="0.2">
      <c r="A17721" s="996" t="str">
        <f>CONCATENATE(Programme!D17722,Programme!E17722,Programme!F17722,Programme!G17722,Programme!H17722,Programme!I17722,Programme!J17722)</f>
        <v>&lt;ValeurCellule&gt;</v>
      </c>
    </row>
    <row r="17722" spans="1:1" x14ac:dyDescent="0.2">
      <c r="A17722" s="996" t="str">
        <f>CONCATENATE(Programme!D17723,Programme!E17723,Programme!F17723,Programme!G17723,Programme!H17723,Programme!I17723,Programme!J17723)</f>
        <v>&lt;cellule&gt;</v>
      </c>
    </row>
    <row r="17723" spans="1:1" x14ac:dyDescent="0.2">
      <c r="A17723" s="996" t="str">
        <f>CONCATENATE(Programme!D17724,Programme!E17724,Programme!F17724,Programme!G17724,Programme!H17724,Programme!I17724,Programme!J17724)</f>
        <v>&lt;codeEdi&gt;1169&lt;/codeEdi&gt;</v>
      </c>
    </row>
    <row r="17724" spans="1:1" x14ac:dyDescent="0.2">
      <c r="A17724" s="996" t="str">
        <f>CONCATENATE(Programme!D17725,Programme!E17725,Programme!F17725,Programme!G17725,Programme!H17725,Programme!I17725,Programme!J17725)</f>
        <v>&lt;/cellule&gt;</v>
      </c>
    </row>
    <row r="17725" spans="1:1" x14ac:dyDescent="0.2">
      <c r="A17725" s="996" t="str">
        <f>CONCATENATE(Programme!D17726,Programme!E17726,Programme!F17726,Programme!G17726,Programme!H17726,Programme!I17726,Programme!J17726)</f>
        <v>&lt;valeur&gt;&lt;/valeur&gt;</v>
      </c>
    </row>
    <row r="17726" spans="1:1" x14ac:dyDescent="0.2">
      <c r="A17726" s="996" t="str">
        <f>CONCATENATE(Programme!D17727,Programme!E17727,Programme!F17727,Programme!G17727,Programme!H17727,Programme!I17727,Programme!J17727)</f>
        <v>&lt;/ValeurCellule&gt;</v>
      </c>
    </row>
    <row r="17727" spans="1:1" x14ac:dyDescent="0.2">
      <c r="A17727" s="996" t="str">
        <f>CONCATENATE(Programme!D17728,Programme!E17728,Programme!F17728,Programme!G17728,Programme!H17728,Programme!I17728,Programme!J17728)</f>
        <v>&lt;ValeurCellule&gt;</v>
      </c>
    </row>
    <row r="17728" spans="1:1" x14ac:dyDescent="0.2">
      <c r="A17728" s="996" t="str">
        <f>CONCATENATE(Programme!D17729,Programme!E17729,Programme!F17729,Programme!G17729,Programme!H17729,Programme!I17729,Programme!J17729)</f>
        <v>&lt;cellule&gt;</v>
      </c>
    </row>
    <row r="17729" spans="1:1" x14ac:dyDescent="0.2">
      <c r="A17729" s="996" t="str">
        <f>CONCATENATE(Programme!D17730,Programme!E17730,Programme!F17730,Programme!G17730,Programme!H17730,Programme!I17730,Programme!J17730)</f>
        <v>&lt;codeEdi&gt;1178&lt;/codeEdi&gt;</v>
      </c>
    </row>
    <row r="17730" spans="1:1" x14ac:dyDescent="0.2">
      <c r="A17730" s="996" t="str">
        <f>CONCATENATE(Programme!D17731,Programme!E17731,Programme!F17731,Programme!G17731,Programme!H17731,Programme!I17731,Programme!J17731)</f>
        <v>&lt;/cellule&gt;</v>
      </c>
    </row>
    <row r="17731" spans="1:1" x14ac:dyDescent="0.2">
      <c r="A17731" s="996" t="str">
        <f>CONCATENATE(Programme!D17732,Programme!E17732,Programme!F17732,Programme!G17732,Programme!H17732,Programme!I17732,Programme!J17732)</f>
        <v>&lt;valeur&gt;&lt;/valeur&gt;</v>
      </c>
    </row>
    <row r="17732" spans="1:1" x14ac:dyDescent="0.2">
      <c r="A17732" s="996" t="str">
        <f>CONCATENATE(Programme!D17733,Programme!E17733,Programme!F17733,Programme!G17733,Programme!H17733,Programme!I17733,Programme!J17733)</f>
        <v>&lt;/ValeurCellule&gt;</v>
      </c>
    </row>
    <row r="17733" spans="1:1" x14ac:dyDescent="0.2">
      <c r="A17733" s="996" t="str">
        <f>CONCATENATE(Programme!D17734,Programme!E17734,Programme!F17734,Programme!G17734,Programme!H17734,Programme!I17734,Programme!J17734)</f>
        <v>&lt;ValeurCellule&gt;</v>
      </c>
    </row>
    <row r="17734" spans="1:1" x14ac:dyDescent="0.2">
      <c r="A17734" s="996" t="str">
        <f>CONCATENATE(Programme!D17735,Programme!E17735,Programme!F17735,Programme!G17735,Programme!H17735,Programme!I17735,Programme!J17735)</f>
        <v>&lt;cellule&gt;</v>
      </c>
    </row>
    <row r="17735" spans="1:1" x14ac:dyDescent="0.2">
      <c r="A17735" s="996" t="str">
        <f>CONCATENATE(Programme!D17736,Programme!E17736,Programme!F17736,Programme!G17736,Programme!H17736,Programme!I17736,Programme!J17736)</f>
        <v>&lt;codeEdi&gt;1187&lt;/codeEdi&gt;</v>
      </c>
    </row>
    <row r="17736" spans="1:1" x14ac:dyDescent="0.2">
      <c r="A17736" s="996" t="str">
        <f>CONCATENATE(Programme!D17737,Programme!E17737,Programme!F17737,Programme!G17737,Programme!H17737,Programme!I17737,Programme!J17737)</f>
        <v>&lt;/cellule&gt;</v>
      </c>
    </row>
    <row r="17737" spans="1:1" x14ac:dyDescent="0.2">
      <c r="A17737" s="996" t="str">
        <f>CONCATENATE(Programme!D17738,Programme!E17738,Programme!F17738,Programme!G17738,Programme!H17738,Programme!I17738,Programme!J17738)</f>
        <v>&lt;valeur&gt;&lt;/valeur&gt;</v>
      </c>
    </row>
    <row r="17738" spans="1:1" x14ac:dyDescent="0.2">
      <c r="A17738" s="996" t="str">
        <f>CONCATENATE(Programme!D17739,Programme!E17739,Programme!F17739,Programme!G17739,Programme!H17739,Programme!I17739,Programme!J17739)</f>
        <v>&lt;/ValeurCellule&gt;</v>
      </c>
    </row>
    <row r="17739" spans="1:1" x14ac:dyDescent="0.2">
      <c r="A17739" s="996" t="str">
        <f>CONCATENATE(Programme!D17740,Programme!E17740,Programme!F17740,Programme!G17740,Programme!H17740,Programme!I17740,Programme!J17740)</f>
        <v>&lt;ValeurCellule&gt;</v>
      </c>
    </row>
    <row r="17740" spans="1:1" x14ac:dyDescent="0.2">
      <c r="A17740" s="996" t="str">
        <f>CONCATENATE(Programme!D17741,Programme!E17741,Programme!F17741,Programme!G17741,Programme!H17741,Programme!I17741,Programme!J17741)</f>
        <v>&lt;cellule&gt;</v>
      </c>
    </row>
    <row r="17741" spans="1:1" x14ac:dyDescent="0.2">
      <c r="A17741" s="996" t="str">
        <f>CONCATENATE(Programme!D17742,Programme!E17742,Programme!F17742,Programme!G17742,Programme!H17742,Programme!I17742,Programme!J17742)</f>
        <v>&lt;codeEdi&gt;1196&lt;/codeEdi&gt;</v>
      </c>
    </row>
    <row r="17742" spans="1:1" x14ac:dyDescent="0.2">
      <c r="A17742" s="996" t="str">
        <f>CONCATENATE(Programme!D17743,Programme!E17743,Programme!F17743,Programme!G17743,Programme!H17743,Programme!I17743,Programme!J17743)</f>
        <v>&lt;/cellule&gt;</v>
      </c>
    </row>
    <row r="17743" spans="1:1" x14ac:dyDescent="0.2">
      <c r="A17743" s="996" t="str">
        <f>CONCATENATE(Programme!D17744,Programme!E17744,Programme!F17744,Programme!G17744,Programme!H17744,Programme!I17744,Programme!J17744)</f>
        <v>&lt;valeur&gt;&lt;/valeur&gt;</v>
      </c>
    </row>
    <row r="17744" spans="1:1" x14ac:dyDescent="0.2">
      <c r="A17744" s="996" t="str">
        <f>CONCATENATE(Programme!D17745,Programme!E17745,Programme!F17745,Programme!G17745,Programme!H17745,Programme!I17745,Programme!J17745)</f>
        <v>&lt;/ValeurCellule&gt;</v>
      </c>
    </row>
    <row r="17745" spans="1:1" x14ac:dyDescent="0.2">
      <c r="A17745" s="996" t="str">
        <f>CONCATENATE(Programme!D17746,Programme!E17746,Programme!F17746,Programme!G17746,Programme!H17746,Programme!I17746,Programme!J17746)</f>
        <v>&lt;ValeurCellule&gt;</v>
      </c>
    </row>
    <row r="17746" spans="1:1" x14ac:dyDescent="0.2">
      <c r="A17746" s="996" t="str">
        <f>CONCATENATE(Programme!D17747,Programme!E17747,Programme!F17747,Programme!G17747,Programme!H17747,Programme!I17747,Programme!J17747)</f>
        <v>&lt;cellule&gt;</v>
      </c>
    </row>
    <row r="17747" spans="1:1" x14ac:dyDescent="0.2">
      <c r="A17747" s="996" t="str">
        <f>CONCATENATE(Programme!D17748,Programme!E17748,Programme!F17748,Programme!G17748,Programme!H17748,Programme!I17748,Programme!J17748)</f>
        <v>&lt;codeEdi&gt;1205&lt;/codeEdi&gt;</v>
      </c>
    </row>
    <row r="17748" spans="1:1" x14ac:dyDescent="0.2">
      <c r="A17748" s="996" t="str">
        <f>CONCATENATE(Programme!D17749,Programme!E17749,Programme!F17749,Programme!G17749,Programme!H17749,Programme!I17749,Programme!J17749)</f>
        <v>&lt;/cellule&gt;</v>
      </c>
    </row>
    <row r="17749" spans="1:1" x14ac:dyDescent="0.2">
      <c r="A17749" s="996" t="str">
        <f>CONCATENATE(Programme!D17750,Programme!E17750,Programme!F17750,Programme!G17750,Programme!H17750,Programme!I17750,Programme!J17750)</f>
        <v>&lt;valeur&gt;0&lt;/valeur&gt;</v>
      </c>
    </row>
    <row r="17750" spans="1:1" x14ac:dyDescent="0.2">
      <c r="A17750" s="996" t="str">
        <f>CONCATENATE(Programme!D17751,Programme!E17751,Programme!F17751,Programme!G17751,Programme!H17751,Programme!I17751,Programme!J17751)</f>
        <v>&lt;/ValeurCellule&gt;</v>
      </c>
    </row>
    <row r="17751" spans="1:1" x14ac:dyDescent="0.2">
      <c r="A17751" s="996" t="str">
        <f>CONCATENATE(Programme!D17752,Programme!E17752,Programme!F17752,Programme!G17752,Programme!H17752,Programme!I17752,Programme!J17752)</f>
        <v>&lt;ValeurCellule&gt;</v>
      </c>
    </row>
    <row r="17752" spans="1:1" x14ac:dyDescent="0.2">
      <c r="A17752" s="996" t="str">
        <f>CONCATENATE(Programme!D17753,Programme!E17753,Programme!F17753,Programme!G17753,Programme!H17753,Programme!I17753,Programme!J17753)</f>
        <v>&lt;cellule&gt;</v>
      </c>
    </row>
    <row r="17753" spans="1:1" x14ac:dyDescent="0.2">
      <c r="A17753" s="996" t="str">
        <f>CONCATENATE(Programme!D17754,Programme!E17754,Programme!F17754,Programme!G17754,Programme!H17754,Programme!I17754,Programme!J17754)</f>
        <v>&lt;codeEdi&gt;1116&lt;/codeEdi&gt;</v>
      </c>
    </row>
    <row r="17754" spans="1:1" x14ac:dyDescent="0.2">
      <c r="A17754" s="996" t="str">
        <f>CONCATENATE(Programme!D17755,Programme!E17755,Programme!F17755,Programme!G17755,Programme!H17755,Programme!I17755,Programme!J17755)</f>
        <v>&lt;/cellule&gt;</v>
      </c>
    </row>
    <row r="17755" spans="1:1" x14ac:dyDescent="0.2">
      <c r="A17755" s="996" t="str">
        <f>CONCATENATE(Programme!D17756,Programme!E17756,Programme!F17756,Programme!G17756,Programme!H17756,Programme!I17756,Programme!J17756)</f>
        <v>&lt;valeur&gt;&lt;/valeur&gt;</v>
      </c>
    </row>
    <row r="17756" spans="1:1" x14ac:dyDescent="0.2">
      <c r="A17756" s="996" t="str">
        <f>CONCATENATE(Programme!D17757,Programme!E17757,Programme!F17757,Programme!G17757,Programme!H17757,Programme!I17757,Programme!J17757)</f>
        <v>&lt;/ValeurCellule&gt;</v>
      </c>
    </row>
    <row r="17757" spans="1:1" x14ac:dyDescent="0.2">
      <c r="A17757" s="996" t="str">
        <f>CONCATENATE(Programme!D17758,Programme!E17758,Programme!F17758,Programme!G17758,Programme!H17758,Programme!I17758,Programme!J17758)</f>
        <v>&lt;ValeurCellule&gt;</v>
      </c>
    </row>
    <row r="17758" spans="1:1" x14ac:dyDescent="0.2">
      <c r="A17758" s="996" t="str">
        <f>CONCATENATE(Programme!D17759,Programme!E17759,Programme!F17759,Programme!G17759,Programme!H17759,Programme!I17759,Programme!J17759)</f>
        <v>&lt;cellule&gt;</v>
      </c>
    </row>
    <row r="17759" spans="1:1" x14ac:dyDescent="0.2">
      <c r="A17759" s="996" t="str">
        <f>CONCATENATE(Programme!D17760,Programme!E17760,Programme!F17760,Programme!G17760,Programme!H17760,Programme!I17760,Programme!J17760)</f>
        <v>&lt;codeEdi&gt;1125&lt;/codeEdi&gt;</v>
      </c>
    </row>
    <row r="17760" spans="1:1" x14ac:dyDescent="0.2">
      <c r="A17760" s="996" t="str">
        <f>CONCATENATE(Programme!D17761,Programme!E17761,Programme!F17761,Programme!G17761,Programme!H17761,Programme!I17761,Programme!J17761)</f>
        <v>&lt;/cellule&gt;</v>
      </c>
    </row>
    <row r="17761" spans="1:1" x14ac:dyDescent="0.2">
      <c r="A17761" s="996" t="str">
        <f>CONCATENATE(Programme!D17762,Programme!E17762,Programme!F17762,Programme!G17762,Programme!H17762,Programme!I17762,Programme!J17762)</f>
        <v>&lt;valeur&gt;&lt;/valeur&gt;</v>
      </c>
    </row>
    <row r="17762" spans="1:1" x14ac:dyDescent="0.2">
      <c r="A17762" s="996" t="str">
        <f>CONCATENATE(Programme!D17763,Programme!E17763,Programme!F17763,Programme!G17763,Programme!H17763,Programme!I17763,Programme!J17763)</f>
        <v>&lt;/ValeurCellule&gt;</v>
      </c>
    </row>
    <row r="17763" spans="1:1" x14ac:dyDescent="0.2">
      <c r="A17763" s="996" t="str">
        <f>CONCATENATE(Programme!D17764,Programme!E17764,Programme!F17764,Programme!G17764,Programme!H17764,Programme!I17764,Programme!J17764)</f>
        <v>&lt;ValeurCellule&gt;</v>
      </c>
    </row>
    <row r="17764" spans="1:1" x14ac:dyDescent="0.2">
      <c r="A17764" s="996" t="str">
        <f>CONCATENATE(Programme!D17765,Programme!E17765,Programme!F17765,Programme!G17765,Programme!H17765,Programme!I17765,Programme!J17765)</f>
        <v>&lt;cellule&gt;</v>
      </c>
    </row>
    <row r="17765" spans="1:1" x14ac:dyDescent="0.2">
      <c r="A17765" s="996" t="str">
        <f>CONCATENATE(Programme!D17766,Programme!E17766,Programme!F17766,Programme!G17766,Programme!H17766,Programme!I17766,Programme!J17766)</f>
        <v>&lt;codeEdi&gt;1134&lt;/codeEdi&gt;</v>
      </c>
    </row>
    <row r="17766" spans="1:1" x14ac:dyDescent="0.2">
      <c r="A17766" s="996" t="str">
        <f>CONCATENATE(Programme!D17767,Programme!E17767,Programme!F17767,Programme!G17767,Programme!H17767,Programme!I17767,Programme!J17767)</f>
        <v>&lt;/cellule&gt;</v>
      </c>
    </row>
    <row r="17767" spans="1:1" x14ac:dyDescent="0.2">
      <c r="A17767" s="996" t="str">
        <f>CONCATENATE(Programme!D17768,Programme!E17768,Programme!F17768,Programme!G17768,Programme!H17768,Programme!I17768,Programme!J17768)</f>
        <v>&lt;valeur&gt;&lt;/valeur&gt;</v>
      </c>
    </row>
    <row r="17768" spans="1:1" x14ac:dyDescent="0.2">
      <c r="A17768" s="996" t="str">
        <f>CONCATENATE(Programme!D17769,Programme!E17769,Programme!F17769,Programme!G17769,Programme!H17769,Programme!I17769,Programme!J17769)</f>
        <v>&lt;/ValeurCellule&gt;</v>
      </c>
    </row>
    <row r="17769" spans="1:1" x14ac:dyDescent="0.2">
      <c r="A17769" s="996" t="str">
        <f>CONCATENATE(Programme!D17770,Programme!E17770,Programme!F17770,Programme!G17770,Programme!H17770,Programme!I17770,Programme!J17770)</f>
        <v>&lt;ValeurCellule&gt;</v>
      </c>
    </row>
    <row r="17770" spans="1:1" x14ac:dyDescent="0.2">
      <c r="A17770" s="996" t="str">
        <f>CONCATENATE(Programme!D17771,Programme!E17771,Programme!F17771,Programme!G17771,Programme!H17771,Programme!I17771,Programme!J17771)</f>
        <v>&lt;cellule&gt;</v>
      </c>
    </row>
    <row r="17771" spans="1:1" x14ac:dyDescent="0.2">
      <c r="A17771" s="996" t="str">
        <f>CONCATENATE(Programme!D17772,Programme!E17772,Programme!F17772,Programme!G17772,Programme!H17772,Programme!I17772,Programme!J17772)</f>
        <v>&lt;codeEdi&gt;1143&lt;/codeEdi&gt;</v>
      </c>
    </row>
    <row r="17772" spans="1:1" x14ac:dyDescent="0.2">
      <c r="A17772" s="996" t="str">
        <f>CONCATENATE(Programme!D17773,Programme!E17773,Programme!F17773,Programme!G17773,Programme!H17773,Programme!I17773,Programme!J17773)</f>
        <v>&lt;/cellule&gt;</v>
      </c>
    </row>
    <row r="17773" spans="1:1" x14ac:dyDescent="0.2">
      <c r="A17773" s="996" t="str">
        <f>CONCATENATE(Programme!D17774,Programme!E17774,Programme!F17774,Programme!G17774,Programme!H17774,Programme!I17774,Programme!J17774)</f>
        <v>&lt;valeur&gt;&lt;/valeur&gt;</v>
      </c>
    </row>
    <row r="17774" spans="1:1" x14ac:dyDescent="0.2">
      <c r="A17774" s="996" t="str">
        <f>CONCATENATE(Programme!D17775,Programme!E17775,Programme!F17775,Programme!G17775,Programme!H17775,Programme!I17775,Programme!J17775)</f>
        <v>&lt;/ValeurCellule&gt;</v>
      </c>
    </row>
    <row r="17775" spans="1:1" x14ac:dyDescent="0.2">
      <c r="A17775" s="996" t="str">
        <f>CONCATENATE(Programme!D17776,Programme!E17776,Programme!F17776,Programme!G17776,Programme!H17776,Programme!I17776,Programme!J17776)</f>
        <v>&lt;ValeurCellule&gt;</v>
      </c>
    </row>
    <row r="17776" spans="1:1" x14ac:dyDescent="0.2">
      <c r="A17776" s="996" t="str">
        <f>CONCATENATE(Programme!D17777,Programme!E17777,Programme!F17777,Programme!G17777,Programme!H17777,Programme!I17777,Programme!J17777)</f>
        <v>&lt;cellule&gt;</v>
      </c>
    </row>
    <row r="17777" spans="1:1" x14ac:dyDescent="0.2">
      <c r="A17777" s="996" t="str">
        <f>CONCATENATE(Programme!D17778,Programme!E17778,Programme!F17778,Programme!G17778,Programme!H17778,Programme!I17778,Programme!J17778)</f>
        <v>&lt;codeEdi&gt;1152&lt;/codeEdi&gt;</v>
      </c>
    </row>
    <row r="17778" spans="1:1" x14ac:dyDescent="0.2">
      <c r="A17778" s="996" t="str">
        <f>CONCATENATE(Programme!D17779,Programme!E17779,Programme!F17779,Programme!G17779,Programme!H17779,Programme!I17779,Programme!J17779)</f>
        <v>&lt;/cellule&gt;</v>
      </c>
    </row>
    <row r="17779" spans="1:1" x14ac:dyDescent="0.2">
      <c r="A17779" s="996" t="str">
        <f>CONCATENATE(Programme!D17780,Programme!E17780,Programme!F17780,Programme!G17780,Programme!H17780,Programme!I17780,Programme!J17780)</f>
        <v>&lt;valeur&gt;&lt;/valeur&gt;</v>
      </c>
    </row>
    <row r="17780" spans="1:1" x14ac:dyDescent="0.2">
      <c r="A17780" s="996" t="str">
        <f>CONCATENATE(Programme!D17781,Programme!E17781,Programme!F17781,Programme!G17781,Programme!H17781,Programme!I17781,Programme!J17781)</f>
        <v>&lt;/ValeurCellule&gt;</v>
      </c>
    </row>
    <row r="17781" spans="1:1" x14ac:dyDescent="0.2">
      <c r="A17781" s="996" t="str">
        <f>CONCATENATE(Programme!D17782,Programme!E17782,Programme!F17782,Programme!G17782,Programme!H17782,Programme!I17782,Programme!J17782)</f>
        <v>&lt;ValeurCellule&gt;</v>
      </c>
    </row>
    <row r="17782" spans="1:1" x14ac:dyDescent="0.2">
      <c r="A17782" s="996" t="str">
        <f>CONCATENATE(Programme!D17783,Programme!E17783,Programme!F17783,Programme!G17783,Programme!H17783,Programme!I17783,Programme!J17783)</f>
        <v>&lt;cellule&gt;</v>
      </c>
    </row>
    <row r="17783" spans="1:1" x14ac:dyDescent="0.2">
      <c r="A17783" s="996" t="str">
        <f>CONCATENATE(Programme!D17784,Programme!E17784,Programme!F17784,Programme!G17784,Programme!H17784,Programme!I17784,Programme!J17784)</f>
        <v>&lt;codeEdi&gt;1161&lt;/codeEdi&gt;</v>
      </c>
    </row>
    <row r="17784" spans="1:1" x14ac:dyDescent="0.2">
      <c r="A17784" s="996" t="str">
        <f>CONCATENATE(Programme!D17785,Programme!E17785,Programme!F17785,Programme!G17785,Programme!H17785,Programme!I17785,Programme!J17785)</f>
        <v>&lt;/cellule&gt;</v>
      </c>
    </row>
    <row r="17785" spans="1:1" x14ac:dyDescent="0.2">
      <c r="A17785" s="996" t="str">
        <f>CONCATENATE(Programme!D17786,Programme!E17786,Programme!F17786,Programme!G17786,Programme!H17786,Programme!I17786,Programme!J17786)</f>
        <v>&lt;valeur&gt;&lt;/valeur&gt;</v>
      </c>
    </row>
    <row r="17786" spans="1:1" x14ac:dyDescent="0.2">
      <c r="A17786" s="996" t="str">
        <f>CONCATENATE(Programme!D17787,Programme!E17787,Programme!F17787,Programme!G17787,Programme!H17787,Programme!I17787,Programme!J17787)</f>
        <v>&lt;/ValeurCellule&gt;</v>
      </c>
    </row>
    <row r="17787" spans="1:1" x14ac:dyDescent="0.2">
      <c r="A17787" s="996" t="str">
        <f>CONCATENATE(Programme!D17788,Programme!E17788,Programme!F17788,Programme!G17788,Programme!H17788,Programme!I17788,Programme!J17788)</f>
        <v>&lt;ValeurCellule&gt;</v>
      </c>
    </row>
    <row r="17788" spans="1:1" x14ac:dyDescent="0.2">
      <c r="A17788" s="996" t="str">
        <f>CONCATENATE(Programme!D17789,Programme!E17789,Programme!F17789,Programme!G17789,Programme!H17789,Programme!I17789,Programme!J17789)</f>
        <v>&lt;cellule&gt;</v>
      </c>
    </row>
    <row r="17789" spans="1:1" x14ac:dyDescent="0.2">
      <c r="A17789" s="996" t="str">
        <f>CONCATENATE(Programme!D17790,Programme!E17790,Programme!F17790,Programme!G17790,Programme!H17790,Programme!I17790,Programme!J17790)</f>
        <v>&lt;codeEdi&gt;1170&lt;/codeEdi&gt;</v>
      </c>
    </row>
    <row r="17790" spans="1:1" x14ac:dyDescent="0.2">
      <c r="A17790" s="996" t="str">
        <f>CONCATENATE(Programme!D17791,Programme!E17791,Programme!F17791,Programme!G17791,Programme!H17791,Programme!I17791,Programme!J17791)</f>
        <v>&lt;/cellule&gt;</v>
      </c>
    </row>
    <row r="17791" spans="1:1" x14ac:dyDescent="0.2">
      <c r="A17791" s="996" t="str">
        <f>CONCATENATE(Programme!D17792,Programme!E17792,Programme!F17792,Programme!G17792,Programme!H17792,Programme!I17792,Programme!J17792)</f>
        <v>&lt;valeur&gt;&lt;/valeur&gt;</v>
      </c>
    </row>
    <row r="17792" spans="1:1" x14ac:dyDescent="0.2">
      <c r="A17792" s="996" t="str">
        <f>CONCATENATE(Programme!D17793,Programme!E17793,Programme!F17793,Programme!G17793,Programme!H17793,Programme!I17793,Programme!J17793)</f>
        <v>&lt;/ValeurCellule&gt;</v>
      </c>
    </row>
    <row r="17793" spans="1:1" x14ac:dyDescent="0.2">
      <c r="A17793" s="996" t="str">
        <f>CONCATENATE(Programme!D17794,Programme!E17794,Programme!F17794,Programme!G17794,Programme!H17794,Programme!I17794,Programme!J17794)</f>
        <v>&lt;ValeurCellule&gt;</v>
      </c>
    </row>
    <row r="17794" spans="1:1" x14ac:dyDescent="0.2">
      <c r="A17794" s="996" t="str">
        <f>CONCATENATE(Programme!D17795,Programme!E17795,Programme!F17795,Programme!G17795,Programme!H17795,Programme!I17795,Programme!J17795)</f>
        <v>&lt;cellule&gt;</v>
      </c>
    </row>
    <row r="17795" spans="1:1" x14ac:dyDescent="0.2">
      <c r="A17795" s="996" t="str">
        <f>CONCATENATE(Programme!D17796,Programme!E17796,Programme!F17796,Programme!G17796,Programme!H17796,Programme!I17796,Programme!J17796)</f>
        <v>&lt;codeEdi&gt;1179&lt;/codeEdi&gt;</v>
      </c>
    </row>
    <row r="17796" spans="1:1" x14ac:dyDescent="0.2">
      <c r="A17796" s="996" t="str">
        <f>CONCATENATE(Programme!D17797,Programme!E17797,Programme!F17797,Programme!G17797,Programme!H17797,Programme!I17797,Programme!J17797)</f>
        <v>&lt;/cellule&gt;</v>
      </c>
    </row>
    <row r="17797" spans="1:1" x14ac:dyDescent="0.2">
      <c r="A17797" s="996" t="str">
        <f>CONCATENATE(Programme!D17798,Programme!E17798,Programme!F17798,Programme!G17798,Programme!H17798,Programme!I17798,Programme!J17798)</f>
        <v>&lt;valeur&gt;&lt;/valeur&gt;</v>
      </c>
    </row>
    <row r="17798" spans="1:1" x14ac:dyDescent="0.2">
      <c r="A17798" s="996" t="str">
        <f>CONCATENATE(Programme!D17799,Programme!E17799,Programme!F17799,Programme!G17799,Programme!H17799,Programme!I17799,Programme!J17799)</f>
        <v>&lt;/ValeurCellule&gt;</v>
      </c>
    </row>
    <row r="17799" spans="1:1" x14ac:dyDescent="0.2">
      <c r="A17799" s="996" t="str">
        <f>CONCATENATE(Programme!D17800,Programme!E17800,Programme!F17800,Programme!G17800,Programme!H17800,Programme!I17800,Programme!J17800)</f>
        <v>&lt;ValeurCellule&gt;</v>
      </c>
    </row>
    <row r="17800" spans="1:1" x14ac:dyDescent="0.2">
      <c r="A17800" s="996" t="str">
        <f>CONCATENATE(Programme!D17801,Programme!E17801,Programme!F17801,Programme!G17801,Programme!H17801,Programme!I17801,Programme!J17801)</f>
        <v>&lt;cellule&gt;</v>
      </c>
    </row>
    <row r="17801" spans="1:1" x14ac:dyDescent="0.2">
      <c r="A17801" s="996" t="str">
        <f>CONCATENATE(Programme!D17802,Programme!E17802,Programme!F17802,Programme!G17802,Programme!H17802,Programme!I17802,Programme!J17802)</f>
        <v>&lt;codeEdi&gt;1188&lt;/codeEdi&gt;</v>
      </c>
    </row>
    <row r="17802" spans="1:1" x14ac:dyDescent="0.2">
      <c r="A17802" s="996" t="str">
        <f>CONCATENATE(Programme!D17803,Programme!E17803,Programme!F17803,Programme!G17803,Programme!H17803,Programme!I17803,Programme!J17803)</f>
        <v>&lt;/cellule&gt;</v>
      </c>
    </row>
    <row r="17803" spans="1:1" x14ac:dyDescent="0.2">
      <c r="A17803" s="996" t="str">
        <f>CONCATENATE(Programme!D17804,Programme!E17804,Programme!F17804,Programme!G17804,Programme!H17804,Programme!I17804,Programme!J17804)</f>
        <v>&lt;valeur&gt;&lt;/valeur&gt;</v>
      </c>
    </row>
    <row r="17804" spans="1:1" x14ac:dyDescent="0.2">
      <c r="A17804" s="996" t="str">
        <f>CONCATENATE(Programme!D17805,Programme!E17805,Programme!F17805,Programme!G17805,Programme!H17805,Programme!I17805,Programme!J17805)</f>
        <v>&lt;/ValeurCellule&gt;</v>
      </c>
    </row>
    <row r="17805" spans="1:1" x14ac:dyDescent="0.2">
      <c r="A17805" s="996" t="str">
        <f>CONCATENATE(Programme!D17806,Programme!E17806,Programme!F17806,Programme!G17806,Programme!H17806,Programme!I17806,Programme!J17806)</f>
        <v>&lt;ValeurCellule&gt;</v>
      </c>
    </row>
    <row r="17806" spans="1:1" x14ac:dyDescent="0.2">
      <c r="A17806" s="996" t="str">
        <f>CONCATENATE(Programme!D17807,Programme!E17807,Programme!F17807,Programme!G17807,Programme!H17807,Programme!I17807,Programme!J17807)</f>
        <v>&lt;cellule&gt;</v>
      </c>
    </row>
    <row r="17807" spans="1:1" x14ac:dyDescent="0.2">
      <c r="A17807" s="996" t="str">
        <f>CONCATENATE(Programme!D17808,Programme!E17808,Programme!F17808,Programme!G17808,Programme!H17808,Programme!I17808,Programme!J17808)</f>
        <v>&lt;codeEdi&gt;1197&lt;/codeEdi&gt;</v>
      </c>
    </row>
    <row r="17808" spans="1:1" x14ac:dyDescent="0.2">
      <c r="A17808" s="996" t="str">
        <f>CONCATENATE(Programme!D17809,Programme!E17809,Programme!F17809,Programme!G17809,Programme!H17809,Programme!I17809,Programme!J17809)</f>
        <v>&lt;/cellule&gt;</v>
      </c>
    </row>
    <row r="17809" spans="1:1" x14ac:dyDescent="0.2">
      <c r="A17809" s="996" t="str">
        <f>CONCATENATE(Programme!D17810,Programme!E17810,Programme!F17810,Programme!G17810,Programme!H17810,Programme!I17810,Programme!J17810)</f>
        <v>&lt;valeur&gt;&lt;/valeur&gt;</v>
      </c>
    </row>
    <row r="17810" spans="1:1" x14ac:dyDescent="0.2">
      <c r="A17810" s="996" t="str">
        <f>CONCATENATE(Programme!D17811,Programme!E17811,Programme!F17811,Programme!G17811,Programme!H17811,Programme!I17811,Programme!J17811)</f>
        <v>&lt;/ValeurCellule&gt;</v>
      </c>
    </row>
    <row r="17811" spans="1:1" x14ac:dyDescent="0.2">
      <c r="A17811" s="996" t="str">
        <f>CONCATENATE(Programme!D17812,Programme!E17812,Programme!F17812,Programme!G17812,Programme!H17812,Programme!I17812,Programme!J17812)</f>
        <v>&lt;ValeurCellule&gt;</v>
      </c>
    </row>
    <row r="17812" spans="1:1" x14ac:dyDescent="0.2">
      <c r="A17812" s="996" t="str">
        <f>CONCATENATE(Programme!D17813,Programme!E17813,Programme!F17813,Programme!G17813,Programme!H17813,Programme!I17813,Programme!J17813)</f>
        <v>&lt;cellule&gt;</v>
      </c>
    </row>
    <row r="17813" spans="1:1" x14ac:dyDescent="0.2">
      <c r="A17813" s="996" t="str">
        <f>CONCATENATE(Programme!D17814,Programme!E17814,Programme!F17814,Programme!G17814,Programme!H17814,Programme!I17814,Programme!J17814)</f>
        <v>&lt;codeEdi&gt;1206&lt;/codeEdi&gt;</v>
      </c>
    </row>
    <row r="17814" spans="1:1" x14ac:dyDescent="0.2">
      <c r="A17814" s="996" t="str">
        <f>CONCATENATE(Programme!D17815,Programme!E17815,Programme!F17815,Programme!G17815,Programme!H17815,Programme!I17815,Programme!J17815)</f>
        <v>&lt;/cellule&gt;</v>
      </c>
    </row>
    <row r="17815" spans="1:1" x14ac:dyDescent="0.2">
      <c r="A17815" s="996" t="str">
        <f>CONCATENATE(Programme!D17816,Programme!E17816,Programme!F17816,Programme!G17816,Programme!H17816,Programme!I17816,Programme!J17816)</f>
        <v>&lt;valeur&gt;0&lt;/valeur&gt;</v>
      </c>
    </row>
    <row r="17816" spans="1:1" x14ac:dyDescent="0.2">
      <c r="A17816" s="996" t="str">
        <f>CONCATENATE(Programme!D17817,Programme!E17817,Programme!F17817,Programme!G17817,Programme!H17817,Programme!I17817,Programme!J17817)</f>
        <v>&lt;/ValeurCellule&gt;</v>
      </c>
    </row>
    <row r="17817" spans="1:1" x14ac:dyDescent="0.2">
      <c r="A17817" s="996" t="str">
        <f>CONCATENATE(Programme!D17818,Programme!E17818,Programme!F17818,Programme!G17818,Programme!H17818,Programme!I17818,Programme!J17818)</f>
        <v>&lt;ValeurCellule&gt;</v>
      </c>
    </row>
    <row r="17818" spans="1:1" x14ac:dyDescent="0.2">
      <c r="A17818" s="996" t="str">
        <f>CONCATENATE(Programme!D17819,Programme!E17819,Programme!F17819,Programme!G17819,Programme!H17819,Programme!I17819,Programme!J17819)</f>
        <v>&lt;cellule&gt;</v>
      </c>
    </row>
    <row r="17819" spans="1:1" x14ac:dyDescent="0.2">
      <c r="A17819" s="996" t="str">
        <f>CONCATENATE(Programme!D17820,Programme!E17820,Programme!F17820,Programme!G17820,Programme!H17820,Programme!I17820,Programme!J17820)</f>
        <v>&lt;codeEdi&gt;1117&lt;/codeEdi&gt;</v>
      </c>
    </row>
    <row r="17820" spans="1:1" x14ac:dyDescent="0.2">
      <c r="A17820" s="996" t="str">
        <f>CONCATENATE(Programme!D17821,Programme!E17821,Programme!F17821,Programme!G17821,Programme!H17821,Programme!I17821,Programme!J17821)</f>
        <v>&lt;/cellule&gt;</v>
      </c>
    </row>
    <row r="17821" spans="1:1" x14ac:dyDescent="0.2">
      <c r="A17821" s="996" t="str">
        <f>CONCATENATE(Programme!D17822,Programme!E17822,Programme!F17822,Programme!G17822,Programme!H17822,Programme!I17822,Programme!J17822)</f>
        <v>&lt;valeur&gt;&lt;/valeur&gt;</v>
      </c>
    </row>
    <row r="17822" spans="1:1" x14ac:dyDescent="0.2">
      <c r="A17822" s="996" t="str">
        <f>CONCATENATE(Programme!D17823,Programme!E17823,Programme!F17823,Programme!G17823,Programme!H17823,Programme!I17823,Programme!J17823)</f>
        <v>&lt;/ValeurCellule&gt;</v>
      </c>
    </row>
    <row r="17823" spans="1:1" x14ac:dyDescent="0.2">
      <c r="A17823" s="996" t="str">
        <f>CONCATENATE(Programme!D17824,Programme!E17824,Programme!F17824,Programme!G17824,Programme!H17824,Programme!I17824,Programme!J17824)</f>
        <v>&lt;ValeurCellule&gt;</v>
      </c>
    </row>
    <row r="17824" spans="1:1" x14ac:dyDescent="0.2">
      <c r="A17824" s="996" t="str">
        <f>CONCATENATE(Programme!D17825,Programme!E17825,Programme!F17825,Programme!G17825,Programme!H17825,Programme!I17825,Programme!J17825)</f>
        <v>&lt;cellule&gt;</v>
      </c>
    </row>
    <row r="17825" spans="1:1" x14ac:dyDescent="0.2">
      <c r="A17825" s="996" t="str">
        <f>CONCATENATE(Programme!D17826,Programme!E17826,Programme!F17826,Programme!G17826,Programme!H17826,Programme!I17826,Programme!J17826)</f>
        <v>&lt;codeEdi&gt;1126&lt;/codeEdi&gt;</v>
      </c>
    </row>
    <row r="17826" spans="1:1" x14ac:dyDescent="0.2">
      <c r="A17826" s="996" t="str">
        <f>CONCATENATE(Programme!D17827,Programme!E17827,Programme!F17827,Programme!G17827,Programme!H17827,Programme!I17827,Programme!J17827)</f>
        <v>&lt;/cellule&gt;</v>
      </c>
    </row>
    <row r="17827" spans="1:1" x14ac:dyDescent="0.2">
      <c r="A17827" s="996" t="str">
        <f>CONCATENATE(Programme!D17828,Programme!E17828,Programme!F17828,Programme!G17828,Programme!H17828,Programme!I17828,Programme!J17828)</f>
        <v>&lt;valeur&gt;&lt;/valeur&gt;</v>
      </c>
    </row>
    <row r="17828" spans="1:1" x14ac:dyDescent="0.2">
      <c r="A17828" s="996" t="str">
        <f>CONCATENATE(Programme!D17829,Programme!E17829,Programme!F17829,Programme!G17829,Programme!H17829,Programme!I17829,Programme!J17829)</f>
        <v>&lt;/ValeurCellule&gt;</v>
      </c>
    </row>
    <row r="17829" spans="1:1" x14ac:dyDescent="0.2">
      <c r="A17829" s="996" t="str">
        <f>CONCATENATE(Programme!D17830,Programme!E17830,Programme!F17830,Programme!G17830,Programme!H17830,Programme!I17830,Programme!J17830)</f>
        <v>&lt;ValeurCellule&gt;</v>
      </c>
    </row>
    <row r="17830" spans="1:1" x14ac:dyDescent="0.2">
      <c r="A17830" s="996" t="str">
        <f>CONCATENATE(Programme!D17831,Programme!E17831,Programme!F17831,Programme!G17831,Programme!H17831,Programme!I17831,Programme!J17831)</f>
        <v>&lt;cellule&gt;</v>
      </c>
    </row>
    <row r="17831" spans="1:1" x14ac:dyDescent="0.2">
      <c r="A17831" s="996" t="str">
        <f>CONCATENATE(Programme!D17832,Programme!E17832,Programme!F17832,Programme!G17832,Programme!H17832,Programme!I17832,Programme!J17832)</f>
        <v>&lt;codeEdi&gt;1135&lt;/codeEdi&gt;</v>
      </c>
    </row>
    <row r="17832" spans="1:1" x14ac:dyDescent="0.2">
      <c r="A17832" s="996" t="str">
        <f>CONCATENATE(Programme!D17833,Programme!E17833,Programme!F17833,Programme!G17833,Programme!H17833,Programme!I17833,Programme!J17833)</f>
        <v>&lt;/cellule&gt;</v>
      </c>
    </row>
    <row r="17833" spans="1:1" x14ac:dyDescent="0.2">
      <c r="A17833" s="996" t="str">
        <f>CONCATENATE(Programme!D17834,Programme!E17834,Programme!F17834,Programme!G17834,Programme!H17834,Programme!I17834,Programme!J17834)</f>
        <v>&lt;valeur&gt;&lt;/valeur&gt;</v>
      </c>
    </row>
    <row r="17834" spans="1:1" x14ac:dyDescent="0.2">
      <c r="A17834" s="996" t="str">
        <f>CONCATENATE(Programme!D17835,Programme!E17835,Programme!F17835,Programme!G17835,Programme!H17835,Programme!I17835,Programme!J17835)</f>
        <v>&lt;/ValeurCellule&gt;</v>
      </c>
    </row>
    <row r="17835" spans="1:1" x14ac:dyDescent="0.2">
      <c r="A17835" s="996" t="str">
        <f>CONCATENATE(Programme!D17836,Programme!E17836,Programme!F17836,Programme!G17836,Programme!H17836,Programme!I17836,Programme!J17836)</f>
        <v>&lt;ValeurCellule&gt;</v>
      </c>
    </row>
    <row r="17836" spans="1:1" x14ac:dyDescent="0.2">
      <c r="A17836" s="996" t="str">
        <f>CONCATENATE(Programme!D17837,Programme!E17837,Programme!F17837,Programme!G17837,Programme!H17837,Programme!I17837,Programme!J17837)</f>
        <v>&lt;cellule&gt;</v>
      </c>
    </row>
    <row r="17837" spans="1:1" x14ac:dyDescent="0.2">
      <c r="A17837" s="996" t="str">
        <f>CONCATENATE(Programme!D17838,Programme!E17838,Programme!F17838,Programme!G17838,Programme!H17838,Programme!I17838,Programme!J17838)</f>
        <v>&lt;codeEdi&gt;1144&lt;/codeEdi&gt;</v>
      </c>
    </row>
    <row r="17838" spans="1:1" x14ac:dyDescent="0.2">
      <c r="A17838" s="996" t="str">
        <f>CONCATENATE(Programme!D17839,Programme!E17839,Programme!F17839,Programme!G17839,Programme!H17839,Programme!I17839,Programme!J17839)</f>
        <v>&lt;/cellule&gt;</v>
      </c>
    </row>
    <row r="17839" spans="1:1" x14ac:dyDescent="0.2">
      <c r="A17839" s="996" t="str">
        <f>CONCATENATE(Programme!D17840,Programme!E17840,Programme!F17840,Programme!G17840,Programme!H17840,Programme!I17840,Programme!J17840)</f>
        <v>&lt;valeur&gt;&lt;/valeur&gt;</v>
      </c>
    </row>
    <row r="17840" spans="1:1" x14ac:dyDescent="0.2">
      <c r="A17840" s="996" t="str">
        <f>CONCATENATE(Programme!D17841,Programme!E17841,Programme!F17841,Programme!G17841,Programme!H17841,Programme!I17841,Programme!J17841)</f>
        <v>&lt;/ValeurCellule&gt;</v>
      </c>
    </row>
    <row r="17841" spans="1:1" x14ac:dyDescent="0.2">
      <c r="A17841" s="996" t="str">
        <f>CONCATENATE(Programme!D17842,Programme!E17842,Programme!F17842,Programme!G17842,Programme!H17842,Programme!I17842,Programme!J17842)</f>
        <v>&lt;ValeurCellule&gt;</v>
      </c>
    </row>
    <row r="17842" spans="1:1" x14ac:dyDescent="0.2">
      <c r="A17842" s="996" t="str">
        <f>CONCATENATE(Programme!D17843,Programme!E17843,Programme!F17843,Programme!G17843,Programme!H17843,Programme!I17843,Programme!J17843)</f>
        <v>&lt;cellule&gt;</v>
      </c>
    </row>
    <row r="17843" spans="1:1" x14ac:dyDescent="0.2">
      <c r="A17843" s="996" t="str">
        <f>CONCATENATE(Programme!D17844,Programme!E17844,Programme!F17844,Programme!G17844,Programme!H17844,Programme!I17844,Programme!J17844)</f>
        <v>&lt;codeEdi&gt;1153&lt;/codeEdi&gt;</v>
      </c>
    </row>
    <row r="17844" spans="1:1" x14ac:dyDescent="0.2">
      <c r="A17844" s="996" t="str">
        <f>CONCATENATE(Programme!D17845,Programme!E17845,Programme!F17845,Programme!G17845,Programme!H17845,Programme!I17845,Programme!J17845)</f>
        <v>&lt;/cellule&gt;</v>
      </c>
    </row>
    <row r="17845" spans="1:1" x14ac:dyDescent="0.2">
      <c r="A17845" s="996" t="str">
        <f>CONCATENATE(Programme!D17846,Programme!E17846,Programme!F17846,Programme!G17846,Programme!H17846,Programme!I17846,Programme!J17846)</f>
        <v>&lt;valeur&gt;&lt;/valeur&gt;</v>
      </c>
    </row>
    <row r="17846" spans="1:1" x14ac:dyDescent="0.2">
      <c r="A17846" s="996" t="str">
        <f>CONCATENATE(Programme!D17847,Programme!E17847,Programme!F17847,Programme!G17847,Programme!H17847,Programme!I17847,Programme!J17847)</f>
        <v>&lt;/ValeurCellule&gt;</v>
      </c>
    </row>
    <row r="17847" spans="1:1" x14ac:dyDescent="0.2">
      <c r="A17847" s="996" t="str">
        <f>CONCATENATE(Programme!D17848,Programme!E17848,Programme!F17848,Programme!G17848,Programme!H17848,Programme!I17848,Programme!J17848)</f>
        <v>&lt;ValeurCellule&gt;</v>
      </c>
    </row>
    <row r="17848" spans="1:1" x14ac:dyDescent="0.2">
      <c r="A17848" s="996" t="str">
        <f>CONCATENATE(Programme!D17849,Programme!E17849,Programme!F17849,Programme!G17849,Programme!H17849,Programme!I17849,Programme!J17849)</f>
        <v>&lt;cellule&gt;</v>
      </c>
    </row>
    <row r="17849" spans="1:1" x14ac:dyDescent="0.2">
      <c r="A17849" s="996" t="str">
        <f>CONCATENATE(Programme!D17850,Programme!E17850,Programme!F17850,Programme!G17850,Programme!H17850,Programme!I17850,Programme!J17850)</f>
        <v>&lt;codeEdi&gt;1162&lt;/codeEdi&gt;</v>
      </c>
    </row>
    <row r="17850" spans="1:1" x14ac:dyDescent="0.2">
      <c r="A17850" s="996" t="str">
        <f>CONCATENATE(Programme!D17851,Programme!E17851,Programme!F17851,Programme!G17851,Programme!H17851,Programme!I17851,Programme!J17851)</f>
        <v>&lt;/cellule&gt;</v>
      </c>
    </row>
    <row r="17851" spans="1:1" x14ac:dyDescent="0.2">
      <c r="A17851" s="996" t="str">
        <f>CONCATENATE(Programme!D17852,Programme!E17852,Programme!F17852,Programme!G17852,Programme!H17852,Programme!I17852,Programme!J17852)</f>
        <v>&lt;valeur&gt;&lt;/valeur&gt;</v>
      </c>
    </row>
    <row r="17852" spans="1:1" x14ac:dyDescent="0.2">
      <c r="A17852" s="996" t="str">
        <f>CONCATENATE(Programme!D17853,Programme!E17853,Programme!F17853,Programme!G17853,Programme!H17853,Programme!I17853,Programme!J17853)</f>
        <v>&lt;/ValeurCellule&gt;</v>
      </c>
    </row>
    <row r="17853" spans="1:1" x14ac:dyDescent="0.2">
      <c r="A17853" s="996" t="str">
        <f>CONCATENATE(Programme!D17854,Programme!E17854,Programme!F17854,Programme!G17854,Programme!H17854,Programme!I17854,Programme!J17854)</f>
        <v>&lt;ValeurCellule&gt;</v>
      </c>
    </row>
    <row r="17854" spans="1:1" x14ac:dyDescent="0.2">
      <c r="A17854" s="996" t="str">
        <f>CONCATENATE(Programme!D17855,Programme!E17855,Programme!F17855,Programme!G17855,Programme!H17855,Programme!I17855,Programme!J17855)</f>
        <v>&lt;cellule&gt;</v>
      </c>
    </row>
    <row r="17855" spans="1:1" x14ac:dyDescent="0.2">
      <c r="A17855" s="996" t="str">
        <f>CONCATENATE(Programme!D17856,Programme!E17856,Programme!F17856,Programme!G17856,Programme!H17856,Programme!I17856,Programme!J17856)</f>
        <v>&lt;codeEdi&gt;1171&lt;/codeEdi&gt;</v>
      </c>
    </row>
    <row r="17856" spans="1:1" x14ac:dyDescent="0.2">
      <c r="A17856" s="996" t="str">
        <f>CONCATENATE(Programme!D17857,Programme!E17857,Programme!F17857,Programme!G17857,Programme!H17857,Programme!I17857,Programme!J17857)</f>
        <v>&lt;/cellule&gt;</v>
      </c>
    </row>
    <row r="17857" spans="1:1" x14ac:dyDescent="0.2">
      <c r="A17857" s="996" t="str">
        <f>CONCATENATE(Programme!D17858,Programme!E17858,Programme!F17858,Programme!G17858,Programme!H17858,Programme!I17858,Programme!J17858)</f>
        <v>&lt;valeur&gt;&lt;/valeur&gt;</v>
      </c>
    </row>
    <row r="17858" spans="1:1" x14ac:dyDescent="0.2">
      <c r="A17858" s="996" t="str">
        <f>CONCATENATE(Programme!D17859,Programme!E17859,Programme!F17859,Programme!G17859,Programme!H17859,Programme!I17859,Programme!J17859)</f>
        <v>&lt;/ValeurCellule&gt;</v>
      </c>
    </row>
    <row r="17859" spans="1:1" x14ac:dyDescent="0.2">
      <c r="A17859" s="996" t="str">
        <f>CONCATENATE(Programme!D17860,Programme!E17860,Programme!F17860,Programme!G17860,Programme!H17860,Programme!I17860,Programme!J17860)</f>
        <v>&lt;ValeurCellule&gt;</v>
      </c>
    </row>
    <row r="17860" spans="1:1" x14ac:dyDescent="0.2">
      <c r="A17860" s="996" t="str">
        <f>CONCATENATE(Programme!D17861,Programme!E17861,Programme!F17861,Programme!G17861,Programme!H17861,Programme!I17861,Programme!J17861)</f>
        <v>&lt;cellule&gt;</v>
      </c>
    </row>
    <row r="17861" spans="1:1" x14ac:dyDescent="0.2">
      <c r="A17861" s="996" t="str">
        <f>CONCATENATE(Programme!D17862,Programme!E17862,Programme!F17862,Programme!G17862,Programme!H17862,Programme!I17862,Programme!J17862)</f>
        <v>&lt;codeEdi&gt;1180&lt;/codeEdi&gt;</v>
      </c>
    </row>
    <row r="17862" spans="1:1" x14ac:dyDescent="0.2">
      <c r="A17862" s="996" t="str">
        <f>CONCATENATE(Programme!D17863,Programme!E17863,Programme!F17863,Programme!G17863,Programme!H17863,Programme!I17863,Programme!J17863)</f>
        <v>&lt;/cellule&gt;</v>
      </c>
    </row>
    <row r="17863" spans="1:1" x14ac:dyDescent="0.2">
      <c r="A17863" s="996" t="str">
        <f>CONCATENATE(Programme!D17864,Programme!E17864,Programme!F17864,Programme!G17864,Programme!H17864,Programme!I17864,Programme!J17864)</f>
        <v>&lt;valeur&gt;&lt;/valeur&gt;</v>
      </c>
    </row>
    <row r="17864" spans="1:1" x14ac:dyDescent="0.2">
      <c r="A17864" s="996" t="str">
        <f>CONCATENATE(Programme!D17865,Programme!E17865,Programme!F17865,Programme!G17865,Programme!H17865,Programme!I17865,Programme!J17865)</f>
        <v>&lt;/ValeurCellule&gt;</v>
      </c>
    </row>
    <row r="17865" spans="1:1" x14ac:dyDescent="0.2">
      <c r="A17865" s="996" t="str">
        <f>CONCATENATE(Programme!D17866,Programme!E17866,Programme!F17866,Programme!G17866,Programme!H17866,Programme!I17866,Programme!J17866)</f>
        <v>&lt;ValeurCellule&gt;</v>
      </c>
    </row>
    <row r="17866" spans="1:1" x14ac:dyDescent="0.2">
      <c r="A17866" s="996" t="str">
        <f>CONCATENATE(Programme!D17867,Programme!E17867,Programme!F17867,Programme!G17867,Programme!H17867,Programme!I17867,Programme!J17867)</f>
        <v>&lt;cellule&gt;</v>
      </c>
    </row>
    <row r="17867" spans="1:1" x14ac:dyDescent="0.2">
      <c r="A17867" s="996" t="str">
        <f>CONCATENATE(Programme!D17868,Programme!E17868,Programme!F17868,Programme!G17868,Programme!H17868,Programme!I17868,Programme!J17868)</f>
        <v>&lt;codeEdi&gt;1189&lt;/codeEdi&gt;</v>
      </c>
    </row>
    <row r="17868" spans="1:1" x14ac:dyDescent="0.2">
      <c r="A17868" s="996" t="str">
        <f>CONCATENATE(Programme!D17869,Programme!E17869,Programme!F17869,Programme!G17869,Programme!H17869,Programme!I17869,Programme!J17869)</f>
        <v>&lt;/cellule&gt;</v>
      </c>
    </row>
    <row r="17869" spans="1:1" x14ac:dyDescent="0.2">
      <c r="A17869" s="996" t="str">
        <f>CONCATENATE(Programme!D17870,Programme!E17870,Programme!F17870,Programme!G17870,Programme!H17870,Programme!I17870,Programme!J17870)</f>
        <v>&lt;valeur&gt;&lt;/valeur&gt;</v>
      </c>
    </row>
    <row r="17870" spans="1:1" x14ac:dyDescent="0.2">
      <c r="A17870" s="996" t="str">
        <f>CONCATENATE(Programme!D17871,Programme!E17871,Programme!F17871,Programme!G17871,Programme!H17871,Programme!I17871,Programme!J17871)</f>
        <v>&lt;/ValeurCellule&gt;</v>
      </c>
    </row>
    <row r="17871" spans="1:1" x14ac:dyDescent="0.2">
      <c r="A17871" s="996" t="str">
        <f>CONCATENATE(Programme!D17872,Programme!E17872,Programme!F17872,Programme!G17872,Programme!H17872,Programme!I17872,Programme!J17872)</f>
        <v>&lt;ValeurCellule&gt;</v>
      </c>
    </row>
    <row r="17872" spans="1:1" x14ac:dyDescent="0.2">
      <c r="A17872" s="996" t="str">
        <f>CONCATENATE(Programme!D17873,Programme!E17873,Programme!F17873,Programme!G17873,Programme!H17873,Programme!I17873,Programme!J17873)</f>
        <v>&lt;cellule&gt;</v>
      </c>
    </row>
    <row r="17873" spans="1:1" x14ac:dyDescent="0.2">
      <c r="A17873" s="996" t="str">
        <f>CONCATENATE(Programme!D17874,Programme!E17874,Programme!F17874,Programme!G17874,Programme!H17874,Programme!I17874,Programme!J17874)</f>
        <v>&lt;codeEdi&gt;1198&lt;/codeEdi&gt;</v>
      </c>
    </row>
    <row r="17874" spans="1:1" x14ac:dyDescent="0.2">
      <c r="A17874" s="996" t="str">
        <f>CONCATENATE(Programme!D17875,Programme!E17875,Programme!F17875,Programme!G17875,Programme!H17875,Programme!I17875,Programme!J17875)</f>
        <v>&lt;/cellule&gt;</v>
      </c>
    </row>
    <row r="17875" spans="1:1" x14ac:dyDescent="0.2">
      <c r="A17875" s="996" t="str">
        <f>CONCATENATE(Programme!D17876,Programme!E17876,Programme!F17876,Programme!G17876,Programme!H17876,Programme!I17876,Programme!J17876)</f>
        <v>&lt;valeur&gt;&lt;/valeur&gt;</v>
      </c>
    </row>
    <row r="17876" spans="1:1" x14ac:dyDescent="0.2">
      <c r="A17876" s="996" t="str">
        <f>CONCATENATE(Programme!D17877,Programme!E17877,Programme!F17877,Programme!G17877,Programme!H17877,Programme!I17877,Programme!J17877)</f>
        <v>&lt;/ValeurCellule&gt;</v>
      </c>
    </row>
    <row r="17877" spans="1:1" x14ac:dyDescent="0.2">
      <c r="A17877" s="996" t="str">
        <f>CONCATENATE(Programme!D17878,Programme!E17878,Programme!F17878,Programme!G17878,Programme!H17878,Programme!I17878,Programme!J17878)</f>
        <v>&lt;ValeurCellule&gt;</v>
      </c>
    </row>
    <row r="17878" spans="1:1" x14ac:dyDescent="0.2">
      <c r="A17878" s="996" t="str">
        <f>CONCATENATE(Programme!D17879,Programme!E17879,Programme!F17879,Programme!G17879,Programme!H17879,Programme!I17879,Programme!J17879)</f>
        <v>&lt;cellule&gt;</v>
      </c>
    </row>
    <row r="17879" spans="1:1" x14ac:dyDescent="0.2">
      <c r="A17879" s="996" t="str">
        <f>CONCATENATE(Programme!D17880,Programme!E17880,Programme!F17880,Programme!G17880,Programme!H17880,Programme!I17880,Programme!J17880)</f>
        <v>&lt;codeEdi&gt;1207&lt;/codeEdi&gt;</v>
      </c>
    </row>
    <row r="17880" spans="1:1" x14ac:dyDescent="0.2">
      <c r="A17880" s="996" t="str">
        <f>CONCATENATE(Programme!D17881,Programme!E17881,Programme!F17881,Programme!G17881,Programme!H17881,Programme!I17881,Programme!J17881)</f>
        <v>&lt;/cellule&gt;</v>
      </c>
    </row>
    <row r="17881" spans="1:1" x14ac:dyDescent="0.2">
      <c r="A17881" s="996" t="str">
        <f>CONCATENATE(Programme!D17882,Programme!E17882,Programme!F17882,Programme!G17882,Programme!H17882,Programme!I17882,Programme!J17882)</f>
        <v>&lt;valeur&gt;&lt;/valeur&gt;</v>
      </c>
    </row>
    <row r="17882" spans="1:1" x14ac:dyDescent="0.2">
      <c r="A17882" s="996" t="str">
        <f>CONCATENATE(Programme!D17883,Programme!E17883,Programme!F17883,Programme!G17883,Programme!H17883,Programme!I17883,Programme!J17883)</f>
        <v>&lt;/ValeurCellule&gt;</v>
      </c>
    </row>
    <row r="17883" spans="1:1" x14ac:dyDescent="0.2">
      <c r="A17883" s="996" t="str">
        <f>CONCATENATE(Programme!D17884,Programme!E17884,Programme!F17884,Programme!G17884,Programme!H17884,Programme!I17884,Programme!J17884)</f>
        <v>&lt;/groupeValeurs&gt;</v>
      </c>
    </row>
    <row r="17884" spans="1:1" x14ac:dyDescent="0.2">
      <c r="A17884" s="996" t="str">
        <f>CONCATENATE(Programme!D17885,Programme!E17885,Programme!F17885,Programme!G17885,Programme!H17885,Programme!I17885,Programme!J17885)</f>
        <v>&lt;extraFieldvaleurs&gt;</v>
      </c>
    </row>
    <row r="17885" spans="1:1" x14ac:dyDescent="0.2">
      <c r="A17885" s="996" t="str">
        <f>CONCATENATE(Programme!D17886,Programme!E17886,Programme!F17886,Programme!G17886,Programme!H17886,Programme!I17886,Programme!J17886)</f>
        <v>&lt;ExtraFieldValeur&gt;</v>
      </c>
    </row>
    <row r="17886" spans="1:1" x14ac:dyDescent="0.2">
      <c r="A17886" s="996" t="str">
        <f>CONCATENATE(Programme!D17887,Programme!E17887,Programme!F17887,Programme!G17887,Programme!H17887,Programme!I17887,Programme!J17887)</f>
        <v xml:space="preserve"> &lt;extraField&gt;</v>
      </c>
    </row>
    <row r="17887" spans="1:1" x14ac:dyDescent="0.2">
      <c r="A17887" s="996" t="str">
        <f>CONCATENATE(Programme!D17888,Programme!E17888,Programme!F17888,Programme!G17888,Programme!H17888,Programme!I17888,Programme!J17888)</f>
        <v>&lt;code&gt;54&lt;/code&gt;</v>
      </c>
    </row>
    <row r="17888" spans="1:1" x14ac:dyDescent="0.2">
      <c r="A17888" s="996" t="str">
        <f>CONCATENATE(Programme!D17889,Programme!E17889,Programme!F17889,Programme!G17889,Programme!H17889,Programme!I17889,Programme!J17889)</f>
        <v xml:space="preserve">&lt;/extraField&gt; </v>
      </c>
    </row>
    <row r="17889" spans="1:1" x14ac:dyDescent="0.2">
      <c r="A17889" s="996" t="str">
        <f>CONCATENATE(Programme!D17890,Programme!E17890,Programme!F17890,Programme!G17890,Programme!H17890,Programme!I17890,Programme!J17890)</f>
        <v>&lt;valeur&gt;31/12/2015&lt;/valeur&gt;</v>
      </c>
    </row>
    <row r="17890" spans="1:1" x14ac:dyDescent="0.2">
      <c r="A17890" s="996" t="str">
        <f>CONCATENATE(Programme!D17891,Programme!E17891,Programme!F17891,Programme!G17891,Programme!H17891,Programme!I17891,Programme!J17891)</f>
        <v>&lt;/ExtraFieldValeur&gt;</v>
      </c>
    </row>
    <row r="17891" spans="1:1" x14ac:dyDescent="0.2">
      <c r="A17891" s="996" t="str">
        <f>CONCATENATE(Programme!D17892,Programme!E17892,Programme!F17892,Programme!G17892,Programme!H17892,Programme!I17892,Programme!J17892)</f>
        <v>&lt;/extraFieldvaleurs&gt;</v>
      </c>
    </row>
    <row r="17892" spans="1:1" x14ac:dyDescent="0.2">
      <c r="A17892" s="996" t="str">
        <f>CONCATENATE(Programme!D17893,Programme!E17893,Programme!F17893,Programme!G17893,Programme!H17893,Programme!I17893,Programme!J17893)</f>
        <v>&lt;/ValeursTableau&gt;</v>
      </c>
    </row>
    <row r="17893" spans="1:1" x14ac:dyDescent="0.2">
      <c r="A17893" s="996" t="str">
        <f>CONCATENATE(Programme!D17894,Programme!E17894,Programme!F17894,Programme!G17894,Programme!H17894,Programme!I17894,Programme!J17894)</f>
        <v>&lt;ValeursTableau&gt;</v>
      </c>
    </row>
    <row r="17894" spans="1:1" x14ac:dyDescent="0.2">
      <c r="A17894" s="996" t="str">
        <f>CONCATENATE(Programme!D17895,Programme!E17895,Programme!F17895,Programme!G17895,Programme!H17895,Programme!I17895,Programme!J17895)</f>
        <v>&lt;tableau&gt;&lt;id&gt;27&lt;/id&gt;&lt;/tableau&gt;</v>
      </c>
    </row>
    <row r="17895" spans="1:1" x14ac:dyDescent="0.2">
      <c r="A17895" s="996" t="str">
        <f>CONCATENATE(Programme!D17896,Programme!E17896,Programme!F17896,Programme!G17896,Programme!H17896,Programme!I17896,Programme!J17896)</f>
        <v>&lt;groupeValeurs&gt;</v>
      </c>
    </row>
    <row r="17896" spans="1:1" x14ac:dyDescent="0.2">
      <c r="A17896" s="996" t="str">
        <f>CONCATENATE(Programme!D17897,Programme!E17897,Programme!F17897,Programme!G17897,Programme!H17897,Programme!I17897,Programme!J17897)</f>
        <v>&lt;ValeurCellule&gt;</v>
      </c>
    </row>
    <row r="17897" spans="1:1" x14ac:dyDescent="0.2">
      <c r="A17897" s="996" t="str">
        <f>CONCATENATE(Programme!D17898,Programme!E17898,Programme!F17898,Programme!G17898,Programme!H17898,Programme!I17898,Programme!J17898)</f>
        <v>&lt;cellule&gt;&lt;codeEdi&gt;1208&lt;/codeEdi&gt;&lt;/cellule&gt;</v>
      </c>
    </row>
    <row r="17898" spans="1:1" x14ac:dyDescent="0.2">
      <c r="A17898" s="996" t="str">
        <f>CONCATENATE(Programme!D17899,Programme!E17899,Programme!F17899,Programme!G17899,Programme!H17899,Programme!I17899,Programme!J17899)</f>
        <v>&lt;valeur&gt;&lt;/valeur&gt;</v>
      </c>
    </row>
    <row r="17899" spans="1:1" x14ac:dyDescent="0.2">
      <c r="A17899" s="996" t="str">
        <f>CONCATENATE(Programme!D17900,Programme!E17900,Programme!F17900,Programme!G17900,Programme!H17900,Programme!I17900,Programme!J17900)</f>
        <v>&lt;numeroLigne&gt;1&lt;/numeroLigne&gt;</v>
      </c>
    </row>
    <row r="17900" spans="1:1" x14ac:dyDescent="0.2">
      <c r="A17900" s="996" t="str">
        <f>CONCATENATE(Programme!D17901,Programme!E17901,Programme!F17901,Programme!G17901,Programme!H17901,Programme!I17901,Programme!J17901)</f>
        <v>&lt;/ValeurCellule&gt;</v>
      </c>
    </row>
    <row r="17901" spans="1:1" x14ac:dyDescent="0.2">
      <c r="A17901" s="996" t="str">
        <f>CONCATENATE(Programme!D17902,Programme!E17902,Programme!F17902,Programme!G17902,Programme!H17902,Programme!I17902,Programme!J17902)</f>
        <v>&lt;ValeurCellule&gt;</v>
      </c>
    </row>
    <row r="17902" spans="1:1" x14ac:dyDescent="0.2">
      <c r="A17902" s="996" t="str">
        <f>CONCATENATE(Programme!D17903,Programme!E17903,Programme!F17903,Programme!G17903,Programme!H17903,Programme!I17903,Programme!J17903)</f>
        <v>&lt;cellule&gt;&lt;codeEdi&gt;1209&lt;/codeEdi&gt;&lt;/cellule&gt;</v>
      </c>
    </row>
    <row r="17903" spans="1:1" x14ac:dyDescent="0.2">
      <c r="A17903" s="996" t="str">
        <f>CONCATENATE(Programme!D17904,Programme!E17904,Programme!F17904,Programme!G17904,Programme!H17904,Programme!I17904,Programme!J17904)</f>
        <v>&lt;valeur&gt;&lt;/valeur&gt;</v>
      </c>
    </row>
    <row r="17904" spans="1:1" x14ac:dyDescent="0.2">
      <c r="A17904" s="996" t="str">
        <f>CONCATENATE(Programme!D17905,Programme!E17905,Programme!F17905,Programme!G17905,Programme!H17905,Programme!I17905,Programme!J17905)</f>
        <v>&lt;numeroLigne&gt;1&lt;/numeroLigne&gt;</v>
      </c>
    </row>
    <row r="17905" spans="1:1" x14ac:dyDescent="0.2">
      <c r="A17905" s="996" t="str">
        <f>CONCATENATE(Programme!D17906,Programme!E17906,Programme!F17906,Programme!G17906,Programme!H17906,Programme!I17906,Programme!J17906)</f>
        <v>&lt;/ValeurCellule&gt;</v>
      </c>
    </row>
    <row r="17906" spans="1:1" x14ac:dyDescent="0.2">
      <c r="A17906" s="996" t="str">
        <f>CONCATENATE(Programme!D17907,Programme!E17907,Programme!F17907,Programme!G17907,Programme!H17907,Programme!I17907,Programme!J17907)</f>
        <v>&lt;ValeurCellule&gt;</v>
      </c>
    </row>
    <row r="17907" spans="1:1" x14ac:dyDescent="0.2">
      <c r="A17907" s="996" t="str">
        <f>CONCATENATE(Programme!D17908,Programme!E17908,Programme!F17908,Programme!G17908,Programme!H17908,Programme!I17908,Programme!J17908)</f>
        <v>&lt;cellule&gt;&lt;codeEdi&gt;1210&lt;/codeEdi&gt;&lt;/cellule&gt;</v>
      </c>
    </row>
    <row r="17908" spans="1:1" x14ac:dyDescent="0.2">
      <c r="A17908" s="996" t="str">
        <f>CONCATENATE(Programme!D17909,Programme!E17909,Programme!F17909,Programme!G17909,Programme!H17909,Programme!I17909,Programme!J17909)</f>
        <v>&lt;valeur&gt;&lt;/valeur&gt;</v>
      </c>
    </row>
    <row r="17909" spans="1:1" x14ac:dyDescent="0.2">
      <c r="A17909" s="996" t="str">
        <f>CONCATENATE(Programme!D17910,Programme!E17910,Programme!F17910,Programme!G17910,Programme!H17910,Programme!I17910,Programme!J17910)</f>
        <v>&lt;numeroLigne&gt;1&lt;/numeroLigne&gt;</v>
      </c>
    </row>
    <row r="17910" spans="1:1" x14ac:dyDescent="0.2">
      <c r="A17910" s="996" t="str">
        <f>CONCATENATE(Programme!D17911,Programme!E17911,Programme!F17911,Programme!G17911,Programme!H17911,Programme!I17911,Programme!J17911)</f>
        <v>&lt;/ValeurCellule&gt;</v>
      </c>
    </row>
    <row r="17911" spans="1:1" x14ac:dyDescent="0.2">
      <c r="A17911" s="996" t="str">
        <f>CONCATENATE(Programme!D17912,Programme!E17912,Programme!F17912,Programme!G17912,Programme!H17912,Programme!I17912,Programme!J17912)</f>
        <v>&lt;ValeurCellule&gt;</v>
      </c>
    </row>
    <row r="17912" spans="1:1" x14ac:dyDescent="0.2">
      <c r="A17912" s="996" t="str">
        <f>CONCATENATE(Programme!D17913,Programme!E17913,Programme!F17913,Programme!G17913,Programme!H17913,Programme!I17913,Programme!J17913)</f>
        <v>&lt;cellule&gt;&lt;codeEdi&gt;1211&lt;/codeEdi&gt;&lt;/cellule&gt;</v>
      </c>
    </row>
    <row r="17913" spans="1:1" x14ac:dyDescent="0.2">
      <c r="A17913" s="996" t="str">
        <f>CONCATENATE(Programme!D17914,Programme!E17914,Programme!F17914,Programme!G17914,Programme!H17914,Programme!I17914,Programme!J17914)</f>
        <v>&lt;valeur&gt;&lt;/valeur&gt;</v>
      </c>
    </row>
    <row r="17914" spans="1:1" x14ac:dyDescent="0.2">
      <c r="A17914" s="996" t="str">
        <f>CONCATENATE(Programme!D17915,Programme!E17915,Programme!F17915,Programme!G17915,Programme!H17915,Programme!I17915,Programme!J17915)</f>
        <v>&lt;numeroLigne&gt;1&lt;/numeroLigne&gt;</v>
      </c>
    </row>
    <row r="17915" spans="1:1" x14ac:dyDescent="0.2">
      <c r="A17915" s="996" t="str">
        <f>CONCATENATE(Programme!D17916,Programme!E17916,Programme!F17916,Programme!G17916,Programme!H17916,Programme!I17916,Programme!J17916)</f>
        <v>&lt;/ValeurCellule&gt;</v>
      </c>
    </row>
    <row r="17916" spans="1:1" x14ac:dyDescent="0.2">
      <c r="A17916" s="996" t="str">
        <f>CONCATENATE(Programme!D17917,Programme!E17917,Programme!F17917,Programme!G17917,Programme!H17917,Programme!I17917,Programme!J17917)</f>
        <v>&lt;ValeurCellule&gt;</v>
      </c>
    </row>
    <row r="17917" spans="1:1" x14ac:dyDescent="0.2">
      <c r="A17917" s="996" t="str">
        <f>CONCATENATE(Programme!D17918,Programme!E17918,Programme!F17918,Programme!G17918,Programme!H17918,Programme!I17918,Programme!J17918)</f>
        <v>&lt;cellule&gt;&lt;codeEdi&gt;1212&lt;/codeEdi&gt;&lt;/cellule&gt;</v>
      </c>
    </row>
    <row r="17918" spans="1:1" x14ac:dyDescent="0.2">
      <c r="A17918" s="996" t="str">
        <f>CONCATENATE(Programme!D17919,Programme!E17919,Programme!F17919,Programme!G17919,Programme!H17919,Programme!I17919,Programme!J17919)</f>
        <v>&lt;valeur&gt;&lt;/valeur&gt;</v>
      </c>
    </row>
    <row r="17919" spans="1:1" x14ac:dyDescent="0.2">
      <c r="A17919" s="996" t="str">
        <f>CONCATENATE(Programme!D17920,Programme!E17920,Programme!F17920,Programme!G17920,Programme!H17920,Programme!I17920,Programme!J17920)</f>
        <v>&lt;numeroLigne&gt;1&lt;/numeroLigne&gt;</v>
      </c>
    </row>
    <row r="17920" spans="1:1" x14ac:dyDescent="0.2">
      <c r="A17920" s="996" t="str">
        <f>CONCATENATE(Programme!D17921,Programme!E17921,Programme!F17921,Programme!G17921,Programme!H17921,Programme!I17921,Programme!J17921)</f>
        <v>&lt;/ValeurCellule&gt;</v>
      </c>
    </row>
    <row r="17921" spans="1:1" x14ac:dyDescent="0.2">
      <c r="A17921" s="996" t="str">
        <f>CONCATENATE(Programme!D17922,Programme!E17922,Programme!F17922,Programme!G17922,Programme!H17922,Programme!I17922,Programme!J17922)</f>
        <v>&lt;ValeurCellule&gt;</v>
      </c>
    </row>
    <row r="17922" spans="1:1" x14ac:dyDescent="0.2">
      <c r="A17922" s="996" t="str">
        <f>CONCATENATE(Programme!D17923,Programme!E17923,Programme!F17923,Programme!G17923,Programme!H17923,Programme!I17923,Programme!J17923)</f>
        <v>&lt;cellule&gt;&lt;codeEdi&gt;1213&lt;/codeEdi&gt;&lt;/cellule&gt;</v>
      </c>
    </row>
    <row r="17923" spans="1:1" x14ac:dyDescent="0.2">
      <c r="A17923" s="996" t="str">
        <f>CONCATENATE(Programme!D17924,Programme!E17924,Programme!F17924,Programme!G17924,Programme!H17924,Programme!I17924,Programme!J17924)</f>
        <v>&lt;valeur&gt;&lt;/valeur&gt;</v>
      </c>
    </row>
    <row r="17924" spans="1:1" x14ac:dyDescent="0.2">
      <c r="A17924" s="996" t="str">
        <f>CONCATENATE(Programme!D17925,Programme!E17925,Programme!F17925,Programme!G17925,Programme!H17925,Programme!I17925,Programme!J17925)</f>
        <v>&lt;numeroLigne&gt;1&lt;/numeroLigne&gt;</v>
      </c>
    </row>
    <row r="17925" spans="1:1" x14ac:dyDescent="0.2">
      <c r="A17925" s="996" t="str">
        <f>CONCATENATE(Programme!D17926,Programme!E17926,Programme!F17926,Programme!G17926,Programme!H17926,Programme!I17926,Programme!J17926)</f>
        <v>&lt;/ValeurCellule&gt;</v>
      </c>
    </row>
    <row r="17926" spans="1:1" x14ac:dyDescent="0.2">
      <c r="A17926" s="996" t="str">
        <f>CONCATENATE(Programme!D17927,Programme!E17927,Programme!F17927,Programme!G17927,Programme!H17927,Programme!I17927,Programme!J17927)</f>
        <v>&lt;ValeurCellule&gt;</v>
      </c>
    </row>
    <row r="17927" spans="1:1" x14ac:dyDescent="0.2">
      <c r="A17927" s="996" t="str">
        <f>CONCATENATE(Programme!D17928,Programme!E17928,Programme!F17928,Programme!G17928,Programme!H17928,Programme!I17928,Programme!J17928)</f>
        <v>&lt;cellule&gt;&lt;codeEdi&gt;1214&lt;/codeEdi&gt;&lt;/cellule&gt;</v>
      </c>
    </row>
    <row r="17928" spans="1:1" x14ac:dyDescent="0.2">
      <c r="A17928" s="996" t="str">
        <f>CONCATENATE(Programme!D17929,Programme!E17929,Programme!F17929,Programme!G17929,Programme!H17929,Programme!I17929,Programme!J17929)</f>
        <v>&lt;valeur&gt;&lt;/valeur&gt;</v>
      </c>
    </row>
    <row r="17929" spans="1:1" x14ac:dyDescent="0.2">
      <c r="A17929" s="996" t="str">
        <f>CONCATENATE(Programme!D17930,Programme!E17930,Programme!F17930,Programme!G17930,Programme!H17930,Programme!I17930,Programme!J17930)</f>
        <v>&lt;numeroLigne&gt;1&lt;/numeroLigne&gt;</v>
      </c>
    </row>
    <row r="17930" spans="1:1" x14ac:dyDescent="0.2">
      <c r="A17930" s="996" t="str">
        <f>CONCATENATE(Programme!D17931,Programme!E17931,Programme!F17931,Programme!G17931,Programme!H17931,Programme!I17931,Programme!J17931)</f>
        <v>&lt;/ValeurCellule&gt;</v>
      </c>
    </row>
    <row r="17931" spans="1:1" x14ac:dyDescent="0.2">
      <c r="A17931" s="996" t="str">
        <f>CONCATENATE(Programme!D17932,Programme!E17932,Programme!F17932,Programme!G17932,Programme!H17932,Programme!I17932,Programme!J17932)</f>
        <v>&lt;ValeurCellule&gt;</v>
      </c>
    </row>
    <row r="17932" spans="1:1" x14ac:dyDescent="0.2">
      <c r="A17932" s="996" t="str">
        <f>CONCATENATE(Programme!D17933,Programme!E17933,Programme!F17933,Programme!G17933,Programme!H17933,Programme!I17933,Programme!J17933)</f>
        <v>&lt;cellule&gt;&lt;codeEdi&gt;1215&lt;/codeEdi&gt;&lt;/cellule&gt;</v>
      </c>
    </row>
    <row r="17933" spans="1:1" x14ac:dyDescent="0.2">
      <c r="A17933" s="996" t="str">
        <f>CONCATENATE(Programme!D17934,Programme!E17934,Programme!F17934,Programme!G17934,Programme!H17934,Programme!I17934,Programme!J17934)</f>
        <v>&lt;valeur&gt;&lt;/valeur&gt;</v>
      </c>
    </row>
    <row r="17934" spans="1:1" x14ac:dyDescent="0.2">
      <c r="A17934" s="996" t="str">
        <f>CONCATENATE(Programme!D17935,Programme!E17935,Programme!F17935,Programme!G17935,Programme!H17935,Programme!I17935,Programme!J17935)</f>
        <v>&lt;numeroLigne&gt;1&lt;/numeroLigne&gt;</v>
      </c>
    </row>
    <row r="17935" spans="1:1" x14ac:dyDescent="0.2">
      <c r="A17935" s="996" t="str">
        <f>CONCATENATE(Programme!D17936,Programme!E17936,Programme!F17936,Programme!G17936,Programme!H17936,Programme!I17936,Programme!J17936)</f>
        <v>&lt;/ValeurCellule&gt;</v>
      </c>
    </row>
    <row r="17936" spans="1:1" x14ac:dyDescent="0.2">
      <c r="A17936" s="996" t="str">
        <f>CONCATENATE(Programme!D17937,Programme!E17937,Programme!F17937,Programme!G17937,Programme!H17937,Programme!I17937,Programme!J17937)</f>
        <v>&lt;ValeurCellule&gt;</v>
      </c>
    </row>
    <row r="17937" spans="1:1" x14ac:dyDescent="0.2">
      <c r="A17937" s="996" t="str">
        <f>CONCATENATE(Programme!D17938,Programme!E17938,Programme!F17938,Programme!G17938,Programme!H17938,Programme!I17938,Programme!J17938)</f>
        <v>&lt;cellule&gt;&lt;codeEdi&gt;1216&lt;/codeEdi&gt;&lt;/cellule&gt;</v>
      </c>
    </row>
    <row r="17938" spans="1:1" x14ac:dyDescent="0.2">
      <c r="A17938" s="996" t="str">
        <f>CONCATENATE(Programme!D17939,Programme!E17939,Programme!F17939,Programme!G17939,Programme!H17939,Programme!I17939,Programme!J17939)</f>
        <v>&lt;valeur&gt;&lt;/valeur&gt;</v>
      </c>
    </row>
    <row r="17939" spans="1:1" x14ac:dyDescent="0.2">
      <c r="A17939" s="996" t="str">
        <f>CONCATENATE(Programme!D17940,Programme!E17940,Programme!F17940,Programme!G17940,Programme!H17940,Programme!I17940,Programme!J17940)</f>
        <v>&lt;numeroLigne&gt;1&lt;/numeroLigne&gt;</v>
      </c>
    </row>
    <row r="17940" spans="1:1" x14ac:dyDescent="0.2">
      <c r="A17940" s="996" t="str">
        <f>CONCATENATE(Programme!D17941,Programme!E17941,Programme!F17941,Programme!G17941,Programme!H17941,Programme!I17941,Programme!J17941)</f>
        <v>&lt;/ValeurCellule&gt;</v>
      </c>
    </row>
    <row r="17941" spans="1:1" x14ac:dyDescent="0.2">
      <c r="A17941" s="996" t="str">
        <f>CONCATENATE(Programme!D17942,Programme!E17942,Programme!F17942,Programme!G17942,Programme!H17942,Programme!I17942,Programme!J17942)</f>
        <v>&lt;ValeurCellule&gt;</v>
      </c>
    </row>
    <row r="17942" spans="1:1" x14ac:dyDescent="0.2">
      <c r="A17942" s="996" t="str">
        <f>CONCATENATE(Programme!D17943,Programme!E17943,Programme!F17943,Programme!G17943,Programme!H17943,Programme!I17943,Programme!J17943)</f>
        <v>&lt;cellule&gt;&lt;codeEdi&gt;1217&lt;/codeEdi&gt;&lt;/cellule&gt;</v>
      </c>
    </row>
    <row r="17943" spans="1:1" x14ac:dyDescent="0.2">
      <c r="A17943" s="996" t="str">
        <f>CONCATENATE(Programme!D17944,Programme!E17944,Programme!F17944,Programme!G17944,Programme!H17944,Programme!I17944,Programme!J17944)</f>
        <v>&lt;valeur&gt;&lt;/valeur&gt;</v>
      </c>
    </row>
    <row r="17944" spans="1:1" x14ac:dyDescent="0.2">
      <c r="A17944" s="996" t="str">
        <f>CONCATENATE(Programme!D17945,Programme!E17945,Programme!F17945,Programme!G17945,Programme!H17945,Programme!I17945,Programme!J17945)</f>
        <v>&lt;numeroLigne&gt;1&lt;/numeroLigne&gt;</v>
      </c>
    </row>
    <row r="17945" spans="1:1" x14ac:dyDescent="0.2">
      <c r="A17945" s="996" t="str">
        <f>CONCATENATE(Programme!D17946,Programme!E17946,Programme!F17946,Programme!G17946,Programme!H17946,Programme!I17946,Programme!J17946)</f>
        <v>&lt;/ValeurCellule&gt;</v>
      </c>
    </row>
    <row r="17946" spans="1:1" x14ac:dyDescent="0.2">
      <c r="A17946" s="996" t="str">
        <f>CONCATENATE(Programme!D17947,Programme!E17947,Programme!F17947,Programme!G17947,Programme!H17947,Programme!I17947,Programme!J17947)</f>
        <v>&lt;ValeurCellule&gt;</v>
      </c>
    </row>
    <row r="17947" spans="1:1" x14ac:dyDescent="0.2">
      <c r="A17947" s="996" t="str">
        <f>CONCATENATE(Programme!D17948,Programme!E17948,Programme!F17948,Programme!G17948,Programme!H17948,Programme!I17948,Programme!J17948)</f>
        <v>&lt;cellule&gt;&lt;codeEdi&gt;1218&lt;/codeEdi&gt;&lt;/cellule&gt;</v>
      </c>
    </row>
    <row r="17948" spans="1:1" x14ac:dyDescent="0.2">
      <c r="A17948" s="996" t="str">
        <f>CONCATENATE(Programme!D17949,Programme!E17949,Programme!F17949,Programme!G17949,Programme!H17949,Programme!I17949,Programme!J17949)</f>
        <v>&lt;valeur&gt;&lt;/valeur&gt;</v>
      </c>
    </row>
    <row r="17949" spans="1:1" x14ac:dyDescent="0.2">
      <c r="A17949" s="996" t="str">
        <f>CONCATENATE(Programme!D17950,Programme!E17950,Programme!F17950,Programme!G17950,Programme!H17950,Programme!I17950,Programme!J17950)</f>
        <v>&lt;numeroLigne&gt;1&lt;/numeroLigne&gt;</v>
      </c>
    </row>
    <row r="17950" spans="1:1" x14ac:dyDescent="0.2">
      <c r="A17950" s="996" t="str">
        <f>CONCATENATE(Programme!D17951,Programme!E17951,Programme!F17951,Programme!G17951,Programme!H17951,Programme!I17951,Programme!J17951)</f>
        <v>&lt;/ValeurCellule&gt;</v>
      </c>
    </row>
    <row r="17951" spans="1:1" x14ac:dyDescent="0.2">
      <c r="A17951" s="996" t="str">
        <f>CONCATENATE(Programme!D17952,Programme!E17952,Programme!F17952,Programme!G17952,Programme!H17952,Programme!I17952,Programme!J17952)</f>
        <v>&lt;ValeurCellule&gt;</v>
      </c>
    </row>
    <row r="17952" spans="1:1" x14ac:dyDescent="0.2">
      <c r="A17952" s="996" t="str">
        <f>CONCATENATE(Programme!D17953,Programme!E17953,Programme!F17953,Programme!G17953,Programme!H17953,Programme!I17953,Programme!J17953)</f>
        <v>&lt;cellule&gt;&lt;codeEdi&gt;1219&lt;/codeEdi&gt;&lt;/cellule&gt;</v>
      </c>
    </row>
    <row r="17953" spans="1:1" x14ac:dyDescent="0.2">
      <c r="A17953" s="996" t="str">
        <f>CONCATENATE(Programme!D17954,Programme!E17954,Programme!F17954,Programme!G17954,Programme!H17954,Programme!I17954,Programme!J17954)</f>
        <v>&lt;valeur&gt;&lt;/valeur&gt;</v>
      </c>
    </row>
    <row r="17954" spans="1:1" x14ac:dyDescent="0.2">
      <c r="A17954" s="996" t="str">
        <f>CONCATENATE(Programme!D17955,Programme!E17955,Programme!F17955,Programme!G17955,Programme!H17955,Programme!I17955,Programme!J17955)</f>
        <v>&lt;numeroLigne&gt;1&lt;/numeroLigne&gt;</v>
      </c>
    </row>
    <row r="17955" spans="1:1" x14ac:dyDescent="0.2">
      <c r="A17955" s="996" t="str">
        <f>CONCATENATE(Programme!D17956,Programme!E17956,Programme!F17956,Programme!G17956,Programme!H17956,Programme!I17956,Programme!J17956)</f>
        <v>&lt;/ValeurCellule&gt;</v>
      </c>
    </row>
    <row r="17956" spans="1:1" x14ac:dyDescent="0.2">
      <c r="A17956" s="996" t="str">
        <f>CONCATENATE(Programme!D17957,Programme!E17957,Programme!F17957,Programme!G17957,Programme!H17957,Programme!I17957,Programme!J17957)</f>
        <v>&lt;ValeurCellule&gt;</v>
      </c>
    </row>
    <row r="17957" spans="1:1" x14ac:dyDescent="0.2">
      <c r="A17957" s="996" t="str">
        <f>CONCATENATE(Programme!D17958,Programme!E17958,Programme!F17958,Programme!G17958,Programme!H17958,Programme!I17958,Programme!J17958)</f>
        <v>&lt;cellule&gt;&lt;codeEdi&gt;1220&lt;/codeEdi&gt;&lt;/cellule&gt;</v>
      </c>
    </row>
    <row r="17958" spans="1:1" x14ac:dyDescent="0.2">
      <c r="A17958" s="996" t="str">
        <f>CONCATENATE(Programme!D17959,Programme!E17959,Programme!F17959,Programme!G17959,Programme!H17959,Programme!I17959,Programme!J17959)</f>
        <v>&lt;valeur&gt;&lt;/valeur&gt;</v>
      </c>
    </row>
    <row r="17959" spans="1:1" x14ac:dyDescent="0.2">
      <c r="A17959" s="996" t="str">
        <f>CONCATENATE(Programme!D17960,Programme!E17960,Programme!F17960,Programme!G17960,Programme!H17960,Programme!I17960,Programme!J17960)</f>
        <v>&lt;numeroLigne&gt;1&lt;/numeroLigne&gt;</v>
      </c>
    </row>
    <row r="17960" spans="1:1" x14ac:dyDescent="0.2">
      <c r="A17960" s="996" t="str">
        <f>CONCATENATE(Programme!D17961,Programme!E17961,Programme!F17961,Programme!G17961,Programme!H17961,Programme!I17961,Programme!J17961)</f>
        <v>&lt;/ValeurCellule&gt;</v>
      </c>
    </row>
    <row r="17961" spans="1:1" x14ac:dyDescent="0.2">
      <c r="A17961" s="996" t="str">
        <f>CONCATENATE(Programme!D17962,Programme!E17962,Programme!F17962,Programme!G17962,Programme!H17962,Programme!I17962,Programme!J17962)</f>
        <v>&lt;ValeurCellule&gt;</v>
      </c>
    </row>
    <row r="17962" spans="1:1" x14ac:dyDescent="0.2">
      <c r="A17962" s="996" t="str">
        <f>CONCATENATE(Programme!D17963,Programme!E17963,Programme!F17963,Programme!G17963,Programme!H17963,Programme!I17963,Programme!J17963)</f>
        <v>&lt;cellule&gt;&lt;codeEdi&gt;1208&lt;/codeEdi&gt;&lt;/cellule&gt;</v>
      </c>
    </row>
    <row r="17963" spans="1:1" x14ac:dyDescent="0.2">
      <c r="A17963" s="996" t="str">
        <f>CONCATENATE(Programme!D17964,Programme!E17964,Programme!F17964,Programme!G17964,Programme!H17964,Programme!I17964,Programme!J17964)</f>
        <v>&lt;valeur&gt;&lt;/valeur&gt;</v>
      </c>
    </row>
    <row r="17964" spans="1:1" x14ac:dyDescent="0.2">
      <c r="A17964" s="996" t="str">
        <f>CONCATENATE(Programme!D17965,Programme!E17965,Programme!F17965,Programme!G17965,Programme!H17965,Programme!I17965,Programme!J17965)</f>
        <v>&lt;numeroLigne&gt;2&lt;/numeroLigne&gt;</v>
      </c>
    </row>
    <row r="17965" spans="1:1" x14ac:dyDescent="0.2">
      <c r="A17965" s="996" t="str">
        <f>CONCATENATE(Programme!D17966,Programme!E17966,Programme!F17966,Programme!G17966,Programme!H17966,Programme!I17966,Programme!J17966)</f>
        <v>&lt;/ValeurCellule&gt;</v>
      </c>
    </row>
    <row r="17966" spans="1:1" x14ac:dyDescent="0.2">
      <c r="A17966" s="996" t="str">
        <f>CONCATENATE(Programme!D17967,Programme!E17967,Programme!F17967,Programme!G17967,Programme!H17967,Programme!I17967,Programme!J17967)</f>
        <v>&lt;ValeurCellule&gt;</v>
      </c>
    </row>
    <row r="17967" spans="1:1" x14ac:dyDescent="0.2">
      <c r="A17967" s="996" t="str">
        <f>CONCATENATE(Programme!D17968,Programme!E17968,Programme!F17968,Programme!G17968,Programme!H17968,Programme!I17968,Programme!J17968)</f>
        <v>&lt;cellule&gt;&lt;codeEdi&gt;1209&lt;/codeEdi&gt;&lt;/cellule&gt;</v>
      </c>
    </row>
    <row r="17968" spans="1:1" x14ac:dyDescent="0.2">
      <c r="A17968" s="996" t="str">
        <f>CONCATENATE(Programme!D17969,Programme!E17969,Programme!F17969,Programme!G17969,Programme!H17969,Programme!I17969,Programme!J17969)</f>
        <v>&lt;valeur&gt;&lt;/valeur&gt;</v>
      </c>
    </row>
    <row r="17969" spans="1:1" x14ac:dyDescent="0.2">
      <c r="A17969" s="996" t="str">
        <f>CONCATENATE(Programme!D17970,Programme!E17970,Programme!F17970,Programme!G17970,Programme!H17970,Programme!I17970,Programme!J17970)</f>
        <v>&lt;numeroLigne&gt;2&lt;/numeroLigne&gt;</v>
      </c>
    </row>
    <row r="17970" spans="1:1" x14ac:dyDescent="0.2">
      <c r="A17970" s="996" t="str">
        <f>CONCATENATE(Programme!D17971,Programme!E17971,Programme!F17971,Programme!G17971,Programme!H17971,Programme!I17971,Programme!J17971)</f>
        <v>&lt;/ValeurCellule&gt;</v>
      </c>
    </row>
    <row r="17971" spans="1:1" x14ac:dyDescent="0.2">
      <c r="A17971" s="996" t="str">
        <f>CONCATENATE(Programme!D17972,Programme!E17972,Programme!F17972,Programme!G17972,Programme!H17972,Programme!I17972,Programme!J17972)</f>
        <v>&lt;ValeurCellule&gt;</v>
      </c>
    </row>
    <row r="17972" spans="1:1" x14ac:dyDescent="0.2">
      <c r="A17972" s="996" t="str">
        <f>CONCATENATE(Programme!D17973,Programme!E17973,Programme!F17973,Programme!G17973,Programme!H17973,Programme!I17973,Programme!J17973)</f>
        <v>&lt;cellule&gt;&lt;codeEdi&gt;1210&lt;/codeEdi&gt;&lt;/cellule&gt;</v>
      </c>
    </row>
    <row r="17973" spans="1:1" x14ac:dyDescent="0.2">
      <c r="A17973" s="996" t="str">
        <f>CONCATENATE(Programme!D17974,Programme!E17974,Programme!F17974,Programme!G17974,Programme!H17974,Programme!I17974,Programme!J17974)</f>
        <v>&lt;valeur&gt;&lt;/valeur&gt;</v>
      </c>
    </row>
    <row r="17974" spans="1:1" x14ac:dyDescent="0.2">
      <c r="A17974" s="996" t="str">
        <f>CONCATENATE(Programme!D17975,Programme!E17975,Programme!F17975,Programme!G17975,Programme!H17975,Programme!I17975,Programme!J17975)</f>
        <v>&lt;numeroLigne&gt;2&lt;/numeroLigne&gt;</v>
      </c>
    </row>
    <row r="17975" spans="1:1" x14ac:dyDescent="0.2">
      <c r="A17975" s="996" t="str">
        <f>CONCATENATE(Programme!D17976,Programme!E17976,Programme!F17976,Programme!G17976,Programme!H17976,Programme!I17976,Programme!J17976)</f>
        <v>&lt;/ValeurCellule&gt;</v>
      </c>
    </row>
    <row r="17976" spans="1:1" x14ac:dyDescent="0.2">
      <c r="A17976" s="996" t="str">
        <f>CONCATENATE(Programme!D17977,Programme!E17977,Programme!F17977,Programme!G17977,Programme!H17977,Programme!I17977,Programme!J17977)</f>
        <v>&lt;ValeurCellule&gt;</v>
      </c>
    </row>
    <row r="17977" spans="1:1" x14ac:dyDescent="0.2">
      <c r="A17977" s="996" t="str">
        <f>CONCATENATE(Programme!D17978,Programme!E17978,Programme!F17978,Programme!G17978,Programme!H17978,Programme!I17978,Programme!J17978)</f>
        <v>&lt;cellule&gt;&lt;codeEdi&gt;1211&lt;/codeEdi&gt;&lt;/cellule&gt;</v>
      </c>
    </row>
    <row r="17978" spans="1:1" x14ac:dyDescent="0.2">
      <c r="A17978" s="996" t="str">
        <f>CONCATENATE(Programme!D17979,Programme!E17979,Programme!F17979,Programme!G17979,Programme!H17979,Programme!I17979,Programme!J17979)</f>
        <v>&lt;valeur&gt;&lt;/valeur&gt;</v>
      </c>
    </row>
    <row r="17979" spans="1:1" x14ac:dyDescent="0.2">
      <c r="A17979" s="996" t="str">
        <f>CONCATENATE(Programme!D17980,Programme!E17980,Programme!F17980,Programme!G17980,Programme!H17980,Programme!I17980,Programme!J17980)</f>
        <v>&lt;numeroLigne&gt;2&lt;/numeroLigne&gt;</v>
      </c>
    </row>
    <row r="17980" spans="1:1" x14ac:dyDescent="0.2">
      <c r="A17980" s="996" t="str">
        <f>CONCATENATE(Programme!D17981,Programme!E17981,Programme!F17981,Programme!G17981,Programme!H17981,Programme!I17981,Programme!J17981)</f>
        <v>&lt;/ValeurCellule&gt;</v>
      </c>
    </row>
    <row r="17981" spans="1:1" x14ac:dyDescent="0.2">
      <c r="A17981" s="996" t="str">
        <f>CONCATENATE(Programme!D17982,Programme!E17982,Programme!F17982,Programme!G17982,Programme!H17982,Programme!I17982,Programme!J17982)</f>
        <v>&lt;ValeurCellule&gt;</v>
      </c>
    </row>
    <row r="17982" spans="1:1" x14ac:dyDescent="0.2">
      <c r="A17982" s="996" t="str">
        <f>CONCATENATE(Programme!D17983,Programme!E17983,Programme!F17983,Programme!G17983,Programme!H17983,Programme!I17983,Programme!J17983)</f>
        <v>&lt;cellule&gt;&lt;codeEdi&gt;1212&lt;/codeEdi&gt;&lt;/cellule&gt;</v>
      </c>
    </row>
    <row r="17983" spans="1:1" x14ac:dyDescent="0.2">
      <c r="A17983" s="996" t="str">
        <f>CONCATENATE(Programme!D17984,Programme!E17984,Programme!F17984,Programme!G17984,Programme!H17984,Programme!I17984,Programme!J17984)</f>
        <v>&lt;valeur&gt;&lt;/valeur&gt;</v>
      </c>
    </row>
    <row r="17984" spans="1:1" x14ac:dyDescent="0.2">
      <c r="A17984" s="996" t="str">
        <f>CONCATENATE(Programme!D17985,Programme!E17985,Programme!F17985,Programme!G17985,Programme!H17985,Programme!I17985,Programme!J17985)</f>
        <v>&lt;numeroLigne&gt;2&lt;/numeroLigne&gt;</v>
      </c>
    </row>
    <row r="17985" spans="1:1" x14ac:dyDescent="0.2">
      <c r="A17985" s="996" t="str">
        <f>CONCATENATE(Programme!D17986,Programme!E17986,Programme!F17986,Programme!G17986,Programme!H17986,Programme!I17986,Programme!J17986)</f>
        <v>&lt;/ValeurCellule&gt;</v>
      </c>
    </row>
    <row r="17986" spans="1:1" x14ac:dyDescent="0.2">
      <c r="A17986" s="996" t="str">
        <f>CONCATENATE(Programme!D17987,Programme!E17987,Programme!F17987,Programme!G17987,Programme!H17987,Programme!I17987,Programme!J17987)</f>
        <v>&lt;ValeurCellule&gt;</v>
      </c>
    </row>
    <row r="17987" spans="1:1" x14ac:dyDescent="0.2">
      <c r="A17987" s="996" t="str">
        <f>CONCATENATE(Programme!D17988,Programme!E17988,Programme!F17988,Programme!G17988,Programme!H17988,Programme!I17988,Programme!J17988)</f>
        <v>&lt;cellule&gt;&lt;codeEdi&gt;1213&lt;/codeEdi&gt;&lt;/cellule&gt;</v>
      </c>
    </row>
    <row r="17988" spans="1:1" x14ac:dyDescent="0.2">
      <c r="A17988" s="996" t="str">
        <f>CONCATENATE(Programme!D17989,Programme!E17989,Programme!F17989,Programme!G17989,Programme!H17989,Programme!I17989,Programme!J17989)</f>
        <v>&lt;valeur&gt;&lt;/valeur&gt;</v>
      </c>
    </row>
    <row r="17989" spans="1:1" x14ac:dyDescent="0.2">
      <c r="A17989" s="996" t="str">
        <f>CONCATENATE(Programme!D17990,Programme!E17990,Programme!F17990,Programme!G17990,Programme!H17990,Programme!I17990,Programme!J17990)</f>
        <v>&lt;numeroLigne&gt;2&lt;/numeroLigne&gt;</v>
      </c>
    </row>
    <row r="17990" spans="1:1" x14ac:dyDescent="0.2">
      <c r="A17990" s="996" t="str">
        <f>CONCATENATE(Programme!D17991,Programme!E17991,Programme!F17991,Programme!G17991,Programme!H17991,Programme!I17991,Programme!J17991)</f>
        <v>&lt;/ValeurCellule&gt;</v>
      </c>
    </row>
    <row r="17991" spans="1:1" x14ac:dyDescent="0.2">
      <c r="A17991" s="996" t="str">
        <f>CONCATENATE(Programme!D17992,Programme!E17992,Programme!F17992,Programme!G17992,Programme!H17992,Programme!I17992,Programme!J17992)</f>
        <v>&lt;ValeurCellule&gt;</v>
      </c>
    </row>
    <row r="17992" spans="1:1" x14ac:dyDescent="0.2">
      <c r="A17992" s="996" t="str">
        <f>CONCATENATE(Programme!D17993,Programme!E17993,Programme!F17993,Programme!G17993,Programme!H17993,Programme!I17993,Programme!J17993)</f>
        <v>&lt;cellule&gt;&lt;codeEdi&gt;1214&lt;/codeEdi&gt;&lt;/cellule&gt;</v>
      </c>
    </row>
    <row r="17993" spans="1:1" x14ac:dyDescent="0.2">
      <c r="A17993" s="996" t="str">
        <f>CONCATENATE(Programme!D17994,Programme!E17994,Programme!F17994,Programme!G17994,Programme!H17994,Programme!I17994,Programme!J17994)</f>
        <v>&lt;valeur&gt;&lt;/valeur&gt;</v>
      </c>
    </row>
    <row r="17994" spans="1:1" x14ac:dyDescent="0.2">
      <c r="A17994" s="996" t="str">
        <f>CONCATENATE(Programme!D17995,Programme!E17995,Programme!F17995,Programme!G17995,Programme!H17995,Programme!I17995,Programme!J17995)</f>
        <v>&lt;numeroLigne&gt;2&lt;/numeroLigne&gt;</v>
      </c>
    </row>
    <row r="17995" spans="1:1" x14ac:dyDescent="0.2">
      <c r="A17995" s="996" t="str">
        <f>CONCATENATE(Programme!D17996,Programme!E17996,Programme!F17996,Programme!G17996,Programme!H17996,Programme!I17996,Programme!J17996)</f>
        <v>&lt;/ValeurCellule&gt;</v>
      </c>
    </row>
    <row r="17996" spans="1:1" x14ac:dyDescent="0.2">
      <c r="A17996" s="996" t="str">
        <f>CONCATENATE(Programme!D17997,Programme!E17997,Programme!F17997,Programme!G17997,Programme!H17997,Programme!I17997,Programme!J17997)</f>
        <v>&lt;ValeurCellule&gt;</v>
      </c>
    </row>
    <row r="17997" spans="1:1" x14ac:dyDescent="0.2">
      <c r="A17997" s="996" t="str">
        <f>CONCATENATE(Programme!D17998,Programme!E17998,Programme!F17998,Programme!G17998,Programme!H17998,Programme!I17998,Programme!J17998)</f>
        <v>&lt;cellule&gt;&lt;codeEdi&gt;1215&lt;/codeEdi&gt;&lt;/cellule&gt;</v>
      </c>
    </row>
    <row r="17998" spans="1:1" x14ac:dyDescent="0.2">
      <c r="A17998" s="996" t="str">
        <f>CONCATENATE(Programme!D17999,Programme!E17999,Programme!F17999,Programme!G17999,Programme!H17999,Programme!I17999,Programme!J17999)</f>
        <v>&lt;valeur&gt;&lt;/valeur&gt;</v>
      </c>
    </row>
    <row r="17999" spans="1:1" x14ac:dyDescent="0.2">
      <c r="A17999" s="996" t="str">
        <f>CONCATENATE(Programme!D18000,Programme!E18000,Programme!F18000,Programme!G18000,Programme!H18000,Programme!I18000,Programme!J18000)</f>
        <v>&lt;numeroLigne&gt;2&lt;/numeroLigne&gt;</v>
      </c>
    </row>
    <row r="18000" spans="1:1" x14ac:dyDescent="0.2">
      <c r="A18000" s="996" t="str">
        <f>CONCATENATE(Programme!D18001,Programme!E18001,Programme!F18001,Programme!G18001,Programme!H18001,Programme!I18001,Programme!J18001)</f>
        <v>&lt;/ValeurCellule&gt;</v>
      </c>
    </row>
    <row r="18001" spans="1:1" x14ac:dyDescent="0.2">
      <c r="A18001" s="996" t="str">
        <f>CONCATENATE(Programme!D18002,Programme!E18002,Programme!F18002,Programme!G18002,Programme!H18002,Programme!I18002,Programme!J18002)</f>
        <v>&lt;ValeurCellule&gt;</v>
      </c>
    </row>
    <row r="18002" spans="1:1" x14ac:dyDescent="0.2">
      <c r="A18002" s="996" t="str">
        <f>CONCATENATE(Programme!D18003,Programme!E18003,Programme!F18003,Programme!G18003,Programme!H18003,Programme!I18003,Programme!J18003)</f>
        <v>&lt;cellule&gt;&lt;codeEdi&gt;1216&lt;/codeEdi&gt;&lt;/cellule&gt;</v>
      </c>
    </row>
    <row r="18003" spans="1:1" x14ac:dyDescent="0.2">
      <c r="A18003" s="996" t="str">
        <f>CONCATENATE(Programme!D18004,Programme!E18004,Programme!F18004,Programme!G18004,Programme!H18004,Programme!I18004,Programme!J18004)</f>
        <v>&lt;valeur&gt;&lt;/valeur&gt;</v>
      </c>
    </row>
    <row r="18004" spans="1:1" x14ac:dyDescent="0.2">
      <c r="A18004" s="996" t="str">
        <f>CONCATENATE(Programme!D18005,Programme!E18005,Programme!F18005,Programme!G18005,Programme!H18005,Programme!I18005,Programme!J18005)</f>
        <v>&lt;numeroLigne&gt;2&lt;/numeroLigne&gt;</v>
      </c>
    </row>
    <row r="18005" spans="1:1" x14ac:dyDescent="0.2">
      <c r="A18005" s="996" t="str">
        <f>CONCATENATE(Programme!D18006,Programme!E18006,Programme!F18006,Programme!G18006,Programme!H18006,Programme!I18006,Programme!J18006)</f>
        <v>&lt;/ValeurCellule&gt;</v>
      </c>
    </row>
    <row r="18006" spans="1:1" x14ac:dyDescent="0.2">
      <c r="A18006" s="996" t="str">
        <f>CONCATENATE(Programme!D18007,Programme!E18007,Programme!F18007,Programme!G18007,Programme!H18007,Programme!I18007,Programme!J18007)</f>
        <v>&lt;ValeurCellule&gt;</v>
      </c>
    </row>
    <row r="18007" spans="1:1" x14ac:dyDescent="0.2">
      <c r="A18007" s="996" t="str">
        <f>CONCATENATE(Programme!D18008,Programme!E18008,Programme!F18008,Programme!G18008,Programme!H18008,Programme!I18008,Programme!J18008)</f>
        <v>&lt;cellule&gt;&lt;codeEdi&gt;1217&lt;/codeEdi&gt;&lt;/cellule&gt;</v>
      </c>
    </row>
    <row r="18008" spans="1:1" x14ac:dyDescent="0.2">
      <c r="A18008" s="996" t="str">
        <f>CONCATENATE(Programme!D18009,Programme!E18009,Programme!F18009,Programme!G18009,Programme!H18009,Programme!I18009,Programme!J18009)</f>
        <v>&lt;valeur&gt;&lt;/valeur&gt;</v>
      </c>
    </row>
    <row r="18009" spans="1:1" x14ac:dyDescent="0.2">
      <c r="A18009" s="996" t="str">
        <f>CONCATENATE(Programme!D18010,Programme!E18010,Programme!F18010,Programme!G18010,Programme!H18010,Programme!I18010,Programme!J18010)</f>
        <v>&lt;numeroLigne&gt;2&lt;/numeroLigne&gt;</v>
      </c>
    </row>
    <row r="18010" spans="1:1" x14ac:dyDescent="0.2">
      <c r="A18010" s="996" t="str">
        <f>CONCATENATE(Programme!D18011,Programme!E18011,Programme!F18011,Programme!G18011,Programme!H18011,Programme!I18011,Programme!J18011)</f>
        <v>&lt;/ValeurCellule&gt;</v>
      </c>
    </row>
    <row r="18011" spans="1:1" x14ac:dyDescent="0.2">
      <c r="A18011" s="996" t="str">
        <f>CONCATENATE(Programme!D18012,Programme!E18012,Programme!F18012,Programme!G18012,Programme!H18012,Programme!I18012,Programme!J18012)</f>
        <v>&lt;ValeurCellule&gt;</v>
      </c>
    </row>
    <row r="18012" spans="1:1" x14ac:dyDescent="0.2">
      <c r="A18012" s="996" t="str">
        <f>CONCATENATE(Programme!D18013,Programme!E18013,Programme!F18013,Programme!G18013,Programme!H18013,Programme!I18013,Programme!J18013)</f>
        <v>&lt;cellule&gt;&lt;codeEdi&gt;1218&lt;/codeEdi&gt;&lt;/cellule&gt;</v>
      </c>
    </row>
    <row r="18013" spans="1:1" x14ac:dyDescent="0.2">
      <c r="A18013" s="996" t="str">
        <f>CONCATENATE(Programme!D18014,Programme!E18014,Programme!F18014,Programme!G18014,Programme!H18014,Programme!I18014,Programme!J18014)</f>
        <v>&lt;valeur&gt;&lt;/valeur&gt;</v>
      </c>
    </row>
    <row r="18014" spans="1:1" x14ac:dyDescent="0.2">
      <c r="A18014" s="996" t="str">
        <f>CONCATENATE(Programme!D18015,Programme!E18015,Programme!F18015,Programme!G18015,Programme!H18015,Programme!I18015,Programme!J18015)</f>
        <v>&lt;numeroLigne&gt;2&lt;/numeroLigne&gt;</v>
      </c>
    </row>
    <row r="18015" spans="1:1" x14ac:dyDescent="0.2">
      <c r="A18015" s="996" t="str">
        <f>CONCATENATE(Programme!D18016,Programme!E18016,Programme!F18016,Programme!G18016,Programme!H18016,Programme!I18016,Programme!J18016)</f>
        <v>&lt;/ValeurCellule&gt;</v>
      </c>
    </row>
    <row r="18016" spans="1:1" x14ac:dyDescent="0.2">
      <c r="A18016" s="996" t="str">
        <f>CONCATENATE(Programme!D18017,Programme!E18017,Programme!F18017,Programme!G18017,Programme!H18017,Programme!I18017,Programme!J18017)</f>
        <v>&lt;ValeurCellule&gt;</v>
      </c>
    </row>
    <row r="18017" spans="1:1" x14ac:dyDescent="0.2">
      <c r="A18017" s="996" t="str">
        <f>CONCATENATE(Programme!D18018,Programme!E18018,Programme!F18018,Programme!G18018,Programme!H18018,Programme!I18018,Programme!J18018)</f>
        <v>&lt;cellule&gt;&lt;codeEdi&gt;1219&lt;/codeEdi&gt;&lt;/cellule&gt;</v>
      </c>
    </row>
    <row r="18018" spans="1:1" x14ac:dyDescent="0.2">
      <c r="A18018" s="996" t="str">
        <f>CONCATENATE(Programme!D18019,Programme!E18019,Programme!F18019,Programme!G18019,Programme!H18019,Programme!I18019,Programme!J18019)</f>
        <v>&lt;valeur&gt;&lt;/valeur&gt;</v>
      </c>
    </row>
    <row r="18019" spans="1:1" x14ac:dyDescent="0.2">
      <c r="A18019" s="996" t="str">
        <f>CONCATENATE(Programme!D18020,Programme!E18020,Programme!F18020,Programme!G18020,Programme!H18020,Programme!I18020,Programme!J18020)</f>
        <v>&lt;numeroLigne&gt;2&lt;/numeroLigne&gt;</v>
      </c>
    </row>
    <row r="18020" spans="1:1" x14ac:dyDescent="0.2">
      <c r="A18020" s="996" t="str">
        <f>CONCATENATE(Programme!D18021,Programme!E18021,Programme!F18021,Programme!G18021,Programme!H18021,Programme!I18021,Programme!J18021)</f>
        <v>&lt;/ValeurCellule&gt;</v>
      </c>
    </row>
    <row r="18021" spans="1:1" x14ac:dyDescent="0.2">
      <c r="A18021" s="996" t="str">
        <f>CONCATENATE(Programme!D18022,Programme!E18022,Programme!F18022,Programme!G18022,Programme!H18022,Programme!I18022,Programme!J18022)</f>
        <v>&lt;ValeurCellule&gt;</v>
      </c>
    </row>
    <row r="18022" spans="1:1" x14ac:dyDescent="0.2">
      <c r="A18022" s="996" t="str">
        <f>CONCATENATE(Programme!D18023,Programme!E18023,Programme!F18023,Programme!G18023,Programme!H18023,Programme!I18023,Programme!J18023)</f>
        <v>&lt;cellule&gt;&lt;codeEdi&gt;1220&lt;/codeEdi&gt;&lt;/cellule&gt;</v>
      </c>
    </row>
    <row r="18023" spans="1:1" x14ac:dyDescent="0.2">
      <c r="A18023" s="996" t="str">
        <f>CONCATENATE(Programme!D18024,Programme!E18024,Programme!F18024,Programme!G18024,Programme!H18024,Programme!I18024,Programme!J18024)</f>
        <v>&lt;valeur&gt;&lt;/valeur&gt;</v>
      </c>
    </row>
    <row r="18024" spans="1:1" x14ac:dyDescent="0.2">
      <c r="A18024" s="996" t="str">
        <f>CONCATENATE(Programme!D18025,Programme!E18025,Programme!F18025,Programme!G18025,Programme!H18025,Programme!I18025,Programme!J18025)</f>
        <v>&lt;numeroLigne&gt;2&lt;/numeroLigne&gt;</v>
      </c>
    </row>
    <row r="18025" spans="1:1" x14ac:dyDescent="0.2">
      <c r="A18025" s="996" t="str">
        <f>CONCATENATE(Programme!D18026,Programme!E18026,Programme!F18026,Programme!G18026,Programme!H18026,Programme!I18026,Programme!J18026)</f>
        <v>&lt;/ValeurCellule&gt;</v>
      </c>
    </row>
    <row r="18026" spans="1:1" x14ac:dyDescent="0.2">
      <c r="A18026" s="996" t="str">
        <f>CONCATENATE(Programme!D18027,Programme!E18027,Programme!F18027,Programme!G18027,Programme!H18027,Programme!I18027,Programme!J18027)</f>
        <v>&lt;ValeurCellule&gt;</v>
      </c>
    </row>
    <row r="18027" spans="1:1" x14ac:dyDescent="0.2">
      <c r="A18027" s="996" t="str">
        <f>CONCATENATE(Programme!D18028,Programme!E18028,Programme!F18028,Programme!G18028,Programme!H18028,Programme!I18028,Programme!J18028)</f>
        <v>&lt;cellule&gt;&lt;codeEdi&gt;1208&lt;/codeEdi&gt;&lt;/cellule&gt;</v>
      </c>
    </row>
    <row r="18028" spans="1:1" x14ac:dyDescent="0.2">
      <c r="A18028" s="996" t="str">
        <f>CONCATENATE(Programme!D18029,Programme!E18029,Programme!F18029,Programme!G18029,Programme!H18029,Programme!I18029,Programme!J18029)</f>
        <v>&lt;valeur&gt;&lt;/valeur&gt;</v>
      </c>
    </row>
    <row r="18029" spans="1:1" x14ac:dyDescent="0.2">
      <c r="A18029" s="996" t="str">
        <f>CONCATENATE(Programme!D18030,Programme!E18030,Programme!F18030,Programme!G18030,Programme!H18030,Programme!I18030,Programme!J18030)</f>
        <v>&lt;numeroLigne&gt;3&lt;/numeroLigne&gt;</v>
      </c>
    </row>
    <row r="18030" spans="1:1" x14ac:dyDescent="0.2">
      <c r="A18030" s="996" t="str">
        <f>CONCATENATE(Programme!D18031,Programme!E18031,Programme!F18031,Programme!G18031,Programme!H18031,Programme!I18031,Programme!J18031)</f>
        <v>&lt;/ValeurCellule&gt;</v>
      </c>
    </row>
    <row r="18031" spans="1:1" x14ac:dyDescent="0.2">
      <c r="A18031" s="996" t="str">
        <f>CONCATENATE(Programme!D18032,Programme!E18032,Programme!F18032,Programme!G18032,Programme!H18032,Programme!I18032,Programme!J18032)</f>
        <v>&lt;ValeurCellule&gt;</v>
      </c>
    </row>
    <row r="18032" spans="1:1" x14ac:dyDescent="0.2">
      <c r="A18032" s="996" t="str">
        <f>CONCATENATE(Programme!D18033,Programme!E18033,Programme!F18033,Programme!G18033,Programme!H18033,Programme!I18033,Programme!J18033)</f>
        <v>&lt;cellule&gt;&lt;codeEdi&gt;1209&lt;/codeEdi&gt;&lt;/cellule&gt;</v>
      </c>
    </row>
    <row r="18033" spans="1:1" x14ac:dyDescent="0.2">
      <c r="A18033" s="996" t="str">
        <f>CONCATENATE(Programme!D18034,Programme!E18034,Programme!F18034,Programme!G18034,Programme!H18034,Programme!I18034,Programme!J18034)</f>
        <v>&lt;valeur&gt;&lt;/valeur&gt;</v>
      </c>
    </row>
    <row r="18034" spans="1:1" x14ac:dyDescent="0.2">
      <c r="A18034" s="996" t="str">
        <f>CONCATENATE(Programme!D18035,Programme!E18035,Programme!F18035,Programme!G18035,Programme!H18035,Programme!I18035,Programme!J18035)</f>
        <v>&lt;numeroLigne&gt;3&lt;/numeroLigne&gt;</v>
      </c>
    </row>
    <row r="18035" spans="1:1" x14ac:dyDescent="0.2">
      <c r="A18035" s="996" t="str">
        <f>CONCATENATE(Programme!D18036,Programme!E18036,Programme!F18036,Programme!G18036,Programme!H18036,Programme!I18036,Programme!J18036)</f>
        <v>&lt;/ValeurCellule&gt;</v>
      </c>
    </row>
    <row r="18036" spans="1:1" x14ac:dyDescent="0.2">
      <c r="A18036" s="996" t="str">
        <f>CONCATENATE(Programme!D18037,Programme!E18037,Programme!F18037,Programme!G18037,Programme!H18037,Programme!I18037,Programme!J18037)</f>
        <v>&lt;ValeurCellule&gt;</v>
      </c>
    </row>
    <row r="18037" spans="1:1" x14ac:dyDescent="0.2">
      <c r="A18037" s="996" t="str">
        <f>CONCATENATE(Programme!D18038,Programme!E18038,Programme!F18038,Programme!G18038,Programme!H18038,Programme!I18038,Programme!J18038)</f>
        <v>&lt;cellule&gt;&lt;codeEdi&gt;1210&lt;/codeEdi&gt;&lt;/cellule&gt;</v>
      </c>
    </row>
    <row r="18038" spans="1:1" x14ac:dyDescent="0.2">
      <c r="A18038" s="996" t="str">
        <f>CONCATENATE(Programme!D18039,Programme!E18039,Programme!F18039,Programme!G18039,Programme!H18039,Programme!I18039,Programme!J18039)</f>
        <v>&lt;valeur&gt;&lt;/valeur&gt;</v>
      </c>
    </row>
    <row r="18039" spans="1:1" x14ac:dyDescent="0.2">
      <c r="A18039" s="996" t="str">
        <f>CONCATENATE(Programme!D18040,Programme!E18040,Programme!F18040,Programme!G18040,Programme!H18040,Programme!I18040,Programme!J18040)</f>
        <v>&lt;numeroLigne&gt;3&lt;/numeroLigne&gt;</v>
      </c>
    </row>
    <row r="18040" spans="1:1" x14ac:dyDescent="0.2">
      <c r="A18040" s="996" t="str">
        <f>CONCATENATE(Programme!D18041,Programme!E18041,Programme!F18041,Programme!G18041,Programme!H18041,Programme!I18041,Programme!J18041)</f>
        <v>&lt;/ValeurCellule&gt;</v>
      </c>
    </row>
    <row r="18041" spans="1:1" x14ac:dyDescent="0.2">
      <c r="A18041" s="996" t="str">
        <f>CONCATENATE(Programme!D18042,Programme!E18042,Programme!F18042,Programme!G18042,Programme!H18042,Programme!I18042,Programme!J18042)</f>
        <v>&lt;ValeurCellule&gt;</v>
      </c>
    </row>
    <row r="18042" spans="1:1" x14ac:dyDescent="0.2">
      <c r="A18042" s="996" t="str">
        <f>CONCATENATE(Programme!D18043,Programme!E18043,Programme!F18043,Programme!G18043,Programme!H18043,Programme!I18043,Programme!J18043)</f>
        <v>&lt;cellule&gt;&lt;codeEdi&gt;1211&lt;/codeEdi&gt;&lt;/cellule&gt;</v>
      </c>
    </row>
    <row r="18043" spans="1:1" x14ac:dyDescent="0.2">
      <c r="A18043" s="996" t="str">
        <f>CONCATENATE(Programme!D18044,Programme!E18044,Programme!F18044,Programme!G18044,Programme!H18044,Programme!I18044,Programme!J18044)</f>
        <v>&lt;valeur&gt;&lt;/valeur&gt;</v>
      </c>
    </row>
    <row r="18044" spans="1:1" x14ac:dyDescent="0.2">
      <c r="A18044" s="996" t="str">
        <f>CONCATENATE(Programme!D18045,Programme!E18045,Programme!F18045,Programme!G18045,Programme!H18045,Programme!I18045,Programme!J18045)</f>
        <v>&lt;numeroLigne&gt;3&lt;/numeroLigne&gt;</v>
      </c>
    </row>
    <row r="18045" spans="1:1" x14ac:dyDescent="0.2">
      <c r="A18045" s="996" t="str">
        <f>CONCATENATE(Programme!D18046,Programme!E18046,Programme!F18046,Programme!G18046,Programme!H18046,Programme!I18046,Programme!J18046)</f>
        <v>&lt;/ValeurCellule&gt;</v>
      </c>
    </row>
    <row r="18046" spans="1:1" x14ac:dyDescent="0.2">
      <c r="A18046" s="996" t="str">
        <f>CONCATENATE(Programme!D18047,Programme!E18047,Programme!F18047,Programme!G18047,Programme!H18047,Programme!I18047,Programme!J18047)</f>
        <v>&lt;ValeurCellule&gt;</v>
      </c>
    </row>
    <row r="18047" spans="1:1" x14ac:dyDescent="0.2">
      <c r="A18047" s="996" t="str">
        <f>CONCATENATE(Programme!D18048,Programme!E18048,Programme!F18048,Programme!G18048,Programme!H18048,Programme!I18048,Programme!J18048)</f>
        <v>&lt;cellule&gt;&lt;codeEdi&gt;1212&lt;/codeEdi&gt;&lt;/cellule&gt;</v>
      </c>
    </row>
    <row r="18048" spans="1:1" x14ac:dyDescent="0.2">
      <c r="A18048" s="996" t="str">
        <f>CONCATENATE(Programme!D18049,Programme!E18049,Programme!F18049,Programme!G18049,Programme!H18049,Programme!I18049,Programme!J18049)</f>
        <v>&lt;valeur&gt;&lt;/valeur&gt;</v>
      </c>
    </row>
    <row r="18049" spans="1:1" x14ac:dyDescent="0.2">
      <c r="A18049" s="996" t="str">
        <f>CONCATENATE(Programme!D18050,Programme!E18050,Programme!F18050,Programme!G18050,Programme!H18050,Programme!I18050,Programme!J18050)</f>
        <v>&lt;numeroLigne&gt;3&lt;/numeroLigne&gt;</v>
      </c>
    </row>
    <row r="18050" spans="1:1" x14ac:dyDescent="0.2">
      <c r="A18050" s="996" t="str">
        <f>CONCATENATE(Programme!D18051,Programme!E18051,Programme!F18051,Programme!G18051,Programme!H18051,Programme!I18051,Programme!J18051)</f>
        <v>&lt;/ValeurCellule&gt;</v>
      </c>
    </row>
    <row r="18051" spans="1:1" x14ac:dyDescent="0.2">
      <c r="A18051" s="996" t="str">
        <f>CONCATENATE(Programme!D18052,Programme!E18052,Programme!F18052,Programme!G18052,Programme!H18052,Programme!I18052,Programme!J18052)</f>
        <v>&lt;ValeurCellule&gt;</v>
      </c>
    </row>
    <row r="18052" spans="1:1" x14ac:dyDescent="0.2">
      <c r="A18052" s="996" t="str">
        <f>CONCATENATE(Programme!D18053,Programme!E18053,Programme!F18053,Programme!G18053,Programme!H18053,Programme!I18053,Programme!J18053)</f>
        <v>&lt;cellule&gt;&lt;codeEdi&gt;1213&lt;/codeEdi&gt;&lt;/cellule&gt;</v>
      </c>
    </row>
    <row r="18053" spans="1:1" x14ac:dyDescent="0.2">
      <c r="A18053" s="996" t="str">
        <f>CONCATENATE(Programme!D18054,Programme!E18054,Programme!F18054,Programme!G18054,Programme!H18054,Programme!I18054,Programme!J18054)</f>
        <v>&lt;valeur&gt;&lt;/valeur&gt;</v>
      </c>
    </row>
    <row r="18054" spans="1:1" x14ac:dyDescent="0.2">
      <c r="A18054" s="996" t="str">
        <f>CONCATENATE(Programme!D18055,Programme!E18055,Programme!F18055,Programme!G18055,Programme!H18055,Programme!I18055,Programme!J18055)</f>
        <v>&lt;numeroLigne&gt;3&lt;/numeroLigne&gt;</v>
      </c>
    </row>
    <row r="18055" spans="1:1" x14ac:dyDescent="0.2">
      <c r="A18055" s="996" t="str">
        <f>CONCATENATE(Programme!D18056,Programme!E18056,Programme!F18056,Programme!G18056,Programme!H18056,Programme!I18056,Programme!J18056)</f>
        <v>&lt;/ValeurCellule&gt;</v>
      </c>
    </row>
    <row r="18056" spans="1:1" x14ac:dyDescent="0.2">
      <c r="A18056" s="996" t="str">
        <f>CONCATENATE(Programme!D18057,Programme!E18057,Programme!F18057,Programme!G18057,Programme!H18057,Programme!I18057,Programme!J18057)</f>
        <v>&lt;ValeurCellule&gt;</v>
      </c>
    </row>
    <row r="18057" spans="1:1" x14ac:dyDescent="0.2">
      <c r="A18057" s="996" t="str">
        <f>CONCATENATE(Programme!D18058,Programme!E18058,Programme!F18058,Programme!G18058,Programme!H18058,Programme!I18058,Programme!J18058)</f>
        <v>&lt;cellule&gt;&lt;codeEdi&gt;1214&lt;/codeEdi&gt;&lt;/cellule&gt;</v>
      </c>
    </row>
    <row r="18058" spans="1:1" x14ac:dyDescent="0.2">
      <c r="A18058" s="996" t="str">
        <f>CONCATENATE(Programme!D18059,Programme!E18059,Programme!F18059,Programme!G18059,Programme!H18059,Programme!I18059,Programme!J18059)</f>
        <v>&lt;valeur&gt;&lt;/valeur&gt;</v>
      </c>
    </row>
    <row r="18059" spans="1:1" x14ac:dyDescent="0.2">
      <c r="A18059" s="996" t="str">
        <f>CONCATENATE(Programme!D18060,Programme!E18060,Programme!F18060,Programme!G18060,Programme!H18060,Programme!I18060,Programme!J18060)</f>
        <v>&lt;numeroLigne&gt;3&lt;/numeroLigne&gt;</v>
      </c>
    </row>
    <row r="18060" spans="1:1" x14ac:dyDescent="0.2">
      <c r="A18060" s="996" t="str">
        <f>CONCATENATE(Programme!D18061,Programme!E18061,Programme!F18061,Programme!G18061,Programme!H18061,Programme!I18061,Programme!J18061)</f>
        <v>&lt;/ValeurCellule&gt;</v>
      </c>
    </row>
    <row r="18061" spans="1:1" x14ac:dyDescent="0.2">
      <c r="A18061" s="996" t="str">
        <f>CONCATENATE(Programme!D18062,Programme!E18062,Programme!F18062,Programme!G18062,Programme!H18062,Programme!I18062,Programme!J18062)</f>
        <v>&lt;ValeurCellule&gt;</v>
      </c>
    </row>
    <row r="18062" spans="1:1" x14ac:dyDescent="0.2">
      <c r="A18062" s="996" t="str">
        <f>CONCATENATE(Programme!D18063,Programme!E18063,Programme!F18063,Programme!G18063,Programme!H18063,Programme!I18063,Programme!J18063)</f>
        <v>&lt;cellule&gt;&lt;codeEdi&gt;1215&lt;/codeEdi&gt;&lt;/cellule&gt;</v>
      </c>
    </row>
    <row r="18063" spans="1:1" x14ac:dyDescent="0.2">
      <c r="A18063" s="996" t="str">
        <f>CONCATENATE(Programme!D18064,Programme!E18064,Programme!F18064,Programme!G18064,Programme!H18064,Programme!I18064,Programme!J18064)</f>
        <v>&lt;valeur&gt;&lt;/valeur&gt;</v>
      </c>
    </row>
    <row r="18064" spans="1:1" x14ac:dyDescent="0.2">
      <c r="A18064" s="996" t="str">
        <f>CONCATENATE(Programme!D18065,Programme!E18065,Programme!F18065,Programme!G18065,Programme!H18065,Programme!I18065,Programme!J18065)</f>
        <v>&lt;numeroLigne&gt;3&lt;/numeroLigne&gt;</v>
      </c>
    </row>
    <row r="18065" spans="1:1" x14ac:dyDescent="0.2">
      <c r="A18065" s="996" t="str">
        <f>CONCATENATE(Programme!D18066,Programme!E18066,Programme!F18066,Programme!G18066,Programme!H18066,Programme!I18066,Programme!J18066)</f>
        <v>&lt;/ValeurCellule&gt;</v>
      </c>
    </row>
    <row r="18066" spans="1:1" x14ac:dyDescent="0.2">
      <c r="A18066" s="996" t="str">
        <f>CONCATENATE(Programme!D18067,Programme!E18067,Programme!F18067,Programme!G18067,Programme!H18067,Programme!I18067,Programme!J18067)</f>
        <v>&lt;ValeurCellule&gt;</v>
      </c>
    </row>
    <row r="18067" spans="1:1" x14ac:dyDescent="0.2">
      <c r="A18067" s="996" t="str">
        <f>CONCATENATE(Programme!D18068,Programme!E18068,Programme!F18068,Programme!G18068,Programme!H18068,Programme!I18068,Programme!J18068)</f>
        <v>&lt;cellule&gt;&lt;codeEdi&gt;1216&lt;/codeEdi&gt;&lt;/cellule&gt;</v>
      </c>
    </row>
    <row r="18068" spans="1:1" x14ac:dyDescent="0.2">
      <c r="A18068" s="996" t="str">
        <f>CONCATENATE(Programme!D18069,Programme!E18069,Programme!F18069,Programme!G18069,Programme!H18069,Programme!I18069,Programme!J18069)</f>
        <v>&lt;valeur&gt;&lt;/valeur&gt;</v>
      </c>
    </row>
    <row r="18069" spans="1:1" x14ac:dyDescent="0.2">
      <c r="A18069" s="996" t="str">
        <f>CONCATENATE(Programme!D18070,Programme!E18070,Programme!F18070,Programme!G18070,Programme!H18070,Programme!I18070,Programme!J18070)</f>
        <v>&lt;numeroLigne&gt;3&lt;/numeroLigne&gt;</v>
      </c>
    </row>
    <row r="18070" spans="1:1" x14ac:dyDescent="0.2">
      <c r="A18070" s="996" t="str">
        <f>CONCATENATE(Programme!D18071,Programme!E18071,Programme!F18071,Programme!G18071,Programme!H18071,Programme!I18071,Programme!J18071)</f>
        <v>&lt;/ValeurCellule&gt;</v>
      </c>
    </row>
    <row r="18071" spans="1:1" x14ac:dyDescent="0.2">
      <c r="A18071" s="996" t="str">
        <f>CONCATENATE(Programme!D18072,Programme!E18072,Programme!F18072,Programme!G18072,Programme!H18072,Programme!I18072,Programme!J18072)</f>
        <v>&lt;ValeurCellule&gt;</v>
      </c>
    </row>
    <row r="18072" spans="1:1" x14ac:dyDescent="0.2">
      <c r="A18072" s="996" t="str">
        <f>CONCATENATE(Programme!D18073,Programme!E18073,Programme!F18073,Programme!G18073,Programme!H18073,Programme!I18073,Programme!J18073)</f>
        <v>&lt;cellule&gt;&lt;codeEdi&gt;1217&lt;/codeEdi&gt;&lt;/cellule&gt;</v>
      </c>
    </row>
    <row r="18073" spans="1:1" x14ac:dyDescent="0.2">
      <c r="A18073" s="996" t="str">
        <f>CONCATENATE(Programme!D18074,Programme!E18074,Programme!F18074,Programme!G18074,Programme!H18074,Programme!I18074,Programme!J18074)</f>
        <v>&lt;valeur&gt;&lt;/valeur&gt;</v>
      </c>
    </row>
    <row r="18074" spans="1:1" x14ac:dyDescent="0.2">
      <c r="A18074" s="996" t="str">
        <f>CONCATENATE(Programme!D18075,Programme!E18075,Programme!F18075,Programme!G18075,Programme!H18075,Programme!I18075,Programme!J18075)</f>
        <v>&lt;numeroLigne&gt;3&lt;/numeroLigne&gt;</v>
      </c>
    </row>
    <row r="18075" spans="1:1" x14ac:dyDescent="0.2">
      <c r="A18075" s="996" t="str">
        <f>CONCATENATE(Programme!D18076,Programme!E18076,Programme!F18076,Programme!G18076,Programme!H18076,Programme!I18076,Programme!J18076)</f>
        <v>&lt;/ValeurCellule&gt;</v>
      </c>
    </row>
    <row r="18076" spans="1:1" x14ac:dyDescent="0.2">
      <c r="A18076" s="996" t="str">
        <f>CONCATENATE(Programme!D18077,Programme!E18077,Programme!F18077,Programme!G18077,Programme!H18077,Programme!I18077,Programme!J18077)</f>
        <v>&lt;ValeurCellule&gt;</v>
      </c>
    </row>
    <row r="18077" spans="1:1" x14ac:dyDescent="0.2">
      <c r="A18077" s="996" t="str">
        <f>CONCATENATE(Programme!D18078,Programme!E18078,Programme!F18078,Programme!G18078,Programme!H18078,Programme!I18078,Programme!J18078)</f>
        <v>&lt;cellule&gt;&lt;codeEdi&gt;1218&lt;/codeEdi&gt;&lt;/cellule&gt;</v>
      </c>
    </row>
    <row r="18078" spans="1:1" x14ac:dyDescent="0.2">
      <c r="A18078" s="996" t="str">
        <f>CONCATENATE(Programme!D18079,Programme!E18079,Programme!F18079,Programme!G18079,Programme!H18079,Programme!I18079,Programme!J18079)</f>
        <v>&lt;valeur&gt;&lt;/valeur&gt;</v>
      </c>
    </row>
    <row r="18079" spans="1:1" x14ac:dyDescent="0.2">
      <c r="A18079" s="996" t="str">
        <f>CONCATENATE(Programme!D18080,Programme!E18080,Programme!F18080,Programme!G18080,Programme!H18080,Programme!I18080,Programme!J18080)</f>
        <v>&lt;numeroLigne&gt;3&lt;/numeroLigne&gt;</v>
      </c>
    </row>
    <row r="18080" spans="1:1" x14ac:dyDescent="0.2">
      <c r="A18080" s="996" t="str">
        <f>CONCATENATE(Programme!D18081,Programme!E18081,Programme!F18081,Programme!G18081,Programme!H18081,Programme!I18081,Programme!J18081)</f>
        <v>&lt;/ValeurCellule&gt;</v>
      </c>
    </row>
    <row r="18081" spans="1:1" x14ac:dyDescent="0.2">
      <c r="A18081" s="996" t="str">
        <f>CONCATENATE(Programme!D18082,Programme!E18082,Programme!F18082,Programme!G18082,Programme!H18082,Programme!I18082,Programme!J18082)</f>
        <v>&lt;ValeurCellule&gt;</v>
      </c>
    </row>
    <row r="18082" spans="1:1" x14ac:dyDescent="0.2">
      <c r="A18082" s="996" t="str">
        <f>CONCATENATE(Programme!D18083,Programme!E18083,Programme!F18083,Programme!G18083,Programme!H18083,Programme!I18083,Programme!J18083)</f>
        <v>&lt;cellule&gt;&lt;codeEdi&gt;1219&lt;/codeEdi&gt;&lt;/cellule&gt;</v>
      </c>
    </row>
    <row r="18083" spans="1:1" x14ac:dyDescent="0.2">
      <c r="A18083" s="996" t="str">
        <f>CONCATENATE(Programme!D18084,Programme!E18084,Programme!F18084,Programme!G18084,Programme!H18084,Programme!I18084,Programme!J18084)</f>
        <v>&lt;valeur&gt;&lt;/valeur&gt;</v>
      </c>
    </row>
    <row r="18084" spans="1:1" x14ac:dyDescent="0.2">
      <c r="A18084" s="996" t="str">
        <f>CONCATENATE(Programme!D18085,Programme!E18085,Programme!F18085,Programme!G18085,Programme!H18085,Programme!I18085,Programme!J18085)</f>
        <v>&lt;numeroLigne&gt;3&lt;/numeroLigne&gt;</v>
      </c>
    </row>
    <row r="18085" spans="1:1" x14ac:dyDescent="0.2">
      <c r="A18085" s="996" t="str">
        <f>CONCATENATE(Programme!D18086,Programme!E18086,Programme!F18086,Programme!G18086,Programme!H18086,Programme!I18086,Programme!J18086)</f>
        <v>&lt;/ValeurCellule&gt;</v>
      </c>
    </row>
    <row r="18086" spans="1:1" x14ac:dyDescent="0.2">
      <c r="A18086" s="996" t="str">
        <f>CONCATENATE(Programme!D18087,Programme!E18087,Programme!F18087,Programme!G18087,Programme!H18087,Programme!I18087,Programme!J18087)</f>
        <v>&lt;ValeurCellule&gt;</v>
      </c>
    </row>
    <row r="18087" spans="1:1" x14ac:dyDescent="0.2">
      <c r="A18087" s="996" t="str">
        <f>CONCATENATE(Programme!D18088,Programme!E18088,Programme!F18088,Programme!G18088,Programme!H18088,Programme!I18088,Programme!J18088)</f>
        <v>&lt;cellule&gt;&lt;codeEdi&gt;1220&lt;/codeEdi&gt;&lt;/cellule&gt;</v>
      </c>
    </row>
    <row r="18088" spans="1:1" x14ac:dyDescent="0.2">
      <c r="A18088" s="996" t="str">
        <f>CONCATENATE(Programme!D18089,Programme!E18089,Programme!F18089,Programme!G18089,Programme!H18089,Programme!I18089,Programme!J18089)</f>
        <v>&lt;valeur&gt;&lt;/valeur&gt;</v>
      </c>
    </row>
    <row r="18089" spans="1:1" x14ac:dyDescent="0.2">
      <c r="A18089" s="996" t="str">
        <f>CONCATENATE(Programme!D18090,Programme!E18090,Programme!F18090,Programme!G18090,Programme!H18090,Programme!I18090,Programme!J18090)</f>
        <v>&lt;numeroLigne&gt;3&lt;/numeroLigne&gt;</v>
      </c>
    </row>
    <row r="18090" spans="1:1" x14ac:dyDescent="0.2">
      <c r="A18090" s="996" t="str">
        <f>CONCATENATE(Programme!D18091,Programme!E18091,Programme!F18091,Programme!G18091,Programme!H18091,Programme!I18091,Programme!J18091)</f>
        <v>&lt;/ValeurCellule&gt;</v>
      </c>
    </row>
    <row r="18091" spans="1:1" x14ac:dyDescent="0.2">
      <c r="A18091" s="996" t="str">
        <f>CONCATENATE(Programme!D18092,Programme!E18092,Programme!F18092,Programme!G18092,Programme!H18092,Programme!I18092,Programme!J18092)</f>
        <v>&lt;ValeurCellule&gt;</v>
      </c>
    </row>
    <row r="18092" spans="1:1" x14ac:dyDescent="0.2">
      <c r="A18092" s="996" t="str">
        <f>CONCATENATE(Programme!D18093,Programme!E18093,Programme!F18093,Programme!G18093,Programme!H18093,Programme!I18093,Programme!J18093)</f>
        <v>&lt;cellule&gt;&lt;codeEdi&gt;1208&lt;/codeEdi&gt;&lt;/cellule&gt;</v>
      </c>
    </row>
    <row r="18093" spans="1:1" x14ac:dyDescent="0.2">
      <c r="A18093" s="996" t="str">
        <f>CONCATENATE(Programme!D18094,Programme!E18094,Programme!F18094,Programme!G18094,Programme!H18094,Programme!I18094,Programme!J18094)</f>
        <v>&lt;valeur&gt;&lt;/valeur&gt;</v>
      </c>
    </row>
    <row r="18094" spans="1:1" x14ac:dyDescent="0.2">
      <c r="A18094" s="996" t="str">
        <f>CONCATENATE(Programme!D18095,Programme!E18095,Programme!F18095,Programme!G18095,Programme!H18095,Programme!I18095,Programme!J18095)</f>
        <v>&lt;numeroLigne&gt;4&lt;/numeroLigne&gt;</v>
      </c>
    </row>
    <row r="18095" spans="1:1" x14ac:dyDescent="0.2">
      <c r="A18095" s="996" t="str">
        <f>CONCATENATE(Programme!D18096,Programme!E18096,Programme!F18096,Programme!G18096,Programme!H18096,Programme!I18096,Programme!J18096)</f>
        <v>&lt;/ValeurCellule&gt;</v>
      </c>
    </row>
    <row r="18096" spans="1:1" x14ac:dyDescent="0.2">
      <c r="A18096" s="996" t="str">
        <f>CONCATENATE(Programme!D18097,Programme!E18097,Programme!F18097,Programme!G18097,Programme!H18097,Programme!I18097,Programme!J18097)</f>
        <v>&lt;ValeurCellule&gt;</v>
      </c>
    </row>
    <row r="18097" spans="1:1" x14ac:dyDescent="0.2">
      <c r="A18097" s="996" t="str">
        <f>CONCATENATE(Programme!D18098,Programme!E18098,Programme!F18098,Programme!G18098,Programme!H18098,Programme!I18098,Programme!J18098)</f>
        <v>&lt;cellule&gt;&lt;codeEdi&gt;1209&lt;/codeEdi&gt;&lt;/cellule&gt;</v>
      </c>
    </row>
    <row r="18098" spans="1:1" x14ac:dyDescent="0.2">
      <c r="A18098" s="996" t="str">
        <f>CONCATENATE(Programme!D18099,Programme!E18099,Programme!F18099,Programme!G18099,Programme!H18099,Programme!I18099,Programme!J18099)</f>
        <v>&lt;valeur&gt;&lt;/valeur&gt;</v>
      </c>
    </row>
    <row r="18099" spans="1:1" x14ac:dyDescent="0.2">
      <c r="A18099" s="996" t="str">
        <f>CONCATENATE(Programme!D18100,Programme!E18100,Programme!F18100,Programme!G18100,Programme!H18100,Programme!I18100,Programme!J18100)</f>
        <v>&lt;numeroLigne&gt;4&lt;/numeroLigne&gt;</v>
      </c>
    </row>
    <row r="18100" spans="1:1" x14ac:dyDescent="0.2">
      <c r="A18100" s="996" t="str">
        <f>CONCATENATE(Programme!D18101,Programme!E18101,Programme!F18101,Programme!G18101,Programme!H18101,Programme!I18101,Programme!J18101)</f>
        <v>&lt;/ValeurCellule&gt;</v>
      </c>
    </row>
    <row r="18101" spans="1:1" x14ac:dyDescent="0.2">
      <c r="A18101" s="996" t="str">
        <f>CONCATENATE(Programme!D18102,Programme!E18102,Programme!F18102,Programme!G18102,Programme!H18102,Programme!I18102,Programme!J18102)</f>
        <v>&lt;ValeurCellule&gt;</v>
      </c>
    </row>
    <row r="18102" spans="1:1" x14ac:dyDescent="0.2">
      <c r="A18102" s="996" t="str">
        <f>CONCATENATE(Programme!D18103,Programme!E18103,Programme!F18103,Programme!G18103,Programme!H18103,Programme!I18103,Programme!J18103)</f>
        <v>&lt;cellule&gt;&lt;codeEdi&gt;1210&lt;/codeEdi&gt;&lt;/cellule&gt;</v>
      </c>
    </row>
    <row r="18103" spans="1:1" x14ac:dyDescent="0.2">
      <c r="A18103" s="996" t="str">
        <f>CONCATENATE(Programme!D18104,Programme!E18104,Programme!F18104,Programme!G18104,Programme!H18104,Programme!I18104,Programme!J18104)</f>
        <v>&lt;valeur&gt;&lt;/valeur&gt;</v>
      </c>
    </row>
    <row r="18104" spans="1:1" x14ac:dyDescent="0.2">
      <c r="A18104" s="996" t="str">
        <f>CONCATENATE(Programme!D18105,Programme!E18105,Programme!F18105,Programme!G18105,Programme!H18105,Programme!I18105,Programme!J18105)</f>
        <v>&lt;numeroLigne&gt;4&lt;/numeroLigne&gt;</v>
      </c>
    </row>
    <row r="18105" spans="1:1" x14ac:dyDescent="0.2">
      <c r="A18105" s="996" t="str">
        <f>CONCATENATE(Programme!D18106,Programme!E18106,Programme!F18106,Programme!G18106,Programme!H18106,Programme!I18106,Programme!J18106)</f>
        <v>&lt;/ValeurCellule&gt;</v>
      </c>
    </row>
    <row r="18106" spans="1:1" x14ac:dyDescent="0.2">
      <c r="A18106" s="996" t="str">
        <f>CONCATENATE(Programme!D18107,Programme!E18107,Programme!F18107,Programme!G18107,Programme!H18107,Programme!I18107,Programme!J18107)</f>
        <v>&lt;ValeurCellule&gt;</v>
      </c>
    </row>
    <row r="18107" spans="1:1" x14ac:dyDescent="0.2">
      <c r="A18107" s="996" t="str">
        <f>CONCATENATE(Programme!D18108,Programme!E18108,Programme!F18108,Programme!G18108,Programme!H18108,Programme!I18108,Programme!J18108)</f>
        <v>&lt;cellule&gt;&lt;codeEdi&gt;1211&lt;/codeEdi&gt;&lt;/cellule&gt;</v>
      </c>
    </row>
    <row r="18108" spans="1:1" x14ac:dyDescent="0.2">
      <c r="A18108" s="996" t="str">
        <f>CONCATENATE(Programme!D18109,Programme!E18109,Programme!F18109,Programme!G18109,Programme!H18109,Programme!I18109,Programme!J18109)</f>
        <v>&lt;valeur&gt;&lt;/valeur&gt;</v>
      </c>
    </row>
    <row r="18109" spans="1:1" x14ac:dyDescent="0.2">
      <c r="A18109" s="996" t="str">
        <f>CONCATENATE(Programme!D18110,Programme!E18110,Programme!F18110,Programme!G18110,Programme!H18110,Programme!I18110,Programme!J18110)</f>
        <v>&lt;numeroLigne&gt;4&lt;/numeroLigne&gt;</v>
      </c>
    </row>
    <row r="18110" spans="1:1" x14ac:dyDescent="0.2">
      <c r="A18110" s="996" t="str">
        <f>CONCATENATE(Programme!D18111,Programme!E18111,Programme!F18111,Programme!G18111,Programme!H18111,Programme!I18111,Programme!J18111)</f>
        <v>&lt;/ValeurCellule&gt;</v>
      </c>
    </row>
    <row r="18111" spans="1:1" x14ac:dyDescent="0.2">
      <c r="A18111" s="996" t="str">
        <f>CONCATENATE(Programme!D18112,Programme!E18112,Programme!F18112,Programme!G18112,Programme!H18112,Programme!I18112,Programme!J18112)</f>
        <v>&lt;ValeurCellule&gt;</v>
      </c>
    </row>
    <row r="18112" spans="1:1" x14ac:dyDescent="0.2">
      <c r="A18112" s="996" t="str">
        <f>CONCATENATE(Programme!D18113,Programme!E18113,Programme!F18113,Programme!G18113,Programme!H18113,Programme!I18113,Programme!J18113)</f>
        <v>&lt;cellule&gt;&lt;codeEdi&gt;1212&lt;/codeEdi&gt;&lt;/cellule&gt;</v>
      </c>
    </row>
    <row r="18113" spans="1:1" x14ac:dyDescent="0.2">
      <c r="A18113" s="996" t="str">
        <f>CONCATENATE(Programme!D18114,Programme!E18114,Programme!F18114,Programme!G18114,Programme!H18114,Programme!I18114,Programme!J18114)</f>
        <v>&lt;valeur&gt;&lt;/valeur&gt;</v>
      </c>
    </row>
    <row r="18114" spans="1:1" x14ac:dyDescent="0.2">
      <c r="A18114" s="996" t="str">
        <f>CONCATENATE(Programme!D18115,Programme!E18115,Programme!F18115,Programme!G18115,Programme!H18115,Programme!I18115,Programme!J18115)</f>
        <v>&lt;numeroLigne&gt;4&lt;/numeroLigne&gt;</v>
      </c>
    </row>
    <row r="18115" spans="1:1" x14ac:dyDescent="0.2">
      <c r="A18115" s="996" t="str">
        <f>CONCATENATE(Programme!D18116,Programme!E18116,Programme!F18116,Programme!G18116,Programme!H18116,Programme!I18116,Programme!J18116)</f>
        <v>&lt;/ValeurCellule&gt;</v>
      </c>
    </row>
    <row r="18116" spans="1:1" x14ac:dyDescent="0.2">
      <c r="A18116" s="996" t="str">
        <f>CONCATENATE(Programme!D18117,Programme!E18117,Programme!F18117,Programme!G18117,Programme!H18117,Programme!I18117,Programme!J18117)</f>
        <v>&lt;ValeurCellule&gt;</v>
      </c>
    </row>
    <row r="18117" spans="1:1" x14ac:dyDescent="0.2">
      <c r="A18117" s="996" t="str">
        <f>CONCATENATE(Programme!D18118,Programme!E18118,Programme!F18118,Programme!G18118,Programme!H18118,Programme!I18118,Programme!J18118)</f>
        <v>&lt;cellule&gt;&lt;codeEdi&gt;1213&lt;/codeEdi&gt;&lt;/cellule&gt;</v>
      </c>
    </row>
    <row r="18118" spans="1:1" x14ac:dyDescent="0.2">
      <c r="A18118" s="996" t="str">
        <f>CONCATENATE(Programme!D18119,Programme!E18119,Programme!F18119,Programme!G18119,Programme!H18119,Programme!I18119,Programme!J18119)</f>
        <v>&lt;valeur&gt;&lt;/valeur&gt;</v>
      </c>
    </row>
    <row r="18119" spans="1:1" x14ac:dyDescent="0.2">
      <c r="A18119" s="996" t="str">
        <f>CONCATENATE(Programme!D18120,Programme!E18120,Programme!F18120,Programme!G18120,Programme!H18120,Programme!I18120,Programme!J18120)</f>
        <v>&lt;numeroLigne&gt;4&lt;/numeroLigne&gt;</v>
      </c>
    </row>
    <row r="18120" spans="1:1" x14ac:dyDescent="0.2">
      <c r="A18120" s="996" t="str">
        <f>CONCATENATE(Programme!D18121,Programme!E18121,Programme!F18121,Programme!G18121,Programme!H18121,Programme!I18121,Programme!J18121)</f>
        <v>&lt;/ValeurCellule&gt;</v>
      </c>
    </row>
    <row r="18121" spans="1:1" x14ac:dyDescent="0.2">
      <c r="A18121" s="996" t="str">
        <f>CONCATENATE(Programme!D18122,Programme!E18122,Programme!F18122,Programme!G18122,Programme!H18122,Programme!I18122,Programme!J18122)</f>
        <v>&lt;ValeurCellule&gt;</v>
      </c>
    </row>
    <row r="18122" spans="1:1" x14ac:dyDescent="0.2">
      <c r="A18122" s="996" t="str">
        <f>CONCATENATE(Programme!D18123,Programme!E18123,Programme!F18123,Programme!G18123,Programme!H18123,Programme!I18123,Programme!J18123)</f>
        <v>&lt;cellule&gt;&lt;codeEdi&gt;1214&lt;/codeEdi&gt;&lt;/cellule&gt;</v>
      </c>
    </row>
    <row r="18123" spans="1:1" x14ac:dyDescent="0.2">
      <c r="A18123" s="996" t="str">
        <f>CONCATENATE(Programme!D18124,Programme!E18124,Programme!F18124,Programme!G18124,Programme!H18124,Programme!I18124,Programme!J18124)</f>
        <v>&lt;valeur&gt;&lt;/valeur&gt;</v>
      </c>
    </row>
    <row r="18124" spans="1:1" x14ac:dyDescent="0.2">
      <c r="A18124" s="996" t="str">
        <f>CONCATENATE(Programme!D18125,Programme!E18125,Programme!F18125,Programme!G18125,Programme!H18125,Programme!I18125,Programme!J18125)</f>
        <v>&lt;numeroLigne&gt;4&lt;/numeroLigne&gt;</v>
      </c>
    </row>
    <row r="18125" spans="1:1" x14ac:dyDescent="0.2">
      <c r="A18125" s="996" t="str">
        <f>CONCATENATE(Programme!D18126,Programme!E18126,Programme!F18126,Programme!G18126,Programme!H18126,Programme!I18126,Programme!J18126)</f>
        <v>&lt;/ValeurCellule&gt;</v>
      </c>
    </row>
    <row r="18126" spans="1:1" x14ac:dyDescent="0.2">
      <c r="A18126" s="996" t="str">
        <f>CONCATENATE(Programme!D18127,Programme!E18127,Programme!F18127,Programme!G18127,Programme!H18127,Programme!I18127,Programme!J18127)</f>
        <v>&lt;ValeurCellule&gt;</v>
      </c>
    </row>
    <row r="18127" spans="1:1" x14ac:dyDescent="0.2">
      <c r="A18127" s="996" t="str">
        <f>CONCATENATE(Programme!D18128,Programme!E18128,Programme!F18128,Programme!G18128,Programme!H18128,Programme!I18128,Programme!J18128)</f>
        <v>&lt;cellule&gt;&lt;codeEdi&gt;1215&lt;/codeEdi&gt;&lt;/cellule&gt;</v>
      </c>
    </row>
    <row r="18128" spans="1:1" x14ac:dyDescent="0.2">
      <c r="A18128" s="996" t="str">
        <f>CONCATENATE(Programme!D18129,Programme!E18129,Programme!F18129,Programme!G18129,Programme!H18129,Programme!I18129,Programme!J18129)</f>
        <v>&lt;valeur&gt;&lt;/valeur&gt;</v>
      </c>
    </row>
    <row r="18129" spans="1:1" x14ac:dyDescent="0.2">
      <c r="A18129" s="996" t="str">
        <f>CONCATENATE(Programme!D18130,Programme!E18130,Programme!F18130,Programme!G18130,Programme!H18130,Programme!I18130,Programme!J18130)</f>
        <v>&lt;numeroLigne&gt;4&lt;/numeroLigne&gt;</v>
      </c>
    </row>
    <row r="18130" spans="1:1" x14ac:dyDescent="0.2">
      <c r="A18130" s="996" t="str">
        <f>CONCATENATE(Programme!D18131,Programme!E18131,Programme!F18131,Programme!G18131,Programme!H18131,Programme!I18131,Programme!J18131)</f>
        <v>&lt;/ValeurCellule&gt;</v>
      </c>
    </row>
    <row r="18131" spans="1:1" x14ac:dyDescent="0.2">
      <c r="A18131" s="996" t="str">
        <f>CONCATENATE(Programme!D18132,Programme!E18132,Programme!F18132,Programme!G18132,Programme!H18132,Programme!I18132,Programme!J18132)</f>
        <v>&lt;ValeurCellule&gt;</v>
      </c>
    </row>
    <row r="18132" spans="1:1" x14ac:dyDescent="0.2">
      <c r="A18132" s="996" t="str">
        <f>CONCATENATE(Programme!D18133,Programme!E18133,Programme!F18133,Programme!G18133,Programme!H18133,Programme!I18133,Programme!J18133)</f>
        <v>&lt;cellule&gt;&lt;codeEdi&gt;1216&lt;/codeEdi&gt;&lt;/cellule&gt;</v>
      </c>
    </row>
    <row r="18133" spans="1:1" x14ac:dyDescent="0.2">
      <c r="A18133" s="996" t="str">
        <f>CONCATENATE(Programme!D18134,Programme!E18134,Programme!F18134,Programme!G18134,Programme!H18134,Programme!I18134,Programme!J18134)</f>
        <v>&lt;valeur&gt;&lt;/valeur&gt;</v>
      </c>
    </row>
    <row r="18134" spans="1:1" x14ac:dyDescent="0.2">
      <c r="A18134" s="996" t="str">
        <f>CONCATENATE(Programme!D18135,Programme!E18135,Programme!F18135,Programme!G18135,Programme!H18135,Programme!I18135,Programme!J18135)</f>
        <v>&lt;numeroLigne&gt;4&lt;/numeroLigne&gt;</v>
      </c>
    </row>
    <row r="18135" spans="1:1" x14ac:dyDescent="0.2">
      <c r="A18135" s="996" t="str">
        <f>CONCATENATE(Programme!D18136,Programme!E18136,Programme!F18136,Programme!G18136,Programme!H18136,Programme!I18136,Programme!J18136)</f>
        <v>&lt;/ValeurCellule&gt;</v>
      </c>
    </row>
    <row r="18136" spans="1:1" x14ac:dyDescent="0.2">
      <c r="A18136" s="996" t="str">
        <f>CONCATENATE(Programme!D18137,Programme!E18137,Programme!F18137,Programme!G18137,Programme!H18137,Programme!I18137,Programme!J18137)</f>
        <v>&lt;ValeurCellule&gt;</v>
      </c>
    </row>
    <row r="18137" spans="1:1" x14ac:dyDescent="0.2">
      <c r="A18137" s="996" t="str">
        <f>CONCATENATE(Programme!D18138,Programme!E18138,Programme!F18138,Programme!G18138,Programme!H18138,Programme!I18138,Programme!J18138)</f>
        <v>&lt;cellule&gt;&lt;codeEdi&gt;1217&lt;/codeEdi&gt;&lt;/cellule&gt;</v>
      </c>
    </row>
    <row r="18138" spans="1:1" x14ac:dyDescent="0.2">
      <c r="A18138" s="996" t="str">
        <f>CONCATENATE(Programme!D18139,Programme!E18139,Programme!F18139,Programme!G18139,Programme!H18139,Programme!I18139,Programme!J18139)</f>
        <v>&lt;valeur&gt;&lt;/valeur&gt;</v>
      </c>
    </row>
    <row r="18139" spans="1:1" x14ac:dyDescent="0.2">
      <c r="A18139" s="996" t="str">
        <f>CONCATENATE(Programme!D18140,Programme!E18140,Programme!F18140,Programme!G18140,Programme!H18140,Programme!I18140,Programme!J18140)</f>
        <v>&lt;numeroLigne&gt;4&lt;/numeroLigne&gt;</v>
      </c>
    </row>
    <row r="18140" spans="1:1" x14ac:dyDescent="0.2">
      <c r="A18140" s="996" t="str">
        <f>CONCATENATE(Programme!D18141,Programme!E18141,Programme!F18141,Programme!G18141,Programme!H18141,Programme!I18141,Programme!J18141)</f>
        <v>&lt;/ValeurCellule&gt;</v>
      </c>
    </row>
    <row r="18141" spans="1:1" x14ac:dyDescent="0.2">
      <c r="A18141" s="996" t="str">
        <f>CONCATENATE(Programme!D18142,Programme!E18142,Programme!F18142,Programme!G18142,Programme!H18142,Programme!I18142,Programme!J18142)</f>
        <v>&lt;ValeurCellule&gt;</v>
      </c>
    </row>
    <row r="18142" spans="1:1" x14ac:dyDescent="0.2">
      <c r="A18142" s="996" t="str">
        <f>CONCATENATE(Programme!D18143,Programme!E18143,Programme!F18143,Programme!G18143,Programme!H18143,Programme!I18143,Programme!J18143)</f>
        <v>&lt;cellule&gt;&lt;codeEdi&gt;1218&lt;/codeEdi&gt;&lt;/cellule&gt;</v>
      </c>
    </row>
    <row r="18143" spans="1:1" x14ac:dyDescent="0.2">
      <c r="A18143" s="996" t="str">
        <f>CONCATENATE(Programme!D18144,Programme!E18144,Programme!F18144,Programme!G18144,Programme!H18144,Programme!I18144,Programme!J18144)</f>
        <v>&lt;valeur&gt;&lt;/valeur&gt;</v>
      </c>
    </row>
    <row r="18144" spans="1:1" x14ac:dyDescent="0.2">
      <c r="A18144" s="996" t="str">
        <f>CONCATENATE(Programme!D18145,Programme!E18145,Programme!F18145,Programme!G18145,Programme!H18145,Programme!I18145,Programme!J18145)</f>
        <v>&lt;numeroLigne&gt;4&lt;/numeroLigne&gt;</v>
      </c>
    </row>
    <row r="18145" spans="1:1" x14ac:dyDescent="0.2">
      <c r="A18145" s="996" t="str">
        <f>CONCATENATE(Programme!D18146,Programme!E18146,Programme!F18146,Programme!G18146,Programme!H18146,Programme!I18146,Programme!J18146)</f>
        <v>&lt;/ValeurCellule&gt;</v>
      </c>
    </row>
    <row r="18146" spans="1:1" x14ac:dyDescent="0.2">
      <c r="A18146" s="996" t="str">
        <f>CONCATENATE(Programme!D18147,Programme!E18147,Programme!F18147,Programme!G18147,Programme!H18147,Programme!I18147,Programme!J18147)</f>
        <v>&lt;ValeurCellule&gt;</v>
      </c>
    </row>
    <row r="18147" spans="1:1" x14ac:dyDescent="0.2">
      <c r="A18147" s="996" t="str">
        <f>CONCATENATE(Programme!D18148,Programme!E18148,Programme!F18148,Programme!G18148,Programme!H18148,Programme!I18148,Programme!J18148)</f>
        <v>&lt;cellule&gt;&lt;codeEdi&gt;1219&lt;/codeEdi&gt;&lt;/cellule&gt;</v>
      </c>
    </row>
    <row r="18148" spans="1:1" x14ac:dyDescent="0.2">
      <c r="A18148" s="996" t="str">
        <f>CONCATENATE(Programme!D18149,Programme!E18149,Programme!F18149,Programme!G18149,Programme!H18149,Programme!I18149,Programme!J18149)</f>
        <v>&lt;valeur&gt;&lt;/valeur&gt;</v>
      </c>
    </row>
    <row r="18149" spans="1:1" x14ac:dyDescent="0.2">
      <c r="A18149" s="996" t="str">
        <f>CONCATENATE(Programme!D18150,Programme!E18150,Programme!F18150,Programme!G18150,Programme!H18150,Programme!I18150,Programme!J18150)</f>
        <v>&lt;numeroLigne&gt;4&lt;/numeroLigne&gt;</v>
      </c>
    </row>
    <row r="18150" spans="1:1" x14ac:dyDescent="0.2">
      <c r="A18150" s="996" t="str">
        <f>CONCATENATE(Programme!D18151,Programme!E18151,Programme!F18151,Programme!G18151,Programme!H18151,Programme!I18151,Programme!J18151)</f>
        <v>&lt;/ValeurCellule&gt;</v>
      </c>
    </row>
    <row r="18151" spans="1:1" x14ac:dyDescent="0.2">
      <c r="A18151" s="996" t="str">
        <f>CONCATENATE(Programme!D18152,Programme!E18152,Programme!F18152,Programme!G18152,Programme!H18152,Programme!I18152,Programme!J18152)</f>
        <v>&lt;ValeurCellule&gt;</v>
      </c>
    </row>
    <row r="18152" spans="1:1" x14ac:dyDescent="0.2">
      <c r="A18152" s="996" t="str">
        <f>CONCATENATE(Programme!D18153,Programme!E18153,Programme!F18153,Programme!G18153,Programme!H18153,Programme!I18153,Programme!J18153)</f>
        <v>&lt;cellule&gt;&lt;codeEdi&gt;1220&lt;/codeEdi&gt;&lt;/cellule&gt;</v>
      </c>
    </row>
    <row r="18153" spans="1:1" x14ac:dyDescent="0.2">
      <c r="A18153" s="996" t="str">
        <f>CONCATENATE(Programme!D18154,Programme!E18154,Programme!F18154,Programme!G18154,Programme!H18154,Programme!I18154,Programme!J18154)</f>
        <v>&lt;valeur&gt;&lt;/valeur&gt;</v>
      </c>
    </row>
    <row r="18154" spans="1:1" x14ac:dyDescent="0.2">
      <c r="A18154" s="996" t="str">
        <f>CONCATENATE(Programme!D18155,Programme!E18155,Programme!F18155,Programme!G18155,Programme!H18155,Programme!I18155,Programme!J18155)</f>
        <v>&lt;numeroLigne&gt;4&lt;/numeroLigne&gt;</v>
      </c>
    </row>
    <row r="18155" spans="1:1" x14ac:dyDescent="0.2">
      <c r="A18155" s="996" t="str">
        <f>CONCATENATE(Programme!D18156,Programme!E18156,Programme!F18156,Programme!G18156,Programme!H18156,Programme!I18156,Programme!J18156)</f>
        <v>&lt;/ValeurCellule&gt;</v>
      </c>
    </row>
    <row r="18156" spans="1:1" x14ac:dyDescent="0.2">
      <c r="A18156" s="996" t="str">
        <f>CONCATENATE(Programme!D18157,Programme!E18157,Programme!F18157,Programme!G18157,Programme!H18157,Programme!I18157,Programme!J18157)</f>
        <v>&lt;ValeurCellule&gt;</v>
      </c>
    </row>
    <row r="18157" spans="1:1" x14ac:dyDescent="0.2">
      <c r="A18157" s="996" t="str">
        <f>CONCATENATE(Programme!D18158,Programme!E18158,Programme!F18158,Programme!G18158,Programme!H18158,Programme!I18158,Programme!J18158)</f>
        <v>&lt;cellule&gt;&lt;codeEdi&gt;1221&lt;/codeEdi&gt;&lt;/cellule&gt;</v>
      </c>
    </row>
    <row r="18158" spans="1:1" x14ac:dyDescent="0.2">
      <c r="A18158" s="996" t="str">
        <f>CONCATENATE(Programme!D18159,Programme!E18159,Programme!F18159,Programme!G18159,Programme!H18159,Programme!I18159,Programme!J18159)</f>
        <v>&lt;valeur&gt;&lt;/valeur&gt;</v>
      </c>
    </row>
    <row r="18159" spans="1:1" x14ac:dyDescent="0.2">
      <c r="A18159" s="996" t="str">
        <f>CONCATENATE(Programme!D18160,Programme!E18160,Programme!F18160,Programme!G18160,Programme!H18160,Programme!I18160,Programme!J18160)</f>
        <v>&lt;numeroLigne&gt;1&lt;/numeroLigne&gt;</v>
      </c>
    </row>
    <row r="18160" spans="1:1" x14ac:dyDescent="0.2">
      <c r="A18160" s="996" t="str">
        <f>CONCATENATE(Programme!D18161,Programme!E18161,Programme!F18161,Programme!G18161,Programme!H18161,Programme!I18161,Programme!J18161)</f>
        <v>&lt;/ValeurCellule&gt;</v>
      </c>
    </row>
    <row r="18161" spans="1:1" x14ac:dyDescent="0.2">
      <c r="A18161" s="996" t="str">
        <f>CONCATENATE(Programme!D18162,Programme!E18162,Programme!F18162,Programme!G18162,Programme!H18162,Programme!I18162,Programme!J18162)</f>
        <v>&lt;ValeurCellule&gt;</v>
      </c>
    </row>
    <row r="18162" spans="1:1" x14ac:dyDescent="0.2">
      <c r="A18162" s="996" t="str">
        <f>CONCATENATE(Programme!D18163,Programme!E18163,Programme!F18163,Programme!G18163,Programme!H18163,Programme!I18163,Programme!J18163)</f>
        <v>&lt;cellule&gt;&lt;codeEdi&gt;1222&lt;/codeEdi&gt;&lt;/cellule&gt;</v>
      </c>
    </row>
    <row r="18163" spans="1:1" x14ac:dyDescent="0.2">
      <c r="A18163" s="996" t="str">
        <f>CONCATENATE(Programme!D18164,Programme!E18164,Programme!F18164,Programme!G18164,Programme!H18164,Programme!I18164,Programme!J18164)</f>
        <v>&lt;valeur&gt;&lt;/valeur&gt;</v>
      </c>
    </row>
    <row r="18164" spans="1:1" x14ac:dyDescent="0.2">
      <c r="A18164" s="996" t="str">
        <f>CONCATENATE(Programme!D18165,Programme!E18165,Programme!F18165,Programme!G18165,Programme!H18165,Programme!I18165,Programme!J18165)</f>
        <v>&lt;numeroLigne&gt;1&lt;/numeroLigne&gt;</v>
      </c>
    </row>
    <row r="18165" spans="1:1" x14ac:dyDescent="0.2">
      <c r="A18165" s="996" t="str">
        <f>CONCATENATE(Programme!D18166,Programme!E18166,Programme!F18166,Programme!G18166,Programme!H18166,Programme!I18166,Programme!J18166)</f>
        <v>&lt;/ValeurCellule&gt;</v>
      </c>
    </row>
    <row r="18166" spans="1:1" x14ac:dyDescent="0.2">
      <c r="A18166" s="996" t="str">
        <f>CONCATENATE(Programme!D18167,Programme!E18167,Programme!F18167,Programme!G18167,Programme!H18167,Programme!I18167,Programme!J18167)</f>
        <v>&lt;ValeurCellule&gt;</v>
      </c>
    </row>
    <row r="18167" spans="1:1" x14ac:dyDescent="0.2">
      <c r="A18167" s="996" t="str">
        <f>CONCATENATE(Programme!D18168,Programme!E18168,Programme!F18168,Programme!G18168,Programme!H18168,Programme!I18168,Programme!J18168)</f>
        <v>&lt;cellule&gt;&lt;codeEdi&gt;1223&lt;/codeEdi&gt;&lt;/cellule&gt;</v>
      </c>
    </row>
    <row r="18168" spans="1:1" x14ac:dyDescent="0.2">
      <c r="A18168" s="996" t="str">
        <f>CONCATENATE(Programme!D18169,Programme!E18169,Programme!F18169,Programme!G18169,Programme!H18169,Programme!I18169,Programme!J18169)</f>
        <v>&lt;valeur&gt;&lt;/valeur&gt;</v>
      </c>
    </row>
    <row r="18169" spans="1:1" x14ac:dyDescent="0.2">
      <c r="A18169" s="996" t="str">
        <f>CONCATENATE(Programme!D18170,Programme!E18170,Programme!F18170,Programme!G18170,Programme!H18170,Programme!I18170,Programme!J18170)</f>
        <v>&lt;numeroLigne&gt;1&lt;/numeroLigne&gt;</v>
      </c>
    </row>
    <row r="18170" spans="1:1" x14ac:dyDescent="0.2">
      <c r="A18170" s="996" t="str">
        <f>CONCATENATE(Programme!D18171,Programme!E18171,Programme!F18171,Programme!G18171,Programme!H18171,Programme!I18171,Programme!J18171)</f>
        <v>&lt;/ValeurCellule&gt;</v>
      </c>
    </row>
    <row r="18171" spans="1:1" x14ac:dyDescent="0.2">
      <c r="A18171" s="996" t="str">
        <f>CONCATENATE(Programme!D18172,Programme!E18172,Programme!F18172,Programme!G18172,Programme!H18172,Programme!I18172,Programme!J18172)</f>
        <v>&lt;ValeurCellule&gt;</v>
      </c>
    </row>
    <row r="18172" spans="1:1" x14ac:dyDescent="0.2">
      <c r="A18172" s="996" t="str">
        <f>CONCATENATE(Programme!D18173,Programme!E18173,Programme!F18173,Programme!G18173,Programme!H18173,Programme!I18173,Programme!J18173)</f>
        <v>&lt;cellule&gt;&lt;codeEdi&gt;1224&lt;/codeEdi&gt;&lt;/cellule&gt;</v>
      </c>
    </row>
    <row r="18173" spans="1:1" x14ac:dyDescent="0.2">
      <c r="A18173" s="996" t="str">
        <f>CONCATENATE(Programme!D18174,Programme!E18174,Programme!F18174,Programme!G18174,Programme!H18174,Programme!I18174,Programme!J18174)</f>
        <v>&lt;valeur&gt;&lt;/valeur&gt;</v>
      </c>
    </row>
    <row r="18174" spans="1:1" x14ac:dyDescent="0.2">
      <c r="A18174" s="996" t="str">
        <f>CONCATENATE(Programme!D18175,Programme!E18175,Programme!F18175,Programme!G18175,Programme!H18175,Programme!I18175,Programme!J18175)</f>
        <v>&lt;numeroLigne&gt;1&lt;/numeroLigne&gt;</v>
      </c>
    </row>
    <row r="18175" spans="1:1" x14ac:dyDescent="0.2">
      <c r="A18175" s="996" t="str">
        <f>CONCATENATE(Programme!D18176,Programme!E18176,Programme!F18176,Programme!G18176,Programme!H18176,Programme!I18176,Programme!J18176)</f>
        <v>&lt;/ValeurCellule&gt;</v>
      </c>
    </row>
    <row r="18176" spans="1:1" x14ac:dyDescent="0.2">
      <c r="A18176" s="996" t="str">
        <f>CONCATENATE(Programme!D18177,Programme!E18177,Programme!F18177,Programme!G18177,Programme!H18177,Programme!I18177,Programme!J18177)</f>
        <v>&lt;ValeurCellule&gt;</v>
      </c>
    </row>
    <row r="18177" spans="1:1" x14ac:dyDescent="0.2">
      <c r="A18177" s="996" t="str">
        <f>CONCATENATE(Programme!D18178,Programme!E18178,Programme!F18178,Programme!G18178,Programme!H18178,Programme!I18178,Programme!J18178)</f>
        <v>&lt;cellule&gt;&lt;codeEdi&gt;1225&lt;/codeEdi&gt;&lt;/cellule&gt;</v>
      </c>
    </row>
    <row r="18178" spans="1:1" x14ac:dyDescent="0.2">
      <c r="A18178" s="996" t="str">
        <f>CONCATENATE(Programme!D18179,Programme!E18179,Programme!F18179,Programme!G18179,Programme!H18179,Programme!I18179,Programme!J18179)</f>
        <v>&lt;valeur&gt;&lt;/valeur&gt;</v>
      </c>
    </row>
    <row r="18179" spans="1:1" x14ac:dyDescent="0.2">
      <c r="A18179" s="996" t="str">
        <f>CONCATENATE(Programme!D18180,Programme!E18180,Programme!F18180,Programme!G18180,Programme!H18180,Programme!I18180,Programme!J18180)</f>
        <v>&lt;numeroLigne&gt;1&lt;/numeroLigne&gt;</v>
      </c>
    </row>
    <row r="18180" spans="1:1" x14ac:dyDescent="0.2">
      <c r="A18180" s="996" t="str">
        <f>CONCATENATE(Programme!D18181,Programme!E18181,Programme!F18181,Programme!G18181,Programme!H18181,Programme!I18181,Programme!J18181)</f>
        <v>&lt;/ValeurCellule&gt;</v>
      </c>
    </row>
    <row r="18181" spans="1:1" x14ac:dyDescent="0.2">
      <c r="A18181" s="996" t="str">
        <f>CONCATENATE(Programme!D18182,Programme!E18182,Programme!F18182,Programme!G18182,Programme!H18182,Programme!I18182,Programme!J18182)</f>
        <v>&lt;ValeurCellule&gt;</v>
      </c>
    </row>
    <row r="18182" spans="1:1" x14ac:dyDescent="0.2">
      <c r="A18182" s="996" t="str">
        <f>CONCATENATE(Programme!D18183,Programme!E18183,Programme!F18183,Programme!G18183,Programme!H18183,Programme!I18183,Programme!J18183)</f>
        <v>&lt;cellule&gt;&lt;codeEdi&gt;1226&lt;/codeEdi&gt;&lt;/cellule&gt;</v>
      </c>
    </row>
    <row r="18183" spans="1:1" x14ac:dyDescent="0.2">
      <c r="A18183" s="996" t="str">
        <f>CONCATENATE(Programme!D18184,Programme!E18184,Programme!F18184,Programme!G18184,Programme!H18184,Programme!I18184,Programme!J18184)</f>
        <v>&lt;valeur&gt;&lt;/valeur&gt;</v>
      </c>
    </row>
    <row r="18184" spans="1:1" x14ac:dyDescent="0.2">
      <c r="A18184" s="996" t="str">
        <f>CONCATENATE(Programme!D18185,Programme!E18185,Programme!F18185,Programme!G18185,Programme!H18185,Programme!I18185,Programme!J18185)</f>
        <v>&lt;numeroLigne&gt;1&lt;/numeroLigne&gt;</v>
      </c>
    </row>
    <row r="18185" spans="1:1" x14ac:dyDescent="0.2">
      <c r="A18185" s="996" t="str">
        <f>CONCATENATE(Programme!D18186,Programme!E18186,Programme!F18186,Programme!G18186,Programme!H18186,Programme!I18186,Programme!J18186)</f>
        <v>&lt;/ValeurCellule&gt;</v>
      </c>
    </row>
    <row r="18186" spans="1:1" x14ac:dyDescent="0.2">
      <c r="A18186" s="996" t="str">
        <f>CONCATENATE(Programme!D18187,Programme!E18187,Programme!F18187,Programme!G18187,Programme!H18187,Programme!I18187,Programme!J18187)</f>
        <v>&lt;ValeurCellule&gt;</v>
      </c>
    </row>
    <row r="18187" spans="1:1" x14ac:dyDescent="0.2">
      <c r="A18187" s="996" t="str">
        <f>CONCATENATE(Programme!D18188,Programme!E18188,Programme!F18188,Programme!G18188,Programme!H18188,Programme!I18188,Programme!J18188)</f>
        <v>&lt;cellule&gt;&lt;codeEdi&gt;1227&lt;/codeEdi&gt;&lt;/cellule&gt;</v>
      </c>
    </row>
    <row r="18188" spans="1:1" x14ac:dyDescent="0.2">
      <c r="A18188" s="996" t="str">
        <f>CONCATENATE(Programme!D18189,Programme!E18189,Programme!F18189,Programme!G18189,Programme!H18189,Programme!I18189,Programme!J18189)</f>
        <v>&lt;valeur&gt;&lt;/valeur&gt;</v>
      </c>
    </row>
    <row r="18189" spans="1:1" x14ac:dyDescent="0.2">
      <c r="A18189" s="996" t="str">
        <f>CONCATENATE(Programme!D18190,Programme!E18190,Programme!F18190,Programme!G18190,Programme!H18190,Programme!I18190,Programme!J18190)</f>
        <v>&lt;numeroLigne&gt;1&lt;/numeroLigne&gt;</v>
      </c>
    </row>
    <row r="18190" spans="1:1" x14ac:dyDescent="0.2">
      <c r="A18190" s="996" t="str">
        <f>CONCATENATE(Programme!D18191,Programme!E18191,Programme!F18191,Programme!G18191,Programme!H18191,Programme!I18191,Programme!J18191)</f>
        <v>&lt;/ValeurCellule&gt;</v>
      </c>
    </row>
    <row r="18191" spans="1:1" x14ac:dyDescent="0.2">
      <c r="A18191" s="996" t="str">
        <f>CONCATENATE(Programme!D18192,Programme!E18192,Programme!F18192,Programme!G18192,Programme!H18192,Programme!I18192,Programme!J18192)</f>
        <v>&lt;ValeurCellule&gt;</v>
      </c>
    </row>
    <row r="18192" spans="1:1" x14ac:dyDescent="0.2">
      <c r="A18192" s="996" t="str">
        <f>CONCATENATE(Programme!D18193,Programme!E18193,Programme!F18193,Programme!G18193,Programme!H18193,Programme!I18193,Programme!J18193)</f>
        <v>&lt;cellule&gt;&lt;codeEdi&gt;1228&lt;/codeEdi&gt;&lt;/cellule&gt;</v>
      </c>
    </row>
    <row r="18193" spans="1:1" x14ac:dyDescent="0.2">
      <c r="A18193" s="996" t="str">
        <f>CONCATENATE(Programme!D18194,Programme!E18194,Programme!F18194,Programme!G18194,Programme!H18194,Programme!I18194,Programme!J18194)</f>
        <v>&lt;valeur&gt;&lt;/valeur&gt;</v>
      </c>
    </row>
    <row r="18194" spans="1:1" x14ac:dyDescent="0.2">
      <c r="A18194" s="996" t="str">
        <f>CONCATENATE(Programme!D18195,Programme!E18195,Programme!F18195,Programme!G18195,Programme!H18195,Programme!I18195,Programme!J18195)</f>
        <v>&lt;numeroLigne&gt;1&lt;/numeroLigne&gt;</v>
      </c>
    </row>
    <row r="18195" spans="1:1" x14ac:dyDescent="0.2">
      <c r="A18195" s="996" t="str">
        <f>CONCATENATE(Programme!D18196,Programme!E18196,Programme!F18196,Programme!G18196,Programme!H18196,Programme!I18196,Programme!J18196)</f>
        <v>&lt;/ValeurCellule&gt;</v>
      </c>
    </row>
    <row r="18196" spans="1:1" x14ac:dyDescent="0.2">
      <c r="A18196" s="996" t="str">
        <f>CONCATENATE(Programme!D18197,Programme!E18197,Programme!F18197,Programme!G18197,Programme!H18197,Programme!I18197,Programme!J18197)</f>
        <v>&lt;ValeurCellule&gt;</v>
      </c>
    </row>
    <row r="18197" spans="1:1" x14ac:dyDescent="0.2">
      <c r="A18197" s="996" t="str">
        <f>CONCATENATE(Programme!D18198,Programme!E18198,Programme!F18198,Programme!G18198,Programme!H18198,Programme!I18198,Programme!J18198)</f>
        <v>&lt;cellule&gt;&lt;codeEdi&gt;1229&lt;/codeEdi&gt;&lt;/cellule&gt;</v>
      </c>
    </row>
    <row r="18198" spans="1:1" x14ac:dyDescent="0.2">
      <c r="A18198" s="996" t="str">
        <f>CONCATENATE(Programme!D18199,Programme!E18199,Programme!F18199,Programme!G18199,Programme!H18199,Programme!I18199,Programme!J18199)</f>
        <v>&lt;valeur&gt;&lt;/valeur&gt;</v>
      </c>
    </row>
    <row r="18199" spans="1:1" x14ac:dyDescent="0.2">
      <c r="A18199" s="996" t="str">
        <f>CONCATENATE(Programme!D18200,Programme!E18200,Programme!F18200,Programme!G18200,Programme!H18200,Programme!I18200,Programme!J18200)</f>
        <v>&lt;numeroLigne&gt;1&lt;/numeroLigne&gt;</v>
      </c>
    </row>
    <row r="18200" spans="1:1" x14ac:dyDescent="0.2">
      <c r="A18200" s="996" t="str">
        <f>CONCATENATE(Programme!D18201,Programme!E18201,Programme!F18201,Programme!G18201,Programme!H18201,Programme!I18201,Programme!J18201)</f>
        <v>&lt;/ValeurCellule&gt;</v>
      </c>
    </row>
    <row r="18201" spans="1:1" x14ac:dyDescent="0.2">
      <c r="A18201" s="996" t="str">
        <f>CONCATENATE(Programme!D18202,Programme!E18202,Programme!F18202,Programme!G18202,Programme!H18202,Programme!I18202,Programme!J18202)</f>
        <v>&lt;ValeurCellule&gt;</v>
      </c>
    </row>
    <row r="18202" spans="1:1" x14ac:dyDescent="0.2">
      <c r="A18202" s="996" t="str">
        <f>CONCATENATE(Programme!D18203,Programme!E18203,Programme!F18203,Programme!G18203,Programme!H18203,Programme!I18203,Programme!J18203)</f>
        <v>&lt;cellule&gt;&lt;codeEdi&gt;1250&lt;/codeEdi&gt;&lt;/cellule&gt;</v>
      </c>
    </row>
    <row r="18203" spans="1:1" x14ac:dyDescent="0.2">
      <c r="A18203" s="996" t="str">
        <f>CONCATENATE(Programme!D18204,Programme!E18204,Programme!F18204,Programme!G18204,Programme!H18204,Programme!I18204,Programme!J18204)</f>
        <v>&lt;valeur&gt;&lt;/valeur&gt;</v>
      </c>
    </row>
    <row r="18204" spans="1:1" x14ac:dyDescent="0.2">
      <c r="A18204" s="996" t="str">
        <f>CONCATENATE(Programme!D18205,Programme!E18205,Programme!F18205,Programme!G18205,Programme!H18205,Programme!I18205,Programme!J18205)</f>
        <v>&lt;numeroLigne&gt;1&lt;/numeroLigne&gt;</v>
      </c>
    </row>
    <row r="18205" spans="1:1" x14ac:dyDescent="0.2">
      <c r="A18205" s="996" t="str">
        <f>CONCATENATE(Programme!D18206,Programme!E18206,Programme!F18206,Programme!G18206,Programme!H18206,Programme!I18206,Programme!J18206)</f>
        <v>&lt;/ValeurCellule&gt;</v>
      </c>
    </row>
    <row r="18206" spans="1:1" x14ac:dyDescent="0.2">
      <c r="A18206" s="996" t="str">
        <f>CONCATENATE(Programme!D18207,Programme!E18207,Programme!F18207,Programme!G18207,Programme!H18207,Programme!I18207,Programme!J18207)</f>
        <v>&lt;ValeurCellule&gt;</v>
      </c>
    </row>
    <row r="18207" spans="1:1" x14ac:dyDescent="0.2">
      <c r="A18207" s="996" t="str">
        <f>CONCATENATE(Programme!D18208,Programme!E18208,Programme!F18208,Programme!G18208,Programme!H18208,Programme!I18208,Programme!J18208)</f>
        <v>&lt;cellule&gt;&lt;codeEdi&gt;1251&lt;/codeEdi&gt;&lt;/cellule&gt;</v>
      </c>
    </row>
    <row r="18208" spans="1:1" x14ac:dyDescent="0.2">
      <c r="A18208" s="996" t="str">
        <f>CONCATENATE(Programme!D18209,Programme!E18209,Programme!F18209,Programme!G18209,Programme!H18209,Programme!I18209,Programme!J18209)</f>
        <v>&lt;valeur&gt;&lt;/valeur&gt;</v>
      </c>
    </row>
    <row r="18209" spans="1:1" x14ac:dyDescent="0.2">
      <c r="A18209" s="996" t="str">
        <f>CONCATENATE(Programme!D18210,Programme!E18210,Programme!F18210,Programme!G18210,Programme!H18210,Programme!I18210,Programme!J18210)</f>
        <v>&lt;numeroLigne&gt;1&lt;/numeroLigne&gt;</v>
      </c>
    </row>
    <row r="18210" spans="1:1" x14ac:dyDescent="0.2">
      <c r="A18210" s="996" t="str">
        <f>CONCATENATE(Programme!D18211,Programme!E18211,Programme!F18211,Programme!G18211,Programme!H18211,Programme!I18211,Programme!J18211)</f>
        <v>&lt;/ValeurCellule&gt;</v>
      </c>
    </row>
    <row r="18211" spans="1:1" x14ac:dyDescent="0.2">
      <c r="A18211" s="996" t="str">
        <f>CONCATENATE(Programme!D18212,Programme!E18212,Programme!F18212,Programme!G18212,Programme!H18212,Programme!I18212,Programme!J18212)</f>
        <v>&lt;ValeurCellule&gt;</v>
      </c>
    </row>
    <row r="18212" spans="1:1" x14ac:dyDescent="0.2">
      <c r="A18212" s="996" t="str">
        <f>CONCATENATE(Programme!D18213,Programme!E18213,Programme!F18213,Programme!G18213,Programme!H18213,Programme!I18213,Programme!J18213)</f>
        <v>&lt;cellule&gt;&lt;codeEdi&gt;1252&lt;/codeEdi&gt;&lt;/cellule&gt;</v>
      </c>
    </row>
    <row r="18213" spans="1:1" x14ac:dyDescent="0.2">
      <c r="A18213" s="996" t="str">
        <f>CONCATENATE(Programme!D18214,Programme!E18214,Programme!F18214,Programme!G18214,Programme!H18214,Programme!I18214,Programme!J18214)</f>
        <v>&lt;valeur&gt;&lt;/valeur&gt;</v>
      </c>
    </row>
    <row r="18214" spans="1:1" x14ac:dyDescent="0.2">
      <c r="A18214" s="996" t="str">
        <f>CONCATENATE(Programme!D18215,Programme!E18215,Programme!F18215,Programme!G18215,Programme!H18215,Programme!I18215,Programme!J18215)</f>
        <v>&lt;numeroLigne&gt;1&lt;/numeroLigne&gt;</v>
      </c>
    </row>
    <row r="18215" spans="1:1" x14ac:dyDescent="0.2">
      <c r="A18215" s="996" t="str">
        <f>CONCATENATE(Programme!D18216,Programme!E18216,Programme!F18216,Programme!G18216,Programme!H18216,Programme!I18216,Programme!J18216)</f>
        <v>&lt;/ValeurCellule&gt;</v>
      </c>
    </row>
    <row r="18216" spans="1:1" x14ac:dyDescent="0.2">
      <c r="A18216" s="996" t="str">
        <f>CONCATENATE(Programme!D18217,Programme!E18217,Programme!F18217,Programme!G18217,Programme!H18217,Programme!I18217,Programme!J18217)</f>
        <v>&lt;ValeurCellule&gt;</v>
      </c>
    </row>
    <row r="18217" spans="1:1" x14ac:dyDescent="0.2">
      <c r="A18217" s="996" t="str">
        <f>CONCATENATE(Programme!D18218,Programme!E18218,Programme!F18218,Programme!G18218,Programme!H18218,Programme!I18218,Programme!J18218)</f>
        <v>&lt;cellule&gt;&lt;codeEdi&gt;1253&lt;/codeEdi&gt;&lt;/cellule&gt;</v>
      </c>
    </row>
    <row r="18218" spans="1:1" x14ac:dyDescent="0.2">
      <c r="A18218" s="996" t="str">
        <f>CONCATENATE(Programme!D18219,Programme!E18219,Programme!F18219,Programme!G18219,Programme!H18219,Programme!I18219,Programme!J18219)</f>
        <v>&lt;valeur&gt;&lt;/valeur&gt;</v>
      </c>
    </row>
    <row r="18219" spans="1:1" x14ac:dyDescent="0.2">
      <c r="A18219" s="996" t="str">
        <f>CONCATENATE(Programme!D18220,Programme!E18220,Programme!F18220,Programme!G18220,Programme!H18220,Programme!I18220,Programme!J18220)</f>
        <v>&lt;numeroLigne&gt;1&lt;/numeroLigne&gt;</v>
      </c>
    </row>
    <row r="18220" spans="1:1" x14ac:dyDescent="0.2">
      <c r="A18220" s="996" t="str">
        <f>CONCATENATE(Programme!D18221,Programme!E18221,Programme!F18221,Programme!G18221,Programme!H18221,Programme!I18221,Programme!J18221)</f>
        <v>&lt;/ValeurCellule&gt;</v>
      </c>
    </row>
    <row r="18221" spans="1:1" x14ac:dyDescent="0.2">
      <c r="A18221" s="996" t="str">
        <f>CONCATENATE(Programme!D18222,Programme!E18222,Programme!F18222,Programme!G18222,Programme!H18222,Programme!I18222,Programme!J18222)</f>
        <v>&lt;ValeurCellule&gt;</v>
      </c>
    </row>
    <row r="18222" spans="1:1" x14ac:dyDescent="0.2">
      <c r="A18222" s="996" t="str">
        <f>CONCATENATE(Programme!D18223,Programme!E18223,Programme!F18223,Programme!G18223,Programme!H18223,Programme!I18223,Programme!J18223)</f>
        <v>&lt;cellule&gt;&lt;codeEdi&gt;1221&lt;/codeEdi&gt;&lt;/cellule&gt;</v>
      </c>
    </row>
    <row r="18223" spans="1:1" x14ac:dyDescent="0.2">
      <c r="A18223" s="996" t="str">
        <f>CONCATENATE(Programme!D18224,Programme!E18224,Programme!F18224,Programme!G18224,Programme!H18224,Programme!I18224,Programme!J18224)</f>
        <v>&lt;valeur&gt;&lt;/valeur&gt;</v>
      </c>
    </row>
    <row r="18224" spans="1:1" x14ac:dyDescent="0.2">
      <c r="A18224" s="996" t="str">
        <f>CONCATENATE(Programme!D18225,Programme!E18225,Programme!F18225,Programme!G18225,Programme!H18225,Programme!I18225,Programme!J18225)</f>
        <v>&lt;numeroLigne&gt;2&lt;/numeroLigne&gt;</v>
      </c>
    </row>
    <row r="18225" spans="1:1" x14ac:dyDescent="0.2">
      <c r="A18225" s="996" t="str">
        <f>CONCATENATE(Programme!D18226,Programme!E18226,Programme!F18226,Programme!G18226,Programme!H18226,Programme!I18226,Programme!J18226)</f>
        <v>&lt;/ValeurCellule&gt;</v>
      </c>
    </row>
    <row r="18226" spans="1:1" x14ac:dyDescent="0.2">
      <c r="A18226" s="996" t="str">
        <f>CONCATENATE(Programme!D18227,Programme!E18227,Programme!F18227,Programme!G18227,Programme!H18227,Programme!I18227,Programme!J18227)</f>
        <v>&lt;ValeurCellule&gt;</v>
      </c>
    </row>
    <row r="18227" spans="1:1" x14ac:dyDescent="0.2">
      <c r="A18227" s="996" t="str">
        <f>CONCATENATE(Programme!D18228,Programme!E18228,Programme!F18228,Programme!G18228,Programme!H18228,Programme!I18228,Programme!J18228)</f>
        <v>&lt;cellule&gt;&lt;codeEdi&gt;1222&lt;/codeEdi&gt;&lt;/cellule&gt;</v>
      </c>
    </row>
    <row r="18228" spans="1:1" x14ac:dyDescent="0.2">
      <c r="A18228" s="996" t="str">
        <f>CONCATENATE(Programme!D18229,Programme!E18229,Programme!F18229,Programme!G18229,Programme!H18229,Programme!I18229,Programme!J18229)</f>
        <v>&lt;valeur&gt;&lt;/valeur&gt;</v>
      </c>
    </row>
    <row r="18229" spans="1:1" x14ac:dyDescent="0.2">
      <c r="A18229" s="996" t="str">
        <f>CONCATENATE(Programme!D18230,Programme!E18230,Programme!F18230,Programme!G18230,Programme!H18230,Programme!I18230,Programme!J18230)</f>
        <v>&lt;numeroLigne&gt;2&lt;/numeroLigne&gt;</v>
      </c>
    </row>
    <row r="18230" spans="1:1" x14ac:dyDescent="0.2">
      <c r="A18230" s="996" t="str">
        <f>CONCATENATE(Programme!D18231,Programme!E18231,Programme!F18231,Programme!G18231,Programme!H18231,Programme!I18231,Programme!J18231)</f>
        <v>&lt;/ValeurCellule&gt;</v>
      </c>
    </row>
    <row r="18231" spans="1:1" x14ac:dyDescent="0.2">
      <c r="A18231" s="996" t="str">
        <f>CONCATENATE(Programme!D18232,Programme!E18232,Programme!F18232,Programme!G18232,Programme!H18232,Programme!I18232,Programme!J18232)</f>
        <v>&lt;ValeurCellule&gt;</v>
      </c>
    </row>
    <row r="18232" spans="1:1" x14ac:dyDescent="0.2">
      <c r="A18232" s="996" t="str">
        <f>CONCATENATE(Programme!D18233,Programme!E18233,Programme!F18233,Programme!G18233,Programme!H18233,Programme!I18233,Programme!J18233)</f>
        <v>&lt;cellule&gt;&lt;codeEdi&gt;1223&lt;/codeEdi&gt;&lt;/cellule&gt;</v>
      </c>
    </row>
    <row r="18233" spans="1:1" x14ac:dyDescent="0.2">
      <c r="A18233" s="996" t="str">
        <f>CONCATENATE(Programme!D18234,Programme!E18234,Programme!F18234,Programme!G18234,Programme!H18234,Programme!I18234,Programme!J18234)</f>
        <v>&lt;valeur&gt;&lt;/valeur&gt;</v>
      </c>
    </row>
    <row r="18234" spans="1:1" x14ac:dyDescent="0.2">
      <c r="A18234" s="996" t="str">
        <f>CONCATENATE(Programme!D18235,Programme!E18235,Programme!F18235,Programme!G18235,Programme!H18235,Programme!I18235,Programme!J18235)</f>
        <v>&lt;numeroLigne&gt;2&lt;/numeroLigne&gt;</v>
      </c>
    </row>
    <row r="18235" spans="1:1" x14ac:dyDescent="0.2">
      <c r="A18235" s="996" t="str">
        <f>CONCATENATE(Programme!D18236,Programme!E18236,Programme!F18236,Programme!G18236,Programme!H18236,Programme!I18236,Programme!J18236)</f>
        <v>&lt;/ValeurCellule&gt;</v>
      </c>
    </row>
    <row r="18236" spans="1:1" x14ac:dyDescent="0.2">
      <c r="A18236" s="996" t="str">
        <f>CONCATENATE(Programme!D18237,Programme!E18237,Programme!F18237,Programme!G18237,Programme!H18237,Programme!I18237,Programme!J18237)</f>
        <v>&lt;ValeurCellule&gt;</v>
      </c>
    </row>
    <row r="18237" spans="1:1" x14ac:dyDescent="0.2">
      <c r="A18237" s="996" t="str">
        <f>CONCATENATE(Programme!D18238,Programme!E18238,Programme!F18238,Programme!G18238,Programme!H18238,Programme!I18238,Programme!J18238)</f>
        <v>&lt;cellule&gt;&lt;codeEdi&gt;1224&lt;/codeEdi&gt;&lt;/cellule&gt;</v>
      </c>
    </row>
    <row r="18238" spans="1:1" x14ac:dyDescent="0.2">
      <c r="A18238" s="996" t="str">
        <f>CONCATENATE(Programme!D18239,Programme!E18239,Programme!F18239,Programme!G18239,Programme!H18239,Programme!I18239,Programme!J18239)</f>
        <v>&lt;valeur&gt;&lt;/valeur&gt;</v>
      </c>
    </row>
    <row r="18239" spans="1:1" x14ac:dyDescent="0.2">
      <c r="A18239" s="996" t="str">
        <f>CONCATENATE(Programme!D18240,Programme!E18240,Programme!F18240,Programme!G18240,Programme!H18240,Programme!I18240,Programme!J18240)</f>
        <v>&lt;numeroLigne&gt;2&lt;/numeroLigne&gt;</v>
      </c>
    </row>
    <row r="18240" spans="1:1" x14ac:dyDescent="0.2">
      <c r="A18240" s="996" t="str">
        <f>CONCATENATE(Programme!D18241,Programme!E18241,Programme!F18241,Programme!G18241,Programme!H18241,Programme!I18241,Programme!J18241)</f>
        <v>&lt;/ValeurCellule&gt;</v>
      </c>
    </row>
    <row r="18241" spans="1:1" x14ac:dyDescent="0.2">
      <c r="A18241" s="996" t="str">
        <f>CONCATENATE(Programme!D18242,Programme!E18242,Programme!F18242,Programme!G18242,Programme!H18242,Programme!I18242,Programme!J18242)</f>
        <v>&lt;ValeurCellule&gt;</v>
      </c>
    </row>
    <row r="18242" spans="1:1" x14ac:dyDescent="0.2">
      <c r="A18242" s="996" t="str">
        <f>CONCATENATE(Programme!D18243,Programme!E18243,Programme!F18243,Programme!G18243,Programme!H18243,Programme!I18243,Programme!J18243)</f>
        <v>&lt;cellule&gt;&lt;codeEdi&gt;1225&lt;/codeEdi&gt;&lt;/cellule&gt;</v>
      </c>
    </row>
    <row r="18243" spans="1:1" x14ac:dyDescent="0.2">
      <c r="A18243" s="996" t="str">
        <f>CONCATENATE(Programme!D18244,Programme!E18244,Programme!F18244,Programme!G18244,Programme!H18244,Programme!I18244,Programme!J18244)</f>
        <v>&lt;valeur&gt;&lt;/valeur&gt;</v>
      </c>
    </row>
    <row r="18244" spans="1:1" x14ac:dyDescent="0.2">
      <c r="A18244" s="996" t="str">
        <f>CONCATENATE(Programme!D18245,Programme!E18245,Programme!F18245,Programme!G18245,Programme!H18245,Programme!I18245,Programme!J18245)</f>
        <v>&lt;numeroLigne&gt;2&lt;/numeroLigne&gt;</v>
      </c>
    </row>
    <row r="18245" spans="1:1" x14ac:dyDescent="0.2">
      <c r="A18245" s="996" t="str">
        <f>CONCATENATE(Programme!D18246,Programme!E18246,Programme!F18246,Programme!G18246,Programme!H18246,Programme!I18246,Programme!J18246)</f>
        <v>&lt;/ValeurCellule&gt;</v>
      </c>
    </row>
    <row r="18246" spans="1:1" x14ac:dyDescent="0.2">
      <c r="A18246" s="996" t="str">
        <f>CONCATENATE(Programme!D18247,Programme!E18247,Programme!F18247,Programme!G18247,Programme!H18247,Programme!I18247,Programme!J18247)</f>
        <v>&lt;ValeurCellule&gt;</v>
      </c>
    </row>
    <row r="18247" spans="1:1" x14ac:dyDescent="0.2">
      <c r="A18247" s="996" t="str">
        <f>CONCATENATE(Programme!D18248,Programme!E18248,Programme!F18248,Programme!G18248,Programme!H18248,Programme!I18248,Programme!J18248)</f>
        <v>&lt;cellule&gt;&lt;codeEdi&gt;1226&lt;/codeEdi&gt;&lt;/cellule&gt;</v>
      </c>
    </row>
    <row r="18248" spans="1:1" x14ac:dyDescent="0.2">
      <c r="A18248" s="996" t="str">
        <f>CONCATENATE(Programme!D18249,Programme!E18249,Programme!F18249,Programme!G18249,Programme!H18249,Programme!I18249,Programme!J18249)</f>
        <v>&lt;valeur&gt;&lt;/valeur&gt;</v>
      </c>
    </row>
    <row r="18249" spans="1:1" x14ac:dyDescent="0.2">
      <c r="A18249" s="996" t="str">
        <f>CONCATENATE(Programme!D18250,Programme!E18250,Programme!F18250,Programme!G18250,Programme!H18250,Programme!I18250,Programme!J18250)</f>
        <v>&lt;numeroLigne&gt;2&lt;/numeroLigne&gt;</v>
      </c>
    </row>
    <row r="18250" spans="1:1" x14ac:dyDescent="0.2">
      <c r="A18250" s="996" t="str">
        <f>CONCATENATE(Programme!D18251,Programme!E18251,Programme!F18251,Programme!G18251,Programme!H18251,Programme!I18251,Programme!J18251)</f>
        <v>&lt;/ValeurCellule&gt;</v>
      </c>
    </row>
    <row r="18251" spans="1:1" x14ac:dyDescent="0.2">
      <c r="A18251" s="996" t="str">
        <f>CONCATENATE(Programme!D18252,Programme!E18252,Programme!F18252,Programme!G18252,Programme!H18252,Programme!I18252,Programme!J18252)</f>
        <v>&lt;ValeurCellule&gt;</v>
      </c>
    </row>
    <row r="18252" spans="1:1" x14ac:dyDescent="0.2">
      <c r="A18252" s="996" t="str">
        <f>CONCATENATE(Programme!D18253,Programme!E18253,Programme!F18253,Programme!G18253,Programme!H18253,Programme!I18253,Programme!J18253)</f>
        <v>&lt;cellule&gt;&lt;codeEdi&gt;1227&lt;/codeEdi&gt;&lt;/cellule&gt;</v>
      </c>
    </row>
    <row r="18253" spans="1:1" x14ac:dyDescent="0.2">
      <c r="A18253" s="996" t="str">
        <f>CONCATENATE(Programme!D18254,Programme!E18254,Programme!F18254,Programme!G18254,Programme!H18254,Programme!I18254,Programme!J18254)</f>
        <v>&lt;valeur&gt;&lt;/valeur&gt;</v>
      </c>
    </row>
    <row r="18254" spans="1:1" x14ac:dyDescent="0.2">
      <c r="A18254" s="996" t="str">
        <f>CONCATENATE(Programme!D18255,Programme!E18255,Programme!F18255,Programme!G18255,Programme!H18255,Programme!I18255,Programme!J18255)</f>
        <v>&lt;numeroLigne&gt;2&lt;/numeroLigne&gt;</v>
      </c>
    </row>
    <row r="18255" spans="1:1" x14ac:dyDescent="0.2">
      <c r="A18255" s="996" t="str">
        <f>CONCATENATE(Programme!D18256,Programme!E18256,Programme!F18256,Programme!G18256,Programme!H18256,Programme!I18256,Programme!J18256)</f>
        <v>&lt;/ValeurCellule&gt;</v>
      </c>
    </row>
    <row r="18256" spans="1:1" x14ac:dyDescent="0.2">
      <c r="A18256" s="996" t="str">
        <f>CONCATENATE(Programme!D18257,Programme!E18257,Programme!F18257,Programme!G18257,Programme!H18257,Programme!I18257,Programme!J18257)</f>
        <v>&lt;ValeurCellule&gt;</v>
      </c>
    </row>
    <row r="18257" spans="1:1" x14ac:dyDescent="0.2">
      <c r="A18257" s="996" t="str">
        <f>CONCATENATE(Programme!D18258,Programme!E18258,Programme!F18258,Programme!G18258,Programme!H18258,Programme!I18258,Programme!J18258)</f>
        <v>&lt;cellule&gt;&lt;codeEdi&gt;1228&lt;/codeEdi&gt;&lt;/cellule&gt;</v>
      </c>
    </row>
    <row r="18258" spans="1:1" x14ac:dyDescent="0.2">
      <c r="A18258" s="996" t="str">
        <f>CONCATENATE(Programme!D18259,Programme!E18259,Programme!F18259,Programme!G18259,Programme!H18259,Programme!I18259,Programme!J18259)</f>
        <v>&lt;valeur&gt;&lt;/valeur&gt;</v>
      </c>
    </row>
    <row r="18259" spans="1:1" x14ac:dyDescent="0.2">
      <c r="A18259" s="996" t="str">
        <f>CONCATENATE(Programme!D18260,Programme!E18260,Programme!F18260,Programme!G18260,Programme!H18260,Programme!I18260,Programme!J18260)</f>
        <v>&lt;numeroLigne&gt;2&lt;/numeroLigne&gt;</v>
      </c>
    </row>
    <row r="18260" spans="1:1" x14ac:dyDescent="0.2">
      <c r="A18260" s="996" t="str">
        <f>CONCATENATE(Programme!D18261,Programme!E18261,Programme!F18261,Programme!G18261,Programme!H18261,Programme!I18261,Programme!J18261)</f>
        <v>&lt;/ValeurCellule&gt;</v>
      </c>
    </row>
    <row r="18261" spans="1:1" x14ac:dyDescent="0.2">
      <c r="A18261" s="996" t="str">
        <f>CONCATENATE(Programme!D18262,Programme!E18262,Programme!F18262,Programme!G18262,Programme!H18262,Programme!I18262,Programme!J18262)</f>
        <v>&lt;ValeurCellule&gt;</v>
      </c>
    </row>
    <row r="18262" spans="1:1" x14ac:dyDescent="0.2">
      <c r="A18262" s="996" t="str">
        <f>CONCATENATE(Programme!D18263,Programme!E18263,Programme!F18263,Programme!G18263,Programme!H18263,Programme!I18263,Programme!J18263)</f>
        <v>&lt;cellule&gt;&lt;codeEdi&gt;1229&lt;/codeEdi&gt;&lt;/cellule&gt;</v>
      </c>
    </row>
    <row r="18263" spans="1:1" x14ac:dyDescent="0.2">
      <c r="A18263" s="996" t="str">
        <f>CONCATENATE(Programme!D18264,Programme!E18264,Programme!F18264,Programme!G18264,Programme!H18264,Programme!I18264,Programme!J18264)</f>
        <v>&lt;valeur&gt;&lt;/valeur&gt;</v>
      </c>
    </row>
    <row r="18264" spans="1:1" x14ac:dyDescent="0.2">
      <c r="A18264" s="996" t="str">
        <f>CONCATENATE(Programme!D18265,Programme!E18265,Programme!F18265,Programme!G18265,Programme!H18265,Programme!I18265,Programme!J18265)</f>
        <v>&lt;numeroLigne&gt;2&lt;/numeroLigne&gt;</v>
      </c>
    </row>
    <row r="18265" spans="1:1" x14ac:dyDescent="0.2">
      <c r="A18265" s="996" t="str">
        <f>CONCATENATE(Programme!D18266,Programme!E18266,Programme!F18266,Programme!G18266,Programme!H18266,Programme!I18266,Programme!J18266)</f>
        <v>&lt;/ValeurCellule&gt;</v>
      </c>
    </row>
    <row r="18266" spans="1:1" x14ac:dyDescent="0.2">
      <c r="A18266" s="996" t="str">
        <f>CONCATENATE(Programme!D18267,Programme!E18267,Programme!F18267,Programme!G18267,Programme!H18267,Programme!I18267,Programme!J18267)</f>
        <v>&lt;ValeurCellule&gt;</v>
      </c>
    </row>
    <row r="18267" spans="1:1" x14ac:dyDescent="0.2">
      <c r="A18267" s="996" t="str">
        <f>CONCATENATE(Programme!D18268,Programme!E18268,Programme!F18268,Programme!G18268,Programme!H18268,Programme!I18268,Programme!J18268)</f>
        <v>&lt;cellule&gt;&lt;codeEdi&gt;1250&lt;/codeEdi&gt;&lt;/cellule&gt;</v>
      </c>
    </row>
    <row r="18268" spans="1:1" x14ac:dyDescent="0.2">
      <c r="A18268" s="996" t="str">
        <f>CONCATENATE(Programme!D18269,Programme!E18269,Programme!F18269,Programme!G18269,Programme!H18269,Programme!I18269,Programme!J18269)</f>
        <v>&lt;valeur&gt;&lt;/valeur&gt;</v>
      </c>
    </row>
    <row r="18269" spans="1:1" x14ac:dyDescent="0.2">
      <c r="A18269" s="996" t="str">
        <f>CONCATENATE(Programme!D18270,Programme!E18270,Programme!F18270,Programme!G18270,Programme!H18270,Programme!I18270,Programme!J18270)</f>
        <v>&lt;numeroLigne&gt;2&lt;/numeroLigne&gt;</v>
      </c>
    </row>
    <row r="18270" spans="1:1" x14ac:dyDescent="0.2">
      <c r="A18270" s="996" t="str">
        <f>CONCATENATE(Programme!D18271,Programme!E18271,Programme!F18271,Programme!G18271,Programme!H18271,Programme!I18271,Programme!J18271)</f>
        <v>&lt;/ValeurCellule&gt;</v>
      </c>
    </row>
    <row r="18271" spans="1:1" x14ac:dyDescent="0.2">
      <c r="A18271" s="996" t="str">
        <f>CONCATENATE(Programme!D18272,Programme!E18272,Programme!F18272,Programme!G18272,Programme!H18272,Programme!I18272,Programme!J18272)</f>
        <v>&lt;ValeurCellule&gt;</v>
      </c>
    </row>
    <row r="18272" spans="1:1" x14ac:dyDescent="0.2">
      <c r="A18272" s="996" t="str">
        <f>CONCATENATE(Programme!D18273,Programme!E18273,Programme!F18273,Programme!G18273,Programme!H18273,Programme!I18273,Programme!J18273)</f>
        <v>&lt;cellule&gt;&lt;codeEdi&gt;1251&lt;/codeEdi&gt;&lt;/cellule&gt;</v>
      </c>
    </row>
    <row r="18273" spans="1:1" x14ac:dyDescent="0.2">
      <c r="A18273" s="996" t="str">
        <f>CONCATENATE(Programme!D18274,Programme!E18274,Programme!F18274,Programme!G18274,Programme!H18274,Programme!I18274,Programme!J18274)</f>
        <v>&lt;valeur&gt;&lt;/valeur&gt;</v>
      </c>
    </row>
    <row r="18274" spans="1:1" x14ac:dyDescent="0.2">
      <c r="A18274" s="996" t="str">
        <f>CONCATENATE(Programme!D18275,Programme!E18275,Programme!F18275,Programme!G18275,Programme!H18275,Programme!I18275,Programme!J18275)</f>
        <v>&lt;numeroLigne&gt;2&lt;/numeroLigne&gt;</v>
      </c>
    </row>
    <row r="18275" spans="1:1" x14ac:dyDescent="0.2">
      <c r="A18275" s="996" t="str">
        <f>CONCATENATE(Programme!D18276,Programme!E18276,Programme!F18276,Programme!G18276,Programme!H18276,Programme!I18276,Programme!J18276)</f>
        <v>&lt;/ValeurCellule&gt;</v>
      </c>
    </row>
    <row r="18276" spans="1:1" x14ac:dyDescent="0.2">
      <c r="A18276" s="996" t="str">
        <f>CONCATENATE(Programme!D18277,Programme!E18277,Programme!F18277,Programme!G18277,Programme!H18277,Programme!I18277,Programme!J18277)</f>
        <v>&lt;ValeurCellule&gt;</v>
      </c>
    </row>
    <row r="18277" spans="1:1" x14ac:dyDescent="0.2">
      <c r="A18277" s="996" t="str">
        <f>CONCATENATE(Programme!D18278,Programme!E18278,Programme!F18278,Programme!G18278,Programme!H18278,Programme!I18278,Programme!J18278)</f>
        <v>&lt;cellule&gt;&lt;codeEdi&gt;1252&lt;/codeEdi&gt;&lt;/cellule&gt;</v>
      </c>
    </row>
    <row r="18278" spans="1:1" x14ac:dyDescent="0.2">
      <c r="A18278" s="996" t="str">
        <f>CONCATENATE(Programme!D18279,Programme!E18279,Programme!F18279,Programme!G18279,Programme!H18279,Programme!I18279,Programme!J18279)</f>
        <v>&lt;valeur&gt;&lt;/valeur&gt;</v>
      </c>
    </row>
    <row r="18279" spans="1:1" x14ac:dyDescent="0.2">
      <c r="A18279" s="996" t="str">
        <f>CONCATENATE(Programme!D18280,Programme!E18280,Programme!F18280,Programme!G18280,Programme!H18280,Programme!I18280,Programme!J18280)</f>
        <v>&lt;numeroLigne&gt;2&lt;/numeroLigne&gt;</v>
      </c>
    </row>
    <row r="18280" spans="1:1" x14ac:dyDescent="0.2">
      <c r="A18280" s="996" t="str">
        <f>CONCATENATE(Programme!D18281,Programme!E18281,Programme!F18281,Programme!G18281,Programme!H18281,Programme!I18281,Programme!J18281)</f>
        <v>&lt;/ValeurCellule&gt;</v>
      </c>
    </row>
    <row r="18281" spans="1:1" x14ac:dyDescent="0.2">
      <c r="A18281" s="996" t="str">
        <f>CONCATENATE(Programme!D18282,Programme!E18282,Programme!F18282,Programme!G18282,Programme!H18282,Programme!I18282,Programme!J18282)</f>
        <v>&lt;ValeurCellule&gt;</v>
      </c>
    </row>
    <row r="18282" spans="1:1" x14ac:dyDescent="0.2">
      <c r="A18282" s="996" t="str">
        <f>CONCATENATE(Programme!D18283,Programme!E18283,Programme!F18283,Programme!G18283,Programme!H18283,Programme!I18283,Programme!J18283)</f>
        <v>&lt;cellule&gt;&lt;codeEdi&gt;1253&lt;/codeEdi&gt;&lt;/cellule&gt;</v>
      </c>
    </row>
    <row r="18283" spans="1:1" x14ac:dyDescent="0.2">
      <c r="A18283" s="996" t="str">
        <f>CONCATENATE(Programme!D18284,Programme!E18284,Programme!F18284,Programme!G18284,Programme!H18284,Programme!I18284,Programme!J18284)</f>
        <v>&lt;valeur&gt;&lt;/valeur&gt;</v>
      </c>
    </row>
    <row r="18284" spans="1:1" x14ac:dyDescent="0.2">
      <c r="A18284" s="996" t="str">
        <f>CONCATENATE(Programme!D18285,Programme!E18285,Programme!F18285,Programme!G18285,Programme!H18285,Programme!I18285,Programme!J18285)</f>
        <v>&lt;numeroLigne&gt;2&lt;/numeroLigne&gt;</v>
      </c>
    </row>
    <row r="18285" spans="1:1" x14ac:dyDescent="0.2">
      <c r="A18285" s="996" t="str">
        <f>CONCATENATE(Programme!D18286,Programme!E18286,Programme!F18286,Programme!G18286,Programme!H18286,Programme!I18286,Programme!J18286)</f>
        <v>&lt;/ValeurCellule&gt;</v>
      </c>
    </row>
    <row r="18286" spans="1:1" x14ac:dyDescent="0.2">
      <c r="A18286" s="996" t="str">
        <f>CONCATENATE(Programme!D18287,Programme!E18287,Programme!F18287,Programme!G18287,Programme!H18287,Programme!I18287,Programme!J18287)</f>
        <v>&lt;ValeurCellule&gt;</v>
      </c>
    </row>
    <row r="18287" spans="1:1" x14ac:dyDescent="0.2">
      <c r="A18287" s="996" t="str">
        <f>CONCATENATE(Programme!D18288,Programme!E18288,Programme!F18288,Programme!G18288,Programme!H18288,Programme!I18288,Programme!J18288)</f>
        <v>&lt;cellule&gt;&lt;codeEdi&gt;1221&lt;/codeEdi&gt;&lt;/cellule&gt;</v>
      </c>
    </row>
    <row r="18288" spans="1:1" x14ac:dyDescent="0.2">
      <c r="A18288" s="996" t="str">
        <f>CONCATENATE(Programme!D18289,Programme!E18289,Programme!F18289,Programme!G18289,Programme!H18289,Programme!I18289,Programme!J18289)</f>
        <v>&lt;valeur&gt;&lt;/valeur&gt;</v>
      </c>
    </row>
    <row r="18289" spans="1:1" x14ac:dyDescent="0.2">
      <c r="A18289" s="996" t="str">
        <f>CONCATENATE(Programme!D18290,Programme!E18290,Programme!F18290,Programme!G18290,Programme!H18290,Programme!I18290,Programme!J18290)</f>
        <v>&lt;numeroLigne&gt;3&lt;/numeroLigne&gt;</v>
      </c>
    </row>
    <row r="18290" spans="1:1" x14ac:dyDescent="0.2">
      <c r="A18290" s="996" t="str">
        <f>CONCATENATE(Programme!D18291,Programme!E18291,Programme!F18291,Programme!G18291,Programme!H18291,Programme!I18291,Programme!J18291)</f>
        <v>&lt;/ValeurCellule&gt;</v>
      </c>
    </row>
    <row r="18291" spans="1:1" x14ac:dyDescent="0.2">
      <c r="A18291" s="996" t="str">
        <f>CONCATENATE(Programme!D18292,Programme!E18292,Programme!F18292,Programme!G18292,Programme!H18292,Programme!I18292,Programme!J18292)</f>
        <v>&lt;ValeurCellule&gt;</v>
      </c>
    </row>
    <row r="18292" spans="1:1" x14ac:dyDescent="0.2">
      <c r="A18292" s="996" t="str">
        <f>CONCATENATE(Programme!D18293,Programme!E18293,Programme!F18293,Programme!G18293,Programme!H18293,Programme!I18293,Programme!J18293)</f>
        <v>&lt;cellule&gt;&lt;codeEdi&gt;1222&lt;/codeEdi&gt;&lt;/cellule&gt;</v>
      </c>
    </row>
    <row r="18293" spans="1:1" x14ac:dyDescent="0.2">
      <c r="A18293" s="996" t="str">
        <f>CONCATENATE(Programme!D18294,Programme!E18294,Programme!F18294,Programme!G18294,Programme!H18294,Programme!I18294,Programme!J18294)</f>
        <v>&lt;valeur&gt;&lt;/valeur&gt;</v>
      </c>
    </row>
    <row r="18294" spans="1:1" x14ac:dyDescent="0.2">
      <c r="A18294" s="996" t="str">
        <f>CONCATENATE(Programme!D18295,Programme!E18295,Programme!F18295,Programme!G18295,Programme!H18295,Programme!I18295,Programme!J18295)</f>
        <v>&lt;numeroLigne&gt;3&lt;/numeroLigne&gt;</v>
      </c>
    </row>
    <row r="18295" spans="1:1" x14ac:dyDescent="0.2">
      <c r="A18295" s="996" t="str">
        <f>CONCATENATE(Programme!D18296,Programme!E18296,Programme!F18296,Programme!G18296,Programme!H18296,Programme!I18296,Programme!J18296)</f>
        <v>&lt;/ValeurCellule&gt;</v>
      </c>
    </row>
    <row r="18296" spans="1:1" x14ac:dyDescent="0.2">
      <c r="A18296" s="996" t="str">
        <f>CONCATENATE(Programme!D18297,Programme!E18297,Programme!F18297,Programme!G18297,Programme!H18297,Programme!I18297,Programme!J18297)</f>
        <v>&lt;ValeurCellule&gt;</v>
      </c>
    </row>
    <row r="18297" spans="1:1" x14ac:dyDescent="0.2">
      <c r="A18297" s="996" t="str">
        <f>CONCATENATE(Programme!D18298,Programme!E18298,Programme!F18298,Programme!G18298,Programme!H18298,Programme!I18298,Programme!J18298)</f>
        <v>&lt;cellule&gt;&lt;codeEdi&gt;1223&lt;/codeEdi&gt;&lt;/cellule&gt;</v>
      </c>
    </row>
    <row r="18298" spans="1:1" x14ac:dyDescent="0.2">
      <c r="A18298" s="996" t="str">
        <f>CONCATENATE(Programme!D18299,Programme!E18299,Programme!F18299,Programme!G18299,Programme!H18299,Programme!I18299,Programme!J18299)</f>
        <v>&lt;valeur&gt;&lt;/valeur&gt;</v>
      </c>
    </row>
    <row r="18299" spans="1:1" x14ac:dyDescent="0.2">
      <c r="A18299" s="996" t="str">
        <f>CONCATENATE(Programme!D18300,Programme!E18300,Programme!F18300,Programme!G18300,Programme!H18300,Programme!I18300,Programme!J18300)</f>
        <v>&lt;numeroLigne&gt;3&lt;/numeroLigne&gt;</v>
      </c>
    </row>
    <row r="18300" spans="1:1" x14ac:dyDescent="0.2">
      <c r="A18300" s="996" t="str">
        <f>CONCATENATE(Programme!D18301,Programme!E18301,Programme!F18301,Programme!G18301,Programme!H18301,Programme!I18301,Programme!J18301)</f>
        <v>&lt;/ValeurCellule&gt;</v>
      </c>
    </row>
    <row r="18301" spans="1:1" x14ac:dyDescent="0.2">
      <c r="A18301" s="996" t="str">
        <f>CONCATENATE(Programme!D18302,Programme!E18302,Programme!F18302,Programme!G18302,Programme!H18302,Programme!I18302,Programme!J18302)</f>
        <v>&lt;ValeurCellule&gt;</v>
      </c>
    </row>
    <row r="18302" spans="1:1" x14ac:dyDescent="0.2">
      <c r="A18302" s="996" t="str">
        <f>CONCATENATE(Programme!D18303,Programme!E18303,Programme!F18303,Programme!G18303,Programme!H18303,Programme!I18303,Programme!J18303)</f>
        <v>&lt;cellule&gt;&lt;codeEdi&gt;1224&lt;/codeEdi&gt;&lt;/cellule&gt;</v>
      </c>
    </row>
    <row r="18303" spans="1:1" x14ac:dyDescent="0.2">
      <c r="A18303" s="996" t="str">
        <f>CONCATENATE(Programme!D18304,Programme!E18304,Programme!F18304,Programme!G18304,Programme!H18304,Programme!I18304,Programme!J18304)</f>
        <v>&lt;valeur&gt;&lt;/valeur&gt;</v>
      </c>
    </row>
    <row r="18304" spans="1:1" x14ac:dyDescent="0.2">
      <c r="A18304" s="996" t="str">
        <f>CONCATENATE(Programme!D18305,Programme!E18305,Programme!F18305,Programme!G18305,Programme!H18305,Programme!I18305,Programme!J18305)</f>
        <v>&lt;numeroLigne&gt;3&lt;/numeroLigne&gt;</v>
      </c>
    </row>
    <row r="18305" spans="1:1" x14ac:dyDescent="0.2">
      <c r="A18305" s="996" t="str">
        <f>CONCATENATE(Programme!D18306,Programme!E18306,Programme!F18306,Programme!G18306,Programme!H18306,Programme!I18306,Programme!J18306)</f>
        <v>&lt;/ValeurCellule&gt;</v>
      </c>
    </row>
    <row r="18306" spans="1:1" x14ac:dyDescent="0.2">
      <c r="A18306" s="996" t="str">
        <f>CONCATENATE(Programme!D18307,Programme!E18307,Programme!F18307,Programme!G18307,Programme!H18307,Programme!I18307,Programme!J18307)</f>
        <v>&lt;ValeurCellule&gt;</v>
      </c>
    </row>
    <row r="18307" spans="1:1" x14ac:dyDescent="0.2">
      <c r="A18307" s="996" t="str">
        <f>CONCATENATE(Programme!D18308,Programme!E18308,Programme!F18308,Programme!G18308,Programme!H18308,Programme!I18308,Programme!J18308)</f>
        <v>&lt;cellule&gt;&lt;codeEdi&gt;1225&lt;/codeEdi&gt;&lt;/cellule&gt;</v>
      </c>
    </row>
    <row r="18308" spans="1:1" x14ac:dyDescent="0.2">
      <c r="A18308" s="996" t="str">
        <f>CONCATENATE(Programme!D18309,Programme!E18309,Programme!F18309,Programme!G18309,Programme!H18309,Programme!I18309,Programme!J18309)</f>
        <v>&lt;valeur&gt;&lt;/valeur&gt;</v>
      </c>
    </row>
    <row r="18309" spans="1:1" x14ac:dyDescent="0.2">
      <c r="A18309" s="996" t="str">
        <f>CONCATENATE(Programme!D18310,Programme!E18310,Programme!F18310,Programme!G18310,Programme!H18310,Programme!I18310,Programme!J18310)</f>
        <v>&lt;numeroLigne&gt;3&lt;/numeroLigne&gt;</v>
      </c>
    </row>
    <row r="18310" spans="1:1" x14ac:dyDescent="0.2">
      <c r="A18310" s="996" t="str">
        <f>CONCATENATE(Programme!D18311,Programme!E18311,Programme!F18311,Programme!G18311,Programme!H18311,Programme!I18311,Programme!J18311)</f>
        <v>&lt;/ValeurCellule&gt;</v>
      </c>
    </row>
    <row r="18311" spans="1:1" x14ac:dyDescent="0.2">
      <c r="A18311" s="996" t="str">
        <f>CONCATENATE(Programme!D18312,Programme!E18312,Programme!F18312,Programme!G18312,Programme!H18312,Programme!I18312,Programme!J18312)</f>
        <v>&lt;ValeurCellule&gt;</v>
      </c>
    </row>
    <row r="18312" spans="1:1" x14ac:dyDescent="0.2">
      <c r="A18312" s="996" t="str">
        <f>CONCATENATE(Programme!D18313,Programme!E18313,Programme!F18313,Programme!G18313,Programme!H18313,Programme!I18313,Programme!J18313)</f>
        <v>&lt;cellule&gt;&lt;codeEdi&gt;1226&lt;/codeEdi&gt;&lt;/cellule&gt;</v>
      </c>
    </row>
    <row r="18313" spans="1:1" x14ac:dyDescent="0.2">
      <c r="A18313" s="996" t="str">
        <f>CONCATENATE(Programme!D18314,Programme!E18314,Programme!F18314,Programme!G18314,Programme!H18314,Programme!I18314,Programme!J18314)</f>
        <v>&lt;valeur&gt;&lt;/valeur&gt;</v>
      </c>
    </row>
    <row r="18314" spans="1:1" x14ac:dyDescent="0.2">
      <c r="A18314" s="996" t="str">
        <f>CONCATENATE(Programme!D18315,Programme!E18315,Programme!F18315,Programme!G18315,Programme!H18315,Programme!I18315,Programme!J18315)</f>
        <v>&lt;numeroLigne&gt;3&lt;/numeroLigne&gt;</v>
      </c>
    </row>
    <row r="18315" spans="1:1" x14ac:dyDescent="0.2">
      <c r="A18315" s="996" t="str">
        <f>CONCATENATE(Programme!D18316,Programme!E18316,Programme!F18316,Programme!G18316,Programme!H18316,Programme!I18316,Programme!J18316)</f>
        <v>&lt;/ValeurCellule&gt;</v>
      </c>
    </row>
    <row r="18316" spans="1:1" x14ac:dyDescent="0.2">
      <c r="A18316" s="996" t="str">
        <f>CONCATENATE(Programme!D18317,Programme!E18317,Programme!F18317,Programme!G18317,Programme!H18317,Programme!I18317,Programme!J18317)</f>
        <v>&lt;ValeurCellule&gt;</v>
      </c>
    </row>
    <row r="18317" spans="1:1" x14ac:dyDescent="0.2">
      <c r="A18317" s="996" t="str">
        <f>CONCATENATE(Programme!D18318,Programme!E18318,Programme!F18318,Programme!G18318,Programme!H18318,Programme!I18318,Programme!J18318)</f>
        <v>&lt;cellule&gt;&lt;codeEdi&gt;1227&lt;/codeEdi&gt;&lt;/cellule&gt;</v>
      </c>
    </row>
    <row r="18318" spans="1:1" x14ac:dyDescent="0.2">
      <c r="A18318" s="996" t="str">
        <f>CONCATENATE(Programme!D18319,Programme!E18319,Programme!F18319,Programme!G18319,Programme!H18319,Programme!I18319,Programme!J18319)</f>
        <v>&lt;valeur&gt;&lt;/valeur&gt;</v>
      </c>
    </row>
    <row r="18319" spans="1:1" x14ac:dyDescent="0.2">
      <c r="A18319" s="996" t="str">
        <f>CONCATENATE(Programme!D18320,Programme!E18320,Programme!F18320,Programme!G18320,Programme!H18320,Programme!I18320,Programme!J18320)</f>
        <v>&lt;numeroLigne&gt;3&lt;/numeroLigne&gt;</v>
      </c>
    </row>
    <row r="18320" spans="1:1" x14ac:dyDescent="0.2">
      <c r="A18320" s="996" t="str">
        <f>CONCATENATE(Programme!D18321,Programme!E18321,Programme!F18321,Programme!G18321,Programme!H18321,Programme!I18321,Programme!J18321)</f>
        <v>&lt;/ValeurCellule&gt;</v>
      </c>
    </row>
    <row r="18321" spans="1:1" x14ac:dyDescent="0.2">
      <c r="A18321" s="996" t="str">
        <f>CONCATENATE(Programme!D18322,Programme!E18322,Programme!F18322,Programme!G18322,Programme!H18322,Programme!I18322,Programme!J18322)</f>
        <v>&lt;ValeurCellule&gt;</v>
      </c>
    </row>
    <row r="18322" spans="1:1" x14ac:dyDescent="0.2">
      <c r="A18322" s="996" t="str">
        <f>CONCATENATE(Programme!D18323,Programme!E18323,Programme!F18323,Programme!G18323,Programme!H18323,Programme!I18323,Programme!J18323)</f>
        <v>&lt;cellule&gt;&lt;codeEdi&gt;1228&lt;/codeEdi&gt;&lt;/cellule&gt;</v>
      </c>
    </row>
    <row r="18323" spans="1:1" x14ac:dyDescent="0.2">
      <c r="A18323" s="996" t="str">
        <f>CONCATENATE(Programme!D18324,Programme!E18324,Programme!F18324,Programme!G18324,Programme!H18324,Programme!I18324,Programme!J18324)</f>
        <v>&lt;valeur&gt;&lt;/valeur&gt;</v>
      </c>
    </row>
    <row r="18324" spans="1:1" x14ac:dyDescent="0.2">
      <c r="A18324" s="996" t="str">
        <f>CONCATENATE(Programme!D18325,Programme!E18325,Programme!F18325,Programme!G18325,Programme!H18325,Programme!I18325,Programme!J18325)</f>
        <v>&lt;numeroLigne&gt;3&lt;/numeroLigne&gt;</v>
      </c>
    </row>
    <row r="18325" spans="1:1" x14ac:dyDescent="0.2">
      <c r="A18325" s="996" t="str">
        <f>CONCATENATE(Programme!D18326,Programme!E18326,Programme!F18326,Programme!G18326,Programme!H18326,Programme!I18326,Programme!J18326)</f>
        <v>&lt;/ValeurCellule&gt;</v>
      </c>
    </row>
    <row r="18326" spans="1:1" x14ac:dyDescent="0.2">
      <c r="A18326" s="996" t="str">
        <f>CONCATENATE(Programme!D18327,Programme!E18327,Programme!F18327,Programme!G18327,Programme!H18327,Programme!I18327,Programme!J18327)</f>
        <v>&lt;ValeurCellule&gt;</v>
      </c>
    </row>
    <row r="18327" spans="1:1" x14ac:dyDescent="0.2">
      <c r="A18327" s="996" t="str">
        <f>CONCATENATE(Programme!D18328,Programme!E18328,Programme!F18328,Programme!G18328,Programme!H18328,Programme!I18328,Programme!J18328)</f>
        <v>&lt;cellule&gt;&lt;codeEdi&gt;1229&lt;/codeEdi&gt;&lt;/cellule&gt;</v>
      </c>
    </row>
    <row r="18328" spans="1:1" x14ac:dyDescent="0.2">
      <c r="A18328" s="996" t="str">
        <f>CONCATENATE(Programme!D18329,Programme!E18329,Programme!F18329,Programme!G18329,Programme!H18329,Programme!I18329,Programme!J18329)</f>
        <v>&lt;valeur&gt;&lt;/valeur&gt;</v>
      </c>
    </row>
    <row r="18329" spans="1:1" x14ac:dyDescent="0.2">
      <c r="A18329" s="996" t="str">
        <f>CONCATENATE(Programme!D18330,Programme!E18330,Programme!F18330,Programme!G18330,Programme!H18330,Programme!I18330,Programme!J18330)</f>
        <v>&lt;numeroLigne&gt;3&lt;/numeroLigne&gt;</v>
      </c>
    </row>
    <row r="18330" spans="1:1" x14ac:dyDescent="0.2">
      <c r="A18330" s="996" t="str">
        <f>CONCATENATE(Programme!D18331,Programme!E18331,Programme!F18331,Programme!G18331,Programme!H18331,Programme!I18331,Programme!J18331)</f>
        <v>&lt;/ValeurCellule&gt;</v>
      </c>
    </row>
    <row r="18331" spans="1:1" x14ac:dyDescent="0.2">
      <c r="A18331" s="996" t="str">
        <f>CONCATENATE(Programme!D18332,Programme!E18332,Programme!F18332,Programme!G18332,Programme!H18332,Programme!I18332,Programme!J18332)</f>
        <v>&lt;ValeurCellule&gt;</v>
      </c>
    </row>
    <row r="18332" spans="1:1" x14ac:dyDescent="0.2">
      <c r="A18332" s="996" t="str">
        <f>CONCATENATE(Programme!D18333,Programme!E18333,Programme!F18333,Programme!G18333,Programme!H18333,Programme!I18333,Programme!J18333)</f>
        <v>&lt;cellule&gt;&lt;codeEdi&gt;1250&lt;/codeEdi&gt;&lt;/cellule&gt;</v>
      </c>
    </row>
    <row r="18333" spans="1:1" x14ac:dyDescent="0.2">
      <c r="A18333" s="996" t="str">
        <f>CONCATENATE(Programme!D18334,Programme!E18334,Programme!F18334,Programme!G18334,Programme!H18334,Programme!I18334,Programme!J18334)</f>
        <v>&lt;valeur&gt;&lt;/valeur&gt;</v>
      </c>
    </row>
    <row r="18334" spans="1:1" x14ac:dyDescent="0.2">
      <c r="A18334" s="996" t="str">
        <f>CONCATENATE(Programme!D18335,Programme!E18335,Programme!F18335,Programme!G18335,Programme!H18335,Programme!I18335,Programme!J18335)</f>
        <v>&lt;numeroLigne&gt;3&lt;/numeroLigne&gt;</v>
      </c>
    </row>
    <row r="18335" spans="1:1" x14ac:dyDescent="0.2">
      <c r="A18335" s="996" t="str">
        <f>CONCATENATE(Programme!D18336,Programme!E18336,Programme!F18336,Programme!G18336,Programme!H18336,Programme!I18336,Programme!J18336)</f>
        <v>&lt;/ValeurCellule&gt;</v>
      </c>
    </row>
    <row r="18336" spans="1:1" x14ac:dyDescent="0.2">
      <c r="A18336" s="996" t="str">
        <f>CONCATENATE(Programme!D18337,Programme!E18337,Programme!F18337,Programme!G18337,Programme!H18337,Programme!I18337,Programme!J18337)</f>
        <v>&lt;ValeurCellule&gt;</v>
      </c>
    </row>
    <row r="18337" spans="1:1" x14ac:dyDescent="0.2">
      <c r="A18337" s="996" t="str">
        <f>CONCATENATE(Programme!D18338,Programme!E18338,Programme!F18338,Programme!G18338,Programme!H18338,Programme!I18338,Programme!J18338)</f>
        <v>&lt;cellule&gt;&lt;codeEdi&gt;1251&lt;/codeEdi&gt;&lt;/cellule&gt;</v>
      </c>
    </row>
    <row r="18338" spans="1:1" x14ac:dyDescent="0.2">
      <c r="A18338" s="996" t="str">
        <f>CONCATENATE(Programme!D18339,Programme!E18339,Programme!F18339,Programme!G18339,Programme!H18339,Programme!I18339,Programme!J18339)</f>
        <v>&lt;valeur&gt;&lt;/valeur&gt;</v>
      </c>
    </row>
    <row r="18339" spans="1:1" x14ac:dyDescent="0.2">
      <c r="A18339" s="996" t="str">
        <f>CONCATENATE(Programme!D18340,Programme!E18340,Programme!F18340,Programme!G18340,Programme!H18340,Programme!I18340,Programme!J18340)</f>
        <v>&lt;numeroLigne&gt;3&lt;/numeroLigne&gt;</v>
      </c>
    </row>
    <row r="18340" spans="1:1" x14ac:dyDescent="0.2">
      <c r="A18340" s="996" t="str">
        <f>CONCATENATE(Programme!D18341,Programme!E18341,Programme!F18341,Programme!G18341,Programme!H18341,Programme!I18341,Programme!J18341)</f>
        <v>&lt;/ValeurCellule&gt;</v>
      </c>
    </row>
    <row r="18341" spans="1:1" x14ac:dyDescent="0.2">
      <c r="A18341" s="996" t="str">
        <f>CONCATENATE(Programme!D18342,Programme!E18342,Programme!F18342,Programme!G18342,Programme!H18342,Programme!I18342,Programme!J18342)</f>
        <v>&lt;ValeurCellule&gt;</v>
      </c>
    </row>
    <row r="18342" spans="1:1" x14ac:dyDescent="0.2">
      <c r="A18342" s="996" t="str">
        <f>CONCATENATE(Programme!D18343,Programme!E18343,Programme!F18343,Programme!G18343,Programme!H18343,Programme!I18343,Programme!J18343)</f>
        <v>&lt;cellule&gt;&lt;codeEdi&gt;1252&lt;/codeEdi&gt;&lt;/cellule&gt;</v>
      </c>
    </row>
    <row r="18343" spans="1:1" x14ac:dyDescent="0.2">
      <c r="A18343" s="996" t="str">
        <f>CONCATENATE(Programme!D18344,Programme!E18344,Programme!F18344,Programme!G18344,Programme!H18344,Programme!I18344,Programme!J18344)</f>
        <v>&lt;valeur&gt;&lt;/valeur&gt;</v>
      </c>
    </row>
    <row r="18344" spans="1:1" x14ac:dyDescent="0.2">
      <c r="A18344" s="996" t="str">
        <f>CONCATENATE(Programme!D18345,Programme!E18345,Programme!F18345,Programme!G18345,Programme!H18345,Programme!I18345,Programme!J18345)</f>
        <v>&lt;numeroLigne&gt;3&lt;/numeroLigne&gt;</v>
      </c>
    </row>
    <row r="18345" spans="1:1" x14ac:dyDescent="0.2">
      <c r="A18345" s="996" t="str">
        <f>CONCATENATE(Programme!D18346,Programme!E18346,Programme!F18346,Programme!G18346,Programme!H18346,Programme!I18346,Programme!J18346)</f>
        <v>&lt;/ValeurCellule&gt;</v>
      </c>
    </row>
    <row r="18346" spans="1:1" x14ac:dyDescent="0.2">
      <c r="A18346" s="996" t="str">
        <f>CONCATENATE(Programme!D18347,Programme!E18347,Programme!F18347,Programme!G18347,Programme!H18347,Programme!I18347,Programme!J18347)</f>
        <v>&lt;ValeurCellule&gt;</v>
      </c>
    </row>
    <row r="18347" spans="1:1" x14ac:dyDescent="0.2">
      <c r="A18347" s="996" t="str">
        <f>CONCATENATE(Programme!D18348,Programme!E18348,Programme!F18348,Programme!G18348,Programme!H18348,Programme!I18348,Programme!J18348)</f>
        <v>&lt;cellule&gt;&lt;codeEdi&gt;1253&lt;/codeEdi&gt;&lt;/cellule&gt;</v>
      </c>
    </row>
    <row r="18348" spans="1:1" x14ac:dyDescent="0.2">
      <c r="A18348" s="996" t="str">
        <f>CONCATENATE(Programme!D18349,Programme!E18349,Programme!F18349,Programme!G18349,Programme!H18349,Programme!I18349,Programme!J18349)</f>
        <v>&lt;valeur&gt;&lt;/valeur&gt;</v>
      </c>
    </row>
    <row r="18349" spans="1:1" x14ac:dyDescent="0.2">
      <c r="A18349" s="996" t="str">
        <f>CONCATENATE(Programme!D18350,Programme!E18350,Programme!F18350,Programme!G18350,Programme!H18350,Programme!I18350,Programme!J18350)</f>
        <v>&lt;numeroLigne&gt;3&lt;/numeroLigne&gt;</v>
      </c>
    </row>
    <row r="18350" spans="1:1" x14ac:dyDescent="0.2">
      <c r="A18350" s="996" t="str">
        <f>CONCATENATE(Programme!D18351,Programme!E18351,Programme!F18351,Programme!G18351,Programme!H18351,Programme!I18351,Programme!J18351)</f>
        <v>&lt;/ValeurCellule&gt;</v>
      </c>
    </row>
    <row r="18351" spans="1:1" x14ac:dyDescent="0.2">
      <c r="A18351" s="996" t="str">
        <f>CONCATENATE(Programme!D18352,Programme!E18352,Programme!F18352,Programme!G18352,Programme!H18352,Programme!I18352,Programme!J18352)</f>
        <v>&lt;ValeurCellule&gt;</v>
      </c>
    </row>
    <row r="18352" spans="1:1" x14ac:dyDescent="0.2">
      <c r="A18352" s="996" t="str">
        <f>CONCATENATE(Programme!D18353,Programme!E18353,Programme!F18353,Programme!G18353,Programme!H18353,Programme!I18353,Programme!J18353)</f>
        <v>&lt;cellule&gt;&lt;codeEdi&gt;1221&lt;/codeEdi&gt;&lt;/cellule&gt;</v>
      </c>
    </row>
    <row r="18353" spans="1:1" x14ac:dyDescent="0.2">
      <c r="A18353" s="996" t="str">
        <f>CONCATENATE(Programme!D18354,Programme!E18354,Programme!F18354,Programme!G18354,Programme!H18354,Programme!I18354,Programme!J18354)</f>
        <v>&lt;valeur&gt;&lt;/valeur&gt;</v>
      </c>
    </row>
    <row r="18354" spans="1:1" x14ac:dyDescent="0.2">
      <c r="A18354" s="996" t="str">
        <f>CONCATENATE(Programme!D18355,Programme!E18355,Programme!F18355,Programme!G18355,Programme!H18355,Programme!I18355,Programme!J18355)</f>
        <v>&lt;numeroLigne&gt;4&lt;/numeroLigne&gt;</v>
      </c>
    </row>
    <row r="18355" spans="1:1" x14ac:dyDescent="0.2">
      <c r="A18355" s="996" t="str">
        <f>CONCATENATE(Programme!D18356,Programme!E18356,Programme!F18356,Programme!G18356,Programme!H18356,Programme!I18356,Programme!J18356)</f>
        <v>&lt;/ValeurCellule&gt;</v>
      </c>
    </row>
    <row r="18356" spans="1:1" x14ac:dyDescent="0.2">
      <c r="A18356" s="996" t="str">
        <f>CONCATENATE(Programme!D18357,Programme!E18357,Programme!F18357,Programme!G18357,Programme!H18357,Programme!I18357,Programme!J18357)</f>
        <v>&lt;ValeurCellule&gt;</v>
      </c>
    </row>
    <row r="18357" spans="1:1" x14ac:dyDescent="0.2">
      <c r="A18357" s="996" t="str">
        <f>CONCATENATE(Programme!D18358,Programme!E18358,Programme!F18358,Programme!G18358,Programme!H18358,Programme!I18358,Programme!J18358)</f>
        <v>&lt;cellule&gt;&lt;codeEdi&gt;1222&lt;/codeEdi&gt;&lt;/cellule&gt;</v>
      </c>
    </row>
    <row r="18358" spans="1:1" x14ac:dyDescent="0.2">
      <c r="A18358" s="996" t="str">
        <f>CONCATENATE(Programme!D18359,Programme!E18359,Programme!F18359,Programme!G18359,Programme!H18359,Programme!I18359,Programme!J18359)</f>
        <v>&lt;valeur&gt;&lt;/valeur&gt;</v>
      </c>
    </row>
    <row r="18359" spans="1:1" x14ac:dyDescent="0.2">
      <c r="A18359" s="996" t="str">
        <f>CONCATENATE(Programme!D18360,Programme!E18360,Programme!F18360,Programme!G18360,Programme!H18360,Programme!I18360,Programme!J18360)</f>
        <v>&lt;numeroLigne&gt;4&lt;/numeroLigne&gt;</v>
      </c>
    </row>
    <row r="18360" spans="1:1" x14ac:dyDescent="0.2">
      <c r="A18360" s="996" t="str">
        <f>CONCATENATE(Programme!D18361,Programme!E18361,Programme!F18361,Programme!G18361,Programme!H18361,Programme!I18361,Programme!J18361)</f>
        <v>&lt;/ValeurCellule&gt;</v>
      </c>
    </row>
    <row r="18361" spans="1:1" x14ac:dyDescent="0.2">
      <c r="A18361" s="996" t="str">
        <f>CONCATENATE(Programme!D18362,Programme!E18362,Programme!F18362,Programme!G18362,Programme!H18362,Programme!I18362,Programme!J18362)</f>
        <v>&lt;ValeurCellule&gt;</v>
      </c>
    </row>
    <row r="18362" spans="1:1" x14ac:dyDescent="0.2">
      <c r="A18362" s="996" t="str">
        <f>CONCATENATE(Programme!D18363,Programme!E18363,Programme!F18363,Programme!G18363,Programme!H18363,Programme!I18363,Programme!J18363)</f>
        <v>&lt;cellule&gt;&lt;codeEdi&gt;1223&lt;/codeEdi&gt;&lt;/cellule&gt;</v>
      </c>
    </row>
    <row r="18363" spans="1:1" x14ac:dyDescent="0.2">
      <c r="A18363" s="996" t="str">
        <f>CONCATENATE(Programme!D18364,Programme!E18364,Programme!F18364,Programme!G18364,Programme!H18364,Programme!I18364,Programme!J18364)</f>
        <v>&lt;valeur&gt;&lt;/valeur&gt;</v>
      </c>
    </row>
    <row r="18364" spans="1:1" x14ac:dyDescent="0.2">
      <c r="A18364" s="996" t="str">
        <f>CONCATENATE(Programme!D18365,Programme!E18365,Programme!F18365,Programme!G18365,Programme!H18365,Programme!I18365,Programme!J18365)</f>
        <v>&lt;numeroLigne&gt;4&lt;/numeroLigne&gt;</v>
      </c>
    </row>
    <row r="18365" spans="1:1" x14ac:dyDescent="0.2">
      <c r="A18365" s="996" t="str">
        <f>CONCATENATE(Programme!D18366,Programme!E18366,Programme!F18366,Programme!G18366,Programme!H18366,Programme!I18366,Programme!J18366)</f>
        <v>&lt;/ValeurCellule&gt;</v>
      </c>
    </row>
    <row r="18366" spans="1:1" x14ac:dyDescent="0.2">
      <c r="A18366" s="996" t="str">
        <f>CONCATENATE(Programme!D18367,Programme!E18367,Programme!F18367,Programme!G18367,Programme!H18367,Programme!I18367,Programme!J18367)</f>
        <v>&lt;ValeurCellule&gt;</v>
      </c>
    </row>
    <row r="18367" spans="1:1" x14ac:dyDescent="0.2">
      <c r="A18367" s="996" t="str">
        <f>CONCATENATE(Programme!D18368,Programme!E18368,Programme!F18368,Programme!G18368,Programme!H18368,Programme!I18368,Programme!J18368)</f>
        <v>&lt;cellule&gt;&lt;codeEdi&gt;1224&lt;/codeEdi&gt;&lt;/cellule&gt;</v>
      </c>
    </row>
    <row r="18368" spans="1:1" x14ac:dyDescent="0.2">
      <c r="A18368" s="996" t="str">
        <f>CONCATENATE(Programme!D18369,Programme!E18369,Programme!F18369,Programme!G18369,Programme!H18369,Programme!I18369,Programme!J18369)</f>
        <v>&lt;valeur&gt;&lt;/valeur&gt;</v>
      </c>
    </row>
    <row r="18369" spans="1:1" x14ac:dyDescent="0.2">
      <c r="A18369" s="996" t="str">
        <f>CONCATENATE(Programme!D18370,Programme!E18370,Programme!F18370,Programme!G18370,Programme!H18370,Programme!I18370,Programme!J18370)</f>
        <v>&lt;numeroLigne&gt;4&lt;/numeroLigne&gt;</v>
      </c>
    </row>
    <row r="18370" spans="1:1" x14ac:dyDescent="0.2">
      <c r="A18370" s="996" t="str">
        <f>CONCATENATE(Programme!D18371,Programme!E18371,Programme!F18371,Programme!G18371,Programme!H18371,Programme!I18371,Programme!J18371)</f>
        <v>&lt;/ValeurCellule&gt;</v>
      </c>
    </row>
    <row r="18371" spans="1:1" x14ac:dyDescent="0.2">
      <c r="A18371" s="996" t="str">
        <f>CONCATENATE(Programme!D18372,Programme!E18372,Programme!F18372,Programme!G18372,Programme!H18372,Programme!I18372,Programme!J18372)</f>
        <v>&lt;ValeurCellule&gt;</v>
      </c>
    </row>
    <row r="18372" spans="1:1" x14ac:dyDescent="0.2">
      <c r="A18372" s="996" t="str">
        <f>CONCATENATE(Programme!D18373,Programme!E18373,Programme!F18373,Programme!G18373,Programme!H18373,Programme!I18373,Programme!J18373)</f>
        <v>&lt;cellule&gt;&lt;codeEdi&gt;1225&lt;/codeEdi&gt;&lt;/cellule&gt;</v>
      </c>
    </row>
    <row r="18373" spans="1:1" x14ac:dyDescent="0.2">
      <c r="A18373" s="996" t="str">
        <f>CONCATENATE(Programme!D18374,Programme!E18374,Programme!F18374,Programme!G18374,Programme!H18374,Programme!I18374,Programme!J18374)</f>
        <v>&lt;valeur&gt;&lt;/valeur&gt;</v>
      </c>
    </row>
    <row r="18374" spans="1:1" x14ac:dyDescent="0.2">
      <c r="A18374" s="996" t="str">
        <f>CONCATENATE(Programme!D18375,Programme!E18375,Programme!F18375,Programme!G18375,Programme!H18375,Programme!I18375,Programme!J18375)</f>
        <v>&lt;numeroLigne&gt;4&lt;/numeroLigne&gt;</v>
      </c>
    </row>
    <row r="18375" spans="1:1" x14ac:dyDescent="0.2">
      <c r="A18375" s="996" t="str">
        <f>CONCATENATE(Programme!D18376,Programme!E18376,Programme!F18376,Programme!G18376,Programme!H18376,Programme!I18376,Programme!J18376)</f>
        <v>&lt;/ValeurCellule&gt;</v>
      </c>
    </row>
    <row r="18376" spans="1:1" x14ac:dyDescent="0.2">
      <c r="A18376" s="996" t="str">
        <f>CONCATENATE(Programme!D18377,Programme!E18377,Programme!F18377,Programme!G18377,Programme!H18377,Programme!I18377,Programme!J18377)</f>
        <v>&lt;ValeurCellule&gt;</v>
      </c>
    </row>
    <row r="18377" spans="1:1" x14ac:dyDescent="0.2">
      <c r="A18377" s="996" t="str">
        <f>CONCATENATE(Programme!D18378,Programme!E18378,Programme!F18378,Programme!G18378,Programme!H18378,Programme!I18378,Programme!J18378)</f>
        <v>&lt;cellule&gt;&lt;codeEdi&gt;1226&lt;/codeEdi&gt;&lt;/cellule&gt;</v>
      </c>
    </row>
    <row r="18378" spans="1:1" x14ac:dyDescent="0.2">
      <c r="A18378" s="996" t="str">
        <f>CONCATENATE(Programme!D18379,Programme!E18379,Programme!F18379,Programme!G18379,Programme!H18379,Programme!I18379,Programme!J18379)</f>
        <v>&lt;valeur&gt;&lt;/valeur&gt;</v>
      </c>
    </row>
    <row r="18379" spans="1:1" x14ac:dyDescent="0.2">
      <c r="A18379" s="996" t="str">
        <f>CONCATENATE(Programme!D18380,Programme!E18380,Programme!F18380,Programme!G18380,Programme!H18380,Programme!I18380,Programme!J18380)</f>
        <v>&lt;numeroLigne&gt;4&lt;/numeroLigne&gt;</v>
      </c>
    </row>
    <row r="18380" spans="1:1" x14ac:dyDescent="0.2">
      <c r="A18380" s="996" t="str">
        <f>CONCATENATE(Programme!D18381,Programme!E18381,Programme!F18381,Programme!G18381,Programme!H18381,Programme!I18381,Programme!J18381)</f>
        <v>&lt;/ValeurCellule&gt;</v>
      </c>
    </row>
    <row r="18381" spans="1:1" x14ac:dyDescent="0.2">
      <c r="A18381" s="996" t="str">
        <f>CONCATENATE(Programme!D18382,Programme!E18382,Programme!F18382,Programme!G18382,Programme!H18382,Programme!I18382,Programme!J18382)</f>
        <v>&lt;ValeurCellule&gt;</v>
      </c>
    </row>
    <row r="18382" spans="1:1" x14ac:dyDescent="0.2">
      <c r="A18382" s="996" t="str">
        <f>CONCATENATE(Programme!D18383,Programme!E18383,Programme!F18383,Programme!G18383,Programme!H18383,Programme!I18383,Programme!J18383)</f>
        <v>&lt;cellule&gt;&lt;codeEdi&gt;1227&lt;/codeEdi&gt;&lt;/cellule&gt;</v>
      </c>
    </row>
    <row r="18383" spans="1:1" x14ac:dyDescent="0.2">
      <c r="A18383" s="996" t="str">
        <f>CONCATENATE(Programme!D18384,Programme!E18384,Programme!F18384,Programme!G18384,Programme!H18384,Programme!I18384,Programme!J18384)</f>
        <v>&lt;valeur&gt;&lt;/valeur&gt;</v>
      </c>
    </row>
    <row r="18384" spans="1:1" x14ac:dyDescent="0.2">
      <c r="A18384" s="996" t="str">
        <f>CONCATENATE(Programme!D18385,Programme!E18385,Programme!F18385,Programme!G18385,Programme!H18385,Programme!I18385,Programme!J18385)</f>
        <v>&lt;numeroLigne&gt;4&lt;/numeroLigne&gt;</v>
      </c>
    </row>
    <row r="18385" spans="1:1" x14ac:dyDescent="0.2">
      <c r="A18385" s="996" t="str">
        <f>CONCATENATE(Programme!D18386,Programme!E18386,Programme!F18386,Programme!G18386,Programme!H18386,Programme!I18386,Programme!J18386)</f>
        <v>&lt;/ValeurCellule&gt;</v>
      </c>
    </row>
    <row r="18386" spans="1:1" x14ac:dyDescent="0.2">
      <c r="A18386" s="996" t="str">
        <f>CONCATENATE(Programme!D18387,Programme!E18387,Programme!F18387,Programme!G18387,Programme!H18387,Programme!I18387,Programme!J18387)</f>
        <v>&lt;ValeurCellule&gt;</v>
      </c>
    </row>
    <row r="18387" spans="1:1" x14ac:dyDescent="0.2">
      <c r="A18387" s="996" t="str">
        <f>CONCATENATE(Programme!D18388,Programme!E18388,Programme!F18388,Programme!G18388,Programme!H18388,Programme!I18388,Programme!J18388)</f>
        <v>&lt;cellule&gt;&lt;codeEdi&gt;1228&lt;/codeEdi&gt;&lt;/cellule&gt;</v>
      </c>
    </row>
    <row r="18388" spans="1:1" x14ac:dyDescent="0.2">
      <c r="A18388" s="996" t="str">
        <f>CONCATENATE(Programme!D18389,Programme!E18389,Programme!F18389,Programme!G18389,Programme!H18389,Programme!I18389,Programme!J18389)</f>
        <v>&lt;valeur&gt;&lt;/valeur&gt;</v>
      </c>
    </row>
    <row r="18389" spans="1:1" x14ac:dyDescent="0.2">
      <c r="A18389" s="996" t="str">
        <f>CONCATENATE(Programme!D18390,Programme!E18390,Programme!F18390,Programme!G18390,Programme!H18390,Programme!I18390,Programme!J18390)</f>
        <v>&lt;numeroLigne&gt;4&lt;/numeroLigne&gt;</v>
      </c>
    </row>
    <row r="18390" spans="1:1" x14ac:dyDescent="0.2">
      <c r="A18390" s="996" t="str">
        <f>CONCATENATE(Programme!D18391,Programme!E18391,Programme!F18391,Programme!G18391,Programme!H18391,Programme!I18391,Programme!J18391)</f>
        <v>&lt;/ValeurCellule&gt;</v>
      </c>
    </row>
    <row r="18391" spans="1:1" x14ac:dyDescent="0.2">
      <c r="A18391" s="996" t="str">
        <f>CONCATENATE(Programme!D18392,Programme!E18392,Programme!F18392,Programme!G18392,Programme!H18392,Programme!I18392,Programme!J18392)</f>
        <v>&lt;ValeurCellule&gt;</v>
      </c>
    </row>
    <row r="18392" spans="1:1" x14ac:dyDescent="0.2">
      <c r="A18392" s="996" t="str">
        <f>CONCATENATE(Programme!D18393,Programme!E18393,Programme!F18393,Programme!G18393,Programme!H18393,Programme!I18393,Programme!J18393)</f>
        <v>&lt;cellule&gt;&lt;codeEdi&gt;1229&lt;/codeEdi&gt;&lt;/cellule&gt;</v>
      </c>
    </row>
    <row r="18393" spans="1:1" x14ac:dyDescent="0.2">
      <c r="A18393" s="996" t="str">
        <f>CONCATENATE(Programme!D18394,Programme!E18394,Programme!F18394,Programme!G18394,Programme!H18394,Programme!I18394,Programme!J18394)</f>
        <v>&lt;valeur&gt;&lt;/valeur&gt;</v>
      </c>
    </row>
    <row r="18394" spans="1:1" x14ac:dyDescent="0.2">
      <c r="A18394" s="996" t="str">
        <f>CONCATENATE(Programme!D18395,Programme!E18395,Programme!F18395,Programme!G18395,Programme!H18395,Programme!I18395,Programme!J18395)</f>
        <v>&lt;numeroLigne&gt;4&lt;/numeroLigne&gt;</v>
      </c>
    </row>
    <row r="18395" spans="1:1" x14ac:dyDescent="0.2">
      <c r="A18395" s="996" t="str">
        <f>CONCATENATE(Programme!D18396,Programme!E18396,Programme!F18396,Programme!G18396,Programme!H18396,Programme!I18396,Programme!J18396)</f>
        <v>&lt;/ValeurCellule&gt;</v>
      </c>
    </row>
    <row r="18396" spans="1:1" x14ac:dyDescent="0.2">
      <c r="A18396" s="996" t="str">
        <f>CONCATENATE(Programme!D18397,Programme!E18397,Programme!F18397,Programme!G18397,Programme!H18397,Programme!I18397,Programme!J18397)</f>
        <v>&lt;ValeurCellule&gt;</v>
      </c>
    </row>
    <row r="18397" spans="1:1" x14ac:dyDescent="0.2">
      <c r="A18397" s="996" t="str">
        <f>CONCATENATE(Programme!D18398,Programme!E18398,Programme!F18398,Programme!G18398,Programme!H18398,Programme!I18398,Programme!J18398)</f>
        <v>&lt;cellule&gt;&lt;codeEdi&gt;1250&lt;/codeEdi&gt;&lt;/cellule&gt;</v>
      </c>
    </row>
    <row r="18398" spans="1:1" x14ac:dyDescent="0.2">
      <c r="A18398" s="996" t="str">
        <f>CONCATENATE(Programme!D18399,Programme!E18399,Programme!F18399,Programme!G18399,Programme!H18399,Programme!I18399,Programme!J18399)</f>
        <v>&lt;valeur&gt;&lt;/valeur&gt;</v>
      </c>
    </row>
    <row r="18399" spans="1:1" x14ac:dyDescent="0.2">
      <c r="A18399" s="996" t="str">
        <f>CONCATENATE(Programme!D18400,Programme!E18400,Programme!F18400,Programme!G18400,Programme!H18400,Programme!I18400,Programme!J18400)</f>
        <v>&lt;numeroLigne&gt;4&lt;/numeroLigne&gt;</v>
      </c>
    </row>
    <row r="18400" spans="1:1" x14ac:dyDescent="0.2">
      <c r="A18400" s="996" t="str">
        <f>CONCATENATE(Programme!D18401,Programme!E18401,Programme!F18401,Programme!G18401,Programme!H18401,Programme!I18401,Programme!J18401)</f>
        <v>&lt;/ValeurCellule&gt;</v>
      </c>
    </row>
    <row r="18401" spans="1:1" x14ac:dyDescent="0.2">
      <c r="A18401" s="996" t="str">
        <f>CONCATENATE(Programme!D18402,Programme!E18402,Programme!F18402,Programme!G18402,Programme!H18402,Programme!I18402,Programme!J18402)</f>
        <v>&lt;ValeurCellule&gt;</v>
      </c>
    </row>
    <row r="18402" spans="1:1" x14ac:dyDescent="0.2">
      <c r="A18402" s="996" t="str">
        <f>CONCATENATE(Programme!D18403,Programme!E18403,Programme!F18403,Programme!G18403,Programme!H18403,Programme!I18403,Programme!J18403)</f>
        <v>&lt;cellule&gt;&lt;codeEdi&gt;1251&lt;/codeEdi&gt;&lt;/cellule&gt;</v>
      </c>
    </row>
    <row r="18403" spans="1:1" x14ac:dyDescent="0.2">
      <c r="A18403" s="996" t="str">
        <f>CONCATENATE(Programme!D18404,Programme!E18404,Programme!F18404,Programme!G18404,Programme!H18404,Programme!I18404,Programme!J18404)</f>
        <v>&lt;valeur&gt;&lt;/valeur&gt;</v>
      </c>
    </row>
    <row r="18404" spans="1:1" x14ac:dyDescent="0.2">
      <c r="A18404" s="996" t="str">
        <f>CONCATENATE(Programme!D18405,Programme!E18405,Programme!F18405,Programme!G18405,Programme!H18405,Programme!I18405,Programme!J18405)</f>
        <v>&lt;numeroLigne&gt;4&lt;/numeroLigne&gt;</v>
      </c>
    </row>
    <row r="18405" spans="1:1" x14ac:dyDescent="0.2">
      <c r="A18405" s="996" t="str">
        <f>CONCATENATE(Programme!D18406,Programme!E18406,Programme!F18406,Programme!G18406,Programme!H18406,Programme!I18406,Programme!J18406)</f>
        <v>&lt;/ValeurCellule&gt;</v>
      </c>
    </row>
    <row r="18406" spans="1:1" x14ac:dyDescent="0.2">
      <c r="A18406" s="996" t="str">
        <f>CONCATENATE(Programme!D18407,Programme!E18407,Programme!F18407,Programme!G18407,Programme!H18407,Programme!I18407,Programme!J18407)</f>
        <v>&lt;ValeurCellule&gt;</v>
      </c>
    </row>
    <row r="18407" spans="1:1" x14ac:dyDescent="0.2">
      <c r="A18407" s="996" t="str">
        <f>CONCATENATE(Programme!D18408,Programme!E18408,Programme!F18408,Programme!G18408,Programme!H18408,Programme!I18408,Programme!J18408)</f>
        <v>&lt;cellule&gt;&lt;codeEdi&gt;1252&lt;/codeEdi&gt;&lt;/cellule&gt;</v>
      </c>
    </row>
    <row r="18408" spans="1:1" x14ac:dyDescent="0.2">
      <c r="A18408" s="996" t="str">
        <f>CONCATENATE(Programme!D18409,Programme!E18409,Programme!F18409,Programme!G18409,Programme!H18409,Programme!I18409,Programme!J18409)</f>
        <v>&lt;valeur&gt;&lt;/valeur&gt;</v>
      </c>
    </row>
    <row r="18409" spans="1:1" x14ac:dyDescent="0.2">
      <c r="A18409" s="996" t="str">
        <f>CONCATENATE(Programme!D18410,Programme!E18410,Programme!F18410,Programme!G18410,Programme!H18410,Programme!I18410,Programme!J18410)</f>
        <v>&lt;numeroLigne&gt;4&lt;/numeroLigne&gt;</v>
      </c>
    </row>
    <row r="18410" spans="1:1" x14ac:dyDescent="0.2">
      <c r="A18410" s="996" t="str">
        <f>CONCATENATE(Programme!D18411,Programme!E18411,Programme!F18411,Programme!G18411,Programme!H18411,Programme!I18411,Programme!J18411)</f>
        <v>&lt;/ValeurCellule&gt;</v>
      </c>
    </row>
    <row r="18411" spans="1:1" x14ac:dyDescent="0.2">
      <c r="A18411" s="996" t="str">
        <f>CONCATENATE(Programme!D18412,Programme!E18412,Programme!F18412,Programme!G18412,Programme!H18412,Programme!I18412,Programme!J18412)</f>
        <v>&lt;ValeurCellule&gt;</v>
      </c>
    </row>
    <row r="18412" spans="1:1" x14ac:dyDescent="0.2">
      <c r="A18412" s="996" t="str">
        <f>CONCATENATE(Programme!D18413,Programme!E18413,Programme!F18413,Programme!G18413,Programme!H18413,Programme!I18413,Programme!J18413)</f>
        <v>&lt;cellule&gt;&lt;codeEdi&gt;1253&lt;/codeEdi&gt;&lt;/cellule&gt;</v>
      </c>
    </row>
    <row r="18413" spans="1:1" x14ac:dyDescent="0.2">
      <c r="A18413" s="996" t="str">
        <f>CONCATENATE(Programme!D18414,Programme!E18414,Programme!F18414,Programme!G18414,Programme!H18414,Programme!I18414,Programme!J18414)</f>
        <v>&lt;valeur&gt;&lt;/valeur&gt;</v>
      </c>
    </row>
    <row r="18414" spans="1:1" x14ac:dyDescent="0.2">
      <c r="A18414" s="996" t="str">
        <f>CONCATENATE(Programme!D18415,Programme!E18415,Programme!F18415,Programme!G18415,Programme!H18415,Programme!I18415,Programme!J18415)</f>
        <v>&lt;numeroLigne&gt;4&lt;/numeroLigne&gt;</v>
      </c>
    </row>
    <row r="18415" spans="1:1" x14ac:dyDescent="0.2">
      <c r="A18415" s="996" t="str">
        <f>CONCATENATE(Programme!D18416,Programme!E18416,Programme!F18416,Programme!G18416,Programme!H18416,Programme!I18416,Programme!J18416)</f>
        <v>&lt;/ValeurCellule&gt;</v>
      </c>
    </row>
    <row r="18416" spans="1:1" x14ac:dyDescent="0.2">
      <c r="A18416" s="996" t="str">
        <f>CONCATENATE(Programme!D18417,Programme!E18417,Programme!F18417,Programme!G18417,Programme!H18417,Programme!I18417,Programme!J18417)</f>
        <v>&lt;ValeurCellule&gt;</v>
      </c>
    </row>
    <row r="18417" spans="1:1" x14ac:dyDescent="0.2">
      <c r="A18417" s="996" t="str">
        <f>CONCATENATE(Programme!D18418,Programme!E18418,Programme!F18418,Programme!G18418,Programme!H18418,Programme!I18418,Programme!J18418)</f>
        <v>&lt;cellule&gt;</v>
      </c>
    </row>
    <row r="18418" spans="1:1" x14ac:dyDescent="0.2">
      <c r="A18418" s="996" t="str">
        <f>CONCATENATE(Programme!D18419,Programme!E18419,Programme!F18419,Programme!G18419,Programme!H18419,Programme!I18419,Programme!J18419)</f>
        <v>&lt;codeEdi&gt;1257&lt;/codeEdi&gt;</v>
      </c>
    </row>
    <row r="18419" spans="1:1" x14ac:dyDescent="0.2">
      <c r="A18419" s="996" t="str">
        <f>CONCATENATE(Programme!D18420,Programme!E18420,Programme!F18420,Programme!G18420,Programme!H18420,Programme!I18420,Programme!J18420)</f>
        <v>&lt;/cellule&gt;</v>
      </c>
    </row>
    <row r="18420" spans="1:1" x14ac:dyDescent="0.2">
      <c r="A18420" s="996" t="str">
        <f>CONCATENATE(Programme!D18421,Programme!E18421,Programme!F18421,Programme!G18421,Programme!H18421,Programme!I18421,Programme!J18421)</f>
        <v>&lt;valeur&gt;0&lt;/valeur&gt;</v>
      </c>
    </row>
    <row r="18421" spans="1:1" x14ac:dyDescent="0.2">
      <c r="A18421" s="996" t="str">
        <f>CONCATENATE(Programme!D18422,Programme!E18422,Programme!F18422,Programme!G18422,Programme!H18422,Programme!I18422,Programme!J18422)</f>
        <v>&lt;/ValeurCellule&gt;</v>
      </c>
    </row>
    <row r="18422" spans="1:1" x14ac:dyDescent="0.2">
      <c r="A18422" s="996" t="str">
        <f>CONCATENATE(Programme!D18423,Programme!E18423,Programme!F18423,Programme!G18423,Programme!H18423,Programme!I18423,Programme!J18423)</f>
        <v>&lt;ValeurCellule&gt;</v>
      </c>
    </row>
    <row r="18423" spans="1:1" x14ac:dyDescent="0.2">
      <c r="A18423" s="996" t="str">
        <f>CONCATENATE(Programme!D18424,Programme!E18424,Programme!F18424,Programme!G18424,Programme!H18424,Programme!I18424,Programme!J18424)</f>
        <v>&lt;cellule&gt;</v>
      </c>
    </row>
    <row r="18424" spans="1:1" x14ac:dyDescent="0.2">
      <c r="A18424" s="996" t="str">
        <f>CONCATENATE(Programme!D18425,Programme!E18425,Programme!F18425,Programme!G18425,Programme!H18425,Programme!I18425,Programme!J18425)</f>
        <v>&lt;codeEdi&gt;1261&lt;/codeEdi&gt;</v>
      </c>
    </row>
    <row r="18425" spans="1:1" x14ac:dyDescent="0.2">
      <c r="A18425" s="996" t="str">
        <f>CONCATENATE(Programme!D18426,Programme!E18426,Programme!F18426,Programme!G18426,Programme!H18426,Programme!I18426,Programme!J18426)</f>
        <v>&lt;/cellule&gt;</v>
      </c>
    </row>
    <row r="18426" spans="1:1" x14ac:dyDescent="0.2">
      <c r="A18426" s="996" t="str">
        <f>CONCATENATE(Programme!D18427,Programme!E18427,Programme!F18427,Programme!G18427,Programme!H18427,Programme!I18427,Programme!J18427)</f>
        <v>&lt;valeur&gt;0&lt;/valeur&gt;</v>
      </c>
    </row>
    <row r="18427" spans="1:1" x14ac:dyDescent="0.2">
      <c r="A18427" s="996" t="str">
        <f>CONCATENATE(Programme!D18428,Programme!E18428,Programme!F18428,Programme!G18428,Programme!H18428,Programme!I18428,Programme!J18428)</f>
        <v>&lt;/ValeurCellule&gt;</v>
      </c>
    </row>
    <row r="18428" spans="1:1" x14ac:dyDescent="0.2">
      <c r="A18428" s="996" t="str">
        <f>CONCATENATE(Programme!D18429,Programme!E18429,Programme!F18429,Programme!G18429,Programme!H18429,Programme!I18429,Programme!J18429)</f>
        <v>&lt;ValeurCellule&gt;</v>
      </c>
    </row>
    <row r="18429" spans="1:1" x14ac:dyDescent="0.2">
      <c r="A18429" s="996" t="str">
        <f>CONCATENATE(Programme!D18430,Programme!E18430,Programme!F18430,Programme!G18430,Programme!H18430,Programme!I18430,Programme!J18430)</f>
        <v>&lt;cellule&gt;</v>
      </c>
    </row>
    <row r="18430" spans="1:1" x14ac:dyDescent="0.2">
      <c r="A18430" s="996" t="str">
        <f>CONCATENATE(Programme!D18431,Programme!E18431,Programme!F18431,Programme!G18431,Programme!H18431,Programme!I18431,Programme!J18431)</f>
        <v>&lt;codeEdi&gt;1262&lt;/codeEdi&gt;</v>
      </c>
    </row>
    <row r="18431" spans="1:1" x14ac:dyDescent="0.2">
      <c r="A18431" s="996" t="str">
        <f>CONCATENATE(Programme!D18432,Programme!E18432,Programme!F18432,Programme!G18432,Programme!H18432,Programme!I18432,Programme!J18432)</f>
        <v>&lt;/cellule&gt;</v>
      </c>
    </row>
    <row r="18432" spans="1:1" x14ac:dyDescent="0.2">
      <c r="A18432" s="996" t="str">
        <f>CONCATENATE(Programme!D18433,Programme!E18433,Programme!F18433,Programme!G18433,Programme!H18433,Programme!I18433,Programme!J18433)</f>
        <v>&lt;valeur&gt;0&lt;/valeur&gt;</v>
      </c>
    </row>
    <row r="18433" spans="1:1" x14ac:dyDescent="0.2">
      <c r="A18433" s="996" t="str">
        <f>CONCATENATE(Programme!D18434,Programme!E18434,Programme!F18434,Programme!G18434,Programme!H18434,Programme!I18434,Programme!J18434)</f>
        <v>&lt;/ValeurCellule&gt;</v>
      </c>
    </row>
    <row r="18434" spans="1:1" x14ac:dyDescent="0.2">
      <c r="A18434" s="996" t="str">
        <f>CONCATENATE(Programme!D18435,Programme!E18435,Programme!F18435,Programme!G18435,Programme!H18435,Programme!I18435,Programme!J18435)</f>
        <v>&lt;ValeurCellule&gt;</v>
      </c>
    </row>
    <row r="18435" spans="1:1" x14ac:dyDescent="0.2">
      <c r="A18435" s="996" t="str">
        <f>CONCATENATE(Programme!D18436,Programme!E18436,Programme!F18436,Programme!G18436,Programme!H18436,Programme!I18436,Programme!J18436)</f>
        <v>&lt;cellule&gt;</v>
      </c>
    </row>
    <row r="18436" spans="1:1" x14ac:dyDescent="0.2">
      <c r="A18436" s="996" t="str">
        <f>CONCATENATE(Programme!D18437,Programme!E18437,Programme!F18437,Programme!G18437,Programme!H18437,Programme!I18437,Programme!J18437)</f>
        <v>&lt;codeEdi&gt;1263&lt;/codeEdi&gt;</v>
      </c>
    </row>
    <row r="18437" spans="1:1" x14ac:dyDescent="0.2">
      <c r="A18437" s="996" t="str">
        <f>CONCATENATE(Programme!D18438,Programme!E18438,Programme!F18438,Programme!G18438,Programme!H18438,Programme!I18438,Programme!J18438)</f>
        <v>&lt;/cellule&gt;</v>
      </c>
    </row>
    <row r="18438" spans="1:1" x14ac:dyDescent="0.2">
      <c r="A18438" s="996" t="str">
        <f>CONCATENATE(Programme!D18439,Programme!E18439,Programme!F18439,Programme!G18439,Programme!H18439,Programme!I18439,Programme!J18439)</f>
        <v>&lt;valeur&gt;0&lt;/valeur&gt;</v>
      </c>
    </row>
    <row r="18439" spans="1:1" x14ac:dyDescent="0.2">
      <c r="A18439" s="996" t="str">
        <f>CONCATENATE(Programme!D18440,Programme!E18440,Programme!F18440,Programme!G18440,Programme!H18440,Programme!I18440,Programme!J18440)</f>
        <v>&lt;/ValeurCellule&gt;</v>
      </c>
    </row>
    <row r="18440" spans="1:1" x14ac:dyDescent="0.2">
      <c r="A18440" s="996" t="str">
        <f>CONCATENATE(Programme!D18441,Programme!E18441,Programme!F18441,Programme!G18441,Programme!H18441,Programme!I18441,Programme!J18441)</f>
        <v>&lt;ValeurCellule&gt;</v>
      </c>
    </row>
    <row r="18441" spans="1:1" x14ac:dyDescent="0.2">
      <c r="A18441" s="996" t="str">
        <f>CONCATENATE(Programme!D18442,Programme!E18442,Programme!F18442,Programme!G18442,Programme!H18442,Programme!I18442,Programme!J18442)</f>
        <v>&lt;cellule&gt;</v>
      </c>
    </row>
    <row r="18442" spans="1:1" x14ac:dyDescent="0.2">
      <c r="A18442" s="996" t="str">
        <f>CONCATENATE(Programme!D18443,Programme!E18443,Programme!F18443,Programme!G18443,Programme!H18443,Programme!I18443,Programme!J18443)</f>
        <v>&lt;codeEdi&gt;1264&lt;/codeEdi&gt;</v>
      </c>
    </row>
    <row r="18443" spans="1:1" x14ac:dyDescent="0.2">
      <c r="A18443" s="996" t="str">
        <f>CONCATENATE(Programme!D18444,Programme!E18444,Programme!F18444,Programme!G18444,Programme!H18444,Programme!I18444,Programme!J18444)</f>
        <v>&lt;/cellule&gt;</v>
      </c>
    </row>
    <row r="18444" spans="1:1" x14ac:dyDescent="0.2">
      <c r="A18444" s="996" t="str">
        <f>CONCATENATE(Programme!D18445,Programme!E18445,Programme!F18445,Programme!G18445,Programme!H18445,Programme!I18445,Programme!J18445)</f>
        <v>&lt;valeur&gt;0&lt;/valeur&gt;</v>
      </c>
    </row>
    <row r="18445" spans="1:1" x14ac:dyDescent="0.2">
      <c r="A18445" s="996" t="str">
        <f>CONCATENATE(Programme!D18446,Programme!E18446,Programme!F18446,Programme!G18446,Programme!H18446,Programme!I18446,Programme!J18446)</f>
        <v>&lt;/ValeurCellule&gt;</v>
      </c>
    </row>
    <row r="18446" spans="1:1" x14ac:dyDescent="0.2">
      <c r="A18446" s="996" t="str">
        <f>CONCATENATE(Programme!D18447,Programme!E18447,Programme!F18447,Programme!G18447,Programme!H18447,Programme!I18447,Programme!J18447)</f>
        <v>&lt;ValeurCellule&gt;</v>
      </c>
    </row>
    <row r="18447" spans="1:1" x14ac:dyDescent="0.2">
      <c r="A18447" s="996" t="str">
        <f>CONCATENATE(Programme!D18448,Programme!E18448,Programme!F18448,Programme!G18448,Programme!H18448,Programme!I18448,Programme!J18448)</f>
        <v>&lt;cellule&gt;</v>
      </c>
    </row>
    <row r="18448" spans="1:1" x14ac:dyDescent="0.2">
      <c r="A18448" s="996" t="str">
        <f>CONCATENATE(Programme!D18449,Programme!E18449,Programme!F18449,Programme!G18449,Programme!H18449,Programme!I18449,Programme!J18449)</f>
        <v>&lt;codeEdi&gt;1265&lt;/codeEdi&gt;</v>
      </c>
    </row>
    <row r="18449" spans="1:1" x14ac:dyDescent="0.2">
      <c r="A18449" s="996" t="str">
        <f>CONCATENATE(Programme!D18450,Programme!E18450,Programme!F18450,Programme!G18450,Programme!H18450,Programme!I18450,Programme!J18450)</f>
        <v>&lt;/cellule&gt;</v>
      </c>
    </row>
    <row r="18450" spans="1:1" x14ac:dyDescent="0.2">
      <c r="A18450" s="996" t="str">
        <f>CONCATENATE(Programme!D18451,Programme!E18451,Programme!F18451,Programme!G18451,Programme!H18451,Programme!I18451,Programme!J18451)</f>
        <v>&lt;valeur&gt;0&lt;/valeur&gt;</v>
      </c>
    </row>
    <row r="18451" spans="1:1" x14ac:dyDescent="0.2">
      <c r="A18451" s="996" t="str">
        <f>CONCATENATE(Programme!D18452,Programme!E18452,Programme!F18452,Programme!G18452,Programme!H18452,Programme!I18452,Programme!J18452)</f>
        <v>&lt;/ValeurCellule&gt;</v>
      </c>
    </row>
    <row r="18452" spans="1:1" x14ac:dyDescent="0.2">
      <c r="A18452" s="996" t="str">
        <f>CONCATENATE(Programme!D18453,Programme!E18453,Programme!F18453,Programme!G18453,Programme!H18453,Programme!I18453,Programme!J18453)</f>
        <v>&lt;/groupeValeurs&gt;</v>
      </c>
    </row>
    <row r="18453" spans="1:1" x14ac:dyDescent="0.2">
      <c r="A18453" s="996" t="str">
        <f>CONCATENATE(Programme!D18454,Programme!E18454,Programme!F18454,Programme!G18454,Programme!H18454,Programme!I18454,Programme!J18454)</f>
        <v>&lt;extraFieldvaleurs&gt;</v>
      </c>
    </row>
    <row r="18454" spans="1:1" x14ac:dyDescent="0.2">
      <c r="A18454" s="996" t="str">
        <f>CONCATENATE(Programme!D18455,Programme!E18455,Programme!F18455,Programme!G18455,Programme!H18455,Programme!I18455,Programme!J18455)</f>
        <v>&lt;ExtraFieldValeur&gt;</v>
      </c>
    </row>
    <row r="18455" spans="1:1" x14ac:dyDescent="0.2">
      <c r="A18455" s="996" t="str">
        <f>CONCATENATE(Programme!D18456,Programme!E18456,Programme!F18456,Programme!G18456,Programme!H18456,Programme!I18456,Programme!J18456)</f>
        <v xml:space="preserve"> &lt;extraField&gt;</v>
      </c>
    </row>
    <row r="18456" spans="1:1" x14ac:dyDescent="0.2">
      <c r="A18456" s="996" t="str">
        <f>CONCATENATE(Programme!D18457,Programme!E18457,Programme!F18457,Programme!G18457,Programme!H18457,Programme!I18457,Programme!J18457)</f>
        <v>&lt;code&gt;55&lt;/code&gt;</v>
      </c>
    </row>
    <row r="18457" spans="1:1" x14ac:dyDescent="0.2">
      <c r="A18457" s="996" t="str">
        <f>CONCATENATE(Programme!D18458,Programme!E18458,Programme!F18458,Programme!G18458,Programme!H18458,Programme!I18458,Programme!J18458)</f>
        <v xml:space="preserve">&lt;/extraField&gt; </v>
      </c>
    </row>
    <row r="18458" spans="1:1" x14ac:dyDescent="0.2">
      <c r="A18458" s="996" t="str">
        <f>CONCATENATE(Programme!D18459,Programme!E18459,Programme!F18459,Programme!G18459,Programme!H18459,Programme!I18459,Programme!J18459)</f>
        <v>&lt;valeur&gt;31/12/2015&lt;/valeur&gt;</v>
      </c>
    </row>
    <row r="18459" spans="1:1" x14ac:dyDescent="0.2">
      <c r="A18459" s="996" t="str">
        <f>CONCATENATE(Programme!D18460,Programme!E18460,Programme!F18460,Programme!G18460,Programme!H18460,Programme!I18460,Programme!J18460)</f>
        <v>&lt;/ExtraFieldValeur&gt;</v>
      </c>
    </row>
    <row r="18460" spans="1:1" x14ac:dyDescent="0.2">
      <c r="A18460" s="996" t="str">
        <f>CONCATENATE(Programme!D18461,Programme!E18461,Programme!F18461,Programme!G18461,Programme!H18461,Programme!I18461,Programme!J18461)</f>
        <v>&lt;/extraFieldvaleurs&gt;</v>
      </c>
    </row>
    <row r="18461" spans="1:1" x14ac:dyDescent="0.2">
      <c r="A18461" s="996" t="str">
        <f>CONCATENATE(Programme!D18462,Programme!E18462,Programme!F18462,Programme!G18462,Programme!H18462,Programme!I18462,Programme!J18462)</f>
        <v>&lt;/ValeursTableau&gt;</v>
      </c>
    </row>
    <row r="18462" spans="1:1" x14ac:dyDescent="0.2">
      <c r="A18462" s="996" t="str">
        <f>CONCATENATE(Programme!D18463,Programme!E18463,Programme!F18463,Programme!G18463,Programme!H18463,Programme!I18463,Programme!J18463)</f>
        <v>&lt;ValeursTableau&gt;</v>
      </c>
    </row>
    <row r="18463" spans="1:1" x14ac:dyDescent="0.2">
      <c r="A18463" s="996" t="str">
        <f>CONCATENATE(Programme!D18464,Programme!E18464,Programme!F18464,Programme!G18464,Programme!H18464,Programme!I18464,Programme!J18464)</f>
        <v>&lt;tableau&gt;&lt;id&gt;28&lt;/id&gt;&lt;/tableau&gt;</v>
      </c>
    </row>
    <row r="18464" spans="1:1" x14ac:dyDescent="0.2">
      <c r="A18464" s="996" t="str">
        <f>CONCATENATE(Programme!D18465,Programme!E18465,Programme!F18465,Programme!G18465,Programme!H18465,Programme!I18465,Programme!J18465)</f>
        <v>&lt;groupeValeurs&gt;</v>
      </c>
    </row>
    <row r="18465" spans="1:1" x14ac:dyDescent="0.2">
      <c r="A18465" s="996" t="str">
        <f>CONCATENATE(Programme!D18466,Programme!E18466,Programme!F18466,Programme!G18466,Programme!H18466,Programme!I18466,Programme!J18466)</f>
        <v>&lt;ValeurCellule&gt;</v>
      </c>
    </row>
    <row r="18466" spans="1:1" x14ac:dyDescent="0.2">
      <c r="A18466" s="996" t="str">
        <f>CONCATENATE(Programme!D18467,Programme!E18467,Programme!F18467,Programme!G18467,Programme!H18467,Programme!I18467,Programme!J18467)</f>
        <v>&lt;cellule&gt;&lt;codeEdi&gt;1267&lt;/codeEdi&gt;&lt;/cellule&gt;</v>
      </c>
    </row>
    <row r="18467" spans="1:1" x14ac:dyDescent="0.2">
      <c r="A18467" s="996" t="str">
        <f>CONCATENATE(Programme!D18468,Programme!E18468,Programme!F18468,Programme!G18468,Programme!H18468,Programme!I18468,Programme!J18468)</f>
        <v>&lt;valeur&gt;Construction&lt;/valeur&gt;</v>
      </c>
    </row>
    <row r="18468" spans="1:1" x14ac:dyDescent="0.2">
      <c r="A18468" s="996" t="str">
        <f>CONCATENATE(Programme!D18469,Programme!E18469,Programme!F18469,Programme!G18469,Programme!H18469,Programme!I18469,Programme!J18469)</f>
        <v>&lt;numeroLigne&gt;1&lt;/numeroLigne&gt;</v>
      </c>
    </row>
    <row r="18469" spans="1:1" x14ac:dyDescent="0.2">
      <c r="A18469" s="996" t="str">
        <f>CONCATENATE(Programme!D18470,Programme!E18470,Programme!F18470,Programme!G18470,Programme!H18470,Programme!I18470,Programme!J18470)</f>
        <v>&lt;/ValeurCellule&gt;</v>
      </c>
    </row>
    <row r="18470" spans="1:1" x14ac:dyDescent="0.2">
      <c r="A18470" s="996" t="str">
        <f>CONCATENATE(Programme!D18471,Programme!E18471,Programme!F18471,Programme!G18471,Programme!H18471,Programme!I18471,Programme!J18471)</f>
        <v>&lt;ValeurCellule&gt;</v>
      </c>
    </row>
    <row r="18471" spans="1:1" x14ac:dyDescent="0.2">
      <c r="A18471" s="996" t="str">
        <f>CONCATENATE(Programme!D18472,Programme!E18472,Programme!F18472,Programme!G18472,Programme!H18472,Programme!I18472,Programme!J18472)</f>
        <v>&lt;cellule&gt;&lt;codeEdi&gt;1268&lt;/codeEdi&gt;&lt;/cellule&gt;</v>
      </c>
    </row>
    <row r="18472" spans="1:1" x14ac:dyDescent="0.2">
      <c r="A18472" s="996" t="str">
        <f>CONCATENATE(Programme!D18473,Programme!E18473,Programme!F18473,Programme!G18473,Programme!H18473,Programme!I18473,Programme!J18473)</f>
        <v>&lt;valeur&gt;casablanca&lt;/valeur&gt;</v>
      </c>
    </row>
    <row r="18473" spans="1:1" x14ac:dyDescent="0.2">
      <c r="A18473" s="996" t="str">
        <f>CONCATENATE(Programme!D18474,Programme!E18474,Programme!F18474,Programme!G18474,Programme!H18474,Programme!I18474,Programme!J18474)</f>
        <v>&lt;numeroLigne&gt;1&lt;/numeroLigne&gt;</v>
      </c>
    </row>
    <row r="18474" spans="1:1" x14ac:dyDescent="0.2">
      <c r="A18474" s="996" t="str">
        <f>CONCATENATE(Programme!D18475,Programme!E18475,Programme!F18475,Programme!G18475,Programme!H18475,Programme!I18475,Programme!J18475)</f>
        <v>&lt;/ValeurCellule&gt;</v>
      </c>
    </row>
    <row r="18475" spans="1:1" x14ac:dyDescent="0.2">
      <c r="A18475" s="996" t="str">
        <f>CONCATENATE(Programme!D18476,Programme!E18476,Programme!F18476,Programme!G18476,Programme!H18476,Programme!I18476,Programme!J18476)</f>
        <v>&lt;ValeurCellule&gt;</v>
      </c>
    </row>
    <row r="18476" spans="1:1" x14ac:dyDescent="0.2">
      <c r="A18476" s="996" t="str">
        <f>CONCATENATE(Programme!D18477,Programme!E18477,Programme!F18477,Programme!G18477,Programme!H18477,Programme!I18477,Programme!J18477)</f>
        <v>&lt;cellule&gt;&lt;codeEdi&gt;1269&lt;/codeEdi&gt;&lt;/cellule&gt;</v>
      </c>
    </row>
    <row r="18477" spans="1:1" x14ac:dyDescent="0.2">
      <c r="A18477" s="996" t="str">
        <f>CONCATENATE(Programme!D18478,Programme!E18478,Programme!F18478,Programme!G18478,Programme!H18478,Programme!I18478,Programme!J18478)</f>
        <v>&lt;valeur&gt;casablanca&lt;/valeur&gt;</v>
      </c>
    </row>
    <row r="18478" spans="1:1" x14ac:dyDescent="0.2">
      <c r="A18478" s="996" t="str">
        <f>CONCATENATE(Programme!D18479,Programme!E18479,Programme!F18479,Programme!G18479,Programme!H18479,Programme!I18479,Programme!J18479)</f>
        <v>&lt;numeroLigne&gt;1&lt;/numeroLigne&gt;</v>
      </c>
    </row>
    <row r="18479" spans="1:1" x14ac:dyDescent="0.2">
      <c r="A18479" s="996" t="str">
        <f>CONCATENATE(Programme!D18480,Programme!E18480,Programme!F18480,Programme!G18480,Programme!H18480,Programme!I18480,Programme!J18480)</f>
        <v>&lt;/ValeurCellule&gt;</v>
      </c>
    </row>
    <row r="18480" spans="1:1" x14ac:dyDescent="0.2">
      <c r="A18480" s="996" t="str">
        <f>CONCATENATE(Programme!D18481,Programme!E18481,Programme!F18481,Programme!G18481,Programme!H18481,Programme!I18481,Programme!J18481)</f>
        <v>&lt;ValeurCellule&gt;</v>
      </c>
    </row>
    <row r="18481" spans="1:1" x14ac:dyDescent="0.2">
      <c r="A18481" s="996" t="str">
        <f>CONCATENATE(Programme!D18482,Programme!E18482,Programme!F18482,Programme!G18482,Programme!H18482,Programme!I18482,Programme!J18482)</f>
        <v>&lt;cellule&gt;&lt;codeEdi&gt;1270&lt;/codeEdi&gt;&lt;/cellule&gt;</v>
      </c>
    </row>
    <row r="18482" spans="1:1" x14ac:dyDescent="0.2">
      <c r="A18482" s="996" t="str">
        <f>CONCATENATE(Programme!D18483,Programme!E18483,Programme!F18483,Programme!G18483,Programme!H18483,Programme!I18483,Programme!J18483)</f>
        <v>&lt;valeur&gt;&lt;/valeur&gt;</v>
      </c>
    </row>
    <row r="18483" spans="1:1" x14ac:dyDescent="0.2">
      <c r="A18483" s="996" t="str">
        <f>CONCATENATE(Programme!D18484,Programme!E18484,Programme!F18484,Programme!G18484,Programme!H18484,Programme!I18484,Programme!J18484)</f>
        <v>&lt;numeroLigne&gt;1&lt;/numeroLigne&gt;</v>
      </c>
    </row>
    <row r="18484" spans="1:1" x14ac:dyDescent="0.2">
      <c r="A18484" s="996" t="str">
        <f>CONCATENATE(Programme!D18485,Programme!E18485,Programme!F18485,Programme!G18485,Programme!H18485,Programme!I18485,Programme!J18485)</f>
        <v>&lt;/ValeurCellule&gt;</v>
      </c>
    </row>
    <row r="18485" spans="1:1" x14ac:dyDescent="0.2">
      <c r="A18485" s="996" t="str">
        <f>CONCATENATE(Programme!D18486,Programme!E18486,Programme!F18486,Programme!G18486,Programme!H18486,Programme!I18486,Programme!J18486)</f>
        <v>&lt;ValeurCellule&gt;</v>
      </c>
    </row>
    <row r="18486" spans="1:1" x14ac:dyDescent="0.2">
      <c r="A18486" s="996" t="str">
        <f>CONCATENATE(Programme!D18487,Programme!E18487,Programme!F18487,Programme!G18487,Programme!H18487,Programme!I18487,Programme!J18487)</f>
        <v>&lt;cellule&gt;&lt;codeEdi&gt;1271&lt;/codeEdi&gt;&lt;/cellule&gt;</v>
      </c>
    </row>
    <row r="18487" spans="1:1" x14ac:dyDescent="0.2">
      <c r="A18487" s="996" t="str">
        <f>CONCATENATE(Programme!D18488,Programme!E18488,Programme!F18488,Programme!G18488,Programme!H18488,Programme!I18488,Programme!J18488)</f>
        <v>&lt;valeur&gt;132000&lt;/valeur&gt;</v>
      </c>
    </row>
    <row r="18488" spans="1:1" x14ac:dyDescent="0.2">
      <c r="A18488" s="996" t="str">
        <f>CONCATENATE(Programme!D18489,Programme!E18489,Programme!F18489,Programme!G18489,Programme!H18489,Programme!I18489,Programme!J18489)</f>
        <v>&lt;numeroLigne&gt;1&lt;/numeroLigne&gt;</v>
      </c>
    </row>
    <row r="18489" spans="1:1" x14ac:dyDescent="0.2">
      <c r="A18489" s="996" t="str">
        <f>CONCATENATE(Programme!D18490,Programme!E18490,Programme!F18490,Programme!G18490,Programme!H18490,Programme!I18490,Programme!J18490)</f>
        <v>&lt;/ValeurCellule&gt;</v>
      </c>
    </row>
    <row r="18490" spans="1:1" x14ac:dyDescent="0.2">
      <c r="A18490" s="996" t="str">
        <f>CONCATENATE(Programme!D18491,Programme!E18491,Programme!F18491,Programme!G18491,Programme!H18491,Programme!I18491,Programme!J18491)</f>
        <v>&lt;ValeurCellule&gt;</v>
      </c>
    </row>
    <row r="18491" spans="1:1" x14ac:dyDescent="0.2">
      <c r="A18491" s="996" t="str">
        <f>CONCATENATE(Programme!D18492,Programme!E18492,Programme!F18492,Programme!G18492,Programme!H18492,Programme!I18492,Programme!J18492)</f>
        <v>&lt;cellule&gt;&lt;codeEdi&gt;1272&lt;/codeEdi&gt;&lt;/cellule&gt;</v>
      </c>
    </row>
    <row r="18492" spans="1:1" x14ac:dyDescent="0.2">
      <c r="A18492" s="996" t="str">
        <f>CONCATENATE(Programme!D18493,Programme!E18493,Programme!F18493,Programme!G18493,Programme!H18493,Programme!I18493,Programme!J18493)</f>
        <v>&lt;valeur&gt;132000&lt;/valeur&gt;</v>
      </c>
    </row>
    <row r="18493" spans="1:1" x14ac:dyDescent="0.2">
      <c r="A18493" s="996" t="str">
        <f>CONCATENATE(Programme!D18494,Programme!E18494,Programme!F18494,Programme!G18494,Programme!H18494,Programme!I18494,Programme!J18494)</f>
        <v>&lt;numeroLigne&gt;1&lt;/numeroLigne&gt;</v>
      </c>
    </row>
    <row r="18494" spans="1:1" x14ac:dyDescent="0.2">
      <c r="A18494" s="996" t="str">
        <f>CONCATENATE(Programme!D18495,Programme!E18495,Programme!F18495,Programme!G18495,Programme!H18495,Programme!I18495,Programme!J18495)</f>
        <v>&lt;/ValeurCellule&gt;</v>
      </c>
    </row>
    <row r="18495" spans="1:1" x14ac:dyDescent="0.2">
      <c r="A18495" s="996" t="str">
        <f>CONCATENATE(Programme!D18496,Programme!E18496,Programme!F18496,Programme!G18496,Programme!H18496,Programme!I18496,Programme!J18496)</f>
        <v>&lt;ValeurCellule&gt;</v>
      </c>
    </row>
    <row r="18496" spans="1:1" x14ac:dyDescent="0.2">
      <c r="A18496" s="996" t="str">
        <f>CONCATENATE(Programme!D18497,Programme!E18497,Programme!F18497,Programme!G18497,Programme!H18497,Programme!I18497,Programme!J18497)</f>
        <v>&lt;cellule&gt;&lt;codeEdi&gt;1273&lt;/codeEdi&gt;&lt;/cellule&gt;</v>
      </c>
    </row>
    <row r="18497" spans="1:1" x14ac:dyDescent="0.2">
      <c r="A18497" s="996" t="str">
        <f>CONCATENATE(Programme!D18498,Programme!E18498,Programme!F18498,Programme!G18498,Programme!H18498,Programme!I18498,Programme!J18498)</f>
        <v>&lt;valeur&gt;&lt;/valeur&gt;</v>
      </c>
    </row>
    <row r="18498" spans="1:1" x14ac:dyDescent="0.2">
      <c r="A18498" s="996" t="str">
        <f>CONCATENATE(Programme!D18499,Programme!E18499,Programme!F18499,Programme!G18499,Programme!H18499,Programme!I18499,Programme!J18499)</f>
        <v>&lt;numeroLigne&gt;1&lt;/numeroLigne&gt;</v>
      </c>
    </row>
    <row r="18499" spans="1:1" x14ac:dyDescent="0.2">
      <c r="A18499" s="996" t="str">
        <f>CONCATENATE(Programme!D18500,Programme!E18500,Programme!F18500,Programme!G18500,Programme!H18500,Programme!I18500,Programme!J18500)</f>
        <v>&lt;/ValeurCellule&gt;</v>
      </c>
    </row>
    <row r="18500" spans="1:1" x14ac:dyDescent="0.2">
      <c r="A18500" s="996" t="str">
        <f>CONCATENATE(Programme!D18501,Programme!E18501,Programme!F18501,Programme!G18501,Programme!H18501,Programme!I18501,Programme!J18501)</f>
        <v>&lt;ValeurCellule&gt;</v>
      </c>
    </row>
    <row r="18501" spans="1:1" x14ac:dyDescent="0.2">
      <c r="A18501" s="996" t="str">
        <f>CONCATENATE(Programme!D18502,Programme!E18502,Programme!F18502,Programme!G18502,Programme!H18502,Programme!I18502,Programme!J18502)</f>
        <v>&lt;cellule&gt;&lt;codeEdi&gt;1274&lt;/codeEdi&gt;&lt;/cellule&gt;</v>
      </c>
    </row>
    <row r="18502" spans="1:1" x14ac:dyDescent="0.2">
      <c r="A18502" s="996" t="str">
        <f>CONCATENATE(Programme!D18503,Programme!E18503,Programme!F18503,Programme!G18503,Programme!H18503,Programme!I18503,Programme!J18503)</f>
        <v>&lt;valeur&gt;&lt;/valeur&gt;</v>
      </c>
    </row>
    <row r="18503" spans="1:1" x14ac:dyDescent="0.2">
      <c r="A18503" s="996" t="str">
        <f>CONCATENATE(Programme!D18504,Programme!E18504,Programme!F18504,Programme!G18504,Programme!H18504,Programme!I18504,Programme!J18504)</f>
        <v>&lt;numeroLigne&gt;1&lt;/numeroLigne&gt;</v>
      </c>
    </row>
    <row r="18504" spans="1:1" x14ac:dyDescent="0.2">
      <c r="A18504" s="996" t="str">
        <f>CONCATENATE(Programme!D18505,Programme!E18505,Programme!F18505,Programme!G18505,Programme!H18505,Programme!I18505,Programme!J18505)</f>
        <v>&lt;/ValeurCellule&gt;</v>
      </c>
    </row>
    <row r="18505" spans="1:1" x14ac:dyDescent="0.2">
      <c r="A18505" s="996" t="str">
        <f>CONCATENATE(Programme!D18506,Programme!E18506,Programme!F18506,Programme!G18506,Programme!H18506,Programme!I18506,Programme!J18506)</f>
        <v>&lt;ValeurCellule&gt;</v>
      </c>
    </row>
    <row r="18506" spans="1:1" x14ac:dyDescent="0.2">
      <c r="A18506" s="996" t="str">
        <f>CONCATENATE(Programme!D18507,Programme!E18507,Programme!F18507,Programme!G18507,Programme!H18507,Programme!I18507,Programme!J18507)</f>
        <v>&lt;cellule&gt;&lt;codeEdi&gt;1267&lt;/codeEdi&gt;&lt;/cellule&gt;</v>
      </c>
    </row>
    <row r="18507" spans="1:1" x14ac:dyDescent="0.2">
      <c r="A18507" s="996" t="str">
        <f>CONCATENATE(Programme!D18508,Programme!E18508,Programme!F18508,Programme!G18508,Programme!H18508,Programme!I18508,Programme!J18508)</f>
        <v>&lt;valeur&gt;&lt;/valeur&gt;</v>
      </c>
    </row>
    <row r="18508" spans="1:1" x14ac:dyDescent="0.2">
      <c r="A18508" s="996" t="str">
        <f>CONCATENATE(Programme!D18509,Programme!E18509,Programme!F18509,Programme!G18509,Programme!H18509,Programme!I18509,Programme!J18509)</f>
        <v>&lt;numeroLigne&gt;2&lt;/numeroLigne&gt;</v>
      </c>
    </row>
    <row r="18509" spans="1:1" x14ac:dyDescent="0.2">
      <c r="A18509" s="996" t="str">
        <f>CONCATENATE(Programme!D18510,Programme!E18510,Programme!F18510,Programme!G18510,Programme!H18510,Programme!I18510,Programme!J18510)</f>
        <v>&lt;/ValeurCellule&gt;</v>
      </c>
    </row>
    <row r="18510" spans="1:1" x14ac:dyDescent="0.2">
      <c r="A18510" s="996" t="str">
        <f>CONCATENATE(Programme!D18511,Programme!E18511,Programme!F18511,Programme!G18511,Programme!H18511,Programme!I18511,Programme!J18511)</f>
        <v>&lt;ValeurCellule&gt;</v>
      </c>
    </row>
    <row r="18511" spans="1:1" x14ac:dyDescent="0.2">
      <c r="A18511" s="996" t="str">
        <f>CONCATENATE(Programme!D18512,Programme!E18512,Programme!F18512,Programme!G18512,Programme!H18512,Programme!I18512,Programme!J18512)</f>
        <v>&lt;cellule&gt;&lt;codeEdi&gt;1268&lt;/codeEdi&gt;&lt;/cellule&gt;</v>
      </c>
    </row>
    <row r="18512" spans="1:1" x14ac:dyDescent="0.2">
      <c r="A18512" s="996" t="str">
        <f>CONCATENATE(Programme!D18513,Programme!E18513,Programme!F18513,Programme!G18513,Programme!H18513,Programme!I18513,Programme!J18513)</f>
        <v>&lt;valeur&gt;&lt;/valeur&gt;</v>
      </c>
    </row>
    <row r="18513" spans="1:1" x14ac:dyDescent="0.2">
      <c r="A18513" s="996" t="str">
        <f>CONCATENATE(Programme!D18514,Programme!E18514,Programme!F18514,Programme!G18514,Programme!H18514,Programme!I18514,Programme!J18514)</f>
        <v>&lt;numeroLigne&gt;2&lt;/numeroLigne&gt;</v>
      </c>
    </row>
    <row r="18514" spans="1:1" x14ac:dyDescent="0.2">
      <c r="A18514" s="996" t="str">
        <f>CONCATENATE(Programme!D18515,Programme!E18515,Programme!F18515,Programme!G18515,Programme!H18515,Programme!I18515,Programme!J18515)</f>
        <v>&lt;/ValeurCellule&gt;</v>
      </c>
    </row>
    <row r="18515" spans="1:1" x14ac:dyDescent="0.2">
      <c r="A18515" s="996" t="str">
        <f>CONCATENATE(Programme!D18516,Programme!E18516,Programme!F18516,Programme!G18516,Programme!H18516,Programme!I18516,Programme!J18516)</f>
        <v>&lt;ValeurCellule&gt;</v>
      </c>
    </row>
    <row r="18516" spans="1:1" x14ac:dyDescent="0.2">
      <c r="A18516" s="996" t="str">
        <f>CONCATENATE(Programme!D18517,Programme!E18517,Programme!F18517,Programme!G18517,Programme!H18517,Programme!I18517,Programme!J18517)</f>
        <v>&lt;cellule&gt;&lt;codeEdi&gt;1269&lt;/codeEdi&gt;&lt;/cellule&gt;</v>
      </c>
    </row>
    <row r="18517" spans="1:1" x14ac:dyDescent="0.2">
      <c r="A18517" s="996" t="str">
        <f>CONCATENATE(Programme!D18518,Programme!E18518,Programme!F18518,Programme!G18518,Programme!H18518,Programme!I18518,Programme!J18518)</f>
        <v>&lt;valeur&gt;&lt;/valeur&gt;</v>
      </c>
    </row>
    <row r="18518" spans="1:1" x14ac:dyDescent="0.2">
      <c r="A18518" s="996" t="str">
        <f>CONCATENATE(Programme!D18519,Programme!E18519,Programme!F18519,Programme!G18519,Programme!H18519,Programme!I18519,Programme!J18519)</f>
        <v>&lt;numeroLigne&gt;2&lt;/numeroLigne&gt;</v>
      </c>
    </row>
    <row r="18519" spans="1:1" x14ac:dyDescent="0.2">
      <c r="A18519" s="996" t="str">
        <f>CONCATENATE(Programme!D18520,Programme!E18520,Programme!F18520,Programme!G18520,Programme!H18520,Programme!I18520,Programme!J18520)</f>
        <v>&lt;/ValeurCellule&gt;</v>
      </c>
    </row>
    <row r="18520" spans="1:1" x14ac:dyDescent="0.2">
      <c r="A18520" s="996" t="str">
        <f>CONCATENATE(Programme!D18521,Programme!E18521,Programme!F18521,Programme!G18521,Programme!H18521,Programme!I18521,Programme!J18521)</f>
        <v>&lt;ValeurCellule&gt;</v>
      </c>
    </row>
    <row r="18521" spans="1:1" x14ac:dyDescent="0.2">
      <c r="A18521" s="996" t="str">
        <f>CONCATENATE(Programme!D18522,Programme!E18522,Programme!F18522,Programme!G18522,Programme!H18522,Programme!I18522,Programme!J18522)</f>
        <v>&lt;cellule&gt;&lt;codeEdi&gt;1270&lt;/codeEdi&gt;&lt;/cellule&gt;</v>
      </c>
    </row>
    <row r="18522" spans="1:1" x14ac:dyDescent="0.2">
      <c r="A18522" s="996" t="str">
        <f>CONCATENATE(Programme!D18523,Programme!E18523,Programme!F18523,Programme!G18523,Programme!H18523,Programme!I18523,Programme!J18523)</f>
        <v>&lt;valeur&gt;&lt;/valeur&gt;</v>
      </c>
    </row>
    <row r="18523" spans="1:1" x14ac:dyDescent="0.2">
      <c r="A18523" s="996" t="str">
        <f>CONCATENATE(Programme!D18524,Programme!E18524,Programme!F18524,Programme!G18524,Programme!H18524,Programme!I18524,Programme!J18524)</f>
        <v>&lt;numeroLigne&gt;2&lt;/numeroLigne&gt;</v>
      </c>
    </row>
    <row r="18524" spans="1:1" x14ac:dyDescent="0.2">
      <c r="A18524" s="996" t="str">
        <f>CONCATENATE(Programme!D18525,Programme!E18525,Programme!F18525,Programme!G18525,Programme!H18525,Programme!I18525,Programme!J18525)</f>
        <v>&lt;/ValeurCellule&gt;</v>
      </c>
    </row>
    <row r="18525" spans="1:1" x14ac:dyDescent="0.2">
      <c r="A18525" s="996" t="str">
        <f>CONCATENATE(Programme!D18526,Programme!E18526,Programme!F18526,Programme!G18526,Programme!H18526,Programme!I18526,Programme!J18526)</f>
        <v>&lt;ValeurCellule&gt;</v>
      </c>
    </row>
    <row r="18526" spans="1:1" x14ac:dyDescent="0.2">
      <c r="A18526" s="996" t="str">
        <f>CONCATENATE(Programme!D18527,Programme!E18527,Programme!F18527,Programme!G18527,Programme!H18527,Programme!I18527,Programme!J18527)</f>
        <v>&lt;cellule&gt;&lt;codeEdi&gt;1271&lt;/codeEdi&gt;&lt;/cellule&gt;</v>
      </c>
    </row>
    <row r="18527" spans="1:1" x14ac:dyDescent="0.2">
      <c r="A18527" s="996" t="str">
        <f>CONCATENATE(Programme!D18528,Programme!E18528,Programme!F18528,Programme!G18528,Programme!H18528,Programme!I18528,Programme!J18528)</f>
        <v>&lt;valeur&gt;&lt;/valeur&gt;</v>
      </c>
    </row>
    <row r="18528" spans="1:1" x14ac:dyDescent="0.2">
      <c r="A18528" s="996" t="str">
        <f>CONCATENATE(Programme!D18529,Programme!E18529,Programme!F18529,Programme!G18529,Programme!H18529,Programme!I18529,Programme!J18529)</f>
        <v>&lt;numeroLigne&gt;2&lt;/numeroLigne&gt;</v>
      </c>
    </row>
    <row r="18529" spans="1:1" x14ac:dyDescent="0.2">
      <c r="A18529" s="996" t="str">
        <f>CONCATENATE(Programme!D18530,Programme!E18530,Programme!F18530,Programme!G18530,Programme!H18530,Programme!I18530,Programme!J18530)</f>
        <v>&lt;/ValeurCellule&gt;</v>
      </c>
    </row>
    <row r="18530" spans="1:1" x14ac:dyDescent="0.2">
      <c r="A18530" s="996" t="str">
        <f>CONCATENATE(Programme!D18531,Programme!E18531,Programme!F18531,Programme!G18531,Programme!H18531,Programme!I18531,Programme!J18531)</f>
        <v>&lt;ValeurCellule&gt;</v>
      </c>
    </row>
    <row r="18531" spans="1:1" x14ac:dyDescent="0.2">
      <c r="A18531" s="996" t="str">
        <f>CONCATENATE(Programme!D18532,Programme!E18532,Programme!F18532,Programme!G18532,Programme!H18532,Programme!I18532,Programme!J18532)</f>
        <v>&lt;cellule&gt;&lt;codeEdi&gt;1272&lt;/codeEdi&gt;&lt;/cellule&gt;</v>
      </c>
    </row>
    <row r="18532" spans="1:1" x14ac:dyDescent="0.2">
      <c r="A18532" s="996" t="str">
        <f>CONCATENATE(Programme!D18533,Programme!E18533,Programme!F18533,Programme!G18533,Programme!H18533,Programme!I18533,Programme!J18533)</f>
        <v>&lt;valeur&gt;&lt;/valeur&gt;</v>
      </c>
    </row>
    <row r="18533" spans="1:1" x14ac:dyDescent="0.2">
      <c r="A18533" s="996" t="str">
        <f>CONCATENATE(Programme!D18534,Programme!E18534,Programme!F18534,Programme!G18534,Programme!H18534,Programme!I18534,Programme!J18534)</f>
        <v>&lt;numeroLigne&gt;2&lt;/numeroLigne&gt;</v>
      </c>
    </row>
    <row r="18534" spans="1:1" x14ac:dyDescent="0.2">
      <c r="A18534" s="996" t="str">
        <f>CONCATENATE(Programme!D18535,Programme!E18535,Programme!F18535,Programme!G18535,Programme!H18535,Programme!I18535,Programme!J18535)</f>
        <v>&lt;/ValeurCellule&gt;</v>
      </c>
    </row>
    <row r="18535" spans="1:1" x14ac:dyDescent="0.2">
      <c r="A18535" s="996" t="str">
        <f>CONCATENATE(Programme!D18536,Programme!E18536,Programme!F18536,Programme!G18536,Programme!H18536,Programme!I18536,Programme!J18536)</f>
        <v>&lt;ValeurCellule&gt;</v>
      </c>
    </row>
    <row r="18536" spans="1:1" x14ac:dyDescent="0.2">
      <c r="A18536" s="996" t="str">
        <f>CONCATENATE(Programme!D18537,Programme!E18537,Programme!F18537,Programme!G18537,Programme!H18537,Programme!I18537,Programme!J18537)</f>
        <v>&lt;cellule&gt;&lt;codeEdi&gt;1273&lt;/codeEdi&gt;&lt;/cellule&gt;</v>
      </c>
    </row>
    <row r="18537" spans="1:1" x14ac:dyDescent="0.2">
      <c r="A18537" s="996" t="str">
        <f>CONCATENATE(Programme!D18538,Programme!E18538,Programme!F18538,Programme!G18538,Programme!H18538,Programme!I18538,Programme!J18538)</f>
        <v>&lt;valeur&gt;&lt;/valeur&gt;</v>
      </c>
    </row>
    <row r="18538" spans="1:1" x14ac:dyDescent="0.2">
      <c r="A18538" s="996" t="str">
        <f>CONCATENATE(Programme!D18539,Programme!E18539,Programme!F18539,Programme!G18539,Programme!H18539,Programme!I18539,Programme!J18539)</f>
        <v>&lt;numeroLigne&gt;2&lt;/numeroLigne&gt;</v>
      </c>
    </row>
    <row r="18539" spans="1:1" x14ac:dyDescent="0.2">
      <c r="A18539" s="996" t="str">
        <f>CONCATENATE(Programme!D18540,Programme!E18540,Programme!F18540,Programme!G18540,Programme!H18540,Programme!I18540,Programme!J18540)</f>
        <v>&lt;/ValeurCellule&gt;</v>
      </c>
    </row>
    <row r="18540" spans="1:1" x14ac:dyDescent="0.2">
      <c r="A18540" s="996" t="str">
        <f>CONCATENATE(Programme!D18541,Programme!E18541,Programme!F18541,Programme!G18541,Programme!H18541,Programme!I18541,Programme!J18541)</f>
        <v>&lt;ValeurCellule&gt;</v>
      </c>
    </row>
    <row r="18541" spans="1:1" x14ac:dyDescent="0.2">
      <c r="A18541" s="996" t="str">
        <f>CONCATENATE(Programme!D18542,Programme!E18542,Programme!F18542,Programme!G18542,Programme!H18542,Programme!I18542,Programme!J18542)</f>
        <v>&lt;cellule&gt;&lt;codeEdi&gt;1274&lt;/codeEdi&gt;&lt;/cellule&gt;</v>
      </c>
    </row>
    <row r="18542" spans="1:1" x14ac:dyDescent="0.2">
      <c r="A18542" s="996" t="str">
        <f>CONCATENATE(Programme!D18543,Programme!E18543,Programme!F18543,Programme!G18543,Programme!H18543,Programme!I18543,Programme!J18543)</f>
        <v>&lt;valeur&gt;&lt;/valeur&gt;</v>
      </c>
    </row>
    <row r="18543" spans="1:1" x14ac:dyDescent="0.2">
      <c r="A18543" s="996" t="str">
        <f>CONCATENATE(Programme!D18544,Programme!E18544,Programme!F18544,Programme!G18544,Programme!H18544,Programme!I18544,Programme!J18544)</f>
        <v>&lt;numeroLigne&gt;2&lt;/numeroLigne&gt;</v>
      </c>
    </row>
    <row r="18544" spans="1:1" x14ac:dyDescent="0.2">
      <c r="A18544" s="996" t="str">
        <f>CONCATENATE(Programme!D18545,Programme!E18545,Programme!F18545,Programme!G18545,Programme!H18545,Programme!I18545,Programme!J18545)</f>
        <v>&lt;/ValeurCellule&gt;</v>
      </c>
    </row>
    <row r="18545" spans="1:1" x14ac:dyDescent="0.2">
      <c r="A18545" s="996" t="str">
        <f>CONCATENATE(Programme!D18546,Programme!E18546,Programme!F18546,Programme!G18546,Programme!H18546,Programme!I18546,Programme!J18546)</f>
        <v>&lt;ValeurCellule&gt;</v>
      </c>
    </row>
    <row r="18546" spans="1:1" x14ac:dyDescent="0.2">
      <c r="A18546" s="996" t="str">
        <f>CONCATENATE(Programme!D18547,Programme!E18547,Programme!F18547,Programme!G18547,Programme!H18547,Programme!I18547,Programme!J18547)</f>
        <v>&lt;cellule&gt;&lt;codeEdi&gt;1267&lt;/codeEdi&gt;&lt;/cellule&gt;</v>
      </c>
    </row>
    <row r="18547" spans="1:1" x14ac:dyDescent="0.2">
      <c r="A18547" s="996" t="str">
        <f>CONCATENATE(Programme!D18548,Programme!E18548,Programme!F18548,Programme!G18548,Programme!H18548,Programme!I18548,Programme!J18548)</f>
        <v>&lt;valeur&gt;&lt;/valeur&gt;</v>
      </c>
    </row>
    <row r="18548" spans="1:1" x14ac:dyDescent="0.2">
      <c r="A18548" s="996" t="str">
        <f>CONCATENATE(Programme!D18549,Programme!E18549,Programme!F18549,Programme!G18549,Programme!H18549,Programme!I18549,Programme!J18549)</f>
        <v>&lt;numeroLigne&gt;3&lt;/numeroLigne&gt;</v>
      </c>
    </row>
    <row r="18549" spans="1:1" x14ac:dyDescent="0.2">
      <c r="A18549" s="996" t="str">
        <f>CONCATENATE(Programme!D18550,Programme!E18550,Programme!F18550,Programme!G18550,Programme!H18550,Programme!I18550,Programme!J18550)</f>
        <v>&lt;/ValeurCellule&gt;</v>
      </c>
    </row>
    <row r="18550" spans="1:1" x14ac:dyDescent="0.2">
      <c r="A18550" s="996" t="str">
        <f>CONCATENATE(Programme!D18551,Programme!E18551,Programme!F18551,Programme!G18551,Programme!H18551,Programme!I18551,Programme!J18551)</f>
        <v>&lt;ValeurCellule&gt;</v>
      </c>
    </row>
    <row r="18551" spans="1:1" x14ac:dyDescent="0.2">
      <c r="A18551" s="996" t="str">
        <f>CONCATENATE(Programme!D18552,Programme!E18552,Programme!F18552,Programme!G18552,Programme!H18552,Programme!I18552,Programme!J18552)</f>
        <v>&lt;cellule&gt;&lt;codeEdi&gt;1268&lt;/codeEdi&gt;&lt;/cellule&gt;</v>
      </c>
    </row>
    <row r="18552" spans="1:1" x14ac:dyDescent="0.2">
      <c r="A18552" s="996" t="str">
        <f>CONCATENATE(Programme!D18553,Programme!E18553,Programme!F18553,Programme!G18553,Programme!H18553,Programme!I18553,Programme!J18553)</f>
        <v>&lt;valeur&gt;&lt;/valeur&gt;</v>
      </c>
    </row>
    <row r="18553" spans="1:1" x14ac:dyDescent="0.2">
      <c r="A18553" s="996" t="str">
        <f>CONCATENATE(Programme!D18554,Programme!E18554,Programme!F18554,Programme!G18554,Programme!H18554,Programme!I18554,Programme!J18554)</f>
        <v>&lt;numeroLigne&gt;3&lt;/numeroLigne&gt;</v>
      </c>
    </row>
    <row r="18554" spans="1:1" x14ac:dyDescent="0.2">
      <c r="A18554" s="996" t="str">
        <f>CONCATENATE(Programme!D18555,Programme!E18555,Programme!F18555,Programme!G18555,Programme!H18555,Programme!I18555,Programme!J18555)</f>
        <v>&lt;/ValeurCellule&gt;</v>
      </c>
    </row>
    <row r="18555" spans="1:1" x14ac:dyDescent="0.2">
      <c r="A18555" s="996" t="str">
        <f>CONCATENATE(Programme!D18556,Programme!E18556,Programme!F18556,Programme!G18556,Programme!H18556,Programme!I18556,Programme!J18556)</f>
        <v>&lt;ValeurCellule&gt;</v>
      </c>
    </row>
    <row r="18556" spans="1:1" x14ac:dyDescent="0.2">
      <c r="A18556" s="996" t="str">
        <f>CONCATENATE(Programme!D18557,Programme!E18557,Programme!F18557,Programme!G18557,Programme!H18557,Programme!I18557,Programme!J18557)</f>
        <v>&lt;cellule&gt;&lt;codeEdi&gt;1269&lt;/codeEdi&gt;&lt;/cellule&gt;</v>
      </c>
    </row>
    <row r="18557" spans="1:1" x14ac:dyDescent="0.2">
      <c r="A18557" s="996" t="str">
        <f>CONCATENATE(Programme!D18558,Programme!E18558,Programme!F18558,Programme!G18558,Programme!H18558,Programme!I18558,Programme!J18558)</f>
        <v>&lt;valeur&gt;&lt;/valeur&gt;</v>
      </c>
    </row>
    <row r="18558" spans="1:1" x14ac:dyDescent="0.2">
      <c r="A18558" s="996" t="str">
        <f>CONCATENATE(Programme!D18559,Programme!E18559,Programme!F18559,Programme!G18559,Programme!H18559,Programme!I18559,Programme!J18559)</f>
        <v>&lt;numeroLigne&gt;3&lt;/numeroLigne&gt;</v>
      </c>
    </row>
    <row r="18559" spans="1:1" x14ac:dyDescent="0.2">
      <c r="A18559" s="996" t="str">
        <f>CONCATENATE(Programme!D18560,Programme!E18560,Programme!F18560,Programme!G18560,Programme!H18560,Programme!I18560,Programme!J18560)</f>
        <v>&lt;/ValeurCellule&gt;</v>
      </c>
    </row>
    <row r="18560" spans="1:1" x14ac:dyDescent="0.2">
      <c r="A18560" s="996" t="str">
        <f>CONCATENATE(Programme!D18561,Programme!E18561,Programme!F18561,Programme!G18561,Programme!H18561,Programme!I18561,Programme!J18561)</f>
        <v>&lt;ValeurCellule&gt;</v>
      </c>
    </row>
    <row r="18561" spans="1:1" x14ac:dyDescent="0.2">
      <c r="A18561" s="996" t="str">
        <f>CONCATENATE(Programme!D18562,Programme!E18562,Programme!F18562,Programme!G18562,Programme!H18562,Programme!I18562,Programme!J18562)</f>
        <v>&lt;cellule&gt;&lt;codeEdi&gt;1270&lt;/codeEdi&gt;&lt;/cellule&gt;</v>
      </c>
    </row>
    <row r="18562" spans="1:1" x14ac:dyDescent="0.2">
      <c r="A18562" s="996" t="str">
        <f>CONCATENATE(Programme!D18563,Programme!E18563,Programme!F18563,Programme!G18563,Programme!H18563,Programme!I18563,Programme!J18563)</f>
        <v>&lt;valeur&gt;&lt;/valeur&gt;</v>
      </c>
    </row>
    <row r="18563" spans="1:1" x14ac:dyDescent="0.2">
      <c r="A18563" s="996" t="str">
        <f>CONCATENATE(Programme!D18564,Programme!E18564,Programme!F18564,Programme!G18564,Programme!H18564,Programme!I18564,Programme!J18564)</f>
        <v>&lt;numeroLigne&gt;3&lt;/numeroLigne&gt;</v>
      </c>
    </row>
    <row r="18564" spans="1:1" x14ac:dyDescent="0.2">
      <c r="A18564" s="996" t="str">
        <f>CONCATENATE(Programme!D18565,Programme!E18565,Programme!F18565,Programme!G18565,Programme!H18565,Programme!I18565,Programme!J18565)</f>
        <v>&lt;/ValeurCellule&gt;</v>
      </c>
    </row>
    <row r="18565" spans="1:1" x14ac:dyDescent="0.2">
      <c r="A18565" s="996" t="str">
        <f>CONCATENATE(Programme!D18566,Programme!E18566,Programme!F18566,Programme!G18566,Programme!H18566,Programme!I18566,Programme!J18566)</f>
        <v>&lt;ValeurCellule&gt;</v>
      </c>
    </row>
    <row r="18566" spans="1:1" x14ac:dyDescent="0.2">
      <c r="A18566" s="996" t="str">
        <f>CONCATENATE(Programme!D18567,Programme!E18567,Programme!F18567,Programme!G18567,Programme!H18567,Programme!I18567,Programme!J18567)</f>
        <v>&lt;cellule&gt;&lt;codeEdi&gt;1271&lt;/codeEdi&gt;&lt;/cellule&gt;</v>
      </c>
    </row>
    <row r="18567" spans="1:1" x14ac:dyDescent="0.2">
      <c r="A18567" s="996" t="str">
        <f>CONCATENATE(Programme!D18568,Programme!E18568,Programme!F18568,Programme!G18568,Programme!H18568,Programme!I18568,Programme!J18568)</f>
        <v>&lt;valeur&gt;&lt;/valeur&gt;</v>
      </c>
    </row>
    <row r="18568" spans="1:1" x14ac:dyDescent="0.2">
      <c r="A18568" s="996" t="str">
        <f>CONCATENATE(Programme!D18569,Programme!E18569,Programme!F18569,Programme!G18569,Programme!H18569,Programme!I18569,Programme!J18569)</f>
        <v>&lt;numeroLigne&gt;3&lt;/numeroLigne&gt;</v>
      </c>
    </row>
    <row r="18569" spans="1:1" x14ac:dyDescent="0.2">
      <c r="A18569" s="996" t="str">
        <f>CONCATENATE(Programme!D18570,Programme!E18570,Programme!F18570,Programme!G18570,Programme!H18570,Programme!I18570,Programme!J18570)</f>
        <v>&lt;/ValeurCellule&gt;</v>
      </c>
    </row>
    <row r="18570" spans="1:1" x14ac:dyDescent="0.2">
      <c r="A18570" s="996" t="str">
        <f>CONCATENATE(Programme!D18571,Programme!E18571,Programme!F18571,Programme!G18571,Programme!H18571,Programme!I18571,Programme!J18571)</f>
        <v>&lt;ValeurCellule&gt;</v>
      </c>
    </row>
    <row r="18571" spans="1:1" x14ac:dyDescent="0.2">
      <c r="A18571" s="996" t="str">
        <f>CONCATENATE(Programme!D18572,Programme!E18572,Programme!F18572,Programme!G18572,Programme!H18572,Programme!I18572,Programme!J18572)</f>
        <v>&lt;cellule&gt;&lt;codeEdi&gt;1272&lt;/codeEdi&gt;&lt;/cellule&gt;</v>
      </c>
    </row>
    <row r="18572" spans="1:1" x14ac:dyDescent="0.2">
      <c r="A18572" s="996" t="str">
        <f>CONCATENATE(Programme!D18573,Programme!E18573,Programme!F18573,Programme!G18573,Programme!H18573,Programme!I18573,Programme!J18573)</f>
        <v>&lt;valeur&gt;&lt;/valeur&gt;</v>
      </c>
    </row>
    <row r="18573" spans="1:1" x14ac:dyDescent="0.2">
      <c r="A18573" s="996" t="str">
        <f>CONCATENATE(Programme!D18574,Programme!E18574,Programme!F18574,Programme!G18574,Programme!H18574,Programme!I18574,Programme!J18574)</f>
        <v>&lt;numeroLigne&gt;3&lt;/numeroLigne&gt;</v>
      </c>
    </row>
    <row r="18574" spans="1:1" x14ac:dyDescent="0.2">
      <c r="A18574" s="996" t="str">
        <f>CONCATENATE(Programme!D18575,Programme!E18575,Programme!F18575,Programme!G18575,Programme!H18575,Programme!I18575,Programme!J18575)</f>
        <v>&lt;/ValeurCellule&gt;</v>
      </c>
    </row>
    <row r="18575" spans="1:1" x14ac:dyDescent="0.2">
      <c r="A18575" s="996" t="str">
        <f>CONCATENATE(Programme!D18576,Programme!E18576,Programme!F18576,Programme!G18576,Programme!H18576,Programme!I18576,Programme!J18576)</f>
        <v>&lt;ValeurCellule&gt;</v>
      </c>
    </row>
    <row r="18576" spans="1:1" x14ac:dyDescent="0.2">
      <c r="A18576" s="996" t="str">
        <f>CONCATENATE(Programme!D18577,Programme!E18577,Programme!F18577,Programme!G18577,Programme!H18577,Programme!I18577,Programme!J18577)</f>
        <v>&lt;cellule&gt;&lt;codeEdi&gt;1273&lt;/codeEdi&gt;&lt;/cellule&gt;</v>
      </c>
    </row>
    <row r="18577" spans="1:1" x14ac:dyDescent="0.2">
      <c r="A18577" s="996" t="str">
        <f>CONCATENATE(Programme!D18578,Programme!E18578,Programme!F18578,Programme!G18578,Programme!H18578,Programme!I18578,Programme!J18578)</f>
        <v>&lt;valeur&gt;&lt;/valeur&gt;</v>
      </c>
    </row>
    <row r="18578" spans="1:1" x14ac:dyDescent="0.2">
      <c r="A18578" s="996" t="str">
        <f>CONCATENATE(Programme!D18579,Programme!E18579,Programme!F18579,Programme!G18579,Programme!H18579,Programme!I18579,Programme!J18579)</f>
        <v>&lt;numeroLigne&gt;3&lt;/numeroLigne&gt;</v>
      </c>
    </row>
    <row r="18579" spans="1:1" x14ac:dyDescent="0.2">
      <c r="A18579" s="996" t="str">
        <f>CONCATENATE(Programme!D18580,Programme!E18580,Programme!F18580,Programme!G18580,Programme!H18580,Programme!I18580,Programme!J18580)</f>
        <v>&lt;/ValeurCellule&gt;</v>
      </c>
    </row>
    <row r="18580" spans="1:1" x14ac:dyDescent="0.2">
      <c r="A18580" s="996" t="str">
        <f>CONCATENATE(Programme!D18581,Programme!E18581,Programme!F18581,Programme!G18581,Programme!H18581,Programme!I18581,Programme!J18581)</f>
        <v>&lt;ValeurCellule&gt;</v>
      </c>
    </row>
    <row r="18581" spans="1:1" x14ac:dyDescent="0.2">
      <c r="A18581" s="996" t="str">
        <f>CONCATENATE(Programme!D18582,Programme!E18582,Programme!F18582,Programme!G18582,Programme!H18582,Programme!I18582,Programme!J18582)</f>
        <v>&lt;cellule&gt;&lt;codeEdi&gt;1274&lt;/codeEdi&gt;&lt;/cellule&gt;</v>
      </c>
    </row>
    <row r="18582" spans="1:1" x14ac:dyDescent="0.2">
      <c r="A18582" s="996" t="str">
        <f>CONCATENATE(Programme!D18583,Programme!E18583,Programme!F18583,Programme!G18583,Programme!H18583,Programme!I18583,Programme!J18583)</f>
        <v>&lt;valeur&gt;&lt;/valeur&gt;</v>
      </c>
    </row>
    <row r="18583" spans="1:1" x14ac:dyDescent="0.2">
      <c r="A18583" s="996" t="str">
        <f>CONCATENATE(Programme!D18584,Programme!E18584,Programme!F18584,Programme!G18584,Programme!H18584,Programme!I18584,Programme!J18584)</f>
        <v>&lt;numeroLigne&gt;3&lt;/numeroLigne&gt;</v>
      </c>
    </row>
    <row r="18584" spans="1:1" x14ac:dyDescent="0.2">
      <c r="A18584" s="996" t="str">
        <f>CONCATENATE(Programme!D18585,Programme!E18585,Programme!F18585,Programme!G18585,Programme!H18585,Programme!I18585,Programme!J18585)</f>
        <v>&lt;/ValeurCellule&gt;</v>
      </c>
    </row>
    <row r="18585" spans="1:1" x14ac:dyDescent="0.2">
      <c r="A18585" s="996" t="str">
        <f>CONCATENATE(Programme!D18586,Programme!E18586,Programme!F18586,Programme!G18586,Programme!H18586,Programme!I18586,Programme!J18586)</f>
        <v>&lt;ValeurCellule&gt;</v>
      </c>
    </row>
    <row r="18586" spans="1:1" x14ac:dyDescent="0.2">
      <c r="A18586" s="996" t="str">
        <f>CONCATENATE(Programme!D18587,Programme!E18587,Programme!F18587,Programme!G18587,Programme!H18587,Programme!I18587,Programme!J18587)</f>
        <v>&lt;cellule&gt;&lt;codeEdi&gt;1267&lt;/codeEdi&gt;&lt;/cellule&gt;</v>
      </c>
    </row>
    <row r="18587" spans="1:1" x14ac:dyDescent="0.2">
      <c r="A18587" s="996" t="str">
        <f>CONCATENATE(Programme!D18588,Programme!E18588,Programme!F18588,Programme!G18588,Programme!H18588,Programme!I18588,Programme!J18588)</f>
        <v>&lt;valeur&gt;&lt;/valeur&gt;</v>
      </c>
    </row>
    <row r="18588" spans="1:1" x14ac:dyDescent="0.2">
      <c r="A18588" s="996" t="str">
        <f>CONCATENATE(Programme!D18589,Programme!E18589,Programme!F18589,Programme!G18589,Programme!H18589,Programme!I18589,Programme!J18589)</f>
        <v>&lt;numeroLigne&gt;4&lt;/numeroLigne&gt;</v>
      </c>
    </row>
    <row r="18589" spans="1:1" x14ac:dyDescent="0.2">
      <c r="A18589" s="996" t="str">
        <f>CONCATENATE(Programme!D18590,Programme!E18590,Programme!F18590,Programme!G18590,Programme!H18590,Programme!I18590,Programme!J18590)</f>
        <v>&lt;/ValeurCellule&gt;</v>
      </c>
    </row>
    <row r="18590" spans="1:1" x14ac:dyDescent="0.2">
      <c r="A18590" s="996" t="str">
        <f>CONCATENATE(Programme!D18591,Programme!E18591,Programme!F18591,Programme!G18591,Programme!H18591,Programme!I18591,Programme!J18591)</f>
        <v>&lt;ValeurCellule&gt;</v>
      </c>
    </row>
    <row r="18591" spans="1:1" x14ac:dyDescent="0.2">
      <c r="A18591" s="996" t="str">
        <f>CONCATENATE(Programme!D18592,Programme!E18592,Programme!F18592,Programme!G18592,Programme!H18592,Programme!I18592,Programme!J18592)</f>
        <v>&lt;cellule&gt;&lt;codeEdi&gt;1268&lt;/codeEdi&gt;&lt;/cellule&gt;</v>
      </c>
    </row>
    <row r="18592" spans="1:1" x14ac:dyDescent="0.2">
      <c r="A18592" s="996" t="str">
        <f>CONCATENATE(Programme!D18593,Programme!E18593,Programme!F18593,Programme!G18593,Programme!H18593,Programme!I18593,Programme!J18593)</f>
        <v>&lt;valeur&gt;&lt;/valeur&gt;</v>
      </c>
    </row>
    <row r="18593" spans="1:1" x14ac:dyDescent="0.2">
      <c r="A18593" s="996" t="str">
        <f>CONCATENATE(Programme!D18594,Programme!E18594,Programme!F18594,Programme!G18594,Programme!H18594,Programme!I18594,Programme!J18594)</f>
        <v>&lt;numeroLigne&gt;4&lt;/numeroLigne&gt;</v>
      </c>
    </row>
    <row r="18594" spans="1:1" x14ac:dyDescent="0.2">
      <c r="A18594" s="996" t="str">
        <f>CONCATENATE(Programme!D18595,Programme!E18595,Programme!F18595,Programme!G18595,Programme!H18595,Programme!I18595,Programme!J18595)</f>
        <v>&lt;/ValeurCellule&gt;</v>
      </c>
    </row>
    <row r="18595" spans="1:1" x14ac:dyDescent="0.2">
      <c r="A18595" s="996" t="str">
        <f>CONCATENATE(Programme!D18596,Programme!E18596,Programme!F18596,Programme!G18596,Programme!H18596,Programme!I18596,Programme!J18596)</f>
        <v>&lt;ValeurCellule&gt;</v>
      </c>
    </row>
    <row r="18596" spans="1:1" x14ac:dyDescent="0.2">
      <c r="A18596" s="996" t="str">
        <f>CONCATENATE(Programme!D18597,Programme!E18597,Programme!F18597,Programme!G18597,Programme!H18597,Programme!I18597,Programme!J18597)</f>
        <v>&lt;cellule&gt;&lt;codeEdi&gt;1269&lt;/codeEdi&gt;&lt;/cellule&gt;</v>
      </c>
    </row>
    <row r="18597" spans="1:1" x14ac:dyDescent="0.2">
      <c r="A18597" s="996" t="str">
        <f>CONCATENATE(Programme!D18598,Programme!E18598,Programme!F18598,Programme!G18598,Programme!H18598,Programme!I18598,Programme!J18598)</f>
        <v>&lt;valeur&gt;&lt;/valeur&gt;</v>
      </c>
    </row>
    <row r="18598" spans="1:1" x14ac:dyDescent="0.2">
      <c r="A18598" s="996" t="str">
        <f>CONCATENATE(Programme!D18599,Programme!E18599,Programme!F18599,Programme!G18599,Programme!H18599,Programme!I18599,Programme!J18599)</f>
        <v>&lt;numeroLigne&gt;4&lt;/numeroLigne&gt;</v>
      </c>
    </row>
    <row r="18599" spans="1:1" x14ac:dyDescent="0.2">
      <c r="A18599" s="996" t="str">
        <f>CONCATENATE(Programme!D18600,Programme!E18600,Programme!F18600,Programme!G18600,Programme!H18600,Programme!I18600,Programme!J18600)</f>
        <v>&lt;/ValeurCellule&gt;</v>
      </c>
    </row>
    <row r="18600" spans="1:1" x14ac:dyDescent="0.2">
      <c r="A18600" s="996" t="str">
        <f>CONCATENATE(Programme!D18601,Programme!E18601,Programme!F18601,Programme!G18601,Programme!H18601,Programme!I18601,Programme!J18601)</f>
        <v>&lt;ValeurCellule&gt;</v>
      </c>
    </row>
    <row r="18601" spans="1:1" x14ac:dyDescent="0.2">
      <c r="A18601" s="996" t="str">
        <f>CONCATENATE(Programme!D18602,Programme!E18602,Programme!F18602,Programme!G18602,Programme!H18602,Programme!I18602,Programme!J18602)</f>
        <v>&lt;cellule&gt;&lt;codeEdi&gt;1270&lt;/codeEdi&gt;&lt;/cellule&gt;</v>
      </c>
    </row>
    <row r="18602" spans="1:1" x14ac:dyDescent="0.2">
      <c r="A18602" s="996" t="str">
        <f>CONCATENATE(Programme!D18603,Programme!E18603,Programme!F18603,Programme!G18603,Programme!H18603,Programme!I18603,Programme!J18603)</f>
        <v>&lt;valeur&gt;&lt;/valeur&gt;</v>
      </c>
    </row>
    <row r="18603" spans="1:1" x14ac:dyDescent="0.2">
      <c r="A18603" s="996" t="str">
        <f>CONCATENATE(Programme!D18604,Programme!E18604,Programme!F18604,Programme!G18604,Programme!H18604,Programme!I18604,Programme!J18604)</f>
        <v>&lt;numeroLigne&gt;4&lt;/numeroLigne&gt;</v>
      </c>
    </row>
    <row r="18604" spans="1:1" x14ac:dyDescent="0.2">
      <c r="A18604" s="996" t="str">
        <f>CONCATENATE(Programme!D18605,Programme!E18605,Programme!F18605,Programme!G18605,Programme!H18605,Programme!I18605,Programme!J18605)</f>
        <v>&lt;/ValeurCellule&gt;</v>
      </c>
    </row>
    <row r="18605" spans="1:1" x14ac:dyDescent="0.2">
      <c r="A18605" s="996" t="str">
        <f>CONCATENATE(Programme!D18606,Programme!E18606,Programme!F18606,Programme!G18606,Programme!H18606,Programme!I18606,Programme!J18606)</f>
        <v>&lt;ValeurCellule&gt;</v>
      </c>
    </row>
    <row r="18606" spans="1:1" x14ac:dyDescent="0.2">
      <c r="A18606" s="996" t="str">
        <f>CONCATENATE(Programme!D18607,Programme!E18607,Programme!F18607,Programme!G18607,Programme!H18607,Programme!I18607,Programme!J18607)</f>
        <v>&lt;cellule&gt;&lt;codeEdi&gt;1271&lt;/codeEdi&gt;&lt;/cellule&gt;</v>
      </c>
    </row>
    <row r="18607" spans="1:1" x14ac:dyDescent="0.2">
      <c r="A18607" s="996" t="str">
        <f>CONCATENATE(Programme!D18608,Programme!E18608,Programme!F18608,Programme!G18608,Programme!H18608,Programme!I18608,Programme!J18608)</f>
        <v>&lt;valeur&gt;&lt;/valeur&gt;</v>
      </c>
    </row>
    <row r="18608" spans="1:1" x14ac:dyDescent="0.2">
      <c r="A18608" s="996" t="str">
        <f>CONCATENATE(Programme!D18609,Programme!E18609,Programme!F18609,Programme!G18609,Programme!H18609,Programme!I18609,Programme!J18609)</f>
        <v>&lt;numeroLigne&gt;4&lt;/numeroLigne&gt;</v>
      </c>
    </row>
    <row r="18609" spans="1:1" x14ac:dyDescent="0.2">
      <c r="A18609" s="996" t="str">
        <f>CONCATENATE(Programme!D18610,Programme!E18610,Programme!F18610,Programme!G18610,Programme!H18610,Programme!I18610,Programme!J18610)</f>
        <v>&lt;/ValeurCellule&gt;</v>
      </c>
    </row>
    <row r="18610" spans="1:1" x14ac:dyDescent="0.2">
      <c r="A18610" s="996" t="str">
        <f>CONCATENATE(Programme!D18611,Programme!E18611,Programme!F18611,Programme!G18611,Programme!H18611,Programme!I18611,Programme!J18611)</f>
        <v>&lt;ValeurCellule&gt;</v>
      </c>
    </row>
    <row r="18611" spans="1:1" x14ac:dyDescent="0.2">
      <c r="A18611" s="996" t="str">
        <f>CONCATENATE(Programme!D18612,Programme!E18612,Programme!F18612,Programme!G18612,Programme!H18612,Programme!I18612,Programme!J18612)</f>
        <v>&lt;cellule&gt;&lt;codeEdi&gt;1272&lt;/codeEdi&gt;&lt;/cellule&gt;</v>
      </c>
    </row>
    <row r="18612" spans="1:1" x14ac:dyDescent="0.2">
      <c r="A18612" s="996" t="str">
        <f>CONCATENATE(Programme!D18613,Programme!E18613,Programme!F18613,Programme!G18613,Programme!H18613,Programme!I18613,Programme!J18613)</f>
        <v>&lt;valeur&gt;&lt;/valeur&gt;</v>
      </c>
    </row>
    <row r="18613" spans="1:1" x14ac:dyDescent="0.2">
      <c r="A18613" s="996" t="str">
        <f>CONCATENATE(Programme!D18614,Programme!E18614,Programme!F18614,Programme!G18614,Programme!H18614,Programme!I18614,Programme!J18614)</f>
        <v>&lt;numeroLigne&gt;4&lt;/numeroLigne&gt;</v>
      </c>
    </row>
    <row r="18614" spans="1:1" x14ac:dyDescent="0.2">
      <c r="A18614" s="996" t="str">
        <f>CONCATENATE(Programme!D18615,Programme!E18615,Programme!F18615,Programme!G18615,Programme!H18615,Programme!I18615,Programme!J18615)</f>
        <v>&lt;/ValeurCellule&gt;</v>
      </c>
    </row>
    <row r="18615" spans="1:1" x14ac:dyDescent="0.2">
      <c r="A18615" s="996" t="str">
        <f>CONCATENATE(Programme!D18616,Programme!E18616,Programme!F18616,Programme!G18616,Programme!H18616,Programme!I18616,Programme!J18616)</f>
        <v>&lt;ValeurCellule&gt;</v>
      </c>
    </row>
    <row r="18616" spans="1:1" x14ac:dyDescent="0.2">
      <c r="A18616" s="996" t="str">
        <f>CONCATENATE(Programme!D18617,Programme!E18617,Programme!F18617,Programme!G18617,Programme!H18617,Programme!I18617,Programme!J18617)</f>
        <v>&lt;cellule&gt;&lt;codeEdi&gt;1273&lt;/codeEdi&gt;&lt;/cellule&gt;</v>
      </c>
    </row>
    <row r="18617" spans="1:1" x14ac:dyDescent="0.2">
      <c r="A18617" s="996" t="str">
        <f>CONCATENATE(Programme!D18618,Programme!E18618,Programme!F18618,Programme!G18618,Programme!H18618,Programme!I18618,Programme!J18618)</f>
        <v>&lt;valeur&gt;&lt;/valeur&gt;</v>
      </c>
    </row>
    <row r="18618" spans="1:1" x14ac:dyDescent="0.2">
      <c r="A18618" s="996" t="str">
        <f>CONCATENATE(Programme!D18619,Programme!E18619,Programme!F18619,Programme!G18619,Programme!H18619,Programme!I18619,Programme!J18619)</f>
        <v>&lt;numeroLigne&gt;4&lt;/numeroLigne&gt;</v>
      </c>
    </row>
    <row r="18619" spans="1:1" x14ac:dyDescent="0.2">
      <c r="A18619" s="996" t="str">
        <f>CONCATENATE(Programme!D18620,Programme!E18620,Programme!F18620,Programme!G18620,Programme!H18620,Programme!I18620,Programme!J18620)</f>
        <v>&lt;/ValeurCellule&gt;</v>
      </c>
    </row>
    <row r="18620" spans="1:1" x14ac:dyDescent="0.2">
      <c r="A18620" s="996" t="str">
        <f>CONCATENATE(Programme!D18621,Programme!E18621,Programme!F18621,Programme!G18621,Programme!H18621,Programme!I18621,Programme!J18621)</f>
        <v>&lt;ValeurCellule&gt;</v>
      </c>
    </row>
    <row r="18621" spans="1:1" x14ac:dyDescent="0.2">
      <c r="A18621" s="996" t="str">
        <f>CONCATENATE(Programme!D18622,Programme!E18622,Programme!F18622,Programme!G18622,Programme!H18622,Programme!I18622,Programme!J18622)</f>
        <v>&lt;cellule&gt;&lt;codeEdi&gt;1274&lt;/codeEdi&gt;&lt;/cellule&gt;</v>
      </c>
    </row>
    <row r="18622" spans="1:1" x14ac:dyDescent="0.2">
      <c r="A18622" s="996" t="str">
        <f>CONCATENATE(Programme!D18623,Programme!E18623,Programme!F18623,Programme!G18623,Programme!H18623,Programme!I18623,Programme!J18623)</f>
        <v>&lt;valeur&gt;&lt;/valeur&gt;</v>
      </c>
    </row>
    <row r="18623" spans="1:1" x14ac:dyDescent="0.2">
      <c r="A18623" s="996" t="str">
        <f>CONCATENATE(Programme!D18624,Programme!E18624,Programme!F18624,Programme!G18624,Programme!H18624,Programme!I18624,Programme!J18624)</f>
        <v>&lt;numeroLigne&gt;4&lt;/numeroLigne&gt;</v>
      </c>
    </row>
    <row r="18624" spans="1:1" x14ac:dyDescent="0.2">
      <c r="A18624" s="996" t="str">
        <f>CONCATENATE(Programme!D18625,Programme!E18625,Programme!F18625,Programme!G18625,Programme!H18625,Programme!I18625,Programme!J18625)</f>
        <v>&lt;/ValeurCellule&gt;</v>
      </c>
    </row>
    <row r="18625" spans="1:1" x14ac:dyDescent="0.2">
      <c r="A18625" s="996" t="str">
        <f>CONCATENATE(Programme!D18626,Programme!E18626,Programme!F18626,Programme!G18626,Programme!H18626,Programme!I18626,Programme!J18626)</f>
        <v>&lt;ValeurCellule&gt;</v>
      </c>
    </row>
    <row r="18626" spans="1:1" x14ac:dyDescent="0.2">
      <c r="A18626" s="996" t="str">
        <f>CONCATENATE(Programme!D18627,Programme!E18627,Programme!F18627,Programme!G18627,Programme!H18627,Programme!I18627,Programme!J18627)</f>
        <v>&lt;cellule&gt;&lt;codeEdi&gt;1267&lt;/codeEdi&gt;&lt;/cellule&gt;</v>
      </c>
    </row>
    <row r="18627" spans="1:1" x14ac:dyDescent="0.2">
      <c r="A18627" s="996" t="str">
        <f>CONCATENATE(Programme!D18628,Programme!E18628,Programme!F18628,Programme!G18628,Programme!H18628,Programme!I18628,Programme!J18628)</f>
        <v>&lt;valeur&gt;&lt;/valeur&gt;</v>
      </c>
    </row>
    <row r="18628" spans="1:1" x14ac:dyDescent="0.2">
      <c r="A18628" s="996" t="str">
        <f>CONCATENATE(Programme!D18629,Programme!E18629,Programme!F18629,Programme!G18629,Programme!H18629,Programme!I18629,Programme!J18629)</f>
        <v>&lt;numeroLigne&gt;5&lt;/numeroLigne&gt;</v>
      </c>
    </row>
    <row r="18629" spans="1:1" x14ac:dyDescent="0.2">
      <c r="A18629" s="996" t="str">
        <f>CONCATENATE(Programme!D18630,Programme!E18630,Programme!F18630,Programme!G18630,Programme!H18630,Programme!I18630,Programme!J18630)</f>
        <v>&lt;/ValeurCellule&gt;</v>
      </c>
    </row>
    <row r="18630" spans="1:1" x14ac:dyDescent="0.2">
      <c r="A18630" s="996" t="str">
        <f>CONCATENATE(Programme!D18631,Programme!E18631,Programme!F18631,Programme!G18631,Programme!H18631,Programme!I18631,Programme!J18631)</f>
        <v>&lt;ValeurCellule&gt;</v>
      </c>
    </row>
    <row r="18631" spans="1:1" x14ac:dyDescent="0.2">
      <c r="A18631" s="996" t="str">
        <f>CONCATENATE(Programme!D18632,Programme!E18632,Programme!F18632,Programme!G18632,Programme!H18632,Programme!I18632,Programme!J18632)</f>
        <v>&lt;cellule&gt;&lt;codeEdi&gt;1268&lt;/codeEdi&gt;&lt;/cellule&gt;</v>
      </c>
    </row>
    <row r="18632" spans="1:1" x14ac:dyDescent="0.2">
      <c r="A18632" s="996" t="str">
        <f>CONCATENATE(Programme!D18633,Programme!E18633,Programme!F18633,Programme!G18633,Programme!H18633,Programme!I18633,Programme!J18633)</f>
        <v>&lt;valeur&gt;&lt;/valeur&gt;</v>
      </c>
    </row>
    <row r="18633" spans="1:1" x14ac:dyDescent="0.2">
      <c r="A18633" s="996" t="str">
        <f>CONCATENATE(Programme!D18634,Programme!E18634,Programme!F18634,Programme!G18634,Programme!H18634,Programme!I18634,Programme!J18634)</f>
        <v>&lt;numeroLigne&gt;5&lt;/numeroLigne&gt;</v>
      </c>
    </row>
    <row r="18634" spans="1:1" x14ac:dyDescent="0.2">
      <c r="A18634" s="996" t="str">
        <f>CONCATENATE(Programme!D18635,Programme!E18635,Programme!F18635,Programme!G18635,Programme!H18635,Programme!I18635,Programme!J18635)</f>
        <v>&lt;/ValeurCellule&gt;</v>
      </c>
    </row>
    <row r="18635" spans="1:1" x14ac:dyDescent="0.2">
      <c r="A18635" s="996" t="str">
        <f>CONCATENATE(Programme!D18636,Programme!E18636,Programme!F18636,Programme!G18636,Programme!H18636,Programme!I18636,Programme!J18636)</f>
        <v>&lt;ValeurCellule&gt;</v>
      </c>
    </row>
    <row r="18636" spans="1:1" x14ac:dyDescent="0.2">
      <c r="A18636" s="996" t="str">
        <f>CONCATENATE(Programme!D18637,Programme!E18637,Programme!F18637,Programme!G18637,Programme!H18637,Programme!I18637,Programme!J18637)</f>
        <v>&lt;cellule&gt;&lt;codeEdi&gt;1269&lt;/codeEdi&gt;&lt;/cellule&gt;</v>
      </c>
    </row>
    <row r="18637" spans="1:1" x14ac:dyDescent="0.2">
      <c r="A18637" s="996" t="str">
        <f>CONCATENATE(Programme!D18638,Programme!E18638,Programme!F18638,Programme!G18638,Programme!H18638,Programme!I18638,Programme!J18638)</f>
        <v>&lt;valeur&gt;&lt;/valeur&gt;</v>
      </c>
    </row>
    <row r="18638" spans="1:1" x14ac:dyDescent="0.2">
      <c r="A18638" s="996" t="str">
        <f>CONCATENATE(Programme!D18639,Programme!E18639,Programme!F18639,Programme!G18639,Programme!H18639,Programme!I18639,Programme!J18639)</f>
        <v>&lt;numeroLigne&gt;5&lt;/numeroLigne&gt;</v>
      </c>
    </row>
    <row r="18639" spans="1:1" x14ac:dyDescent="0.2">
      <c r="A18639" s="996" t="str">
        <f>CONCATENATE(Programme!D18640,Programme!E18640,Programme!F18640,Programme!G18640,Programme!H18640,Programme!I18640,Programme!J18640)</f>
        <v>&lt;/ValeurCellule&gt;</v>
      </c>
    </row>
    <row r="18640" spans="1:1" x14ac:dyDescent="0.2">
      <c r="A18640" s="996" t="str">
        <f>CONCATENATE(Programme!D18641,Programme!E18641,Programme!F18641,Programme!G18641,Programme!H18641,Programme!I18641,Programme!J18641)</f>
        <v>&lt;ValeurCellule&gt;</v>
      </c>
    </row>
    <row r="18641" spans="1:1" x14ac:dyDescent="0.2">
      <c r="A18641" s="996" t="str">
        <f>CONCATENATE(Programme!D18642,Programme!E18642,Programme!F18642,Programme!G18642,Programme!H18642,Programme!I18642,Programme!J18642)</f>
        <v>&lt;cellule&gt;&lt;codeEdi&gt;1270&lt;/codeEdi&gt;&lt;/cellule&gt;</v>
      </c>
    </row>
    <row r="18642" spans="1:1" x14ac:dyDescent="0.2">
      <c r="A18642" s="996" t="str">
        <f>CONCATENATE(Programme!D18643,Programme!E18643,Programme!F18643,Programme!G18643,Programme!H18643,Programme!I18643,Programme!J18643)</f>
        <v>&lt;valeur&gt;&lt;/valeur&gt;</v>
      </c>
    </row>
    <row r="18643" spans="1:1" x14ac:dyDescent="0.2">
      <c r="A18643" s="996" t="str">
        <f>CONCATENATE(Programme!D18644,Programme!E18644,Programme!F18644,Programme!G18644,Programme!H18644,Programme!I18644,Programme!J18644)</f>
        <v>&lt;numeroLigne&gt;5&lt;/numeroLigne&gt;</v>
      </c>
    </row>
    <row r="18644" spans="1:1" x14ac:dyDescent="0.2">
      <c r="A18644" s="996" t="str">
        <f>CONCATENATE(Programme!D18645,Programme!E18645,Programme!F18645,Programme!G18645,Programme!H18645,Programme!I18645,Programme!J18645)</f>
        <v>&lt;/ValeurCellule&gt;</v>
      </c>
    </row>
    <row r="18645" spans="1:1" x14ac:dyDescent="0.2">
      <c r="A18645" s="996" t="str">
        <f>CONCATENATE(Programme!D18646,Programme!E18646,Programme!F18646,Programme!G18646,Programme!H18646,Programme!I18646,Programme!J18646)</f>
        <v>&lt;ValeurCellule&gt;</v>
      </c>
    </row>
    <row r="18646" spans="1:1" x14ac:dyDescent="0.2">
      <c r="A18646" s="996" t="str">
        <f>CONCATENATE(Programme!D18647,Programme!E18647,Programme!F18647,Programme!G18647,Programme!H18647,Programme!I18647,Programme!J18647)</f>
        <v>&lt;cellule&gt;&lt;codeEdi&gt;1271&lt;/codeEdi&gt;&lt;/cellule&gt;</v>
      </c>
    </row>
    <row r="18647" spans="1:1" x14ac:dyDescent="0.2">
      <c r="A18647" s="996" t="str">
        <f>CONCATENATE(Programme!D18648,Programme!E18648,Programme!F18648,Programme!G18648,Programme!H18648,Programme!I18648,Programme!J18648)</f>
        <v>&lt;valeur&gt;&lt;/valeur&gt;</v>
      </c>
    </row>
    <row r="18648" spans="1:1" x14ac:dyDescent="0.2">
      <c r="A18648" s="996" t="str">
        <f>CONCATENATE(Programme!D18649,Programme!E18649,Programme!F18649,Programme!G18649,Programme!H18649,Programme!I18649,Programme!J18649)</f>
        <v>&lt;numeroLigne&gt;5&lt;/numeroLigne&gt;</v>
      </c>
    </row>
    <row r="18649" spans="1:1" x14ac:dyDescent="0.2">
      <c r="A18649" s="996" t="str">
        <f>CONCATENATE(Programme!D18650,Programme!E18650,Programme!F18650,Programme!G18650,Programme!H18650,Programme!I18650,Programme!J18650)</f>
        <v>&lt;/ValeurCellule&gt;</v>
      </c>
    </row>
    <row r="18650" spans="1:1" x14ac:dyDescent="0.2">
      <c r="A18650" s="996" t="str">
        <f>CONCATENATE(Programme!D18651,Programme!E18651,Programme!F18651,Programme!G18651,Programme!H18651,Programme!I18651,Programme!J18651)</f>
        <v>&lt;ValeurCellule&gt;</v>
      </c>
    </row>
    <row r="18651" spans="1:1" x14ac:dyDescent="0.2">
      <c r="A18651" s="996" t="str">
        <f>CONCATENATE(Programme!D18652,Programme!E18652,Programme!F18652,Programme!G18652,Programme!H18652,Programme!I18652,Programme!J18652)</f>
        <v>&lt;cellule&gt;&lt;codeEdi&gt;1272&lt;/codeEdi&gt;&lt;/cellule&gt;</v>
      </c>
    </row>
    <row r="18652" spans="1:1" x14ac:dyDescent="0.2">
      <c r="A18652" s="996" t="str">
        <f>CONCATENATE(Programme!D18653,Programme!E18653,Programme!F18653,Programme!G18653,Programme!H18653,Programme!I18653,Programme!J18653)</f>
        <v>&lt;valeur&gt;&lt;/valeur&gt;</v>
      </c>
    </row>
    <row r="18653" spans="1:1" x14ac:dyDescent="0.2">
      <c r="A18653" s="996" t="str">
        <f>CONCATENATE(Programme!D18654,Programme!E18654,Programme!F18654,Programme!G18654,Programme!H18654,Programme!I18654,Programme!J18654)</f>
        <v>&lt;numeroLigne&gt;5&lt;/numeroLigne&gt;</v>
      </c>
    </row>
    <row r="18654" spans="1:1" x14ac:dyDescent="0.2">
      <c r="A18654" s="996" t="str">
        <f>CONCATENATE(Programme!D18655,Programme!E18655,Programme!F18655,Programme!G18655,Programme!H18655,Programme!I18655,Programme!J18655)</f>
        <v>&lt;/ValeurCellule&gt;</v>
      </c>
    </row>
    <row r="18655" spans="1:1" x14ac:dyDescent="0.2">
      <c r="A18655" s="996" t="str">
        <f>CONCATENATE(Programme!D18656,Programme!E18656,Programme!F18656,Programme!G18656,Programme!H18656,Programme!I18656,Programme!J18656)</f>
        <v>&lt;ValeurCellule&gt;</v>
      </c>
    </row>
    <row r="18656" spans="1:1" x14ac:dyDescent="0.2">
      <c r="A18656" s="996" t="str">
        <f>CONCATENATE(Programme!D18657,Programme!E18657,Programme!F18657,Programme!G18657,Programme!H18657,Programme!I18657,Programme!J18657)</f>
        <v>&lt;cellule&gt;&lt;codeEdi&gt;1273&lt;/codeEdi&gt;&lt;/cellule&gt;</v>
      </c>
    </row>
    <row r="18657" spans="1:1" x14ac:dyDescent="0.2">
      <c r="A18657" s="996" t="str">
        <f>CONCATENATE(Programme!D18658,Programme!E18658,Programme!F18658,Programme!G18658,Programme!H18658,Programme!I18658,Programme!J18658)</f>
        <v>&lt;valeur&gt;&lt;/valeur&gt;</v>
      </c>
    </row>
    <row r="18658" spans="1:1" x14ac:dyDescent="0.2">
      <c r="A18658" s="996" t="str">
        <f>CONCATENATE(Programme!D18659,Programme!E18659,Programme!F18659,Programme!G18659,Programme!H18659,Programme!I18659,Programme!J18659)</f>
        <v>&lt;numeroLigne&gt;5&lt;/numeroLigne&gt;</v>
      </c>
    </row>
    <row r="18659" spans="1:1" x14ac:dyDescent="0.2">
      <c r="A18659" s="996" t="str">
        <f>CONCATENATE(Programme!D18660,Programme!E18660,Programme!F18660,Programme!G18660,Programme!H18660,Programme!I18660,Programme!J18660)</f>
        <v>&lt;/ValeurCellule&gt;</v>
      </c>
    </row>
    <row r="18660" spans="1:1" x14ac:dyDescent="0.2">
      <c r="A18660" s="996" t="str">
        <f>CONCATENATE(Programme!D18661,Programme!E18661,Programme!F18661,Programme!G18661,Programme!H18661,Programme!I18661,Programme!J18661)</f>
        <v>&lt;ValeurCellule&gt;</v>
      </c>
    </row>
    <row r="18661" spans="1:1" x14ac:dyDescent="0.2">
      <c r="A18661" s="996" t="str">
        <f>CONCATENATE(Programme!D18662,Programme!E18662,Programme!F18662,Programme!G18662,Programme!H18662,Programme!I18662,Programme!J18662)</f>
        <v>&lt;cellule&gt;&lt;codeEdi&gt;1274&lt;/codeEdi&gt;&lt;/cellule&gt;</v>
      </c>
    </row>
    <row r="18662" spans="1:1" x14ac:dyDescent="0.2">
      <c r="A18662" s="996" t="str">
        <f>CONCATENATE(Programme!D18663,Programme!E18663,Programme!F18663,Programme!G18663,Programme!H18663,Programme!I18663,Programme!J18663)</f>
        <v>&lt;valeur&gt;&lt;/valeur&gt;</v>
      </c>
    </row>
    <row r="18663" spans="1:1" x14ac:dyDescent="0.2">
      <c r="A18663" s="996" t="str">
        <f>CONCATENATE(Programme!D18664,Programme!E18664,Programme!F18664,Programme!G18664,Programme!H18664,Programme!I18664,Programme!J18664)</f>
        <v>&lt;numeroLigne&gt;5&lt;/numeroLigne&gt;</v>
      </c>
    </row>
    <row r="18664" spans="1:1" x14ac:dyDescent="0.2">
      <c r="A18664" s="996" t="str">
        <f>CONCATENATE(Programme!D18665,Programme!E18665,Programme!F18665,Programme!G18665,Programme!H18665,Programme!I18665,Programme!J18665)</f>
        <v>&lt;/ValeurCellule&gt;</v>
      </c>
    </row>
    <row r="18665" spans="1:1" x14ac:dyDescent="0.2">
      <c r="A18665" s="996" t="str">
        <f>CONCATENATE(Programme!D18666,Programme!E18666,Programme!F18666,Programme!G18666,Programme!H18666,Programme!I18666,Programme!J18666)</f>
        <v>&lt;ValeurCellule&gt;</v>
      </c>
    </row>
    <row r="18666" spans="1:1" x14ac:dyDescent="0.2">
      <c r="A18666" s="996" t="str">
        <f>CONCATENATE(Programme!D18667,Programme!E18667,Programme!F18667,Programme!G18667,Programme!H18667,Programme!I18667,Programme!J18667)</f>
        <v>&lt;cellule&gt;&lt;codeEdi&gt;1267&lt;/codeEdi&gt;&lt;/cellule&gt;</v>
      </c>
    </row>
    <row r="18667" spans="1:1" x14ac:dyDescent="0.2">
      <c r="A18667" s="996" t="str">
        <f>CONCATENATE(Programme!D18668,Programme!E18668,Programme!F18668,Programme!G18668,Programme!H18668,Programme!I18668,Programme!J18668)</f>
        <v>&lt;valeur&gt;&lt;/valeur&gt;</v>
      </c>
    </row>
    <row r="18668" spans="1:1" x14ac:dyDescent="0.2">
      <c r="A18668" s="996" t="str">
        <f>CONCATENATE(Programme!D18669,Programme!E18669,Programme!F18669,Programme!G18669,Programme!H18669,Programme!I18669,Programme!J18669)</f>
        <v>&lt;numeroLigne&gt;6&lt;/numeroLigne&gt;</v>
      </c>
    </row>
    <row r="18669" spans="1:1" x14ac:dyDescent="0.2">
      <c r="A18669" s="996" t="str">
        <f>CONCATENATE(Programme!D18670,Programme!E18670,Programme!F18670,Programme!G18670,Programme!H18670,Programme!I18670,Programme!J18670)</f>
        <v>&lt;/ValeurCellule&gt;</v>
      </c>
    </row>
    <row r="18670" spans="1:1" x14ac:dyDescent="0.2">
      <c r="A18670" s="996" t="str">
        <f>CONCATENATE(Programme!D18671,Programme!E18671,Programme!F18671,Programme!G18671,Programme!H18671,Programme!I18671,Programme!J18671)</f>
        <v>&lt;ValeurCellule&gt;</v>
      </c>
    </row>
    <row r="18671" spans="1:1" x14ac:dyDescent="0.2">
      <c r="A18671" s="996" t="str">
        <f>CONCATENATE(Programme!D18672,Programme!E18672,Programme!F18672,Programme!G18672,Programme!H18672,Programme!I18672,Programme!J18672)</f>
        <v>&lt;cellule&gt;&lt;codeEdi&gt;1268&lt;/codeEdi&gt;&lt;/cellule&gt;</v>
      </c>
    </row>
    <row r="18672" spans="1:1" x14ac:dyDescent="0.2">
      <c r="A18672" s="996" t="str">
        <f>CONCATENATE(Programme!D18673,Programme!E18673,Programme!F18673,Programme!G18673,Programme!H18673,Programme!I18673,Programme!J18673)</f>
        <v>&lt;valeur&gt;&lt;/valeur&gt;</v>
      </c>
    </row>
    <row r="18673" spans="1:1" x14ac:dyDescent="0.2">
      <c r="A18673" s="996" t="str">
        <f>CONCATENATE(Programme!D18674,Programme!E18674,Programme!F18674,Programme!G18674,Programme!H18674,Programme!I18674,Programme!J18674)</f>
        <v>&lt;numeroLigne&gt;6&lt;/numeroLigne&gt;</v>
      </c>
    </row>
    <row r="18674" spans="1:1" x14ac:dyDescent="0.2">
      <c r="A18674" s="996" t="str">
        <f>CONCATENATE(Programme!D18675,Programme!E18675,Programme!F18675,Programme!G18675,Programme!H18675,Programme!I18675,Programme!J18675)</f>
        <v>&lt;/ValeurCellule&gt;</v>
      </c>
    </row>
    <row r="18675" spans="1:1" x14ac:dyDescent="0.2">
      <c r="A18675" s="996" t="str">
        <f>CONCATENATE(Programme!D18676,Programme!E18676,Programme!F18676,Programme!G18676,Programme!H18676,Programme!I18676,Programme!J18676)</f>
        <v>&lt;ValeurCellule&gt;</v>
      </c>
    </row>
    <row r="18676" spans="1:1" x14ac:dyDescent="0.2">
      <c r="A18676" s="996" t="str">
        <f>CONCATENATE(Programme!D18677,Programme!E18677,Programme!F18677,Programme!G18677,Programme!H18677,Programme!I18677,Programme!J18677)</f>
        <v>&lt;cellule&gt;&lt;codeEdi&gt;1269&lt;/codeEdi&gt;&lt;/cellule&gt;</v>
      </c>
    </row>
    <row r="18677" spans="1:1" x14ac:dyDescent="0.2">
      <c r="A18677" s="996" t="str">
        <f>CONCATENATE(Programme!D18678,Programme!E18678,Programme!F18678,Programme!G18678,Programme!H18678,Programme!I18678,Programme!J18678)</f>
        <v>&lt;valeur&gt;&lt;/valeur&gt;</v>
      </c>
    </row>
    <row r="18678" spans="1:1" x14ac:dyDescent="0.2">
      <c r="A18678" s="996" t="str">
        <f>CONCATENATE(Programme!D18679,Programme!E18679,Programme!F18679,Programme!G18679,Programme!H18679,Programme!I18679,Programme!J18679)</f>
        <v>&lt;numeroLigne&gt;6&lt;/numeroLigne&gt;</v>
      </c>
    </row>
    <row r="18679" spans="1:1" x14ac:dyDescent="0.2">
      <c r="A18679" s="996" t="str">
        <f>CONCATENATE(Programme!D18680,Programme!E18680,Programme!F18680,Programme!G18680,Programme!H18680,Programme!I18680,Programme!J18680)</f>
        <v>&lt;/ValeurCellule&gt;</v>
      </c>
    </row>
    <row r="18680" spans="1:1" x14ac:dyDescent="0.2">
      <c r="A18680" s="996" t="str">
        <f>CONCATENATE(Programme!D18681,Programme!E18681,Programme!F18681,Programme!G18681,Programme!H18681,Programme!I18681,Programme!J18681)</f>
        <v>&lt;ValeurCellule&gt;</v>
      </c>
    </row>
    <row r="18681" spans="1:1" x14ac:dyDescent="0.2">
      <c r="A18681" s="996" t="str">
        <f>CONCATENATE(Programme!D18682,Programme!E18682,Programme!F18682,Programme!G18682,Programme!H18682,Programme!I18682,Programme!J18682)</f>
        <v>&lt;cellule&gt;&lt;codeEdi&gt;1270&lt;/codeEdi&gt;&lt;/cellule&gt;</v>
      </c>
    </row>
    <row r="18682" spans="1:1" x14ac:dyDescent="0.2">
      <c r="A18682" s="996" t="str">
        <f>CONCATENATE(Programme!D18683,Programme!E18683,Programme!F18683,Programme!G18683,Programme!H18683,Programme!I18683,Programme!J18683)</f>
        <v>&lt;valeur&gt;&lt;/valeur&gt;</v>
      </c>
    </row>
    <row r="18683" spans="1:1" x14ac:dyDescent="0.2">
      <c r="A18683" s="996" t="str">
        <f>CONCATENATE(Programme!D18684,Programme!E18684,Programme!F18684,Programme!G18684,Programme!H18684,Programme!I18684,Programme!J18684)</f>
        <v>&lt;numeroLigne&gt;6&lt;/numeroLigne&gt;</v>
      </c>
    </row>
    <row r="18684" spans="1:1" x14ac:dyDescent="0.2">
      <c r="A18684" s="996" t="str">
        <f>CONCATENATE(Programme!D18685,Programme!E18685,Programme!F18685,Programme!G18685,Programme!H18685,Programme!I18685,Programme!J18685)</f>
        <v>&lt;/ValeurCellule&gt;</v>
      </c>
    </row>
    <row r="18685" spans="1:1" x14ac:dyDescent="0.2">
      <c r="A18685" s="996" t="str">
        <f>CONCATENATE(Programme!D18686,Programme!E18686,Programme!F18686,Programme!G18686,Programme!H18686,Programme!I18686,Programme!J18686)</f>
        <v>&lt;ValeurCellule&gt;</v>
      </c>
    </row>
    <row r="18686" spans="1:1" x14ac:dyDescent="0.2">
      <c r="A18686" s="996" t="str">
        <f>CONCATENATE(Programme!D18687,Programme!E18687,Programme!F18687,Programme!G18687,Programme!H18687,Programme!I18687,Programme!J18687)</f>
        <v>&lt;cellule&gt;&lt;codeEdi&gt;1271&lt;/codeEdi&gt;&lt;/cellule&gt;</v>
      </c>
    </row>
    <row r="18687" spans="1:1" x14ac:dyDescent="0.2">
      <c r="A18687" s="996" t="str">
        <f>CONCATENATE(Programme!D18688,Programme!E18688,Programme!F18688,Programme!G18688,Programme!H18688,Programme!I18688,Programme!J18688)</f>
        <v>&lt;valeur&gt;&lt;/valeur&gt;</v>
      </c>
    </row>
    <row r="18688" spans="1:1" x14ac:dyDescent="0.2">
      <c r="A18688" s="996" t="str">
        <f>CONCATENATE(Programme!D18689,Programme!E18689,Programme!F18689,Programme!G18689,Programme!H18689,Programme!I18689,Programme!J18689)</f>
        <v>&lt;numeroLigne&gt;6&lt;/numeroLigne&gt;</v>
      </c>
    </row>
    <row r="18689" spans="1:1" x14ac:dyDescent="0.2">
      <c r="A18689" s="996" t="str">
        <f>CONCATENATE(Programme!D18690,Programme!E18690,Programme!F18690,Programme!G18690,Programme!H18690,Programme!I18690,Programme!J18690)</f>
        <v>&lt;/ValeurCellule&gt;</v>
      </c>
    </row>
    <row r="18690" spans="1:1" x14ac:dyDescent="0.2">
      <c r="A18690" s="996" t="str">
        <f>CONCATENATE(Programme!D18691,Programme!E18691,Programme!F18691,Programme!G18691,Programme!H18691,Programme!I18691,Programme!J18691)</f>
        <v>&lt;ValeurCellule&gt;</v>
      </c>
    </row>
    <row r="18691" spans="1:1" x14ac:dyDescent="0.2">
      <c r="A18691" s="996" t="str">
        <f>CONCATENATE(Programme!D18692,Programme!E18692,Programme!F18692,Programme!G18692,Programme!H18692,Programme!I18692,Programme!J18692)</f>
        <v>&lt;cellule&gt;&lt;codeEdi&gt;1272&lt;/codeEdi&gt;&lt;/cellule&gt;</v>
      </c>
    </row>
    <row r="18692" spans="1:1" x14ac:dyDescent="0.2">
      <c r="A18692" s="996" t="str">
        <f>CONCATENATE(Programme!D18693,Programme!E18693,Programme!F18693,Programme!G18693,Programme!H18693,Programme!I18693,Programme!J18693)</f>
        <v>&lt;valeur&gt;&lt;/valeur&gt;</v>
      </c>
    </row>
    <row r="18693" spans="1:1" x14ac:dyDescent="0.2">
      <c r="A18693" s="996" t="str">
        <f>CONCATENATE(Programme!D18694,Programme!E18694,Programme!F18694,Programme!G18694,Programme!H18694,Programme!I18694,Programme!J18694)</f>
        <v>&lt;numeroLigne&gt;6&lt;/numeroLigne&gt;</v>
      </c>
    </row>
    <row r="18694" spans="1:1" x14ac:dyDescent="0.2">
      <c r="A18694" s="996" t="str">
        <f>CONCATENATE(Programme!D18695,Programme!E18695,Programme!F18695,Programme!G18695,Programme!H18695,Programme!I18695,Programme!J18695)</f>
        <v>&lt;/ValeurCellule&gt;</v>
      </c>
    </row>
    <row r="18695" spans="1:1" x14ac:dyDescent="0.2">
      <c r="A18695" s="996" t="str">
        <f>CONCATENATE(Programme!D18696,Programme!E18696,Programme!F18696,Programme!G18696,Programme!H18696,Programme!I18696,Programme!J18696)</f>
        <v>&lt;ValeurCellule&gt;</v>
      </c>
    </row>
    <row r="18696" spans="1:1" x14ac:dyDescent="0.2">
      <c r="A18696" s="996" t="str">
        <f>CONCATENATE(Programme!D18697,Programme!E18697,Programme!F18697,Programme!G18697,Programme!H18697,Programme!I18697,Programme!J18697)</f>
        <v>&lt;cellule&gt;&lt;codeEdi&gt;1273&lt;/codeEdi&gt;&lt;/cellule&gt;</v>
      </c>
    </row>
    <row r="18697" spans="1:1" x14ac:dyDescent="0.2">
      <c r="A18697" s="996" t="str">
        <f>CONCATENATE(Programme!D18698,Programme!E18698,Programme!F18698,Programme!G18698,Programme!H18698,Programme!I18698,Programme!J18698)</f>
        <v>&lt;valeur&gt;&lt;/valeur&gt;</v>
      </c>
    </row>
    <row r="18698" spans="1:1" x14ac:dyDescent="0.2">
      <c r="A18698" s="996" t="str">
        <f>CONCATENATE(Programme!D18699,Programme!E18699,Programme!F18699,Programme!G18699,Programme!H18699,Programme!I18699,Programme!J18699)</f>
        <v>&lt;numeroLigne&gt;6&lt;/numeroLigne&gt;</v>
      </c>
    </row>
    <row r="18699" spans="1:1" x14ac:dyDescent="0.2">
      <c r="A18699" s="996" t="str">
        <f>CONCATENATE(Programme!D18700,Programme!E18700,Programme!F18700,Programme!G18700,Programme!H18700,Programme!I18700,Programme!J18700)</f>
        <v>&lt;/ValeurCellule&gt;</v>
      </c>
    </row>
    <row r="18700" spans="1:1" x14ac:dyDescent="0.2">
      <c r="A18700" s="996" t="str">
        <f>CONCATENATE(Programme!D18701,Programme!E18701,Programme!F18701,Programme!G18701,Programme!H18701,Programme!I18701,Programme!J18701)</f>
        <v>&lt;ValeurCellule&gt;</v>
      </c>
    </row>
    <row r="18701" spans="1:1" x14ac:dyDescent="0.2">
      <c r="A18701" s="996" t="str">
        <f>CONCATENATE(Programme!D18702,Programme!E18702,Programme!F18702,Programme!G18702,Programme!H18702,Programme!I18702,Programme!J18702)</f>
        <v>&lt;cellule&gt;&lt;codeEdi&gt;1274&lt;/codeEdi&gt;&lt;/cellule&gt;</v>
      </c>
    </row>
    <row r="18702" spans="1:1" x14ac:dyDescent="0.2">
      <c r="A18702" s="996" t="str">
        <f>CONCATENATE(Programme!D18703,Programme!E18703,Programme!F18703,Programme!G18703,Programme!H18703,Programme!I18703,Programme!J18703)</f>
        <v>&lt;valeur&gt;&lt;/valeur&gt;</v>
      </c>
    </row>
    <row r="18703" spans="1:1" x14ac:dyDescent="0.2">
      <c r="A18703" s="996" t="str">
        <f>CONCATENATE(Programme!D18704,Programme!E18704,Programme!F18704,Programme!G18704,Programme!H18704,Programme!I18704,Programme!J18704)</f>
        <v>&lt;numeroLigne&gt;6&lt;/numeroLigne&gt;</v>
      </c>
    </row>
    <row r="18704" spans="1:1" x14ac:dyDescent="0.2">
      <c r="A18704" s="996" t="str">
        <f>CONCATENATE(Programme!D18705,Programme!E18705,Programme!F18705,Programme!G18705,Programme!H18705,Programme!I18705,Programme!J18705)</f>
        <v>&lt;/ValeurCellule&gt;</v>
      </c>
    </row>
    <row r="18705" spans="1:1" x14ac:dyDescent="0.2">
      <c r="A18705" s="996" t="str">
        <f>CONCATENATE(Programme!D18706,Programme!E18706,Programme!F18706,Programme!G18706,Programme!H18706,Programme!I18706,Programme!J18706)</f>
        <v>&lt;ValeurCellule&gt;</v>
      </c>
    </row>
    <row r="18706" spans="1:1" x14ac:dyDescent="0.2">
      <c r="A18706" s="996" t="str">
        <f>CONCATENATE(Programme!D18707,Programme!E18707,Programme!F18707,Programme!G18707,Programme!H18707,Programme!I18707,Programme!J18707)</f>
        <v>&lt;cellule&gt;</v>
      </c>
    </row>
    <row r="18707" spans="1:1" x14ac:dyDescent="0.2">
      <c r="A18707" s="996" t="str">
        <f>CONCATENATE(Programme!D18708,Programme!E18708,Programme!F18708,Programme!G18708,Programme!H18708,Programme!I18708,Programme!J18708)</f>
        <v>&lt;codeEdi&gt;1279&lt;/codeEdi&gt;</v>
      </c>
    </row>
    <row r="18708" spans="1:1" x14ac:dyDescent="0.2">
      <c r="A18708" s="996" t="str">
        <f>CONCATENATE(Programme!D18709,Programme!E18709,Programme!F18709,Programme!G18709,Programme!H18709,Programme!I18709,Programme!J18709)</f>
        <v>&lt;/cellule&gt;</v>
      </c>
    </row>
    <row r="18709" spans="1:1" x14ac:dyDescent="0.2">
      <c r="A18709" s="996" t="str">
        <f>CONCATENATE(Programme!D18710,Programme!E18710,Programme!F18710,Programme!G18710,Programme!H18710,Programme!I18710,Programme!J18710)</f>
        <v>&lt;valeur&gt;132000&lt;/valeur&gt;</v>
      </c>
    </row>
    <row r="18710" spans="1:1" x14ac:dyDescent="0.2">
      <c r="A18710" s="996" t="str">
        <f>CONCATENATE(Programme!D18711,Programme!E18711,Programme!F18711,Programme!G18711,Programme!H18711,Programme!I18711,Programme!J18711)</f>
        <v>&lt;/ValeurCellule&gt;</v>
      </c>
    </row>
    <row r="18711" spans="1:1" x14ac:dyDescent="0.2">
      <c r="A18711" s="996" t="str">
        <f>CONCATENATE(Programme!D18712,Programme!E18712,Programme!F18712,Programme!G18712,Programme!H18712,Programme!I18712,Programme!J18712)</f>
        <v>&lt;ValeurCellule&gt;</v>
      </c>
    </row>
    <row r="18712" spans="1:1" x14ac:dyDescent="0.2">
      <c r="A18712" s="996" t="str">
        <f>CONCATENATE(Programme!D18713,Programme!E18713,Programme!F18713,Programme!G18713,Programme!H18713,Programme!I18713,Programme!J18713)</f>
        <v>&lt;cellule&gt;</v>
      </c>
    </row>
    <row r="18713" spans="1:1" x14ac:dyDescent="0.2">
      <c r="A18713" s="996" t="str">
        <f>CONCATENATE(Programme!D18714,Programme!E18714,Programme!F18714,Programme!G18714,Programme!H18714,Programme!I18714,Programme!J18714)</f>
        <v>&lt;codeEdi&gt;1280&lt;/codeEdi&gt;</v>
      </c>
    </row>
    <row r="18714" spans="1:1" x14ac:dyDescent="0.2">
      <c r="A18714" s="996" t="str">
        <f>CONCATENATE(Programme!D18715,Programme!E18715,Programme!F18715,Programme!G18715,Programme!H18715,Programme!I18715,Programme!J18715)</f>
        <v>&lt;/cellule&gt;</v>
      </c>
    </row>
    <row r="18715" spans="1:1" x14ac:dyDescent="0.2">
      <c r="A18715" s="996" t="str">
        <f>CONCATENATE(Programme!D18716,Programme!E18716,Programme!F18716,Programme!G18716,Programme!H18716,Programme!I18716,Programme!J18716)</f>
        <v>&lt;valeur&gt;132000&lt;/valeur&gt;</v>
      </c>
    </row>
    <row r="18716" spans="1:1" x14ac:dyDescent="0.2">
      <c r="A18716" s="996" t="str">
        <f>CONCATENATE(Programme!D18717,Programme!E18717,Programme!F18717,Programme!G18717,Programme!H18717,Programme!I18717,Programme!J18717)</f>
        <v>&lt;/ValeurCellule&gt;</v>
      </c>
    </row>
    <row r="18717" spans="1:1" x14ac:dyDescent="0.2">
      <c r="A18717" s="996" t="str">
        <f>CONCATENATE(Programme!D18718,Programme!E18718,Programme!F18718,Programme!G18718,Programme!H18718,Programme!I18718,Programme!J18718)</f>
        <v>&lt;/groupeValeurs&gt;</v>
      </c>
    </row>
    <row r="18718" spans="1:1" x14ac:dyDescent="0.2">
      <c r="A18718" s="996" t="str">
        <f>CONCATENATE(Programme!D18719,Programme!E18719,Programme!F18719,Programme!G18719,Programme!H18719,Programme!I18719,Programme!J18719)</f>
        <v>&lt;extraFieldvaleurs&gt;</v>
      </c>
    </row>
    <row r="18719" spans="1:1" x14ac:dyDescent="0.2">
      <c r="A18719" s="996" t="str">
        <f>CONCATENATE(Programme!D18720,Programme!E18720,Programme!F18720,Programme!G18720,Programme!H18720,Programme!I18720,Programme!J18720)</f>
        <v>&lt;/extraFieldvaleurs&gt;</v>
      </c>
    </row>
    <row r="18720" spans="1:1" x14ac:dyDescent="0.2">
      <c r="A18720" s="996" t="str">
        <f>CONCATENATE(Programme!D18721,Programme!E18721,Programme!F18721,Programme!G18721,Programme!H18721,Programme!I18721,Programme!J18721)</f>
        <v>&lt;/ValeursTableau&gt;</v>
      </c>
    </row>
    <row r="18721" spans="1:1" x14ac:dyDescent="0.2">
      <c r="A18721" s="996" t="str">
        <f>CONCATENATE(Programme!D18722,Programme!E18722,Programme!F18722,Programme!G18722,Programme!H18722,Programme!I18722,Programme!J18722)</f>
        <v>&lt;ValeursTableau&gt;</v>
      </c>
    </row>
    <row r="18722" spans="1:1" x14ac:dyDescent="0.2">
      <c r="A18722" s="996" t="str">
        <f>CONCATENATE(Programme!D18723,Programme!E18723,Programme!F18723,Programme!G18723,Programme!H18723,Programme!I18723,Programme!J18723)</f>
        <v>&lt;tableau&gt;&lt;id&gt;36&lt;/id&gt;&lt;/tableau&gt;</v>
      </c>
    </row>
    <row r="18723" spans="1:1" x14ac:dyDescent="0.2">
      <c r="A18723" s="996" t="str">
        <f>CONCATENATE(Programme!D18724,Programme!E18724,Programme!F18724,Programme!G18724,Programme!H18724,Programme!I18724,Programme!J18724)</f>
        <v>&lt;groupeValeurs&gt;</v>
      </c>
    </row>
    <row r="18724" spans="1:1" x14ac:dyDescent="0.2">
      <c r="A18724" s="996" t="str">
        <f>CONCATENATE(Programme!D18725,Programme!E18725,Programme!F18725,Programme!G18725,Programme!H18725,Programme!I18725,Programme!J18725)</f>
        <v>&lt;ValeurCellule&gt;</v>
      </c>
    </row>
    <row r="18725" spans="1:1" x14ac:dyDescent="0.2">
      <c r="A18725" s="996" t="str">
        <f>CONCATENATE(Programme!D18726,Programme!E18726,Programme!F18726,Programme!G18726,Programme!H18726,Programme!I18726,Programme!J18726)</f>
        <v>&lt;cellule&gt;</v>
      </c>
    </row>
    <row r="18726" spans="1:1" x14ac:dyDescent="0.2">
      <c r="A18726" s="996" t="str">
        <f>CONCATENATE(Programme!D18727,Programme!E18727,Programme!F18727,Programme!G18727,Programme!H18727,Programme!I18727,Programme!J18727)</f>
        <v>&lt;codeEdi&gt;1401&lt;/codeEdi&gt;</v>
      </c>
    </row>
    <row r="18727" spans="1:1" x14ac:dyDescent="0.2">
      <c r="A18727" s="996" t="str">
        <f>CONCATENATE(Programme!D18728,Programme!E18728,Programme!F18728,Programme!G18728,Programme!H18728,Programme!I18728,Programme!J18728)</f>
        <v>&lt;/cellule&gt;</v>
      </c>
    </row>
    <row r="18728" spans="1:1" x14ac:dyDescent="0.2">
      <c r="A18728" s="996" t="str">
        <f>CONCATENATE(Programme!D18729,Programme!E18729,Programme!F18729,Programme!G18729,Programme!H18729,Programme!I18729,Programme!J18729)</f>
        <v>&lt;valeur&gt;&lt;/valeur&gt;</v>
      </c>
    </row>
    <row r="18729" spans="1:1" x14ac:dyDescent="0.2">
      <c r="A18729" s="996" t="str">
        <f>CONCATENATE(Programme!D18730,Programme!E18730,Programme!F18730,Programme!G18730,Programme!H18730,Programme!I18730,Programme!J18730)</f>
        <v>&lt;/ValeurCellule&gt;</v>
      </c>
    </row>
    <row r="18730" spans="1:1" x14ac:dyDescent="0.2">
      <c r="A18730" s="996" t="str">
        <f>CONCATENATE(Programme!D18731,Programme!E18731,Programme!F18731,Programme!G18731,Programme!H18731,Programme!I18731,Programme!J18731)</f>
        <v>&lt;ValeurCellule&gt;</v>
      </c>
    </row>
    <row r="18731" spans="1:1" x14ac:dyDescent="0.2">
      <c r="A18731" s="996" t="str">
        <f>CONCATENATE(Programme!D18732,Programme!E18732,Programme!F18732,Programme!G18732,Programme!H18732,Programme!I18732,Programme!J18732)</f>
        <v>&lt;cellule&gt;</v>
      </c>
    </row>
    <row r="18732" spans="1:1" x14ac:dyDescent="0.2">
      <c r="A18732" s="996" t="str">
        <f>CONCATENATE(Programme!D18733,Programme!E18733,Programme!F18733,Programme!G18733,Programme!H18733,Programme!I18733,Programme!J18733)</f>
        <v>&lt;codeEdi&gt;1409&lt;/codeEdi&gt;</v>
      </c>
    </row>
    <row r="18733" spans="1:1" x14ac:dyDescent="0.2">
      <c r="A18733" s="996" t="str">
        <f>CONCATENATE(Programme!D18734,Programme!E18734,Programme!F18734,Programme!G18734,Programme!H18734,Programme!I18734,Programme!J18734)</f>
        <v>&lt;/cellule&gt;</v>
      </c>
    </row>
    <row r="18734" spans="1:1" x14ac:dyDescent="0.2">
      <c r="A18734" s="996" t="str">
        <f>CONCATENATE(Programme!D18735,Programme!E18735,Programme!F18735,Programme!G18735,Programme!H18735,Programme!I18735,Programme!J18735)</f>
        <v>&lt;valeur&gt;&lt;/valeur&gt;</v>
      </c>
    </row>
    <row r="18735" spans="1:1" x14ac:dyDescent="0.2">
      <c r="A18735" s="996" t="str">
        <f>CONCATENATE(Programme!D18736,Programme!E18736,Programme!F18736,Programme!G18736,Programme!H18736,Programme!I18736,Programme!J18736)</f>
        <v>&lt;/ValeurCellule&gt;</v>
      </c>
    </row>
    <row r="18736" spans="1:1" x14ac:dyDescent="0.2">
      <c r="A18736" s="996" t="str">
        <f>CONCATENATE(Programme!D18737,Programme!E18737,Programme!F18737,Programme!G18737,Programme!H18737,Programme!I18737,Programme!J18737)</f>
        <v>&lt;ValeurCellule&gt;</v>
      </c>
    </row>
    <row r="18737" spans="1:1" x14ac:dyDescent="0.2">
      <c r="A18737" s="996" t="str">
        <f>CONCATENATE(Programme!D18738,Programme!E18738,Programme!F18738,Programme!G18738,Programme!H18738,Programme!I18738,Programme!J18738)</f>
        <v>&lt;cellule&gt;</v>
      </c>
    </row>
    <row r="18738" spans="1:1" x14ac:dyDescent="0.2">
      <c r="A18738" s="996" t="str">
        <f>CONCATENATE(Programme!D18739,Programme!E18739,Programme!F18739,Programme!G18739,Programme!H18739,Programme!I18739,Programme!J18739)</f>
        <v>&lt;codeEdi&gt;1417&lt;/codeEdi&gt;</v>
      </c>
    </row>
    <row r="18739" spans="1:1" x14ac:dyDescent="0.2">
      <c r="A18739" s="996" t="str">
        <f>CONCATENATE(Programme!D18740,Programme!E18740,Programme!F18740,Programme!G18740,Programme!H18740,Programme!I18740,Programme!J18740)</f>
        <v>&lt;/cellule&gt;</v>
      </c>
    </row>
    <row r="18740" spans="1:1" x14ac:dyDescent="0.2">
      <c r="A18740" s="996" t="str">
        <f>CONCATENATE(Programme!D18741,Programme!E18741,Programme!F18741,Programme!G18741,Programme!H18741,Programme!I18741,Programme!J18741)</f>
        <v>&lt;valeur&gt;&lt;/valeur&gt;</v>
      </c>
    </row>
    <row r="18741" spans="1:1" x14ac:dyDescent="0.2">
      <c r="A18741" s="996" t="str">
        <f>CONCATENATE(Programme!D18742,Programme!E18742,Programme!F18742,Programme!G18742,Programme!H18742,Programme!I18742,Programme!J18742)</f>
        <v>&lt;/ValeurCellule&gt;</v>
      </c>
    </row>
    <row r="18742" spans="1:1" x14ac:dyDescent="0.2">
      <c r="A18742" s="996" t="str">
        <f>CONCATENATE(Programme!D18743,Programme!E18743,Programme!F18743,Programme!G18743,Programme!H18743,Programme!I18743,Programme!J18743)</f>
        <v>&lt;ValeurCellule&gt;</v>
      </c>
    </row>
    <row r="18743" spans="1:1" x14ac:dyDescent="0.2">
      <c r="A18743" s="996" t="str">
        <f>CONCATENATE(Programme!D18744,Programme!E18744,Programme!F18744,Programme!G18744,Programme!H18744,Programme!I18744,Programme!J18744)</f>
        <v>&lt;cellule&gt;</v>
      </c>
    </row>
    <row r="18744" spans="1:1" x14ac:dyDescent="0.2">
      <c r="A18744" s="996" t="str">
        <f>CONCATENATE(Programme!D18745,Programme!E18745,Programme!F18745,Programme!G18745,Programme!H18745,Programme!I18745,Programme!J18745)</f>
        <v>&lt;codeEdi&gt;1425&lt;/codeEdi&gt;</v>
      </c>
    </row>
    <row r="18745" spans="1:1" x14ac:dyDescent="0.2">
      <c r="A18745" s="996" t="str">
        <f>CONCATENATE(Programme!D18746,Programme!E18746,Programme!F18746,Programme!G18746,Programme!H18746,Programme!I18746,Programme!J18746)</f>
        <v>&lt;/cellule&gt;</v>
      </c>
    </row>
    <row r="18746" spans="1:1" x14ac:dyDescent="0.2">
      <c r="A18746" s="996" t="str">
        <f>CONCATENATE(Programme!D18747,Programme!E18747,Programme!F18747,Programme!G18747,Programme!H18747,Programme!I18747,Programme!J18747)</f>
        <v>&lt;valeur&gt;0&lt;/valeur&gt;</v>
      </c>
    </row>
    <row r="18747" spans="1:1" x14ac:dyDescent="0.2">
      <c r="A18747" s="996" t="str">
        <f>CONCATENATE(Programme!D18748,Programme!E18748,Programme!F18748,Programme!G18748,Programme!H18748,Programme!I18748,Programme!J18748)</f>
        <v>&lt;/ValeurCellule&gt;</v>
      </c>
    </row>
    <row r="18748" spans="1:1" x14ac:dyDescent="0.2">
      <c r="A18748" s="996" t="str">
        <f>CONCATENATE(Programme!D18749,Programme!E18749,Programme!F18749,Programme!G18749,Programme!H18749,Programme!I18749,Programme!J18749)</f>
        <v>&lt;ValeurCellule&gt;</v>
      </c>
    </row>
    <row r="18749" spans="1:1" x14ac:dyDescent="0.2">
      <c r="A18749" s="996" t="str">
        <f>CONCATENATE(Programme!D18750,Programme!E18750,Programme!F18750,Programme!G18750,Programme!H18750,Programme!I18750,Programme!J18750)</f>
        <v>&lt;cellule&gt;</v>
      </c>
    </row>
    <row r="18750" spans="1:1" x14ac:dyDescent="0.2">
      <c r="A18750" s="996" t="str">
        <f>CONCATENATE(Programme!D18751,Programme!E18751,Programme!F18751,Programme!G18751,Programme!H18751,Programme!I18751,Programme!J18751)</f>
        <v>&lt;codeEdi&gt;1433&lt;/codeEdi&gt;</v>
      </c>
    </row>
    <row r="18751" spans="1:1" x14ac:dyDescent="0.2">
      <c r="A18751" s="996" t="str">
        <f>CONCATENATE(Programme!D18752,Programme!E18752,Programme!F18752,Programme!G18752,Programme!H18752,Programme!I18752,Programme!J18752)</f>
        <v>&lt;/cellule&gt;</v>
      </c>
    </row>
    <row r="18752" spans="1:1" x14ac:dyDescent="0.2">
      <c r="A18752" s="996" t="str">
        <f>CONCATENATE(Programme!D18753,Programme!E18753,Programme!F18753,Programme!G18753,Programme!H18753,Programme!I18753,Programme!J18753)</f>
        <v>&lt;valeur&gt;0&lt;/valeur&gt;</v>
      </c>
    </row>
    <row r="18753" spans="1:1" x14ac:dyDescent="0.2">
      <c r="A18753" s="996" t="str">
        <f>CONCATENATE(Programme!D18754,Programme!E18754,Programme!F18754,Programme!G18754,Programme!H18754,Programme!I18754,Programme!J18754)</f>
        <v>&lt;/ValeurCellule&gt;</v>
      </c>
    </row>
    <row r="18754" spans="1:1" x14ac:dyDescent="0.2">
      <c r="A18754" s="996" t="str">
        <f>CONCATENATE(Programme!D18755,Programme!E18755,Programme!F18755,Programme!G18755,Programme!H18755,Programme!I18755,Programme!J18755)</f>
        <v>&lt;ValeurCellule&gt;</v>
      </c>
    </row>
    <row r="18755" spans="1:1" x14ac:dyDescent="0.2">
      <c r="A18755" s="996" t="str">
        <f>CONCATENATE(Programme!D18756,Programme!E18756,Programme!F18756,Programme!G18756,Programme!H18756,Programme!I18756,Programme!J18756)</f>
        <v>&lt;cellule&gt;</v>
      </c>
    </row>
    <row r="18756" spans="1:1" x14ac:dyDescent="0.2">
      <c r="A18756" s="996" t="str">
        <f>CONCATENATE(Programme!D18757,Programme!E18757,Programme!F18757,Programme!G18757,Programme!H18757,Programme!I18757,Programme!J18757)</f>
        <v>&lt;codeEdi&gt;1449&lt;/codeEdi&gt;</v>
      </c>
    </row>
    <row r="18757" spans="1:1" x14ac:dyDescent="0.2">
      <c r="A18757" s="996" t="str">
        <f>CONCATENATE(Programme!D18758,Programme!E18758,Programme!F18758,Programme!G18758,Programme!H18758,Programme!I18758,Programme!J18758)</f>
        <v>&lt;/cellule&gt;</v>
      </c>
    </row>
    <row r="18758" spans="1:1" x14ac:dyDescent="0.2">
      <c r="A18758" s="996" t="str">
        <f>CONCATENATE(Programme!D18759,Programme!E18759,Programme!F18759,Programme!G18759,Programme!H18759,Programme!I18759,Programme!J18759)</f>
        <v>&lt;valeur&gt;&lt;/valeur&gt;</v>
      </c>
    </row>
    <row r="18759" spans="1:1" x14ac:dyDescent="0.2">
      <c r="A18759" s="996" t="str">
        <f>CONCATENATE(Programme!D18760,Programme!E18760,Programme!F18760,Programme!G18760,Programme!H18760,Programme!I18760,Programme!J18760)</f>
        <v>&lt;/ValeurCellule&gt;</v>
      </c>
    </row>
    <row r="18760" spans="1:1" x14ac:dyDescent="0.2">
      <c r="A18760" s="996" t="str">
        <f>CONCATENATE(Programme!D18761,Programme!E18761,Programme!F18761,Programme!G18761,Programme!H18761,Programme!I18761,Programme!J18761)</f>
        <v>&lt;ValeurCellule&gt;</v>
      </c>
    </row>
    <row r="18761" spans="1:1" x14ac:dyDescent="0.2">
      <c r="A18761" s="996" t="str">
        <f>CONCATENATE(Programme!D18762,Programme!E18762,Programme!F18762,Programme!G18762,Programme!H18762,Programme!I18762,Programme!J18762)</f>
        <v>&lt;cellule&gt;</v>
      </c>
    </row>
    <row r="18762" spans="1:1" x14ac:dyDescent="0.2">
      <c r="A18762" s="996" t="str">
        <f>CONCATENATE(Programme!D18763,Programme!E18763,Programme!F18763,Programme!G18763,Programme!H18763,Programme!I18763,Programme!J18763)</f>
        <v>&lt;codeEdi&gt;1457&lt;/codeEdi&gt;</v>
      </c>
    </row>
    <row r="18763" spans="1:1" x14ac:dyDescent="0.2">
      <c r="A18763" s="996" t="str">
        <f>CONCATENATE(Programme!D18764,Programme!E18764,Programme!F18764,Programme!G18764,Programme!H18764,Programme!I18764,Programme!J18764)</f>
        <v>&lt;/cellule&gt;</v>
      </c>
    </row>
    <row r="18764" spans="1:1" x14ac:dyDescent="0.2">
      <c r="A18764" s="996" t="str">
        <f>CONCATENATE(Programme!D18765,Programme!E18765,Programme!F18765,Programme!G18765,Programme!H18765,Programme!I18765,Programme!J18765)</f>
        <v>&lt;valeur&gt;0&lt;/valeur&gt;</v>
      </c>
    </row>
    <row r="18765" spans="1:1" x14ac:dyDescent="0.2">
      <c r="A18765" s="996" t="str">
        <f>CONCATENATE(Programme!D18766,Programme!E18766,Programme!F18766,Programme!G18766,Programme!H18766,Programme!I18766,Programme!J18766)</f>
        <v>&lt;/ValeurCellule&gt;</v>
      </c>
    </row>
    <row r="18766" spans="1:1" x14ac:dyDescent="0.2">
      <c r="A18766" s="996" t="str">
        <f>CONCATENATE(Programme!D18767,Programme!E18767,Programme!F18767,Programme!G18767,Programme!H18767,Programme!I18767,Programme!J18767)</f>
        <v>&lt;ValeurCellule&gt;</v>
      </c>
    </row>
    <row r="18767" spans="1:1" x14ac:dyDescent="0.2">
      <c r="A18767" s="996" t="str">
        <f>CONCATENATE(Programme!D18768,Programme!E18768,Programme!F18768,Programme!G18768,Programme!H18768,Programme!I18768,Programme!J18768)</f>
        <v>&lt;cellule&gt;</v>
      </c>
    </row>
    <row r="18768" spans="1:1" x14ac:dyDescent="0.2">
      <c r="A18768" s="996" t="str">
        <f>CONCATENATE(Programme!D18769,Programme!E18769,Programme!F18769,Programme!G18769,Programme!H18769,Programme!I18769,Programme!J18769)</f>
        <v>&lt;codeEdi&gt;1465&lt;/codeEdi&gt;</v>
      </c>
    </row>
    <row r="18769" spans="1:1" x14ac:dyDescent="0.2">
      <c r="A18769" s="996" t="str">
        <f>CONCATENATE(Programme!D18770,Programme!E18770,Programme!F18770,Programme!G18770,Programme!H18770,Programme!I18770,Programme!J18770)</f>
        <v>&lt;/cellule&gt;</v>
      </c>
    </row>
    <row r="18770" spans="1:1" x14ac:dyDescent="0.2">
      <c r="A18770" s="996" t="str">
        <f>CONCATENATE(Programme!D18771,Programme!E18771,Programme!F18771,Programme!G18771,Programme!H18771,Programme!I18771,Programme!J18771)</f>
        <v>&lt;valeur&gt;0&lt;/valeur&gt;</v>
      </c>
    </row>
    <row r="18771" spans="1:1" x14ac:dyDescent="0.2">
      <c r="A18771" s="996" t="str">
        <f>CONCATENATE(Programme!D18772,Programme!E18772,Programme!F18772,Programme!G18772,Programme!H18772,Programme!I18772,Programme!J18772)</f>
        <v>&lt;/ValeurCellule&gt;</v>
      </c>
    </row>
    <row r="18772" spans="1:1" x14ac:dyDescent="0.2">
      <c r="A18772" s="996" t="str">
        <f>CONCATENATE(Programme!D18773,Programme!E18773,Programme!F18773,Programme!G18773,Programme!H18773,Programme!I18773,Programme!J18773)</f>
        <v>&lt;ValeurCellule&gt;</v>
      </c>
    </row>
    <row r="18773" spans="1:1" x14ac:dyDescent="0.2">
      <c r="A18773" s="996" t="str">
        <f>CONCATENATE(Programme!D18774,Programme!E18774,Programme!F18774,Programme!G18774,Programme!H18774,Programme!I18774,Programme!J18774)</f>
        <v>&lt;cellule&gt;</v>
      </c>
    </row>
    <row r="18774" spans="1:1" x14ac:dyDescent="0.2">
      <c r="A18774" s="996" t="str">
        <f>CONCATENATE(Programme!D18775,Programme!E18775,Programme!F18775,Programme!G18775,Programme!H18775,Programme!I18775,Programme!J18775)</f>
        <v>&lt;codeEdi&gt;1473&lt;/codeEdi&gt;</v>
      </c>
    </row>
    <row r="18775" spans="1:1" x14ac:dyDescent="0.2">
      <c r="A18775" s="996" t="str">
        <f>CONCATENATE(Programme!D18776,Programme!E18776,Programme!F18776,Programme!G18776,Programme!H18776,Programme!I18776,Programme!J18776)</f>
        <v>&lt;/cellule&gt;</v>
      </c>
    </row>
    <row r="18776" spans="1:1" x14ac:dyDescent="0.2">
      <c r="A18776" s="996" t="str">
        <f>CONCATENATE(Programme!D18777,Programme!E18777,Programme!F18777,Programme!G18777,Programme!H18777,Programme!I18777,Programme!J18777)</f>
        <v>&lt;valeur&gt;&lt;/valeur&gt;</v>
      </c>
    </row>
    <row r="18777" spans="1:1" x14ac:dyDescent="0.2">
      <c r="A18777" s="996" t="str">
        <f>CONCATENATE(Programme!D18778,Programme!E18778,Programme!F18778,Programme!G18778,Programme!H18778,Programme!I18778,Programme!J18778)</f>
        <v>&lt;/ValeurCellule&gt;</v>
      </c>
    </row>
    <row r="18778" spans="1:1" x14ac:dyDescent="0.2">
      <c r="A18778" s="996" t="str">
        <f>CONCATENATE(Programme!D18779,Programme!E18779,Programme!F18779,Programme!G18779,Programme!H18779,Programme!I18779,Programme!J18779)</f>
        <v>&lt;ValeurCellule&gt;</v>
      </c>
    </row>
    <row r="18779" spans="1:1" x14ac:dyDescent="0.2">
      <c r="A18779" s="996" t="str">
        <f>CONCATENATE(Programme!D18780,Programme!E18780,Programme!F18780,Programme!G18780,Programme!H18780,Programme!I18780,Programme!J18780)</f>
        <v>&lt;cellule&gt;</v>
      </c>
    </row>
    <row r="18780" spans="1:1" x14ac:dyDescent="0.2">
      <c r="A18780" s="996" t="str">
        <f>CONCATENATE(Programme!D18781,Programme!E18781,Programme!F18781,Programme!G18781,Programme!H18781,Programme!I18781,Programme!J18781)</f>
        <v>&lt;codeEdi&gt;1481&lt;/codeEdi&gt;</v>
      </c>
    </row>
    <row r="18781" spans="1:1" x14ac:dyDescent="0.2">
      <c r="A18781" s="996" t="str">
        <f>CONCATENATE(Programme!D18782,Programme!E18782,Programme!F18782,Programme!G18782,Programme!H18782,Programme!I18782,Programme!J18782)</f>
        <v>&lt;/cellule&gt;</v>
      </c>
    </row>
    <row r="18782" spans="1:1" x14ac:dyDescent="0.2">
      <c r="A18782" s="996" t="str">
        <f>CONCATENATE(Programme!D18783,Programme!E18783,Programme!F18783,Programme!G18783,Programme!H18783,Programme!I18783,Programme!J18783)</f>
        <v>&lt;valeur&gt;&lt;/valeur&gt;</v>
      </c>
    </row>
    <row r="18783" spans="1:1" x14ac:dyDescent="0.2">
      <c r="A18783" s="996" t="str">
        <f>CONCATENATE(Programme!D18784,Programme!E18784,Programme!F18784,Programme!G18784,Programme!H18784,Programme!I18784,Programme!J18784)</f>
        <v>&lt;/ValeurCellule&gt;</v>
      </c>
    </row>
    <row r="18784" spans="1:1" x14ac:dyDescent="0.2">
      <c r="A18784" s="996" t="str">
        <f>CONCATENATE(Programme!D18785,Programme!E18785,Programme!F18785,Programme!G18785,Programme!H18785,Programme!I18785,Programme!J18785)</f>
        <v>&lt;ValeurCellule&gt;</v>
      </c>
    </row>
    <row r="18785" spans="1:1" x14ac:dyDescent="0.2">
      <c r="A18785" s="996" t="str">
        <f>CONCATENATE(Programme!D18786,Programme!E18786,Programme!F18786,Programme!G18786,Programme!H18786,Programme!I18786,Programme!J18786)</f>
        <v>&lt;cellule&gt;</v>
      </c>
    </row>
    <row r="18786" spans="1:1" x14ac:dyDescent="0.2">
      <c r="A18786" s="996" t="str">
        <f>CONCATENATE(Programme!D18787,Programme!E18787,Programme!F18787,Programme!G18787,Programme!H18787,Programme!I18787,Programme!J18787)</f>
        <v>&lt;codeEdi&gt;1555&lt;/codeEdi&gt;</v>
      </c>
    </row>
    <row r="18787" spans="1:1" x14ac:dyDescent="0.2">
      <c r="A18787" s="996" t="str">
        <f>CONCATENATE(Programme!D18788,Programme!E18788,Programme!F18788,Programme!G18788,Programme!H18788,Programme!I18788,Programme!J18788)</f>
        <v>&lt;/cellule&gt;</v>
      </c>
    </row>
    <row r="18788" spans="1:1" x14ac:dyDescent="0.2">
      <c r="A18788" s="996" t="str">
        <f>CONCATENATE(Programme!D18789,Programme!E18789,Programme!F18789,Programme!G18789,Programme!H18789,Programme!I18789,Programme!J18789)</f>
        <v>&lt;valeur&gt;0&lt;/valeur&gt;</v>
      </c>
    </row>
    <row r="18789" spans="1:1" x14ac:dyDescent="0.2">
      <c r="A18789" s="996" t="str">
        <f>CONCATENATE(Programme!D18790,Programme!E18790,Programme!F18790,Programme!G18790,Programme!H18790,Programme!I18790,Programme!J18790)</f>
        <v>&lt;/ValeurCellule&gt;</v>
      </c>
    </row>
    <row r="18790" spans="1:1" x14ac:dyDescent="0.2">
      <c r="A18790" s="996" t="str">
        <f>CONCATENATE(Programme!D18791,Programme!E18791,Programme!F18791,Programme!G18791,Programme!H18791,Programme!I18791,Programme!J18791)</f>
        <v>&lt;ValeurCellule&gt;</v>
      </c>
    </row>
    <row r="18791" spans="1:1" x14ac:dyDescent="0.2">
      <c r="A18791" s="996" t="str">
        <f>CONCATENATE(Programme!D18792,Programme!E18792,Programme!F18792,Programme!G18792,Programme!H18792,Programme!I18792,Programme!J18792)</f>
        <v>&lt;cellule&gt;</v>
      </c>
    </row>
    <row r="18792" spans="1:1" x14ac:dyDescent="0.2">
      <c r="A18792" s="996" t="str">
        <f>CONCATENATE(Programme!D18793,Programme!E18793,Programme!F18793,Programme!G18793,Programme!H18793,Programme!I18793,Programme!J18793)</f>
        <v>&lt;codeEdi&gt;1596&lt;/codeEdi&gt;</v>
      </c>
    </row>
    <row r="18793" spans="1:1" x14ac:dyDescent="0.2">
      <c r="A18793" s="996" t="str">
        <f>CONCATENATE(Programme!D18794,Programme!E18794,Programme!F18794,Programme!G18794,Programme!H18794,Programme!I18794,Programme!J18794)</f>
        <v>&lt;/cellule&gt;</v>
      </c>
    </row>
    <row r="18794" spans="1:1" x14ac:dyDescent="0.2">
      <c r="A18794" s="996" t="str">
        <f>CONCATENATE(Programme!D18795,Programme!E18795,Programme!F18795,Programme!G18795,Programme!H18795,Programme!I18795,Programme!J18795)</f>
        <v>&lt;valeur&gt;&lt;/valeur&gt;</v>
      </c>
    </row>
    <row r="18795" spans="1:1" x14ac:dyDescent="0.2">
      <c r="A18795" s="996" t="str">
        <f>CONCATENATE(Programme!D18796,Programme!E18796,Programme!F18796,Programme!G18796,Programme!H18796,Programme!I18796,Programme!J18796)</f>
        <v>&lt;/ValeurCellule&gt;</v>
      </c>
    </row>
    <row r="18796" spans="1:1" x14ac:dyDescent="0.2">
      <c r="A18796" s="996" t="str">
        <f>CONCATENATE(Programme!D18797,Programme!E18797,Programme!F18797,Programme!G18797,Programme!H18797,Programme!I18797,Programme!J18797)</f>
        <v>&lt;ValeurCellule&gt;</v>
      </c>
    </row>
    <row r="18797" spans="1:1" x14ac:dyDescent="0.2">
      <c r="A18797" s="996" t="str">
        <f>CONCATENATE(Programme!D18798,Programme!E18798,Programme!F18798,Programme!G18798,Programme!H18798,Programme!I18798,Programme!J18798)</f>
        <v>&lt;cellule&gt;</v>
      </c>
    </row>
    <row r="18798" spans="1:1" x14ac:dyDescent="0.2">
      <c r="A18798" s="996" t="str">
        <f>CONCATENATE(Programme!D18799,Programme!E18799,Programme!F18799,Programme!G18799,Programme!H18799,Programme!I18799,Programme!J18799)</f>
        <v>&lt;codeEdi&gt;1604&lt;/codeEdi&gt;</v>
      </c>
    </row>
    <row r="18799" spans="1:1" x14ac:dyDescent="0.2">
      <c r="A18799" s="996" t="str">
        <f>CONCATENATE(Programme!D18800,Programme!E18800,Programme!F18800,Programme!G18800,Programme!H18800,Programme!I18800,Programme!J18800)</f>
        <v>&lt;/cellule&gt;</v>
      </c>
    </row>
    <row r="18800" spans="1:1" x14ac:dyDescent="0.2">
      <c r="A18800" s="996" t="str">
        <f>CONCATENATE(Programme!D18801,Programme!E18801,Programme!F18801,Programme!G18801,Programme!H18801,Programme!I18801,Programme!J18801)</f>
        <v>&lt;valeur&gt;0&lt;/valeur&gt;</v>
      </c>
    </row>
    <row r="18801" spans="1:1" x14ac:dyDescent="0.2">
      <c r="A18801" s="996" t="str">
        <f>CONCATENATE(Programme!D18802,Programme!E18802,Programme!F18802,Programme!G18802,Programme!H18802,Programme!I18802,Programme!J18802)</f>
        <v>&lt;/ValeurCellule&gt;</v>
      </c>
    </row>
    <row r="18802" spans="1:1" x14ac:dyDescent="0.2">
      <c r="A18802" s="996" t="str">
        <f>CONCATENATE(Programme!D18803,Programme!E18803,Programme!F18803,Programme!G18803,Programme!H18803,Programme!I18803,Programme!J18803)</f>
        <v>&lt;ValeurCellule&gt;</v>
      </c>
    </row>
    <row r="18803" spans="1:1" x14ac:dyDescent="0.2">
      <c r="A18803" s="996" t="str">
        <f>CONCATENATE(Programme!D18804,Programme!E18804,Programme!F18804,Programme!G18804,Programme!H18804,Programme!I18804,Programme!J18804)</f>
        <v>&lt;cellule&gt;</v>
      </c>
    </row>
    <row r="18804" spans="1:1" x14ac:dyDescent="0.2">
      <c r="A18804" s="996" t="str">
        <f>CONCATENATE(Programme!D18805,Programme!E18805,Programme!F18805,Programme!G18805,Programme!H18805,Programme!I18805,Programme!J18805)</f>
        <v>&lt;codeEdi&gt;1635&lt;/codeEdi&gt;</v>
      </c>
    </row>
    <row r="18805" spans="1:1" x14ac:dyDescent="0.2">
      <c r="A18805" s="996" t="str">
        <f>CONCATENATE(Programme!D18806,Programme!E18806,Programme!F18806,Programme!G18806,Programme!H18806,Programme!I18806,Programme!J18806)</f>
        <v>&lt;/cellule&gt;</v>
      </c>
    </row>
    <row r="18806" spans="1:1" x14ac:dyDescent="0.2">
      <c r="A18806" s="996" t="str">
        <f>CONCATENATE(Programme!D18807,Programme!E18807,Programme!F18807,Programme!G18807,Programme!H18807,Programme!I18807,Programme!J18807)</f>
        <v>&lt;valeur&gt;&lt;/valeur&gt;</v>
      </c>
    </row>
    <row r="18807" spans="1:1" x14ac:dyDescent="0.2">
      <c r="A18807" s="996" t="str">
        <f>CONCATENATE(Programme!D18808,Programme!E18808,Programme!F18808,Programme!G18808,Programme!H18808,Programme!I18808,Programme!J18808)</f>
        <v>&lt;/ValeurCellule&gt;</v>
      </c>
    </row>
    <row r="18808" spans="1:1" x14ac:dyDescent="0.2">
      <c r="A18808" s="996" t="str">
        <f>CONCATENATE(Programme!D18809,Programme!E18809,Programme!F18809,Programme!G18809,Programme!H18809,Programme!I18809,Programme!J18809)</f>
        <v>&lt;ValeurCellule&gt;</v>
      </c>
    </row>
    <row r="18809" spans="1:1" x14ac:dyDescent="0.2">
      <c r="A18809" s="996" t="str">
        <f>CONCATENATE(Programme!D18810,Programme!E18810,Programme!F18810,Programme!G18810,Programme!H18810,Programme!I18810,Programme!J18810)</f>
        <v>&lt;cellule&gt;</v>
      </c>
    </row>
    <row r="18810" spans="1:1" x14ac:dyDescent="0.2">
      <c r="A18810" s="996" t="str">
        <f>CONCATENATE(Programme!D18811,Programme!E18811,Programme!F18811,Programme!G18811,Programme!H18811,Programme!I18811,Programme!J18811)</f>
        <v>&lt;codeEdi&gt;1643&lt;/codeEdi&gt;</v>
      </c>
    </row>
    <row r="18811" spans="1:1" x14ac:dyDescent="0.2">
      <c r="A18811" s="996" t="str">
        <f>CONCATENATE(Programme!D18812,Programme!E18812,Programme!F18812,Programme!G18812,Programme!H18812,Programme!I18812,Programme!J18812)</f>
        <v>&lt;/cellule&gt;</v>
      </c>
    </row>
    <row r="18812" spans="1:1" x14ac:dyDescent="0.2">
      <c r="A18812" s="996" t="str">
        <f>CONCATENATE(Programme!D18813,Programme!E18813,Programme!F18813,Programme!G18813,Programme!H18813,Programme!I18813,Programme!J18813)</f>
        <v>&lt;valeur&gt;0&lt;/valeur&gt;</v>
      </c>
    </row>
    <row r="18813" spans="1:1" x14ac:dyDescent="0.2">
      <c r="A18813" s="996" t="str">
        <f>CONCATENATE(Programme!D18814,Programme!E18814,Programme!F18814,Programme!G18814,Programme!H18814,Programme!I18814,Programme!J18814)</f>
        <v>&lt;/ValeurCellule&gt;</v>
      </c>
    </row>
    <row r="18814" spans="1:1" x14ac:dyDescent="0.2">
      <c r="A18814" s="996" t="str">
        <f>CONCATENATE(Programme!D18815,Programme!E18815,Programme!F18815,Programme!G18815,Programme!H18815,Programme!I18815,Programme!J18815)</f>
        <v>&lt;ValeurCellule&gt;</v>
      </c>
    </row>
    <row r="18815" spans="1:1" x14ac:dyDescent="0.2">
      <c r="A18815" s="996" t="str">
        <f>CONCATENATE(Programme!D18816,Programme!E18816,Programme!F18816,Programme!G18816,Programme!H18816,Programme!I18816,Programme!J18816)</f>
        <v>&lt;cellule&gt;</v>
      </c>
    </row>
    <row r="18816" spans="1:1" x14ac:dyDescent="0.2">
      <c r="A18816" s="996" t="str">
        <f>CONCATENATE(Programme!D18817,Programme!E18817,Programme!F18817,Programme!G18817,Programme!H18817,Programme!I18817,Programme!J18817)</f>
        <v>&lt;codeEdi&gt;1656&lt;/codeEdi&gt;</v>
      </c>
    </row>
    <row r="18817" spans="1:1" x14ac:dyDescent="0.2">
      <c r="A18817" s="996" t="str">
        <f>CONCATENATE(Programme!D18818,Programme!E18818,Programme!F18818,Programme!G18818,Programme!H18818,Programme!I18818,Programme!J18818)</f>
        <v>&lt;/cellule&gt;</v>
      </c>
    </row>
    <row r="18818" spans="1:1" x14ac:dyDescent="0.2">
      <c r="A18818" s="996" t="str">
        <f>CONCATENATE(Programme!D18819,Programme!E18819,Programme!F18819,Programme!G18819,Programme!H18819,Programme!I18819,Programme!J18819)</f>
        <v>&lt;valeur&gt;0&lt;/valeur&gt;</v>
      </c>
    </row>
    <row r="18819" spans="1:1" x14ac:dyDescent="0.2">
      <c r="A18819" s="996" t="str">
        <f>CONCATENATE(Programme!D18820,Programme!E18820,Programme!F18820,Programme!G18820,Programme!H18820,Programme!I18820,Programme!J18820)</f>
        <v>&lt;/ValeurCellule&gt;</v>
      </c>
    </row>
    <row r="18820" spans="1:1" x14ac:dyDescent="0.2">
      <c r="A18820" s="996" t="str">
        <f>CONCATENATE(Programme!D18821,Programme!E18821,Programme!F18821,Programme!G18821,Programme!H18821,Programme!I18821,Programme!J18821)</f>
        <v>&lt;ValeurCellule&gt;</v>
      </c>
    </row>
    <row r="18821" spans="1:1" x14ac:dyDescent="0.2">
      <c r="A18821" s="996" t="str">
        <f>CONCATENATE(Programme!D18822,Programme!E18822,Programme!F18822,Programme!G18822,Programme!H18822,Programme!I18822,Programme!J18822)</f>
        <v>&lt;cellule&gt;</v>
      </c>
    </row>
    <row r="18822" spans="1:1" x14ac:dyDescent="0.2">
      <c r="A18822" s="996" t="str">
        <f>CONCATENATE(Programme!D18823,Programme!E18823,Programme!F18823,Programme!G18823,Programme!H18823,Programme!I18823,Programme!J18823)</f>
        <v>&lt;codeEdi&gt;1664&lt;/codeEdi&gt;</v>
      </c>
    </row>
    <row r="18823" spans="1:1" x14ac:dyDescent="0.2">
      <c r="A18823" s="996" t="str">
        <f>CONCATENATE(Programme!D18824,Programme!E18824,Programme!F18824,Programme!G18824,Programme!H18824,Programme!I18824,Programme!J18824)</f>
        <v>&lt;/cellule&gt;</v>
      </c>
    </row>
    <row r="18824" spans="1:1" x14ac:dyDescent="0.2">
      <c r="A18824" s="996" t="str">
        <f>CONCATENATE(Programme!D18825,Programme!E18825,Programme!F18825,Programme!G18825,Programme!H18825,Programme!I18825,Programme!J18825)</f>
        <v>&lt;valeur&gt;0&lt;/valeur&gt;</v>
      </c>
    </row>
    <row r="18825" spans="1:1" x14ac:dyDescent="0.2">
      <c r="A18825" s="996" t="str">
        <f>CONCATENATE(Programme!D18826,Programme!E18826,Programme!F18826,Programme!G18826,Programme!H18826,Programme!I18826,Programme!J18826)</f>
        <v>&lt;/ValeurCellule&gt;</v>
      </c>
    </row>
    <row r="18826" spans="1:1" x14ac:dyDescent="0.2">
      <c r="A18826" s="996" t="str">
        <f>CONCATENATE(Programme!D18827,Programme!E18827,Programme!F18827,Programme!G18827,Programme!H18827,Programme!I18827,Programme!J18827)</f>
        <v>&lt;ValeurCellule&gt;</v>
      </c>
    </row>
    <row r="18827" spans="1:1" x14ac:dyDescent="0.2">
      <c r="A18827" s="996" t="str">
        <f>CONCATENATE(Programme!D18828,Programme!E18828,Programme!F18828,Programme!G18828,Programme!H18828,Programme!I18828,Programme!J18828)</f>
        <v>&lt;cellule&gt;</v>
      </c>
    </row>
    <row r="18828" spans="1:1" x14ac:dyDescent="0.2">
      <c r="A18828" s="996" t="str">
        <f>CONCATENATE(Programme!D18829,Programme!E18829,Programme!F18829,Programme!G18829,Programme!H18829,Programme!I18829,Programme!J18829)</f>
        <v>&lt;codeEdi&gt;1612&lt;/codeEdi&gt;</v>
      </c>
    </row>
    <row r="18829" spans="1:1" x14ac:dyDescent="0.2">
      <c r="A18829" s="996" t="str">
        <f>CONCATENATE(Programme!D18830,Programme!E18830,Programme!F18830,Programme!G18830,Programme!H18830,Programme!I18830,Programme!J18830)</f>
        <v>&lt;/cellule&gt;</v>
      </c>
    </row>
    <row r="18830" spans="1:1" x14ac:dyDescent="0.2">
      <c r="A18830" s="996" t="str">
        <f>CONCATENATE(Programme!D18831,Programme!E18831,Programme!F18831,Programme!G18831,Programme!H18831,Programme!I18831,Programme!J18831)</f>
        <v>&lt;valeur&gt;0&lt;/valeur&gt;</v>
      </c>
    </row>
    <row r="18831" spans="1:1" x14ac:dyDescent="0.2">
      <c r="A18831" s="996" t="str">
        <f>CONCATENATE(Programme!D18832,Programme!E18832,Programme!F18832,Programme!G18832,Programme!H18832,Programme!I18832,Programme!J18832)</f>
        <v>&lt;/ValeurCellule&gt;</v>
      </c>
    </row>
    <row r="18832" spans="1:1" x14ac:dyDescent="0.2">
      <c r="A18832" s="996" t="str">
        <f>CONCATENATE(Programme!D18833,Programme!E18833,Programme!F18833,Programme!G18833,Programme!H18833,Programme!I18833,Programme!J18833)</f>
        <v>&lt;ValeurCellule&gt;</v>
      </c>
    </row>
    <row r="18833" spans="1:1" x14ac:dyDescent="0.2">
      <c r="A18833" s="996" t="str">
        <f>CONCATENATE(Programme!D18834,Programme!E18834,Programme!F18834,Programme!G18834,Programme!H18834,Programme!I18834,Programme!J18834)</f>
        <v>&lt;cellule&gt;</v>
      </c>
    </row>
    <row r="18834" spans="1:1" x14ac:dyDescent="0.2">
      <c r="A18834" s="996" t="str">
        <f>CONCATENATE(Programme!D18835,Programme!E18835,Programme!F18835,Programme!G18835,Programme!H18835,Programme!I18835,Programme!J18835)</f>
        <v>&lt;codeEdi&gt;1685&lt;/codeEdi&gt;</v>
      </c>
    </row>
    <row r="18835" spans="1:1" x14ac:dyDescent="0.2">
      <c r="A18835" s="996" t="str">
        <f>CONCATENATE(Programme!D18836,Programme!E18836,Programme!F18836,Programme!G18836,Programme!H18836,Programme!I18836,Programme!J18836)</f>
        <v>&lt;/cellule&gt;</v>
      </c>
    </row>
    <row r="18836" spans="1:1" x14ac:dyDescent="0.2">
      <c r="A18836" s="996" t="str">
        <f>CONCATENATE(Programme!D18837,Programme!E18837,Programme!F18837,Programme!G18837,Programme!H18837,Programme!I18837,Programme!J18837)</f>
        <v>&lt;valeur&gt;0&lt;/valeur&gt;</v>
      </c>
    </row>
    <row r="18837" spans="1:1" x14ac:dyDescent="0.2">
      <c r="A18837" s="996" t="str">
        <f>CONCATENATE(Programme!D18838,Programme!E18838,Programme!F18838,Programme!G18838,Programme!H18838,Programme!I18838,Programme!J18838)</f>
        <v>&lt;/ValeurCellule&gt;</v>
      </c>
    </row>
    <row r="18838" spans="1:1" x14ac:dyDescent="0.2">
      <c r="A18838" s="996" t="str">
        <f>CONCATENATE(Programme!D18839,Programme!E18839,Programme!F18839,Programme!G18839,Programme!H18839,Programme!I18839,Programme!J18839)</f>
        <v>&lt;ValeurCellule&gt;</v>
      </c>
    </row>
    <row r="18839" spans="1:1" x14ac:dyDescent="0.2">
      <c r="A18839" s="996" t="str">
        <f>CONCATENATE(Programme!D18840,Programme!E18840,Programme!F18840,Programme!G18840,Programme!H18840,Programme!I18840,Programme!J18840)</f>
        <v>&lt;cellule&gt;</v>
      </c>
    </row>
    <row r="18840" spans="1:1" x14ac:dyDescent="0.2">
      <c r="A18840" s="996" t="str">
        <f>CONCATENATE(Programme!D18841,Programme!E18841,Programme!F18841,Programme!G18841,Programme!H18841,Programme!I18841,Programme!J18841)</f>
        <v>&lt;codeEdi&gt;1672&lt;/codeEdi&gt;</v>
      </c>
    </row>
    <row r="18841" spans="1:1" x14ac:dyDescent="0.2">
      <c r="A18841" s="996" t="str">
        <f>CONCATENATE(Programme!D18842,Programme!E18842,Programme!F18842,Programme!G18842,Programme!H18842,Programme!I18842,Programme!J18842)</f>
        <v>&lt;/cellule&gt;</v>
      </c>
    </row>
    <row r="18842" spans="1:1" x14ac:dyDescent="0.2">
      <c r="A18842" s="996" t="str">
        <f>CONCATENATE(Programme!D18843,Programme!E18843,Programme!F18843,Programme!G18843,Programme!H18843,Programme!I18843,Programme!J18843)</f>
        <v>&lt;valeur&gt;0&lt;/valeur&gt;</v>
      </c>
    </row>
    <row r="18843" spans="1:1" x14ac:dyDescent="0.2">
      <c r="A18843" s="996" t="str">
        <f>CONCATENATE(Programme!D18844,Programme!E18844,Programme!F18844,Programme!G18844,Programme!H18844,Programme!I18844,Programme!J18844)</f>
        <v>&lt;/ValeurCellule&gt;</v>
      </c>
    </row>
    <row r="18844" spans="1:1" x14ac:dyDescent="0.2">
      <c r="A18844" s="996" t="str">
        <f>CONCATENATE(Programme!D18845,Programme!E18845,Programme!F18845,Programme!G18845,Programme!H18845,Programme!I18845,Programme!J18845)</f>
        <v>&lt;ValeurCellule&gt;</v>
      </c>
    </row>
    <row r="18845" spans="1:1" x14ac:dyDescent="0.2">
      <c r="A18845" s="996" t="str">
        <f>CONCATENATE(Programme!D18846,Programme!E18846,Programme!F18846,Programme!G18846,Programme!H18846,Programme!I18846,Programme!J18846)</f>
        <v>&lt;cellule&gt;</v>
      </c>
    </row>
    <row r="18846" spans="1:1" x14ac:dyDescent="0.2">
      <c r="A18846" s="996" t="str">
        <f>CONCATENATE(Programme!D18847,Programme!E18847,Programme!F18847,Programme!G18847,Programme!H18847,Programme!I18847,Programme!J18847)</f>
        <v>&lt;codeEdi&gt;1736&lt;/codeEdi&gt;</v>
      </c>
    </row>
    <row r="18847" spans="1:1" x14ac:dyDescent="0.2">
      <c r="A18847" s="996" t="str">
        <f>CONCATENATE(Programme!D18848,Programme!E18848,Programme!F18848,Programme!G18848,Programme!H18848,Programme!I18848,Programme!J18848)</f>
        <v>&lt;/cellule&gt;</v>
      </c>
    </row>
    <row r="18848" spans="1:1" x14ac:dyDescent="0.2">
      <c r="A18848" s="996" t="str">
        <f>CONCATENATE(Programme!D18849,Programme!E18849,Programme!F18849,Programme!G18849,Programme!H18849,Programme!I18849,Programme!J18849)</f>
        <v>&lt;valeur&gt;&lt;/valeur&gt;</v>
      </c>
    </row>
    <row r="18849" spans="1:1" x14ac:dyDescent="0.2">
      <c r="A18849" s="996" t="str">
        <f>CONCATENATE(Programme!D18850,Programme!E18850,Programme!F18850,Programme!G18850,Programme!H18850,Programme!I18850,Programme!J18850)</f>
        <v>&lt;/ValeurCellule&gt;</v>
      </c>
    </row>
    <row r="18850" spans="1:1" x14ac:dyDescent="0.2">
      <c r="A18850" s="996" t="str">
        <f>CONCATENATE(Programme!D18851,Programme!E18851,Programme!F18851,Programme!G18851,Programme!H18851,Programme!I18851,Programme!J18851)</f>
        <v>&lt;ValeurCellule&gt;</v>
      </c>
    </row>
    <row r="18851" spans="1:1" x14ac:dyDescent="0.2">
      <c r="A18851" s="996" t="str">
        <f>CONCATENATE(Programme!D18852,Programme!E18852,Programme!F18852,Programme!G18852,Programme!H18852,Programme!I18852,Programme!J18852)</f>
        <v>&lt;cellule&gt;</v>
      </c>
    </row>
    <row r="18852" spans="1:1" x14ac:dyDescent="0.2">
      <c r="A18852" s="996" t="str">
        <f>CONCATENATE(Programme!D18853,Programme!E18853,Programme!F18853,Programme!G18853,Programme!H18853,Programme!I18853,Programme!J18853)</f>
        <v>&lt;codeEdi&gt;1757&lt;/codeEdi&gt;</v>
      </c>
    </row>
    <row r="18853" spans="1:1" x14ac:dyDescent="0.2">
      <c r="A18853" s="996" t="str">
        <f>CONCATENATE(Programme!D18854,Programme!E18854,Programme!F18854,Programme!G18854,Programme!H18854,Programme!I18854,Programme!J18854)</f>
        <v>&lt;/cellule&gt;</v>
      </c>
    </row>
    <row r="18854" spans="1:1" x14ac:dyDescent="0.2">
      <c r="A18854" s="996" t="str">
        <f>CONCATENATE(Programme!D18855,Programme!E18855,Programme!F18855,Programme!G18855,Programme!H18855,Programme!I18855,Programme!J18855)</f>
        <v>&lt;valeur&gt;0&lt;/valeur&gt;</v>
      </c>
    </row>
    <row r="18855" spans="1:1" x14ac:dyDescent="0.2">
      <c r="A18855" s="996" t="str">
        <f>CONCATENATE(Programme!D18856,Programme!E18856,Programme!F18856,Programme!G18856,Programme!H18856,Programme!I18856,Programme!J18856)</f>
        <v>&lt;/ValeurCellule&gt;</v>
      </c>
    </row>
    <row r="18856" spans="1:1" x14ac:dyDescent="0.2">
      <c r="A18856" s="996" t="str">
        <f>CONCATENATE(Programme!D18857,Programme!E18857,Programme!F18857,Programme!G18857,Programme!H18857,Programme!I18857,Programme!J18857)</f>
        <v>&lt;ValeurCellule&gt;</v>
      </c>
    </row>
    <row r="18857" spans="1:1" x14ac:dyDescent="0.2">
      <c r="A18857" s="996" t="str">
        <f>CONCATENATE(Programme!D18858,Programme!E18858,Programme!F18858,Programme!G18858,Programme!H18858,Programme!I18858,Programme!J18858)</f>
        <v>&lt;cellule&gt;</v>
      </c>
    </row>
    <row r="18858" spans="1:1" x14ac:dyDescent="0.2">
      <c r="A18858" s="996" t="str">
        <f>CONCATENATE(Programme!D18859,Programme!E18859,Programme!F18859,Programme!G18859,Programme!H18859,Programme!I18859,Programme!J18859)</f>
        <v>&lt;codeEdi&gt;1769&lt;/codeEdi&gt;</v>
      </c>
    </row>
    <row r="18859" spans="1:1" x14ac:dyDescent="0.2">
      <c r="A18859" s="996" t="str">
        <f>CONCATENATE(Programme!D18860,Programme!E18860,Programme!F18860,Programme!G18860,Programme!H18860,Programme!I18860,Programme!J18860)</f>
        <v>&lt;/cellule&gt;</v>
      </c>
    </row>
    <row r="18860" spans="1:1" x14ac:dyDescent="0.2">
      <c r="A18860" s="996" t="str">
        <f>CONCATENATE(Programme!D18861,Programme!E18861,Programme!F18861,Programme!G18861,Programme!H18861,Programme!I18861,Programme!J18861)</f>
        <v>&lt;valeur&gt;&lt;/valeur&gt;</v>
      </c>
    </row>
    <row r="18861" spans="1:1" x14ac:dyDescent="0.2">
      <c r="A18861" s="996" t="str">
        <f>CONCATENATE(Programme!D18862,Programme!E18862,Programme!F18862,Programme!G18862,Programme!H18862,Programme!I18862,Programme!J18862)</f>
        <v>&lt;/ValeurCellule&gt;</v>
      </c>
    </row>
    <row r="18862" spans="1:1" x14ac:dyDescent="0.2">
      <c r="A18862" s="996" t="str">
        <f>CONCATENATE(Programme!D18863,Programme!E18863,Programme!F18863,Programme!G18863,Programme!H18863,Programme!I18863,Programme!J18863)</f>
        <v>&lt;ValeurCellule&gt;</v>
      </c>
    </row>
    <row r="18863" spans="1:1" x14ac:dyDescent="0.2">
      <c r="A18863" s="996" t="str">
        <f>CONCATENATE(Programme!D18864,Programme!E18864,Programme!F18864,Programme!G18864,Programme!H18864,Programme!I18864,Programme!J18864)</f>
        <v>&lt;cellule&gt;</v>
      </c>
    </row>
    <row r="18864" spans="1:1" x14ac:dyDescent="0.2">
      <c r="A18864" s="996" t="str">
        <f>CONCATENATE(Programme!D18865,Programme!E18865,Programme!F18865,Programme!G18865,Programme!H18865,Programme!I18865,Programme!J18865)</f>
        <v>&lt;codeEdi&gt;1800&lt;/codeEdi&gt;</v>
      </c>
    </row>
    <row r="18865" spans="1:1" x14ac:dyDescent="0.2">
      <c r="A18865" s="996" t="str">
        <f>CONCATENATE(Programme!D18866,Programme!E18866,Programme!F18866,Programme!G18866,Programme!H18866,Programme!I18866,Programme!J18866)</f>
        <v>&lt;/cellule&gt;</v>
      </c>
    </row>
    <row r="18866" spans="1:1" x14ac:dyDescent="0.2">
      <c r="A18866" s="996" t="str">
        <f>CONCATENATE(Programme!D18867,Programme!E18867,Programme!F18867,Programme!G18867,Programme!H18867,Programme!I18867,Programme!J18867)</f>
        <v>&lt;valeur&gt;0&lt;/valeur&gt;</v>
      </c>
    </row>
    <row r="18867" spans="1:1" x14ac:dyDescent="0.2">
      <c r="A18867" s="996" t="str">
        <f>CONCATENATE(Programme!D18868,Programme!E18868,Programme!F18868,Programme!G18868,Programme!H18868,Programme!I18868,Programme!J18868)</f>
        <v>&lt;/ValeurCellule&gt;</v>
      </c>
    </row>
    <row r="18868" spans="1:1" x14ac:dyDescent="0.2">
      <c r="A18868" s="996" t="str">
        <f>CONCATENATE(Programme!D18869,Programme!E18869,Programme!F18869,Programme!G18869,Programme!H18869,Programme!I18869,Programme!J18869)</f>
        <v>&lt;ValeurCellule&gt;</v>
      </c>
    </row>
    <row r="18869" spans="1:1" x14ac:dyDescent="0.2">
      <c r="A18869" s="996" t="str">
        <f>CONCATENATE(Programme!D18870,Programme!E18870,Programme!F18870,Programme!G18870,Programme!H18870,Programme!I18870,Programme!J18870)</f>
        <v>&lt;cellule&gt;</v>
      </c>
    </row>
    <row r="18870" spans="1:1" x14ac:dyDescent="0.2">
      <c r="A18870" s="996" t="str">
        <f>CONCATENATE(Programme!D18871,Programme!E18871,Programme!F18871,Programme!G18871,Programme!H18871,Programme!I18871,Programme!J18871)</f>
        <v>&lt;codeEdi&gt;1819&lt;/codeEdi&gt;</v>
      </c>
    </row>
    <row r="18871" spans="1:1" x14ac:dyDescent="0.2">
      <c r="A18871" s="996" t="str">
        <f>CONCATENATE(Programme!D18872,Programme!E18872,Programme!F18872,Programme!G18872,Programme!H18872,Programme!I18872,Programme!J18872)</f>
        <v>&lt;/cellule&gt;</v>
      </c>
    </row>
    <row r="18872" spans="1:1" x14ac:dyDescent="0.2">
      <c r="A18872" s="996" t="str">
        <f>CONCATENATE(Programme!D18873,Programme!E18873,Programme!F18873,Programme!G18873,Programme!H18873,Programme!I18873,Programme!J18873)</f>
        <v>&lt;valeur&gt;&lt;/valeur&gt;</v>
      </c>
    </row>
    <row r="18873" spans="1:1" x14ac:dyDescent="0.2">
      <c r="A18873" s="996" t="str">
        <f>CONCATENATE(Programme!D18874,Programme!E18874,Programme!F18874,Programme!G18874,Programme!H18874,Programme!I18874,Programme!J18874)</f>
        <v>&lt;/ValeurCellule&gt;</v>
      </c>
    </row>
    <row r="18874" spans="1:1" x14ac:dyDescent="0.2">
      <c r="A18874" s="996" t="str">
        <f>CONCATENATE(Programme!D18875,Programme!E18875,Programme!F18875,Programme!G18875,Programme!H18875,Programme!I18875,Programme!J18875)</f>
        <v>&lt;ValeurCellule&gt;</v>
      </c>
    </row>
    <row r="18875" spans="1:1" x14ac:dyDescent="0.2">
      <c r="A18875" s="996" t="str">
        <f>CONCATENATE(Programme!D18876,Programme!E18876,Programme!F18876,Programme!G18876,Programme!H18876,Programme!I18876,Programme!J18876)</f>
        <v>&lt;cellule&gt;</v>
      </c>
    </row>
    <row r="18876" spans="1:1" x14ac:dyDescent="0.2">
      <c r="A18876" s="996" t="str">
        <f>CONCATENATE(Programme!D18877,Programme!E18877,Programme!F18877,Programme!G18877,Programme!H18877,Programme!I18877,Programme!J18877)</f>
        <v>&lt;codeEdi&gt;1836&lt;/codeEdi&gt;</v>
      </c>
    </row>
    <row r="18877" spans="1:1" x14ac:dyDescent="0.2">
      <c r="A18877" s="996" t="str">
        <f>CONCATENATE(Programme!D18878,Programme!E18878,Programme!F18878,Programme!G18878,Programme!H18878,Programme!I18878,Programme!J18878)</f>
        <v>&lt;/cellule&gt;</v>
      </c>
    </row>
    <row r="18878" spans="1:1" x14ac:dyDescent="0.2">
      <c r="A18878" s="996" t="str">
        <f>CONCATENATE(Programme!D18879,Programme!E18879,Programme!F18879,Programme!G18879,Programme!H18879,Programme!I18879,Programme!J18879)</f>
        <v>&lt;valeur&gt;0&lt;/valeur&gt;</v>
      </c>
    </row>
    <row r="18879" spans="1:1" x14ac:dyDescent="0.2">
      <c r="A18879" s="996" t="str">
        <f>CONCATENATE(Programme!D18880,Programme!E18880,Programme!F18880,Programme!G18880,Programme!H18880,Programme!I18880,Programme!J18880)</f>
        <v>&lt;/ValeurCellule&gt;</v>
      </c>
    </row>
    <row r="18880" spans="1:1" x14ac:dyDescent="0.2">
      <c r="A18880" s="996" t="str">
        <f>CONCATENATE(Programme!D18881,Programme!E18881,Programme!F18881,Programme!G18881,Programme!H18881,Programme!I18881,Programme!J18881)</f>
        <v>&lt;ValeurCellule&gt;</v>
      </c>
    </row>
    <row r="18881" spans="1:1" x14ac:dyDescent="0.2">
      <c r="A18881" s="996" t="str">
        <f>CONCATENATE(Programme!D18882,Programme!E18882,Programme!F18882,Programme!G18882,Programme!H18882,Programme!I18882,Programme!J18882)</f>
        <v>&lt;cellule&gt;</v>
      </c>
    </row>
    <row r="18882" spans="1:1" x14ac:dyDescent="0.2">
      <c r="A18882" s="996" t="str">
        <f>CONCATENATE(Programme!D18883,Programme!E18883,Programme!F18883,Programme!G18883,Programme!H18883,Programme!I18883,Programme!J18883)</f>
        <v>&lt;codeEdi&gt;1861&lt;/codeEdi&gt;</v>
      </c>
    </row>
    <row r="18883" spans="1:1" x14ac:dyDescent="0.2">
      <c r="A18883" s="996" t="str">
        <f>CONCATENATE(Programme!D18884,Programme!E18884,Programme!F18884,Programme!G18884,Programme!H18884,Programme!I18884,Programme!J18884)</f>
        <v>&lt;/cellule&gt;</v>
      </c>
    </row>
    <row r="18884" spans="1:1" x14ac:dyDescent="0.2">
      <c r="A18884" s="996" t="str">
        <f>CONCATENATE(Programme!D18885,Programme!E18885,Programme!F18885,Programme!G18885,Programme!H18885,Programme!I18885,Programme!J18885)</f>
        <v>&lt;valeur&gt;0&lt;/valeur&gt;</v>
      </c>
    </row>
    <row r="18885" spans="1:1" x14ac:dyDescent="0.2">
      <c r="A18885" s="996" t="str">
        <f>CONCATENATE(Programme!D18886,Programme!E18886,Programme!F18886,Programme!G18886,Programme!H18886,Programme!I18886,Programme!J18886)</f>
        <v>&lt;/ValeurCellule&gt;</v>
      </c>
    </row>
    <row r="18886" spans="1:1" x14ac:dyDescent="0.2">
      <c r="A18886" s="996" t="str">
        <f>CONCATENATE(Programme!D18887,Programme!E18887,Programme!F18887,Programme!G18887,Programme!H18887,Programme!I18887,Programme!J18887)</f>
        <v>&lt;ValeurCellule&gt;</v>
      </c>
    </row>
    <row r="18887" spans="1:1" x14ac:dyDescent="0.2">
      <c r="A18887" s="996" t="str">
        <f>CONCATENATE(Programme!D18888,Programme!E18888,Programme!F18888,Programme!G18888,Programme!H18888,Programme!I18888,Programme!J18888)</f>
        <v>&lt;cellule&gt;</v>
      </c>
    </row>
    <row r="18888" spans="1:1" x14ac:dyDescent="0.2">
      <c r="A18888" s="996" t="str">
        <f>CONCATENATE(Programme!D18889,Programme!E18889,Programme!F18889,Programme!G18889,Programme!H18889,Programme!I18889,Programme!J18889)</f>
        <v>&lt;codeEdi&gt;1869&lt;/codeEdi&gt;</v>
      </c>
    </row>
    <row r="18889" spans="1:1" x14ac:dyDescent="0.2">
      <c r="A18889" s="996" t="str">
        <f>CONCATENATE(Programme!D18890,Programme!E18890,Programme!F18890,Programme!G18890,Programme!H18890,Programme!I18890,Programme!J18890)</f>
        <v>&lt;/cellule&gt;</v>
      </c>
    </row>
    <row r="18890" spans="1:1" x14ac:dyDescent="0.2">
      <c r="A18890" s="996" t="str">
        <f>CONCATENATE(Programme!D18891,Programme!E18891,Programme!F18891,Programme!G18891,Programme!H18891,Programme!I18891,Programme!J18891)</f>
        <v>&lt;valeur&gt;0&lt;/valeur&gt;</v>
      </c>
    </row>
    <row r="18891" spans="1:1" x14ac:dyDescent="0.2">
      <c r="A18891" s="996" t="str">
        <f>CONCATENATE(Programme!D18892,Programme!E18892,Programme!F18892,Programme!G18892,Programme!H18892,Programme!I18892,Programme!J18892)</f>
        <v>&lt;/ValeurCellule&gt;</v>
      </c>
    </row>
    <row r="18892" spans="1:1" x14ac:dyDescent="0.2">
      <c r="A18892" s="996" t="str">
        <f>CONCATENATE(Programme!D18893,Programme!E18893,Programme!F18893,Programme!G18893,Programme!H18893,Programme!I18893,Programme!J18893)</f>
        <v>&lt;ValeurCellule&gt;</v>
      </c>
    </row>
    <row r="18893" spans="1:1" x14ac:dyDescent="0.2">
      <c r="A18893" s="996" t="str">
        <f>CONCATENATE(Programme!D18894,Programme!E18894,Programme!F18894,Programme!G18894,Programme!H18894,Programme!I18894,Programme!J18894)</f>
        <v>&lt;cellule&gt;</v>
      </c>
    </row>
    <row r="18894" spans="1:1" x14ac:dyDescent="0.2">
      <c r="A18894" s="996" t="str">
        <f>CONCATENATE(Programme!D18895,Programme!E18895,Programme!F18895,Programme!G18895,Programme!H18895,Programme!I18895,Programme!J18895)</f>
        <v>&lt;codeEdi&gt;1886&lt;/codeEdi&gt;</v>
      </c>
    </row>
    <row r="18895" spans="1:1" x14ac:dyDescent="0.2">
      <c r="A18895" s="996" t="str">
        <f>CONCATENATE(Programme!D18896,Programme!E18896,Programme!F18896,Programme!G18896,Programme!H18896,Programme!I18896,Programme!J18896)</f>
        <v>&lt;/cellule&gt;</v>
      </c>
    </row>
    <row r="18896" spans="1:1" x14ac:dyDescent="0.2">
      <c r="A18896" s="996" t="str">
        <f>CONCATENATE(Programme!D18897,Programme!E18897,Programme!F18897,Programme!G18897,Programme!H18897,Programme!I18897,Programme!J18897)</f>
        <v>&lt;valeur&gt;0&lt;/valeur&gt;</v>
      </c>
    </row>
    <row r="18897" spans="1:1" x14ac:dyDescent="0.2">
      <c r="A18897" s="996" t="str">
        <f>CONCATENATE(Programme!D18898,Programme!E18898,Programme!F18898,Programme!G18898,Programme!H18898,Programme!I18898,Programme!J18898)</f>
        <v>&lt;/ValeurCellule&gt;</v>
      </c>
    </row>
    <row r="18898" spans="1:1" x14ac:dyDescent="0.2">
      <c r="A18898" s="996" t="str">
        <f>CONCATENATE(Programme!D18899,Programme!E18899,Programme!F18899,Programme!G18899,Programme!H18899,Programme!I18899,Programme!J18899)</f>
        <v>&lt;ValeurCellule&gt;</v>
      </c>
    </row>
    <row r="18899" spans="1:1" x14ac:dyDescent="0.2">
      <c r="A18899" s="996" t="str">
        <f>CONCATENATE(Programme!D18900,Programme!E18900,Programme!F18900,Programme!G18900,Programme!H18900,Programme!I18900,Programme!J18900)</f>
        <v>&lt;cellule&gt;</v>
      </c>
    </row>
    <row r="18900" spans="1:1" x14ac:dyDescent="0.2">
      <c r="A18900" s="996" t="str">
        <f>CONCATENATE(Programme!D18901,Programme!E18901,Programme!F18901,Programme!G18901,Programme!H18901,Programme!I18901,Programme!J18901)</f>
        <v>&lt;codeEdi&gt;1853&lt;/codeEdi&gt;</v>
      </c>
    </row>
    <row r="18901" spans="1:1" x14ac:dyDescent="0.2">
      <c r="A18901" s="996" t="str">
        <f>CONCATENATE(Programme!D18902,Programme!E18902,Programme!F18902,Programme!G18902,Programme!H18902,Programme!I18902,Programme!J18902)</f>
        <v>&lt;/cellule&gt;</v>
      </c>
    </row>
    <row r="18902" spans="1:1" x14ac:dyDescent="0.2">
      <c r="A18902" s="996" t="str">
        <f>CONCATENATE(Programme!D18903,Programme!E18903,Programme!F18903,Programme!G18903,Programme!H18903,Programme!I18903,Programme!J18903)</f>
        <v>&lt;valeur&gt;0&lt;/valeur&gt;</v>
      </c>
    </row>
    <row r="18903" spans="1:1" x14ac:dyDescent="0.2">
      <c r="A18903" s="996" t="str">
        <f>CONCATENATE(Programme!D18904,Programme!E18904,Programme!F18904,Programme!G18904,Programme!H18904,Programme!I18904,Programme!J18904)</f>
        <v>&lt;/ValeurCellule&gt;</v>
      </c>
    </row>
    <row r="18904" spans="1:1" x14ac:dyDescent="0.2">
      <c r="A18904" s="996" t="str">
        <f>CONCATENATE(Programme!D18905,Programme!E18905,Programme!F18905,Programme!G18905,Programme!H18905,Programme!I18905,Programme!J18905)</f>
        <v>&lt;ValeurCellule&gt;</v>
      </c>
    </row>
    <row r="18905" spans="1:1" x14ac:dyDescent="0.2">
      <c r="A18905" s="996" t="str">
        <f>CONCATENATE(Programme!D18906,Programme!E18906,Programme!F18906,Programme!G18906,Programme!H18906,Programme!I18906,Programme!J18906)</f>
        <v>&lt;cellule&gt;</v>
      </c>
    </row>
    <row r="18906" spans="1:1" x14ac:dyDescent="0.2">
      <c r="A18906" s="996" t="str">
        <f>CONCATENATE(Programme!D18907,Programme!E18907,Programme!F18907,Programme!G18907,Programme!H18907,Programme!I18907,Programme!J18907)</f>
        <v>&lt;codeEdi&gt;1402&lt;/codeEdi&gt;</v>
      </c>
    </row>
    <row r="18907" spans="1:1" x14ac:dyDescent="0.2">
      <c r="A18907" s="996" t="str">
        <f>CONCATENATE(Programme!D18908,Programme!E18908,Programme!F18908,Programme!G18908,Programme!H18908,Programme!I18908,Programme!J18908)</f>
        <v>&lt;/cellule&gt;</v>
      </c>
    </row>
    <row r="18908" spans="1:1" x14ac:dyDescent="0.2">
      <c r="A18908" s="996" t="str">
        <f>CONCATENATE(Programme!D18909,Programme!E18909,Programme!F18909,Programme!G18909,Programme!H18909,Programme!I18909,Programme!J18909)</f>
        <v>&lt;valeur&gt;&lt;/valeur&gt;</v>
      </c>
    </row>
    <row r="18909" spans="1:1" x14ac:dyDescent="0.2">
      <c r="A18909" s="996" t="str">
        <f>CONCATENATE(Programme!D18910,Programme!E18910,Programme!F18910,Programme!G18910,Programme!H18910,Programme!I18910,Programme!J18910)</f>
        <v>&lt;/ValeurCellule&gt;</v>
      </c>
    </row>
    <row r="18910" spans="1:1" x14ac:dyDescent="0.2">
      <c r="A18910" s="996" t="str">
        <f>CONCATENATE(Programme!D18911,Programme!E18911,Programme!F18911,Programme!G18911,Programme!H18911,Programme!I18911,Programme!J18911)</f>
        <v>&lt;ValeurCellule&gt;</v>
      </c>
    </row>
    <row r="18911" spans="1:1" x14ac:dyDescent="0.2">
      <c r="A18911" s="996" t="str">
        <f>CONCATENATE(Programme!D18912,Programme!E18912,Programme!F18912,Programme!G18912,Programme!H18912,Programme!I18912,Programme!J18912)</f>
        <v>&lt;cellule&gt;</v>
      </c>
    </row>
    <row r="18912" spans="1:1" x14ac:dyDescent="0.2">
      <c r="A18912" s="996" t="str">
        <f>CONCATENATE(Programme!D18913,Programme!E18913,Programme!F18913,Programme!G18913,Programme!H18913,Programme!I18913,Programme!J18913)</f>
        <v>&lt;codeEdi&gt;1410&lt;/codeEdi&gt;</v>
      </c>
    </row>
    <row r="18913" spans="1:1" x14ac:dyDescent="0.2">
      <c r="A18913" s="996" t="str">
        <f>CONCATENATE(Programme!D18914,Programme!E18914,Programme!F18914,Programme!G18914,Programme!H18914,Programme!I18914,Programme!J18914)</f>
        <v>&lt;/cellule&gt;</v>
      </c>
    </row>
    <row r="18914" spans="1:1" x14ac:dyDescent="0.2">
      <c r="A18914" s="996" t="str">
        <f>CONCATENATE(Programme!D18915,Programme!E18915,Programme!F18915,Programme!G18915,Programme!H18915,Programme!I18915,Programme!J18915)</f>
        <v>&lt;valeur&gt;&lt;/valeur&gt;</v>
      </c>
    </row>
    <row r="18915" spans="1:1" x14ac:dyDescent="0.2">
      <c r="A18915" s="996" t="str">
        <f>CONCATENATE(Programme!D18916,Programme!E18916,Programme!F18916,Programme!G18916,Programme!H18916,Programme!I18916,Programme!J18916)</f>
        <v>&lt;/ValeurCellule&gt;</v>
      </c>
    </row>
    <row r="18916" spans="1:1" x14ac:dyDescent="0.2">
      <c r="A18916" s="996" t="str">
        <f>CONCATENATE(Programme!D18917,Programme!E18917,Programme!F18917,Programme!G18917,Programme!H18917,Programme!I18917,Programme!J18917)</f>
        <v>&lt;ValeurCellule&gt;</v>
      </c>
    </row>
    <row r="18917" spans="1:1" x14ac:dyDescent="0.2">
      <c r="A18917" s="996" t="str">
        <f>CONCATENATE(Programme!D18918,Programme!E18918,Programme!F18918,Programme!G18918,Programme!H18918,Programme!I18918,Programme!J18918)</f>
        <v>&lt;cellule&gt;</v>
      </c>
    </row>
    <row r="18918" spans="1:1" x14ac:dyDescent="0.2">
      <c r="A18918" s="996" t="str">
        <f>CONCATENATE(Programme!D18919,Programme!E18919,Programme!F18919,Programme!G18919,Programme!H18919,Programme!I18919,Programme!J18919)</f>
        <v>&lt;codeEdi&gt;1418&lt;/codeEdi&gt;</v>
      </c>
    </row>
    <row r="18919" spans="1:1" x14ac:dyDescent="0.2">
      <c r="A18919" s="996" t="str">
        <f>CONCATENATE(Programme!D18920,Programme!E18920,Programme!F18920,Programme!G18920,Programme!H18920,Programme!I18920,Programme!J18920)</f>
        <v>&lt;/cellule&gt;</v>
      </c>
    </row>
    <row r="18920" spans="1:1" x14ac:dyDescent="0.2">
      <c r="A18920" s="996" t="str">
        <f>CONCATENATE(Programme!D18921,Programme!E18921,Programme!F18921,Programme!G18921,Programme!H18921,Programme!I18921,Programme!J18921)</f>
        <v>&lt;valeur&gt;&lt;/valeur&gt;</v>
      </c>
    </row>
    <row r="18921" spans="1:1" x14ac:dyDescent="0.2">
      <c r="A18921" s="996" t="str">
        <f>CONCATENATE(Programme!D18922,Programme!E18922,Programme!F18922,Programme!G18922,Programme!H18922,Programme!I18922,Programme!J18922)</f>
        <v>&lt;/ValeurCellule&gt;</v>
      </c>
    </row>
    <row r="18922" spans="1:1" x14ac:dyDescent="0.2">
      <c r="A18922" s="996" t="str">
        <f>CONCATENATE(Programme!D18923,Programme!E18923,Programme!F18923,Programme!G18923,Programme!H18923,Programme!I18923,Programme!J18923)</f>
        <v>&lt;ValeurCellule&gt;</v>
      </c>
    </row>
    <row r="18923" spans="1:1" x14ac:dyDescent="0.2">
      <c r="A18923" s="996" t="str">
        <f>CONCATENATE(Programme!D18924,Programme!E18924,Programme!F18924,Programme!G18924,Programme!H18924,Programme!I18924,Programme!J18924)</f>
        <v>&lt;cellule&gt;</v>
      </c>
    </row>
    <row r="18924" spans="1:1" x14ac:dyDescent="0.2">
      <c r="A18924" s="996" t="str">
        <f>CONCATENATE(Programme!D18925,Programme!E18925,Programme!F18925,Programme!G18925,Programme!H18925,Programme!I18925,Programme!J18925)</f>
        <v>&lt;codeEdi&gt;1426&lt;/codeEdi&gt;</v>
      </c>
    </row>
    <row r="18925" spans="1:1" x14ac:dyDescent="0.2">
      <c r="A18925" s="996" t="str">
        <f>CONCATENATE(Programme!D18926,Programme!E18926,Programme!F18926,Programme!G18926,Programme!H18926,Programme!I18926,Programme!J18926)</f>
        <v>&lt;/cellule&gt;</v>
      </c>
    </row>
    <row r="18926" spans="1:1" x14ac:dyDescent="0.2">
      <c r="A18926" s="996" t="str">
        <f>CONCATENATE(Programme!D18927,Programme!E18927,Programme!F18927,Programme!G18927,Programme!H18927,Programme!I18927,Programme!J18927)</f>
        <v>&lt;valeur&gt;0&lt;/valeur&gt;</v>
      </c>
    </row>
    <row r="18927" spans="1:1" x14ac:dyDescent="0.2">
      <c r="A18927" s="996" t="str">
        <f>CONCATENATE(Programme!D18928,Programme!E18928,Programme!F18928,Programme!G18928,Programme!H18928,Programme!I18928,Programme!J18928)</f>
        <v>&lt;/ValeurCellule&gt;</v>
      </c>
    </row>
    <row r="18928" spans="1:1" x14ac:dyDescent="0.2">
      <c r="A18928" s="996" t="str">
        <f>CONCATENATE(Programme!D18929,Programme!E18929,Programme!F18929,Programme!G18929,Programme!H18929,Programme!I18929,Programme!J18929)</f>
        <v>&lt;ValeurCellule&gt;</v>
      </c>
    </row>
    <row r="18929" spans="1:1" x14ac:dyDescent="0.2">
      <c r="A18929" s="996" t="str">
        <f>CONCATENATE(Programme!D18930,Programme!E18930,Programme!F18930,Programme!G18930,Programme!H18930,Programme!I18930,Programme!J18930)</f>
        <v>&lt;cellule&gt;</v>
      </c>
    </row>
    <row r="18930" spans="1:1" x14ac:dyDescent="0.2">
      <c r="A18930" s="996" t="str">
        <f>CONCATENATE(Programme!D18931,Programme!E18931,Programme!F18931,Programme!G18931,Programme!H18931,Programme!I18931,Programme!J18931)</f>
        <v>&lt;codeEdi&gt;1434&lt;/codeEdi&gt;</v>
      </c>
    </row>
    <row r="18931" spans="1:1" x14ac:dyDescent="0.2">
      <c r="A18931" s="996" t="str">
        <f>CONCATENATE(Programme!D18932,Programme!E18932,Programme!F18932,Programme!G18932,Programme!H18932,Programme!I18932,Programme!J18932)</f>
        <v>&lt;/cellule&gt;</v>
      </c>
    </row>
    <row r="18932" spans="1:1" x14ac:dyDescent="0.2">
      <c r="A18932" s="996" t="str">
        <f>CONCATENATE(Programme!D18933,Programme!E18933,Programme!F18933,Programme!G18933,Programme!H18933,Programme!I18933,Programme!J18933)</f>
        <v>&lt;valeur&gt;0&lt;/valeur&gt;</v>
      </c>
    </row>
    <row r="18933" spans="1:1" x14ac:dyDescent="0.2">
      <c r="A18933" s="996" t="str">
        <f>CONCATENATE(Programme!D18934,Programme!E18934,Programme!F18934,Programme!G18934,Programme!H18934,Programme!I18934,Programme!J18934)</f>
        <v>&lt;/ValeurCellule&gt;</v>
      </c>
    </row>
    <row r="18934" spans="1:1" x14ac:dyDescent="0.2">
      <c r="A18934" s="996" t="str">
        <f>CONCATENATE(Programme!D18935,Programme!E18935,Programme!F18935,Programme!G18935,Programme!H18935,Programme!I18935,Programme!J18935)</f>
        <v>&lt;ValeurCellule&gt;</v>
      </c>
    </row>
    <row r="18935" spans="1:1" x14ac:dyDescent="0.2">
      <c r="A18935" s="996" t="str">
        <f>CONCATENATE(Programme!D18936,Programme!E18936,Programme!F18936,Programme!G18936,Programme!H18936,Programme!I18936,Programme!J18936)</f>
        <v>&lt;cellule&gt;</v>
      </c>
    </row>
    <row r="18936" spans="1:1" x14ac:dyDescent="0.2">
      <c r="A18936" s="996" t="str">
        <f>CONCATENATE(Programme!D18937,Programme!E18937,Programme!F18937,Programme!G18937,Programme!H18937,Programme!I18937,Programme!J18937)</f>
        <v>&lt;codeEdi&gt;1450&lt;/codeEdi&gt;</v>
      </c>
    </row>
    <row r="18937" spans="1:1" x14ac:dyDescent="0.2">
      <c r="A18937" s="996" t="str">
        <f>CONCATENATE(Programme!D18938,Programme!E18938,Programme!F18938,Programme!G18938,Programme!H18938,Programme!I18938,Programme!J18938)</f>
        <v>&lt;/cellule&gt;</v>
      </c>
    </row>
    <row r="18938" spans="1:1" x14ac:dyDescent="0.2">
      <c r="A18938" s="996" t="str">
        <f>CONCATENATE(Programme!D18939,Programme!E18939,Programme!F18939,Programme!G18939,Programme!H18939,Programme!I18939,Programme!J18939)</f>
        <v>&lt;valeur&gt;&lt;/valeur&gt;</v>
      </c>
    </row>
    <row r="18939" spans="1:1" x14ac:dyDescent="0.2">
      <c r="A18939" s="996" t="str">
        <f>CONCATENATE(Programme!D18940,Programme!E18940,Programme!F18940,Programme!G18940,Programme!H18940,Programme!I18940,Programme!J18940)</f>
        <v>&lt;/ValeurCellule&gt;</v>
      </c>
    </row>
    <row r="18940" spans="1:1" x14ac:dyDescent="0.2">
      <c r="A18940" s="996" t="str">
        <f>CONCATENATE(Programme!D18941,Programme!E18941,Programme!F18941,Programme!G18941,Programme!H18941,Programme!I18941,Programme!J18941)</f>
        <v>&lt;ValeurCellule&gt;</v>
      </c>
    </row>
    <row r="18941" spans="1:1" x14ac:dyDescent="0.2">
      <c r="A18941" s="996" t="str">
        <f>CONCATENATE(Programme!D18942,Programme!E18942,Programme!F18942,Programme!G18942,Programme!H18942,Programme!I18942,Programme!J18942)</f>
        <v>&lt;cellule&gt;</v>
      </c>
    </row>
    <row r="18942" spans="1:1" x14ac:dyDescent="0.2">
      <c r="A18942" s="996" t="str">
        <f>CONCATENATE(Programme!D18943,Programme!E18943,Programme!F18943,Programme!G18943,Programme!H18943,Programme!I18943,Programme!J18943)</f>
        <v>&lt;codeEdi&gt;1458&lt;/codeEdi&gt;</v>
      </c>
    </row>
    <row r="18943" spans="1:1" x14ac:dyDescent="0.2">
      <c r="A18943" s="996" t="str">
        <f>CONCATENATE(Programme!D18944,Programme!E18944,Programme!F18944,Programme!G18944,Programme!H18944,Programme!I18944,Programme!J18944)</f>
        <v>&lt;/cellule&gt;</v>
      </c>
    </row>
    <row r="18944" spans="1:1" x14ac:dyDescent="0.2">
      <c r="A18944" s="996" t="str">
        <f>CONCATENATE(Programme!D18945,Programme!E18945,Programme!F18945,Programme!G18945,Programme!H18945,Programme!I18945,Programme!J18945)</f>
        <v>&lt;valeur&gt;0&lt;/valeur&gt;</v>
      </c>
    </row>
    <row r="18945" spans="1:1" x14ac:dyDescent="0.2">
      <c r="A18945" s="996" t="str">
        <f>CONCATENATE(Programme!D18946,Programme!E18946,Programme!F18946,Programme!G18946,Programme!H18946,Programme!I18946,Programme!J18946)</f>
        <v>&lt;/ValeurCellule&gt;</v>
      </c>
    </row>
    <row r="18946" spans="1:1" x14ac:dyDescent="0.2">
      <c r="A18946" s="996" t="str">
        <f>CONCATENATE(Programme!D18947,Programme!E18947,Programme!F18947,Programme!G18947,Programme!H18947,Programme!I18947,Programme!J18947)</f>
        <v>&lt;ValeurCellule&gt;</v>
      </c>
    </row>
    <row r="18947" spans="1:1" x14ac:dyDescent="0.2">
      <c r="A18947" s="996" t="str">
        <f>CONCATENATE(Programme!D18948,Programme!E18948,Programme!F18948,Programme!G18948,Programme!H18948,Programme!I18948,Programme!J18948)</f>
        <v>&lt;cellule&gt;</v>
      </c>
    </row>
    <row r="18948" spans="1:1" x14ac:dyDescent="0.2">
      <c r="A18948" s="996" t="str">
        <f>CONCATENATE(Programme!D18949,Programme!E18949,Programme!F18949,Programme!G18949,Programme!H18949,Programme!I18949,Programme!J18949)</f>
        <v>&lt;codeEdi&gt;1466&lt;/codeEdi&gt;</v>
      </c>
    </row>
    <row r="18949" spans="1:1" x14ac:dyDescent="0.2">
      <c r="A18949" s="996" t="str">
        <f>CONCATENATE(Programme!D18950,Programme!E18950,Programme!F18950,Programme!G18950,Programme!H18950,Programme!I18950,Programme!J18950)</f>
        <v>&lt;/cellule&gt;</v>
      </c>
    </row>
    <row r="18950" spans="1:1" x14ac:dyDescent="0.2">
      <c r="A18950" s="996" t="str">
        <f>CONCATENATE(Programme!D18951,Programme!E18951,Programme!F18951,Programme!G18951,Programme!H18951,Programme!I18951,Programme!J18951)</f>
        <v>&lt;valeur&gt;0&lt;/valeur&gt;</v>
      </c>
    </row>
    <row r="18951" spans="1:1" x14ac:dyDescent="0.2">
      <c r="A18951" s="996" t="str">
        <f>CONCATENATE(Programme!D18952,Programme!E18952,Programme!F18952,Programme!G18952,Programme!H18952,Programme!I18952,Programme!J18952)</f>
        <v>&lt;/ValeurCellule&gt;</v>
      </c>
    </row>
    <row r="18952" spans="1:1" x14ac:dyDescent="0.2">
      <c r="A18952" s="996" t="str">
        <f>CONCATENATE(Programme!D18953,Programme!E18953,Programme!F18953,Programme!G18953,Programme!H18953,Programme!I18953,Programme!J18953)</f>
        <v>&lt;ValeurCellule&gt;</v>
      </c>
    </row>
    <row r="18953" spans="1:1" x14ac:dyDescent="0.2">
      <c r="A18953" s="996" t="str">
        <f>CONCATENATE(Programme!D18954,Programme!E18954,Programme!F18954,Programme!G18954,Programme!H18954,Programme!I18954,Programme!J18954)</f>
        <v>&lt;cellule&gt;</v>
      </c>
    </row>
    <row r="18954" spans="1:1" x14ac:dyDescent="0.2">
      <c r="A18954" s="996" t="str">
        <f>CONCATENATE(Programme!D18955,Programme!E18955,Programme!F18955,Programme!G18955,Programme!H18955,Programme!I18955,Programme!J18955)</f>
        <v>&lt;codeEdi&gt;1474&lt;/codeEdi&gt;</v>
      </c>
    </row>
    <row r="18955" spans="1:1" x14ac:dyDescent="0.2">
      <c r="A18955" s="996" t="str">
        <f>CONCATENATE(Programme!D18956,Programme!E18956,Programme!F18956,Programme!G18956,Programme!H18956,Programme!I18956,Programme!J18956)</f>
        <v>&lt;/cellule&gt;</v>
      </c>
    </row>
    <row r="18956" spans="1:1" x14ac:dyDescent="0.2">
      <c r="A18956" s="996" t="str">
        <f>CONCATENATE(Programme!D18957,Programme!E18957,Programme!F18957,Programme!G18957,Programme!H18957,Programme!I18957,Programme!J18957)</f>
        <v>&lt;valeur&gt;&lt;/valeur&gt;</v>
      </c>
    </row>
    <row r="18957" spans="1:1" x14ac:dyDescent="0.2">
      <c r="A18957" s="996" t="str">
        <f>CONCATENATE(Programme!D18958,Programme!E18958,Programme!F18958,Programme!G18958,Programme!H18958,Programme!I18958,Programme!J18958)</f>
        <v>&lt;/ValeurCellule&gt;</v>
      </c>
    </row>
    <row r="18958" spans="1:1" x14ac:dyDescent="0.2">
      <c r="A18958" s="996" t="str">
        <f>CONCATENATE(Programme!D18959,Programme!E18959,Programme!F18959,Programme!G18959,Programme!H18959,Programme!I18959,Programme!J18959)</f>
        <v>&lt;ValeurCellule&gt;</v>
      </c>
    </row>
    <row r="18959" spans="1:1" x14ac:dyDescent="0.2">
      <c r="A18959" s="996" t="str">
        <f>CONCATENATE(Programme!D18960,Programme!E18960,Programme!F18960,Programme!G18960,Programme!H18960,Programme!I18960,Programme!J18960)</f>
        <v>&lt;cellule&gt;</v>
      </c>
    </row>
    <row r="18960" spans="1:1" x14ac:dyDescent="0.2">
      <c r="A18960" s="996" t="str">
        <f>CONCATENATE(Programme!D18961,Programme!E18961,Programme!F18961,Programme!G18961,Programme!H18961,Programme!I18961,Programme!J18961)</f>
        <v>&lt;codeEdi&gt;1482&lt;/codeEdi&gt;</v>
      </c>
    </row>
    <row r="18961" spans="1:1" x14ac:dyDescent="0.2">
      <c r="A18961" s="996" t="str">
        <f>CONCATENATE(Programme!D18962,Programme!E18962,Programme!F18962,Programme!G18962,Programme!H18962,Programme!I18962,Programme!J18962)</f>
        <v>&lt;/cellule&gt;</v>
      </c>
    </row>
    <row r="18962" spans="1:1" x14ac:dyDescent="0.2">
      <c r="A18962" s="996" t="str">
        <f>CONCATENATE(Programme!D18963,Programme!E18963,Programme!F18963,Programme!G18963,Programme!H18963,Programme!I18963,Programme!J18963)</f>
        <v>&lt;valeur&gt;&lt;/valeur&gt;</v>
      </c>
    </row>
    <row r="18963" spans="1:1" x14ac:dyDescent="0.2">
      <c r="A18963" s="996" t="str">
        <f>CONCATENATE(Programme!D18964,Programme!E18964,Programme!F18964,Programme!G18964,Programme!H18964,Programme!I18964,Programme!J18964)</f>
        <v>&lt;/ValeurCellule&gt;</v>
      </c>
    </row>
    <row r="18964" spans="1:1" x14ac:dyDescent="0.2">
      <c r="A18964" s="996" t="str">
        <f>CONCATENATE(Programme!D18965,Programme!E18965,Programme!F18965,Programme!G18965,Programme!H18965,Programme!I18965,Programme!J18965)</f>
        <v>&lt;ValeurCellule&gt;</v>
      </c>
    </row>
    <row r="18965" spans="1:1" x14ac:dyDescent="0.2">
      <c r="A18965" s="996" t="str">
        <f>CONCATENATE(Programme!D18966,Programme!E18966,Programme!F18966,Programme!G18966,Programme!H18966,Programme!I18966,Programme!J18966)</f>
        <v>&lt;cellule&gt;</v>
      </c>
    </row>
    <row r="18966" spans="1:1" x14ac:dyDescent="0.2">
      <c r="A18966" s="996" t="str">
        <f>CONCATENATE(Programme!D18967,Programme!E18967,Programme!F18967,Programme!G18967,Programme!H18967,Programme!I18967,Programme!J18967)</f>
        <v>&lt;codeEdi&gt;1556&lt;/codeEdi&gt;</v>
      </c>
    </row>
    <row r="18967" spans="1:1" x14ac:dyDescent="0.2">
      <c r="A18967" s="996" t="str">
        <f>CONCATENATE(Programme!D18968,Programme!E18968,Programme!F18968,Programme!G18968,Programme!H18968,Programme!I18968,Programme!J18968)</f>
        <v>&lt;/cellule&gt;</v>
      </c>
    </row>
    <row r="18968" spans="1:1" x14ac:dyDescent="0.2">
      <c r="A18968" s="996" t="str">
        <f>CONCATENATE(Programme!D18969,Programme!E18969,Programme!F18969,Programme!G18969,Programme!H18969,Programme!I18969,Programme!J18969)</f>
        <v>&lt;valeur&gt;0&lt;/valeur&gt;</v>
      </c>
    </row>
    <row r="18969" spans="1:1" x14ac:dyDescent="0.2">
      <c r="A18969" s="996" t="str">
        <f>CONCATENATE(Programme!D18970,Programme!E18970,Programme!F18970,Programme!G18970,Programme!H18970,Programme!I18970,Programme!J18970)</f>
        <v>&lt;/ValeurCellule&gt;</v>
      </c>
    </row>
    <row r="18970" spans="1:1" x14ac:dyDescent="0.2">
      <c r="A18970" s="996" t="str">
        <f>CONCATENATE(Programme!D18971,Programme!E18971,Programme!F18971,Programme!G18971,Programme!H18971,Programme!I18971,Programme!J18971)</f>
        <v>&lt;ValeurCellule&gt;</v>
      </c>
    </row>
    <row r="18971" spans="1:1" x14ac:dyDescent="0.2">
      <c r="A18971" s="996" t="str">
        <f>CONCATENATE(Programme!D18972,Programme!E18972,Programme!F18972,Programme!G18972,Programme!H18972,Programme!I18972,Programme!J18972)</f>
        <v>&lt;cellule&gt;</v>
      </c>
    </row>
    <row r="18972" spans="1:1" x14ac:dyDescent="0.2">
      <c r="A18972" s="996" t="str">
        <f>CONCATENATE(Programme!D18973,Programme!E18973,Programme!F18973,Programme!G18973,Programme!H18973,Programme!I18973,Programme!J18973)</f>
        <v>&lt;codeEdi&gt;1597&lt;/codeEdi&gt;</v>
      </c>
    </row>
    <row r="18973" spans="1:1" x14ac:dyDescent="0.2">
      <c r="A18973" s="996" t="str">
        <f>CONCATENATE(Programme!D18974,Programme!E18974,Programme!F18974,Programme!G18974,Programme!H18974,Programme!I18974,Programme!J18974)</f>
        <v>&lt;/cellule&gt;</v>
      </c>
    </row>
    <row r="18974" spans="1:1" x14ac:dyDescent="0.2">
      <c r="A18974" s="996" t="str">
        <f>CONCATENATE(Programme!D18975,Programme!E18975,Programme!F18975,Programme!G18975,Programme!H18975,Programme!I18975,Programme!J18975)</f>
        <v>&lt;valeur&gt;&lt;/valeur&gt;</v>
      </c>
    </row>
    <row r="18975" spans="1:1" x14ac:dyDescent="0.2">
      <c r="A18975" s="996" t="str">
        <f>CONCATENATE(Programme!D18976,Programme!E18976,Programme!F18976,Programme!G18976,Programme!H18976,Programme!I18976,Programme!J18976)</f>
        <v>&lt;/ValeurCellule&gt;</v>
      </c>
    </row>
    <row r="18976" spans="1:1" x14ac:dyDescent="0.2">
      <c r="A18976" s="996" t="str">
        <f>CONCATENATE(Programme!D18977,Programme!E18977,Programme!F18977,Programme!G18977,Programme!H18977,Programme!I18977,Programme!J18977)</f>
        <v>&lt;ValeurCellule&gt;</v>
      </c>
    </row>
    <row r="18977" spans="1:1" x14ac:dyDescent="0.2">
      <c r="A18977" s="996" t="str">
        <f>CONCATENATE(Programme!D18978,Programme!E18978,Programme!F18978,Programme!G18978,Programme!H18978,Programme!I18978,Programme!J18978)</f>
        <v>&lt;cellule&gt;</v>
      </c>
    </row>
    <row r="18978" spans="1:1" x14ac:dyDescent="0.2">
      <c r="A18978" s="996" t="str">
        <f>CONCATENATE(Programme!D18979,Programme!E18979,Programme!F18979,Programme!G18979,Programme!H18979,Programme!I18979,Programme!J18979)</f>
        <v>&lt;codeEdi&gt;1605&lt;/codeEdi&gt;</v>
      </c>
    </row>
    <row r="18979" spans="1:1" x14ac:dyDescent="0.2">
      <c r="A18979" s="996" t="str">
        <f>CONCATENATE(Programme!D18980,Programme!E18980,Programme!F18980,Programme!G18980,Programme!H18980,Programme!I18980,Programme!J18980)</f>
        <v>&lt;/cellule&gt;</v>
      </c>
    </row>
    <row r="18980" spans="1:1" x14ac:dyDescent="0.2">
      <c r="A18980" s="996" t="str">
        <f>CONCATENATE(Programme!D18981,Programme!E18981,Programme!F18981,Programme!G18981,Programme!H18981,Programme!I18981,Programme!J18981)</f>
        <v>&lt;valeur&gt;0&lt;/valeur&gt;</v>
      </c>
    </row>
    <row r="18981" spans="1:1" x14ac:dyDescent="0.2">
      <c r="A18981" s="996" t="str">
        <f>CONCATENATE(Programme!D18982,Programme!E18982,Programme!F18982,Programme!G18982,Programme!H18982,Programme!I18982,Programme!J18982)</f>
        <v>&lt;/ValeurCellule&gt;</v>
      </c>
    </row>
    <row r="18982" spans="1:1" x14ac:dyDescent="0.2">
      <c r="A18982" s="996" t="str">
        <f>CONCATENATE(Programme!D18983,Programme!E18983,Programme!F18983,Programme!G18983,Programme!H18983,Programme!I18983,Programme!J18983)</f>
        <v>&lt;ValeurCellule&gt;</v>
      </c>
    </row>
    <row r="18983" spans="1:1" x14ac:dyDescent="0.2">
      <c r="A18983" s="996" t="str">
        <f>CONCATENATE(Programme!D18984,Programme!E18984,Programme!F18984,Programme!G18984,Programme!H18984,Programme!I18984,Programme!J18984)</f>
        <v>&lt;cellule&gt;</v>
      </c>
    </row>
    <row r="18984" spans="1:1" x14ac:dyDescent="0.2">
      <c r="A18984" s="996" t="str">
        <f>CONCATENATE(Programme!D18985,Programme!E18985,Programme!F18985,Programme!G18985,Programme!H18985,Programme!I18985,Programme!J18985)</f>
        <v>&lt;codeEdi&gt;1636&lt;/codeEdi&gt;</v>
      </c>
    </row>
    <row r="18985" spans="1:1" x14ac:dyDescent="0.2">
      <c r="A18985" s="996" t="str">
        <f>CONCATENATE(Programme!D18986,Programme!E18986,Programme!F18986,Programme!G18986,Programme!H18986,Programme!I18986,Programme!J18986)</f>
        <v>&lt;/cellule&gt;</v>
      </c>
    </row>
    <row r="18986" spans="1:1" x14ac:dyDescent="0.2">
      <c r="A18986" s="996" t="str">
        <f>CONCATENATE(Programme!D18987,Programme!E18987,Programme!F18987,Programme!G18987,Programme!H18987,Programme!I18987,Programme!J18987)</f>
        <v>&lt;valeur&gt;&lt;/valeur&gt;</v>
      </c>
    </row>
    <row r="18987" spans="1:1" x14ac:dyDescent="0.2">
      <c r="A18987" s="996" t="str">
        <f>CONCATENATE(Programme!D18988,Programme!E18988,Programme!F18988,Programme!G18988,Programme!H18988,Programme!I18988,Programme!J18988)</f>
        <v>&lt;/ValeurCellule&gt;</v>
      </c>
    </row>
    <row r="18988" spans="1:1" x14ac:dyDescent="0.2">
      <c r="A18988" s="996" t="str">
        <f>CONCATENATE(Programme!D18989,Programme!E18989,Programme!F18989,Programme!G18989,Programme!H18989,Programme!I18989,Programme!J18989)</f>
        <v>&lt;ValeurCellule&gt;</v>
      </c>
    </row>
    <row r="18989" spans="1:1" x14ac:dyDescent="0.2">
      <c r="A18989" s="996" t="str">
        <f>CONCATENATE(Programme!D18990,Programme!E18990,Programme!F18990,Programme!G18990,Programme!H18990,Programme!I18990,Programme!J18990)</f>
        <v>&lt;cellule&gt;</v>
      </c>
    </row>
    <row r="18990" spans="1:1" x14ac:dyDescent="0.2">
      <c r="A18990" s="996" t="str">
        <f>CONCATENATE(Programme!D18991,Programme!E18991,Programme!F18991,Programme!G18991,Programme!H18991,Programme!I18991,Programme!J18991)</f>
        <v>&lt;codeEdi&gt;1644&lt;/codeEdi&gt;</v>
      </c>
    </row>
    <row r="18991" spans="1:1" x14ac:dyDescent="0.2">
      <c r="A18991" s="996" t="str">
        <f>CONCATENATE(Programme!D18992,Programme!E18992,Programme!F18992,Programme!G18992,Programme!H18992,Programme!I18992,Programme!J18992)</f>
        <v>&lt;/cellule&gt;</v>
      </c>
    </row>
    <row r="18992" spans="1:1" x14ac:dyDescent="0.2">
      <c r="A18992" s="996" t="str">
        <f>CONCATENATE(Programme!D18993,Programme!E18993,Programme!F18993,Programme!G18993,Programme!H18993,Programme!I18993,Programme!J18993)</f>
        <v>&lt;valeur&gt;0&lt;/valeur&gt;</v>
      </c>
    </row>
    <row r="18993" spans="1:1" x14ac:dyDescent="0.2">
      <c r="A18993" s="996" t="str">
        <f>CONCATENATE(Programme!D18994,Programme!E18994,Programme!F18994,Programme!G18994,Programme!H18994,Programme!I18994,Programme!J18994)</f>
        <v>&lt;/ValeurCellule&gt;</v>
      </c>
    </row>
    <row r="18994" spans="1:1" x14ac:dyDescent="0.2">
      <c r="A18994" s="996" t="str">
        <f>CONCATENATE(Programme!D18995,Programme!E18995,Programme!F18995,Programme!G18995,Programme!H18995,Programme!I18995,Programme!J18995)</f>
        <v>&lt;ValeurCellule&gt;</v>
      </c>
    </row>
    <row r="18995" spans="1:1" x14ac:dyDescent="0.2">
      <c r="A18995" s="996" t="str">
        <f>CONCATENATE(Programme!D18996,Programme!E18996,Programme!F18996,Programme!G18996,Programme!H18996,Programme!I18996,Programme!J18996)</f>
        <v>&lt;cellule&gt;</v>
      </c>
    </row>
    <row r="18996" spans="1:1" x14ac:dyDescent="0.2">
      <c r="A18996" s="996" t="str">
        <f>CONCATENATE(Programme!D18997,Programme!E18997,Programme!F18997,Programme!G18997,Programme!H18997,Programme!I18997,Programme!J18997)</f>
        <v>&lt;codeEdi&gt;1657&lt;/codeEdi&gt;</v>
      </c>
    </row>
    <row r="18997" spans="1:1" x14ac:dyDescent="0.2">
      <c r="A18997" s="996" t="str">
        <f>CONCATENATE(Programme!D18998,Programme!E18998,Programme!F18998,Programme!G18998,Programme!H18998,Programme!I18998,Programme!J18998)</f>
        <v>&lt;/cellule&gt;</v>
      </c>
    </row>
    <row r="18998" spans="1:1" x14ac:dyDescent="0.2">
      <c r="A18998" s="996" t="str">
        <f>CONCATENATE(Programme!D18999,Programme!E18999,Programme!F18999,Programme!G18999,Programme!H18999,Programme!I18999,Programme!J18999)</f>
        <v>&lt;valeur&gt;0&lt;/valeur&gt;</v>
      </c>
    </row>
    <row r="18999" spans="1:1" x14ac:dyDescent="0.2">
      <c r="A18999" s="996" t="str">
        <f>CONCATENATE(Programme!D19000,Programme!E19000,Programme!F19000,Programme!G19000,Programme!H19000,Programme!I19000,Programme!J19000)</f>
        <v>&lt;/ValeurCellule&gt;</v>
      </c>
    </row>
    <row r="19000" spans="1:1" x14ac:dyDescent="0.2">
      <c r="A19000" s="996" t="str">
        <f>CONCATENATE(Programme!D19001,Programme!E19001,Programme!F19001,Programme!G19001,Programme!H19001,Programme!I19001,Programme!J19001)</f>
        <v>&lt;ValeurCellule&gt;</v>
      </c>
    </row>
    <row r="19001" spans="1:1" x14ac:dyDescent="0.2">
      <c r="A19001" s="996" t="str">
        <f>CONCATENATE(Programme!D19002,Programme!E19002,Programme!F19002,Programme!G19002,Programme!H19002,Programme!I19002,Programme!J19002)</f>
        <v>&lt;cellule&gt;</v>
      </c>
    </row>
    <row r="19002" spans="1:1" x14ac:dyDescent="0.2">
      <c r="A19002" s="996" t="str">
        <f>CONCATENATE(Programme!D19003,Programme!E19003,Programme!F19003,Programme!G19003,Programme!H19003,Programme!I19003,Programme!J19003)</f>
        <v>&lt;codeEdi&gt;1665&lt;/codeEdi&gt;</v>
      </c>
    </row>
    <row r="19003" spans="1:1" x14ac:dyDescent="0.2">
      <c r="A19003" s="996" t="str">
        <f>CONCATENATE(Programme!D19004,Programme!E19004,Programme!F19004,Programme!G19004,Programme!H19004,Programme!I19004,Programme!J19004)</f>
        <v>&lt;/cellule&gt;</v>
      </c>
    </row>
    <row r="19004" spans="1:1" x14ac:dyDescent="0.2">
      <c r="A19004" s="996" t="str">
        <f>CONCATENATE(Programme!D19005,Programme!E19005,Programme!F19005,Programme!G19005,Programme!H19005,Programme!I19005,Programme!J19005)</f>
        <v>&lt;valeur&gt;0&lt;/valeur&gt;</v>
      </c>
    </row>
    <row r="19005" spans="1:1" x14ac:dyDescent="0.2">
      <c r="A19005" s="996" t="str">
        <f>CONCATENATE(Programme!D19006,Programme!E19006,Programme!F19006,Programme!G19006,Programme!H19006,Programme!I19006,Programme!J19006)</f>
        <v>&lt;/ValeurCellule&gt;</v>
      </c>
    </row>
    <row r="19006" spans="1:1" x14ac:dyDescent="0.2">
      <c r="A19006" s="996" t="str">
        <f>CONCATENATE(Programme!D19007,Programme!E19007,Programme!F19007,Programme!G19007,Programme!H19007,Programme!I19007,Programme!J19007)</f>
        <v>&lt;ValeurCellule&gt;</v>
      </c>
    </row>
    <row r="19007" spans="1:1" x14ac:dyDescent="0.2">
      <c r="A19007" s="996" t="str">
        <f>CONCATENATE(Programme!D19008,Programme!E19008,Programme!F19008,Programme!G19008,Programme!H19008,Programme!I19008,Programme!J19008)</f>
        <v>&lt;cellule&gt;</v>
      </c>
    </row>
    <row r="19008" spans="1:1" x14ac:dyDescent="0.2">
      <c r="A19008" s="996" t="str">
        <f>CONCATENATE(Programme!D19009,Programme!E19009,Programme!F19009,Programme!G19009,Programme!H19009,Programme!I19009,Programme!J19009)</f>
        <v>&lt;codeEdi&gt;1613&lt;/codeEdi&gt;</v>
      </c>
    </row>
    <row r="19009" spans="1:1" x14ac:dyDescent="0.2">
      <c r="A19009" s="996" t="str">
        <f>CONCATENATE(Programme!D19010,Programme!E19010,Programme!F19010,Programme!G19010,Programme!H19010,Programme!I19010,Programme!J19010)</f>
        <v>&lt;/cellule&gt;</v>
      </c>
    </row>
    <row r="19010" spans="1:1" x14ac:dyDescent="0.2">
      <c r="A19010" s="996" t="str">
        <f>CONCATENATE(Programme!D19011,Programme!E19011,Programme!F19011,Programme!G19011,Programme!H19011,Programme!I19011,Programme!J19011)</f>
        <v>&lt;valeur&gt;0&lt;/valeur&gt;</v>
      </c>
    </row>
    <row r="19011" spans="1:1" x14ac:dyDescent="0.2">
      <c r="A19011" s="996" t="str">
        <f>CONCATENATE(Programme!D19012,Programme!E19012,Programme!F19012,Programme!G19012,Programme!H19012,Programme!I19012,Programme!J19012)</f>
        <v>&lt;/ValeurCellule&gt;</v>
      </c>
    </row>
    <row r="19012" spans="1:1" x14ac:dyDescent="0.2">
      <c r="A19012" s="996" t="str">
        <f>CONCATENATE(Programme!D19013,Programme!E19013,Programme!F19013,Programme!G19013,Programme!H19013,Programme!I19013,Programme!J19013)</f>
        <v>&lt;ValeurCellule&gt;</v>
      </c>
    </row>
    <row r="19013" spans="1:1" x14ac:dyDescent="0.2">
      <c r="A19013" s="996" t="str">
        <f>CONCATENATE(Programme!D19014,Programme!E19014,Programme!F19014,Programme!G19014,Programme!H19014,Programme!I19014,Programme!J19014)</f>
        <v>&lt;cellule&gt;</v>
      </c>
    </row>
    <row r="19014" spans="1:1" x14ac:dyDescent="0.2">
      <c r="A19014" s="996" t="str">
        <f>CONCATENATE(Programme!D19015,Programme!E19015,Programme!F19015,Programme!G19015,Programme!H19015,Programme!I19015,Programme!J19015)</f>
        <v>&lt;codeEdi&gt;1686&lt;/codeEdi&gt;</v>
      </c>
    </row>
    <row r="19015" spans="1:1" x14ac:dyDescent="0.2">
      <c r="A19015" s="996" t="str">
        <f>CONCATENATE(Programme!D19016,Programme!E19016,Programme!F19016,Programme!G19016,Programme!H19016,Programme!I19016,Programme!J19016)</f>
        <v>&lt;/cellule&gt;</v>
      </c>
    </row>
    <row r="19016" spans="1:1" x14ac:dyDescent="0.2">
      <c r="A19016" s="996" t="str">
        <f>CONCATENATE(Programme!D19017,Programme!E19017,Programme!F19017,Programme!G19017,Programme!H19017,Programme!I19017,Programme!J19017)</f>
        <v>&lt;valeur&gt;0&lt;/valeur&gt;</v>
      </c>
    </row>
    <row r="19017" spans="1:1" x14ac:dyDescent="0.2">
      <c r="A19017" s="996" t="str">
        <f>CONCATENATE(Programme!D19018,Programme!E19018,Programme!F19018,Programme!G19018,Programme!H19018,Programme!I19018,Programme!J19018)</f>
        <v>&lt;/ValeurCellule&gt;</v>
      </c>
    </row>
    <row r="19018" spans="1:1" x14ac:dyDescent="0.2">
      <c r="A19018" s="996" t="str">
        <f>CONCATENATE(Programme!D19019,Programme!E19019,Programme!F19019,Programme!G19019,Programme!H19019,Programme!I19019,Programme!J19019)</f>
        <v>&lt;ValeurCellule&gt;</v>
      </c>
    </row>
    <row r="19019" spans="1:1" x14ac:dyDescent="0.2">
      <c r="A19019" s="996" t="str">
        <f>CONCATENATE(Programme!D19020,Programme!E19020,Programme!F19020,Programme!G19020,Programme!H19020,Programme!I19020,Programme!J19020)</f>
        <v>&lt;cellule&gt;</v>
      </c>
    </row>
    <row r="19020" spans="1:1" x14ac:dyDescent="0.2">
      <c r="A19020" s="996" t="str">
        <f>CONCATENATE(Programme!D19021,Programme!E19021,Programme!F19021,Programme!G19021,Programme!H19021,Programme!I19021,Programme!J19021)</f>
        <v>&lt;codeEdi&gt;1673&lt;/codeEdi&gt;</v>
      </c>
    </row>
    <row r="19021" spans="1:1" x14ac:dyDescent="0.2">
      <c r="A19021" s="996" t="str">
        <f>CONCATENATE(Programme!D19022,Programme!E19022,Programme!F19022,Programme!G19022,Programme!H19022,Programme!I19022,Programme!J19022)</f>
        <v>&lt;/cellule&gt;</v>
      </c>
    </row>
    <row r="19022" spans="1:1" x14ac:dyDescent="0.2">
      <c r="A19022" s="996" t="str">
        <f>CONCATENATE(Programme!D19023,Programme!E19023,Programme!F19023,Programme!G19023,Programme!H19023,Programme!I19023,Programme!J19023)</f>
        <v>&lt;valeur&gt;0&lt;/valeur&gt;</v>
      </c>
    </row>
    <row r="19023" spans="1:1" x14ac:dyDescent="0.2">
      <c r="A19023" s="996" t="str">
        <f>CONCATENATE(Programme!D19024,Programme!E19024,Programme!F19024,Programme!G19024,Programme!H19024,Programme!I19024,Programme!J19024)</f>
        <v>&lt;/ValeurCellule&gt;</v>
      </c>
    </row>
    <row r="19024" spans="1:1" x14ac:dyDescent="0.2">
      <c r="A19024" s="996" t="str">
        <f>CONCATENATE(Programme!D19025,Programme!E19025,Programme!F19025,Programme!G19025,Programme!H19025,Programme!I19025,Programme!J19025)</f>
        <v>&lt;ValeurCellule&gt;</v>
      </c>
    </row>
    <row r="19025" spans="1:1" x14ac:dyDescent="0.2">
      <c r="A19025" s="996" t="str">
        <f>CONCATENATE(Programme!D19026,Programme!E19026,Programme!F19026,Programme!G19026,Programme!H19026,Programme!I19026,Programme!J19026)</f>
        <v>&lt;cellule&gt;</v>
      </c>
    </row>
    <row r="19026" spans="1:1" x14ac:dyDescent="0.2">
      <c r="A19026" s="996" t="str">
        <f>CONCATENATE(Programme!D19027,Programme!E19027,Programme!F19027,Programme!G19027,Programme!H19027,Programme!I19027,Programme!J19027)</f>
        <v>&lt;codeEdi&gt;1737&lt;/codeEdi&gt;</v>
      </c>
    </row>
    <row r="19027" spans="1:1" x14ac:dyDescent="0.2">
      <c r="A19027" s="996" t="str">
        <f>CONCATENATE(Programme!D19028,Programme!E19028,Programme!F19028,Programme!G19028,Programme!H19028,Programme!I19028,Programme!J19028)</f>
        <v>&lt;/cellule&gt;</v>
      </c>
    </row>
    <row r="19028" spans="1:1" x14ac:dyDescent="0.2">
      <c r="A19028" s="996" t="str">
        <f>CONCATENATE(Programme!D19029,Programme!E19029,Programme!F19029,Programme!G19029,Programme!H19029,Programme!I19029,Programme!J19029)</f>
        <v>&lt;valeur&gt;&lt;/valeur&gt;</v>
      </c>
    </row>
    <row r="19029" spans="1:1" x14ac:dyDescent="0.2">
      <c r="A19029" s="996" t="str">
        <f>CONCATENATE(Programme!D19030,Programme!E19030,Programme!F19030,Programme!G19030,Programme!H19030,Programme!I19030,Programme!J19030)</f>
        <v>&lt;/ValeurCellule&gt;</v>
      </c>
    </row>
    <row r="19030" spans="1:1" x14ac:dyDescent="0.2">
      <c r="A19030" s="996" t="str">
        <f>CONCATENATE(Programme!D19031,Programme!E19031,Programme!F19031,Programme!G19031,Programme!H19031,Programme!I19031,Programme!J19031)</f>
        <v>&lt;ValeurCellule&gt;</v>
      </c>
    </row>
    <row r="19031" spans="1:1" x14ac:dyDescent="0.2">
      <c r="A19031" s="996" t="str">
        <f>CONCATENATE(Programme!D19032,Programme!E19032,Programme!F19032,Programme!G19032,Programme!H19032,Programme!I19032,Programme!J19032)</f>
        <v>&lt;cellule&gt;</v>
      </c>
    </row>
    <row r="19032" spans="1:1" x14ac:dyDescent="0.2">
      <c r="A19032" s="996" t="str">
        <f>CONCATENATE(Programme!D19033,Programme!E19033,Programme!F19033,Programme!G19033,Programme!H19033,Programme!I19033,Programme!J19033)</f>
        <v>&lt;codeEdi&gt;1758&lt;/codeEdi&gt;</v>
      </c>
    </row>
    <row r="19033" spans="1:1" x14ac:dyDescent="0.2">
      <c r="A19033" s="996" t="str">
        <f>CONCATENATE(Programme!D19034,Programme!E19034,Programme!F19034,Programme!G19034,Programme!H19034,Programme!I19034,Programme!J19034)</f>
        <v>&lt;/cellule&gt;</v>
      </c>
    </row>
    <row r="19034" spans="1:1" x14ac:dyDescent="0.2">
      <c r="A19034" s="996" t="str">
        <f>CONCATENATE(Programme!D19035,Programme!E19035,Programme!F19035,Programme!G19035,Programme!H19035,Programme!I19035,Programme!J19035)</f>
        <v>&lt;valeur&gt;0&lt;/valeur&gt;</v>
      </c>
    </row>
    <row r="19035" spans="1:1" x14ac:dyDescent="0.2">
      <c r="A19035" s="996" t="str">
        <f>CONCATENATE(Programme!D19036,Programme!E19036,Programme!F19036,Programme!G19036,Programme!H19036,Programme!I19036,Programme!J19036)</f>
        <v>&lt;/ValeurCellule&gt;</v>
      </c>
    </row>
    <row r="19036" spans="1:1" x14ac:dyDescent="0.2">
      <c r="A19036" s="996" t="str">
        <f>CONCATENATE(Programme!D19037,Programme!E19037,Programme!F19037,Programme!G19037,Programme!H19037,Programme!I19037,Programme!J19037)</f>
        <v>&lt;ValeurCellule&gt;</v>
      </c>
    </row>
    <row r="19037" spans="1:1" x14ac:dyDescent="0.2">
      <c r="A19037" s="996" t="str">
        <f>CONCATENATE(Programme!D19038,Programme!E19038,Programme!F19038,Programme!G19038,Programme!H19038,Programme!I19038,Programme!J19038)</f>
        <v>&lt;cellule&gt;</v>
      </c>
    </row>
    <row r="19038" spans="1:1" x14ac:dyDescent="0.2">
      <c r="A19038" s="996" t="str">
        <f>CONCATENATE(Programme!D19039,Programme!E19039,Programme!F19039,Programme!G19039,Programme!H19039,Programme!I19039,Programme!J19039)</f>
        <v>&lt;codeEdi&gt;1770&lt;/codeEdi&gt;</v>
      </c>
    </row>
    <row r="19039" spans="1:1" x14ac:dyDescent="0.2">
      <c r="A19039" s="996" t="str">
        <f>CONCATENATE(Programme!D19040,Programme!E19040,Programme!F19040,Programme!G19040,Programme!H19040,Programme!I19040,Programme!J19040)</f>
        <v>&lt;/cellule&gt;</v>
      </c>
    </row>
    <row r="19040" spans="1:1" x14ac:dyDescent="0.2">
      <c r="A19040" s="996" t="str">
        <f>CONCATENATE(Programme!D19041,Programme!E19041,Programme!F19041,Programme!G19041,Programme!H19041,Programme!I19041,Programme!J19041)</f>
        <v>&lt;valeur&gt;&lt;/valeur&gt;</v>
      </c>
    </row>
    <row r="19041" spans="1:1" x14ac:dyDescent="0.2">
      <c r="A19041" s="996" t="str">
        <f>CONCATENATE(Programme!D19042,Programme!E19042,Programme!F19042,Programme!G19042,Programme!H19042,Programme!I19042,Programme!J19042)</f>
        <v>&lt;/ValeurCellule&gt;</v>
      </c>
    </row>
    <row r="19042" spans="1:1" x14ac:dyDescent="0.2">
      <c r="A19042" s="996" t="str">
        <f>CONCATENATE(Programme!D19043,Programme!E19043,Programme!F19043,Programme!G19043,Programme!H19043,Programme!I19043,Programme!J19043)</f>
        <v>&lt;ValeurCellule&gt;</v>
      </c>
    </row>
    <row r="19043" spans="1:1" x14ac:dyDescent="0.2">
      <c r="A19043" s="996" t="str">
        <f>CONCATENATE(Programme!D19044,Programme!E19044,Programme!F19044,Programme!G19044,Programme!H19044,Programme!I19044,Programme!J19044)</f>
        <v>&lt;cellule&gt;</v>
      </c>
    </row>
    <row r="19044" spans="1:1" x14ac:dyDescent="0.2">
      <c r="A19044" s="996" t="str">
        <f>CONCATENATE(Programme!D19045,Programme!E19045,Programme!F19045,Programme!G19045,Programme!H19045,Programme!I19045,Programme!J19045)</f>
        <v>&lt;codeEdi&gt;1801&lt;/codeEdi&gt;</v>
      </c>
    </row>
    <row r="19045" spans="1:1" x14ac:dyDescent="0.2">
      <c r="A19045" s="996" t="str">
        <f>CONCATENATE(Programme!D19046,Programme!E19046,Programme!F19046,Programme!G19046,Programme!H19046,Programme!I19046,Programme!J19046)</f>
        <v>&lt;/cellule&gt;</v>
      </c>
    </row>
    <row r="19046" spans="1:1" x14ac:dyDescent="0.2">
      <c r="A19046" s="996" t="str">
        <f>CONCATENATE(Programme!D19047,Programme!E19047,Programme!F19047,Programme!G19047,Programme!H19047,Programme!I19047,Programme!J19047)</f>
        <v>&lt;valeur&gt;0&lt;/valeur&gt;</v>
      </c>
    </row>
    <row r="19047" spans="1:1" x14ac:dyDescent="0.2">
      <c r="A19047" s="996" t="str">
        <f>CONCATENATE(Programme!D19048,Programme!E19048,Programme!F19048,Programme!G19048,Programme!H19048,Programme!I19048,Programme!J19048)</f>
        <v>&lt;/ValeurCellule&gt;</v>
      </c>
    </row>
    <row r="19048" spans="1:1" x14ac:dyDescent="0.2">
      <c r="A19048" s="996" t="str">
        <f>CONCATENATE(Programme!D19049,Programme!E19049,Programme!F19049,Programme!G19049,Programme!H19049,Programme!I19049,Programme!J19049)</f>
        <v>&lt;ValeurCellule&gt;</v>
      </c>
    </row>
    <row r="19049" spans="1:1" x14ac:dyDescent="0.2">
      <c r="A19049" s="996" t="str">
        <f>CONCATENATE(Programme!D19050,Programme!E19050,Programme!F19050,Programme!G19050,Programme!H19050,Programme!I19050,Programme!J19050)</f>
        <v>&lt;cellule&gt;</v>
      </c>
    </row>
    <row r="19050" spans="1:1" x14ac:dyDescent="0.2">
      <c r="A19050" s="996" t="str">
        <f>CONCATENATE(Programme!D19051,Programme!E19051,Programme!F19051,Programme!G19051,Programme!H19051,Programme!I19051,Programme!J19051)</f>
        <v>&lt;codeEdi&gt;1820&lt;/codeEdi&gt;</v>
      </c>
    </row>
    <row r="19051" spans="1:1" x14ac:dyDescent="0.2">
      <c r="A19051" s="996" t="str">
        <f>CONCATENATE(Programme!D19052,Programme!E19052,Programme!F19052,Programme!G19052,Programme!H19052,Programme!I19052,Programme!J19052)</f>
        <v>&lt;/cellule&gt;</v>
      </c>
    </row>
    <row r="19052" spans="1:1" x14ac:dyDescent="0.2">
      <c r="A19052" s="996" t="str">
        <f>CONCATENATE(Programme!D19053,Programme!E19053,Programme!F19053,Programme!G19053,Programme!H19053,Programme!I19053,Programme!J19053)</f>
        <v>&lt;valeur&gt;&lt;/valeur&gt;</v>
      </c>
    </row>
    <row r="19053" spans="1:1" x14ac:dyDescent="0.2">
      <c r="A19053" s="996" t="str">
        <f>CONCATENATE(Programme!D19054,Programme!E19054,Programme!F19054,Programme!G19054,Programme!H19054,Programme!I19054,Programme!J19054)</f>
        <v>&lt;/ValeurCellule&gt;</v>
      </c>
    </row>
    <row r="19054" spans="1:1" x14ac:dyDescent="0.2">
      <c r="A19054" s="996" t="str">
        <f>CONCATENATE(Programme!D19055,Programme!E19055,Programme!F19055,Programme!G19055,Programme!H19055,Programme!I19055,Programme!J19055)</f>
        <v>&lt;ValeurCellule&gt;</v>
      </c>
    </row>
    <row r="19055" spans="1:1" x14ac:dyDescent="0.2">
      <c r="A19055" s="996" t="str">
        <f>CONCATENATE(Programme!D19056,Programme!E19056,Programme!F19056,Programme!G19056,Programme!H19056,Programme!I19056,Programme!J19056)</f>
        <v>&lt;cellule&gt;</v>
      </c>
    </row>
    <row r="19056" spans="1:1" x14ac:dyDescent="0.2">
      <c r="A19056" s="996" t="str">
        <f>CONCATENATE(Programme!D19057,Programme!E19057,Programme!F19057,Programme!G19057,Programme!H19057,Programme!I19057,Programme!J19057)</f>
        <v>&lt;codeEdi&gt;1837&lt;/codeEdi&gt;</v>
      </c>
    </row>
    <row r="19057" spans="1:1" x14ac:dyDescent="0.2">
      <c r="A19057" s="996" t="str">
        <f>CONCATENATE(Programme!D19058,Programme!E19058,Programme!F19058,Programme!G19058,Programme!H19058,Programme!I19058,Programme!J19058)</f>
        <v>&lt;/cellule&gt;</v>
      </c>
    </row>
    <row r="19058" spans="1:1" x14ac:dyDescent="0.2">
      <c r="A19058" s="996" t="str">
        <f>CONCATENATE(Programme!D19059,Programme!E19059,Programme!F19059,Programme!G19059,Programme!H19059,Programme!I19059,Programme!J19059)</f>
        <v>&lt;valeur&gt;0&lt;/valeur&gt;</v>
      </c>
    </row>
    <row r="19059" spans="1:1" x14ac:dyDescent="0.2">
      <c r="A19059" s="996" t="str">
        <f>CONCATENATE(Programme!D19060,Programme!E19060,Programme!F19060,Programme!G19060,Programme!H19060,Programme!I19060,Programme!J19060)</f>
        <v>&lt;/ValeurCellule&gt;</v>
      </c>
    </row>
    <row r="19060" spans="1:1" x14ac:dyDescent="0.2">
      <c r="A19060" s="996" t="str">
        <f>CONCATENATE(Programme!D19061,Programme!E19061,Programme!F19061,Programme!G19061,Programme!H19061,Programme!I19061,Programme!J19061)</f>
        <v>&lt;ValeurCellule&gt;</v>
      </c>
    </row>
    <row r="19061" spans="1:1" x14ac:dyDescent="0.2">
      <c r="A19061" s="996" t="str">
        <f>CONCATENATE(Programme!D19062,Programme!E19062,Programme!F19062,Programme!G19062,Programme!H19062,Programme!I19062,Programme!J19062)</f>
        <v>&lt;cellule&gt;</v>
      </c>
    </row>
    <row r="19062" spans="1:1" x14ac:dyDescent="0.2">
      <c r="A19062" s="996" t="str">
        <f>CONCATENATE(Programme!D19063,Programme!E19063,Programme!F19063,Programme!G19063,Programme!H19063,Programme!I19063,Programme!J19063)</f>
        <v>&lt;codeEdi&gt;1854&lt;/codeEdi&gt;</v>
      </c>
    </row>
    <row r="19063" spans="1:1" x14ac:dyDescent="0.2">
      <c r="A19063" s="996" t="str">
        <f>CONCATENATE(Programme!D19064,Programme!E19064,Programme!F19064,Programme!G19064,Programme!H19064,Programme!I19064,Programme!J19064)</f>
        <v>&lt;/cellule&gt;</v>
      </c>
    </row>
    <row r="19064" spans="1:1" x14ac:dyDescent="0.2">
      <c r="A19064" s="996" t="str">
        <f>CONCATENATE(Programme!D19065,Programme!E19065,Programme!F19065,Programme!G19065,Programme!H19065,Programme!I19065,Programme!J19065)</f>
        <v>&lt;valeur&gt;0&lt;/valeur&gt;</v>
      </c>
    </row>
    <row r="19065" spans="1:1" x14ac:dyDescent="0.2">
      <c r="A19065" s="996" t="str">
        <f>CONCATENATE(Programme!D19066,Programme!E19066,Programme!F19066,Programme!G19066,Programme!H19066,Programme!I19066,Programme!J19066)</f>
        <v>&lt;/ValeurCellule&gt;</v>
      </c>
    </row>
    <row r="19066" spans="1:1" x14ac:dyDescent="0.2">
      <c r="A19066" s="996" t="str">
        <f>CONCATENATE(Programme!D19067,Programme!E19067,Programme!F19067,Programme!G19067,Programme!H19067,Programme!I19067,Programme!J19067)</f>
        <v>&lt;ValeurCellule&gt;</v>
      </c>
    </row>
    <row r="19067" spans="1:1" x14ac:dyDescent="0.2">
      <c r="A19067" s="996" t="str">
        <f>CONCATENATE(Programme!D19068,Programme!E19068,Programme!F19068,Programme!G19068,Programme!H19068,Programme!I19068,Programme!J19068)</f>
        <v>&lt;cellule&gt;</v>
      </c>
    </row>
    <row r="19068" spans="1:1" x14ac:dyDescent="0.2">
      <c r="A19068" s="996" t="str">
        <f>CONCATENATE(Programme!D19069,Programme!E19069,Programme!F19069,Programme!G19069,Programme!H19069,Programme!I19069,Programme!J19069)</f>
        <v>&lt;codeEdi&gt;1862&lt;/codeEdi&gt;</v>
      </c>
    </row>
    <row r="19069" spans="1:1" x14ac:dyDescent="0.2">
      <c r="A19069" s="996" t="str">
        <f>CONCATENATE(Programme!D19070,Programme!E19070,Programme!F19070,Programme!G19070,Programme!H19070,Programme!I19070,Programme!J19070)</f>
        <v>&lt;/cellule&gt;</v>
      </c>
    </row>
    <row r="19070" spans="1:1" x14ac:dyDescent="0.2">
      <c r="A19070" s="996" t="str">
        <f>CONCATENATE(Programme!D19071,Programme!E19071,Programme!F19071,Programme!G19071,Programme!H19071,Programme!I19071,Programme!J19071)</f>
        <v>&lt;valeur&gt;0&lt;/valeur&gt;</v>
      </c>
    </row>
    <row r="19071" spans="1:1" x14ac:dyDescent="0.2">
      <c r="A19071" s="996" t="str">
        <f>CONCATENATE(Programme!D19072,Programme!E19072,Programme!F19072,Programme!G19072,Programme!H19072,Programme!I19072,Programme!J19072)</f>
        <v>&lt;/ValeurCellule&gt;</v>
      </c>
    </row>
    <row r="19072" spans="1:1" x14ac:dyDescent="0.2">
      <c r="A19072" s="996" t="str">
        <f>CONCATENATE(Programme!D19073,Programme!E19073,Programme!F19073,Programme!G19073,Programme!H19073,Programme!I19073,Programme!J19073)</f>
        <v>&lt;ValeurCellule&gt;</v>
      </c>
    </row>
    <row r="19073" spans="1:1" x14ac:dyDescent="0.2">
      <c r="A19073" s="996" t="str">
        <f>CONCATENATE(Programme!D19074,Programme!E19074,Programme!F19074,Programme!G19074,Programme!H19074,Programme!I19074,Programme!J19074)</f>
        <v>&lt;cellule&gt;</v>
      </c>
    </row>
    <row r="19074" spans="1:1" x14ac:dyDescent="0.2">
      <c r="A19074" s="996" t="str">
        <f>CONCATENATE(Programme!D19075,Programme!E19075,Programme!F19075,Programme!G19075,Programme!H19075,Programme!I19075,Programme!J19075)</f>
        <v>&lt;codeEdi&gt;1870&lt;/codeEdi&gt;</v>
      </c>
    </row>
    <row r="19075" spans="1:1" x14ac:dyDescent="0.2">
      <c r="A19075" s="996" t="str">
        <f>CONCATENATE(Programme!D19076,Programme!E19076,Programme!F19076,Programme!G19076,Programme!H19076,Programme!I19076,Programme!J19076)</f>
        <v>&lt;/cellule&gt;</v>
      </c>
    </row>
    <row r="19076" spans="1:1" x14ac:dyDescent="0.2">
      <c r="A19076" s="996" t="str">
        <f>CONCATENATE(Programme!D19077,Programme!E19077,Programme!F19077,Programme!G19077,Programme!H19077,Programme!I19077,Programme!J19077)</f>
        <v>&lt;valeur&gt;0&lt;/valeur&gt;</v>
      </c>
    </row>
    <row r="19077" spans="1:1" x14ac:dyDescent="0.2">
      <c r="A19077" s="996" t="str">
        <f>CONCATENATE(Programme!D19078,Programme!E19078,Programme!F19078,Programme!G19078,Programme!H19078,Programme!I19078,Programme!J19078)</f>
        <v>&lt;/ValeurCellule&gt;</v>
      </c>
    </row>
    <row r="19078" spans="1:1" x14ac:dyDescent="0.2">
      <c r="A19078" s="996" t="str">
        <f>CONCATENATE(Programme!D19079,Programme!E19079,Programme!F19079,Programme!G19079,Programme!H19079,Programme!I19079,Programme!J19079)</f>
        <v>&lt;ValeurCellule&gt;</v>
      </c>
    </row>
    <row r="19079" spans="1:1" x14ac:dyDescent="0.2">
      <c r="A19079" s="996" t="str">
        <f>CONCATENATE(Programme!D19080,Programme!E19080,Programme!F19080,Programme!G19080,Programme!H19080,Programme!I19080,Programme!J19080)</f>
        <v>&lt;cellule&gt;</v>
      </c>
    </row>
    <row r="19080" spans="1:1" x14ac:dyDescent="0.2">
      <c r="A19080" s="996" t="str">
        <f>CONCATENATE(Programme!D19081,Programme!E19081,Programme!F19081,Programme!G19081,Programme!H19081,Programme!I19081,Programme!J19081)</f>
        <v>&lt;codeEdi&gt;1887&lt;/codeEdi&gt;</v>
      </c>
    </row>
    <row r="19081" spans="1:1" x14ac:dyDescent="0.2">
      <c r="A19081" s="996" t="str">
        <f>CONCATENATE(Programme!D19082,Programme!E19082,Programme!F19082,Programme!G19082,Programme!H19082,Programme!I19082,Programme!J19082)</f>
        <v>&lt;/cellule&gt;</v>
      </c>
    </row>
    <row r="19082" spans="1:1" x14ac:dyDescent="0.2">
      <c r="A19082" s="996" t="str">
        <f>CONCATENATE(Programme!D19083,Programme!E19083,Programme!F19083,Programme!G19083,Programme!H19083,Programme!I19083,Programme!J19083)</f>
        <v>&lt;valeur&gt;0&lt;/valeur&gt;</v>
      </c>
    </row>
    <row r="19083" spans="1:1" x14ac:dyDescent="0.2">
      <c r="A19083" s="996" t="str">
        <f>CONCATENATE(Programme!D19084,Programme!E19084,Programme!F19084,Programme!G19084,Programme!H19084,Programme!I19084,Programme!J19084)</f>
        <v>&lt;/ValeurCellule&gt;</v>
      </c>
    </row>
    <row r="19084" spans="1:1" x14ac:dyDescent="0.2">
      <c r="A19084" s="996" t="str">
        <f>CONCATENATE(Programme!D19085,Programme!E19085,Programme!F19085,Programme!G19085,Programme!H19085,Programme!I19085,Programme!J19085)</f>
        <v>&lt;ValeurCellule&gt;</v>
      </c>
    </row>
    <row r="19085" spans="1:1" x14ac:dyDescent="0.2">
      <c r="A19085" s="996" t="str">
        <f>CONCATENATE(Programme!D19086,Programme!E19086,Programme!F19086,Programme!G19086,Programme!H19086,Programme!I19086,Programme!J19086)</f>
        <v>&lt;cellule&gt;</v>
      </c>
    </row>
    <row r="19086" spans="1:1" x14ac:dyDescent="0.2">
      <c r="A19086" s="996" t="str">
        <f>CONCATENATE(Programme!D19087,Programme!E19087,Programme!F19087,Programme!G19087,Programme!H19087,Programme!I19087,Programme!J19087)</f>
        <v>&lt;codeEdi&gt;1403&lt;/codeEdi&gt;</v>
      </c>
    </row>
    <row r="19087" spans="1:1" x14ac:dyDescent="0.2">
      <c r="A19087" s="996" t="str">
        <f>CONCATENATE(Programme!D19088,Programme!E19088,Programme!F19088,Programme!G19088,Programme!H19088,Programme!I19088,Programme!J19088)</f>
        <v>&lt;/cellule&gt;</v>
      </c>
    </row>
    <row r="19088" spans="1:1" x14ac:dyDescent="0.2">
      <c r="A19088" s="996" t="str">
        <f>CONCATENATE(Programme!D19089,Programme!E19089,Programme!F19089,Programme!G19089,Programme!H19089,Programme!I19089,Programme!J19089)</f>
        <v>&lt;valeur&gt;0&lt;/valeur&gt;</v>
      </c>
    </row>
    <row r="19089" spans="1:1" x14ac:dyDescent="0.2">
      <c r="A19089" s="996" t="str">
        <f>CONCATENATE(Programme!D19090,Programme!E19090,Programme!F19090,Programme!G19090,Programme!H19090,Programme!I19090,Programme!J19090)</f>
        <v>&lt;/ValeurCellule&gt;</v>
      </c>
    </row>
    <row r="19090" spans="1:1" x14ac:dyDescent="0.2">
      <c r="A19090" s="996" t="str">
        <f>CONCATENATE(Programme!D19091,Programme!E19091,Programme!F19091,Programme!G19091,Programme!H19091,Programme!I19091,Programme!J19091)</f>
        <v>&lt;ValeurCellule&gt;</v>
      </c>
    </row>
    <row r="19091" spans="1:1" x14ac:dyDescent="0.2">
      <c r="A19091" s="996" t="str">
        <f>CONCATENATE(Programme!D19092,Programme!E19092,Programme!F19092,Programme!G19092,Programme!H19092,Programme!I19092,Programme!J19092)</f>
        <v>&lt;cellule&gt;</v>
      </c>
    </row>
    <row r="19092" spans="1:1" x14ac:dyDescent="0.2">
      <c r="A19092" s="996" t="str">
        <f>CONCATENATE(Programme!D19093,Programme!E19093,Programme!F19093,Programme!G19093,Programme!H19093,Programme!I19093,Programme!J19093)</f>
        <v>&lt;codeEdi&gt;1411&lt;/codeEdi&gt;</v>
      </c>
    </row>
    <row r="19093" spans="1:1" x14ac:dyDescent="0.2">
      <c r="A19093" s="996" t="str">
        <f>CONCATENATE(Programme!D19094,Programme!E19094,Programme!F19094,Programme!G19094,Programme!H19094,Programme!I19094,Programme!J19094)</f>
        <v>&lt;/cellule&gt;</v>
      </c>
    </row>
    <row r="19094" spans="1:1" x14ac:dyDescent="0.2">
      <c r="A19094" s="996" t="str">
        <f>CONCATENATE(Programme!D19095,Programme!E19095,Programme!F19095,Programme!G19095,Programme!H19095,Programme!I19095,Programme!J19095)</f>
        <v>&lt;valeur&gt;0&lt;/valeur&gt;</v>
      </c>
    </row>
    <row r="19095" spans="1:1" x14ac:dyDescent="0.2">
      <c r="A19095" s="996" t="str">
        <f>CONCATENATE(Programme!D19096,Programme!E19096,Programme!F19096,Programme!G19096,Programme!H19096,Programme!I19096,Programme!J19096)</f>
        <v>&lt;/ValeurCellule&gt;</v>
      </c>
    </row>
    <row r="19096" spans="1:1" x14ac:dyDescent="0.2">
      <c r="A19096" s="996" t="str">
        <f>CONCATENATE(Programme!D19097,Programme!E19097,Programme!F19097,Programme!G19097,Programme!H19097,Programme!I19097,Programme!J19097)</f>
        <v>&lt;ValeurCellule&gt;</v>
      </c>
    </row>
    <row r="19097" spans="1:1" x14ac:dyDescent="0.2">
      <c r="A19097" s="996" t="str">
        <f>CONCATENATE(Programme!D19098,Programme!E19098,Programme!F19098,Programme!G19098,Programme!H19098,Programme!I19098,Programme!J19098)</f>
        <v>&lt;cellule&gt;</v>
      </c>
    </row>
    <row r="19098" spans="1:1" x14ac:dyDescent="0.2">
      <c r="A19098" s="996" t="str">
        <f>CONCATENATE(Programme!D19099,Programme!E19099,Programme!F19099,Programme!G19099,Programme!H19099,Programme!I19099,Programme!J19099)</f>
        <v>&lt;codeEdi&gt;1419&lt;/codeEdi&gt;</v>
      </c>
    </row>
    <row r="19099" spans="1:1" x14ac:dyDescent="0.2">
      <c r="A19099" s="996" t="str">
        <f>CONCATENATE(Programme!D19100,Programme!E19100,Programme!F19100,Programme!G19100,Programme!H19100,Programme!I19100,Programme!J19100)</f>
        <v>&lt;/cellule&gt;</v>
      </c>
    </row>
    <row r="19100" spans="1:1" x14ac:dyDescent="0.2">
      <c r="A19100" s="996" t="str">
        <f>CONCATENATE(Programme!D19101,Programme!E19101,Programme!F19101,Programme!G19101,Programme!H19101,Programme!I19101,Programme!J19101)</f>
        <v>&lt;valeur&gt;0&lt;/valeur&gt;</v>
      </c>
    </row>
    <row r="19101" spans="1:1" x14ac:dyDescent="0.2">
      <c r="A19101" s="996" t="str">
        <f>CONCATENATE(Programme!D19102,Programme!E19102,Programme!F19102,Programme!G19102,Programme!H19102,Programme!I19102,Programme!J19102)</f>
        <v>&lt;/ValeurCellule&gt;</v>
      </c>
    </row>
    <row r="19102" spans="1:1" x14ac:dyDescent="0.2">
      <c r="A19102" s="996" t="str">
        <f>CONCATENATE(Programme!D19103,Programme!E19103,Programme!F19103,Programme!G19103,Programme!H19103,Programme!I19103,Programme!J19103)</f>
        <v>&lt;ValeurCellule&gt;</v>
      </c>
    </row>
    <row r="19103" spans="1:1" x14ac:dyDescent="0.2">
      <c r="A19103" s="996" t="str">
        <f>CONCATENATE(Programme!D19104,Programme!E19104,Programme!F19104,Programme!G19104,Programme!H19104,Programme!I19104,Programme!J19104)</f>
        <v>&lt;cellule&gt;</v>
      </c>
    </row>
    <row r="19104" spans="1:1" x14ac:dyDescent="0.2">
      <c r="A19104" s="996" t="str">
        <f>CONCATENATE(Programme!D19105,Programme!E19105,Programme!F19105,Programme!G19105,Programme!H19105,Programme!I19105,Programme!J19105)</f>
        <v>&lt;codeEdi&gt;1427&lt;/codeEdi&gt;</v>
      </c>
    </row>
    <row r="19105" spans="1:1" x14ac:dyDescent="0.2">
      <c r="A19105" s="996" t="str">
        <f>CONCATENATE(Programme!D19106,Programme!E19106,Programme!F19106,Programme!G19106,Programme!H19106,Programme!I19106,Programme!J19106)</f>
        <v>&lt;/cellule&gt;</v>
      </c>
    </row>
    <row r="19106" spans="1:1" x14ac:dyDescent="0.2">
      <c r="A19106" s="996" t="str">
        <f>CONCATENATE(Programme!D19107,Programme!E19107,Programme!F19107,Programme!G19107,Programme!H19107,Programme!I19107,Programme!J19107)</f>
        <v>&lt;valeur&gt;0&lt;/valeur&gt;</v>
      </c>
    </row>
    <row r="19107" spans="1:1" x14ac:dyDescent="0.2">
      <c r="A19107" s="996" t="str">
        <f>CONCATENATE(Programme!D19108,Programme!E19108,Programme!F19108,Programme!G19108,Programme!H19108,Programme!I19108,Programme!J19108)</f>
        <v>&lt;/ValeurCellule&gt;</v>
      </c>
    </row>
    <row r="19108" spans="1:1" x14ac:dyDescent="0.2">
      <c r="A19108" s="996" t="str">
        <f>CONCATENATE(Programme!D19109,Programme!E19109,Programme!F19109,Programme!G19109,Programme!H19109,Programme!I19109,Programme!J19109)</f>
        <v>&lt;ValeurCellule&gt;</v>
      </c>
    </row>
    <row r="19109" spans="1:1" x14ac:dyDescent="0.2">
      <c r="A19109" s="996" t="str">
        <f>CONCATENATE(Programme!D19110,Programme!E19110,Programme!F19110,Programme!G19110,Programme!H19110,Programme!I19110,Programme!J19110)</f>
        <v>&lt;cellule&gt;</v>
      </c>
    </row>
    <row r="19110" spans="1:1" x14ac:dyDescent="0.2">
      <c r="A19110" s="996" t="str">
        <f>CONCATENATE(Programme!D19111,Programme!E19111,Programme!F19111,Programme!G19111,Programme!H19111,Programme!I19111,Programme!J19111)</f>
        <v>&lt;codeEdi&gt;1435&lt;/codeEdi&gt;</v>
      </c>
    </row>
    <row r="19111" spans="1:1" x14ac:dyDescent="0.2">
      <c r="A19111" s="996" t="str">
        <f>CONCATENATE(Programme!D19112,Programme!E19112,Programme!F19112,Programme!G19112,Programme!H19112,Programme!I19112,Programme!J19112)</f>
        <v>&lt;/cellule&gt;</v>
      </c>
    </row>
    <row r="19112" spans="1:1" x14ac:dyDescent="0.2">
      <c r="A19112" s="996" t="str">
        <f>CONCATENATE(Programme!D19113,Programme!E19113,Programme!F19113,Programme!G19113,Programme!H19113,Programme!I19113,Programme!J19113)</f>
        <v>&lt;valeur&gt;0&lt;/valeur&gt;</v>
      </c>
    </row>
    <row r="19113" spans="1:1" x14ac:dyDescent="0.2">
      <c r="A19113" s="996" t="str">
        <f>CONCATENATE(Programme!D19114,Programme!E19114,Programme!F19114,Programme!G19114,Programme!H19114,Programme!I19114,Programme!J19114)</f>
        <v>&lt;/ValeurCellule&gt;</v>
      </c>
    </row>
    <row r="19114" spans="1:1" x14ac:dyDescent="0.2">
      <c r="A19114" s="996" t="str">
        <f>CONCATENATE(Programme!D19115,Programme!E19115,Programme!F19115,Programme!G19115,Programme!H19115,Programme!I19115,Programme!J19115)</f>
        <v>&lt;ValeurCellule&gt;</v>
      </c>
    </row>
    <row r="19115" spans="1:1" x14ac:dyDescent="0.2">
      <c r="A19115" s="996" t="str">
        <f>CONCATENATE(Programme!D19116,Programme!E19116,Programme!F19116,Programme!G19116,Programme!H19116,Programme!I19116,Programme!J19116)</f>
        <v>&lt;cellule&gt;</v>
      </c>
    </row>
    <row r="19116" spans="1:1" x14ac:dyDescent="0.2">
      <c r="A19116" s="996" t="str">
        <f>CONCATENATE(Programme!D19117,Programme!E19117,Programme!F19117,Programme!G19117,Programme!H19117,Programme!I19117,Programme!J19117)</f>
        <v>&lt;codeEdi&gt;1451&lt;/codeEdi&gt;</v>
      </c>
    </row>
    <row r="19117" spans="1:1" x14ac:dyDescent="0.2">
      <c r="A19117" s="996" t="str">
        <f>CONCATENATE(Programme!D19118,Programme!E19118,Programme!F19118,Programme!G19118,Programme!H19118,Programme!I19118,Programme!J19118)</f>
        <v>&lt;/cellule&gt;</v>
      </c>
    </row>
    <row r="19118" spans="1:1" x14ac:dyDescent="0.2">
      <c r="A19118" s="996" t="str">
        <f>CONCATENATE(Programme!D19119,Programme!E19119,Programme!F19119,Programme!G19119,Programme!H19119,Programme!I19119,Programme!J19119)</f>
        <v>&lt;valeur&gt;&lt;/valeur&gt;</v>
      </c>
    </row>
    <row r="19119" spans="1:1" x14ac:dyDescent="0.2">
      <c r="A19119" s="996" t="str">
        <f>CONCATENATE(Programme!D19120,Programme!E19120,Programme!F19120,Programme!G19120,Programme!H19120,Programme!I19120,Programme!J19120)</f>
        <v>&lt;/ValeurCellule&gt;</v>
      </c>
    </row>
    <row r="19120" spans="1:1" x14ac:dyDescent="0.2">
      <c r="A19120" s="996" t="str">
        <f>CONCATENATE(Programme!D19121,Programme!E19121,Programme!F19121,Programme!G19121,Programme!H19121,Programme!I19121,Programme!J19121)</f>
        <v>&lt;ValeurCellule&gt;</v>
      </c>
    </row>
    <row r="19121" spans="1:1" x14ac:dyDescent="0.2">
      <c r="A19121" s="996" t="str">
        <f>CONCATENATE(Programme!D19122,Programme!E19122,Programme!F19122,Programme!G19122,Programme!H19122,Programme!I19122,Programme!J19122)</f>
        <v>&lt;cellule&gt;</v>
      </c>
    </row>
    <row r="19122" spans="1:1" x14ac:dyDescent="0.2">
      <c r="A19122" s="996" t="str">
        <f>CONCATENATE(Programme!D19123,Programme!E19123,Programme!F19123,Programme!G19123,Programme!H19123,Programme!I19123,Programme!J19123)</f>
        <v>&lt;codeEdi&gt;1459&lt;/codeEdi&gt;</v>
      </c>
    </row>
    <row r="19123" spans="1:1" x14ac:dyDescent="0.2">
      <c r="A19123" s="996" t="str">
        <f>CONCATENATE(Programme!D19124,Programme!E19124,Programme!F19124,Programme!G19124,Programme!H19124,Programme!I19124,Programme!J19124)</f>
        <v>&lt;/cellule&gt;</v>
      </c>
    </row>
    <row r="19124" spans="1:1" x14ac:dyDescent="0.2">
      <c r="A19124" s="996" t="str">
        <f>CONCATENATE(Programme!D19125,Programme!E19125,Programme!F19125,Programme!G19125,Programme!H19125,Programme!I19125,Programme!J19125)</f>
        <v>&lt;valeur&gt;0&lt;/valeur&gt;</v>
      </c>
    </row>
    <row r="19125" spans="1:1" x14ac:dyDescent="0.2">
      <c r="A19125" s="996" t="str">
        <f>CONCATENATE(Programme!D19126,Programme!E19126,Programme!F19126,Programme!G19126,Programme!H19126,Programme!I19126,Programme!J19126)</f>
        <v>&lt;/ValeurCellule&gt;</v>
      </c>
    </row>
    <row r="19126" spans="1:1" x14ac:dyDescent="0.2">
      <c r="A19126" s="996" t="str">
        <f>CONCATENATE(Programme!D19127,Programme!E19127,Programme!F19127,Programme!G19127,Programme!H19127,Programme!I19127,Programme!J19127)</f>
        <v>&lt;ValeurCellule&gt;</v>
      </c>
    </row>
    <row r="19127" spans="1:1" x14ac:dyDescent="0.2">
      <c r="A19127" s="996" t="str">
        <f>CONCATENATE(Programme!D19128,Programme!E19128,Programme!F19128,Programme!G19128,Programme!H19128,Programme!I19128,Programme!J19128)</f>
        <v>&lt;cellule&gt;</v>
      </c>
    </row>
    <row r="19128" spans="1:1" x14ac:dyDescent="0.2">
      <c r="A19128" s="996" t="str">
        <f>CONCATENATE(Programme!D19129,Programme!E19129,Programme!F19129,Programme!G19129,Programme!H19129,Programme!I19129,Programme!J19129)</f>
        <v>&lt;codeEdi&gt;1467&lt;/codeEdi&gt;</v>
      </c>
    </row>
    <row r="19129" spans="1:1" x14ac:dyDescent="0.2">
      <c r="A19129" s="996" t="str">
        <f>CONCATENATE(Programme!D19130,Programme!E19130,Programme!F19130,Programme!G19130,Programme!H19130,Programme!I19130,Programme!J19130)</f>
        <v>&lt;/cellule&gt;</v>
      </c>
    </row>
    <row r="19130" spans="1:1" x14ac:dyDescent="0.2">
      <c r="A19130" s="996" t="str">
        <f>CONCATENATE(Programme!D19131,Programme!E19131,Programme!F19131,Programme!G19131,Programme!H19131,Programme!I19131,Programme!J19131)</f>
        <v>&lt;valeur&gt;0&lt;/valeur&gt;</v>
      </c>
    </row>
    <row r="19131" spans="1:1" x14ac:dyDescent="0.2">
      <c r="A19131" s="996" t="str">
        <f>CONCATENATE(Programme!D19132,Programme!E19132,Programme!F19132,Programme!G19132,Programme!H19132,Programme!I19132,Programme!J19132)</f>
        <v>&lt;/ValeurCellule&gt;</v>
      </c>
    </row>
    <row r="19132" spans="1:1" x14ac:dyDescent="0.2">
      <c r="A19132" s="996" t="str">
        <f>CONCATENATE(Programme!D19133,Programme!E19133,Programme!F19133,Programme!G19133,Programme!H19133,Programme!I19133,Programme!J19133)</f>
        <v>&lt;ValeurCellule&gt;</v>
      </c>
    </row>
    <row r="19133" spans="1:1" x14ac:dyDescent="0.2">
      <c r="A19133" s="996" t="str">
        <f>CONCATENATE(Programme!D19134,Programme!E19134,Programme!F19134,Programme!G19134,Programme!H19134,Programme!I19134,Programme!J19134)</f>
        <v>&lt;cellule&gt;</v>
      </c>
    </row>
    <row r="19134" spans="1:1" x14ac:dyDescent="0.2">
      <c r="A19134" s="996" t="str">
        <f>CONCATENATE(Programme!D19135,Programme!E19135,Programme!F19135,Programme!G19135,Programme!H19135,Programme!I19135,Programme!J19135)</f>
        <v>&lt;codeEdi&gt;1475&lt;/codeEdi&gt;</v>
      </c>
    </row>
    <row r="19135" spans="1:1" x14ac:dyDescent="0.2">
      <c r="A19135" s="996" t="str">
        <f>CONCATENATE(Programme!D19136,Programme!E19136,Programme!F19136,Programme!G19136,Programme!H19136,Programme!I19136,Programme!J19136)</f>
        <v>&lt;/cellule&gt;</v>
      </c>
    </row>
    <row r="19136" spans="1:1" x14ac:dyDescent="0.2">
      <c r="A19136" s="996" t="str">
        <f>CONCATENATE(Programme!D19137,Programme!E19137,Programme!F19137,Programme!G19137,Programme!H19137,Programme!I19137,Programme!J19137)</f>
        <v>&lt;valeur&gt;0&lt;/valeur&gt;</v>
      </c>
    </row>
    <row r="19137" spans="1:1" x14ac:dyDescent="0.2">
      <c r="A19137" s="996" t="str">
        <f>CONCATENATE(Programme!D19138,Programme!E19138,Programme!F19138,Programme!G19138,Programme!H19138,Programme!I19138,Programme!J19138)</f>
        <v>&lt;/ValeurCellule&gt;</v>
      </c>
    </row>
    <row r="19138" spans="1:1" x14ac:dyDescent="0.2">
      <c r="A19138" s="996" t="str">
        <f>CONCATENATE(Programme!D19139,Programme!E19139,Programme!F19139,Programme!G19139,Programme!H19139,Programme!I19139,Programme!J19139)</f>
        <v>&lt;ValeurCellule&gt;</v>
      </c>
    </row>
    <row r="19139" spans="1:1" x14ac:dyDescent="0.2">
      <c r="A19139" s="996" t="str">
        <f>CONCATENATE(Programme!D19140,Programme!E19140,Programme!F19140,Programme!G19140,Programme!H19140,Programme!I19140,Programme!J19140)</f>
        <v>&lt;cellule&gt;</v>
      </c>
    </row>
    <row r="19140" spans="1:1" x14ac:dyDescent="0.2">
      <c r="A19140" s="996" t="str">
        <f>CONCATENATE(Programme!D19141,Programme!E19141,Programme!F19141,Programme!G19141,Programme!H19141,Programme!I19141,Programme!J19141)</f>
        <v>&lt;codeEdi&gt;1483&lt;/codeEdi&gt;</v>
      </c>
    </row>
    <row r="19141" spans="1:1" x14ac:dyDescent="0.2">
      <c r="A19141" s="996" t="str">
        <f>CONCATENATE(Programme!D19142,Programme!E19142,Programme!F19142,Programme!G19142,Programme!H19142,Programme!I19142,Programme!J19142)</f>
        <v>&lt;/cellule&gt;</v>
      </c>
    </row>
    <row r="19142" spans="1:1" x14ac:dyDescent="0.2">
      <c r="A19142" s="996" t="str">
        <f>CONCATENATE(Programme!D19143,Programme!E19143,Programme!F19143,Programme!G19143,Programme!H19143,Programme!I19143,Programme!J19143)</f>
        <v>&lt;valeur&gt;0&lt;/valeur&gt;</v>
      </c>
    </row>
    <row r="19143" spans="1:1" x14ac:dyDescent="0.2">
      <c r="A19143" s="996" t="str">
        <f>CONCATENATE(Programme!D19144,Programme!E19144,Programme!F19144,Programme!G19144,Programme!H19144,Programme!I19144,Programme!J19144)</f>
        <v>&lt;/ValeurCellule&gt;</v>
      </c>
    </row>
    <row r="19144" spans="1:1" x14ac:dyDescent="0.2">
      <c r="A19144" s="996" t="str">
        <f>CONCATENATE(Programme!D19145,Programme!E19145,Programme!F19145,Programme!G19145,Programme!H19145,Programme!I19145,Programme!J19145)</f>
        <v>&lt;ValeurCellule&gt;</v>
      </c>
    </row>
    <row r="19145" spans="1:1" x14ac:dyDescent="0.2">
      <c r="A19145" s="996" t="str">
        <f>CONCATENATE(Programme!D19146,Programme!E19146,Programme!F19146,Programme!G19146,Programme!H19146,Programme!I19146,Programme!J19146)</f>
        <v>&lt;cellule&gt;</v>
      </c>
    </row>
    <row r="19146" spans="1:1" x14ac:dyDescent="0.2">
      <c r="A19146" s="996" t="str">
        <f>CONCATENATE(Programme!D19147,Programme!E19147,Programme!F19147,Programme!G19147,Programme!H19147,Programme!I19147,Programme!J19147)</f>
        <v>&lt;codeEdi&gt;1557&lt;/codeEdi&gt;</v>
      </c>
    </row>
    <row r="19147" spans="1:1" x14ac:dyDescent="0.2">
      <c r="A19147" s="996" t="str">
        <f>CONCATENATE(Programme!D19148,Programme!E19148,Programme!F19148,Programme!G19148,Programme!H19148,Programme!I19148,Programme!J19148)</f>
        <v>&lt;/cellule&gt;</v>
      </c>
    </row>
    <row r="19148" spans="1:1" x14ac:dyDescent="0.2">
      <c r="A19148" s="996" t="str">
        <f>CONCATENATE(Programme!D19149,Programme!E19149,Programme!F19149,Programme!G19149,Programme!H19149,Programme!I19149,Programme!J19149)</f>
        <v>&lt;valeur&gt;0&lt;/valeur&gt;</v>
      </c>
    </row>
    <row r="19149" spans="1:1" x14ac:dyDescent="0.2">
      <c r="A19149" s="996" t="str">
        <f>CONCATENATE(Programme!D19150,Programme!E19150,Programme!F19150,Programme!G19150,Programme!H19150,Programme!I19150,Programme!J19150)</f>
        <v>&lt;/ValeurCellule&gt;</v>
      </c>
    </row>
    <row r="19150" spans="1:1" x14ac:dyDescent="0.2">
      <c r="A19150" s="996" t="str">
        <f>CONCATENATE(Programme!D19151,Programme!E19151,Programme!F19151,Programme!G19151,Programme!H19151,Programme!I19151,Programme!J19151)</f>
        <v>&lt;ValeurCellule&gt;</v>
      </c>
    </row>
    <row r="19151" spans="1:1" x14ac:dyDescent="0.2">
      <c r="A19151" s="996" t="str">
        <f>CONCATENATE(Programme!D19152,Programme!E19152,Programme!F19152,Programme!G19152,Programme!H19152,Programme!I19152,Programme!J19152)</f>
        <v>&lt;cellule&gt;</v>
      </c>
    </row>
    <row r="19152" spans="1:1" x14ac:dyDescent="0.2">
      <c r="A19152" s="996" t="str">
        <f>CONCATENATE(Programme!D19153,Programme!E19153,Programme!F19153,Programme!G19153,Programme!H19153,Programme!I19153,Programme!J19153)</f>
        <v>&lt;codeEdi&gt;1598&lt;/codeEdi&gt;</v>
      </c>
    </row>
    <row r="19153" spans="1:1" x14ac:dyDescent="0.2">
      <c r="A19153" s="996" t="str">
        <f>CONCATENATE(Programme!D19154,Programme!E19154,Programme!F19154,Programme!G19154,Programme!H19154,Programme!I19154,Programme!J19154)</f>
        <v>&lt;/cellule&gt;</v>
      </c>
    </row>
    <row r="19154" spans="1:1" x14ac:dyDescent="0.2">
      <c r="A19154" s="996" t="str">
        <f>CONCATENATE(Programme!D19155,Programme!E19155,Programme!F19155,Programme!G19155,Programme!H19155,Programme!I19155,Programme!J19155)</f>
        <v>&lt;valeur&gt;0&lt;/valeur&gt;</v>
      </c>
    </row>
    <row r="19155" spans="1:1" x14ac:dyDescent="0.2">
      <c r="A19155" s="996" t="str">
        <f>CONCATENATE(Programme!D19156,Programme!E19156,Programme!F19156,Programme!G19156,Programme!H19156,Programme!I19156,Programme!J19156)</f>
        <v>&lt;/ValeurCellule&gt;</v>
      </c>
    </row>
    <row r="19156" spans="1:1" x14ac:dyDescent="0.2">
      <c r="A19156" s="996" t="str">
        <f>CONCATENATE(Programme!D19157,Programme!E19157,Programme!F19157,Programme!G19157,Programme!H19157,Programme!I19157,Programme!J19157)</f>
        <v>&lt;ValeurCellule&gt;</v>
      </c>
    </row>
    <row r="19157" spans="1:1" x14ac:dyDescent="0.2">
      <c r="A19157" s="996" t="str">
        <f>CONCATENATE(Programme!D19158,Programme!E19158,Programme!F19158,Programme!G19158,Programme!H19158,Programme!I19158,Programme!J19158)</f>
        <v>&lt;cellule&gt;</v>
      </c>
    </row>
    <row r="19158" spans="1:1" x14ac:dyDescent="0.2">
      <c r="A19158" s="996" t="str">
        <f>CONCATENATE(Programme!D19159,Programme!E19159,Programme!F19159,Programme!G19159,Programme!H19159,Programme!I19159,Programme!J19159)</f>
        <v>&lt;codeEdi&gt;1606&lt;/codeEdi&gt;</v>
      </c>
    </row>
    <row r="19159" spans="1:1" x14ac:dyDescent="0.2">
      <c r="A19159" s="996" t="str">
        <f>CONCATENATE(Programme!D19160,Programme!E19160,Programme!F19160,Programme!G19160,Programme!H19160,Programme!I19160,Programme!J19160)</f>
        <v>&lt;/cellule&gt;</v>
      </c>
    </row>
    <row r="19160" spans="1:1" x14ac:dyDescent="0.2">
      <c r="A19160" s="996" t="str">
        <f>CONCATENATE(Programme!D19161,Programme!E19161,Programme!F19161,Programme!G19161,Programme!H19161,Programme!I19161,Programme!J19161)</f>
        <v>&lt;valeur&gt;0&lt;/valeur&gt;</v>
      </c>
    </row>
    <row r="19161" spans="1:1" x14ac:dyDescent="0.2">
      <c r="A19161" s="996" t="str">
        <f>CONCATENATE(Programme!D19162,Programme!E19162,Programme!F19162,Programme!G19162,Programme!H19162,Programme!I19162,Programme!J19162)</f>
        <v>&lt;/ValeurCellule&gt;</v>
      </c>
    </row>
    <row r="19162" spans="1:1" x14ac:dyDescent="0.2">
      <c r="A19162" s="996" t="str">
        <f>CONCATENATE(Programme!D19163,Programme!E19163,Programme!F19163,Programme!G19163,Programme!H19163,Programme!I19163,Programme!J19163)</f>
        <v>&lt;ValeurCellule&gt;</v>
      </c>
    </row>
    <row r="19163" spans="1:1" x14ac:dyDescent="0.2">
      <c r="A19163" s="996" t="str">
        <f>CONCATENATE(Programme!D19164,Programme!E19164,Programme!F19164,Programme!G19164,Programme!H19164,Programme!I19164,Programme!J19164)</f>
        <v>&lt;cellule&gt;</v>
      </c>
    </row>
    <row r="19164" spans="1:1" x14ac:dyDescent="0.2">
      <c r="A19164" s="996" t="str">
        <f>CONCATENATE(Programme!D19165,Programme!E19165,Programme!F19165,Programme!G19165,Programme!H19165,Programme!I19165,Programme!J19165)</f>
        <v>&lt;codeEdi&gt;1614&lt;/codeEdi&gt;</v>
      </c>
    </row>
    <row r="19165" spans="1:1" x14ac:dyDescent="0.2">
      <c r="A19165" s="996" t="str">
        <f>CONCATENATE(Programme!D19166,Programme!E19166,Programme!F19166,Programme!G19166,Programme!H19166,Programme!I19166,Programme!J19166)</f>
        <v>&lt;/cellule&gt;</v>
      </c>
    </row>
    <row r="19166" spans="1:1" x14ac:dyDescent="0.2">
      <c r="A19166" s="996" t="str">
        <f>CONCATENATE(Programme!D19167,Programme!E19167,Programme!F19167,Programme!G19167,Programme!H19167,Programme!I19167,Programme!J19167)</f>
        <v>&lt;valeur&gt;0&lt;/valeur&gt;</v>
      </c>
    </row>
    <row r="19167" spans="1:1" x14ac:dyDescent="0.2">
      <c r="A19167" s="996" t="str">
        <f>CONCATENATE(Programme!D19168,Programme!E19168,Programme!F19168,Programme!G19168,Programme!H19168,Programme!I19168,Programme!J19168)</f>
        <v>&lt;/ValeurCellule&gt;</v>
      </c>
    </row>
    <row r="19168" spans="1:1" x14ac:dyDescent="0.2">
      <c r="A19168" s="996" t="str">
        <f>CONCATENATE(Programme!D19169,Programme!E19169,Programme!F19169,Programme!G19169,Programme!H19169,Programme!I19169,Programme!J19169)</f>
        <v>&lt;ValeurCellule&gt;</v>
      </c>
    </row>
    <row r="19169" spans="1:1" x14ac:dyDescent="0.2">
      <c r="A19169" s="996" t="str">
        <f>CONCATENATE(Programme!D19170,Programme!E19170,Programme!F19170,Programme!G19170,Programme!H19170,Programme!I19170,Programme!J19170)</f>
        <v>&lt;cellule&gt;</v>
      </c>
    </row>
    <row r="19170" spans="1:1" x14ac:dyDescent="0.2">
      <c r="A19170" s="996" t="str">
        <f>CONCATENATE(Programme!D19171,Programme!E19171,Programme!F19171,Programme!G19171,Programme!H19171,Programme!I19171,Programme!J19171)</f>
        <v>&lt;codeEdi&gt;1637&lt;/codeEdi&gt;</v>
      </c>
    </row>
    <row r="19171" spans="1:1" x14ac:dyDescent="0.2">
      <c r="A19171" s="996" t="str">
        <f>CONCATENATE(Programme!D19172,Programme!E19172,Programme!F19172,Programme!G19172,Programme!H19172,Programme!I19172,Programme!J19172)</f>
        <v>&lt;/cellule&gt;</v>
      </c>
    </row>
    <row r="19172" spans="1:1" x14ac:dyDescent="0.2">
      <c r="A19172" s="996" t="str">
        <f>CONCATENATE(Programme!D19173,Programme!E19173,Programme!F19173,Programme!G19173,Programme!H19173,Programme!I19173,Programme!J19173)</f>
        <v>&lt;valeur&gt;&lt;/valeur&gt;</v>
      </c>
    </row>
    <row r="19173" spans="1:1" x14ac:dyDescent="0.2">
      <c r="A19173" s="996" t="str">
        <f>CONCATENATE(Programme!D19174,Programme!E19174,Programme!F19174,Programme!G19174,Programme!H19174,Programme!I19174,Programme!J19174)</f>
        <v>&lt;/ValeurCellule&gt;</v>
      </c>
    </row>
    <row r="19174" spans="1:1" x14ac:dyDescent="0.2">
      <c r="A19174" s="996" t="str">
        <f>CONCATENATE(Programme!D19175,Programme!E19175,Programme!F19175,Programme!G19175,Programme!H19175,Programme!I19175,Programme!J19175)</f>
        <v>&lt;ValeurCellule&gt;</v>
      </c>
    </row>
    <row r="19175" spans="1:1" x14ac:dyDescent="0.2">
      <c r="A19175" s="996" t="str">
        <f>CONCATENATE(Programme!D19176,Programme!E19176,Programme!F19176,Programme!G19176,Programme!H19176,Programme!I19176,Programme!J19176)</f>
        <v>&lt;cellule&gt;</v>
      </c>
    </row>
    <row r="19176" spans="1:1" x14ac:dyDescent="0.2">
      <c r="A19176" s="996" t="str">
        <f>CONCATENATE(Programme!D19177,Programme!E19177,Programme!F19177,Programme!G19177,Programme!H19177,Programme!I19177,Programme!J19177)</f>
        <v>&lt;codeEdi&gt;1645&lt;/codeEdi&gt;</v>
      </c>
    </row>
    <row r="19177" spans="1:1" x14ac:dyDescent="0.2">
      <c r="A19177" s="996" t="str">
        <f>CONCATENATE(Programme!D19178,Programme!E19178,Programme!F19178,Programme!G19178,Programme!H19178,Programme!I19178,Programme!J19178)</f>
        <v>&lt;/cellule&gt;</v>
      </c>
    </row>
    <row r="19178" spans="1:1" x14ac:dyDescent="0.2">
      <c r="A19178" s="996" t="str">
        <f>CONCATENATE(Programme!D19179,Programme!E19179,Programme!F19179,Programme!G19179,Programme!H19179,Programme!I19179,Programme!J19179)</f>
        <v>&lt;valeur&gt;0&lt;/valeur&gt;</v>
      </c>
    </row>
    <row r="19179" spans="1:1" x14ac:dyDescent="0.2">
      <c r="A19179" s="996" t="str">
        <f>CONCATENATE(Programme!D19180,Programme!E19180,Programme!F19180,Programme!G19180,Programme!H19180,Programme!I19180,Programme!J19180)</f>
        <v>&lt;/ValeurCellule&gt;</v>
      </c>
    </row>
    <row r="19180" spans="1:1" x14ac:dyDescent="0.2">
      <c r="A19180" s="996" t="str">
        <f>CONCATENATE(Programme!D19181,Programme!E19181,Programme!F19181,Programme!G19181,Programme!H19181,Programme!I19181,Programme!J19181)</f>
        <v>&lt;ValeurCellule&gt;</v>
      </c>
    </row>
    <row r="19181" spans="1:1" x14ac:dyDescent="0.2">
      <c r="A19181" s="996" t="str">
        <f>CONCATENATE(Programme!D19182,Programme!E19182,Programme!F19182,Programme!G19182,Programme!H19182,Programme!I19182,Programme!J19182)</f>
        <v>&lt;cellule&gt;</v>
      </c>
    </row>
    <row r="19182" spans="1:1" x14ac:dyDescent="0.2">
      <c r="A19182" s="996" t="str">
        <f>CONCATENATE(Programme!D19183,Programme!E19183,Programme!F19183,Programme!G19183,Programme!H19183,Programme!I19183,Programme!J19183)</f>
        <v>&lt;codeEdi&gt;1658&lt;/codeEdi&gt;</v>
      </c>
    </row>
    <row r="19183" spans="1:1" x14ac:dyDescent="0.2">
      <c r="A19183" s="996" t="str">
        <f>CONCATENATE(Programme!D19184,Programme!E19184,Programme!F19184,Programme!G19184,Programme!H19184,Programme!I19184,Programme!J19184)</f>
        <v>&lt;/cellule&gt;</v>
      </c>
    </row>
    <row r="19184" spans="1:1" x14ac:dyDescent="0.2">
      <c r="A19184" s="996" t="str">
        <f>CONCATENATE(Programme!D19185,Programme!E19185,Programme!F19185,Programme!G19185,Programme!H19185,Programme!I19185,Programme!J19185)</f>
        <v>&lt;valeur&gt;0&lt;/valeur&gt;</v>
      </c>
    </row>
    <row r="19185" spans="1:1" x14ac:dyDescent="0.2">
      <c r="A19185" s="996" t="str">
        <f>CONCATENATE(Programme!D19186,Programme!E19186,Programme!F19186,Programme!G19186,Programme!H19186,Programme!I19186,Programme!J19186)</f>
        <v>&lt;/ValeurCellule&gt;</v>
      </c>
    </row>
    <row r="19186" spans="1:1" x14ac:dyDescent="0.2">
      <c r="A19186" s="996" t="str">
        <f>CONCATENATE(Programme!D19187,Programme!E19187,Programme!F19187,Programme!G19187,Programme!H19187,Programme!I19187,Programme!J19187)</f>
        <v>&lt;ValeurCellule&gt;</v>
      </c>
    </row>
    <row r="19187" spans="1:1" x14ac:dyDescent="0.2">
      <c r="A19187" s="996" t="str">
        <f>CONCATENATE(Programme!D19188,Programme!E19188,Programme!F19188,Programme!G19188,Programme!H19188,Programme!I19188,Programme!J19188)</f>
        <v>&lt;cellule&gt;</v>
      </c>
    </row>
    <row r="19188" spans="1:1" x14ac:dyDescent="0.2">
      <c r="A19188" s="996" t="str">
        <f>CONCATENATE(Programme!D19189,Programme!E19189,Programme!F19189,Programme!G19189,Programme!H19189,Programme!I19189,Programme!J19189)</f>
        <v>&lt;codeEdi&gt;1666&lt;/codeEdi&gt;</v>
      </c>
    </row>
    <row r="19189" spans="1:1" x14ac:dyDescent="0.2">
      <c r="A19189" s="996" t="str">
        <f>CONCATENATE(Programme!D19190,Programme!E19190,Programme!F19190,Programme!G19190,Programme!H19190,Programme!I19190,Programme!J19190)</f>
        <v>&lt;/cellule&gt;</v>
      </c>
    </row>
    <row r="19190" spans="1:1" x14ac:dyDescent="0.2">
      <c r="A19190" s="996" t="str">
        <f>CONCATENATE(Programme!D19191,Programme!E19191,Programme!F19191,Programme!G19191,Programme!H19191,Programme!I19191,Programme!J19191)</f>
        <v>&lt;valeur&gt;0&lt;/valeur&gt;</v>
      </c>
    </row>
    <row r="19191" spans="1:1" x14ac:dyDescent="0.2">
      <c r="A19191" s="996" t="str">
        <f>CONCATENATE(Programme!D19192,Programme!E19192,Programme!F19192,Programme!G19192,Programme!H19192,Programme!I19192,Programme!J19192)</f>
        <v>&lt;/ValeurCellule&gt;</v>
      </c>
    </row>
    <row r="19192" spans="1:1" x14ac:dyDescent="0.2">
      <c r="A19192" s="996" t="str">
        <f>CONCATENATE(Programme!D19193,Programme!E19193,Programme!F19193,Programme!G19193,Programme!H19193,Programme!I19193,Programme!J19193)</f>
        <v>&lt;ValeurCellule&gt;</v>
      </c>
    </row>
    <row r="19193" spans="1:1" x14ac:dyDescent="0.2">
      <c r="A19193" s="996" t="str">
        <f>CONCATENATE(Programme!D19194,Programme!E19194,Programme!F19194,Programme!G19194,Programme!H19194,Programme!I19194,Programme!J19194)</f>
        <v>&lt;cellule&gt;</v>
      </c>
    </row>
    <row r="19194" spans="1:1" x14ac:dyDescent="0.2">
      <c r="A19194" s="996" t="str">
        <f>CONCATENATE(Programme!D19195,Programme!E19195,Programme!F19195,Programme!G19195,Programme!H19195,Programme!I19195,Programme!J19195)</f>
        <v>&lt;codeEdi&gt;1674&lt;/codeEdi&gt;</v>
      </c>
    </row>
    <row r="19195" spans="1:1" x14ac:dyDescent="0.2">
      <c r="A19195" s="996" t="str">
        <f>CONCATENATE(Programme!D19196,Programme!E19196,Programme!F19196,Programme!G19196,Programme!H19196,Programme!I19196,Programme!J19196)</f>
        <v>&lt;/cellule&gt;</v>
      </c>
    </row>
    <row r="19196" spans="1:1" x14ac:dyDescent="0.2">
      <c r="A19196" s="996" t="str">
        <f>CONCATENATE(Programme!D19197,Programme!E19197,Programme!F19197,Programme!G19197,Programme!H19197,Programme!I19197,Programme!J19197)</f>
        <v>&lt;valeur&gt;0&lt;/valeur&gt;</v>
      </c>
    </row>
    <row r="19197" spans="1:1" x14ac:dyDescent="0.2">
      <c r="A19197" s="996" t="str">
        <f>CONCATENATE(Programme!D19198,Programme!E19198,Programme!F19198,Programme!G19198,Programme!H19198,Programme!I19198,Programme!J19198)</f>
        <v>&lt;/ValeurCellule&gt;</v>
      </c>
    </row>
    <row r="19198" spans="1:1" x14ac:dyDescent="0.2">
      <c r="A19198" s="996" t="str">
        <f>CONCATENATE(Programme!D19199,Programme!E19199,Programme!F19199,Programme!G19199,Programme!H19199,Programme!I19199,Programme!J19199)</f>
        <v>&lt;ValeurCellule&gt;</v>
      </c>
    </row>
    <row r="19199" spans="1:1" x14ac:dyDescent="0.2">
      <c r="A19199" s="996" t="str">
        <f>CONCATENATE(Programme!D19200,Programme!E19200,Programme!F19200,Programme!G19200,Programme!H19200,Programme!I19200,Programme!J19200)</f>
        <v>&lt;cellule&gt;</v>
      </c>
    </row>
    <row r="19200" spans="1:1" x14ac:dyDescent="0.2">
      <c r="A19200" s="996" t="str">
        <f>CONCATENATE(Programme!D19201,Programme!E19201,Programme!F19201,Programme!G19201,Programme!H19201,Programme!I19201,Programme!J19201)</f>
        <v>&lt;codeEdi&gt;1687&lt;/codeEdi&gt;</v>
      </c>
    </row>
    <row r="19201" spans="1:1" x14ac:dyDescent="0.2">
      <c r="A19201" s="996" t="str">
        <f>CONCATENATE(Programme!D19202,Programme!E19202,Programme!F19202,Programme!G19202,Programme!H19202,Programme!I19202,Programme!J19202)</f>
        <v>&lt;/cellule&gt;</v>
      </c>
    </row>
    <row r="19202" spans="1:1" x14ac:dyDescent="0.2">
      <c r="A19202" s="996" t="str">
        <f>CONCATENATE(Programme!D19203,Programme!E19203,Programme!F19203,Programme!G19203,Programme!H19203,Programme!I19203,Programme!J19203)</f>
        <v>&lt;valeur&gt;0&lt;/valeur&gt;</v>
      </c>
    </row>
    <row r="19203" spans="1:1" x14ac:dyDescent="0.2">
      <c r="A19203" s="996" t="str">
        <f>CONCATENATE(Programme!D19204,Programme!E19204,Programme!F19204,Programme!G19204,Programme!H19204,Programme!I19204,Programme!J19204)</f>
        <v>&lt;/ValeurCellule&gt;</v>
      </c>
    </row>
    <row r="19204" spans="1:1" x14ac:dyDescent="0.2">
      <c r="A19204" s="996" t="str">
        <f>CONCATENATE(Programme!D19205,Programme!E19205,Programme!F19205,Programme!G19205,Programme!H19205,Programme!I19205,Programme!J19205)</f>
        <v>&lt;ValeurCellule&gt;</v>
      </c>
    </row>
    <row r="19205" spans="1:1" x14ac:dyDescent="0.2">
      <c r="A19205" s="996" t="str">
        <f>CONCATENATE(Programme!D19206,Programme!E19206,Programme!F19206,Programme!G19206,Programme!H19206,Programme!I19206,Programme!J19206)</f>
        <v>&lt;cellule&gt;</v>
      </c>
    </row>
    <row r="19206" spans="1:1" x14ac:dyDescent="0.2">
      <c r="A19206" s="996" t="str">
        <f>CONCATENATE(Programme!D19207,Programme!E19207,Programme!F19207,Programme!G19207,Programme!H19207,Programme!I19207,Programme!J19207)</f>
        <v>&lt;codeEdi&gt;1738&lt;/codeEdi&gt;</v>
      </c>
    </row>
    <row r="19207" spans="1:1" x14ac:dyDescent="0.2">
      <c r="A19207" s="996" t="str">
        <f>CONCATENATE(Programme!D19208,Programme!E19208,Programme!F19208,Programme!G19208,Programme!H19208,Programme!I19208,Programme!J19208)</f>
        <v>&lt;/cellule&gt;</v>
      </c>
    </row>
    <row r="19208" spans="1:1" x14ac:dyDescent="0.2">
      <c r="A19208" s="996" t="str">
        <f>CONCATENATE(Programme!D19209,Programme!E19209,Programme!F19209,Programme!G19209,Programme!H19209,Programme!I19209,Programme!J19209)</f>
        <v>&lt;valeur&gt;&lt;/valeur&gt;</v>
      </c>
    </row>
    <row r="19209" spans="1:1" x14ac:dyDescent="0.2">
      <c r="A19209" s="996" t="str">
        <f>CONCATENATE(Programme!D19210,Programme!E19210,Programme!F19210,Programme!G19210,Programme!H19210,Programme!I19210,Programme!J19210)</f>
        <v>&lt;/ValeurCellule&gt;</v>
      </c>
    </row>
    <row r="19210" spans="1:1" x14ac:dyDescent="0.2">
      <c r="A19210" s="996" t="str">
        <f>CONCATENATE(Programme!D19211,Programme!E19211,Programme!F19211,Programme!G19211,Programme!H19211,Programme!I19211,Programme!J19211)</f>
        <v>&lt;ValeurCellule&gt;</v>
      </c>
    </row>
    <row r="19211" spans="1:1" x14ac:dyDescent="0.2">
      <c r="A19211" s="996" t="str">
        <f>CONCATENATE(Programme!D19212,Programme!E19212,Programme!F19212,Programme!G19212,Programme!H19212,Programme!I19212,Programme!J19212)</f>
        <v>&lt;cellule&gt;</v>
      </c>
    </row>
    <row r="19212" spans="1:1" x14ac:dyDescent="0.2">
      <c r="A19212" s="996" t="str">
        <f>CONCATENATE(Programme!D19213,Programme!E19213,Programme!F19213,Programme!G19213,Programme!H19213,Programme!I19213,Programme!J19213)</f>
        <v>&lt;codeEdi&gt;1759&lt;/codeEdi&gt;</v>
      </c>
    </row>
    <row r="19213" spans="1:1" x14ac:dyDescent="0.2">
      <c r="A19213" s="996" t="str">
        <f>CONCATENATE(Programme!D19214,Programme!E19214,Programme!F19214,Programme!G19214,Programme!H19214,Programme!I19214,Programme!J19214)</f>
        <v>&lt;/cellule&gt;</v>
      </c>
    </row>
    <row r="19214" spans="1:1" x14ac:dyDescent="0.2">
      <c r="A19214" s="996" t="str">
        <f>CONCATENATE(Programme!D19215,Programme!E19215,Programme!F19215,Programme!G19215,Programme!H19215,Programme!I19215,Programme!J19215)</f>
        <v>&lt;valeur&gt;0&lt;/valeur&gt;</v>
      </c>
    </row>
    <row r="19215" spans="1:1" x14ac:dyDescent="0.2">
      <c r="A19215" s="996" t="str">
        <f>CONCATENATE(Programme!D19216,Programme!E19216,Programme!F19216,Programme!G19216,Programme!H19216,Programme!I19216,Programme!J19216)</f>
        <v>&lt;/ValeurCellule&gt;</v>
      </c>
    </row>
    <row r="19216" spans="1:1" x14ac:dyDescent="0.2">
      <c r="A19216" s="996" t="str">
        <f>CONCATENATE(Programme!D19217,Programme!E19217,Programme!F19217,Programme!G19217,Programme!H19217,Programme!I19217,Programme!J19217)</f>
        <v>&lt;ValeurCellule&gt;</v>
      </c>
    </row>
    <row r="19217" spans="1:1" x14ac:dyDescent="0.2">
      <c r="A19217" s="996" t="str">
        <f>CONCATENATE(Programme!D19218,Programme!E19218,Programme!F19218,Programme!G19218,Programme!H19218,Programme!I19218,Programme!J19218)</f>
        <v>&lt;cellule&gt;</v>
      </c>
    </row>
    <row r="19218" spans="1:1" x14ac:dyDescent="0.2">
      <c r="A19218" s="996" t="str">
        <f>CONCATENATE(Programme!D19219,Programme!E19219,Programme!F19219,Programme!G19219,Programme!H19219,Programme!I19219,Programme!J19219)</f>
        <v>&lt;codeEdi&gt;1771&lt;/codeEdi&gt;</v>
      </c>
    </row>
    <row r="19219" spans="1:1" x14ac:dyDescent="0.2">
      <c r="A19219" s="996" t="str">
        <f>CONCATENATE(Programme!D19220,Programme!E19220,Programme!F19220,Programme!G19220,Programme!H19220,Programme!I19220,Programme!J19220)</f>
        <v>&lt;/cellule&gt;</v>
      </c>
    </row>
    <row r="19220" spans="1:1" x14ac:dyDescent="0.2">
      <c r="A19220" s="996" t="str">
        <f>CONCATENATE(Programme!D19221,Programme!E19221,Programme!F19221,Programme!G19221,Programme!H19221,Programme!I19221,Programme!J19221)</f>
        <v>&lt;valeur&gt;0&lt;/valeur&gt;</v>
      </c>
    </row>
    <row r="19221" spans="1:1" x14ac:dyDescent="0.2">
      <c r="A19221" s="996" t="str">
        <f>CONCATENATE(Programme!D19222,Programme!E19222,Programme!F19222,Programme!G19222,Programme!H19222,Programme!I19222,Programme!J19222)</f>
        <v>&lt;/ValeurCellule&gt;</v>
      </c>
    </row>
    <row r="19222" spans="1:1" x14ac:dyDescent="0.2">
      <c r="A19222" s="996" t="str">
        <f>CONCATENATE(Programme!D19223,Programme!E19223,Programme!F19223,Programme!G19223,Programme!H19223,Programme!I19223,Programme!J19223)</f>
        <v>&lt;ValeurCellule&gt;</v>
      </c>
    </row>
    <row r="19223" spans="1:1" x14ac:dyDescent="0.2">
      <c r="A19223" s="996" t="str">
        <f>CONCATENATE(Programme!D19224,Programme!E19224,Programme!F19224,Programme!G19224,Programme!H19224,Programme!I19224,Programme!J19224)</f>
        <v>&lt;cellule&gt;</v>
      </c>
    </row>
    <row r="19224" spans="1:1" x14ac:dyDescent="0.2">
      <c r="A19224" s="996" t="str">
        <f>CONCATENATE(Programme!D19225,Programme!E19225,Programme!F19225,Programme!G19225,Programme!H19225,Programme!I19225,Programme!J19225)</f>
        <v>&lt;codeEdi&gt;1802&lt;/codeEdi&gt;</v>
      </c>
    </row>
    <row r="19225" spans="1:1" x14ac:dyDescent="0.2">
      <c r="A19225" s="996" t="str">
        <f>CONCATENATE(Programme!D19226,Programme!E19226,Programme!F19226,Programme!G19226,Programme!H19226,Programme!I19226,Programme!J19226)</f>
        <v>&lt;/cellule&gt;</v>
      </c>
    </row>
    <row r="19226" spans="1:1" x14ac:dyDescent="0.2">
      <c r="A19226" s="996" t="str">
        <f>CONCATENATE(Programme!D19227,Programme!E19227,Programme!F19227,Programme!G19227,Programme!H19227,Programme!I19227,Programme!J19227)</f>
        <v>&lt;valeur&gt;0&lt;/valeur&gt;</v>
      </c>
    </row>
    <row r="19227" spans="1:1" x14ac:dyDescent="0.2">
      <c r="A19227" s="996" t="str">
        <f>CONCATENATE(Programme!D19228,Programme!E19228,Programme!F19228,Programme!G19228,Programme!H19228,Programme!I19228,Programme!J19228)</f>
        <v>&lt;/ValeurCellule&gt;</v>
      </c>
    </row>
    <row r="19228" spans="1:1" x14ac:dyDescent="0.2">
      <c r="A19228" s="996" t="str">
        <f>CONCATENATE(Programme!D19229,Programme!E19229,Programme!F19229,Programme!G19229,Programme!H19229,Programme!I19229,Programme!J19229)</f>
        <v>&lt;ValeurCellule&gt;</v>
      </c>
    </row>
    <row r="19229" spans="1:1" x14ac:dyDescent="0.2">
      <c r="A19229" s="996" t="str">
        <f>CONCATENATE(Programme!D19230,Programme!E19230,Programme!F19230,Programme!G19230,Programme!H19230,Programme!I19230,Programme!J19230)</f>
        <v>&lt;cellule&gt;</v>
      </c>
    </row>
    <row r="19230" spans="1:1" x14ac:dyDescent="0.2">
      <c r="A19230" s="996" t="str">
        <f>CONCATENATE(Programme!D19231,Programme!E19231,Programme!F19231,Programme!G19231,Programme!H19231,Programme!I19231,Programme!J19231)</f>
        <v>&lt;codeEdi&gt;1821&lt;/codeEdi&gt;</v>
      </c>
    </row>
    <row r="19231" spans="1:1" x14ac:dyDescent="0.2">
      <c r="A19231" s="996" t="str">
        <f>CONCATENATE(Programme!D19232,Programme!E19232,Programme!F19232,Programme!G19232,Programme!H19232,Programme!I19232,Programme!J19232)</f>
        <v>&lt;/cellule&gt;</v>
      </c>
    </row>
    <row r="19232" spans="1:1" x14ac:dyDescent="0.2">
      <c r="A19232" s="996" t="str">
        <f>CONCATENATE(Programme!D19233,Programme!E19233,Programme!F19233,Programme!G19233,Programme!H19233,Programme!I19233,Programme!J19233)</f>
        <v>&lt;valeur&gt;&lt;/valeur&gt;</v>
      </c>
    </row>
    <row r="19233" spans="1:1" x14ac:dyDescent="0.2">
      <c r="A19233" s="996" t="str">
        <f>CONCATENATE(Programme!D19234,Programme!E19234,Programme!F19234,Programme!G19234,Programme!H19234,Programme!I19234,Programme!J19234)</f>
        <v>&lt;/ValeurCellule&gt;</v>
      </c>
    </row>
    <row r="19234" spans="1:1" x14ac:dyDescent="0.2">
      <c r="A19234" s="996" t="str">
        <f>CONCATENATE(Programme!D19235,Programme!E19235,Programme!F19235,Programme!G19235,Programme!H19235,Programme!I19235,Programme!J19235)</f>
        <v>&lt;ValeurCellule&gt;</v>
      </c>
    </row>
    <row r="19235" spans="1:1" x14ac:dyDescent="0.2">
      <c r="A19235" s="996" t="str">
        <f>CONCATENATE(Programme!D19236,Programme!E19236,Programme!F19236,Programme!G19236,Programme!H19236,Programme!I19236,Programme!J19236)</f>
        <v>&lt;cellule&gt;</v>
      </c>
    </row>
    <row r="19236" spans="1:1" x14ac:dyDescent="0.2">
      <c r="A19236" s="996" t="str">
        <f>CONCATENATE(Programme!D19237,Programme!E19237,Programme!F19237,Programme!G19237,Programme!H19237,Programme!I19237,Programme!J19237)</f>
        <v>&lt;codeEdi&gt;1838&lt;/codeEdi&gt;</v>
      </c>
    </row>
    <row r="19237" spans="1:1" x14ac:dyDescent="0.2">
      <c r="A19237" s="996" t="str">
        <f>CONCATENATE(Programme!D19238,Programme!E19238,Programme!F19238,Programme!G19238,Programme!H19238,Programme!I19238,Programme!J19238)</f>
        <v>&lt;/cellule&gt;</v>
      </c>
    </row>
    <row r="19238" spans="1:1" x14ac:dyDescent="0.2">
      <c r="A19238" s="996" t="str">
        <f>CONCATENATE(Programme!D19239,Programme!E19239,Programme!F19239,Programme!G19239,Programme!H19239,Programme!I19239,Programme!J19239)</f>
        <v>&lt;valeur&gt;0&lt;/valeur&gt;</v>
      </c>
    </row>
    <row r="19239" spans="1:1" x14ac:dyDescent="0.2">
      <c r="A19239" s="996" t="str">
        <f>CONCATENATE(Programme!D19240,Programme!E19240,Programme!F19240,Programme!G19240,Programme!H19240,Programme!I19240,Programme!J19240)</f>
        <v>&lt;/ValeurCellule&gt;</v>
      </c>
    </row>
    <row r="19240" spans="1:1" x14ac:dyDescent="0.2">
      <c r="A19240" s="996" t="str">
        <f>CONCATENATE(Programme!D19241,Programme!E19241,Programme!F19241,Programme!G19241,Programme!H19241,Programme!I19241,Programme!J19241)</f>
        <v>&lt;ValeurCellule&gt;</v>
      </c>
    </row>
    <row r="19241" spans="1:1" x14ac:dyDescent="0.2">
      <c r="A19241" s="996" t="str">
        <f>CONCATENATE(Programme!D19242,Programme!E19242,Programme!F19242,Programme!G19242,Programme!H19242,Programme!I19242,Programme!J19242)</f>
        <v>&lt;cellule&gt;</v>
      </c>
    </row>
    <row r="19242" spans="1:1" x14ac:dyDescent="0.2">
      <c r="A19242" s="996" t="str">
        <f>CONCATENATE(Programme!D19243,Programme!E19243,Programme!F19243,Programme!G19243,Programme!H19243,Programme!I19243,Programme!J19243)</f>
        <v>&lt;codeEdi&gt;1855&lt;/codeEdi&gt;</v>
      </c>
    </row>
    <row r="19243" spans="1:1" x14ac:dyDescent="0.2">
      <c r="A19243" s="996" t="str">
        <f>CONCATENATE(Programme!D19244,Programme!E19244,Programme!F19244,Programme!G19244,Programme!H19244,Programme!I19244,Programme!J19244)</f>
        <v>&lt;/cellule&gt;</v>
      </c>
    </row>
    <row r="19244" spans="1:1" x14ac:dyDescent="0.2">
      <c r="A19244" s="996" t="str">
        <f>CONCATENATE(Programme!D19245,Programme!E19245,Programme!F19245,Programme!G19245,Programme!H19245,Programme!I19245,Programme!J19245)</f>
        <v>&lt;valeur&gt;0&lt;/valeur&gt;</v>
      </c>
    </row>
    <row r="19245" spans="1:1" x14ac:dyDescent="0.2">
      <c r="A19245" s="996" t="str">
        <f>CONCATENATE(Programme!D19246,Programme!E19246,Programme!F19246,Programme!G19246,Programme!H19246,Programme!I19246,Programme!J19246)</f>
        <v>&lt;/ValeurCellule&gt;</v>
      </c>
    </row>
    <row r="19246" spans="1:1" x14ac:dyDescent="0.2">
      <c r="A19246" s="996" t="str">
        <f>CONCATENATE(Programme!D19247,Programme!E19247,Programme!F19247,Programme!G19247,Programme!H19247,Programme!I19247,Programme!J19247)</f>
        <v>&lt;ValeurCellule&gt;</v>
      </c>
    </row>
    <row r="19247" spans="1:1" x14ac:dyDescent="0.2">
      <c r="A19247" s="996" t="str">
        <f>CONCATENATE(Programme!D19248,Programme!E19248,Programme!F19248,Programme!G19248,Programme!H19248,Programme!I19248,Programme!J19248)</f>
        <v>&lt;cellule&gt;</v>
      </c>
    </row>
    <row r="19248" spans="1:1" x14ac:dyDescent="0.2">
      <c r="A19248" s="996" t="str">
        <f>CONCATENATE(Programme!D19249,Programme!E19249,Programme!F19249,Programme!G19249,Programme!H19249,Programme!I19249,Programme!J19249)</f>
        <v>&lt;codeEdi&gt;1863&lt;/codeEdi&gt;</v>
      </c>
    </row>
    <row r="19249" spans="1:1" x14ac:dyDescent="0.2">
      <c r="A19249" s="996" t="str">
        <f>CONCATENATE(Programme!D19250,Programme!E19250,Programme!F19250,Programme!G19250,Programme!H19250,Programme!I19250,Programme!J19250)</f>
        <v>&lt;/cellule&gt;</v>
      </c>
    </row>
    <row r="19250" spans="1:1" x14ac:dyDescent="0.2">
      <c r="A19250" s="996" t="str">
        <f>CONCATENATE(Programme!D19251,Programme!E19251,Programme!F19251,Programme!G19251,Programme!H19251,Programme!I19251,Programme!J19251)</f>
        <v>&lt;valeur&gt;0&lt;/valeur&gt;</v>
      </c>
    </row>
    <row r="19251" spans="1:1" x14ac:dyDescent="0.2">
      <c r="A19251" s="996" t="str">
        <f>CONCATENATE(Programme!D19252,Programme!E19252,Programme!F19252,Programme!G19252,Programme!H19252,Programme!I19252,Programme!J19252)</f>
        <v>&lt;/ValeurCellule&gt;</v>
      </c>
    </row>
    <row r="19252" spans="1:1" x14ac:dyDescent="0.2">
      <c r="A19252" s="996" t="str">
        <f>CONCATENATE(Programme!D19253,Programme!E19253,Programme!F19253,Programme!G19253,Programme!H19253,Programme!I19253,Programme!J19253)</f>
        <v>&lt;ValeurCellule&gt;</v>
      </c>
    </row>
    <row r="19253" spans="1:1" x14ac:dyDescent="0.2">
      <c r="A19253" s="996" t="str">
        <f>CONCATENATE(Programme!D19254,Programme!E19254,Programme!F19254,Programme!G19254,Programme!H19254,Programme!I19254,Programme!J19254)</f>
        <v>&lt;cellule&gt;</v>
      </c>
    </row>
    <row r="19254" spans="1:1" x14ac:dyDescent="0.2">
      <c r="A19254" s="996" t="str">
        <f>CONCATENATE(Programme!D19255,Programme!E19255,Programme!F19255,Programme!G19255,Programme!H19255,Programme!I19255,Programme!J19255)</f>
        <v>&lt;codeEdi&gt;1871&lt;/codeEdi&gt;</v>
      </c>
    </row>
    <row r="19255" spans="1:1" x14ac:dyDescent="0.2">
      <c r="A19255" s="996" t="str">
        <f>CONCATENATE(Programme!D19256,Programme!E19256,Programme!F19256,Programme!G19256,Programme!H19256,Programme!I19256,Programme!J19256)</f>
        <v>&lt;/cellule&gt;</v>
      </c>
    </row>
    <row r="19256" spans="1:1" x14ac:dyDescent="0.2">
      <c r="A19256" s="996" t="str">
        <f>CONCATENATE(Programme!D19257,Programme!E19257,Programme!F19257,Programme!G19257,Programme!H19257,Programme!I19257,Programme!J19257)</f>
        <v>&lt;valeur&gt;0&lt;/valeur&gt;</v>
      </c>
    </row>
    <row r="19257" spans="1:1" x14ac:dyDescent="0.2">
      <c r="A19257" s="996" t="str">
        <f>CONCATENATE(Programme!D19258,Programme!E19258,Programme!F19258,Programme!G19258,Programme!H19258,Programme!I19258,Programme!J19258)</f>
        <v>&lt;/ValeurCellule&gt;</v>
      </c>
    </row>
    <row r="19258" spans="1:1" x14ac:dyDescent="0.2">
      <c r="A19258" s="996" t="str">
        <f>CONCATENATE(Programme!D19259,Programme!E19259,Programme!F19259,Programme!G19259,Programme!H19259,Programme!I19259,Programme!J19259)</f>
        <v>&lt;ValeurCellule&gt;</v>
      </c>
    </row>
    <row r="19259" spans="1:1" x14ac:dyDescent="0.2">
      <c r="A19259" s="996" t="str">
        <f>CONCATENATE(Programme!D19260,Programme!E19260,Programme!F19260,Programme!G19260,Programme!H19260,Programme!I19260,Programme!J19260)</f>
        <v>&lt;cellule&gt;</v>
      </c>
    </row>
    <row r="19260" spans="1:1" x14ac:dyDescent="0.2">
      <c r="A19260" s="996" t="str">
        <f>CONCATENATE(Programme!D19261,Programme!E19261,Programme!F19261,Programme!G19261,Programme!H19261,Programme!I19261,Programme!J19261)</f>
        <v>&lt;codeEdi&gt;1888&lt;/codeEdi&gt;</v>
      </c>
    </row>
    <row r="19261" spans="1:1" x14ac:dyDescent="0.2">
      <c r="A19261" s="996" t="str">
        <f>CONCATENATE(Programme!D19262,Programme!E19262,Programme!F19262,Programme!G19262,Programme!H19262,Programme!I19262,Programme!J19262)</f>
        <v>&lt;/cellule&gt;</v>
      </c>
    </row>
    <row r="19262" spans="1:1" x14ac:dyDescent="0.2">
      <c r="A19262" s="996" t="str">
        <f>CONCATENATE(Programme!D19263,Programme!E19263,Programme!F19263,Programme!G19263,Programme!H19263,Programme!I19263,Programme!J19263)</f>
        <v>&lt;valeur&gt;0&lt;/valeur&gt;</v>
      </c>
    </row>
    <row r="19263" spans="1:1" x14ac:dyDescent="0.2">
      <c r="A19263" s="996" t="str">
        <f>CONCATENATE(Programme!D19264,Programme!E19264,Programme!F19264,Programme!G19264,Programme!H19264,Programme!I19264,Programme!J19264)</f>
        <v>&lt;/ValeurCellule&gt;</v>
      </c>
    </row>
    <row r="19264" spans="1:1" x14ac:dyDescent="0.2">
      <c r="A19264" s="996" t="str">
        <f>CONCATENATE(Programme!D19265,Programme!E19265,Programme!F19265,Programme!G19265,Programme!H19265,Programme!I19265,Programme!J19265)</f>
        <v>&lt;ValeurCellule&gt;</v>
      </c>
    </row>
    <row r="19265" spans="1:1" x14ac:dyDescent="0.2">
      <c r="A19265" s="996" t="str">
        <f>CONCATENATE(Programme!D19266,Programme!E19266,Programme!F19266,Programme!G19266,Programme!H19266,Programme!I19266,Programme!J19266)</f>
        <v>&lt;cellule&gt;</v>
      </c>
    </row>
    <row r="19266" spans="1:1" x14ac:dyDescent="0.2">
      <c r="A19266" s="996" t="str">
        <f>CONCATENATE(Programme!D19267,Programme!E19267,Programme!F19267,Programme!G19267,Programme!H19267,Programme!I19267,Programme!J19267)</f>
        <v>&lt;codeEdi&gt;1404&lt;/codeEdi&gt;</v>
      </c>
    </row>
    <row r="19267" spans="1:1" x14ac:dyDescent="0.2">
      <c r="A19267" s="996" t="str">
        <f>CONCATENATE(Programme!D19268,Programme!E19268,Programme!F19268,Programme!G19268,Programme!H19268,Programme!I19268,Programme!J19268)</f>
        <v>&lt;/cellule&gt;</v>
      </c>
    </row>
    <row r="19268" spans="1:1" x14ac:dyDescent="0.2">
      <c r="A19268" s="996" t="str">
        <f>CONCATENATE(Programme!D19269,Programme!E19269,Programme!F19269,Programme!G19269,Programme!H19269,Programme!I19269,Programme!J19269)</f>
        <v>&lt;valeur&gt;&lt;/valeur&gt;</v>
      </c>
    </row>
    <row r="19269" spans="1:1" x14ac:dyDescent="0.2">
      <c r="A19269" s="996" t="str">
        <f>CONCATENATE(Programme!D19270,Programme!E19270,Programme!F19270,Programme!G19270,Programme!H19270,Programme!I19270,Programme!J19270)</f>
        <v>&lt;/ValeurCellule&gt;</v>
      </c>
    </row>
    <row r="19270" spans="1:1" x14ac:dyDescent="0.2">
      <c r="A19270" s="996" t="str">
        <f>CONCATENATE(Programme!D19271,Programme!E19271,Programme!F19271,Programme!G19271,Programme!H19271,Programme!I19271,Programme!J19271)</f>
        <v>&lt;ValeurCellule&gt;</v>
      </c>
    </row>
    <row r="19271" spans="1:1" x14ac:dyDescent="0.2">
      <c r="A19271" s="996" t="str">
        <f>CONCATENATE(Programme!D19272,Programme!E19272,Programme!F19272,Programme!G19272,Programme!H19272,Programme!I19272,Programme!J19272)</f>
        <v>&lt;cellule&gt;</v>
      </c>
    </row>
    <row r="19272" spans="1:1" x14ac:dyDescent="0.2">
      <c r="A19272" s="996" t="str">
        <f>CONCATENATE(Programme!D19273,Programme!E19273,Programme!F19273,Programme!G19273,Programme!H19273,Programme!I19273,Programme!J19273)</f>
        <v>&lt;codeEdi&gt;1412&lt;/codeEdi&gt;</v>
      </c>
    </row>
    <row r="19273" spans="1:1" x14ac:dyDescent="0.2">
      <c r="A19273" s="996" t="str">
        <f>CONCATENATE(Programme!D19274,Programme!E19274,Programme!F19274,Programme!G19274,Programme!H19274,Programme!I19274,Programme!J19274)</f>
        <v>&lt;/cellule&gt;</v>
      </c>
    </row>
    <row r="19274" spans="1:1" x14ac:dyDescent="0.2">
      <c r="A19274" s="996" t="str">
        <f>CONCATENATE(Programme!D19275,Programme!E19275,Programme!F19275,Programme!G19275,Programme!H19275,Programme!I19275,Programme!J19275)</f>
        <v>&lt;valeur&gt;&lt;/valeur&gt;</v>
      </c>
    </row>
    <row r="19275" spans="1:1" x14ac:dyDescent="0.2">
      <c r="A19275" s="996" t="str">
        <f>CONCATENATE(Programme!D19276,Programme!E19276,Programme!F19276,Programme!G19276,Programme!H19276,Programme!I19276,Programme!J19276)</f>
        <v>&lt;/ValeurCellule&gt;</v>
      </c>
    </row>
    <row r="19276" spans="1:1" x14ac:dyDescent="0.2">
      <c r="A19276" s="996" t="str">
        <f>CONCATENATE(Programme!D19277,Programme!E19277,Programme!F19277,Programme!G19277,Programme!H19277,Programme!I19277,Programme!J19277)</f>
        <v>&lt;ValeurCellule&gt;</v>
      </c>
    </row>
    <row r="19277" spans="1:1" x14ac:dyDescent="0.2">
      <c r="A19277" s="996" t="str">
        <f>CONCATENATE(Programme!D19278,Programme!E19278,Programme!F19278,Programme!G19278,Programme!H19278,Programme!I19278,Programme!J19278)</f>
        <v>&lt;cellule&gt;</v>
      </c>
    </row>
    <row r="19278" spans="1:1" x14ac:dyDescent="0.2">
      <c r="A19278" s="996" t="str">
        <f>CONCATENATE(Programme!D19279,Programme!E19279,Programme!F19279,Programme!G19279,Programme!H19279,Programme!I19279,Programme!J19279)</f>
        <v>&lt;codeEdi&gt;1420&lt;/codeEdi&gt;</v>
      </c>
    </row>
    <row r="19279" spans="1:1" x14ac:dyDescent="0.2">
      <c r="A19279" s="996" t="str">
        <f>CONCATENATE(Programme!D19280,Programme!E19280,Programme!F19280,Programme!G19280,Programme!H19280,Programme!I19280,Programme!J19280)</f>
        <v>&lt;/cellule&gt;</v>
      </c>
    </row>
    <row r="19280" spans="1:1" x14ac:dyDescent="0.2">
      <c r="A19280" s="996" t="str">
        <f>CONCATENATE(Programme!D19281,Programme!E19281,Programme!F19281,Programme!G19281,Programme!H19281,Programme!I19281,Programme!J19281)</f>
        <v>&lt;valeur&gt;&lt;/valeur&gt;</v>
      </c>
    </row>
    <row r="19281" spans="1:1" x14ac:dyDescent="0.2">
      <c r="A19281" s="996" t="str">
        <f>CONCATENATE(Programme!D19282,Programme!E19282,Programme!F19282,Programme!G19282,Programme!H19282,Programme!I19282,Programme!J19282)</f>
        <v>&lt;/ValeurCellule&gt;</v>
      </c>
    </row>
    <row r="19282" spans="1:1" x14ac:dyDescent="0.2">
      <c r="A19282" s="996" t="str">
        <f>CONCATENATE(Programme!D19283,Programme!E19283,Programme!F19283,Programme!G19283,Programme!H19283,Programme!I19283,Programme!J19283)</f>
        <v>&lt;ValeurCellule&gt;</v>
      </c>
    </row>
    <row r="19283" spans="1:1" x14ac:dyDescent="0.2">
      <c r="A19283" s="996" t="str">
        <f>CONCATENATE(Programme!D19284,Programme!E19284,Programme!F19284,Programme!G19284,Programme!H19284,Programme!I19284,Programme!J19284)</f>
        <v>&lt;cellule&gt;</v>
      </c>
    </row>
    <row r="19284" spans="1:1" x14ac:dyDescent="0.2">
      <c r="A19284" s="996" t="str">
        <f>CONCATENATE(Programme!D19285,Programme!E19285,Programme!F19285,Programme!G19285,Programme!H19285,Programme!I19285,Programme!J19285)</f>
        <v>&lt;codeEdi&gt;1428&lt;/codeEdi&gt;</v>
      </c>
    </row>
    <row r="19285" spans="1:1" x14ac:dyDescent="0.2">
      <c r="A19285" s="996" t="str">
        <f>CONCATENATE(Programme!D19286,Programme!E19286,Programme!F19286,Programme!G19286,Programme!H19286,Programme!I19286,Programme!J19286)</f>
        <v>&lt;/cellule&gt;</v>
      </c>
    </row>
    <row r="19286" spans="1:1" x14ac:dyDescent="0.2">
      <c r="A19286" s="996" t="str">
        <f>CONCATENATE(Programme!D19287,Programme!E19287,Programme!F19287,Programme!G19287,Programme!H19287,Programme!I19287,Programme!J19287)</f>
        <v>&lt;valeur&gt;0&lt;/valeur&gt;</v>
      </c>
    </row>
    <row r="19287" spans="1:1" x14ac:dyDescent="0.2">
      <c r="A19287" s="996" t="str">
        <f>CONCATENATE(Programme!D19288,Programme!E19288,Programme!F19288,Programme!G19288,Programme!H19288,Programme!I19288,Programme!J19288)</f>
        <v>&lt;/ValeurCellule&gt;</v>
      </c>
    </row>
    <row r="19288" spans="1:1" x14ac:dyDescent="0.2">
      <c r="A19288" s="996" t="str">
        <f>CONCATENATE(Programme!D19289,Programme!E19289,Programme!F19289,Programme!G19289,Programme!H19289,Programme!I19289,Programme!J19289)</f>
        <v>&lt;ValeurCellule&gt;</v>
      </c>
    </row>
    <row r="19289" spans="1:1" x14ac:dyDescent="0.2">
      <c r="A19289" s="996" t="str">
        <f>CONCATENATE(Programme!D19290,Programme!E19290,Programme!F19290,Programme!G19290,Programme!H19290,Programme!I19290,Programme!J19290)</f>
        <v>&lt;cellule&gt;</v>
      </c>
    </row>
    <row r="19290" spans="1:1" x14ac:dyDescent="0.2">
      <c r="A19290" s="996" t="str">
        <f>CONCATENATE(Programme!D19291,Programme!E19291,Programme!F19291,Programme!G19291,Programme!H19291,Programme!I19291,Programme!J19291)</f>
        <v>&lt;codeEdi&gt;1436&lt;/codeEdi&gt;</v>
      </c>
    </row>
    <row r="19291" spans="1:1" x14ac:dyDescent="0.2">
      <c r="A19291" s="996" t="str">
        <f>CONCATENATE(Programme!D19292,Programme!E19292,Programme!F19292,Programme!G19292,Programme!H19292,Programme!I19292,Programme!J19292)</f>
        <v>&lt;/cellule&gt;</v>
      </c>
    </row>
    <row r="19292" spans="1:1" x14ac:dyDescent="0.2">
      <c r="A19292" s="996" t="str">
        <f>CONCATENATE(Programme!D19293,Programme!E19293,Programme!F19293,Programme!G19293,Programme!H19293,Programme!I19293,Programme!J19293)</f>
        <v>&lt;valeur&gt;0&lt;/valeur&gt;</v>
      </c>
    </row>
    <row r="19293" spans="1:1" x14ac:dyDescent="0.2">
      <c r="A19293" s="996" t="str">
        <f>CONCATENATE(Programme!D19294,Programme!E19294,Programme!F19294,Programme!G19294,Programme!H19294,Programme!I19294,Programme!J19294)</f>
        <v>&lt;/ValeurCellule&gt;</v>
      </c>
    </row>
    <row r="19294" spans="1:1" x14ac:dyDescent="0.2">
      <c r="A19294" s="996" t="str">
        <f>CONCATENATE(Programme!D19295,Programme!E19295,Programme!F19295,Programme!G19295,Programme!H19295,Programme!I19295,Programme!J19295)</f>
        <v>&lt;ValeurCellule&gt;</v>
      </c>
    </row>
    <row r="19295" spans="1:1" x14ac:dyDescent="0.2">
      <c r="A19295" s="996" t="str">
        <f>CONCATENATE(Programme!D19296,Programme!E19296,Programme!F19296,Programme!G19296,Programme!H19296,Programme!I19296,Programme!J19296)</f>
        <v>&lt;cellule&gt;</v>
      </c>
    </row>
    <row r="19296" spans="1:1" x14ac:dyDescent="0.2">
      <c r="A19296" s="996" t="str">
        <f>CONCATENATE(Programme!D19297,Programme!E19297,Programme!F19297,Programme!G19297,Programme!H19297,Programme!I19297,Programme!J19297)</f>
        <v>&lt;codeEdi&gt;1452&lt;/codeEdi&gt;</v>
      </c>
    </row>
    <row r="19297" spans="1:1" x14ac:dyDescent="0.2">
      <c r="A19297" s="996" t="str">
        <f>CONCATENATE(Programme!D19298,Programme!E19298,Programme!F19298,Programme!G19298,Programme!H19298,Programme!I19298,Programme!J19298)</f>
        <v>&lt;/cellule&gt;</v>
      </c>
    </row>
    <row r="19298" spans="1:1" x14ac:dyDescent="0.2">
      <c r="A19298" s="996" t="str">
        <f>CONCATENATE(Programme!D19299,Programme!E19299,Programme!F19299,Programme!G19299,Programme!H19299,Programme!I19299,Programme!J19299)</f>
        <v>&lt;valeur&gt;&lt;/valeur&gt;</v>
      </c>
    </row>
    <row r="19299" spans="1:1" x14ac:dyDescent="0.2">
      <c r="A19299" s="996" t="str">
        <f>CONCATENATE(Programme!D19300,Programme!E19300,Programme!F19300,Programme!G19300,Programme!H19300,Programme!I19300,Programme!J19300)</f>
        <v>&lt;/ValeurCellule&gt;</v>
      </c>
    </row>
    <row r="19300" spans="1:1" x14ac:dyDescent="0.2">
      <c r="A19300" s="996" t="str">
        <f>CONCATENATE(Programme!D19301,Programme!E19301,Programme!F19301,Programme!G19301,Programme!H19301,Programme!I19301,Programme!J19301)</f>
        <v>&lt;ValeurCellule&gt;</v>
      </c>
    </row>
    <row r="19301" spans="1:1" x14ac:dyDescent="0.2">
      <c r="A19301" s="996" t="str">
        <f>CONCATENATE(Programme!D19302,Programme!E19302,Programme!F19302,Programme!G19302,Programme!H19302,Programme!I19302,Programme!J19302)</f>
        <v>&lt;cellule&gt;</v>
      </c>
    </row>
    <row r="19302" spans="1:1" x14ac:dyDescent="0.2">
      <c r="A19302" s="996" t="str">
        <f>CONCATENATE(Programme!D19303,Programme!E19303,Programme!F19303,Programme!G19303,Programme!H19303,Programme!I19303,Programme!J19303)</f>
        <v>&lt;codeEdi&gt;1460&lt;/codeEdi&gt;</v>
      </c>
    </row>
    <row r="19303" spans="1:1" x14ac:dyDescent="0.2">
      <c r="A19303" s="996" t="str">
        <f>CONCATENATE(Programme!D19304,Programme!E19304,Programme!F19304,Programme!G19304,Programme!H19304,Programme!I19304,Programme!J19304)</f>
        <v>&lt;/cellule&gt;</v>
      </c>
    </row>
    <row r="19304" spans="1:1" x14ac:dyDescent="0.2">
      <c r="A19304" s="996" t="str">
        <f>CONCATENATE(Programme!D19305,Programme!E19305,Programme!F19305,Programme!G19305,Programme!H19305,Programme!I19305,Programme!J19305)</f>
        <v>&lt;valeur&gt;0&lt;/valeur&gt;</v>
      </c>
    </row>
    <row r="19305" spans="1:1" x14ac:dyDescent="0.2">
      <c r="A19305" s="996" t="str">
        <f>CONCATENATE(Programme!D19306,Programme!E19306,Programme!F19306,Programme!G19306,Programme!H19306,Programme!I19306,Programme!J19306)</f>
        <v>&lt;/ValeurCellule&gt;</v>
      </c>
    </row>
    <row r="19306" spans="1:1" x14ac:dyDescent="0.2">
      <c r="A19306" s="996" t="str">
        <f>CONCATENATE(Programme!D19307,Programme!E19307,Programme!F19307,Programme!G19307,Programme!H19307,Programme!I19307,Programme!J19307)</f>
        <v>&lt;ValeurCellule&gt;</v>
      </c>
    </row>
    <row r="19307" spans="1:1" x14ac:dyDescent="0.2">
      <c r="A19307" s="996" t="str">
        <f>CONCATENATE(Programme!D19308,Programme!E19308,Programme!F19308,Programme!G19308,Programme!H19308,Programme!I19308,Programme!J19308)</f>
        <v>&lt;cellule&gt;</v>
      </c>
    </row>
    <row r="19308" spans="1:1" x14ac:dyDescent="0.2">
      <c r="A19308" s="996" t="str">
        <f>CONCATENATE(Programme!D19309,Programme!E19309,Programme!F19309,Programme!G19309,Programme!H19309,Programme!I19309,Programme!J19309)</f>
        <v>&lt;codeEdi&gt;1468&lt;/codeEdi&gt;</v>
      </c>
    </row>
    <row r="19309" spans="1:1" x14ac:dyDescent="0.2">
      <c r="A19309" s="996" t="str">
        <f>CONCATENATE(Programme!D19310,Programme!E19310,Programme!F19310,Programme!G19310,Programme!H19310,Programme!I19310,Programme!J19310)</f>
        <v>&lt;/cellule&gt;</v>
      </c>
    </row>
    <row r="19310" spans="1:1" x14ac:dyDescent="0.2">
      <c r="A19310" s="996" t="str">
        <f>CONCATENATE(Programme!D19311,Programme!E19311,Programme!F19311,Programme!G19311,Programme!H19311,Programme!I19311,Programme!J19311)</f>
        <v>&lt;valeur&gt;0&lt;/valeur&gt;</v>
      </c>
    </row>
    <row r="19311" spans="1:1" x14ac:dyDescent="0.2">
      <c r="A19311" s="996" t="str">
        <f>CONCATENATE(Programme!D19312,Programme!E19312,Programme!F19312,Programme!G19312,Programme!H19312,Programme!I19312,Programme!J19312)</f>
        <v>&lt;/ValeurCellule&gt;</v>
      </c>
    </row>
    <row r="19312" spans="1:1" x14ac:dyDescent="0.2">
      <c r="A19312" s="996" t="str">
        <f>CONCATENATE(Programme!D19313,Programme!E19313,Programme!F19313,Programme!G19313,Programme!H19313,Programme!I19313,Programme!J19313)</f>
        <v>&lt;ValeurCellule&gt;</v>
      </c>
    </row>
    <row r="19313" spans="1:1" x14ac:dyDescent="0.2">
      <c r="A19313" s="996" t="str">
        <f>CONCATENATE(Programme!D19314,Programme!E19314,Programme!F19314,Programme!G19314,Programme!H19314,Programme!I19314,Programme!J19314)</f>
        <v>&lt;cellule&gt;</v>
      </c>
    </row>
    <row r="19314" spans="1:1" x14ac:dyDescent="0.2">
      <c r="A19314" s="996" t="str">
        <f>CONCATENATE(Programme!D19315,Programme!E19315,Programme!F19315,Programme!G19315,Programme!H19315,Programme!I19315,Programme!J19315)</f>
        <v>&lt;codeEdi&gt;1476&lt;/codeEdi&gt;</v>
      </c>
    </row>
    <row r="19315" spans="1:1" x14ac:dyDescent="0.2">
      <c r="A19315" s="996" t="str">
        <f>CONCATENATE(Programme!D19316,Programme!E19316,Programme!F19316,Programme!G19316,Programme!H19316,Programme!I19316,Programme!J19316)</f>
        <v>&lt;/cellule&gt;</v>
      </c>
    </row>
    <row r="19316" spans="1:1" x14ac:dyDescent="0.2">
      <c r="A19316" s="996" t="str">
        <f>CONCATENATE(Programme!D19317,Programme!E19317,Programme!F19317,Programme!G19317,Programme!H19317,Programme!I19317,Programme!J19317)</f>
        <v>&lt;valeur&gt;&lt;/valeur&gt;</v>
      </c>
    </row>
    <row r="19317" spans="1:1" x14ac:dyDescent="0.2">
      <c r="A19317" s="996" t="str">
        <f>CONCATENATE(Programme!D19318,Programme!E19318,Programme!F19318,Programme!G19318,Programme!H19318,Programme!I19318,Programme!J19318)</f>
        <v>&lt;/ValeurCellule&gt;</v>
      </c>
    </row>
    <row r="19318" spans="1:1" x14ac:dyDescent="0.2">
      <c r="A19318" s="996" t="str">
        <f>CONCATENATE(Programme!D19319,Programme!E19319,Programme!F19319,Programme!G19319,Programme!H19319,Programme!I19319,Programme!J19319)</f>
        <v>&lt;ValeurCellule&gt;</v>
      </c>
    </row>
    <row r="19319" spans="1:1" x14ac:dyDescent="0.2">
      <c r="A19319" s="996" t="str">
        <f>CONCATENATE(Programme!D19320,Programme!E19320,Programme!F19320,Programme!G19320,Programme!H19320,Programme!I19320,Programme!J19320)</f>
        <v>&lt;cellule&gt;</v>
      </c>
    </row>
    <row r="19320" spans="1:1" x14ac:dyDescent="0.2">
      <c r="A19320" s="996" t="str">
        <f>CONCATENATE(Programme!D19321,Programme!E19321,Programme!F19321,Programme!G19321,Programme!H19321,Programme!I19321,Programme!J19321)</f>
        <v>&lt;codeEdi&gt;1484&lt;/codeEdi&gt;</v>
      </c>
    </row>
    <row r="19321" spans="1:1" x14ac:dyDescent="0.2">
      <c r="A19321" s="996" t="str">
        <f>CONCATENATE(Programme!D19322,Programme!E19322,Programme!F19322,Programme!G19322,Programme!H19322,Programme!I19322,Programme!J19322)</f>
        <v>&lt;/cellule&gt;</v>
      </c>
    </row>
    <row r="19322" spans="1:1" x14ac:dyDescent="0.2">
      <c r="A19322" s="996" t="str">
        <f>CONCATENATE(Programme!D19323,Programme!E19323,Programme!F19323,Programme!G19323,Programme!H19323,Programme!I19323,Programme!J19323)</f>
        <v>&lt;valeur&gt;&lt;/valeur&gt;</v>
      </c>
    </row>
    <row r="19323" spans="1:1" x14ac:dyDescent="0.2">
      <c r="A19323" s="996" t="str">
        <f>CONCATENATE(Programme!D19324,Programme!E19324,Programme!F19324,Programme!G19324,Programme!H19324,Programme!I19324,Programme!J19324)</f>
        <v>&lt;/ValeurCellule&gt;</v>
      </c>
    </row>
    <row r="19324" spans="1:1" x14ac:dyDescent="0.2">
      <c r="A19324" s="996" t="str">
        <f>CONCATENATE(Programme!D19325,Programme!E19325,Programme!F19325,Programme!G19325,Programme!H19325,Programme!I19325,Programme!J19325)</f>
        <v>&lt;ValeurCellule&gt;</v>
      </c>
    </row>
    <row r="19325" spans="1:1" x14ac:dyDescent="0.2">
      <c r="A19325" s="996" t="str">
        <f>CONCATENATE(Programme!D19326,Programme!E19326,Programme!F19326,Programme!G19326,Programme!H19326,Programme!I19326,Programme!J19326)</f>
        <v>&lt;cellule&gt;</v>
      </c>
    </row>
    <row r="19326" spans="1:1" x14ac:dyDescent="0.2">
      <c r="A19326" s="996" t="str">
        <f>CONCATENATE(Programme!D19327,Programme!E19327,Programme!F19327,Programme!G19327,Programme!H19327,Programme!I19327,Programme!J19327)</f>
        <v>&lt;codeEdi&gt;1558&lt;/codeEdi&gt;</v>
      </c>
    </row>
    <row r="19327" spans="1:1" x14ac:dyDescent="0.2">
      <c r="A19327" s="996" t="str">
        <f>CONCATENATE(Programme!D19328,Programme!E19328,Programme!F19328,Programme!G19328,Programme!H19328,Programme!I19328,Programme!J19328)</f>
        <v>&lt;/cellule&gt;</v>
      </c>
    </row>
    <row r="19328" spans="1:1" x14ac:dyDescent="0.2">
      <c r="A19328" s="996" t="str">
        <f>CONCATENATE(Programme!D19329,Programme!E19329,Programme!F19329,Programme!G19329,Programme!H19329,Programme!I19329,Programme!J19329)</f>
        <v>&lt;valeur&gt;0&lt;/valeur&gt;</v>
      </c>
    </row>
    <row r="19329" spans="1:1" x14ac:dyDescent="0.2">
      <c r="A19329" s="996" t="str">
        <f>CONCATENATE(Programme!D19330,Programme!E19330,Programme!F19330,Programme!G19330,Programme!H19330,Programme!I19330,Programme!J19330)</f>
        <v>&lt;/ValeurCellule&gt;</v>
      </c>
    </row>
    <row r="19330" spans="1:1" x14ac:dyDescent="0.2">
      <c r="A19330" s="996" t="str">
        <f>CONCATENATE(Programme!D19331,Programme!E19331,Programme!F19331,Programme!G19331,Programme!H19331,Programme!I19331,Programme!J19331)</f>
        <v>&lt;ValeurCellule&gt;</v>
      </c>
    </row>
    <row r="19331" spans="1:1" x14ac:dyDescent="0.2">
      <c r="A19331" s="996" t="str">
        <f>CONCATENATE(Programme!D19332,Programme!E19332,Programme!F19332,Programme!G19332,Programme!H19332,Programme!I19332,Programme!J19332)</f>
        <v>&lt;cellule&gt;</v>
      </c>
    </row>
    <row r="19332" spans="1:1" x14ac:dyDescent="0.2">
      <c r="A19332" s="996" t="str">
        <f>CONCATENATE(Programme!D19333,Programme!E19333,Programme!F19333,Programme!G19333,Programme!H19333,Programme!I19333,Programme!J19333)</f>
        <v>&lt;codeEdi&gt;1599&lt;/codeEdi&gt;</v>
      </c>
    </row>
    <row r="19333" spans="1:1" x14ac:dyDescent="0.2">
      <c r="A19333" s="996" t="str">
        <f>CONCATENATE(Programme!D19334,Programme!E19334,Programme!F19334,Programme!G19334,Programme!H19334,Programme!I19334,Programme!J19334)</f>
        <v>&lt;/cellule&gt;</v>
      </c>
    </row>
    <row r="19334" spans="1:1" x14ac:dyDescent="0.2">
      <c r="A19334" s="996" t="str">
        <f>CONCATENATE(Programme!D19335,Programme!E19335,Programme!F19335,Programme!G19335,Programme!H19335,Programme!I19335,Programme!J19335)</f>
        <v>&lt;valeur&gt;&lt;/valeur&gt;</v>
      </c>
    </row>
    <row r="19335" spans="1:1" x14ac:dyDescent="0.2">
      <c r="A19335" s="996" t="str">
        <f>CONCATENATE(Programme!D19336,Programme!E19336,Programme!F19336,Programme!G19336,Programme!H19336,Programme!I19336,Programme!J19336)</f>
        <v>&lt;/ValeurCellule&gt;</v>
      </c>
    </row>
    <row r="19336" spans="1:1" x14ac:dyDescent="0.2">
      <c r="A19336" s="996" t="str">
        <f>CONCATENATE(Programme!D19337,Programme!E19337,Programme!F19337,Programme!G19337,Programme!H19337,Programme!I19337,Programme!J19337)</f>
        <v>&lt;ValeurCellule&gt;</v>
      </c>
    </row>
    <row r="19337" spans="1:1" x14ac:dyDescent="0.2">
      <c r="A19337" s="996" t="str">
        <f>CONCATENATE(Programme!D19338,Programme!E19338,Programme!F19338,Programme!G19338,Programme!H19338,Programme!I19338,Programme!J19338)</f>
        <v>&lt;cellule&gt;</v>
      </c>
    </row>
    <row r="19338" spans="1:1" x14ac:dyDescent="0.2">
      <c r="A19338" s="996" t="str">
        <f>CONCATENATE(Programme!D19339,Programme!E19339,Programme!F19339,Programme!G19339,Programme!H19339,Programme!I19339,Programme!J19339)</f>
        <v>&lt;codeEdi&gt;1607&lt;/codeEdi&gt;</v>
      </c>
    </row>
    <row r="19339" spans="1:1" x14ac:dyDescent="0.2">
      <c r="A19339" s="996" t="str">
        <f>CONCATENATE(Programme!D19340,Programme!E19340,Programme!F19340,Programme!G19340,Programme!H19340,Programme!I19340,Programme!J19340)</f>
        <v>&lt;/cellule&gt;</v>
      </c>
    </row>
    <row r="19340" spans="1:1" x14ac:dyDescent="0.2">
      <c r="A19340" s="996" t="str">
        <f>CONCATENATE(Programme!D19341,Programme!E19341,Programme!F19341,Programme!G19341,Programme!H19341,Programme!I19341,Programme!J19341)</f>
        <v>&lt;valeur&gt;0&lt;/valeur&gt;</v>
      </c>
    </row>
    <row r="19341" spans="1:1" x14ac:dyDescent="0.2">
      <c r="A19341" s="996" t="str">
        <f>CONCATENATE(Programme!D19342,Programme!E19342,Programme!F19342,Programme!G19342,Programme!H19342,Programme!I19342,Programme!J19342)</f>
        <v>&lt;/ValeurCellule&gt;</v>
      </c>
    </row>
    <row r="19342" spans="1:1" x14ac:dyDescent="0.2">
      <c r="A19342" s="996" t="str">
        <f>CONCATENATE(Programme!D19343,Programme!E19343,Programme!F19343,Programme!G19343,Programme!H19343,Programme!I19343,Programme!J19343)</f>
        <v>&lt;ValeurCellule&gt;</v>
      </c>
    </row>
    <row r="19343" spans="1:1" x14ac:dyDescent="0.2">
      <c r="A19343" s="996" t="str">
        <f>CONCATENATE(Programme!D19344,Programme!E19344,Programme!F19344,Programme!G19344,Programme!H19344,Programme!I19344,Programme!J19344)</f>
        <v>&lt;cellule&gt;</v>
      </c>
    </row>
    <row r="19344" spans="1:1" x14ac:dyDescent="0.2">
      <c r="A19344" s="996" t="str">
        <f>CONCATENATE(Programme!D19345,Programme!E19345,Programme!F19345,Programme!G19345,Programme!H19345,Programme!I19345,Programme!J19345)</f>
        <v>&lt;codeEdi&gt;1615&lt;/codeEdi&gt;</v>
      </c>
    </row>
    <row r="19345" spans="1:1" x14ac:dyDescent="0.2">
      <c r="A19345" s="996" t="str">
        <f>CONCATENATE(Programme!D19346,Programme!E19346,Programme!F19346,Programme!G19346,Programme!H19346,Programme!I19346,Programme!J19346)</f>
        <v>&lt;/cellule&gt;</v>
      </c>
    </row>
    <row r="19346" spans="1:1" x14ac:dyDescent="0.2">
      <c r="A19346" s="996" t="str">
        <f>CONCATENATE(Programme!D19347,Programme!E19347,Programme!F19347,Programme!G19347,Programme!H19347,Programme!I19347,Programme!J19347)</f>
        <v>&lt;valeur&gt;0&lt;/valeur&gt;</v>
      </c>
    </row>
    <row r="19347" spans="1:1" x14ac:dyDescent="0.2">
      <c r="A19347" s="996" t="str">
        <f>CONCATENATE(Programme!D19348,Programme!E19348,Programme!F19348,Programme!G19348,Programme!H19348,Programme!I19348,Programme!J19348)</f>
        <v>&lt;/ValeurCellule&gt;</v>
      </c>
    </row>
    <row r="19348" spans="1:1" x14ac:dyDescent="0.2">
      <c r="A19348" s="996" t="str">
        <f>CONCATENATE(Programme!D19349,Programme!E19349,Programme!F19349,Programme!G19349,Programme!H19349,Programme!I19349,Programme!J19349)</f>
        <v>&lt;ValeurCellule&gt;</v>
      </c>
    </row>
    <row r="19349" spans="1:1" x14ac:dyDescent="0.2">
      <c r="A19349" s="996" t="str">
        <f>CONCATENATE(Programme!D19350,Programme!E19350,Programme!F19350,Programme!G19350,Programme!H19350,Programme!I19350,Programme!J19350)</f>
        <v>&lt;cellule&gt;</v>
      </c>
    </row>
    <row r="19350" spans="1:1" x14ac:dyDescent="0.2">
      <c r="A19350" s="996" t="str">
        <f>CONCATENATE(Programme!D19351,Programme!E19351,Programme!F19351,Programme!G19351,Programme!H19351,Programme!I19351,Programme!J19351)</f>
        <v>&lt;codeEdi&gt;1638&lt;/codeEdi&gt;</v>
      </c>
    </row>
    <row r="19351" spans="1:1" x14ac:dyDescent="0.2">
      <c r="A19351" s="996" t="str">
        <f>CONCATENATE(Programme!D19352,Programme!E19352,Programme!F19352,Programme!G19352,Programme!H19352,Programme!I19352,Programme!J19352)</f>
        <v>&lt;/cellule&gt;</v>
      </c>
    </row>
    <row r="19352" spans="1:1" x14ac:dyDescent="0.2">
      <c r="A19352" s="996" t="str">
        <f>CONCATENATE(Programme!D19353,Programme!E19353,Programme!F19353,Programme!G19353,Programme!H19353,Programme!I19353,Programme!J19353)</f>
        <v>&lt;valeur&gt;&lt;/valeur&gt;</v>
      </c>
    </row>
    <row r="19353" spans="1:1" x14ac:dyDescent="0.2">
      <c r="A19353" s="996" t="str">
        <f>CONCATENATE(Programme!D19354,Programme!E19354,Programme!F19354,Programme!G19354,Programme!H19354,Programme!I19354,Programme!J19354)</f>
        <v>&lt;/ValeurCellule&gt;</v>
      </c>
    </row>
    <row r="19354" spans="1:1" x14ac:dyDescent="0.2">
      <c r="A19354" s="996" t="str">
        <f>CONCATENATE(Programme!D19355,Programme!E19355,Programme!F19355,Programme!G19355,Programme!H19355,Programme!I19355,Programme!J19355)</f>
        <v>&lt;ValeurCellule&gt;</v>
      </c>
    </row>
    <row r="19355" spans="1:1" x14ac:dyDescent="0.2">
      <c r="A19355" s="996" t="str">
        <f>CONCATENATE(Programme!D19356,Programme!E19356,Programme!F19356,Programme!G19356,Programme!H19356,Programme!I19356,Programme!J19356)</f>
        <v>&lt;cellule&gt;</v>
      </c>
    </row>
    <row r="19356" spans="1:1" x14ac:dyDescent="0.2">
      <c r="A19356" s="996" t="str">
        <f>CONCATENATE(Programme!D19357,Programme!E19357,Programme!F19357,Programme!G19357,Programme!H19357,Programme!I19357,Programme!J19357)</f>
        <v>&lt;codeEdi&gt;1646&lt;/codeEdi&gt;</v>
      </c>
    </row>
    <row r="19357" spans="1:1" x14ac:dyDescent="0.2">
      <c r="A19357" s="996" t="str">
        <f>CONCATENATE(Programme!D19358,Programme!E19358,Programme!F19358,Programme!G19358,Programme!H19358,Programme!I19358,Programme!J19358)</f>
        <v>&lt;/cellule&gt;</v>
      </c>
    </row>
    <row r="19358" spans="1:1" x14ac:dyDescent="0.2">
      <c r="A19358" s="996" t="str">
        <f>CONCATENATE(Programme!D19359,Programme!E19359,Programme!F19359,Programme!G19359,Programme!H19359,Programme!I19359,Programme!J19359)</f>
        <v>&lt;valeur&gt;0&lt;/valeur&gt;</v>
      </c>
    </row>
    <row r="19359" spans="1:1" x14ac:dyDescent="0.2">
      <c r="A19359" s="996" t="str">
        <f>CONCATENATE(Programme!D19360,Programme!E19360,Programme!F19360,Programme!G19360,Programme!H19360,Programme!I19360,Programme!J19360)</f>
        <v>&lt;/ValeurCellule&gt;</v>
      </c>
    </row>
    <row r="19360" spans="1:1" x14ac:dyDescent="0.2">
      <c r="A19360" s="996" t="str">
        <f>CONCATENATE(Programme!D19361,Programme!E19361,Programme!F19361,Programme!G19361,Programme!H19361,Programme!I19361,Programme!J19361)</f>
        <v>&lt;ValeurCellule&gt;</v>
      </c>
    </row>
    <row r="19361" spans="1:1" x14ac:dyDescent="0.2">
      <c r="A19361" s="996" t="str">
        <f>CONCATENATE(Programme!D19362,Programme!E19362,Programme!F19362,Programme!G19362,Programme!H19362,Programme!I19362,Programme!J19362)</f>
        <v>&lt;cellule&gt;</v>
      </c>
    </row>
    <row r="19362" spans="1:1" x14ac:dyDescent="0.2">
      <c r="A19362" s="996" t="str">
        <f>CONCATENATE(Programme!D19363,Programme!E19363,Programme!F19363,Programme!G19363,Programme!H19363,Programme!I19363,Programme!J19363)</f>
        <v>&lt;codeEdi&gt;1659&lt;/codeEdi&gt;</v>
      </c>
    </row>
    <row r="19363" spans="1:1" x14ac:dyDescent="0.2">
      <c r="A19363" s="996" t="str">
        <f>CONCATENATE(Programme!D19364,Programme!E19364,Programme!F19364,Programme!G19364,Programme!H19364,Programme!I19364,Programme!J19364)</f>
        <v>&lt;/cellule&gt;</v>
      </c>
    </row>
    <row r="19364" spans="1:1" x14ac:dyDescent="0.2">
      <c r="A19364" s="996" t="str">
        <f>CONCATENATE(Programme!D19365,Programme!E19365,Programme!F19365,Programme!G19365,Programme!H19365,Programme!I19365,Programme!J19365)</f>
        <v>&lt;valeur&gt;0&lt;/valeur&gt;</v>
      </c>
    </row>
    <row r="19365" spans="1:1" x14ac:dyDescent="0.2">
      <c r="A19365" s="996" t="str">
        <f>CONCATENATE(Programme!D19366,Programme!E19366,Programme!F19366,Programme!G19366,Programme!H19366,Programme!I19366,Programme!J19366)</f>
        <v>&lt;/ValeurCellule&gt;</v>
      </c>
    </row>
    <row r="19366" spans="1:1" x14ac:dyDescent="0.2">
      <c r="A19366" s="996" t="str">
        <f>CONCATENATE(Programme!D19367,Programme!E19367,Programme!F19367,Programme!G19367,Programme!H19367,Programme!I19367,Programme!J19367)</f>
        <v>&lt;ValeurCellule&gt;</v>
      </c>
    </row>
    <row r="19367" spans="1:1" x14ac:dyDescent="0.2">
      <c r="A19367" s="996" t="str">
        <f>CONCATENATE(Programme!D19368,Programme!E19368,Programme!F19368,Programme!G19368,Programme!H19368,Programme!I19368,Programme!J19368)</f>
        <v>&lt;cellule&gt;</v>
      </c>
    </row>
    <row r="19368" spans="1:1" x14ac:dyDescent="0.2">
      <c r="A19368" s="996" t="str">
        <f>CONCATENATE(Programme!D19369,Programme!E19369,Programme!F19369,Programme!G19369,Programme!H19369,Programme!I19369,Programme!J19369)</f>
        <v>&lt;codeEdi&gt;1667&lt;/codeEdi&gt;</v>
      </c>
    </row>
    <row r="19369" spans="1:1" x14ac:dyDescent="0.2">
      <c r="A19369" s="996" t="str">
        <f>CONCATENATE(Programme!D19370,Programme!E19370,Programme!F19370,Programme!G19370,Programme!H19370,Programme!I19370,Programme!J19370)</f>
        <v>&lt;/cellule&gt;</v>
      </c>
    </row>
    <row r="19370" spans="1:1" x14ac:dyDescent="0.2">
      <c r="A19370" s="996" t="str">
        <f>CONCATENATE(Programme!D19371,Programme!E19371,Programme!F19371,Programme!G19371,Programme!H19371,Programme!I19371,Programme!J19371)</f>
        <v>&lt;valeur&gt;0&lt;/valeur&gt;</v>
      </c>
    </row>
    <row r="19371" spans="1:1" x14ac:dyDescent="0.2">
      <c r="A19371" s="996" t="str">
        <f>CONCATENATE(Programme!D19372,Programme!E19372,Programme!F19372,Programme!G19372,Programme!H19372,Programme!I19372,Programme!J19372)</f>
        <v>&lt;/ValeurCellule&gt;</v>
      </c>
    </row>
    <row r="19372" spans="1:1" x14ac:dyDescent="0.2">
      <c r="A19372" s="996" t="str">
        <f>CONCATENATE(Programme!D19373,Programme!E19373,Programme!F19373,Programme!G19373,Programme!H19373,Programme!I19373,Programme!J19373)</f>
        <v>&lt;ValeurCellule&gt;</v>
      </c>
    </row>
    <row r="19373" spans="1:1" x14ac:dyDescent="0.2">
      <c r="A19373" s="996" t="str">
        <f>CONCATENATE(Programme!D19374,Programme!E19374,Programme!F19374,Programme!G19374,Programme!H19374,Programme!I19374,Programme!J19374)</f>
        <v>&lt;cellule&gt;</v>
      </c>
    </row>
    <row r="19374" spans="1:1" x14ac:dyDescent="0.2">
      <c r="A19374" s="996" t="str">
        <f>CONCATENATE(Programme!D19375,Programme!E19375,Programme!F19375,Programme!G19375,Programme!H19375,Programme!I19375,Programme!J19375)</f>
        <v>&lt;codeEdi&gt;1675&lt;/codeEdi&gt;</v>
      </c>
    </row>
    <row r="19375" spans="1:1" x14ac:dyDescent="0.2">
      <c r="A19375" s="996" t="str">
        <f>CONCATENATE(Programme!D19376,Programme!E19376,Programme!F19376,Programme!G19376,Programme!H19376,Programme!I19376,Programme!J19376)</f>
        <v>&lt;/cellule&gt;</v>
      </c>
    </row>
    <row r="19376" spans="1:1" x14ac:dyDescent="0.2">
      <c r="A19376" s="996" t="str">
        <f>CONCATENATE(Programme!D19377,Programme!E19377,Programme!F19377,Programme!G19377,Programme!H19377,Programme!I19377,Programme!J19377)</f>
        <v>&lt;valeur&gt;0&lt;/valeur&gt;</v>
      </c>
    </row>
    <row r="19377" spans="1:1" x14ac:dyDescent="0.2">
      <c r="A19377" s="996" t="str">
        <f>CONCATENATE(Programme!D19378,Programme!E19378,Programme!F19378,Programme!G19378,Programme!H19378,Programme!I19378,Programme!J19378)</f>
        <v>&lt;/ValeurCellule&gt;</v>
      </c>
    </row>
    <row r="19378" spans="1:1" x14ac:dyDescent="0.2">
      <c r="A19378" s="996" t="str">
        <f>CONCATENATE(Programme!D19379,Programme!E19379,Programme!F19379,Programme!G19379,Programme!H19379,Programme!I19379,Programme!J19379)</f>
        <v>&lt;ValeurCellule&gt;</v>
      </c>
    </row>
    <row r="19379" spans="1:1" x14ac:dyDescent="0.2">
      <c r="A19379" s="996" t="str">
        <f>CONCATENATE(Programme!D19380,Programme!E19380,Programme!F19380,Programme!G19380,Programme!H19380,Programme!I19380,Programme!J19380)</f>
        <v>&lt;cellule&gt;</v>
      </c>
    </row>
    <row r="19380" spans="1:1" x14ac:dyDescent="0.2">
      <c r="A19380" s="996" t="str">
        <f>CONCATENATE(Programme!D19381,Programme!E19381,Programme!F19381,Programme!G19381,Programme!H19381,Programme!I19381,Programme!J19381)</f>
        <v>&lt;codeEdi&gt;1688&lt;/codeEdi&gt;</v>
      </c>
    </row>
    <row r="19381" spans="1:1" x14ac:dyDescent="0.2">
      <c r="A19381" s="996" t="str">
        <f>CONCATENATE(Programme!D19382,Programme!E19382,Programme!F19382,Programme!G19382,Programme!H19382,Programme!I19382,Programme!J19382)</f>
        <v>&lt;/cellule&gt;</v>
      </c>
    </row>
    <row r="19382" spans="1:1" x14ac:dyDescent="0.2">
      <c r="A19382" s="996" t="str">
        <f>CONCATENATE(Programme!D19383,Programme!E19383,Programme!F19383,Programme!G19383,Programme!H19383,Programme!I19383,Programme!J19383)</f>
        <v>&lt;valeur&gt;0&lt;/valeur&gt;</v>
      </c>
    </row>
    <row r="19383" spans="1:1" x14ac:dyDescent="0.2">
      <c r="A19383" s="996" t="str">
        <f>CONCATENATE(Programme!D19384,Programme!E19384,Programme!F19384,Programme!G19384,Programme!H19384,Programme!I19384,Programme!J19384)</f>
        <v>&lt;/ValeurCellule&gt;</v>
      </c>
    </row>
    <row r="19384" spans="1:1" x14ac:dyDescent="0.2">
      <c r="A19384" s="996" t="str">
        <f>CONCATENATE(Programme!D19385,Programme!E19385,Programme!F19385,Programme!G19385,Programme!H19385,Programme!I19385,Programme!J19385)</f>
        <v>&lt;ValeurCellule&gt;</v>
      </c>
    </row>
    <row r="19385" spans="1:1" x14ac:dyDescent="0.2">
      <c r="A19385" s="996" t="str">
        <f>CONCATENATE(Programme!D19386,Programme!E19386,Programme!F19386,Programme!G19386,Programme!H19386,Programme!I19386,Programme!J19386)</f>
        <v>&lt;cellule&gt;</v>
      </c>
    </row>
    <row r="19386" spans="1:1" x14ac:dyDescent="0.2">
      <c r="A19386" s="996" t="str">
        <f>CONCATENATE(Programme!D19387,Programme!E19387,Programme!F19387,Programme!G19387,Programme!H19387,Programme!I19387,Programme!J19387)</f>
        <v>&lt;codeEdi&gt;1739&lt;/codeEdi&gt;</v>
      </c>
    </row>
    <row r="19387" spans="1:1" x14ac:dyDescent="0.2">
      <c r="A19387" s="996" t="str">
        <f>CONCATENATE(Programme!D19388,Programme!E19388,Programme!F19388,Programme!G19388,Programme!H19388,Programme!I19388,Programme!J19388)</f>
        <v>&lt;/cellule&gt;</v>
      </c>
    </row>
    <row r="19388" spans="1:1" x14ac:dyDescent="0.2">
      <c r="A19388" s="996" t="str">
        <f>CONCATENATE(Programme!D19389,Programme!E19389,Programme!F19389,Programme!G19389,Programme!H19389,Programme!I19389,Programme!J19389)</f>
        <v>&lt;valeur&gt;&lt;/valeur&gt;</v>
      </c>
    </row>
    <row r="19389" spans="1:1" x14ac:dyDescent="0.2">
      <c r="A19389" s="996" t="str">
        <f>CONCATENATE(Programme!D19390,Programme!E19390,Programme!F19390,Programme!G19390,Programme!H19390,Programme!I19390,Programme!J19390)</f>
        <v>&lt;/ValeurCellule&gt;</v>
      </c>
    </row>
    <row r="19390" spans="1:1" x14ac:dyDescent="0.2">
      <c r="A19390" s="996" t="str">
        <f>CONCATENATE(Programme!D19391,Programme!E19391,Programme!F19391,Programme!G19391,Programme!H19391,Programme!I19391,Programme!J19391)</f>
        <v>&lt;ValeurCellule&gt;</v>
      </c>
    </row>
    <row r="19391" spans="1:1" x14ac:dyDescent="0.2">
      <c r="A19391" s="996" t="str">
        <f>CONCATENATE(Programme!D19392,Programme!E19392,Programme!F19392,Programme!G19392,Programme!H19392,Programme!I19392,Programme!J19392)</f>
        <v>&lt;cellule&gt;</v>
      </c>
    </row>
    <row r="19392" spans="1:1" x14ac:dyDescent="0.2">
      <c r="A19392" s="996" t="str">
        <f>CONCATENATE(Programme!D19393,Programme!E19393,Programme!F19393,Programme!G19393,Programme!H19393,Programme!I19393,Programme!J19393)</f>
        <v>&lt;codeEdi&gt;1760&lt;/codeEdi&gt;</v>
      </c>
    </row>
    <row r="19393" spans="1:1" x14ac:dyDescent="0.2">
      <c r="A19393" s="996" t="str">
        <f>CONCATENATE(Programme!D19394,Programme!E19394,Programme!F19394,Programme!G19394,Programme!H19394,Programme!I19394,Programme!J19394)</f>
        <v>&lt;/cellule&gt;</v>
      </c>
    </row>
    <row r="19394" spans="1:1" x14ac:dyDescent="0.2">
      <c r="A19394" s="996" t="str">
        <f>CONCATENATE(Programme!D19395,Programme!E19395,Programme!F19395,Programme!G19395,Programme!H19395,Programme!I19395,Programme!J19395)</f>
        <v>&lt;valeur&gt;0&lt;/valeur&gt;</v>
      </c>
    </row>
    <row r="19395" spans="1:1" x14ac:dyDescent="0.2">
      <c r="A19395" s="996" t="str">
        <f>CONCATENATE(Programme!D19396,Programme!E19396,Programme!F19396,Programme!G19396,Programme!H19396,Programme!I19396,Programme!J19396)</f>
        <v>&lt;/ValeurCellule&gt;</v>
      </c>
    </row>
    <row r="19396" spans="1:1" x14ac:dyDescent="0.2">
      <c r="A19396" s="996" t="str">
        <f>CONCATENATE(Programme!D19397,Programme!E19397,Programme!F19397,Programme!G19397,Programme!H19397,Programme!I19397,Programme!J19397)</f>
        <v>&lt;ValeurCellule&gt;</v>
      </c>
    </row>
    <row r="19397" spans="1:1" x14ac:dyDescent="0.2">
      <c r="A19397" s="996" t="str">
        <f>CONCATENATE(Programme!D19398,Programme!E19398,Programme!F19398,Programme!G19398,Programme!H19398,Programme!I19398,Programme!J19398)</f>
        <v>&lt;cellule&gt;</v>
      </c>
    </row>
    <row r="19398" spans="1:1" x14ac:dyDescent="0.2">
      <c r="A19398" s="996" t="str">
        <f>CONCATENATE(Programme!D19399,Programme!E19399,Programme!F19399,Programme!G19399,Programme!H19399,Programme!I19399,Programme!J19399)</f>
        <v>&lt;codeEdi&gt;1772&lt;/codeEdi&gt;</v>
      </c>
    </row>
    <row r="19399" spans="1:1" x14ac:dyDescent="0.2">
      <c r="A19399" s="996" t="str">
        <f>CONCATENATE(Programme!D19400,Programme!E19400,Programme!F19400,Programme!G19400,Programme!H19400,Programme!I19400,Programme!J19400)</f>
        <v>&lt;/cellule&gt;</v>
      </c>
    </row>
    <row r="19400" spans="1:1" x14ac:dyDescent="0.2">
      <c r="A19400" s="996" t="str">
        <f>CONCATENATE(Programme!D19401,Programme!E19401,Programme!F19401,Programme!G19401,Programme!H19401,Programme!I19401,Programme!J19401)</f>
        <v>&lt;valeur&gt;&lt;/valeur&gt;</v>
      </c>
    </row>
    <row r="19401" spans="1:1" x14ac:dyDescent="0.2">
      <c r="A19401" s="996" t="str">
        <f>CONCATENATE(Programme!D19402,Programme!E19402,Programme!F19402,Programme!G19402,Programme!H19402,Programme!I19402,Programme!J19402)</f>
        <v>&lt;/ValeurCellule&gt;</v>
      </c>
    </row>
    <row r="19402" spans="1:1" x14ac:dyDescent="0.2">
      <c r="A19402" s="996" t="str">
        <f>CONCATENATE(Programme!D19403,Programme!E19403,Programme!F19403,Programme!G19403,Programme!H19403,Programme!I19403,Programme!J19403)</f>
        <v>&lt;ValeurCellule&gt;</v>
      </c>
    </row>
    <row r="19403" spans="1:1" x14ac:dyDescent="0.2">
      <c r="A19403" s="996" t="str">
        <f>CONCATENATE(Programme!D19404,Programme!E19404,Programme!F19404,Programme!G19404,Programme!H19404,Programme!I19404,Programme!J19404)</f>
        <v>&lt;cellule&gt;</v>
      </c>
    </row>
    <row r="19404" spans="1:1" x14ac:dyDescent="0.2">
      <c r="A19404" s="996" t="str">
        <f>CONCATENATE(Programme!D19405,Programme!E19405,Programme!F19405,Programme!G19405,Programme!H19405,Programme!I19405,Programme!J19405)</f>
        <v>&lt;codeEdi&gt;1803&lt;/codeEdi&gt;</v>
      </c>
    </row>
    <row r="19405" spans="1:1" x14ac:dyDescent="0.2">
      <c r="A19405" s="996" t="str">
        <f>CONCATENATE(Programme!D19406,Programme!E19406,Programme!F19406,Programme!G19406,Programme!H19406,Programme!I19406,Programme!J19406)</f>
        <v>&lt;/cellule&gt;</v>
      </c>
    </row>
    <row r="19406" spans="1:1" x14ac:dyDescent="0.2">
      <c r="A19406" s="996" t="str">
        <f>CONCATENATE(Programme!D19407,Programme!E19407,Programme!F19407,Programme!G19407,Programme!H19407,Programme!I19407,Programme!J19407)</f>
        <v>&lt;valeur&gt;0&lt;/valeur&gt;</v>
      </c>
    </row>
    <row r="19407" spans="1:1" x14ac:dyDescent="0.2">
      <c r="A19407" s="996" t="str">
        <f>CONCATENATE(Programme!D19408,Programme!E19408,Programme!F19408,Programme!G19408,Programme!H19408,Programme!I19408,Programme!J19408)</f>
        <v>&lt;/ValeurCellule&gt;</v>
      </c>
    </row>
    <row r="19408" spans="1:1" x14ac:dyDescent="0.2">
      <c r="A19408" s="996" t="str">
        <f>CONCATENATE(Programme!D19409,Programme!E19409,Programme!F19409,Programme!G19409,Programme!H19409,Programme!I19409,Programme!J19409)</f>
        <v>&lt;ValeurCellule&gt;</v>
      </c>
    </row>
    <row r="19409" spans="1:1" x14ac:dyDescent="0.2">
      <c r="A19409" s="996" t="str">
        <f>CONCATENATE(Programme!D19410,Programme!E19410,Programme!F19410,Programme!G19410,Programme!H19410,Programme!I19410,Programme!J19410)</f>
        <v>&lt;cellule&gt;</v>
      </c>
    </row>
    <row r="19410" spans="1:1" x14ac:dyDescent="0.2">
      <c r="A19410" s="996" t="str">
        <f>CONCATENATE(Programme!D19411,Programme!E19411,Programme!F19411,Programme!G19411,Programme!H19411,Programme!I19411,Programme!J19411)</f>
        <v>&lt;codeEdi&gt;1822&lt;/codeEdi&gt;</v>
      </c>
    </row>
    <row r="19411" spans="1:1" x14ac:dyDescent="0.2">
      <c r="A19411" s="996" t="str">
        <f>CONCATENATE(Programme!D19412,Programme!E19412,Programme!F19412,Programme!G19412,Programme!H19412,Programme!I19412,Programme!J19412)</f>
        <v>&lt;/cellule&gt;</v>
      </c>
    </row>
    <row r="19412" spans="1:1" x14ac:dyDescent="0.2">
      <c r="A19412" s="996" t="str">
        <f>CONCATENATE(Programme!D19413,Programme!E19413,Programme!F19413,Programme!G19413,Programme!H19413,Programme!I19413,Programme!J19413)</f>
        <v>&lt;valeur&gt;&lt;/valeur&gt;</v>
      </c>
    </row>
    <row r="19413" spans="1:1" x14ac:dyDescent="0.2">
      <c r="A19413" s="996" t="str">
        <f>CONCATENATE(Programme!D19414,Programme!E19414,Programme!F19414,Programme!G19414,Programme!H19414,Programme!I19414,Programme!J19414)</f>
        <v>&lt;/ValeurCellule&gt;</v>
      </c>
    </row>
    <row r="19414" spans="1:1" x14ac:dyDescent="0.2">
      <c r="A19414" s="996" t="str">
        <f>CONCATENATE(Programme!D19415,Programme!E19415,Programme!F19415,Programme!G19415,Programme!H19415,Programme!I19415,Programme!J19415)</f>
        <v>&lt;ValeurCellule&gt;</v>
      </c>
    </row>
    <row r="19415" spans="1:1" x14ac:dyDescent="0.2">
      <c r="A19415" s="996" t="str">
        <f>CONCATENATE(Programme!D19416,Programme!E19416,Programme!F19416,Programme!G19416,Programme!H19416,Programme!I19416,Programme!J19416)</f>
        <v>&lt;cellule&gt;</v>
      </c>
    </row>
    <row r="19416" spans="1:1" x14ac:dyDescent="0.2">
      <c r="A19416" s="996" t="str">
        <f>CONCATENATE(Programme!D19417,Programme!E19417,Programme!F19417,Programme!G19417,Programme!H19417,Programme!I19417,Programme!J19417)</f>
        <v>&lt;codeEdi&gt;1839&lt;/codeEdi&gt;</v>
      </c>
    </row>
    <row r="19417" spans="1:1" x14ac:dyDescent="0.2">
      <c r="A19417" s="996" t="str">
        <f>CONCATENATE(Programme!D19418,Programme!E19418,Programme!F19418,Programme!G19418,Programme!H19418,Programme!I19418,Programme!J19418)</f>
        <v>&lt;/cellule&gt;</v>
      </c>
    </row>
    <row r="19418" spans="1:1" x14ac:dyDescent="0.2">
      <c r="A19418" s="996" t="str">
        <f>CONCATENATE(Programme!D19419,Programme!E19419,Programme!F19419,Programme!G19419,Programme!H19419,Programme!I19419,Programme!J19419)</f>
        <v>&lt;valeur&gt;0&lt;/valeur&gt;</v>
      </c>
    </row>
    <row r="19419" spans="1:1" x14ac:dyDescent="0.2">
      <c r="A19419" s="996" t="str">
        <f>CONCATENATE(Programme!D19420,Programme!E19420,Programme!F19420,Programme!G19420,Programme!H19420,Programme!I19420,Programme!J19420)</f>
        <v>&lt;/ValeurCellule&gt;</v>
      </c>
    </row>
    <row r="19420" spans="1:1" x14ac:dyDescent="0.2">
      <c r="A19420" s="996" t="str">
        <f>CONCATENATE(Programme!D19421,Programme!E19421,Programme!F19421,Programme!G19421,Programme!H19421,Programme!I19421,Programme!J19421)</f>
        <v>&lt;ValeurCellule&gt;</v>
      </c>
    </row>
    <row r="19421" spans="1:1" x14ac:dyDescent="0.2">
      <c r="A19421" s="996" t="str">
        <f>CONCATENATE(Programme!D19422,Programme!E19422,Programme!F19422,Programme!G19422,Programme!H19422,Programme!I19422,Programme!J19422)</f>
        <v>&lt;cellule&gt;</v>
      </c>
    </row>
    <row r="19422" spans="1:1" x14ac:dyDescent="0.2">
      <c r="A19422" s="996" t="str">
        <f>CONCATENATE(Programme!D19423,Programme!E19423,Programme!F19423,Programme!G19423,Programme!H19423,Programme!I19423,Programme!J19423)</f>
        <v>&lt;codeEdi&gt;1856&lt;/codeEdi&gt;</v>
      </c>
    </row>
    <row r="19423" spans="1:1" x14ac:dyDescent="0.2">
      <c r="A19423" s="996" t="str">
        <f>CONCATENATE(Programme!D19424,Programme!E19424,Programme!F19424,Programme!G19424,Programme!H19424,Programme!I19424,Programme!J19424)</f>
        <v>&lt;/cellule&gt;</v>
      </c>
    </row>
    <row r="19424" spans="1:1" x14ac:dyDescent="0.2">
      <c r="A19424" s="996" t="str">
        <f>CONCATENATE(Programme!D19425,Programme!E19425,Programme!F19425,Programme!G19425,Programme!H19425,Programme!I19425,Programme!J19425)</f>
        <v>&lt;valeur&gt;0&lt;/valeur&gt;</v>
      </c>
    </row>
    <row r="19425" spans="1:1" x14ac:dyDescent="0.2">
      <c r="A19425" s="996" t="str">
        <f>CONCATENATE(Programme!D19426,Programme!E19426,Programme!F19426,Programme!G19426,Programme!H19426,Programme!I19426,Programme!J19426)</f>
        <v>&lt;/ValeurCellule&gt;</v>
      </c>
    </row>
    <row r="19426" spans="1:1" x14ac:dyDescent="0.2">
      <c r="A19426" s="996" t="str">
        <f>CONCATENATE(Programme!D19427,Programme!E19427,Programme!F19427,Programme!G19427,Programme!H19427,Programme!I19427,Programme!J19427)</f>
        <v>&lt;ValeurCellule&gt;</v>
      </c>
    </row>
    <row r="19427" spans="1:1" x14ac:dyDescent="0.2">
      <c r="A19427" s="996" t="str">
        <f>CONCATENATE(Programme!D19428,Programme!E19428,Programme!F19428,Programme!G19428,Programme!H19428,Programme!I19428,Programme!J19428)</f>
        <v>&lt;cellule&gt;</v>
      </c>
    </row>
    <row r="19428" spans="1:1" x14ac:dyDescent="0.2">
      <c r="A19428" s="996" t="str">
        <f>CONCATENATE(Programme!D19429,Programme!E19429,Programme!F19429,Programme!G19429,Programme!H19429,Programme!I19429,Programme!J19429)</f>
        <v>&lt;codeEdi&gt;1864&lt;/codeEdi&gt;</v>
      </c>
    </row>
    <row r="19429" spans="1:1" x14ac:dyDescent="0.2">
      <c r="A19429" s="996" t="str">
        <f>CONCATENATE(Programme!D19430,Programme!E19430,Programme!F19430,Programme!G19430,Programme!H19430,Programme!I19430,Programme!J19430)</f>
        <v>&lt;/cellule&gt;</v>
      </c>
    </row>
    <row r="19430" spans="1:1" x14ac:dyDescent="0.2">
      <c r="A19430" s="996" t="str">
        <f>CONCATENATE(Programme!D19431,Programme!E19431,Programme!F19431,Programme!G19431,Programme!H19431,Programme!I19431,Programme!J19431)</f>
        <v>&lt;valeur&gt;0&lt;/valeur&gt;</v>
      </c>
    </row>
    <row r="19431" spans="1:1" x14ac:dyDescent="0.2">
      <c r="A19431" s="996" t="str">
        <f>CONCATENATE(Programme!D19432,Programme!E19432,Programme!F19432,Programme!G19432,Programme!H19432,Programme!I19432,Programme!J19432)</f>
        <v>&lt;/ValeurCellule&gt;</v>
      </c>
    </row>
    <row r="19432" spans="1:1" x14ac:dyDescent="0.2">
      <c r="A19432" s="996" t="str">
        <f>CONCATENATE(Programme!D19433,Programme!E19433,Programme!F19433,Programme!G19433,Programme!H19433,Programme!I19433,Programme!J19433)</f>
        <v>&lt;ValeurCellule&gt;</v>
      </c>
    </row>
    <row r="19433" spans="1:1" x14ac:dyDescent="0.2">
      <c r="A19433" s="996" t="str">
        <f>CONCATENATE(Programme!D19434,Programme!E19434,Programme!F19434,Programme!G19434,Programme!H19434,Programme!I19434,Programme!J19434)</f>
        <v>&lt;cellule&gt;</v>
      </c>
    </row>
    <row r="19434" spans="1:1" x14ac:dyDescent="0.2">
      <c r="A19434" s="996" t="str">
        <f>CONCATENATE(Programme!D19435,Programme!E19435,Programme!F19435,Programme!G19435,Programme!H19435,Programme!I19435,Programme!J19435)</f>
        <v>&lt;codeEdi&gt;1872&lt;/codeEdi&gt;</v>
      </c>
    </row>
    <row r="19435" spans="1:1" x14ac:dyDescent="0.2">
      <c r="A19435" s="996" t="str">
        <f>CONCATENATE(Programme!D19436,Programme!E19436,Programme!F19436,Programme!G19436,Programme!H19436,Programme!I19436,Programme!J19436)</f>
        <v>&lt;/cellule&gt;</v>
      </c>
    </row>
    <row r="19436" spans="1:1" x14ac:dyDescent="0.2">
      <c r="A19436" s="996" t="str">
        <f>CONCATENATE(Programme!D19437,Programme!E19437,Programme!F19437,Programme!G19437,Programme!H19437,Programme!I19437,Programme!J19437)</f>
        <v>&lt;valeur&gt;0&lt;/valeur&gt;</v>
      </c>
    </row>
    <row r="19437" spans="1:1" x14ac:dyDescent="0.2">
      <c r="A19437" s="996" t="str">
        <f>CONCATENATE(Programme!D19438,Programme!E19438,Programme!F19438,Programme!G19438,Programme!H19438,Programme!I19438,Programme!J19438)</f>
        <v>&lt;/ValeurCellule&gt;</v>
      </c>
    </row>
    <row r="19438" spans="1:1" x14ac:dyDescent="0.2">
      <c r="A19438" s="996" t="str">
        <f>CONCATENATE(Programme!D19439,Programme!E19439,Programme!F19439,Programme!G19439,Programme!H19439,Programme!I19439,Programme!J19439)</f>
        <v>&lt;ValeurCellule&gt;</v>
      </c>
    </row>
    <row r="19439" spans="1:1" x14ac:dyDescent="0.2">
      <c r="A19439" s="996" t="str">
        <f>CONCATENATE(Programme!D19440,Programme!E19440,Programme!F19440,Programme!G19440,Programme!H19440,Programme!I19440,Programme!J19440)</f>
        <v>&lt;cellule&gt;</v>
      </c>
    </row>
    <row r="19440" spans="1:1" x14ac:dyDescent="0.2">
      <c r="A19440" s="996" t="str">
        <f>CONCATENATE(Programme!D19441,Programme!E19441,Programme!F19441,Programme!G19441,Programme!H19441,Programme!I19441,Programme!J19441)</f>
        <v>&lt;codeEdi&gt;1889&lt;/codeEdi&gt;</v>
      </c>
    </row>
    <row r="19441" spans="1:1" x14ac:dyDescent="0.2">
      <c r="A19441" s="996" t="str">
        <f>CONCATENATE(Programme!D19442,Programme!E19442,Programme!F19442,Programme!G19442,Programme!H19442,Programme!I19442,Programme!J19442)</f>
        <v>&lt;/cellule&gt;</v>
      </c>
    </row>
    <row r="19442" spans="1:1" x14ac:dyDescent="0.2">
      <c r="A19442" s="996" t="str">
        <f>CONCATENATE(Programme!D19443,Programme!E19443,Programme!F19443,Programme!G19443,Programme!H19443,Programme!I19443,Programme!J19443)</f>
        <v>&lt;valeur&gt;0&lt;/valeur&gt;</v>
      </c>
    </row>
    <row r="19443" spans="1:1" x14ac:dyDescent="0.2">
      <c r="A19443" s="996" t="str">
        <f>CONCATENATE(Programme!D19444,Programme!E19444,Programme!F19444,Programme!G19444,Programme!H19444,Programme!I19444,Programme!J19444)</f>
        <v>&lt;/ValeurCellule&gt;</v>
      </c>
    </row>
    <row r="19444" spans="1:1" x14ac:dyDescent="0.2">
      <c r="A19444" s="996" t="str">
        <f>CONCATENATE(Programme!D19445,Programme!E19445,Programme!F19445,Programme!G19445,Programme!H19445,Programme!I19445,Programme!J19445)</f>
        <v>&lt;ValeurCellule&gt;</v>
      </c>
    </row>
    <row r="19445" spans="1:1" x14ac:dyDescent="0.2">
      <c r="A19445" s="996" t="str">
        <f>CONCATENATE(Programme!D19446,Programme!E19446,Programme!F19446,Programme!G19446,Programme!H19446,Programme!I19446,Programme!J19446)</f>
        <v>&lt;cellule&gt;</v>
      </c>
    </row>
    <row r="19446" spans="1:1" x14ac:dyDescent="0.2">
      <c r="A19446" s="996" t="str">
        <f>CONCATENATE(Programme!D19447,Programme!E19447,Programme!F19447,Programme!G19447,Programme!H19447,Programme!I19447,Programme!J19447)</f>
        <v>&lt;codeEdi&gt;1405&lt;/codeEdi&gt;</v>
      </c>
    </row>
    <row r="19447" spans="1:1" x14ac:dyDescent="0.2">
      <c r="A19447" s="996" t="str">
        <f>CONCATENATE(Programme!D19448,Programme!E19448,Programme!F19448,Programme!G19448,Programme!H19448,Programme!I19448,Programme!J19448)</f>
        <v>&lt;/cellule&gt;</v>
      </c>
    </row>
    <row r="19448" spans="1:1" x14ac:dyDescent="0.2">
      <c r="A19448" s="996" t="str">
        <f>CONCATENATE(Programme!D19449,Programme!E19449,Programme!F19449,Programme!G19449,Programme!H19449,Programme!I19449,Programme!J19449)</f>
        <v>&lt;valeur&gt;&lt;/valeur&gt;</v>
      </c>
    </row>
    <row r="19449" spans="1:1" x14ac:dyDescent="0.2">
      <c r="A19449" s="996" t="str">
        <f>CONCATENATE(Programme!D19450,Programme!E19450,Programme!F19450,Programme!G19450,Programme!H19450,Programme!I19450,Programme!J19450)</f>
        <v>&lt;/ValeurCellule&gt;</v>
      </c>
    </row>
    <row r="19450" spans="1:1" x14ac:dyDescent="0.2">
      <c r="A19450" s="996" t="str">
        <f>CONCATENATE(Programme!D19451,Programme!E19451,Programme!F19451,Programme!G19451,Programme!H19451,Programme!I19451,Programme!J19451)</f>
        <v>&lt;ValeurCellule&gt;</v>
      </c>
    </row>
    <row r="19451" spans="1:1" x14ac:dyDescent="0.2">
      <c r="A19451" s="996" t="str">
        <f>CONCATENATE(Programme!D19452,Programme!E19452,Programme!F19452,Programme!G19452,Programme!H19452,Programme!I19452,Programme!J19452)</f>
        <v>&lt;cellule&gt;</v>
      </c>
    </row>
    <row r="19452" spans="1:1" x14ac:dyDescent="0.2">
      <c r="A19452" s="996" t="str">
        <f>CONCATENATE(Programme!D19453,Programme!E19453,Programme!F19453,Programme!G19453,Programme!H19453,Programme!I19453,Programme!J19453)</f>
        <v>&lt;codeEdi&gt;1413&lt;/codeEdi&gt;</v>
      </c>
    </row>
    <row r="19453" spans="1:1" x14ac:dyDescent="0.2">
      <c r="A19453" s="996" t="str">
        <f>CONCATENATE(Programme!D19454,Programme!E19454,Programme!F19454,Programme!G19454,Programme!H19454,Programme!I19454,Programme!J19454)</f>
        <v>&lt;/cellule&gt;</v>
      </c>
    </row>
    <row r="19454" spans="1:1" x14ac:dyDescent="0.2">
      <c r="A19454" s="996" t="str">
        <f>CONCATENATE(Programme!D19455,Programme!E19455,Programme!F19455,Programme!G19455,Programme!H19455,Programme!I19455,Programme!J19455)</f>
        <v>&lt;valeur&gt;&lt;/valeur&gt;</v>
      </c>
    </row>
    <row r="19455" spans="1:1" x14ac:dyDescent="0.2">
      <c r="A19455" s="996" t="str">
        <f>CONCATENATE(Programme!D19456,Programme!E19456,Programme!F19456,Programme!G19456,Programme!H19456,Programme!I19456,Programme!J19456)</f>
        <v>&lt;/ValeurCellule&gt;</v>
      </c>
    </row>
    <row r="19456" spans="1:1" x14ac:dyDescent="0.2">
      <c r="A19456" s="996" t="str">
        <f>CONCATENATE(Programme!D19457,Programme!E19457,Programme!F19457,Programme!G19457,Programme!H19457,Programme!I19457,Programme!J19457)</f>
        <v>&lt;ValeurCellule&gt;</v>
      </c>
    </row>
    <row r="19457" spans="1:1" x14ac:dyDescent="0.2">
      <c r="A19457" s="996" t="str">
        <f>CONCATENATE(Programme!D19458,Programme!E19458,Programme!F19458,Programme!G19458,Programme!H19458,Programme!I19458,Programme!J19458)</f>
        <v>&lt;cellule&gt;</v>
      </c>
    </row>
    <row r="19458" spans="1:1" x14ac:dyDescent="0.2">
      <c r="A19458" s="996" t="str">
        <f>CONCATENATE(Programme!D19459,Programme!E19459,Programme!F19459,Programme!G19459,Programme!H19459,Programme!I19459,Programme!J19459)</f>
        <v>&lt;codeEdi&gt;1421&lt;/codeEdi&gt;</v>
      </c>
    </row>
    <row r="19459" spans="1:1" x14ac:dyDescent="0.2">
      <c r="A19459" s="996" t="str">
        <f>CONCATENATE(Programme!D19460,Programme!E19460,Programme!F19460,Programme!G19460,Programme!H19460,Programme!I19460,Programme!J19460)</f>
        <v>&lt;/cellule&gt;</v>
      </c>
    </row>
    <row r="19460" spans="1:1" x14ac:dyDescent="0.2">
      <c r="A19460" s="996" t="str">
        <f>CONCATENATE(Programme!D19461,Programme!E19461,Programme!F19461,Programme!G19461,Programme!H19461,Programme!I19461,Programme!J19461)</f>
        <v>&lt;valeur&gt;&lt;/valeur&gt;</v>
      </c>
    </row>
    <row r="19461" spans="1:1" x14ac:dyDescent="0.2">
      <c r="A19461" s="996" t="str">
        <f>CONCATENATE(Programme!D19462,Programme!E19462,Programme!F19462,Programme!G19462,Programme!H19462,Programme!I19462,Programme!J19462)</f>
        <v>&lt;/ValeurCellule&gt;</v>
      </c>
    </row>
    <row r="19462" spans="1:1" x14ac:dyDescent="0.2">
      <c r="A19462" s="996" t="str">
        <f>CONCATENATE(Programme!D19463,Programme!E19463,Programme!F19463,Programme!G19463,Programme!H19463,Programme!I19463,Programme!J19463)</f>
        <v>&lt;ValeurCellule&gt;</v>
      </c>
    </row>
    <row r="19463" spans="1:1" x14ac:dyDescent="0.2">
      <c r="A19463" s="996" t="str">
        <f>CONCATENATE(Programme!D19464,Programme!E19464,Programme!F19464,Programme!G19464,Programme!H19464,Programme!I19464,Programme!J19464)</f>
        <v>&lt;cellule&gt;</v>
      </c>
    </row>
    <row r="19464" spans="1:1" x14ac:dyDescent="0.2">
      <c r="A19464" s="996" t="str">
        <f>CONCATENATE(Programme!D19465,Programme!E19465,Programme!F19465,Programme!G19465,Programme!H19465,Programme!I19465,Programme!J19465)</f>
        <v>&lt;codeEdi&gt;1429&lt;/codeEdi&gt;</v>
      </c>
    </row>
    <row r="19465" spans="1:1" x14ac:dyDescent="0.2">
      <c r="A19465" s="996" t="str">
        <f>CONCATENATE(Programme!D19466,Programme!E19466,Programme!F19466,Programme!G19466,Programme!H19466,Programme!I19466,Programme!J19466)</f>
        <v>&lt;/cellule&gt;</v>
      </c>
    </row>
    <row r="19466" spans="1:1" x14ac:dyDescent="0.2">
      <c r="A19466" s="996" t="str">
        <f>CONCATENATE(Programme!D19467,Programme!E19467,Programme!F19467,Programme!G19467,Programme!H19467,Programme!I19467,Programme!J19467)</f>
        <v>&lt;valeur&gt;0&lt;/valeur&gt;</v>
      </c>
    </row>
    <row r="19467" spans="1:1" x14ac:dyDescent="0.2">
      <c r="A19467" s="996" t="str">
        <f>CONCATENATE(Programme!D19468,Programme!E19468,Programme!F19468,Programme!G19468,Programme!H19468,Programme!I19468,Programme!J19468)</f>
        <v>&lt;/ValeurCellule&gt;</v>
      </c>
    </row>
    <row r="19468" spans="1:1" x14ac:dyDescent="0.2">
      <c r="A19468" s="996" t="str">
        <f>CONCATENATE(Programme!D19469,Programme!E19469,Programme!F19469,Programme!G19469,Programme!H19469,Programme!I19469,Programme!J19469)</f>
        <v>&lt;ValeurCellule&gt;</v>
      </c>
    </row>
    <row r="19469" spans="1:1" x14ac:dyDescent="0.2">
      <c r="A19469" s="996" t="str">
        <f>CONCATENATE(Programme!D19470,Programme!E19470,Programme!F19470,Programme!G19470,Programme!H19470,Programme!I19470,Programme!J19470)</f>
        <v>&lt;cellule&gt;</v>
      </c>
    </row>
    <row r="19470" spans="1:1" x14ac:dyDescent="0.2">
      <c r="A19470" s="996" t="str">
        <f>CONCATENATE(Programme!D19471,Programme!E19471,Programme!F19471,Programme!G19471,Programme!H19471,Programme!I19471,Programme!J19471)</f>
        <v>&lt;codeEdi&gt;1437&lt;/codeEdi&gt;</v>
      </c>
    </row>
    <row r="19471" spans="1:1" x14ac:dyDescent="0.2">
      <c r="A19471" s="996" t="str">
        <f>CONCATENATE(Programme!D19472,Programme!E19472,Programme!F19472,Programme!G19472,Programme!H19472,Programme!I19472,Programme!J19472)</f>
        <v>&lt;/cellule&gt;</v>
      </c>
    </row>
    <row r="19472" spans="1:1" x14ac:dyDescent="0.2">
      <c r="A19472" s="996" t="str">
        <f>CONCATENATE(Programme!D19473,Programme!E19473,Programme!F19473,Programme!G19473,Programme!H19473,Programme!I19473,Programme!J19473)</f>
        <v>&lt;valeur&gt;0&lt;/valeur&gt;</v>
      </c>
    </row>
    <row r="19473" spans="1:1" x14ac:dyDescent="0.2">
      <c r="A19473" s="996" t="str">
        <f>CONCATENATE(Programme!D19474,Programme!E19474,Programme!F19474,Programme!G19474,Programme!H19474,Programme!I19474,Programme!J19474)</f>
        <v>&lt;/ValeurCellule&gt;</v>
      </c>
    </row>
    <row r="19474" spans="1:1" x14ac:dyDescent="0.2">
      <c r="A19474" s="996" t="str">
        <f>CONCATENATE(Programme!D19475,Programme!E19475,Programme!F19475,Programme!G19475,Programme!H19475,Programme!I19475,Programme!J19475)</f>
        <v>&lt;ValeurCellule&gt;</v>
      </c>
    </row>
    <row r="19475" spans="1:1" x14ac:dyDescent="0.2">
      <c r="A19475" s="996" t="str">
        <f>CONCATENATE(Programme!D19476,Programme!E19476,Programme!F19476,Programme!G19476,Programme!H19476,Programme!I19476,Programme!J19476)</f>
        <v>&lt;cellule&gt;</v>
      </c>
    </row>
    <row r="19476" spans="1:1" x14ac:dyDescent="0.2">
      <c r="A19476" s="996" t="str">
        <f>CONCATENATE(Programme!D19477,Programme!E19477,Programme!F19477,Programme!G19477,Programme!H19477,Programme!I19477,Programme!J19477)</f>
        <v>&lt;codeEdi&gt;1453&lt;/codeEdi&gt;</v>
      </c>
    </row>
    <row r="19477" spans="1:1" x14ac:dyDescent="0.2">
      <c r="A19477" s="996" t="str">
        <f>CONCATENATE(Programme!D19478,Programme!E19478,Programme!F19478,Programme!G19478,Programme!H19478,Programme!I19478,Programme!J19478)</f>
        <v>&lt;/cellule&gt;</v>
      </c>
    </row>
    <row r="19478" spans="1:1" x14ac:dyDescent="0.2">
      <c r="A19478" s="996" t="str">
        <f>CONCATENATE(Programme!D19479,Programme!E19479,Programme!F19479,Programme!G19479,Programme!H19479,Programme!I19479,Programme!J19479)</f>
        <v>&lt;valeur&gt;&lt;/valeur&gt;</v>
      </c>
    </row>
    <row r="19479" spans="1:1" x14ac:dyDescent="0.2">
      <c r="A19479" s="996" t="str">
        <f>CONCATENATE(Programme!D19480,Programme!E19480,Programme!F19480,Programme!G19480,Programme!H19480,Programme!I19480,Programme!J19480)</f>
        <v>&lt;/ValeurCellule&gt;</v>
      </c>
    </row>
    <row r="19480" spans="1:1" x14ac:dyDescent="0.2">
      <c r="A19480" s="996" t="str">
        <f>CONCATENATE(Programme!D19481,Programme!E19481,Programme!F19481,Programme!G19481,Programme!H19481,Programme!I19481,Programme!J19481)</f>
        <v>&lt;ValeurCellule&gt;</v>
      </c>
    </row>
    <row r="19481" spans="1:1" x14ac:dyDescent="0.2">
      <c r="A19481" s="996" t="str">
        <f>CONCATENATE(Programme!D19482,Programme!E19482,Programme!F19482,Programme!G19482,Programme!H19482,Programme!I19482,Programme!J19482)</f>
        <v>&lt;cellule&gt;</v>
      </c>
    </row>
    <row r="19482" spans="1:1" x14ac:dyDescent="0.2">
      <c r="A19482" s="996" t="str">
        <f>CONCATENATE(Programme!D19483,Programme!E19483,Programme!F19483,Programme!G19483,Programme!H19483,Programme!I19483,Programme!J19483)</f>
        <v>&lt;codeEdi&gt;1461&lt;/codeEdi&gt;</v>
      </c>
    </row>
    <row r="19483" spans="1:1" x14ac:dyDescent="0.2">
      <c r="A19483" s="996" t="str">
        <f>CONCATENATE(Programme!D19484,Programme!E19484,Programme!F19484,Programme!G19484,Programme!H19484,Programme!I19484,Programme!J19484)</f>
        <v>&lt;/cellule&gt;</v>
      </c>
    </row>
    <row r="19484" spans="1:1" x14ac:dyDescent="0.2">
      <c r="A19484" s="996" t="str">
        <f>CONCATENATE(Programme!D19485,Programme!E19485,Programme!F19485,Programme!G19485,Programme!H19485,Programme!I19485,Programme!J19485)</f>
        <v>&lt;valeur&gt;0&lt;/valeur&gt;</v>
      </c>
    </row>
    <row r="19485" spans="1:1" x14ac:dyDescent="0.2">
      <c r="A19485" s="996" t="str">
        <f>CONCATENATE(Programme!D19486,Programme!E19486,Programme!F19486,Programme!G19486,Programme!H19486,Programme!I19486,Programme!J19486)</f>
        <v>&lt;/ValeurCellule&gt;</v>
      </c>
    </row>
    <row r="19486" spans="1:1" x14ac:dyDescent="0.2">
      <c r="A19486" s="996" t="str">
        <f>CONCATENATE(Programme!D19487,Programme!E19487,Programme!F19487,Programme!G19487,Programme!H19487,Programme!I19487,Programme!J19487)</f>
        <v>&lt;ValeurCellule&gt;</v>
      </c>
    </row>
    <row r="19487" spans="1:1" x14ac:dyDescent="0.2">
      <c r="A19487" s="996" t="str">
        <f>CONCATENATE(Programme!D19488,Programme!E19488,Programme!F19488,Programme!G19488,Programme!H19488,Programme!I19488,Programme!J19488)</f>
        <v>&lt;cellule&gt;</v>
      </c>
    </row>
    <row r="19488" spans="1:1" x14ac:dyDescent="0.2">
      <c r="A19488" s="996" t="str">
        <f>CONCATENATE(Programme!D19489,Programme!E19489,Programme!F19489,Programme!G19489,Programme!H19489,Programme!I19489,Programme!J19489)</f>
        <v>&lt;codeEdi&gt;1469&lt;/codeEdi&gt;</v>
      </c>
    </row>
    <row r="19489" spans="1:1" x14ac:dyDescent="0.2">
      <c r="A19489" s="996" t="str">
        <f>CONCATENATE(Programme!D19490,Programme!E19490,Programme!F19490,Programme!G19490,Programme!H19490,Programme!I19490,Programme!J19490)</f>
        <v>&lt;/cellule&gt;</v>
      </c>
    </row>
    <row r="19490" spans="1:1" x14ac:dyDescent="0.2">
      <c r="A19490" s="996" t="str">
        <f>CONCATENATE(Programme!D19491,Programme!E19491,Programme!F19491,Programme!G19491,Programme!H19491,Programme!I19491,Programme!J19491)</f>
        <v>&lt;valeur&gt;0&lt;/valeur&gt;</v>
      </c>
    </row>
    <row r="19491" spans="1:1" x14ac:dyDescent="0.2">
      <c r="A19491" s="996" t="str">
        <f>CONCATENATE(Programme!D19492,Programme!E19492,Programme!F19492,Programme!G19492,Programme!H19492,Programme!I19492,Programme!J19492)</f>
        <v>&lt;/ValeurCellule&gt;</v>
      </c>
    </row>
    <row r="19492" spans="1:1" x14ac:dyDescent="0.2">
      <c r="A19492" s="996" t="str">
        <f>CONCATENATE(Programme!D19493,Programme!E19493,Programme!F19493,Programme!G19493,Programme!H19493,Programme!I19493,Programme!J19493)</f>
        <v>&lt;ValeurCellule&gt;</v>
      </c>
    </row>
    <row r="19493" spans="1:1" x14ac:dyDescent="0.2">
      <c r="A19493" s="996" t="str">
        <f>CONCATENATE(Programme!D19494,Programme!E19494,Programme!F19494,Programme!G19494,Programme!H19494,Programme!I19494,Programme!J19494)</f>
        <v>&lt;cellule&gt;</v>
      </c>
    </row>
    <row r="19494" spans="1:1" x14ac:dyDescent="0.2">
      <c r="A19494" s="996" t="str">
        <f>CONCATENATE(Programme!D19495,Programme!E19495,Programme!F19495,Programme!G19495,Programme!H19495,Programme!I19495,Programme!J19495)</f>
        <v>&lt;codeEdi&gt;1477&lt;/codeEdi&gt;</v>
      </c>
    </row>
    <row r="19495" spans="1:1" x14ac:dyDescent="0.2">
      <c r="A19495" s="996" t="str">
        <f>CONCATENATE(Programme!D19496,Programme!E19496,Programme!F19496,Programme!G19496,Programme!H19496,Programme!I19496,Programme!J19496)</f>
        <v>&lt;/cellule&gt;</v>
      </c>
    </row>
    <row r="19496" spans="1:1" x14ac:dyDescent="0.2">
      <c r="A19496" s="996" t="str">
        <f>CONCATENATE(Programme!D19497,Programme!E19497,Programme!F19497,Programme!G19497,Programme!H19497,Programme!I19497,Programme!J19497)</f>
        <v>&lt;valeur&gt;&lt;/valeur&gt;</v>
      </c>
    </row>
    <row r="19497" spans="1:1" x14ac:dyDescent="0.2">
      <c r="A19497" s="996" t="str">
        <f>CONCATENATE(Programme!D19498,Programme!E19498,Programme!F19498,Programme!G19498,Programme!H19498,Programme!I19498,Programme!J19498)</f>
        <v>&lt;/ValeurCellule&gt;</v>
      </c>
    </row>
    <row r="19498" spans="1:1" x14ac:dyDescent="0.2">
      <c r="A19498" s="996" t="str">
        <f>CONCATENATE(Programme!D19499,Programme!E19499,Programme!F19499,Programme!G19499,Programme!H19499,Programme!I19499,Programme!J19499)</f>
        <v>&lt;ValeurCellule&gt;</v>
      </c>
    </row>
    <row r="19499" spans="1:1" x14ac:dyDescent="0.2">
      <c r="A19499" s="996" t="str">
        <f>CONCATENATE(Programme!D19500,Programme!E19500,Programme!F19500,Programme!G19500,Programme!H19500,Programme!I19500,Programme!J19500)</f>
        <v>&lt;cellule&gt;</v>
      </c>
    </row>
    <row r="19500" spans="1:1" x14ac:dyDescent="0.2">
      <c r="A19500" s="996" t="str">
        <f>CONCATENATE(Programme!D19501,Programme!E19501,Programme!F19501,Programme!G19501,Programme!H19501,Programme!I19501,Programme!J19501)</f>
        <v>&lt;codeEdi&gt;1485&lt;/codeEdi&gt;</v>
      </c>
    </row>
    <row r="19501" spans="1:1" x14ac:dyDescent="0.2">
      <c r="A19501" s="996" t="str">
        <f>CONCATENATE(Programme!D19502,Programme!E19502,Programme!F19502,Programme!G19502,Programme!H19502,Programme!I19502,Programme!J19502)</f>
        <v>&lt;/cellule&gt;</v>
      </c>
    </row>
    <row r="19502" spans="1:1" x14ac:dyDescent="0.2">
      <c r="A19502" s="996" t="str">
        <f>CONCATENATE(Programme!D19503,Programme!E19503,Programme!F19503,Programme!G19503,Programme!H19503,Programme!I19503,Programme!J19503)</f>
        <v>&lt;valeur&gt;&lt;/valeur&gt;</v>
      </c>
    </row>
    <row r="19503" spans="1:1" x14ac:dyDescent="0.2">
      <c r="A19503" s="996" t="str">
        <f>CONCATENATE(Programme!D19504,Programme!E19504,Programme!F19504,Programme!G19504,Programme!H19504,Programme!I19504,Programme!J19504)</f>
        <v>&lt;/ValeurCellule&gt;</v>
      </c>
    </row>
    <row r="19504" spans="1:1" x14ac:dyDescent="0.2">
      <c r="A19504" s="996" t="str">
        <f>CONCATENATE(Programme!D19505,Programme!E19505,Programme!F19505,Programme!G19505,Programme!H19505,Programme!I19505,Programme!J19505)</f>
        <v>&lt;ValeurCellule&gt;</v>
      </c>
    </row>
    <row r="19505" spans="1:1" x14ac:dyDescent="0.2">
      <c r="A19505" s="996" t="str">
        <f>CONCATENATE(Programme!D19506,Programme!E19506,Programme!F19506,Programme!G19506,Programme!H19506,Programme!I19506,Programme!J19506)</f>
        <v>&lt;cellule&gt;</v>
      </c>
    </row>
    <row r="19506" spans="1:1" x14ac:dyDescent="0.2">
      <c r="A19506" s="996" t="str">
        <f>CONCATENATE(Programme!D19507,Programme!E19507,Programme!F19507,Programme!G19507,Programme!H19507,Programme!I19507,Programme!J19507)</f>
        <v>&lt;codeEdi&gt;1559&lt;/codeEdi&gt;</v>
      </c>
    </row>
    <row r="19507" spans="1:1" x14ac:dyDescent="0.2">
      <c r="A19507" s="996" t="str">
        <f>CONCATENATE(Programme!D19508,Programme!E19508,Programme!F19508,Programme!G19508,Programme!H19508,Programme!I19508,Programme!J19508)</f>
        <v>&lt;/cellule&gt;</v>
      </c>
    </row>
    <row r="19508" spans="1:1" x14ac:dyDescent="0.2">
      <c r="A19508" s="996" t="str">
        <f>CONCATENATE(Programme!D19509,Programme!E19509,Programme!F19509,Programme!G19509,Programme!H19509,Programme!I19509,Programme!J19509)</f>
        <v>&lt;valeur&gt;0&lt;/valeur&gt;</v>
      </c>
    </row>
    <row r="19509" spans="1:1" x14ac:dyDescent="0.2">
      <c r="A19509" s="996" t="str">
        <f>CONCATENATE(Programme!D19510,Programme!E19510,Programme!F19510,Programme!G19510,Programme!H19510,Programme!I19510,Programme!J19510)</f>
        <v>&lt;/ValeurCellule&gt;</v>
      </c>
    </row>
    <row r="19510" spans="1:1" x14ac:dyDescent="0.2">
      <c r="A19510" s="996" t="str">
        <f>CONCATENATE(Programme!D19511,Programme!E19511,Programme!F19511,Programme!G19511,Programme!H19511,Programme!I19511,Programme!J19511)</f>
        <v>&lt;ValeurCellule&gt;</v>
      </c>
    </row>
    <row r="19511" spans="1:1" x14ac:dyDescent="0.2">
      <c r="A19511" s="996" t="str">
        <f>CONCATENATE(Programme!D19512,Programme!E19512,Programme!F19512,Programme!G19512,Programme!H19512,Programme!I19512,Programme!J19512)</f>
        <v>&lt;cellule&gt;</v>
      </c>
    </row>
    <row r="19512" spans="1:1" x14ac:dyDescent="0.2">
      <c r="A19512" s="996" t="str">
        <f>CONCATENATE(Programme!D19513,Programme!E19513,Programme!F19513,Programme!G19513,Programme!H19513,Programme!I19513,Programme!J19513)</f>
        <v>&lt;codeEdi&gt;1600&lt;/codeEdi&gt;</v>
      </c>
    </row>
    <row r="19513" spans="1:1" x14ac:dyDescent="0.2">
      <c r="A19513" s="996" t="str">
        <f>CONCATENATE(Programme!D19514,Programme!E19514,Programme!F19514,Programme!G19514,Programme!H19514,Programme!I19514,Programme!J19514)</f>
        <v>&lt;/cellule&gt;</v>
      </c>
    </row>
    <row r="19514" spans="1:1" x14ac:dyDescent="0.2">
      <c r="A19514" s="996" t="str">
        <f>CONCATENATE(Programme!D19515,Programme!E19515,Programme!F19515,Programme!G19515,Programme!H19515,Programme!I19515,Programme!J19515)</f>
        <v>&lt;valeur&gt;&lt;/valeur&gt;</v>
      </c>
    </row>
    <row r="19515" spans="1:1" x14ac:dyDescent="0.2">
      <c r="A19515" s="996" t="str">
        <f>CONCATENATE(Programme!D19516,Programme!E19516,Programme!F19516,Programme!G19516,Programme!H19516,Programme!I19516,Programme!J19516)</f>
        <v>&lt;/ValeurCellule&gt;</v>
      </c>
    </row>
    <row r="19516" spans="1:1" x14ac:dyDescent="0.2">
      <c r="A19516" s="996" t="str">
        <f>CONCATENATE(Programme!D19517,Programme!E19517,Programme!F19517,Programme!G19517,Programme!H19517,Programme!I19517,Programme!J19517)</f>
        <v>&lt;ValeurCellule&gt;</v>
      </c>
    </row>
    <row r="19517" spans="1:1" x14ac:dyDescent="0.2">
      <c r="A19517" s="996" t="str">
        <f>CONCATENATE(Programme!D19518,Programme!E19518,Programme!F19518,Programme!G19518,Programme!H19518,Programme!I19518,Programme!J19518)</f>
        <v>&lt;cellule&gt;</v>
      </c>
    </row>
    <row r="19518" spans="1:1" x14ac:dyDescent="0.2">
      <c r="A19518" s="996" t="str">
        <f>CONCATENATE(Programme!D19519,Programme!E19519,Programme!F19519,Programme!G19519,Programme!H19519,Programme!I19519,Programme!J19519)</f>
        <v>&lt;codeEdi&gt;1608&lt;/codeEdi&gt;</v>
      </c>
    </row>
    <row r="19519" spans="1:1" x14ac:dyDescent="0.2">
      <c r="A19519" s="996" t="str">
        <f>CONCATENATE(Programme!D19520,Programme!E19520,Programme!F19520,Programme!G19520,Programme!H19520,Programme!I19520,Programme!J19520)</f>
        <v>&lt;/cellule&gt;</v>
      </c>
    </row>
    <row r="19520" spans="1:1" x14ac:dyDescent="0.2">
      <c r="A19520" s="996" t="str">
        <f>CONCATENATE(Programme!D19521,Programme!E19521,Programme!F19521,Programme!G19521,Programme!H19521,Programme!I19521,Programme!J19521)</f>
        <v>&lt;valeur&gt;0&lt;/valeur&gt;</v>
      </c>
    </row>
    <row r="19521" spans="1:1" x14ac:dyDescent="0.2">
      <c r="A19521" s="996" t="str">
        <f>CONCATENATE(Programme!D19522,Programme!E19522,Programme!F19522,Programme!G19522,Programme!H19522,Programme!I19522,Programme!J19522)</f>
        <v>&lt;/ValeurCellule&gt;</v>
      </c>
    </row>
    <row r="19522" spans="1:1" x14ac:dyDescent="0.2">
      <c r="A19522" s="996" t="str">
        <f>CONCATENATE(Programme!D19523,Programme!E19523,Programme!F19523,Programme!G19523,Programme!H19523,Programme!I19523,Programme!J19523)</f>
        <v>&lt;ValeurCellule&gt;</v>
      </c>
    </row>
    <row r="19523" spans="1:1" x14ac:dyDescent="0.2">
      <c r="A19523" s="996" t="str">
        <f>CONCATENATE(Programme!D19524,Programme!E19524,Programme!F19524,Programme!G19524,Programme!H19524,Programme!I19524,Programme!J19524)</f>
        <v>&lt;cellule&gt;</v>
      </c>
    </row>
    <row r="19524" spans="1:1" x14ac:dyDescent="0.2">
      <c r="A19524" s="996" t="str">
        <f>CONCATENATE(Programme!D19525,Programme!E19525,Programme!F19525,Programme!G19525,Programme!H19525,Programme!I19525,Programme!J19525)</f>
        <v>&lt;codeEdi&gt;1616&lt;/codeEdi&gt;</v>
      </c>
    </row>
    <row r="19525" spans="1:1" x14ac:dyDescent="0.2">
      <c r="A19525" s="996" t="str">
        <f>CONCATENATE(Programme!D19526,Programme!E19526,Programme!F19526,Programme!G19526,Programme!H19526,Programme!I19526,Programme!J19526)</f>
        <v>&lt;/cellule&gt;</v>
      </c>
    </row>
    <row r="19526" spans="1:1" x14ac:dyDescent="0.2">
      <c r="A19526" s="996" t="str">
        <f>CONCATENATE(Programme!D19527,Programme!E19527,Programme!F19527,Programme!G19527,Programme!H19527,Programme!I19527,Programme!J19527)</f>
        <v>&lt;valeur&gt;0&lt;/valeur&gt;</v>
      </c>
    </row>
    <row r="19527" spans="1:1" x14ac:dyDescent="0.2">
      <c r="A19527" s="996" t="str">
        <f>CONCATENATE(Programme!D19528,Programme!E19528,Programme!F19528,Programme!G19528,Programme!H19528,Programme!I19528,Programme!J19528)</f>
        <v>&lt;/ValeurCellule&gt;</v>
      </c>
    </row>
    <row r="19528" spans="1:1" x14ac:dyDescent="0.2">
      <c r="A19528" s="996" t="str">
        <f>CONCATENATE(Programme!D19529,Programme!E19529,Programme!F19529,Programme!G19529,Programme!H19529,Programme!I19529,Programme!J19529)</f>
        <v>&lt;ValeurCellule&gt;</v>
      </c>
    </row>
    <row r="19529" spans="1:1" x14ac:dyDescent="0.2">
      <c r="A19529" s="996" t="str">
        <f>CONCATENATE(Programme!D19530,Programme!E19530,Programme!F19530,Programme!G19530,Programme!H19530,Programme!I19530,Programme!J19530)</f>
        <v>&lt;cellule&gt;</v>
      </c>
    </row>
    <row r="19530" spans="1:1" x14ac:dyDescent="0.2">
      <c r="A19530" s="996" t="str">
        <f>CONCATENATE(Programme!D19531,Programme!E19531,Programme!F19531,Programme!G19531,Programme!H19531,Programme!I19531,Programme!J19531)</f>
        <v>&lt;codeEdi&gt;1639&lt;/codeEdi&gt;</v>
      </c>
    </row>
    <row r="19531" spans="1:1" x14ac:dyDescent="0.2">
      <c r="A19531" s="996" t="str">
        <f>CONCATENATE(Programme!D19532,Programme!E19532,Programme!F19532,Programme!G19532,Programme!H19532,Programme!I19532,Programme!J19532)</f>
        <v>&lt;/cellule&gt;</v>
      </c>
    </row>
    <row r="19532" spans="1:1" x14ac:dyDescent="0.2">
      <c r="A19532" s="996" t="str">
        <f>CONCATENATE(Programme!D19533,Programme!E19533,Programme!F19533,Programme!G19533,Programme!H19533,Programme!I19533,Programme!J19533)</f>
        <v>&lt;valeur&gt;&lt;/valeur&gt;</v>
      </c>
    </row>
    <row r="19533" spans="1:1" x14ac:dyDescent="0.2">
      <c r="A19533" s="996" t="str">
        <f>CONCATENATE(Programme!D19534,Programme!E19534,Programme!F19534,Programme!G19534,Programme!H19534,Programme!I19534,Programme!J19534)</f>
        <v>&lt;/ValeurCellule&gt;</v>
      </c>
    </row>
    <row r="19534" spans="1:1" x14ac:dyDescent="0.2">
      <c r="A19534" s="996" t="str">
        <f>CONCATENATE(Programme!D19535,Programme!E19535,Programme!F19535,Programme!G19535,Programme!H19535,Programme!I19535,Programme!J19535)</f>
        <v>&lt;ValeurCellule&gt;</v>
      </c>
    </row>
    <row r="19535" spans="1:1" x14ac:dyDescent="0.2">
      <c r="A19535" s="996" t="str">
        <f>CONCATENATE(Programme!D19536,Programme!E19536,Programme!F19536,Programme!G19536,Programme!H19536,Programme!I19536,Programme!J19536)</f>
        <v>&lt;cellule&gt;</v>
      </c>
    </row>
    <row r="19536" spans="1:1" x14ac:dyDescent="0.2">
      <c r="A19536" s="996" t="str">
        <f>CONCATENATE(Programme!D19537,Programme!E19537,Programme!F19537,Programme!G19537,Programme!H19537,Programme!I19537,Programme!J19537)</f>
        <v>&lt;codeEdi&gt;1647&lt;/codeEdi&gt;</v>
      </c>
    </row>
    <row r="19537" spans="1:1" x14ac:dyDescent="0.2">
      <c r="A19537" s="996" t="str">
        <f>CONCATENATE(Programme!D19538,Programme!E19538,Programme!F19538,Programme!G19538,Programme!H19538,Programme!I19538,Programme!J19538)</f>
        <v>&lt;/cellule&gt;</v>
      </c>
    </row>
    <row r="19538" spans="1:1" x14ac:dyDescent="0.2">
      <c r="A19538" s="996" t="str">
        <f>CONCATENATE(Programme!D19539,Programme!E19539,Programme!F19539,Programme!G19539,Programme!H19539,Programme!I19539,Programme!J19539)</f>
        <v>&lt;valeur&gt;0&lt;/valeur&gt;</v>
      </c>
    </row>
    <row r="19539" spans="1:1" x14ac:dyDescent="0.2">
      <c r="A19539" s="996" t="str">
        <f>CONCATENATE(Programme!D19540,Programme!E19540,Programme!F19540,Programme!G19540,Programme!H19540,Programme!I19540,Programme!J19540)</f>
        <v>&lt;/ValeurCellule&gt;</v>
      </c>
    </row>
    <row r="19540" spans="1:1" x14ac:dyDescent="0.2">
      <c r="A19540" s="996" t="str">
        <f>CONCATENATE(Programme!D19541,Programme!E19541,Programme!F19541,Programme!G19541,Programme!H19541,Programme!I19541,Programme!J19541)</f>
        <v>&lt;ValeurCellule&gt;</v>
      </c>
    </row>
    <row r="19541" spans="1:1" x14ac:dyDescent="0.2">
      <c r="A19541" s="996" t="str">
        <f>CONCATENATE(Programme!D19542,Programme!E19542,Programme!F19542,Programme!G19542,Programme!H19542,Programme!I19542,Programme!J19542)</f>
        <v>&lt;cellule&gt;</v>
      </c>
    </row>
    <row r="19542" spans="1:1" x14ac:dyDescent="0.2">
      <c r="A19542" s="996" t="str">
        <f>CONCATENATE(Programme!D19543,Programme!E19543,Programme!F19543,Programme!G19543,Programme!H19543,Programme!I19543,Programme!J19543)</f>
        <v>&lt;codeEdi&gt;1660&lt;/codeEdi&gt;</v>
      </c>
    </row>
    <row r="19543" spans="1:1" x14ac:dyDescent="0.2">
      <c r="A19543" s="996" t="str">
        <f>CONCATENATE(Programme!D19544,Programme!E19544,Programme!F19544,Programme!G19544,Programme!H19544,Programme!I19544,Programme!J19544)</f>
        <v>&lt;/cellule&gt;</v>
      </c>
    </row>
    <row r="19544" spans="1:1" x14ac:dyDescent="0.2">
      <c r="A19544" s="996" t="str">
        <f>CONCATENATE(Programme!D19545,Programme!E19545,Programme!F19545,Programme!G19545,Programme!H19545,Programme!I19545,Programme!J19545)</f>
        <v>&lt;valeur&gt;0&lt;/valeur&gt;</v>
      </c>
    </row>
    <row r="19545" spans="1:1" x14ac:dyDescent="0.2">
      <c r="A19545" s="996" t="str">
        <f>CONCATENATE(Programme!D19546,Programme!E19546,Programme!F19546,Programme!G19546,Programme!H19546,Programme!I19546,Programme!J19546)</f>
        <v>&lt;/ValeurCellule&gt;</v>
      </c>
    </row>
    <row r="19546" spans="1:1" x14ac:dyDescent="0.2">
      <c r="A19546" s="996" t="str">
        <f>CONCATENATE(Programme!D19547,Programme!E19547,Programme!F19547,Programme!G19547,Programme!H19547,Programme!I19547,Programme!J19547)</f>
        <v>&lt;ValeurCellule&gt;</v>
      </c>
    </row>
    <row r="19547" spans="1:1" x14ac:dyDescent="0.2">
      <c r="A19547" s="996" t="str">
        <f>CONCATENATE(Programme!D19548,Programme!E19548,Programme!F19548,Programme!G19548,Programme!H19548,Programme!I19548,Programme!J19548)</f>
        <v>&lt;cellule&gt;</v>
      </c>
    </row>
    <row r="19548" spans="1:1" x14ac:dyDescent="0.2">
      <c r="A19548" s="996" t="str">
        <f>CONCATENATE(Programme!D19549,Programme!E19549,Programme!F19549,Programme!G19549,Programme!H19549,Programme!I19549,Programme!J19549)</f>
        <v>&lt;codeEdi&gt;1668&lt;/codeEdi&gt;</v>
      </c>
    </row>
    <row r="19549" spans="1:1" x14ac:dyDescent="0.2">
      <c r="A19549" s="996" t="str">
        <f>CONCATENATE(Programme!D19550,Programme!E19550,Programme!F19550,Programme!G19550,Programme!H19550,Programme!I19550,Programme!J19550)</f>
        <v>&lt;/cellule&gt;</v>
      </c>
    </row>
    <row r="19550" spans="1:1" x14ac:dyDescent="0.2">
      <c r="A19550" s="996" t="str">
        <f>CONCATENATE(Programme!D19551,Programme!E19551,Programme!F19551,Programme!G19551,Programme!H19551,Programme!I19551,Programme!J19551)</f>
        <v>&lt;valeur&gt;0&lt;/valeur&gt;</v>
      </c>
    </row>
    <row r="19551" spans="1:1" x14ac:dyDescent="0.2">
      <c r="A19551" s="996" t="str">
        <f>CONCATENATE(Programme!D19552,Programme!E19552,Programme!F19552,Programme!G19552,Programme!H19552,Programme!I19552,Programme!J19552)</f>
        <v>&lt;/ValeurCellule&gt;</v>
      </c>
    </row>
    <row r="19552" spans="1:1" x14ac:dyDescent="0.2">
      <c r="A19552" s="996" t="str">
        <f>CONCATENATE(Programme!D19553,Programme!E19553,Programme!F19553,Programme!G19553,Programme!H19553,Programme!I19553,Programme!J19553)</f>
        <v>&lt;ValeurCellule&gt;</v>
      </c>
    </row>
    <row r="19553" spans="1:1" x14ac:dyDescent="0.2">
      <c r="A19553" s="996" t="str">
        <f>CONCATENATE(Programme!D19554,Programme!E19554,Programme!F19554,Programme!G19554,Programme!H19554,Programme!I19554,Programme!J19554)</f>
        <v>&lt;cellule&gt;</v>
      </c>
    </row>
    <row r="19554" spans="1:1" x14ac:dyDescent="0.2">
      <c r="A19554" s="996" t="str">
        <f>CONCATENATE(Programme!D19555,Programme!E19555,Programme!F19555,Programme!G19555,Programme!H19555,Programme!I19555,Programme!J19555)</f>
        <v>&lt;codeEdi&gt;1676&lt;/codeEdi&gt;</v>
      </c>
    </row>
    <row r="19555" spans="1:1" x14ac:dyDescent="0.2">
      <c r="A19555" s="996" t="str">
        <f>CONCATENATE(Programme!D19556,Programme!E19556,Programme!F19556,Programme!G19556,Programme!H19556,Programme!I19556,Programme!J19556)</f>
        <v>&lt;/cellule&gt;</v>
      </c>
    </row>
    <row r="19556" spans="1:1" x14ac:dyDescent="0.2">
      <c r="A19556" s="996" t="str">
        <f>CONCATENATE(Programme!D19557,Programme!E19557,Programme!F19557,Programme!G19557,Programme!H19557,Programme!I19557,Programme!J19557)</f>
        <v>&lt;valeur&gt;0&lt;/valeur&gt;</v>
      </c>
    </row>
    <row r="19557" spans="1:1" x14ac:dyDescent="0.2">
      <c r="A19557" s="996" t="str">
        <f>CONCATENATE(Programme!D19558,Programme!E19558,Programme!F19558,Programme!G19558,Programme!H19558,Programme!I19558,Programme!J19558)</f>
        <v>&lt;/ValeurCellule&gt;</v>
      </c>
    </row>
    <row r="19558" spans="1:1" x14ac:dyDescent="0.2">
      <c r="A19558" s="996" t="str">
        <f>CONCATENATE(Programme!D19559,Programme!E19559,Programme!F19559,Programme!G19559,Programme!H19559,Programme!I19559,Programme!J19559)</f>
        <v>&lt;ValeurCellule&gt;</v>
      </c>
    </row>
    <row r="19559" spans="1:1" x14ac:dyDescent="0.2">
      <c r="A19559" s="996" t="str">
        <f>CONCATENATE(Programme!D19560,Programme!E19560,Programme!F19560,Programme!G19560,Programme!H19560,Programme!I19560,Programme!J19560)</f>
        <v>&lt;cellule&gt;</v>
      </c>
    </row>
    <row r="19560" spans="1:1" x14ac:dyDescent="0.2">
      <c r="A19560" s="996" t="str">
        <f>CONCATENATE(Programme!D19561,Programme!E19561,Programme!F19561,Programme!G19561,Programme!H19561,Programme!I19561,Programme!J19561)</f>
        <v>&lt;codeEdi&gt;1689&lt;/codeEdi&gt;</v>
      </c>
    </row>
    <row r="19561" spans="1:1" x14ac:dyDescent="0.2">
      <c r="A19561" s="996" t="str">
        <f>CONCATENATE(Programme!D19562,Programme!E19562,Programme!F19562,Programme!G19562,Programme!H19562,Programme!I19562,Programme!J19562)</f>
        <v>&lt;/cellule&gt;</v>
      </c>
    </row>
    <row r="19562" spans="1:1" x14ac:dyDescent="0.2">
      <c r="A19562" s="996" t="str">
        <f>CONCATENATE(Programme!D19563,Programme!E19563,Programme!F19563,Programme!G19563,Programme!H19563,Programme!I19563,Programme!J19563)</f>
        <v>&lt;valeur&gt;0&lt;/valeur&gt;</v>
      </c>
    </row>
    <row r="19563" spans="1:1" x14ac:dyDescent="0.2">
      <c r="A19563" s="996" t="str">
        <f>CONCATENATE(Programme!D19564,Programme!E19564,Programme!F19564,Programme!G19564,Programme!H19564,Programme!I19564,Programme!J19564)</f>
        <v>&lt;/ValeurCellule&gt;</v>
      </c>
    </row>
    <row r="19564" spans="1:1" x14ac:dyDescent="0.2">
      <c r="A19564" s="996" t="str">
        <f>CONCATENATE(Programme!D19565,Programme!E19565,Programme!F19565,Programme!G19565,Programme!H19565,Programme!I19565,Programme!J19565)</f>
        <v>&lt;ValeurCellule&gt;</v>
      </c>
    </row>
    <row r="19565" spans="1:1" x14ac:dyDescent="0.2">
      <c r="A19565" s="996" t="str">
        <f>CONCATENATE(Programme!D19566,Programme!E19566,Programme!F19566,Programme!G19566,Programme!H19566,Programme!I19566,Programme!J19566)</f>
        <v>&lt;cellule&gt;</v>
      </c>
    </row>
    <row r="19566" spans="1:1" x14ac:dyDescent="0.2">
      <c r="A19566" s="996" t="str">
        <f>CONCATENATE(Programme!D19567,Programme!E19567,Programme!F19567,Programme!G19567,Programme!H19567,Programme!I19567,Programme!J19567)</f>
        <v>&lt;codeEdi&gt;1740&lt;/codeEdi&gt;</v>
      </c>
    </row>
    <row r="19567" spans="1:1" x14ac:dyDescent="0.2">
      <c r="A19567" s="996" t="str">
        <f>CONCATENATE(Programme!D19568,Programme!E19568,Programme!F19568,Programme!G19568,Programme!H19568,Programme!I19568,Programme!J19568)</f>
        <v>&lt;/cellule&gt;</v>
      </c>
    </row>
    <row r="19568" spans="1:1" x14ac:dyDescent="0.2">
      <c r="A19568" s="996" t="str">
        <f>CONCATENATE(Programme!D19569,Programme!E19569,Programme!F19569,Programme!G19569,Programme!H19569,Programme!I19569,Programme!J19569)</f>
        <v>&lt;valeur&gt;&lt;/valeur&gt;</v>
      </c>
    </row>
    <row r="19569" spans="1:1" x14ac:dyDescent="0.2">
      <c r="A19569" s="996" t="str">
        <f>CONCATENATE(Programme!D19570,Programme!E19570,Programme!F19570,Programme!G19570,Programme!H19570,Programme!I19570,Programme!J19570)</f>
        <v>&lt;/ValeurCellule&gt;</v>
      </c>
    </row>
    <row r="19570" spans="1:1" x14ac:dyDescent="0.2">
      <c r="A19570" s="996" t="str">
        <f>CONCATENATE(Programme!D19571,Programme!E19571,Programme!F19571,Programme!G19571,Programme!H19571,Programme!I19571,Programme!J19571)</f>
        <v>&lt;ValeurCellule&gt;</v>
      </c>
    </row>
    <row r="19571" spans="1:1" x14ac:dyDescent="0.2">
      <c r="A19571" s="996" t="str">
        <f>CONCATENATE(Programme!D19572,Programme!E19572,Programme!F19572,Programme!G19572,Programme!H19572,Programme!I19572,Programme!J19572)</f>
        <v>&lt;cellule&gt;</v>
      </c>
    </row>
    <row r="19572" spans="1:1" x14ac:dyDescent="0.2">
      <c r="A19572" s="996" t="str">
        <f>CONCATENATE(Programme!D19573,Programme!E19573,Programme!F19573,Programme!G19573,Programme!H19573,Programme!I19573,Programme!J19573)</f>
        <v>&lt;codeEdi&gt;1761&lt;/codeEdi&gt;</v>
      </c>
    </row>
    <row r="19573" spans="1:1" x14ac:dyDescent="0.2">
      <c r="A19573" s="996" t="str">
        <f>CONCATENATE(Programme!D19574,Programme!E19574,Programme!F19574,Programme!G19574,Programme!H19574,Programme!I19574,Programme!J19574)</f>
        <v>&lt;/cellule&gt;</v>
      </c>
    </row>
    <row r="19574" spans="1:1" x14ac:dyDescent="0.2">
      <c r="A19574" s="996" t="str">
        <f>CONCATENATE(Programme!D19575,Programme!E19575,Programme!F19575,Programme!G19575,Programme!H19575,Programme!I19575,Programme!J19575)</f>
        <v>&lt;valeur&gt;0&lt;/valeur&gt;</v>
      </c>
    </row>
    <row r="19575" spans="1:1" x14ac:dyDescent="0.2">
      <c r="A19575" s="996" t="str">
        <f>CONCATENATE(Programme!D19576,Programme!E19576,Programme!F19576,Programme!G19576,Programme!H19576,Programme!I19576,Programme!J19576)</f>
        <v>&lt;/ValeurCellule&gt;</v>
      </c>
    </row>
    <row r="19576" spans="1:1" x14ac:dyDescent="0.2">
      <c r="A19576" s="996" t="str">
        <f>CONCATENATE(Programme!D19577,Programme!E19577,Programme!F19577,Programme!G19577,Programme!H19577,Programme!I19577,Programme!J19577)</f>
        <v>&lt;ValeurCellule&gt;</v>
      </c>
    </row>
    <row r="19577" spans="1:1" x14ac:dyDescent="0.2">
      <c r="A19577" s="996" t="str">
        <f>CONCATENATE(Programme!D19578,Programme!E19578,Programme!F19578,Programme!G19578,Programme!H19578,Programme!I19578,Programme!J19578)</f>
        <v>&lt;cellule&gt;</v>
      </c>
    </row>
    <row r="19578" spans="1:1" x14ac:dyDescent="0.2">
      <c r="A19578" s="996" t="str">
        <f>CONCATENATE(Programme!D19579,Programme!E19579,Programme!F19579,Programme!G19579,Programme!H19579,Programme!I19579,Programme!J19579)</f>
        <v>&lt;codeEdi&gt;1773&lt;/codeEdi&gt;</v>
      </c>
    </row>
    <row r="19579" spans="1:1" x14ac:dyDescent="0.2">
      <c r="A19579" s="996" t="str">
        <f>CONCATENATE(Programme!D19580,Programme!E19580,Programme!F19580,Programme!G19580,Programme!H19580,Programme!I19580,Programme!J19580)</f>
        <v>&lt;/cellule&gt;</v>
      </c>
    </row>
    <row r="19580" spans="1:1" x14ac:dyDescent="0.2">
      <c r="A19580" s="996" t="str">
        <f>CONCATENATE(Programme!D19581,Programme!E19581,Programme!F19581,Programme!G19581,Programme!H19581,Programme!I19581,Programme!J19581)</f>
        <v>&lt;valeur&gt;&lt;/valeur&gt;</v>
      </c>
    </row>
    <row r="19581" spans="1:1" x14ac:dyDescent="0.2">
      <c r="A19581" s="996" t="str">
        <f>CONCATENATE(Programme!D19582,Programme!E19582,Programme!F19582,Programme!G19582,Programme!H19582,Programme!I19582,Programme!J19582)</f>
        <v>&lt;/ValeurCellule&gt;</v>
      </c>
    </row>
    <row r="19582" spans="1:1" x14ac:dyDescent="0.2">
      <c r="A19582" s="996" t="str">
        <f>CONCATENATE(Programme!D19583,Programme!E19583,Programme!F19583,Programme!G19583,Programme!H19583,Programme!I19583,Programme!J19583)</f>
        <v>&lt;ValeurCellule&gt;</v>
      </c>
    </row>
    <row r="19583" spans="1:1" x14ac:dyDescent="0.2">
      <c r="A19583" s="996" t="str">
        <f>CONCATENATE(Programme!D19584,Programme!E19584,Programme!F19584,Programme!G19584,Programme!H19584,Programme!I19584,Programme!J19584)</f>
        <v>&lt;cellule&gt;</v>
      </c>
    </row>
    <row r="19584" spans="1:1" x14ac:dyDescent="0.2">
      <c r="A19584" s="996" t="str">
        <f>CONCATENATE(Programme!D19585,Programme!E19585,Programme!F19585,Programme!G19585,Programme!H19585,Programme!I19585,Programme!J19585)</f>
        <v>&lt;codeEdi&gt;1804&lt;/codeEdi&gt;</v>
      </c>
    </row>
    <row r="19585" spans="1:1" x14ac:dyDescent="0.2">
      <c r="A19585" s="996" t="str">
        <f>CONCATENATE(Programme!D19586,Programme!E19586,Programme!F19586,Programme!G19586,Programme!H19586,Programme!I19586,Programme!J19586)</f>
        <v>&lt;/cellule&gt;</v>
      </c>
    </row>
    <row r="19586" spans="1:1" x14ac:dyDescent="0.2">
      <c r="A19586" s="996" t="str">
        <f>CONCATENATE(Programme!D19587,Programme!E19587,Programme!F19587,Programme!G19587,Programme!H19587,Programme!I19587,Programme!J19587)</f>
        <v>&lt;valeur&gt;0&lt;/valeur&gt;</v>
      </c>
    </row>
    <row r="19587" spans="1:1" x14ac:dyDescent="0.2">
      <c r="A19587" s="996" t="str">
        <f>CONCATENATE(Programme!D19588,Programme!E19588,Programme!F19588,Programme!G19588,Programme!H19588,Programme!I19588,Programme!J19588)</f>
        <v>&lt;/ValeurCellule&gt;</v>
      </c>
    </row>
    <row r="19588" spans="1:1" x14ac:dyDescent="0.2">
      <c r="A19588" s="996" t="str">
        <f>CONCATENATE(Programme!D19589,Programme!E19589,Programme!F19589,Programme!G19589,Programme!H19589,Programme!I19589,Programme!J19589)</f>
        <v>&lt;ValeurCellule&gt;</v>
      </c>
    </row>
    <row r="19589" spans="1:1" x14ac:dyDescent="0.2">
      <c r="A19589" s="996" t="str">
        <f>CONCATENATE(Programme!D19590,Programme!E19590,Programme!F19590,Programme!G19590,Programme!H19590,Programme!I19590,Programme!J19590)</f>
        <v>&lt;cellule&gt;</v>
      </c>
    </row>
    <row r="19590" spans="1:1" x14ac:dyDescent="0.2">
      <c r="A19590" s="996" t="str">
        <f>CONCATENATE(Programme!D19591,Programme!E19591,Programme!F19591,Programme!G19591,Programme!H19591,Programme!I19591,Programme!J19591)</f>
        <v>&lt;codeEdi&gt;1823&lt;/codeEdi&gt;</v>
      </c>
    </row>
    <row r="19591" spans="1:1" x14ac:dyDescent="0.2">
      <c r="A19591" s="996" t="str">
        <f>CONCATENATE(Programme!D19592,Programme!E19592,Programme!F19592,Programme!G19592,Programme!H19592,Programme!I19592,Programme!J19592)</f>
        <v>&lt;/cellule&gt;</v>
      </c>
    </row>
    <row r="19592" spans="1:1" x14ac:dyDescent="0.2">
      <c r="A19592" s="996" t="str">
        <f>CONCATENATE(Programme!D19593,Programme!E19593,Programme!F19593,Programme!G19593,Programme!H19593,Programme!I19593,Programme!J19593)</f>
        <v>&lt;valeur&gt;&lt;/valeur&gt;</v>
      </c>
    </row>
    <row r="19593" spans="1:1" x14ac:dyDescent="0.2">
      <c r="A19593" s="996" t="str">
        <f>CONCATENATE(Programme!D19594,Programme!E19594,Programme!F19594,Programme!G19594,Programme!H19594,Programme!I19594,Programme!J19594)</f>
        <v>&lt;/ValeurCellule&gt;</v>
      </c>
    </row>
    <row r="19594" spans="1:1" x14ac:dyDescent="0.2">
      <c r="A19594" s="996" t="str">
        <f>CONCATENATE(Programme!D19595,Programme!E19595,Programme!F19595,Programme!G19595,Programme!H19595,Programme!I19595,Programme!J19595)</f>
        <v>&lt;ValeurCellule&gt;</v>
      </c>
    </row>
    <row r="19595" spans="1:1" x14ac:dyDescent="0.2">
      <c r="A19595" s="996" t="str">
        <f>CONCATENATE(Programme!D19596,Programme!E19596,Programme!F19596,Programme!G19596,Programme!H19596,Programme!I19596,Programme!J19596)</f>
        <v>&lt;cellule&gt;</v>
      </c>
    </row>
    <row r="19596" spans="1:1" x14ac:dyDescent="0.2">
      <c r="A19596" s="996" t="str">
        <f>CONCATENATE(Programme!D19597,Programme!E19597,Programme!F19597,Programme!G19597,Programme!H19597,Programme!I19597,Programme!J19597)</f>
        <v>&lt;codeEdi&gt;1840&lt;/codeEdi&gt;</v>
      </c>
    </row>
    <row r="19597" spans="1:1" x14ac:dyDescent="0.2">
      <c r="A19597" s="996" t="str">
        <f>CONCATENATE(Programme!D19598,Programme!E19598,Programme!F19598,Programme!G19598,Programme!H19598,Programme!I19598,Programme!J19598)</f>
        <v>&lt;/cellule&gt;</v>
      </c>
    </row>
    <row r="19598" spans="1:1" x14ac:dyDescent="0.2">
      <c r="A19598" s="996" t="str">
        <f>CONCATENATE(Programme!D19599,Programme!E19599,Programme!F19599,Programme!G19599,Programme!H19599,Programme!I19599,Programme!J19599)</f>
        <v>&lt;valeur&gt;0&lt;/valeur&gt;</v>
      </c>
    </row>
    <row r="19599" spans="1:1" x14ac:dyDescent="0.2">
      <c r="A19599" s="996" t="str">
        <f>CONCATENATE(Programme!D19600,Programme!E19600,Programme!F19600,Programme!G19600,Programme!H19600,Programme!I19600,Programme!J19600)</f>
        <v>&lt;/ValeurCellule&gt;</v>
      </c>
    </row>
    <row r="19600" spans="1:1" x14ac:dyDescent="0.2">
      <c r="A19600" s="996" t="str">
        <f>CONCATENATE(Programme!D19601,Programme!E19601,Programme!F19601,Programme!G19601,Programme!H19601,Programme!I19601,Programme!J19601)</f>
        <v>&lt;ValeurCellule&gt;</v>
      </c>
    </row>
    <row r="19601" spans="1:1" x14ac:dyDescent="0.2">
      <c r="A19601" s="996" t="str">
        <f>CONCATENATE(Programme!D19602,Programme!E19602,Programme!F19602,Programme!G19602,Programme!H19602,Programme!I19602,Programme!J19602)</f>
        <v>&lt;cellule&gt;</v>
      </c>
    </row>
    <row r="19602" spans="1:1" x14ac:dyDescent="0.2">
      <c r="A19602" s="996" t="str">
        <f>CONCATENATE(Programme!D19603,Programme!E19603,Programme!F19603,Programme!G19603,Programme!H19603,Programme!I19603,Programme!J19603)</f>
        <v>&lt;codeEdi&gt;1857&lt;/codeEdi&gt;</v>
      </c>
    </row>
    <row r="19603" spans="1:1" x14ac:dyDescent="0.2">
      <c r="A19603" s="996" t="str">
        <f>CONCATENATE(Programme!D19604,Programme!E19604,Programme!F19604,Programme!G19604,Programme!H19604,Programme!I19604,Programme!J19604)</f>
        <v>&lt;/cellule&gt;</v>
      </c>
    </row>
    <row r="19604" spans="1:1" x14ac:dyDescent="0.2">
      <c r="A19604" s="996" t="str">
        <f>CONCATENATE(Programme!D19605,Programme!E19605,Programme!F19605,Programme!G19605,Programme!H19605,Programme!I19605,Programme!J19605)</f>
        <v>&lt;valeur&gt;0&lt;/valeur&gt;</v>
      </c>
    </row>
    <row r="19605" spans="1:1" x14ac:dyDescent="0.2">
      <c r="A19605" s="996" t="str">
        <f>CONCATENATE(Programme!D19606,Programme!E19606,Programme!F19606,Programme!G19606,Programme!H19606,Programme!I19606,Programme!J19606)</f>
        <v>&lt;/ValeurCellule&gt;</v>
      </c>
    </row>
    <row r="19606" spans="1:1" x14ac:dyDescent="0.2">
      <c r="A19606" s="996" t="str">
        <f>CONCATENATE(Programme!D19607,Programme!E19607,Programme!F19607,Programme!G19607,Programme!H19607,Programme!I19607,Programme!J19607)</f>
        <v>&lt;ValeurCellule&gt;</v>
      </c>
    </row>
    <row r="19607" spans="1:1" x14ac:dyDescent="0.2">
      <c r="A19607" s="996" t="str">
        <f>CONCATENATE(Programme!D19608,Programme!E19608,Programme!F19608,Programme!G19608,Programme!H19608,Programme!I19608,Programme!J19608)</f>
        <v>&lt;cellule&gt;</v>
      </c>
    </row>
    <row r="19608" spans="1:1" x14ac:dyDescent="0.2">
      <c r="A19608" s="996" t="str">
        <f>CONCATENATE(Programme!D19609,Programme!E19609,Programme!F19609,Programme!G19609,Programme!H19609,Programme!I19609,Programme!J19609)</f>
        <v>&lt;codeEdi&gt;1865&lt;/codeEdi&gt;</v>
      </c>
    </row>
    <row r="19609" spans="1:1" x14ac:dyDescent="0.2">
      <c r="A19609" s="996" t="str">
        <f>CONCATENATE(Programme!D19610,Programme!E19610,Programme!F19610,Programme!G19610,Programme!H19610,Programme!I19610,Programme!J19610)</f>
        <v>&lt;/cellule&gt;</v>
      </c>
    </row>
    <row r="19610" spans="1:1" x14ac:dyDescent="0.2">
      <c r="A19610" s="996" t="str">
        <f>CONCATENATE(Programme!D19611,Programme!E19611,Programme!F19611,Programme!G19611,Programme!H19611,Programme!I19611,Programme!J19611)</f>
        <v>&lt;valeur&gt;0&lt;/valeur&gt;</v>
      </c>
    </row>
    <row r="19611" spans="1:1" x14ac:dyDescent="0.2">
      <c r="A19611" s="996" t="str">
        <f>CONCATENATE(Programme!D19612,Programme!E19612,Programme!F19612,Programme!G19612,Programme!H19612,Programme!I19612,Programme!J19612)</f>
        <v>&lt;/ValeurCellule&gt;</v>
      </c>
    </row>
    <row r="19612" spans="1:1" x14ac:dyDescent="0.2">
      <c r="A19612" s="996" t="str">
        <f>CONCATENATE(Programme!D19613,Programme!E19613,Programme!F19613,Programme!G19613,Programme!H19613,Programme!I19613,Programme!J19613)</f>
        <v>&lt;ValeurCellule&gt;</v>
      </c>
    </row>
    <row r="19613" spans="1:1" x14ac:dyDescent="0.2">
      <c r="A19613" s="996" t="str">
        <f>CONCATENATE(Programme!D19614,Programme!E19614,Programme!F19614,Programme!G19614,Programme!H19614,Programme!I19614,Programme!J19614)</f>
        <v>&lt;cellule&gt;</v>
      </c>
    </row>
    <row r="19614" spans="1:1" x14ac:dyDescent="0.2">
      <c r="A19614" s="996" t="str">
        <f>CONCATENATE(Programme!D19615,Programme!E19615,Programme!F19615,Programme!G19615,Programme!H19615,Programme!I19615,Programme!J19615)</f>
        <v>&lt;codeEdi&gt;1873&lt;/codeEdi&gt;</v>
      </c>
    </row>
    <row r="19615" spans="1:1" x14ac:dyDescent="0.2">
      <c r="A19615" s="996" t="str">
        <f>CONCATENATE(Programme!D19616,Programme!E19616,Programme!F19616,Programme!G19616,Programme!H19616,Programme!I19616,Programme!J19616)</f>
        <v>&lt;/cellule&gt;</v>
      </c>
    </row>
    <row r="19616" spans="1:1" x14ac:dyDescent="0.2">
      <c r="A19616" s="996" t="str">
        <f>CONCATENATE(Programme!D19617,Programme!E19617,Programme!F19617,Programme!G19617,Programme!H19617,Programme!I19617,Programme!J19617)</f>
        <v>&lt;valeur&gt;0&lt;/valeur&gt;</v>
      </c>
    </row>
    <row r="19617" spans="1:1" x14ac:dyDescent="0.2">
      <c r="A19617" s="996" t="str">
        <f>CONCATENATE(Programme!D19618,Programme!E19618,Programme!F19618,Programme!G19618,Programme!H19618,Programme!I19618,Programme!J19618)</f>
        <v>&lt;/ValeurCellule&gt;</v>
      </c>
    </row>
    <row r="19618" spans="1:1" x14ac:dyDescent="0.2">
      <c r="A19618" s="996" t="str">
        <f>CONCATENATE(Programme!D19619,Programme!E19619,Programme!F19619,Programme!G19619,Programme!H19619,Programme!I19619,Programme!J19619)</f>
        <v>&lt;ValeurCellule&gt;</v>
      </c>
    </row>
    <row r="19619" spans="1:1" x14ac:dyDescent="0.2">
      <c r="A19619" s="996" t="str">
        <f>CONCATENATE(Programme!D19620,Programme!E19620,Programme!F19620,Programme!G19620,Programme!H19620,Programme!I19620,Programme!J19620)</f>
        <v>&lt;cellule&gt;</v>
      </c>
    </row>
    <row r="19620" spans="1:1" x14ac:dyDescent="0.2">
      <c r="A19620" s="996" t="str">
        <f>CONCATENATE(Programme!D19621,Programme!E19621,Programme!F19621,Programme!G19621,Programme!H19621,Programme!I19621,Programme!J19621)</f>
        <v>&lt;codeEdi&gt;1890&lt;/codeEdi&gt;</v>
      </c>
    </row>
    <row r="19621" spans="1:1" x14ac:dyDescent="0.2">
      <c r="A19621" s="996" t="str">
        <f>CONCATENATE(Programme!D19622,Programme!E19622,Programme!F19622,Programme!G19622,Programme!H19622,Programme!I19622,Programme!J19622)</f>
        <v>&lt;/cellule&gt;</v>
      </c>
    </row>
    <row r="19622" spans="1:1" x14ac:dyDescent="0.2">
      <c r="A19622" s="996" t="str">
        <f>CONCATENATE(Programme!D19623,Programme!E19623,Programme!F19623,Programme!G19623,Programme!H19623,Programme!I19623,Programme!J19623)</f>
        <v>&lt;valeur&gt;0&lt;/valeur&gt;</v>
      </c>
    </row>
    <row r="19623" spans="1:1" x14ac:dyDescent="0.2">
      <c r="A19623" s="996" t="str">
        <f>CONCATENATE(Programme!D19624,Programme!E19624,Programme!F19624,Programme!G19624,Programme!H19624,Programme!I19624,Programme!J19624)</f>
        <v>&lt;/ValeurCellule&gt;</v>
      </c>
    </row>
    <row r="19624" spans="1:1" x14ac:dyDescent="0.2">
      <c r="A19624" s="996" t="str">
        <f>CONCATENATE(Programme!D19625,Programme!E19625,Programme!F19625,Programme!G19625,Programme!H19625,Programme!I19625,Programme!J19625)</f>
        <v>&lt;ValeurCellule&gt;</v>
      </c>
    </row>
    <row r="19625" spans="1:1" x14ac:dyDescent="0.2">
      <c r="A19625" s="996" t="str">
        <f>CONCATENATE(Programme!D19626,Programme!E19626,Programme!F19626,Programme!G19626,Programme!H19626,Programme!I19626,Programme!J19626)</f>
        <v>&lt;cellule&gt;</v>
      </c>
    </row>
    <row r="19626" spans="1:1" x14ac:dyDescent="0.2">
      <c r="A19626" s="996" t="str">
        <f>CONCATENATE(Programme!D19627,Programme!E19627,Programme!F19627,Programme!G19627,Programme!H19627,Programme!I19627,Programme!J19627)</f>
        <v>&lt;codeEdi&gt;1406&lt;/codeEdi&gt;</v>
      </c>
    </row>
    <row r="19627" spans="1:1" x14ac:dyDescent="0.2">
      <c r="A19627" s="996" t="str">
        <f>CONCATENATE(Programme!D19628,Programme!E19628,Programme!F19628,Programme!G19628,Programme!H19628,Programme!I19628,Programme!J19628)</f>
        <v>&lt;/cellule&gt;</v>
      </c>
    </row>
    <row r="19628" spans="1:1" x14ac:dyDescent="0.2">
      <c r="A19628" s="996" t="str">
        <f>CONCATENATE(Programme!D19629,Programme!E19629,Programme!F19629,Programme!G19629,Programme!H19629,Programme!I19629,Programme!J19629)</f>
        <v>&lt;valeur&gt;0&lt;/valeur&gt;</v>
      </c>
    </row>
    <row r="19629" spans="1:1" x14ac:dyDescent="0.2">
      <c r="A19629" s="996" t="str">
        <f>CONCATENATE(Programme!D19630,Programme!E19630,Programme!F19630,Programme!G19630,Programme!H19630,Programme!I19630,Programme!J19630)</f>
        <v>&lt;/ValeurCellule&gt;</v>
      </c>
    </row>
    <row r="19630" spans="1:1" x14ac:dyDescent="0.2">
      <c r="A19630" s="996" t="str">
        <f>CONCATENATE(Programme!D19631,Programme!E19631,Programme!F19631,Programme!G19631,Programme!H19631,Programme!I19631,Programme!J19631)</f>
        <v>&lt;ValeurCellule&gt;</v>
      </c>
    </row>
    <row r="19631" spans="1:1" x14ac:dyDescent="0.2">
      <c r="A19631" s="996" t="str">
        <f>CONCATENATE(Programme!D19632,Programme!E19632,Programme!F19632,Programme!G19632,Programme!H19632,Programme!I19632,Programme!J19632)</f>
        <v>&lt;cellule&gt;</v>
      </c>
    </row>
    <row r="19632" spans="1:1" x14ac:dyDescent="0.2">
      <c r="A19632" s="996" t="str">
        <f>CONCATENATE(Programme!D19633,Programme!E19633,Programme!F19633,Programme!G19633,Programme!H19633,Programme!I19633,Programme!J19633)</f>
        <v>&lt;codeEdi&gt;1414&lt;/codeEdi&gt;</v>
      </c>
    </row>
    <row r="19633" spans="1:1" x14ac:dyDescent="0.2">
      <c r="A19633" s="996" t="str">
        <f>CONCATENATE(Programme!D19634,Programme!E19634,Programme!F19634,Programme!G19634,Programme!H19634,Programme!I19634,Programme!J19634)</f>
        <v>&lt;/cellule&gt;</v>
      </c>
    </row>
    <row r="19634" spans="1:1" x14ac:dyDescent="0.2">
      <c r="A19634" s="996" t="str">
        <f>CONCATENATE(Programme!D19635,Programme!E19635,Programme!F19635,Programme!G19635,Programme!H19635,Programme!I19635,Programme!J19635)</f>
        <v>&lt;valeur&gt;0&lt;/valeur&gt;</v>
      </c>
    </row>
    <row r="19635" spans="1:1" x14ac:dyDescent="0.2">
      <c r="A19635" s="996" t="str">
        <f>CONCATENATE(Programme!D19636,Programme!E19636,Programme!F19636,Programme!G19636,Programme!H19636,Programme!I19636,Programme!J19636)</f>
        <v>&lt;/ValeurCellule&gt;</v>
      </c>
    </row>
    <row r="19636" spans="1:1" x14ac:dyDescent="0.2">
      <c r="A19636" s="996" t="str">
        <f>CONCATENATE(Programme!D19637,Programme!E19637,Programme!F19637,Programme!G19637,Programme!H19637,Programme!I19637,Programme!J19637)</f>
        <v>&lt;ValeurCellule&gt;</v>
      </c>
    </row>
    <row r="19637" spans="1:1" x14ac:dyDescent="0.2">
      <c r="A19637" s="996" t="str">
        <f>CONCATENATE(Programme!D19638,Programme!E19638,Programme!F19638,Programme!G19638,Programme!H19638,Programme!I19638,Programme!J19638)</f>
        <v>&lt;cellule&gt;</v>
      </c>
    </row>
    <row r="19638" spans="1:1" x14ac:dyDescent="0.2">
      <c r="A19638" s="996" t="str">
        <f>CONCATENATE(Programme!D19639,Programme!E19639,Programme!F19639,Programme!G19639,Programme!H19639,Programme!I19639,Programme!J19639)</f>
        <v>&lt;codeEdi&gt;1430&lt;/codeEdi&gt;</v>
      </c>
    </row>
    <row r="19639" spans="1:1" x14ac:dyDescent="0.2">
      <c r="A19639" s="996" t="str">
        <f>CONCATENATE(Programme!D19640,Programme!E19640,Programme!F19640,Programme!G19640,Programme!H19640,Programme!I19640,Programme!J19640)</f>
        <v>&lt;/cellule&gt;</v>
      </c>
    </row>
    <row r="19640" spans="1:1" x14ac:dyDescent="0.2">
      <c r="A19640" s="996" t="str">
        <f>CONCATENATE(Programme!D19641,Programme!E19641,Programme!F19641,Programme!G19641,Programme!H19641,Programme!I19641,Programme!J19641)</f>
        <v>&lt;valeur&gt;0&lt;/valeur&gt;</v>
      </c>
    </row>
    <row r="19641" spans="1:1" x14ac:dyDescent="0.2">
      <c r="A19641" s="996" t="str">
        <f>CONCATENATE(Programme!D19642,Programme!E19642,Programme!F19642,Programme!G19642,Programme!H19642,Programme!I19642,Programme!J19642)</f>
        <v>&lt;/ValeurCellule&gt;</v>
      </c>
    </row>
    <row r="19642" spans="1:1" x14ac:dyDescent="0.2">
      <c r="A19642" s="996" t="str">
        <f>CONCATENATE(Programme!D19643,Programme!E19643,Programme!F19643,Programme!G19643,Programme!H19643,Programme!I19643,Programme!J19643)</f>
        <v>&lt;ValeurCellule&gt;</v>
      </c>
    </row>
    <row r="19643" spans="1:1" x14ac:dyDescent="0.2">
      <c r="A19643" s="996" t="str">
        <f>CONCATENATE(Programme!D19644,Programme!E19644,Programme!F19644,Programme!G19644,Programme!H19644,Programme!I19644,Programme!J19644)</f>
        <v>&lt;cellule&gt;</v>
      </c>
    </row>
    <row r="19644" spans="1:1" x14ac:dyDescent="0.2">
      <c r="A19644" s="996" t="str">
        <f>CONCATENATE(Programme!D19645,Programme!E19645,Programme!F19645,Programme!G19645,Programme!H19645,Programme!I19645,Programme!J19645)</f>
        <v>&lt;codeEdi&gt;1438&lt;/codeEdi&gt;</v>
      </c>
    </row>
    <row r="19645" spans="1:1" x14ac:dyDescent="0.2">
      <c r="A19645" s="996" t="str">
        <f>CONCATENATE(Programme!D19646,Programme!E19646,Programme!F19646,Programme!G19646,Programme!H19646,Programme!I19646,Programme!J19646)</f>
        <v>&lt;/cellule&gt;</v>
      </c>
    </row>
    <row r="19646" spans="1:1" x14ac:dyDescent="0.2">
      <c r="A19646" s="996" t="str">
        <f>CONCATENATE(Programme!D19647,Programme!E19647,Programme!F19647,Programme!G19647,Programme!H19647,Programme!I19647,Programme!J19647)</f>
        <v>&lt;valeur&gt;0&lt;/valeur&gt;</v>
      </c>
    </row>
    <row r="19647" spans="1:1" x14ac:dyDescent="0.2">
      <c r="A19647" s="996" t="str">
        <f>CONCATENATE(Programme!D19648,Programme!E19648,Programme!F19648,Programme!G19648,Programme!H19648,Programme!I19648,Programme!J19648)</f>
        <v>&lt;/ValeurCellule&gt;</v>
      </c>
    </row>
    <row r="19648" spans="1:1" x14ac:dyDescent="0.2">
      <c r="A19648" s="996" t="str">
        <f>CONCATENATE(Programme!D19649,Programme!E19649,Programme!F19649,Programme!G19649,Programme!H19649,Programme!I19649,Programme!J19649)</f>
        <v>&lt;ValeurCellule&gt;</v>
      </c>
    </row>
    <row r="19649" spans="1:1" x14ac:dyDescent="0.2">
      <c r="A19649" s="996" t="str">
        <f>CONCATENATE(Programme!D19650,Programme!E19650,Programme!F19650,Programme!G19650,Programme!H19650,Programme!I19650,Programme!J19650)</f>
        <v>&lt;cellule&gt;</v>
      </c>
    </row>
    <row r="19650" spans="1:1" x14ac:dyDescent="0.2">
      <c r="A19650" s="996" t="str">
        <f>CONCATENATE(Programme!D19651,Programme!E19651,Programme!F19651,Programme!G19651,Programme!H19651,Programme!I19651,Programme!J19651)</f>
        <v>&lt;codeEdi&gt;1454&lt;/codeEdi&gt;</v>
      </c>
    </row>
    <row r="19651" spans="1:1" x14ac:dyDescent="0.2">
      <c r="A19651" s="996" t="str">
        <f>CONCATENATE(Programme!D19652,Programme!E19652,Programme!F19652,Programme!G19652,Programme!H19652,Programme!I19652,Programme!J19652)</f>
        <v>&lt;/cellule&gt;</v>
      </c>
    </row>
    <row r="19652" spans="1:1" x14ac:dyDescent="0.2">
      <c r="A19652" s="996" t="str">
        <f>CONCATENATE(Programme!D19653,Programme!E19653,Programme!F19653,Programme!G19653,Programme!H19653,Programme!I19653,Programme!J19653)</f>
        <v>&lt;valeur&gt;&lt;/valeur&gt;</v>
      </c>
    </row>
    <row r="19653" spans="1:1" x14ac:dyDescent="0.2">
      <c r="A19653" s="996" t="str">
        <f>CONCATENATE(Programme!D19654,Programme!E19654,Programme!F19654,Programme!G19654,Programme!H19654,Programme!I19654,Programme!J19654)</f>
        <v>&lt;/ValeurCellule&gt;</v>
      </c>
    </row>
    <row r="19654" spans="1:1" x14ac:dyDescent="0.2">
      <c r="A19654" s="996" t="str">
        <f>CONCATENATE(Programme!D19655,Programme!E19655,Programme!F19655,Programme!G19655,Programme!H19655,Programme!I19655,Programme!J19655)</f>
        <v>&lt;ValeurCellule&gt;</v>
      </c>
    </row>
    <row r="19655" spans="1:1" x14ac:dyDescent="0.2">
      <c r="A19655" s="996" t="str">
        <f>CONCATENATE(Programme!D19656,Programme!E19656,Programme!F19656,Programme!G19656,Programme!H19656,Programme!I19656,Programme!J19656)</f>
        <v>&lt;cellule&gt;</v>
      </c>
    </row>
    <row r="19656" spans="1:1" x14ac:dyDescent="0.2">
      <c r="A19656" s="996" t="str">
        <f>CONCATENATE(Programme!D19657,Programme!E19657,Programme!F19657,Programme!G19657,Programme!H19657,Programme!I19657,Programme!J19657)</f>
        <v>&lt;codeEdi&gt;1462&lt;/codeEdi&gt;</v>
      </c>
    </row>
    <row r="19657" spans="1:1" x14ac:dyDescent="0.2">
      <c r="A19657" s="996" t="str">
        <f>CONCATENATE(Programme!D19658,Programme!E19658,Programme!F19658,Programme!G19658,Programme!H19658,Programme!I19658,Programme!J19658)</f>
        <v>&lt;/cellule&gt;</v>
      </c>
    </row>
    <row r="19658" spans="1:1" x14ac:dyDescent="0.2">
      <c r="A19658" s="996" t="str">
        <f>CONCATENATE(Programme!D19659,Programme!E19659,Programme!F19659,Programme!G19659,Programme!H19659,Programme!I19659,Programme!J19659)</f>
        <v>&lt;valeur&gt;0&lt;/valeur&gt;</v>
      </c>
    </row>
    <row r="19659" spans="1:1" x14ac:dyDescent="0.2">
      <c r="A19659" s="996" t="str">
        <f>CONCATENATE(Programme!D19660,Programme!E19660,Programme!F19660,Programme!G19660,Programme!H19660,Programme!I19660,Programme!J19660)</f>
        <v>&lt;/ValeurCellule&gt;</v>
      </c>
    </row>
    <row r="19660" spans="1:1" x14ac:dyDescent="0.2">
      <c r="A19660" s="996" t="str">
        <f>CONCATENATE(Programme!D19661,Programme!E19661,Programme!F19661,Programme!G19661,Programme!H19661,Programme!I19661,Programme!J19661)</f>
        <v>&lt;ValeurCellule&gt;</v>
      </c>
    </row>
    <row r="19661" spans="1:1" x14ac:dyDescent="0.2">
      <c r="A19661" s="996" t="str">
        <f>CONCATENATE(Programme!D19662,Programme!E19662,Programme!F19662,Programme!G19662,Programme!H19662,Programme!I19662,Programme!J19662)</f>
        <v>&lt;cellule&gt;</v>
      </c>
    </row>
    <row r="19662" spans="1:1" x14ac:dyDescent="0.2">
      <c r="A19662" s="996" t="str">
        <f>CONCATENATE(Programme!D19663,Programme!E19663,Programme!F19663,Programme!G19663,Programme!H19663,Programme!I19663,Programme!J19663)</f>
        <v>&lt;codeEdi&gt;1470&lt;/codeEdi&gt;</v>
      </c>
    </row>
    <row r="19663" spans="1:1" x14ac:dyDescent="0.2">
      <c r="A19663" s="996" t="str">
        <f>CONCATENATE(Programme!D19664,Programme!E19664,Programme!F19664,Programme!G19664,Programme!H19664,Programme!I19664,Programme!J19664)</f>
        <v>&lt;/cellule&gt;</v>
      </c>
    </row>
    <row r="19664" spans="1:1" x14ac:dyDescent="0.2">
      <c r="A19664" s="996" t="str">
        <f>CONCATENATE(Programme!D19665,Programme!E19665,Programme!F19665,Programme!G19665,Programme!H19665,Programme!I19665,Programme!J19665)</f>
        <v>&lt;valeur&gt;0&lt;/valeur&gt;</v>
      </c>
    </row>
    <row r="19665" spans="1:1" x14ac:dyDescent="0.2">
      <c r="A19665" s="996" t="str">
        <f>CONCATENATE(Programme!D19666,Programme!E19666,Programme!F19666,Programme!G19666,Programme!H19666,Programme!I19666,Programme!J19666)</f>
        <v>&lt;/ValeurCellule&gt;</v>
      </c>
    </row>
    <row r="19666" spans="1:1" x14ac:dyDescent="0.2">
      <c r="A19666" s="996" t="str">
        <f>CONCATENATE(Programme!D19667,Programme!E19667,Programme!F19667,Programme!G19667,Programme!H19667,Programme!I19667,Programme!J19667)</f>
        <v>&lt;ValeurCellule&gt;</v>
      </c>
    </row>
    <row r="19667" spans="1:1" x14ac:dyDescent="0.2">
      <c r="A19667" s="996" t="str">
        <f>CONCATENATE(Programme!D19668,Programme!E19668,Programme!F19668,Programme!G19668,Programme!H19668,Programme!I19668,Programme!J19668)</f>
        <v>&lt;cellule&gt;</v>
      </c>
    </row>
    <row r="19668" spans="1:1" x14ac:dyDescent="0.2">
      <c r="A19668" s="996" t="str">
        <f>CONCATENATE(Programme!D19669,Programme!E19669,Programme!F19669,Programme!G19669,Programme!H19669,Programme!I19669,Programme!J19669)</f>
        <v>&lt;codeEdi&gt;1478&lt;/codeEdi&gt;</v>
      </c>
    </row>
    <row r="19669" spans="1:1" x14ac:dyDescent="0.2">
      <c r="A19669" s="996" t="str">
        <f>CONCATENATE(Programme!D19670,Programme!E19670,Programme!F19670,Programme!G19670,Programme!H19670,Programme!I19670,Programme!J19670)</f>
        <v>&lt;/cellule&gt;</v>
      </c>
    </row>
    <row r="19670" spans="1:1" x14ac:dyDescent="0.2">
      <c r="A19670" s="996" t="str">
        <f>CONCATENATE(Programme!D19671,Programme!E19671,Programme!F19671,Programme!G19671,Programme!H19671,Programme!I19671,Programme!J19671)</f>
        <v>&lt;valeur&gt;0&lt;/valeur&gt;</v>
      </c>
    </row>
    <row r="19671" spans="1:1" x14ac:dyDescent="0.2">
      <c r="A19671" s="996" t="str">
        <f>CONCATENATE(Programme!D19672,Programme!E19672,Programme!F19672,Programme!G19672,Programme!H19672,Programme!I19672,Programme!J19672)</f>
        <v>&lt;/ValeurCellule&gt;</v>
      </c>
    </row>
    <row r="19672" spans="1:1" x14ac:dyDescent="0.2">
      <c r="A19672" s="996" t="str">
        <f>CONCATENATE(Programme!D19673,Programme!E19673,Programme!F19673,Programme!G19673,Programme!H19673,Programme!I19673,Programme!J19673)</f>
        <v>&lt;ValeurCellule&gt;</v>
      </c>
    </row>
    <row r="19673" spans="1:1" x14ac:dyDescent="0.2">
      <c r="A19673" s="996" t="str">
        <f>CONCATENATE(Programme!D19674,Programme!E19674,Programme!F19674,Programme!G19674,Programme!H19674,Programme!I19674,Programme!J19674)</f>
        <v>&lt;cellule&gt;</v>
      </c>
    </row>
    <row r="19674" spans="1:1" x14ac:dyDescent="0.2">
      <c r="A19674" s="996" t="str">
        <f>CONCATENATE(Programme!D19675,Programme!E19675,Programme!F19675,Programme!G19675,Programme!H19675,Programme!I19675,Programme!J19675)</f>
        <v>&lt;codeEdi&gt;1486&lt;/codeEdi&gt;</v>
      </c>
    </row>
    <row r="19675" spans="1:1" x14ac:dyDescent="0.2">
      <c r="A19675" s="996" t="str">
        <f>CONCATENATE(Programme!D19676,Programme!E19676,Programme!F19676,Programme!G19676,Programme!H19676,Programme!I19676,Programme!J19676)</f>
        <v>&lt;/cellule&gt;</v>
      </c>
    </row>
    <row r="19676" spans="1:1" x14ac:dyDescent="0.2">
      <c r="A19676" s="996" t="str">
        <f>CONCATENATE(Programme!D19677,Programme!E19677,Programme!F19677,Programme!G19677,Programme!H19677,Programme!I19677,Programme!J19677)</f>
        <v>&lt;valeur&gt;0&lt;/valeur&gt;</v>
      </c>
    </row>
    <row r="19677" spans="1:1" x14ac:dyDescent="0.2">
      <c r="A19677" s="996" t="str">
        <f>CONCATENATE(Programme!D19678,Programme!E19678,Programme!F19678,Programme!G19678,Programme!H19678,Programme!I19678,Programme!J19678)</f>
        <v>&lt;/ValeurCellule&gt;</v>
      </c>
    </row>
    <row r="19678" spans="1:1" x14ac:dyDescent="0.2">
      <c r="A19678" s="996" t="str">
        <f>CONCATENATE(Programme!D19679,Programme!E19679,Programme!F19679,Programme!G19679,Programme!H19679,Programme!I19679,Programme!J19679)</f>
        <v>&lt;ValeurCellule&gt;</v>
      </c>
    </row>
    <row r="19679" spans="1:1" x14ac:dyDescent="0.2">
      <c r="A19679" s="996" t="str">
        <f>CONCATENATE(Programme!D19680,Programme!E19680,Programme!F19680,Programme!G19680,Programme!H19680,Programme!I19680,Programme!J19680)</f>
        <v>&lt;cellule&gt;</v>
      </c>
    </row>
    <row r="19680" spans="1:1" x14ac:dyDescent="0.2">
      <c r="A19680" s="996" t="str">
        <f>CONCATENATE(Programme!D19681,Programme!E19681,Programme!F19681,Programme!G19681,Programme!H19681,Programme!I19681,Programme!J19681)</f>
        <v>&lt;codeEdi&gt;1422&lt;/codeEdi&gt;</v>
      </c>
    </row>
    <row r="19681" spans="1:1" x14ac:dyDescent="0.2">
      <c r="A19681" s="996" t="str">
        <f>CONCATENATE(Programme!D19682,Programme!E19682,Programme!F19682,Programme!G19682,Programme!H19682,Programme!I19682,Programme!J19682)</f>
        <v>&lt;/cellule&gt;</v>
      </c>
    </row>
    <row r="19682" spans="1:1" x14ac:dyDescent="0.2">
      <c r="A19682" s="996" t="str">
        <f>CONCATENATE(Programme!D19683,Programme!E19683,Programme!F19683,Programme!G19683,Programme!H19683,Programme!I19683,Programme!J19683)</f>
        <v>&lt;valeur&gt;0&lt;/valeur&gt;</v>
      </c>
    </row>
    <row r="19683" spans="1:1" x14ac:dyDescent="0.2">
      <c r="A19683" s="996" t="str">
        <f>CONCATENATE(Programme!D19684,Programme!E19684,Programme!F19684,Programme!G19684,Programme!H19684,Programme!I19684,Programme!J19684)</f>
        <v>&lt;/ValeurCellule&gt;</v>
      </c>
    </row>
    <row r="19684" spans="1:1" x14ac:dyDescent="0.2">
      <c r="A19684" s="996" t="str">
        <f>CONCATENATE(Programme!D19685,Programme!E19685,Programme!F19685,Programme!G19685,Programme!H19685,Programme!I19685,Programme!J19685)</f>
        <v>&lt;ValeurCellule&gt;</v>
      </c>
    </row>
    <row r="19685" spans="1:1" x14ac:dyDescent="0.2">
      <c r="A19685" s="996" t="str">
        <f>CONCATENATE(Programme!D19686,Programme!E19686,Programme!F19686,Programme!G19686,Programme!H19686,Programme!I19686,Programme!J19686)</f>
        <v>&lt;cellule&gt;</v>
      </c>
    </row>
    <row r="19686" spans="1:1" x14ac:dyDescent="0.2">
      <c r="A19686" s="996" t="str">
        <f>CONCATENATE(Programme!D19687,Programme!E19687,Programme!F19687,Programme!G19687,Programme!H19687,Programme!I19687,Programme!J19687)</f>
        <v>&lt;codeEdi&gt;1560&lt;/codeEdi&gt;</v>
      </c>
    </row>
    <row r="19687" spans="1:1" x14ac:dyDescent="0.2">
      <c r="A19687" s="996" t="str">
        <f>CONCATENATE(Programme!D19688,Programme!E19688,Programme!F19688,Programme!G19688,Programme!H19688,Programme!I19688,Programme!J19688)</f>
        <v>&lt;/cellule&gt;</v>
      </c>
    </row>
    <row r="19688" spans="1:1" x14ac:dyDescent="0.2">
      <c r="A19688" s="996" t="str">
        <f>CONCATENATE(Programme!D19689,Programme!E19689,Programme!F19689,Programme!G19689,Programme!H19689,Programme!I19689,Programme!J19689)</f>
        <v>&lt;valeur&gt;0&lt;/valeur&gt;</v>
      </c>
    </row>
    <row r="19689" spans="1:1" x14ac:dyDescent="0.2">
      <c r="A19689" s="996" t="str">
        <f>CONCATENATE(Programme!D19690,Programme!E19690,Programme!F19690,Programme!G19690,Programme!H19690,Programme!I19690,Programme!J19690)</f>
        <v>&lt;/ValeurCellule&gt;</v>
      </c>
    </row>
    <row r="19690" spans="1:1" x14ac:dyDescent="0.2">
      <c r="A19690" s="996" t="str">
        <f>CONCATENATE(Programme!D19691,Programme!E19691,Programme!F19691,Programme!G19691,Programme!H19691,Programme!I19691,Programme!J19691)</f>
        <v>&lt;ValeurCellule&gt;</v>
      </c>
    </row>
    <row r="19691" spans="1:1" x14ac:dyDescent="0.2">
      <c r="A19691" s="996" t="str">
        <f>CONCATENATE(Programme!D19692,Programme!E19692,Programme!F19692,Programme!G19692,Programme!H19692,Programme!I19692,Programme!J19692)</f>
        <v>&lt;cellule&gt;</v>
      </c>
    </row>
    <row r="19692" spans="1:1" x14ac:dyDescent="0.2">
      <c r="A19692" s="996" t="str">
        <f>CONCATENATE(Programme!D19693,Programme!E19693,Programme!F19693,Programme!G19693,Programme!H19693,Programme!I19693,Programme!J19693)</f>
        <v>&lt;codeEdi&gt;1601&lt;/codeEdi&gt;</v>
      </c>
    </row>
    <row r="19693" spans="1:1" x14ac:dyDescent="0.2">
      <c r="A19693" s="996" t="str">
        <f>CONCATENATE(Programme!D19694,Programme!E19694,Programme!F19694,Programme!G19694,Programme!H19694,Programme!I19694,Programme!J19694)</f>
        <v>&lt;/cellule&gt;</v>
      </c>
    </row>
    <row r="19694" spans="1:1" x14ac:dyDescent="0.2">
      <c r="A19694" s="996" t="str">
        <f>CONCATENATE(Programme!D19695,Programme!E19695,Programme!F19695,Programme!G19695,Programme!H19695,Programme!I19695,Programme!J19695)</f>
        <v>&lt;valeur&gt;0&lt;/valeur&gt;</v>
      </c>
    </row>
    <row r="19695" spans="1:1" x14ac:dyDescent="0.2">
      <c r="A19695" s="996" t="str">
        <f>CONCATENATE(Programme!D19696,Programme!E19696,Programme!F19696,Programme!G19696,Programme!H19696,Programme!I19696,Programme!J19696)</f>
        <v>&lt;/ValeurCellule&gt;</v>
      </c>
    </row>
    <row r="19696" spans="1:1" x14ac:dyDescent="0.2">
      <c r="A19696" s="996" t="str">
        <f>CONCATENATE(Programme!D19697,Programme!E19697,Programme!F19697,Programme!G19697,Programme!H19697,Programme!I19697,Programme!J19697)</f>
        <v>&lt;ValeurCellule&gt;</v>
      </c>
    </row>
    <row r="19697" spans="1:1" x14ac:dyDescent="0.2">
      <c r="A19697" s="996" t="str">
        <f>CONCATENATE(Programme!D19698,Programme!E19698,Programme!F19698,Programme!G19698,Programme!H19698,Programme!I19698,Programme!J19698)</f>
        <v>&lt;cellule&gt;</v>
      </c>
    </row>
    <row r="19698" spans="1:1" x14ac:dyDescent="0.2">
      <c r="A19698" s="996" t="str">
        <f>CONCATENATE(Programme!D19699,Programme!E19699,Programme!F19699,Programme!G19699,Programme!H19699,Programme!I19699,Programme!J19699)</f>
        <v>&lt;codeEdi&gt;1609&lt;/codeEdi&gt;</v>
      </c>
    </row>
    <row r="19699" spans="1:1" x14ac:dyDescent="0.2">
      <c r="A19699" s="996" t="str">
        <f>CONCATENATE(Programme!D19700,Programme!E19700,Programme!F19700,Programme!G19700,Programme!H19700,Programme!I19700,Programme!J19700)</f>
        <v>&lt;/cellule&gt;</v>
      </c>
    </row>
    <row r="19700" spans="1:1" x14ac:dyDescent="0.2">
      <c r="A19700" s="996" t="str">
        <f>CONCATENATE(Programme!D19701,Programme!E19701,Programme!F19701,Programme!G19701,Programme!H19701,Programme!I19701,Programme!J19701)</f>
        <v>&lt;valeur&gt;0&lt;/valeur&gt;</v>
      </c>
    </row>
    <row r="19701" spans="1:1" x14ac:dyDescent="0.2">
      <c r="A19701" s="996" t="str">
        <f>CONCATENATE(Programme!D19702,Programme!E19702,Programme!F19702,Programme!G19702,Programme!H19702,Programme!I19702,Programme!J19702)</f>
        <v>&lt;/ValeurCellule&gt;</v>
      </c>
    </row>
    <row r="19702" spans="1:1" x14ac:dyDescent="0.2">
      <c r="A19702" s="996" t="str">
        <f>CONCATENATE(Programme!D19703,Programme!E19703,Programme!F19703,Programme!G19703,Programme!H19703,Programme!I19703,Programme!J19703)</f>
        <v>&lt;ValeurCellule&gt;</v>
      </c>
    </row>
    <row r="19703" spans="1:1" x14ac:dyDescent="0.2">
      <c r="A19703" s="996" t="str">
        <f>CONCATENATE(Programme!D19704,Programme!E19704,Programme!F19704,Programme!G19704,Programme!H19704,Programme!I19704,Programme!J19704)</f>
        <v>&lt;cellule&gt;</v>
      </c>
    </row>
    <row r="19704" spans="1:1" x14ac:dyDescent="0.2">
      <c r="A19704" s="996" t="str">
        <f>CONCATENATE(Programme!D19705,Programme!E19705,Programme!F19705,Programme!G19705,Programme!H19705,Programme!I19705,Programme!J19705)</f>
        <v>&lt;codeEdi&gt;1617&lt;/codeEdi&gt;</v>
      </c>
    </row>
    <row r="19705" spans="1:1" x14ac:dyDescent="0.2">
      <c r="A19705" s="996" t="str">
        <f>CONCATENATE(Programme!D19706,Programme!E19706,Programme!F19706,Programme!G19706,Programme!H19706,Programme!I19706,Programme!J19706)</f>
        <v>&lt;/cellule&gt;</v>
      </c>
    </row>
    <row r="19706" spans="1:1" x14ac:dyDescent="0.2">
      <c r="A19706" s="996" t="str">
        <f>CONCATENATE(Programme!D19707,Programme!E19707,Programme!F19707,Programme!G19707,Programme!H19707,Programme!I19707,Programme!J19707)</f>
        <v>&lt;valeur&gt;0&lt;/valeur&gt;</v>
      </c>
    </row>
    <row r="19707" spans="1:1" x14ac:dyDescent="0.2">
      <c r="A19707" s="996" t="str">
        <f>CONCATENATE(Programme!D19708,Programme!E19708,Programme!F19708,Programme!G19708,Programme!H19708,Programme!I19708,Programme!J19708)</f>
        <v>&lt;/ValeurCellule&gt;</v>
      </c>
    </row>
    <row r="19708" spans="1:1" x14ac:dyDescent="0.2">
      <c r="A19708" s="996" t="str">
        <f>CONCATENATE(Programme!D19709,Programme!E19709,Programme!F19709,Programme!G19709,Programme!H19709,Programme!I19709,Programme!J19709)</f>
        <v>&lt;ValeurCellule&gt;</v>
      </c>
    </row>
    <row r="19709" spans="1:1" x14ac:dyDescent="0.2">
      <c r="A19709" s="996" t="str">
        <f>CONCATENATE(Programme!D19710,Programme!E19710,Programme!F19710,Programme!G19710,Programme!H19710,Programme!I19710,Programme!J19710)</f>
        <v>&lt;cellule&gt;</v>
      </c>
    </row>
    <row r="19710" spans="1:1" x14ac:dyDescent="0.2">
      <c r="A19710" s="996" t="str">
        <f>CONCATENATE(Programme!D19711,Programme!E19711,Programme!F19711,Programme!G19711,Programme!H19711,Programme!I19711,Programme!J19711)</f>
        <v>&lt;codeEdi&gt;1640&lt;/codeEdi&gt;</v>
      </c>
    </row>
    <row r="19711" spans="1:1" x14ac:dyDescent="0.2">
      <c r="A19711" s="996" t="str">
        <f>CONCATENATE(Programme!D19712,Programme!E19712,Programme!F19712,Programme!G19712,Programme!H19712,Programme!I19712,Programme!J19712)</f>
        <v>&lt;/cellule&gt;</v>
      </c>
    </row>
    <row r="19712" spans="1:1" x14ac:dyDescent="0.2">
      <c r="A19712" s="996" t="str">
        <f>CONCATENATE(Programme!D19713,Programme!E19713,Programme!F19713,Programme!G19713,Programme!H19713,Programme!I19713,Programme!J19713)</f>
        <v>&lt;valeur&gt;&lt;/valeur&gt;</v>
      </c>
    </row>
    <row r="19713" spans="1:1" x14ac:dyDescent="0.2">
      <c r="A19713" s="996" t="str">
        <f>CONCATENATE(Programme!D19714,Programme!E19714,Programme!F19714,Programme!G19714,Programme!H19714,Programme!I19714,Programme!J19714)</f>
        <v>&lt;/ValeurCellule&gt;</v>
      </c>
    </row>
    <row r="19714" spans="1:1" x14ac:dyDescent="0.2">
      <c r="A19714" s="996" t="str">
        <f>CONCATENATE(Programme!D19715,Programme!E19715,Programme!F19715,Programme!G19715,Programme!H19715,Programme!I19715,Programme!J19715)</f>
        <v>&lt;ValeurCellule&gt;</v>
      </c>
    </row>
    <row r="19715" spans="1:1" x14ac:dyDescent="0.2">
      <c r="A19715" s="996" t="str">
        <f>CONCATENATE(Programme!D19716,Programme!E19716,Programme!F19716,Programme!G19716,Programme!H19716,Programme!I19716,Programme!J19716)</f>
        <v>&lt;cellule&gt;</v>
      </c>
    </row>
    <row r="19716" spans="1:1" x14ac:dyDescent="0.2">
      <c r="A19716" s="996" t="str">
        <f>CONCATENATE(Programme!D19717,Programme!E19717,Programme!F19717,Programme!G19717,Programme!H19717,Programme!I19717,Programme!J19717)</f>
        <v>&lt;codeEdi&gt;1648&lt;/codeEdi&gt;</v>
      </c>
    </row>
    <row r="19717" spans="1:1" x14ac:dyDescent="0.2">
      <c r="A19717" s="996" t="str">
        <f>CONCATENATE(Programme!D19718,Programme!E19718,Programme!F19718,Programme!G19718,Programme!H19718,Programme!I19718,Programme!J19718)</f>
        <v>&lt;/cellule&gt;</v>
      </c>
    </row>
    <row r="19718" spans="1:1" x14ac:dyDescent="0.2">
      <c r="A19718" s="996" t="str">
        <f>CONCATENATE(Programme!D19719,Programme!E19719,Programme!F19719,Programme!G19719,Programme!H19719,Programme!I19719,Programme!J19719)</f>
        <v>&lt;valeur&gt;0&lt;/valeur&gt;</v>
      </c>
    </row>
    <row r="19719" spans="1:1" x14ac:dyDescent="0.2">
      <c r="A19719" s="996" t="str">
        <f>CONCATENATE(Programme!D19720,Programme!E19720,Programme!F19720,Programme!G19720,Programme!H19720,Programme!I19720,Programme!J19720)</f>
        <v>&lt;/ValeurCellule&gt;</v>
      </c>
    </row>
    <row r="19720" spans="1:1" x14ac:dyDescent="0.2">
      <c r="A19720" s="996" t="str">
        <f>CONCATENATE(Programme!D19721,Programme!E19721,Programme!F19721,Programme!G19721,Programme!H19721,Programme!I19721,Programme!J19721)</f>
        <v>&lt;ValeurCellule&gt;</v>
      </c>
    </row>
    <row r="19721" spans="1:1" x14ac:dyDescent="0.2">
      <c r="A19721" s="996" t="str">
        <f>CONCATENATE(Programme!D19722,Programme!E19722,Programme!F19722,Programme!G19722,Programme!H19722,Programme!I19722,Programme!J19722)</f>
        <v>&lt;cellule&gt;</v>
      </c>
    </row>
    <row r="19722" spans="1:1" x14ac:dyDescent="0.2">
      <c r="A19722" s="996" t="str">
        <f>CONCATENATE(Programme!D19723,Programme!E19723,Programme!F19723,Programme!G19723,Programme!H19723,Programme!I19723,Programme!J19723)</f>
        <v>&lt;codeEdi&gt;1661&lt;/codeEdi&gt;</v>
      </c>
    </row>
    <row r="19723" spans="1:1" x14ac:dyDescent="0.2">
      <c r="A19723" s="996" t="str">
        <f>CONCATENATE(Programme!D19724,Programme!E19724,Programme!F19724,Programme!G19724,Programme!H19724,Programme!I19724,Programme!J19724)</f>
        <v>&lt;/cellule&gt;</v>
      </c>
    </row>
    <row r="19724" spans="1:1" x14ac:dyDescent="0.2">
      <c r="A19724" s="996" t="str">
        <f>CONCATENATE(Programme!D19725,Programme!E19725,Programme!F19725,Programme!G19725,Programme!H19725,Programme!I19725,Programme!J19725)</f>
        <v>&lt;valeur&gt;0&lt;/valeur&gt;</v>
      </c>
    </row>
    <row r="19725" spans="1:1" x14ac:dyDescent="0.2">
      <c r="A19725" s="996" t="str">
        <f>CONCATENATE(Programme!D19726,Programme!E19726,Programme!F19726,Programme!G19726,Programme!H19726,Programme!I19726,Programme!J19726)</f>
        <v>&lt;/ValeurCellule&gt;</v>
      </c>
    </row>
    <row r="19726" spans="1:1" x14ac:dyDescent="0.2">
      <c r="A19726" s="996" t="str">
        <f>CONCATENATE(Programme!D19727,Programme!E19727,Programme!F19727,Programme!G19727,Programme!H19727,Programme!I19727,Programme!J19727)</f>
        <v>&lt;ValeurCellule&gt;</v>
      </c>
    </row>
    <row r="19727" spans="1:1" x14ac:dyDescent="0.2">
      <c r="A19727" s="996" t="str">
        <f>CONCATENATE(Programme!D19728,Programme!E19728,Programme!F19728,Programme!G19728,Programme!H19728,Programme!I19728,Programme!J19728)</f>
        <v>&lt;cellule&gt;</v>
      </c>
    </row>
    <row r="19728" spans="1:1" x14ac:dyDescent="0.2">
      <c r="A19728" s="996" t="str">
        <f>CONCATENATE(Programme!D19729,Programme!E19729,Programme!F19729,Programme!G19729,Programme!H19729,Programme!I19729,Programme!J19729)</f>
        <v>&lt;codeEdi&gt;1669&lt;/codeEdi&gt;</v>
      </c>
    </row>
    <row r="19729" spans="1:1" x14ac:dyDescent="0.2">
      <c r="A19729" s="996" t="str">
        <f>CONCATENATE(Programme!D19730,Programme!E19730,Programme!F19730,Programme!G19730,Programme!H19730,Programme!I19730,Programme!J19730)</f>
        <v>&lt;/cellule&gt;</v>
      </c>
    </row>
    <row r="19730" spans="1:1" x14ac:dyDescent="0.2">
      <c r="A19730" s="996" t="str">
        <f>CONCATENATE(Programme!D19731,Programme!E19731,Programme!F19731,Programme!G19731,Programme!H19731,Programme!I19731,Programme!J19731)</f>
        <v>&lt;valeur&gt;0&lt;/valeur&gt;</v>
      </c>
    </row>
    <row r="19731" spans="1:1" x14ac:dyDescent="0.2">
      <c r="A19731" s="996" t="str">
        <f>CONCATENATE(Programme!D19732,Programme!E19732,Programme!F19732,Programme!G19732,Programme!H19732,Programme!I19732,Programme!J19732)</f>
        <v>&lt;/ValeurCellule&gt;</v>
      </c>
    </row>
    <row r="19732" spans="1:1" x14ac:dyDescent="0.2">
      <c r="A19732" s="996" t="str">
        <f>CONCATENATE(Programme!D19733,Programme!E19733,Programme!F19733,Programme!G19733,Programme!H19733,Programme!I19733,Programme!J19733)</f>
        <v>&lt;ValeurCellule&gt;</v>
      </c>
    </row>
    <row r="19733" spans="1:1" x14ac:dyDescent="0.2">
      <c r="A19733" s="996" t="str">
        <f>CONCATENATE(Programme!D19734,Programme!E19734,Programme!F19734,Programme!G19734,Programme!H19734,Programme!I19734,Programme!J19734)</f>
        <v>&lt;cellule&gt;</v>
      </c>
    </row>
    <row r="19734" spans="1:1" x14ac:dyDescent="0.2">
      <c r="A19734" s="996" t="str">
        <f>CONCATENATE(Programme!D19735,Programme!E19735,Programme!F19735,Programme!G19735,Programme!H19735,Programme!I19735,Programme!J19735)</f>
        <v>&lt;codeEdi&gt;1677&lt;/codeEdi&gt;</v>
      </c>
    </row>
    <row r="19735" spans="1:1" x14ac:dyDescent="0.2">
      <c r="A19735" s="996" t="str">
        <f>CONCATENATE(Programme!D19736,Programme!E19736,Programme!F19736,Programme!G19736,Programme!H19736,Programme!I19736,Programme!J19736)</f>
        <v>&lt;/cellule&gt;</v>
      </c>
    </row>
    <row r="19736" spans="1:1" x14ac:dyDescent="0.2">
      <c r="A19736" s="996" t="str">
        <f>CONCATENATE(Programme!D19737,Programme!E19737,Programme!F19737,Programme!G19737,Programme!H19737,Programme!I19737,Programme!J19737)</f>
        <v>&lt;valeur&gt;0&lt;/valeur&gt;</v>
      </c>
    </row>
    <row r="19737" spans="1:1" x14ac:dyDescent="0.2">
      <c r="A19737" s="996" t="str">
        <f>CONCATENATE(Programme!D19738,Programme!E19738,Programme!F19738,Programme!G19738,Programme!H19738,Programme!I19738,Programme!J19738)</f>
        <v>&lt;/ValeurCellule&gt;</v>
      </c>
    </row>
    <row r="19738" spans="1:1" x14ac:dyDescent="0.2">
      <c r="A19738" s="996" t="str">
        <f>CONCATENATE(Programme!D19739,Programme!E19739,Programme!F19739,Programme!G19739,Programme!H19739,Programme!I19739,Programme!J19739)</f>
        <v>&lt;ValeurCellule&gt;</v>
      </c>
    </row>
    <row r="19739" spans="1:1" x14ac:dyDescent="0.2">
      <c r="A19739" s="996" t="str">
        <f>CONCATENATE(Programme!D19740,Programme!E19740,Programme!F19740,Programme!G19740,Programme!H19740,Programme!I19740,Programme!J19740)</f>
        <v>&lt;cellule&gt;</v>
      </c>
    </row>
    <row r="19740" spans="1:1" x14ac:dyDescent="0.2">
      <c r="A19740" s="996" t="str">
        <f>CONCATENATE(Programme!D19741,Programme!E19741,Programme!F19741,Programme!G19741,Programme!H19741,Programme!I19741,Programme!J19741)</f>
        <v>&lt;codeEdi&gt;1690&lt;/codeEdi&gt;</v>
      </c>
    </row>
    <row r="19741" spans="1:1" x14ac:dyDescent="0.2">
      <c r="A19741" s="996" t="str">
        <f>CONCATENATE(Programme!D19742,Programme!E19742,Programme!F19742,Programme!G19742,Programme!H19742,Programme!I19742,Programme!J19742)</f>
        <v>&lt;/cellule&gt;</v>
      </c>
    </row>
    <row r="19742" spans="1:1" x14ac:dyDescent="0.2">
      <c r="A19742" s="996" t="str">
        <f>CONCATENATE(Programme!D19743,Programme!E19743,Programme!F19743,Programme!G19743,Programme!H19743,Programme!I19743,Programme!J19743)</f>
        <v>&lt;valeur&gt;0&lt;/valeur&gt;</v>
      </c>
    </row>
    <row r="19743" spans="1:1" x14ac:dyDescent="0.2">
      <c r="A19743" s="996" t="str">
        <f>CONCATENATE(Programme!D19744,Programme!E19744,Programme!F19744,Programme!G19744,Programme!H19744,Programme!I19744,Programme!J19744)</f>
        <v>&lt;/ValeurCellule&gt;</v>
      </c>
    </row>
    <row r="19744" spans="1:1" x14ac:dyDescent="0.2">
      <c r="A19744" s="996" t="str">
        <f>CONCATENATE(Programme!D19745,Programme!E19745,Programme!F19745,Programme!G19745,Programme!H19745,Programme!I19745,Programme!J19745)</f>
        <v>&lt;ValeurCellule&gt;</v>
      </c>
    </row>
    <row r="19745" spans="1:1" x14ac:dyDescent="0.2">
      <c r="A19745" s="996" t="str">
        <f>CONCATENATE(Programme!D19746,Programme!E19746,Programme!F19746,Programme!G19746,Programme!H19746,Programme!I19746,Programme!J19746)</f>
        <v>&lt;cellule&gt;</v>
      </c>
    </row>
    <row r="19746" spans="1:1" x14ac:dyDescent="0.2">
      <c r="A19746" s="996" t="str">
        <f>CONCATENATE(Programme!D19747,Programme!E19747,Programme!F19747,Programme!G19747,Programme!H19747,Programme!I19747,Programme!J19747)</f>
        <v>&lt;codeEdi&gt;1741&lt;/codeEdi&gt;</v>
      </c>
    </row>
    <row r="19747" spans="1:1" x14ac:dyDescent="0.2">
      <c r="A19747" s="996" t="str">
        <f>CONCATENATE(Programme!D19748,Programme!E19748,Programme!F19748,Programme!G19748,Programme!H19748,Programme!I19748,Programme!J19748)</f>
        <v>&lt;/cellule&gt;</v>
      </c>
    </row>
    <row r="19748" spans="1:1" x14ac:dyDescent="0.2">
      <c r="A19748" s="996" t="str">
        <f>CONCATENATE(Programme!D19749,Programme!E19749,Programme!F19749,Programme!G19749,Programme!H19749,Programme!I19749,Programme!J19749)</f>
        <v>&lt;valeur&gt;&lt;/valeur&gt;</v>
      </c>
    </row>
    <row r="19749" spans="1:1" x14ac:dyDescent="0.2">
      <c r="A19749" s="996" t="str">
        <f>CONCATENATE(Programme!D19750,Programme!E19750,Programme!F19750,Programme!G19750,Programme!H19750,Programme!I19750,Programme!J19750)</f>
        <v>&lt;/ValeurCellule&gt;</v>
      </c>
    </row>
    <row r="19750" spans="1:1" x14ac:dyDescent="0.2">
      <c r="A19750" s="996" t="str">
        <f>CONCATENATE(Programme!D19751,Programme!E19751,Programme!F19751,Programme!G19751,Programme!H19751,Programme!I19751,Programme!J19751)</f>
        <v>&lt;ValeurCellule&gt;</v>
      </c>
    </row>
    <row r="19751" spans="1:1" x14ac:dyDescent="0.2">
      <c r="A19751" s="996" t="str">
        <f>CONCATENATE(Programme!D19752,Programme!E19752,Programme!F19752,Programme!G19752,Programme!H19752,Programme!I19752,Programme!J19752)</f>
        <v>&lt;cellule&gt;</v>
      </c>
    </row>
    <row r="19752" spans="1:1" x14ac:dyDescent="0.2">
      <c r="A19752" s="996" t="str">
        <f>CONCATENATE(Programme!D19753,Programme!E19753,Programme!F19753,Programme!G19753,Programme!H19753,Programme!I19753,Programme!J19753)</f>
        <v>&lt;codeEdi&gt;1762&lt;/codeEdi&gt;</v>
      </c>
    </row>
    <row r="19753" spans="1:1" x14ac:dyDescent="0.2">
      <c r="A19753" s="996" t="str">
        <f>CONCATENATE(Programme!D19754,Programme!E19754,Programme!F19754,Programme!G19754,Programme!H19754,Programme!I19754,Programme!J19754)</f>
        <v>&lt;/cellule&gt;</v>
      </c>
    </row>
    <row r="19754" spans="1:1" x14ac:dyDescent="0.2">
      <c r="A19754" s="996" t="str">
        <f>CONCATENATE(Programme!D19755,Programme!E19755,Programme!F19755,Programme!G19755,Programme!H19755,Programme!I19755,Programme!J19755)</f>
        <v>&lt;valeur&gt;0&lt;/valeur&gt;</v>
      </c>
    </row>
    <row r="19755" spans="1:1" x14ac:dyDescent="0.2">
      <c r="A19755" s="996" t="str">
        <f>CONCATENATE(Programme!D19756,Programme!E19756,Programme!F19756,Programme!G19756,Programme!H19756,Programme!I19756,Programme!J19756)</f>
        <v>&lt;/ValeurCellule&gt;</v>
      </c>
    </row>
    <row r="19756" spans="1:1" x14ac:dyDescent="0.2">
      <c r="A19756" s="996" t="str">
        <f>CONCATENATE(Programme!D19757,Programme!E19757,Programme!F19757,Programme!G19757,Programme!H19757,Programme!I19757,Programme!J19757)</f>
        <v>&lt;ValeurCellule&gt;</v>
      </c>
    </row>
    <row r="19757" spans="1:1" x14ac:dyDescent="0.2">
      <c r="A19757" s="996" t="str">
        <f>CONCATENATE(Programme!D19758,Programme!E19758,Programme!F19758,Programme!G19758,Programme!H19758,Programme!I19758,Programme!J19758)</f>
        <v>&lt;cellule&gt;</v>
      </c>
    </row>
    <row r="19758" spans="1:1" x14ac:dyDescent="0.2">
      <c r="A19758" s="996" t="str">
        <f>CONCATENATE(Programme!D19759,Programme!E19759,Programme!F19759,Programme!G19759,Programme!H19759,Programme!I19759,Programme!J19759)</f>
        <v>&lt;codeEdi&gt;1774&lt;/codeEdi&gt;</v>
      </c>
    </row>
    <row r="19759" spans="1:1" x14ac:dyDescent="0.2">
      <c r="A19759" s="996" t="str">
        <f>CONCATENATE(Programme!D19760,Programme!E19760,Programme!F19760,Programme!G19760,Programme!H19760,Programme!I19760,Programme!J19760)</f>
        <v>&lt;/cellule&gt;</v>
      </c>
    </row>
    <row r="19760" spans="1:1" x14ac:dyDescent="0.2">
      <c r="A19760" s="996" t="str">
        <f>CONCATENATE(Programme!D19761,Programme!E19761,Programme!F19761,Programme!G19761,Programme!H19761,Programme!I19761,Programme!J19761)</f>
        <v>&lt;valeur&gt;0&lt;/valeur&gt;</v>
      </c>
    </row>
    <row r="19761" spans="1:1" x14ac:dyDescent="0.2">
      <c r="A19761" s="996" t="str">
        <f>CONCATENATE(Programme!D19762,Programme!E19762,Programme!F19762,Programme!G19762,Programme!H19762,Programme!I19762,Programme!J19762)</f>
        <v>&lt;/ValeurCellule&gt;</v>
      </c>
    </row>
    <row r="19762" spans="1:1" x14ac:dyDescent="0.2">
      <c r="A19762" s="996" t="str">
        <f>CONCATENATE(Programme!D19763,Programme!E19763,Programme!F19763,Programme!G19763,Programme!H19763,Programme!I19763,Programme!J19763)</f>
        <v>&lt;ValeurCellule&gt;</v>
      </c>
    </row>
    <row r="19763" spans="1:1" x14ac:dyDescent="0.2">
      <c r="A19763" s="996" t="str">
        <f>CONCATENATE(Programme!D19764,Programme!E19764,Programme!F19764,Programme!G19764,Programme!H19764,Programme!I19764,Programme!J19764)</f>
        <v>&lt;cellule&gt;</v>
      </c>
    </row>
    <row r="19764" spans="1:1" x14ac:dyDescent="0.2">
      <c r="A19764" s="996" t="str">
        <f>CONCATENATE(Programme!D19765,Programme!E19765,Programme!F19765,Programme!G19765,Programme!H19765,Programme!I19765,Programme!J19765)</f>
        <v>&lt;codeEdi&gt;1805&lt;/codeEdi&gt;</v>
      </c>
    </row>
    <row r="19765" spans="1:1" x14ac:dyDescent="0.2">
      <c r="A19765" s="996" t="str">
        <f>CONCATENATE(Programme!D19766,Programme!E19766,Programme!F19766,Programme!G19766,Programme!H19766,Programme!I19766,Programme!J19766)</f>
        <v>&lt;/cellule&gt;</v>
      </c>
    </row>
    <row r="19766" spans="1:1" x14ac:dyDescent="0.2">
      <c r="A19766" s="996" t="str">
        <f>CONCATENATE(Programme!D19767,Programme!E19767,Programme!F19767,Programme!G19767,Programme!H19767,Programme!I19767,Programme!J19767)</f>
        <v>&lt;valeur&gt;0&lt;/valeur&gt;</v>
      </c>
    </row>
    <row r="19767" spans="1:1" x14ac:dyDescent="0.2">
      <c r="A19767" s="996" t="str">
        <f>CONCATENATE(Programme!D19768,Programme!E19768,Programme!F19768,Programme!G19768,Programme!H19768,Programme!I19768,Programme!J19768)</f>
        <v>&lt;/ValeurCellule&gt;</v>
      </c>
    </row>
    <row r="19768" spans="1:1" x14ac:dyDescent="0.2">
      <c r="A19768" s="996" t="str">
        <f>CONCATENATE(Programme!D19769,Programme!E19769,Programme!F19769,Programme!G19769,Programme!H19769,Programme!I19769,Programme!J19769)</f>
        <v>&lt;ValeurCellule&gt;</v>
      </c>
    </row>
    <row r="19769" spans="1:1" x14ac:dyDescent="0.2">
      <c r="A19769" s="996" t="str">
        <f>CONCATENATE(Programme!D19770,Programme!E19770,Programme!F19770,Programme!G19770,Programme!H19770,Programme!I19770,Programme!J19770)</f>
        <v>&lt;cellule&gt;</v>
      </c>
    </row>
    <row r="19770" spans="1:1" x14ac:dyDescent="0.2">
      <c r="A19770" s="996" t="str">
        <f>CONCATENATE(Programme!D19771,Programme!E19771,Programme!F19771,Programme!G19771,Programme!H19771,Programme!I19771,Programme!J19771)</f>
        <v>&lt;codeEdi&gt;1824&lt;/codeEdi&gt;</v>
      </c>
    </row>
    <row r="19771" spans="1:1" x14ac:dyDescent="0.2">
      <c r="A19771" s="996" t="str">
        <f>CONCATENATE(Programme!D19772,Programme!E19772,Programme!F19772,Programme!G19772,Programme!H19772,Programme!I19772,Programme!J19772)</f>
        <v>&lt;/cellule&gt;</v>
      </c>
    </row>
    <row r="19772" spans="1:1" x14ac:dyDescent="0.2">
      <c r="A19772" s="996" t="str">
        <f>CONCATENATE(Programme!D19773,Programme!E19773,Programme!F19773,Programme!G19773,Programme!H19773,Programme!I19773,Programme!J19773)</f>
        <v>&lt;valeur&gt;&lt;/valeur&gt;</v>
      </c>
    </row>
    <row r="19773" spans="1:1" x14ac:dyDescent="0.2">
      <c r="A19773" s="996" t="str">
        <f>CONCATENATE(Programme!D19774,Programme!E19774,Programme!F19774,Programme!G19774,Programme!H19774,Programme!I19774,Programme!J19774)</f>
        <v>&lt;/ValeurCellule&gt;</v>
      </c>
    </row>
    <row r="19774" spans="1:1" x14ac:dyDescent="0.2">
      <c r="A19774" s="996" t="str">
        <f>CONCATENATE(Programme!D19775,Programme!E19775,Programme!F19775,Programme!G19775,Programme!H19775,Programme!I19775,Programme!J19775)</f>
        <v>&lt;ValeurCellule&gt;</v>
      </c>
    </row>
    <row r="19775" spans="1:1" x14ac:dyDescent="0.2">
      <c r="A19775" s="996" t="str">
        <f>CONCATENATE(Programme!D19776,Programme!E19776,Programme!F19776,Programme!G19776,Programme!H19776,Programme!I19776,Programme!J19776)</f>
        <v>&lt;cellule&gt;</v>
      </c>
    </row>
    <row r="19776" spans="1:1" x14ac:dyDescent="0.2">
      <c r="A19776" s="996" t="str">
        <f>CONCATENATE(Programme!D19777,Programme!E19777,Programme!F19777,Programme!G19777,Programme!H19777,Programme!I19777,Programme!J19777)</f>
        <v>&lt;codeEdi&gt;1841&lt;/codeEdi&gt;</v>
      </c>
    </row>
    <row r="19777" spans="1:1" x14ac:dyDescent="0.2">
      <c r="A19777" s="996" t="str">
        <f>CONCATENATE(Programme!D19778,Programme!E19778,Programme!F19778,Programme!G19778,Programme!H19778,Programme!I19778,Programme!J19778)</f>
        <v>&lt;/cellule&gt;</v>
      </c>
    </row>
    <row r="19778" spans="1:1" x14ac:dyDescent="0.2">
      <c r="A19778" s="996" t="str">
        <f>CONCATENATE(Programme!D19779,Programme!E19779,Programme!F19779,Programme!G19779,Programme!H19779,Programme!I19779,Programme!J19779)</f>
        <v>&lt;valeur&gt;0&lt;/valeur&gt;</v>
      </c>
    </row>
    <row r="19779" spans="1:1" x14ac:dyDescent="0.2">
      <c r="A19779" s="996" t="str">
        <f>CONCATENATE(Programme!D19780,Programme!E19780,Programme!F19780,Programme!G19780,Programme!H19780,Programme!I19780,Programme!J19780)</f>
        <v>&lt;/ValeurCellule&gt;</v>
      </c>
    </row>
    <row r="19780" spans="1:1" x14ac:dyDescent="0.2">
      <c r="A19780" s="996" t="str">
        <f>CONCATENATE(Programme!D19781,Programme!E19781,Programme!F19781,Programme!G19781,Programme!H19781,Programme!I19781,Programme!J19781)</f>
        <v>&lt;ValeurCellule&gt;</v>
      </c>
    </row>
    <row r="19781" spans="1:1" x14ac:dyDescent="0.2">
      <c r="A19781" s="996" t="str">
        <f>CONCATENATE(Programme!D19782,Programme!E19782,Programme!F19782,Programme!G19782,Programme!H19782,Programme!I19782,Programme!J19782)</f>
        <v>&lt;cellule&gt;</v>
      </c>
    </row>
    <row r="19782" spans="1:1" x14ac:dyDescent="0.2">
      <c r="A19782" s="996" t="str">
        <f>CONCATENATE(Programme!D19783,Programme!E19783,Programme!F19783,Programme!G19783,Programme!H19783,Programme!I19783,Programme!J19783)</f>
        <v>&lt;codeEdi&gt;1858&lt;/codeEdi&gt;</v>
      </c>
    </row>
    <row r="19783" spans="1:1" x14ac:dyDescent="0.2">
      <c r="A19783" s="996" t="str">
        <f>CONCATENATE(Programme!D19784,Programme!E19784,Programme!F19784,Programme!G19784,Programme!H19784,Programme!I19784,Programme!J19784)</f>
        <v>&lt;/cellule&gt;</v>
      </c>
    </row>
    <row r="19784" spans="1:1" x14ac:dyDescent="0.2">
      <c r="A19784" s="996" t="str">
        <f>CONCATENATE(Programme!D19785,Programme!E19785,Programme!F19785,Programme!G19785,Programme!H19785,Programme!I19785,Programme!J19785)</f>
        <v>&lt;valeur&gt;0&lt;/valeur&gt;</v>
      </c>
    </row>
    <row r="19785" spans="1:1" x14ac:dyDescent="0.2">
      <c r="A19785" s="996" t="str">
        <f>CONCATENATE(Programme!D19786,Programme!E19786,Programme!F19786,Programme!G19786,Programme!H19786,Programme!I19786,Programme!J19786)</f>
        <v>&lt;/ValeurCellule&gt;</v>
      </c>
    </row>
    <row r="19786" spans="1:1" x14ac:dyDescent="0.2">
      <c r="A19786" s="996" t="str">
        <f>CONCATENATE(Programme!D19787,Programme!E19787,Programme!F19787,Programme!G19787,Programme!H19787,Programme!I19787,Programme!J19787)</f>
        <v>&lt;ValeurCellule&gt;</v>
      </c>
    </row>
    <row r="19787" spans="1:1" x14ac:dyDescent="0.2">
      <c r="A19787" s="996" t="str">
        <f>CONCATENATE(Programme!D19788,Programme!E19788,Programme!F19788,Programme!G19788,Programme!H19788,Programme!I19788,Programme!J19788)</f>
        <v>&lt;cellule&gt;</v>
      </c>
    </row>
    <row r="19788" spans="1:1" x14ac:dyDescent="0.2">
      <c r="A19788" s="996" t="str">
        <f>CONCATENATE(Programme!D19789,Programme!E19789,Programme!F19789,Programme!G19789,Programme!H19789,Programme!I19789,Programme!J19789)</f>
        <v>&lt;codeEdi&gt;1866&lt;/codeEdi&gt;</v>
      </c>
    </row>
    <row r="19789" spans="1:1" x14ac:dyDescent="0.2">
      <c r="A19789" s="996" t="str">
        <f>CONCATENATE(Programme!D19790,Programme!E19790,Programme!F19790,Programme!G19790,Programme!H19790,Programme!I19790,Programme!J19790)</f>
        <v>&lt;/cellule&gt;</v>
      </c>
    </row>
    <row r="19790" spans="1:1" x14ac:dyDescent="0.2">
      <c r="A19790" s="996" t="str">
        <f>CONCATENATE(Programme!D19791,Programme!E19791,Programme!F19791,Programme!G19791,Programme!H19791,Programme!I19791,Programme!J19791)</f>
        <v>&lt;valeur&gt;0&lt;/valeur&gt;</v>
      </c>
    </row>
    <row r="19791" spans="1:1" x14ac:dyDescent="0.2">
      <c r="A19791" s="996" t="str">
        <f>CONCATENATE(Programme!D19792,Programme!E19792,Programme!F19792,Programme!G19792,Programme!H19792,Programme!I19792,Programme!J19792)</f>
        <v>&lt;/ValeurCellule&gt;</v>
      </c>
    </row>
    <row r="19792" spans="1:1" x14ac:dyDescent="0.2">
      <c r="A19792" s="996" t="str">
        <f>CONCATENATE(Programme!D19793,Programme!E19793,Programme!F19793,Programme!G19793,Programme!H19793,Programme!I19793,Programme!J19793)</f>
        <v>&lt;ValeurCellule&gt;</v>
      </c>
    </row>
    <row r="19793" spans="1:1" x14ac:dyDescent="0.2">
      <c r="A19793" s="996" t="str">
        <f>CONCATENATE(Programme!D19794,Programme!E19794,Programme!F19794,Programme!G19794,Programme!H19794,Programme!I19794,Programme!J19794)</f>
        <v>&lt;cellule&gt;</v>
      </c>
    </row>
    <row r="19794" spans="1:1" x14ac:dyDescent="0.2">
      <c r="A19794" s="996" t="str">
        <f>CONCATENATE(Programme!D19795,Programme!E19795,Programme!F19795,Programme!G19795,Programme!H19795,Programme!I19795,Programme!J19795)</f>
        <v>&lt;codeEdi&gt;1874&lt;/codeEdi&gt;</v>
      </c>
    </row>
    <row r="19795" spans="1:1" x14ac:dyDescent="0.2">
      <c r="A19795" s="996" t="str">
        <f>CONCATENATE(Programme!D19796,Programme!E19796,Programme!F19796,Programme!G19796,Programme!H19796,Programme!I19796,Programme!J19796)</f>
        <v>&lt;/cellule&gt;</v>
      </c>
    </row>
    <row r="19796" spans="1:1" x14ac:dyDescent="0.2">
      <c r="A19796" s="996" t="str">
        <f>CONCATENATE(Programme!D19797,Programme!E19797,Programme!F19797,Programme!G19797,Programme!H19797,Programme!I19797,Programme!J19797)</f>
        <v>&lt;valeur&gt;0&lt;/valeur&gt;</v>
      </c>
    </row>
    <row r="19797" spans="1:1" x14ac:dyDescent="0.2">
      <c r="A19797" s="996" t="str">
        <f>CONCATENATE(Programme!D19798,Programme!E19798,Programme!F19798,Programme!G19798,Programme!H19798,Programme!I19798,Programme!J19798)</f>
        <v>&lt;/ValeurCellule&gt;</v>
      </c>
    </row>
    <row r="19798" spans="1:1" x14ac:dyDescent="0.2">
      <c r="A19798" s="996" t="str">
        <f>CONCATENATE(Programme!D19799,Programme!E19799,Programme!F19799,Programme!G19799,Programme!H19799,Programme!I19799,Programme!J19799)</f>
        <v>&lt;ValeurCellule&gt;</v>
      </c>
    </row>
    <row r="19799" spans="1:1" x14ac:dyDescent="0.2">
      <c r="A19799" s="996" t="str">
        <f>CONCATENATE(Programme!D19800,Programme!E19800,Programme!F19800,Programme!G19800,Programme!H19800,Programme!I19800,Programme!J19800)</f>
        <v>&lt;cellule&gt;</v>
      </c>
    </row>
    <row r="19800" spans="1:1" x14ac:dyDescent="0.2">
      <c r="A19800" s="996" t="str">
        <f>CONCATENATE(Programme!D19801,Programme!E19801,Programme!F19801,Programme!G19801,Programme!H19801,Programme!I19801,Programme!J19801)</f>
        <v>&lt;codeEdi&gt;1891&lt;/codeEdi&gt;</v>
      </c>
    </row>
    <row r="19801" spans="1:1" x14ac:dyDescent="0.2">
      <c r="A19801" s="996" t="str">
        <f>CONCATENATE(Programme!D19802,Programme!E19802,Programme!F19802,Programme!G19802,Programme!H19802,Programme!I19802,Programme!J19802)</f>
        <v>&lt;/cellule&gt;</v>
      </c>
    </row>
    <row r="19802" spans="1:1" x14ac:dyDescent="0.2">
      <c r="A19802" s="996" t="str">
        <f>CONCATENATE(Programme!D19803,Programme!E19803,Programme!F19803,Programme!G19803,Programme!H19803,Programme!I19803,Programme!J19803)</f>
        <v>&lt;valeur&gt;0&lt;/valeur&gt;</v>
      </c>
    </row>
    <row r="19803" spans="1:1" x14ac:dyDescent="0.2">
      <c r="A19803" s="996" t="str">
        <f>CONCATENATE(Programme!D19804,Programme!E19804,Programme!F19804,Programme!G19804,Programme!H19804,Programme!I19804,Programme!J19804)</f>
        <v>&lt;/ValeurCellule&gt;</v>
      </c>
    </row>
    <row r="19804" spans="1:1" x14ac:dyDescent="0.2">
      <c r="A19804" s="996" t="str">
        <f>CONCATENATE(Programme!D19805,Programme!E19805,Programme!F19805,Programme!G19805,Programme!H19805,Programme!I19805,Programme!J19805)</f>
        <v>&lt;ValeurCellule&gt;</v>
      </c>
    </row>
    <row r="19805" spans="1:1" x14ac:dyDescent="0.2">
      <c r="A19805" s="996" t="str">
        <f>CONCATENATE(Programme!D19806,Programme!E19806,Programme!F19806,Programme!G19806,Programme!H19806,Programme!I19806,Programme!J19806)</f>
        <v>&lt;cellule&gt;</v>
      </c>
    </row>
    <row r="19806" spans="1:1" x14ac:dyDescent="0.2">
      <c r="A19806" s="996" t="str">
        <f>CONCATENATE(Programme!D19807,Programme!E19807,Programme!F19807,Programme!G19807,Programme!H19807,Programme!I19807,Programme!J19807)</f>
        <v>&lt;codeEdi&gt;1407&lt;/codeEdi&gt;</v>
      </c>
    </row>
    <row r="19807" spans="1:1" x14ac:dyDescent="0.2">
      <c r="A19807" s="996" t="str">
        <f>CONCATENATE(Programme!D19808,Programme!E19808,Programme!F19808,Programme!G19808,Programme!H19808,Programme!I19808,Programme!J19808)</f>
        <v>&lt;/cellule&gt;</v>
      </c>
    </row>
    <row r="19808" spans="1:1" x14ac:dyDescent="0.2">
      <c r="A19808" s="996" t="str">
        <f>CONCATENATE(Programme!D19809,Programme!E19809,Programme!F19809,Programme!G19809,Programme!H19809,Programme!I19809,Programme!J19809)</f>
        <v>&lt;valeur&gt;0&lt;/valeur&gt;</v>
      </c>
    </row>
    <row r="19809" spans="1:1" x14ac:dyDescent="0.2">
      <c r="A19809" s="996" t="str">
        <f>CONCATENATE(Programme!D19810,Programme!E19810,Programme!F19810,Programme!G19810,Programme!H19810,Programme!I19810,Programme!J19810)</f>
        <v>&lt;/ValeurCellule&gt;</v>
      </c>
    </row>
    <row r="19810" spans="1:1" x14ac:dyDescent="0.2">
      <c r="A19810" s="996" t="str">
        <f>CONCATENATE(Programme!D19811,Programme!E19811,Programme!F19811,Programme!G19811,Programme!H19811,Programme!I19811,Programme!J19811)</f>
        <v>&lt;ValeurCellule&gt;</v>
      </c>
    </row>
    <row r="19811" spans="1:1" x14ac:dyDescent="0.2">
      <c r="A19811" s="996" t="str">
        <f>CONCATENATE(Programme!D19812,Programme!E19812,Programme!F19812,Programme!G19812,Programme!H19812,Programme!I19812,Programme!J19812)</f>
        <v>&lt;cellule&gt;</v>
      </c>
    </row>
    <row r="19812" spans="1:1" x14ac:dyDescent="0.2">
      <c r="A19812" s="996" t="str">
        <f>CONCATENATE(Programme!D19813,Programme!E19813,Programme!F19813,Programme!G19813,Programme!H19813,Programme!I19813,Programme!J19813)</f>
        <v>&lt;codeEdi&gt;1415&lt;/codeEdi&gt;</v>
      </c>
    </row>
    <row r="19813" spans="1:1" x14ac:dyDescent="0.2">
      <c r="A19813" s="996" t="str">
        <f>CONCATENATE(Programme!D19814,Programme!E19814,Programme!F19814,Programme!G19814,Programme!H19814,Programme!I19814,Programme!J19814)</f>
        <v>&lt;/cellule&gt;</v>
      </c>
    </row>
    <row r="19814" spans="1:1" x14ac:dyDescent="0.2">
      <c r="A19814" s="996" t="str">
        <f>CONCATENATE(Programme!D19815,Programme!E19815,Programme!F19815,Programme!G19815,Programme!H19815,Programme!I19815,Programme!J19815)</f>
        <v>&lt;valeur&gt;0&lt;/valeur&gt;</v>
      </c>
    </row>
    <row r="19815" spans="1:1" x14ac:dyDescent="0.2">
      <c r="A19815" s="996" t="str">
        <f>CONCATENATE(Programme!D19816,Programme!E19816,Programme!F19816,Programme!G19816,Programme!H19816,Programme!I19816,Programme!J19816)</f>
        <v>&lt;/ValeurCellule&gt;</v>
      </c>
    </row>
    <row r="19816" spans="1:1" x14ac:dyDescent="0.2">
      <c r="A19816" s="996" t="str">
        <f>CONCATENATE(Programme!D19817,Programme!E19817,Programme!F19817,Programme!G19817,Programme!H19817,Programme!I19817,Programme!J19817)</f>
        <v>&lt;ValeurCellule&gt;</v>
      </c>
    </row>
    <row r="19817" spans="1:1" x14ac:dyDescent="0.2">
      <c r="A19817" s="996" t="str">
        <f>CONCATENATE(Programme!D19818,Programme!E19818,Programme!F19818,Programme!G19818,Programme!H19818,Programme!I19818,Programme!J19818)</f>
        <v>&lt;cellule&gt;</v>
      </c>
    </row>
    <row r="19818" spans="1:1" x14ac:dyDescent="0.2">
      <c r="A19818" s="996" t="str">
        <f>CONCATENATE(Programme!D19819,Programme!E19819,Programme!F19819,Programme!G19819,Programme!H19819,Programme!I19819,Programme!J19819)</f>
        <v>&lt;codeEdi&gt;1431&lt;/codeEdi&gt;</v>
      </c>
    </row>
    <row r="19819" spans="1:1" x14ac:dyDescent="0.2">
      <c r="A19819" s="996" t="str">
        <f>CONCATENATE(Programme!D19820,Programme!E19820,Programme!F19820,Programme!G19820,Programme!H19820,Programme!I19820,Programme!J19820)</f>
        <v>&lt;/cellule&gt;</v>
      </c>
    </row>
    <row r="19820" spans="1:1" x14ac:dyDescent="0.2">
      <c r="A19820" s="996" t="str">
        <f>CONCATENATE(Programme!D19821,Programme!E19821,Programme!F19821,Programme!G19821,Programme!H19821,Programme!I19821,Programme!J19821)</f>
        <v>&lt;valeur&gt;0&lt;/valeur&gt;</v>
      </c>
    </row>
    <row r="19821" spans="1:1" x14ac:dyDescent="0.2">
      <c r="A19821" s="996" t="str">
        <f>CONCATENATE(Programme!D19822,Programme!E19822,Programme!F19822,Programme!G19822,Programme!H19822,Programme!I19822,Programme!J19822)</f>
        <v>&lt;/ValeurCellule&gt;</v>
      </c>
    </row>
    <row r="19822" spans="1:1" x14ac:dyDescent="0.2">
      <c r="A19822" s="996" t="str">
        <f>CONCATENATE(Programme!D19823,Programme!E19823,Programme!F19823,Programme!G19823,Programme!H19823,Programme!I19823,Programme!J19823)</f>
        <v>&lt;ValeurCellule&gt;</v>
      </c>
    </row>
    <row r="19823" spans="1:1" x14ac:dyDescent="0.2">
      <c r="A19823" s="996" t="str">
        <f>CONCATENATE(Programme!D19824,Programme!E19824,Programme!F19824,Programme!G19824,Programme!H19824,Programme!I19824,Programme!J19824)</f>
        <v>&lt;cellule&gt;</v>
      </c>
    </row>
    <row r="19824" spans="1:1" x14ac:dyDescent="0.2">
      <c r="A19824" s="996" t="str">
        <f>CONCATENATE(Programme!D19825,Programme!E19825,Programme!F19825,Programme!G19825,Programme!H19825,Programme!I19825,Programme!J19825)</f>
        <v>&lt;codeEdi&gt;1439&lt;/codeEdi&gt;</v>
      </c>
    </row>
    <row r="19825" spans="1:1" x14ac:dyDescent="0.2">
      <c r="A19825" s="996" t="str">
        <f>CONCATENATE(Programme!D19826,Programme!E19826,Programme!F19826,Programme!G19826,Programme!H19826,Programme!I19826,Programme!J19826)</f>
        <v>&lt;/cellule&gt;</v>
      </c>
    </row>
    <row r="19826" spans="1:1" x14ac:dyDescent="0.2">
      <c r="A19826" s="996" t="str">
        <f>CONCATENATE(Programme!D19827,Programme!E19827,Programme!F19827,Programme!G19827,Programme!H19827,Programme!I19827,Programme!J19827)</f>
        <v>&lt;valeur&gt;0&lt;/valeur&gt;</v>
      </c>
    </row>
    <row r="19827" spans="1:1" x14ac:dyDescent="0.2">
      <c r="A19827" s="996" t="str">
        <f>CONCATENATE(Programme!D19828,Programme!E19828,Programme!F19828,Programme!G19828,Programme!H19828,Programme!I19828,Programme!J19828)</f>
        <v>&lt;/ValeurCellule&gt;</v>
      </c>
    </row>
    <row r="19828" spans="1:1" x14ac:dyDescent="0.2">
      <c r="A19828" s="996" t="str">
        <f>CONCATENATE(Programme!D19829,Programme!E19829,Programme!F19829,Programme!G19829,Programme!H19829,Programme!I19829,Programme!J19829)</f>
        <v>&lt;ValeurCellule&gt;</v>
      </c>
    </row>
    <row r="19829" spans="1:1" x14ac:dyDescent="0.2">
      <c r="A19829" s="996" t="str">
        <f>CONCATENATE(Programme!D19830,Programme!E19830,Programme!F19830,Programme!G19830,Programme!H19830,Programme!I19830,Programme!J19830)</f>
        <v>&lt;cellule&gt;</v>
      </c>
    </row>
    <row r="19830" spans="1:1" x14ac:dyDescent="0.2">
      <c r="A19830" s="996" t="str">
        <f>CONCATENATE(Programme!D19831,Programme!E19831,Programme!F19831,Programme!G19831,Programme!H19831,Programme!I19831,Programme!J19831)</f>
        <v>&lt;codeEdi&gt;1455&lt;/codeEdi&gt;</v>
      </c>
    </row>
    <row r="19831" spans="1:1" x14ac:dyDescent="0.2">
      <c r="A19831" s="996" t="str">
        <f>CONCATENATE(Programme!D19832,Programme!E19832,Programme!F19832,Programme!G19832,Programme!H19832,Programme!I19832,Programme!J19832)</f>
        <v>&lt;/cellule&gt;</v>
      </c>
    </row>
    <row r="19832" spans="1:1" x14ac:dyDescent="0.2">
      <c r="A19832" s="996" t="str">
        <f>CONCATENATE(Programme!D19833,Programme!E19833,Programme!F19833,Programme!G19833,Programme!H19833,Programme!I19833,Programme!J19833)</f>
        <v>&lt;valeur&gt;&lt;/valeur&gt;</v>
      </c>
    </row>
    <row r="19833" spans="1:1" x14ac:dyDescent="0.2">
      <c r="A19833" s="996" t="str">
        <f>CONCATENATE(Programme!D19834,Programme!E19834,Programme!F19834,Programme!G19834,Programme!H19834,Programme!I19834,Programme!J19834)</f>
        <v>&lt;/ValeurCellule&gt;</v>
      </c>
    </row>
    <row r="19834" spans="1:1" x14ac:dyDescent="0.2">
      <c r="A19834" s="996" t="str">
        <f>CONCATENATE(Programme!D19835,Programme!E19835,Programme!F19835,Programme!G19835,Programme!H19835,Programme!I19835,Programme!J19835)</f>
        <v>&lt;ValeurCellule&gt;</v>
      </c>
    </row>
    <row r="19835" spans="1:1" x14ac:dyDescent="0.2">
      <c r="A19835" s="996" t="str">
        <f>CONCATENATE(Programme!D19836,Programme!E19836,Programme!F19836,Programme!G19836,Programme!H19836,Programme!I19836,Programme!J19836)</f>
        <v>&lt;cellule&gt;</v>
      </c>
    </row>
    <row r="19836" spans="1:1" x14ac:dyDescent="0.2">
      <c r="A19836" s="996" t="str">
        <f>CONCATENATE(Programme!D19837,Programme!E19837,Programme!F19837,Programme!G19837,Programme!H19837,Programme!I19837,Programme!J19837)</f>
        <v>&lt;codeEdi&gt;1463&lt;/codeEdi&gt;</v>
      </c>
    </row>
    <row r="19837" spans="1:1" x14ac:dyDescent="0.2">
      <c r="A19837" s="996" t="str">
        <f>CONCATENATE(Programme!D19838,Programme!E19838,Programme!F19838,Programme!G19838,Programme!H19838,Programme!I19838,Programme!J19838)</f>
        <v>&lt;/cellule&gt;</v>
      </c>
    </row>
    <row r="19838" spans="1:1" x14ac:dyDescent="0.2">
      <c r="A19838" s="996" t="str">
        <f>CONCATENATE(Programme!D19839,Programme!E19839,Programme!F19839,Programme!G19839,Programme!H19839,Programme!I19839,Programme!J19839)</f>
        <v>&lt;valeur&gt;0&lt;/valeur&gt;</v>
      </c>
    </row>
    <row r="19839" spans="1:1" x14ac:dyDescent="0.2">
      <c r="A19839" s="996" t="str">
        <f>CONCATENATE(Programme!D19840,Programme!E19840,Programme!F19840,Programme!G19840,Programme!H19840,Programme!I19840,Programme!J19840)</f>
        <v>&lt;/ValeurCellule&gt;</v>
      </c>
    </row>
    <row r="19840" spans="1:1" x14ac:dyDescent="0.2">
      <c r="A19840" s="996" t="str">
        <f>CONCATENATE(Programme!D19841,Programme!E19841,Programme!F19841,Programme!G19841,Programme!H19841,Programme!I19841,Programme!J19841)</f>
        <v>&lt;ValeurCellule&gt;</v>
      </c>
    </row>
    <row r="19841" spans="1:1" x14ac:dyDescent="0.2">
      <c r="A19841" s="996" t="str">
        <f>CONCATENATE(Programme!D19842,Programme!E19842,Programme!F19842,Programme!G19842,Programme!H19842,Programme!I19842,Programme!J19842)</f>
        <v>&lt;cellule&gt;</v>
      </c>
    </row>
    <row r="19842" spans="1:1" x14ac:dyDescent="0.2">
      <c r="A19842" s="996" t="str">
        <f>CONCATENATE(Programme!D19843,Programme!E19843,Programme!F19843,Programme!G19843,Programme!H19843,Programme!I19843,Programme!J19843)</f>
        <v>&lt;codeEdi&gt;1471&lt;/codeEdi&gt;</v>
      </c>
    </row>
    <row r="19843" spans="1:1" x14ac:dyDescent="0.2">
      <c r="A19843" s="996" t="str">
        <f>CONCATENATE(Programme!D19844,Programme!E19844,Programme!F19844,Programme!G19844,Programme!H19844,Programme!I19844,Programme!J19844)</f>
        <v>&lt;/cellule&gt;</v>
      </c>
    </row>
    <row r="19844" spans="1:1" x14ac:dyDescent="0.2">
      <c r="A19844" s="996" t="str">
        <f>CONCATENATE(Programme!D19845,Programme!E19845,Programme!F19845,Programme!G19845,Programme!H19845,Programme!I19845,Programme!J19845)</f>
        <v>&lt;valeur&gt;0&lt;/valeur&gt;</v>
      </c>
    </row>
    <row r="19845" spans="1:1" x14ac:dyDescent="0.2">
      <c r="A19845" s="996" t="str">
        <f>CONCATENATE(Programme!D19846,Programme!E19846,Programme!F19846,Programme!G19846,Programme!H19846,Programme!I19846,Programme!J19846)</f>
        <v>&lt;/ValeurCellule&gt;</v>
      </c>
    </row>
    <row r="19846" spans="1:1" x14ac:dyDescent="0.2">
      <c r="A19846" s="996" t="str">
        <f>CONCATENATE(Programme!D19847,Programme!E19847,Programme!F19847,Programme!G19847,Programme!H19847,Programme!I19847,Programme!J19847)</f>
        <v>&lt;ValeurCellule&gt;</v>
      </c>
    </row>
    <row r="19847" spans="1:1" x14ac:dyDescent="0.2">
      <c r="A19847" s="996" t="str">
        <f>CONCATENATE(Programme!D19848,Programme!E19848,Programme!F19848,Programme!G19848,Programme!H19848,Programme!I19848,Programme!J19848)</f>
        <v>&lt;cellule&gt;</v>
      </c>
    </row>
    <row r="19848" spans="1:1" x14ac:dyDescent="0.2">
      <c r="A19848" s="996" t="str">
        <f>CONCATENATE(Programme!D19849,Programme!E19849,Programme!F19849,Programme!G19849,Programme!H19849,Programme!I19849,Programme!J19849)</f>
        <v>&lt;codeEdi&gt;1479&lt;/codeEdi&gt;</v>
      </c>
    </row>
    <row r="19849" spans="1:1" x14ac:dyDescent="0.2">
      <c r="A19849" s="996" t="str">
        <f>CONCATENATE(Programme!D19850,Programme!E19850,Programme!F19850,Programme!G19850,Programme!H19850,Programme!I19850,Programme!J19850)</f>
        <v>&lt;/cellule&gt;</v>
      </c>
    </row>
    <row r="19850" spans="1:1" x14ac:dyDescent="0.2">
      <c r="A19850" s="996" t="str">
        <f>CONCATENATE(Programme!D19851,Programme!E19851,Programme!F19851,Programme!G19851,Programme!H19851,Programme!I19851,Programme!J19851)</f>
        <v>&lt;valeur&gt;0&lt;/valeur&gt;</v>
      </c>
    </row>
    <row r="19851" spans="1:1" x14ac:dyDescent="0.2">
      <c r="A19851" s="996" t="str">
        <f>CONCATENATE(Programme!D19852,Programme!E19852,Programme!F19852,Programme!G19852,Programme!H19852,Programme!I19852,Programme!J19852)</f>
        <v>&lt;/ValeurCellule&gt;</v>
      </c>
    </row>
    <row r="19852" spans="1:1" x14ac:dyDescent="0.2">
      <c r="A19852" s="996" t="str">
        <f>CONCATENATE(Programme!D19853,Programme!E19853,Programme!F19853,Programme!G19853,Programme!H19853,Programme!I19853,Programme!J19853)</f>
        <v>&lt;ValeurCellule&gt;</v>
      </c>
    </row>
    <row r="19853" spans="1:1" x14ac:dyDescent="0.2">
      <c r="A19853" s="996" t="str">
        <f>CONCATENATE(Programme!D19854,Programme!E19854,Programme!F19854,Programme!G19854,Programme!H19854,Programme!I19854,Programme!J19854)</f>
        <v>&lt;cellule&gt;</v>
      </c>
    </row>
    <row r="19854" spans="1:1" x14ac:dyDescent="0.2">
      <c r="A19854" s="996" t="str">
        <f>CONCATENATE(Programme!D19855,Programme!E19855,Programme!F19855,Programme!G19855,Programme!H19855,Programme!I19855,Programme!J19855)</f>
        <v>&lt;codeEdi&gt;1487&lt;/codeEdi&gt;</v>
      </c>
    </row>
    <row r="19855" spans="1:1" x14ac:dyDescent="0.2">
      <c r="A19855" s="996" t="str">
        <f>CONCATENATE(Programme!D19856,Programme!E19856,Programme!F19856,Programme!G19856,Programme!H19856,Programme!I19856,Programme!J19856)</f>
        <v>&lt;/cellule&gt;</v>
      </c>
    </row>
    <row r="19856" spans="1:1" x14ac:dyDescent="0.2">
      <c r="A19856" s="996" t="str">
        <f>CONCATENATE(Programme!D19857,Programme!E19857,Programme!F19857,Programme!G19857,Programme!H19857,Programme!I19857,Programme!J19857)</f>
        <v>&lt;valeur&gt;0&lt;/valeur&gt;</v>
      </c>
    </row>
    <row r="19857" spans="1:1" x14ac:dyDescent="0.2">
      <c r="A19857" s="996" t="str">
        <f>CONCATENATE(Programme!D19858,Programme!E19858,Programme!F19858,Programme!G19858,Programme!H19858,Programme!I19858,Programme!J19858)</f>
        <v>&lt;/ValeurCellule&gt;</v>
      </c>
    </row>
    <row r="19858" spans="1:1" x14ac:dyDescent="0.2">
      <c r="A19858" s="996" t="str">
        <f>CONCATENATE(Programme!D19859,Programme!E19859,Programme!F19859,Programme!G19859,Programme!H19859,Programme!I19859,Programme!J19859)</f>
        <v>&lt;ValeurCellule&gt;</v>
      </c>
    </row>
    <row r="19859" spans="1:1" x14ac:dyDescent="0.2">
      <c r="A19859" s="996" t="str">
        <f>CONCATENATE(Programme!D19860,Programme!E19860,Programme!F19860,Programme!G19860,Programme!H19860,Programme!I19860,Programme!J19860)</f>
        <v>&lt;cellule&gt;</v>
      </c>
    </row>
    <row r="19860" spans="1:1" x14ac:dyDescent="0.2">
      <c r="A19860" s="996" t="str">
        <f>CONCATENATE(Programme!D19861,Programme!E19861,Programme!F19861,Programme!G19861,Programme!H19861,Programme!I19861,Programme!J19861)</f>
        <v>&lt;codeEdi&gt;1423&lt;/codeEdi&gt;</v>
      </c>
    </row>
    <row r="19861" spans="1:1" x14ac:dyDescent="0.2">
      <c r="A19861" s="996" t="str">
        <f>CONCATENATE(Programme!D19862,Programme!E19862,Programme!F19862,Programme!G19862,Programme!H19862,Programme!I19862,Programme!J19862)</f>
        <v>&lt;/cellule&gt;</v>
      </c>
    </row>
    <row r="19862" spans="1:1" x14ac:dyDescent="0.2">
      <c r="A19862" s="996" t="str">
        <f>CONCATENATE(Programme!D19863,Programme!E19863,Programme!F19863,Programme!G19863,Programme!H19863,Programme!I19863,Programme!J19863)</f>
        <v>&lt;valeur&gt;0&lt;/valeur&gt;</v>
      </c>
    </row>
    <row r="19863" spans="1:1" x14ac:dyDescent="0.2">
      <c r="A19863" s="996" t="str">
        <f>CONCATENATE(Programme!D19864,Programme!E19864,Programme!F19864,Programme!G19864,Programme!H19864,Programme!I19864,Programme!J19864)</f>
        <v>&lt;/ValeurCellule&gt;</v>
      </c>
    </row>
    <row r="19864" spans="1:1" x14ac:dyDescent="0.2">
      <c r="A19864" s="996" t="str">
        <f>CONCATENATE(Programme!D19865,Programme!E19865,Programme!F19865,Programme!G19865,Programme!H19865,Programme!I19865,Programme!J19865)</f>
        <v>&lt;ValeurCellule&gt;</v>
      </c>
    </row>
    <row r="19865" spans="1:1" x14ac:dyDescent="0.2">
      <c r="A19865" s="996" t="str">
        <f>CONCATENATE(Programme!D19866,Programme!E19866,Programme!F19866,Programme!G19866,Programme!H19866,Programme!I19866,Programme!J19866)</f>
        <v>&lt;cellule&gt;</v>
      </c>
    </row>
    <row r="19866" spans="1:1" x14ac:dyDescent="0.2">
      <c r="A19866" s="996" t="str">
        <f>CONCATENATE(Programme!D19867,Programme!E19867,Programme!F19867,Programme!G19867,Programme!H19867,Programme!I19867,Programme!J19867)</f>
        <v>&lt;codeEdi&gt;1561&lt;/codeEdi&gt;</v>
      </c>
    </row>
    <row r="19867" spans="1:1" x14ac:dyDescent="0.2">
      <c r="A19867" s="996" t="str">
        <f>CONCATENATE(Programme!D19868,Programme!E19868,Programme!F19868,Programme!G19868,Programme!H19868,Programme!I19868,Programme!J19868)</f>
        <v>&lt;/cellule&gt;</v>
      </c>
    </row>
    <row r="19868" spans="1:1" x14ac:dyDescent="0.2">
      <c r="A19868" s="996" t="str">
        <f>CONCATENATE(Programme!D19869,Programme!E19869,Programme!F19869,Programme!G19869,Programme!H19869,Programme!I19869,Programme!J19869)</f>
        <v>&lt;valeur&gt;0&lt;/valeur&gt;</v>
      </c>
    </row>
    <row r="19869" spans="1:1" x14ac:dyDescent="0.2">
      <c r="A19869" s="996" t="str">
        <f>CONCATENATE(Programme!D19870,Programme!E19870,Programme!F19870,Programme!G19870,Programme!H19870,Programme!I19870,Programme!J19870)</f>
        <v>&lt;/ValeurCellule&gt;</v>
      </c>
    </row>
    <row r="19870" spans="1:1" x14ac:dyDescent="0.2">
      <c r="A19870" s="996" t="str">
        <f>CONCATENATE(Programme!D19871,Programme!E19871,Programme!F19871,Programme!G19871,Programme!H19871,Programme!I19871,Programme!J19871)</f>
        <v>&lt;ValeurCellule&gt;</v>
      </c>
    </row>
    <row r="19871" spans="1:1" x14ac:dyDescent="0.2">
      <c r="A19871" s="996" t="str">
        <f>CONCATENATE(Programme!D19872,Programme!E19872,Programme!F19872,Programme!G19872,Programme!H19872,Programme!I19872,Programme!J19872)</f>
        <v>&lt;cellule&gt;</v>
      </c>
    </row>
    <row r="19872" spans="1:1" x14ac:dyDescent="0.2">
      <c r="A19872" s="996" t="str">
        <f>CONCATENATE(Programme!D19873,Programme!E19873,Programme!F19873,Programme!G19873,Programme!H19873,Programme!I19873,Programme!J19873)</f>
        <v>&lt;codeEdi&gt;1602&lt;/codeEdi&gt;</v>
      </c>
    </row>
    <row r="19873" spans="1:1" x14ac:dyDescent="0.2">
      <c r="A19873" s="996" t="str">
        <f>CONCATENATE(Programme!D19874,Programme!E19874,Programme!F19874,Programme!G19874,Programme!H19874,Programme!I19874,Programme!J19874)</f>
        <v>&lt;/cellule&gt;</v>
      </c>
    </row>
    <row r="19874" spans="1:1" x14ac:dyDescent="0.2">
      <c r="A19874" s="996" t="str">
        <f>CONCATENATE(Programme!D19875,Programme!E19875,Programme!F19875,Programme!G19875,Programme!H19875,Programme!I19875,Programme!J19875)</f>
        <v>&lt;valeur&gt;0&lt;/valeur&gt;</v>
      </c>
    </row>
    <row r="19875" spans="1:1" x14ac:dyDescent="0.2">
      <c r="A19875" s="996" t="str">
        <f>CONCATENATE(Programme!D19876,Programme!E19876,Programme!F19876,Programme!G19876,Programme!H19876,Programme!I19876,Programme!J19876)</f>
        <v>&lt;/ValeurCellule&gt;</v>
      </c>
    </row>
    <row r="19876" spans="1:1" x14ac:dyDescent="0.2">
      <c r="A19876" s="996" t="str">
        <f>CONCATENATE(Programme!D19877,Programme!E19877,Programme!F19877,Programme!G19877,Programme!H19877,Programme!I19877,Programme!J19877)</f>
        <v>&lt;ValeurCellule&gt;</v>
      </c>
    </row>
    <row r="19877" spans="1:1" x14ac:dyDescent="0.2">
      <c r="A19877" s="996" t="str">
        <f>CONCATENATE(Programme!D19878,Programme!E19878,Programme!F19878,Programme!G19878,Programme!H19878,Programme!I19878,Programme!J19878)</f>
        <v>&lt;cellule&gt;</v>
      </c>
    </row>
    <row r="19878" spans="1:1" x14ac:dyDescent="0.2">
      <c r="A19878" s="996" t="str">
        <f>CONCATENATE(Programme!D19879,Programme!E19879,Programme!F19879,Programme!G19879,Programme!H19879,Programme!I19879,Programme!J19879)</f>
        <v>&lt;codeEdi&gt;1610&lt;/codeEdi&gt;</v>
      </c>
    </row>
    <row r="19879" spans="1:1" x14ac:dyDescent="0.2">
      <c r="A19879" s="996" t="str">
        <f>CONCATENATE(Programme!D19880,Programme!E19880,Programme!F19880,Programme!G19880,Programme!H19880,Programme!I19880,Programme!J19880)</f>
        <v>&lt;/cellule&gt;</v>
      </c>
    </row>
    <row r="19880" spans="1:1" x14ac:dyDescent="0.2">
      <c r="A19880" s="996" t="str">
        <f>CONCATENATE(Programme!D19881,Programme!E19881,Programme!F19881,Programme!G19881,Programme!H19881,Programme!I19881,Programme!J19881)</f>
        <v>&lt;valeur&gt;0&lt;/valeur&gt;</v>
      </c>
    </row>
    <row r="19881" spans="1:1" x14ac:dyDescent="0.2">
      <c r="A19881" s="996" t="str">
        <f>CONCATENATE(Programme!D19882,Programme!E19882,Programme!F19882,Programme!G19882,Programme!H19882,Programme!I19882,Programme!J19882)</f>
        <v>&lt;/ValeurCellule&gt;</v>
      </c>
    </row>
    <row r="19882" spans="1:1" x14ac:dyDescent="0.2">
      <c r="A19882" s="996" t="str">
        <f>CONCATENATE(Programme!D19883,Programme!E19883,Programme!F19883,Programme!G19883,Programme!H19883,Programme!I19883,Programme!J19883)</f>
        <v>&lt;ValeurCellule&gt;</v>
      </c>
    </row>
    <row r="19883" spans="1:1" x14ac:dyDescent="0.2">
      <c r="A19883" s="996" t="str">
        <f>CONCATENATE(Programme!D19884,Programme!E19884,Programme!F19884,Programme!G19884,Programme!H19884,Programme!I19884,Programme!J19884)</f>
        <v>&lt;cellule&gt;</v>
      </c>
    </row>
    <row r="19884" spans="1:1" x14ac:dyDescent="0.2">
      <c r="A19884" s="996" t="str">
        <f>CONCATENATE(Programme!D19885,Programme!E19885,Programme!F19885,Programme!G19885,Programme!H19885,Programme!I19885,Programme!J19885)</f>
        <v>&lt;codeEdi&gt;1618&lt;/codeEdi&gt;</v>
      </c>
    </row>
    <row r="19885" spans="1:1" x14ac:dyDescent="0.2">
      <c r="A19885" s="996" t="str">
        <f>CONCATENATE(Programme!D19886,Programme!E19886,Programme!F19886,Programme!G19886,Programme!H19886,Programme!I19886,Programme!J19886)</f>
        <v>&lt;/cellule&gt;</v>
      </c>
    </row>
    <row r="19886" spans="1:1" x14ac:dyDescent="0.2">
      <c r="A19886" s="996" t="str">
        <f>CONCATENATE(Programme!D19887,Programme!E19887,Programme!F19887,Programme!G19887,Programme!H19887,Programme!I19887,Programme!J19887)</f>
        <v>&lt;valeur&gt;0&lt;/valeur&gt;</v>
      </c>
    </row>
    <row r="19887" spans="1:1" x14ac:dyDescent="0.2">
      <c r="A19887" s="996" t="str">
        <f>CONCATENATE(Programme!D19888,Programme!E19888,Programme!F19888,Programme!G19888,Programme!H19888,Programme!I19888,Programme!J19888)</f>
        <v>&lt;/ValeurCellule&gt;</v>
      </c>
    </row>
    <row r="19888" spans="1:1" x14ac:dyDescent="0.2">
      <c r="A19888" s="996" t="str">
        <f>CONCATENATE(Programme!D19889,Programme!E19889,Programme!F19889,Programme!G19889,Programme!H19889,Programme!I19889,Programme!J19889)</f>
        <v>&lt;ValeurCellule&gt;</v>
      </c>
    </row>
    <row r="19889" spans="1:1" x14ac:dyDescent="0.2">
      <c r="A19889" s="996" t="str">
        <f>CONCATENATE(Programme!D19890,Programme!E19890,Programme!F19890,Programme!G19890,Programme!H19890,Programme!I19890,Programme!J19890)</f>
        <v>&lt;cellule&gt;</v>
      </c>
    </row>
    <row r="19890" spans="1:1" x14ac:dyDescent="0.2">
      <c r="A19890" s="996" t="str">
        <f>CONCATENATE(Programme!D19891,Programme!E19891,Programme!F19891,Programme!G19891,Programme!H19891,Programme!I19891,Programme!J19891)</f>
        <v>&lt;codeEdi&gt;1641&lt;/codeEdi&gt;</v>
      </c>
    </row>
    <row r="19891" spans="1:1" x14ac:dyDescent="0.2">
      <c r="A19891" s="996" t="str">
        <f>CONCATENATE(Programme!D19892,Programme!E19892,Programme!F19892,Programme!G19892,Programme!H19892,Programme!I19892,Programme!J19892)</f>
        <v>&lt;/cellule&gt;</v>
      </c>
    </row>
    <row r="19892" spans="1:1" x14ac:dyDescent="0.2">
      <c r="A19892" s="996" t="str">
        <f>CONCATENATE(Programme!D19893,Programme!E19893,Programme!F19893,Programme!G19893,Programme!H19893,Programme!I19893,Programme!J19893)</f>
        <v>&lt;valeur&gt;&lt;/valeur&gt;</v>
      </c>
    </row>
    <row r="19893" spans="1:1" x14ac:dyDescent="0.2">
      <c r="A19893" s="996" t="str">
        <f>CONCATENATE(Programme!D19894,Programme!E19894,Programme!F19894,Programme!G19894,Programme!H19894,Programme!I19894,Programme!J19894)</f>
        <v>&lt;/ValeurCellule&gt;</v>
      </c>
    </row>
    <row r="19894" spans="1:1" x14ac:dyDescent="0.2">
      <c r="A19894" s="996" t="str">
        <f>CONCATENATE(Programme!D19895,Programme!E19895,Programme!F19895,Programme!G19895,Programme!H19895,Programme!I19895,Programme!J19895)</f>
        <v>&lt;ValeurCellule&gt;</v>
      </c>
    </row>
    <row r="19895" spans="1:1" x14ac:dyDescent="0.2">
      <c r="A19895" s="996" t="str">
        <f>CONCATENATE(Programme!D19896,Programme!E19896,Programme!F19896,Programme!G19896,Programme!H19896,Programme!I19896,Programme!J19896)</f>
        <v>&lt;cellule&gt;</v>
      </c>
    </row>
    <row r="19896" spans="1:1" x14ac:dyDescent="0.2">
      <c r="A19896" s="996" t="str">
        <f>CONCATENATE(Programme!D19897,Programme!E19897,Programme!F19897,Programme!G19897,Programme!H19897,Programme!I19897,Programme!J19897)</f>
        <v>&lt;codeEdi&gt;1649&lt;/codeEdi&gt;</v>
      </c>
    </row>
    <row r="19897" spans="1:1" x14ac:dyDescent="0.2">
      <c r="A19897" s="996" t="str">
        <f>CONCATENATE(Programme!D19898,Programme!E19898,Programme!F19898,Programme!G19898,Programme!H19898,Programme!I19898,Programme!J19898)</f>
        <v>&lt;/cellule&gt;</v>
      </c>
    </row>
    <row r="19898" spans="1:1" x14ac:dyDescent="0.2">
      <c r="A19898" s="996" t="str">
        <f>CONCATENATE(Programme!D19899,Programme!E19899,Programme!F19899,Programme!G19899,Programme!H19899,Programme!I19899,Programme!J19899)</f>
        <v>&lt;valeur&gt;0&lt;/valeur&gt;</v>
      </c>
    </row>
    <row r="19899" spans="1:1" x14ac:dyDescent="0.2">
      <c r="A19899" s="996" t="str">
        <f>CONCATENATE(Programme!D19900,Programme!E19900,Programme!F19900,Programme!G19900,Programme!H19900,Programme!I19900,Programme!J19900)</f>
        <v>&lt;/ValeurCellule&gt;</v>
      </c>
    </row>
    <row r="19900" spans="1:1" x14ac:dyDescent="0.2">
      <c r="A19900" s="996" t="str">
        <f>CONCATENATE(Programme!D19901,Programme!E19901,Programme!F19901,Programme!G19901,Programme!H19901,Programme!I19901,Programme!J19901)</f>
        <v>&lt;ValeurCellule&gt;</v>
      </c>
    </row>
    <row r="19901" spans="1:1" x14ac:dyDescent="0.2">
      <c r="A19901" s="996" t="str">
        <f>CONCATENATE(Programme!D19902,Programme!E19902,Programme!F19902,Programme!G19902,Programme!H19902,Programme!I19902,Programme!J19902)</f>
        <v>&lt;cellule&gt;</v>
      </c>
    </row>
    <row r="19902" spans="1:1" x14ac:dyDescent="0.2">
      <c r="A19902" s="996" t="str">
        <f>CONCATENATE(Programme!D19903,Programme!E19903,Programme!F19903,Programme!G19903,Programme!H19903,Programme!I19903,Programme!J19903)</f>
        <v>&lt;codeEdi&gt;1662&lt;/codeEdi&gt;</v>
      </c>
    </row>
    <row r="19903" spans="1:1" x14ac:dyDescent="0.2">
      <c r="A19903" s="996" t="str">
        <f>CONCATENATE(Programme!D19904,Programme!E19904,Programme!F19904,Programme!G19904,Programme!H19904,Programme!I19904,Programme!J19904)</f>
        <v>&lt;/cellule&gt;</v>
      </c>
    </row>
    <row r="19904" spans="1:1" x14ac:dyDescent="0.2">
      <c r="A19904" s="996" t="str">
        <f>CONCATENATE(Programme!D19905,Programme!E19905,Programme!F19905,Programme!G19905,Programme!H19905,Programme!I19905,Programme!J19905)</f>
        <v>&lt;valeur&gt;0&lt;/valeur&gt;</v>
      </c>
    </row>
    <row r="19905" spans="1:1" x14ac:dyDescent="0.2">
      <c r="A19905" s="996" t="str">
        <f>CONCATENATE(Programme!D19906,Programme!E19906,Programme!F19906,Programme!G19906,Programme!H19906,Programme!I19906,Programme!J19906)</f>
        <v>&lt;/ValeurCellule&gt;</v>
      </c>
    </row>
    <row r="19906" spans="1:1" x14ac:dyDescent="0.2">
      <c r="A19906" s="996" t="str">
        <f>CONCATENATE(Programme!D19907,Programme!E19907,Programme!F19907,Programme!G19907,Programme!H19907,Programme!I19907,Programme!J19907)</f>
        <v>&lt;ValeurCellule&gt;</v>
      </c>
    </row>
    <row r="19907" spans="1:1" x14ac:dyDescent="0.2">
      <c r="A19907" s="996" t="str">
        <f>CONCATENATE(Programme!D19908,Programme!E19908,Programme!F19908,Programme!G19908,Programme!H19908,Programme!I19908,Programme!J19908)</f>
        <v>&lt;cellule&gt;</v>
      </c>
    </row>
    <row r="19908" spans="1:1" x14ac:dyDescent="0.2">
      <c r="A19908" s="996" t="str">
        <f>CONCATENATE(Programme!D19909,Programme!E19909,Programme!F19909,Programme!G19909,Programme!H19909,Programme!I19909,Programme!J19909)</f>
        <v>&lt;codeEdi&gt;1670&lt;/codeEdi&gt;</v>
      </c>
    </row>
    <row r="19909" spans="1:1" x14ac:dyDescent="0.2">
      <c r="A19909" s="996" t="str">
        <f>CONCATENATE(Programme!D19910,Programme!E19910,Programme!F19910,Programme!G19910,Programme!H19910,Programme!I19910,Programme!J19910)</f>
        <v>&lt;/cellule&gt;</v>
      </c>
    </row>
    <row r="19910" spans="1:1" x14ac:dyDescent="0.2">
      <c r="A19910" s="996" t="str">
        <f>CONCATENATE(Programme!D19911,Programme!E19911,Programme!F19911,Programme!G19911,Programme!H19911,Programme!I19911,Programme!J19911)</f>
        <v>&lt;valeur&gt;0&lt;/valeur&gt;</v>
      </c>
    </row>
    <row r="19911" spans="1:1" x14ac:dyDescent="0.2">
      <c r="A19911" s="996" t="str">
        <f>CONCATENATE(Programme!D19912,Programme!E19912,Programme!F19912,Programme!G19912,Programme!H19912,Programme!I19912,Programme!J19912)</f>
        <v>&lt;/ValeurCellule&gt;</v>
      </c>
    </row>
    <row r="19912" spans="1:1" x14ac:dyDescent="0.2">
      <c r="A19912" s="996" t="str">
        <f>CONCATENATE(Programme!D19913,Programme!E19913,Programme!F19913,Programme!G19913,Programme!H19913,Programme!I19913,Programme!J19913)</f>
        <v>&lt;ValeurCellule&gt;</v>
      </c>
    </row>
    <row r="19913" spans="1:1" x14ac:dyDescent="0.2">
      <c r="A19913" s="996" t="str">
        <f>CONCATENATE(Programme!D19914,Programme!E19914,Programme!F19914,Programme!G19914,Programme!H19914,Programme!I19914,Programme!J19914)</f>
        <v>&lt;cellule&gt;</v>
      </c>
    </row>
    <row r="19914" spans="1:1" x14ac:dyDescent="0.2">
      <c r="A19914" s="996" t="str">
        <f>CONCATENATE(Programme!D19915,Programme!E19915,Programme!F19915,Programme!G19915,Programme!H19915,Programme!I19915,Programme!J19915)</f>
        <v>&lt;codeEdi&gt;1678&lt;/codeEdi&gt;</v>
      </c>
    </row>
    <row r="19915" spans="1:1" x14ac:dyDescent="0.2">
      <c r="A19915" s="996" t="str">
        <f>CONCATENATE(Programme!D19916,Programme!E19916,Programme!F19916,Programme!G19916,Programme!H19916,Programme!I19916,Programme!J19916)</f>
        <v>&lt;/cellule&gt;</v>
      </c>
    </row>
    <row r="19916" spans="1:1" x14ac:dyDescent="0.2">
      <c r="A19916" s="996" t="str">
        <f>CONCATENATE(Programme!D19917,Programme!E19917,Programme!F19917,Programme!G19917,Programme!H19917,Programme!I19917,Programme!J19917)</f>
        <v>&lt;valeur&gt;0&lt;/valeur&gt;</v>
      </c>
    </row>
    <row r="19917" spans="1:1" x14ac:dyDescent="0.2">
      <c r="A19917" s="996" t="str">
        <f>CONCATENATE(Programme!D19918,Programme!E19918,Programme!F19918,Programme!G19918,Programme!H19918,Programme!I19918,Programme!J19918)</f>
        <v>&lt;/ValeurCellule&gt;</v>
      </c>
    </row>
    <row r="19918" spans="1:1" x14ac:dyDescent="0.2">
      <c r="A19918" s="996" t="str">
        <f>CONCATENATE(Programme!D19919,Programme!E19919,Programme!F19919,Programme!G19919,Programme!H19919,Programme!I19919,Programme!J19919)</f>
        <v>&lt;ValeurCellule&gt;</v>
      </c>
    </row>
    <row r="19919" spans="1:1" x14ac:dyDescent="0.2">
      <c r="A19919" s="996" t="str">
        <f>CONCATENATE(Programme!D19920,Programme!E19920,Programme!F19920,Programme!G19920,Programme!H19920,Programme!I19920,Programme!J19920)</f>
        <v>&lt;cellule&gt;</v>
      </c>
    </row>
    <row r="19920" spans="1:1" x14ac:dyDescent="0.2">
      <c r="A19920" s="996" t="str">
        <f>CONCATENATE(Programme!D19921,Programme!E19921,Programme!F19921,Programme!G19921,Programme!H19921,Programme!I19921,Programme!J19921)</f>
        <v>&lt;codeEdi&gt;1691&lt;/codeEdi&gt;</v>
      </c>
    </row>
    <row r="19921" spans="1:1" x14ac:dyDescent="0.2">
      <c r="A19921" s="996" t="str">
        <f>CONCATENATE(Programme!D19922,Programme!E19922,Programme!F19922,Programme!G19922,Programme!H19922,Programme!I19922,Programme!J19922)</f>
        <v>&lt;/cellule&gt;</v>
      </c>
    </row>
    <row r="19922" spans="1:1" x14ac:dyDescent="0.2">
      <c r="A19922" s="996" t="str">
        <f>CONCATENATE(Programme!D19923,Programme!E19923,Programme!F19923,Programme!G19923,Programme!H19923,Programme!I19923,Programme!J19923)</f>
        <v>&lt;valeur&gt;0&lt;/valeur&gt;</v>
      </c>
    </row>
    <row r="19923" spans="1:1" x14ac:dyDescent="0.2">
      <c r="A19923" s="996" t="str">
        <f>CONCATENATE(Programme!D19924,Programme!E19924,Programme!F19924,Programme!G19924,Programme!H19924,Programme!I19924,Programme!J19924)</f>
        <v>&lt;/ValeurCellule&gt;</v>
      </c>
    </row>
    <row r="19924" spans="1:1" x14ac:dyDescent="0.2">
      <c r="A19924" s="996" t="str">
        <f>CONCATENATE(Programme!D19925,Programme!E19925,Programme!F19925,Programme!G19925,Programme!H19925,Programme!I19925,Programme!J19925)</f>
        <v>&lt;ValeurCellule&gt;</v>
      </c>
    </row>
    <row r="19925" spans="1:1" x14ac:dyDescent="0.2">
      <c r="A19925" s="996" t="str">
        <f>CONCATENATE(Programme!D19926,Programme!E19926,Programme!F19926,Programme!G19926,Programme!H19926,Programme!I19926,Programme!J19926)</f>
        <v>&lt;cellule&gt;</v>
      </c>
    </row>
    <row r="19926" spans="1:1" x14ac:dyDescent="0.2">
      <c r="A19926" s="996" t="str">
        <f>CONCATENATE(Programme!D19927,Programme!E19927,Programme!F19927,Programme!G19927,Programme!H19927,Programme!I19927,Programme!J19927)</f>
        <v>&lt;codeEdi&gt;1742&lt;/codeEdi&gt;</v>
      </c>
    </row>
    <row r="19927" spans="1:1" x14ac:dyDescent="0.2">
      <c r="A19927" s="996" t="str">
        <f>CONCATENATE(Programme!D19928,Programme!E19928,Programme!F19928,Programme!G19928,Programme!H19928,Programme!I19928,Programme!J19928)</f>
        <v>&lt;/cellule&gt;</v>
      </c>
    </row>
    <row r="19928" spans="1:1" x14ac:dyDescent="0.2">
      <c r="A19928" s="996" t="str">
        <f>CONCATENATE(Programme!D19929,Programme!E19929,Programme!F19929,Programme!G19929,Programme!H19929,Programme!I19929,Programme!J19929)</f>
        <v>&lt;valeur&gt;0&lt;/valeur&gt;</v>
      </c>
    </row>
    <row r="19929" spans="1:1" x14ac:dyDescent="0.2">
      <c r="A19929" s="996" t="str">
        <f>CONCATENATE(Programme!D19930,Programme!E19930,Programme!F19930,Programme!G19930,Programme!H19930,Programme!I19930,Programme!J19930)</f>
        <v>&lt;/ValeurCellule&gt;</v>
      </c>
    </row>
    <row r="19930" spans="1:1" x14ac:dyDescent="0.2">
      <c r="A19930" s="996" t="str">
        <f>CONCATENATE(Programme!D19931,Programme!E19931,Programme!F19931,Programme!G19931,Programme!H19931,Programme!I19931,Programme!J19931)</f>
        <v>&lt;ValeurCellule&gt;</v>
      </c>
    </row>
    <row r="19931" spans="1:1" x14ac:dyDescent="0.2">
      <c r="A19931" s="996" t="str">
        <f>CONCATENATE(Programme!D19932,Programme!E19932,Programme!F19932,Programme!G19932,Programme!H19932,Programme!I19932,Programme!J19932)</f>
        <v>&lt;cellule&gt;</v>
      </c>
    </row>
    <row r="19932" spans="1:1" x14ac:dyDescent="0.2">
      <c r="A19932" s="996" t="str">
        <f>CONCATENATE(Programme!D19933,Programme!E19933,Programme!F19933,Programme!G19933,Programme!H19933,Programme!I19933,Programme!J19933)</f>
        <v>&lt;codeEdi&gt;1763&lt;/codeEdi&gt;</v>
      </c>
    </row>
    <row r="19933" spans="1:1" x14ac:dyDescent="0.2">
      <c r="A19933" s="996" t="str">
        <f>CONCATENATE(Programme!D19934,Programme!E19934,Programme!F19934,Programme!G19934,Programme!H19934,Programme!I19934,Programme!J19934)</f>
        <v>&lt;/cellule&gt;</v>
      </c>
    </row>
    <row r="19934" spans="1:1" x14ac:dyDescent="0.2">
      <c r="A19934" s="996" t="str">
        <f>CONCATENATE(Programme!D19935,Programme!E19935,Programme!F19935,Programme!G19935,Programme!H19935,Programme!I19935,Programme!J19935)</f>
        <v>&lt;valeur&gt;0&lt;/valeur&gt;</v>
      </c>
    </row>
    <row r="19935" spans="1:1" x14ac:dyDescent="0.2">
      <c r="A19935" s="996" t="str">
        <f>CONCATENATE(Programme!D19936,Programme!E19936,Programme!F19936,Programme!G19936,Programme!H19936,Programme!I19936,Programme!J19936)</f>
        <v>&lt;/ValeurCellule&gt;</v>
      </c>
    </row>
    <row r="19936" spans="1:1" x14ac:dyDescent="0.2">
      <c r="A19936" s="996" t="str">
        <f>CONCATENATE(Programme!D19937,Programme!E19937,Programme!F19937,Programme!G19937,Programme!H19937,Programme!I19937,Programme!J19937)</f>
        <v>&lt;ValeurCellule&gt;</v>
      </c>
    </row>
    <row r="19937" spans="1:1" x14ac:dyDescent="0.2">
      <c r="A19937" s="996" t="str">
        <f>CONCATENATE(Programme!D19938,Programme!E19938,Programme!F19938,Programme!G19938,Programme!H19938,Programme!I19938,Programme!J19938)</f>
        <v>&lt;cellule&gt;</v>
      </c>
    </row>
    <row r="19938" spans="1:1" x14ac:dyDescent="0.2">
      <c r="A19938" s="996" t="str">
        <f>CONCATENATE(Programme!D19939,Programme!E19939,Programme!F19939,Programme!G19939,Programme!H19939,Programme!I19939,Programme!J19939)</f>
        <v>&lt;codeEdi&gt;1775&lt;/codeEdi&gt;</v>
      </c>
    </row>
    <row r="19939" spans="1:1" x14ac:dyDescent="0.2">
      <c r="A19939" s="996" t="str">
        <f>CONCATENATE(Programme!D19940,Programme!E19940,Programme!F19940,Programme!G19940,Programme!H19940,Programme!I19940,Programme!J19940)</f>
        <v>&lt;/cellule&gt;</v>
      </c>
    </row>
    <row r="19940" spans="1:1" x14ac:dyDescent="0.2">
      <c r="A19940" s="996" t="str">
        <f>CONCATENATE(Programme!D19941,Programme!E19941,Programme!F19941,Programme!G19941,Programme!H19941,Programme!I19941,Programme!J19941)</f>
        <v>&lt;valeur&gt;0&lt;/valeur&gt;</v>
      </c>
    </row>
    <row r="19941" spans="1:1" x14ac:dyDescent="0.2">
      <c r="A19941" s="996" t="str">
        <f>CONCATENATE(Programme!D19942,Programme!E19942,Programme!F19942,Programme!G19942,Programme!H19942,Programme!I19942,Programme!J19942)</f>
        <v>&lt;/ValeurCellule&gt;</v>
      </c>
    </row>
    <row r="19942" spans="1:1" x14ac:dyDescent="0.2">
      <c r="A19942" s="996" t="str">
        <f>CONCATENATE(Programme!D19943,Programme!E19943,Programme!F19943,Programme!G19943,Programme!H19943,Programme!I19943,Programme!J19943)</f>
        <v>&lt;ValeurCellule&gt;</v>
      </c>
    </row>
    <row r="19943" spans="1:1" x14ac:dyDescent="0.2">
      <c r="A19943" s="996" t="str">
        <f>CONCATENATE(Programme!D19944,Programme!E19944,Programme!F19944,Programme!G19944,Programme!H19944,Programme!I19944,Programme!J19944)</f>
        <v>&lt;cellule&gt;</v>
      </c>
    </row>
    <row r="19944" spans="1:1" x14ac:dyDescent="0.2">
      <c r="A19944" s="996" t="str">
        <f>CONCATENATE(Programme!D19945,Programme!E19945,Programme!F19945,Programme!G19945,Programme!H19945,Programme!I19945,Programme!J19945)</f>
        <v>&lt;codeEdi&gt;1806&lt;/codeEdi&gt;</v>
      </c>
    </row>
    <row r="19945" spans="1:1" x14ac:dyDescent="0.2">
      <c r="A19945" s="996" t="str">
        <f>CONCATENATE(Programme!D19946,Programme!E19946,Programme!F19946,Programme!G19946,Programme!H19946,Programme!I19946,Programme!J19946)</f>
        <v>&lt;/cellule&gt;</v>
      </c>
    </row>
    <row r="19946" spans="1:1" x14ac:dyDescent="0.2">
      <c r="A19946" s="996" t="str">
        <f>CONCATENATE(Programme!D19947,Programme!E19947,Programme!F19947,Programme!G19947,Programme!H19947,Programme!I19947,Programme!J19947)</f>
        <v>&lt;valeur&gt;0&lt;/valeur&gt;</v>
      </c>
    </row>
    <row r="19947" spans="1:1" x14ac:dyDescent="0.2">
      <c r="A19947" s="996" t="str">
        <f>CONCATENATE(Programme!D19948,Programme!E19948,Programme!F19948,Programme!G19948,Programme!H19948,Programme!I19948,Programme!J19948)</f>
        <v>&lt;/ValeurCellule&gt;</v>
      </c>
    </row>
    <row r="19948" spans="1:1" x14ac:dyDescent="0.2">
      <c r="A19948" s="996" t="str">
        <f>CONCATENATE(Programme!D19949,Programme!E19949,Programme!F19949,Programme!G19949,Programme!H19949,Programme!I19949,Programme!J19949)</f>
        <v>&lt;ValeurCellule&gt;</v>
      </c>
    </row>
    <row r="19949" spans="1:1" x14ac:dyDescent="0.2">
      <c r="A19949" s="996" t="str">
        <f>CONCATENATE(Programme!D19950,Programme!E19950,Programme!F19950,Programme!G19950,Programme!H19950,Programme!I19950,Programme!J19950)</f>
        <v>&lt;cellule&gt;</v>
      </c>
    </row>
    <row r="19950" spans="1:1" x14ac:dyDescent="0.2">
      <c r="A19950" s="996" t="str">
        <f>CONCATENATE(Programme!D19951,Programme!E19951,Programme!F19951,Programme!G19951,Programme!H19951,Programme!I19951,Programme!J19951)</f>
        <v>&lt;codeEdi&gt;1825&lt;/codeEdi&gt;</v>
      </c>
    </row>
    <row r="19951" spans="1:1" x14ac:dyDescent="0.2">
      <c r="A19951" s="996" t="str">
        <f>CONCATENATE(Programme!D19952,Programme!E19952,Programme!F19952,Programme!G19952,Programme!H19952,Programme!I19952,Programme!J19952)</f>
        <v>&lt;/cellule&gt;</v>
      </c>
    </row>
    <row r="19952" spans="1:1" x14ac:dyDescent="0.2">
      <c r="A19952" s="996" t="str">
        <f>CONCATENATE(Programme!D19953,Programme!E19953,Programme!F19953,Programme!G19953,Programme!H19953,Programme!I19953,Programme!J19953)</f>
        <v>&lt;valeur&gt;0&lt;/valeur&gt;</v>
      </c>
    </row>
    <row r="19953" spans="1:1" x14ac:dyDescent="0.2">
      <c r="A19953" s="996" t="str">
        <f>CONCATENATE(Programme!D19954,Programme!E19954,Programme!F19954,Programme!G19954,Programme!H19954,Programme!I19954,Programme!J19954)</f>
        <v>&lt;/ValeurCellule&gt;</v>
      </c>
    </row>
    <row r="19954" spans="1:1" x14ac:dyDescent="0.2">
      <c r="A19954" s="996" t="str">
        <f>CONCATENATE(Programme!D19955,Programme!E19955,Programme!F19955,Programme!G19955,Programme!H19955,Programme!I19955,Programme!J19955)</f>
        <v>&lt;ValeurCellule&gt;</v>
      </c>
    </row>
    <row r="19955" spans="1:1" x14ac:dyDescent="0.2">
      <c r="A19955" s="996" t="str">
        <f>CONCATENATE(Programme!D19956,Programme!E19956,Programme!F19956,Programme!G19956,Programme!H19956,Programme!I19956,Programme!J19956)</f>
        <v>&lt;cellule&gt;</v>
      </c>
    </row>
    <row r="19956" spans="1:1" x14ac:dyDescent="0.2">
      <c r="A19956" s="996" t="str">
        <f>CONCATENATE(Programme!D19957,Programme!E19957,Programme!F19957,Programme!G19957,Programme!H19957,Programme!I19957,Programme!J19957)</f>
        <v>&lt;codeEdi&gt;1842&lt;/codeEdi&gt;</v>
      </c>
    </row>
    <row r="19957" spans="1:1" x14ac:dyDescent="0.2">
      <c r="A19957" s="996" t="str">
        <f>CONCATENATE(Programme!D19958,Programme!E19958,Programme!F19958,Programme!G19958,Programme!H19958,Programme!I19958,Programme!J19958)</f>
        <v>&lt;/cellule&gt;</v>
      </c>
    </row>
    <row r="19958" spans="1:1" x14ac:dyDescent="0.2">
      <c r="A19958" s="996" t="str">
        <f>CONCATENATE(Programme!D19959,Programme!E19959,Programme!F19959,Programme!G19959,Programme!H19959,Programme!I19959,Programme!J19959)</f>
        <v>&lt;valeur&gt;0&lt;/valeur&gt;</v>
      </c>
    </row>
    <row r="19959" spans="1:1" x14ac:dyDescent="0.2">
      <c r="A19959" s="996" t="str">
        <f>CONCATENATE(Programme!D19960,Programme!E19960,Programme!F19960,Programme!G19960,Programme!H19960,Programme!I19960,Programme!J19960)</f>
        <v>&lt;/ValeurCellule&gt;</v>
      </c>
    </row>
    <row r="19960" spans="1:1" x14ac:dyDescent="0.2">
      <c r="A19960" s="996" t="str">
        <f>CONCATENATE(Programme!D19961,Programme!E19961,Programme!F19961,Programme!G19961,Programme!H19961,Programme!I19961,Programme!J19961)</f>
        <v>&lt;ValeurCellule&gt;</v>
      </c>
    </row>
    <row r="19961" spans="1:1" x14ac:dyDescent="0.2">
      <c r="A19961" s="996" t="str">
        <f>CONCATENATE(Programme!D19962,Programme!E19962,Programme!F19962,Programme!G19962,Programme!H19962,Programme!I19962,Programme!J19962)</f>
        <v>&lt;cellule&gt;</v>
      </c>
    </row>
    <row r="19962" spans="1:1" x14ac:dyDescent="0.2">
      <c r="A19962" s="996" t="str">
        <f>CONCATENATE(Programme!D19963,Programme!E19963,Programme!F19963,Programme!G19963,Programme!H19963,Programme!I19963,Programme!J19963)</f>
        <v>&lt;codeEdi&gt;1859&lt;/codeEdi&gt;</v>
      </c>
    </row>
    <row r="19963" spans="1:1" x14ac:dyDescent="0.2">
      <c r="A19963" s="996" t="str">
        <f>CONCATENATE(Programme!D19964,Programme!E19964,Programme!F19964,Programme!G19964,Programme!H19964,Programme!I19964,Programme!J19964)</f>
        <v>&lt;/cellule&gt;</v>
      </c>
    </row>
    <row r="19964" spans="1:1" x14ac:dyDescent="0.2">
      <c r="A19964" s="996" t="str">
        <f>CONCATENATE(Programme!D19965,Programme!E19965,Programme!F19965,Programme!G19965,Programme!H19965,Programme!I19965,Programme!J19965)</f>
        <v>&lt;valeur&gt;0&lt;/valeur&gt;</v>
      </c>
    </row>
    <row r="19965" spans="1:1" x14ac:dyDescent="0.2">
      <c r="A19965" s="996" t="str">
        <f>CONCATENATE(Programme!D19966,Programme!E19966,Programme!F19966,Programme!G19966,Programme!H19966,Programme!I19966,Programme!J19966)</f>
        <v>&lt;/ValeurCellule&gt;</v>
      </c>
    </row>
    <row r="19966" spans="1:1" x14ac:dyDescent="0.2">
      <c r="A19966" s="996" t="str">
        <f>CONCATENATE(Programme!D19967,Programme!E19967,Programme!F19967,Programme!G19967,Programme!H19967,Programme!I19967,Programme!J19967)</f>
        <v>&lt;ValeurCellule&gt;</v>
      </c>
    </row>
    <row r="19967" spans="1:1" x14ac:dyDescent="0.2">
      <c r="A19967" s="996" t="str">
        <f>CONCATENATE(Programme!D19968,Programme!E19968,Programme!F19968,Programme!G19968,Programme!H19968,Programme!I19968,Programme!J19968)</f>
        <v>&lt;cellule&gt;</v>
      </c>
    </row>
    <row r="19968" spans="1:1" x14ac:dyDescent="0.2">
      <c r="A19968" s="996" t="str">
        <f>CONCATENATE(Programme!D19969,Programme!E19969,Programme!F19969,Programme!G19969,Programme!H19969,Programme!I19969,Programme!J19969)</f>
        <v>&lt;codeEdi&gt;1867&lt;/codeEdi&gt;</v>
      </c>
    </row>
    <row r="19969" spans="1:1" x14ac:dyDescent="0.2">
      <c r="A19969" s="996" t="str">
        <f>CONCATENATE(Programme!D19970,Programme!E19970,Programme!F19970,Programme!G19970,Programme!H19970,Programme!I19970,Programme!J19970)</f>
        <v>&lt;/cellule&gt;</v>
      </c>
    </row>
    <row r="19970" spans="1:1" x14ac:dyDescent="0.2">
      <c r="A19970" s="996" t="str">
        <f>CONCATENATE(Programme!D19971,Programme!E19971,Programme!F19971,Programme!G19971,Programme!H19971,Programme!I19971,Programme!J19971)</f>
        <v>&lt;valeur&gt;0&lt;/valeur&gt;</v>
      </c>
    </row>
    <row r="19971" spans="1:1" x14ac:dyDescent="0.2">
      <c r="A19971" s="996" t="str">
        <f>CONCATENATE(Programme!D19972,Programme!E19972,Programme!F19972,Programme!G19972,Programme!H19972,Programme!I19972,Programme!J19972)</f>
        <v>&lt;/ValeurCellule&gt;</v>
      </c>
    </row>
    <row r="19972" spans="1:1" x14ac:dyDescent="0.2">
      <c r="A19972" s="996" t="str">
        <f>CONCATENATE(Programme!D19973,Programme!E19973,Programme!F19973,Programme!G19973,Programme!H19973,Programme!I19973,Programme!J19973)</f>
        <v>&lt;ValeurCellule&gt;</v>
      </c>
    </row>
    <row r="19973" spans="1:1" x14ac:dyDescent="0.2">
      <c r="A19973" s="996" t="str">
        <f>CONCATENATE(Programme!D19974,Programme!E19974,Programme!F19974,Programme!G19974,Programme!H19974,Programme!I19974,Programme!J19974)</f>
        <v>&lt;cellule&gt;</v>
      </c>
    </row>
    <row r="19974" spans="1:1" x14ac:dyDescent="0.2">
      <c r="A19974" s="996" t="str">
        <f>CONCATENATE(Programme!D19975,Programme!E19975,Programme!F19975,Programme!G19975,Programme!H19975,Programme!I19975,Programme!J19975)</f>
        <v>&lt;codeEdi&gt;1875&lt;/codeEdi&gt;</v>
      </c>
    </row>
    <row r="19975" spans="1:1" x14ac:dyDescent="0.2">
      <c r="A19975" s="996" t="str">
        <f>CONCATENATE(Programme!D19976,Programme!E19976,Programme!F19976,Programme!G19976,Programme!H19976,Programme!I19976,Programme!J19976)</f>
        <v>&lt;/cellule&gt;</v>
      </c>
    </row>
    <row r="19976" spans="1:1" x14ac:dyDescent="0.2">
      <c r="A19976" s="996" t="str">
        <f>CONCATENATE(Programme!D19977,Programme!E19977,Programme!F19977,Programme!G19977,Programme!H19977,Programme!I19977,Programme!J19977)</f>
        <v>&lt;valeur&gt;0&lt;/valeur&gt;</v>
      </c>
    </row>
    <row r="19977" spans="1:1" x14ac:dyDescent="0.2">
      <c r="A19977" s="996" t="str">
        <f>CONCATENATE(Programme!D19978,Programme!E19978,Programme!F19978,Programme!G19978,Programme!H19978,Programme!I19978,Programme!J19978)</f>
        <v>&lt;/ValeurCellule&gt;</v>
      </c>
    </row>
    <row r="19978" spans="1:1" x14ac:dyDescent="0.2">
      <c r="A19978" s="996" t="str">
        <f>CONCATENATE(Programme!D19979,Programme!E19979,Programme!F19979,Programme!G19979,Programme!H19979,Programme!I19979,Programme!J19979)</f>
        <v>&lt;ValeurCellule&gt;</v>
      </c>
    </row>
    <row r="19979" spans="1:1" x14ac:dyDescent="0.2">
      <c r="A19979" s="996" t="str">
        <f>CONCATENATE(Programme!D19980,Programme!E19980,Programme!F19980,Programme!G19980,Programme!H19980,Programme!I19980,Programme!J19980)</f>
        <v>&lt;cellule&gt;</v>
      </c>
    </row>
    <row r="19980" spans="1:1" x14ac:dyDescent="0.2">
      <c r="A19980" s="996" t="str">
        <f>CONCATENATE(Programme!D19981,Programme!E19981,Programme!F19981,Programme!G19981,Programme!H19981,Programme!I19981,Programme!J19981)</f>
        <v>&lt;codeEdi&gt;1892&lt;/codeEdi&gt;</v>
      </c>
    </row>
    <row r="19981" spans="1:1" x14ac:dyDescent="0.2">
      <c r="A19981" s="996" t="str">
        <f>CONCATENATE(Programme!D19982,Programme!E19982,Programme!F19982,Programme!G19982,Programme!H19982,Programme!I19982,Programme!J19982)</f>
        <v>&lt;/cellule&gt;</v>
      </c>
    </row>
    <row r="19982" spans="1:1" x14ac:dyDescent="0.2">
      <c r="A19982" s="996" t="str">
        <f>CONCATENATE(Programme!D19983,Programme!E19983,Programme!F19983,Programme!G19983,Programme!H19983,Programme!I19983,Programme!J19983)</f>
        <v>&lt;valeur&gt;0&lt;/valeur&gt;</v>
      </c>
    </row>
    <row r="19983" spans="1:1" x14ac:dyDescent="0.2">
      <c r="A19983" s="996" t="str">
        <f>CONCATENATE(Programme!D19984,Programme!E19984,Programme!F19984,Programme!G19984,Programme!H19984,Programme!I19984,Programme!J19984)</f>
        <v>&lt;/ValeurCellule&gt;</v>
      </c>
    </row>
    <row r="19984" spans="1:1" x14ac:dyDescent="0.2">
      <c r="A19984" s="996" t="str">
        <f>CONCATENATE(Programme!D19985,Programme!E19985,Programme!F19985,Programme!G19985,Programme!H19985,Programme!I19985,Programme!J19985)</f>
        <v>&lt;/groupeValeurs&gt;</v>
      </c>
    </row>
    <row r="19985" spans="1:1" x14ac:dyDescent="0.2">
      <c r="A19985" s="996" t="str">
        <f>CONCATENATE(Programme!D19986,Programme!E19986,Programme!F19986,Programme!G19986,Programme!H19986,Programme!I19986,Programme!J19986)</f>
        <v>&lt;extraFieldvaleurs&gt;</v>
      </c>
    </row>
    <row r="19986" spans="1:1" x14ac:dyDescent="0.2">
      <c r="A19986" s="996" t="str">
        <f>CONCATENATE(Programme!D19987,Programme!E19987,Programme!F19987,Programme!G19987,Programme!H19987,Programme!I19987,Programme!J19987)</f>
        <v>&lt;/extraFieldvaleurs&gt;</v>
      </c>
    </row>
    <row r="19987" spans="1:1" x14ac:dyDescent="0.2">
      <c r="A19987" s="996" t="str">
        <f>CONCATENATE(Programme!D19988,Programme!E19988,Programme!F19988,Programme!G19988,Programme!H19988,Programme!I19988,Programme!J19988)</f>
        <v>&lt;/ValeursTableau&gt;</v>
      </c>
    </row>
    <row r="19988" spans="1:1" x14ac:dyDescent="0.2">
      <c r="A19988" s="996" t="str">
        <f>CONCATENATE(Programme!D19989,Programme!E19989,Programme!F19989,Programme!G19989,Programme!H19989,Programme!I19989,Programme!J19989)</f>
        <v>&lt;ValeursTableau&gt;</v>
      </c>
    </row>
    <row r="19989" spans="1:1" x14ac:dyDescent="0.2">
      <c r="A19989" s="996" t="str">
        <f>CONCATENATE(Programme!D19990,Programme!E19990,Programme!F19990,Programme!G19990,Programme!H19990,Programme!I19990,Programme!J19990)</f>
        <v>&lt;tableau&gt;&lt;id&gt;200&lt;/id&gt;&lt;/tableau&gt;</v>
      </c>
    </row>
    <row r="19990" spans="1:1" x14ac:dyDescent="0.2">
      <c r="A19990" s="996" t="str">
        <f>CONCATENATE(Programme!D19991,Programme!E19991,Programme!F19991,Programme!G19991,Programme!H19991,Programme!I19991,Programme!J19991)</f>
        <v>&lt;groupeValeurs&gt;</v>
      </c>
    </row>
    <row r="19991" spans="1:1" x14ac:dyDescent="0.2">
      <c r="A19991" s="996" t="str">
        <f>CONCATENATE(Programme!D19992,Programme!E19992,Programme!F19992,Programme!G19992,Programme!H19992,Programme!I19992,Programme!J19992)</f>
        <v>&lt;ValeurCellule&gt;</v>
      </c>
    </row>
    <row r="19992" spans="1:1" x14ac:dyDescent="0.2">
      <c r="A19992" s="996" t="str">
        <f>CONCATENATE(Programme!D19993,Programme!E19993,Programme!F19993,Programme!G19993,Programme!H19993,Programme!I19993,Programme!J19993)</f>
        <v>&lt;cellule&gt;</v>
      </c>
    </row>
    <row r="19993" spans="1:1" x14ac:dyDescent="0.2">
      <c r="A19993" s="996" t="str">
        <f>CONCATENATE(Programme!D19994,Programme!E19994,Programme!F19994,Programme!G19994,Programme!H19994,Programme!I19994,Programme!J19994)</f>
        <v>&lt;codeEdi&gt;14068&lt;/codeEdi&gt;</v>
      </c>
    </row>
    <row r="19994" spans="1:1" x14ac:dyDescent="0.2">
      <c r="A19994" s="996" t="str">
        <f>CONCATENATE(Programme!D19995,Programme!E19995,Programme!F19995,Programme!G19995,Programme!H19995,Programme!I19995,Programme!J19995)</f>
        <v>&lt;/cellule&gt;</v>
      </c>
    </row>
    <row r="19995" spans="1:1" x14ac:dyDescent="0.2">
      <c r="A19995" s="996" t="str">
        <f>CONCATENATE(Programme!D19996,Programme!E19996,Programme!F19996,Programme!G19996,Programme!H19996,Programme!I19996,Programme!J19996)</f>
        <v>&lt;valeur&gt;&lt;/valeur&gt;</v>
      </c>
    </row>
    <row r="19996" spans="1:1" x14ac:dyDescent="0.2">
      <c r="A19996" s="996" t="str">
        <f>CONCATENATE(Programme!D19997,Programme!E19997,Programme!F19997,Programme!G19997,Programme!H19997,Programme!I19997,Programme!J19997)</f>
        <v>&lt;/ValeurCellule&gt;</v>
      </c>
    </row>
    <row r="19997" spans="1:1" x14ac:dyDescent="0.2">
      <c r="A19997" s="996" t="str">
        <f>CONCATENATE(Programme!D19998,Programme!E19998,Programme!F19998,Programme!G19998,Programme!H19998,Programme!I19998,Programme!J19998)</f>
        <v>&lt;ValeurCellule&gt;</v>
      </c>
    </row>
    <row r="19998" spans="1:1" x14ac:dyDescent="0.2">
      <c r="A19998" s="996" t="str">
        <f>CONCATENATE(Programme!D19999,Programme!E19999,Programme!F19999,Programme!G19999,Programme!H19999,Programme!I19999,Programme!J19999)</f>
        <v>&lt;cellule&gt;</v>
      </c>
    </row>
    <row r="19999" spans="1:1" x14ac:dyDescent="0.2">
      <c r="A19999" s="996" t="str">
        <f>CONCATENATE(Programme!D20000,Programme!E20000,Programme!F20000,Programme!G20000,Programme!H20000,Programme!I20000,Programme!J20000)</f>
        <v>&lt;codeEdi&gt;14071&lt;/codeEdi&gt;</v>
      </c>
    </row>
    <row r="20000" spans="1:1" x14ac:dyDescent="0.2">
      <c r="A20000" s="996" t="str">
        <f>CONCATENATE(Programme!D20001,Programme!E20001,Programme!F20001,Programme!G20001,Programme!H20001,Programme!I20001,Programme!J20001)</f>
        <v>&lt;/cellule&gt;</v>
      </c>
    </row>
    <row r="20001" spans="1:1" x14ac:dyDescent="0.2">
      <c r="A20001" s="996" t="str">
        <f>CONCATENATE(Programme!D20002,Programme!E20002,Programme!F20002,Programme!G20002,Programme!H20002,Programme!I20002,Programme!J20002)</f>
        <v>&lt;valeur&gt;&lt;/valeur&gt;</v>
      </c>
    </row>
    <row r="20002" spans="1:1" x14ac:dyDescent="0.2">
      <c r="A20002" s="996" t="str">
        <f>CONCATENATE(Programme!D20003,Programme!E20003,Programme!F20003,Programme!G20003,Programme!H20003,Programme!I20003,Programme!J20003)</f>
        <v>&lt;/ValeurCellule&gt;</v>
      </c>
    </row>
    <row r="20003" spans="1:1" x14ac:dyDescent="0.2">
      <c r="A20003" s="996" t="str">
        <f>CONCATENATE(Programme!D20004,Programme!E20004,Programme!F20004,Programme!G20004,Programme!H20004,Programme!I20004,Programme!J20004)</f>
        <v>&lt;ValeurCellule&gt;</v>
      </c>
    </row>
    <row r="20004" spans="1:1" x14ac:dyDescent="0.2">
      <c r="A20004" s="996" t="str">
        <f>CONCATENATE(Programme!D20005,Programme!E20005,Programme!F20005,Programme!G20005,Programme!H20005,Programme!I20005,Programme!J20005)</f>
        <v>&lt;cellule&gt;</v>
      </c>
    </row>
    <row r="20005" spans="1:1" x14ac:dyDescent="0.2">
      <c r="A20005" s="996" t="str">
        <f>CONCATENATE(Programme!D20006,Programme!E20006,Programme!F20006,Programme!G20006,Programme!H20006,Programme!I20006,Programme!J20006)</f>
        <v>&lt;codeEdi&gt;14074&lt;/codeEdi&gt;</v>
      </c>
    </row>
    <row r="20006" spans="1:1" x14ac:dyDescent="0.2">
      <c r="A20006" s="996" t="str">
        <f>CONCATENATE(Programme!D20007,Programme!E20007,Programme!F20007,Programme!G20007,Programme!H20007,Programme!I20007,Programme!J20007)</f>
        <v>&lt;/cellule&gt;</v>
      </c>
    </row>
    <row r="20007" spans="1:1" x14ac:dyDescent="0.2">
      <c r="A20007" s="996" t="str">
        <f>CONCATENATE(Programme!D20008,Programme!E20008,Programme!F20008,Programme!G20008,Programme!H20008,Programme!I20008,Programme!J20008)</f>
        <v>&lt;valeur&gt;&lt;/valeur&gt;</v>
      </c>
    </row>
    <row r="20008" spans="1:1" x14ac:dyDescent="0.2">
      <c r="A20008" s="996" t="str">
        <f>CONCATENATE(Programme!D20009,Programme!E20009,Programme!F20009,Programme!G20009,Programme!H20009,Programme!I20009,Programme!J20009)</f>
        <v>&lt;/ValeurCellule&gt;</v>
      </c>
    </row>
    <row r="20009" spans="1:1" x14ac:dyDescent="0.2">
      <c r="A20009" s="996" t="str">
        <f>CONCATENATE(Programme!D20010,Programme!E20010,Programme!F20010,Programme!G20010,Programme!H20010,Programme!I20010,Programme!J20010)</f>
        <v>&lt;ValeurCellule&gt;</v>
      </c>
    </row>
    <row r="20010" spans="1:1" x14ac:dyDescent="0.2">
      <c r="A20010" s="996" t="str">
        <f>CONCATENATE(Programme!D20011,Programme!E20011,Programme!F20011,Programme!G20011,Programme!H20011,Programme!I20011,Programme!J20011)</f>
        <v>&lt;cellule&gt;</v>
      </c>
    </row>
    <row r="20011" spans="1:1" x14ac:dyDescent="0.2">
      <c r="A20011" s="996" t="str">
        <f>CONCATENATE(Programme!D20012,Programme!E20012,Programme!F20012,Programme!G20012,Programme!H20012,Programme!I20012,Programme!J20012)</f>
        <v>&lt;codeEdi&gt;14077&lt;/codeEdi&gt;</v>
      </c>
    </row>
    <row r="20012" spans="1:1" x14ac:dyDescent="0.2">
      <c r="A20012" s="996" t="str">
        <f>CONCATENATE(Programme!D20013,Programme!E20013,Programme!F20013,Programme!G20013,Programme!H20013,Programme!I20013,Programme!J20013)</f>
        <v>&lt;/cellule&gt;</v>
      </c>
    </row>
    <row r="20013" spans="1:1" x14ac:dyDescent="0.2">
      <c r="A20013" s="996" t="str">
        <f>CONCATENATE(Programme!D20014,Programme!E20014,Programme!F20014,Programme!G20014,Programme!H20014,Programme!I20014,Programme!J20014)</f>
        <v>&lt;valeur&gt;&lt;/valeur&gt;</v>
      </c>
    </row>
    <row r="20014" spans="1:1" x14ac:dyDescent="0.2">
      <c r="A20014" s="996" t="str">
        <f>CONCATENATE(Programme!D20015,Programme!E20015,Programme!F20015,Programme!G20015,Programme!H20015,Programme!I20015,Programme!J20015)</f>
        <v>&lt;/ValeurCellule&gt;</v>
      </c>
    </row>
    <row r="20015" spans="1:1" x14ac:dyDescent="0.2">
      <c r="A20015" s="996" t="str">
        <f>CONCATENATE(Programme!D20016,Programme!E20016,Programme!F20016,Programme!G20016,Programme!H20016,Programme!I20016,Programme!J20016)</f>
        <v>&lt;ValeurCellule&gt;</v>
      </c>
    </row>
    <row r="20016" spans="1:1" x14ac:dyDescent="0.2">
      <c r="A20016" s="996" t="str">
        <f>CONCATENATE(Programme!D20017,Programme!E20017,Programme!F20017,Programme!G20017,Programme!H20017,Programme!I20017,Programme!J20017)</f>
        <v>&lt;cellule&gt;</v>
      </c>
    </row>
    <row r="20017" spans="1:1" x14ac:dyDescent="0.2">
      <c r="A20017" s="996" t="str">
        <f>CONCATENATE(Programme!D20018,Programme!E20018,Programme!F20018,Programme!G20018,Programme!H20018,Programme!I20018,Programme!J20018)</f>
        <v>&lt;codeEdi&gt;14080&lt;/codeEdi&gt;</v>
      </c>
    </row>
    <row r="20018" spans="1:1" x14ac:dyDescent="0.2">
      <c r="A20018" s="996" t="str">
        <f>CONCATENATE(Programme!D20019,Programme!E20019,Programme!F20019,Programme!G20019,Programme!H20019,Programme!I20019,Programme!J20019)</f>
        <v>&lt;/cellule&gt;</v>
      </c>
    </row>
    <row r="20019" spans="1:1" x14ac:dyDescent="0.2">
      <c r="A20019" s="996" t="str">
        <f>CONCATENATE(Programme!D20020,Programme!E20020,Programme!F20020,Programme!G20020,Programme!H20020,Programme!I20020,Programme!J20020)</f>
        <v>&lt;valeur&gt;&lt;/valeur&gt;</v>
      </c>
    </row>
    <row r="20020" spans="1:1" x14ac:dyDescent="0.2">
      <c r="A20020" s="996" t="str">
        <f>CONCATENATE(Programme!D20021,Programme!E20021,Programme!F20021,Programme!G20021,Programme!H20021,Programme!I20021,Programme!J20021)</f>
        <v>&lt;/ValeurCellule&gt;</v>
      </c>
    </row>
    <row r="20021" spans="1:1" x14ac:dyDescent="0.2">
      <c r="A20021" s="996" t="str">
        <f>CONCATENATE(Programme!D20022,Programme!E20022,Programme!F20022,Programme!G20022,Programme!H20022,Programme!I20022,Programme!J20022)</f>
        <v>&lt;ValeurCellule&gt;</v>
      </c>
    </row>
    <row r="20022" spans="1:1" x14ac:dyDescent="0.2">
      <c r="A20022" s="996" t="str">
        <f>CONCATENATE(Programme!D20023,Programme!E20023,Programme!F20023,Programme!G20023,Programme!H20023,Programme!I20023,Programme!J20023)</f>
        <v>&lt;cellule&gt;</v>
      </c>
    </row>
    <row r="20023" spans="1:1" x14ac:dyDescent="0.2">
      <c r="A20023" s="996" t="str">
        <f>CONCATENATE(Programme!D20024,Programme!E20024,Programme!F20024,Programme!G20024,Programme!H20024,Programme!I20024,Programme!J20024)</f>
        <v>&lt;codeEdi&gt;14083&lt;/codeEdi&gt;</v>
      </c>
    </row>
    <row r="20024" spans="1:1" x14ac:dyDescent="0.2">
      <c r="A20024" s="996" t="str">
        <f>CONCATENATE(Programme!D20025,Programme!E20025,Programme!F20025,Programme!G20025,Programme!H20025,Programme!I20025,Programme!J20025)</f>
        <v>&lt;/cellule&gt;</v>
      </c>
    </row>
    <row r="20025" spans="1:1" x14ac:dyDescent="0.2">
      <c r="A20025" s="996" t="str">
        <f>CONCATENATE(Programme!D20026,Programme!E20026,Programme!F20026,Programme!G20026,Programme!H20026,Programme!I20026,Programme!J20026)</f>
        <v>&lt;valeur&gt;&lt;/valeur&gt;</v>
      </c>
    </row>
    <row r="20026" spans="1:1" x14ac:dyDescent="0.2">
      <c r="A20026" s="996" t="str">
        <f>CONCATENATE(Programme!D20027,Programme!E20027,Programme!F20027,Programme!G20027,Programme!H20027,Programme!I20027,Programme!J20027)</f>
        <v>&lt;/ValeurCellule&gt;</v>
      </c>
    </row>
    <row r="20027" spans="1:1" x14ac:dyDescent="0.2">
      <c r="A20027" s="996" t="str">
        <f>CONCATENATE(Programme!D20028,Programme!E20028,Programme!F20028,Programme!G20028,Programme!H20028,Programme!I20028,Programme!J20028)</f>
        <v>&lt;ValeurCellule&gt;</v>
      </c>
    </row>
    <row r="20028" spans="1:1" x14ac:dyDescent="0.2">
      <c r="A20028" s="996" t="str">
        <f>CONCATENATE(Programme!D20029,Programme!E20029,Programme!F20029,Programme!G20029,Programme!H20029,Programme!I20029,Programme!J20029)</f>
        <v>&lt;cellule&gt;</v>
      </c>
    </row>
    <row r="20029" spans="1:1" x14ac:dyDescent="0.2">
      <c r="A20029" s="996" t="str">
        <f>CONCATENATE(Programme!D20030,Programme!E20030,Programme!F20030,Programme!G20030,Programme!H20030,Programme!I20030,Programme!J20030)</f>
        <v>&lt;codeEdi&gt;14069&lt;/codeEdi&gt;</v>
      </c>
    </row>
    <row r="20030" spans="1:1" x14ac:dyDescent="0.2">
      <c r="A20030" s="996" t="str">
        <f>CONCATENATE(Programme!D20031,Programme!E20031,Programme!F20031,Programme!G20031,Programme!H20031,Programme!I20031,Programme!J20031)</f>
        <v>&lt;/cellule&gt;</v>
      </c>
    </row>
    <row r="20031" spans="1:1" x14ac:dyDescent="0.2">
      <c r="A20031" s="996" t="str">
        <f>CONCATENATE(Programme!D20032,Programme!E20032,Programme!F20032,Programme!G20032,Programme!H20032,Programme!I20032,Programme!J20032)</f>
        <v>&lt;valeur&gt;&lt;/valeur&gt;</v>
      </c>
    </row>
    <row r="20032" spans="1:1" x14ac:dyDescent="0.2">
      <c r="A20032" s="996" t="str">
        <f>CONCATENATE(Programme!D20033,Programme!E20033,Programme!F20033,Programme!G20033,Programme!H20033,Programme!I20033,Programme!J20033)</f>
        <v>&lt;/ValeurCellule&gt;</v>
      </c>
    </row>
    <row r="20033" spans="1:1" x14ac:dyDescent="0.2">
      <c r="A20033" s="996" t="str">
        <f>CONCATENATE(Programme!D20034,Programme!E20034,Programme!F20034,Programme!G20034,Programme!H20034,Programme!I20034,Programme!J20034)</f>
        <v>&lt;ValeurCellule&gt;</v>
      </c>
    </row>
    <row r="20034" spans="1:1" x14ac:dyDescent="0.2">
      <c r="A20034" s="996" t="str">
        <f>CONCATENATE(Programme!D20035,Programme!E20035,Programme!F20035,Programme!G20035,Programme!H20035,Programme!I20035,Programme!J20035)</f>
        <v>&lt;cellule&gt;</v>
      </c>
    </row>
    <row r="20035" spans="1:1" x14ac:dyDescent="0.2">
      <c r="A20035" s="996" t="str">
        <f>CONCATENATE(Programme!D20036,Programme!E20036,Programme!F20036,Programme!G20036,Programme!H20036,Programme!I20036,Programme!J20036)</f>
        <v>&lt;codeEdi&gt;14072&lt;/codeEdi&gt;</v>
      </c>
    </row>
    <row r="20036" spans="1:1" x14ac:dyDescent="0.2">
      <c r="A20036" s="996" t="str">
        <f>CONCATENATE(Programme!D20037,Programme!E20037,Programme!F20037,Programme!G20037,Programme!H20037,Programme!I20037,Programme!J20037)</f>
        <v>&lt;/cellule&gt;</v>
      </c>
    </row>
    <row r="20037" spans="1:1" x14ac:dyDescent="0.2">
      <c r="A20037" s="996" t="str">
        <f>CONCATENATE(Programme!D20038,Programme!E20038,Programme!F20038,Programme!G20038,Programme!H20038,Programme!I20038,Programme!J20038)</f>
        <v>&lt;valeur&gt;&lt;/valeur&gt;</v>
      </c>
    </row>
    <row r="20038" spans="1:1" x14ac:dyDescent="0.2">
      <c r="A20038" s="996" t="str">
        <f>CONCATENATE(Programme!D20039,Programme!E20039,Programme!F20039,Programme!G20039,Programme!H20039,Programme!I20039,Programme!J20039)</f>
        <v>&lt;/ValeurCellule&gt;</v>
      </c>
    </row>
    <row r="20039" spans="1:1" x14ac:dyDescent="0.2">
      <c r="A20039" s="996" t="str">
        <f>CONCATENATE(Programme!D20040,Programme!E20040,Programme!F20040,Programme!G20040,Programme!H20040,Programme!I20040,Programme!J20040)</f>
        <v>&lt;ValeurCellule&gt;</v>
      </c>
    </row>
    <row r="20040" spans="1:1" x14ac:dyDescent="0.2">
      <c r="A20040" s="996" t="str">
        <f>CONCATENATE(Programme!D20041,Programme!E20041,Programme!F20041,Programme!G20041,Programme!H20041,Programme!I20041,Programme!J20041)</f>
        <v>&lt;cellule&gt;</v>
      </c>
    </row>
    <row r="20041" spans="1:1" x14ac:dyDescent="0.2">
      <c r="A20041" s="996" t="str">
        <f>CONCATENATE(Programme!D20042,Programme!E20042,Programme!F20042,Programme!G20042,Programme!H20042,Programme!I20042,Programme!J20042)</f>
        <v>&lt;codeEdi&gt;14075&lt;/codeEdi&gt;</v>
      </c>
    </row>
    <row r="20042" spans="1:1" x14ac:dyDescent="0.2">
      <c r="A20042" s="996" t="str">
        <f>CONCATENATE(Programme!D20043,Programme!E20043,Programme!F20043,Programme!G20043,Programme!H20043,Programme!I20043,Programme!J20043)</f>
        <v>&lt;/cellule&gt;</v>
      </c>
    </row>
    <row r="20043" spans="1:1" x14ac:dyDescent="0.2">
      <c r="A20043" s="996" t="str">
        <f>CONCATENATE(Programme!D20044,Programme!E20044,Programme!F20044,Programme!G20044,Programme!H20044,Programme!I20044,Programme!J20044)</f>
        <v>&lt;valeur&gt;&lt;/valeur&gt;</v>
      </c>
    </row>
    <row r="20044" spans="1:1" x14ac:dyDescent="0.2">
      <c r="A20044" s="996" t="str">
        <f>CONCATENATE(Programme!D20045,Programme!E20045,Programme!F20045,Programme!G20045,Programme!H20045,Programme!I20045,Programme!J20045)</f>
        <v>&lt;/ValeurCellule&gt;</v>
      </c>
    </row>
    <row r="20045" spans="1:1" x14ac:dyDescent="0.2">
      <c r="A20045" s="996" t="str">
        <f>CONCATENATE(Programme!D20046,Programme!E20046,Programme!F20046,Programme!G20046,Programme!H20046,Programme!I20046,Programme!J20046)</f>
        <v>&lt;ValeurCellule&gt;</v>
      </c>
    </row>
    <row r="20046" spans="1:1" x14ac:dyDescent="0.2">
      <c r="A20046" s="996" t="str">
        <f>CONCATENATE(Programme!D20047,Programme!E20047,Programme!F20047,Programme!G20047,Programme!H20047,Programme!I20047,Programme!J20047)</f>
        <v>&lt;cellule&gt;</v>
      </c>
    </row>
    <row r="20047" spans="1:1" x14ac:dyDescent="0.2">
      <c r="A20047" s="996" t="str">
        <f>CONCATENATE(Programme!D20048,Programme!E20048,Programme!F20048,Programme!G20048,Programme!H20048,Programme!I20048,Programme!J20048)</f>
        <v>&lt;codeEdi&gt;14078&lt;/codeEdi&gt;</v>
      </c>
    </row>
    <row r="20048" spans="1:1" x14ac:dyDescent="0.2">
      <c r="A20048" s="996" t="str">
        <f>CONCATENATE(Programme!D20049,Programme!E20049,Programme!F20049,Programme!G20049,Programme!H20049,Programme!I20049,Programme!J20049)</f>
        <v>&lt;/cellule&gt;</v>
      </c>
    </row>
    <row r="20049" spans="1:1" x14ac:dyDescent="0.2">
      <c r="A20049" s="996" t="str">
        <f>CONCATENATE(Programme!D20050,Programme!E20050,Programme!F20050,Programme!G20050,Programme!H20050,Programme!I20050,Programme!J20050)</f>
        <v>&lt;valeur&gt;&lt;/valeur&gt;</v>
      </c>
    </row>
    <row r="20050" spans="1:1" x14ac:dyDescent="0.2">
      <c r="A20050" s="996" t="str">
        <f>CONCATENATE(Programme!D20051,Programme!E20051,Programme!F20051,Programme!G20051,Programme!H20051,Programme!I20051,Programme!J20051)</f>
        <v>&lt;/ValeurCellule&gt;</v>
      </c>
    </row>
    <row r="20051" spans="1:1" x14ac:dyDescent="0.2">
      <c r="A20051" s="996" t="str">
        <f>CONCATENATE(Programme!D20052,Programme!E20052,Programme!F20052,Programme!G20052,Programme!H20052,Programme!I20052,Programme!J20052)</f>
        <v>&lt;ValeurCellule&gt;</v>
      </c>
    </row>
    <row r="20052" spans="1:1" x14ac:dyDescent="0.2">
      <c r="A20052" s="996" t="str">
        <f>CONCATENATE(Programme!D20053,Programme!E20053,Programme!F20053,Programme!G20053,Programme!H20053,Programme!I20053,Programme!J20053)</f>
        <v>&lt;cellule&gt;</v>
      </c>
    </row>
    <row r="20053" spans="1:1" x14ac:dyDescent="0.2">
      <c r="A20053" s="996" t="str">
        <f>CONCATENATE(Programme!D20054,Programme!E20054,Programme!F20054,Programme!G20054,Programme!H20054,Programme!I20054,Programme!J20054)</f>
        <v>&lt;codeEdi&gt;14081&lt;/codeEdi&gt;</v>
      </c>
    </row>
    <row r="20054" spans="1:1" x14ac:dyDescent="0.2">
      <c r="A20054" s="996" t="str">
        <f>CONCATENATE(Programme!D20055,Programme!E20055,Programme!F20055,Programme!G20055,Programme!H20055,Programme!I20055,Programme!J20055)</f>
        <v>&lt;/cellule&gt;</v>
      </c>
    </row>
    <row r="20055" spans="1:1" x14ac:dyDescent="0.2">
      <c r="A20055" s="996" t="str">
        <f>CONCATENATE(Programme!D20056,Programme!E20056,Programme!F20056,Programme!G20056,Programme!H20056,Programme!I20056,Programme!J20056)</f>
        <v>&lt;valeur&gt;&lt;/valeur&gt;</v>
      </c>
    </row>
    <row r="20056" spans="1:1" x14ac:dyDescent="0.2">
      <c r="A20056" s="996" t="str">
        <f>CONCATENATE(Programme!D20057,Programme!E20057,Programme!F20057,Programme!G20057,Programme!H20057,Programme!I20057,Programme!J20057)</f>
        <v>&lt;/ValeurCellule&gt;</v>
      </c>
    </row>
    <row r="20057" spans="1:1" x14ac:dyDescent="0.2">
      <c r="A20057" s="996" t="str">
        <f>CONCATENATE(Programme!D20058,Programme!E20058,Programme!F20058,Programme!G20058,Programme!H20058,Programme!I20058,Programme!J20058)</f>
        <v>&lt;ValeurCellule&gt;</v>
      </c>
    </row>
    <row r="20058" spans="1:1" x14ac:dyDescent="0.2">
      <c r="A20058" s="996" t="str">
        <f>CONCATENATE(Programme!D20059,Programme!E20059,Programme!F20059,Programme!G20059,Programme!H20059,Programme!I20059,Programme!J20059)</f>
        <v>&lt;cellule&gt;</v>
      </c>
    </row>
    <row r="20059" spans="1:1" x14ac:dyDescent="0.2">
      <c r="A20059" s="996" t="str">
        <f>CONCATENATE(Programme!D20060,Programme!E20060,Programme!F20060,Programme!G20060,Programme!H20060,Programme!I20060,Programme!J20060)</f>
        <v>&lt;codeEdi&gt;14084&lt;/codeEdi&gt;</v>
      </c>
    </row>
    <row r="20060" spans="1:1" x14ac:dyDescent="0.2">
      <c r="A20060" s="996" t="str">
        <f>CONCATENATE(Programme!D20061,Programme!E20061,Programme!F20061,Programme!G20061,Programme!H20061,Programme!I20061,Programme!J20061)</f>
        <v>&lt;/cellule&gt;</v>
      </c>
    </row>
    <row r="20061" spans="1:1" x14ac:dyDescent="0.2">
      <c r="A20061" s="996" t="str">
        <f>CONCATENATE(Programme!D20062,Programme!E20062,Programme!F20062,Programme!G20062,Programme!H20062,Programme!I20062,Programme!J20062)</f>
        <v>&lt;valeur&gt;&lt;/valeur&gt;</v>
      </c>
    </row>
    <row r="20062" spans="1:1" x14ac:dyDescent="0.2">
      <c r="A20062" s="996" t="str">
        <f>CONCATENATE(Programme!D20063,Programme!E20063,Programme!F20063,Programme!G20063,Programme!H20063,Programme!I20063,Programme!J20063)</f>
        <v>&lt;/ValeurCellule&gt;</v>
      </c>
    </row>
    <row r="20063" spans="1:1" x14ac:dyDescent="0.2">
      <c r="A20063" s="996" t="str">
        <f>CONCATENATE(Programme!D20064,Programme!E20064,Programme!F20064,Programme!G20064,Programme!H20064,Programme!I20064,Programme!J20064)</f>
        <v>&lt;ValeurCellule&gt;</v>
      </c>
    </row>
    <row r="20064" spans="1:1" x14ac:dyDescent="0.2">
      <c r="A20064" s="996" t="str">
        <f>CONCATENATE(Programme!D20065,Programme!E20065,Programme!F20065,Programme!G20065,Programme!H20065,Programme!I20065,Programme!J20065)</f>
        <v>&lt;cellule&gt;</v>
      </c>
    </row>
    <row r="20065" spans="1:1" x14ac:dyDescent="0.2">
      <c r="A20065" s="996" t="str">
        <f>CONCATENATE(Programme!D20066,Programme!E20066,Programme!F20066,Programme!G20066,Programme!H20066,Programme!I20066,Programme!J20066)</f>
        <v>&lt;codeEdi&gt;14086&lt;/codeEdi&gt;</v>
      </c>
    </row>
    <row r="20066" spans="1:1" x14ac:dyDescent="0.2">
      <c r="A20066" s="996" t="str">
        <f>CONCATENATE(Programme!D20067,Programme!E20067,Programme!F20067,Programme!G20067,Programme!H20067,Programme!I20067,Programme!J20067)</f>
        <v>&lt;/cellule&gt;</v>
      </c>
    </row>
    <row r="20067" spans="1:1" x14ac:dyDescent="0.2">
      <c r="A20067" s="996" t="str">
        <f>CONCATENATE(Programme!D20068,Programme!E20068,Programme!F20068,Programme!G20068,Programme!H20068,Programme!I20068,Programme!J20068)</f>
        <v>&lt;valeur&gt;0&lt;/valeur&gt;</v>
      </c>
    </row>
    <row r="20068" spans="1:1" x14ac:dyDescent="0.2">
      <c r="A20068" s="996" t="str">
        <f>CONCATENATE(Programme!D20069,Programme!E20069,Programme!F20069,Programme!G20069,Programme!H20069,Programme!I20069,Programme!J20069)</f>
        <v>&lt;/ValeurCellule&gt;</v>
      </c>
    </row>
    <row r="20069" spans="1:1" x14ac:dyDescent="0.2">
      <c r="A20069" s="996" t="str">
        <f>CONCATENATE(Programme!D20070,Programme!E20070,Programme!F20070,Programme!G20070,Programme!H20070,Programme!I20070,Programme!J20070)</f>
        <v>&lt;ValeurCellule&gt;</v>
      </c>
    </row>
    <row r="20070" spans="1:1" x14ac:dyDescent="0.2">
      <c r="A20070" s="996" t="str">
        <f>CONCATENATE(Programme!D20071,Programme!E20071,Programme!F20071,Programme!G20071,Programme!H20071,Programme!I20071,Programme!J20071)</f>
        <v>&lt;cellule&gt;</v>
      </c>
    </row>
    <row r="20071" spans="1:1" x14ac:dyDescent="0.2">
      <c r="A20071" s="996" t="str">
        <f>CONCATENATE(Programme!D20072,Programme!E20072,Programme!F20072,Programme!G20072,Programme!H20072,Programme!I20072,Programme!J20072)</f>
        <v>&lt;codeEdi&gt;16394&lt;/codeEdi&gt;</v>
      </c>
    </row>
    <row r="20072" spans="1:1" x14ac:dyDescent="0.2">
      <c r="A20072" s="996" t="str">
        <f>CONCATENATE(Programme!D20073,Programme!E20073,Programme!F20073,Programme!G20073,Programme!H20073,Programme!I20073,Programme!J20073)</f>
        <v>&lt;/cellule&gt;</v>
      </c>
    </row>
    <row r="20073" spans="1:1" x14ac:dyDescent="0.2">
      <c r="A20073" s="996" t="str">
        <f>CONCATENATE(Programme!D20074,Programme!E20074,Programme!F20074,Programme!G20074,Programme!H20074,Programme!I20074,Programme!J20074)</f>
        <v>&lt;valeur&gt;&lt;/valeur&gt;</v>
      </c>
    </row>
    <row r="20074" spans="1:1" x14ac:dyDescent="0.2">
      <c r="A20074" s="996" t="str">
        <f>CONCATENATE(Programme!D20075,Programme!E20075,Programme!F20075,Programme!G20075,Programme!H20075,Programme!I20075,Programme!J20075)</f>
        <v>&lt;/ValeurCellule&gt;</v>
      </c>
    </row>
    <row r="20075" spans="1:1" x14ac:dyDescent="0.2">
      <c r="A20075" s="996" t="str">
        <f>CONCATENATE(Programme!D20076,Programme!E20076,Programme!F20076,Programme!G20076,Programme!H20076,Programme!I20076,Programme!J20076)</f>
        <v>&lt;ValeurCellule&gt;</v>
      </c>
    </row>
    <row r="20076" spans="1:1" x14ac:dyDescent="0.2">
      <c r="A20076" s="996" t="str">
        <f>CONCATENATE(Programme!D20077,Programme!E20077,Programme!F20077,Programme!G20077,Programme!H20077,Programme!I20077,Programme!J20077)</f>
        <v>&lt;cellule&gt;</v>
      </c>
    </row>
    <row r="20077" spans="1:1" x14ac:dyDescent="0.2">
      <c r="A20077" s="996" t="str">
        <f>CONCATENATE(Programme!D20078,Programme!E20078,Programme!F20078,Programme!G20078,Programme!H20078,Programme!I20078,Programme!J20078)</f>
        <v>&lt;codeEdi&gt;16397&lt;/codeEdi&gt;</v>
      </c>
    </row>
    <row r="20078" spans="1:1" x14ac:dyDescent="0.2">
      <c r="A20078" s="996" t="str">
        <f>CONCATENATE(Programme!D20079,Programme!E20079,Programme!F20079,Programme!G20079,Programme!H20079,Programme!I20079,Programme!J20079)</f>
        <v>&lt;/cellule&gt;</v>
      </c>
    </row>
    <row r="20079" spans="1:1" x14ac:dyDescent="0.2">
      <c r="A20079" s="996" t="str">
        <f>CONCATENATE(Programme!D20080,Programme!E20080,Programme!F20080,Programme!G20080,Programme!H20080,Programme!I20080,Programme!J20080)</f>
        <v>&lt;valeur&gt;0&lt;/valeur&gt;</v>
      </c>
    </row>
    <row r="20080" spans="1:1" x14ac:dyDescent="0.2">
      <c r="A20080" s="996" t="str">
        <f>CONCATENATE(Programme!D20081,Programme!E20081,Programme!F20081,Programme!G20081,Programme!H20081,Programme!I20081,Programme!J20081)</f>
        <v>&lt;/ValeurCellule&gt;</v>
      </c>
    </row>
    <row r="20081" spans="1:1" x14ac:dyDescent="0.2">
      <c r="A20081" s="996" t="str">
        <f>CONCATENATE(Programme!D20082,Programme!E20082,Programme!F20082,Programme!G20082,Programme!H20082,Programme!I20082,Programme!J20082)</f>
        <v>&lt;ValeurCellule&gt;</v>
      </c>
    </row>
    <row r="20082" spans="1:1" x14ac:dyDescent="0.2">
      <c r="A20082" s="996" t="str">
        <f>CONCATENATE(Programme!D20083,Programme!E20083,Programme!F20083,Programme!G20083,Programme!H20083,Programme!I20083,Programme!J20083)</f>
        <v>&lt;cellule&gt;</v>
      </c>
    </row>
    <row r="20083" spans="1:1" x14ac:dyDescent="0.2">
      <c r="A20083" s="996" t="str">
        <f>CONCATENATE(Programme!D20084,Programme!E20084,Programme!F20084,Programme!G20084,Programme!H20084,Programme!I20084,Programme!J20084)</f>
        <v>&lt;codeEdi&gt;16400&lt;/codeEdi&gt;</v>
      </c>
    </row>
    <row r="20084" spans="1:1" x14ac:dyDescent="0.2">
      <c r="A20084" s="996" t="str">
        <f>CONCATENATE(Programme!D20085,Programme!E20085,Programme!F20085,Programme!G20085,Programme!H20085,Programme!I20085,Programme!J20085)</f>
        <v>&lt;/cellule&gt;</v>
      </c>
    </row>
    <row r="20085" spans="1:1" x14ac:dyDescent="0.2">
      <c r="A20085" s="996" t="str">
        <f>CONCATENATE(Programme!D20086,Programme!E20086,Programme!F20086,Programme!G20086,Programme!H20086,Programme!I20086,Programme!J20086)</f>
        <v>&lt;valeur&gt;0&lt;/valeur&gt;</v>
      </c>
    </row>
    <row r="20086" spans="1:1" x14ac:dyDescent="0.2">
      <c r="A20086" s="996" t="str">
        <f>CONCATENATE(Programme!D20087,Programme!E20087,Programme!F20087,Programme!G20087,Programme!H20087,Programme!I20087,Programme!J20087)</f>
        <v>&lt;/ValeurCellule&gt;</v>
      </c>
    </row>
    <row r="20087" spans="1:1" x14ac:dyDescent="0.2">
      <c r="A20087" s="996" t="str">
        <f>CONCATENATE(Programme!D20088,Programme!E20088,Programme!F20088,Programme!G20088,Programme!H20088,Programme!I20088,Programme!J20088)</f>
        <v>&lt;ValeurCellule&gt;</v>
      </c>
    </row>
    <row r="20088" spans="1:1" x14ac:dyDescent="0.2">
      <c r="A20088" s="996" t="str">
        <f>CONCATENATE(Programme!D20089,Programme!E20089,Programme!F20089,Programme!G20089,Programme!H20089,Programme!I20089,Programme!J20089)</f>
        <v>&lt;cellule&gt;</v>
      </c>
    </row>
    <row r="20089" spans="1:1" x14ac:dyDescent="0.2">
      <c r="A20089" s="996" t="str">
        <f>CONCATENATE(Programme!D20090,Programme!E20090,Programme!F20090,Programme!G20090,Programme!H20090,Programme!I20090,Programme!J20090)</f>
        <v>&lt;codeEdi&gt;14087&lt;/codeEdi&gt;</v>
      </c>
    </row>
    <row r="20090" spans="1:1" x14ac:dyDescent="0.2">
      <c r="A20090" s="996" t="str">
        <f>CONCATENATE(Programme!D20091,Programme!E20091,Programme!F20091,Programme!G20091,Programme!H20091,Programme!I20091,Programme!J20091)</f>
        <v>&lt;/cellule&gt;</v>
      </c>
    </row>
    <row r="20091" spans="1:1" x14ac:dyDescent="0.2">
      <c r="A20091" s="996" t="str">
        <f>CONCATENATE(Programme!D20092,Programme!E20092,Programme!F20092,Programme!G20092,Programme!H20092,Programme!I20092,Programme!J20092)</f>
        <v>&lt;valeur&gt;&lt;/valeur&gt;</v>
      </c>
    </row>
    <row r="20092" spans="1:1" x14ac:dyDescent="0.2">
      <c r="A20092" s="996" t="str">
        <f>CONCATENATE(Programme!D20093,Programme!E20093,Programme!F20093,Programme!G20093,Programme!H20093,Programme!I20093,Programme!J20093)</f>
        <v>&lt;/ValeurCellule&gt;</v>
      </c>
    </row>
    <row r="20093" spans="1:1" x14ac:dyDescent="0.2">
      <c r="A20093" s="996" t="str">
        <f>CONCATENATE(Programme!D20094,Programme!E20094,Programme!F20094,Programme!G20094,Programme!H20094,Programme!I20094,Programme!J20094)</f>
        <v>&lt;ValeurCellule&gt;</v>
      </c>
    </row>
    <row r="20094" spans="1:1" x14ac:dyDescent="0.2">
      <c r="A20094" s="996" t="str">
        <f>CONCATENATE(Programme!D20095,Programme!E20095,Programme!F20095,Programme!G20095,Programme!H20095,Programme!I20095,Programme!J20095)</f>
        <v>&lt;cellule&gt;</v>
      </c>
    </row>
    <row r="20095" spans="1:1" x14ac:dyDescent="0.2">
      <c r="A20095" s="996" t="str">
        <f>CONCATENATE(Programme!D20096,Programme!E20096,Programme!F20096,Programme!G20096,Programme!H20096,Programme!I20096,Programme!J20096)</f>
        <v>&lt;codeEdi&gt;16395&lt;/codeEdi&gt;</v>
      </c>
    </row>
    <row r="20096" spans="1:1" x14ac:dyDescent="0.2">
      <c r="A20096" s="996" t="str">
        <f>CONCATENATE(Programme!D20097,Programme!E20097,Programme!F20097,Programme!G20097,Programme!H20097,Programme!I20097,Programme!J20097)</f>
        <v>&lt;/cellule&gt;</v>
      </c>
    </row>
    <row r="20097" spans="1:1" x14ac:dyDescent="0.2">
      <c r="A20097" s="996" t="str">
        <f>CONCATENATE(Programme!D20098,Programme!E20098,Programme!F20098,Programme!G20098,Programme!H20098,Programme!I20098,Programme!J20098)</f>
        <v>&lt;valeur&gt;0&lt;/valeur&gt;</v>
      </c>
    </row>
    <row r="20098" spans="1:1" x14ac:dyDescent="0.2">
      <c r="A20098" s="996" t="str">
        <f>CONCATENATE(Programme!D20099,Programme!E20099,Programme!F20099,Programme!G20099,Programme!H20099,Programme!I20099,Programme!J20099)</f>
        <v>&lt;/ValeurCellule&gt;</v>
      </c>
    </row>
    <row r="20099" spans="1:1" x14ac:dyDescent="0.2">
      <c r="A20099" s="996" t="str">
        <f>CONCATENATE(Programme!D20100,Programme!E20100,Programme!F20100,Programme!G20100,Programme!H20100,Programme!I20100,Programme!J20100)</f>
        <v>&lt;ValeurCellule&gt;</v>
      </c>
    </row>
    <row r="20100" spans="1:1" x14ac:dyDescent="0.2">
      <c r="A20100" s="996" t="str">
        <f>CONCATENATE(Programme!D20101,Programme!E20101,Programme!F20101,Programme!G20101,Programme!H20101,Programme!I20101,Programme!J20101)</f>
        <v>&lt;cellule&gt;</v>
      </c>
    </row>
    <row r="20101" spans="1:1" x14ac:dyDescent="0.2">
      <c r="A20101" s="996" t="str">
        <f>CONCATENATE(Programme!D20102,Programme!E20102,Programme!F20102,Programme!G20102,Programme!H20102,Programme!I20102,Programme!J20102)</f>
        <v>&lt;codeEdi&gt;16398&lt;/codeEdi&gt;</v>
      </c>
    </row>
    <row r="20102" spans="1:1" x14ac:dyDescent="0.2">
      <c r="A20102" s="996" t="str">
        <f>CONCATENATE(Programme!D20103,Programme!E20103,Programme!F20103,Programme!G20103,Programme!H20103,Programme!I20103,Programme!J20103)</f>
        <v>&lt;/cellule&gt;</v>
      </c>
    </row>
    <row r="20103" spans="1:1" x14ac:dyDescent="0.2">
      <c r="A20103" s="996" t="str">
        <f>CONCATENATE(Programme!D20104,Programme!E20104,Programme!F20104,Programme!G20104,Programme!H20104,Programme!I20104,Programme!J20104)</f>
        <v>&lt;valeur&gt;&lt;/valeur&gt;</v>
      </c>
    </row>
    <row r="20104" spans="1:1" x14ac:dyDescent="0.2">
      <c r="A20104" s="996" t="str">
        <f>CONCATENATE(Programme!D20105,Programme!E20105,Programme!F20105,Programme!G20105,Programme!H20105,Programme!I20105,Programme!J20105)</f>
        <v>&lt;/ValeurCellule&gt;</v>
      </c>
    </row>
    <row r="20105" spans="1:1" x14ac:dyDescent="0.2">
      <c r="A20105" s="996" t="str">
        <f>CONCATENATE(Programme!D20106,Programme!E20106,Programme!F20106,Programme!G20106,Programme!H20106,Programme!I20106,Programme!J20106)</f>
        <v>&lt;ValeurCellule&gt;</v>
      </c>
    </row>
    <row r="20106" spans="1:1" x14ac:dyDescent="0.2">
      <c r="A20106" s="996" t="str">
        <f>CONCATENATE(Programme!D20107,Programme!E20107,Programme!F20107,Programme!G20107,Programme!H20107,Programme!I20107,Programme!J20107)</f>
        <v>&lt;cellule&gt;</v>
      </c>
    </row>
    <row r="20107" spans="1:1" x14ac:dyDescent="0.2">
      <c r="A20107" s="996" t="str">
        <f>CONCATENATE(Programme!D20108,Programme!E20108,Programme!F20108,Programme!G20108,Programme!H20108,Programme!I20108,Programme!J20108)</f>
        <v>&lt;codeEdi&gt;16401&lt;/codeEdi&gt;</v>
      </c>
    </row>
    <row r="20108" spans="1:1" x14ac:dyDescent="0.2">
      <c r="A20108" s="996" t="str">
        <f>CONCATENATE(Programme!D20109,Programme!E20109,Programme!F20109,Programme!G20109,Programme!H20109,Programme!I20109,Programme!J20109)</f>
        <v>&lt;/cellule&gt;</v>
      </c>
    </row>
    <row r="20109" spans="1:1" x14ac:dyDescent="0.2">
      <c r="A20109" s="996" t="str">
        <f>CONCATENATE(Programme!D20110,Programme!E20110,Programme!F20110,Programme!G20110,Programme!H20110,Programme!I20110,Programme!J20110)</f>
        <v>&lt;valeur&gt;0&lt;/valeur&gt;</v>
      </c>
    </row>
    <row r="20110" spans="1:1" x14ac:dyDescent="0.2">
      <c r="A20110" s="996" t="str">
        <f>CONCATENATE(Programme!D20111,Programme!E20111,Programme!F20111,Programme!G20111,Programme!H20111,Programme!I20111,Programme!J20111)</f>
        <v>&lt;/ValeurCellule&gt;</v>
      </c>
    </row>
    <row r="20111" spans="1:1" x14ac:dyDescent="0.2">
      <c r="A20111" s="996" t="str">
        <f>CONCATENATE(Programme!D20112,Programme!E20112,Programme!F20112,Programme!G20112,Programme!H20112,Programme!I20112,Programme!J20112)</f>
        <v>&lt;/groupeValeurs&gt;</v>
      </c>
    </row>
    <row r="20112" spans="1:1" x14ac:dyDescent="0.2">
      <c r="A20112" s="996" t="str">
        <f>CONCATENATE(Programme!D20113,Programme!E20113,Programme!F20113,Programme!G20113,Programme!H20113,Programme!I20113,Programme!J20113)</f>
        <v>&lt;extraFieldvaleurs&gt;</v>
      </c>
    </row>
    <row r="20113" spans="1:1" x14ac:dyDescent="0.2">
      <c r="A20113" s="996" t="str">
        <f>CONCATENATE(Programme!D20114,Programme!E20114,Programme!F20114,Programme!G20114,Programme!H20114,Programme!I20114,Programme!J20114)</f>
        <v>&lt;/extraFieldvaleurs&gt;</v>
      </c>
    </row>
    <row r="20114" spans="1:1" x14ac:dyDescent="0.2">
      <c r="A20114" s="996" t="str">
        <f>CONCATENATE(Programme!D20115,Programme!E20115,Programme!F20115,Programme!G20115,Programme!H20115,Programme!I20115,Programme!J20115)</f>
        <v>&lt;/ValeursTableau&gt;</v>
      </c>
    </row>
    <row r="20115" spans="1:1" x14ac:dyDescent="0.2">
      <c r="A20115" s="996" t="str">
        <f>CONCATENATE(Programme!D20116,Programme!E20116,Programme!F20116,Programme!G20116,Programme!H20116,Programme!I20116,Programme!J20116)</f>
        <v>&lt;ValeursTableau&gt;</v>
      </c>
    </row>
    <row r="20116" spans="1:1" x14ac:dyDescent="0.2">
      <c r="A20116" s="996" t="str">
        <f>CONCATENATE(Programme!D20117,Programme!E20117,Programme!F20117,Programme!G20117,Programme!H20117,Programme!I20117,Programme!J20117)</f>
        <v>&lt;tableau&gt;&lt;id&gt;201&lt;/id&gt;&lt;/tableau&gt;</v>
      </c>
    </row>
    <row r="20117" spans="1:1" x14ac:dyDescent="0.2">
      <c r="A20117" s="996" t="str">
        <f>CONCATENATE(Programme!D20118,Programme!E20118,Programme!F20118,Programme!G20118,Programme!H20118,Programme!I20118,Programme!J20118)</f>
        <v>&lt;groupeValeurs&gt;</v>
      </c>
    </row>
    <row r="20118" spans="1:1" x14ac:dyDescent="0.2">
      <c r="A20118" s="996" t="str">
        <f>CONCATENATE(Programme!D20119,Programme!E20119,Programme!F20119,Programme!G20119,Programme!H20119,Programme!I20119,Programme!J20119)</f>
        <v>&lt;ValeurCellule&gt;</v>
      </c>
    </row>
    <row r="20119" spans="1:1" x14ac:dyDescent="0.2">
      <c r="A20119" s="996" t="str">
        <f>CONCATENATE(Programme!D20120,Programme!E20120,Programme!F20120,Programme!G20120,Programme!H20120,Programme!I20120,Programme!J20120)</f>
        <v>&lt;cellule&gt;&lt;codeEdi&gt;14088&lt;/codeEdi&gt;&lt;/cellule&gt;</v>
      </c>
    </row>
    <row r="20120" spans="1:1" x14ac:dyDescent="0.2">
      <c r="A20120" s="996" t="str">
        <f>CONCATENATE(Programme!D20121,Programme!E20121,Programme!F20121,Programme!G20121,Programme!H20121,Programme!I20121,Programme!J20121)</f>
        <v>&lt;valeur&gt;&lt;/valeur&gt;</v>
      </c>
    </row>
    <row r="20121" spans="1:1" x14ac:dyDescent="0.2">
      <c r="A20121" s="996" t="str">
        <f>CONCATENATE(Programme!D20122,Programme!E20122,Programme!F20122,Programme!G20122,Programme!H20122,Programme!I20122,Programme!J20122)</f>
        <v>&lt;numeroLigne&gt;1&lt;/numeroLigne&gt;</v>
      </c>
    </row>
    <row r="20122" spans="1:1" x14ac:dyDescent="0.2">
      <c r="A20122" s="996" t="str">
        <f>CONCATENATE(Programme!D20123,Programme!E20123,Programme!F20123,Programme!G20123,Programme!H20123,Programme!I20123,Programme!J20123)</f>
        <v>&lt;/ValeurCellule&gt;</v>
      </c>
    </row>
    <row r="20123" spans="1:1" x14ac:dyDescent="0.2">
      <c r="A20123" s="996" t="str">
        <f>CONCATENATE(Programme!D20124,Programme!E20124,Programme!F20124,Programme!G20124,Programme!H20124,Programme!I20124,Programme!J20124)</f>
        <v>&lt;ValeurCellule&gt;</v>
      </c>
    </row>
    <row r="20124" spans="1:1" x14ac:dyDescent="0.2">
      <c r="A20124" s="996" t="str">
        <f>CONCATENATE(Programme!D20125,Programme!E20125,Programme!F20125,Programme!G20125,Programme!H20125,Programme!I20125,Programme!J20125)</f>
        <v>&lt;cellule&gt;&lt;codeEdi&gt;14089&lt;/codeEdi&gt;&lt;/cellule&gt;</v>
      </c>
    </row>
    <row r="20125" spans="1:1" x14ac:dyDescent="0.2">
      <c r="A20125" s="996" t="str">
        <f>CONCATENATE(Programme!D20126,Programme!E20126,Programme!F20126,Programme!G20126,Programme!H20126,Programme!I20126,Programme!J20126)</f>
        <v>&lt;valeur&gt;&lt;/valeur&gt;</v>
      </c>
    </row>
    <row r="20126" spans="1:1" x14ac:dyDescent="0.2">
      <c r="A20126" s="996" t="str">
        <f>CONCATENATE(Programme!D20127,Programme!E20127,Programme!F20127,Programme!G20127,Programme!H20127,Programme!I20127,Programme!J20127)</f>
        <v>&lt;numeroLigne&gt;1&lt;/numeroLigne&gt;</v>
      </c>
    </row>
    <row r="20127" spans="1:1" x14ac:dyDescent="0.2">
      <c r="A20127" s="996" t="str">
        <f>CONCATENATE(Programme!D20128,Programme!E20128,Programme!F20128,Programme!G20128,Programme!H20128,Programme!I20128,Programme!J20128)</f>
        <v>&lt;/ValeurCellule&gt;</v>
      </c>
    </row>
    <row r="20128" spans="1:1" x14ac:dyDescent="0.2">
      <c r="A20128" s="996" t="str">
        <f>CONCATENATE(Programme!D20129,Programme!E20129,Programme!F20129,Programme!G20129,Programme!H20129,Programme!I20129,Programme!J20129)</f>
        <v>&lt;ValeurCellule&gt;</v>
      </c>
    </row>
    <row r="20129" spans="1:1" x14ac:dyDescent="0.2">
      <c r="A20129" s="996" t="str">
        <f>CONCATENATE(Programme!D20130,Programme!E20130,Programme!F20130,Programme!G20130,Programme!H20130,Programme!I20130,Programme!J20130)</f>
        <v>&lt;cellule&gt;&lt;codeEdi&gt;14090&lt;/codeEdi&gt;&lt;/cellule&gt;</v>
      </c>
    </row>
    <row r="20130" spans="1:1" x14ac:dyDescent="0.2">
      <c r="A20130" s="996" t="str">
        <f>CONCATENATE(Programme!D20131,Programme!E20131,Programme!F20131,Programme!G20131,Programme!H20131,Programme!I20131,Programme!J20131)</f>
        <v>&lt;valeur&gt;&lt;/valeur&gt;</v>
      </c>
    </row>
    <row r="20131" spans="1:1" x14ac:dyDescent="0.2">
      <c r="A20131" s="996" t="str">
        <f>CONCATENATE(Programme!D20132,Programme!E20132,Programme!F20132,Programme!G20132,Programme!H20132,Programme!I20132,Programme!J20132)</f>
        <v>&lt;numeroLigne&gt;1&lt;/numeroLigne&gt;</v>
      </c>
    </row>
    <row r="20132" spans="1:1" x14ac:dyDescent="0.2">
      <c r="A20132" s="996" t="str">
        <f>CONCATENATE(Programme!D20133,Programme!E20133,Programme!F20133,Programme!G20133,Programme!H20133,Programme!I20133,Programme!J20133)</f>
        <v>&lt;/ValeurCellule&gt;</v>
      </c>
    </row>
    <row r="20133" spans="1:1" x14ac:dyDescent="0.2">
      <c r="A20133" s="996" t="str">
        <f>CONCATENATE(Programme!D20134,Programme!E20134,Programme!F20134,Programme!G20134,Programme!H20134,Programme!I20134,Programme!J20134)</f>
        <v>&lt;ValeurCellule&gt;</v>
      </c>
    </row>
    <row r="20134" spans="1:1" x14ac:dyDescent="0.2">
      <c r="A20134" s="996" t="str">
        <f>CONCATENATE(Programme!D20135,Programme!E20135,Programme!F20135,Programme!G20135,Programme!H20135,Programme!I20135,Programme!J20135)</f>
        <v>&lt;cellule&gt;&lt;codeEdi&gt;14091&lt;/codeEdi&gt;&lt;/cellule&gt;</v>
      </c>
    </row>
    <row r="20135" spans="1:1" x14ac:dyDescent="0.2">
      <c r="A20135" s="996" t="str">
        <f>CONCATENATE(Programme!D20136,Programme!E20136,Programme!F20136,Programme!G20136,Programme!H20136,Programme!I20136,Programme!J20136)</f>
        <v>&lt;valeur&gt;&lt;/valeur&gt;</v>
      </c>
    </row>
    <row r="20136" spans="1:1" x14ac:dyDescent="0.2">
      <c r="A20136" s="996" t="str">
        <f>CONCATENATE(Programme!D20137,Programme!E20137,Programme!F20137,Programme!G20137,Programme!H20137,Programme!I20137,Programme!J20137)</f>
        <v>&lt;numeroLigne&gt;1&lt;/numeroLigne&gt;</v>
      </c>
    </row>
    <row r="20137" spans="1:1" x14ac:dyDescent="0.2">
      <c r="A20137" s="996" t="str">
        <f>CONCATENATE(Programme!D20138,Programme!E20138,Programme!F20138,Programme!G20138,Programme!H20138,Programme!I20138,Programme!J20138)</f>
        <v>&lt;/ValeurCellule&gt;</v>
      </c>
    </row>
    <row r="20138" spans="1:1" x14ac:dyDescent="0.2">
      <c r="A20138" s="996" t="str">
        <f>CONCATENATE(Programme!D20139,Programme!E20139,Programme!F20139,Programme!G20139,Programme!H20139,Programme!I20139,Programme!J20139)</f>
        <v>&lt;ValeurCellule&gt;</v>
      </c>
    </row>
    <row r="20139" spans="1:1" x14ac:dyDescent="0.2">
      <c r="A20139" s="996" t="str">
        <f>CONCATENATE(Programme!D20140,Programme!E20140,Programme!F20140,Programme!G20140,Programme!H20140,Programme!I20140,Programme!J20140)</f>
        <v>&lt;cellule&gt;&lt;codeEdi&gt;14092&lt;/codeEdi&gt;&lt;/cellule&gt;</v>
      </c>
    </row>
    <row r="20140" spans="1:1" x14ac:dyDescent="0.2">
      <c r="A20140" s="996" t="str">
        <f>CONCATENATE(Programme!D20141,Programme!E20141,Programme!F20141,Programme!G20141,Programme!H20141,Programme!I20141,Programme!J20141)</f>
        <v>&lt;valeur&gt;&lt;/valeur&gt;</v>
      </c>
    </row>
    <row r="20141" spans="1:1" x14ac:dyDescent="0.2">
      <c r="A20141" s="996" t="str">
        <f>CONCATENATE(Programme!D20142,Programme!E20142,Programme!F20142,Programme!G20142,Programme!H20142,Programme!I20142,Programme!J20142)</f>
        <v>&lt;numeroLigne&gt;1&lt;/numeroLigne&gt;</v>
      </c>
    </row>
    <row r="20142" spans="1:1" x14ac:dyDescent="0.2">
      <c r="A20142" s="996" t="str">
        <f>CONCATENATE(Programme!D20143,Programme!E20143,Programme!F20143,Programme!G20143,Programme!H20143,Programme!I20143,Programme!J20143)</f>
        <v>&lt;/ValeurCellule&gt;</v>
      </c>
    </row>
    <row r="20143" spans="1:1" x14ac:dyDescent="0.2">
      <c r="A20143" s="996" t="str">
        <f>CONCATENATE(Programme!D20144,Programme!E20144,Programme!F20144,Programme!G20144,Programme!H20144,Programme!I20144,Programme!J20144)</f>
        <v>&lt;ValeurCellule&gt;</v>
      </c>
    </row>
    <row r="20144" spans="1:1" x14ac:dyDescent="0.2">
      <c r="A20144" s="996" t="str">
        <f>CONCATENATE(Programme!D20145,Programme!E20145,Programme!F20145,Programme!G20145,Programme!H20145,Programme!I20145,Programme!J20145)</f>
        <v>&lt;cellule&gt;&lt;codeEdi&gt;14093&lt;/codeEdi&gt;&lt;/cellule&gt;</v>
      </c>
    </row>
    <row r="20145" spans="1:1" x14ac:dyDescent="0.2">
      <c r="A20145" s="996" t="str">
        <f>CONCATENATE(Programme!D20146,Programme!E20146,Programme!F20146,Programme!G20146,Programme!H20146,Programme!I20146,Programme!J20146)</f>
        <v>&lt;valeur&gt;&lt;/valeur&gt;</v>
      </c>
    </row>
    <row r="20146" spans="1:1" x14ac:dyDescent="0.2">
      <c r="A20146" s="996" t="str">
        <f>CONCATENATE(Programme!D20147,Programme!E20147,Programme!F20147,Programme!G20147,Programme!H20147,Programme!I20147,Programme!J20147)</f>
        <v>&lt;numeroLigne&gt;1&lt;/numeroLigne&gt;</v>
      </c>
    </row>
    <row r="20147" spans="1:1" x14ac:dyDescent="0.2">
      <c r="A20147" s="996" t="str">
        <f>CONCATENATE(Programme!D20148,Programme!E20148,Programme!F20148,Programme!G20148,Programme!H20148,Programme!I20148,Programme!J20148)</f>
        <v>&lt;/ValeurCellule&gt;</v>
      </c>
    </row>
    <row r="20148" spans="1:1" x14ac:dyDescent="0.2">
      <c r="A20148" s="996" t="str">
        <f>CONCATENATE(Programme!D20149,Programme!E20149,Programme!F20149,Programme!G20149,Programme!H20149,Programme!I20149,Programme!J20149)</f>
        <v>&lt;ValeurCellule&gt;</v>
      </c>
    </row>
    <row r="20149" spans="1:1" x14ac:dyDescent="0.2">
      <c r="A20149" s="996" t="str">
        <f>CONCATENATE(Programme!D20150,Programme!E20150,Programme!F20150,Programme!G20150,Programme!H20150,Programme!I20150,Programme!J20150)</f>
        <v>&lt;cellule&gt;&lt;codeEdi&gt;14088&lt;/codeEdi&gt;&lt;/cellule&gt;</v>
      </c>
    </row>
    <row r="20150" spans="1:1" x14ac:dyDescent="0.2">
      <c r="A20150" s="996" t="str">
        <f>CONCATENATE(Programme!D20151,Programme!E20151,Programme!F20151,Programme!G20151,Programme!H20151,Programme!I20151,Programme!J20151)</f>
        <v>&lt;valeur&gt;&lt;/valeur&gt;</v>
      </c>
    </row>
    <row r="20151" spans="1:1" x14ac:dyDescent="0.2">
      <c r="A20151" s="996" t="str">
        <f>CONCATENATE(Programme!D20152,Programme!E20152,Programme!F20152,Programme!G20152,Programme!H20152,Programme!I20152,Programme!J20152)</f>
        <v>&lt;numeroLigne&gt;2&lt;/numeroLigne&gt;</v>
      </c>
    </row>
    <row r="20152" spans="1:1" x14ac:dyDescent="0.2">
      <c r="A20152" s="996" t="str">
        <f>CONCATENATE(Programme!D20153,Programme!E20153,Programme!F20153,Programme!G20153,Programme!H20153,Programme!I20153,Programme!J20153)</f>
        <v>&lt;/ValeurCellule&gt;</v>
      </c>
    </row>
    <row r="20153" spans="1:1" x14ac:dyDescent="0.2">
      <c r="A20153" s="996" t="str">
        <f>CONCATENATE(Programme!D20154,Programme!E20154,Programme!F20154,Programme!G20154,Programme!H20154,Programme!I20154,Programme!J20154)</f>
        <v>&lt;ValeurCellule&gt;</v>
      </c>
    </row>
    <row r="20154" spans="1:1" x14ac:dyDescent="0.2">
      <c r="A20154" s="996" t="str">
        <f>CONCATENATE(Programme!D20155,Programme!E20155,Programme!F20155,Programme!G20155,Programme!H20155,Programme!I20155,Programme!J20155)</f>
        <v>&lt;cellule&gt;&lt;codeEdi&gt;14089&lt;/codeEdi&gt;&lt;/cellule&gt;</v>
      </c>
    </row>
    <row r="20155" spans="1:1" x14ac:dyDescent="0.2">
      <c r="A20155" s="996" t="str">
        <f>CONCATENATE(Programme!D20156,Programme!E20156,Programme!F20156,Programme!G20156,Programme!H20156,Programme!I20156,Programme!J20156)</f>
        <v>&lt;valeur&gt;&lt;/valeur&gt;</v>
      </c>
    </row>
    <row r="20156" spans="1:1" x14ac:dyDescent="0.2">
      <c r="A20156" s="996" t="str">
        <f>CONCATENATE(Programme!D20157,Programme!E20157,Programme!F20157,Programme!G20157,Programme!H20157,Programme!I20157,Programme!J20157)</f>
        <v>&lt;numeroLigne&gt;2&lt;/numeroLigne&gt;</v>
      </c>
    </row>
    <row r="20157" spans="1:1" x14ac:dyDescent="0.2">
      <c r="A20157" s="996" t="str">
        <f>CONCATENATE(Programme!D20158,Programme!E20158,Programme!F20158,Programme!G20158,Programme!H20158,Programme!I20158,Programme!J20158)</f>
        <v>&lt;/ValeurCellule&gt;</v>
      </c>
    </row>
    <row r="20158" spans="1:1" x14ac:dyDescent="0.2">
      <c r="A20158" s="996" t="str">
        <f>CONCATENATE(Programme!D20159,Programme!E20159,Programme!F20159,Programme!G20159,Programme!H20159,Programme!I20159,Programme!J20159)</f>
        <v>&lt;ValeurCellule&gt;</v>
      </c>
    </row>
    <row r="20159" spans="1:1" x14ac:dyDescent="0.2">
      <c r="A20159" s="996" t="str">
        <f>CONCATENATE(Programme!D20160,Programme!E20160,Programme!F20160,Programme!G20160,Programme!H20160,Programme!I20160,Programme!J20160)</f>
        <v>&lt;cellule&gt;&lt;codeEdi&gt;14090&lt;/codeEdi&gt;&lt;/cellule&gt;</v>
      </c>
    </row>
    <row r="20160" spans="1:1" x14ac:dyDescent="0.2">
      <c r="A20160" s="996" t="str">
        <f>CONCATENATE(Programme!D20161,Programme!E20161,Programme!F20161,Programme!G20161,Programme!H20161,Programme!I20161,Programme!J20161)</f>
        <v>&lt;valeur&gt;&lt;/valeur&gt;</v>
      </c>
    </row>
    <row r="20161" spans="1:1" x14ac:dyDescent="0.2">
      <c r="A20161" s="996" t="str">
        <f>CONCATENATE(Programme!D20162,Programme!E20162,Programme!F20162,Programme!G20162,Programme!H20162,Programme!I20162,Programme!J20162)</f>
        <v>&lt;numeroLigne&gt;2&lt;/numeroLigne&gt;</v>
      </c>
    </row>
    <row r="20162" spans="1:1" x14ac:dyDescent="0.2">
      <c r="A20162" s="996" t="str">
        <f>CONCATENATE(Programme!D20163,Programme!E20163,Programme!F20163,Programme!G20163,Programme!H20163,Programme!I20163,Programme!J20163)</f>
        <v>&lt;/ValeurCellule&gt;</v>
      </c>
    </row>
    <row r="20163" spans="1:1" x14ac:dyDescent="0.2">
      <c r="A20163" s="996" t="str">
        <f>CONCATENATE(Programme!D20164,Programme!E20164,Programme!F20164,Programme!G20164,Programme!H20164,Programme!I20164,Programme!J20164)</f>
        <v>&lt;ValeurCellule&gt;</v>
      </c>
    </row>
    <row r="20164" spans="1:1" x14ac:dyDescent="0.2">
      <c r="A20164" s="996" t="str">
        <f>CONCATENATE(Programme!D20165,Programme!E20165,Programme!F20165,Programme!G20165,Programme!H20165,Programme!I20165,Programme!J20165)</f>
        <v>&lt;cellule&gt;&lt;codeEdi&gt;14091&lt;/codeEdi&gt;&lt;/cellule&gt;</v>
      </c>
    </row>
    <row r="20165" spans="1:1" x14ac:dyDescent="0.2">
      <c r="A20165" s="996" t="str">
        <f>CONCATENATE(Programme!D20166,Programme!E20166,Programme!F20166,Programme!G20166,Programme!H20166,Programme!I20166,Programme!J20166)</f>
        <v>&lt;valeur&gt;&lt;/valeur&gt;</v>
      </c>
    </row>
    <row r="20166" spans="1:1" x14ac:dyDescent="0.2">
      <c r="A20166" s="996" t="str">
        <f>CONCATENATE(Programme!D20167,Programme!E20167,Programme!F20167,Programme!G20167,Programme!H20167,Programme!I20167,Programme!J20167)</f>
        <v>&lt;numeroLigne&gt;2&lt;/numeroLigne&gt;</v>
      </c>
    </row>
    <row r="20167" spans="1:1" x14ac:dyDescent="0.2">
      <c r="A20167" s="996" t="str">
        <f>CONCATENATE(Programme!D20168,Programme!E20168,Programme!F20168,Programme!G20168,Programme!H20168,Programme!I20168,Programme!J20168)</f>
        <v>&lt;/ValeurCellule&gt;</v>
      </c>
    </row>
    <row r="20168" spans="1:1" x14ac:dyDescent="0.2">
      <c r="A20168" s="996" t="str">
        <f>CONCATENATE(Programme!D20169,Programme!E20169,Programme!F20169,Programme!G20169,Programme!H20169,Programme!I20169,Programme!J20169)</f>
        <v>&lt;ValeurCellule&gt;</v>
      </c>
    </row>
    <row r="20169" spans="1:1" x14ac:dyDescent="0.2">
      <c r="A20169" s="996" t="str">
        <f>CONCATENATE(Programme!D20170,Programme!E20170,Programme!F20170,Programme!G20170,Programme!H20170,Programme!I20170,Programme!J20170)</f>
        <v>&lt;cellule&gt;&lt;codeEdi&gt;14092&lt;/codeEdi&gt;&lt;/cellule&gt;</v>
      </c>
    </row>
    <row r="20170" spans="1:1" x14ac:dyDescent="0.2">
      <c r="A20170" s="996" t="str">
        <f>CONCATENATE(Programme!D20171,Programme!E20171,Programme!F20171,Programme!G20171,Programme!H20171,Programme!I20171,Programme!J20171)</f>
        <v>&lt;valeur&gt;&lt;/valeur&gt;</v>
      </c>
    </row>
    <row r="20171" spans="1:1" x14ac:dyDescent="0.2">
      <c r="A20171" s="996" t="str">
        <f>CONCATENATE(Programme!D20172,Programme!E20172,Programme!F20172,Programme!G20172,Programme!H20172,Programme!I20172,Programme!J20172)</f>
        <v>&lt;numeroLigne&gt;2&lt;/numeroLigne&gt;</v>
      </c>
    </row>
    <row r="20172" spans="1:1" x14ac:dyDescent="0.2">
      <c r="A20172" s="996" t="str">
        <f>CONCATENATE(Programme!D20173,Programme!E20173,Programme!F20173,Programme!G20173,Programme!H20173,Programme!I20173,Programme!J20173)</f>
        <v>&lt;/ValeurCellule&gt;</v>
      </c>
    </row>
    <row r="20173" spans="1:1" x14ac:dyDescent="0.2">
      <c r="A20173" s="996" t="str">
        <f>CONCATENATE(Programme!D20174,Programme!E20174,Programme!F20174,Programme!G20174,Programme!H20174,Programme!I20174,Programme!J20174)</f>
        <v>&lt;ValeurCellule&gt;</v>
      </c>
    </row>
    <row r="20174" spans="1:1" x14ac:dyDescent="0.2">
      <c r="A20174" s="996" t="str">
        <f>CONCATENATE(Programme!D20175,Programme!E20175,Programme!F20175,Programme!G20175,Programme!H20175,Programme!I20175,Programme!J20175)</f>
        <v>&lt;cellule&gt;&lt;codeEdi&gt;14093&lt;/codeEdi&gt;&lt;/cellule&gt;</v>
      </c>
    </row>
    <row r="20175" spans="1:1" x14ac:dyDescent="0.2">
      <c r="A20175" s="996" t="str">
        <f>CONCATENATE(Programme!D20176,Programme!E20176,Programme!F20176,Programme!G20176,Programme!H20176,Programme!I20176,Programme!J20176)</f>
        <v>&lt;valeur&gt;&lt;/valeur&gt;</v>
      </c>
    </row>
    <row r="20176" spans="1:1" x14ac:dyDescent="0.2">
      <c r="A20176" s="996" t="str">
        <f>CONCATENATE(Programme!D20177,Programme!E20177,Programme!F20177,Programme!G20177,Programme!H20177,Programme!I20177,Programme!J20177)</f>
        <v>&lt;numeroLigne&gt;2&lt;/numeroLigne&gt;</v>
      </c>
    </row>
    <row r="20177" spans="1:1" x14ac:dyDescent="0.2">
      <c r="A20177" s="996" t="str">
        <f>CONCATENATE(Programme!D20178,Programme!E20178,Programme!F20178,Programme!G20178,Programme!H20178,Programme!I20178,Programme!J20178)</f>
        <v>&lt;/ValeurCellule&gt;</v>
      </c>
    </row>
    <row r="20178" spans="1:1" x14ac:dyDescent="0.2">
      <c r="A20178" s="996" t="str">
        <f>CONCATENATE(Programme!D20179,Programme!E20179,Programme!F20179,Programme!G20179,Programme!H20179,Programme!I20179,Programme!J20179)</f>
        <v>&lt;/groupeValeurs&gt;</v>
      </c>
    </row>
    <row r="20179" spans="1:1" x14ac:dyDescent="0.2">
      <c r="A20179" s="996" t="str">
        <f>CONCATENATE(Programme!D20180,Programme!E20180,Programme!F20180,Programme!G20180,Programme!H20180,Programme!I20180,Programme!J20180)</f>
        <v>&lt;extraFieldvaleurs&gt;</v>
      </c>
    </row>
    <row r="20180" spans="1:1" x14ac:dyDescent="0.2">
      <c r="A20180" s="996" t="str">
        <f>CONCATENATE(Programme!D20181,Programme!E20181,Programme!F20181,Programme!G20181,Programme!H20181,Programme!I20181,Programme!J20181)</f>
        <v>&lt;/extraFieldvaleurs&gt;</v>
      </c>
    </row>
    <row r="20181" spans="1:1" x14ac:dyDescent="0.2">
      <c r="A20181" s="996" t="str">
        <f>CONCATENATE(Programme!D20182,Programme!E20182,Programme!F20182,Programme!G20182,Programme!H20182,Programme!I20182,Programme!J20182)</f>
        <v>&lt;/ValeursTableau&gt;</v>
      </c>
    </row>
    <row r="20182" spans="1:1" x14ac:dyDescent="0.2">
      <c r="A20182" s="996" t="str">
        <f>CONCATENATE(Programme!D20183,Programme!E20183,Programme!F20183,Programme!G20183,Programme!H20183,Programme!I20183,Programme!J20183)</f>
        <v>&lt;ValeursTableau&gt;</v>
      </c>
    </row>
    <row r="20183" spans="1:1" x14ac:dyDescent="0.2">
      <c r="A20183" s="996" t="str">
        <f>CONCATENATE(Programme!D20184,Programme!E20184,Programme!F20184,Programme!G20184,Programme!H20184,Programme!I20184,Programme!J20184)</f>
        <v>&lt;tableau&gt;&lt;id&gt;202&lt;/id&gt;&lt;/tableau&gt;</v>
      </c>
    </row>
    <row r="20184" spans="1:1" x14ac:dyDescent="0.2">
      <c r="A20184" s="996" t="str">
        <f>CONCATENATE(Programme!D20185,Programme!E20185,Programme!F20185,Programme!G20185,Programme!H20185,Programme!I20185,Programme!J20185)</f>
        <v>&lt;groupeValeurs&gt;</v>
      </c>
    </row>
    <row r="20185" spans="1:1" x14ac:dyDescent="0.2">
      <c r="A20185" s="996" t="str">
        <f>CONCATENATE(Programme!D20186,Programme!E20186,Programme!F20186,Programme!G20186,Programme!H20186,Programme!I20186,Programme!J20186)</f>
        <v>&lt;ValeurCellule&gt;</v>
      </c>
    </row>
    <row r="20186" spans="1:1" x14ac:dyDescent="0.2">
      <c r="A20186" s="996" t="str">
        <f>CONCATENATE(Programme!D20187,Programme!E20187,Programme!F20187,Programme!G20187,Programme!H20187,Programme!I20187,Programme!J20187)</f>
        <v>&lt;cellule&gt;</v>
      </c>
    </row>
    <row r="20187" spans="1:1" x14ac:dyDescent="0.2">
      <c r="A20187" s="996" t="str">
        <f>CONCATENATE(Programme!D20188,Programme!E20188,Programme!F20188,Programme!G20188,Programme!H20188,Programme!I20188,Programme!J20188)</f>
        <v>&lt;codeEdi&gt;14098&lt;/codeEdi&gt;</v>
      </c>
    </row>
    <row r="20188" spans="1:1" x14ac:dyDescent="0.2">
      <c r="A20188" s="996" t="str">
        <f>CONCATENATE(Programme!D20189,Programme!E20189,Programme!F20189,Programme!G20189,Programme!H20189,Programme!I20189,Programme!J20189)</f>
        <v>&lt;/cellule&gt;</v>
      </c>
    </row>
    <row r="20189" spans="1:1" x14ac:dyDescent="0.2">
      <c r="A20189" s="996" t="str">
        <f>CONCATENATE(Programme!D20190,Programme!E20190,Programme!F20190,Programme!G20190,Programme!H20190,Programme!I20190,Programme!J20190)</f>
        <v>&lt;valeur&gt;&lt;/valeur&gt;</v>
      </c>
    </row>
    <row r="20190" spans="1:1" x14ac:dyDescent="0.2">
      <c r="A20190" s="996" t="str">
        <f>CONCATENATE(Programme!D20191,Programme!E20191,Programme!F20191,Programme!G20191,Programme!H20191,Programme!I20191,Programme!J20191)</f>
        <v>&lt;/ValeurCellule&gt;</v>
      </c>
    </row>
    <row r="20191" spans="1:1" x14ac:dyDescent="0.2">
      <c r="A20191" s="996" t="str">
        <f>CONCATENATE(Programme!D20192,Programme!E20192,Programme!F20192,Programme!G20192,Programme!H20192,Programme!I20192,Programme!J20192)</f>
        <v>&lt;ValeurCellule&gt;</v>
      </c>
    </row>
    <row r="20192" spans="1:1" x14ac:dyDescent="0.2">
      <c r="A20192" s="996" t="str">
        <f>CONCATENATE(Programme!D20193,Programme!E20193,Programme!F20193,Programme!G20193,Programme!H20193,Programme!I20193,Programme!J20193)</f>
        <v>&lt;cellule&gt;</v>
      </c>
    </row>
    <row r="20193" spans="1:1" x14ac:dyDescent="0.2">
      <c r="A20193" s="996" t="str">
        <f>CONCATENATE(Programme!D20194,Programme!E20194,Programme!F20194,Programme!G20194,Programme!H20194,Programme!I20194,Programme!J20194)</f>
        <v>&lt;codeEdi&gt;14101&lt;/codeEdi&gt;</v>
      </c>
    </row>
    <row r="20194" spans="1:1" x14ac:dyDescent="0.2">
      <c r="A20194" s="996" t="str">
        <f>CONCATENATE(Programme!D20195,Programme!E20195,Programme!F20195,Programme!G20195,Programme!H20195,Programme!I20195,Programme!J20195)</f>
        <v>&lt;/cellule&gt;</v>
      </c>
    </row>
    <row r="20195" spans="1:1" x14ac:dyDescent="0.2">
      <c r="A20195" s="996" t="str">
        <f>CONCATENATE(Programme!D20196,Programme!E20196,Programme!F20196,Programme!G20196,Programme!H20196,Programme!I20196,Programme!J20196)</f>
        <v>&lt;valeur&gt;&lt;/valeur&gt;</v>
      </c>
    </row>
    <row r="20196" spans="1:1" x14ac:dyDescent="0.2">
      <c r="A20196" s="996" t="str">
        <f>CONCATENATE(Programme!D20197,Programme!E20197,Programme!F20197,Programme!G20197,Programme!H20197,Programme!I20197,Programme!J20197)</f>
        <v>&lt;/ValeurCellule&gt;</v>
      </c>
    </row>
    <row r="20197" spans="1:1" x14ac:dyDescent="0.2">
      <c r="A20197" s="996" t="str">
        <f>CONCATENATE(Programme!D20198,Programme!E20198,Programme!F20198,Programme!G20198,Programme!H20198,Programme!I20198,Programme!J20198)</f>
        <v>&lt;ValeurCellule&gt;</v>
      </c>
    </row>
    <row r="20198" spans="1:1" x14ac:dyDescent="0.2">
      <c r="A20198" s="996" t="str">
        <f>CONCATENATE(Programme!D20199,Programme!E20199,Programme!F20199,Programme!G20199,Programme!H20199,Programme!I20199,Programme!J20199)</f>
        <v>&lt;cellule&gt;</v>
      </c>
    </row>
    <row r="20199" spans="1:1" x14ac:dyDescent="0.2">
      <c r="A20199" s="996" t="str">
        <f>CONCATENATE(Programme!D20200,Programme!E20200,Programme!F20200,Programme!G20200,Programme!H20200,Programme!I20200,Programme!J20200)</f>
        <v>&lt;codeEdi&gt;14104&lt;/codeEdi&gt;</v>
      </c>
    </row>
    <row r="20200" spans="1:1" x14ac:dyDescent="0.2">
      <c r="A20200" s="996" t="str">
        <f>CONCATENATE(Programme!D20201,Programme!E20201,Programme!F20201,Programme!G20201,Programme!H20201,Programme!I20201,Programme!J20201)</f>
        <v>&lt;/cellule&gt;</v>
      </c>
    </row>
    <row r="20201" spans="1:1" x14ac:dyDescent="0.2">
      <c r="A20201" s="996" t="str">
        <f>CONCATENATE(Programme!D20202,Programme!E20202,Programme!F20202,Programme!G20202,Programme!H20202,Programme!I20202,Programme!J20202)</f>
        <v>&lt;valeur&gt;&lt;/valeur&gt;</v>
      </c>
    </row>
    <row r="20202" spans="1:1" x14ac:dyDescent="0.2">
      <c r="A20202" s="996" t="str">
        <f>CONCATENATE(Programme!D20203,Programme!E20203,Programme!F20203,Programme!G20203,Programme!H20203,Programme!I20203,Programme!J20203)</f>
        <v>&lt;/ValeurCellule&gt;</v>
      </c>
    </row>
    <row r="20203" spans="1:1" x14ac:dyDescent="0.2">
      <c r="A20203" s="996" t="str">
        <f>CONCATENATE(Programme!D20204,Programme!E20204,Programme!F20204,Programme!G20204,Programme!H20204,Programme!I20204,Programme!J20204)</f>
        <v>&lt;ValeurCellule&gt;</v>
      </c>
    </row>
    <row r="20204" spans="1:1" x14ac:dyDescent="0.2">
      <c r="A20204" s="996" t="str">
        <f>CONCATENATE(Programme!D20205,Programme!E20205,Programme!F20205,Programme!G20205,Programme!H20205,Programme!I20205,Programme!J20205)</f>
        <v>&lt;cellule&gt;</v>
      </c>
    </row>
    <row r="20205" spans="1:1" x14ac:dyDescent="0.2">
      <c r="A20205" s="996" t="str">
        <f>CONCATENATE(Programme!D20206,Programme!E20206,Programme!F20206,Programme!G20206,Programme!H20206,Programme!I20206,Programme!J20206)</f>
        <v>&lt;codeEdi&gt;14099&lt;/codeEdi&gt;</v>
      </c>
    </row>
    <row r="20206" spans="1:1" x14ac:dyDescent="0.2">
      <c r="A20206" s="996" t="str">
        <f>CONCATENATE(Programme!D20207,Programme!E20207,Programme!F20207,Programme!G20207,Programme!H20207,Programme!I20207,Programme!J20207)</f>
        <v>&lt;/cellule&gt;</v>
      </c>
    </row>
    <row r="20207" spans="1:1" x14ac:dyDescent="0.2">
      <c r="A20207" s="996" t="str">
        <f>CONCATENATE(Programme!D20208,Programme!E20208,Programme!F20208,Programme!G20208,Programme!H20208,Programme!I20208,Programme!J20208)</f>
        <v>&lt;valeur&gt;&lt;/valeur&gt;</v>
      </c>
    </row>
    <row r="20208" spans="1:1" x14ac:dyDescent="0.2">
      <c r="A20208" s="996" t="str">
        <f>CONCATENATE(Programme!D20209,Programme!E20209,Programme!F20209,Programme!G20209,Programme!H20209,Programme!I20209,Programme!J20209)</f>
        <v>&lt;/ValeurCellule&gt;</v>
      </c>
    </row>
    <row r="20209" spans="1:1" x14ac:dyDescent="0.2">
      <c r="A20209" s="996" t="str">
        <f>CONCATENATE(Programme!D20210,Programme!E20210,Programme!F20210,Programme!G20210,Programme!H20210,Programme!I20210,Programme!J20210)</f>
        <v>&lt;ValeurCellule&gt;</v>
      </c>
    </row>
    <row r="20210" spans="1:1" x14ac:dyDescent="0.2">
      <c r="A20210" s="996" t="str">
        <f>CONCATENATE(Programme!D20211,Programme!E20211,Programme!F20211,Programme!G20211,Programme!H20211,Programme!I20211,Programme!J20211)</f>
        <v>&lt;cellule&gt;</v>
      </c>
    </row>
    <row r="20211" spans="1:1" x14ac:dyDescent="0.2">
      <c r="A20211" s="996" t="str">
        <f>CONCATENATE(Programme!D20212,Programme!E20212,Programme!F20212,Programme!G20212,Programme!H20212,Programme!I20212,Programme!J20212)</f>
        <v>&lt;codeEdi&gt;14102&lt;/codeEdi&gt;</v>
      </c>
    </row>
    <row r="20212" spans="1:1" x14ac:dyDescent="0.2">
      <c r="A20212" s="996" t="str">
        <f>CONCATENATE(Programme!D20213,Programme!E20213,Programme!F20213,Programme!G20213,Programme!H20213,Programme!I20213,Programme!J20213)</f>
        <v>&lt;/cellule&gt;</v>
      </c>
    </row>
    <row r="20213" spans="1:1" x14ac:dyDescent="0.2">
      <c r="A20213" s="996" t="str">
        <f>CONCATENATE(Programme!D20214,Programme!E20214,Programme!F20214,Programme!G20214,Programme!H20214,Programme!I20214,Programme!J20214)</f>
        <v>&lt;valeur&gt;&lt;/valeur&gt;</v>
      </c>
    </row>
    <row r="20214" spans="1:1" x14ac:dyDescent="0.2">
      <c r="A20214" s="996" t="str">
        <f>CONCATENATE(Programme!D20215,Programme!E20215,Programme!F20215,Programme!G20215,Programme!H20215,Programme!I20215,Programme!J20215)</f>
        <v>&lt;/ValeurCellule&gt;</v>
      </c>
    </row>
    <row r="20215" spans="1:1" x14ac:dyDescent="0.2">
      <c r="A20215" s="996" t="str">
        <f>CONCATENATE(Programme!D20216,Programme!E20216,Programme!F20216,Programme!G20216,Programme!H20216,Programme!I20216,Programme!J20216)</f>
        <v>&lt;ValeurCellule&gt;</v>
      </c>
    </row>
    <row r="20216" spans="1:1" x14ac:dyDescent="0.2">
      <c r="A20216" s="996" t="str">
        <f>CONCATENATE(Programme!D20217,Programme!E20217,Programme!F20217,Programme!G20217,Programme!H20217,Programme!I20217,Programme!J20217)</f>
        <v>&lt;cellule&gt;</v>
      </c>
    </row>
    <row r="20217" spans="1:1" x14ac:dyDescent="0.2">
      <c r="A20217" s="996" t="str">
        <f>CONCATENATE(Programme!D20218,Programme!E20218,Programme!F20218,Programme!G20218,Programme!H20218,Programme!I20218,Programme!J20218)</f>
        <v>&lt;codeEdi&gt;14105&lt;/codeEdi&gt;</v>
      </c>
    </row>
    <row r="20218" spans="1:1" x14ac:dyDescent="0.2">
      <c r="A20218" s="996" t="str">
        <f>CONCATENATE(Programme!D20219,Programme!E20219,Programme!F20219,Programme!G20219,Programme!H20219,Programme!I20219,Programme!J20219)</f>
        <v>&lt;/cellule&gt;</v>
      </c>
    </row>
    <row r="20219" spans="1:1" x14ac:dyDescent="0.2">
      <c r="A20219" s="996" t="str">
        <f>CONCATENATE(Programme!D20220,Programme!E20220,Programme!F20220,Programme!G20220,Programme!H20220,Programme!I20220,Programme!J20220)</f>
        <v>&lt;valeur&gt;&lt;/valeur&gt;</v>
      </c>
    </row>
    <row r="20220" spans="1:1" x14ac:dyDescent="0.2">
      <c r="A20220" s="996" t="str">
        <f>CONCATENATE(Programme!D20221,Programme!E20221,Programme!F20221,Programme!G20221,Programme!H20221,Programme!I20221,Programme!J20221)</f>
        <v>&lt;/ValeurCellule&gt;</v>
      </c>
    </row>
    <row r="20221" spans="1:1" x14ac:dyDescent="0.2">
      <c r="A20221" s="996" t="str">
        <f>CONCATENATE(Programme!D20222,Programme!E20222,Programme!F20222,Programme!G20222,Programme!H20222,Programme!I20222,Programme!J20222)</f>
        <v>&lt;/groupeValeurs&gt;</v>
      </c>
    </row>
    <row r="20222" spans="1:1" x14ac:dyDescent="0.2">
      <c r="A20222" s="996" t="str">
        <f>CONCATENATE(Programme!D20223,Programme!E20223,Programme!F20223,Programme!G20223,Programme!H20223,Programme!I20223,Programme!J20223)</f>
        <v>&lt;extraFieldvaleurs&gt;</v>
      </c>
    </row>
    <row r="20223" spans="1:1" x14ac:dyDescent="0.2">
      <c r="A20223" s="996" t="str">
        <f>CONCATENATE(Programme!D20224,Programme!E20224,Programme!F20224,Programme!G20224,Programme!H20224,Programme!I20224,Programme!J20224)</f>
        <v>&lt;/extraFieldvaleurs&gt;</v>
      </c>
    </row>
    <row r="20224" spans="1:1" x14ac:dyDescent="0.2">
      <c r="A20224" s="996" t="str">
        <f>CONCATENATE(Programme!D20225,Programme!E20225,Programme!F20225,Programme!G20225,Programme!H20225,Programme!I20225,Programme!J20225)</f>
        <v>&lt;/ValeursTableau&gt;</v>
      </c>
    </row>
    <row r="20225" spans="1:1" x14ac:dyDescent="0.2">
      <c r="A20225" s="996" t="str">
        <f>CONCATENATE(Programme!D20226,Programme!E20226,Programme!F20226,Programme!G20226,Programme!H20226,Programme!I20226,Programme!J20226)</f>
        <v>&lt;ValeursTableau&gt;</v>
      </c>
    </row>
    <row r="20226" spans="1:1" x14ac:dyDescent="0.2">
      <c r="A20226" s="996" t="str">
        <f>CONCATENATE(Programme!D20227,Programme!E20227,Programme!F20227,Programme!G20227,Programme!H20227,Programme!I20227,Programme!J20227)</f>
        <v>&lt;tableau&gt;&lt;id&gt;203&lt;/id&gt;&lt;/tableau&gt;</v>
      </c>
    </row>
    <row r="20227" spans="1:1" x14ac:dyDescent="0.2">
      <c r="A20227" s="996" t="str">
        <f>CONCATENATE(Programme!D20228,Programme!E20228,Programme!F20228,Programme!G20228,Programme!H20228,Programme!I20228,Programme!J20228)</f>
        <v>&lt;groupeValeurs&gt;</v>
      </c>
    </row>
    <row r="20228" spans="1:1" x14ac:dyDescent="0.2">
      <c r="A20228" s="996" t="str">
        <f>CONCATENATE(Programme!D20229,Programme!E20229,Programme!F20229,Programme!G20229,Programme!H20229,Programme!I20229,Programme!J20229)</f>
        <v>&lt;ValeurCellule&gt;</v>
      </c>
    </row>
    <row r="20229" spans="1:1" x14ac:dyDescent="0.2">
      <c r="A20229" s="996" t="str">
        <f>CONCATENATE(Programme!D20230,Programme!E20230,Programme!F20230,Programme!G20230,Programme!H20230,Programme!I20230,Programme!J20230)</f>
        <v>&lt;cellule&gt;</v>
      </c>
    </row>
    <row r="20230" spans="1:1" x14ac:dyDescent="0.2">
      <c r="A20230" s="996" t="str">
        <f>CONCATENATE(Programme!D20231,Programme!E20231,Programme!F20231,Programme!G20231,Programme!H20231,Programme!I20231,Programme!J20231)</f>
        <v>&lt;codeEdi&gt;14113&lt;/codeEdi&gt;</v>
      </c>
    </row>
    <row r="20231" spans="1:1" x14ac:dyDescent="0.2">
      <c r="A20231" s="996" t="str">
        <f>CONCATENATE(Programme!D20232,Programme!E20232,Programme!F20232,Programme!G20232,Programme!H20232,Programme!I20232,Programme!J20232)</f>
        <v>&lt;/cellule&gt;</v>
      </c>
    </row>
    <row r="20232" spans="1:1" x14ac:dyDescent="0.2">
      <c r="A20232" s="996" t="str">
        <f>CONCATENATE(Programme!D20233,Programme!E20233,Programme!F20233,Programme!G20233,Programme!H20233,Programme!I20233,Programme!J20233)</f>
        <v>&lt;valeur&gt;0&lt;/valeur&gt;</v>
      </c>
    </row>
    <row r="20233" spans="1:1" x14ac:dyDescent="0.2">
      <c r="A20233" s="996" t="str">
        <f>CONCATENATE(Programme!D20234,Programme!E20234,Programme!F20234,Programme!G20234,Programme!H20234,Programme!I20234,Programme!J20234)</f>
        <v>&lt;/ValeurCellule&gt;</v>
      </c>
    </row>
    <row r="20234" spans="1:1" x14ac:dyDescent="0.2">
      <c r="A20234" s="996" t="str">
        <f>CONCATENATE(Programme!D20235,Programme!E20235,Programme!F20235,Programme!G20235,Programme!H20235,Programme!I20235,Programme!J20235)</f>
        <v>&lt;ValeurCellule&gt;</v>
      </c>
    </row>
    <row r="20235" spans="1:1" x14ac:dyDescent="0.2">
      <c r="A20235" s="996" t="str">
        <f>CONCATENATE(Programme!D20236,Programme!E20236,Programme!F20236,Programme!G20236,Programme!H20236,Programme!I20236,Programme!J20236)</f>
        <v>&lt;cellule&gt;</v>
      </c>
    </row>
    <row r="20236" spans="1:1" x14ac:dyDescent="0.2">
      <c r="A20236" s="996" t="str">
        <f>CONCATENATE(Programme!D20237,Programme!E20237,Programme!F20237,Programme!G20237,Programme!H20237,Programme!I20237,Programme!J20237)</f>
        <v>&lt;codeEdi&gt;14114&lt;/codeEdi&gt;</v>
      </c>
    </row>
    <row r="20237" spans="1:1" x14ac:dyDescent="0.2">
      <c r="A20237" s="996" t="str">
        <f>CONCATENATE(Programme!D20238,Programme!E20238,Programme!F20238,Programme!G20238,Programme!H20238,Programme!I20238,Programme!J20238)</f>
        <v>&lt;/cellule&gt;</v>
      </c>
    </row>
    <row r="20238" spans="1:1" x14ac:dyDescent="0.2">
      <c r="A20238" s="996" t="str">
        <f>CONCATENATE(Programme!D20239,Programme!E20239,Programme!F20239,Programme!G20239,Programme!H20239,Programme!I20239,Programme!J20239)</f>
        <v>&lt;valeur&gt;0&lt;/valeur&gt;</v>
      </c>
    </row>
    <row r="20239" spans="1:1" x14ac:dyDescent="0.2">
      <c r="A20239" s="996" t="str">
        <f>CONCATENATE(Programme!D20240,Programme!E20240,Programme!F20240,Programme!G20240,Programme!H20240,Programme!I20240,Programme!J20240)</f>
        <v>&lt;/ValeurCellule&gt;</v>
      </c>
    </row>
    <row r="20240" spans="1:1" x14ac:dyDescent="0.2">
      <c r="A20240" s="996" t="str">
        <f>CONCATENATE(Programme!D20241,Programme!E20241,Programme!F20241,Programme!G20241,Programme!H20241,Programme!I20241,Programme!J20241)</f>
        <v>&lt;ValeurCellule&gt;</v>
      </c>
    </row>
    <row r="20241" spans="1:1" x14ac:dyDescent="0.2">
      <c r="A20241" s="996" t="str">
        <f>CONCATENATE(Programme!D20242,Programme!E20242,Programme!F20242,Programme!G20242,Programme!H20242,Programme!I20242,Programme!J20242)</f>
        <v>&lt;cellule&gt;</v>
      </c>
    </row>
    <row r="20242" spans="1:1" x14ac:dyDescent="0.2">
      <c r="A20242" s="996" t="str">
        <f>CONCATENATE(Programme!D20243,Programme!E20243,Programme!F20243,Programme!G20243,Programme!H20243,Programme!I20243,Programme!J20243)</f>
        <v>&lt;codeEdi&gt;14115&lt;/codeEdi&gt;</v>
      </c>
    </row>
    <row r="20243" spans="1:1" x14ac:dyDescent="0.2">
      <c r="A20243" s="996" t="str">
        <f>CONCATENATE(Programme!D20244,Programme!E20244,Programme!F20244,Programme!G20244,Programme!H20244,Programme!I20244,Programme!J20244)</f>
        <v>&lt;/cellule&gt;</v>
      </c>
    </row>
    <row r="20244" spans="1:1" x14ac:dyDescent="0.2">
      <c r="A20244" s="996" t="str">
        <f>CONCATENATE(Programme!D20245,Programme!E20245,Programme!F20245,Programme!G20245,Programme!H20245,Programme!I20245,Programme!J20245)</f>
        <v>&lt;valeur&gt;0&lt;/valeur&gt;</v>
      </c>
    </row>
    <row r="20245" spans="1:1" x14ac:dyDescent="0.2">
      <c r="A20245" s="996" t="str">
        <f>CONCATENATE(Programme!D20246,Programme!E20246,Programme!F20246,Programme!G20246,Programme!H20246,Programme!I20246,Programme!J20246)</f>
        <v>&lt;/ValeurCellule&gt;</v>
      </c>
    </row>
    <row r="20246" spans="1:1" x14ac:dyDescent="0.2">
      <c r="A20246" s="996" t="str">
        <f>CONCATENATE(Programme!D20247,Programme!E20247,Programme!F20247,Programme!G20247,Programme!H20247,Programme!I20247,Programme!J20247)</f>
        <v>&lt;ValeurCellule&gt;</v>
      </c>
    </row>
    <row r="20247" spans="1:1" x14ac:dyDescent="0.2">
      <c r="A20247" s="996" t="str">
        <f>CONCATENATE(Programme!D20248,Programme!E20248,Programme!F20248,Programme!G20248,Programme!H20248,Programme!I20248,Programme!J20248)</f>
        <v>&lt;cellule&gt;</v>
      </c>
    </row>
    <row r="20248" spans="1:1" x14ac:dyDescent="0.2">
      <c r="A20248" s="996" t="str">
        <f>CONCATENATE(Programme!D20249,Programme!E20249,Programme!F20249,Programme!G20249,Programme!H20249,Programme!I20249,Programme!J20249)</f>
        <v>&lt;codeEdi&gt;14116&lt;/codeEdi&gt;</v>
      </c>
    </row>
    <row r="20249" spans="1:1" x14ac:dyDescent="0.2">
      <c r="A20249" s="996" t="str">
        <f>CONCATENATE(Programme!D20250,Programme!E20250,Programme!F20250,Programme!G20250,Programme!H20250,Programme!I20250,Programme!J20250)</f>
        <v>&lt;/cellule&gt;</v>
      </c>
    </row>
    <row r="20250" spans="1:1" x14ac:dyDescent="0.2">
      <c r="A20250" s="996" t="str">
        <f>CONCATENATE(Programme!D20251,Programme!E20251,Programme!F20251,Programme!G20251,Programme!H20251,Programme!I20251,Programme!J20251)</f>
        <v>&lt;valeur&gt;0&lt;/valeur&gt;</v>
      </c>
    </row>
    <row r="20251" spans="1:1" x14ac:dyDescent="0.2">
      <c r="A20251" s="996" t="str">
        <f>CONCATENATE(Programme!D20252,Programme!E20252,Programme!F20252,Programme!G20252,Programme!H20252,Programme!I20252,Programme!J20252)</f>
        <v>&lt;/ValeurCellule&gt;</v>
      </c>
    </row>
    <row r="20252" spans="1:1" x14ac:dyDescent="0.2">
      <c r="A20252" s="996" t="str">
        <f>CONCATENATE(Programme!D20253,Programme!E20253,Programme!F20253,Programme!G20253,Programme!H20253,Programme!I20253,Programme!J20253)</f>
        <v>&lt;ValeurCellule&gt;</v>
      </c>
    </row>
    <row r="20253" spans="1:1" x14ac:dyDescent="0.2">
      <c r="A20253" s="996" t="str">
        <f>CONCATENATE(Programme!D20254,Programme!E20254,Programme!F20254,Programme!G20254,Programme!H20254,Programme!I20254,Programme!J20254)</f>
        <v>&lt;cellule&gt;</v>
      </c>
    </row>
    <row r="20254" spans="1:1" x14ac:dyDescent="0.2">
      <c r="A20254" s="996" t="str">
        <f>CONCATENATE(Programme!D20255,Programme!E20255,Programme!F20255,Programme!G20255,Programme!H20255,Programme!I20255,Programme!J20255)</f>
        <v>&lt;codeEdi&gt;14117&lt;/codeEdi&gt;</v>
      </c>
    </row>
    <row r="20255" spans="1:1" x14ac:dyDescent="0.2">
      <c r="A20255" s="996" t="str">
        <f>CONCATENATE(Programme!D20256,Programme!E20256,Programme!F20256,Programme!G20256,Programme!H20256,Programme!I20256,Programme!J20256)</f>
        <v>&lt;/cellule&gt;</v>
      </c>
    </row>
    <row r="20256" spans="1:1" x14ac:dyDescent="0.2">
      <c r="A20256" s="996" t="str">
        <f>CONCATENATE(Programme!D20257,Programme!E20257,Programme!F20257,Programme!G20257,Programme!H20257,Programme!I20257,Programme!J20257)</f>
        <v>&lt;valeur&gt;0&lt;/valeur&gt;</v>
      </c>
    </row>
    <row r="20257" spans="1:1" x14ac:dyDescent="0.2">
      <c r="A20257" s="996" t="str">
        <f>CONCATENATE(Programme!D20258,Programme!E20258,Programme!F20258,Programme!G20258,Programme!H20258,Programme!I20258,Programme!J20258)</f>
        <v>&lt;/ValeurCellule&gt;</v>
      </c>
    </row>
    <row r="20258" spans="1:1" x14ac:dyDescent="0.2">
      <c r="A20258" s="996" t="str">
        <f>CONCATENATE(Programme!D20259,Programme!E20259,Programme!F20259,Programme!G20259,Programme!H20259,Programme!I20259,Programme!J20259)</f>
        <v>&lt;ValeurCellule&gt;</v>
      </c>
    </row>
    <row r="20259" spans="1:1" x14ac:dyDescent="0.2">
      <c r="A20259" s="996" t="str">
        <f>CONCATENATE(Programme!D20260,Programme!E20260,Programme!F20260,Programme!G20260,Programme!H20260,Programme!I20260,Programme!J20260)</f>
        <v>&lt;cellule&gt;</v>
      </c>
    </row>
    <row r="20260" spans="1:1" x14ac:dyDescent="0.2">
      <c r="A20260" s="996" t="str">
        <f>CONCATENATE(Programme!D20261,Programme!E20261,Programme!F20261,Programme!G20261,Programme!H20261,Programme!I20261,Programme!J20261)</f>
        <v>&lt;codeEdi&gt;14118&lt;/codeEdi&gt;</v>
      </c>
    </row>
    <row r="20261" spans="1:1" x14ac:dyDescent="0.2">
      <c r="A20261" s="996" t="str">
        <f>CONCATENATE(Programme!D20262,Programme!E20262,Programme!F20262,Programme!G20262,Programme!H20262,Programme!I20262,Programme!J20262)</f>
        <v>&lt;/cellule&gt;</v>
      </c>
    </row>
    <row r="20262" spans="1:1" x14ac:dyDescent="0.2">
      <c r="A20262" s="996" t="str">
        <f>CONCATENATE(Programme!D20263,Programme!E20263,Programme!F20263,Programme!G20263,Programme!H20263,Programme!I20263,Programme!J20263)</f>
        <v>&lt;valeur&gt;0&lt;/valeur&gt;</v>
      </c>
    </row>
    <row r="20263" spans="1:1" x14ac:dyDescent="0.2">
      <c r="A20263" s="996" t="str">
        <f>CONCATENATE(Programme!D20264,Programme!E20264,Programme!F20264,Programme!G20264,Programme!H20264,Programme!I20264,Programme!J20264)</f>
        <v>&lt;/ValeurCellule&gt;</v>
      </c>
    </row>
    <row r="20264" spans="1:1" x14ac:dyDescent="0.2">
      <c r="A20264" s="996" t="str">
        <f>CONCATENATE(Programme!D20265,Programme!E20265,Programme!F20265,Programme!G20265,Programme!H20265,Programme!I20265,Programme!J20265)</f>
        <v>&lt;ValeurCellule&gt;</v>
      </c>
    </row>
    <row r="20265" spans="1:1" x14ac:dyDescent="0.2">
      <c r="A20265" s="996" t="str">
        <f>CONCATENATE(Programme!D20266,Programme!E20266,Programme!F20266,Programme!G20266,Programme!H20266,Programme!I20266,Programme!J20266)</f>
        <v>&lt;cellule&gt;</v>
      </c>
    </row>
    <row r="20266" spans="1:1" x14ac:dyDescent="0.2">
      <c r="A20266" s="996" t="str">
        <f>CONCATENATE(Programme!D20267,Programme!E20267,Programme!F20267,Programme!G20267,Programme!H20267,Programme!I20267,Programme!J20267)</f>
        <v>&lt;codeEdi&gt;14119&lt;/codeEdi&gt;</v>
      </c>
    </row>
    <row r="20267" spans="1:1" x14ac:dyDescent="0.2">
      <c r="A20267" s="996" t="str">
        <f>CONCATENATE(Programme!D20268,Programme!E20268,Programme!F20268,Programme!G20268,Programme!H20268,Programme!I20268,Programme!J20268)</f>
        <v>&lt;/cellule&gt;</v>
      </c>
    </row>
    <row r="20268" spans="1:1" x14ac:dyDescent="0.2">
      <c r="A20268" s="996" t="str">
        <f>CONCATENATE(Programme!D20269,Programme!E20269,Programme!F20269,Programme!G20269,Programme!H20269,Programme!I20269,Programme!J20269)</f>
        <v>&lt;valeur&gt;0&lt;/valeur&gt;</v>
      </c>
    </row>
    <row r="20269" spans="1:1" x14ac:dyDescent="0.2">
      <c r="A20269" s="996" t="str">
        <f>CONCATENATE(Programme!D20270,Programme!E20270,Programme!F20270,Programme!G20270,Programme!H20270,Programme!I20270,Programme!J20270)</f>
        <v>&lt;/ValeurCellule&gt;</v>
      </c>
    </row>
    <row r="20270" spans="1:1" x14ac:dyDescent="0.2">
      <c r="A20270" s="996" t="str">
        <f>CONCATENATE(Programme!D20271,Programme!E20271,Programme!F20271,Programme!G20271,Programme!H20271,Programme!I20271,Programme!J20271)</f>
        <v>&lt;ValeurCellule&gt;</v>
      </c>
    </row>
    <row r="20271" spans="1:1" x14ac:dyDescent="0.2">
      <c r="A20271" s="996" t="str">
        <f>CONCATENATE(Programme!D20272,Programme!E20272,Programme!F20272,Programme!G20272,Programme!H20272,Programme!I20272,Programme!J20272)</f>
        <v>&lt;cellule&gt;</v>
      </c>
    </row>
    <row r="20272" spans="1:1" x14ac:dyDescent="0.2">
      <c r="A20272" s="996" t="str">
        <f>CONCATENATE(Programme!D20273,Programme!E20273,Programme!F20273,Programme!G20273,Programme!H20273,Programme!I20273,Programme!J20273)</f>
        <v>&lt;codeEdi&gt;14120&lt;/codeEdi&gt;</v>
      </c>
    </row>
    <row r="20273" spans="1:1" x14ac:dyDescent="0.2">
      <c r="A20273" s="996" t="str">
        <f>CONCATENATE(Programme!D20274,Programme!E20274,Programme!F20274,Programme!G20274,Programme!H20274,Programme!I20274,Programme!J20274)</f>
        <v>&lt;/cellule&gt;</v>
      </c>
    </row>
    <row r="20274" spans="1:1" x14ac:dyDescent="0.2">
      <c r="A20274" s="996" t="str">
        <f>CONCATENATE(Programme!D20275,Programme!E20275,Programme!F20275,Programme!G20275,Programme!H20275,Programme!I20275,Programme!J20275)</f>
        <v>&lt;valeur&gt;0&lt;/valeur&gt;</v>
      </c>
    </row>
    <row r="20275" spans="1:1" x14ac:dyDescent="0.2">
      <c r="A20275" s="996" t="str">
        <f>CONCATENATE(Programme!D20276,Programme!E20276,Programme!F20276,Programme!G20276,Programme!H20276,Programme!I20276,Programme!J20276)</f>
        <v>&lt;/ValeurCellule&gt;</v>
      </c>
    </row>
    <row r="20276" spans="1:1" x14ac:dyDescent="0.2">
      <c r="A20276" s="996" t="str">
        <f>CONCATENATE(Programme!D20277,Programme!E20277,Programme!F20277,Programme!G20277,Programme!H20277,Programme!I20277,Programme!J20277)</f>
        <v>&lt;ValeurCellule&gt;</v>
      </c>
    </row>
    <row r="20277" spans="1:1" x14ac:dyDescent="0.2">
      <c r="A20277" s="996" t="str">
        <f>CONCATENATE(Programme!D20278,Programme!E20278,Programme!F20278,Programme!G20278,Programme!H20278,Programme!I20278,Programme!J20278)</f>
        <v>&lt;cellule&gt;</v>
      </c>
    </row>
    <row r="20278" spans="1:1" x14ac:dyDescent="0.2">
      <c r="A20278" s="996" t="str">
        <f>CONCATENATE(Programme!D20279,Programme!E20279,Programme!F20279,Programme!G20279,Programme!H20279,Programme!I20279,Programme!J20279)</f>
        <v>&lt;codeEdi&gt;14121&lt;/codeEdi&gt;</v>
      </c>
    </row>
    <row r="20279" spans="1:1" x14ac:dyDescent="0.2">
      <c r="A20279" s="996" t="str">
        <f>CONCATENATE(Programme!D20280,Programme!E20280,Programme!F20280,Programme!G20280,Programme!H20280,Programme!I20280,Programme!J20280)</f>
        <v>&lt;/cellule&gt;</v>
      </c>
    </row>
    <row r="20280" spans="1:1" x14ac:dyDescent="0.2">
      <c r="A20280" s="996" t="str">
        <f>CONCATENATE(Programme!D20281,Programme!E20281,Programme!F20281,Programme!G20281,Programme!H20281,Programme!I20281,Programme!J20281)</f>
        <v>&lt;valeur&gt;0&lt;/valeur&gt;</v>
      </c>
    </row>
    <row r="20281" spans="1:1" x14ac:dyDescent="0.2">
      <c r="A20281" s="996" t="str">
        <f>CONCATENATE(Programme!D20282,Programme!E20282,Programme!F20282,Programme!G20282,Programme!H20282,Programme!I20282,Programme!J20282)</f>
        <v>&lt;/ValeurCellule&gt;</v>
      </c>
    </row>
    <row r="20282" spans="1:1" x14ac:dyDescent="0.2">
      <c r="A20282" s="996" t="str">
        <f>CONCATENATE(Programme!D20283,Programme!E20283,Programme!F20283,Programme!G20283,Programme!H20283,Programme!I20283,Programme!J20283)</f>
        <v>&lt;ValeurCellule&gt;</v>
      </c>
    </row>
    <row r="20283" spans="1:1" x14ac:dyDescent="0.2">
      <c r="A20283" s="996" t="str">
        <f>CONCATENATE(Programme!D20284,Programme!E20284,Programme!F20284,Programme!G20284,Programme!H20284,Programme!I20284,Programme!J20284)</f>
        <v>&lt;cellule&gt;</v>
      </c>
    </row>
    <row r="20284" spans="1:1" x14ac:dyDescent="0.2">
      <c r="A20284" s="996" t="str">
        <f>CONCATENATE(Programme!D20285,Programme!E20285,Programme!F20285,Programme!G20285,Programme!H20285,Programme!I20285,Programme!J20285)</f>
        <v>&lt;codeEdi&gt;14122&lt;/codeEdi&gt;</v>
      </c>
    </row>
    <row r="20285" spans="1:1" x14ac:dyDescent="0.2">
      <c r="A20285" s="996" t="str">
        <f>CONCATENATE(Programme!D20286,Programme!E20286,Programme!F20286,Programme!G20286,Programme!H20286,Programme!I20286,Programme!J20286)</f>
        <v>&lt;/cellule&gt;</v>
      </c>
    </row>
    <row r="20286" spans="1:1" x14ac:dyDescent="0.2">
      <c r="A20286" s="996" t="str">
        <f>CONCATENATE(Programme!D20287,Programme!E20287,Programme!F20287,Programme!G20287,Programme!H20287,Programme!I20287,Programme!J20287)</f>
        <v>&lt;valeur&gt;0&lt;/valeur&gt;</v>
      </c>
    </row>
    <row r="20287" spans="1:1" x14ac:dyDescent="0.2">
      <c r="A20287" s="996" t="str">
        <f>CONCATENATE(Programme!D20288,Programme!E20288,Programme!F20288,Programme!G20288,Programme!H20288,Programme!I20288,Programme!J20288)</f>
        <v>&lt;/ValeurCellule&gt;</v>
      </c>
    </row>
    <row r="20288" spans="1:1" x14ac:dyDescent="0.2">
      <c r="A20288" s="996" t="str">
        <f>CONCATENATE(Programme!D20289,Programme!E20289,Programme!F20289,Programme!G20289,Programme!H20289,Programme!I20289,Programme!J20289)</f>
        <v>&lt;ValeurCellule&gt;</v>
      </c>
    </row>
    <row r="20289" spans="1:1" x14ac:dyDescent="0.2">
      <c r="A20289" s="996" t="str">
        <f>CONCATENATE(Programme!D20290,Programme!E20290,Programme!F20290,Programme!G20290,Programme!H20290,Programme!I20290,Programme!J20290)</f>
        <v>&lt;cellule&gt;</v>
      </c>
    </row>
    <row r="20290" spans="1:1" x14ac:dyDescent="0.2">
      <c r="A20290" s="996" t="str">
        <f>CONCATENATE(Programme!D20291,Programme!E20291,Programme!F20291,Programme!G20291,Programme!H20291,Programme!I20291,Programme!J20291)</f>
        <v>&lt;codeEdi&gt;14123&lt;/codeEdi&gt;</v>
      </c>
    </row>
    <row r="20291" spans="1:1" x14ac:dyDescent="0.2">
      <c r="A20291" s="996" t="str">
        <f>CONCATENATE(Programme!D20292,Programme!E20292,Programme!F20292,Programme!G20292,Programme!H20292,Programme!I20292,Programme!J20292)</f>
        <v>&lt;/cellule&gt;</v>
      </c>
    </row>
    <row r="20292" spans="1:1" x14ac:dyDescent="0.2">
      <c r="A20292" s="996" t="str">
        <f>CONCATENATE(Programme!D20293,Programme!E20293,Programme!F20293,Programme!G20293,Programme!H20293,Programme!I20293,Programme!J20293)</f>
        <v>&lt;valeur&gt;0&lt;/valeur&gt;</v>
      </c>
    </row>
    <row r="20293" spans="1:1" x14ac:dyDescent="0.2">
      <c r="A20293" s="996" t="str">
        <f>CONCATENATE(Programme!D20294,Programme!E20294,Programme!F20294,Programme!G20294,Programme!H20294,Programme!I20294,Programme!J20294)</f>
        <v>&lt;/ValeurCellule&gt;</v>
      </c>
    </row>
    <row r="20294" spans="1:1" x14ac:dyDescent="0.2">
      <c r="A20294" s="996" t="str">
        <f>CONCATENATE(Programme!D20295,Programme!E20295,Programme!F20295,Programme!G20295,Programme!H20295,Programme!I20295,Programme!J20295)</f>
        <v>&lt;ValeurCellule&gt;</v>
      </c>
    </row>
    <row r="20295" spans="1:1" x14ac:dyDescent="0.2">
      <c r="A20295" s="996" t="str">
        <f>CONCATENATE(Programme!D20296,Programme!E20296,Programme!F20296,Programme!G20296,Programme!H20296,Programme!I20296,Programme!J20296)</f>
        <v>&lt;cellule&gt;</v>
      </c>
    </row>
    <row r="20296" spans="1:1" x14ac:dyDescent="0.2">
      <c r="A20296" s="996" t="str">
        <f>CONCATENATE(Programme!D20297,Programme!E20297,Programme!F20297,Programme!G20297,Programme!H20297,Programme!I20297,Programme!J20297)</f>
        <v>&lt;codeEdi&gt;14124&lt;/codeEdi&gt;</v>
      </c>
    </row>
    <row r="20297" spans="1:1" x14ac:dyDescent="0.2">
      <c r="A20297" s="996" t="str">
        <f>CONCATENATE(Programme!D20298,Programme!E20298,Programme!F20298,Programme!G20298,Programme!H20298,Programme!I20298,Programme!J20298)</f>
        <v>&lt;/cellule&gt;</v>
      </c>
    </row>
    <row r="20298" spans="1:1" x14ac:dyDescent="0.2">
      <c r="A20298" s="996" t="str">
        <f>CONCATENATE(Programme!D20299,Programme!E20299,Programme!F20299,Programme!G20299,Programme!H20299,Programme!I20299,Programme!J20299)</f>
        <v>&lt;valeur&gt;0&lt;/valeur&gt;</v>
      </c>
    </row>
    <row r="20299" spans="1:1" x14ac:dyDescent="0.2">
      <c r="A20299" s="996" t="str">
        <f>CONCATENATE(Programme!D20300,Programme!E20300,Programme!F20300,Programme!G20300,Programme!H20300,Programme!I20300,Programme!J20300)</f>
        <v>&lt;/ValeurCellule&gt;</v>
      </c>
    </row>
    <row r="20300" spans="1:1" x14ac:dyDescent="0.2">
      <c r="A20300" s="996" t="str">
        <f>CONCATENATE(Programme!D20301,Programme!E20301,Programme!F20301,Programme!G20301,Programme!H20301,Programme!I20301,Programme!J20301)</f>
        <v>&lt;ValeurCellule&gt;</v>
      </c>
    </row>
    <row r="20301" spans="1:1" x14ac:dyDescent="0.2">
      <c r="A20301" s="996" t="str">
        <f>CONCATENATE(Programme!D20302,Programme!E20302,Programme!F20302,Programme!G20302,Programme!H20302,Programme!I20302,Programme!J20302)</f>
        <v>&lt;cellule&gt;</v>
      </c>
    </row>
    <row r="20302" spans="1:1" x14ac:dyDescent="0.2">
      <c r="A20302" s="996" t="str">
        <f>CONCATENATE(Programme!D20303,Programme!E20303,Programme!F20303,Programme!G20303,Programme!H20303,Programme!I20303,Programme!J20303)</f>
        <v>&lt;codeEdi&gt;14125&lt;/codeEdi&gt;</v>
      </c>
    </row>
    <row r="20303" spans="1:1" x14ac:dyDescent="0.2">
      <c r="A20303" s="996" t="str">
        <f>CONCATENATE(Programme!D20304,Programme!E20304,Programme!F20304,Programme!G20304,Programme!H20304,Programme!I20304,Programme!J20304)</f>
        <v>&lt;/cellule&gt;</v>
      </c>
    </row>
    <row r="20304" spans="1:1" x14ac:dyDescent="0.2">
      <c r="A20304" s="996" t="str">
        <f>CONCATENATE(Programme!D20305,Programme!E20305,Programme!F20305,Programme!G20305,Programme!H20305,Programme!I20305,Programme!J20305)</f>
        <v>&lt;valeur&gt;0&lt;/valeur&gt;</v>
      </c>
    </row>
    <row r="20305" spans="1:1" x14ac:dyDescent="0.2">
      <c r="A20305" s="996" t="str">
        <f>CONCATENATE(Programme!D20306,Programme!E20306,Programme!F20306,Programme!G20306,Programme!H20306,Programme!I20306,Programme!J20306)</f>
        <v>&lt;/ValeurCellule&gt;</v>
      </c>
    </row>
    <row r="20306" spans="1:1" x14ac:dyDescent="0.2">
      <c r="A20306" s="996" t="str">
        <f>CONCATENATE(Programme!D20307,Programme!E20307,Programme!F20307,Programme!G20307,Programme!H20307,Programme!I20307,Programme!J20307)</f>
        <v>&lt;ValeurCellule&gt;</v>
      </c>
    </row>
    <row r="20307" spans="1:1" x14ac:dyDescent="0.2">
      <c r="A20307" s="996" t="str">
        <f>CONCATENATE(Programme!D20308,Programme!E20308,Programme!F20308,Programme!G20308,Programme!H20308,Programme!I20308,Programme!J20308)</f>
        <v>&lt;cellule&gt;</v>
      </c>
    </row>
    <row r="20308" spans="1:1" x14ac:dyDescent="0.2">
      <c r="A20308" s="996" t="str">
        <f>CONCATENATE(Programme!D20309,Programme!E20309,Programme!F20309,Programme!G20309,Programme!H20309,Programme!I20309,Programme!J20309)</f>
        <v>&lt;codeEdi&gt;14126&lt;/codeEdi&gt;</v>
      </c>
    </row>
    <row r="20309" spans="1:1" x14ac:dyDescent="0.2">
      <c r="A20309" s="996" t="str">
        <f>CONCATENATE(Programme!D20310,Programme!E20310,Programme!F20310,Programme!G20310,Programme!H20310,Programme!I20310,Programme!J20310)</f>
        <v>&lt;/cellule&gt;</v>
      </c>
    </row>
    <row r="20310" spans="1:1" x14ac:dyDescent="0.2">
      <c r="A20310" s="996" t="str">
        <f>CONCATENATE(Programme!D20311,Programme!E20311,Programme!F20311,Programme!G20311,Programme!H20311,Programme!I20311,Programme!J20311)</f>
        <v>&lt;valeur&gt;0&lt;/valeur&gt;</v>
      </c>
    </row>
    <row r="20311" spans="1:1" x14ac:dyDescent="0.2">
      <c r="A20311" s="996" t="str">
        <f>CONCATENATE(Programme!D20312,Programme!E20312,Programme!F20312,Programme!G20312,Programme!H20312,Programme!I20312,Programme!J20312)</f>
        <v>&lt;/ValeurCellule&gt;</v>
      </c>
    </row>
    <row r="20312" spans="1:1" x14ac:dyDescent="0.2">
      <c r="A20312" s="996" t="str">
        <f>CONCATENATE(Programme!D20313,Programme!E20313,Programme!F20313,Programme!G20313,Programme!H20313,Programme!I20313,Programme!J20313)</f>
        <v>&lt;ValeurCellule&gt;</v>
      </c>
    </row>
    <row r="20313" spans="1:1" x14ac:dyDescent="0.2">
      <c r="A20313" s="996" t="str">
        <f>CONCATENATE(Programme!D20314,Programme!E20314,Programme!F20314,Programme!G20314,Programme!H20314,Programme!I20314,Programme!J20314)</f>
        <v>&lt;cellule&gt;</v>
      </c>
    </row>
    <row r="20314" spans="1:1" x14ac:dyDescent="0.2">
      <c r="A20314" s="996" t="str">
        <f>CONCATENATE(Programme!D20315,Programme!E20315,Programme!F20315,Programme!G20315,Programme!H20315,Programme!I20315,Programme!J20315)</f>
        <v>&lt;codeEdi&gt;14127&lt;/codeEdi&gt;</v>
      </c>
    </row>
    <row r="20315" spans="1:1" x14ac:dyDescent="0.2">
      <c r="A20315" s="996" t="str">
        <f>CONCATENATE(Programme!D20316,Programme!E20316,Programme!F20316,Programme!G20316,Programme!H20316,Programme!I20316,Programme!J20316)</f>
        <v>&lt;/cellule&gt;</v>
      </c>
    </row>
    <row r="20316" spans="1:1" x14ac:dyDescent="0.2">
      <c r="A20316" s="996" t="str">
        <f>CONCATENATE(Programme!D20317,Programme!E20317,Programme!F20317,Programme!G20317,Programme!H20317,Programme!I20317,Programme!J20317)</f>
        <v>&lt;valeur&gt;0&lt;/valeur&gt;</v>
      </c>
    </row>
    <row r="20317" spans="1:1" x14ac:dyDescent="0.2">
      <c r="A20317" s="996" t="str">
        <f>CONCATENATE(Programme!D20318,Programme!E20318,Programme!F20318,Programme!G20318,Programme!H20318,Programme!I20318,Programme!J20318)</f>
        <v>&lt;/ValeurCellule&gt;</v>
      </c>
    </row>
    <row r="20318" spans="1:1" x14ac:dyDescent="0.2">
      <c r="A20318" s="996" t="str">
        <f>CONCATENATE(Programme!D20319,Programme!E20319,Programme!F20319,Programme!G20319,Programme!H20319,Programme!I20319,Programme!J20319)</f>
        <v>&lt;ValeurCellule&gt;</v>
      </c>
    </row>
    <row r="20319" spans="1:1" x14ac:dyDescent="0.2">
      <c r="A20319" s="996" t="str">
        <f>CONCATENATE(Programme!D20320,Programme!E20320,Programme!F20320,Programme!G20320,Programme!H20320,Programme!I20320,Programme!J20320)</f>
        <v>&lt;cellule&gt;</v>
      </c>
    </row>
    <row r="20320" spans="1:1" x14ac:dyDescent="0.2">
      <c r="A20320" s="996" t="str">
        <f>CONCATENATE(Programme!D20321,Programme!E20321,Programme!F20321,Programme!G20321,Programme!H20321,Programme!I20321,Programme!J20321)</f>
        <v>&lt;codeEdi&gt;14128&lt;/codeEdi&gt;</v>
      </c>
    </row>
    <row r="20321" spans="1:1" x14ac:dyDescent="0.2">
      <c r="A20321" s="996" t="str">
        <f>CONCATENATE(Programme!D20322,Programme!E20322,Programme!F20322,Programme!G20322,Programme!H20322,Programme!I20322,Programme!J20322)</f>
        <v>&lt;/cellule&gt;</v>
      </c>
    </row>
    <row r="20322" spans="1:1" x14ac:dyDescent="0.2">
      <c r="A20322" s="996" t="str">
        <f>CONCATENATE(Programme!D20323,Programme!E20323,Programme!F20323,Programme!G20323,Programme!H20323,Programme!I20323,Programme!J20323)</f>
        <v>&lt;valeur&gt;0&lt;/valeur&gt;</v>
      </c>
    </row>
    <row r="20323" spans="1:1" x14ac:dyDescent="0.2">
      <c r="A20323" s="996" t="str">
        <f>CONCATENATE(Programme!D20324,Programme!E20324,Programme!F20324,Programme!G20324,Programme!H20324,Programme!I20324,Programme!J20324)</f>
        <v>&lt;/ValeurCellule&gt;</v>
      </c>
    </row>
    <row r="20324" spans="1:1" x14ac:dyDescent="0.2">
      <c r="A20324" s="996" t="str">
        <f>CONCATENATE(Programme!D20325,Programme!E20325,Programme!F20325,Programme!G20325,Programme!H20325,Programme!I20325,Programme!J20325)</f>
        <v>&lt;ValeurCellule&gt;</v>
      </c>
    </row>
    <row r="20325" spans="1:1" x14ac:dyDescent="0.2">
      <c r="A20325" s="996" t="str">
        <f>CONCATENATE(Programme!D20326,Programme!E20326,Programme!F20326,Programme!G20326,Programme!H20326,Programme!I20326,Programme!J20326)</f>
        <v>&lt;cellule&gt;</v>
      </c>
    </row>
    <row r="20326" spans="1:1" x14ac:dyDescent="0.2">
      <c r="A20326" s="996" t="str">
        <f>CONCATENATE(Programme!D20327,Programme!E20327,Programme!F20327,Programme!G20327,Programme!H20327,Programme!I20327,Programme!J20327)</f>
        <v>&lt;codeEdi&gt;14129&lt;/codeEdi&gt;</v>
      </c>
    </row>
    <row r="20327" spans="1:1" x14ac:dyDescent="0.2">
      <c r="A20327" s="996" t="str">
        <f>CONCATENATE(Programme!D20328,Programme!E20328,Programme!F20328,Programme!G20328,Programme!H20328,Programme!I20328,Programme!J20328)</f>
        <v>&lt;/cellule&gt;</v>
      </c>
    </row>
    <row r="20328" spans="1:1" x14ac:dyDescent="0.2">
      <c r="A20328" s="996" t="str">
        <f>CONCATENATE(Programme!D20329,Programme!E20329,Programme!F20329,Programme!G20329,Programme!H20329,Programme!I20329,Programme!J20329)</f>
        <v>&lt;valeur&gt;0&lt;/valeur&gt;</v>
      </c>
    </row>
    <row r="20329" spans="1:1" x14ac:dyDescent="0.2">
      <c r="A20329" s="996" t="str">
        <f>CONCATENATE(Programme!D20330,Programme!E20330,Programme!F20330,Programme!G20330,Programme!H20330,Programme!I20330,Programme!J20330)</f>
        <v>&lt;/ValeurCellule&gt;</v>
      </c>
    </row>
    <row r="20330" spans="1:1" x14ac:dyDescent="0.2">
      <c r="A20330" s="996" t="str">
        <f>CONCATENATE(Programme!D20331,Programme!E20331,Programme!F20331,Programme!G20331,Programme!H20331,Programme!I20331,Programme!J20331)</f>
        <v>&lt;ValeurCellule&gt;</v>
      </c>
    </row>
    <row r="20331" spans="1:1" x14ac:dyDescent="0.2">
      <c r="A20331" s="996" t="str">
        <f>CONCATENATE(Programme!D20332,Programme!E20332,Programme!F20332,Programme!G20332,Programme!H20332,Programme!I20332,Programme!J20332)</f>
        <v>&lt;cellule&gt;</v>
      </c>
    </row>
    <row r="20332" spans="1:1" x14ac:dyDescent="0.2">
      <c r="A20332" s="996" t="str">
        <f>CONCATENATE(Programme!D20333,Programme!E20333,Programme!F20333,Programme!G20333,Programme!H20333,Programme!I20333,Programme!J20333)</f>
        <v>&lt;codeEdi&gt;14130&lt;/codeEdi&gt;</v>
      </c>
    </row>
    <row r="20333" spans="1:1" x14ac:dyDescent="0.2">
      <c r="A20333" s="996" t="str">
        <f>CONCATENATE(Programme!D20334,Programme!E20334,Programme!F20334,Programme!G20334,Programme!H20334,Programme!I20334,Programme!J20334)</f>
        <v>&lt;/cellule&gt;</v>
      </c>
    </row>
    <row r="20334" spans="1:1" x14ac:dyDescent="0.2">
      <c r="A20334" s="996" t="str">
        <f>CONCATENATE(Programme!D20335,Programme!E20335,Programme!F20335,Programme!G20335,Programme!H20335,Programme!I20335,Programme!J20335)</f>
        <v>&lt;valeur&gt;0&lt;/valeur&gt;</v>
      </c>
    </row>
    <row r="20335" spans="1:1" x14ac:dyDescent="0.2">
      <c r="A20335" s="996" t="str">
        <f>CONCATENATE(Programme!D20336,Programme!E20336,Programme!F20336,Programme!G20336,Programme!H20336,Programme!I20336,Programme!J20336)</f>
        <v>&lt;/ValeurCellule&gt;</v>
      </c>
    </row>
    <row r="20336" spans="1:1" x14ac:dyDescent="0.2">
      <c r="A20336" s="996" t="str">
        <f>CONCATENATE(Programme!D20337,Programme!E20337,Programme!F20337,Programme!G20337,Programme!H20337,Programme!I20337,Programme!J20337)</f>
        <v>&lt;ValeurCellule&gt;</v>
      </c>
    </row>
    <row r="20337" spans="1:1" x14ac:dyDescent="0.2">
      <c r="A20337" s="996" t="str">
        <f>CONCATENATE(Programme!D20338,Programme!E20338,Programme!F20338,Programme!G20338,Programme!H20338,Programme!I20338,Programme!J20338)</f>
        <v>&lt;cellule&gt;</v>
      </c>
    </row>
    <row r="20338" spans="1:1" x14ac:dyDescent="0.2">
      <c r="A20338" s="996" t="str">
        <f>CONCATENATE(Programme!D20339,Programme!E20339,Programme!F20339,Programme!G20339,Programme!H20339,Programme!I20339,Programme!J20339)</f>
        <v>&lt;codeEdi&gt;14132&lt;/codeEdi&gt;</v>
      </c>
    </row>
    <row r="20339" spans="1:1" x14ac:dyDescent="0.2">
      <c r="A20339" s="996" t="str">
        <f>CONCATENATE(Programme!D20340,Programme!E20340,Programme!F20340,Programme!G20340,Programme!H20340,Programme!I20340,Programme!J20340)</f>
        <v>&lt;/cellule&gt;</v>
      </c>
    </row>
    <row r="20340" spans="1:1" x14ac:dyDescent="0.2">
      <c r="A20340" s="996" t="str">
        <f>CONCATENATE(Programme!D20341,Programme!E20341,Programme!F20341,Programme!G20341,Programme!H20341,Programme!I20341,Programme!J20341)</f>
        <v>&lt;valeur&gt;0&lt;/valeur&gt;</v>
      </c>
    </row>
    <row r="20341" spans="1:1" x14ac:dyDescent="0.2">
      <c r="A20341" s="996" t="str">
        <f>CONCATENATE(Programme!D20342,Programme!E20342,Programme!F20342,Programme!G20342,Programme!H20342,Programme!I20342,Programme!J20342)</f>
        <v>&lt;/ValeurCellule&gt;</v>
      </c>
    </row>
    <row r="20342" spans="1:1" x14ac:dyDescent="0.2">
      <c r="A20342" s="996" t="str">
        <f>CONCATENATE(Programme!D20343,Programme!E20343,Programme!F20343,Programme!G20343,Programme!H20343,Programme!I20343,Programme!J20343)</f>
        <v>&lt;ValeurCellule&gt;</v>
      </c>
    </row>
    <row r="20343" spans="1:1" x14ac:dyDescent="0.2">
      <c r="A20343" s="996" t="str">
        <f>CONCATENATE(Programme!D20344,Programme!E20344,Programme!F20344,Programme!G20344,Programme!H20344,Programme!I20344,Programme!J20344)</f>
        <v>&lt;cellule&gt;</v>
      </c>
    </row>
    <row r="20344" spans="1:1" x14ac:dyDescent="0.2">
      <c r="A20344" s="996" t="str">
        <f>CONCATENATE(Programme!D20345,Programme!E20345,Programme!F20345,Programme!G20345,Programme!H20345,Programme!I20345,Programme!J20345)</f>
        <v>&lt;codeEdi&gt;14133&lt;/codeEdi&gt;</v>
      </c>
    </row>
    <row r="20345" spans="1:1" x14ac:dyDescent="0.2">
      <c r="A20345" s="996" t="str">
        <f>CONCATENATE(Programme!D20346,Programme!E20346,Programme!F20346,Programme!G20346,Programme!H20346,Programme!I20346,Programme!J20346)</f>
        <v>&lt;/cellule&gt;</v>
      </c>
    </row>
    <row r="20346" spans="1:1" x14ac:dyDescent="0.2">
      <c r="A20346" s="996" t="str">
        <f>CONCATENATE(Programme!D20347,Programme!E20347,Programme!F20347,Programme!G20347,Programme!H20347,Programme!I20347,Programme!J20347)</f>
        <v>&lt;valeur&gt;0&lt;/valeur&gt;</v>
      </c>
    </row>
    <row r="20347" spans="1:1" x14ac:dyDescent="0.2">
      <c r="A20347" s="996" t="str">
        <f>CONCATENATE(Programme!D20348,Programme!E20348,Programme!F20348,Programme!G20348,Programme!H20348,Programme!I20348,Programme!J20348)</f>
        <v>&lt;/ValeurCellule&gt;</v>
      </c>
    </row>
    <row r="20348" spans="1:1" x14ac:dyDescent="0.2">
      <c r="A20348" s="996" t="str">
        <f>CONCATENATE(Programme!D20349,Programme!E20349,Programme!F20349,Programme!G20349,Programme!H20349,Programme!I20349,Programme!J20349)</f>
        <v>&lt;ValeurCellule&gt;</v>
      </c>
    </row>
    <row r="20349" spans="1:1" x14ac:dyDescent="0.2">
      <c r="A20349" s="996" t="str">
        <f>CONCATENATE(Programme!D20350,Programme!E20350,Programme!F20350,Programme!G20350,Programme!H20350,Programme!I20350,Programme!J20350)</f>
        <v>&lt;cellule&gt;</v>
      </c>
    </row>
    <row r="20350" spans="1:1" x14ac:dyDescent="0.2">
      <c r="A20350" s="996" t="str">
        <f>CONCATENATE(Programme!D20351,Programme!E20351,Programme!F20351,Programme!G20351,Programme!H20351,Programme!I20351,Programme!J20351)</f>
        <v>&lt;codeEdi&gt;14131&lt;/codeEdi&gt;</v>
      </c>
    </row>
    <row r="20351" spans="1:1" x14ac:dyDescent="0.2">
      <c r="A20351" s="996" t="str">
        <f>CONCATENATE(Programme!D20352,Programme!E20352,Programme!F20352,Programme!G20352,Programme!H20352,Programme!I20352,Programme!J20352)</f>
        <v>&lt;/cellule&gt;</v>
      </c>
    </row>
    <row r="20352" spans="1:1" x14ac:dyDescent="0.2">
      <c r="A20352" s="996" t="str">
        <f>CONCATENATE(Programme!D20353,Programme!E20353,Programme!F20353,Programme!G20353,Programme!H20353,Programme!I20353,Programme!J20353)</f>
        <v>&lt;valeur&gt;0&lt;/valeur&gt;</v>
      </c>
    </row>
    <row r="20353" spans="1:1" x14ac:dyDescent="0.2">
      <c r="A20353" s="996" t="str">
        <f>CONCATENATE(Programme!D20354,Programme!E20354,Programme!F20354,Programme!G20354,Programme!H20354,Programme!I20354,Programme!J20354)</f>
        <v>&lt;/ValeurCellule&gt;</v>
      </c>
    </row>
    <row r="20354" spans="1:1" x14ac:dyDescent="0.2">
      <c r="A20354" s="996" t="str">
        <f>CONCATENATE(Programme!D20355,Programme!E20355,Programme!F20355,Programme!G20355,Programme!H20355,Programme!I20355,Programme!J20355)</f>
        <v>&lt;ValeurCellule&gt;</v>
      </c>
    </row>
    <row r="20355" spans="1:1" x14ac:dyDescent="0.2">
      <c r="A20355" s="996" t="str">
        <f>CONCATENATE(Programme!D20356,Programme!E20356,Programme!F20356,Programme!G20356,Programme!H20356,Programme!I20356,Programme!J20356)</f>
        <v>&lt;cellule&gt;</v>
      </c>
    </row>
    <row r="20356" spans="1:1" x14ac:dyDescent="0.2">
      <c r="A20356" s="996" t="str">
        <f>CONCATENATE(Programme!D20357,Programme!E20357,Programme!F20357,Programme!G20357,Programme!H20357,Programme!I20357,Programme!J20357)</f>
        <v>&lt;codeEdi&gt;14134&lt;/codeEdi&gt;</v>
      </c>
    </row>
    <row r="20357" spans="1:1" x14ac:dyDescent="0.2">
      <c r="A20357" s="996" t="str">
        <f>CONCATENATE(Programme!D20358,Programme!E20358,Programme!F20358,Programme!G20358,Programme!H20358,Programme!I20358,Programme!J20358)</f>
        <v>&lt;/cellule&gt;</v>
      </c>
    </row>
    <row r="20358" spans="1:1" x14ac:dyDescent="0.2">
      <c r="A20358" s="996" t="str">
        <f>CONCATENATE(Programme!D20359,Programme!E20359,Programme!F20359,Programme!G20359,Programme!H20359,Programme!I20359,Programme!J20359)</f>
        <v>&lt;valeur&gt;0&lt;/valeur&gt;</v>
      </c>
    </row>
    <row r="20359" spans="1:1" x14ac:dyDescent="0.2">
      <c r="A20359" s="996" t="str">
        <f>CONCATENATE(Programme!D20360,Programme!E20360,Programme!F20360,Programme!G20360,Programme!H20360,Programme!I20360,Programme!J20360)</f>
        <v>&lt;/ValeurCellule&gt;</v>
      </c>
    </row>
    <row r="20360" spans="1:1" x14ac:dyDescent="0.2">
      <c r="A20360" s="996" t="str">
        <f>CONCATENATE(Programme!D20361,Programme!E20361,Programme!F20361,Programme!G20361,Programme!H20361,Programme!I20361,Programme!J20361)</f>
        <v>&lt;ValeurCellule&gt;</v>
      </c>
    </row>
    <row r="20361" spans="1:1" x14ac:dyDescent="0.2">
      <c r="A20361" s="996" t="str">
        <f>CONCATENATE(Programme!D20362,Programme!E20362,Programme!F20362,Programme!G20362,Programme!H20362,Programme!I20362,Programme!J20362)</f>
        <v>&lt;cellule&gt;</v>
      </c>
    </row>
    <row r="20362" spans="1:1" x14ac:dyDescent="0.2">
      <c r="A20362" s="996" t="str">
        <f>CONCATENATE(Programme!D20363,Programme!E20363,Programme!F20363,Programme!G20363,Programme!H20363,Programme!I20363,Programme!J20363)</f>
        <v>&lt;codeEdi&gt;14135&lt;/codeEdi&gt;</v>
      </c>
    </row>
    <row r="20363" spans="1:1" x14ac:dyDescent="0.2">
      <c r="A20363" s="996" t="str">
        <f>CONCATENATE(Programme!D20364,Programme!E20364,Programme!F20364,Programme!G20364,Programme!H20364,Programme!I20364,Programme!J20364)</f>
        <v>&lt;/cellule&gt;</v>
      </c>
    </row>
    <row r="20364" spans="1:1" x14ac:dyDescent="0.2">
      <c r="A20364" s="996" t="str">
        <f>CONCATENATE(Programme!D20365,Programme!E20365,Programme!F20365,Programme!G20365,Programme!H20365,Programme!I20365,Programme!J20365)</f>
        <v>&lt;valeur&gt;0&lt;/valeur&gt;</v>
      </c>
    </row>
    <row r="20365" spans="1:1" x14ac:dyDescent="0.2">
      <c r="A20365" s="996" t="str">
        <f>CONCATENATE(Programme!D20366,Programme!E20366,Programme!F20366,Programme!G20366,Programme!H20366,Programme!I20366,Programme!J20366)</f>
        <v>&lt;/ValeurCellule&gt;</v>
      </c>
    </row>
    <row r="20366" spans="1:1" x14ac:dyDescent="0.2">
      <c r="A20366" s="996" t="str">
        <f>CONCATENATE(Programme!D20367,Programme!E20367,Programme!F20367,Programme!G20367,Programme!H20367,Programme!I20367,Programme!J20367)</f>
        <v>&lt;ValeurCellule&gt;</v>
      </c>
    </row>
    <row r="20367" spans="1:1" x14ac:dyDescent="0.2">
      <c r="A20367" s="996" t="str">
        <f>CONCATENATE(Programme!D20368,Programme!E20368,Programme!F20368,Programme!G20368,Programme!H20368,Programme!I20368,Programme!J20368)</f>
        <v>&lt;cellule&gt;</v>
      </c>
    </row>
    <row r="20368" spans="1:1" x14ac:dyDescent="0.2">
      <c r="A20368" s="996" t="str">
        <f>CONCATENATE(Programme!D20369,Programme!E20369,Programme!F20369,Programme!G20369,Programme!H20369,Programme!I20369,Programme!J20369)</f>
        <v>&lt;codeEdi&gt;14136&lt;/codeEdi&gt;</v>
      </c>
    </row>
    <row r="20369" spans="1:1" x14ac:dyDescent="0.2">
      <c r="A20369" s="996" t="str">
        <f>CONCATENATE(Programme!D20370,Programme!E20370,Programme!F20370,Programme!G20370,Programme!H20370,Programme!I20370,Programme!J20370)</f>
        <v>&lt;/cellule&gt;</v>
      </c>
    </row>
    <row r="20370" spans="1:1" x14ac:dyDescent="0.2">
      <c r="A20370" s="996" t="str">
        <f>CONCATENATE(Programme!D20371,Programme!E20371,Programme!F20371,Programme!G20371,Programme!H20371,Programme!I20371,Programme!J20371)</f>
        <v>&lt;valeur&gt;0&lt;/valeur&gt;</v>
      </c>
    </row>
    <row r="20371" spans="1:1" x14ac:dyDescent="0.2">
      <c r="A20371" s="996" t="str">
        <f>CONCATENATE(Programme!D20372,Programme!E20372,Programme!F20372,Programme!G20372,Programme!H20372,Programme!I20372,Programme!J20372)</f>
        <v>&lt;/ValeurCellule&gt;</v>
      </c>
    </row>
    <row r="20372" spans="1:1" x14ac:dyDescent="0.2">
      <c r="A20372" s="996" t="str">
        <f>CONCATENATE(Programme!D20373,Programme!E20373,Programme!F20373,Programme!G20373,Programme!H20373,Programme!I20373,Programme!J20373)</f>
        <v>&lt;ValeurCellule&gt;</v>
      </c>
    </row>
    <row r="20373" spans="1:1" x14ac:dyDescent="0.2">
      <c r="A20373" s="996" t="str">
        <f>CONCATENATE(Programme!D20374,Programme!E20374,Programme!F20374,Programme!G20374,Programme!H20374,Programme!I20374,Programme!J20374)</f>
        <v>&lt;cellule&gt;</v>
      </c>
    </row>
    <row r="20374" spans="1:1" x14ac:dyDescent="0.2">
      <c r="A20374" s="996" t="str">
        <f>CONCATENATE(Programme!D20375,Programme!E20375,Programme!F20375,Programme!G20375,Programme!H20375,Programme!I20375,Programme!J20375)</f>
        <v>&lt;codeEdi&gt;14137&lt;/codeEdi&gt;</v>
      </c>
    </row>
    <row r="20375" spans="1:1" x14ac:dyDescent="0.2">
      <c r="A20375" s="996" t="str">
        <f>CONCATENATE(Programme!D20376,Programme!E20376,Programme!F20376,Programme!G20376,Programme!H20376,Programme!I20376,Programme!J20376)</f>
        <v>&lt;/cellule&gt;</v>
      </c>
    </row>
    <row r="20376" spans="1:1" x14ac:dyDescent="0.2">
      <c r="A20376" s="996" t="str">
        <f>CONCATENATE(Programme!D20377,Programme!E20377,Programme!F20377,Programme!G20377,Programme!H20377,Programme!I20377,Programme!J20377)</f>
        <v>&lt;valeur&gt;0&lt;/valeur&gt;</v>
      </c>
    </row>
    <row r="20377" spans="1:1" x14ac:dyDescent="0.2">
      <c r="A20377" s="996" t="str">
        <f>CONCATENATE(Programme!D20378,Programme!E20378,Programme!F20378,Programme!G20378,Programme!H20378,Programme!I20378,Programme!J20378)</f>
        <v>&lt;/ValeurCellule&gt;</v>
      </c>
    </row>
    <row r="20378" spans="1:1" x14ac:dyDescent="0.2">
      <c r="A20378" s="996" t="str">
        <f>CONCATENATE(Programme!D20379,Programme!E20379,Programme!F20379,Programme!G20379,Programme!H20379,Programme!I20379,Programme!J20379)</f>
        <v>&lt;ValeurCellule&gt;</v>
      </c>
    </row>
    <row r="20379" spans="1:1" x14ac:dyDescent="0.2">
      <c r="A20379" s="996" t="str">
        <f>CONCATENATE(Programme!D20380,Programme!E20380,Programme!F20380,Programme!G20380,Programme!H20380,Programme!I20380,Programme!J20380)</f>
        <v>&lt;cellule&gt;</v>
      </c>
    </row>
    <row r="20380" spans="1:1" x14ac:dyDescent="0.2">
      <c r="A20380" s="996" t="str">
        <f>CONCATENATE(Programme!D20381,Programme!E20381,Programme!F20381,Programme!G20381,Programme!H20381,Programme!I20381,Programme!J20381)</f>
        <v>&lt;codeEdi&gt;14138&lt;/codeEdi&gt;</v>
      </c>
    </row>
    <row r="20381" spans="1:1" x14ac:dyDescent="0.2">
      <c r="A20381" s="996" t="str">
        <f>CONCATENATE(Programme!D20382,Programme!E20382,Programme!F20382,Programme!G20382,Programme!H20382,Programme!I20382,Programme!J20382)</f>
        <v>&lt;/cellule&gt;</v>
      </c>
    </row>
    <row r="20382" spans="1:1" x14ac:dyDescent="0.2">
      <c r="A20382" s="996" t="str">
        <f>CONCATENATE(Programme!D20383,Programme!E20383,Programme!F20383,Programme!G20383,Programme!H20383,Programme!I20383,Programme!J20383)</f>
        <v>&lt;valeur&gt;0&lt;/valeur&gt;</v>
      </c>
    </row>
    <row r="20383" spans="1:1" x14ac:dyDescent="0.2">
      <c r="A20383" s="996" t="str">
        <f>CONCATENATE(Programme!D20384,Programme!E20384,Programme!F20384,Programme!G20384,Programme!H20384,Programme!I20384,Programme!J20384)</f>
        <v>&lt;/ValeurCellule&gt;</v>
      </c>
    </row>
    <row r="20384" spans="1:1" x14ac:dyDescent="0.2">
      <c r="A20384" s="996" t="str">
        <f>CONCATENATE(Programme!D20385,Programme!E20385,Programme!F20385,Programme!G20385,Programme!H20385,Programme!I20385,Programme!J20385)</f>
        <v>&lt;ValeurCellule&gt;</v>
      </c>
    </row>
    <row r="20385" spans="1:1" x14ac:dyDescent="0.2">
      <c r="A20385" s="996" t="str">
        <f>CONCATENATE(Programme!D20386,Programme!E20386,Programme!F20386,Programme!G20386,Programme!H20386,Programme!I20386,Programme!J20386)</f>
        <v>&lt;cellule&gt;</v>
      </c>
    </row>
    <row r="20386" spans="1:1" x14ac:dyDescent="0.2">
      <c r="A20386" s="996" t="str">
        <f>CONCATENATE(Programme!D20387,Programme!E20387,Programme!F20387,Programme!G20387,Programme!H20387,Programme!I20387,Programme!J20387)</f>
        <v>&lt;codeEdi&gt;14139&lt;/codeEdi&gt;</v>
      </c>
    </row>
    <row r="20387" spans="1:1" x14ac:dyDescent="0.2">
      <c r="A20387" s="996" t="str">
        <f>CONCATENATE(Programme!D20388,Programme!E20388,Programme!F20388,Programme!G20388,Programme!H20388,Programme!I20388,Programme!J20388)</f>
        <v>&lt;/cellule&gt;</v>
      </c>
    </row>
    <row r="20388" spans="1:1" x14ac:dyDescent="0.2">
      <c r="A20388" s="996" t="str">
        <f>CONCATENATE(Programme!D20389,Programme!E20389,Programme!F20389,Programme!G20389,Programme!H20389,Programme!I20389,Programme!J20389)</f>
        <v>&lt;valeur&gt;0&lt;/valeur&gt;</v>
      </c>
    </row>
    <row r="20389" spans="1:1" x14ac:dyDescent="0.2">
      <c r="A20389" s="996" t="str">
        <f>CONCATENATE(Programme!D20390,Programme!E20390,Programme!F20390,Programme!G20390,Programme!H20390,Programme!I20390,Programme!J20390)</f>
        <v>&lt;/ValeurCellule&gt;</v>
      </c>
    </row>
    <row r="20390" spans="1:1" x14ac:dyDescent="0.2">
      <c r="A20390" s="996" t="str">
        <f>CONCATENATE(Programme!D20391,Programme!E20391,Programme!F20391,Programme!G20391,Programme!H20391,Programme!I20391,Programme!J20391)</f>
        <v>&lt;ValeurCellule&gt;</v>
      </c>
    </row>
    <row r="20391" spans="1:1" x14ac:dyDescent="0.2">
      <c r="A20391" s="996" t="str">
        <f>CONCATENATE(Programme!D20392,Programme!E20392,Programme!F20392,Programme!G20392,Programme!H20392,Programme!I20392,Programme!J20392)</f>
        <v>&lt;cellule&gt;</v>
      </c>
    </row>
    <row r="20392" spans="1:1" x14ac:dyDescent="0.2">
      <c r="A20392" s="996" t="str">
        <f>CONCATENATE(Programme!D20393,Programme!E20393,Programme!F20393,Programme!G20393,Programme!H20393,Programme!I20393,Programme!J20393)</f>
        <v>&lt;codeEdi&gt;14140&lt;/codeEdi&gt;</v>
      </c>
    </row>
    <row r="20393" spans="1:1" x14ac:dyDescent="0.2">
      <c r="A20393" s="996" t="str">
        <f>CONCATENATE(Programme!D20394,Programme!E20394,Programme!F20394,Programme!G20394,Programme!H20394,Programme!I20394,Programme!J20394)</f>
        <v>&lt;/cellule&gt;</v>
      </c>
    </row>
    <row r="20394" spans="1:1" x14ac:dyDescent="0.2">
      <c r="A20394" s="996" t="str">
        <f>CONCATENATE(Programme!D20395,Programme!E20395,Programme!F20395,Programme!G20395,Programme!H20395,Programme!I20395,Programme!J20395)</f>
        <v>&lt;valeur&gt;0&lt;/valeur&gt;</v>
      </c>
    </row>
    <row r="20395" spans="1:1" x14ac:dyDescent="0.2">
      <c r="A20395" s="996" t="str">
        <f>CONCATENATE(Programme!D20396,Programme!E20396,Programme!F20396,Programme!G20396,Programme!H20396,Programme!I20396,Programme!J20396)</f>
        <v>&lt;/ValeurCellule&gt;</v>
      </c>
    </row>
    <row r="20396" spans="1:1" x14ac:dyDescent="0.2">
      <c r="A20396" s="996" t="str">
        <f>CONCATENATE(Programme!D20397,Programme!E20397,Programme!F20397,Programme!G20397,Programme!H20397,Programme!I20397,Programme!J20397)</f>
        <v>&lt;ValeurCellule&gt;</v>
      </c>
    </row>
    <row r="20397" spans="1:1" x14ac:dyDescent="0.2">
      <c r="A20397" s="996" t="str">
        <f>CONCATENATE(Programme!D20398,Programme!E20398,Programme!F20398,Programme!G20398,Programme!H20398,Programme!I20398,Programme!J20398)</f>
        <v>&lt;cellule&gt;</v>
      </c>
    </row>
    <row r="20398" spans="1:1" x14ac:dyDescent="0.2">
      <c r="A20398" s="996" t="str">
        <f>CONCATENATE(Programme!D20399,Programme!E20399,Programme!F20399,Programme!G20399,Programme!H20399,Programme!I20399,Programme!J20399)</f>
        <v>&lt;codeEdi&gt;14172&lt;/codeEdi&gt;</v>
      </c>
    </row>
    <row r="20399" spans="1:1" x14ac:dyDescent="0.2">
      <c r="A20399" s="996" t="str">
        <f>CONCATENATE(Programme!D20400,Programme!E20400,Programme!F20400,Programme!G20400,Programme!H20400,Programme!I20400,Programme!J20400)</f>
        <v>&lt;/cellule&gt;</v>
      </c>
    </row>
    <row r="20400" spans="1:1" x14ac:dyDescent="0.2">
      <c r="A20400" s="996" t="str">
        <f>CONCATENATE(Programme!D20401,Programme!E20401,Programme!F20401,Programme!G20401,Programme!H20401,Programme!I20401,Programme!J20401)</f>
        <v>&lt;valeur&gt;&lt;/valeur&gt;</v>
      </c>
    </row>
    <row r="20401" spans="1:1" x14ac:dyDescent="0.2">
      <c r="A20401" s="996" t="str">
        <f>CONCATENATE(Programme!D20402,Programme!E20402,Programme!F20402,Programme!G20402,Programme!H20402,Programme!I20402,Programme!J20402)</f>
        <v>&lt;/ValeurCellule&gt;</v>
      </c>
    </row>
    <row r="20402" spans="1:1" x14ac:dyDescent="0.2">
      <c r="A20402" s="996" t="str">
        <f>CONCATENATE(Programme!D20403,Programme!E20403,Programme!F20403,Programme!G20403,Programme!H20403,Programme!I20403,Programme!J20403)</f>
        <v>&lt;ValeurCellule&gt;</v>
      </c>
    </row>
    <row r="20403" spans="1:1" x14ac:dyDescent="0.2">
      <c r="A20403" s="996" t="str">
        <f>CONCATENATE(Programme!D20404,Programme!E20404,Programme!F20404,Programme!G20404,Programme!H20404,Programme!I20404,Programme!J20404)</f>
        <v>&lt;cellule&gt;</v>
      </c>
    </row>
    <row r="20404" spans="1:1" x14ac:dyDescent="0.2">
      <c r="A20404" s="996" t="str">
        <f>CONCATENATE(Programme!D20405,Programme!E20405,Programme!F20405,Programme!G20405,Programme!H20405,Programme!I20405,Programme!J20405)</f>
        <v>&lt;codeEdi&gt;14173&lt;/codeEdi&gt;</v>
      </c>
    </row>
    <row r="20405" spans="1:1" x14ac:dyDescent="0.2">
      <c r="A20405" s="996" t="str">
        <f>CONCATENATE(Programme!D20406,Programme!E20406,Programme!F20406,Programme!G20406,Programme!H20406,Programme!I20406,Programme!J20406)</f>
        <v>&lt;/cellule&gt;</v>
      </c>
    </row>
    <row r="20406" spans="1:1" x14ac:dyDescent="0.2">
      <c r="A20406" s="996" t="str">
        <f>CONCATENATE(Programme!D20407,Programme!E20407,Programme!F20407,Programme!G20407,Programme!H20407,Programme!I20407,Programme!J20407)</f>
        <v>&lt;valeur&gt;&lt;/valeur&gt;</v>
      </c>
    </row>
    <row r="20407" spans="1:1" x14ac:dyDescent="0.2">
      <c r="A20407" s="996" t="str">
        <f>CONCATENATE(Programme!D20408,Programme!E20408,Programme!F20408,Programme!G20408,Programme!H20408,Programme!I20408,Programme!J20408)</f>
        <v>&lt;/ValeurCellule&gt;</v>
      </c>
    </row>
    <row r="20408" spans="1:1" x14ac:dyDescent="0.2">
      <c r="A20408" s="996" t="str">
        <f>CONCATENATE(Programme!D20409,Programme!E20409,Programme!F20409,Programme!G20409,Programme!H20409,Programme!I20409,Programme!J20409)</f>
        <v>&lt;ValeurCellule&gt;</v>
      </c>
    </row>
    <row r="20409" spans="1:1" x14ac:dyDescent="0.2">
      <c r="A20409" s="996" t="str">
        <f>CONCATENATE(Programme!D20410,Programme!E20410,Programme!F20410,Programme!G20410,Programme!H20410,Programme!I20410,Programme!J20410)</f>
        <v>&lt;cellule&gt;</v>
      </c>
    </row>
    <row r="20410" spans="1:1" x14ac:dyDescent="0.2">
      <c r="A20410" s="996" t="str">
        <f>CONCATENATE(Programme!D20411,Programme!E20411,Programme!F20411,Programme!G20411,Programme!H20411,Programme!I20411,Programme!J20411)</f>
        <v>&lt;codeEdi&gt;14174&lt;/codeEdi&gt;</v>
      </c>
    </row>
    <row r="20411" spans="1:1" x14ac:dyDescent="0.2">
      <c r="A20411" s="996" t="str">
        <f>CONCATENATE(Programme!D20412,Programme!E20412,Programme!F20412,Programme!G20412,Programme!H20412,Programme!I20412,Programme!J20412)</f>
        <v>&lt;/cellule&gt;</v>
      </c>
    </row>
    <row r="20412" spans="1:1" x14ac:dyDescent="0.2">
      <c r="A20412" s="996" t="str">
        <f>CONCATENATE(Programme!D20413,Programme!E20413,Programme!F20413,Programme!G20413,Programme!H20413,Programme!I20413,Programme!J20413)</f>
        <v>&lt;valeur&gt;&lt;/valeur&gt;</v>
      </c>
    </row>
    <row r="20413" spans="1:1" x14ac:dyDescent="0.2">
      <c r="A20413" s="996" t="str">
        <f>CONCATENATE(Programme!D20414,Programme!E20414,Programme!F20414,Programme!G20414,Programme!H20414,Programme!I20414,Programme!J20414)</f>
        <v>&lt;/ValeurCellule&gt;</v>
      </c>
    </row>
    <row r="20414" spans="1:1" x14ac:dyDescent="0.2">
      <c r="A20414" s="996" t="str">
        <f>CONCATENATE(Programme!D20415,Programme!E20415,Programme!F20415,Programme!G20415,Programme!H20415,Programme!I20415,Programme!J20415)</f>
        <v>&lt;ValeurCellule&gt;</v>
      </c>
    </row>
    <row r="20415" spans="1:1" x14ac:dyDescent="0.2">
      <c r="A20415" s="996" t="str">
        <f>CONCATENATE(Programme!D20416,Programme!E20416,Programme!F20416,Programme!G20416,Programme!H20416,Programme!I20416,Programme!J20416)</f>
        <v>&lt;cellule&gt;</v>
      </c>
    </row>
    <row r="20416" spans="1:1" x14ac:dyDescent="0.2">
      <c r="A20416" s="996" t="str">
        <f>CONCATENATE(Programme!D20417,Programme!E20417,Programme!F20417,Programme!G20417,Programme!H20417,Programme!I20417,Programme!J20417)</f>
        <v>&lt;codeEdi&gt;14175&lt;/codeEdi&gt;</v>
      </c>
    </row>
    <row r="20417" spans="1:1" x14ac:dyDescent="0.2">
      <c r="A20417" s="996" t="str">
        <f>CONCATENATE(Programme!D20418,Programme!E20418,Programme!F20418,Programme!G20418,Programme!H20418,Programme!I20418,Programme!J20418)</f>
        <v>&lt;/cellule&gt;</v>
      </c>
    </row>
    <row r="20418" spans="1:1" x14ac:dyDescent="0.2">
      <c r="A20418" s="996" t="str">
        <f>CONCATENATE(Programme!D20419,Programme!E20419,Programme!F20419,Programme!G20419,Programme!H20419,Programme!I20419,Programme!J20419)</f>
        <v>&lt;valeur&gt;&lt;/valeur&gt;</v>
      </c>
    </row>
    <row r="20419" spans="1:1" x14ac:dyDescent="0.2">
      <c r="A20419" s="996" t="str">
        <f>CONCATENATE(Programme!D20420,Programme!E20420,Programme!F20420,Programme!G20420,Programme!H20420,Programme!I20420,Programme!J20420)</f>
        <v>&lt;/ValeurCellule&gt;</v>
      </c>
    </row>
    <row r="20420" spans="1:1" x14ac:dyDescent="0.2">
      <c r="A20420" s="996" t="str">
        <f>CONCATENATE(Programme!D20421,Programme!E20421,Programme!F20421,Programme!G20421,Programme!H20421,Programme!I20421,Programme!J20421)</f>
        <v>&lt;ValeurCellule&gt;</v>
      </c>
    </row>
    <row r="20421" spans="1:1" x14ac:dyDescent="0.2">
      <c r="A20421" s="996" t="str">
        <f>CONCATENATE(Programme!D20422,Programme!E20422,Programme!F20422,Programme!G20422,Programme!H20422,Programme!I20422,Programme!J20422)</f>
        <v>&lt;cellule&gt;</v>
      </c>
    </row>
    <row r="20422" spans="1:1" x14ac:dyDescent="0.2">
      <c r="A20422" s="996" t="str">
        <f>CONCATENATE(Programme!D20423,Programme!E20423,Programme!F20423,Programme!G20423,Programme!H20423,Programme!I20423,Programme!J20423)</f>
        <v>&lt;codeEdi&gt;14176&lt;/codeEdi&gt;</v>
      </c>
    </row>
    <row r="20423" spans="1:1" x14ac:dyDescent="0.2">
      <c r="A20423" s="996" t="str">
        <f>CONCATENATE(Programme!D20424,Programme!E20424,Programme!F20424,Programme!G20424,Programme!H20424,Programme!I20424,Programme!J20424)</f>
        <v>&lt;/cellule&gt;</v>
      </c>
    </row>
    <row r="20424" spans="1:1" x14ac:dyDescent="0.2">
      <c r="A20424" s="996" t="str">
        <f>CONCATENATE(Programme!D20425,Programme!E20425,Programme!F20425,Programme!G20425,Programme!H20425,Programme!I20425,Programme!J20425)</f>
        <v>&lt;valeur&gt;&lt;/valeur&gt;</v>
      </c>
    </row>
    <row r="20425" spans="1:1" x14ac:dyDescent="0.2">
      <c r="A20425" s="996" t="str">
        <f>CONCATENATE(Programme!D20426,Programme!E20426,Programme!F20426,Programme!G20426,Programme!H20426,Programme!I20426,Programme!J20426)</f>
        <v>&lt;/ValeurCellule&gt;</v>
      </c>
    </row>
    <row r="20426" spans="1:1" x14ac:dyDescent="0.2">
      <c r="A20426" s="996" t="str">
        <f>CONCATENATE(Programme!D20427,Programme!E20427,Programme!F20427,Programme!G20427,Programme!H20427,Programme!I20427,Programme!J20427)</f>
        <v>&lt;ValeurCellule&gt;</v>
      </c>
    </row>
    <row r="20427" spans="1:1" x14ac:dyDescent="0.2">
      <c r="A20427" s="996" t="str">
        <f>CONCATENATE(Programme!D20428,Programme!E20428,Programme!F20428,Programme!G20428,Programme!H20428,Programme!I20428,Programme!J20428)</f>
        <v>&lt;cellule&gt;</v>
      </c>
    </row>
    <row r="20428" spans="1:1" x14ac:dyDescent="0.2">
      <c r="A20428" s="996" t="str">
        <f>CONCATENATE(Programme!D20429,Programme!E20429,Programme!F20429,Programme!G20429,Programme!H20429,Programme!I20429,Programme!J20429)</f>
        <v>&lt;codeEdi&gt;14177&lt;/codeEdi&gt;</v>
      </c>
    </row>
    <row r="20429" spans="1:1" x14ac:dyDescent="0.2">
      <c r="A20429" s="996" t="str">
        <f>CONCATENATE(Programme!D20430,Programme!E20430,Programme!F20430,Programme!G20430,Programme!H20430,Programme!I20430,Programme!J20430)</f>
        <v>&lt;/cellule&gt;</v>
      </c>
    </row>
    <row r="20430" spans="1:1" x14ac:dyDescent="0.2">
      <c r="A20430" s="996" t="str">
        <f>CONCATENATE(Programme!D20431,Programme!E20431,Programme!F20431,Programme!G20431,Programme!H20431,Programme!I20431,Programme!J20431)</f>
        <v>&lt;valeur&gt;&lt;/valeur&gt;</v>
      </c>
    </row>
    <row r="20431" spans="1:1" x14ac:dyDescent="0.2">
      <c r="A20431" s="996" t="str">
        <f>CONCATENATE(Programme!D20432,Programme!E20432,Programme!F20432,Programme!G20432,Programme!H20432,Programme!I20432,Programme!J20432)</f>
        <v>&lt;/ValeurCellule&gt;</v>
      </c>
    </row>
    <row r="20432" spans="1:1" x14ac:dyDescent="0.2">
      <c r="A20432" s="996" t="str">
        <f>CONCATENATE(Programme!D20433,Programme!E20433,Programme!F20433,Programme!G20433,Programme!H20433,Programme!I20433,Programme!J20433)</f>
        <v>&lt;ValeurCellule&gt;</v>
      </c>
    </row>
    <row r="20433" spans="1:1" x14ac:dyDescent="0.2">
      <c r="A20433" s="996" t="str">
        <f>CONCATENATE(Programme!D20434,Programme!E20434,Programme!F20434,Programme!G20434,Programme!H20434,Programme!I20434,Programme!J20434)</f>
        <v>&lt;cellule&gt;</v>
      </c>
    </row>
    <row r="20434" spans="1:1" x14ac:dyDescent="0.2">
      <c r="A20434" s="996" t="str">
        <f>CONCATENATE(Programme!D20435,Programme!E20435,Programme!F20435,Programme!G20435,Programme!H20435,Programme!I20435,Programme!J20435)</f>
        <v>&lt;codeEdi&gt;14178&lt;/codeEdi&gt;</v>
      </c>
    </row>
    <row r="20435" spans="1:1" x14ac:dyDescent="0.2">
      <c r="A20435" s="996" t="str">
        <f>CONCATENATE(Programme!D20436,Programme!E20436,Programme!F20436,Programme!G20436,Programme!H20436,Programme!I20436,Programme!J20436)</f>
        <v>&lt;/cellule&gt;</v>
      </c>
    </row>
    <row r="20436" spans="1:1" x14ac:dyDescent="0.2">
      <c r="A20436" s="996" t="str">
        <f>CONCATENATE(Programme!D20437,Programme!E20437,Programme!F20437,Programme!G20437,Programme!H20437,Programme!I20437,Programme!J20437)</f>
        <v>&lt;valeur&gt;&lt;/valeur&gt;</v>
      </c>
    </row>
    <row r="20437" spans="1:1" x14ac:dyDescent="0.2">
      <c r="A20437" s="996" t="str">
        <f>CONCATENATE(Programme!D20438,Programme!E20438,Programme!F20438,Programme!G20438,Programme!H20438,Programme!I20438,Programme!J20438)</f>
        <v>&lt;/ValeurCellule&gt;</v>
      </c>
    </row>
    <row r="20438" spans="1:1" x14ac:dyDescent="0.2">
      <c r="A20438" s="996" t="str">
        <f>CONCATENATE(Programme!D20439,Programme!E20439,Programme!F20439,Programme!G20439,Programme!H20439,Programme!I20439,Programme!J20439)</f>
        <v>&lt;ValeurCellule&gt;</v>
      </c>
    </row>
    <row r="20439" spans="1:1" x14ac:dyDescent="0.2">
      <c r="A20439" s="996" t="str">
        <f>CONCATENATE(Programme!D20440,Programme!E20440,Programme!F20440,Programme!G20440,Programme!H20440,Programme!I20440,Programme!J20440)</f>
        <v>&lt;cellule&gt;</v>
      </c>
    </row>
    <row r="20440" spans="1:1" x14ac:dyDescent="0.2">
      <c r="A20440" s="996" t="str">
        <f>CONCATENATE(Programme!D20441,Programme!E20441,Programme!F20441,Programme!G20441,Programme!H20441,Programme!I20441,Programme!J20441)</f>
        <v>&lt;codeEdi&gt;14179&lt;/codeEdi&gt;</v>
      </c>
    </row>
    <row r="20441" spans="1:1" x14ac:dyDescent="0.2">
      <c r="A20441" s="996" t="str">
        <f>CONCATENATE(Programme!D20442,Programme!E20442,Programme!F20442,Programme!G20442,Programme!H20442,Programme!I20442,Programme!J20442)</f>
        <v>&lt;/cellule&gt;</v>
      </c>
    </row>
    <row r="20442" spans="1:1" x14ac:dyDescent="0.2">
      <c r="A20442" s="996" t="str">
        <f>CONCATENATE(Programme!D20443,Programme!E20443,Programme!F20443,Programme!G20443,Programme!H20443,Programme!I20443,Programme!J20443)</f>
        <v>&lt;valeur&gt;&lt;/valeur&gt;</v>
      </c>
    </row>
    <row r="20443" spans="1:1" x14ac:dyDescent="0.2">
      <c r="A20443" s="996" t="str">
        <f>CONCATENATE(Programme!D20444,Programme!E20444,Programme!F20444,Programme!G20444,Programme!H20444,Programme!I20444,Programme!J20444)</f>
        <v>&lt;/ValeurCellule&gt;</v>
      </c>
    </row>
    <row r="20444" spans="1:1" x14ac:dyDescent="0.2">
      <c r="A20444" s="996" t="str">
        <f>CONCATENATE(Programme!D20445,Programme!E20445,Programme!F20445,Programme!G20445,Programme!H20445,Programme!I20445,Programme!J20445)</f>
        <v>&lt;ValeurCellule&gt;</v>
      </c>
    </row>
    <row r="20445" spans="1:1" x14ac:dyDescent="0.2">
      <c r="A20445" s="996" t="str">
        <f>CONCATENATE(Programme!D20446,Programme!E20446,Programme!F20446,Programme!G20446,Programme!H20446,Programme!I20446,Programme!J20446)</f>
        <v>&lt;cellule&gt;</v>
      </c>
    </row>
    <row r="20446" spans="1:1" x14ac:dyDescent="0.2">
      <c r="A20446" s="996" t="str">
        <f>CONCATENATE(Programme!D20447,Programme!E20447,Programme!F20447,Programme!G20447,Programme!H20447,Programme!I20447,Programme!J20447)</f>
        <v>&lt;codeEdi&gt;14180&lt;/codeEdi&gt;</v>
      </c>
    </row>
    <row r="20447" spans="1:1" x14ac:dyDescent="0.2">
      <c r="A20447" s="996" t="str">
        <f>CONCATENATE(Programme!D20448,Programme!E20448,Programme!F20448,Programme!G20448,Programme!H20448,Programme!I20448,Programme!J20448)</f>
        <v>&lt;/cellule&gt;</v>
      </c>
    </row>
    <row r="20448" spans="1:1" x14ac:dyDescent="0.2">
      <c r="A20448" s="996" t="str">
        <f>CONCATENATE(Programme!D20449,Programme!E20449,Programme!F20449,Programme!G20449,Programme!H20449,Programme!I20449,Programme!J20449)</f>
        <v>&lt;valeur&gt;&lt;/valeur&gt;</v>
      </c>
    </row>
    <row r="20449" spans="1:1" x14ac:dyDescent="0.2">
      <c r="A20449" s="996" t="str">
        <f>CONCATENATE(Programme!D20450,Programme!E20450,Programme!F20450,Programme!G20450,Programme!H20450,Programme!I20450,Programme!J20450)</f>
        <v>&lt;/ValeurCellule&gt;</v>
      </c>
    </row>
    <row r="20450" spans="1:1" x14ac:dyDescent="0.2">
      <c r="A20450" s="996" t="str">
        <f>CONCATENATE(Programme!D20451,Programme!E20451,Programme!F20451,Programme!G20451,Programme!H20451,Programme!I20451,Programme!J20451)</f>
        <v>&lt;ValeurCellule&gt;</v>
      </c>
    </row>
    <row r="20451" spans="1:1" x14ac:dyDescent="0.2">
      <c r="A20451" s="996" t="str">
        <f>CONCATENATE(Programme!D20452,Programme!E20452,Programme!F20452,Programme!G20452,Programme!H20452,Programme!I20452,Programme!J20452)</f>
        <v>&lt;cellule&gt;</v>
      </c>
    </row>
    <row r="20452" spans="1:1" x14ac:dyDescent="0.2">
      <c r="A20452" s="996" t="str">
        <f>CONCATENATE(Programme!D20453,Programme!E20453,Programme!F20453,Programme!G20453,Programme!H20453,Programme!I20453,Programme!J20453)</f>
        <v>&lt;codeEdi&gt;14181&lt;/codeEdi&gt;</v>
      </c>
    </row>
    <row r="20453" spans="1:1" x14ac:dyDescent="0.2">
      <c r="A20453" s="996" t="str">
        <f>CONCATENATE(Programme!D20454,Programme!E20454,Programme!F20454,Programme!G20454,Programme!H20454,Programme!I20454,Programme!J20454)</f>
        <v>&lt;/cellule&gt;</v>
      </c>
    </row>
    <row r="20454" spans="1:1" x14ac:dyDescent="0.2">
      <c r="A20454" s="996" t="str">
        <f>CONCATENATE(Programme!D20455,Programme!E20455,Programme!F20455,Programme!G20455,Programme!H20455,Programme!I20455,Programme!J20455)</f>
        <v>&lt;valeur&gt;&lt;/valeur&gt;</v>
      </c>
    </row>
    <row r="20455" spans="1:1" x14ac:dyDescent="0.2">
      <c r="A20455" s="996" t="str">
        <f>CONCATENATE(Programme!D20456,Programme!E20456,Programme!F20456,Programme!G20456,Programme!H20456,Programme!I20456,Programme!J20456)</f>
        <v>&lt;/ValeurCellule&gt;</v>
      </c>
    </row>
    <row r="20456" spans="1:1" x14ac:dyDescent="0.2">
      <c r="A20456" s="996" t="str">
        <f>CONCATENATE(Programme!D20457,Programme!E20457,Programme!F20457,Programme!G20457,Programme!H20457,Programme!I20457,Programme!J20457)</f>
        <v>&lt;ValeurCellule&gt;</v>
      </c>
    </row>
    <row r="20457" spans="1:1" x14ac:dyDescent="0.2">
      <c r="A20457" s="996" t="str">
        <f>CONCATENATE(Programme!D20458,Programme!E20458,Programme!F20458,Programme!G20458,Programme!H20458,Programme!I20458,Programme!J20458)</f>
        <v>&lt;cellule&gt;</v>
      </c>
    </row>
    <row r="20458" spans="1:1" x14ac:dyDescent="0.2">
      <c r="A20458" s="996" t="str">
        <f>CONCATENATE(Programme!D20459,Programme!E20459,Programme!F20459,Programme!G20459,Programme!H20459,Programme!I20459,Programme!J20459)</f>
        <v>&lt;codeEdi&gt;14182&lt;/codeEdi&gt;</v>
      </c>
    </row>
    <row r="20459" spans="1:1" x14ac:dyDescent="0.2">
      <c r="A20459" s="996" t="str">
        <f>CONCATENATE(Programme!D20460,Programme!E20460,Programme!F20460,Programme!G20460,Programme!H20460,Programme!I20460,Programme!J20460)</f>
        <v>&lt;/cellule&gt;</v>
      </c>
    </row>
    <row r="20460" spans="1:1" x14ac:dyDescent="0.2">
      <c r="A20460" s="996" t="str">
        <f>CONCATENATE(Programme!D20461,Programme!E20461,Programme!F20461,Programme!G20461,Programme!H20461,Programme!I20461,Programme!J20461)</f>
        <v>&lt;valeur&gt;&lt;/valeur&gt;</v>
      </c>
    </row>
    <row r="20461" spans="1:1" x14ac:dyDescent="0.2">
      <c r="A20461" s="996" t="str">
        <f>CONCATENATE(Programme!D20462,Programme!E20462,Programme!F20462,Programme!G20462,Programme!H20462,Programme!I20462,Programme!J20462)</f>
        <v>&lt;/ValeurCellule&gt;</v>
      </c>
    </row>
    <row r="20462" spans="1:1" x14ac:dyDescent="0.2">
      <c r="A20462" s="996" t="str">
        <f>CONCATENATE(Programme!D20463,Programme!E20463,Programme!F20463,Programme!G20463,Programme!H20463,Programme!I20463,Programme!J20463)</f>
        <v>&lt;ValeurCellule&gt;</v>
      </c>
    </row>
    <row r="20463" spans="1:1" x14ac:dyDescent="0.2">
      <c r="A20463" s="996" t="str">
        <f>CONCATENATE(Programme!D20464,Programme!E20464,Programme!F20464,Programme!G20464,Programme!H20464,Programme!I20464,Programme!J20464)</f>
        <v>&lt;cellule&gt;</v>
      </c>
    </row>
    <row r="20464" spans="1:1" x14ac:dyDescent="0.2">
      <c r="A20464" s="996" t="str">
        <f>CONCATENATE(Programme!D20465,Programme!E20465,Programme!F20465,Programme!G20465,Programme!H20465,Programme!I20465,Programme!J20465)</f>
        <v>&lt;codeEdi&gt;14183&lt;/codeEdi&gt;</v>
      </c>
    </row>
    <row r="20465" spans="1:1" x14ac:dyDescent="0.2">
      <c r="A20465" s="996" t="str">
        <f>CONCATENATE(Programme!D20466,Programme!E20466,Programme!F20466,Programme!G20466,Programme!H20466,Programme!I20466,Programme!J20466)</f>
        <v>&lt;/cellule&gt;</v>
      </c>
    </row>
    <row r="20466" spans="1:1" x14ac:dyDescent="0.2">
      <c r="A20466" s="996" t="str">
        <f>CONCATENATE(Programme!D20467,Programme!E20467,Programme!F20467,Programme!G20467,Programme!H20467,Programme!I20467,Programme!J20467)</f>
        <v>&lt;valeur&gt;&lt;/valeur&gt;</v>
      </c>
    </row>
    <row r="20467" spans="1:1" x14ac:dyDescent="0.2">
      <c r="A20467" s="996" t="str">
        <f>CONCATENATE(Programme!D20468,Programme!E20468,Programme!F20468,Programme!G20468,Programme!H20468,Programme!I20468,Programme!J20468)</f>
        <v>&lt;/ValeurCellule&gt;</v>
      </c>
    </row>
    <row r="20468" spans="1:1" x14ac:dyDescent="0.2">
      <c r="A20468" s="996" t="str">
        <f>CONCATENATE(Programme!D20469,Programme!E20469,Programme!F20469,Programme!G20469,Programme!H20469,Programme!I20469,Programme!J20469)</f>
        <v>&lt;ValeurCellule&gt;</v>
      </c>
    </row>
    <row r="20469" spans="1:1" x14ac:dyDescent="0.2">
      <c r="A20469" s="996" t="str">
        <f>CONCATENATE(Programme!D20470,Programme!E20470,Programme!F20470,Programme!G20470,Programme!H20470,Programme!I20470,Programme!J20470)</f>
        <v>&lt;cellule&gt;</v>
      </c>
    </row>
    <row r="20470" spans="1:1" x14ac:dyDescent="0.2">
      <c r="A20470" s="996" t="str">
        <f>CONCATENATE(Programme!D20471,Programme!E20471,Programme!F20471,Programme!G20471,Programme!H20471,Programme!I20471,Programme!J20471)</f>
        <v>&lt;codeEdi&gt;14184&lt;/codeEdi&gt;</v>
      </c>
    </row>
    <row r="20471" spans="1:1" x14ac:dyDescent="0.2">
      <c r="A20471" s="996" t="str">
        <f>CONCATENATE(Programme!D20472,Programme!E20472,Programme!F20472,Programme!G20472,Programme!H20472,Programme!I20472,Programme!J20472)</f>
        <v>&lt;/cellule&gt;</v>
      </c>
    </row>
    <row r="20472" spans="1:1" x14ac:dyDescent="0.2">
      <c r="A20472" s="996" t="str">
        <f>CONCATENATE(Programme!D20473,Programme!E20473,Programme!F20473,Programme!G20473,Programme!H20473,Programme!I20473,Programme!J20473)</f>
        <v>&lt;valeur&gt;0&lt;/valeur&gt;</v>
      </c>
    </row>
    <row r="20473" spans="1:1" x14ac:dyDescent="0.2">
      <c r="A20473" s="996" t="str">
        <f>CONCATENATE(Programme!D20474,Programme!E20474,Programme!F20474,Programme!G20474,Programme!H20474,Programme!I20474,Programme!J20474)</f>
        <v>&lt;/ValeurCellule&gt;</v>
      </c>
    </row>
    <row r="20474" spans="1:1" x14ac:dyDescent="0.2">
      <c r="A20474" s="996" t="str">
        <f>CONCATENATE(Programme!D20475,Programme!E20475,Programme!F20475,Programme!G20475,Programme!H20475,Programme!I20475,Programme!J20475)</f>
        <v>&lt;ValeurCellule&gt;</v>
      </c>
    </row>
    <row r="20475" spans="1:1" x14ac:dyDescent="0.2">
      <c r="A20475" s="996" t="str">
        <f>CONCATENATE(Programme!D20476,Programme!E20476,Programme!F20476,Programme!G20476,Programme!H20476,Programme!I20476,Programme!J20476)</f>
        <v>&lt;cellule&gt;</v>
      </c>
    </row>
    <row r="20476" spans="1:1" x14ac:dyDescent="0.2">
      <c r="A20476" s="996" t="str">
        <f>CONCATENATE(Programme!D20477,Programme!E20477,Programme!F20477,Programme!G20477,Programme!H20477,Programme!I20477,Programme!J20477)</f>
        <v>&lt;codeEdi&gt;14185&lt;/codeEdi&gt;</v>
      </c>
    </row>
    <row r="20477" spans="1:1" x14ac:dyDescent="0.2">
      <c r="A20477" s="996" t="str">
        <f>CONCATENATE(Programme!D20478,Programme!E20478,Programme!F20478,Programme!G20478,Programme!H20478,Programme!I20478,Programme!J20478)</f>
        <v>&lt;/cellule&gt;</v>
      </c>
    </row>
    <row r="20478" spans="1:1" x14ac:dyDescent="0.2">
      <c r="A20478" s="996" t="str">
        <f>CONCATENATE(Programme!D20479,Programme!E20479,Programme!F20479,Programme!G20479,Programme!H20479,Programme!I20479,Programme!J20479)</f>
        <v>&lt;valeur&gt;0&lt;/valeur&gt;</v>
      </c>
    </row>
    <row r="20479" spans="1:1" x14ac:dyDescent="0.2">
      <c r="A20479" s="996" t="str">
        <f>CONCATENATE(Programme!D20480,Programme!E20480,Programme!F20480,Programme!G20480,Programme!H20480,Programme!I20480,Programme!J20480)</f>
        <v>&lt;/ValeurCellule&gt;</v>
      </c>
    </row>
    <row r="20480" spans="1:1" x14ac:dyDescent="0.2">
      <c r="A20480" s="996" t="str">
        <f>CONCATENATE(Programme!D20481,Programme!E20481,Programme!F20481,Programme!G20481,Programme!H20481,Programme!I20481,Programme!J20481)</f>
        <v>&lt;ValeurCellule&gt;</v>
      </c>
    </row>
    <row r="20481" spans="1:1" x14ac:dyDescent="0.2">
      <c r="A20481" s="996" t="str">
        <f>CONCATENATE(Programme!D20482,Programme!E20482,Programme!F20482,Programme!G20482,Programme!H20482,Programme!I20482,Programme!J20482)</f>
        <v>&lt;cellule&gt;</v>
      </c>
    </row>
    <row r="20482" spans="1:1" x14ac:dyDescent="0.2">
      <c r="A20482" s="996" t="str">
        <f>CONCATENATE(Programme!D20483,Programme!E20483,Programme!F20483,Programme!G20483,Programme!H20483,Programme!I20483,Programme!J20483)</f>
        <v>&lt;codeEdi&gt;14186&lt;/codeEdi&gt;</v>
      </c>
    </row>
    <row r="20483" spans="1:1" x14ac:dyDescent="0.2">
      <c r="A20483" s="996" t="str">
        <f>CONCATENATE(Programme!D20484,Programme!E20484,Programme!F20484,Programme!G20484,Programme!H20484,Programme!I20484,Programme!J20484)</f>
        <v>&lt;/cellule&gt;</v>
      </c>
    </row>
    <row r="20484" spans="1:1" x14ac:dyDescent="0.2">
      <c r="A20484" s="996" t="str">
        <f>CONCATENATE(Programme!D20485,Programme!E20485,Programme!F20485,Programme!G20485,Programme!H20485,Programme!I20485,Programme!J20485)</f>
        <v>&lt;valeur&gt;0&lt;/valeur&gt;</v>
      </c>
    </row>
    <row r="20485" spans="1:1" x14ac:dyDescent="0.2">
      <c r="A20485" s="996" t="str">
        <f>CONCATENATE(Programme!D20486,Programme!E20486,Programme!F20486,Programme!G20486,Programme!H20486,Programme!I20486,Programme!J20486)</f>
        <v>&lt;/ValeurCellule&gt;</v>
      </c>
    </row>
    <row r="20486" spans="1:1" x14ac:dyDescent="0.2">
      <c r="A20486" s="996" t="str">
        <f>CONCATENATE(Programme!D20487,Programme!E20487,Programme!F20487,Programme!G20487,Programme!H20487,Programme!I20487,Programme!J20487)</f>
        <v>&lt;ValeurCellule&gt;</v>
      </c>
    </row>
    <row r="20487" spans="1:1" x14ac:dyDescent="0.2">
      <c r="A20487" s="996" t="str">
        <f>CONCATENATE(Programme!D20488,Programme!E20488,Programme!F20488,Programme!G20488,Programme!H20488,Programme!I20488,Programme!J20488)</f>
        <v>&lt;cellule&gt;</v>
      </c>
    </row>
    <row r="20488" spans="1:1" x14ac:dyDescent="0.2">
      <c r="A20488" s="996" t="str">
        <f>CONCATENATE(Programme!D20489,Programme!E20489,Programme!F20489,Programme!G20489,Programme!H20489,Programme!I20489,Programme!J20489)</f>
        <v>&lt;codeEdi&gt;14187&lt;/codeEdi&gt;</v>
      </c>
    </row>
    <row r="20489" spans="1:1" x14ac:dyDescent="0.2">
      <c r="A20489" s="996" t="str">
        <f>CONCATENATE(Programme!D20490,Programme!E20490,Programme!F20490,Programme!G20490,Programme!H20490,Programme!I20490,Programme!J20490)</f>
        <v>&lt;/cellule&gt;</v>
      </c>
    </row>
    <row r="20490" spans="1:1" x14ac:dyDescent="0.2">
      <c r="A20490" s="996" t="str">
        <f>CONCATENATE(Programme!D20491,Programme!E20491,Programme!F20491,Programme!G20491,Programme!H20491,Programme!I20491,Programme!J20491)</f>
        <v>&lt;valeur&gt;0&lt;/valeur&gt;</v>
      </c>
    </row>
    <row r="20491" spans="1:1" x14ac:dyDescent="0.2">
      <c r="A20491" s="996" t="str">
        <f>CONCATENATE(Programme!D20492,Programme!E20492,Programme!F20492,Programme!G20492,Programme!H20492,Programme!I20492,Programme!J20492)</f>
        <v>&lt;/ValeurCellule&gt;</v>
      </c>
    </row>
    <row r="20492" spans="1:1" x14ac:dyDescent="0.2">
      <c r="A20492" s="996" t="str">
        <f>CONCATENATE(Programme!D20493,Programme!E20493,Programme!F20493,Programme!G20493,Programme!H20493,Programme!I20493,Programme!J20493)</f>
        <v>&lt;ValeurCellule&gt;</v>
      </c>
    </row>
    <row r="20493" spans="1:1" x14ac:dyDescent="0.2">
      <c r="A20493" s="996" t="str">
        <f>CONCATENATE(Programme!D20494,Programme!E20494,Programme!F20494,Programme!G20494,Programme!H20494,Programme!I20494,Programme!J20494)</f>
        <v>&lt;cellule&gt;</v>
      </c>
    </row>
    <row r="20494" spans="1:1" x14ac:dyDescent="0.2">
      <c r="A20494" s="996" t="str">
        <f>CONCATENATE(Programme!D20495,Programme!E20495,Programme!F20495,Programme!G20495,Programme!H20495,Programme!I20495,Programme!J20495)</f>
        <v>&lt;codeEdi&gt;14188&lt;/codeEdi&gt;</v>
      </c>
    </row>
    <row r="20495" spans="1:1" x14ac:dyDescent="0.2">
      <c r="A20495" s="996" t="str">
        <f>CONCATENATE(Programme!D20496,Programme!E20496,Programme!F20496,Programme!G20496,Programme!H20496,Programme!I20496,Programme!J20496)</f>
        <v>&lt;/cellule&gt;</v>
      </c>
    </row>
    <row r="20496" spans="1:1" x14ac:dyDescent="0.2">
      <c r="A20496" s="996" t="str">
        <f>CONCATENATE(Programme!D20497,Programme!E20497,Programme!F20497,Programme!G20497,Programme!H20497,Programme!I20497,Programme!J20497)</f>
        <v>&lt;valeur&gt;0&lt;/valeur&gt;</v>
      </c>
    </row>
    <row r="20497" spans="1:1" x14ac:dyDescent="0.2">
      <c r="A20497" s="996" t="str">
        <f>CONCATENATE(Programme!D20498,Programme!E20498,Programme!F20498,Programme!G20498,Programme!H20498,Programme!I20498,Programme!J20498)</f>
        <v>&lt;/ValeurCellule&gt;</v>
      </c>
    </row>
    <row r="20498" spans="1:1" x14ac:dyDescent="0.2">
      <c r="A20498" s="996" t="str">
        <f>CONCATENATE(Programme!D20499,Programme!E20499,Programme!F20499,Programme!G20499,Programme!H20499,Programme!I20499,Programme!J20499)</f>
        <v>&lt;ValeurCellule&gt;</v>
      </c>
    </row>
    <row r="20499" spans="1:1" x14ac:dyDescent="0.2">
      <c r="A20499" s="996" t="str">
        <f>CONCATENATE(Programme!D20500,Programme!E20500,Programme!F20500,Programme!G20500,Programme!H20500,Programme!I20500,Programme!J20500)</f>
        <v>&lt;cellule&gt;</v>
      </c>
    </row>
    <row r="20500" spans="1:1" x14ac:dyDescent="0.2">
      <c r="A20500" s="996" t="str">
        <f>CONCATENATE(Programme!D20501,Programme!E20501,Programme!F20501,Programme!G20501,Programme!H20501,Programme!I20501,Programme!J20501)</f>
        <v>&lt;codeEdi&gt;14189&lt;/codeEdi&gt;</v>
      </c>
    </row>
    <row r="20501" spans="1:1" x14ac:dyDescent="0.2">
      <c r="A20501" s="996" t="str">
        <f>CONCATENATE(Programme!D20502,Programme!E20502,Programme!F20502,Programme!G20502,Programme!H20502,Programme!I20502,Programme!J20502)</f>
        <v>&lt;/cellule&gt;</v>
      </c>
    </row>
    <row r="20502" spans="1:1" x14ac:dyDescent="0.2">
      <c r="A20502" s="996" t="str">
        <f>CONCATENATE(Programme!D20503,Programme!E20503,Programme!F20503,Programme!G20503,Programme!H20503,Programme!I20503,Programme!J20503)</f>
        <v>&lt;valeur&gt;0&lt;/valeur&gt;</v>
      </c>
    </row>
    <row r="20503" spans="1:1" x14ac:dyDescent="0.2">
      <c r="A20503" s="996" t="str">
        <f>CONCATENATE(Programme!D20504,Programme!E20504,Programme!F20504,Programme!G20504,Programme!H20504,Programme!I20504,Programme!J20504)</f>
        <v>&lt;/ValeurCellule&gt;</v>
      </c>
    </row>
    <row r="20504" spans="1:1" x14ac:dyDescent="0.2">
      <c r="A20504" s="996" t="str">
        <f>CONCATENATE(Programme!D20505,Programme!E20505,Programme!F20505,Programme!G20505,Programme!H20505,Programme!I20505,Programme!J20505)</f>
        <v>&lt;ValeurCellule&gt;</v>
      </c>
    </row>
    <row r="20505" spans="1:1" x14ac:dyDescent="0.2">
      <c r="A20505" s="996" t="str">
        <f>CONCATENATE(Programme!D20506,Programme!E20506,Programme!F20506,Programme!G20506,Programme!H20506,Programme!I20506,Programme!J20506)</f>
        <v>&lt;cellule&gt;</v>
      </c>
    </row>
    <row r="20506" spans="1:1" x14ac:dyDescent="0.2">
      <c r="A20506" s="996" t="str">
        <f>CONCATENATE(Programme!D20507,Programme!E20507,Programme!F20507,Programme!G20507,Programme!H20507,Programme!I20507,Programme!J20507)</f>
        <v>&lt;codeEdi&gt;14190&lt;/codeEdi&gt;</v>
      </c>
    </row>
    <row r="20507" spans="1:1" x14ac:dyDescent="0.2">
      <c r="A20507" s="996" t="str">
        <f>CONCATENATE(Programme!D20508,Programme!E20508,Programme!F20508,Programme!G20508,Programme!H20508,Programme!I20508,Programme!J20508)</f>
        <v>&lt;/cellule&gt;</v>
      </c>
    </row>
    <row r="20508" spans="1:1" x14ac:dyDescent="0.2">
      <c r="A20508" s="996" t="str">
        <f>CONCATENATE(Programme!D20509,Programme!E20509,Programme!F20509,Programme!G20509,Programme!H20509,Programme!I20509,Programme!J20509)</f>
        <v>&lt;valeur&gt;0&lt;/valeur&gt;</v>
      </c>
    </row>
    <row r="20509" spans="1:1" x14ac:dyDescent="0.2">
      <c r="A20509" s="996" t="str">
        <f>CONCATENATE(Programme!D20510,Programme!E20510,Programme!F20510,Programme!G20510,Programme!H20510,Programme!I20510,Programme!J20510)</f>
        <v>&lt;/ValeurCellule&gt;</v>
      </c>
    </row>
    <row r="20510" spans="1:1" x14ac:dyDescent="0.2">
      <c r="A20510" s="996" t="str">
        <f>CONCATENATE(Programme!D20511,Programme!E20511,Programme!F20511,Programme!G20511,Programme!H20511,Programme!I20511,Programme!J20511)</f>
        <v>&lt;ValeurCellule&gt;</v>
      </c>
    </row>
    <row r="20511" spans="1:1" x14ac:dyDescent="0.2">
      <c r="A20511" s="996" t="str">
        <f>CONCATENATE(Programme!D20512,Programme!E20512,Programme!F20512,Programme!G20512,Programme!H20512,Programme!I20512,Programme!J20512)</f>
        <v>&lt;cellule&gt;</v>
      </c>
    </row>
    <row r="20512" spans="1:1" x14ac:dyDescent="0.2">
      <c r="A20512" s="996" t="str">
        <f>CONCATENATE(Programme!D20513,Programme!E20513,Programme!F20513,Programme!G20513,Programme!H20513,Programme!I20513,Programme!J20513)</f>
        <v>&lt;codeEdi&gt;14191&lt;/codeEdi&gt;</v>
      </c>
    </row>
    <row r="20513" spans="1:1" x14ac:dyDescent="0.2">
      <c r="A20513" s="996" t="str">
        <f>CONCATENATE(Programme!D20514,Programme!E20514,Programme!F20514,Programme!G20514,Programme!H20514,Programme!I20514,Programme!J20514)</f>
        <v>&lt;/cellule&gt;</v>
      </c>
    </row>
    <row r="20514" spans="1:1" x14ac:dyDescent="0.2">
      <c r="A20514" s="996" t="str">
        <f>CONCATENATE(Programme!D20515,Programme!E20515,Programme!F20515,Programme!G20515,Programme!H20515,Programme!I20515,Programme!J20515)</f>
        <v>&lt;valeur&gt;0&lt;/valeur&gt;</v>
      </c>
    </row>
    <row r="20515" spans="1:1" x14ac:dyDescent="0.2">
      <c r="A20515" s="996" t="str">
        <f>CONCATENATE(Programme!D20516,Programme!E20516,Programme!F20516,Programme!G20516,Programme!H20516,Programme!I20516,Programme!J20516)</f>
        <v>&lt;/ValeurCellule&gt;</v>
      </c>
    </row>
    <row r="20516" spans="1:1" x14ac:dyDescent="0.2">
      <c r="A20516" s="996" t="str">
        <f>CONCATENATE(Programme!D20517,Programme!E20517,Programme!F20517,Programme!G20517,Programme!H20517,Programme!I20517,Programme!J20517)</f>
        <v>&lt;ValeurCellule&gt;</v>
      </c>
    </row>
    <row r="20517" spans="1:1" x14ac:dyDescent="0.2">
      <c r="A20517" s="996" t="str">
        <f>CONCATENATE(Programme!D20518,Programme!E20518,Programme!F20518,Programme!G20518,Programme!H20518,Programme!I20518,Programme!J20518)</f>
        <v>&lt;cellule&gt;</v>
      </c>
    </row>
    <row r="20518" spans="1:1" x14ac:dyDescent="0.2">
      <c r="A20518" s="996" t="str">
        <f>CONCATENATE(Programme!D20519,Programme!E20519,Programme!F20519,Programme!G20519,Programme!H20519,Programme!I20519,Programme!J20519)</f>
        <v>&lt;codeEdi&gt;14192&lt;/codeEdi&gt;</v>
      </c>
    </row>
    <row r="20519" spans="1:1" x14ac:dyDescent="0.2">
      <c r="A20519" s="996" t="str">
        <f>CONCATENATE(Programme!D20520,Programme!E20520,Programme!F20520,Programme!G20520,Programme!H20520,Programme!I20520,Programme!J20520)</f>
        <v>&lt;/cellule&gt;</v>
      </c>
    </row>
    <row r="20520" spans="1:1" x14ac:dyDescent="0.2">
      <c r="A20520" s="996" t="str">
        <f>CONCATENATE(Programme!D20521,Programme!E20521,Programme!F20521,Programme!G20521,Programme!H20521,Programme!I20521,Programme!J20521)</f>
        <v>&lt;valeur&gt;0&lt;/valeur&gt;</v>
      </c>
    </row>
    <row r="20521" spans="1:1" x14ac:dyDescent="0.2">
      <c r="A20521" s="996" t="str">
        <f>CONCATENATE(Programme!D20522,Programme!E20522,Programme!F20522,Programme!G20522,Programme!H20522,Programme!I20522,Programme!J20522)</f>
        <v>&lt;/ValeurCellule&gt;</v>
      </c>
    </row>
    <row r="20522" spans="1:1" x14ac:dyDescent="0.2">
      <c r="A20522" s="996" t="str">
        <f>CONCATENATE(Programme!D20523,Programme!E20523,Programme!F20523,Programme!G20523,Programme!H20523,Programme!I20523,Programme!J20523)</f>
        <v>&lt;ValeurCellule&gt;</v>
      </c>
    </row>
    <row r="20523" spans="1:1" x14ac:dyDescent="0.2">
      <c r="A20523" s="996" t="str">
        <f>CONCATENATE(Programme!D20524,Programme!E20524,Programme!F20524,Programme!G20524,Programme!H20524,Programme!I20524,Programme!J20524)</f>
        <v>&lt;cellule&gt;</v>
      </c>
    </row>
    <row r="20524" spans="1:1" x14ac:dyDescent="0.2">
      <c r="A20524" s="996" t="str">
        <f>CONCATENATE(Programme!D20525,Programme!E20525,Programme!F20525,Programme!G20525,Programme!H20525,Programme!I20525,Programme!J20525)</f>
        <v>&lt;codeEdi&gt;14193&lt;/codeEdi&gt;</v>
      </c>
    </row>
    <row r="20525" spans="1:1" x14ac:dyDescent="0.2">
      <c r="A20525" s="996" t="str">
        <f>CONCATENATE(Programme!D20526,Programme!E20526,Programme!F20526,Programme!G20526,Programme!H20526,Programme!I20526,Programme!J20526)</f>
        <v>&lt;/cellule&gt;</v>
      </c>
    </row>
    <row r="20526" spans="1:1" x14ac:dyDescent="0.2">
      <c r="A20526" s="996" t="str">
        <f>CONCATENATE(Programme!D20527,Programme!E20527,Programme!F20527,Programme!G20527,Programme!H20527,Programme!I20527,Programme!J20527)</f>
        <v>&lt;valeur&gt;0&lt;/valeur&gt;</v>
      </c>
    </row>
    <row r="20527" spans="1:1" x14ac:dyDescent="0.2">
      <c r="A20527" s="996" t="str">
        <f>CONCATENATE(Programme!D20528,Programme!E20528,Programme!F20528,Programme!G20528,Programme!H20528,Programme!I20528,Programme!J20528)</f>
        <v>&lt;/ValeurCellule&gt;</v>
      </c>
    </row>
    <row r="20528" spans="1:1" x14ac:dyDescent="0.2">
      <c r="A20528" s="996" t="str">
        <f>CONCATENATE(Programme!D20529,Programme!E20529,Programme!F20529,Programme!G20529,Programme!H20529,Programme!I20529,Programme!J20529)</f>
        <v>&lt;ValeurCellule&gt;</v>
      </c>
    </row>
    <row r="20529" spans="1:1" x14ac:dyDescent="0.2">
      <c r="A20529" s="996" t="str">
        <f>CONCATENATE(Programme!D20530,Programme!E20530,Programme!F20530,Programme!G20530,Programme!H20530,Programme!I20530,Programme!J20530)</f>
        <v>&lt;cellule&gt;</v>
      </c>
    </row>
    <row r="20530" spans="1:1" x14ac:dyDescent="0.2">
      <c r="A20530" s="996" t="str">
        <f>CONCATENATE(Programme!D20531,Programme!E20531,Programme!F20531,Programme!G20531,Programme!H20531,Programme!I20531,Programme!J20531)</f>
        <v>&lt;codeEdi&gt;14194&lt;/codeEdi&gt;</v>
      </c>
    </row>
    <row r="20531" spans="1:1" x14ac:dyDescent="0.2">
      <c r="A20531" s="996" t="str">
        <f>CONCATENATE(Programme!D20532,Programme!E20532,Programme!F20532,Programme!G20532,Programme!H20532,Programme!I20532,Programme!J20532)</f>
        <v>&lt;/cellule&gt;</v>
      </c>
    </row>
    <row r="20532" spans="1:1" x14ac:dyDescent="0.2">
      <c r="A20532" s="996" t="str">
        <f>CONCATENATE(Programme!D20533,Programme!E20533,Programme!F20533,Programme!G20533,Programme!H20533,Programme!I20533,Programme!J20533)</f>
        <v>&lt;valeur&gt;0&lt;/valeur&gt;</v>
      </c>
    </row>
    <row r="20533" spans="1:1" x14ac:dyDescent="0.2">
      <c r="A20533" s="996" t="str">
        <f>CONCATENATE(Programme!D20534,Programme!E20534,Programme!F20534,Programme!G20534,Programme!H20534,Programme!I20534,Programme!J20534)</f>
        <v>&lt;/ValeurCellule&gt;</v>
      </c>
    </row>
    <row r="20534" spans="1:1" x14ac:dyDescent="0.2">
      <c r="A20534" s="996" t="str">
        <f>CONCATENATE(Programme!D20535,Programme!E20535,Programme!F20535,Programme!G20535,Programme!H20535,Programme!I20535,Programme!J20535)</f>
        <v>&lt;ValeurCellule&gt;</v>
      </c>
    </row>
    <row r="20535" spans="1:1" x14ac:dyDescent="0.2">
      <c r="A20535" s="996" t="str">
        <f>CONCATENATE(Programme!D20536,Programme!E20536,Programme!F20536,Programme!G20536,Programme!H20536,Programme!I20536,Programme!J20536)</f>
        <v>&lt;cellule&gt;</v>
      </c>
    </row>
    <row r="20536" spans="1:1" x14ac:dyDescent="0.2">
      <c r="A20536" s="996" t="str">
        <f>CONCATENATE(Programme!D20537,Programme!E20537,Programme!F20537,Programme!G20537,Programme!H20537,Programme!I20537,Programme!J20537)</f>
        <v>&lt;codeEdi&gt;14195&lt;/codeEdi&gt;</v>
      </c>
    </row>
    <row r="20537" spans="1:1" x14ac:dyDescent="0.2">
      <c r="A20537" s="996" t="str">
        <f>CONCATENATE(Programme!D20538,Programme!E20538,Programme!F20538,Programme!G20538,Programme!H20538,Programme!I20538,Programme!J20538)</f>
        <v>&lt;/cellule&gt;</v>
      </c>
    </row>
    <row r="20538" spans="1:1" x14ac:dyDescent="0.2">
      <c r="A20538" s="996" t="str">
        <f>CONCATENATE(Programme!D20539,Programme!E20539,Programme!F20539,Programme!G20539,Programme!H20539,Programme!I20539,Programme!J20539)</f>
        <v>&lt;valeur&gt;0&lt;/valeur&gt;</v>
      </c>
    </row>
    <row r="20539" spans="1:1" x14ac:dyDescent="0.2">
      <c r="A20539" s="996" t="str">
        <f>CONCATENATE(Programme!D20540,Programme!E20540,Programme!F20540,Programme!G20540,Programme!H20540,Programme!I20540,Programme!J20540)</f>
        <v>&lt;/ValeurCellule&gt;</v>
      </c>
    </row>
    <row r="20540" spans="1:1" x14ac:dyDescent="0.2">
      <c r="A20540" s="996" t="str">
        <f>CONCATENATE(Programme!D20541,Programme!E20541,Programme!F20541,Programme!G20541,Programme!H20541,Programme!I20541,Programme!J20541)</f>
        <v>&lt;ValeurCellule&gt;</v>
      </c>
    </row>
    <row r="20541" spans="1:1" x14ac:dyDescent="0.2">
      <c r="A20541" s="996" t="str">
        <f>CONCATENATE(Programme!D20542,Programme!E20542,Programme!F20542,Programme!G20542,Programme!H20542,Programme!I20542,Programme!J20542)</f>
        <v>&lt;cellule&gt;</v>
      </c>
    </row>
    <row r="20542" spans="1:1" x14ac:dyDescent="0.2">
      <c r="A20542" s="996" t="str">
        <f>CONCATENATE(Programme!D20543,Programme!E20543,Programme!F20543,Programme!G20543,Programme!H20543,Programme!I20543,Programme!J20543)</f>
        <v>&lt;codeEdi&gt;14196&lt;/codeEdi&gt;</v>
      </c>
    </row>
    <row r="20543" spans="1:1" x14ac:dyDescent="0.2">
      <c r="A20543" s="996" t="str">
        <f>CONCATENATE(Programme!D20544,Programme!E20544,Programme!F20544,Programme!G20544,Programme!H20544,Programme!I20544,Programme!J20544)</f>
        <v>&lt;/cellule&gt;</v>
      </c>
    </row>
    <row r="20544" spans="1:1" x14ac:dyDescent="0.2">
      <c r="A20544" s="996" t="str">
        <f>CONCATENATE(Programme!D20545,Programme!E20545,Programme!F20545,Programme!G20545,Programme!H20545,Programme!I20545,Programme!J20545)</f>
        <v>&lt;valeur&gt;&lt;/valeur&gt;</v>
      </c>
    </row>
    <row r="20545" spans="1:1" x14ac:dyDescent="0.2">
      <c r="A20545" s="996" t="str">
        <f>CONCATENATE(Programme!D20546,Programme!E20546,Programme!F20546,Programme!G20546,Programme!H20546,Programme!I20546,Programme!J20546)</f>
        <v>&lt;/ValeurCellule&gt;</v>
      </c>
    </row>
    <row r="20546" spans="1:1" x14ac:dyDescent="0.2">
      <c r="A20546" s="996" t="str">
        <f>CONCATENATE(Programme!D20547,Programme!E20547,Programme!F20547,Programme!G20547,Programme!H20547,Programme!I20547,Programme!J20547)</f>
        <v>&lt;ValeurCellule&gt;</v>
      </c>
    </row>
    <row r="20547" spans="1:1" x14ac:dyDescent="0.2">
      <c r="A20547" s="996" t="str">
        <f>CONCATENATE(Programme!D20548,Programme!E20548,Programme!F20548,Programme!G20548,Programme!H20548,Programme!I20548,Programme!J20548)</f>
        <v>&lt;cellule&gt;</v>
      </c>
    </row>
    <row r="20548" spans="1:1" x14ac:dyDescent="0.2">
      <c r="A20548" s="996" t="str">
        <f>CONCATENATE(Programme!D20549,Programme!E20549,Programme!F20549,Programme!G20549,Programme!H20549,Programme!I20549,Programme!J20549)</f>
        <v>&lt;codeEdi&gt;14197&lt;/codeEdi&gt;</v>
      </c>
    </row>
    <row r="20549" spans="1:1" x14ac:dyDescent="0.2">
      <c r="A20549" s="996" t="str">
        <f>CONCATENATE(Programme!D20550,Programme!E20550,Programme!F20550,Programme!G20550,Programme!H20550,Programme!I20550,Programme!J20550)</f>
        <v>&lt;/cellule&gt;</v>
      </c>
    </row>
    <row r="20550" spans="1:1" x14ac:dyDescent="0.2">
      <c r="A20550" s="996" t="str">
        <f>CONCATENATE(Programme!D20551,Programme!E20551,Programme!F20551,Programme!G20551,Programme!H20551,Programme!I20551,Programme!J20551)</f>
        <v>&lt;valeur&gt;&lt;/valeur&gt;</v>
      </c>
    </row>
    <row r="20551" spans="1:1" x14ac:dyDescent="0.2">
      <c r="A20551" s="996" t="str">
        <f>CONCATENATE(Programme!D20552,Programme!E20552,Programme!F20552,Programme!G20552,Programme!H20552,Programme!I20552,Programme!J20552)</f>
        <v>&lt;/ValeurCellule&gt;</v>
      </c>
    </row>
    <row r="20552" spans="1:1" x14ac:dyDescent="0.2">
      <c r="A20552" s="996" t="str">
        <f>CONCATENATE(Programme!D20553,Programme!E20553,Programme!F20553,Programme!G20553,Programme!H20553,Programme!I20553,Programme!J20553)</f>
        <v>&lt;ValeurCellule&gt;</v>
      </c>
    </row>
    <row r="20553" spans="1:1" x14ac:dyDescent="0.2">
      <c r="A20553" s="996" t="str">
        <f>CONCATENATE(Programme!D20554,Programme!E20554,Programme!F20554,Programme!G20554,Programme!H20554,Programme!I20554,Programme!J20554)</f>
        <v>&lt;cellule&gt;</v>
      </c>
    </row>
    <row r="20554" spans="1:1" x14ac:dyDescent="0.2">
      <c r="A20554" s="996" t="str">
        <f>CONCATENATE(Programme!D20555,Programme!E20555,Programme!F20555,Programme!G20555,Programme!H20555,Programme!I20555,Programme!J20555)</f>
        <v>&lt;codeEdi&gt;14198&lt;/codeEdi&gt;</v>
      </c>
    </row>
    <row r="20555" spans="1:1" x14ac:dyDescent="0.2">
      <c r="A20555" s="996" t="str">
        <f>CONCATENATE(Programme!D20556,Programme!E20556,Programme!F20556,Programme!G20556,Programme!H20556,Programme!I20556,Programme!J20556)</f>
        <v>&lt;/cellule&gt;</v>
      </c>
    </row>
    <row r="20556" spans="1:1" x14ac:dyDescent="0.2">
      <c r="A20556" s="996" t="str">
        <f>CONCATENATE(Programme!D20557,Programme!E20557,Programme!F20557,Programme!G20557,Programme!H20557,Programme!I20557,Programme!J20557)</f>
        <v>&lt;valeur&gt;&lt;/valeur&gt;</v>
      </c>
    </row>
    <row r="20557" spans="1:1" x14ac:dyDescent="0.2">
      <c r="A20557" s="996" t="str">
        <f>CONCATENATE(Programme!D20558,Programme!E20558,Programme!F20558,Programme!G20558,Programme!H20558,Programme!I20558,Programme!J20558)</f>
        <v>&lt;/ValeurCellule&gt;</v>
      </c>
    </row>
    <row r="20558" spans="1:1" x14ac:dyDescent="0.2">
      <c r="A20558" s="996" t="str">
        <f>CONCATENATE(Programme!D20559,Programme!E20559,Programme!F20559,Programme!G20559,Programme!H20559,Programme!I20559,Programme!J20559)</f>
        <v>&lt;ValeurCellule&gt;</v>
      </c>
    </row>
    <row r="20559" spans="1:1" x14ac:dyDescent="0.2">
      <c r="A20559" s="996" t="str">
        <f>CONCATENATE(Programme!D20560,Programme!E20560,Programme!F20560,Programme!G20560,Programme!H20560,Programme!I20560,Programme!J20560)</f>
        <v>&lt;cellule&gt;</v>
      </c>
    </row>
    <row r="20560" spans="1:1" x14ac:dyDescent="0.2">
      <c r="A20560" s="996" t="str">
        <f>CONCATENATE(Programme!D20561,Programme!E20561,Programme!F20561,Programme!G20561,Programme!H20561,Programme!I20561,Programme!J20561)</f>
        <v>&lt;codeEdi&gt;14199&lt;/codeEdi&gt;</v>
      </c>
    </row>
    <row r="20561" spans="1:1" x14ac:dyDescent="0.2">
      <c r="A20561" s="996" t="str">
        <f>CONCATENATE(Programme!D20562,Programme!E20562,Programme!F20562,Programme!G20562,Programme!H20562,Programme!I20562,Programme!J20562)</f>
        <v>&lt;/cellule&gt;</v>
      </c>
    </row>
    <row r="20562" spans="1:1" x14ac:dyDescent="0.2">
      <c r="A20562" s="996" t="str">
        <f>CONCATENATE(Programme!D20563,Programme!E20563,Programme!F20563,Programme!G20563,Programme!H20563,Programme!I20563,Programme!J20563)</f>
        <v>&lt;valeur&gt;&lt;/valeur&gt;</v>
      </c>
    </row>
    <row r="20563" spans="1:1" x14ac:dyDescent="0.2">
      <c r="A20563" s="996" t="str">
        <f>CONCATENATE(Programme!D20564,Programme!E20564,Programme!F20564,Programme!G20564,Programme!H20564,Programme!I20564,Programme!J20564)</f>
        <v>&lt;/ValeurCellule&gt;</v>
      </c>
    </row>
    <row r="20564" spans="1:1" x14ac:dyDescent="0.2">
      <c r="A20564" s="996" t="str">
        <f>CONCATENATE(Programme!D20565,Programme!E20565,Programme!F20565,Programme!G20565,Programme!H20565,Programme!I20565,Programme!J20565)</f>
        <v>&lt;ValeurCellule&gt;</v>
      </c>
    </row>
    <row r="20565" spans="1:1" x14ac:dyDescent="0.2">
      <c r="A20565" s="996" t="str">
        <f>CONCATENATE(Programme!D20566,Programme!E20566,Programme!F20566,Programme!G20566,Programme!H20566,Programme!I20566,Programme!J20566)</f>
        <v>&lt;cellule&gt;</v>
      </c>
    </row>
    <row r="20566" spans="1:1" x14ac:dyDescent="0.2">
      <c r="A20566" s="996" t="str">
        <f>CONCATENATE(Programme!D20567,Programme!E20567,Programme!F20567,Programme!G20567,Programme!H20567,Programme!I20567,Programme!J20567)</f>
        <v>&lt;codeEdi&gt;14200&lt;/codeEdi&gt;</v>
      </c>
    </row>
    <row r="20567" spans="1:1" x14ac:dyDescent="0.2">
      <c r="A20567" s="996" t="str">
        <f>CONCATENATE(Programme!D20568,Programme!E20568,Programme!F20568,Programme!G20568,Programme!H20568,Programme!I20568,Programme!J20568)</f>
        <v>&lt;/cellule&gt;</v>
      </c>
    </row>
    <row r="20568" spans="1:1" x14ac:dyDescent="0.2">
      <c r="A20568" s="996" t="str">
        <f>CONCATENATE(Programme!D20569,Programme!E20569,Programme!F20569,Programme!G20569,Programme!H20569,Programme!I20569,Programme!J20569)</f>
        <v>&lt;valeur&gt;&lt;/valeur&gt;</v>
      </c>
    </row>
    <row r="20569" spans="1:1" x14ac:dyDescent="0.2">
      <c r="A20569" s="996" t="str">
        <f>CONCATENATE(Programme!D20570,Programme!E20570,Programme!F20570,Programme!G20570,Programme!H20570,Programme!I20570,Programme!J20570)</f>
        <v>&lt;/ValeurCellule&gt;</v>
      </c>
    </row>
    <row r="20570" spans="1:1" x14ac:dyDescent="0.2">
      <c r="A20570" s="996" t="str">
        <f>CONCATENATE(Programme!D20571,Programme!E20571,Programme!F20571,Programme!G20571,Programme!H20571,Programme!I20571,Programme!J20571)</f>
        <v>&lt;ValeurCellule&gt;</v>
      </c>
    </row>
    <row r="20571" spans="1:1" x14ac:dyDescent="0.2">
      <c r="A20571" s="996" t="str">
        <f>CONCATENATE(Programme!D20572,Programme!E20572,Programme!F20572,Programme!G20572,Programme!H20572,Programme!I20572,Programme!J20572)</f>
        <v>&lt;cellule&gt;</v>
      </c>
    </row>
    <row r="20572" spans="1:1" x14ac:dyDescent="0.2">
      <c r="A20572" s="996" t="str">
        <f>CONCATENATE(Programme!D20573,Programme!E20573,Programme!F20573,Programme!G20573,Programme!H20573,Programme!I20573,Programme!J20573)</f>
        <v>&lt;codeEdi&gt;14201&lt;/codeEdi&gt;</v>
      </c>
    </row>
    <row r="20573" spans="1:1" x14ac:dyDescent="0.2">
      <c r="A20573" s="996" t="str">
        <f>CONCATENATE(Programme!D20574,Programme!E20574,Programme!F20574,Programme!G20574,Programme!H20574,Programme!I20574,Programme!J20574)</f>
        <v>&lt;/cellule&gt;</v>
      </c>
    </row>
    <row r="20574" spans="1:1" x14ac:dyDescent="0.2">
      <c r="A20574" s="996" t="str">
        <f>CONCATENATE(Programme!D20575,Programme!E20575,Programme!F20575,Programme!G20575,Programme!H20575,Programme!I20575,Programme!J20575)</f>
        <v>&lt;valeur&gt;&lt;/valeur&gt;</v>
      </c>
    </row>
    <row r="20575" spans="1:1" x14ac:dyDescent="0.2">
      <c r="A20575" s="996" t="str">
        <f>CONCATENATE(Programme!D20576,Programme!E20576,Programme!F20576,Programme!G20576,Programme!H20576,Programme!I20576,Programme!J20576)</f>
        <v>&lt;/ValeurCellule&gt;</v>
      </c>
    </row>
    <row r="20576" spans="1:1" x14ac:dyDescent="0.2">
      <c r="A20576" s="996" t="str">
        <f>CONCATENATE(Programme!D20577,Programme!E20577,Programme!F20577,Programme!G20577,Programme!H20577,Programme!I20577,Programme!J20577)</f>
        <v>&lt;ValeurCellule&gt;</v>
      </c>
    </row>
    <row r="20577" spans="1:1" x14ac:dyDescent="0.2">
      <c r="A20577" s="996" t="str">
        <f>CONCATENATE(Programme!D20578,Programme!E20578,Programme!F20578,Programme!G20578,Programme!H20578,Programme!I20578,Programme!J20578)</f>
        <v>&lt;cellule&gt;</v>
      </c>
    </row>
    <row r="20578" spans="1:1" x14ac:dyDescent="0.2">
      <c r="A20578" s="996" t="str">
        <f>CONCATENATE(Programme!D20579,Programme!E20579,Programme!F20579,Programme!G20579,Programme!H20579,Programme!I20579,Programme!J20579)</f>
        <v>&lt;codeEdi&gt;14202&lt;/codeEdi&gt;</v>
      </c>
    </row>
    <row r="20579" spans="1:1" x14ac:dyDescent="0.2">
      <c r="A20579" s="996" t="str">
        <f>CONCATENATE(Programme!D20580,Programme!E20580,Programme!F20580,Programme!G20580,Programme!H20580,Programme!I20580,Programme!J20580)</f>
        <v>&lt;/cellule&gt;</v>
      </c>
    </row>
    <row r="20580" spans="1:1" x14ac:dyDescent="0.2">
      <c r="A20580" s="996" t="str">
        <f>CONCATENATE(Programme!D20581,Programme!E20581,Programme!F20581,Programme!G20581,Programme!H20581,Programme!I20581,Programme!J20581)</f>
        <v>&lt;valeur&gt;&lt;/valeur&gt;</v>
      </c>
    </row>
    <row r="20581" spans="1:1" x14ac:dyDescent="0.2">
      <c r="A20581" s="996" t="str">
        <f>CONCATENATE(Programme!D20582,Programme!E20582,Programme!F20582,Programme!G20582,Programme!H20582,Programme!I20582,Programme!J20582)</f>
        <v>&lt;/ValeurCellule&gt;</v>
      </c>
    </row>
    <row r="20582" spans="1:1" x14ac:dyDescent="0.2">
      <c r="A20582" s="996" t="str">
        <f>CONCATENATE(Programme!D20583,Programme!E20583,Programme!F20583,Programme!G20583,Programme!H20583,Programme!I20583,Programme!J20583)</f>
        <v>&lt;ValeurCellule&gt;</v>
      </c>
    </row>
    <row r="20583" spans="1:1" x14ac:dyDescent="0.2">
      <c r="A20583" s="996" t="str">
        <f>CONCATENATE(Programme!D20584,Programme!E20584,Programme!F20584,Programme!G20584,Programme!H20584,Programme!I20584,Programme!J20584)</f>
        <v>&lt;cellule&gt;</v>
      </c>
    </row>
    <row r="20584" spans="1:1" x14ac:dyDescent="0.2">
      <c r="A20584" s="996" t="str">
        <f>CONCATENATE(Programme!D20585,Programme!E20585,Programme!F20585,Programme!G20585,Programme!H20585,Programme!I20585,Programme!J20585)</f>
        <v>&lt;codeEdi&gt;14203&lt;/codeEdi&gt;</v>
      </c>
    </row>
    <row r="20585" spans="1:1" x14ac:dyDescent="0.2">
      <c r="A20585" s="996" t="str">
        <f>CONCATENATE(Programme!D20586,Programme!E20586,Programme!F20586,Programme!G20586,Programme!H20586,Programme!I20586,Programme!J20586)</f>
        <v>&lt;/cellule&gt;</v>
      </c>
    </row>
    <row r="20586" spans="1:1" x14ac:dyDescent="0.2">
      <c r="A20586" s="996" t="str">
        <f>CONCATENATE(Programme!D20587,Programme!E20587,Programme!F20587,Programme!G20587,Programme!H20587,Programme!I20587,Programme!J20587)</f>
        <v>&lt;valeur&gt;&lt;/valeur&gt;</v>
      </c>
    </row>
    <row r="20587" spans="1:1" x14ac:dyDescent="0.2">
      <c r="A20587" s="996" t="str">
        <f>CONCATENATE(Programme!D20588,Programme!E20588,Programme!F20588,Programme!G20588,Programme!H20588,Programme!I20588,Programme!J20588)</f>
        <v>&lt;/ValeurCellule&gt;</v>
      </c>
    </row>
    <row r="20588" spans="1:1" x14ac:dyDescent="0.2">
      <c r="A20588" s="996" t="str">
        <f>CONCATENATE(Programme!D20589,Programme!E20589,Programme!F20589,Programme!G20589,Programme!H20589,Programme!I20589,Programme!J20589)</f>
        <v>&lt;ValeurCellule&gt;</v>
      </c>
    </row>
    <row r="20589" spans="1:1" x14ac:dyDescent="0.2">
      <c r="A20589" s="996" t="str">
        <f>CONCATENATE(Programme!D20590,Programme!E20590,Programme!F20590,Programme!G20590,Programme!H20590,Programme!I20590,Programme!J20590)</f>
        <v>&lt;cellule&gt;</v>
      </c>
    </row>
    <row r="20590" spans="1:1" x14ac:dyDescent="0.2">
      <c r="A20590" s="996" t="str">
        <f>CONCATENATE(Programme!D20591,Programme!E20591,Programme!F20591,Programme!G20591,Programme!H20591,Programme!I20591,Programme!J20591)</f>
        <v>&lt;codeEdi&gt;14204&lt;/codeEdi&gt;</v>
      </c>
    </row>
    <row r="20591" spans="1:1" x14ac:dyDescent="0.2">
      <c r="A20591" s="996" t="str">
        <f>CONCATENATE(Programme!D20592,Programme!E20592,Programme!F20592,Programme!G20592,Programme!H20592,Programme!I20592,Programme!J20592)</f>
        <v>&lt;/cellule&gt;</v>
      </c>
    </row>
    <row r="20592" spans="1:1" x14ac:dyDescent="0.2">
      <c r="A20592" s="996" t="str">
        <f>CONCATENATE(Programme!D20593,Programme!E20593,Programme!F20593,Programme!G20593,Programme!H20593,Programme!I20593,Programme!J20593)</f>
        <v>&lt;valeur&gt;&lt;/valeur&gt;</v>
      </c>
    </row>
    <row r="20593" spans="1:1" x14ac:dyDescent="0.2">
      <c r="A20593" s="996" t="str">
        <f>CONCATENATE(Programme!D20594,Programme!E20594,Programme!F20594,Programme!G20594,Programme!H20594,Programme!I20594,Programme!J20594)</f>
        <v>&lt;/ValeurCellule&gt;</v>
      </c>
    </row>
    <row r="20594" spans="1:1" x14ac:dyDescent="0.2">
      <c r="A20594" s="996" t="str">
        <f>CONCATENATE(Programme!D20595,Programme!E20595,Programme!F20595,Programme!G20595,Programme!H20595,Programme!I20595,Programme!J20595)</f>
        <v>&lt;ValeurCellule&gt;</v>
      </c>
    </row>
    <row r="20595" spans="1:1" x14ac:dyDescent="0.2">
      <c r="A20595" s="996" t="str">
        <f>CONCATENATE(Programme!D20596,Programme!E20596,Programme!F20596,Programme!G20596,Programme!H20596,Programme!I20596,Programme!J20596)</f>
        <v>&lt;cellule&gt;</v>
      </c>
    </row>
    <row r="20596" spans="1:1" x14ac:dyDescent="0.2">
      <c r="A20596" s="996" t="str">
        <f>CONCATENATE(Programme!D20597,Programme!E20597,Programme!F20597,Programme!G20597,Programme!H20597,Programme!I20597,Programme!J20597)</f>
        <v>&lt;codeEdi&gt;14206&lt;/codeEdi&gt;</v>
      </c>
    </row>
    <row r="20597" spans="1:1" x14ac:dyDescent="0.2">
      <c r="A20597" s="996" t="str">
        <f>CONCATENATE(Programme!D20598,Programme!E20598,Programme!F20598,Programme!G20598,Programme!H20598,Programme!I20598,Programme!J20598)</f>
        <v>&lt;/cellule&gt;</v>
      </c>
    </row>
    <row r="20598" spans="1:1" x14ac:dyDescent="0.2">
      <c r="A20598" s="996" t="str">
        <f>CONCATENATE(Programme!D20599,Programme!E20599,Programme!F20599,Programme!G20599,Programme!H20599,Programme!I20599,Programme!J20599)</f>
        <v>&lt;valeur&gt;&lt;/valeur&gt;</v>
      </c>
    </row>
    <row r="20599" spans="1:1" x14ac:dyDescent="0.2">
      <c r="A20599" s="996" t="str">
        <f>CONCATENATE(Programme!D20600,Programme!E20600,Programme!F20600,Programme!G20600,Programme!H20600,Programme!I20600,Programme!J20600)</f>
        <v>&lt;/ValeurCellule&gt;</v>
      </c>
    </row>
    <row r="20600" spans="1:1" x14ac:dyDescent="0.2">
      <c r="A20600" s="996" t="str">
        <f>CONCATENATE(Programme!D20601,Programme!E20601,Programme!F20601,Programme!G20601,Programme!H20601,Programme!I20601,Programme!J20601)</f>
        <v>&lt;ValeurCellule&gt;</v>
      </c>
    </row>
    <row r="20601" spans="1:1" x14ac:dyDescent="0.2">
      <c r="A20601" s="996" t="str">
        <f>CONCATENATE(Programme!D20602,Programme!E20602,Programme!F20602,Programme!G20602,Programme!H20602,Programme!I20602,Programme!J20602)</f>
        <v>&lt;cellule&gt;</v>
      </c>
    </row>
    <row r="20602" spans="1:1" x14ac:dyDescent="0.2">
      <c r="A20602" s="996" t="str">
        <f>CONCATENATE(Programme!D20603,Programme!E20603,Programme!F20603,Programme!G20603,Programme!H20603,Programme!I20603,Programme!J20603)</f>
        <v>&lt;codeEdi&gt;14207&lt;/codeEdi&gt;</v>
      </c>
    </row>
    <row r="20603" spans="1:1" x14ac:dyDescent="0.2">
      <c r="A20603" s="996" t="str">
        <f>CONCATENATE(Programme!D20604,Programme!E20604,Programme!F20604,Programme!G20604,Programme!H20604,Programme!I20604,Programme!J20604)</f>
        <v>&lt;/cellule&gt;</v>
      </c>
    </row>
    <row r="20604" spans="1:1" x14ac:dyDescent="0.2">
      <c r="A20604" s="996" t="str">
        <f>CONCATENATE(Programme!D20605,Programme!E20605,Programme!F20605,Programme!G20605,Programme!H20605,Programme!I20605,Programme!J20605)</f>
        <v>&lt;valeur&gt;&lt;/valeur&gt;</v>
      </c>
    </row>
    <row r="20605" spans="1:1" x14ac:dyDescent="0.2">
      <c r="A20605" s="996" t="str">
        <f>CONCATENATE(Programme!D20606,Programme!E20606,Programme!F20606,Programme!G20606,Programme!H20606,Programme!I20606,Programme!J20606)</f>
        <v>&lt;/ValeurCellule&gt;</v>
      </c>
    </row>
    <row r="20606" spans="1:1" x14ac:dyDescent="0.2">
      <c r="A20606" s="996" t="str">
        <f>CONCATENATE(Programme!D20607,Programme!E20607,Programme!F20607,Programme!G20607,Programme!H20607,Programme!I20607,Programme!J20607)</f>
        <v>&lt;ValeurCellule&gt;</v>
      </c>
    </row>
    <row r="20607" spans="1:1" x14ac:dyDescent="0.2">
      <c r="A20607" s="996" t="str">
        <f>CONCATENATE(Programme!D20608,Programme!E20608,Programme!F20608,Programme!G20608,Programme!H20608,Programme!I20608,Programme!J20608)</f>
        <v>&lt;cellule&gt;</v>
      </c>
    </row>
    <row r="20608" spans="1:1" x14ac:dyDescent="0.2">
      <c r="A20608" s="996" t="str">
        <f>CONCATENATE(Programme!D20609,Programme!E20609,Programme!F20609,Programme!G20609,Programme!H20609,Programme!I20609,Programme!J20609)</f>
        <v>&lt;codeEdi&gt;14205&lt;/codeEdi&gt;</v>
      </c>
    </row>
    <row r="20609" spans="1:1" x14ac:dyDescent="0.2">
      <c r="A20609" s="996" t="str">
        <f>CONCATENATE(Programme!D20610,Programme!E20610,Programme!F20610,Programme!G20610,Programme!H20610,Programme!I20610,Programme!J20610)</f>
        <v>&lt;/cellule&gt;</v>
      </c>
    </row>
    <row r="20610" spans="1:1" x14ac:dyDescent="0.2">
      <c r="A20610" s="996" t="str">
        <f>CONCATENATE(Programme!D20611,Programme!E20611,Programme!F20611,Programme!G20611,Programme!H20611,Programme!I20611,Programme!J20611)</f>
        <v>&lt;valeur&gt;&lt;/valeur&gt;</v>
      </c>
    </row>
    <row r="20611" spans="1:1" x14ac:dyDescent="0.2">
      <c r="A20611" s="996" t="str">
        <f>CONCATENATE(Programme!D20612,Programme!E20612,Programme!F20612,Programme!G20612,Programme!H20612,Programme!I20612,Programme!J20612)</f>
        <v>&lt;/ValeurCellule&gt;</v>
      </c>
    </row>
    <row r="20612" spans="1:1" x14ac:dyDescent="0.2">
      <c r="A20612" s="996" t="str">
        <f>CONCATENATE(Programme!D20613,Programme!E20613,Programme!F20613,Programme!G20613,Programme!H20613,Programme!I20613,Programme!J20613)</f>
        <v>&lt;ValeurCellule&gt;</v>
      </c>
    </row>
    <row r="20613" spans="1:1" x14ac:dyDescent="0.2">
      <c r="A20613" s="996" t="str">
        <f>CONCATENATE(Programme!D20614,Programme!E20614,Programme!F20614,Programme!G20614,Programme!H20614,Programme!I20614,Programme!J20614)</f>
        <v>&lt;cellule&gt;</v>
      </c>
    </row>
    <row r="20614" spans="1:1" x14ac:dyDescent="0.2">
      <c r="A20614" s="996" t="str">
        <f>CONCATENATE(Programme!D20615,Programme!E20615,Programme!F20615,Programme!G20615,Programme!H20615,Programme!I20615,Programme!J20615)</f>
        <v>&lt;codeEdi&gt;14208&lt;/codeEdi&gt;</v>
      </c>
    </row>
    <row r="20615" spans="1:1" x14ac:dyDescent="0.2">
      <c r="A20615" s="996" t="str">
        <f>CONCATENATE(Programme!D20616,Programme!E20616,Programme!F20616,Programme!G20616,Programme!H20616,Programme!I20616,Programme!J20616)</f>
        <v>&lt;/cellule&gt;</v>
      </c>
    </row>
    <row r="20616" spans="1:1" x14ac:dyDescent="0.2">
      <c r="A20616" s="996" t="str">
        <f>CONCATENATE(Programme!D20617,Programme!E20617,Programme!F20617,Programme!G20617,Programme!H20617,Programme!I20617,Programme!J20617)</f>
        <v>&lt;valeur&gt;0&lt;/valeur&gt;</v>
      </c>
    </row>
    <row r="20617" spans="1:1" x14ac:dyDescent="0.2">
      <c r="A20617" s="996" t="str">
        <f>CONCATENATE(Programme!D20618,Programme!E20618,Programme!F20618,Programme!G20618,Programme!H20618,Programme!I20618,Programme!J20618)</f>
        <v>&lt;/ValeurCellule&gt;</v>
      </c>
    </row>
    <row r="20618" spans="1:1" x14ac:dyDescent="0.2">
      <c r="A20618" s="996" t="str">
        <f>CONCATENATE(Programme!D20619,Programme!E20619,Programme!F20619,Programme!G20619,Programme!H20619,Programme!I20619,Programme!J20619)</f>
        <v>&lt;ValeurCellule&gt;</v>
      </c>
    </row>
    <row r="20619" spans="1:1" x14ac:dyDescent="0.2">
      <c r="A20619" s="996" t="str">
        <f>CONCATENATE(Programme!D20620,Programme!E20620,Programme!F20620,Programme!G20620,Programme!H20620,Programme!I20620,Programme!J20620)</f>
        <v>&lt;cellule&gt;</v>
      </c>
    </row>
    <row r="20620" spans="1:1" x14ac:dyDescent="0.2">
      <c r="A20620" s="996" t="str">
        <f>CONCATENATE(Programme!D20621,Programme!E20621,Programme!F20621,Programme!G20621,Programme!H20621,Programme!I20621,Programme!J20621)</f>
        <v>&lt;codeEdi&gt;14209&lt;/codeEdi&gt;</v>
      </c>
    </row>
    <row r="20621" spans="1:1" x14ac:dyDescent="0.2">
      <c r="A20621" s="996" t="str">
        <f>CONCATENATE(Programme!D20622,Programme!E20622,Programme!F20622,Programme!G20622,Programme!H20622,Programme!I20622,Programme!J20622)</f>
        <v>&lt;/cellule&gt;</v>
      </c>
    </row>
    <row r="20622" spans="1:1" x14ac:dyDescent="0.2">
      <c r="A20622" s="996" t="str">
        <f>CONCATENATE(Programme!D20623,Programme!E20623,Programme!F20623,Programme!G20623,Programme!H20623,Programme!I20623,Programme!J20623)</f>
        <v>&lt;valeur&gt;0&lt;/valeur&gt;</v>
      </c>
    </row>
    <row r="20623" spans="1:1" x14ac:dyDescent="0.2">
      <c r="A20623" s="996" t="str">
        <f>CONCATENATE(Programme!D20624,Programme!E20624,Programme!F20624,Programme!G20624,Programme!H20624,Programme!I20624,Programme!J20624)</f>
        <v>&lt;/ValeurCellule&gt;</v>
      </c>
    </row>
    <row r="20624" spans="1:1" x14ac:dyDescent="0.2">
      <c r="A20624" s="996" t="str">
        <f>CONCATENATE(Programme!D20625,Programme!E20625,Programme!F20625,Programme!G20625,Programme!H20625,Programme!I20625,Programme!J20625)</f>
        <v>&lt;ValeurCellule&gt;</v>
      </c>
    </row>
    <row r="20625" spans="1:1" x14ac:dyDescent="0.2">
      <c r="A20625" s="996" t="str">
        <f>CONCATENATE(Programme!D20626,Programme!E20626,Programme!F20626,Programme!G20626,Programme!H20626,Programme!I20626,Programme!J20626)</f>
        <v>&lt;cellule&gt;</v>
      </c>
    </row>
    <row r="20626" spans="1:1" x14ac:dyDescent="0.2">
      <c r="A20626" s="996" t="str">
        <f>CONCATENATE(Programme!D20627,Programme!E20627,Programme!F20627,Programme!G20627,Programme!H20627,Programme!I20627,Programme!J20627)</f>
        <v>&lt;codeEdi&gt;14210&lt;/codeEdi&gt;</v>
      </c>
    </row>
    <row r="20627" spans="1:1" x14ac:dyDescent="0.2">
      <c r="A20627" s="996" t="str">
        <f>CONCATENATE(Programme!D20628,Programme!E20628,Programme!F20628,Programme!G20628,Programme!H20628,Programme!I20628,Programme!J20628)</f>
        <v>&lt;/cellule&gt;</v>
      </c>
    </row>
    <row r="20628" spans="1:1" x14ac:dyDescent="0.2">
      <c r="A20628" s="996" t="str">
        <f>CONCATENATE(Programme!D20629,Programme!E20629,Programme!F20629,Programme!G20629,Programme!H20629,Programme!I20629,Programme!J20629)</f>
        <v>&lt;valeur&gt;0&lt;/valeur&gt;</v>
      </c>
    </row>
    <row r="20629" spans="1:1" x14ac:dyDescent="0.2">
      <c r="A20629" s="996" t="str">
        <f>CONCATENATE(Programme!D20630,Programme!E20630,Programme!F20630,Programme!G20630,Programme!H20630,Programme!I20630,Programme!J20630)</f>
        <v>&lt;/ValeurCellule&gt;</v>
      </c>
    </row>
    <row r="20630" spans="1:1" x14ac:dyDescent="0.2">
      <c r="A20630" s="996" t="str">
        <f>CONCATENATE(Programme!D20631,Programme!E20631,Programme!F20631,Programme!G20631,Programme!H20631,Programme!I20631,Programme!J20631)</f>
        <v>&lt;ValeurCellule&gt;</v>
      </c>
    </row>
    <row r="20631" spans="1:1" x14ac:dyDescent="0.2">
      <c r="A20631" s="996" t="str">
        <f>CONCATENATE(Programme!D20632,Programme!E20632,Programme!F20632,Programme!G20632,Programme!H20632,Programme!I20632,Programme!J20632)</f>
        <v>&lt;cellule&gt;</v>
      </c>
    </row>
    <row r="20632" spans="1:1" x14ac:dyDescent="0.2">
      <c r="A20632" s="996" t="str">
        <f>CONCATENATE(Programme!D20633,Programme!E20633,Programme!F20633,Programme!G20633,Programme!H20633,Programme!I20633,Programme!J20633)</f>
        <v>&lt;codeEdi&gt;14211&lt;/codeEdi&gt;</v>
      </c>
    </row>
    <row r="20633" spans="1:1" x14ac:dyDescent="0.2">
      <c r="A20633" s="996" t="str">
        <f>CONCATENATE(Programme!D20634,Programme!E20634,Programme!F20634,Programme!G20634,Programme!H20634,Programme!I20634,Programme!J20634)</f>
        <v>&lt;/cellule&gt;</v>
      </c>
    </row>
    <row r="20634" spans="1:1" x14ac:dyDescent="0.2">
      <c r="A20634" s="996" t="str">
        <f>CONCATENATE(Programme!D20635,Programme!E20635,Programme!F20635,Programme!G20635,Programme!H20635,Programme!I20635,Programme!J20635)</f>
        <v>&lt;valeur&gt;0&lt;/valeur&gt;</v>
      </c>
    </row>
    <row r="20635" spans="1:1" x14ac:dyDescent="0.2">
      <c r="A20635" s="996" t="str">
        <f>CONCATENATE(Programme!D20636,Programme!E20636,Programme!F20636,Programme!G20636,Programme!H20636,Programme!I20636,Programme!J20636)</f>
        <v>&lt;/ValeurCellule&gt;</v>
      </c>
    </row>
    <row r="20636" spans="1:1" x14ac:dyDescent="0.2">
      <c r="A20636" s="996" t="str">
        <f>CONCATENATE(Programme!D20637,Programme!E20637,Programme!F20637,Programme!G20637,Programme!H20637,Programme!I20637,Programme!J20637)</f>
        <v>&lt;ValeurCellule&gt;</v>
      </c>
    </row>
    <row r="20637" spans="1:1" x14ac:dyDescent="0.2">
      <c r="A20637" s="996" t="str">
        <f>CONCATENATE(Programme!D20638,Programme!E20638,Programme!F20638,Programme!G20638,Programme!H20638,Programme!I20638,Programme!J20638)</f>
        <v>&lt;cellule&gt;</v>
      </c>
    </row>
    <row r="20638" spans="1:1" x14ac:dyDescent="0.2">
      <c r="A20638" s="996" t="str">
        <f>CONCATENATE(Programme!D20639,Programme!E20639,Programme!F20639,Programme!G20639,Programme!H20639,Programme!I20639,Programme!J20639)</f>
        <v>&lt;codeEdi&gt;14212&lt;/codeEdi&gt;</v>
      </c>
    </row>
    <row r="20639" spans="1:1" x14ac:dyDescent="0.2">
      <c r="A20639" s="996" t="str">
        <f>CONCATENATE(Programme!D20640,Programme!E20640,Programme!F20640,Programme!G20640,Programme!H20640,Programme!I20640,Programme!J20640)</f>
        <v>&lt;/cellule&gt;</v>
      </c>
    </row>
    <row r="20640" spans="1:1" x14ac:dyDescent="0.2">
      <c r="A20640" s="996" t="str">
        <f>CONCATENATE(Programme!D20641,Programme!E20641,Programme!F20641,Programme!G20641,Programme!H20641,Programme!I20641,Programme!J20641)</f>
        <v>&lt;valeur&gt;&lt;/valeur&gt;</v>
      </c>
    </row>
    <row r="20641" spans="1:1" x14ac:dyDescent="0.2">
      <c r="A20641" s="996" t="str">
        <f>CONCATENATE(Programme!D20642,Programme!E20642,Programme!F20642,Programme!G20642,Programme!H20642,Programme!I20642,Programme!J20642)</f>
        <v>&lt;/ValeurCellule&gt;</v>
      </c>
    </row>
    <row r="20642" spans="1:1" x14ac:dyDescent="0.2">
      <c r="A20642" s="996" t="str">
        <f>CONCATENATE(Programme!D20643,Programme!E20643,Programme!F20643,Programme!G20643,Programme!H20643,Programme!I20643,Programme!J20643)</f>
        <v>&lt;ValeurCellule&gt;</v>
      </c>
    </row>
    <row r="20643" spans="1:1" x14ac:dyDescent="0.2">
      <c r="A20643" s="996" t="str">
        <f>CONCATENATE(Programme!D20644,Programme!E20644,Programme!F20644,Programme!G20644,Programme!H20644,Programme!I20644,Programme!J20644)</f>
        <v>&lt;cellule&gt;</v>
      </c>
    </row>
    <row r="20644" spans="1:1" x14ac:dyDescent="0.2">
      <c r="A20644" s="996" t="str">
        <f>CONCATENATE(Programme!D20645,Programme!E20645,Programme!F20645,Programme!G20645,Programme!H20645,Programme!I20645,Programme!J20645)</f>
        <v>&lt;codeEdi&gt;14213&lt;/codeEdi&gt;</v>
      </c>
    </row>
    <row r="20645" spans="1:1" x14ac:dyDescent="0.2">
      <c r="A20645" s="996" t="str">
        <f>CONCATENATE(Programme!D20646,Programme!E20646,Programme!F20646,Programme!G20646,Programme!H20646,Programme!I20646,Programme!J20646)</f>
        <v>&lt;/cellule&gt;</v>
      </c>
    </row>
    <row r="20646" spans="1:1" x14ac:dyDescent="0.2">
      <c r="A20646" s="996" t="str">
        <f>CONCATENATE(Programme!D20647,Programme!E20647,Programme!F20647,Programme!G20647,Programme!H20647,Programme!I20647,Programme!J20647)</f>
        <v>&lt;valeur&gt;&lt;/valeur&gt;</v>
      </c>
    </row>
    <row r="20647" spans="1:1" x14ac:dyDescent="0.2">
      <c r="A20647" s="996" t="str">
        <f>CONCATENATE(Programme!D20648,Programme!E20648,Programme!F20648,Programme!G20648,Programme!H20648,Programme!I20648,Programme!J20648)</f>
        <v>&lt;/ValeurCellule&gt;</v>
      </c>
    </row>
    <row r="20648" spans="1:1" x14ac:dyDescent="0.2">
      <c r="A20648" s="996" t="str">
        <f>CONCATENATE(Programme!D20649,Programme!E20649,Programme!F20649,Programme!G20649,Programme!H20649,Programme!I20649,Programme!J20649)</f>
        <v>&lt;ValeurCellule&gt;</v>
      </c>
    </row>
    <row r="20649" spans="1:1" x14ac:dyDescent="0.2">
      <c r="A20649" s="996" t="str">
        <f>CONCATENATE(Programme!D20650,Programme!E20650,Programme!F20650,Programme!G20650,Programme!H20650,Programme!I20650,Programme!J20650)</f>
        <v>&lt;cellule&gt;</v>
      </c>
    </row>
    <row r="20650" spans="1:1" x14ac:dyDescent="0.2">
      <c r="A20650" s="996" t="str">
        <f>CONCATENATE(Programme!D20651,Programme!E20651,Programme!F20651,Programme!G20651,Programme!H20651,Programme!I20651,Programme!J20651)</f>
        <v>&lt;codeEdi&gt;14214&lt;/codeEdi&gt;</v>
      </c>
    </row>
    <row r="20651" spans="1:1" x14ac:dyDescent="0.2">
      <c r="A20651" s="996" t="str">
        <f>CONCATENATE(Programme!D20652,Programme!E20652,Programme!F20652,Programme!G20652,Programme!H20652,Programme!I20652,Programme!J20652)</f>
        <v>&lt;/cellule&gt;</v>
      </c>
    </row>
    <row r="20652" spans="1:1" x14ac:dyDescent="0.2">
      <c r="A20652" s="996" t="str">
        <f>CONCATENATE(Programme!D20653,Programme!E20653,Programme!F20653,Programme!G20653,Programme!H20653,Programme!I20653,Programme!J20653)</f>
        <v>&lt;valeur&gt;&lt;/valeur&gt;</v>
      </c>
    </row>
    <row r="20653" spans="1:1" x14ac:dyDescent="0.2">
      <c r="A20653" s="996" t="str">
        <f>CONCATENATE(Programme!D20654,Programme!E20654,Programme!F20654,Programme!G20654,Programme!H20654,Programme!I20654,Programme!J20654)</f>
        <v>&lt;/ValeurCellule&gt;</v>
      </c>
    </row>
    <row r="20654" spans="1:1" x14ac:dyDescent="0.2">
      <c r="A20654" s="996" t="str">
        <f>CONCATENATE(Programme!D20655,Programme!E20655,Programme!F20655,Programme!G20655,Programme!H20655,Programme!I20655,Programme!J20655)</f>
        <v>&lt;ValeurCellule&gt;</v>
      </c>
    </row>
    <row r="20655" spans="1:1" x14ac:dyDescent="0.2">
      <c r="A20655" s="996" t="str">
        <f>CONCATENATE(Programme!D20656,Programme!E20656,Programme!F20656,Programme!G20656,Programme!H20656,Programme!I20656,Programme!J20656)</f>
        <v>&lt;cellule&gt;</v>
      </c>
    </row>
    <row r="20656" spans="1:1" x14ac:dyDescent="0.2">
      <c r="A20656" s="996" t="str">
        <f>CONCATENATE(Programme!D20657,Programme!E20657,Programme!F20657,Programme!G20657,Programme!H20657,Programme!I20657,Programme!J20657)</f>
        <v>&lt;codeEdi&gt;14215&lt;/codeEdi&gt;</v>
      </c>
    </row>
    <row r="20657" spans="1:1" x14ac:dyDescent="0.2">
      <c r="A20657" s="996" t="str">
        <f>CONCATENATE(Programme!D20658,Programme!E20658,Programme!F20658,Programme!G20658,Programme!H20658,Programme!I20658,Programme!J20658)</f>
        <v>&lt;/cellule&gt;</v>
      </c>
    </row>
    <row r="20658" spans="1:1" x14ac:dyDescent="0.2">
      <c r="A20658" s="996" t="str">
        <f>CONCATENATE(Programme!D20659,Programme!E20659,Programme!F20659,Programme!G20659,Programme!H20659,Programme!I20659,Programme!J20659)</f>
        <v>&lt;valeur&gt;&lt;/valeur&gt;</v>
      </c>
    </row>
    <row r="20659" spans="1:1" x14ac:dyDescent="0.2">
      <c r="A20659" s="996" t="str">
        <f>CONCATENATE(Programme!D20660,Programme!E20660,Programme!F20660,Programme!G20660,Programme!H20660,Programme!I20660,Programme!J20660)</f>
        <v>&lt;/ValeurCellule&gt;</v>
      </c>
    </row>
    <row r="20660" spans="1:1" x14ac:dyDescent="0.2">
      <c r="A20660" s="996" t="str">
        <f>CONCATENATE(Programme!D20661,Programme!E20661,Programme!F20661,Programme!G20661,Programme!H20661,Programme!I20661,Programme!J20661)</f>
        <v>&lt;ValeurCellule&gt;</v>
      </c>
    </row>
    <row r="20661" spans="1:1" x14ac:dyDescent="0.2">
      <c r="A20661" s="996" t="str">
        <f>CONCATENATE(Programme!D20662,Programme!E20662,Programme!F20662,Programme!G20662,Programme!H20662,Programme!I20662,Programme!J20662)</f>
        <v>&lt;cellule&gt;</v>
      </c>
    </row>
    <row r="20662" spans="1:1" x14ac:dyDescent="0.2">
      <c r="A20662" s="996" t="str">
        <f>CONCATENATE(Programme!D20663,Programme!E20663,Programme!F20663,Programme!G20663,Programme!H20663,Programme!I20663,Programme!J20663)</f>
        <v>&lt;codeEdi&gt;14216&lt;/codeEdi&gt;</v>
      </c>
    </row>
    <row r="20663" spans="1:1" x14ac:dyDescent="0.2">
      <c r="A20663" s="996" t="str">
        <f>CONCATENATE(Programme!D20664,Programme!E20664,Programme!F20664,Programme!G20664,Programme!H20664,Programme!I20664,Programme!J20664)</f>
        <v>&lt;/cellule&gt;</v>
      </c>
    </row>
    <row r="20664" spans="1:1" x14ac:dyDescent="0.2">
      <c r="A20664" s="996" t="str">
        <f>CONCATENATE(Programme!D20665,Programme!E20665,Programme!F20665,Programme!G20665,Programme!H20665,Programme!I20665,Programme!J20665)</f>
        <v>&lt;valeur&gt;0&lt;/valeur&gt;</v>
      </c>
    </row>
    <row r="20665" spans="1:1" x14ac:dyDescent="0.2">
      <c r="A20665" s="996" t="str">
        <f>CONCATENATE(Programme!D20666,Programme!E20666,Programme!F20666,Programme!G20666,Programme!H20666,Programme!I20666,Programme!J20666)</f>
        <v>&lt;/ValeurCellule&gt;</v>
      </c>
    </row>
    <row r="20666" spans="1:1" x14ac:dyDescent="0.2">
      <c r="A20666" s="996" t="str">
        <f>CONCATENATE(Programme!D20667,Programme!E20667,Programme!F20667,Programme!G20667,Programme!H20667,Programme!I20667,Programme!J20667)</f>
        <v>&lt;ValeurCellule&gt;</v>
      </c>
    </row>
    <row r="20667" spans="1:1" x14ac:dyDescent="0.2">
      <c r="A20667" s="996" t="str">
        <f>CONCATENATE(Programme!D20668,Programme!E20668,Programme!F20668,Programme!G20668,Programme!H20668,Programme!I20668,Programme!J20668)</f>
        <v>&lt;cellule&gt;</v>
      </c>
    </row>
    <row r="20668" spans="1:1" x14ac:dyDescent="0.2">
      <c r="A20668" s="996" t="str">
        <f>CONCATENATE(Programme!D20669,Programme!E20669,Programme!F20669,Programme!G20669,Programme!H20669,Programme!I20669,Programme!J20669)</f>
        <v>&lt;codeEdi&gt;14217&lt;/codeEdi&gt;</v>
      </c>
    </row>
    <row r="20669" spans="1:1" x14ac:dyDescent="0.2">
      <c r="A20669" s="996" t="str">
        <f>CONCATENATE(Programme!D20670,Programme!E20670,Programme!F20670,Programme!G20670,Programme!H20670,Programme!I20670,Programme!J20670)</f>
        <v>&lt;/cellule&gt;</v>
      </c>
    </row>
    <row r="20670" spans="1:1" x14ac:dyDescent="0.2">
      <c r="A20670" s="996" t="str">
        <f>CONCATENATE(Programme!D20671,Programme!E20671,Programme!F20671,Programme!G20671,Programme!H20671,Programme!I20671,Programme!J20671)</f>
        <v>&lt;valeur&gt;&lt;/valeur&gt;</v>
      </c>
    </row>
    <row r="20671" spans="1:1" x14ac:dyDescent="0.2">
      <c r="A20671" s="996" t="str">
        <f>CONCATENATE(Programme!D20672,Programme!E20672,Programme!F20672,Programme!G20672,Programme!H20672,Programme!I20672,Programme!J20672)</f>
        <v>&lt;/ValeurCellule&gt;</v>
      </c>
    </row>
    <row r="20672" spans="1:1" x14ac:dyDescent="0.2">
      <c r="A20672" s="996" t="str">
        <f>CONCATENATE(Programme!D20673,Programme!E20673,Programme!F20673,Programme!G20673,Programme!H20673,Programme!I20673,Programme!J20673)</f>
        <v>&lt;ValeurCellule&gt;</v>
      </c>
    </row>
    <row r="20673" spans="1:1" x14ac:dyDescent="0.2">
      <c r="A20673" s="996" t="str">
        <f>CONCATENATE(Programme!D20674,Programme!E20674,Programme!F20674,Programme!G20674,Programme!H20674,Programme!I20674,Programme!J20674)</f>
        <v>&lt;cellule&gt;</v>
      </c>
    </row>
    <row r="20674" spans="1:1" x14ac:dyDescent="0.2">
      <c r="A20674" s="996" t="str">
        <f>CONCATENATE(Programme!D20675,Programme!E20675,Programme!F20675,Programme!G20675,Programme!H20675,Programme!I20675,Programme!J20675)</f>
        <v>&lt;codeEdi&gt;14218&lt;/codeEdi&gt;</v>
      </c>
    </row>
    <row r="20675" spans="1:1" x14ac:dyDescent="0.2">
      <c r="A20675" s="996" t="str">
        <f>CONCATENATE(Programme!D20676,Programme!E20676,Programme!F20676,Programme!G20676,Programme!H20676,Programme!I20676,Programme!J20676)</f>
        <v>&lt;/cellule&gt;</v>
      </c>
    </row>
    <row r="20676" spans="1:1" x14ac:dyDescent="0.2">
      <c r="A20676" s="996" t="str">
        <f>CONCATENATE(Programme!D20677,Programme!E20677,Programme!F20677,Programme!G20677,Programme!H20677,Programme!I20677,Programme!J20677)</f>
        <v>&lt;valeur&gt;0&lt;/valeur&gt;</v>
      </c>
    </row>
    <row r="20677" spans="1:1" x14ac:dyDescent="0.2">
      <c r="A20677" s="996" t="str">
        <f>CONCATENATE(Programme!D20678,Programme!E20678,Programme!F20678,Programme!G20678,Programme!H20678,Programme!I20678,Programme!J20678)</f>
        <v>&lt;/ValeurCellule&gt;</v>
      </c>
    </row>
    <row r="20678" spans="1:1" x14ac:dyDescent="0.2">
      <c r="A20678" s="996" t="str">
        <f>CONCATENATE(Programme!D20679,Programme!E20679,Programme!F20679,Programme!G20679,Programme!H20679,Programme!I20679,Programme!J20679)</f>
        <v>&lt;ValeurCellule&gt;</v>
      </c>
    </row>
    <row r="20679" spans="1:1" x14ac:dyDescent="0.2">
      <c r="A20679" s="996" t="str">
        <f>CONCATENATE(Programme!D20680,Programme!E20680,Programme!F20680,Programme!G20680,Programme!H20680,Programme!I20680,Programme!J20680)</f>
        <v>&lt;cellule&gt;</v>
      </c>
    </row>
    <row r="20680" spans="1:1" x14ac:dyDescent="0.2">
      <c r="A20680" s="996" t="str">
        <f>CONCATENATE(Programme!D20681,Programme!E20681,Programme!F20681,Programme!G20681,Programme!H20681,Programme!I20681,Programme!J20681)</f>
        <v>&lt;codeEdi&gt;14219&lt;/codeEdi&gt;</v>
      </c>
    </row>
    <row r="20681" spans="1:1" x14ac:dyDescent="0.2">
      <c r="A20681" s="996" t="str">
        <f>CONCATENATE(Programme!D20682,Programme!E20682,Programme!F20682,Programme!G20682,Programme!H20682,Programme!I20682,Programme!J20682)</f>
        <v>&lt;/cellule&gt;</v>
      </c>
    </row>
    <row r="20682" spans="1:1" x14ac:dyDescent="0.2">
      <c r="A20682" s="996" t="str">
        <f>CONCATENATE(Programme!D20683,Programme!E20683,Programme!F20683,Programme!G20683,Programme!H20683,Programme!I20683,Programme!J20683)</f>
        <v>&lt;valeur&gt;0&lt;/valeur&gt;</v>
      </c>
    </row>
    <row r="20683" spans="1:1" x14ac:dyDescent="0.2">
      <c r="A20683" s="996" t="str">
        <f>CONCATENATE(Programme!D20684,Programme!E20684,Programme!F20684,Programme!G20684,Programme!H20684,Programme!I20684,Programme!J20684)</f>
        <v>&lt;/ValeurCellule&gt;</v>
      </c>
    </row>
    <row r="20684" spans="1:1" x14ac:dyDescent="0.2">
      <c r="A20684" s="996" t="str">
        <f>CONCATENATE(Programme!D20685,Programme!E20685,Programme!F20685,Programme!G20685,Programme!H20685,Programme!I20685,Programme!J20685)</f>
        <v>&lt;ValeurCellule&gt;</v>
      </c>
    </row>
    <row r="20685" spans="1:1" x14ac:dyDescent="0.2">
      <c r="A20685" s="996" t="str">
        <f>CONCATENATE(Programme!D20686,Programme!E20686,Programme!F20686,Programme!G20686,Programme!H20686,Programme!I20686,Programme!J20686)</f>
        <v>&lt;cellule&gt;</v>
      </c>
    </row>
    <row r="20686" spans="1:1" x14ac:dyDescent="0.2">
      <c r="A20686" s="996" t="str">
        <f>CONCATENATE(Programme!D20687,Programme!E20687,Programme!F20687,Programme!G20687,Programme!H20687,Programme!I20687,Programme!J20687)</f>
        <v>&lt;codeEdi&gt;14221&lt;/codeEdi&gt;</v>
      </c>
    </row>
    <row r="20687" spans="1:1" x14ac:dyDescent="0.2">
      <c r="A20687" s="996" t="str">
        <f>CONCATENATE(Programme!D20688,Programme!E20688,Programme!F20688,Programme!G20688,Programme!H20688,Programme!I20688,Programme!J20688)</f>
        <v>&lt;/cellule&gt;</v>
      </c>
    </row>
    <row r="20688" spans="1:1" x14ac:dyDescent="0.2">
      <c r="A20688" s="996" t="str">
        <f>CONCATENATE(Programme!D20689,Programme!E20689,Programme!F20689,Programme!G20689,Programme!H20689,Programme!I20689,Programme!J20689)</f>
        <v>&lt;valeur&gt;&lt;/valeur&gt;</v>
      </c>
    </row>
    <row r="20689" spans="1:1" x14ac:dyDescent="0.2">
      <c r="A20689" s="996" t="str">
        <f>CONCATENATE(Programme!D20690,Programme!E20690,Programme!F20690,Programme!G20690,Programme!H20690,Programme!I20690,Programme!J20690)</f>
        <v>&lt;/ValeurCellule&gt;</v>
      </c>
    </row>
    <row r="20690" spans="1:1" x14ac:dyDescent="0.2">
      <c r="A20690" s="996" t="str">
        <f>CONCATENATE(Programme!D20691,Programme!E20691,Programme!F20691,Programme!G20691,Programme!H20691,Programme!I20691,Programme!J20691)</f>
        <v>&lt;ValeurCellule&gt;</v>
      </c>
    </row>
    <row r="20691" spans="1:1" x14ac:dyDescent="0.2">
      <c r="A20691" s="996" t="str">
        <f>CONCATENATE(Programme!D20692,Programme!E20692,Programme!F20692,Programme!G20692,Programme!H20692,Programme!I20692,Programme!J20692)</f>
        <v>&lt;cellule&gt;</v>
      </c>
    </row>
    <row r="20692" spans="1:1" x14ac:dyDescent="0.2">
      <c r="A20692" s="996" t="str">
        <f>CONCATENATE(Programme!D20693,Programme!E20693,Programme!F20693,Programme!G20693,Programme!H20693,Programme!I20693,Programme!J20693)</f>
        <v>&lt;codeEdi&gt;14222&lt;/codeEdi&gt;</v>
      </c>
    </row>
    <row r="20693" spans="1:1" x14ac:dyDescent="0.2">
      <c r="A20693" s="996" t="str">
        <f>CONCATENATE(Programme!D20694,Programme!E20694,Programme!F20694,Programme!G20694,Programme!H20694,Programme!I20694,Programme!J20694)</f>
        <v>&lt;/cellule&gt;</v>
      </c>
    </row>
    <row r="20694" spans="1:1" x14ac:dyDescent="0.2">
      <c r="A20694" s="996" t="str">
        <f>CONCATENATE(Programme!D20695,Programme!E20695,Programme!F20695,Programme!G20695,Programme!H20695,Programme!I20695,Programme!J20695)</f>
        <v>&lt;valeur&gt;0&lt;/valeur&gt;</v>
      </c>
    </row>
    <row r="20695" spans="1:1" x14ac:dyDescent="0.2">
      <c r="A20695" s="996" t="str">
        <f>CONCATENATE(Programme!D20696,Programme!E20696,Programme!F20696,Programme!G20696,Programme!H20696,Programme!I20696,Programme!J20696)</f>
        <v>&lt;/ValeurCellule&gt;</v>
      </c>
    </row>
    <row r="20696" spans="1:1" x14ac:dyDescent="0.2">
      <c r="A20696" s="996" t="str">
        <f>CONCATENATE(Programme!D20697,Programme!E20697,Programme!F20697,Programme!G20697,Programme!H20697,Programme!I20697,Programme!J20697)</f>
        <v>&lt;ValeurCellule&gt;</v>
      </c>
    </row>
    <row r="20697" spans="1:1" x14ac:dyDescent="0.2">
      <c r="A20697" s="996" t="str">
        <f>CONCATENATE(Programme!D20698,Programme!E20698,Programme!F20698,Programme!G20698,Programme!H20698,Programme!I20698,Programme!J20698)</f>
        <v>&lt;cellule&gt;</v>
      </c>
    </row>
    <row r="20698" spans="1:1" x14ac:dyDescent="0.2">
      <c r="A20698" s="996" t="str">
        <f>CONCATENATE(Programme!D20699,Programme!E20699,Programme!F20699,Programme!G20699,Programme!H20699,Programme!I20699,Programme!J20699)</f>
        <v>&lt;codeEdi&gt;14223&lt;/codeEdi&gt;</v>
      </c>
    </row>
    <row r="20699" spans="1:1" x14ac:dyDescent="0.2">
      <c r="A20699" s="996" t="str">
        <f>CONCATENATE(Programme!D20700,Programme!E20700,Programme!F20700,Programme!G20700,Programme!H20700,Programme!I20700,Programme!J20700)</f>
        <v>&lt;/cellule&gt;</v>
      </c>
    </row>
    <row r="20700" spans="1:1" x14ac:dyDescent="0.2">
      <c r="A20700" s="996" t="str">
        <f>CONCATENATE(Programme!D20701,Programme!E20701,Programme!F20701,Programme!G20701,Programme!H20701,Programme!I20701,Programme!J20701)</f>
        <v>&lt;valeur&gt;&lt;/valeur&gt;</v>
      </c>
    </row>
    <row r="20701" spans="1:1" x14ac:dyDescent="0.2">
      <c r="A20701" s="996" t="str">
        <f>CONCATENATE(Programme!D20702,Programme!E20702,Programme!F20702,Programme!G20702,Programme!H20702,Programme!I20702,Programme!J20702)</f>
        <v>&lt;/ValeurCellule&gt;</v>
      </c>
    </row>
    <row r="20702" spans="1:1" x14ac:dyDescent="0.2">
      <c r="A20702" s="996" t="str">
        <f>CONCATENATE(Programme!D20703,Programme!E20703,Programme!F20703,Programme!G20703,Programme!H20703,Programme!I20703,Programme!J20703)</f>
        <v>&lt;ValeurCellule&gt;</v>
      </c>
    </row>
    <row r="20703" spans="1:1" x14ac:dyDescent="0.2">
      <c r="A20703" s="996" t="str">
        <f>CONCATENATE(Programme!D20704,Programme!E20704,Programme!F20704,Programme!G20704,Programme!H20704,Programme!I20704,Programme!J20704)</f>
        <v>&lt;cellule&gt;</v>
      </c>
    </row>
    <row r="20704" spans="1:1" x14ac:dyDescent="0.2">
      <c r="A20704" s="996" t="str">
        <f>CONCATENATE(Programme!D20705,Programme!E20705,Programme!F20705,Programme!G20705,Programme!H20705,Programme!I20705,Programme!J20705)</f>
        <v>&lt;codeEdi&gt;14224&lt;/codeEdi&gt;</v>
      </c>
    </row>
    <row r="20705" spans="1:1" x14ac:dyDescent="0.2">
      <c r="A20705" s="996" t="str">
        <f>CONCATENATE(Programme!D20706,Programme!E20706,Programme!F20706,Programme!G20706,Programme!H20706,Programme!I20706,Programme!J20706)</f>
        <v>&lt;/cellule&gt;</v>
      </c>
    </row>
    <row r="20706" spans="1:1" x14ac:dyDescent="0.2">
      <c r="A20706" s="996" t="str">
        <f>CONCATENATE(Programme!D20707,Programme!E20707,Programme!F20707,Programme!G20707,Programme!H20707,Programme!I20707,Programme!J20707)</f>
        <v>&lt;valeur&gt;0&lt;/valeur&gt;</v>
      </c>
    </row>
    <row r="20707" spans="1:1" x14ac:dyDescent="0.2">
      <c r="A20707" s="996" t="str">
        <f>CONCATENATE(Programme!D20708,Programme!E20708,Programme!F20708,Programme!G20708,Programme!H20708,Programme!I20708,Programme!J20708)</f>
        <v>&lt;/ValeurCellule&gt;</v>
      </c>
    </row>
    <row r="20708" spans="1:1" x14ac:dyDescent="0.2">
      <c r="A20708" s="996" t="str">
        <f>CONCATENATE(Programme!D20709,Programme!E20709,Programme!F20709,Programme!G20709,Programme!H20709,Programme!I20709,Programme!J20709)</f>
        <v>&lt;ValeurCellule&gt;</v>
      </c>
    </row>
    <row r="20709" spans="1:1" x14ac:dyDescent="0.2">
      <c r="A20709" s="996" t="str">
        <f>CONCATENATE(Programme!D20710,Programme!E20710,Programme!F20710,Programme!G20710,Programme!H20710,Programme!I20710,Programme!J20710)</f>
        <v>&lt;cellule&gt;</v>
      </c>
    </row>
    <row r="20710" spans="1:1" x14ac:dyDescent="0.2">
      <c r="A20710" s="996" t="str">
        <f>CONCATENATE(Programme!D20711,Programme!E20711,Programme!F20711,Programme!G20711,Programme!H20711,Programme!I20711,Programme!J20711)</f>
        <v>&lt;codeEdi&gt;14233&lt;/codeEdi&gt;</v>
      </c>
    </row>
    <row r="20711" spans="1:1" x14ac:dyDescent="0.2">
      <c r="A20711" s="996" t="str">
        <f>CONCATENATE(Programme!D20712,Programme!E20712,Programme!F20712,Programme!G20712,Programme!H20712,Programme!I20712,Programme!J20712)</f>
        <v>&lt;/cellule&gt;</v>
      </c>
    </row>
    <row r="20712" spans="1:1" x14ac:dyDescent="0.2">
      <c r="A20712" s="996" t="str">
        <f>CONCATENATE(Programme!D20713,Programme!E20713,Programme!F20713,Programme!G20713,Programme!H20713,Programme!I20713,Programme!J20713)</f>
        <v>&lt;valeur&gt;0&lt;/valeur&gt;</v>
      </c>
    </row>
    <row r="20713" spans="1:1" x14ac:dyDescent="0.2">
      <c r="A20713" s="996" t="str">
        <f>CONCATENATE(Programme!D20714,Programme!E20714,Programme!F20714,Programme!G20714,Programme!H20714,Programme!I20714,Programme!J20714)</f>
        <v>&lt;/ValeurCellule&gt;</v>
      </c>
    </row>
    <row r="20714" spans="1:1" x14ac:dyDescent="0.2">
      <c r="A20714" s="996" t="str">
        <f>CONCATENATE(Programme!D20715,Programme!E20715,Programme!F20715,Programme!G20715,Programme!H20715,Programme!I20715,Programme!J20715)</f>
        <v>&lt;ValeurCellule&gt;</v>
      </c>
    </row>
    <row r="20715" spans="1:1" x14ac:dyDescent="0.2">
      <c r="A20715" s="996" t="str">
        <f>CONCATENATE(Programme!D20716,Programme!E20716,Programme!F20716,Programme!G20716,Programme!H20716,Programme!I20716,Programme!J20716)</f>
        <v>&lt;cellule&gt;</v>
      </c>
    </row>
    <row r="20716" spans="1:1" x14ac:dyDescent="0.2">
      <c r="A20716" s="996" t="str">
        <f>CONCATENATE(Programme!D20717,Programme!E20717,Programme!F20717,Programme!G20717,Programme!H20717,Programme!I20717,Programme!J20717)</f>
        <v>&lt;codeEdi&gt;14234&lt;/codeEdi&gt;</v>
      </c>
    </row>
    <row r="20717" spans="1:1" x14ac:dyDescent="0.2">
      <c r="A20717" s="996" t="str">
        <f>CONCATENATE(Programme!D20718,Programme!E20718,Programme!F20718,Programme!G20718,Programme!H20718,Programme!I20718,Programme!J20718)</f>
        <v>&lt;/cellule&gt;</v>
      </c>
    </row>
    <row r="20718" spans="1:1" x14ac:dyDescent="0.2">
      <c r="A20718" s="996" t="str">
        <f>CONCATENATE(Programme!D20719,Programme!E20719,Programme!F20719,Programme!G20719,Programme!H20719,Programme!I20719,Programme!J20719)</f>
        <v>&lt;valeur&gt;0&lt;/valeur&gt;</v>
      </c>
    </row>
    <row r="20719" spans="1:1" x14ac:dyDescent="0.2">
      <c r="A20719" s="996" t="str">
        <f>CONCATENATE(Programme!D20720,Programme!E20720,Programme!F20720,Programme!G20720,Programme!H20720,Programme!I20720,Programme!J20720)</f>
        <v>&lt;/ValeurCellule&gt;</v>
      </c>
    </row>
    <row r="20720" spans="1:1" x14ac:dyDescent="0.2">
      <c r="A20720" s="996" t="str">
        <f>CONCATENATE(Programme!D20721,Programme!E20721,Programme!F20721,Programme!G20721,Programme!H20721,Programme!I20721,Programme!J20721)</f>
        <v>&lt;ValeurCellule&gt;</v>
      </c>
    </row>
    <row r="20721" spans="1:1" x14ac:dyDescent="0.2">
      <c r="A20721" s="996" t="str">
        <f>CONCATENATE(Programme!D20722,Programme!E20722,Programme!F20722,Programme!G20722,Programme!H20722,Programme!I20722,Programme!J20722)</f>
        <v>&lt;cellule&gt;</v>
      </c>
    </row>
    <row r="20722" spans="1:1" x14ac:dyDescent="0.2">
      <c r="A20722" s="996" t="str">
        <f>CONCATENATE(Programme!D20723,Programme!E20723,Programme!F20723,Programme!G20723,Programme!H20723,Programme!I20723,Programme!J20723)</f>
        <v>&lt;codeEdi&gt;14235&lt;/codeEdi&gt;</v>
      </c>
    </row>
    <row r="20723" spans="1:1" x14ac:dyDescent="0.2">
      <c r="A20723" s="996" t="str">
        <f>CONCATENATE(Programme!D20724,Programme!E20724,Programme!F20724,Programme!G20724,Programme!H20724,Programme!I20724,Programme!J20724)</f>
        <v>&lt;/cellule&gt;</v>
      </c>
    </row>
    <row r="20724" spans="1:1" x14ac:dyDescent="0.2">
      <c r="A20724" s="996" t="str">
        <f>CONCATENATE(Programme!D20725,Programme!E20725,Programme!F20725,Programme!G20725,Programme!H20725,Programme!I20725,Programme!J20725)</f>
        <v>&lt;valeur&gt;0&lt;/valeur&gt;</v>
      </c>
    </row>
    <row r="20725" spans="1:1" x14ac:dyDescent="0.2">
      <c r="A20725" s="996" t="str">
        <f>CONCATENATE(Programme!D20726,Programme!E20726,Programme!F20726,Programme!G20726,Programme!H20726,Programme!I20726,Programme!J20726)</f>
        <v>&lt;/ValeurCellule&gt;</v>
      </c>
    </row>
    <row r="20726" spans="1:1" x14ac:dyDescent="0.2">
      <c r="A20726" s="996" t="str">
        <f>CONCATENATE(Programme!D20727,Programme!E20727,Programme!F20727,Programme!G20727,Programme!H20727,Programme!I20727,Programme!J20727)</f>
        <v>&lt;ValeurCellule&gt;</v>
      </c>
    </row>
    <row r="20727" spans="1:1" x14ac:dyDescent="0.2">
      <c r="A20727" s="996" t="str">
        <f>CONCATENATE(Programme!D20728,Programme!E20728,Programme!F20728,Programme!G20728,Programme!H20728,Programme!I20728,Programme!J20728)</f>
        <v>&lt;cellule&gt;</v>
      </c>
    </row>
    <row r="20728" spans="1:1" x14ac:dyDescent="0.2">
      <c r="A20728" s="996" t="str">
        <f>CONCATENATE(Programme!D20729,Programme!E20729,Programme!F20729,Programme!G20729,Programme!H20729,Programme!I20729,Programme!J20729)</f>
        <v>&lt;codeEdi&gt;14236&lt;/codeEdi&gt;</v>
      </c>
    </row>
    <row r="20729" spans="1:1" x14ac:dyDescent="0.2">
      <c r="A20729" s="996" t="str">
        <f>CONCATENATE(Programme!D20730,Programme!E20730,Programme!F20730,Programme!G20730,Programme!H20730,Programme!I20730,Programme!J20730)</f>
        <v>&lt;/cellule&gt;</v>
      </c>
    </row>
    <row r="20730" spans="1:1" x14ac:dyDescent="0.2">
      <c r="A20730" s="996" t="str">
        <f>CONCATENATE(Programme!D20731,Programme!E20731,Programme!F20731,Programme!G20731,Programme!H20731,Programme!I20731,Programme!J20731)</f>
        <v>&lt;valeur&gt;0&lt;/valeur&gt;</v>
      </c>
    </row>
    <row r="20731" spans="1:1" x14ac:dyDescent="0.2">
      <c r="A20731" s="996" t="str">
        <f>CONCATENATE(Programme!D20732,Programme!E20732,Programme!F20732,Programme!G20732,Programme!H20732,Programme!I20732,Programme!J20732)</f>
        <v>&lt;/ValeurCellule&gt;</v>
      </c>
    </row>
    <row r="20732" spans="1:1" x14ac:dyDescent="0.2">
      <c r="A20732" s="996" t="str">
        <f>CONCATENATE(Programme!D20733,Programme!E20733,Programme!F20733,Programme!G20733,Programme!H20733,Programme!I20733,Programme!J20733)</f>
        <v>&lt;ValeurCellule&gt;</v>
      </c>
    </row>
    <row r="20733" spans="1:1" x14ac:dyDescent="0.2">
      <c r="A20733" s="996" t="str">
        <f>CONCATENATE(Programme!D20734,Programme!E20734,Programme!F20734,Programme!G20734,Programme!H20734,Programme!I20734,Programme!J20734)</f>
        <v>&lt;cellule&gt;</v>
      </c>
    </row>
    <row r="20734" spans="1:1" x14ac:dyDescent="0.2">
      <c r="A20734" s="996" t="str">
        <f>CONCATENATE(Programme!D20735,Programme!E20735,Programme!F20735,Programme!G20735,Programme!H20735,Programme!I20735,Programme!J20735)</f>
        <v>&lt;codeEdi&gt;14237&lt;/codeEdi&gt;</v>
      </c>
    </row>
    <row r="20735" spans="1:1" x14ac:dyDescent="0.2">
      <c r="A20735" s="996" t="str">
        <f>CONCATENATE(Programme!D20736,Programme!E20736,Programme!F20736,Programme!G20736,Programme!H20736,Programme!I20736,Programme!J20736)</f>
        <v>&lt;/cellule&gt;</v>
      </c>
    </row>
    <row r="20736" spans="1:1" x14ac:dyDescent="0.2">
      <c r="A20736" s="996" t="str">
        <f>CONCATENATE(Programme!D20737,Programme!E20737,Programme!F20737,Programme!G20737,Programme!H20737,Programme!I20737,Programme!J20737)</f>
        <v>&lt;valeur&gt;0&lt;/valeur&gt;</v>
      </c>
    </row>
    <row r="20737" spans="1:1" x14ac:dyDescent="0.2">
      <c r="A20737" s="996" t="str">
        <f>CONCATENATE(Programme!D20738,Programme!E20738,Programme!F20738,Programme!G20738,Programme!H20738,Programme!I20738,Programme!J20738)</f>
        <v>&lt;/ValeurCellule&gt;</v>
      </c>
    </row>
    <row r="20738" spans="1:1" x14ac:dyDescent="0.2">
      <c r="A20738" s="996" t="str">
        <f>CONCATENATE(Programme!D20739,Programme!E20739,Programme!F20739,Programme!G20739,Programme!H20739,Programme!I20739,Programme!J20739)</f>
        <v>&lt;ValeurCellule&gt;</v>
      </c>
    </row>
    <row r="20739" spans="1:1" x14ac:dyDescent="0.2">
      <c r="A20739" s="996" t="str">
        <f>CONCATENATE(Programme!D20740,Programme!E20740,Programme!F20740,Programme!G20740,Programme!H20740,Programme!I20740,Programme!J20740)</f>
        <v>&lt;cellule&gt;</v>
      </c>
    </row>
    <row r="20740" spans="1:1" x14ac:dyDescent="0.2">
      <c r="A20740" s="996" t="str">
        <f>CONCATENATE(Programme!D20741,Programme!E20741,Programme!F20741,Programme!G20741,Programme!H20741,Programme!I20741,Programme!J20741)</f>
        <v>&lt;codeEdi&gt;14238&lt;/codeEdi&gt;</v>
      </c>
    </row>
    <row r="20741" spans="1:1" x14ac:dyDescent="0.2">
      <c r="A20741" s="996" t="str">
        <f>CONCATENATE(Programme!D20742,Programme!E20742,Programme!F20742,Programme!G20742,Programme!H20742,Programme!I20742,Programme!J20742)</f>
        <v>&lt;/cellule&gt;</v>
      </c>
    </row>
    <row r="20742" spans="1:1" x14ac:dyDescent="0.2">
      <c r="A20742" s="996" t="str">
        <f>CONCATENATE(Programme!D20743,Programme!E20743,Programme!F20743,Programme!G20743,Programme!H20743,Programme!I20743,Programme!J20743)</f>
        <v>&lt;valeur&gt;0&lt;/valeur&gt;</v>
      </c>
    </row>
    <row r="20743" spans="1:1" x14ac:dyDescent="0.2">
      <c r="A20743" s="996" t="str">
        <f>CONCATENATE(Programme!D20744,Programme!E20744,Programme!F20744,Programme!G20744,Programme!H20744,Programme!I20744,Programme!J20744)</f>
        <v>&lt;/ValeurCellule&gt;</v>
      </c>
    </row>
    <row r="20744" spans="1:1" x14ac:dyDescent="0.2">
      <c r="A20744" s="996" t="str">
        <f>CONCATENATE(Programme!D20745,Programme!E20745,Programme!F20745,Programme!G20745,Programme!H20745,Programme!I20745,Programme!J20745)</f>
        <v>&lt;ValeurCellule&gt;</v>
      </c>
    </row>
    <row r="20745" spans="1:1" x14ac:dyDescent="0.2">
      <c r="A20745" s="996" t="str">
        <f>CONCATENATE(Programme!D20746,Programme!E20746,Programme!F20746,Programme!G20746,Programme!H20746,Programme!I20746,Programme!J20746)</f>
        <v>&lt;cellule&gt;</v>
      </c>
    </row>
    <row r="20746" spans="1:1" x14ac:dyDescent="0.2">
      <c r="A20746" s="996" t="str">
        <f>CONCATENATE(Programme!D20747,Programme!E20747,Programme!F20747,Programme!G20747,Programme!H20747,Programme!I20747,Programme!J20747)</f>
        <v>&lt;codeEdi&gt;14239&lt;/codeEdi&gt;</v>
      </c>
    </row>
    <row r="20747" spans="1:1" x14ac:dyDescent="0.2">
      <c r="A20747" s="996" t="str">
        <f>CONCATENATE(Programme!D20748,Programme!E20748,Programme!F20748,Programme!G20748,Programme!H20748,Programme!I20748,Programme!J20748)</f>
        <v>&lt;/cellule&gt;</v>
      </c>
    </row>
    <row r="20748" spans="1:1" x14ac:dyDescent="0.2">
      <c r="A20748" s="996" t="str">
        <f>CONCATENATE(Programme!D20749,Programme!E20749,Programme!F20749,Programme!G20749,Programme!H20749,Programme!I20749,Programme!J20749)</f>
        <v>&lt;valeur&gt;0&lt;/valeur&gt;</v>
      </c>
    </row>
    <row r="20749" spans="1:1" x14ac:dyDescent="0.2">
      <c r="A20749" s="996" t="str">
        <f>CONCATENATE(Programme!D20750,Programme!E20750,Programme!F20750,Programme!G20750,Programme!H20750,Programme!I20750,Programme!J20750)</f>
        <v>&lt;/ValeurCellule&gt;</v>
      </c>
    </row>
    <row r="20750" spans="1:1" x14ac:dyDescent="0.2">
      <c r="A20750" s="996" t="str">
        <f>CONCATENATE(Programme!D20751,Programme!E20751,Programme!F20751,Programme!G20751,Programme!H20751,Programme!I20751,Programme!J20751)</f>
        <v>&lt;ValeurCellule&gt;</v>
      </c>
    </row>
    <row r="20751" spans="1:1" x14ac:dyDescent="0.2">
      <c r="A20751" s="996" t="str">
        <f>CONCATENATE(Programme!D20752,Programme!E20752,Programme!F20752,Programme!G20752,Programme!H20752,Programme!I20752,Programme!J20752)</f>
        <v>&lt;cellule&gt;</v>
      </c>
    </row>
    <row r="20752" spans="1:1" x14ac:dyDescent="0.2">
      <c r="A20752" s="996" t="str">
        <f>CONCATENATE(Programme!D20753,Programme!E20753,Programme!F20753,Programme!G20753,Programme!H20753,Programme!I20753,Programme!J20753)</f>
        <v>&lt;codeEdi&gt;14240&lt;/codeEdi&gt;</v>
      </c>
    </row>
    <row r="20753" spans="1:1" x14ac:dyDescent="0.2">
      <c r="A20753" s="996" t="str">
        <f>CONCATENATE(Programme!D20754,Programme!E20754,Programme!F20754,Programme!G20754,Programme!H20754,Programme!I20754,Programme!J20754)</f>
        <v>&lt;/cellule&gt;</v>
      </c>
    </row>
    <row r="20754" spans="1:1" x14ac:dyDescent="0.2">
      <c r="A20754" s="996" t="str">
        <f>CONCATENATE(Programme!D20755,Programme!E20755,Programme!F20755,Programme!G20755,Programme!H20755,Programme!I20755,Programme!J20755)</f>
        <v>&lt;valeur&gt;0&lt;/valeur&gt;</v>
      </c>
    </row>
    <row r="20755" spans="1:1" x14ac:dyDescent="0.2">
      <c r="A20755" s="996" t="str">
        <f>CONCATENATE(Programme!D20756,Programme!E20756,Programme!F20756,Programme!G20756,Programme!H20756,Programme!I20756,Programme!J20756)</f>
        <v>&lt;/ValeurCellule&gt;</v>
      </c>
    </row>
    <row r="20756" spans="1:1" x14ac:dyDescent="0.2">
      <c r="A20756" s="996" t="str">
        <f>CONCATENATE(Programme!D20757,Programme!E20757,Programme!F20757,Programme!G20757,Programme!H20757,Programme!I20757,Programme!J20757)</f>
        <v>&lt;ValeurCellule&gt;</v>
      </c>
    </row>
    <row r="20757" spans="1:1" x14ac:dyDescent="0.2">
      <c r="A20757" s="996" t="str">
        <f>CONCATENATE(Programme!D20758,Programme!E20758,Programme!F20758,Programme!G20758,Programme!H20758,Programme!I20758,Programme!J20758)</f>
        <v>&lt;cellule&gt;</v>
      </c>
    </row>
    <row r="20758" spans="1:1" x14ac:dyDescent="0.2">
      <c r="A20758" s="996" t="str">
        <f>CONCATENATE(Programme!D20759,Programme!E20759,Programme!F20759,Programme!G20759,Programme!H20759,Programme!I20759,Programme!J20759)</f>
        <v>&lt;codeEdi&gt;14241&lt;/codeEdi&gt;</v>
      </c>
    </row>
    <row r="20759" spans="1:1" x14ac:dyDescent="0.2">
      <c r="A20759" s="996" t="str">
        <f>CONCATENATE(Programme!D20760,Programme!E20760,Programme!F20760,Programme!G20760,Programme!H20760,Programme!I20760,Programme!J20760)</f>
        <v>&lt;/cellule&gt;</v>
      </c>
    </row>
    <row r="20760" spans="1:1" x14ac:dyDescent="0.2">
      <c r="A20760" s="996" t="str">
        <f>CONCATENATE(Programme!D20761,Programme!E20761,Programme!F20761,Programme!G20761,Programme!H20761,Programme!I20761,Programme!J20761)</f>
        <v>&lt;valeur&gt;&lt;/valeur&gt;</v>
      </c>
    </row>
    <row r="20761" spans="1:1" x14ac:dyDescent="0.2">
      <c r="A20761" s="996" t="str">
        <f>CONCATENATE(Programme!D20762,Programme!E20762,Programme!F20762,Programme!G20762,Programme!H20762,Programme!I20762,Programme!J20762)</f>
        <v>&lt;/ValeurCellule&gt;</v>
      </c>
    </row>
    <row r="20762" spans="1:1" x14ac:dyDescent="0.2">
      <c r="A20762" s="996" t="str">
        <f>CONCATENATE(Programme!D20763,Programme!E20763,Programme!F20763,Programme!G20763,Programme!H20763,Programme!I20763,Programme!J20763)</f>
        <v>&lt;ValeurCellule&gt;</v>
      </c>
    </row>
    <row r="20763" spans="1:1" x14ac:dyDescent="0.2">
      <c r="A20763" s="996" t="str">
        <f>CONCATENATE(Programme!D20764,Programme!E20764,Programme!F20764,Programme!G20764,Programme!H20764,Programme!I20764,Programme!J20764)</f>
        <v>&lt;cellule&gt;</v>
      </c>
    </row>
    <row r="20764" spans="1:1" x14ac:dyDescent="0.2">
      <c r="A20764" s="996" t="str">
        <f>CONCATENATE(Programme!D20765,Programme!E20765,Programme!F20765,Programme!G20765,Programme!H20765,Programme!I20765,Programme!J20765)</f>
        <v>&lt;codeEdi&gt;14242&lt;/codeEdi&gt;</v>
      </c>
    </row>
    <row r="20765" spans="1:1" x14ac:dyDescent="0.2">
      <c r="A20765" s="996" t="str">
        <f>CONCATENATE(Programme!D20766,Programme!E20766,Programme!F20766,Programme!G20766,Programme!H20766,Programme!I20766,Programme!J20766)</f>
        <v>&lt;/cellule&gt;</v>
      </c>
    </row>
    <row r="20766" spans="1:1" x14ac:dyDescent="0.2">
      <c r="A20766" s="996" t="str">
        <f>CONCATENATE(Programme!D20767,Programme!E20767,Programme!F20767,Programme!G20767,Programme!H20767,Programme!I20767,Programme!J20767)</f>
        <v>&lt;valeur&gt;&lt;/valeur&gt;</v>
      </c>
    </row>
    <row r="20767" spans="1:1" x14ac:dyDescent="0.2">
      <c r="A20767" s="996" t="str">
        <f>CONCATENATE(Programme!D20768,Programme!E20768,Programme!F20768,Programme!G20768,Programme!H20768,Programme!I20768,Programme!J20768)</f>
        <v>&lt;/ValeurCellule&gt;</v>
      </c>
    </row>
    <row r="20768" spans="1:1" x14ac:dyDescent="0.2">
      <c r="A20768" s="996" t="str">
        <f>CONCATENATE(Programme!D20769,Programme!E20769,Programme!F20769,Programme!G20769,Programme!H20769,Programme!I20769,Programme!J20769)</f>
        <v>&lt;ValeurCellule&gt;</v>
      </c>
    </row>
    <row r="20769" spans="1:1" x14ac:dyDescent="0.2">
      <c r="A20769" s="996" t="str">
        <f>CONCATENATE(Programme!D20770,Programme!E20770,Programme!F20770,Programme!G20770,Programme!H20770,Programme!I20770,Programme!J20770)</f>
        <v>&lt;cellule&gt;</v>
      </c>
    </row>
    <row r="20770" spans="1:1" x14ac:dyDescent="0.2">
      <c r="A20770" s="996" t="str">
        <f>CONCATENATE(Programme!D20771,Programme!E20771,Programme!F20771,Programme!G20771,Programme!H20771,Programme!I20771,Programme!J20771)</f>
        <v>&lt;codeEdi&gt;14243&lt;/codeEdi&gt;</v>
      </c>
    </row>
    <row r="20771" spans="1:1" x14ac:dyDescent="0.2">
      <c r="A20771" s="996" t="str">
        <f>CONCATENATE(Programme!D20772,Programme!E20772,Programme!F20772,Programme!G20772,Programme!H20772,Programme!I20772,Programme!J20772)</f>
        <v>&lt;/cellule&gt;</v>
      </c>
    </row>
    <row r="20772" spans="1:1" x14ac:dyDescent="0.2">
      <c r="A20772" s="996" t="str">
        <f>CONCATENATE(Programme!D20773,Programme!E20773,Programme!F20773,Programme!G20773,Programme!H20773,Programme!I20773,Programme!J20773)</f>
        <v>&lt;valeur&gt;&lt;/valeur&gt;</v>
      </c>
    </row>
    <row r="20773" spans="1:1" x14ac:dyDescent="0.2">
      <c r="A20773" s="996" t="str">
        <f>CONCATENATE(Programme!D20774,Programme!E20774,Programme!F20774,Programme!G20774,Programme!H20774,Programme!I20774,Programme!J20774)</f>
        <v>&lt;/ValeurCellule&gt;</v>
      </c>
    </row>
    <row r="20774" spans="1:1" x14ac:dyDescent="0.2">
      <c r="A20774" s="996" t="str">
        <f>CONCATENATE(Programme!D20775,Programme!E20775,Programme!F20775,Programme!G20775,Programme!H20775,Programme!I20775,Programme!J20775)</f>
        <v>&lt;ValeurCellule&gt;</v>
      </c>
    </row>
    <row r="20775" spans="1:1" x14ac:dyDescent="0.2">
      <c r="A20775" s="996" t="str">
        <f>CONCATENATE(Programme!D20776,Programme!E20776,Programme!F20776,Programme!G20776,Programme!H20776,Programme!I20776,Programme!J20776)</f>
        <v>&lt;cellule&gt;</v>
      </c>
    </row>
    <row r="20776" spans="1:1" x14ac:dyDescent="0.2">
      <c r="A20776" s="996" t="str">
        <f>CONCATENATE(Programme!D20777,Programme!E20777,Programme!F20777,Programme!G20777,Programme!H20777,Programme!I20777,Programme!J20777)</f>
        <v>&lt;codeEdi&gt;14244&lt;/codeEdi&gt;</v>
      </c>
    </row>
    <row r="20777" spans="1:1" x14ac:dyDescent="0.2">
      <c r="A20777" s="996" t="str">
        <f>CONCATENATE(Programme!D20778,Programme!E20778,Programme!F20778,Programme!G20778,Programme!H20778,Programme!I20778,Programme!J20778)</f>
        <v>&lt;/cellule&gt;</v>
      </c>
    </row>
    <row r="20778" spans="1:1" x14ac:dyDescent="0.2">
      <c r="A20778" s="996" t="str">
        <f>CONCATENATE(Programme!D20779,Programme!E20779,Programme!F20779,Programme!G20779,Programme!H20779,Programme!I20779,Programme!J20779)</f>
        <v>&lt;valeur&gt;&lt;/valeur&gt;</v>
      </c>
    </row>
    <row r="20779" spans="1:1" x14ac:dyDescent="0.2">
      <c r="A20779" s="996" t="str">
        <f>CONCATENATE(Programme!D20780,Programme!E20780,Programme!F20780,Programme!G20780,Programme!H20780,Programme!I20780,Programme!J20780)</f>
        <v>&lt;/ValeurCellule&gt;</v>
      </c>
    </row>
    <row r="20780" spans="1:1" x14ac:dyDescent="0.2">
      <c r="A20780" s="996" t="str">
        <f>CONCATENATE(Programme!D20781,Programme!E20781,Programme!F20781,Programme!G20781,Programme!H20781,Programme!I20781,Programme!J20781)</f>
        <v>&lt;ValeurCellule&gt;</v>
      </c>
    </row>
    <row r="20781" spans="1:1" x14ac:dyDescent="0.2">
      <c r="A20781" s="996" t="str">
        <f>CONCATENATE(Programme!D20782,Programme!E20782,Programme!F20782,Programme!G20782,Programme!H20782,Programme!I20782,Programme!J20782)</f>
        <v>&lt;cellule&gt;</v>
      </c>
    </row>
    <row r="20782" spans="1:1" x14ac:dyDescent="0.2">
      <c r="A20782" s="996" t="str">
        <f>CONCATENATE(Programme!D20783,Programme!E20783,Programme!F20783,Programme!G20783,Programme!H20783,Programme!I20783,Programme!J20783)</f>
        <v>&lt;codeEdi&gt;14245&lt;/codeEdi&gt;</v>
      </c>
    </row>
    <row r="20783" spans="1:1" x14ac:dyDescent="0.2">
      <c r="A20783" s="996" t="str">
        <f>CONCATENATE(Programme!D20784,Programme!E20784,Programme!F20784,Programme!G20784,Programme!H20784,Programme!I20784,Programme!J20784)</f>
        <v>&lt;/cellule&gt;</v>
      </c>
    </row>
    <row r="20784" spans="1:1" x14ac:dyDescent="0.2">
      <c r="A20784" s="996" t="str">
        <f>CONCATENATE(Programme!D20785,Programme!E20785,Programme!F20785,Programme!G20785,Programme!H20785,Programme!I20785,Programme!J20785)</f>
        <v>&lt;valeur&gt;&lt;/valeur&gt;</v>
      </c>
    </row>
    <row r="20785" spans="1:1" x14ac:dyDescent="0.2">
      <c r="A20785" s="996" t="str">
        <f>CONCATENATE(Programme!D20786,Programme!E20786,Programme!F20786,Programme!G20786,Programme!H20786,Programme!I20786,Programme!J20786)</f>
        <v>&lt;/ValeurCellule&gt;</v>
      </c>
    </row>
    <row r="20786" spans="1:1" x14ac:dyDescent="0.2">
      <c r="A20786" s="996" t="str">
        <f>CONCATENATE(Programme!D20787,Programme!E20787,Programme!F20787,Programme!G20787,Programme!H20787,Programme!I20787,Programme!J20787)</f>
        <v>&lt;ValeurCellule&gt;</v>
      </c>
    </row>
    <row r="20787" spans="1:1" x14ac:dyDescent="0.2">
      <c r="A20787" s="996" t="str">
        <f>CONCATENATE(Programme!D20788,Programme!E20788,Programme!F20788,Programme!G20788,Programme!H20788,Programme!I20788,Programme!J20788)</f>
        <v>&lt;cellule&gt;</v>
      </c>
    </row>
    <row r="20788" spans="1:1" x14ac:dyDescent="0.2">
      <c r="A20788" s="996" t="str">
        <f>CONCATENATE(Programme!D20789,Programme!E20789,Programme!F20789,Programme!G20789,Programme!H20789,Programme!I20789,Programme!J20789)</f>
        <v>&lt;codeEdi&gt;14246&lt;/codeEdi&gt;</v>
      </c>
    </row>
    <row r="20789" spans="1:1" x14ac:dyDescent="0.2">
      <c r="A20789" s="996" t="str">
        <f>CONCATENATE(Programme!D20790,Programme!E20790,Programme!F20790,Programme!G20790,Programme!H20790,Programme!I20790,Programme!J20790)</f>
        <v>&lt;/cellule&gt;</v>
      </c>
    </row>
    <row r="20790" spans="1:1" x14ac:dyDescent="0.2">
      <c r="A20790" s="996" t="str">
        <f>CONCATENATE(Programme!D20791,Programme!E20791,Programme!F20791,Programme!G20791,Programme!H20791,Programme!I20791,Programme!J20791)</f>
        <v>&lt;valeur&gt;&lt;/valeur&gt;</v>
      </c>
    </row>
    <row r="20791" spans="1:1" x14ac:dyDescent="0.2">
      <c r="A20791" s="996" t="str">
        <f>CONCATENATE(Programme!D20792,Programme!E20792,Programme!F20792,Programme!G20792,Programme!H20792,Programme!I20792,Programme!J20792)</f>
        <v>&lt;/ValeurCellule&gt;</v>
      </c>
    </row>
    <row r="20792" spans="1:1" x14ac:dyDescent="0.2">
      <c r="A20792" s="996" t="str">
        <f>CONCATENATE(Programme!D20793,Programme!E20793,Programme!F20793,Programme!G20793,Programme!H20793,Programme!I20793,Programme!J20793)</f>
        <v>&lt;ValeurCellule&gt;</v>
      </c>
    </row>
    <row r="20793" spans="1:1" x14ac:dyDescent="0.2">
      <c r="A20793" s="996" t="str">
        <f>CONCATENATE(Programme!D20794,Programme!E20794,Programme!F20794,Programme!G20794,Programme!H20794,Programme!I20794,Programme!J20794)</f>
        <v>&lt;cellule&gt;</v>
      </c>
    </row>
    <row r="20794" spans="1:1" x14ac:dyDescent="0.2">
      <c r="A20794" s="996" t="str">
        <f>CONCATENATE(Programme!D20795,Programme!E20795,Programme!F20795,Programme!G20795,Programme!H20795,Programme!I20795,Programme!J20795)</f>
        <v>&lt;codeEdi&gt;14247&lt;/codeEdi&gt;</v>
      </c>
    </row>
    <row r="20795" spans="1:1" x14ac:dyDescent="0.2">
      <c r="A20795" s="996" t="str">
        <f>CONCATENATE(Programme!D20796,Programme!E20796,Programme!F20796,Programme!G20796,Programme!H20796,Programme!I20796,Programme!J20796)</f>
        <v>&lt;/cellule&gt;</v>
      </c>
    </row>
    <row r="20796" spans="1:1" x14ac:dyDescent="0.2">
      <c r="A20796" s="996" t="str">
        <f>CONCATENATE(Programme!D20797,Programme!E20797,Programme!F20797,Programme!G20797,Programme!H20797,Programme!I20797,Programme!J20797)</f>
        <v>&lt;valeur&gt;&lt;/valeur&gt;</v>
      </c>
    </row>
    <row r="20797" spans="1:1" x14ac:dyDescent="0.2">
      <c r="A20797" s="996" t="str">
        <f>CONCATENATE(Programme!D20798,Programme!E20798,Programme!F20798,Programme!G20798,Programme!H20798,Programme!I20798,Programme!J20798)</f>
        <v>&lt;/ValeurCellule&gt;</v>
      </c>
    </row>
    <row r="20798" spans="1:1" x14ac:dyDescent="0.2">
      <c r="A20798" s="996" t="str">
        <f>CONCATENATE(Programme!D20799,Programme!E20799,Programme!F20799,Programme!G20799,Programme!H20799,Programme!I20799,Programme!J20799)</f>
        <v>&lt;ValeurCellule&gt;</v>
      </c>
    </row>
    <row r="20799" spans="1:1" x14ac:dyDescent="0.2">
      <c r="A20799" s="996" t="str">
        <f>CONCATENATE(Programme!D20800,Programme!E20800,Programme!F20800,Programme!G20800,Programme!H20800,Programme!I20800,Programme!J20800)</f>
        <v>&lt;cellule&gt;</v>
      </c>
    </row>
    <row r="20800" spans="1:1" x14ac:dyDescent="0.2">
      <c r="A20800" s="996" t="str">
        <f>CONCATENATE(Programme!D20801,Programme!E20801,Programme!F20801,Programme!G20801,Programme!H20801,Programme!I20801,Programme!J20801)</f>
        <v>&lt;codeEdi&gt;14248&lt;/codeEdi&gt;</v>
      </c>
    </row>
    <row r="20801" spans="1:1" x14ac:dyDescent="0.2">
      <c r="A20801" s="996" t="str">
        <f>CONCATENATE(Programme!D20802,Programme!E20802,Programme!F20802,Programme!G20802,Programme!H20802,Programme!I20802,Programme!J20802)</f>
        <v>&lt;/cellule&gt;</v>
      </c>
    </row>
    <row r="20802" spans="1:1" x14ac:dyDescent="0.2">
      <c r="A20802" s="996" t="str">
        <f>CONCATENATE(Programme!D20803,Programme!E20803,Programme!F20803,Programme!G20803,Programme!H20803,Programme!I20803,Programme!J20803)</f>
        <v>&lt;valeur&gt;&lt;/valeur&gt;</v>
      </c>
    </row>
    <row r="20803" spans="1:1" x14ac:dyDescent="0.2">
      <c r="A20803" s="996" t="str">
        <f>CONCATENATE(Programme!D20804,Programme!E20804,Programme!F20804,Programme!G20804,Programme!H20804,Programme!I20804,Programme!J20804)</f>
        <v>&lt;/ValeurCellule&gt;</v>
      </c>
    </row>
    <row r="20804" spans="1:1" x14ac:dyDescent="0.2">
      <c r="A20804" s="996" t="str">
        <f>CONCATENATE(Programme!D20805,Programme!E20805,Programme!F20805,Programme!G20805,Programme!H20805,Programme!I20805,Programme!J20805)</f>
        <v>&lt;ValeurCellule&gt;</v>
      </c>
    </row>
    <row r="20805" spans="1:1" x14ac:dyDescent="0.2">
      <c r="A20805" s="996" t="str">
        <f>CONCATENATE(Programme!D20806,Programme!E20806,Programme!F20806,Programme!G20806,Programme!H20806,Programme!I20806,Programme!J20806)</f>
        <v>&lt;cellule&gt;</v>
      </c>
    </row>
    <row r="20806" spans="1:1" x14ac:dyDescent="0.2">
      <c r="A20806" s="996" t="str">
        <f>CONCATENATE(Programme!D20807,Programme!E20807,Programme!F20807,Programme!G20807,Programme!H20807,Programme!I20807,Programme!J20807)</f>
        <v>&lt;codeEdi&gt;14249&lt;/codeEdi&gt;</v>
      </c>
    </row>
    <row r="20807" spans="1:1" x14ac:dyDescent="0.2">
      <c r="A20807" s="996" t="str">
        <f>CONCATENATE(Programme!D20808,Programme!E20808,Programme!F20808,Programme!G20808,Programme!H20808,Programme!I20808,Programme!J20808)</f>
        <v>&lt;/cellule&gt;</v>
      </c>
    </row>
    <row r="20808" spans="1:1" x14ac:dyDescent="0.2">
      <c r="A20808" s="996" t="str">
        <f>CONCATENATE(Programme!D20809,Programme!E20809,Programme!F20809,Programme!G20809,Programme!H20809,Programme!I20809,Programme!J20809)</f>
        <v>&lt;valeur&gt;0&lt;/valeur&gt;</v>
      </c>
    </row>
    <row r="20809" spans="1:1" x14ac:dyDescent="0.2">
      <c r="A20809" s="996" t="str">
        <f>CONCATENATE(Programme!D20810,Programme!E20810,Programme!F20810,Programme!G20810,Programme!H20810,Programme!I20810,Programme!J20810)</f>
        <v>&lt;/ValeurCellule&gt;</v>
      </c>
    </row>
    <row r="20810" spans="1:1" x14ac:dyDescent="0.2">
      <c r="A20810" s="996" t="str">
        <f>CONCATENATE(Programme!D20811,Programme!E20811,Programme!F20811,Programme!G20811,Programme!H20811,Programme!I20811,Programme!J20811)</f>
        <v>&lt;ValeurCellule&gt;</v>
      </c>
    </row>
    <row r="20811" spans="1:1" x14ac:dyDescent="0.2">
      <c r="A20811" s="996" t="str">
        <f>CONCATENATE(Programme!D20812,Programme!E20812,Programme!F20812,Programme!G20812,Programme!H20812,Programme!I20812,Programme!J20812)</f>
        <v>&lt;cellule&gt;</v>
      </c>
    </row>
    <row r="20812" spans="1:1" x14ac:dyDescent="0.2">
      <c r="A20812" s="996" t="str">
        <f>CONCATENATE(Programme!D20813,Programme!E20813,Programme!F20813,Programme!G20813,Programme!H20813,Programme!I20813,Programme!J20813)</f>
        <v>&lt;codeEdi&gt;14250&lt;/codeEdi&gt;</v>
      </c>
    </row>
    <row r="20813" spans="1:1" x14ac:dyDescent="0.2">
      <c r="A20813" s="996" t="str">
        <f>CONCATENATE(Programme!D20814,Programme!E20814,Programme!F20814,Programme!G20814,Programme!H20814,Programme!I20814,Programme!J20814)</f>
        <v>&lt;/cellule&gt;</v>
      </c>
    </row>
    <row r="20814" spans="1:1" x14ac:dyDescent="0.2">
      <c r="A20814" s="996" t="str">
        <f>CONCATENATE(Programme!D20815,Programme!E20815,Programme!F20815,Programme!G20815,Programme!H20815,Programme!I20815,Programme!J20815)</f>
        <v>&lt;valeur&gt;&lt;/valeur&gt;</v>
      </c>
    </row>
    <row r="20815" spans="1:1" x14ac:dyDescent="0.2">
      <c r="A20815" s="996" t="str">
        <f>CONCATENATE(Programme!D20816,Programme!E20816,Programme!F20816,Programme!G20816,Programme!H20816,Programme!I20816,Programme!J20816)</f>
        <v>&lt;/ValeurCellule&gt;</v>
      </c>
    </row>
    <row r="20816" spans="1:1" x14ac:dyDescent="0.2">
      <c r="A20816" s="996" t="str">
        <f>CONCATENATE(Programme!D20817,Programme!E20817,Programme!F20817,Programme!G20817,Programme!H20817,Programme!I20817,Programme!J20817)</f>
        <v>&lt;ValeurCellule&gt;</v>
      </c>
    </row>
    <row r="20817" spans="1:1" x14ac:dyDescent="0.2">
      <c r="A20817" s="996" t="str">
        <f>CONCATENATE(Programme!D20818,Programme!E20818,Programme!F20818,Programme!G20818,Programme!H20818,Programme!I20818,Programme!J20818)</f>
        <v>&lt;cellule&gt;</v>
      </c>
    </row>
    <row r="20818" spans="1:1" x14ac:dyDescent="0.2">
      <c r="A20818" s="996" t="str">
        <f>CONCATENATE(Programme!D20819,Programme!E20819,Programme!F20819,Programme!G20819,Programme!H20819,Programme!I20819,Programme!J20819)</f>
        <v>&lt;codeEdi&gt;14251&lt;/codeEdi&gt;</v>
      </c>
    </row>
    <row r="20819" spans="1:1" x14ac:dyDescent="0.2">
      <c r="A20819" s="996" t="str">
        <f>CONCATENATE(Programme!D20820,Programme!E20820,Programme!F20820,Programme!G20820,Programme!H20820,Programme!I20820,Programme!J20820)</f>
        <v>&lt;/cellule&gt;</v>
      </c>
    </row>
    <row r="20820" spans="1:1" x14ac:dyDescent="0.2">
      <c r="A20820" s="996" t="str">
        <f>CONCATENATE(Programme!D20821,Programme!E20821,Programme!F20821,Programme!G20821,Programme!H20821,Programme!I20821,Programme!J20821)</f>
        <v>&lt;valeur&gt;&lt;/valeur&gt;</v>
      </c>
    </row>
    <row r="20821" spans="1:1" x14ac:dyDescent="0.2">
      <c r="A20821" s="996" t="str">
        <f>CONCATENATE(Programme!D20822,Programme!E20822,Programme!F20822,Programme!G20822,Programme!H20822,Programme!I20822,Programme!J20822)</f>
        <v>&lt;/ValeurCellule&gt;</v>
      </c>
    </row>
    <row r="20822" spans="1:1" x14ac:dyDescent="0.2">
      <c r="A20822" s="996" t="str">
        <f>CONCATENATE(Programme!D20823,Programme!E20823,Programme!F20823,Programme!G20823,Programme!H20823,Programme!I20823,Programme!J20823)</f>
        <v>&lt;ValeurCellule&gt;</v>
      </c>
    </row>
    <row r="20823" spans="1:1" x14ac:dyDescent="0.2">
      <c r="A20823" s="996" t="str">
        <f>CONCATENATE(Programme!D20824,Programme!E20824,Programme!F20824,Programme!G20824,Programme!H20824,Programme!I20824,Programme!J20824)</f>
        <v>&lt;cellule&gt;</v>
      </c>
    </row>
    <row r="20824" spans="1:1" x14ac:dyDescent="0.2">
      <c r="A20824" s="996" t="str">
        <f>CONCATENATE(Programme!D20825,Programme!E20825,Programme!F20825,Programme!G20825,Programme!H20825,Programme!I20825,Programme!J20825)</f>
        <v>&lt;codeEdi&gt;14252&lt;/codeEdi&gt;</v>
      </c>
    </row>
    <row r="20825" spans="1:1" x14ac:dyDescent="0.2">
      <c r="A20825" s="996" t="str">
        <f>CONCATENATE(Programme!D20826,Programme!E20826,Programme!F20826,Programme!G20826,Programme!H20826,Programme!I20826,Programme!J20826)</f>
        <v>&lt;/cellule&gt;</v>
      </c>
    </row>
    <row r="20826" spans="1:1" x14ac:dyDescent="0.2">
      <c r="A20826" s="996" t="str">
        <f>CONCATENATE(Programme!D20827,Programme!E20827,Programme!F20827,Programme!G20827,Programme!H20827,Programme!I20827,Programme!J20827)</f>
        <v>&lt;valeur&gt;&lt;/valeur&gt;</v>
      </c>
    </row>
    <row r="20827" spans="1:1" x14ac:dyDescent="0.2">
      <c r="A20827" s="996" t="str">
        <f>CONCATENATE(Programme!D20828,Programme!E20828,Programme!F20828,Programme!G20828,Programme!H20828,Programme!I20828,Programme!J20828)</f>
        <v>&lt;/ValeurCellule&gt;</v>
      </c>
    </row>
    <row r="20828" spans="1:1" x14ac:dyDescent="0.2">
      <c r="A20828" s="996" t="str">
        <f>CONCATENATE(Programme!D20829,Programme!E20829,Programme!F20829,Programme!G20829,Programme!H20829,Programme!I20829,Programme!J20829)</f>
        <v>&lt;ValeurCellule&gt;</v>
      </c>
    </row>
    <row r="20829" spans="1:1" x14ac:dyDescent="0.2">
      <c r="A20829" s="996" t="str">
        <f>CONCATENATE(Programme!D20830,Programme!E20830,Programme!F20830,Programme!G20830,Programme!H20830,Programme!I20830,Programme!J20830)</f>
        <v>&lt;cellule&gt;</v>
      </c>
    </row>
    <row r="20830" spans="1:1" x14ac:dyDescent="0.2">
      <c r="A20830" s="996" t="str">
        <f>CONCATENATE(Programme!D20831,Programme!E20831,Programme!F20831,Programme!G20831,Programme!H20831,Programme!I20831,Programme!J20831)</f>
        <v>&lt;codeEdi&gt;14253&lt;/codeEdi&gt;</v>
      </c>
    </row>
    <row r="20831" spans="1:1" x14ac:dyDescent="0.2">
      <c r="A20831" s="996" t="str">
        <f>CONCATENATE(Programme!D20832,Programme!E20832,Programme!F20832,Programme!G20832,Programme!H20832,Programme!I20832,Programme!J20832)</f>
        <v>&lt;/cellule&gt;</v>
      </c>
    </row>
    <row r="20832" spans="1:1" x14ac:dyDescent="0.2">
      <c r="A20832" s="996" t="str">
        <f>CONCATENATE(Programme!D20833,Programme!E20833,Programme!F20833,Programme!G20833,Programme!H20833,Programme!I20833,Programme!J20833)</f>
        <v>&lt;valeur&gt;&lt;/valeur&gt;</v>
      </c>
    </row>
    <row r="20833" spans="1:1" x14ac:dyDescent="0.2">
      <c r="A20833" s="996" t="str">
        <f>CONCATENATE(Programme!D20834,Programme!E20834,Programme!F20834,Programme!G20834,Programme!H20834,Programme!I20834,Programme!J20834)</f>
        <v>&lt;/ValeurCellule&gt;</v>
      </c>
    </row>
    <row r="20834" spans="1:1" x14ac:dyDescent="0.2">
      <c r="A20834" s="996" t="str">
        <f>CONCATENATE(Programme!D20835,Programme!E20835,Programme!F20835,Programme!G20835,Programme!H20835,Programme!I20835,Programme!J20835)</f>
        <v>&lt;ValeurCellule&gt;</v>
      </c>
    </row>
    <row r="20835" spans="1:1" x14ac:dyDescent="0.2">
      <c r="A20835" s="996" t="str">
        <f>CONCATENATE(Programme!D20836,Programme!E20836,Programme!F20836,Programme!G20836,Programme!H20836,Programme!I20836,Programme!J20836)</f>
        <v>&lt;cellule&gt;</v>
      </c>
    </row>
    <row r="20836" spans="1:1" x14ac:dyDescent="0.2">
      <c r="A20836" s="996" t="str">
        <f>CONCATENATE(Programme!D20837,Programme!E20837,Programme!F20837,Programme!G20837,Programme!H20837,Programme!I20837,Programme!J20837)</f>
        <v>&lt;codeEdi&gt;14254&lt;/codeEdi&gt;</v>
      </c>
    </row>
    <row r="20837" spans="1:1" x14ac:dyDescent="0.2">
      <c r="A20837" s="996" t="str">
        <f>CONCATENATE(Programme!D20838,Programme!E20838,Programme!F20838,Programme!G20838,Programme!H20838,Programme!I20838,Programme!J20838)</f>
        <v>&lt;/cellule&gt;</v>
      </c>
    </row>
    <row r="20838" spans="1:1" x14ac:dyDescent="0.2">
      <c r="A20838" s="996" t="str">
        <f>CONCATENATE(Programme!D20839,Programme!E20839,Programme!F20839,Programme!G20839,Programme!H20839,Programme!I20839,Programme!J20839)</f>
        <v>&lt;valeur&gt;&lt;/valeur&gt;</v>
      </c>
    </row>
    <row r="20839" spans="1:1" x14ac:dyDescent="0.2">
      <c r="A20839" s="996" t="str">
        <f>CONCATENATE(Programme!D20840,Programme!E20840,Programme!F20840,Programme!G20840,Programme!H20840,Programme!I20840,Programme!J20840)</f>
        <v>&lt;/ValeurCellule&gt;</v>
      </c>
    </row>
    <row r="20840" spans="1:1" x14ac:dyDescent="0.2">
      <c r="A20840" s="996" t="str">
        <f>CONCATENATE(Programme!D20841,Programme!E20841,Programme!F20841,Programme!G20841,Programme!H20841,Programme!I20841,Programme!J20841)</f>
        <v>&lt;ValeurCellule&gt;</v>
      </c>
    </row>
    <row r="20841" spans="1:1" x14ac:dyDescent="0.2">
      <c r="A20841" s="996" t="str">
        <f>CONCATENATE(Programme!D20842,Programme!E20842,Programme!F20842,Programme!G20842,Programme!H20842,Programme!I20842,Programme!J20842)</f>
        <v>&lt;cellule&gt;</v>
      </c>
    </row>
    <row r="20842" spans="1:1" x14ac:dyDescent="0.2">
      <c r="A20842" s="996" t="str">
        <f>CONCATENATE(Programme!D20843,Programme!E20843,Programme!F20843,Programme!G20843,Programme!H20843,Programme!I20843,Programme!J20843)</f>
        <v>&lt;codeEdi&gt;14255&lt;/codeEdi&gt;</v>
      </c>
    </row>
    <row r="20843" spans="1:1" x14ac:dyDescent="0.2">
      <c r="A20843" s="996" t="str">
        <f>CONCATENATE(Programme!D20844,Programme!E20844,Programme!F20844,Programme!G20844,Programme!H20844,Programme!I20844,Programme!J20844)</f>
        <v>&lt;/cellule&gt;</v>
      </c>
    </row>
    <row r="20844" spans="1:1" x14ac:dyDescent="0.2">
      <c r="A20844" s="996" t="str">
        <f>CONCATENATE(Programme!D20845,Programme!E20845,Programme!F20845,Programme!G20845,Programme!H20845,Programme!I20845,Programme!J20845)</f>
        <v>&lt;valeur&gt;0&lt;/valeur&gt;</v>
      </c>
    </row>
    <row r="20845" spans="1:1" x14ac:dyDescent="0.2">
      <c r="A20845" s="996" t="str">
        <f>CONCATENATE(Programme!D20846,Programme!E20846,Programme!F20846,Programme!G20846,Programme!H20846,Programme!I20846,Programme!J20846)</f>
        <v>&lt;/ValeurCellule&gt;</v>
      </c>
    </row>
    <row r="20846" spans="1:1" x14ac:dyDescent="0.2">
      <c r="A20846" s="996" t="str">
        <f>CONCATENATE(Programme!D20847,Programme!E20847,Programme!F20847,Programme!G20847,Programme!H20847,Programme!I20847,Programme!J20847)</f>
        <v>&lt;ValeurCellule&gt;</v>
      </c>
    </row>
    <row r="20847" spans="1:1" x14ac:dyDescent="0.2">
      <c r="A20847" s="996" t="str">
        <f>CONCATENATE(Programme!D20848,Programme!E20848,Programme!F20848,Programme!G20848,Programme!H20848,Programme!I20848,Programme!J20848)</f>
        <v>&lt;cellule&gt;</v>
      </c>
    </row>
    <row r="20848" spans="1:1" x14ac:dyDescent="0.2">
      <c r="A20848" s="996" t="str">
        <f>CONCATENATE(Programme!D20849,Programme!E20849,Programme!F20849,Programme!G20849,Programme!H20849,Programme!I20849,Programme!J20849)</f>
        <v>&lt;codeEdi&gt;14256&lt;/codeEdi&gt;</v>
      </c>
    </row>
    <row r="20849" spans="1:1" x14ac:dyDescent="0.2">
      <c r="A20849" s="996" t="str">
        <f>CONCATENATE(Programme!D20850,Programme!E20850,Programme!F20850,Programme!G20850,Programme!H20850,Programme!I20850,Programme!J20850)</f>
        <v>&lt;/cellule&gt;</v>
      </c>
    </row>
    <row r="20850" spans="1:1" x14ac:dyDescent="0.2">
      <c r="A20850" s="996" t="str">
        <f>CONCATENATE(Programme!D20851,Programme!E20851,Programme!F20851,Programme!G20851,Programme!H20851,Programme!I20851,Programme!J20851)</f>
        <v>&lt;valeur&gt;&lt;/valeur&gt;</v>
      </c>
    </row>
    <row r="20851" spans="1:1" x14ac:dyDescent="0.2">
      <c r="A20851" s="996" t="str">
        <f>CONCATENATE(Programme!D20852,Programme!E20852,Programme!F20852,Programme!G20852,Programme!H20852,Programme!I20852,Programme!J20852)</f>
        <v>&lt;/ValeurCellule&gt;</v>
      </c>
    </row>
    <row r="20852" spans="1:1" x14ac:dyDescent="0.2">
      <c r="A20852" s="996" t="str">
        <f>CONCATENATE(Programme!D20853,Programme!E20853,Programme!F20853,Programme!G20853,Programme!H20853,Programme!I20853,Programme!J20853)</f>
        <v>&lt;ValeurCellule&gt;</v>
      </c>
    </row>
    <row r="20853" spans="1:1" x14ac:dyDescent="0.2">
      <c r="A20853" s="996" t="str">
        <f>CONCATENATE(Programme!D20854,Programme!E20854,Programme!F20854,Programme!G20854,Programme!H20854,Programme!I20854,Programme!J20854)</f>
        <v>&lt;cellule&gt;</v>
      </c>
    </row>
    <row r="20854" spans="1:1" x14ac:dyDescent="0.2">
      <c r="A20854" s="996" t="str">
        <f>CONCATENATE(Programme!D20855,Programme!E20855,Programme!F20855,Programme!G20855,Programme!H20855,Programme!I20855,Programme!J20855)</f>
        <v>&lt;codeEdi&gt;14257&lt;/codeEdi&gt;</v>
      </c>
    </row>
    <row r="20855" spans="1:1" x14ac:dyDescent="0.2">
      <c r="A20855" s="996" t="str">
        <f>CONCATENATE(Programme!D20856,Programme!E20856,Programme!F20856,Programme!G20856,Programme!H20856,Programme!I20856,Programme!J20856)</f>
        <v>&lt;/cellule&gt;</v>
      </c>
    </row>
    <row r="20856" spans="1:1" x14ac:dyDescent="0.2">
      <c r="A20856" s="996" t="str">
        <f>CONCATENATE(Programme!D20857,Programme!E20857,Programme!F20857,Programme!G20857,Programme!H20857,Programme!I20857,Programme!J20857)</f>
        <v>&lt;valeur&gt;&lt;/valeur&gt;</v>
      </c>
    </row>
    <row r="20857" spans="1:1" x14ac:dyDescent="0.2">
      <c r="A20857" s="996" t="str">
        <f>CONCATENATE(Programme!D20858,Programme!E20858,Programme!F20858,Programme!G20858,Programme!H20858,Programme!I20858,Programme!J20858)</f>
        <v>&lt;/ValeurCellule&gt;</v>
      </c>
    </row>
    <row r="20858" spans="1:1" x14ac:dyDescent="0.2">
      <c r="A20858" s="996" t="str">
        <f>CONCATENATE(Programme!D20859,Programme!E20859,Programme!F20859,Programme!G20859,Programme!H20859,Programme!I20859,Programme!J20859)</f>
        <v>&lt;ValeurCellule&gt;</v>
      </c>
    </row>
    <row r="20859" spans="1:1" x14ac:dyDescent="0.2">
      <c r="A20859" s="996" t="str">
        <f>CONCATENATE(Programme!D20860,Programme!E20860,Programme!F20860,Programme!G20860,Programme!H20860,Programme!I20860,Programme!J20860)</f>
        <v>&lt;cellule&gt;</v>
      </c>
    </row>
    <row r="20860" spans="1:1" x14ac:dyDescent="0.2">
      <c r="A20860" s="996" t="str">
        <f>CONCATENATE(Programme!D20861,Programme!E20861,Programme!F20861,Programme!G20861,Programme!H20861,Programme!I20861,Programme!J20861)</f>
        <v>&lt;codeEdi&gt;14258&lt;/codeEdi&gt;</v>
      </c>
    </row>
    <row r="20861" spans="1:1" x14ac:dyDescent="0.2">
      <c r="A20861" s="996" t="str">
        <f>CONCATENATE(Programme!D20862,Programme!E20862,Programme!F20862,Programme!G20862,Programme!H20862,Programme!I20862,Programme!J20862)</f>
        <v>&lt;/cellule&gt;</v>
      </c>
    </row>
    <row r="20862" spans="1:1" x14ac:dyDescent="0.2">
      <c r="A20862" s="996" t="str">
        <f>CONCATENATE(Programme!D20863,Programme!E20863,Programme!F20863,Programme!G20863,Programme!H20863,Programme!I20863,Programme!J20863)</f>
        <v>&lt;valeur&gt;&lt;/valeur&gt;</v>
      </c>
    </row>
    <row r="20863" spans="1:1" x14ac:dyDescent="0.2">
      <c r="A20863" s="996" t="str">
        <f>CONCATENATE(Programme!D20864,Programme!E20864,Programme!F20864,Programme!G20864,Programme!H20864,Programme!I20864,Programme!J20864)</f>
        <v>&lt;/ValeurCellule&gt;</v>
      </c>
    </row>
    <row r="20864" spans="1:1" x14ac:dyDescent="0.2">
      <c r="A20864" s="996" t="str">
        <f>CONCATENATE(Programme!D20865,Programme!E20865,Programme!F20865,Programme!G20865,Programme!H20865,Programme!I20865,Programme!J20865)</f>
        <v>&lt;ValeurCellule&gt;</v>
      </c>
    </row>
    <row r="20865" spans="1:1" x14ac:dyDescent="0.2">
      <c r="A20865" s="996" t="str">
        <f>CONCATENATE(Programme!D20866,Programme!E20866,Programme!F20866,Programme!G20866,Programme!H20866,Programme!I20866,Programme!J20866)</f>
        <v>&lt;cellule&gt;</v>
      </c>
    </row>
    <row r="20866" spans="1:1" x14ac:dyDescent="0.2">
      <c r="A20866" s="996" t="str">
        <f>CONCATENATE(Programme!D20867,Programme!E20867,Programme!F20867,Programme!G20867,Programme!H20867,Programme!I20867,Programme!J20867)</f>
        <v>&lt;codeEdi&gt;14259&lt;/codeEdi&gt;</v>
      </c>
    </row>
    <row r="20867" spans="1:1" x14ac:dyDescent="0.2">
      <c r="A20867" s="996" t="str">
        <f>CONCATENATE(Programme!D20868,Programme!E20868,Programme!F20868,Programme!G20868,Programme!H20868,Programme!I20868,Programme!J20868)</f>
        <v>&lt;/cellule&gt;</v>
      </c>
    </row>
    <row r="20868" spans="1:1" x14ac:dyDescent="0.2">
      <c r="A20868" s="996" t="str">
        <f>CONCATENATE(Programme!D20869,Programme!E20869,Programme!F20869,Programme!G20869,Programme!H20869,Programme!I20869,Programme!J20869)</f>
        <v>&lt;valeur&gt;&lt;/valeur&gt;</v>
      </c>
    </row>
    <row r="20869" spans="1:1" x14ac:dyDescent="0.2">
      <c r="A20869" s="996" t="str">
        <f>CONCATENATE(Programme!D20870,Programme!E20870,Programme!F20870,Programme!G20870,Programme!H20870,Programme!I20870,Programme!J20870)</f>
        <v>&lt;/ValeurCellule&gt;</v>
      </c>
    </row>
    <row r="20870" spans="1:1" x14ac:dyDescent="0.2">
      <c r="A20870" s="996" t="str">
        <f>CONCATENATE(Programme!D20871,Programme!E20871,Programme!F20871,Programme!G20871,Programme!H20871,Programme!I20871,Programme!J20871)</f>
        <v>&lt;ValeurCellule&gt;</v>
      </c>
    </row>
    <row r="20871" spans="1:1" x14ac:dyDescent="0.2">
      <c r="A20871" s="996" t="str">
        <f>CONCATENATE(Programme!D20872,Programme!E20872,Programme!F20872,Programme!G20872,Programme!H20872,Programme!I20872,Programme!J20872)</f>
        <v>&lt;cellule&gt;</v>
      </c>
    </row>
    <row r="20872" spans="1:1" x14ac:dyDescent="0.2">
      <c r="A20872" s="996" t="str">
        <f>CONCATENATE(Programme!D20873,Programme!E20873,Programme!F20873,Programme!G20873,Programme!H20873,Programme!I20873,Programme!J20873)</f>
        <v>&lt;codeEdi&gt;14260&lt;/codeEdi&gt;</v>
      </c>
    </row>
    <row r="20873" spans="1:1" x14ac:dyDescent="0.2">
      <c r="A20873" s="996" t="str">
        <f>CONCATENATE(Programme!D20874,Programme!E20874,Programme!F20874,Programme!G20874,Programme!H20874,Programme!I20874,Programme!J20874)</f>
        <v>&lt;/cellule&gt;</v>
      </c>
    </row>
    <row r="20874" spans="1:1" x14ac:dyDescent="0.2">
      <c r="A20874" s="996" t="str">
        <f>CONCATENATE(Programme!D20875,Programme!E20875,Programme!F20875,Programme!G20875,Programme!H20875,Programme!I20875,Programme!J20875)</f>
        <v>&lt;valeur&gt;&lt;/valeur&gt;</v>
      </c>
    </row>
    <row r="20875" spans="1:1" x14ac:dyDescent="0.2">
      <c r="A20875" s="996" t="str">
        <f>CONCATENATE(Programme!D20876,Programme!E20876,Programme!F20876,Programme!G20876,Programme!H20876,Programme!I20876,Programme!J20876)</f>
        <v>&lt;/ValeurCellule&gt;</v>
      </c>
    </row>
    <row r="20876" spans="1:1" x14ac:dyDescent="0.2">
      <c r="A20876" s="996" t="str">
        <f>CONCATENATE(Programme!D20877,Programme!E20877,Programme!F20877,Programme!G20877,Programme!H20877,Programme!I20877,Programme!J20877)</f>
        <v>&lt;ValeurCellule&gt;</v>
      </c>
    </row>
    <row r="20877" spans="1:1" x14ac:dyDescent="0.2">
      <c r="A20877" s="996" t="str">
        <f>CONCATENATE(Programme!D20878,Programme!E20878,Programme!F20878,Programme!G20878,Programme!H20878,Programme!I20878,Programme!J20878)</f>
        <v>&lt;cellule&gt;</v>
      </c>
    </row>
    <row r="20878" spans="1:1" x14ac:dyDescent="0.2">
      <c r="A20878" s="996" t="str">
        <f>CONCATENATE(Programme!D20879,Programme!E20879,Programme!F20879,Programme!G20879,Programme!H20879,Programme!I20879,Programme!J20879)</f>
        <v>&lt;codeEdi&gt;14262&lt;/codeEdi&gt;</v>
      </c>
    </row>
    <row r="20879" spans="1:1" x14ac:dyDescent="0.2">
      <c r="A20879" s="996" t="str">
        <f>CONCATENATE(Programme!D20880,Programme!E20880,Programme!F20880,Programme!G20880,Programme!H20880,Programme!I20880,Programme!J20880)</f>
        <v>&lt;/cellule&gt;</v>
      </c>
    </row>
    <row r="20880" spans="1:1" x14ac:dyDescent="0.2">
      <c r="A20880" s="996" t="str">
        <f>CONCATENATE(Programme!D20881,Programme!E20881,Programme!F20881,Programme!G20881,Programme!H20881,Programme!I20881,Programme!J20881)</f>
        <v>&lt;valeur&gt;&lt;/valeur&gt;</v>
      </c>
    </row>
    <row r="20881" spans="1:1" x14ac:dyDescent="0.2">
      <c r="A20881" s="996" t="str">
        <f>CONCATENATE(Programme!D20882,Programme!E20882,Programme!F20882,Programme!G20882,Programme!H20882,Programme!I20882,Programme!J20882)</f>
        <v>&lt;/ValeurCellule&gt;</v>
      </c>
    </row>
    <row r="20882" spans="1:1" x14ac:dyDescent="0.2">
      <c r="A20882" s="996" t="str">
        <f>CONCATENATE(Programme!D20883,Programme!E20883,Programme!F20883,Programme!G20883,Programme!H20883,Programme!I20883,Programme!J20883)</f>
        <v>&lt;ValeurCellule&gt;</v>
      </c>
    </row>
    <row r="20883" spans="1:1" x14ac:dyDescent="0.2">
      <c r="A20883" s="996" t="str">
        <f>CONCATENATE(Programme!D20884,Programme!E20884,Programme!F20884,Programme!G20884,Programme!H20884,Programme!I20884,Programme!J20884)</f>
        <v>&lt;cellule&gt;</v>
      </c>
    </row>
    <row r="20884" spans="1:1" x14ac:dyDescent="0.2">
      <c r="A20884" s="996" t="str">
        <f>CONCATENATE(Programme!D20885,Programme!E20885,Programme!F20885,Programme!G20885,Programme!H20885,Programme!I20885,Programme!J20885)</f>
        <v>&lt;codeEdi&gt;14263&lt;/codeEdi&gt;</v>
      </c>
    </row>
    <row r="20885" spans="1:1" x14ac:dyDescent="0.2">
      <c r="A20885" s="996" t="str">
        <f>CONCATENATE(Programme!D20886,Programme!E20886,Programme!F20886,Programme!G20886,Programme!H20886,Programme!I20886,Programme!J20886)</f>
        <v>&lt;/cellule&gt;</v>
      </c>
    </row>
    <row r="20886" spans="1:1" x14ac:dyDescent="0.2">
      <c r="A20886" s="996" t="str">
        <f>CONCATENATE(Programme!D20887,Programme!E20887,Programme!F20887,Programme!G20887,Programme!H20887,Programme!I20887,Programme!J20887)</f>
        <v>&lt;valeur&gt;&lt;/valeur&gt;</v>
      </c>
    </row>
    <row r="20887" spans="1:1" x14ac:dyDescent="0.2">
      <c r="A20887" s="996" t="str">
        <f>CONCATENATE(Programme!D20888,Programme!E20888,Programme!F20888,Programme!G20888,Programme!H20888,Programme!I20888,Programme!J20888)</f>
        <v>&lt;/ValeurCellule&gt;</v>
      </c>
    </row>
    <row r="20888" spans="1:1" x14ac:dyDescent="0.2">
      <c r="A20888" s="996" t="str">
        <f>CONCATENATE(Programme!D20889,Programme!E20889,Programme!F20889,Programme!G20889,Programme!H20889,Programme!I20889,Programme!J20889)</f>
        <v>&lt;ValeurCellule&gt;</v>
      </c>
    </row>
    <row r="20889" spans="1:1" x14ac:dyDescent="0.2">
      <c r="A20889" s="996" t="str">
        <f>CONCATENATE(Programme!D20890,Programme!E20890,Programme!F20890,Programme!G20890,Programme!H20890,Programme!I20890,Programme!J20890)</f>
        <v>&lt;cellule&gt;</v>
      </c>
    </row>
    <row r="20890" spans="1:1" x14ac:dyDescent="0.2">
      <c r="A20890" s="996" t="str">
        <f>CONCATENATE(Programme!D20891,Programme!E20891,Programme!F20891,Programme!G20891,Programme!H20891,Programme!I20891,Programme!J20891)</f>
        <v>&lt;codeEdi&gt;14264&lt;/codeEdi&gt;</v>
      </c>
    </row>
    <row r="20891" spans="1:1" x14ac:dyDescent="0.2">
      <c r="A20891" s="996" t="str">
        <f>CONCATENATE(Programme!D20892,Programme!E20892,Programme!F20892,Programme!G20892,Programme!H20892,Programme!I20892,Programme!J20892)</f>
        <v>&lt;/cellule&gt;</v>
      </c>
    </row>
    <row r="20892" spans="1:1" x14ac:dyDescent="0.2">
      <c r="A20892" s="996" t="str">
        <f>CONCATENATE(Programme!D20893,Programme!E20893,Programme!F20893,Programme!G20893,Programme!H20893,Programme!I20893,Programme!J20893)</f>
        <v>&lt;valeur&gt;&lt;/valeur&gt;</v>
      </c>
    </row>
    <row r="20893" spans="1:1" x14ac:dyDescent="0.2">
      <c r="A20893" s="996" t="str">
        <f>CONCATENATE(Programme!D20894,Programme!E20894,Programme!F20894,Programme!G20894,Programme!H20894,Programme!I20894,Programme!J20894)</f>
        <v>&lt;/ValeurCellule&gt;</v>
      </c>
    </row>
    <row r="20894" spans="1:1" x14ac:dyDescent="0.2">
      <c r="A20894" s="996" t="str">
        <f>CONCATENATE(Programme!D20895,Programme!E20895,Programme!F20895,Programme!G20895,Programme!H20895,Programme!I20895,Programme!J20895)</f>
        <v>&lt;ValeurCellule&gt;</v>
      </c>
    </row>
    <row r="20895" spans="1:1" x14ac:dyDescent="0.2">
      <c r="A20895" s="996" t="str">
        <f>CONCATENATE(Programme!D20896,Programme!E20896,Programme!F20896,Programme!G20896,Programme!H20896,Programme!I20896,Programme!J20896)</f>
        <v>&lt;cellule&gt;</v>
      </c>
    </row>
    <row r="20896" spans="1:1" x14ac:dyDescent="0.2">
      <c r="A20896" s="996" t="str">
        <f>CONCATENATE(Programme!D20897,Programme!E20897,Programme!F20897,Programme!G20897,Programme!H20897,Programme!I20897,Programme!J20897)</f>
        <v>&lt;codeEdi&gt;14261&lt;/codeEdi&gt;</v>
      </c>
    </row>
    <row r="20897" spans="1:1" x14ac:dyDescent="0.2">
      <c r="A20897" s="996" t="str">
        <f>CONCATENATE(Programme!D20898,Programme!E20898,Programme!F20898,Programme!G20898,Programme!H20898,Programme!I20898,Programme!J20898)</f>
        <v>&lt;/cellule&gt;</v>
      </c>
    </row>
    <row r="20898" spans="1:1" x14ac:dyDescent="0.2">
      <c r="A20898" s="996" t="str">
        <f>CONCATENATE(Programme!D20899,Programme!E20899,Programme!F20899,Programme!G20899,Programme!H20899,Programme!I20899,Programme!J20899)</f>
        <v>&lt;valeur&gt;&lt;/valeur&gt;</v>
      </c>
    </row>
    <row r="20899" spans="1:1" x14ac:dyDescent="0.2">
      <c r="A20899" s="996" t="str">
        <f>CONCATENATE(Programme!D20900,Programme!E20900,Programme!F20900,Programme!G20900,Programme!H20900,Programme!I20900,Programme!J20900)</f>
        <v>&lt;/ValeurCellule&gt;</v>
      </c>
    </row>
    <row r="20900" spans="1:1" x14ac:dyDescent="0.2">
      <c r="A20900" s="996" t="str">
        <f>CONCATENATE(Programme!D20901,Programme!E20901,Programme!F20901,Programme!G20901,Programme!H20901,Programme!I20901,Programme!J20901)</f>
        <v>&lt;ValeurCellule&gt;</v>
      </c>
    </row>
    <row r="20901" spans="1:1" x14ac:dyDescent="0.2">
      <c r="A20901" s="996" t="str">
        <f>CONCATENATE(Programme!D20902,Programme!E20902,Programme!F20902,Programme!G20902,Programme!H20902,Programme!I20902,Programme!J20902)</f>
        <v>&lt;cellule&gt;</v>
      </c>
    </row>
    <row r="20902" spans="1:1" x14ac:dyDescent="0.2">
      <c r="A20902" s="996" t="str">
        <f>CONCATENATE(Programme!D20903,Programme!E20903,Programme!F20903,Programme!G20903,Programme!H20903,Programme!I20903,Programme!J20903)</f>
        <v>&lt;codeEdi&gt;14266&lt;/codeEdi&gt;</v>
      </c>
    </row>
    <row r="20903" spans="1:1" x14ac:dyDescent="0.2">
      <c r="A20903" s="996" t="str">
        <f>CONCATENATE(Programme!D20904,Programme!E20904,Programme!F20904,Programme!G20904,Programme!H20904,Programme!I20904,Programme!J20904)</f>
        <v>&lt;/cellule&gt;</v>
      </c>
    </row>
    <row r="20904" spans="1:1" x14ac:dyDescent="0.2">
      <c r="A20904" s="996" t="str">
        <f>CONCATENATE(Programme!D20905,Programme!E20905,Programme!F20905,Programme!G20905,Programme!H20905,Programme!I20905,Programme!J20905)</f>
        <v>&lt;valeur&gt;0&lt;/valeur&gt;</v>
      </c>
    </row>
    <row r="20905" spans="1:1" x14ac:dyDescent="0.2">
      <c r="A20905" s="996" t="str">
        <f>CONCATENATE(Programme!D20906,Programme!E20906,Programme!F20906,Programme!G20906,Programme!H20906,Programme!I20906,Programme!J20906)</f>
        <v>&lt;/ValeurCellule&gt;</v>
      </c>
    </row>
    <row r="20906" spans="1:1" x14ac:dyDescent="0.2">
      <c r="A20906" s="996" t="str">
        <f>CONCATENATE(Programme!D20907,Programme!E20907,Programme!F20907,Programme!G20907,Programme!H20907,Programme!I20907,Programme!J20907)</f>
        <v>&lt;ValeurCellule&gt;</v>
      </c>
    </row>
    <row r="20907" spans="1:1" x14ac:dyDescent="0.2">
      <c r="A20907" s="996" t="str">
        <f>CONCATENATE(Programme!D20908,Programme!E20908,Programme!F20908,Programme!G20908,Programme!H20908,Programme!I20908,Programme!J20908)</f>
        <v>&lt;cellule&gt;</v>
      </c>
    </row>
    <row r="20908" spans="1:1" x14ac:dyDescent="0.2">
      <c r="A20908" s="996" t="str">
        <f>CONCATENATE(Programme!D20909,Programme!E20909,Programme!F20909,Programme!G20909,Programme!H20909,Programme!I20909,Programme!J20909)</f>
        <v>&lt;codeEdi&gt;14267&lt;/codeEdi&gt;</v>
      </c>
    </row>
    <row r="20909" spans="1:1" x14ac:dyDescent="0.2">
      <c r="A20909" s="996" t="str">
        <f>CONCATENATE(Programme!D20910,Programme!E20910,Programme!F20910,Programme!G20910,Programme!H20910,Programme!I20910,Programme!J20910)</f>
        <v>&lt;/cellule&gt;</v>
      </c>
    </row>
    <row r="20910" spans="1:1" x14ac:dyDescent="0.2">
      <c r="A20910" s="996" t="str">
        <f>CONCATENATE(Programme!D20911,Programme!E20911,Programme!F20911,Programme!G20911,Programme!H20911,Programme!I20911,Programme!J20911)</f>
        <v>&lt;valeur&gt;&lt;/valeur&gt;</v>
      </c>
    </row>
    <row r="20911" spans="1:1" x14ac:dyDescent="0.2">
      <c r="A20911" s="996" t="str">
        <f>CONCATENATE(Programme!D20912,Programme!E20912,Programme!F20912,Programme!G20912,Programme!H20912,Programme!I20912,Programme!J20912)</f>
        <v>&lt;/ValeurCellule&gt;</v>
      </c>
    </row>
    <row r="20912" spans="1:1" x14ac:dyDescent="0.2">
      <c r="A20912" s="996" t="str">
        <f>CONCATENATE(Programme!D20913,Programme!E20913,Programme!F20913,Programme!G20913,Programme!H20913,Programme!I20913,Programme!J20913)</f>
        <v>&lt;ValeurCellule&gt;</v>
      </c>
    </row>
    <row r="20913" spans="1:1" x14ac:dyDescent="0.2">
      <c r="A20913" s="996" t="str">
        <f>CONCATENATE(Programme!D20914,Programme!E20914,Programme!F20914,Programme!G20914,Programme!H20914,Programme!I20914,Programme!J20914)</f>
        <v>&lt;cellule&gt;</v>
      </c>
    </row>
    <row r="20914" spans="1:1" x14ac:dyDescent="0.2">
      <c r="A20914" s="996" t="str">
        <f>CONCATENATE(Programme!D20915,Programme!E20915,Programme!F20915,Programme!G20915,Programme!H20915,Programme!I20915,Programme!J20915)</f>
        <v>&lt;codeEdi&gt;14268&lt;/codeEdi&gt;</v>
      </c>
    </row>
    <row r="20915" spans="1:1" x14ac:dyDescent="0.2">
      <c r="A20915" s="996" t="str">
        <f>CONCATENATE(Programme!D20916,Programme!E20916,Programme!F20916,Programme!G20916,Programme!H20916,Programme!I20916,Programme!J20916)</f>
        <v>&lt;/cellule&gt;</v>
      </c>
    </row>
    <row r="20916" spans="1:1" x14ac:dyDescent="0.2">
      <c r="A20916" s="996" t="str">
        <f>CONCATENATE(Programme!D20917,Programme!E20917,Programme!F20917,Programme!G20917,Programme!H20917,Programme!I20917,Programme!J20917)</f>
        <v>&lt;valeur&gt;0&lt;/valeur&gt;</v>
      </c>
    </row>
    <row r="20917" spans="1:1" x14ac:dyDescent="0.2">
      <c r="A20917" s="996" t="str">
        <f>CONCATENATE(Programme!D20918,Programme!E20918,Programme!F20918,Programme!G20918,Programme!H20918,Programme!I20918,Programme!J20918)</f>
        <v>&lt;/ValeurCellule&gt;</v>
      </c>
    </row>
    <row r="20918" spans="1:1" x14ac:dyDescent="0.2">
      <c r="A20918" s="996" t="str">
        <f>CONCATENATE(Programme!D20919,Programme!E20919,Programme!F20919,Programme!G20919,Programme!H20919,Programme!I20919,Programme!J20919)</f>
        <v>&lt;ValeurCellule&gt;</v>
      </c>
    </row>
    <row r="20919" spans="1:1" x14ac:dyDescent="0.2">
      <c r="A20919" s="996" t="str">
        <f>CONCATENATE(Programme!D20920,Programme!E20920,Programme!F20920,Programme!G20920,Programme!H20920,Programme!I20920,Programme!J20920)</f>
        <v>&lt;cellule&gt;</v>
      </c>
    </row>
    <row r="20920" spans="1:1" x14ac:dyDescent="0.2">
      <c r="A20920" s="996" t="str">
        <f>CONCATENATE(Programme!D20921,Programme!E20921,Programme!F20921,Programme!G20921,Programme!H20921,Programme!I20921,Programme!J20921)</f>
        <v>&lt;codeEdi&gt;14269&lt;/codeEdi&gt;</v>
      </c>
    </row>
    <row r="20921" spans="1:1" x14ac:dyDescent="0.2">
      <c r="A20921" s="996" t="str">
        <f>CONCATENATE(Programme!D20922,Programme!E20922,Programme!F20922,Programme!G20922,Programme!H20922,Programme!I20922,Programme!J20922)</f>
        <v>&lt;/cellule&gt;</v>
      </c>
    </row>
    <row r="20922" spans="1:1" x14ac:dyDescent="0.2">
      <c r="A20922" s="996" t="str">
        <f>CONCATENATE(Programme!D20923,Programme!E20923,Programme!F20923,Programme!G20923,Programme!H20923,Programme!I20923,Programme!J20923)</f>
        <v>&lt;valeur&gt;&lt;/valeur&gt;</v>
      </c>
    </row>
    <row r="20923" spans="1:1" x14ac:dyDescent="0.2">
      <c r="A20923" s="996" t="str">
        <f>CONCATENATE(Programme!D20924,Programme!E20924,Programme!F20924,Programme!G20924,Programme!H20924,Programme!I20924,Programme!J20924)</f>
        <v>&lt;/ValeurCellule&gt;</v>
      </c>
    </row>
    <row r="20924" spans="1:1" x14ac:dyDescent="0.2">
      <c r="A20924" s="996" t="str">
        <f>CONCATENATE(Programme!D20925,Programme!E20925,Programme!F20925,Programme!G20925,Programme!H20925,Programme!I20925,Programme!J20925)</f>
        <v>&lt;ValeurCellule&gt;</v>
      </c>
    </row>
    <row r="20925" spans="1:1" x14ac:dyDescent="0.2">
      <c r="A20925" s="996" t="str">
        <f>CONCATENATE(Programme!D20926,Programme!E20926,Programme!F20926,Programme!G20926,Programme!H20926,Programme!I20926,Programme!J20926)</f>
        <v>&lt;cellule&gt;</v>
      </c>
    </row>
    <row r="20926" spans="1:1" x14ac:dyDescent="0.2">
      <c r="A20926" s="996" t="str">
        <f>CONCATENATE(Programme!D20927,Programme!E20927,Programme!F20927,Programme!G20927,Programme!H20927,Programme!I20927,Programme!J20927)</f>
        <v>&lt;codeEdi&gt;14271&lt;/codeEdi&gt;</v>
      </c>
    </row>
    <row r="20927" spans="1:1" x14ac:dyDescent="0.2">
      <c r="A20927" s="996" t="str">
        <f>CONCATENATE(Programme!D20928,Programme!E20928,Programme!F20928,Programme!G20928,Programme!H20928,Programme!I20928,Programme!J20928)</f>
        <v>&lt;/cellule&gt;</v>
      </c>
    </row>
    <row r="20928" spans="1:1" x14ac:dyDescent="0.2">
      <c r="A20928" s="996" t="str">
        <f>CONCATENATE(Programme!D20929,Programme!E20929,Programme!F20929,Programme!G20929,Programme!H20929,Programme!I20929,Programme!J20929)</f>
        <v>&lt;valeur&gt;0&lt;/valeur&gt;</v>
      </c>
    </row>
    <row r="20929" spans="1:1" x14ac:dyDescent="0.2">
      <c r="A20929" s="996" t="str">
        <f>CONCATENATE(Programme!D20930,Programme!E20930,Programme!F20930,Programme!G20930,Programme!H20930,Programme!I20930,Programme!J20930)</f>
        <v>&lt;/ValeurCellule&gt;</v>
      </c>
    </row>
    <row r="20930" spans="1:1" x14ac:dyDescent="0.2">
      <c r="A20930" s="996" t="str">
        <f>CONCATENATE(Programme!D20931,Programme!E20931,Programme!F20931,Programme!G20931,Programme!H20931,Programme!I20931,Programme!J20931)</f>
        <v>&lt;ValeurCellule&gt;</v>
      </c>
    </row>
    <row r="20931" spans="1:1" x14ac:dyDescent="0.2">
      <c r="A20931" s="996" t="str">
        <f>CONCATENATE(Programme!D20932,Programme!E20932,Programme!F20932,Programme!G20932,Programme!H20932,Programme!I20932,Programme!J20932)</f>
        <v>&lt;cellule&gt;</v>
      </c>
    </row>
    <row r="20932" spans="1:1" x14ac:dyDescent="0.2">
      <c r="A20932" s="996" t="str">
        <f>CONCATENATE(Programme!D20933,Programme!E20933,Programme!F20933,Programme!G20933,Programme!H20933,Programme!I20933,Programme!J20933)</f>
        <v>&lt;codeEdi&gt;14272&lt;/codeEdi&gt;</v>
      </c>
    </row>
    <row r="20933" spans="1:1" x14ac:dyDescent="0.2">
      <c r="A20933" s="996" t="str">
        <f>CONCATENATE(Programme!D20934,Programme!E20934,Programme!F20934,Programme!G20934,Programme!H20934,Programme!I20934,Programme!J20934)</f>
        <v>&lt;/cellule&gt;</v>
      </c>
    </row>
    <row r="20934" spans="1:1" x14ac:dyDescent="0.2">
      <c r="A20934" s="996" t="str">
        <f>CONCATENATE(Programme!D20935,Programme!E20935,Programme!F20935,Programme!G20935,Programme!H20935,Programme!I20935,Programme!J20935)</f>
        <v>&lt;valeur&gt;0&lt;/valeur&gt;</v>
      </c>
    </row>
    <row r="20935" spans="1:1" x14ac:dyDescent="0.2">
      <c r="A20935" s="996" t="str">
        <f>CONCATENATE(Programme!D20936,Programme!E20936,Programme!F20936,Programme!G20936,Programme!H20936,Programme!I20936,Programme!J20936)</f>
        <v>&lt;/ValeurCellule&gt;</v>
      </c>
    </row>
    <row r="20936" spans="1:1" x14ac:dyDescent="0.2">
      <c r="A20936" s="996" t="str">
        <f>CONCATENATE(Programme!D20937,Programme!E20937,Programme!F20937,Programme!G20937,Programme!H20937,Programme!I20937,Programme!J20937)</f>
        <v>&lt;ValeurCellule&gt;</v>
      </c>
    </row>
    <row r="20937" spans="1:1" x14ac:dyDescent="0.2">
      <c r="A20937" s="996" t="str">
        <f>CONCATENATE(Programme!D20938,Programme!E20938,Programme!F20938,Programme!G20938,Programme!H20938,Programme!I20938,Programme!J20938)</f>
        <v>&lt;cellule&gt;</v>
      </c>
    </row>
    <row r="20938" spans="1:1" x14ac:dyDescent="0.2">
      <c r="A20938" s="996" t="str">
        <f>CONCATENATE(Programme!D20939,Programme!E20939,Programme!F20939,Programme!G20939,Programme!H20939,Programme!I20939,Programme!J20939)</f>
        <v>&lt;codeEdi&gt;14273&lt;/codeEdi&gt;</v>
      </c>
    </row>
    <row r="20939" spans="1:1" x14ac:dyDescent="0.2">
      <c r="A20939" s="996" t="str">
        <f>CONCATENATE(Programme!D20940,Programme!E20940,Programme!F20940,Programme!G20940,Programme!H20940,Programme!I20940,Programme!J20940)</f>
        <v>&lt;/cellule&gt;</v>
      </c>
    </row>
    <row r="20940" spans="1:1" x14ac:dyDescent="0.2">
      <c r="A20940" s="996" t="str">
        <f>CONCATENATE(Programme!D20941,Programme!E20941,Programme!F20941,Programme!G20941,Programme!H20941,Programme!I20941,Programme!J20941)</f>
        <v>&lt;valeur&gt;&lt;/valeur&gt;</v>
      </c>
    </row>
    <row r="20941" spans="1:1" x14ac:dyDescent="0.2">
      <c r="A20941" s="996" t="str">
        <f>CONCATENATE(Programme!D20942,Programme!E20942,Programme!F20942,Programme!G20942,Programme!H20942,Programme!I20942,Programme!J20942)</f>
        <v>&lt;/ValeurCellule&gt;</v>
      </c>
    </row>
    <row r="20942" spans="1:1" x14ac:dyDescent="0.2">
      <c r="A20942" s="996" t="str">
        <f>CONCATENATE(Programme!D20943,Programme!E20943,Programme!F20943,Programme!G20943,Programme!H20943,Programme!I20943,Programme!J20943)</f>
        <v>&lt;ValeurCellule&gt;</v>
      </c>
    </row>
    <row r="20943" spans="1:1" x14ac:dyDescent="0.2">
      <c r="A20943" s="996" t="str">
        <f>CONCATENATE(Programme!D20944,Programme!E20944,Programme!F20944,Programme!G20944,Programme!H20944,Programme!I20944,Programme!J20944)</f>
        <v>&lt;cellule&gt;</v>
      </c>
    </row>
    <row r="20944" spans="1:1" x14ac:dyDescent="0.2">
      <c r="A20944" s="996" t="str">
        <f>CONCATENATE(Programme!D20945,Programme!E20945,Programme!F20945,Programme!G20945,Programme!H20945,Programme!I20945,Programme!J20945)</f>
        <v>&lt;codeEdi&gt;14274&lt;/codeEdi&gt;</v>
      </c>
    </row>
    <row r="20945" spans="1:1" x14ac:dyDescent="0.2">
      <c r="A20945" s="996" t="str">
        <f>CONCATENATE(Programme!D20946,Programme!E20946,Programme!F20946,Programme!G20946,Programme!H20946,Programme!I20946,Programme!J20946)</f>
        <v>&lt;/cellule&gt;</v>
      </c>
    </row>
    <row r="20946" spans="1:1" x14ac:dyDescent="0.2">
      <c r="A20946" s="996" t="str">
        <f>CONCATENATE(Programme!D20947,Programme!E20947,Programme!F20947,Programme!G20947,Programme!H20947,Programme!I20947,Programme!J20947)</f>
        <v>&lt;valeur&gt;0&lt;/valeur&gt;</v>
      </c>
    </row>
    <row r="20947" spans="1:1" x14ac:dyDescent="0.2">
      <c r="A20947" s="996" t="str">
        <f>CONCATENATE(Programme!D20948,Programme!E20948,Programme!F20948,Programme!G20948,Programme!H20948,Programme!I20948,Programme!J20948)</f>
        <v>&lt;/ValeurCellule&gt;</v>
      </c>
    </row>
    <row r="20948" spans="1:1" x14ac:dyDescent="0.2">
      <c r="A20948" s="996" t="str">
        <f>CONCATENATE(Programme!D20949,Programme!E20949,Programme!F20949,Programme!G20949,Programme!H20949,Programme!I20949,Programme!J20949)</f>
        <v>&lt;ValeurCellule&gt;</v>
      </c>
    </row>
    <row r="20949" spans="1:1" x14ac:dyDescent="0.2">
      <c r="A20949" s="996" t="str">
        <f>CONCATENATE(Programme!D20950,Programme!E20950,Programme!F20950,Programme!G20950,Programme!H20950,Programme!I20950,Programme!J20950)</f>
        <v>&lt;cellule&gt;</v>
      </c>
    </row>
    <row r="20950" spans="1:1" x14ac:dyDescent="0.2">
      <c r="A20950" s="996" t="str">
        <f>CONCATENATE(Programme!D20951,Programme!E20951,Programme!F20951,Programme!G20951,Programme!H20951,Programme!I20951,Programme!J20951)</f>
        <v>&lt;codeEdi&gt;14276&lt;/codeEdi&gt;</v>
      </c>
    </row>
    <row r="20951" spans="1:1" x14ac:dyDescent="0.2">
      <c r="A20951" s="996" t="str">
        <f>CONCATENATE(Programme!D20952,Programme!E20952,Programme!F20952,Programme!G20952,Programme!H20952,Programme!I20952,Programme!J20952)</f>
        <v>&lt;/cellule&gt;</v>
      </c>
    </row>
    <row r="20952" spans="1:1" x14ac:dyDescent="0.2">
      <c r="A20952" s="996" t="str">
        <f>CONCATENATE(Programme!D20953,Programme!E20953,Programme!F20953,Programme!G20953,Programme!H20953,Programme!I20953,Programme!J20953)</f>
        <v>&lt;valeur&gt;0&lt;/valeur&gt;</v>
      </c>
    </row>
    <row r="20953" spans="1:1" x14ac:dyDescent="0.2">
      <c r="A20953" s="996" t="str">
        <f>CONCATENATE(Programme!D20954,Programme!E20954,Programme!F20954,Programme!G20954,Programme!H20954,Programme!I20954,Programme!J20954)</f>
        <v>&lt;/ValeurCellule&gt;</v>
      </c>
    </row>
    <row r="20954" spans="1:1" x14ac:dyDescent="0.2">
      <c r="A20954" s="996" t="str">
        <f>CONCATENATE(Programme!D20955,Programme!E20955,Programme!F20955,Programme!G20955,Programme!H20955,Programme!I20955,Programme!J20955)</f>
        <v>&lt;ValeurCellule&gt;</v>
      </c>
    </row>
    <row r="20955" spans="1:1" x14ac:dyDescent="0.2">
      <c r="A20955" s="996" t="str">
        <f>CONCATENATE(Programme!D20956,Programme!E20956,Programme!F20956,Programme!G20956,Programme!H20956,Programme!I20956,Programme!J20956)</f>
        <v>&lt;cellule&gt;</v>
      </c>
    </row>
    <row r="20956" spans="1:1" x14ac:dyDescent="0.2">
      <c r="A20956" s="996" t="str">
        <f>CONCATENATE(Programme!D20957,Programme!E20957,Programme!F20957,Programme!G20957,Programme!H20957,Programme!I20957,Programme!J20957)</f>
        <v>&lt;codeEdi&gt;14277&lt;/codeEdi&gt;</v>
      </c>
    </row>
    <row r="20957" spans="1:1" x14ac:dyDescent="0.2">
      <c r="A20957" s="996" t="str">
        <f>CONCATENATE(Programme!D20958,Programme!E20958,Programme!F20958,Programme!G20958,Programme!H20958,Programme!I20958,Programme!J20958)</f>
        <v>&lt;/cellule&gt;</v>
      </c>
    </row>
    <row r="20958" spans="1:1" x14ac:dyDescent="0.2">
      <c r="A20958" s="996" t="str">
        <f>CONCATENATE(Programme!D20959,Programme!E20959,Programme!F20959,Programme!G20959,Programme!H20959,Programme!I20959,Programme!J20959)</f>
        <v>&lt;valeur&gt;0&lt;/valeur&gt;</v>
      </c>
    </row>
    <row r="20959" spans="1:1" x14ac:dyDescent="0.2">
      <c r="A20959" s="996" t="str">
        <f>CONCATENATE(Programme!D20960,Programme!E20960,Programme!F20960,Programme!G20960,Programme!H20960,Programme!I20960,Programme!J20960)</f>
        <v>&lt;/ValeurCellule&gt;</v>
      </c>
    </row>
    <row r="20960" spans="1:1" x14ac:dyDescent="0.2">
      <c r="A20960" s="996" t="str">
        <f>CONCATENATE(Programme!D20961,Programme!E20961,Programme!F20961,Programme!G20961,Programme!H20961,Programme!I20961,Programme!J20961)</f>
        <v>&lt;ValeurCellule&gt;</v>
      </c>
    </row>
    <row r="20961" spans="1:1" x14ac:dyDescent="0.2">
      <c r="A20961" s="996" t="str">
        <f>CONCATENATE(Programme!D20962,Programme!E20962,Programme!F20962,Programme!G20962,Programme!H20962,Programme!I20962,Programme!J20962)</f>
        <v>&lt;cellule&gt;</v>
      </c>
    </row>
    <row r="20962" spans="1:1" x14ac:dyDescent="0.2">
      <c r="A20962" s="996" t="str">
        <f>CONCATENATE(Programme!D20963,Programme!E20963,Programme!F20963,Programme!G20963,Programme!H20963,Programme!I20963,Programme!J20963)</f>
        <v>&lt;codeEdi&gt;14278&lt;/codeEdi&gt;</v>
      </c>
    </row>
    <row r="20963" spans="1:1" x14ac:dyDescent="0.2">
      <c r="A20963" s="996" t="str">
        <f>CONCATENATE(Programme!D20964,Programme!E20964,Programme!F20964,Programme!G20964,Programme!H20964,Programme!I20964,Programme!J20964)</f>
        <v>&lt;/cellule&gt;</v>
      </c>
    </row>
    <row r="20964" spans="1:1" x14ac:dyDescent="0.2">
      <c r="A20964" s="996" t="str">
        <f>CONCATENATE(Programme!D20965,Programme!E20965,Programme!F20965,Programme!G20965,Programme!H20965,Programme!I20965,Programme!J20965)</f>
        <v>&lt;valeur&gt;0&lt;/valeur&gt;</v>
      </c>
    </row>
    <row r="20965" spans="1:1" x14ac:dyDescent="0.2">
      <c r="A20965" s="996" t="str">
        <f>CONCATENATE(Programme!D20966,Programme!E20966,Programme!F20966,Programme!G20966,Programme!H20966,Programme!I20966,Programme!J20966)</f>
        <v>&lt;/ValeurCellule&gt;</v>
      </c>
    </row>
    <row r="20966" spans="1:1" x14ac:dyDescent="0.2">
      <c r="A20966" s="996" t="str">
        <f>CONCATENATE(Programme!D20967,Programme!E20967,Programme!F20967,Programme!G20967,Programme!H20967,Programme!I20967,Programme!J20967)</f>
        <v>&lt;ValeurCellule&gt;</v>
      </c>
    </row>
    <row r="20967" spans="1:1" x14ac:dyDescent="0.2">
      <c r="A20967" s="996" t="str">
        <f>CONCATENATE(Programme!D20968,Programme!E20968,Programme!F20968,Programme!G20968,Programme!H20968,Programme!I20968,Programme!J20968)</f>
        <v>&lt;cellule&gt;</v>
      </c>
    </row>
    <row r="20968" spans="1:1" x14ac:dyDescent="0.2">
      <c r="A20968" s="996" t="str">
        <f>CONCATENATE(Programme!D20969,Programme!E20969,Programme!F20969,Programme!G20969,Programme!H20969,Programme!I20969,Programme!J20969)</f>
        <v>&lt;codeEdi&gt;14279&lt;/codeEdi&gt;</v>
      </c>
    </row>
    <row r="20969" spans="1:1" x14ac:dyDescent="0.2">
      <c r="A20969" s="996" t="str">
        <f>CONCATENATE(Programme!D20970,Programme!E20970,Programme!F20970,Programme!G20970,Programme!H20970,Programme!I20970,Programme!J20970)</f>
        <v>&lt;/cellule&gt;</v>
      </c>
    </row>
    <row r="20970" spans="1:1" x14ac:dyDescent="0.2">
      <c r="A20970" s="996" t="str">
        <f>CONCATENATE(Programme!D20971,Programme!E20971,Programme!F20971,Programme!G20971,Programme!H20971,Programme!I20971,Programme!J20971)</f>
        <v>&lt;valeur&gt;&lt;/valeur&gt;</v>
      </c>
    </row>
    <row r="20971" spans="1:1" x14ac:dyDescent="0.2">
      <c r="A20971" s="996" t="str">
        <f>CONCATENATE(Programme!D20972,Programme!E20972,Programme!F20972,Programme!G20972,Programme!H20972,Programme!I20972,Programme!J20972)</f>
        <v>&lt;/ValeurCellule&gt;</v>
      </c>
    </row>
    <row r="20972" spans="1:1" x14ac:dyDescent="0.2">
      <c r="A20972" s="996" t="str">
        <f>CONCATENATE(Programme!D20973,Programme!E20973,Programme!F20973,Programme!G20973,Programme!H20973,Programme!I20973,Programme!J20973)</f>
        <v>&lt;ValeurCellule&gt;</v>
      </c>
    </row>
    <row r="20973" spans="1:1" x14ac:dyDescent="0.2">
      <c r="A20973" s="996" t="str">
        <f>CONCATENATE(Programme!D20974,Programme!E20974,Programme!F20974,Programme!G20974,Programme!H20974,Programme!I20974,Programme!J20974)</f>
        <v>&lt;cellule&gt;</v>
      </c>
    </row>
    <row r="20974" spans="1:1" x14ac:dyDescent="0.2">
      <c r="A20974" s="996" t="str">
        <f>CONCATENATE(Programme!D20975,Programme!E20975,Programme!F20975,Programme!G20975,Programme!H20975,Programme!I20975,Programme!J20975)</f>
        <v>&lt;codeEdi&gt;14281&lt;/codeEdi&gt;</v>
      </c>
    </row>
    <row r="20975" spans="1:1" x14ac:dyDescent="0.2">
      <c r="A20975" s="996" t="str">
        <f>CONCATENATE(Programme!D20976,Programme!E20976,Programme!F20976,Programme!G20976,Programme!H20976,Programme!I20976,Programme!J20976)</f>
        <v>&lt;/cellule&gt;</v>
      </c>
    </row>
    <row r="20976" spans="1:1" x14ac:dyDescent="0.2">
      <c r="A20976" s="996" t="str">
        <f>CONCATENATE(Programme!D20977,Programme!E20977,Programme!F20977,Programme!G20977,Programme!H20977,Programme!I20977,Programme!J20977)</f>
        <v>&lt;valeur&gt;0&lt;/valeur&gt;</v>
      </c>
    </row>
    <row r="20977" spans="1:1" x14ac:dyDescent="0.2">
      <c r="A20977" s="996" t="str">
        <f>CONCATENATE(Programme!D20978,Programme!E20978,Programme!F20978,Programme!G20978,Programme!H20978,Programme!I20978,Programme!J20978)</f>
        <v>&lt;/ValeurCellule&gt;</v>
      </c>
    </row>
    <row r="20978" spans="1:1" x14ac:dyDescent="0.2">
      <c r="A20978" s="996" t="str">
        <f>CONCATENATE(Programme!D20979,Programme!E20979,Programme!F20979,Programme!G20979,Programme!H20979,Programme!I20979,Programme!J20979)</f>
        <v>&lt;ValeurCellule&gt;</v>
      </c>
    </row>
    <row r="20979" spans="1:1" x14ac:dyDescent="0.2">
      <c r="A20979" s="996" t="str">
        <f>CONCATENATE(Programme!D20980,Programme!E20980,Programme!F20980,Programme!G20980,Programme!H20980,Programme!I20980,Programme!J20980)</f>
        <v>&lt;cellule&gt;</v>
      </c>
    </row>
    <row r="20980" spans="1:1" x14ac:dyDescent="0.2">
      <c r="A20980" s="996" t="str">
        <f>CONCATENATE(Programme!D20981,Programme!E20981,Programme!F20981,Programme!G20981,Programme!H20981,Programme!I20981,Programme!J20981)</f>
        <v>&lt;codeEdi&gt;14282&lt;/codeEdi&gt;</v>
      </c>
    </row>
    <row r="20981" spans="1:1" x14ac:dyDescent="0.2">
      <c r="A20981" s="996" t="str">
        <f>CONCATENATE(Programme!D20982,Programme!E20982,Programme!F20982,Programme!G20982,Programme!H20982,Programme!I20982,Programme!J20982)</f>
        <v>&lt;/cellule&gt;</v>
      </c>
    </row>
    <row r="20982" spans="1:1" x14ac:dyDescent="0.2">
      <c r="A20982" s="996" t="str">
        <f>CONCATENATE(Programme!D20983,Programme!E20983,Programme!F20983,Programme!G20983,Programme!H20983,Programme!I20983,Programme!J20983)</f>
        <v>&lt;valeur&gt;0&lt;/valeur&gt;</v>
      </c>
    </row>
    <row r="20983" spans="1:1" x14ac:dyDescent="0.2">
      <c r="A20983" s="996" t="str">
        <f>CONCATENATE(Programme!D20984,Programme!E20984,Programme!F20984,Programme!G20984,Programme!H20984,Programme!I20984,Programme!J20984)</f>
        <v>&lt;/ValeurCellule&gt;</v>
      </c>
    </row>
    <row r="20984" spans="1:1" x14ac:dyDescent="0.2">
      <c r="A20984" s="996" t="str">
        <f>CONCATENATE(Programme!D20985,Programme!E20985,Programme!F20985,Programme!G20985,Programme!H20985,Programme!I20985,Programme!J20985)</f>
        <v>&lt;ValeurCellule&gt;</v>
      </c>
    </row>
    <row r="20985" spans="1:1" x14ac:dyDescent="0.2">
      <c r="A20985" s="996" t="str">
        <f>CONCATENATE(Programme!D20986,Programme!E20986,Programme!F20986,Programme!G20986,Programme!H20986,Programme!I20986,Programme!J20986)</f>
        <v>&lt;cellule&gt;</v>
      </c>
    </row>
    <row r="20986" spans="1:1" x14ac:dyDescent="0.2">
      <c r="A20986" s="996" t="str">
        <f>CONCATENATE(Programme!D20987,Programme!E20987,Programme!F20987,Programme!G20987,Programme!H20987,Programme!I20987,Programme!J20987)</f>
        <v>&lt;codeEdi&gt;14283&lt;/codeEdi&gt;</v>
      </c>
    </row>
    <row r="20987" spans="1:1" x14ac:dyDescent="0.2">
      <c r="A20987" s="996" t="str">
        <f>CONCATENATE(Programme!D20988,Programme!E20988,Programme!F20988,Programme!G20988,Programme!H20988,Programme!I20988,Programme!J20988)</f>
        <v>&lt;/cellule&gt;</v>
      </c>
    </row>
    <row r="20988" spans="1:1" x14ac:dyDescent="0.2">
      <c r="A20988" s="996" t="str">
        <f>CONCATENATE(Programme!D20989,Programme!E20989,Programme!F20989,Programme!G20989,Programme!H20989,Programme!I20989,Programme!J20989)</f>
        <v>&lt;valeur&gt;0&lt;/valeur&gt;</v>
      </c>
    </row>
    <row r="20989" spans="1:1" x14ac:dyDescent="0.2">
      <c r="A20989" s="996" t="str">
        <f>CONCATENATE(Programme!D20990,Programme!E20990,Programme!F20990,Programme!G20990,Programme!H20990,Programme!I20990,Programme!J20990)</f>
        <v>&lt;/ValeurCellule&gt;</v>
      </c>
    </row>
    <row r="20990" spans="1:1" x14ac:dyDescent="0.2">
      <c r="A20990" s="996" t="str">
        <f>CONCATENATE(Programme!D20991,Programme!E20991,Programme!F20991,Programme!G20991,Programme!H20991,Programme!I20991,Programme!J20991)</f>
        <v>&lt;ValeurCellule&gt;</v>
      </c>
    </row>
    <row r="20991" spans="1:1" x14ac:dyDescent="0.2">
      <c r="A20991" s="996" t="str">
        <f>CONCATENATE(Programme!D20992,Programme!E20992,Programme!F20992,Programme!G20992,Programme!H20992,Programme!I20992,Programme!J20992)</f>
        <v>&lt;cellule&gt;</v>
      </c>
    </row>
    <row r="20992" spans="1:1" x14ac:dyDescent="0.2">
      <c r="A20992" s="996" t="str">
        <f>CONCATENATE(Programme!D20993,Programme!E20993,Programme!F20993,Programme!G20993,Programme!H20993,Programme!I20993,Programme!J20993)</f>
        <v>&lt;codeEdi&gt;14284&lt;/codeEdi&gt;</v>
      </c>
    </row>
    <row r="20993" spans="1:1" x14ac:dyDescent="0.2">
      <c r="A20993" s="996" t="str">
        <f>CONCATENATE(Programme!D20994,Programme!E20994,Programme!F20994,Programme!G20994,Programme!H20994,Programme!I20994,Programme!J20994)</f>
        <v>&lt;/cellule&gt;</v>
      </c>
    </row>
    <row r="20994" spans="1:1" x14ac:dyDescent="0.2">
      <c r="A20994" s="996" t="str">
        <f>CONCATENATE(Programme!D20995,Programme!E20995,Programme!F20995,Programme!G20995,Programme!H20995,Programme!I20995,Programme!J20995)</f>
        <v>&lt;valeur&gt;0&lt;/valeur&gt;</v>
      </c>
    </row>
    <row r="20995" spans="1:1" x14ac:dyDescent="0.2">
      <c r="A20995" s="996" t="str">
        <f>CONCATENATE(Programme!D20996,Programme!E20996,Programme!F20996,Programme!G20996,Programme!H20996,Programme!I20996,Programme!J20996)</f>
        <v>&lt;/ValeurCellule&gt;</v>
      </c>
    </row>
    <row r="20996" spans="1:1" x14ac:dyDescent="0.2">
      <c r="A20996" s="996" t="str">
        <f>CONCATENATE(Programme!D20997,Programme!E20997,Programme!F20997,Programme!G20997,Programme!H20997,Programme!I20997,Programme!J20997)</f>
        <v>&lt;/groupeValeurs&gt;</v>
      </c>
    </row>
    <row r="20997" spans="1:1" x14ac:dyDescent="0.2">
      <c r="A20997" s="996" t="str">
        <f>CONCATENATE(Programme!D20998,Programme!E20998,Programme!F20998,Programme!G20998,Programme!H20998,Programme!I20998,Programme!J20998)</f>
        <v>&lt;extraFieldvaleurs&gt;</v>
      </c>
    </row>
    <row r="20998" spans="1:1" x14ac:dyDescent="0.2">
      <c r="A20998" s="996" t="str">
        <f>CONCATENATE(Programme!D20999,Programme!E20999,Programme!F20999,Programme!G20999,Programme!H20999,Programme!I20999,Programme!J20999)</f>
        <v>&lt;/extraFieldvaleurs&gt;</v>
      </c>
    </row>
    <row r="20999" spans="1:1" x14ac:dyDescent="0.2">
      <c r="A20999" s="996" t="str">
        <f>CONCATENATE(Programme!D21000,Programme!E21000,Programme!F21000,Programme!G21000,Programme!H21000,Programme!I21000,Programme!J21000)</f>
        <v>&lt;/ValeursTableau&gt;</v>
      </c>
    </row>
    <row r="21000" spans="1:1" x14ac:dyDescent="0.2">
      <c r="A21000" s="996" t="str">
        <f>CONCATENATE(Programme!D21001,Programme!E21001,Programme!F21001,Programme!G21001,Programme!H21001,Programme!I21001,Programme!J21001)</f>
        <v>&lt;ValeursTableau&gt;</v>
      </c>
    </row>
    <row r="21001" spans="1:1" x14ac:dyDescent="0.2">
      <c r="A21001" s="996" t="str">
        <f>CONCATENATE(Programme!D21002,Programme!E21002,Programme!F21002,Programme!G21002,Programme!H21002,Programme!I21002,Programme!J21002)</f>
        <v>&lt;tableau&gt;&lt;id&gt;220&lt;/id&gt;&lt;/tableau&gt;</v>
      </c>
    </row>
    <row r="21002" spans="1:1" x14ac:dyDescent="0.2">
      <c r="A21002" s="996" t="str">
        <f>CONCATENATE(Programme!D21003,Programme!E21003,Programme!F21003,Programme!G21003,Programme!H21003,Programme!I21003,Programme!J21003)</f>
        <v>&lt;groupeValeurs&gt;</v>
      </c>
    </row>
    <row r="21003" spans="1:1" x14ac:dyDescent="0.2">
      <c r="A21003" s="996" t="str">
        <f>CONCATENATE(Programme!D21004,Programme!E21004,Programme!F21004,Programme!G21004,Programme!H21004,Programme!I21004,Programme!J21004)</f>
        <v>&lt;ValeurCellule&gt;</v>
      </c>
    </row>
    <row r="21004" spans="1:1" x14ac:dyDescent="0.2">
      <c r="A21004" s="996" t="str">
        <f>CONCATENATE(Programme!D21005,Programme!E21005,Programme!F21005,Programme!G21005,Programme!H21005,Programme!I21005,Programme!J21005)</f>
        <v>&lt;cellule&gt;</v>
      </c>
    </row>
    <row r="21005" spans="1:1" x14ac:dyDescent="0.2">
      <c r="A21005" s="996" t="str">
        <f>CONCATENATE(Programme!D21006,Programme!E21006,Programme!F21006,Programme!G21006,Programme!H21006,Programme!I21006,Programme!J21006)</f>
        <v>&lt;codeEdi&gt;14342&lt;/codeEdi&gt;</v>
      </c>
    </row>
    <row r="21006" spans="1:1" x14ac:dyDescent="0.2">
      <c r="A21006" s="996" t="str">
        <f>CONCATENATE(Programme!D21007,Programme!E21007,Programme!F21007,Programme!G21007,Programme!H21007,Programme!I21007,Programme!J21007)</f>
        <v>&lt;/cellule&gt;</v>
      </c>
    </row>
    <row r="21007" spans="1:1" x14ac:dyDescent="0.2">
      <c r="A21007" s="996" t="str">
        <f>CONCATENATE(Programme!D21008,Programme!E21008,Programme!F21008,Programme!G21008,Programme!H21008,Programme!I21008,Programme!J21008)</f>
        <v>&lt;valeur&gt;&lt;/valeur&gt;</v>
      </c>
    </row>
    <row r="21008" spans="1:1" x14ac:dyDescent="0.2">
      <c r="A21008" s="996" t="str">
        <f>CONCATENATE(Programme!D21009,Programme!E21009,Programme!F21009,Programme!G21009,Programme!H21009,Programme!I21009,Programme!J21009)</f>
        <v>&lt;/ValeurCellule&gt;</v>
      </c>
    </row>
    <row r="21009" spans="1:1" x14ac:dyDescent="0.2">
      <c r="A21009" s="996" t="str">
        <f>CONCATENATE(Programme!D21010,Programme!E21010,Programme!F21010,Programme!G21010,Programme!H21010,Programme!I21010,Programme!J21010)</f>
        <v>&lt;ValeurCellule&gt;</v>
      </c>
    </row>
    <row r="21010" spans="1:1" x14ac:dyDescent="0.2">
      <c r="A21010" s="996" t="str">
        <f>CONCATENATE(Programme!D21011,Programme!E21011,Programme!F21011,Programme!G21011,Programme!H21011,Programme!I21011,Programme!J21011)</f>
        <v>&lt;cellule&gt;</v>
      </c>
    </row>
    <row r="21011" spans="1:1" x14ac:dyDescent="0.2">
      <c r="A21011" s="996" t="str">
        <f>CONCATENATE(Programme!D21012,Programme!E21012,Programme!F21012,Programme!G21012,Programme!H21012,Programme!I21012,Programme!J21012)</f>
        <v>&lt;codeEdi&gt;14343&lt;/codeEdi&gt;</v>
      </c>
    </row>
    <row r="21012" spans="1:1" x14ac:dyDescent="0.2">
      <c r="A21012" s="996" t="str">
        <f>CONCATENATE(Programme!D21013,Programme!E21013,Programme!F21013,Programme!G21013,Programme!H21013,Programme!I21013,Programme!J21013)</f>
        <v>&lt;/cellule&gt;</v>
      </c>
    </row>
    <row r="21013" spans="1:1" x14ac:dyDescent="0.2">
      <c r="A21013" s="996" t="str">
        <f>CONCATENATE(Programme!D21014,Programme!E21014,Programme!F21014,Programme!G21014,Programme!H21014,Programme!I21014,Programme!J21014)</f>
        <v>&lt;valeur&gt;&lt;/valeur&gt;</v>
      </c>
    </row>
    <row r="21014" spans="1:1" x14ac:dyDescent="0.2">
      <c r="A21014" s="996" t="str">
        <f>CONCATENATE(Programme!D21015,Programme!E21015,Programme!F21015,Programme!G21015,Programme!H21015,Programme!I21015,Programme!J21015)</f>
        <v>&lt;/ValeurCellule&gt;</v>
      </c>
    </row>
    <row r="21015" spans="1:1" x14ac:dyDescent="0.2">
      <c r="A21015" s="996" t="str">
        <f>CONCATENATE(Programme!D21016,Programme!E21016,Programme!F21016,Programme!G21016,Programme!H21016,Programme!I21016,Programme!J21016)</f>
        <v>&lt;ValeurCellule&gt;</v>
      </c>
    </row>
    <row r="21016" spans="1:1" x14ac:dyDescent="0.2">
      <c r="A21016" s="996" t="str">
        <f>CONCATENATE(Programme!D21017,Programme!E21017,Programme!F21017,Programme!G21017,Programme!H21017,Programme!I21017,Programme!J21017)</f>
        <v>&lt;cellule&gt;</v>
      </c>
    </row>
    <row r="21017" spans="1:1" x14ac:dyDescent="0.2">
      <c r="A21017" s="996" t="str">
        <f>CONCATENATE(Programme!D21018,Programme!E21018,Programme!F21018,Programme!G21018,Programme!H21018,Programme!I21018,Programme!J21018)</f>
        <v>&lt;codeEdi&gt;14344&lt;/codeEdi&gt;</v>
      </c>
    </row>
    <row r="21018" spans="1:1" x14ac:dyDescent="0.2">
      <c r="A21018" s="996" t="str">
        <f>CONCATENATE(Programme!D21019,Programme!E21019,Programme!F21019,Programme!G21019,Programme!H21019,Programme!I21019,Programme!J21019)</f>
        <v>&lt;/cellule&gt;</v>
      </c>
    </row>
    <row r="21019" spans="1:1" x14ac:dyDescent="0.2">
      <c r="A21019" s="996" t="str">
        <f>CONCATENATE(Programme!D21020,Programme!E21020,Programme!F21020,Programme!G21020,Programme!H21020,Programme!I21020,Programme!J21020)</f>
        <v>&lt;valeur&gt;&lt;/valeur&gt;</v>
      </c>
    </row>
    <row r="21020" spans="1:1" x14ac:dyDescent="0.2">
      <c r="A21020" s="996" t="str">
        <f>CONCATENATE(Programme!D21021,Programme!E21021,Programme!F21021,Programme!G21021,Programme!H21021,Programme!I21021,Programme!J21021)</f>
        <v>&lt;/ValeurCellule&gt;</v>
      </c>
    </row>
    <row r="21021" spans="1:1" x14ac:dyDescent="0.2">
      <c r="A21021" s="996" t="str">
        <f>CONCATENATE(Programme!D21022,Programme!E21022,Programme!F21022,Programme!G21022,Programme!H21022,Programme!I21022,Programme!J21022)</f>
        <v>&lt;ValeurCellule&gt;</v>
      </c>
    </row>
    <row r="21022" spans="1:1" x14ac:dyDescent="0.2">
      <c r="A21022" s="996" t="str">
        <f>CONCATENATE(Programme!D21023,Programme!E21023,Programme!F21023,Programme!G21023,Programme!H21023,Programme!I21023,Programme!J21023)</f>
        <v>&lt;cellule&gt;</v>
      </c>
    </row>
    <row r="21023" spans="1:1" x14ac:dyDescent="0.2">
      <c r="A21023" s="996" t="str">
        <f>CONCATENATE(Programme!D21024,Programme!E21024,Programme!F21024,Programme!G21024,Programme!H21024,Programme!I21024,Programme!J21024)</f>
        <v>&lt;codeEdi&gt;14345&lt;/codeEdi&gt;</v>
      </c>
    </row>
    <row r="21024" spans="1:1" x14ac:dyDescent="0.2">
      <c r="A21024" s="996" t="str">
        <f>CONCATENATE(Programme!D21025,Programme!E21025,Programme!F21025,Programme!G21025,Programme!H21025,Programme!I21025,Programme!J21025)</f>
        <v>&lt;/cellule&gt;</v>
      </c>
    </row>
    <row r="21025" spans="1:1" x14ac:dyDescent="0.2">
      <c r="A21025" s="996" t="str">
        <f>CONCATENATE(Programme!D21026,Programme!E21026,Programme!F21026,Programme!G21026,Programme!H21026,Programme!I21026,Programme!J21026)</f>
        <v>&lt;valeur&gt;&lt;/valeur&gt;</v>
      </c>
    </row>
    <row r="21026" spans="1:1" x14ac:dyDescent="0.2">
      <c r="A21026" s="996" t="str">
        <f>CONCATENATE(Programme!D21027,Programme!E21027,Programme!F21027,Programme!G21027,Programme!H21027,Programme!I21027,Programme!J21027)</f>
        <v>&lt;/ValeurCellule&gt;</v>
      </c>
    </row>
    <row r="21027" spans="1:1" x14ac:dyDescent="0.2">
      <c r="A21027" s="996" t="str">
        <f>CONCATENATE(Programme!D21028,Programme!E21028,Programme!F21028,Programme!G21028,Programme!H21028,Programme!I21028,Programme!J21028)</f>
        <v>&lt;ValeurCellule&gt;</v>
      </c>
    </row>
    <row r="21028" spans="1:1" x14ac:dyDescent="0.2">
      <c r="A21028" s="996" t="str">
        <f>CONCATENATE(Programme!D21029,Programme!E21029,Programme!F21029,Programme!G21029,Programme!H21029,Programme!I21029,Programme!J21029)</f>
        <v>&lt;cellule&gt;</v>
      </c>
    </row>
    <row r="21029" spans="1:1" x14ac:dyDescent="0.2">
      <c r="A21029" s="996" t="str">
        <f>CONCATENATE(Programme!D21030,Programme!E21030,Programme!F21030,Programme!G21030,Programme!H21030,Programme!I21030,Programme!J21030)</f>
        <v>&lt;codeEdi&gt;14301&lt;/codeEdi&gt;</v>
      </c>
    </row>
    <row r="21030" spans="1:1" x14ac:dyDescent="0.2">
      <c r="A21030" s="996" t="str">
        <f>CONCATENATE(Programme!D21031,Programme!E21031,Programme!F21031,Programme!G21031,Programme!H21031,Programme!I21031,Programme!J21031)</f>
        <v>&lt;/cellule&gt;</v>
      </c>
    </row>
    <row r="21031" spans="1:1" x14ac:dyDescent="0.2">
      <c r="A21031" s="996" t="str">
        <f>CONCATENATE(Programme!D21032,Programme!E21032,Programme!F21032,Programme!G21032,Programme!H21032,Programme!I21032,Programme!J21032)</f>
        <v>&lt;valeur&gt;&lt;/valeur&gt;</v>
      </c>
    </row>
    <row r="21032" spans="1:1" x14ac:dyDescent="0.2">
      <c r="A21032" s="996" t="str">
        <f>CONCATENATE(Programme!D21033,Programme!E21033,Programme!F21033,Programme!G21033,Programme!H21033,Programme!I21033,Programme!J21033)</f>
        <v>&lt;/ValeurCellule&gt;</v>
      </c>
    </row>
    <row r="21033" spans="1:1" x14ac:dyDescent="0.2">
      <c r="A21033" s="996" t="str">
        <f>CONCATENATE(Programme!D21034,Programme!E21034,Programme!F21034,Programme!G21034,Programme!H21034,Programme!I21034,Programme!J21034)</f>
        <v>&lt;ValeurCellule&gt;</v>
      </c>
    </row>
    <row r="21034" spans="1:1" x14ac:dyDescent="0.2">
      <c r="A21034" s="996" t="str">
        <f>CONCATENATE(Programme!D21035,Programme!E21035,Programme!F21035,Programme!G21035,Programme!H21035,Programme!I21035,Programme!J21035)</f>
        <v>&lt;cellule&gt;</v>
      </c>
    </row>
    <row r="21035" spans="1:1" x14ac:dyDescent="0.2">
      <c r="A21035" s="996" t="str">
        <f>CONCATENATE(Programme!D21036,Programme!E21036,Programme!F21036,Programme!G21036,Programme!H21036,Programme!I21036,Programme!J21036)</f>
        <v>&lt;codeEdi&gt;14303&lt;/codeEdi&gt;</v>
      </c>
    </row>
    <row r="21036" spans="1:1" x14ac:dyDescent="0.2">
      <c r="A21036" s="996" t="str">
        <f>CONCATENATE(Programme!D21037,Programme!E21037,Programme!F21037,Programme!G21037,Programme!H21037,Programme!I21037,Programme!J21037)</f>
        <v>&lt;/cellule&gt;</v>
      </c>
    </row>
    <row r="21037" spans="1:1" x14ac:dyDescent="0.2">
      <c r="A21037" s="996" t="str">
        <f>CONCATENATE(Programme!D21038,Programme!E21038,Programme!F21038,Programme!G21038,Programme!H21038,Programme!I21038,Programme!J21038)</f>
        <v>&lt;valeur&gt;&lt;/valeur&gt;</v>
      </c>
    </row>
    <row r="21038" spans="1:1" x14ac:dyDescent="0.2">
      <c r="A21038" s="996" t="str">
        <f>CONCATENATE(Programme!D21039,Programme!E21039,Programme!F21039,Programme!G21039,Programme!H21039,Programme!I21039,Programme!J21039)</f>
        <v>&lt;/ValeurCellule&gt;</v>
      </c>
    </row>
    <row r="21039" spans="1:1" x14ac:dyDescent="0.2">
      <c r="A21039" s="996" t="str">
        <f>CONCATENATE(Programme!D21040,Programme!E21040,Programme!F21040,Programme!G21040,Programme!H21040,Programme!I21040,Programme!J21040)</f>
        <v>&lt;ValeurCellule&gt;</v>
      </c>
    </row>
    <row r="21040" spans="1:1" x14ac:dyDescent="0.2">
      <c r="A21040" s="996" t="str">
        <f>CONCATENATE(Programme!D21041,Programme!E21041,Programme!F21041,Programme!G21041,Programme!H21041,Programme!I21041,Programme!J21041)</f>
        <v>&lt;cellule&gt;</v>
      </c>
    </row>
    <row r="21041" spans="1:1" x14ac:dyDescent="0.2">
      <c r="A21041" s="996" t="str">
        <f>CONCATENATE(Programme!D21042,Programme!E21042,Programme!F21042,Programme!G21042,Programme!H21042,Programme!I21042,Programme!J21042)</f>
        <v>&lt;codeEdi&gt;14305&lt;/codeEdi&gt;</v>
      </c>
    </row>
    <row r="21042" spans="1:1" x14ac:dyDescent="0.2">
      <c r="A21042" s="996" t="str">
        <f>CONCATENATE(Programme!D21043,Programme!E21043,Programme!F21043,Programme!G21043,Programme!H21043,Programme!I21043,Programme!J21043)</f>
        <v>&lt;/cellule&gt;</v>
      </c>
    </row>
    <row r="21043" spans="1:1" x14ac:dyDescent="0.2">
      <c r="A21043" s="996" t="str">
        <f>CONCATENATE(Programme!D21044,Programme!E21044,Programme!F21044,Programme!G21044,Programme!H21044,Programme!I21044,Programme!J21044)</f>
        <v>&lt;valeur&gt;&lt;/valeur&gt;</v>
      </c>
    </row>
    <row r="21044" spans="1:1" x14ac:dyDescent="0.2">
      <c r="A21044" s="996" t="str">
        <f>CONCATENATE(Programme!D21045,Programme!E21045,Programme!F21045,Programme!G21045,Programme!H21045,Programme!I21045,Programme!J21045)</f>
        <v>&lt;/ValeurCellule&gt;</v>
      </c>
    </row>
    <row r="21045" spans="1:1" x14ac:dyDescent="0.2">
      <c r="A21045" s="996" t="str">
        <f>CONCATENATE(Programme!D21046,Programme!E21046,Programme!F21046,Programme!G21046,Programme!H21046,Programme!I21046,Programme!J21046)</f>
        <v>&lt;ValeurCellule&gt;</v>
      </c>
    </row>
    <row r="21046" spans="1:1" x14ac:dyDescent="0.2">
      <c r="A21046" s="996" t="str">
        <f>CONCATENATE(Programme!D21047,Programme!E21047,Programme!F21047,Programme!G21047,Programme!H21047,Programme!I21047,Programme!J21047)</f>
        <v>&lt;cellule&gt;</v>
      </c>
    </row>
    <row r="21047" spans="1:1" x14ac:dyDescent="0.2">
      <c r="A21047" s="996" t="str">
        <f>CONCATENATE(Programme!D21048,Programme!E21048,Programme!F21048,Programme!G21048,Programme!H21048,Programme!I21048,Programme!J21048)</f>
        <v>&lt;codeEdi&gt;14307&lt;/codeEdi&gt;</v>
      </c>
    </row>
    <row r="21048" spans="1:1" x14ac:dyDescent="0.2">
      <c r="A21048" s="996" t="str">
        <f>CONCATENATE(Programme!D21049,Programme!E21049,Programme!F21049,Programme!G21049,Programme!H21049,Programme!I21049,Programme!J21049)</f>
        <v>&lt;/cellule&gt;</v>
      </c>
    </row>
    <row r="21049" spans="1:1" x14ac:dyDescent="0.2">
      <c r="A21049" s="996" t="str">
        <f>CONCATENATE(Programme!D21050,Programme!E21050,Programme!F21050,Programme!G21050,Programme!H21050,Programme!I21050,Programme!J21050)</f>
        <v>&lt;valeur&gt;&lt;/valeur&gt;</v>
      </c>
    </row>
    <row r="21050" spans="1:1" x14ac:dyDescent="0.2">
      <c r="A21050" s="996" t="str">
        <f>CONCATENATE(Programme!D21051,Programme!E21051,Programme!F21051,Programme!G21051,Programme!H21051,Programme!I21051,Programme!J21051)</f>
        <v>&lt;/ValeurCellule&gt;</v>
      </c>
    </row>
    <row r="21051" spans="1:1" x14ac:dyDescent="0.2">
      <c r="A21051" s="996" t="str">
        <f>CONCATENATE(Programme!D21052,Programme!E21052,Programme!F21052,Programme!G21052,Programme!H21052,Programme!I21052,Programme!J21052)</f>
        <v>&lt;ValeurCellule&gt;</v>
      </c>
    </row>
    <row r="21052" spans="1:1" x14ac:dyDescent="0.2">
      <c r="A21052" s="996" t="str">
        <f>CONCATENATE(Programme!D21053,Programme!E21053,Programme!F21053,Programme!G21053,Programme!H21053,Programme!I21053,Programme!J21053)</f>
        <v>&lt;cellule&gt;</v>
      </c>
    </row>
    <row r="21053" spans="1:1" x14ac:dyDescent="0.2">
      <c r="A21053" s="996" t="str">
        <f>CONCATENATE(Programme!D21054,Programme!E21054,Programme!F21054,Programme!G21054,Programme!H21054,Programme!I21054,Programme!J21054)</f>
        <v>&lt;codeEdi&gt;14309&lt;/codeEdi&gt;</v>
      </c>
    </row>
    <row r="21054" spans="1:1" x14ac:dyDescent="0.2">
      <c r="A21054" s="996" t="str">
        <f>CONCATENATE(Programme!D21055,Programme!E21055,Programme!F21055,Programme!G21055,Programme!H21055,Programme!I21055,Programme!J21055)</f>
        <v>&lt;/cellule&gt;</v>
      </c>
    </row>
    <row r="21055" spans="1:1" x14ac:dyDescent="0.2">
      <c r="A21055" s="996" t="str">
        <f>CONCATENATE(Programme!D21056,Programme!E21056,Programme!F21056,Programme!G21056,Programme!H21056,Programme!I21056,Programme!J21056)</f>
        <v>&lt;valeur&gt;&lt;/valeur&gt;</v>
      </c>
    </row>
    <row r="21056" spans="1:1" x14ac:dyDescent="0.2">
      <c r="A21056" s="996" t="str">
        <f>CONCATENATE(Programme!D21057,Programme!E21057,Programme!F21057,Programme!G21057,Programme!H21057,Programme!I21057,Programme!J21057)</f>
        <v>&lt;/ValeurCellule&gt;</v>
      </c>
    </row>
    <row r="21057" spans="1:1" x14ac:dyDescent="0.2">
      <c r="A21057" s="996" t="str">
        <f>CONCATENATE(Programme!D21058,Programme!E21058,Programme!F21058,Programme!G21058,Programme!H21058,Programme!I21058,Programme!J21058)</f>
        <v>&lt;ValeurCellule&gt;</v>
      </c>
    </row>
    <row r="21058" spans="1:1" x14ac:dyDescent="0.2">
      <c r="A21058" s="996" t="str">
        <f>CONCATENATE(Programme!D21059,Programme!E21059,Programme!F21059,Programme!G21059,Programme!H21059,Programme!I21059,Programme!J21059)</f>
        <v>&lt;cellule&gt;</v>
      </c>
    </row>
    <row r="21059" spans="1:1" x14ac:dyDescent="0.2">
      <c r="A21059" s="996" t="str">
        <f>CONCATENATE(Programme!D21060,Programme!E21060,Programme!F21060,Programme!G21060,Programme!H21060,Programme!I21060,Programme!J21060)</f>
        <v>&lt;codeEdi&gt;14311&lt;/codeEdi&gt;</v>
      </c>
    </row>
    <row r="21060" spans="1:1" x14ac:dyDescent="0.2">
      <c r="A21060" s="996" t="str">
        <f>CONCATENATE(Programme!D21061,Programme!E21061,Programme!F21061,Programme!G21061,Programme!H21061,Programme!I21061,Programme!J21061)</f>
        <v>&lt;/cellule&gt;</v>
      </c>
    </row>
    <row r="21061" spans="1:1" x14ac:dyDescent="0.2">
      <c r="A21061" s="996" t="str">
        <f>CONCATENATE(Programme!D21062,Programme!E21062,Programme!F21062,Programme!G21062,Programme!H21062,Programme!I21062,Programme!J21062)</f>
        <v>&lt;valeur&gt;&lt;/valeur&gt;</v>
      </c>
    </row>
    <row r="21062" spans="1:1" x14ac:dyDescent="0.2">
      <c r="A21062" s="996" t="str">
        <f>CONCATENATE(Programme!D21063,Programme!E21063,Programme!F21063,Programme!G21063,Programme!H21063,Programme!I21063,Programme!J21063)</f>
        <v>&lt;/ValeurCellule&gt;</v>
      </c>
    </row>
    <row r="21063" spans="1:1" x14ac:dyDescent="0.2">
      <c r="A21063" s="996" t="str">
        <f>CONCATENATE(Programme!D21064,Programme!E21064,Programme!F21064,Programme!G21064,Programme!H21064,Programme!I21064,Programme!J21064)</f>
        <v>&lt;ValeurCellule&gt;</v>
      </c>
    </row>
    <row r="21064" spans="1:1" x14ac:dyDescent="0.2">
      <c r="A21064" s="996" t="str">
        <f>CONCATENATE(Programme!D21065,Programme!E21065,Programme!F21065,Programme!G21065,Programme!H21065,Programme!I21065,Programme!J21065)</f>
        <v>&lt;cellule&gt;</v>
      </c>
    </row>
    <row r="21065" spans="1:1" x14ac:dyDescent="0.2">
      <c r="A21065" s="996" t="str">
        <f>CONCATENATE(Programme!D21066,Programme!E21066,Programme!F21066,Programme!G21066,Programme!H21066,Programme!I21066,Programme!J21066)</f>
        <v>&lt;codeEdi&gt;14313&lt;/codeEdi&gt;</v>
      </c>
    </row>
    <row r="21066" spans="1:1" x14ac:dyDescent="0.2">
      <c r="A21066" s="996" t="str">
        <f>CONCATENATE(Programme!D21067,Programme!E21067,Programme!F21067,Programme!G21067,Programme!H21067,Programme!I21067,Programme!J21067)</f>
        <v>&lt;/cellule&gt;</v>
      </c>
    </row>
    <row r="21067" spans="1:1" x14ac:dyDescent="0.2">
      <c r="A21067" s="996" t="str">
        <f>CONCATENATE(Programme!D21068,Programme!E21068,Programme!F21068,Programme!G21068,Programme!H21068,Programme!I21068,Programme!J21068)</f>
        <v>&lt;valeur&gt;&lt;/valeur&gt;</v>
      </c>
    </row>
    <row r="21068" spans="1:1" x14ac:dyDescent="0.2">
      <c r="A21068" s="996" t="str">
        <f>CONCATENATE(Programme!D21069,Programme!E21069,Programme!F21069,Programme!G21069,Programme!H21069,Programme!I21069,Programme!J21069)</f>
        <v>&lt;/ValeurCellule&gt;</v>
      </c>
    </row>
    <row r="21069" spans="1:1" x14ac:dyDescent="0.2">
      <c r="A21069" s="996" t="str">
        <f>CONCATENATE(Programme!D21070,Programme!E21070,Programme!F21070,Programme!G21070,Programme!H21070,Programme!I21070,Programme!J21070)</f>
        <v>&lt;ValeurCellule&gt;</v>
      </c>
    </row>
    <row r="21070" spans="1:1" x14ac:dyDescent="0.2">
      <c r="A21070" s="996" t="str">
        <f>CONCATENATE(Programme!D21071,Programme!E21071,Programme!F21071,Programme!G21071,Programme!H21071,Programme!I21071,Programme!J21071)</f>
        <v>&lt;cellule&gt;</v>
      </c>
    </row>
    <row r="21071" spans="1:1" x14ac:dyDescent="0.2">
      <c r="A21071" s="996" t="str">
        <f>CONCATENATE(Programme!D21072,Programme!E21072,Programme!F21072,Programme!G21072,Programme!H21072,Programme!I21072,Programme!J21072)</f>
        <v>&lt;codeEdi&gt;14315&lt;/codeEdi&gt;</v>
      </c>
    </row>
    <row r="21072" spans="1:1" x14ac:dyDescent="0.2">
      <c r="A21072" s="996" t="str">
        <f>CONCATENATE(Programme!D21073,Programme!E21073,Programme!F21073,Programme!G21073,Programme!H21073,Programme!I21073,Programme!J21073)</f>
        <v>&lt;/cellule&gt;</v>
      </c>
    </row>
    <row r="21073" spans="1:1" x14ac:dyDescent="0.2">
      <c r="A21073" s="996" t="str">
        <f>CONCATENATE(Programme!D21074,Programme!E21074,Programme!F21074,Programme!G21074,Programme!H21074,Programme!I21074,Programme!J21074)</f>
        <v>&lt;valeur&gt;&lt;/valeur&gt;</v>
      </c>
    </row>
    <row r="21074" spans="1:1" x14ac:dyDescent="0.2">
      <c r="A21074" s="996" t="str">
        <f>CONCATENATE(Programme!D21075,Programme!E21075,Programme!F21075,Programme!G21075,Programme!H21075,Programme!I21075,Programme!J21075)</f>
        <v>&lt;/ValeurCellule&gt;</v>
      </c>
    </row>
    <row r="21075" spans="1:1" x14ac:dyDescent="0.2">
      <c r="A21075" s="996" t="str">
        <f>CONCATENATE(Programme!D21076,Programme!E21076,Programme!F21076,Programme!G21076,Programme!H21076,Programme!I21076,Programme!J21076)</f>
        <v>&lt;ValeurCellule&gt;</v>
      </c>
    </row>
    <row r="21076" spans="1:1" x14ac:dyDescent="0.2">
      <c r="A21076" s="996" t="str">
        <f>CONCATENATE(Programme!D21077,Programme!E21077,Programme!F21077,Programme!G21077,Programme!H21077,Programme!I21077,Programme!J21077)</f>
        <v>&lt;cellule&gt;</v>
      </c>
    </row>
    <row r="21077" spans="1:1" x14ac:dyDescent="0.2">
      <c r="A21077" s="996" t="str">
        <f>CONCATENATE(Programme!D21078,Programme!E21078,Programme!F21078,Programme!G21078,Programme!H21078,Programme!I21078,Programme!J21078)</f>
        <v>&lt;codeEdi&gt;14317&lt;/codeEdi&gt;</v>
      </c>
    </row>
    <row r="21078" spans="1:1" x14ac:dyDescent="0.2">
      <c r="A21078" s="996" t="str">
        <f>CONCATENATE(Programme!D21079,Programme!E21079,Programme!F21079,Programme!G21079,Programme!H21079,Programme!I21079,Programme!J21079)</f>
        <v>&lt;/cellule&gt;</v>
      </c>
    </row>
    <row r="21079" spans="1:1" x14ac:dyDescent="0.2">
      <c r="A21079" s="996" t="str">
        <f>CONCATENATE(Programme!D21080,Programme!E21080,Programme!F21080,Programme!G21080,Programme!H21080,Programme!I21080,Programme!J21080)</f>
        <v>&lt;valeur&gt;&lt;/valeur&gt;</v>
      </c>
    </row>
    <row r="21080" spans="1:1" x14ac:dyDescent="0.2">
      <c r="A21080" s="996" t="str">
        <f>CONCATENATE(Programme!D21081,Programme!E21081,Programme!F21081,Programme!G21081,Programme!H21081,Programme!I21081,Programme!J21081)</f>
        <v>&lt;/ValeurCellule&gt;</v>
      </c>
    </row>
    <row r="21081" spans="1:1" x14ac:dyDescent="0.2">
      <c r="A21081" s="996" t="str">
        <f>CONCATENATE(Programme!D21082,Programme!E21082,Programme!F21082,Programme!G21082,Programme!H21082,Programme!I21082,Programme!J21082)</f>
        <v>&lt;ValeurCellule&gt;</v>
      </c>
    </row>
    <row r="21082" spans="1:1" x14ac:dyDescent="0.2">
      <c r="A21082" s="996" t="str">
        <f>CONCATENATE(Programme!D21083,Programme!E21083,Programme!F21083,Programme!G21083,Programme!H21083,Programme!I21083,Programme!J21083)</f>
        <v>&lt;cellule&gt;</v>
      </c>
    </row>
    <row r="21083" spans="1:1" x14ac:dyDescent="0.2">
      <c r="A21083" s="996" t="str">
        <f>CONCATENATE(Programme!D21084,Programme!E21084,Programme!F21084,Programme!G21084,Programme!H21084,Programme!I21084,Programme!J21084)</f>
        <v>&lt;codeEdi&gt;14319&lt;/codeEdi&gt;</v>
      </c>
    </row>
    <row r="21084" spans="1:1" x14ac:dyDescent="0.2">
      <c r="A21084" s="996" t="str">
        <f>CONCATENATE(Programme!D21085,Programme!E21085,Programme!F21085,Programme!G21085,Programme!H21085,Programme!I21085,Programme!J21085)</f>
        <v>&lt;/cellule&gt;</v>
      </c>
    </row>
    <row r="21085" spans="1:1" x14ac:dyDescent="0.2">
      <c r="A21085" s="996" t="str">
        <f>CONCATENATE(Programme!D21086,Programme!E21086,Programme!F21086,Programme!G21086,Programme!H21086,Programme!I21086,Programme!J21086)</f>
        <v>&lt;valeur&gt;&lt;/valeur&gt;</v>
      </c>
    </row>
    <row r="21086" spans="1:1" x14ac:dyDescent="0.2">
      <c r="A21086" s="996" t="str">
        <f>CONCATENATE(Programme!D21087,Programme!E21087,Programme!F21087,Programme!G21087,Programme!H21087,Programme!I21087,Programme!J21087)</f>
        <v>&lt;/ValeurCellule&gt;</v>
      </c>
    </row>
    <row r="21087" spans="1:1" x14ac:dyDescent="0.2">
      <c r="A21087" s="996" t="str">
        <f>CONCATENATE(Programme!D21088,Programme!E21088,Programme!F21088,Programme!G21088,Programme!H21088,Programme!I21088,Programme!J21088)</f>
        <v>&lt;ValeurCellule&gt;</v>
      </c>
    </row>
    <row r="21088" spans="1:1" x14ac:dyDescent="0.2">
      <c r="A21088" s="996" t="str">
        <f>CONCATENATE(Programme!D21089,Programme!E21089,Programme!F21089,Programme!G21089,Programme!H21089,Programme!I21089,Programme!J21089)</f>
        <v>&lt;cellule&gt;</v>
      </c>
    </row>
    <row r="21089" spans="1:1" x14ac:dyDescent="0.2">
      <c r="A21089" s="996" t="str">
        <f>CONCATENATE(Programme!D21090,Programme!E21090,Programme!F21090,Programme!G21090,Programme!H21090,Programme!I21090,Programme!J21090)</f>
        <v>&lt;codeEdi&gt;14321&lt;/codeEdi&gt;</v>
      </c>
    </row>
    <row r="21090" spans="1:1" x14ac:dyDescent="0.2">
      <c r="A21090" s="996" t="str">
        <f>CONCATENATE(Programme!D21091,Programme!E21091,Programme!F21091,Programme!G21091,Programme!H21091,Programme!I21091,Programme!J21091)</f>
        <v>&lt;/cellule&gt;</v>
      </c>
    </row>
    <row r="21091" spans="1:1" x14ac:dyDescent="0.2">
      <c r="A21091" s="996" t="str">
        <f>CONCATENATE(Programme!D21092,Programme!E21092,Programme!F21092,Programme!G21092,Programme!H21092,Programme!I21092,Programme!J21092)</f>
        <v>&lt;valeur&gt;&lt;/valeur&gt;</v>
      </c>
    </row>
    <row r="21092" spans="1:1" x14ac:dyDescent="0.2">
      <c r="A21092" s="996" t="str">
        <f>CONCATENATE(Programme!D21093,Programme!E21093,Programme!F21093,Programme!G21093,Programme!H21093,Programme!I21093,Programme!J21093)</f>
        <v>&lt;/ValeurCellule&gt;</v>
      </c>
    </row>
    <row r="21093" spans="1:1" x14ac:dyDescent="0.2">
      <c r="A21093" s="996" t="str">
        <f>CONCATENATE(Programme!D21094,Programme!E21094,Programme!F21094,Programme!G21094,Programme!H21094,Programme!I21094,Programme!J21094)</f>
        <v>&lt;ValeurCellule&gt;</v>
      </c>
    </row>
    <row r="21094" spans="1:1" x14ac:dyDescent="0.2">
      <c r="A21094" s="996" t="str">
        <f>CONCATENATE(Programme!D21095,Programme!E21095,Programme!F21095,Programme!G21095,Programme!H21095,Programme!I21095,Programme!J21095)</f>
        <v>&lt;cellule&gt;</v>
      </c>
    </row>
    <row r="21095" spans="1:1" x14ac:dyDescent="0.2">
      <c r="A21095" s="996" t="str">
        <f>CONCATENATE(Programme!D21096,Programme!E21096,Programme!F21096,Programme!G21096,Programme!H21096,Programme!I21096,Programme!J21096)</f>
        <v>&lt;codeEdi&gt;14323&lt;/codeEdi&gt;</v>
      </c>
    </row>
    <row r="21096" spans="1:1" x14ac:dyDescent="0.2">
      <c r="A21096" s="996" t="str">
        <f>CONCATENATE(Programme!D21097,Programme!E21097,Programme!F21097,Programme!G21097,Programme!H21097,Programme!I21097,Programme!J21097)</f>
        <v>&lt;/cellule&gt;</v>
      </c>
    </row>
    <row r="21097" spans="1:1" x14ac:dyDescent="0.2">
      <c r="A21097" s="996" t="str">
        <f>CONCATENATE(Programme!D21098,Programme!E21098,Programme!F21098,Programme!G21098,Programme!H21098,Programme!I21098,Programme!J21098)</f>
        <v>&lt;valeur&gt;&lt;/valeur&gt;</v>
      </c>
    </row>
    <row r="21098" spans="1:1" x14ac:dyDescent="0.2">
      <c r="A21098" s="996" t="str">
        <f>CONCATENATE(Programme!D21099,Programme!E21099,Programme!F21099,Programme!G21099,Programme!H21099,Programme!I21099,Programme!J21099)</f>
        <v>&lt;/ValeurCellule&gt;</v>
      </c>
    </row>
    <row r="21099" spans="1:1" x14ac:dyDescent="0.2">
      <c r="A21099" s="996" t="str">
        <f>CONCATENATE(Programme!D21100,Programme!E21100,Programme!F21100,Programme!G21100,Programme!H21100,Programme!I21100,Programme!J21100)</f>
        <v>&lt;ValeurCellule&gt;</v>
      </c>
    </row>
    <row r="21100" spans="1:1" x14ac:dyDescent="0.2">
      <c r="A21100" s="996" t="str">
        <f>CONCATENATE(Programme!D21101,Programme!E21101,Programme!F21101,Programme!G21101,Programme!H21101,Programme!I21101,Programme!J21101)</f>
        <v>&lt;cellule&gt;</v>
      </c>
    </row>
    <row r="21101" spans="1:1" x14ac:dyDescent="0.2">
      <c r="A21101" s="996" t="str">
        <f>CONCATENATE(Programme!D21102,Programme!E21102,Programme!F21102,Programme!G21102,Programme!H21102,Programme!I21102,Programme!J21102)</f>
        <v>&lt;codeEdi&gt;14325&lt;/codeEdi&gt;</v>
      </c>
    </row>
    <row r="21102" spans="1:1" x14ac:dyDescent="0.2">
      <c r="A21102" s="996" t="str">
        <f>CONCATENATE(Programme!D21103,Programme!E21103,Programme!F21103,Programme!G21103,Programme!H21103,Programme!I21103,Programme!J21103)</f>
        <v>&lt;/cellule&gt;</v>
      </c>
    </row>
    <row r="21103" spans="1:1" x14ac:dyDescent="0.2">
      <c r="A21103" s="996" t="str">
        <f>CONCATENATE(Programme!D21104,Programme!E21104,Programme!F21104,Programme!G21104,Programme!H21104,Programme!I21104,Programme!J21104)</f>
        <v>&lt;valeur&gt;&lt;/valeur&gt;</v>
      </c>
    </row>
    <row r="21104" spans="1:1" x14ac:dyDescent="0.2">
      <c r="A21104" s="996" t="str">
        <f>CONCATENATE(Programme!D21105,Programme!E21105,Programme!F21105,Programme!G21105,Programme!H21105,Programme!I21105,Programme!J21105)</f>
        <v>&lt;/ValeurCellule&gt;</v>
      </c>
    </row>
    <row r="21105" spans="1:1" x14ac:dyDescent="0.2">
      <c r="A21105" s="996" t="str">
        <f>CONCATENATE(Programme!D21106,Programme!E21106,Programme!F21106,Programme!G21106,Programme!H21106,Programme!I21106,Programme!J21106)</f>
        <v>&lt;ValeurCellule&gt;</v>
      </c>
    </row>
    <row r="21106" spans="1:1" x14ac:dyDescent="0.2">
      <c r="A21106" s="996" t="str">
        <f>CONCATENATE(Programme!D21107,Programme!E21107,Programme!F21107,Programme!G21107,Programme!H21107,Programme!I21107,Programme!J21107)</f>
        <v>&lt;cellule&gt;</v>
      </c>
    </row>
    <row r="21107" spans="1:1" x14ac:dyDescent="0.2">
      <c r="A21107" s="996" t="str">
        <f>CONCATENATE(Programme!D21108,Programme!E21108,Programme!F21108,Programme!G21108,Programme!H21108,Programme!I21108,Programme!J21108)</f>
        <v>&lt;codeEdi&gt;14327&lt;/codeEdi&gt;</v>
      </c>
    </row>
    <row r="21108" spans="1:1" x14ac:dyDescent="0.2">
      <c r="A21108" s="996" t="str">
        <f>CONCATENATE(Programme!D21109,Programme!E21109,Programme!F21109,Programme!G21109,Programme!H21109,Programme!I21109,Programme!J21109)</f>
        <v>&lt;/cellule&gt;</v>
      </c>
    </row>
    <row r="21109" spans="1:1" x14ac:dyDescent="0.2">
      <c r="A21109" s="996" t="str">
        <f>CONCATENATE(Programme!D21110,Programme!E21110,Programme!F21110,Programme!G21110,Programme!H21110,Programme!I21110,Programme!J21110)</f>
        <v>&lt;valeur&gt;&lt;/valeur&gt;</v>
      </c>
    </row>
    <row r="21110" spans="1:1" x14ac:dyDescent="0.2">
      <c r="A21110" s="996" t="str">
        <f>CONCATENATE(Programme!D21111,Programme!E21111,Programme!F21111,Programme!G21111,Programme!H21111,Programme!I21111,Programme!J21111)</f>
        <v>&lt;/ValeurCellule&gt;</v>
      </c>
    </row>
    <row r="21111" spans="1:1" x14ac:dyDescent="0.2">
      <c r="A21111" s="996" t="str">
        <f>CONCATENATE(Programme!D21112,Programme!E21112,Programme!F21112,Programme!G21112,Programme!H21112,Programme!I21112,Programme!J21112)</f>
        <v>&lt;ValeurCellule&gt;</v>
      </c>
    </row>
    <row r="21112" spans="1:1" x14ac:dyDescent="0.2">
      <c r="A21112" s="996" t="str">
        <f>CONCATENATE(Programme!D21113,Programme!E21113,Programme!F21113,Programme!G21113,Programme!H21113,Programme!I21113,Programme!J21113)</f>
        <v>&lt;cellule&gt;</v>
      </c>
    </row>
    <row r="21113" spans="1:1" x14ac:dyDescent="0.2">
      <c r="A21113" s="996" t="str">
        <f>CONCATENATE(Programme!D21114,Programme!E21114,Programme!F21114,Programme!G21114,Programme!H21114,Programme!I21114,Programme!J21114)</f>
        <v>&lt;codeEdi&gt;14329&lt;/codeEdi&gt;</v>
      </c>
    </row>
    <row r="21114" spans="1:1" x14ac:dyDescent="0.2">
      <c r="A21114" s="996" t="str">
        <f>CONCATENATE(Programme!D21115,Programme!E21115,Programme!F21115,Programme!G21115,Programme!H21115,Programme!I21115,Programme!J21115)</f>
        <v>&lt;/cellule&gt;</v>
      </c>
    </row>
    <row r="21115" spans="1:1" x14ac:dyDescent="0.2">
      <c r="A21115" s="996" t="str">
        <f>CONCATENATE(Programme!D21116,Programme!E21116,Programme!F21116,Programme!G21116,Programme!H21116,Programme!I21116,Programme!J21116)</f>
        <v>&lt;valeur&gt;&lt;/valeur&gt;</v>
      </c>
    </row>
    <row r="21116" spans="1:1" x14ac:dyDescent="0.2">
      <c r="A21116" s="996" t="str">
        <f>CONCATENATE(Programme!D21117,Programme!E21117,Programme!F21117,Programme!G21117,Programme!H21117,Programme!I21117,Programme!J21117)</f>
        <v>&lt;/ValeurCellule&gt;</v>
      </c>
    </row>
    <row r="21117" spans="1:1" x14ac:dyDescent="0.2">
      <c r="A21117" s="996" t="str">
        <f>CONCATENATE(Programme!D21118,Programme!E21118,Programme!F21118,Programme!G21118,Programme!H21118,Programme!I21118,Programme!J21118)</f>
        <v>&lt;ValeurCellule&gt;</v>
      </c>
    </row>
    <row r="21118" spans="1:1" x14ac:dyDescent="0.2">
      <c r="A21118" s="996" t="str">
        <f>CONCATENATE(Programme!D21119,Programme!E21119,Programme!F21119,Programme!G21119,Programme!H21119,Programme!I21119,Programme!J21119)</f>
        <v>&lt;cellule&gt;</v>
      </c>
    </row>
    <row r="21119" spans="1:1" x14ac:dyDescent="0.2">
      <c r="A21119" s="996" t="str">
        <f>CONCATENATE(Programme!D21120,Programme!E21120,Programme!F21120,Programme!G21120,Programme!H21120,Programme!I21120,Programme!J21120)</f>
        <v>&lt;codeEdi&gt;14331&lt;/codeEdi&gt;</v>
      </c>
    </row>
    <row r="21120" spans="1:1" x14ac:dyDescent="0.2">
      <c r="A21120" s="996" t="str">
        <f>CONCATENATE(Programme!D21121,Programme!E21121,Programme!F21121,Programme!G21121,Programme!H21121,Programme!I21121,Programme!J21121)</f>
        <v>&lt;/cellule&gt;</v>
      </c>
    </row>
    <row r="21121" spans="1:1" x14ac:dyDescent="0.2">
      <c r="A21121" s="996" t="str">
        <f>CONCATENATE(Programme!D21122,Programme!E21122,Programme!F21122,Programme!G21122,Programme!H21122,Programme!I21122,Programme!J21122)</f>
        <v>&lt;valeur&gt;&lt;/valeur&gt;</v>
      </c>
    </row>
    <row r="21122" spans="1:1" x14ac:dyDescent="0.2">
      <c r="A21122" s="996" t="str">
        <f>CONCATENATE(Programme!D21123,Programme!E21123,Programme!F21123,Programme!G21123,Programme!H21123,Programme!I21123,Programme!J21123)</f>
        <v>&lt;/ValeurCellule&gt;</v>
      </c>
    </row>
    <row r="21123" spans="1:1" x14ac:dyDescent="0.2">
      <c r="A21123" s="996" t="str">
        <f>CONCATENATE(Programme!D21124,Programme!E21124,Programme!F21124,Programme!G21124,Programme!H21124,Programme!I21124,Programme!J21124)</f>
        <v>&lt;ValeurCellule&gt;</v>
      </c>
    </row>
    <row r="21124" spans="1:1" x14ac:dyDescent="0.2">
      <c r="A21124" s="996" t="str">
        <f>CONCATENATE(Programme!D21125,Programme!E21125,Programme!F21125,Programme!G21125,Programme!H21125,Programme!I21125,Programme!J21125)</f>
        <v>&lt;cellule&gt;</v>
      </c>
    </row>
    <row r="21125" spans="1:1" x14ac:dyDescent="0.2">
      <c r="A21125" s="996" t="str">
        <f>CONCATENATE(Programme!D21126,Programme!E21126,Programme!F21126,Programme!G21126,Programme!H21126,Programme!I21126,Programme!J21126)</f>
        <v>&lt;codeEdi&gt;14333&lt;/codeEdi&gt;</v>
      </c>
    </row>
    <row r="21126" spans="1:1" x14ac:dyDescent="0.2">
      <c r="A21126" s="996" t="str">
        <f>CONCATENATE(Programme!D21127,Programme!E21127,Programme!F21127,Programme!G21127,Programme!H21127,Programme!I21127,Programme!J21127)</f>
        <v>&lt;/cellule&gt;</v>
      </c>
    </row>
    <row r="21127" spans="1:1" x14ac:dyDescent="0.2">
      <c r="A21127" s="996" t="str">
        <f>CONCATENATE(Programme!D21128,Programme!E21128,Programme!F21128,Programme!G21128,Programme!H21128,Programme!I21128,Programme!J21128)</f>
        <v>&lt;valeur&gt;&lt;/valeur&gt;</v>
      </c>
    </row>
    <row r="21128" spans="1:1" x14ac:dyDescent="0.2">
      <c r="A21128" s="996" t="str">
        <f>CONCATENATE(Programme!D21129,Programme!E21129,Programme!F21129,Programme!G21129,Programme!H21129,Programme!I21129,Programme!J21129)</f>
        <v>&lt;/ValeurCellule&gt;</v>
      </c>
    </row>
    <row r="21129" spans="1:1" x14ac:dyDescent="0.2">
      <c r="A21129" s="996" t="str">
        <f>CONCATENATE(Programme!D21130,Programme!E21130,Programme!F21130,Programme!G21130,Programme!H21130,Programme!I21130,Programme!J21130)</f>
        <v>&lt;ValeurCellule&gt;</v>
      </c>
    </row>
    <row r="21130" spans="1:1" x14ac:dyDescent="0.2">
      <c r="A21130" s="996" t="str">
        <f>CONCATENATE(Programme!D21131,Programme!E21131,Programme!F21131,Programme!G21131,Programme!H21131,Programme!I21131,Programme!J21131)</f>
        <v>&lt;cellule&gt;</v>
      </c>
    </row>
    <row r="21131" spans="1:1" x14ac:dyDescent="0.2">
      <c r="A21131" s="996" t="str">
        <f>CONCATENATE(Programme!D21132,Programme!E21132,Programme!F21132,Programme!G21132,Programme!H21132,Programme!I21132,Programme!J21132)</f>
        <v>&lt;codeEdi&gt;14335&lt;/codeEdi&gt;</v>
      </c>
    </row>
    <row r="21132" spans="1:1" x14ac:dyDescent="0.2">
      <c r="A21132" s="996" t="str">
        <f>CONCATENATE(Programme!D21133,Programme!E21133,Programme!F21133,Programme!G21133,Programme!H21133,Programme!I21133,Programme!J21133)</f>
        <v>&lt;/cellule&gt;</v>
      </c>
    </row>
    <row r="21133" spans="1:1" x14ac:dyDescent="0.2">
      <c r="A21133" s="996" t="str">
        <f>CONCATENATE(Programme!D21134,Programme!E21134,Programme!F21134,Programme!G21134,Programme!H21134,Programme!I21134,Programme!J21134)</f>
        <v>&lt;valeur&gt;&lt;/valeur&gt;</v>
      </c>
    </row>
    <row r="21134" spans="1:1" x14ac:dyDescent="0.2">
      <c r="A21134" s="996" t="str">
        <f>CONCATENATE(Programme!D21135,Programme!E21135,Programme!F21135,Programme!G21135,Programme!H21135,Programme!I21135,Programme!J21135)</f>
        <v>&lt;/ValeurCellule&gt;</v>
      </c>
    </row>
    <row r="21135" spans="1:1" x14ac:dyDescent="0.2">
      <c r="A21135" s="996" t="str">
        <f>CONCATENATE(Programme!D21136,Programme!E21136,Programme!F21136,Programme!G21136,Programme!H21136,Programme!I21136,Programme!J21136)</f>
        <v>&lt;ValeurCellule&gt;</v>
      </c>
    </row>
    <row r="21136" spans="1:1" x14ac:dyDescent="0.2">
      <c r="A21136" s="996" t="str">
        <f>CONCATENATE(Programme!D21137,Programme!E21137,Programme!F21137,Programme!G21137,Programme!H21137,Programme!I21137,Programme!J21137)</f>
        <v>&lt;cellule&gt;</v>
      </c>
    </row>
    <row r="21137" spans="1:1" x14ac:dyDescent="0.2">
      <c r="A21137" s="996" t="str">
        <f>CONCATENATE(Programme!D21138,Programme!E21138,Programme!F21138,Programme!G21138,Programme!H21138,Programme!I21138,Programme!J21138)</f>
        <v>&lt;codeEdi&gt;14337&lt;/codeEdi&gt;</v>
      </c>
    </row>
    <row r="21138" spans="1:1" x14ac:dyDescent="0.2">
      <c r="A21138" s="996" t="str">
        <f>CONCATENATE(Programme!D21139,Programme!E21139,Programme!F21139,Programme!G21139,Programme!H21139,Programme!I21139,Programme!J21139)</f>
        <v>&lt;/cellule&gt;</v>
      </c>
    </row>
    <row r="21139" spans="1:1" x14ac:dyDescent="0.2">
      <c r="A21139" s="996" t="str">
        <f>CONCATENATE(Programme!D21140,Programme!E21140,Programme!F21140,Programme!G21140,Programme!H21140,Programme!I21140,Programme!J21140)</f>
        <v>&lt;valeur&gt;&lt;/valeur&gt;</v>
      </c>
    </row>
    <row r="21140" spans="1:1" x14ac:dyDescent="0.2">
      <c r="A21140" s="996" t="str">
        <f>CONCATENATE(Programme!D21141,Programme!E21141,Programme!F21141,Programme!G21141,Programme!H21141,Programme!I21141,Programme!J21141)</f>
        <v>&lt;/ValeurCellule&gt;</v>
      </c>
    </row>
    <row r="21141" spans="1:1" x14ac:dyDescent="0.2">
      <c r="A21141" s="996" t="str">
        <f>CONCATENATE(Programme!D21142,Programme!E21142,Programme!F21142,Programme!G21142,Programme!H21142,Programme!I21142,Programme!J21142)</f>
        <v>&lt;/groupeValeurs&gt;</v>
      </c>
    </row>
    <row r="21142" spans="1:1" x14ac:dyDescent="0.2">
      <c r="A21142" s="996" t="str">
        <f>CONCATENATE(Programme!D21143,Programme!E21143,Programme!F21143,Programme!G21143,Programme!H21143,Programme!I21143,Programme!J21143)</f>
        <v>&lt;extraFieldvaleurs&gt;</v>
      </c>
    </row>
    <row r="21143" spans="1:1" x14ac:dyDescent="0.2">
      <c r="A21143" s="996" t="str">
        <f>CONCATENATE(Programme!D21144,Programme!E21144,Programme!F21144,Programme!G21144,Programme!H21144,Programme!I21144,Programme!J21144)</f>
        <v>&lt;/extraFieldvaleurs&gt;</v>
      </c>
    </row>
    <row r="21144" spans="1:1" x14ac:dyDescent="0.2">
      <c r="A21144" s="996" t="str">
        <f>CONCATENATE(Programme!D21145,Programme!E21145,Programme!F21145,Programme!G21145,Programme!H21145,Programme!I21145,Programme!J21145)</f>
        <v>&lt;/ValeursTableau&gt;</v>
      </c>
    </row>
    <row r="21145" spans="1:1" x14ac:dyDescent="0.2">
      <c r="A21145" s="996" t="str">
        <f>CONCATENATE(Programme!D21146,Programme!E21146,Programme!F21146,Programme!G21146,Programme!H21146,Programme!I21146,Programme!J21146)</f>
        <v>&lt;ValeursTableau&gt;</v>
      </c>
    </row>
    <row r="21146" spans="1:1" x14ac:dyDescent="0.2">
      <c r="A21146" s="996" t="str">
        <f>CONCATENATE(Programme!D21147,Programme!E21147,Programme!F21147,Programme!G21147,Programme!H21147,Programme!I21147,Programme!J21147)</f>
        <v>&lt;tableau&gt;&lt;id&gt;240&lt;/id&gt;&lt;/tableau&gt;</v>
      </c>
    </row>
    <row r="21147" spans="1:1" x14ac:dyDescent="0.2">
      <c r="A21147" s="996" t="str">
        <f>CONCATENATE(Programme!D21148,Programme!E21148,Programme!F21148,Programme!G21148,Programme!H21148,Programme!I21148,Programme!J21148)</f>
        <v>&lt;groupeValeurs&gt;</v>
      </c>
    </row>
    <row r="21148" spans="1:1" x14ac:dyDescent="0.2">
      <c r="A21148" s="996" t="str">
        <f>CONCATENATE(Programme!D21149,Programme!E21149,Programme!F21149,Programme!G21149,Programme!H21149,Programme!I21149,Programme!J21149)</f>
        <v>&lt;ValeurCellule&gt;</v>
      </c>
    </row>
    <row r="21149" spans="1:1" x14ac:dyDescent="0.2">
      <c r="A21149" s="996" t="str">
        <f>CONCATENATE(Programme!D21150,Programme!E21150,Programme!F21150,Programme!G21150,Programme!H21150,Programme!I21150,Programme!J21150)</f>
        <v>&lt;cellule&gt;</v>
      </c>
    </row>
    <row r="21150" spans="1:1" x14ac:dyDescent="0.2">
      <c r="A21150" s="996" t="str">
        <f>CONCATENATE(Programme!D21151,Programme!E21151,Programme!F21151,Programme!G21151,Programme!H21151,Programme!I21151,Programme!J21151)</f>
        <v>&lt;codeEdi&gt;14347&lt;/codeEdi&gt;</v>
      </c>
    </row>
    <row r="21151" spans="1:1" x14ac:dyDescent="0.2">
      <c r="A21151" s="996" t="str">
        <f>CONCATENATE(Programme!D21152,Programme!E21152,Programme!F21152,Programme!G21152,Programme!H21152,Programme!I21152,Programme!J21152)</f>
        <v>&lt;/cellule&gt;</v>
      </c>
    </row>
    <row r="21152" spans="1:1" x14ac:dyDescent="0.2">
      <c r="A21152" s="996" t="str">
        <f>CONCATENATE(Programme!D21153,Programme!E21153,Programme!F21153,Programme!G21153,Programme!H21153,Programme!I21153,Programme!J21153)</f>
        <v>&lt;valeur&gt;0&lt;/valeur&gt;</v>
      </c>
    </row>
    <row r="21153" spans="1:1" x14ac:dyDescent="0.2">
      <c r="A21153" s="996" t="str">
        <f>CONCATENATE(Programme!D21154,Programme!E21154,Programme!F21154,Programme!G21154,Programme!H21154,Programme!I21154,Programme!J21154)</f>
        <v>&lt;/ValeurCellule&gt;</v>
      </c>
    </row>
    <row r="21154" spans="1:1" x14ac:dyDescent="0.2">
      <c r="A21154" s="996" t="str">
        <f>CONCATENATE(Programme!D21155,Programme!E21155,Programme!F21155,Programme!G21155,Programme!H21155,Programme!I21155,Programme!J21155)</f>
        <v>&lt;ValeurCellule&gt;</v>
      </c>
    </row>
    <row r="21155" spans="1:1" x14ac:dyDescent="0.2">
      <c r="A21155" s="996" t="str">
        <f>CONCATENATE(Programme!D21156,Programme!E21156,Programme!F21156,Programme!G21156,Programme!H21156,Programme!I21156,Programme!J21156)</f>
        <v>&lt;cellule&gt;</v>
      </c>
    </row>
    <row r="21156" spans="1:1" x14ac:dyDescent="0.2">
      <c r="A21156" s="996" t="str">
        <f>CONCATENATE(Programme!D21157,Programme!E21157,Programme!F21157,Programme!G21157,Programme!H21157,Programme!I21157,Programme!J21157)</f>
        <v>&lt;codeEdi&gt;14349&lt;/codeEdi&gt;</v>
      </c>
    </row>
    <row r="21157" spans="1:1" x14ac:dyDescent="0.2">
      <c r="A21157" s="996" t="str">
        <f>CONCATENATE(Programme!D21158,Programme!E21158,Programme!F21158,Programme!G21158,Programme!H21158,Programme!I21158,Programme!J21158)</f>
        <v>&lt;/cellule&gt;</v>
      </c>
    </row>
    <row r="21158" spans="1:1" x14ac:dyDescent="0.2">
      <c r="A21158" s="996" t="str">
        <f>CONCATENATE(Programme!D21159,Programme!E21159,Programme!F21159,Programme!G21159,Programme!H21159,Programme!I21159,Programme!J21159)</f>
        <v>&lt;valeur&gt;0&lt;/valeur&gt;</v>
      </c>
    </row>
    <row r="21159" spans="1:1" x14ac:dyDescent="0.2">
      <c r="A21159" s="996" t="str">
        <f>CONCATENATE(Programme!D21160,Programme!E21160,Programme!F21160,Programme!G21160,Programme!H21160,Programme!I21160,Programme!J21160)</f>
        <v>&lt;/ValeurCellule&gt;</v>
      </c>
    </row>
    <row r="21160" spans="1:1" x14ac:dyDescent="0.2">
      <c r="A21160" s="996" t="str">
        <f>CONCATENATE(Programme!D21161,Programme!E21161,Programme!F21161,Programme!G21161,Programme!H21161,Programme!I21161,Programme!J21161)</f>
        <v>&lt;ValeurCellule&gt;</v>
      </c>
    </row>
    <row r="21161" spans="1:1" x14ac:dyDescent="0.2">
      <c r="A21161" s="996" t="str">
        <f>CONCATENATE(Programme!D21162,Programme!E21162,Programme!F21162,Programme!G21162,Programme!H21162,Programme!I21162,Programme!J21162)</f>
        <v>&lt;cellule&gt;&lt;codeEdi&gt;14990&lt;/codeEdi&gt;&lt;/cellule&gt;</v>
      </c>
    </row>
    <row r="21162" spans="1:1" x14ac:dyDescent="0.2">
      <c r="A21162" s="996" t="str">
        <f>CONCATENATE(Programme!D21163,Programme!E21163,Programme!F21163,Programme!G21163,Programme!H21163,Programme!I21163,Programme!J21163)</f>
        <v>&lt;valeur&gt;0,175&lt;/valeur&gt;</v>
      </c>
    </row>
    <row r="21163" spans="1:1" x14ac:dyDescent="0.2">
      <c r="A21163" s="996" t="str">
        <f>CONCATENATE(Programme!D21164,Programme!E21164,Programme!F21164,Programme!G21164,Programme!H21164,Programme!I21164,Programme!J21164)</f>
        <v>&lt;numeroLigne&gt;1&lt;/numeroLigne&gt;</v>
      </c>
    </row>
    <row r="21164" spans="1:1" x14ac:dyDescent="0.2">
      <c r="A21164" s="996" t="str">
        <f>CONCATENATE(Programme!D21165,Programme!E21165,Programme!F21165,Programme!G21165,Programme!H21165,Programme!I21165,Programme!J21165)</f>
        <v>&lt;/ValeurCellule&gt;</v>
      </c>
    </row>
    <row r="21165" spans="1:1" x14ac:dyDescent="0.2">
      <c r="A21165" s="996" t="str">
        <f>CONCATENATE(Programme!D21166,Programme!E21166,Programme!F21166,Programme!G21166,Programme!H21166,Programme!I21166,Programme!J21166)</f>
        <v>&lt;ValeurCellule&gt;</v>
      </c>
    </row>
    <row r="21166" spans="1:1" x14ac:dyDescent="0.2">
      <c r="A21166" s="996" t="str">
        <f>CONCATENATE(Programme!D21167,Programme!E21167,Programme!F21167,Programme!G21167,Programme!H21167,Programme!I21167,Programme!J21167)</f>
        <v>&lt;cellule&gt;&lt;codeEdi&gt;14353&lt;/codeEdi&gt;&lt;/cellule&gt;</v>
      </c>
    </row>
    <row r="21167" spans="1:1" x14ac:dyDescent="0.2">
      <c r="A21167" s="996" t="str">
        <f>CONCATENATE(Programme!D21168,Programme!E21168,Programme!F21168,Programme!G21168,Programme!H21168,Programme!I21168,Programme!J21168)</f>
        <v>&lt;valeur&gt;0&lt;/valeur&gt;</v>
      </c>
    </row>
    <row r="21168" spans="1:1" x14ac:dyDescent="0.2">
      <c r="A21168" s="996" t="str">
        <f>CONCATENATE(Programme!D21169,Programme!E21169,Programme!F21169,Programme!G21169,Programme!H21169,Programme!I21169,Programme!J21169)</f>
        <v>&lt;numeroLigne&gt;1&lt;/numeroLigne&gt;</v>
      </c>
    </row>
    <row r="21169" spans="1:1" x14ac:dyDescent="0.2">
      <c r="A21169" s="996" t="str">
        <f>CONCATENATE(Programme!D21170,Programme!E21170,Programme!F21170,Programme!G21170,Programme!H21170,Programme!I21170,Programme!J21170)</f>
        <v>&lt;/ValeurCellule&gt;</v>
      </c>
    </row>
    <row r="21170" spans="1:1" x14ac:dyDescent="0.2">
      <c r="A21170" s="996" t="str">
        <f>CONCATENATE(Programme!D21171,Programme!E21171,Programme!F21171,Programme!G21171,Programme!H21171,Programme!I21171,Programme!J21171)</f>
        <v>&lt;ValeurCellule&gt;</v>
      </c>
    </row>
    <row r="21171" spans="1:1" x14ac:dyDescent="0.2">
      <c r="A21171" s="996" t="str">
        <f>CONCATENATE(Programme!D21172,Programme!E21172,Programme!F21172,Programme!G21172,Programme!H21172,Programme!I21172,Programme!J21172)</f>
        <v>&lt;cellule&gt;</v>
      </c>
    </row>
    <row r="21172" spans="1:1" x14ac:dyDescent="0.2">
      <c r="A21172" s="996" t="str">
        <f>CONCATENATE(Programme!D21173,Programme!E21173,Programme!F21173,Programme!G21173,Programme!H21173,Programme!I21173,Programme!J21173)</f>
        <v>&lt;codeEdi&gt;17929&lt;/codeEdi&gt;</v>
      </c>
    </row>
    <row r="21173" spans="1:1" x14ac:dyDescent="0.2">
      <c r="A21173" s="996" t="str">
        <f>CONCATENATE(Programme!D21174,Programme!E21174,Programme!F21174,Programme!G21174,Programme!H21174,Programme!I21174,Programme!J21174)</f>
        <v>&lt;/cellule&gt;</v>
      </c>
    </row>
    <row r="21174" spans="1:1" x14ac:dyDescent="0.2">
      <c r="A21174" s="996" t="str">
        <f>CONCATENATE(Programme!D21175,Programme!E21175,Programme!F21175,Programme!G21175,Programme!H21175,Programme!I21175,Programme!J21175)</f>
        <v>&lt;valeur&gt;0&lt;/valeur&gt;</v>
      </c>
    </row>
    <row r="21175" spans="1:1" x14ac:dyDescent="0.2">
      <c r="A21175" s="996" t="str">
        <f>CONCATENATE(Programme!D21176,Programme!E21176,Programme!F21176,Programme!G21176,Programme!H21176,Programme!I21176,Programme!J21176)</f>
        <v>&lt;/ValeurCellule&gt;</v>
      </c>
    </row>
    <row r="21176" spans="1:1" x14ac:dyDescent="0.2">
      <c r="A21176" s="996" t="str">
        <f>CONCATENATE(Programme!D21177,Programme!E21177,Programme!F21177,Programme!G21177,Programme!H21177,Programme!I21177,Programme!J21177)</f>
        <v>&lt;ValeurCellule&gt;</v>
      </c>
    </row>
    <row r="21177" spans="1:1" x14ac:dyDescent="0.2">
      <c r="A21177" s="996" t="str">
        <f>CONCATENATE(Programme!D21178,Programme!E21178,Programme!F21178,Programme!G21178,Programme!H21178,Programme!I21178,Programme!J21178)</f>
        <v>&lt;cellule&gt;</v>
      </c>
    </row>
    <row r="21178" spans="1:1" x14ac:dyDescent="0.2">
      <c r="A21178" s="996" t="str">
        <f>CONCATENATE(Programme!D21179,Programme!E21179,Programme!F21179,Programme!G21179,Programme!H21179,Programme!I21179,Programme!J21179)</f>
        <v>&lt;codeEdi&gt;14992&lt;/codeEdi&gt;</v>
      </c>
    </row>
    <row r="21179" spans="1:1" x14ac:dyDescent="0.2">
      <c r="A21179" s="996" t="str">
        <f>CONCATENATE(Programme!D21180,Programme!E21180,Programme!F21180,Programme!G21180,Programme!H21180,Programme!I21180,Programme!J21180)</f>
        <v>&lt;/cellule&gt;</v>
      </c>
    </row>
    <row r="21180" spans="1:1" x14ac:dyDescent="0.2">
      <c r="A21180" s="996" t="str">
        <f>CONCATENATE(Programme!D21181,Programme!E21181,Programme!F21181,Programme!G21181,Programme!H21181,Programme!I21181,Programme!J21181)</f>
        <v>&lt;valeur&gt;0&lt;/valeur&gt;</v>
      </c>
    </row>
    <row r="21181" spans="1:1" x14ac:dyDescent="0.2">
      <c r="A21181" s="996" t="str">
        <f>CONCATENATE(Programme!D21182,Programme!E21182,Programme!F21182,Programme!G21182,Programme!H21182,Programme!I21182,Programme!J21182)</f>
        <v>&lt;/ValeurCellule&gt;</v>
      </c>
    </row>
    <row r="21182" spans="1:1" x14ac:dyDescent="0.2">
      <c r="A21182" s="996" t="str">
        <f>CONCATENATE(Programme!D21183,Programme!E21183,Programme!F21183,Programme!G21183,Programme!H21183,Programme!I21183,Programme!J21183)</f>
        <v>&lt;ValeurCellule&gt;</v>
      </c>
    </row>
    <row r="21183" spans="1:1" x14ac:dyDescent="0.2">
      <c r="A21183" s="996" t="str">
        <f>CONCATENATE(Programme!D21184,Programme!E21184,Programme!F21184,Programme!G21184,Programme!H21184,Programme!I21184,Programme!J21184)</f>
        <v>&lt;cellule&gt;</v>
      </c>
    </row>
    <row r="21184" spans="1:1" x14ac:dyDescent="0.2">
      <c r="A21184" s="996" t="str">
        <f>CONCATENATE(Programme!D21185,Programme!E21185,Programme!F21185,Programme!G21185,Programme!H21185,Programme!I21185,Programme!J21185)</f>
        <v>&lt;codeEdi&gt;14994&lt;/codeEdi&gt;</v>
      </c>
    </row>
    <row r="21185" spans="1:1" x14ac:dyDescent="0.2">
      <c r="A21185" s="996" t="str">
        <f>CONCATENATE(Programme!D21186,Programme!E21186,Programme!F21186,Programme!G21186,Programme!H21186,Programme!I21186,Programme!J21186)</f>
        <v>&lt;/cellule&gt;</v>
      </c>
    </row>
    <row r="21186" spans="1:1" x14ac:dyDescent="0.2">
      <c r="A21186" s="996" t="str">
        <f>CONCATENATE(Programme!D21187,Programme!E21187,Programme!F21187,Programme!G21187,Programme!H21187,Programme!I21187,Programme!J21187)</f>
        <v>&lt;valeur&gt;0&lt;/valeur&gt;</v>
      </c>
    </row>
    <row r="21187" spans="1:1" x14ac:dyDescent="0.2">
      <c r="A21187" s="996" t="str">
        <f>CONCATENATE(Programme!D21188,Programme!E21188,Programme!F21188,Programme!G21188,Programme!H21188,Programme!I21188,Programme!J21188)</f>
        <v>&lt;/ValeurCellule&gt;</v>
      </c>
    </row>
    <row r="21188" spans="1:1" x14ac:dyDescent="0.2">
      <c r="A21188" s="996" t="str">
        <f>CONCATENATE(Programme!D21189,Programme!E21189,Programme!F21189,Programme!G21189,Programme!H21189,Programme!I21189,Programme!J21189)</f>
        <v>&lt;ValeurCellule&gt;</v>
      </c>
    </row>
    <row r="21189" spans="1:1" x14ac:dyDescent="0.2">
      <c r="A21189" s="996" t="str">
        <f>CONCATENATE(Programme!D21190,Programme!E21190,Programme!F21190,Programme!G21190,Programme!H21190,Programme!I21190,Programme!J21190)</f>
        <v>&lt;cellule&gt;</v>
      </c>
    </row>
    <row r="21190" spans="1:1" x14ac:dyDescent="0.2">
      <c r="A21190" s="996" t="str">
        <f>CONCATENATE(Programme!D21191,Programme!E21191,Programme!F21191,Programme!G21191,Programme!H21191,Programme!I21191,Programme!J21191)</f>
        <v>&lt;codeEdi&gt;14996&lt;/codeEdi&gt;</v>
      </c>
    </row>
    <row r="21191" spans="1:1" x14ac:dyDescent="0.2">
      <c r="A21191" s="996" t="str">
        <f>CONCATENATE(Programme!D21192,Programme!E21192,Programme!F21192,Programme!G21192,Programme!H21192,Programme!I21192,Programme!J21192)</f>
        <v>&lt;/cellule&gt;</v>
      </c>
    </row>
    <row r="21192" spans="1:1" x14ac:dyDescent="0.2">
      <c r="A21192" s="996" t="str">
        <f>CONCATENATE(Programme!D21193,Programme!E21193,Programme!F21193,Programme!G21193,Programme!H21193,Programme!I21193,Programme!J21193)</f>
        <v>&lt;valeur&gt;0&lt;/valeur&gt;</v>
      </c>
    </row>
    <row r="21193" spans="1:1" x14ac:dyDescent="0.2">
      <c r="A21193" s="996" t="str">
        <f>CONCATENATE(Programme!D21194,Programme!E21194,Programme!F21194,Programme!G21194,Programme!H21194,Programme!I21194,Programme!J21194)</f>
        <v>&lt;/ValeurCellule&gt;</v>
      </c>
    </row>
    <row r="21194" spans="1:1" x14ac:dyDescent="0.2">
      <c r="A21194" s="996" t="str">
        <f>CONCATENATE(Programme!D21195,Programme!E21195,Programme!F21195,Programme!G21195,Programme!H21195,Programme!I21195,Programme!J21195)</f>
        <v>&lt;ValeurCellule&gt;</v>
      </c>
    </row>
    <row r="21195" spans="1:1" x14ac:dyDescent="0.2">
      <c r="A21195" s="996" t="str">
        <f>CONCATENATE(Programme!D21196,Programme!E21196,Programme!F21196,Programme!G21196,Programme!H21196,Programme!I21196,Programme!J21196)</f>
        <v>&lt;cellule&gt;&lt;codeEdi&gt;14355&lt;/codeEdi&gt;&lt;/cellule&gt;</v>
      </c>
    </row>
    <row r="21196" spans="1:1" x14ac:dyDescent="0.2">
      <c r="A21196" s="996" t="str">
        <f>CONCATENATE(Programme!D21197,Programme!E21197,Programme!F21197,Programme!G21197,Programme!H21197,Programme!I21197,Programme!J21197)</f>
        <v>&lt;valeur&gt;- &lt;/valeur&gt;</v>
      </c>
    </row>
    <row r="21197" spans="1:1" x14ac:dyDescent="0.2">
      <c r="A21197" s="996" t="str">
        <f>CONCATENATE(Programme!D21198,Programme!E21198,Programme!F21198,Programme!G21198,Programme!H21198,Programme!I21198,Programme!J21198)</f>
        <v>&lt;numeroLigne&gt;1&lt;/numeroLigne&gt;</v>
      </c>
    </row>
    <row r="21198" spans="1:1" x14ac:dyDescent="0.2">
      <c r="A21198" s="996" t="str">
        <f>CONCATENATE(Programme!D21199,Programme!E21199,Programme!F21199,Programme!G21199,Programme!H21199,Programme!I21199,Programme!J21199)</f>
        <v>&lt;/ValeurCellule&gt;</v>
      </c>
    </row>
    <row r="21199" spans="1:1" x14ac:dyDescent="0.2">
      <c r="A21199" s="996" t="str">
        <f>CONCATENATE(Programme!D21200,Programme!E21200,Programme!F21200,Programme!G21200,Programme!H21200,Programme!I21200,Programme!J21200)</f>
        <v>&lt;ValeurCellule&gt;</v>
      </c>
    </row>
    <row r="21200" spans="1:1" x14ac:dyDescent="0.2">
      <c r="A21200" s="996" t="str">
        <f>CONCATENATE(Programme!D21201,Programme!E21201,Programme!F21201,Programme!G21201,Programme!H21201,Programme!I21201,Programme!J21201)</f>
        <v>&lt;cellule&gt;&lt;codeEdi&gt;14356&lt;/codeEdi&gt;&lt;/cellule&gt;</v>
      </c>
    </row>
    <row r="21201" spans="1:1" x14ac:dyDescent="0.2">
      <c r="A21201" s="996" t="str">
        <f>CONCATENATE(Programme!D21202,Programme!E21202,Programme!F21202,Programme!G21202,Programme!H21202,Programme!I21202,Programme!J21202)</f>
        <v>&lt;valeur&gt;0&lt;/valeur&gt;</v>
      </c>
    </row>
    <row r="21202" spans="1:1" x14ac:dyDescent="0.2">
      <c r="A21202" s="996" t="str">
        <f>CONCATENATE(Programme!D21203,Programme!E21203,Programme!F21203,Programme!G21203,Programme!H21203,Programme!I21203,Programme!J21203)</f>
        <v>&lt;numeroLigne&gt;1&lt;/numeroLigne&gt;</v>
      </c>
    </row>
    <row r="21203" spans="1:1" x14ac:dyDescent="0.2">
      <c r="A21203" s="996" t="str">
        <f>CONCATENATE(Programme!D21204,Programme!E21204,Programme!F21204,Programme!G21204,Programme!H21204,Programme!I21204,Programme!J21204)</f>
        <v>&lt;/ValeurCellule&gt;</v>
      </c>
    </row>
    <row r="21204" spans="1:1" x14ac:dyDescent="0.2">
      <c r="A21204" s="996" t="str">
        <f>CONCATENATE(Programme!D21205,Programme!E21205,Programme!F21205,Programme!G21205,Programme!H21205,Programme!I21205,Programme!J21205)</f>
        <v>&lt;ValeurCellule&gt;</v>
      </c>
    </row>
    <row r="21205" spans="1:1" x14ac:dyDescent="0.2">
      <c r="A21205" s="996" t="str">
        <f>CONCATENATE(Programme!D21206,Programme!E21206,Programme!F21206,Programme!G21206,Programme!H21206,Programme!I21206,Programme!J21206)</f>
        <v>&lt;cellule&gt;&lt;codeEdi&gt;14355&lt;/codeEdi&gt;&lt;/cellule&gt;</v>
      </c>
    </row>
    <row r="21206" spans="1:1" x14ac:dyDescent="0.2">
      <c r="A21206" s="996" t="str">
        <f>CONCATENATE(Programme!D21207,Programme!E21207,Programme!F21207,Programme!G21207,Programme!H21207,Programme!I21207,Programme!J21207)</f>
        <v>&lt;valeur&gt;- &lt;/valeur&gt;</v>
      </c>
    </row>
    <row r="21207" spans="1:1" x14ac:dyDescent="0.2">
      <c r="A21207" s="996" t="str">
        <f>CONCATENATE(Programme!D21208,Programme!E21208,Programme!F21208,Programme!G21208,Programme!H21208,Programme!I21208,Programme!J21208)</f>
        <v>&lt;numeroLigne&gt;2&lt;/numeroLigne&gt;</v>
      </c>
    </row>
    <row r="21208" spans="1:1" x14ac:dyDescent="0.2">
      <c r="A21208" s="996" t="str">
        <f>CONCATENATE(Programme!D21209,Programme!E21209,Programme!F21209,Programme!G21209,Programme!H21209,Programme!I21209,Programme!J21209)</f>
        <v>&lt;/ValeurCellule&gt;</v>
      </c>
    </row>
    <row r="21209" spans="1:1" x14ac:dyDescent="0.2">
      <c r="A21209" s="996" t="str">
        <f>CONCATENATE(Programme!D21210,Programme!E21210,Programme!F21210,Programme!G21210,Programme!H21210,Programme!I21210,Programme!J21210)</f>
        <v>&lt;ValeurCellule&gt;</v>
      </c>
    </row>
    <row r="21210" spans="1:1" x14ac:dyDescent="0.2">
      <c r="A21210" s="996" t="str">
        <f>CONCATENATE(Programme!D21211,Programme!E21211,Programme!F21211,Programme!G21211,Programme!H21211,Programme!I21211,Programme!J21211)</f>
        <v>&lt;cellule&gt;&lt;codeEdi&gt;14356&lt;/codeEdi&gt;&lt;/cellule&gt;</v>
      </c>
    </row>
    <row r="21211" spans="1:1" x14ac:dyDescent="0.2">
      <c r="A21211" s="996" t="str">
        <f>CONCATENATE(Programme!D21212,Programme!E21212,Programme!F21212,Programme!G21212,Programme!H21212,Programme!I21212,Programme!J21212)</f>
        <v>&lt;valeur&gt;0&lt;/valeur&gt;</v>
      </c>
    </row>
    <row r="21212" spans="1:1" x14ac:dyDescent="0.2">
      <c r="A21212" s="996" t="str">
        <f>CONCATENATE(Programme!D21213,Programme!E21213,Programme!F21213,Programme!G21213,Programme!H21213,Programme!I21213,Programme!J21213)</f>
        <v>&lt;numeroLigne&gt;2&lt;/numeroLigne&gt;</v>
      </c>
    </row>
    <row r="21213" spans="1:1" x14ac:dyDescent="0.2">
      <c r="A21213" s="996" t="str">
        <f>CONCATENATE(Programme!D21214,Programme!E21214,Programme!F21214,Programme!G21214,Programme!H21214,Programme!I21214,Programme!J21214)</f>
        <v>&lt;/ValeurCellule&gt;</v>
      </c>
    </row>
    <row r="21214" spans="1:1" x14ac:dyDescent="0.2">
      <c r="A21214" s="996" t="str">
        <f>CONCATENATE(Programme!D21215,Programme!E21215,Programme!F21215,Programme!G21215,Programme!H21215,Programme!I21215,Programme!J21215)</f>
        <v>&lt;ValeurCellule&gt;</v>
      </c>
    </row>
    <row r="21215" spans="1:1" x14ac:dyDescent="0.2">
      <c r="A21215" s="996" t="str">
        <f>CONCATENATE(Programme!D21216,Programme!E21216,Programme!F21216,Programme!G21216,Programme!H21216,Programme!I21216,Programme!J21216)</f>
        <v>&lt;cellule&gt;</v>
      </c>
    </row>
    <row r="21216" spans="1:1" x14ac:dyDescent="0.2">
      <c r="A21216" s="996" t="str">
        <f>CONCATENATE(Programme!D21217,Programme!E21217,Programme!F21217,Programme!G21217,Programme!H21217,Programme!I21217,Programme!J21217)</f>
        <v>&lt;codeEdi&gt;14415&lt;/codeEdi&gt;</v>
      </c>
    </row>
    <row r="21217" spans="1:1" x14ac:dyDescent="0.2">
      <c r="A21217" s="996" t="str">
        <f>CONCATENATE(Programme!D21218,Programme!E21218,Programme!F21218,Programme!G21218,Programme!H21218,Programme!I21218,Programme!J21218)</f>
        <v>&lt;/cellule&gt;</v>
      </c>
    </row>
    <row r="21218" spans="1:1" x14ac:dyDescent="0.2">
      <c r="A21218" s="996" t="str">
        <f>CONCATENATE(Programme!D21219,Programme!E21219,Programme!F21219,Programme!G21219,Programme!H21219,Programme!I21219,Programme!J21219)</f>
        <v>&lt;valeur&gt;0&lt;/valeur&gt;</v>
      </c>
    </row>
    <row r="21219" spans="1:1" x14ac:dyDescent="0.2">
      <c r="A21219" s="996" t="str">
        <f>CONCATENATE(Programme!D21220,Programme!E21220,Programme!F21220,Programme!G21220,Programme!H21220,Programme!I21220,Programme!J21220)</f>
        <v>&lt;/ValeurCellule&gt;</v>
      </c>
    </row>
    <row r="21220" spans="1:1" x14ac:dyDescent="0.2">
      <c r="A21220" s="996" t="str">
        <f>CONCATENATE(Programme!D21221,Programme!E21221,Programme!F21221,Programme!G21221,Programme!H21221,Programme!I21221,Programme!J21221)</f>
        <v>&lt;ValeurCellule&gt;</v>
      </c>
    </row>
    <row r="21221" spans="1:1" x14ac:dyDescent="0.2">
      <c r="A21221" s="996" t="str">
        <f>CONCATENATE(Programme!D21222,Programme!E21222,Programme!F21222,Programme!G21222,Programme!H21222,Programme!I21222,Programme!J21222)</f>
        <v>&lt;cellule&gt;</v>
      </c>
    </row>
    <row r="21222" spans="1:1" x14ac:dyDescent="0.2">
      <c r="A21222" s="996" t="str">
        <f>CONCATENATE(Programme!D21223,Programme!E21223,Programme!F21223,Programme!G21223,Programme!H21223,Programme!I21223,Programme!J21223)</f>
        <v>&lt;codeEdi&gt;14380&lt;/codeEdi&gt;</v>
      </c>
    </row>
    <row r="21223" spans="1:1" x14ac:dyDescent="0.2">
      <c r="A21223" s="996" t="str">
        <f>CONCATENATE(Programme!D21224,Programme!E21224,Programme!F21224,Programme!G21224,Programme!H21224,Programme!I21224,Programme!J21224)</f>
        <v>&lt;/cellule&gt;</v>
      </c>
    </row>
    <row r="21224" spans="1:1" x14ac:dyDescent="0.2">
      <c r="A21224" s="996" t="str">
        <f>CONCATENATE(Programme!D21225,Programme!E21225,Programme!F21225,Programme!G21225,Programme!H21225,Programme!I21225,Programme!J21225)</f>
        <v>&lt;valeur&gt;0&lt;/valeur&gt;</v>
      </c>
    </row>
    <row r="21225" spans="1:1" x14ac:dyDescent="0.2">
      <c r="A21225" s="996" t="str">
        <f>CONCATENATE(Programme!D21226,Programme!E21226,Programme!F21226,Programme!G21226,Programme!H21226,Programme!I21226,Programme!J21226)</f>
        <v>&lt;/ValeurCellule&gt;</v>
      </c>
    </row>
    <row r="21226" spans="1:1" x14ac:dyDescent="0.2">
      <c r="A21226" s="996" t="str">
        <f>CONCATENATE(Programme!D21227,Programme!E21227,Programme!F21227,Programme!G21227,Programme!H21227,Programme!I21227,Programme!J21227)</f>
        <v>&lt;/groupeValeurs&gt;</v>
      </c>
    </row>
    <row r="21227" spans="1:1" x14ac:dyDescent="0.2">
      <c r="A21227" s="996" t="str">
        <f>CONCATENATE(Programme!D21228,Programme!E21228,Programme!F21228,Programme!G21228,Programme!H21228,Programme!I21228,Programme!J21228)</f>
        <v>&lt;extraFieldvaleurs&gt;</v>
      </c>
    </row>
    <row r="21228" spans="1:1" x14ac:dyDescent="0.2">
      <c r="A21228" s="996" t="str">
        <f>CONCATENATE(Programme!D21229,Programme!E21229,Programme!F21229,Programme!G21229,Programme!H21229,Programme!I21229,Programme!J21229)</f>
        <v>&lt;/extraFieldvaleurs&gt;</v>
      </c>
    </row>
    <row r="21229" spans="1:1" x14ac:dyDescent="0.2">
      <c r="A21229" s="996" t="str">
        <f>CONCATENATE(Programme!D21230,Programme!E21230,Programme!F21230,Programme!G21230,Programme!H21230,Programme!I21230,Programme!J21230)</f>
        <v>&lt;/ValeursTableau&gt;</v>
      </c>
    </row>
    <row r="21230" spans="1:1" x14ac:dyDescent="0.2">
      <c r="A21230" s="996" t="str">
        <f>CONCATENATE(Programme!D21231,Programme!E21231,Programme!F21231,Programme!G21231,Programme!H21231,Programme!I21231,Programme!J21231)</f>
        <v>&lt;/groupeValeursTableau&gt;</v>
      </c>
    </row>
    <row r="21231" spans="1:1" x14ac:dyDescent="0.2">
      <c r="A21231" s="996" t="str">
        <f>CONCATENATE(Programme!D21232,Programme!E21232,Programme!F21232,Programme!G21232,Programme!H21232,Programme!I21232,Programme!J21232)</f>
        <v>&lt;/Liasse&gt;</v>
      </c>
    </row>
    <row r="21232" spans="1:1" x14ac:dyDescent="0.2">
      <c r="A21232" s="996" t="str">
        <f>CONCATENATE(Programme!D21233,Programme!E21233,Programme!F21233,Programme!G21233,Programme!H21233,Programme!I21233,Programme!J21233)</f>
        <v/>
      </c>
    </row>
    <row r="21233" spans="1:1" x14ac:dyDescent="0.2">
      <c r="A21233" s="996" t="str">
        <f>CONCATENATE(Programme!D21234,Programme!E21234,Programme!F21234,Programme!G21234,Programme!H21234,Programme!I21234,Programme!J21234)</f>
        <v/>
      </c>
    </row>
    <row r="21234" spans="1:1" x14ac:dyDescent="0.2">
      <c r="A21234" s="996" t="str">
        <f>CONCATENATE(Programme!D21235,Programme!E21235,Programme!F21235,Programme!G21235,Programme!H21235,Programme!I21235,Programme!J21235)</f>
        <v/>
      </c>
    </row>
    <row r="21235" spans="1:1" x14ac:dyDescent="0.2">
      <c r="A21235" s="996" t="str">
        <f>CONCATENATE(Programme!D21236,Programme!E21236,Programme!F21236,Programme!G21236,Programme!H21236,Programme!I21236,Programme!J21236)</f>
        <v/>
      </c>
    </row>
    <row r="21236" spans="1:1" x14ac:dyDescent="0.2">
      <c r="A21236" s="996" t="str">
        <f>CONCATENATE(Programme!D21237,Programme!E21237,Programme!F21237,Programme!G21237,Programme!H21237,Programme!I21237,Programme!J21237)</f>
        <v/>
      </c>
    </row>
    <row r="21237" spans="1:1" x14ac:dyDescent="0.2">
      <c r="A21237" s="996" t="str">
        <f>CONCATENATE(Programme!D21238,Programme!E21238,Programme!F21238,Programme!G21238,Programme!H21238,Programme!I21238,Programme!J21238)</f>
        <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tabColor rgb="FFFF0000"/>
    <pageSetUpPr fitToPage="1"/>
  </sheetPr>
  <dimension ref="A1:L435"/>
  <sheetViews>
    <sheetView tabSelected="1" topLeftCell="A231" zoomScale="80" zoomScaleNormal="80" workbookViewId="0">
      <selection activeCell="C246" sqref="C246"/>
    </sheetView>
  </sheetViews>
  <sheetFormatPr baseColWidth="10" defaultColWidth="12" defaultRowHeight="12.75" x14ac:dyDescent="0.2"/>
  <cols>
    <col min="1" max="1" width="12" style="2" customWidth="1"/>
    <col min="2" max="2" width="53" style="2" customWidth="1"/>
    <col min="3" max="3" width="21.33203125" style="16" bestFit="1" customWidth="1"/>
    <col min="4" max="4" width="22" style="16" bestFit="1" customWidth="1"/>
    <col min="5" max="5" width="20.33203125" style="16" bestFit="1" customWidth="1"/>
    <col min="6" max="6" width="21.1640625" style="16" bestFit="1" customWidth="1"/>
    <col min="7" max="7" width="20.1640625" style="16" bestFit="1" customWidth="1"/>
    <col min="8" max="8" width="20.83203125" style="16" bestFit="1" customWidth="1"/>
    <col min="9" max="9" width="20.6640625" style="16" bestFit="1" customWidth="1"/>
    <col min="10" max="10" width="16.6640625" style="2" bestFit="1" customWidth="1"/>
    <col min="11" max="11" width="12" style="2"/>
    <col min="12" max="12" width="16" style="2" bestFit="1" customWidth="1"/>
    <col min="13" max="16384" width="12" style="2"/>
  </cols>
  <sheetData>
    <row r="1" spans="1:10" x14ac:dyDescent="0.2">
      <c r="A1" s="2" t="s">
        <v>816</v>
      </c>
      <c r="B1" s="2" t="s">
        <v>230</v>
      </c>
      <c r="C1" s="16" t="s">
        <v>2650</v>
      </c>
      <c r="D1" s="16" t="s">
        <v>2651</v>
      </c>
      <c r="E1" s="16" t="s">
        <v>2652</v>
      </c>
      <c r="F1" s="16" t="s">
        <v>2653</v>
      </c>
      <c r="G1" s="16" t="s">
        <v>2654</v>
      </c>
      <c r="H1" s="16" t="s">
        <v>2655</v>
      </c>
    </row>
    <row r="2" spans="1:10" ht="15" x14ac:dyDescent="0.25">
      <c r="A2" s="1133"/>
      <c r="B2" s="1134"/>
      <c r="C2" s="1135"/>
      <c r="D2" s="1135"/>
      <c r="E2" s="1135"/>
      <c r="F2" s="1135"/>
      <c r="G2" s="1145"/>
      <c r="H2" s="1145"/>
      <c r="J2" s="16"/>
    </row>
    <row r="3" spans="1:10" ht="15" x14ac:dyDescent="0.25">
      <c r="A3" s="1133"/>
      <c r="B3" s="1134"/>
      <c r="C3" s="1135"/>
      <c r="D3" s="1135"/>
      <c r="E3" s="1135"/>
      <c r="F3" s="1135"/>
      <c r="G3" s="1145"/>
      <c r="H3" s="1145"/>
      <c r="J3" s="16"/>
    </row>
    <row r="4" spans="1:10" ht="15" x14ac:dyDescent="0.25">
      <c r="A4" s="1133"/>
      <c r="B4" s="1134"/>
      <c r="C4" s="1135"/>
      <c r="D4" s="1135"/>
      <c r="E4" s="1135"/>
      <c r="F4" s="1135"/>
      <c r="G4" s="1145"/>
      <c r="H4" s="1145"/>
      <c r="J4" s="16"/>
    </row>
    <row r="5" spans="1:10" ht="15" x14ac:dyDescent="0.25">
      <c r="A5" s="1133"/>
      <c r="B5" s="1134"/>
      <c r="C5" s="1135"/>
      <c r="D5" s="1135"/>
      <c r="E5" s="1135"/>
      <c r="F5" s="1135"/>
      <c r="G5" s="1145"/>
      <c r="H5" s="1145"/>
      <c r="J5" s="16"/>
    </row>
    <row r="6" spans="1:10" ht="15" x14ac:dyDescent="0.25">
      <c r="A6" s="1133"/>
      <c r="B6" s="1134"/>
      <c r="C6" s="1135"/>
      <c r="D6" s="1135"/>
      <c r="E6" s="1135"/>
      <c r="F6" s="1135"/>
      <c r="G6" s="1145"/>
      <c r="H6" s="1145"/>
      <c r="J6" s="16"/>
    </row>
    <row r="7" spans="1:10" ht="15" x14ac:dyDescent="0.25">
      <c r="A7" s="1133"/>
      <c r="B7" s="1134"/>
      <c r="C7" s="1135"/>
      <c r="D7" s="1135"/>
      <c r="E7" s="1135"/>
      <c r="F7" s="1135"/>
      <c r="G7" s="1145"/>
      <c r="H7" s="1145"/>
      <c r="J7" s="16"/>
    </row>
    <row r="8" spans="1:10" ht="15" x14ac:dyDescent="0.25">
      <c r="A8" s="1133"/>
      <c r="B8" s="1134"/>
      <c r="C8" s="1135"/>
      <c r="D8" s="1135"/>
      <c r="E8" s="1135"/>
      <c r="F8" s="1135"/>
      <c r="G8" s="1145"/>
      <c r="H8" s="1145"/>
      <c r="J8" s="16"/>
    </row>
    <row r="9" spans="1:10" ht="15" x14ac:dyDescent="0.25">
      <c r="A9" s="1133"/>
      <c r="B9" s="1134"/>
      <c r="C9" s="1135"/>
      <c r="D9" s="1135"/>
      <c r="E9" s="1135"/>
      <c r="F9" s="1135"/>
      <c r="G9" s="1145"/>
      <c r="H9" s="1145"/>
      <c r="J9" s="16"/>
    </row>
    <row r="10" spans="1:10" ht="15" x14ac:dyDescent="0.25">
      <c r="A10" s="1133"/>
      <c r="B10" s="1134"/>
      <c r="C10" s="1135"/>
      <c r="D10" s="1135"/>
      <c r="E10" s="1135"/>
      <c r="F10" s="1135"/>
      <c r="G10" s="1145"/>
      <c r="H10" s="1145"/>
      <c r="J10" s="16"/>
    </row>
    <row r="11" spans="1:10" ht="15" x14ac:dyDescent="0.25">
      <c r="A11" s="1133"/>
      <c r="B11" s="1134"/>
      <c r="C11" s="1135"/>
      <c r="D11" s="1135"/>
      <c r="E11" s="1135"/>
      <c r="F11" s="1135"/>
      <c r="G11" s="1145"/>
      <c r="H11" s="1145"/>
      <c r="J11" s="16"/>
    </row>
    <row r="12" spans="1:10" ht="15" x14ac:dyDescent="0.25">
      <c r="A12" s="1133"/>
      <c r="B12" s="1134"/>
      <c r="C12" s="1135"/>
      <c r="D12" s="1135"/>
      <c r="E12" s="1135"/>
      <c r="F12" s="1135"/>
      <c r="G12" s="1145"/>
      <c r="H12" s="1145"/>
      <c r="J12" s="16"/>
    </row>
    <row r="13" spans="1:10" ht="15" x14ac:dyDescent="0.25">
      <c r="A13" s="1133"/>
      <c r="B13" s="1134"/>
      <c r="C13" s="1135"/>
      <c r="D13" s="1135"/>
      <c r="E13" s="1135"/>
      <c r="F13" s="1135"/>
      <c r="G13" s="1145"/>
      <c r="H13" s="1145"/>
      <c r="J13" s="16"/>
    </row>
    <row r="14" spans="1:10" ht="15" x14ac:dyDescent="0.25">
      <c r="A14" s="1133"/>
      <c r="B14" s="1134"/>
      <c r="C14" s="1135"/>
      <c r="D14" s="1135"/>
      <c r="E14" s="1135"/>
      <c r="F14" s="1135"/>
      <c r="G14" s="1145"/>
      <c r="H14" s="1145"/>
      <c r="J14" s="16"/>
    </row>
    <row r="15" spans="1:10" ht="15" x14ac:dyDescent="0.25">
      <c r="A15" s="1133"/>
      <c r="B15" s="1134"/>
      <c r="C15" s="1135"/>
      <c r="D15" s="1135"/>
      <c r="E15" s="1135"/>
      <c r="F15" s="1135"/>
      <c r="G15" s="1145"/>
      <c r="H15" s="1145"/>
      <c r="J15" s="16"/>
    </row>
    <row r="16" spans="1:10" ht="15" x14ac:dyDescent="0.25">
      <c r="A16" s="1133"/>
      <c r="B16" s="1134"/>
      <c r="C16" s="1135"/>
      <c r="D16" s="1135"/>
      <c r="E16" s="1135"/>
      <c r="F16" s="1135"/>
      <c r="G16" s="1145"/>
      <c r="H16" s="1145"/>
      <c r="J16" s="16"/>
    </row>
    <row r="17" spans="1:10" ht="15" x14ac:dyDescent="0.25">
      <c r="A17" s="1133"/>
      <c r="B17" s="1134"/>
      <c r="C17" s="1135"/>
      <c r="D17" s="1135"/>
      <c r="E17" s="1135"/>
      <c r="F17" s="1135"/>
      <c r="G17" s="1145"/>
      <c r="H17" s="1145"/>
      <c r="J17" s="16"/>
    </row>
    <row r="18" spans="1:10" ht="15" x14ac:dyDescent="0.25">
      <c r="A18" s="1133"/>
      <c r="B18" s="1134"/>
      <c r="C18" s="1135"/>
      <c r="D18" s="1135"/>
      <c r="E18" s="1135"/>
      <c r="F18" s="1135"/>
      <c r="G18" s="1145"/>
      <c r="H18" s="1145"/>
      <c r="J18" s="16"/>
    </row>
    <row r="19" spans="1:10" ht="15" x14ac:dyDescent="0.25">
      <c r="A19" s="1133"/>
      <c r="B19" s="1134"/>
      <c r="C19" s="1135"/>
      <c r="D19" s="1135"/>
      <c r="E19" s="1135"/>
      <c r="F19" s="1135"/>
      <c r="G19" s="1145"/>
      <c r="H19" s="1145"/>
      <c r="J19" s="16"/>
    </row>
    <row r="20" spans="1:10" ht="15" x14ac:dyDescent="0.25">
      <c r="A20" s="1133"/>
      <c r="B20" s="1134"/>
      <c r="C20" s="1135"/>
      <c r="D20" s="1135"/>
      <c r="E20" s="1135"/>
      <c r="F20" s="1135"/>
      <c r="G20" s="1145"/>
      <c r="H20" s="1145"/>
      <c r="J20" s="16"/>
    </row>
    <row r="21" spans="1:10" ht="15" x14ac:dyDescent="0.25">
      <c r="A21" s="1133"/>
      <c r="B21" s="1134"/>
      <c r="C21" s="1135"/>
      <c r="D21" s="1135"/>
      <c r="E21" s="1135"/>
      <c r="F21" s="1135"/>
      <c r="G21" s="1145"/>
      <c r="H21" s="1145"/>
      <c r="J21" s="16"/>
    </row>
    <row r="22" spans="1:10" ht="15" x14ac:dyDescent="0.25">
      <c r="A22" s="1133"/>
      <c r="B22" s="1134"/>
      <c r="C22" s="1135"/>
      <c r="D22" s="1135"/>
      <c r="E22" s="1135"/>
      <c r="F22" s="1135"/>
      <c r="G22" s="1145"/>
      <c r="H22" s="1145"/>
      <c r="J22" s="16"/>
    </row>
    <row r="23" spans="1:10" ht="15" x14ac:dyDescent="0.25">
      <c r="A23" s="1133"/>
      <c r="B23" s="1134"/>
      <c r="C23" s="1135"/>
      <c r="D23" s="1135"/>
      <c r="E23" s="1135"/>
      <c r="F23" s="1135"/>
      <c r="G23" s="1145"/>
      <c r="H23" s="1145"/>
      <c r="J23" s="16"/>
    </row>
    <row r="24" spans="1:10" ht="15" x14ac:dyDescent="0.25">
      <c r="A24" s="1133"/>
      <c r="B24" s="1134"/>
      <c r="C24" s="1135"/>
      <c r="D24" s="1135"/>
      <c r="E24" s="1135"/>
      <c r="F24" s="1135"/>
      <c r="G24" s="1145"/>
      <c r="H24" s="1145"/>
      <c r="J24" s="16"/>
    </row>
    <row r="25" spans="1:10" ht="15" x14ac:dyDescent="0.25">
      <c r="A25" s="1133"/>
      <c r="B25" s="1134"/>
      <c r="C25" s="1135"/>
      <c r="D25" s="1135"/>
      <c r="E25" s="1135"/>
      <c r="F25" s="1135"/>
      <c r="G25" s="1145"/>
      <c r="H25" s="1145"/>
      <c r="J25" s="16"/>
    </row>
    <row r="26" spans="1:10" ht="15" x14ac:dyDescent="0.25">
      <c r="A26" s="1133"/>
      <c r="B26" s="1134"/>
      <c r="C26" s="1135"/>
      <c r="D26" s="1135"/>
      <c r="E26" s="1135"/>
      <c r="F26" s="1135"/>
      <c r="G26" s="1145"/>
      <c r="H26" s="1145"/>
      <c r="J26" s="16"/>
    </row>
    <row r="27" spans="1:10" ht="15" x14ac:dyDescent="0.25">
      <c r="A27" s="1133"/>
      <c r="B27" s="1134"/>
      <c r="C27" s="1135"/>
      <c r="D27" s="1135"/>
      <c r="E27" s="1135"/>
      <c r="F27" s="1135"/>
      <c r="G27" s="1145"/>
      <c r="H27" s="1145"/>
      <c r="J27" s="16"/>
    </row>
    <row r="28" spans="1:10" ht="15" x14ac:dyDescent="0.25">
      <c r="A28" s="1133"/>
      <c r="B28" s="1134"/>
      <c r="C28" s="1135"/>
      <c r="D28" s="1135"/>
      <c r="E28" s="1135"/>
      <c r="F28" s="1135"/>
      <c r="G28" s="1145"/>
      <c r="H28" s="1145"/>
      <c r="J28" s="16"/>
    </row>
    <row r="29" spans="1:10" ht="15" x14ac:dyDescent="0.25">
      <c r="A29" s="1133"/>
      <c r="B29" s="1134"/>
      <c r="C29" s="1135"/>
      <c r="D29" s="1135"/>
      <c r="E29" s="1135"/>
      <c r="F29" s="1135"/>
      <c r="G29" s="1145"/>
      <c r="H29" s="1145"/>
      <c r="J29" s="16"/>
    </row>
    <row r="30" spans="1:10" ht="15" x14ac:dyDescent="0.25">
      <c r="A30" s="1133"/>
      <c r="B30" s="1134"/>
      <c r="C30" s="1135"/>
      <c r="D30" s="1135"/>
      <c r="E30" s="1135"/>
      <c r="F30" s="1135"/>
      <c r="G30" s="1145"/>
      <c r="H30" s="1145"/>
      <c r="J30" s="16"/>
    </row>
    <row r="31" spans="1:10" ht="15" x14ac:dyDescent="0.25">
      <c r="A31" s="1133"/>
      <c r="B31" s="1134"/>
      <c r="C31" s="1135"/>
      <c r="D31" s="1135"/>
      <c r="E31" s="1135"/>
      <c r="F31" s="1135"/>
      <c r="G31" s="1145"/>
      <c r="H31" s="1145"/>
      <c r="J31" s="16"/>
    </row>
    <row r="32" spans="1:10" ht="15" x14ac:dyDescent="0.25">
      <c r="A32" s="1133"/>
      <c r="B32" s="1134"/>
      <c r="C32" s="1135"/>
      <c r="D32" s="1135"/>
      <c r="E32" s="1135"/>
      <c r="F32" s="1135"/>
      <c r="G32" s="1145"/>
      <c r="H32" s="1145"/>
      <c r="J32" s="16"/>
    </row>
    <row r="33" spans="1:10" ht="15" x14ac:dyDescent="0.25">
      <c r="A33" s="1133"/>
      <c r="B33" s="1134"/>
      <c r="C33" s="1135"/>
      <c r="D33" s="1135"/>
      <c r="E33" s="1135"/>
      <c r="F33" s="1135"/>
      <c r="G33" s="1145"/>
      <c r="H33" s="1145"/>
      <c r="J33" s="16"/>
    </row>
    <row r="34" spans="1:10" ht="15" x14ac:dyDescent="0.25">
      <c r="A34" s="1133"/>
      <c r="B34" s="1134"/>
      <c r="C34" s="1135"/>
      <c r="D34" s="1135"/>
      <c r="E34" s="1135"/>
      <c r="F34" s="1135"/>
      <c r="G34" s="1145"/>
      <c r="H34" s="1145"/>
      <c r="J34" s="16"/>
    </row>
    <row r="35" spans="1:10" ht="15" x14ac:dyDescent="0.25">
      <c r="A35" s="1133"/>
      <c r="B35" s="1134"/>
      <c r="C35" s="1135"/>
      <c r="D35" s="1135"/>
      <c r="E35" s="1135"/>
      <c r="F35" s="1135"/>
      <c r="G35" s="1145"/>
      <c r="H35" s="1145"/>
      <c r="J35" s="16"/>
    </row>
    <row r="36" spans="1:10" ht="15" x14ac:dyDescent="0.25">
      <c r="A36" s="1133"/>
      <c r="B36" s="1134"/>
      <c r="C36" s="1135"/>
      <c r="D36" s="1135"/>
      <c r="E36" s="1135"/>
      <c r="F36" s="1135"/>
      <c r="G36" s="1145"/>
      <c r="H36" s="1145"/>
      <c r="J36" s="16"/>
    </row>
    <row r="37" spans="1:10" ht="15" x14ac:dyDescent="0.25">
      <c r="A37" s="1133"/>
      <c r="B37" s="1134"/>
      <c r="C37" s="1135"/>
      <c r="D37" s="1135"/>
      <c r="E37" s="1135"/>
      <c r="F37" s="1135"/>
      <c r="G37" s="1145"/>
      <c r="H37" s="1145"/>
      <c r="J37" s="16"/>
    </row>
    <row r="38" spans="1:10" ht="15" x14ac:dyDescent="0.25">
      <c r="A38" s="1133"/>
      <c r="B38" s="1134"/>
      <c r="C38" s="1135"/>
      <c r="D38" s="1135"/>
      <c r="E38" s="1135"/>
      <c r="F38" s="1135"/>
      <c r="G38" s="1145"/>
      <c r="H38" s="1145"/>
      <c r="J38" s="16"/>
    </row>
    <row r="39" spans="1:10" ht="15" x14ac:dyDescent="0.25">
      <c r="A39" s="1136"/>
      <c r="B39" s="1137"/>
      <c r="C39" s="1135"/>
      <c r="D39" s="1135"/>
      <c r="E39" s="1138"/>
      <c r="F39" s="1138"/>
      <c r="G39" s="1145"/>
      <c r="H39" s="1145"/>
      <c r="J39" s="16"/>
    </row>
    <row r="40" spans="1:10" ht="15" x14ac:dyDescent="0.25">
      <c r="A40" s="1133"/>
      <c r="B40" s="1134"/>
      <c r="C40" s="1135"/>
      <c r="D40" s="1135"/>
      <c r="E40" s="1135"/>
      <c r="F40" s="1135"/>
      <c r="G40" s="1145"/>
      <c r="H40" s="1145"/>
      <c r="J40" s="16"/>
    </row>
    <row r="41" spans="1:10" ht="15" x14ac:dyDescent="0.25">
      <c r="A41" s="1133"/>
      <c r="B41" s="1134"/>
      <c r="C41" s="1135"/>
      <c r="D41" s="1135"/>
      <c r="E41" s="1135"/>
      <c r="F41" s="1135"/>
      <c r="G41" s="1145"/>
      <c r="H41" s="1145"/>
      <c r="J41" s="16"/>
    </row>
    <row r="42" spans="1:10" ht="15" x14ac:dyDescent="0.25">
      <c r="A42" s="1133"/>
      <c r="B42" s="1134"/>
      <c r="C42" s="1135"/>
      <c r="D42" s="1135"/>
      <c r="E42" s="1135"/>
      <c r="F42" s="1135"/>
      <c r="G42" s="1145"/>
      <c r="H42" s="1145"/>
      <c r="J42" s="16"/>
    </row>
    <row r="43" spans="1:10" ht="15" x14ac:dyDescent="0.25">
      <c r="A43" s="1133"/>
      <c r="B43" s="1134"/>
      <c r="C43" s="1135"/>
      <c r="D43" s="1135"/>
      <c r="E43" s="1135"/>
      <c r="F43" s="1135"/>
      <c r="G43" s="1145"/>
      <c r="H43" s="1145"/>
      <c r="J43" s="16"/>
    </row>
    <row r="44" spans="1:10" ht="15" x14ac:dyDescent="0.25">
      <c r="A44" s="1133"/>
      <c r="B44" s="1134"/>
      <c r="C44" s="1135"/>
      <c r="D44" s="1135"/>
      <c r="E44" s="1135"/>
      <c r="F44" s="1135"/>
      <c r="G44" s="1145"/>
      <c r="H44" s="1145"/>
      <c r="J44" s="16"/>
    </row>
    <row r="45" spans="1:10" ht="15" x14ac:dyDescent="0.25">
      <c r="A45" s="1133"/>
      <c r="B45" s="1134"/>
      <c r="C45" s="1135"/>
      <c r="D45" s="1135"/>
      <c r="E45" s="1135"/>
      <c r="F45" s="1135"/>
      <c r="G45" s="1145"/>
      <c r="H45" s="1145"/>
      <c r="J45" s="16"/>
    </row>
    <row r="46" spans="1:10" ht="15" x14ac:dyDescent="0.25">
      <c r="A46" s="1133"/>
      <c r="B46" s="1134"/>
      <c r="C46" s="1135"/>
      <c r="D46" s="1135"/>
      <c r="E46" s="1135"/>
      <c r="F46" s="1135"/>
      <c r="G46" s="1145"/>
      <c r="H46" s="1145"/>
      <c r="J46" s="16"/>
    </row>
    <row r="47" spans="1:10" ht="15" x14ac:dyDescent="0.25">
      <c r="A47" s="1133"/>
      <c r="B47" s="1134"/>
      <c r="C47" s="1135"/>
      <c r="D47" s="1135"/>
      <c r="E47" s="1135"/>
      <c r="F47" s="1135"/>
      <c r="G47" s="1145"/>
      <c r="H47" s="1145"/>
      <c r="J47" s="16"/>
    </row>
    <row r="48" spans="1:10" ht="15" x14ac:dyDescent="0.25">
      <c r="A48" s="1133"/>
      <c r="B48" s="1134"/>
      <c r="C48" s="1135"/>
      <c r="D48" s="1135"/>
      <c r="E48" s="1135"/>
      <c r="F48" s="1135"/>
      <c r="G48" s="1145"/>
      <c r="H48" s="1145"/>
      <c r="J48" s="16"/>
    </row>
    <row r="49" spans="1:10" ht="15" x14ac:dyDescent="0.25">
      <c r="A49" s="1133"/>
      <c r="B49" s="1134"/>
      <c r="C49" s="1135"/>
      <c r="D49" s="1135"/>
      <c r="E49" s="1135"/>
      <c r="F49" s="1135"/>
      <c r="G49" s="1145"/>
      <c r="H49" s="1145"/>
      <c r="J49" s="16"/>
    </row>
    <row r="50" spans="1:10" ht="15" x14ac:dyDescent="0.25">
      <c r="A50" s="1133"/>
      <c r="B50" s="1134"/>
      <c r="C50" s="1135"/>
      <c r="D50" s="1135"/>
      <c r="E50" s="1135"/>
      <c r="F50" s="1135"/>
      <c r="G50" s="1145"/>
      <c r="H50" s="1145"/>
      <c r="J50" s="16"/>
    </row>
    <row r="51" spans="1:10" ht="15" x14ac:dyDescent="0.25">
      <c r="A51" s="1133"/>
      <c r="B51" s="1134"/>
      <c r="C51" s="1135"/>
      <c r="D51" s="1135"/>
      <c r="E51" s="1135"/>
      <c r="F51" s="1135"/>
      <c r="G51" s="1145"/>
      <c r="H51" s="1145"/>
      <c r="J51" s="16"/>
    </row>
    <row r="52" spans="1:10" ht="15" x14ac:dyDescent="0.25">
      <c r="A52" s="1133"/>
      <c r="B52" s="1134"/>
      <c r="C52" s="1135"/>
      <c r="D52" s="1135"/>
      <c r="E52" s="1135"/>
      <c r="F52" s="1135"/>
      <c r="G52" s="1145"/>
      <c r="H52" s="1145"/>
      <c r="J52" s="16"/>
    </row>
    <row r="53" spans="1:10" ht="15" x14ac:dyDescent="0.25">
      <c r="A53" s="1133"/>
      <c r="B53" s="1134"/>
      <c r="C53" s="1135"/>
      <c r="D53" s="1135"/>
      <c r="E53" s="1135"/>
      <c r="F53" s="1135"/>
      <c r="G53" s="1145"/>
      <c r="H53" s="1145"/>
      <c r="J53" s="16"/>
    </row>
    <row r="54" spans="1:10" ht="15" x14ac:dyDescent="0.25">
      <c r="A54" s="1133"/>
      <c r="B54" s="1134"/>
      <c r="C54" s="1135"/>
      <c r="D54" s="1135"/>
      <c r="E54" s="1135"/>
      <c r="F54" s="1135"/>
      <c r="G54" s="1145"/>
      <c r="H54" s="1145"/>
      <c r="J54" s="16"/>
    </row>
    <row r="55" spans="1:10" ht="15" x14ac:dyDescent="0.25">
      <c r="A55" s="1133"/>
      <c r="B55" s="1134"/>
      <c r="C55" s="1135"/>
      <c r="D55" s="1135"/>
      <c r="E55" s="1135"/>
      <c r="F55" s="1135"/>
      <c r="G55" s="1145"/>
      <c r="H55" s="1145"/>
      <c r="J55" s="16"/>
    </row>
    <row r="56" spans="1:10" ht="15" x14ac:dyDescent="0.25">
      <c r="A56" s="1133"/>
      <c r="B56" s="1134"/>
      <c r="C56" s="1135"/>
      <c r="D56" s="1135"/>
      <c r="E56" s="1135"/>
      <c r="F56" s="1135"/>
      <c r="G56" s="1145"/>
      <c r="H56" s="1145"/>
      <c r="J56" s="16"/>
    </row>
    <row r="57" spans="1:10" ht="15" x14ac:dyDescent="0.25">
      <c r="A57" s="1133"/>
      <c r="B57" s="1134"/>
      <c r="C57" s="1135"/>
      <c r="D57" s="1135"/>
      <c r="E57" s="1135"/>
      <c r="F57" s="1135"/>
      <c r="G57" s="1145"/>
      <c r="H57" s="1145"/>
      <c r="J57" s="16"/>
    </row>
    <row r="58" spans="1:10" ht="15" x14ac:dyDescent="0.25">
      <c r="A58" s="1133"/>
      <c r="B58" s="1134"/>
      <c r="C58" s="1135"/>
      <c r="D58" s="1135"/>
      <c r="E58" s="1135"/>
      <c r="F58" s="1135"/>
      <c r="G58" s="1145"/>
      <c r="H58" s="1145"/>
      <c r="J58" s="16"/>
    </row>
    <row r="59" spans="1:10" ht="15" x14ac:dyDescent="0.25">
      <c r="A59" s="1133"/>
      <c r="B59" s="1134"/>
      <c r="C59" s="1135"/>
      <c r="D59" s="1135"/>
      <c r="E59" s="1135"/>
      <c r="F59" s="1135"/>
      <c r="G59" s="1145"/>
      <c r="H59" s="1145"/>
      <c r="J59" s="16"/>
    </row>
    <row r="60" spans="1:10" ht="15" x14ac:dyDescent="0.25">
      <c r="A60" s="1133"/>
      <c r="B60" s="1134"/>
      <c r="C60" s="1135"/>
      <c r="D60" s="1135"/>
      <c r="E60" s="1135"/>
      <c r="F60" s="1135"/>
      <c r="G60" s="1145"/>
      <c r="H60" s="1145"/>
      <c r="J60" s="16"/>
    </row>
    <row r="61" spans="1:10" ht="15" x14ac:dyDescent="0.25">
      <c r="A61" s="1133"/>
      <c r="B61" s="1134"/>
      <c r="C61" s="1135"/>
      <c r="D61" s="1135"/>
      <c r="E61" s="1135"/>
      <c r="F61" s="1135"/>
      <c r="G61" s="1145"/>
      <c r="H61" s="1145"/>
      <c r="J61" s="16"/>
    </row>
    <row r="62" spans="1:10" ht="15" x14ac:dyDescent="0.25">
      <c r="A62" s="1133"/>
      <c r="B62" s="1134"/>
      <c r="C62" s="1135"/>
      <c r="D62" s="1135"/>
      <c r="E62" s="1135"/>
      <c r="F62" s="1135"/>
      <c r="G62" s="1145"/>
      <c r="H62" s="1145"/>
      <c r="J62" s="16"/>
    </row>
    <row r="63" spans="1:10" ht="15" x14ac:dyDescent="0.25">
      <c r="A63" s="1133"/>
      <c r="B63" s="1134"/>
      <c r="C63" s="1135"/>
      <c r="D63" s="1135"/>
      <c r="E63" s="1135"/>
      <c r="F63" s="1135"/>
      <c r="G63" s="1145"/>
      <c r="H63" s="1145"/>
      <c r="J63" s="16"/>
    </row>
    <row r="64" spans="1:10" ht="15" x14ac:dyDescent="0.25">
      <c r="A64" s="1133"/>
      <c r="B64" s="1134"/>
      <c r="C64" s="1135"/>
      <c r="D64" s="1135"/>
      <c r="E64" s="1135"/>
      <c r="F64" s="1135"/>
      <c r="G64" s="1145"/>
      <c r="H64" s="1145"/>
      <c r="J64" s="16"/>
    </row>
    <row r="65" spans="1:10" ht="15" x14ac:dyDescent="0.25">
      <c r="A65" s="1133"/>
      <c r="B65" s="1134"/>
      <c r="C65" s="1135"/>
      <c r="D65" s="1135"/>
      <c r="E65" s="1135"/>
      <c r="F65" s="1135"/>
      <c r="G65" s="1145"/>
      <c r="H65" s="1145"/>
      <c r="J65" s="16"/>
    </row>
    <row r="66" spans="1:10" ht="15" x14ac:dyDescent="0.25">
      <c r="A66" s="1133"/>
      <c r="B66" s="1134"/>
      <c r="C66" s="1135"/>
      <c r="D66" s="1135"/>
      <c r="E66" s="1135"/>
      <c r="F66" s="1135"/>
      <c r="G66" s="1145"/>
      <c r="H66" s="1145"/>
      <c r="J66" s="16"/>
    </row>
    <row r="67" spans="1:10" ht="15" x14ac:dyDescent="0.25">
      <c r="A67" s="1133"/>
      <c r="B67" s="1134"/>
      <c r="C67" s="1135"/>
      <c r="D67" s="1135"/>
      <c r="E67" s="1135"/>
      <c r="F67" s="1135"/>
      <c r="G67" s="1145"/>
      <c r="H67" s="1145"/>
      <c r="J67" s="16"/>
    </row>
    <row r="68" spans="1:10" ht="15" x14ac:dyDescent="0.25">
      <c r="A68" s="1133"/>
      <c r="B68" s="1134"/>
      <c r="C68" s="1135"/>
      <c r="D68" s="1135"/>
      <c r="E68" s="1135"/>
      <c r="F68" s="1135"/>
      <c r="G68" s="1145"/>
      <c r="H68" s="1145"/>
      <c r="J68" s="16"/>
    </row>
    <row r="69" spans="1:10" ht="15" x14ac:dyDescent="0.25">
      <c r="A69" s="1133"/>
      <c r="B69" s="1134"/>
      <c r="C69" s="1135"/>
      <c r="D69" s="1135"/>
      <c r="E69" s="1135"/>
      <c r="F69" s="1135"/>
      <c r="G69" s="1145"/>
      <c r="H69" s="1145"/>
      <c r="J69" s="16"/>
    </row>
    <row r="70" spans="1:10" ht="15" x14ac:dyDescent="0.25">
      <c r="A70" s="1133"/>
      <c r="B70" s="1134"/>
      <c r="C70" s="1135"/>
      <c r="D70" s="1135"/>
      <c r="E70" s="1135"/>
      <c r="F70" s="1135"/>
      <c r="G70" s="1145"/>
      <c r="H70" s="1145"/>
      <c r="J70" s="16"/>
    </row>
    <row r="71" spans="1:10" ht="15" x14ac:dyDescent="0.25">
      <c r="A71" s="1133"/>
      <c r="B71" s="1134"/>
      <c r="C71" s="1135"/>
      <c r="D71" s="1135"/>
      <c r="E71" s="1135"/>
      <c r="F71" s="1135"/>
      <c r="G71" s="1145"/>
      <c r="H71" s="1145"/>
      <c r="J71" s="16"/>
    </row>
    <row r="72" spans="1:10" ht="15" x14ac:dyDescent="0.25">
      <c r="A72" s="1133"/>
      <c r="B72" s="1134"/>
      <c r="C72" s="1135"/>
      <c r="D72" s="1135"/>
      <c r="E72" s="1135"/>
      <c r="F72" s="1135"/>
      <c r="G72" s="1145"/>
      <c r="H72" s="1145"/>
      <c r="J72" s="16"/>
    </row>
    <row r="73" spans="1:10" ht="15" x14ac:dyDescent="0.25">
      <c r="A73" s="1133"/>
      <c r="B73" s="1134"/>
      <c r="C73" s="1135"/>
      <c r="D73" s="1135"/>
      <c r="E73" s="1135"/>
      <c r="F73" s="1135"/>
      <c r="G73" s="1145"/>
      <c r="H73" s="1145"/>
      <c r="J73" s="16"/>
    </row>
    <row r="74" spans="1:10" ht="15" x14ac:dyDescent="0.25">
      <c r="A74" s="1133"/>
      <c r="B74" s="1134"/>
      <c r="C74" s="1135"/>
      <c r="D74" s="1135"/>
      <c r="E74" s="1135"/>
      <c r="F74" s="1135"/>
      <c r="G74" s="1145"/>
      <c r="H74" s="1145"/>
      <c r="J74" s="16"/>
    </row>
    <row r="75" spans="1:10" ht="15" x14ac:dyDescent="0.25">
      <c r="A75" s="1133"/>
      <c r="B75" s="1134"/>
      <c r="C75" s="1135"/>
      <c r="D75" s="1135"/>
      <c r="E75" s="1135"/>
      <c r="F75" s="1135"/>
      <c r="G75" s="1145"/>
      <c r="H75" s="1145"/>
      <c r="J75" s="16"/>
    </row>
    <row r="76" spans="1:10" ht="15" x14ac:dyDescent="0.25">
      <c r="A76" s="1133"/>
      <c r="B76" s="1134"/>
      <c r="C76" s="1135"/>
      <c r="D76" s="1135"/>
      <c r="E76" s="1135"/>
      <c r="F76" s="1135"/>
      <c r="G76" s="1145"/>
      <c r="H76" s="1145"/>
      <c r="J76" s="16"/>
    </row>
    <row r="77" spans="1:10" ht="15" x14ac:dyDescent="0.25">
      <c r="A77" s="1133"/>
      <c r="B77" s="1134"/>
      <c r="C77" s="1135"/>
      <c r="D77" s="1135"/>
      <c r="E77" s="1135"/>
      <c r="F77" s="1135"/>
      <c r="G77" s="1145"/>
      <c r="H77" s="1145"/>
      <c r="J77" s="16"/>
    </row>
    <row r="78" spans="1:10" ht="15" x14ac:dyDescent="0.25">
      <c r="A78" s="1133"/>
      <c r="B78" s="1134"/>
      <c r="C78" s="1135"/>
      <c r="D78" s="1135"/>
      <c r="E78" s="1135"/>
      <c r="F78" s="1135"/>
      <c r="G78" s="1145"/>
      <c r="H78" s="1145"/>
      <c r="J78" s="16"/>
    </row>
    <row r="79" spans="1:10" ht="15" x14ac:dyDescent="0.25">
      <c r="A79" s="1133"/>
      <c r="B79" s="1134"/>
      <c r="C79" s="1135"/>
      <c r="D79" s="1135"/>
      <c r="E79" s="1135"/>
      <c r="F79" s="1135"/>
      <c r="G79" s="1145"/>
      <c r="H79" s="1145"/>
      <c r="J79" s="16"/>
    </row>
    <row r="80" spans="1:10" ht="15" x14ac:dyDescent="0.25">
      <c r="A80" s="1133"/>
      <c r="B80" s="1134"/>
      <c r="C80" s="1135"/>
      <c r="D80" s="1135"/>
      <c r="E80" s="1135"/>
      <c r="F80" s="1135"/>
      <c r="G80" s="1145"/>
      <c r="H80" s="1145"/>
      <c r="J80" s="16"/>
    </row>
    <row r="81" spans="1:10" ht="15" x14ac:dyDescent="0.25">
      <c r="A81" s="1133"/>
      <c r="B81" s="1134"/>
      <c r="C81" s="1135"/>
      <c r="D81" s="1135"/>
      <c r="E81" s="1135"/>
      <c r="F81" s="1135"/>
      <c r="G81" s="1145"/>
      <c r="H81" s="1145"/>
      <c r="J81" s="16"/>
    </row>
    <row r="82" spans="1:10" ht="15" x14ac:dyDescent="0.25">
      <c r="A82" s="1133"/>
      <c r="B82" s="1134"/>
      <c r="C82" s="1135"/>
      <c r="D82" s="1135"/>
      <c r="E82" s="1135"/>
      <c r="F82" s="1135"/>
      <c r="G82" s="1145"/>
      <c r="H82" s="1145"/>
      <c r="J82" s="16"/>
    </row>
    <row r="83" spans="1:10" ht="15" x14ac:dyDescent="0.25">
      <c r="A83" s="1133"/>
      <c r="B83" s="1134"/>
      <c r="C83" s="1135"/>
      <c r="D83" s="1135"/>
      <c r="E83" s="1135"/>
      <c r="F83" s="1135"/>
      <c r="G83" s="1145"/>
      <c r="H83" s="1145"/>
      <c r="J83" s="16"/>
    </row>
    <row r="84" spans="1:10" ht="15" x14ac:dyDescent="0.25">
      <c r="A84" s="1133"/>
      <c r="B84" s="1134"/>
      <c r="C84" s="1135"/>
      <c r="D84" s="1135"/>
      <c r="E84" s="1135"/>
      <c r="F84" s="1135"/>
      <c r="G84" s="1145"/>
      <c r="H84" s="1145"/>
      <c r="J84" s="16"/>
    </row>
    <row r="85" spans="1:10" ht="15" x14ac:dyDescent="0.25">
      <c r="A85" s="1133"/>
      <c r="B85" s="1134"/>
      <c r="C85" s="1135"/>
      <c r="D85" s="1135"/>
      <c r="E85" s="1135"/>
      <c r="F85" s="1135"/>
      <c r="G85" s="1145"/>
      <c r="H85" s="1145"/>
      <c r="J85" s="16"/>
    </row>
    <row r="86" spans="1:10" ht="15" x14ac:dyDescent="0.25">
      <c r="A86" s="1133"/>
      <c r="B86" s="1134"/>
      <c r="C86" s="1135"/>
      <c r="D86" s="1135"/>
      <c r="E86" s="1135"/>
      <c r="F86" s="1135"/>
      <c r="G86" s="1145"/>
      <c r="H86" s="1145"/>
      <c r="J86" s="16"/>
    </row>
    <row r="87" spans="1:10" ht="15" x14ac:dyDescent="0.25">
      <c r="A87" s="1133"/>
      <c r="B87" s="1134"/>
      <c r="C87" s="1135"/>
      <c r="D87" s="1135"/>
      <c r="E87" s="1135"/>
      <c r="F87" s="1135"/>
      <c r="G87" s="1145"/>
      <c r="H87" s="1145"/>
      <c r="J87" s="16"/>
    </row>
    <row r="88" spans="1:10" ht="15" x14ac:dyDescent="0.25">
      <c r="A88" s="1133"/>
      <c r="B88" s="1134"/>
      <c r="C88" s="1135"/>
      <c r="D88" s="1135"/>
      <c r="E88" s="1135"/>
      <c r="F88" s="1135"/>
      <c r="G88" s="1145"/>
      <c r="H88" s="1145"/>
      <c r="J88" s="16"/>
    </row>
    <row r="89" spans="1:10" ht="15" x14ac:dyDescent="0.25">
      <c r="A89" s="1133"/>
      <c r="B89" s="1134"/>
      <c r="C89" s="1135"/>
      <c r="D89" s="1135"/>
      <c r="E89" s="1135"/>
      <c r="F89" s="1135"/>
      <c r="G89" s="1145"/>
      <c r="H89" s="1145"/>
      <c r="J89" s="16"/>
    </row>
    <row r="90" spans="1:10" ht="15" x14ac:dyDescent="0.25">
      <c r="A90" s="1136"/>
      <c r="B90" s="1137"/>
      <c r="C90" s="1135"/>
      <c r="D90" s="1135"/>
      <c r="E90" s="1138"/>
      <c r="F90" s="1138"/>
      <c r="G90" s="1145"/>
      <c r="H90" s="1145"/>
      <c r="J90" s="16"/>
    </row>
    <row r="91" spans="1:10" ht="15" x14ac:dyDescent="0.25">
      <c r="A91" s="1136"/>
      <c r="B91" s="1137"/>
      <c r="C91" s="1135"/>
      <c r="D91" s="1135"/>
      <c r="E91" s="1138"/>
      <c r="F91" s="1138"/>
      <c r="G91" s="1145"/>
      <c r="H91" s="1145"/>
      <c r="J91" s="16"/>
    </row>
    <row r="92" spans="1:10" ht="15" x14ac:dyDescent="0.25">
      <c r="A92" s="1136"/>
      <c r="B92" s="1137"/>
      <c r="C92" s="1135"/>
      <c r="D92" s="1135"/>
      <c r="E92" s="1138"/>
      <c r="F92" s="1138"/>
      <c r="G92" s="1145"/>
      <c r="H92" s="1145"/>
      <c r="J92" s="16"/>
    </row>
    <row r="93" spans="1:10" ht="15" x14ac:dyDescent="0.25">
      <c r="A93" s="1136"/>
      <c r="B93" s="1137"/>
      <c r="C93" s="1135"/>
      <c r="D93" s="1135"/>
      <c r="E93" s="1138"/>
      <c r="F93" s="1138"/>
      <c r="G93" s="1145"/>
      <c r="H93" s="1145"/>
      <c r="J93" s="16"/>
    </row>
    <row r="94" spans="1:10" ht="15" x14ac:dyDescent="0.25">
      <c r="A94" s="1133"/>
      <c r="B94" s="1134"/>
      <c r="C94" s="1135"/>
      <c r="D94" s="1135"/>
      <c r="E94" s="1135"/>
      <c r="F94" s="1135"/>
      <c r="G94" s="1145"/>
      <c r="H94" s="1145"/>
      <c r="J94" s="16"/>
    </row>
    <row r="95" spans="1:10" ht="15" x14ac:dyDescent="0.25">
      <c r="A95" s="1133"/>
      <c r="B95" s="1134"/>
      <c r="C95" s="1135"/>
      <c r="D95" s="1135"/>
      <c r="E95" s="1135"/>
      <c r="F95" s="1135"/>
      <c r="G95" s="1145"/>
      <c r="H95" s="1145"/>
      <c r="J95" s="16"/>
    </row>
    <row r="96" spans="1:10" ht="15" x14ac:dyDescent="0.25">
      <c r="A96" s="1133"/>
      <c r="B96" s="1134"/>
      <c r="C96" s="1135"/>
      <c r="D96" s="1135"/>
      <c r="E96" s="1135"/>
      <c r="F96" s="1135"/>
      <c r="G96" s="1145"/>
      <c r="H96" s="1145"/>
      <c r="J96" s="16"/>
    </row>
    <row r="97" spans="1:10" ht="15" x14ac:dyDescent="0.25">
      <c r="A97" s="1133"/>
      <c r="B97" s="1134"/>
      <c r="C97" s="1135"/>
      <c r="D97" s="1135"/>
      <c r="E97" s="1135"/>
      <c r="F97" s="1135"/>
      <c r="G97" s="1145"/>
      <c r="H97" s="1145"/>
      <c r="J97" s="16"/>
    </row>
    <row r="98" spans="1:10" ht="15" x14ac:dyDescent="0.25">
      <c r="A98" s="1133"/>
      <c r="B98" s="1134"/>
      <c r="C98" s="1135"/>
      <c r="D98" s="1135"/>
      <c r="E98" s="1135"/>
      <c r="F98" s="1135"/>
      <c r="G98" s="1145"/>
      <c r="H98" s="1145"/>
      <c r="J98" s="16"/>
    </row>
    <row r="99" spans="1:10" ht="15" x14ac:dyDescent="0.25">
      <c r="A99" s="1133"/>
      <c r="B99" s="1134"/>
      <c r="C99" s="1135"/>
      <c r="D99" s="1135"/>
      <c r="E99" s="1135"/>
      <c r="F99" s="1135"/>
      <c r="G99" s="1145"/>
      <c r="H99" s="1145"/>
      <c r="J99" s="16"/>
    </row>
    <row r="100" spans="1:10" ht="15" x14ac:dyDescent="0.25">
      <c r="A100" s="1133"/>
      <c r="B100" s="1134"/>
      <c r="C100" s="1135"/>
      <c r="D100" s="1135"/>
      <c r="E100" s="1135"/>
      <c r="F100" s="1135"/>
      <c r="G100" s="1145"/>
      <c r="H100" s="1145"/>
      <c r="J100" s="16"/>
    </row>
    <row r="101" spans="1:10" ht="15" x14ac:dyDescent="0.25">
      <c r="A101" s="1133"/>
      <c r="B101" s="1134"/>
      <c r="C101" s="1135"/>
      <c r="D101" s="1135"/>
      <c r="E101" s="1135"/>
      <c r="F101" s="1135"/>
      <c r="G101" s="1145"/>
      <c r="H101" s="1145"/>
      <c r="J101" s="16"/>
    </row>
    <row r="102" spans="1:10" ht="15" x14ac:dyDescent="0.25">
      <c r="A102" s="1133"/>
      <c r="B102" s="1134"/>
      <c r="C102" s="1135"/>
      <c r="D102" s="1135"/>
      <c r="E102" s="1135"/>
      <c r="F102" s="1135"/>
      <c r="G102" s="1145"/>
      <c r="H102" s="1145"/>
      <c r="J102" s="16"/>
    </row>
    <row r="103" spans="1:10" ht="15" x14ac:dyDescent="0.25">
      <c r="A103" s="1133"/>
      <c r="B103" s="1134"/>
      <c r="C103" s="1135"/>
      <c r="D103" s="1135"/>
      <c r="E103" s="1135"/>
      <c r="F103" s="1135"/>
      <c r="G103" s="1145"/>
      <c r="H103" s="1145"/>
      <c r="J103" s="16"/>
    </row>
    <row r="104" spans="1:10" ht="15" x14ac:dyDescent="0.25">
      <c r="A104" s="1133"/>
      <c r="B104" s="1134"/>
      <c r="C104" s="1135"/>
      <c r="D104" s="1135"/>
      <c r="E104" s="1135"/>
      <c r="F104" s="1135"/>
      <c r="G104" s="1145"/>
      <c r="H104" s="1145"/>
      <c r="J104" s="16"/>
    </row>
    <row r="105" spans="1:10" ht="15" x14ac:dyDescent="0.25">
      <c r="A105" s="1133"/>
      <c r="B105" s="1134"/>
      <c r="C105" s="1135"/>
      <c r="D105" s="1135"/>
      <c r="E105" s="1135"/>
      <c r="F105" s="1135"/>
      <c r="G105" s="1145"/>
      <c r="H105" s="1145"/>
      <c r="J105" s="16"/>
    </row>
    <row r="106" spans="1:10" ht="15" x14ac:dyDescent="0.25">
      <c r="A106" s="1133"/>
      <c r="B106" s="1134"/>
      <c r="C106" s="1135"/>
      <c r="D106" s="1135"/>
      <c r="E106" s="1135"/>
      <c r="F106" s="1135"/>
      <c r="G106" s="1145"/>
      <c r="H106" s="1145"/>
      <c r="J106" s="16"/>
    </row>
    <row r="107" spans="1:10" ht="15" x14ac:dyDescent="0.25">
      <c r="A107" s="1133"/>
      <c r="B107" s="1134"/>
      <c r="C107" s="1135"/>
      <c r="D107" s="1135"/>
      <c r="E107" s="1135"/>
      <c r="F107" s="1135"/>
      <c r="G107" s="1145"/>
      <c r="H107" s="1145"/>
      <c r="J107" s="16"/>
    </row>
    <row r="108" spans="1:10" ht="15" x14ac:dyDescent="0.25">
      <c r="A108" s="1133"/>
      <c r="B108" s="1134"/>
      <c r="C108" s="1135"/>
      <c r="D108" s="1135"/>
      <c r="E108" s="1135"/>
      <c r="F108" s="1135"/>
      <c r="G108" s="1145"/>
      <c r="H108" s="1145"/>
      <c r="J108" s="16"/>
    </row>
    <row r="109" spans="1:10" ht="15" x14ac:dyDescent="0.25">
      <c r="A109" s="1133"/>
      <c r="B109" s="1134"/>
      <c r="C109" s="1135"/>
      <c r="D109" s="1135"/>
      <c r="E109" s="1135"/>
      <c r="F109" s="1135"/>
      <c r="G109" s="1145"/>
      <c r="H109" s="1145"/>
      <c r="J109" s="16"/>
    </row>
    <row r="110" spans="1:10" ht="15" x14ac:dyDescent="0.25">
      <c r="A110" s="1133"/>
      <c r="B110" s="1134"/>
      <c r="C110" s="1135"/>
      <c r="D110" s="1135"/>
      <c r="E110" s="1135"/>
      <c r="F110" s="1135"/>
      <c r="G110" s="1145"/>
      <c r="H110" s="1145"/>
      <c r="J110" s="16"/>
    </row>
    <row r="111" spans="1:10" ht="15" x14ac:dyDescent="0.25">
      <c r="A111" s="1133"/>
      <c r="B111" s="1134"/>
      <c r="C111" s="1135"/>
      <c r="D111" s="1135"/>
      <c r="E111" s="1135"/>
      <c r="F111" s="1135"/>
      <c r="G111" s="1145"/>
      <c r="H111" s="1145"/>
      <c r="J111" s="16"/>
    </row>
    <row r="112" spans="1:10" ht="15" x14ac:dyDescent="0.25">
      <c r="A112" s="1133"/>
      <c r="B112" s="1134"/>
      <c r="C112" s="1135"/>
      <c r="D112" s="1135"/>
      <c r="E112" s="1135"/>
      <c r="F112" s="1135"/>
      <c r="G112" s="1145"/>
      <c r="H112" s="1145"/>
      <c r="J112" s="16"/>
    </row>
    <row r="113" spans="1:12" ht="15" x14ac:dyDescent="0.25">
      <c r="A113" s="1133"/>
      <c r="B113" s="1134"/>
      <c r="C113" s="1135"/>
      <c r="D113" s="1135"/>
      <c r="E113" s="1135"/>
      <c r="F113" s="1135"/>
      <c r="G113" s="1145"/>
      <c r="H113" s="1145"/>
      <c r="J113" s="16"/>
      <c r="L113" s="250"/>
    </row>
    <row r="114" spans="1:12" ht="15" x14ac:dyDescent="0.25">
      <c r="A114" s="1133"/>
      <c r="B114" s="1134"/>
      <c r="C114" s="1135"/>
      <c r="D114" s="1135"/>
      <c r="E114" s="1135"/>
      <c r="F114" s="1135"/>
      <c r="G114" s="1145"/>
      <c r="H114" s="1145"/>
      <c r="J114" s="16"/>
    </row>
    <row r="115" spans="1:12" ht="15" x14ac:dyDescent="0.25">
      <c r="A115" s="1133"/>
      <c r="B115" s="1134"/>
      <c r="C115" s="1135"/>
      <c r="D115" s="1135"/>
      <c r="E115" s="1135"/>
      <c r="F115" s="1135"/>
      <c r="G115" s="1145"/>
      <c r="H115" s="1145"/>
      <c r="J115" s="16"/>
    </row>
    <row r="116" spans="1:12" ht="15" x14ac:dyDescent="0.25">
      <c r="A116" s="1133"/>
      <c r="B116" s="1134"/>
      <c r="C116" s="1135"/>
      <c r="D116" s="1135"/>
      <c r="E116" s="1135"/>
      <c r="F116" s="1135"/>
      <c r="G116" s="1145"/>
      <c r="H116" s="1145"/>
      <c r="J116" s="16"/>
    </row>
    <row r="117" spans="1:12" ht="15" x14ac:dyDescent="0.25">
      <c r="A117" s="1133"/>
      <c r="B117" s="1134"/>
      <c r="C117" s="1135"/>
      <c r="D117" s="1135"/>
      <c r="E117" s="1135"/>
      <c r="F117" s="1135"/>
      <c r="G117" s="1145"/>
      <c r="H117" s="1145"/>
      <c r="J117" s="16"/>
    </row>
    <row r="118" spans="1:12" ht="15" x14ac:dyDescent="0.25">
      <c r="A118" s="1133"/>
      <c r="B118" s="1134"/>
      <c r="C118" s="1135"/>
      <c r="D118" s="1135"/>
      <c r="E118" s="1135"/>
      <c r="F118" s="1135"/>
      <c r="G118" s="1145"/>
      <c r="H118" s="1145"/>
      <c r="J118" s="16"/>
    </row>
    <row r="119" spans="1:12" ht="15" x14ac:dyDescent="0.25">
      <c r="A119" s="1133"/>
      <c r="B119" s="1134"/>
      <c r="C119" s="1135"/>
      <c r="D119" s="1135"/>
      <c r="E119" s="1135"/>
      <c r="F119" s="1135"/>
      <c r="G119" s="1145"/>
      <c r="H119" s="1145"/>
      <c r="J119" s="16"/>
    </row>
    <row r="120" spans="1:12" ht="15" x14ac:dyDescent="0.25">
      <c r="A120" s="1133"/>
      <c r="B120" s="1134"/>
      <c r="C120" s="1135"/>
      <c r="D120" s="1135"/>
      <c r="E120" s="1135"/>
      <c r="F120" s="1135"/>
      <c r="G120" s="1145"/>
      <c r="H120" s="1145"/>
      <c r="J120" s="16"/>
    </row>
    <row r="121" spans="1:12" ht="15" x14ac:dyDescent="0.25">
      <c r="A121" s="1133"/>
      <c r="B121" s="1134"/>
      <c r="C121" s="1135"/>
      <c r="D121" s="1135"/>
      <c r="E121" s="1135"/>
      <c r="F121" s="1135"/>
      <c r="G121" s="1145"/>
      <c r="H121" s="1145"/>
      <c r="J121" s="16"/>
    </row>
    <row r="122" spans="1:12" ht="15" x14ac:dyDescent="0.25">
      <c r="A122" s="1133"/>
      <c r="B122" s="1134"/>
      <c r="C122" s="1135"/>
      <c r="D122" s="1135"/>
      <c r="E122" s="1135"/>
      <c r="F122" s="1135"/>
      <c r="G122" s="1145"/>
      <c r="H122" s="1145"/>
      <c r="J122" s="16"/>
    </row>
    <row r="123" spans="1:12" ht="15" x14ac:dyDescent="0.25">
      <c r="A123" s="1133"/>
      <c r="B123" s="1134"/>
      <c r="C123" s="1135"/>
      <c r="D123" s="1135"/>
      <c r="E123" s="1135"/>
      <c r="F123" s="1135"/>
      <c r="G123" s="1145"/>
      <c r="H123" s="1145"/>
      <c r="J123" s="16"/>
    </row>
    <row r="124" spans="1:12" ht="15" x14ac:dyDescent="0.25">
      <c r="A124" s="1133"/>
      <c r="B124" s="1134"/>
      <c r="C124" s="1135"/>
      <c r="D124" s="1135"/>
      <c r="E124" s="1135"/>
      <c r="F124" s="1135"/>
      <c r="G124" s="1145"/>
      <c r="H124" s="1145"/>
      <c r="J124" s="16"/>
    </row>
    <row r="125" spans="1:12" ht="15" x14ac:dyDescent="0.25">
      <c r="A125" s="1133"/>
      <c r="B125" s="1134"/>
      <c r="C125" s="1135"/>
      <c r="D125" s="1135"/>
      <c r="E125" s="1135"/>
      <c r="F125" s="1135"/>
      <c r="G125" s="1145"/>
      <c r="H125" s="1145"/>
      <c r="J125" s="16"/>
    </row>
    <row r="126" spans="1:12" ht="15" x14ac:dyDescent="0.25">
      <c r="A126" s="1133"/>
      <c r="B126" s="1134"/>
      <c r="C126" s="1135"/>
      <c r="D126" s="1135"/>
      <c r="E126" s="1135"/>
      <c r="F126" s="1135"/>
      <c r="G126" s="1145"/>
      <c r="H126" s="1145"/>
      <c r="J126" s="16"/>
    </row>
    <row r="127" spans="1:12" ht="15" x14ac:dyDescent="0.25">
      <c r="A127" s="1133"/>
      <c r="B127" s="1134"/>
      <c r="C127" s="1135"/>
      <c r="D127" s="1135"/>
      <c r="E127" s="1135"/>
      <c r="F127" s="1135"/>
      <c r="G127" s="1145"/>
      <c r="H127" s="1145"/>
      <c r="J127" s="16"/>
    </row>
    <row r="128" spans="1:12" ht="15" x14ac:dyDescent="0.25">
      <c r="A128" s="1133"/>
      <c r="B128" s="1134"/>
      <c r="C128" s="1135"/>
      <c r="D128" s="1135"/>
      <c r="E128" s="1135"/>
      <c r="F128" s="1135"/>
      <c r="G128" s="1145"/>
      <c r="H128" s="1145"/>
      <c r="J128" s="16"/>
    </row>
    <row r="129" spans="1:10" ht="15" x14ac:dyDescent="0.25">
      <c r="A129" s="1133"/>
      <c r="B129" s="1134"/>
      <c r="C129" s="1135"/>
      <c r="D129" s="1135"/>
      <c r="E129" s="1135"/>
      <c r="F129" s="1135"/>
      <c r="G129" s="1145"/>
      <c r="H129" s="1145"/>
      <c r="J129" s="16"/>
    </row>
    <row r="130" spans="1:10" ht="15" x14ac:dyDescent="0.25">
      <c r="A130" s="1133"/>
      <c r="B130" s="1134"/>
      <c r="C130" s="1135"/>
      <c r="D130" s="1135"/>
      <c r="E130" s="1135"/>
      <c r="F130" s="1135"/>
      <c r="G130" s="1145"/>
      <c r="H130" s="1145"/>
      <c r="J130" s="16"/>
    </row>
    <row r="131" spans="1:10" ht="15" x14ac:dyDescent="0.25">
      <c r="A131" s="1133"/>
      <c r="B131" s="1134"/>
      <c r="C131" s="1135"/>
      <c r="D131" s="1135"/>
      <c r="E131" s="1135"/>
      <c r="F131" s="1135"/>
      <c r="G131" s="1145"/>
      <c r="H131" s="1145"/>
      <c r="J131" s="16"/>
    </row>
    <row r="132" spans="1:10" ht="15" x14ac:dyDescent="0.25">
      <c r="A132" s="1133"/>
      <c r="B132" s="1134"/>
      <c r="C132" s="1135"/>
      <c r="D132" s="1135"/>
      <c r="E132" s="1135"/>
      <c r="F132" s="1135"/>
      <c r="G132" s="1145"/>
      <c r="H132" s="1145"/>
      <c r="J132" s="16"/>
    </row>
    <row r="133" spans="1:10" ht="15" x14ac:dyDescent="0.25">
      <c r="A133" s="1133"/>
      <c r="B133" s="1134"/>
      <c r="C133" s="1135"/>
      <c r="D133" s="1135"/>
      <c r="E133" s="1135"/>
      <c r="F133" s="1135"/>
      <c r="G133" s="1145"/>
      <c r="H133" s="1145"/>
      <c r="J133" s="16"/>
    </row>
    <row r="134" spans="1:10" ht="15" x14ac:dyDescent="0.25">
      <c r="A134" s="1133"/>
      <c r="B134" s="1134"/>
      <c r="C134" s="1135"/>
      <c r="D134" s="1135"/>
      <c r="E134" s="1135"/>
      <c r="F134" s="1135"/>
      <c r="G134" s="1145"/>
      <c r="H134" s="1145"/>
      <c r="J134" s="16"/>
    </row>
    <row r="135" spans="1:10" ht="15" x14ac:dyDescent="0.25">
      <c r="A135" s="1133"/>
      <c r="B135" s="1134"/>
      <c r="C135" s="1135"/>
      <c r="D135" s="1135"/>
      <c r="E135" s="1135"/>
      <c r="F135" s="1135"/>
      <c r="G135" s="1145"/>
      <c r="H135" s="1145"/>
      <c r="J135" s="16"/>
    </row>
    <row r="136" spans="1:10" ht="15" x14ac:dyDescent="0.25">
      <c r="A136" s="1133"/>
      <c r="B136" s="1134"/>
      <c r="C136" s="1135"/>
      <c r="D136" s="1135"/>
      <c r="E136" s="1135"/>
      <c r="F136" s="1135"/>
      <c r="G136" s="1145"/>
      <c r="H136" s="1145"/>
      <c r="J136" s="16"/>
    </row>
    <row r="137" spans="1:10" ht="15" x14ac:dyDescent="0.25">
      <c r="A137" s="1133"/>
      <c r="B137" s="1134"/>
      <c r="C137" s="1135"/>
      <c r="D137" s="1135"/>
      <c r="E137" s="1135"/>
      <c r="F137" s="1135"/>
      <c r="G137" s="1145"/>
      <c r="H137" s="1145"/>
      <c r="J137" s="16"/>
    </row>
    <row r="138" spans="1:10" ht="15" x14ac:dyDescent="0.25">
      <c r="A138" s="1133"/>
      <c r="B138" s="1134"/>
      <c r="C138" s="1135"/>
      <c r="D138" s="1135"/>
      <c r="E138" s="1135"/>
      <c r="F138" s="1135"/>
      <c r="G138" s="1145"/>
      <c r="H138" s="1145"/>
      <c r="J138" s="16"/>
    </row>
    <row r="139" spans="1:10" ht="15" x14ac:dyDescent="0.25">
      <c r="A139" s="1133"/>
      <c r="B139" s="1134"/>
      <c r="C139" s="1135"/>
      <c r="D139" s="1135"/>
      <c r="E139" s="1135"/>
      <c r="F139" s="1135"/>
      <c r="G139" s="1145"/>
      <c r="H139" s="1145"/>
      <c r="J139" s="16"/>
    </row>
    <row r="140" spans="1:10" ht="15" x14ac:dyDescent="0.25">
      <c r="A140" s="1133"/>
      <c r="B140" s="1134"/>
      <c r="C140" s="1135"/>
      <c r="D140" s="1135"/>
      <c r="E140" s="1135"/>
      <c r="F140" s="1135"/>
      <c r="G140" s="1145"/>
      <c r="H140" s="1145"/>
      <c r="J140" s="16"/>
    </row>
    <row r="141" spans="1:10" ht="15" x14ac:dyDescent="0.25">
      <c r="A141" s="1133"/>
      <c r="B141" s="1134"/>
      <c r="C141" s="1135"/>
      <c r="D141" s="1135"/>
      <c r="E141" s="1135"/>
      <c r="F141" s="1135"/>
      <c r="G141" s="1145"/>
      <c r="H141" s="1145"/>
      <c r="J141" s="16"/>
    </row>
    <row r="142" spans="1:10" ht="15" x14ac:dyDescent="0.25">
      <c r="A142" s="1133"/>
      <c r="B142" s="1134"/>
      <c r="C142" s="1135"/>
      <c r="D142" s="1135"/>
      <c r="E142" s="1135"/>
      <c r="F142" s="1135"/>
      <c r="G142" s="1145"/>
      <c r="H142" s="1145"/>
      <c r="J142" s="16"/>
    </row>
    <row r="143" spans="1:10" ht="15" x14ac:dyDescent="0.25">
      <c r="A143" s="1133"/>
      <c r="B143" s="1134"/>
      <c r="C143" s="1135"/>
      <c r="D143" s="1135"/>
      <c r="E143" s="1135"/>
      <c r="F143" s="1135"/>
      <c r="G143" s="1145"/>
      <c r="H143" s="1145"/>
      <c r="J143" s="16"/>
    </row>
    <row r="144" spans="1:10" ht="15" x14ac:dyDescent="0.25">
      <c r="A144" s="1133"/>
      <c r="B144" s="1134"/>
      <c r="C144" s="1135"/>
      <c r="D144" s="1135"/>
      <c r="E144" s="1135"/>
      <c r="F144" s="1135"/>
      <c r="G144" s="1145"/>
      <c r="H144" s="1145"/>
      <c r="J144" s="16"/>
    </row>
    <row r="145" spans="1:10" ht="15" x14ac:dyDescent="0.25">
      <c r="A145" s="1133"/>
      <c r="B145" s="1134"/>
      <c r="C145" s="1135"/>
      <c r="D145" s="1135"/>
      <c r="E145" s="1135"/>
      <c r="F145" s="1135"/>
      <c r="G145" s="1145"/>
      <c r="H145" s="1145"/>
      <c r="J145" s="16"/>
    </row>
    <row r="146" spans="1:10" ht="15" x14ac:dyDescent="0.25">
      <c r="A146" s="1133"/>
      <c r="B146" s="1134"/>
      <c r="C146" s="1135"/>
      <c r="D146" s="1135"/>
      <c r="E146" s="1135"/>
      <c r="F146" s="1135"/>
      <c r="G146" s="1145"/>
      <c r="H146" s="1145"/>
      <c r="J146" s="16"/>
    </row>
    <row r="147" spans="1:10" ht="15" x14ac:dyDescent="0.25">
      <c r="A147" s="1133"/>
      <c r="B147" s="1134"/>
      <c r="C147" s="1135"/>
      <c r="D147" s="1135"/>
      <c r="E147" s="1135"/>
      <c r="F147" s="1135"/>
      <c r="G147" s="1145"/>
      <c r="H147" s="1145"/>
      <c r="J147" s="16"/>
    </row>
    <row r="148" spans="1:10" ht="15" x14ac:dyDescent="0.25">
      <c r="A148" s="1133"/>
      <c r="B148" s="1134"/>
      <c r="C148" s="1135"/>
      <c r="D148" s="1135"/>
      <c r="E148" s="1135"/>
      <c r="F148" s="1135"/>
      <c r="G148" s="1145"/>
      <c r="H148" s="1145"/>
      <c r="J148" s="16"/>
    </row>
    <row r="149" spans="1:10" ht="15" x14ac:dyDescent="0.25">
      <c r="A149" s="1133"/>
      <c r="B149" s="1134"/>
      <c r="C149" s="1135"/>
      <c r="D149" s="1135"/>
      <c r="E149" s="1135"/>
      <c r="F149" s="1135"/>
      <c r="G149" s="1145"/>
      <c r="H149" s="1145"/>
      <c r="J149" s="16"/>
    </row>
    <row r="150" spans="1:10" ht="15" x14ac:dyDescent="0.25">
      <c r="A150" s="1133"/>
      <c r="B150" s="1134"/>
      <c r="C150" s="1135"/>
      <c r="D150" s="1135"/>
      <c r="E150" s="1135"/>
      <c r="F150" s="1135"/>
      <c r="G150" s="1145"/>
      <c r="H150" s="1145"/>
      <c r="J150" s="16"/>
    </row>
    <row r="151" spans="1:10" ht="15" x14ac:dyDescent="0.25">
      <c r="A151" s="1133"/>
      <c r="B151" s="1134"/>
      <c r="C151" s="1135"/>
      <c r="D151" s="1135"/>
      <c r="E151" s="1135"/>
      <c r="F151" s="1135"/>
      <c r="G151" s="1145"/>
      <c r="H151" s="1145"/>
      <c r="J151" s="16"/>
    </row>
    <row r="152" spans="1:10" ht="15" x14ac:dyDescent="0.25">
      <c r="A152" s="1133"/>
      <c r="B152" s="1134"/>
      <c r="C152" s="1135"/>
      <c r="D152" s="1135"/>
      <c r="E152" s="1135"/>
      <c r="F152" s="1135"/>
      <c r="G152" s="1145"/>
      <c r="H152" s="1145"/>
      <c r="J152" s="16"/>
    </row>
    <row r="153" spans="1:10" ht="15" x14ac:dyDescent="0.25">
      <c r="A153" s="1133"/>
      <c r="B153" s="1134"/>
      <c r="C153" s="1135"/>
      <c r="D153" s="1135"/>
      <c r="E153" s="1135"/>
      <c r="F153" s="1135"/>
      <c r="G153" s="1145"/>
      <c r="H153" s="1145"/>
      <c r="J153" s="16"/>
    </row>
    <row r="154" spans="1:10" ht="15" x14ac:dyDescent="0.25">
      <c r="A154" s="1133"/>
      <c r="B154" s="1134"/>
      <c r="C154" s="1135"/>
      <c r="D154" s="1135"/>
      <c r="E154" s="1135"/>
      <c r="F154" s="1135"/>
      <c r="G154" s="1145"/>
      <c r="H154" s="1145"/>
      <c r="J154" s="16"/>
    </row>
    <row r="155" spans="1:10" ht="15" x14ac:dyDescent="0.25">
      <c r="A155" s="1133"/>
      <c r="B155" s="1134"/>
      <c r="C155" s="1135"/>
      <c r="D155" s="1135"/>
      <c r="E155" s="1135"/>
      <c r="F155" s="1135"/>
      <c r="G155" s="1145"/>
      <c r="H155" s="1145"/>
      <c r="J155" s="16"/>
    </row>
    <row r="156" spans="1:10" ht="15" x14ac:dyDescent="0.25">
      <c r="A156" s="1133"/>
      <c r="B156" s="1134"/>
      <c r="C156" s="1135"/>
      <c r="D156" s="1135"/>
      <c r="E156" s="1135"/>
      <c r="F156" s="1135"/>
      <c r="G156" s="1145"/>
      <c r="H156" s="1145"/>
      <c r="J156" s="16"/>
    </row>
    <row r="157" spans="1:10" ht="15" x14ac:dyDescent="0.25">
      <c r="A157" s="1133"/>
      <c r="B157" s="1134"/>
      <c r="C157" s="1135"/>
      <c r="D157" s="1135"/>
      <c r="E157" s="1135"/>
      <c r="F157" s="1135"/>
      <c r="G157" s="1145"/>
      <c r="H157" s="1145"/>
      <c r="J157" s="16"/>
    </row>
    <row r="158" spans="1:10" ht="15" x14ac:dyDescent="0.25">
      <c r="A158" s="1133"/>
      <c r="B158" s="1134"/>
      <c r="C158" s="1135"/>
      <c r="D158" s="1135"/>
      <c r="E158" s="1135"/>
      <c r="F158" s="1135"/>
      <c r="G158" s="1145"/>
      <c r="H158" s="1145"/>
      <c r="J158" s="16"/>
    </row>
    <row r="159" spans="1:10" ht="15" x14ac:dyDescent="0.25">
      <c r="A159" s="1133"/>
      <c r="B159" s="1134"/>
      <c r="C159" s="1135"/>
      <c r="D159" s="1135"/>
      <c r="E159" s="1135"/>
      <c r="F159" s="1135"/>
      <c r="G159" s="1145"/>
      <c r="H159" s="1145"/>
      <c r="J159" s="16"/>
    </row>
    <row r="160" spans="1:10" ht="15" x14ac:dyDescent="0.25">
      <c r="A160" s="1133"/>
      <c r="B160" s="1134"/>
      <c r="C160" s="1135"/>
      <c r="D160" s="1135"/>
      <c r="E160" s="1135"/>
      <c r="F160" s="1135"/>
      <c r="G160" s="1145"/>
      <c r="H160" s="1145"/>
      <c r="J160" s="16"/>
    </row>
    <row r="161" spans="1:10" ht="15" x14ac:dyDescent="0.25">
      <c r="A161" s="1133"/>
      <c r="B161" s="1134"/>
      <c r="C161" s="1135"/>
      <c r="D161" s="1135"/>
      <c r="E161" s="1135"/>
      <c r="F161" s="1135"/>
      <c r="G161" s="1145"/>
      <c r="H161" s="1145"/>
      <c r="J161" s="16"/>
    </row>
    <row r="162" spans="1:10" ht="15" x14ac:dyDescent="0.25">
      <c r="A162" s="1133"/>
      <c r="B162" s="1134"/>
      <c r="C162" s="1135"/>
      <c r="D162" s="1135"/>
      <c r="E162" s="1135"/>
      <c r="F162" s="1135"/>
      <c r="G162" s="1145"/>
      <c r="H162" s="1145"/>
      <c r="J162" s="16"/>
    </row>
    <row r="163" spans="1:10" ht="15" x14ac:dyDescent="0.25">
      <c r="A163" s="1133"/>
      <c r="B163" s="1134"/>
      <c r="C163" s="1135"/>
      <c r="D163" s="1135"/>
      <c r="E163" s="1135"/>
      <c r="F163" s="1135"/>
      <c r="G163" s="1145"/>
      <c r="H163" s="1145"/>
      <c r="J163" s="16"/>
    </row>
    <row r="164" spans="1:10" ht="15" x14ac:dyDescent="0.25">
      <c r="A164" s="1133"/>
      <c r="B164" s="1134"/>
      <c r="C164" s="1135"/>
      <c r="D164" s="1135"/>
      <c r="E164" s="1135"/>
      <c r="F164" s="1135"/>
      <c r="G164" s="1145"/>
      <c r="H164" s="1145"/>
      <c r="J164" s="16"/>
    </row>
    <row r="165" spans="1:10" ht="15" x14ac:dyDescent="0.25">
      <c r="A165" s="1133"/>
      <c r="B165" s="1134"/>
      <c r="C165" s="1135"/>
      <c r="D165" s="1135"/>
      <c r="E165" s="1135"/>
      <c r="F165" s="1135"/>
      <c r="G165" s="1145"/>
      <c r="H165" s="1145"/>
      <c r="J165" s="16"/>
    </row>
    <row r="166" spans="1:10" ht="15" x14ac:dyDescent="0.25">
      <c r="A166" s="1133"/>
      <c r="B166" s="1134"/>
      <c r="C166" s="1135"/>
      <c r="D166" s="1135"/>
      <c r="E166" s="1135"/>
      <c r="F166" s="1135"/>
      <c r="G166" s="1145"/>
      <c r="H166" s="1145"/>
      <c r="J166" s="16"/>
    </row>
    <row r="167" spans="1:10" ht="15" x14ac:dyDescent="0.25">
      <c r="A167" s="1133"/>
      <c r="B167" s="1134"/>
      <c r="C167" s="1135"/>
      <c r="D167" s="1135"/>
      <c r="E167" s="1135"/>
      <c r="F167" s="1135"/>
      <c r="G167" s="1145"/>
      <c r="H167" s="1145"/>
      <c r="J167" s="16"/>
    </row>
    <row r="168" spans="1:10" ht="15" x14ac:dyDescent="0.25">
      <c r="A168" s="1133"/>
      <c r="B168" s="1134"/>
      <c r="C168" s="1135"/>
      <c r="D168" s="1135"/>
      <c r="E168" s="1135"/>
      <c r="F168" s="1135"/>
      <c r="G168" s="1145"/>
      <c r="H168" s="1145"/>
      <c r="J168" s="16"/>
    </row>
    <row r="169" spans="1:10" ht="15" x14ac:dyDescent="0.25">
      <c r="A169" s="1133"/>
      <c r="B169" s="1134"/>
      <c r="C169" s="1135"/>
      <c r="D169" s="1135"/>
      <c r="E169" s="1135"/>
      <c r="F169" s="1135"/>
      <c r="G169" s="1145"/>
      <c r="H169" s="1145"/>
      <c r="J169" s="16"/>
    </row>
    <row r="170" spans="1:10" ht="15" x14ac:dyDescent="0.25">
      <c r="A170" s="1133"/>
      <c r="B170" s="1134"/>
      <c r="C170" s="1135"/>
      <c r="D170" s="1135"/>
      <c r="E170" s="1135"/>
      <c r="F170" s="1135"/>
      <c r="G170" s="1145"/>
      <c r="H170" s="1145"/>
      <c r="J170" s="16"/>
    </row>
    <row r="171" spans="1:10" ht="15" x14ac:dyDescent="0.25">
      <c r="A171" s="1133"/>
      <c r="B171" s="1134"/>
      <c r="C171" s="1135"/>
      <c r="D171" s="1135"/>
      <c r="E171" s="1135"/>
      <c r="F171" s="1135"/>
      <c r="G171" s="1145"/>
      <c r="H171" s="1145"/>
      <c r="J171" s="16"/>
    </row>
    <row r="172" spans="1:10" ht="15" x14ac:dyDescent="0.25">
      <c r="A172" s="1133"/>
      <c r="B172" s="1134"/>
      <c r="C172" s="1135"/>
      <c r="D172" s="1135"/>
      <c r="E172" s="1135"/>
      <c r="F172" s="1135"/>
      <c r="G172" s="1145"/>
      <c r="H172" s="1145"/>
      <c r="J172" s="16"/>
    </row>
    <row r="173" spans="1:10" ht="15" x14ac:dyDescent="0.25">
      <c r="A173" s="1133"/>
      <c r="B173" s="1134"/>
      <c r="C173" s="1135"/>
      <c r="D173" s="1135"/>
      <c r="E173" s="1135"/>
      <c r="F173" s="1135"/>
      <c r="G173" s="1145"/>
      <c r="H173" s="1145"/>
      <c r="J173" s="16"/>
    </row>
    <row r="174" spans="1:10" ht="15" x14ac:dyDescent="0.25">
      <c r="A174" s="1133"/>
      <c r="B174" s="1134"/>
      <c r="C174" s="1135"/>
      <c r="D174" s="1135"/>
      <c r="E174" s="1135"/>
      <c r="F174" s="1135"/>
      <c r="G174" s="1145"/>
      <c r="H174" s="1145"/>
      <c r="J174" s="16"/>
    </row>
    <row r="175" spans="1:10" ht="15" x14ac:dyDescent="0.25">
      <c r="A175" s="1133"/>
      <c r="B175" s="1134"/>
      <c r="C175" s="1135"/>
      <c r="D175" s="1135"/>
      <c r="E175" s="1135"/>
      <c r="F175" s="1135"/>
      <c r="G175" s="1145"/>
      <c r="H175" s="1145"/>
      <c r="J175" s="16"/>
    </row>
    <row r="176" spans="1:10" ht="15" x14ac:dyDescent="0.25">
      <c r="A176" s="1133"/>
      <c r="B176" s="1134"/>
      <c r="C176" s="1135"/>
      <c r="D176" s="1135"/>
      <c r="E176" s="1135"/>
      <c r="F176" s="1135"/>
      <c r="G176" s="1145"/>
      <c r="H176" s="1145"/>
      <c r="J176" s="16"/>
    </row>
    <row r="177" spans="1:10" ht="15" x14ac:dyDescent="0.25">
      <c r="A177" s="1133"/>
      <c r="B177" s="1134"/>
      <c r="C177" s="1135"/>
      <c r="D177" s="1135"/>
      <c r="E177" s="1135"/>
      <c r="F177" s="1135"/>
      <c r="G177" s="1145"/>
      <c r="H177" s="1145"/>
      <c r="J177" s="16"/>
    </row>
    <row r="178" spans="1:10" ht="15" x14ac:dyDescent="0.25">
      <c r="A178" s="1133"/>
      <c r="B178" s="1134"/>
      <c r="C178" s="1135"/>
      <c r="D178" s="1135"/>
      <c r="E178" s="1135"/>
      <c r="F178" s="1135"/>
      <c r="G178" s="1145"/>
      <c r="H178" s="1145"/>
      <c r="J178" s="16"/>
    </row>
    <row r="179" spans="1:10" ht="15" x14ac:dyDescent="0.25">
      <c r="A179" s="1133"/>
      <c r="B179" s="1134"/>
      <c r="C179" s="1135"/>
      <c r="D179" s="1135"/>
      <c r="E179" s="1135"/>
      <c r="F179" s="1135"/>
      <c r="G179" s="1145"/>
      <c r="H179" s="1145"/>
      <c r="J179" s="16"/>
    </row>
    <row r="180" spans="1:10" ht="15" x14ac:dyDescent="0.25">
      <c r="A180" s="1133"/>
      <c r="B180" s="1134"/>
      <c r="C180" s="1135"/>
      <c r="D180" s="1135"/>
      <c r="E180" s="1135"/>
      <c r="F180" s="1135"/>
      <c r="G180" s="1145"/>
      <c r="H180" s="1145"/>
      <c r="J180" s="16"/>
    </row>
    <row r="181" spans="1:10" ht="15" x14ac:dyDescent="0.25">
      <c r="A181" s="1133"/>
      <c r="B181" s="1134"/>
      <c r="C181" s="1135"/>
      <c r="D181" s="1135"/>
      <c r="E181" s="1135"/>
      <c r="F181" s="1135"/>
      <c r="G181" s="1145"/>
      <c r="H181" s="1145"/>
      <c r="J181" s="16"/>
    </row>
    <row r="182" spans="1:10" ht="15" x14ac:dyDescent="0.25">
      <c r="A182" s="1133"/>
      <c r="B182" s="1134"/>
      <c r="C182" s="1135"/>
      <c r="D182" s="1135"/>
      <c r="E182" s="1135"/>
      <c r="F182" s="1135"/>
      <c r="G182" s="1145"/>
      <c r="H182" s="1145"/>
      <c r="J182" s="16"/>
    </row>
    <row r="183" spans="1:10" ht="15" x14ac:dyDescent="0.25">
      <c r="A183" s="1133"/>
      <c r="B183" s="1134"/>
      <c r="C183" s="1135"/>
      <c r="D183" s="1135"/>
      <c r="E183" s="1135"/>
      <c r="F183" s="1135"/>
      <c r="G183" s="1145"/>
      <c r="H183" s="1145"/>
      <c r="J183" s="16"/>
    </row>
    <row r="184" spans="1:10" ht="15" x14ac:dyDescent="0.25">
      <c r="A184" s="1133"/>
      <c r="B184" s="1134"/>
      <c r="C184" s="1135"/>
      <c r="D184" s="1135"/>
      <c r="E184" s="1135"/>
      <c r="F184" s="1135"/>
      <c r="G184" s="1145"/>
      <c r="H184" s="1145"/>
      <c r="J184" s="16"/>
    </row>
    <row r="185" spans="1:10" ht="15" x14ac:dyDescent="0.25">
      <c r="A185" s="1133"/>
      <c r="B185" s="1134"/>
      <c r="C185" s="1135"/>
      <c r="D185" s="1135"/>
      <c r="E185" s="1135"/>
      <c r="F185" s="1135"/>
      <c r="G185" s="1145"/>
      <c r="H185" s="1145"/>
      <c r="J185" s="16"/>
    </row>
    <row r="186" spans="1:10" ht="15" x14ac:dyDescent="0.25">
      <c r="A186" s="1133"/>
      <c r="B186" s="1134"/>
      <c r="C186" s="1135"/>
      <c r="D186" s="1135"/>
      <c r="E186" s="1135"/>
      <c r="F186" s="1135"/>
      <c r="G186" s="1145"/>
      <c r="H186" s="1145"/>
      <c r="J186" s="16"/>
    </row>
    <row r="187" spans="1:10" ht="15" x14ac:dyDescent="0.25">
      <c r="A187" s="1133"/>
      <c r="B187" s="1134"/>
      <c r="C187" s="1135"/>
      <c r="D187" s="1135"/>
      <c r="E187" s="1135"/>
      <c r="F187" s="1135"/>
      <c r="G187" s="1145"/>
      <c r="H187" s="1145"/>
      <c r="J187" s="16"/>
    </row>
    <row r="188" spans="1:10" ht="15" x14ac:dyDescent="0.25">
      <c r="A188" s="1133"/>
      <c r="B188" s="1134"/>
      <c r="C188" s="1135"/>
      <c r="D188" s="1135"/>
      <c r="E188" s="1135"/>
      <c r="F188" s="1135"/>
      <c r="G188" s="1145"/>
      <c r="H188" s="1145"/>
      <c r="J188" s="16"/>
    </row>
    <row r="189" spans="1:10" ht="15" x14ac:dyDescent="0.25">
      <c r="A189" s="1133"/>
      <c r="B189" s="1134"/>
      <c r="C189" s="1135"/>
      <c r="D189" s="1135"/>
      <c r="E189" s="1135"/>
      <c r="F189" s="1135"/>
      <c r="G189" s="1145"/>
      <c r="H189" s="1145"/>
      <c r="J189" s="16"/>
    </row>
    <row r="190" spans="1:10" ht="15" x14ac:dyDescent="0.25">
      <c r="A190" s="1133"/>
      <c r="B190" s="1134"/>
      <c r="C190" s="1135"/>
      <c r="D190" s="1135"/>
      <c r="E190" s="1135"/>
      <c r="F190" s="1135"/>
      <c r="G190" s="1145"/>
      <c r="H190" s="1145"/>
      <c r="J190" s="16"/>
    </row>
    <row r="191" spans="1:10" ht="15" x14ac:dyDescent="0.25">
      <c r="A191" s="1133"/>
      <c r="B191" s="1134"/>
      <c r="C191" s="1135"/>
      <c r="D191" s="1135"/>
      <c r="E191" s="1135"/>
      <c r="F191" s="1135"/>
      <c r="G191" s="1145"/>
      <c r="H191" s="1145"/>
      <c r="J191" s="16"/>
    </row>
    <row r="192" spans="1:10" ht="15" x14ac:dyDescent="0.25">
      <c r="A192" s="1133"/>
      <c r="B192" s="1134"/>
      <c r="C192" s="1135"/>
      <c r="D192" s="1135"/>
      <c r="E192" s="1135"/>
      <c r="F192" s="1135"/>
      <c r="G192" s="1145"/>
      <c r="H192" s="1145"/>
      <c r="J192" s="16"/>
    </row>
    <row r="193" spans="1:10" ht="15" x14ac:dyDescent="0.25">
      <c r="A193" s="1133"/>
      <c r="B193" s="1134"/>
      <c r="C193" s="1135"/>
      <c r="D193" s="1135"/>
      <c r="E193" s="1135"/>
      <c r="F193" s="1135"/>
      <c r="G193" s="1145"/>
      <c r="H193" s="1145"/>
      <c r="J193" s="16"/>
    </row>
    <row r="194" spans="1:10" ht="15" x14ac:dyDescent="0.25">
      <c r="A194" s="1133"/>
      <c r="B194" s="1134"/>
      <c r="C194" s="1135"/>
      <c r="D194" s="1135"/>
      <c r="E194" s="1135"/>
      <c r="F194" s="1135"/>
      <c r="G194" s="1145"/>
      <c r="H194" s="1145"/>
      <c r="J194" s="16"/>
    </row>
    <row r="195" spans="1:10" ht="15" x14ac:dyDescent="0.25">
      <c r="A195" s="1133"/>
      <c r="B195" s="1134"/>
      <c r="C195" s="1135"/>
      <c r="D195" s="1135"/>
      <c r="E195" s="1135"/>
      <c r="F195" s="1135"/>
      <c r="G195" s="1145"/>
      <c r="H195" s="1145"/>
      <c r="J195" s="16"/>
    </row>
    <row r="196" spans="1:10" ht="15" x14ac:dyDescent="0.25">
      <c r="A196" s="1133"/>
      <c r="B196" s="1134"/>
      <c r="C196" s="1135"/>
      <c r="D196" s="1135"/>
      <c r="E196" s="1135"/>
      <c r="F196" s="1135"/>
      <c r="G196" s="1145"/>
      <c r="H196" s="1145"/>
      <c r="J196" s="16"/>
    </row>
    <row r="197" spans="1:10" ht="15" x14ac:dyDescent="0.25">
      <c r="A197" s="1133"/>
      <c r="B197" s="1134"/>
      <c r="C197" s="1135"/>
      <c r="D197" s="1135"/>
      <c r="E197" s="1135"/>
      <c r="F197" s="1135"/>
      <c r="G197" s="1145"/>
      <c r="H197" s="1145"/>
      <c r="J197" s="16"/>
    </row>
    <row r="198" spans="1:10" ht="15" x14ac:dyDescent="0.25">
      <c r="A198" s="1133"/>
      <c r="B198" s="1134"/>
      <c r="C198" s="1135"/>
      <c r="D198" s="1135"/>
      <c r="E198" s="1135"/>
      <c r="F198" s="1135"/>
      <c r="G198" s="1145"/>
      <c r="H198" s="1145"/>
      <c r="J198" s="16"/>
    </row>
    <row r="199" spans="1:10" ht="15" x14ac:dyDescent="0.25">
      <c r="A199" s="1133"/>
      <c r="B199" s="1134"/>
      <c r="C199" s="1135"/>
      <c r="D199" s="1135"/>
      <c r="E199" s="1135"/>
      <c r="F199" s="1135"/>
      <c r="G199" s="1145"/>
      <c r="H199" s="1145"/>
      <c r="J199" s="16"/>
    </row>
    <row r="200" spans="1:10" ht="15" x14ac:dyDescent="0.25">
      <c r="A200" s="1133"/>
      <c r="B200" s="1134"/>
      <c r="C200" s="1135"/>
      <c r="D200" s="1135"/>
      <c r="E200" s="1135"/>
      <c r="F200" s="1135"/>
      <c r="G200" s="1145"/>
      <c r="H200" s="1145"/>
      <c r="J200" s="16"/>
    </row>
    <row r="201" spans="1:10" ht="15" x14ac:dyDescent="0.25">
      <c r="A201" s="1133"/>
      <c r="B201" s="1134"/>
      <c r="C201" s="1135"/>
      <c r="D201" s="1135"/>
      <c r="E201" s="1135"/>
      <c r="F201" s="1135"/>
      <c r="G201" s="1145"/>
      <c r="H201" s="1145"/>
      <c r="J201" s="16"/>
    </row>
    <row r="202" spans="1:10" ht="15" x14ac:dyDescent="0.25">
      <c r="A202" s="1133"/>
      <c r="B202" s="1134"/>
      <c r="C202" s="1135"/>
      <c r="D202" s="1135"/>
      <c r="E202" s="1135"/>
      <c r="F202" s="1135"/>
      <c r="G202" s="1145"/>
      <c r="H202" s="1145"/>
      <c r="J202" s="16"/>
    </row>
    <row r="203" spans="1:10" ht="15" x14ac:dyDescent="0.25">
      <c r="A203" s="1133"/>
      <c r="B203" s="1134"/>
      <c r="C203" s="1135"/>
      <c r="D203" s="1135"/>
      <c r="E203" s="1135"/>
      <c r="F203" s="1135"/>
      <c r="G203" s="1145"/>
      <c r="H203" s="1145"/>
      <c r="J203" s="16"/>
    </row>
    <row r="204" spans="1:10" ht="15" x14ac:dyDescent="0.25">
      <c r="A204" s="1133"/>
      <c r="B204" s="1134"/>
      <c r="C204" s="1135"/>
      <c r="D204" s="1135"/>
      <c r="E204" s="1135"/>
      <c r="F204" s="1135"/>
      <c r="G204" s="1145"/>
      <c r="H204" s="1145"/>
      <c r="J204" s="16"/>
    </row>
    <row r="205" spans="1:10" ht="15" x14ac:dyDescent="0.25">
      <c r="A205" s="1133"/>
      <c r="B205" s="1134"/>
      <c r="C205" s="1135"/>
      <c r="D205" s="1135"/>
      <c r="E205" s="1135"/>
      <c r="F205" s="1135"/>
      <c r="G205" s="1145"/>
      <c r="H205" s="1145"/>
      <c r="J205" s="16"/>
    </row>
    <row r="206" spans="1:10" ht="15" x14ac:dyDescent="0.25">
      <c r="A206" s="1133"/>
      <c r="B206" s="1134"/>
      <c r="C206" s="1135"/>
      <c r="D206" s="1135"/>
      <c r="E206" s="1135"/>
      <c r="F206" s="1135"/>
      <c r="G206" s="1145"/>
      <c r="H206" s="1145"/>
      <c r="J206" s="16"/>
    </row>
    <row r="207" spans="1:10" ht="15" x14ac:dyDescent="0.25">
      <c r="A207" s="1133"/>
      <c r="B207" s="1134"/>
      <c r="C207" s="1135"/>
      <c r="D207" s="1135"/>
      <c r="E207" s="1135"/>
      <c r="F207" s="1135"/>
      <c r="G207" s="1145"/>
      <c r="H207" s="1145"/>
      <c r="J207" s="16"/>
    </row>
    <row r="208" spans="1:10" ht="15" x14ac:dyDescent="0.25">
      <c r="A208" s="1133"/>
      <c r="B208" s="1134"/>
      <c r="C208" s="1135"/>
      <c r="D208" s="1135"/>
      <c r="E208" s="1135"/>
      <c r="F208" s="1135"/>
      <c r="G208" s="1145"/>
      <c r="H208" s="1145"/>
      <c r="J208" s="16"/>
    </row>
    <row r="209" spans="1:10" ht="15" x14ac:dyDescent="0.25">
      <c r="A209" s="1133"/>
      <c r="B209" s="1134"/>
      <c r="C209" s="1135"/>
      <c r="D209" s="1135"/>
      <c r="E209" s="1135"/>
      <c r="F209" s="1135"/>
      <c r="G209" s="1145"/>
      <c r="H209" s="1145"/>
      <c r="J209" s="16"/>
    </row>
    <row r="210" spans="1:10" ht="15" x14ac:dyDescent="0.25">
      <c r="A210" s="1133"/>
      <c r="B210" s="1134"/>
      <c r="C210" s="1135"/>
      <c r="D210" s="1135"/>
      <c r="E210" s="1135"/>
      <c r="F210" s="1135"/>
      <c r="G210" s="1145"/>
      <c r="H210" s="1145"/>
      <c r="J210" s="16"/>
    </row>
    <row r="211" spans="1:10" ht="15" x14ac:dyDescent="0.25">
      <c r="A211" s="1133"/>
      <c r="B211" s="1134"/>
      <c r="C211" s="1135"/>
      <c r="D211" s="1135"/>
      <c r="E211" s="1135"/>
      <c r="F211" s="1135"/>
      <c r="G211" s="1145"/>
      <c r="H211" s="1145"/>
      <c r="J211" s="16"/>
    </row>
    <row r="212" spans="1:10" ht="15" x14ac:dyDescent="0.25">
      <c r="A212" s="1133"/>
      <c r="B212" s="1134"/>
      <c r="C212" s="1135"/>
      <c r="D212" s="1135"/>
      <c r="E212" s="1135"/>
      <c r="F212" s="1135"/>
      <c r="G212" s="1145"/>
      <c r="H212" s="1145"/>
      <c r="J212" s="16"/>
    </row>
    <row r="213" spans="1:10" ht="15" x14ac:dyDescent="0.25">
      <c r="A213" s="1133"/>
      <c r="B213" s="1134"/>
      <c r="C213" s="1135"/>
      <c r="D213" s="1135"/>
      <c r="E213" s="1135"/>
      <c r="F213" s="1135"/>
      <c r="G213" s="1145"/>
      <c r="H213" s="1145"/>
      <c r="J213" s="16"/>
    </row>
    <row r="214" spans="1:10" ht="15" x14ac:dyDescent="0.25">
      <c r="A214" s="1133"/>
      <c r="B214" s="1134"/>
      <c r="C214" s="1135"/>
      <c r="D214" s="1135"/>
      <c r="E214" s="1135"/>
      <c r="F214" s="1135"/>
      <c r="G214" s="1145"/>
      <c r="H214" s="1145"/>
      <c r="J214" s="16"/>
    </row>
    <row r="215" spans="1:10" ht="15" x14ac:dyDescent="0.25">
      <c r="A215" s="1133"/>
      <c r="B215" s="1134"/>
      <c r="C215" s="1135"/>
      <c r="D215" s="1135"/>
      <c r="E215" s="1135"/>
      <c r="F215" s="1135"/>
      <c r="G215" s="1145"/>
      <c r="H215" s="1145"/>
      <c r="J215" s="16"/>
    </row>
    <row r="216" spans="1:10" ht="15" x14ac:dyDescent="0.25">
      <c r="A216" s="1133"/>
      <c r="B216" s="1134"/>
      <c r="C216" s="1135"/>
      <c r="D216" s="1135"/>
      <c r="E216" s="1135"/>
      <c r="F216" s="1135"/>
      <c r="G216" s="1145"/>
      <c r="H216" s="1145"/>
      <c r="J216" s="16"/>
    </row>
    <row r="217" spans="1:10" ht="15" x14ac:dyDescent="0.25">
      <c r="A217" s="1133"/>
      <c r="B217" s="1134"/>
      <c r="C217" s="1135"/>
      <c r="D217" s="1135"/>
      <c r="E217" s="1135"/>
      <c r="F217" s="1135"/>
      <c r="G217" s="1145"/>
      <c r="H217" s="1145"/>
      <c r="J217" s="16"/>
    </row>
    <row r="218" spans="1:10" ht="15" x14ac:dyDescent="0.25">
      <c r="A218" s="1133"/>
      <c r="B218" s="1134"/>
      <c r="C218" s="1135"/>
      <c r="D218" s="1135"/>
      <c r="E218" s="1135"/>
      <c r="F218" s="1135"/>
      <c r="G218" s="1145"/>
      <c r="H218" s="1145"/>
      <c r="J218" s="16"/>
    </row>
    <row r="219" spans="1:10" ht="15" x14ac:dyDescent="0.25">
      <c r="A219" s="1133"/>
      <c r="B219" s="1134"/>
      <c r="C219" s="1135"/>
      <c r="D219" s="1135"/>
      <c r="E219" s="1135"/>
      <c r="F219" s="1135"/>
      <c r="G219" s="1145"/>
      <c r="H219" s="1145"/>
      <c r="J219" s="16"/>
    </row>
    <row r="220" spans="1:10" ht="15" x14ac:dyDescent="0.25">
      <c r="A220" s="1133"/>
      <c r="B220" s="1134"/>
      <c r="C220" s="1135"/>
      <c r="D220" s="1135"/>
      <c r="E220" s="1135"/>
      <c r="F220" s="1135"/>
      <c r="G220" s="1145"/>
      <c r="H220" s="1145"/>
      <c r="J220" s="16"/>
    </row>
    <row r="221" spans="1:10" ht="15" x14ac:dyDescent="0.25">
      <c r="A221" s="1133"/>
      <c r="B221" s="1134"/>
      <c r="C221" s="1135"/>
      <c r="D221" s="1135"/>
      <c r="E221" s="1135"/>
      <c r="F221" s="1135"/>
      <c r="G221" s="1145"/>
      <c r="H221" s="1145"/>
      <c r="J221" s="16"/>
    </row>
    <row r="222" spans="1:10" ht="15" x14ac:dyDescent="0.25">
      <c r="A222" s="1133"/>
      <c r="B222" s="1134"/>
      <c r="C222" s="1135"/>
      <c r="D222" s="1135"/>
      <c r="E222" s="1135"/>
      <c r="F222" s="1135"/>
      <c r="G222" s="1145"/>
      <c r="H222" s="1145"/>
      <c r="J222" s="16"/>
    </row>
    <row r="223" spans="1:10" ht="15" x14ac:dyDescent="0.25">
      <c r="A223" s="1133"/>
      <c r="B223" s="1134"/>
      <c r="C223" s="1135"/>
      <c r="D223" s="1135"/>
      <c r="E223" s="1135"/>
      <c r="F223" s="1135"/>
      <c r="G223" s="1145"/>
      <c r="H223" s="1145"/>
      <c r="J223" s="16"/>
    </row>
    <row r="224" spans="1:10" ht="15" x14ac:dyDescent="0.25">
      <c r="A224" s="1133"/>
      <c r="B224" s="1134"/>
      <c r="C224" s="1135"/>
      <c r="D224" s="1135"/>
      <c r="E224" s="1135"/>
      <c r="F224" s="1135"/>
      <c r="G224" s="1145"/>
      <c r="H224" s="1145"/>
      <c r="J224" s="16"/>
    </row>
    <row r="225" spans="1:10" ht="15" x14ac:dyDescent="0.25">
      <c r="A225" s="1133"/>
      <c r="B225" s="1134"/>
      <c r="C225" s="1135"/>
      <c r="D225" s="1135"/>
      <c r="E225" s="1135"/>
      <c r="F225" s="1135"/>
      <c r="G225" s="1145"/>
      <c r="H225" s="1145"/>
      <c r="J225" s="16"/>
    </row>
    <row r="226" spans="1:10" ht="15" x14ac:dyDescent="0.25">
      <c r="A226" s="1133"/>
      <c r="B226" s="1134"/>
      <c r="C226" s="1135"/>
      <c r="D226" s="1135"/>
      <c r="E226" s="1135"/>
      <c r="F226" s="1135"/>
      <c r="G226" s="1145"/>
      <c r="H226" s="1145"/>
      <c r="J226" s="16"/>
    </row>
    <row r="227" spans="1:10" ht="15" x14ac:dyDescent="0.25">
      <c r="A227" s="1133"/>
      <c r="B227" s="1134"/>
      <c r="C227" s="1135"/>
      <c r="D227" s="1135"/>
      <c r="E227" s="1135"/>
      <c r="F227" s="1135"/>
      <c r="G227" s="1145"/>
      <c r="H227" s="1145"/>
      <c r="J227" s="16"/>
    </row>
    <row r="228" spans="1:10" ht="15" x14ac:dyDescent="0.25">
      <c r="A228" s="1133"/>
      <c r="B228" s="1134"/>
      <c r="C228" s="1135"/>
      <c r="D228" s="1135"/>
      <c r="E228" s="1135"/>
      <c r="F228" s="1135"/>
      <c r="G228" s="1145"/>
      <c r="H228" s="1145"/>
      <c r="J228" s="16"/>
    </row>
    <row r="229" spans="1:10" ht="15" x14ac:dyDescent="0.25">
      <c r="A229" s="1133"/>
      <c r="B229" s="1134"/>
      <c r="C229" s="1135"/>
      <c r="D229" s="1135"/>
      <c r="E229" s="1135"/>
      <c r="F229" s="1135"/>
      <c r="G229" s="1145"/>
      <c r="H229" s="1145"/>
      <c r="J229" s="16"/>
    </row>
    <row r="230" spans="1:10" ht="15" x14ac:dyDescent="0.25">
      <c r="A230" s="1133"/>
      <c r="B230" s="1134"/>
      <c r="C230" s="1135"/>
      <c r="D230" s="1135"/>
      <c r="E230" s="1135"/>
      <c r="F230" s="1135"/>
      <c r="G230" s="1145"/>
      <c r="H230" s="1145"/>
      <c r="J230" s="16"/>
    </row>
    <row r="231" spans="1:10" ht="15" x14ac:dyDescent="0.25">
      <c r="A231" s="1133"/>
      <c r="B231" s="1134"/>
      <c r="C231" s="1135"/>
      <c r="D231" s="1135"/>
      <c r="E231" s="1135"/>
      <c r="F231" s="1135"/>
      <c r="G231" s="1145"/>
      <c r="H231" s="1145"/>
      <c r="J231" s="16"/>
    </row>
    <row r="232" spans="1:10" ht="15" x14ac:dyDescent="0.25">
      <c r="A232" s="1133"/>
      <c r="B232" s="1134"/>
      <c r="C232" s="1135"/>
      <c r="D232" s="1135"/>
      <c r="E232" s="1135"/>
      <c r="F232" s="1135"/>
      <c r="G232" s="1145"/>
      <c r="H232" s="1145"/>
      <c r="J232" s="16"/>
    </row>
    <row r="233" spans="1:10" ht="15" x14ac:dyDescent="0.25">
      <c r="A233" s="1133"/>
      <c r="B233" s="1134"/>
      <c r="C233" s="1135"/>
      <c r="D233" s="1135"/>
      <c r="E233" s="1135"/>
      <c r="F233" s="1135"/>
      <c r="G233" s="1145"/>
      <c r="H233" s="1145"/>
      <c r="J233" s="16"/>
    </row>
    <row r="234" spans="1:10" ht="15" x14ac:dyDescent="0.25">
      <c r="A234" s="1133"/>
      <c r="B234" s="1134"/>
      <c r="C234" s="1135"/>
      <c r="D234" s="1135"/>
      <c r="E234" s="1135"/>
      <c r="F234" s="1135"/>
      <c r="G234" s="1145"/>
      <c r="H234" s="1145"/>
      <c r="J234" s="16"/>
    </row>
    <row r="235" spans="1:10" ht="15" x14ac:dyDescent="0.25">
      <c r="A235" s="1133"/>
      <c r="B235" s="1134"/>
      <c r="C235" s="1135"/>
      <c r="D235" s="1135"/>
      <c r="E235" s="1135"/>
      <c r="F235" s="1135"/>
      <c r="G235" s="1145"/>
      <c r="H235" s="1145"/>
      <c r="J235" s="16"/>
    </row>
    <row r="236" spans="1:10" ht="15" x14ac:dyDescent="0.25">
      <c r="A236" s="1133"/>
      <c r="B236" s="1134"/>
      <c r="C236" s="1135"/>
      <c r="D236" s="1135"/>
      <c r="E236" s="1135"/>
      <c r="F236" s="1135"/>
      <c r="G236" s="1145"/>
      <c r="H236" s="1145"/>
      <c r="J236" s="16"/>
    </row>
    <row r="237" spans="1:10" ht="15" x14ac:dyDescent="0.25">
      <c r="A237" s="1133"/>
      <c r="B237" s="1134"/>
      <c r="C237" s="1135"/>
      <c r="D237" s="1135"/>
      <c r="E237" s="1135"/>
      <c r="F237" s="1135"/>
      <c r="G237" s="1145"/>
      <c r="H237" s="1145"/>
      <c r="J237" s="16"/>
    </row>
    <row r="238" spans="1:10" ht="15" x14ac:dyDescent="0.25">
      <c r="A238" s="1133"/>
      <c r="B238" s="1134"/>
      <c r="C238" s="1135"/>
      <c r="D238" s="1135"/>
      <c r="E238" s="1135"/>
      <c r="F238" s="1135"/>
      <c r="G238" s="1145"/>
      <c r="H238" s="1145"/>
      <c r="J238" s="16"/>
    </row>
    <row r="239" spans="1:10" ht="15" x14ac:dyDescent="0.25">
      <c r="A239" s="1133"/>
      <c r="B239" s="1134"/>
      <c r="C239" s="1135"/>
      <c r="D239" s="1135"/>
      <c r="E239" s="1135"/>
      <c r="F239" s="1135"/>
      <c r="G239" s="1145"/>
      <c r="H239" s="1145"/>
      <c r="J239" s="16"/>
    </row>
    <row r="240" spans="1:10" ht="15" x14ac:dyDescent="0.25">
      <c r="A240" s="1133"/>
      <c r="B240" s="1134"/>
      <c r="C240" s="1135"/>
      <c r="D240" s="1135"/>
      <c r="E240" s="1135"/>
      <c r="F240" s="1135"/>
      <c r="G240" s="1145"/>
      <c r="H240" s="1145"/>
      <c r="J240" s="16"/>
    </row>
    <row r="241" spans="1:10" ht="15" x14ac:dyDescent="0.25">
      <c r="A241" s="1133"/>
      <c r="B241" s="1134"/>
      <c r="C241" s="1135"/>
      <c r="D241" s="1135"/>
      <c r="E241" s="1135"/>
      <c r="F241" s="1135"/>
      <c r="G241" s="1145"/>
      <c r="H241" s="1145"/>
      <c r="J241" s="16"/>
    </row>
    <row r="242" spans="1:10" ht="15" x14ac:dyDescent="0.25">
      <c r="A242" s="1133"/>
      <c r="B242" s="1134"/>
      <c r="C242" s="1135"/>
      <c r="D242" s="1135"/>
      <c r="E242" s="1135"/>
      <c r="F242" s="1135"/>
      <c r="G242" s="1145"/>
      <c r="H242" s="1145"/>
      <c r="J242" s="16"/>
    </row>
    <row r="243" spans="1:10" ht="15" x14ac:dyDescent="0.25">
      <c r="A243" s="1133"/>
      <c r="B243" s="1134"/>
      <c r="C243" s="1135"/>
      <c r="D243" s="1135"/>
      <c r="E243" s="1135"/>
      <c r="F243" s="1135"/>
      <c r="G243" s="1145"/>
      <c r="H243" s="1145"/>
      <c r="J243" s="16"/>
    </row>
    <row r="244" spans="1:10" ht="15" x14ac:dyDescent="0.25">
      <c r="A244" s="1133"/>
      <c r="B244" s="1134"/>
      <c r="C244" s="1135"/>
      <c r="D244" s="1135"/>
      <c r="E244" s="1135"/>
      <c r="F244" s="1135"/>
      <c r="G244" s="1145"/>
      <c r="H244" s="1145"/>
      <c r="J244" s="16"/>
    </row>
    <row r="245" spans="1:10" ht="15" x14ac:dyDescent="0.25">
      <c r="A245" s="1133"/>
      <c r="B245" s="1134"/>
      <c r="C245" s="1135"/>
      <c r="D245" s="1135"/>
      <c r="E245" s="1135"/>
      <c r="F245" s="1135"/>
      <c r="G245" s="1145"/>
      <c r="H245" s="1145"/>
      <c r="J245" s="16"/>
    </row>
    <row r="246" spans="1:10" ht="15" x14ac:dyDescent="0.25">
      <c r="A246" s="1133"/>
      <c r="B246" s="1134"/>
      <c r="C246" s="1135"/>
      <c r="D246" s="1135"/>
      <c r="E246" s="1135"/>
      <c r="F246" s="1135"/>
      <c r="G246" s="1145"/>
      <c r="H246" s="1145"/>
      <c r="J246" s="16"/>
    </row>
    <row r="247" spans="1:10" ht="15" x14ac:dyDescent="0.25">
      <c r="A247" s="1133"/>
      <c r="B247" s="1134"/>
      <c r="C247" s="1135"/>
      <c r="D247" s="1135"/>
      <c r="E247" s="1135"/>
      <c r="F247" s="1135"/>
      <c r="G247" s="1145"/>
      <c r="H247" s="1145"/>
      <c r="J247" s="16"/>
    </row>
    <row r="248" spans="1:10" ht="15" x14ac:dyDescent="0.25">
      <c r="A248" s="1133"/>
      <c r="B248" s="1134"/>
      <c r="C248" s="1135"/>
      <c r="D248" s="1135"/>
      <c r="E248" s="1135"/>
      <c r="F248" s="1135"/>
      <c r="G248" s="1145"/>
      <c r="H248" s="1145"/>
      <c r="J248" s="16"/>
    </row>
    <row r="249" spans="1:10" ht="15" x14ac:dyDescent="0.25">
      <c r="A249" s="1133"/>
      <c r="B249" s="1134"/>
      <c r="C249" s="1135"/>
      <c r="D249" s="1135"/>
      <c r="E249" s="1135"/>
      <c r="F249" s="1135"/>
      <c r="G249" s="1145"/>
      <c r="H249" s="1145"/>
      <c r="J249" s="16"/>
    </row>
    <row r="250" spans="1:10" ht="15" x14ac:dyDescent="0.25">
      <c r="A250" s="1133"/>
      <c r="B250" s="1134"/>
      <c r="C250" s="1135"/>
      <c r="D250" s="1135"/>
      <c r="E250" s="1135"/>
      <c r="F250" s="1135"/>
      <c r="G250" s="1145"/>
      <c r="H250" s="1145"/>
      <c r="J250" s="16"/>
    </row>
    <row r="251" spans="1:10" ht="15" x14ac:dyDescent="0.25">
      <c r="A251" s="1133"/>
      <c r="B251" s="1134"/>
      <c r="C251" s="1135"/>
      <c r="D251" s="1135"/>
      <c r="E251" s="1135"/>
      <c r="F251" s="1135"/>
      <c r="G251" s="1145"/>
      <c r="H251" s="1145"/>
      <c r="J251" s="16"/>
    </row>
    <row r="252" spans="1:10" ht="15" x14ac:dyDescent="0.25">
      <c r="A252" s="1133"/>
      <c r="B252" s="1134"/>
      <c r="C252" s="1135"/>
      <c r="D252" s="1135"/>
      <c r="E252" s="1135"/>
      <c r="F252" s="1135"/>
      <c r="G252" s="1145"/>
      <c r="H252" s="1145"/>
      <c r="J252" s="16"/>
    </row>
    <row r="253" spans="1:10" ht="15" x14ac:dyDescent="0.25">
      <c r="A253" s="1133"/>
      <c r="B253" s="1134"/>
      <c r="C253" s="1135"/>
      <c r="D253" s="1135"/>
      <c r="E253" s="1135"/>
      <c r="F253" s="1135"/>
      <c r="G253" s="1145"/>
      <c r="H253" s="1145"/>
      <c r="J253" s="16"/>
    </row>
    <row r="254" spans="1:10" x14ac:dyDescent="0.2">
      <c r="A254"/>
      <c r="B254" s="1125"/>
      <c r="C254" s="1126"/>
      <c r="D254" s="1126"/>
      <c r="E254" s="1126"/>
      <c r="F254" s="1126"/>
      <c r="J254" s="16"/>
    </row>
    <row r="255" spans="1:10" x14ac:dyDescent="0.2">
      <c r="A255"/>
      <c r="B255" s="1125"/>
      <c r="C255" s="1126"/>
      <c r="D255" s="1126"/>
      <c r="E255" s="1126"/>
      <c r="F255" s="1126"/>
      <c r="J255" s="16"/>
    </row>
    <row r="256" spans="1:10" x14ac:dyDescent="0.2">
      <c r="A256"/>
      <c r="B256" s="1125"/>
      <c r="C256" s="1126"/>
      <c r="D256" s="1126"/>
      <c r="E256" s="1126"/>
      <c r="F256" s="1126"/>
      <c r="J256" s="16"/>
    </row>
    <row r="257" spans="1:10" x14ac:dyDescent="0.2">
      <c r="A257"/>
      <c r="B257" s="1125"/>
      <c r="C257" s="1126"/>
      <c r="D257" s="1126"/>
      <c r="E257" s="1126"/>
      <c r="F257" s="1126"/>
      <c r="J257" s="16"/>
    </row>
    <row r="258" spans="1:10" x14ac:dyDescent="0.2">
      <c r="A258"/>
      <c r="B258" s="1125"/>
      <c r="C258" s="1126"/>
      <c r="D258" s="1126"/>
      <c r="E258" s="1126"/>
      <c r="F258" s="1126"/>
      <c r="J258" s="16"/>
    </row>
    <row r="259" spans="1:10" x14ac:dyDescent="0.2">
      <c r="A259"/>
      <c r="B259" s="1125"/>
      <c r="C259" s="1126"/>
      <c r="D259" s="1126"/>
      <c r="E259" s="1126"/>
      <c r="F259" s="1126"/>
      <c r="J259" s="16"/>
    </row>
    <row r="260" spans="1:10" x14ac:dyDescent="0.2">
      <c r="A260"/>
      <c r="B260" s="1125"/>
      <c r="C260" s="1126"/>
      <c r="D260" s="1126"/>
      <c r="E260" s="1126"/>
      <c r="F260" s="1126"/>
      <c r="J260" s="16"/>
    </row>
    <row r="261" spans="1:10" x14ac:dyDescent="0.2">
      <c r="A261"/>
      <c r="B261" s="1125"/>
      <c r="C261" s="1126"/>
      <c r="D261" s="1126"/>
      <c r="E261" s="1126"/>
      <c r="F261" s="1126"/>
      <c r="J261" s="16"/>
    </row>
    <row r="262" spans="1:10" x14ac:dyDescent="0.2">
      <c r="A262"/>
      <c r="B262" s="1125"/>
      <c r="C262" s="1126"/>
      <c r="D262" s="1126"/>
      <c r="E262" s="1126"/>
      <c r="F262" s="1126"/>
      <c r="J262" s="16"/>
    </row>
    <row r="263" spans="1:10" x14ac:dyDescent="0.2">
      <c r="A263"/>
      <c r="B263" s="1125"/>
      <c r="C263" s="1126"/>
      <c r="D263" s="1126"/>
      <c r="E263" s="1126"/>
      <c r="F263" s="1126"/>
      <c r="J263" s="16"/>
    </row>
    <row r="264" spans="1:10" x14ac:dyDescent="0.2">
      <c r="A264"/>
      <c r="B264" s="1125"/>
      <c r="C264" s="1126"/>
      <c r="D264" s="1126"/>
      <c r="E264" s="1126"/>
      <c r="F264" s="1126"/>
      <c r="J264" s="16"/>
    </row>
    <row r="265" spans="1:10" x14ac:dyDescent="0.2">
      <c r="A265"/>
      <c r="B265" s="1125"/>
      <c r="C265" s="1126"/>
      <c r="D265" s="1126"/>
      <c r="E265" s="1126"/>
      <c r="F265" s="1126"/>
      <c r="J265" s="16"/>
    </row>
    <row r="266" spans="1:10" x14ac:dyDescent="0.2">
      <c r="A266"/>
      <c r="B266" s="1125"/>
      <c r="C266" s="1126"/>
      <c r="D266" s="1126"/>
      <c r="E266" s="1126"/>
      <c r="F266" s="1126"/>
      <c r="J266" s="16"/>
    </row>
    <row r="267" spans="1:10" x14ac:dyDescent="0.2">
      <c r="A267"/>
      <c r="B267" s="1125"/>
      <c r="C267" s="1126"/>
      <c r="D267" s="1126"/>
      <c r="E267" s="1126"/>
      <c r="F267" s="1126"/>
      <c r="J267" s="16"/>
    </row>
    <row r="268" spans="1:10" x14ac:dyDescent="0.2">
      <c r="A268"/>
      <c r="B268" s="1125"/>
      <c r="C268" s="1126"/>
      <c r="D268" s="1126"/>
      <c r="E268" s="1126"/>
      <c r="F268" s="1126"/>
      <c r="J268" s="16"/>
    </row>
    <row r="269" spans="1:10" x14ac:dyDescent="0.2">
      <c r="A269"/>
      <c r="B269" s="1125"/>
      <c r="C269" s="1126"/>
      <c r="D269" s="1126"/>
      <c r="E269" s="1126"/>
      <c r="F269" s="1126"/>
      <c r="J269" s="16"/>
    </row>
    <row r="270" spans="1:10" x14ac:dyDescent="0.2">
      <c r="A270"/>
      <c r="B270" s="1125"/>
      <c r="C270" s="1126"/>
      <c r="D270" s="1126"/>
      <c r="E270" s="1126"/>
      <c r="F270" s="1126"/>
      <c r="J270" s="16"/>
    </row>
    <row r="271" spans="1:10" x14ac:dyDescent="0.2">
      <c r="A271"/>
      <c r="B271" s="1125"/>
      <c r="C271" s="1126"/>
      <c r="D271" s="1126"/>
      <c r="E271" s="1126"/>
      <c r="F271" s="1126"/>
      <c r="J271" s="16"/>
    </row>
    <row r="272" spans="1:10" x14ac:dyDescent="0.2">
      <c r="A272"/>
      <c r="B272" s="1125"/>
      <c r="C272" s="1126"/>
      <c r="D272" s="1126"/>
      <c r="E272" s="1126"/>
      <c r="F272" s="1126"/>
      <c r="J272" s="16"/>
    </row>
    <row r="273" spans="1:10" x14ac:dyDescent="0.2">
      <c r="A273"/>
      <c r="B273" s="1125"/>
      <c r="C273" s="1126"/>
      <c r="D273" s="1126"/>
      <c r="E273" s="1126"/>
      <c r="F273" s="1126"/>
      <c r="J273" s="16"/>
    </row>
    <row r="274" spans="1:10" x14ac:dyDescent="0.2">
      <c r="A274"/>
      <c r="B274" s="1125"/>
      <c r="C274" s="1126"/>
      <c r="D274" s="1126"/>
      <c r="E274" s="1126"/>
      <c r="F274" s="1126"/>
      <c r="J274" s="16"/>
    </row>
    <row r="275" spans="1:10" x14ac:dyDescent="0.2">
      <c r="A275"/>
      <c r="B275" s="1125"/>
      <c r="C275" s="1126"/>
      <c r="D275" s="1126"/>
      <c r="E275" s="1126"/>
      <c r="F275" s="1126"/>
      <c r="J275" s="16"/>
    </row>
    <row r="276" spans="1:10" x14ac:dyDescent="0.2">
      <c r="A276"/>
      <c r="B276" s="1125"/>
      <c r="C276" s="1126"/>
      <c r="D276" s="1126"/>
      <c r="E276" s="1126"/>
      <c r="F276" s="1126"/>
      <c r="J276" s="16"/>
    </row>
    <row r="277" spans="1:10" x14ac:dyDescent="0.2">
      <c r="A277"/>
      <c r="B277" s="1125"/>
      <c r="C277" s="1126"/>
      <c r="D277" s="1126"/>
      <c r="E277" s="1126"/>
      <c r="F277" s="1126"/>
      <c r="J277" s="16"/>
    </row>
    <row r="278" spans="1:10" x14ac:dyDescent="0.2">
      <c r="A278"/>
      <c r="B278" s="1125"/>
      <c r="C278" s="1126"/>
      <c r="D278" s="1126"/>
      <c r="E278" s="1126"/>
      <c r="F278" s="1126"/>
      <c r="J278" s="16"/>
    </row>
    <row r="279" spans="1:10" x14ac:dyDescent="0.2">
      <c r="A279"/>
      <c r="B279" s="1125"/>
      <c r="C279" s="1126"/>
      <c r="D279" s="1126"/>
      <c r="E279" s="1126"/>
      <c r="F279" s="1126"/>
      <c r="J279" s="16"/>
    </row>
    <row r="280" spans="1:10" x14ac:dyDescent="0.2">
      <c r="A280"/>
      <c r="B280" s="1125"/>
      <c r="C280" s="1126"/>
      <c r="D280" s="1126"/>
      <c r="E280" s="1126"/>
      <c r="F280" s="1126"/>
      <c r="J280" s="16"/>
    </row>
    <row r="281" spans="1:10" x14ac:dyDescent="0.2">
      <c r="A281"/>
      <c r="B281" s="1125"/>
      <c r="C281" s="1126"/>
      <c r="D281" s="1126"/>
      <c r="E281" s="1126"/>
      <c r="F281" s="1126"/>
      <c r="J281" s="16"/>
    </row>
    <row r="282" spans="1:10" x14ac:dyDescent="0.2">
      <c r="A282"/>
      <c r="B282" s="1125"/>
      <c r="C282" s="1126"/>
      <c r="D282" s="1126"/>
      <c r="E282" s="1126"/>
      <c r="F282" s="1126"/>
      <c r="J282" s="16"/>
    </row>
    <row r="283" spans="1:10" x14ac:dyDescent="0.2">
      <c r="A283"/>
      <c r="B283" s="1125"/>
      <c r="C283" s="1126"/>
      <c r="D283" s="1126"/>
      <c r="E283" s="1126"/>
      <c r="F283" s="1126"/>
      <c r="J283" s="16"/>
    </row>
    <row r="284" spans="1:10" x14ac:dyDescent="0.2">
      <c r="A284"/>
      <c r="B284" s="1125"/>
      <c r="C284" s="1126"/>
      <c r="D284" s="1126"/>
      <c r="E284" s="1126"/>
      <c r="F284" s="1126"/>
      <c r="J284" s="16"/>
    </row>
    <row r="285" spans="1:10" x14ac:dyDescent="0.2">
      <c r="A285"/>
      <c r="B285" s="1125"/>
      <c r="C285" s="1126"/>
      <c r="D285" s="1126"/>
      <c r="E285" s="1126"/>
      <c r="F285" s="1126"/>
      <c r="J285" s="16"/>
    </row>
    <row r="286" spans="1:10" x14ac:dyDescent="0.2">
      <c r="A286"/>
      <c r="B286" s="1125"/>
      <c r="C286" s="1126"/>
      <c r="D286" s="1126"/>
      <c r="E286" s="1126"/>
      <c r="F286" s="1126"/>
      <c r="J286" s="16"/>
    </row>
    <row r="287" spans="1:10" x14ac:dyDescent="0.2">
      <c r="A287"/>
      <c r="B287" s="1125"/>
      <c r="C287" s="1126"/>
      <c r="D287" s="1126"/>
      <c r="E287" s="1126"/>
      <c r="F287" s="1126"/>
      <c r="J287" s="16"/>
    </row>
    <row r="288" spans="1:10" x14ac:dyDescent="0.2">
      <c r="A288"/>
      <c r="B288" s="1125"/>
      <c r="C288" s="1126"/>
      <c r="D288" s="1126"/>
      <c r="E288" s="1126"/>
      <c r="F288" s="1126"/>
      <c r="J288" s="16"/>
    </row>
    <row r="289" spans="1:10" x14ac:dyDescent="0.2">
      <c r="A289"/>
      <c r="B289" s="1125"/>
      <c r="C289" s="1126"/>
      <c r="D289" s="1126"/>
      <c r="E289" s="1126"/>
      <c r="F289" s="1126"/>
      <c r="J289" s="16"/>
    </row>
    <row r="290" spans="1:10" x14ac:dyDescent="0.2">
      <c r="A290"/>
      <c r="B290" s="1125"/>
      <c r="C290" s="1126"/>
      <c r="D290" s="1126"/>
      <c r="E290" s="1126"/>
      <c r="F290" s="1126"/>
      <c r="J290" s="16"/>
    </row>
    <row r="291" spans="1:10" x14ac:dyDescent="0.2">
      <c r="A291"/>
      <c r="B291" s="1125"/>
      <c r="C291" s="1126"/>
      <c r="D291" s="1126"/>
      <c r="E291" s="1126"/>
      <c r="F291" s="1126"/>
      <c r="J291" s="16"/>
    </row>
    <row r="292" spans="1:10" x14ac:dyDescent="0.2">
      <c r="A292"/>
      <c r="B292" s="1125"/>
      <c r="C292" s="1126"/>
      <c r="D292" s="1126"/>
      <c r="E292" s="1126"/>
      <c r="F292" s="1126"/>
      <c r="J292" s="16"/>
    </row>
    <row r="293" spans="1:10" x14ac:dyDescent="0.2">
      <c r="A293"/>
      <c r="B293" s="1125"/>
      <c r="C293" s="1126"/>
      <c r="D293" s="1126"/>
      <c r="E293" s="1126"/>
      <c r="F293" s="1126"/>
      <c r="J293" s="16"/>
    </row>
    <row r="294" spans="1:10" x14ac:dyDescent="0.2">
      <c r="A294"/>
      <c r="B294" s="1125"/>
      <c r="C294" s="1126"/>
      <c r="D294" s="1126"/>
      <c r="E294" s="1126"/>
      <c r="F294" s="1126"/>
      <c r="J294" s="16"/>
    </row>
    <row r="295" spans="1:10" x14ac:dyDescent="0.2">
      <c r="A295"/>
      <c r="B295" s="1125"/>
      <c r="C295" s="1126"/>
      <c r="D295" s="1126"/>
      <c r="E295" s="1126"/>
      <c r="F295" s="1126"/>
      <c r="J295" s="16"/>
    </row>
    <row r="296" spans="1:10" x14ac:dyDescent="0.2">
      <c r="A296"/>
      <c r="B296" s="1125"/>
      <c r="C296" s="1126"/>
      <c r="D296" s="1126"/>
      <c r="E296" s="1126"/>
      <c r="F296" s="1126"/>
      <c r="J296" s="16"/>
    </row>
    <row r="297" spans="1:10" x14ac:dyDescent="0.2">
      <c r="A297"/>
      <c r="B297" s="1125"/>
      <c r="C297" s="1126"/>
      <c r="D297" s="1126"/>
      <c r="E297" s="1126"/>
      <c r="F297" s="1126"/>
      <c r="J297" s="16"/>
    </row>
    <row r="298" spans="1:10" x14ac:dyDescent="0.2">
      <c r="A298"/>
      <c r="B298" s="1125"/>
      <c r="C298" s="1126"/>
      <c r="D298" s="1126"/>
      <c r="E298" s="1126"/>
      <c r="F298" s="1126"/>
      <c r="J298" s="16"/>
    </row>
    <row r="299" spans="1:10" x14ac:dyDescent="0.2">
      <c r="A299"/>
      <c r="B299" s="1125"/>
      <c r="C299" s="1126"/>
      <c r="D299" s="1126"/>
      <c r="E299" s="1126"/>
      <c r="F299" s="1126"/>
      <c r="J299" s="16"/>
    </row>
    <row r="300" spans="1:10" x14ac:dyDescent="0.2">
      <c r="A300"/>
      <c r="B300" s="1125"/>
      <c r="C300" s="1126"/>
      <c r="D300" s="1126"/>
      <c r="E300" s="1126"/>
      <c r="F300" s="1126"/>
      <c r="J300" s="16"/>
    </row>
    <row r="301" spans="1:10" x14ac:dyDescent="0.2">
      <c r="A301"/>
      <c r="B301" s="1125"/>
      <c r="C301" s="1126"/>
      <c r="D301" s="1126"/>
      <c r="E301" s="1126"/>
      <c r="F301" s="1126"/>
      <c r="J301" s="16"/>
    </row>
    <row r="302" spans="1:10" x14ac:dyDescent="0.2">
      <c r="A302"/>
      <c r="B302" s="1125"/>
      <c r="C302" s="1126"/>
      <c r="D302" s="1126"/>
      <c r="E302" s="1126"/>
      <c r="F302" s="1126"/>
      <c r="J302" s="16"/>
    </row>
    <row r="303" spans="1:10" x14ac:dyDescent="0.2">
      <c r="A303"/>
      <c r="B303" s="1125"/>
      <c r="C303" s="1126"/>
      <c r="D303" s="1126"/>
      <c r="E303" s="1126"/>
      <c r="F303" s="1126"/>
      <c r="J303" s="16"/>
    </row>
    <row r="304" spans="1:10" x14ac:dyDescent="0.2">
      <c r="A304"/>
      <c r="B304" s="1125"/>
      <c r="C304" s="1126"/>
      <c r="D304" s="1126"/>
      <c r="E304" s="1126"/>
      <c r="F304" s="1126"/>
      <c r="J304" s="16"/>
    </row>
    <row r="305" spans="1:10" x14ac:dyDescent="0.2">
      <c r="A305"/>
      <c r="B305" s="1125"/>
      <c r="C305" s="1126"/>
      <c r="D305" s="1126"/>
      <c r="E305" s="1126"/>
      <c r="F305" s="1126"/>
      <c r="J305" s="16"/>
    </row>
    <row r="306" spans="1:10" x14ac:dyDescent="0.2">
      <c r="A306"/>
      <c r="B306" s="1125"/>
      <c r="C306" s="1126"/>
      <c r="D306" s="1126"/>
      <c r="E306" s="1126"/>
      <c r="F306" s="1126"/>
      <c r="J306" s="16"/>
    </row>
    <row r="307" spans="1:10" x14ac:dyDescent="0.2">
      <c r="A307"/>
      <c r="B307" s="1125"/>
      <c r="C307" s="1126"/>
      <c r="D307" s="1126"/>
      <c r="E307" s="1126"/>
      <c r="F307" s="1126"/>
      <c r="J307" s="16"/>
    </row>
    <row r="308" spans="1:10" x14ac:dyDescent="0.2">
      <c r="A308"/>
      <c r="B308" s="1125"/>
      <c r="C308" s="1126"/>
      <c r="D308" s="1126"/>
      <c r="E308" s="1126"/>
      <c r="F308" s="1126"/>
      <c r="J308" s="16"/>
    </row>
    <row r="309" spans="1:10" x14ac:dyDescent="0.2">
      <c r="A309"/>
      <c r="B309" s="1125"/>
      <c r="C309" s="1126"/>
      <c r="D309" s="1126"/>
      <c r="E309" s="1126"/>
      <c r="F309" s="1126"/>
      <c r="J309" s="16"/>
    </row>
    <row r="310" spans="1:10" x14ac:dyDescent="0.2">
      <c r="A310"/>
      <c r="B310" s="1125"/>
      <c r="C310" s="1126"/>
      <c r="D310" s="1126"/>
      <c r="E310" s="1126"/>
      <c r="F310" s="1126"/>
      <c r="J310" s="16"/>
    </row>
    <row r="311" spans="1:10" x14ac:dyDescent="0.2">
      <c r="A311"/>
      <c r="B311" s="1125"/>
      <c r="C311" s="1126"/>
      <c r="D311" s="1126"/>
      <c r="E311" s="1126"/>
      <c r="F311" s="1126"/>
      <c r="J311" s="16"/>
    </row>
    <row r="312" spans="1:10" x14ac:dyDescent="0.2">
      <c r="A312"/>
      <c r="B312" s="1125"/>
      <c r="C312" s="1126"/>
      <c r="D312" s="1126"/>
      <c r="E312" s="1126"/>
      <c r="F312" s="1126"/>
      <c r="J312" s="16"/>
    </row>
    <row r="313" spans="1:10" x14ac:dyDescent="0.2">
      <c r="A313"/>
      <c r="B313" s="1125"/>
      <c r="C313" s="1126"/>
      <c r="D313" s="1126"/>
      <c r="E313" s="1126"/>
      <c r="F313" s="1126"/>
      <c r="J313" s="16"/>
    </row>
    <row r="314" spans="1:10" x14ac:dyDescent="0.2">
      <c r="A314"/>
      <c r="B314" s="1125"/>
      <c r="C314" s="1126"/>
      <c r="D314" s="1126"/>
      <c r="E314" s="1126"/>
      <c r="F314" s="1126"/>
      <c r="J314" s="16"/>
    </row>
    <row r="315" spans="1:10" x14ac:dyDescent="0.2">
      <c r="A315"/>
      <c r="B315" s="1125"/>
      <c r="C315" s="1126"/>
      <c r="D315" s="1126"/>
      <c r="E315" s="1126"/>
      <c r="F315" s="1126"/>
      <c r="J315" s="16"/>
    </row>
    <row r="316" spans="1:10" x14ac:dyDescent="0.2">
      <c r="A316"/>
      <c r="B316" s="1125"/>
      <c r="C316" s="1126"/>
      <c r="D316" s="1126"/>
      <c r="E316" s="1126"/>
      <c r="F316" s="1126"/>
      <c r="J316" s="16"/>
    </row>
    <row r="317" spans="1:10" x14ac:dyDescent="0.2">
      <c r="A317"/>
      <c r="B317" s="1125"/>
      <c r="C317" s="1126"/>
      <c r="D317" s="1126"/>
      <c r="E317" s="1126"/>
      <c r="F317" s="1126"/>
      <c r="J317" s="16"/>
    </row>
    <row r="318" spans="1:10" x14ac:dyDescent="0.2">
      <c r="A318"/>
      <c r="B318" s="1125"/>
      <c r="C318" s="1126"/>
      <c r="D318" s="1126"/>
      <c r="E318" s="1126"/>
      <c r="F318" s="1126"/>
      <c r="J318" s="16"/>
    </row>
    <row r="319" spans="1:10" x14ac:dyDescent="0.2">
      <c r="A319"/>
      <c r="B319" s="1125"/>
      <c r="C319" s="1126"/>
      <c r="D319" s="1126"/>
      <c r="E319" s="1126"/>
      <c r="F319" s="1126"/>
      <c r="J319" s="16"/>
    </row>
    <row r="320" spans="1:10" x14ac:dyDescent="0.2">
      <c r="A320"/>
      <c r="B320" s="1125"/>
      <c r="C320" s="1126"/>
      <c r="D320" s="1126"/>
      <c r="E320" s="1126"/>
      <c r="F320" s="1126"/>
      <c r="J320" s="16"/>
    </row>
    <row r="321" spans="1:10" x14ac:dyDescent="0.2">
      <c r="A321"/>
      <c r="B321" s="1125"/>
      <c r="C321" s="1126"/>
      <c r="D321" s="1126"/>
      <c r="E321" s="1126"/>
      <c r="F321" s="1126"/>
      <c r="J321" s="16"/>
    </row>
    <row r="322" spans="1:10" x14ac:dyDescent="0.2">
      <c r="A322"/>
      <c r="B322" s="1125"/>
      <c r="C322" s="1126"/>
      <c r="D322" s="1126"/>
      <c r="E322" s="1126"/>
      <c r="F322" s="1126"/>
      <c r="J322" s="16"/>
    </row>
    <row r="323" spans="1:10" x14ac:dyDescent="0.2">
      <c r="A323"/>
      <c r="B323" s="1125"/>
      <c r="C323" s="1126"/>
      <c r="D323" s="1126"/>
      <c r="E323" s="1126"/>
      <c r="F323" s="1126"/>
      <c r="J323" s="16"/>
    </row>
    <row r="324" spans="1:10" x14ac:dyDescent="0.2">
      <c r="A324"/>
      <c r="B324" s="1125"/>
      <c r="C324" s="1126"/>
      <c r="D324" s="1126"/>
      <c r="E324" s="1126"/>
      <c r="F324" s="1126"/>
      <c r="J324" s="16"/>
    </row>
    <row r="325" spans="1:10" x14ac:dyDescent="0.2">
      <c r="A325"/>
      <c r="B325" s="1125"/>
      <c r="C325" s="1126"/>
      <c r="D325" s="1126"/>
      <c r="E325" s="1126"/>
      <c r="F325" s="1126"/>
      <c r="J325" s="16"/>
    </row>
    <row r="326" spans="1:10" x14ac:dyDescent="0.2">
      <c r="A326"/>
      <c r="B326" s="1125"/>
      <c r="C326" s="1126"/>
      <c r="D326" s="1126"/>
      <c r="E326" s="1126"/>
      <c r="F326" s="1126"/>
      <c r="J326" s="16"/>
    </row>
    <row r="327" spans="1:10" x14ac:dyDescent="0.2">
      <c r="A327"/>
      <c r="B327" s="1125"/>
      <c r="C327" s="1126"/>
      <c r="D327" s="1126"/>
      <c r="E327" s="1126"/>
      <c r="F327" s="1126"/>
      <c r="J327" s="16"/>
    </row>
    <row r="328" spans="1:10" x14ac:dyDescent="0.2">
      <c r="A328"/>
      <c r="B328" s="1125"/>
      <c r="C328" s="1126"/>
      <c r="D328" s="1126"/>
      <c r="E328" s="1126"/>
      <c r="F328" s="1126"/>
      <c r="J328" s="16"/>
    </row>
    <row r="329" spans="1:10" x14ac:dyDescent="0.2">
      <c r="A329"/>
      <c r="B329" s="1125"/>
      <c r="C329" s="1126"/>
      <c r="D329" s="1126"/>
      <c r="E329" s="1126"/>
      <c r="F329" s="1126"/>
      <c r="J329" s="16"/>
    </row>
    <row r="330" spans="1:10" x14ac:dyDescent="0.2">
      <c r="A330"/>
      <c r="B330" s="1125"/>
      <c r="C330" s="1126"/>
      <c r="D330" s="1126"/>
      <c r="E330" s="1126"/>
      <c r="F330" s="1126"/>
      <c r="J330" s="16"/>
    </row>
    <row r="331" spans="1:10" x14ac:dyDescent="0.2">
      <c r="A331"/>
      <c r="B331" s="1125"/>
      <c r="C331" s="1126"/>
      <c r="D331" s="1126"/>
      <c r="E331" s="1126"/>
      <c r="F331" s="1126"/>
      <c r="J331" s="16"/>
    </row>
    <row r="332" spans="1:10" x14ac:dyDescent="0.2">
      <c r="A332"/>
      <c r="B332" s="1125"/>
      <c r="C332" s="1126"/>
      <c r="D332" s="1126"/>
      <c r="E332" s="1126"/>
      <c r="F332" s="1126"/>
      <c r="J332" s="16"/>
    </row>
    <row r="333" spans="1:10" x14ac:dyDescent="0.2">
      <c r="A333"/>
      <c r="B333" s="1125"/>
      <c r="C333" s="1126"/>
      <c r="D333" s="1126"/>
      <c r="E333" s="1126"/>
      <c r="F333" s="1126"/>
      <c r="J333" s="16"/>
    </row>
    <row r="334" spans="1:10" x14ac:dyDescent="0.2">
      <c r="A334"/>
      <c r="B334" s="1125"/>
      <c r="C334" s="1126"/>
      <c r="D334" s="1126"/>
      <c r="E334" s="1126"/>
      <c r="F334" s="1126"/>
      <c r="J334" s="16"/>
    </row>
    <row r="335" spans="1:10" x14ac:dyDescent="0.2">
      <c r="A335"/>
      <c r="B335" s="1125"/>
      <c r="C335" s="1126"/>
      <c r="D335" s="1126"/>
      <c r="E335" s="1126"/>
      <c r="F335" s="1126"/>
      <c r="J335" s="16"/>
    </row>
    <row r="336" spans="1:10" x14ac:dyDescent="0.2">
      <c r="A336"/>
      <c r="B336" s="1125"/>
      <c r="C336" s="1126"/>
      <c r="D336" s="1126"/>
      <c r="E336" s="1126"/>
      <c r="F336" s="1126"/>
      <c r="J336" s="16"/>
    </row>
    <row r="337" spans="1:10" x14ac:dyDescent="0.2">
      <c r="A337"/>
      <c r="B337" s="1125"/>
      <c r="C337" s="1126"/>
      <c r="D337" s="1126"/>
      <c r="E337" s="1126"/>
      <c r="F337" s="1126"/>
      <c r="J337" s="16"/>
    </row>
    <row r="338" spans="1:10" x14ac:dyDescent="0.2">
      <c r="A338"/>
      <c r="B338" s="1125"/>
      <c r="C338" s="1126"/>
      <c r="D338" s="1126"/>
      <c r="E338" s="1126"/>
      <c r="F338" s="1126"/>
      <c r="J338" s="16"/>
    </row>
    <row r="339" spans="1:10" x14ac:dyDescent="0.2">
      <c r="A339"/>
      <c r="B339" s="1125"/>
      <c r="C339" s="1126"/>
      <c r="D339" s="1126"/>
      <c r="E339" s="1126"/>
      <c r="F339" s="1126"/>
      <c r="J339" s="16"/>
    </row>
    <row r="340" spans="1:10" x14ac:dyDescent="0.2">
      <c r="A340"/>
      <c r="B340" s="1125"/>
      <c r="C340" s="1126"/>
      <c r="D340" s="1126"/>
      <c r="E340" s="1126"/>
      <c r="F340" s="1126"/>
      <c r="J340" s="16"/>
    </row>
    <row r="341" spans="1:10" x14ac:dyDescent="0.2">
      <c r="A341"/>
      <c r="B341" s="1125"/>
      <c r="C341" s="1126"/>
      <c r="D341" s="1126"/>
      <c r="E341" s="1126"/>
      <c r="F341" s="1126"/>
      <c r="J341" s="16"/>
    </row>
    <row r="342" spans="1:10" x14ac:dyDescent="0.2">
      <c r="A342"/>
      <c r="B342" s="1125"/>
      <c r="C342" s="1126"/>
      <c r="D342" s="1126"/>
      <c r="E342" s="1126"/>
      <c r="F342" s="1126"/>
      <c r="J342" s="16"/>
    </row>
    <row r="343" spans="1:10" x14ac:dyDescent="0.2">
      <c r="A343"/>
      <c r="B343" s="1125"/>
      <c r="C343" s="1126"/>
      <c r="D343" s="1126"/>
      <c r="E343" s="1126"/>
      <c r="F343" s="1126"/>
      <c r="J343" s="16"/>
    </row>
    <row r="344" spans="1:10" x14ac:dyDescent="0.2">
      <c r="A344"/>
      <c r="B344" s="1125"/>
      <c r="C344" s="1126"/>
      <c r="D344" s="1126"/>
      <c r="E344" s="1126"/>
      <c r="F344" s="1126"/>
      <c r="J344" s="16"/>
    </row>
    <row r="345" spans="1:10" x14ac:dyDescent="0.2">
      <c r="A345"/>
      <c r="B345" s="1125"/>
      <c r="C345" s="1126"/>
      <c r="D345" s="1126"/>
      <c r="E345" s="1126"/>
      <c r="F345" s="1126"/>
      <c r="J345" s="16"/>
    </row>
    <row r="346" spans="1:10" x14ac:dyDescent="0.2">
      <c r="A346"/>
      <c r="B346" s="1125"/>
      <c r="C346" s="1126"/>
      <c r="D346" s="1126"/>
      <c r="E346" s="1126"/>
      <c r="F346" s="1126"/>
      <c r="J346" s="16"/>
    </row>
    <row r="347" spans="1:10" x14ac:dyDescent="0.2">
      <c r="A347"/>
      <c r="B347" s="1125"/>
      <c r="C347" s="1126"/>
      <c r="D347" s="1126"/>
      <c r="E347" s="1126"/>
      <c r="F347" s="1126"/>
      <c r="J347" s="16"/>
    </row>
    <row r="348" spans="1:10" x14ac:dyDescent="0.2">
      <c r="A348"/>
      <c r="B348" s="1125"/>
      <c r="C348" s="1126"/>
      <c r="D348" s="1126"/>
      <c r="E348" s="1126"/>
      <c r="F348" s="1126"/>
      <c r="J348" s="16"/>
    </row>
    <row r="349" spans="1:10" x14ac:dyDescent="0.2">
      <c r="A349"/>
      <c r="B349" s="1125"/>
      <c r="C349" s="1126"/>
      <c r="D349" s="1126"/>
      <c r="E349" s="1126"/>
      <c r="F349" s="1126"/>
      <c r="J349" s="16"/>
    </row>
    <row r="350" spans="1:10" x14ac:dyDescent="0.2">
      <c r="A350"/>
      <c r="B350" s="1125"/>
      <c r="C350" s="1126"/>
      <c r="D350" s="1126"/>
      <c r="E350" s="1126"/>
      <c r="F350" s="1126"/>
      <c r="J350" s="16"/>
    </row>
    <row r="351" spans="1:10" x14ac:dyDescent="0.2">
      <c r="A351"/>
      <c r="B351" s="1125"/>
      <c r="C351" s="1126"/>
      <c r="D351" s="1126"/>
      <c r="E351" s="1126"/>
      <c r="F351" s="1126"/>
      <c r="J351" s="16"/>
    </row>
    <row r="352" spans="1:10" x14ac:dyDescent="0.2">
      <c r="A352"/>
      <c r="B352" s="1125"/>
      <c r="C352" s="1126"/>
      <c r="D352" s="1126"/>
      <c r="E352" s="1126"/>
      <c r="F352" s="1126"/>
      <c r="J352" s="16"/>
    </row>
    <row r="353" spans="1:10" x14ac:dyDescent="0.2">
      <c r="A353"/>
      <c r="B353" s="1125"/>
      <c r="C353" s="1126"/>
      <c r="D353" s="1126"/>
      <c r="E353" s="1126"/>
      <c r="F353" s="1126"/>
      <c r="J353" s="16"/>
    </row>
    <row r="354" spans="1:10" x14ac:dyDescent="0.2">
      <c r="A354"/>
      <c r="B354" s="1125"/>
      <c r="C354" s="1126"/>
      <c r="D354" s="1126"/>
      <c r="E354" s="1126"/>
      <c r="F354" s="1126"/>
      <c r="J354" s="16"/>
    </row>
    <row r="355" spans="1:10" x14ac:dyDescent="0.2">
      <c r="A355"/>
      <c r="B355" s="1125"/>
      <c r="C355" s="1126"/>
      <c r="D355" s="1126"/>
      <c r="E355" s="1126"/>
      <c r="F355" s="1126"/>
      <c r="J355" s="16"/>
    </row>
    <row r="356" spans="1:10" x14ac:dyDescent="0.2">
      <c r="A356"/>
      <c r="B356" s="1125"/>
      <c r="C356" s="1126"/>
      <c r="D356" s="1126"/>
      <c r="E356" s="1126"/>
      <c r="F356" s="1126"/>
      <c r="J356" s="16"/>
    </row>
    <row r="357" spans="1:10" x14ac:dyDescent="0.2">
      <c r="A357"/>
      <c r="B357" s="1125"/>
      <c r="C357" s="1126"/>
      <c r="D357" s="1126"/>
      <c r="E357" s="1126"/>
      <c r="F357" s="1126"/>
      <c r="J357" s="16"/>
    </row>
    <row r="358" spans="1:10" x14ac:dyDescent="0.2">
      <c r="A358"/>
      <c r="B358" s="1125"/>
      <c r="C358" s="1126"/>
      <c r="D358" s="1126"/>
      <c r="E358" s="1126"/>
      <c r="F358" s="1126"/>
      <c r="J358" s="16"/>
    </row>
    <row r="359" spans="1:10" x14ac:dyDescent="0.2">
      <c r="A359"/>
      <c r="B359" s="1125"/>
      <c r="C359" s="1126"/>
      <c r="D359" s="1126"/>
      <c r="E359" s="1126"/>
      <c r="F359" s="1126"/>
      <c r="J359" s="16"/>
    </row>
    <row r="360" spans="1:10" x14ac:dyDescent="0.2">
      <c r="A360"/>
      <c r="B360" s="1125"/>
      <c r="C360" s="1126"/>
      <c r="D360" s="1126"/>
      <c r="E360" s="1126"/>
      <c r="F360" s="1126"/>
      <c r="J360" s="16"/>
    </row>
    <row r="361" spans="1:10" x14ac:dyDescent="0.2">
      <c r="A361"/>
      <c r="B361" s="1125"/>
      <c r="C361" s="1126"/>
      <c r="D361" s="1126"/>
      <c r="E361" s="1126"/>
      <c r="F361" s="1126"/>
      <c r="J361" s="16"/>
    </row>
    <row r="362" spans="1:10" x14ac:dyDescent="0.2">
      <c r="A362"/>
      <c r="B362" s="1125"/>
      <c r="C362" s="1126"/>
      <c r="D362" s="1126"/>
      <c r="E362" s="1126"/>
      <c r="F362" s="1126"/>
      <c r="J362" s="16"/>
    </row>
    <row r="363" spans="1:10" x14ac:dyDescent="0.2">
      <c r="A363"/>
      <c r="B363" s="1125"/>
      <c r="C363" s="1126"/>
      <c r="D363" s="1126"/>
      <c r="E363" s="1126"/>
      <c r="F363" s="1126"/>
      <c r="J363" s="16"/>
    </row>
    <row r="364" spans="1:10" x14ac:dyDescent="0.2">
      <c r="A364"/>
      <c r="B364" s="1125"/>
      <c r="C364" s="1126"/>
      <c r="D364" s="1126"/>
      <c r="E364" s="1126"/>
      <c r="F364" s="1126"/>
      <c r="J364" s="16"/>
    </row>
    <row r="365" spans="1:10" x14ac:dyDescent="0.2">
      <c r="A365"/>
      <c r="B365" s="1125"/>
      <c r="C365" s="1126"/>
      <c r="D365" s="1126"/>
      <c r="E365" s="1126"/>
      <c r="F365" s="1126"/>
      <c r="J365" s="16"/>
    </row>
    <row r="366" spans="1:10" x14ac:dyDescent="0.2">
      <c r="A366"/>
      <c r="B366" s="1125"/>
      <c r="C366" s="1126"/>
      <c r="D366" s="1126"/>
      <c r="E366" s="1126"/>
      <c r="F366" s="1126"/>
      <c r="J366" s="16"/>
    </row>
    <row r="367" spans="1:10" x14ac:dyDescent="0.2">
      <c r="A367"/>
      <c r="B367" s="1125"/>
      <c r="C367" s="1126"/>
      <c r="D367" s="1126"/>
      <c r="E367" s="1126"/>
      <c r="F367" s="1126"/>
      <c r="J367" s="16"/>
    </row>
    <row r="368" spans="1:10" x14ac:dyDescent="0.2">
      <c r="A368"/>
      <c r="B368" s="1125"/>
      <c r="C368" s="1126"/>
      <c r="D368" s="1126"/>
      <c r="E368" s="1126"/>
      <c r="F368" s="1126"/>
      <c r="J368" s="16"/>
    </row>
    <row r="369" spans="1:10" x14ac:dyDescent="0.2">
      <c r="A369"/>
      <c r="B369" s="1125"/>
      <c r="C369" s="1126"/>
      <c r="D369" s="1126"/>
      <c r="E369" s="1126"/>
      <c r="F369" s="1126"/>
      <c r="J369" s="16"/>
    </row>
    <row r="370" spans="1:10" x14ac:dyDescent="0.2">
      <c r="A370"/>
      <c r="B370" s="1125"/>
      <c r="C370" s="1126"/>
      <c r="D370" s="1126"/>
      <c r="E370" s="1126"/>
      <c r="F370" s="1126"/>
      <c r="J370" s="16"/>
    </row>
    <row r="371" spans="1:10" x14ac:dyDescent="0.2">
      <c r="A371"/>
      <c r="B371" s="1125"/>
      <c r="C371" s="1126"/>
      <c r="D371" s="1126"/>
      <c r="E371" s="1126"/>
      <c r="F371" s="1126"/>
      <c r="J371" s="16"/>
    </row>
    <row r="372" spans="1:10" x14ac:dyDescent="0.2">
      <c r="A372"/>
      <c r="B372" s="1125"/>
      <c r="C372" s="1126"/>
      <c r="D372" s="1126"/>
      <c r="E372" s="1126"/>
      <c r="F372" s="1126"/>
      <c r="J372" s="16"/>
    </row>
    <row r="373" spans="1:10" x14ac:dyDescent="0.2">
      <c r="A373"/>
      <c r="B373" s="1125"/>
      <c r="C373" s="1126"/>
      <c r="D373" s="1126"/>
      <c r="E373" s="1126"/>
      <c r="F373" s="1126"/>
      <c r="J373" s="16"/>
    </row>
    <row r="374" spans="1:10" x14ac:dyDescent="0.2">
      <c r="A374"/>
      <c r="B374" s="1125"/>
      <c r="C374" s="1126"/>
      <c r="D374" s="1126"/>
      <c r="E374" s="1126"/>
      <c r="F374" s="1126"/>
      <c r="J374" s="16"/>
    </row>
    <row r="375" spans="1:10" x14ac:dyDescent="0.2">
      <c r="A375"/>
      <c r="B375" s="1125"/>
      <c r="C375" s="1126"/>
      <c r="D375" s="1126"/>
      <c r="E375" s="1126"/>
      <c r="F375" s="1126"/>
      <c r="J375" s="16"/>
    </row>
    <row r="376" spans="1:10" x14ac:dyDescent="0.2">
      <c r="A376"/>
      <c r="B376" s="1125"/>
      <c r="C376" s="1126"/>
      <c r="D376" s="1126"/>
      <c r="E376" s="1126"/>
      <c r="F376" s="1126"/>
      <c r="J376" s="16"/>
    </row>
    <row r="377" spans="1:10" x14ac:dyDescent="0.2">
      <c r="A377"/>
      <c r="B377" s="1125"/>
      <c r="C377" s="1126"/>
      <c r="D377" s="1126"/>
      <c r="E377" s="1126"/>
      <c r="F377" s="1126"/>
      <c r="J377" s="16"/>
    </row>
    <row r="378" spans="1:10" x14ac:dyDescent="0.2">
      <c r="A378"/>
      <c r="B378" s="1125"/>
      <c r="C378" s="1126"/>
      <c r="D378" s="1126"/>
      <c r="E378" s="1126"/>
      <c r="F378" s="1126"/>
      <c r="J378" s="16"/>
    </row>
    <row r="379" spans="1:10" x14ac:dyDescent="0.2">
      <c r="A379"/>
      <c r="B379" s="1125"/>
      <c r="C379" s="1126"/>
      <c r="D379" s="1126"/>
      <c r="E379" s="1126"/>
      <c r="F379" s="1126"/>
      <c r="J379" s="16"/>
    </row>
    <row r="380" spans="1:10" x14ac:dyDescent="0.2">
      <c r="A380"/>
      <c r="B380" s="1125"/>
      <c r="C380" s="1126"/>
      <c r="D380" s="1126"/>
      <c r="E380" s="1126"/>
      <c r="F380" s="1126"/>
      <c r="J380" s="16"/>
    </row>
    <row r="381" spans="1:10" x14ac:dyDescent="0.2">
      <c r="A381"/>
      <c r="B381" s="1125"/>
      <c r="C381" s="1126"/>
      <c r="D381" s="1126"/>
      <c r="E381" s="1126"/>
      <c r="F381" s="1126"/>
      <c r="J381" s="16"/>
    </row>
    <row r="382" spans="1:10" x14ac:dyDescent="0.2">
      <c r="A382"/>
      <c r="B382" s="1125"/>
      <c r="C382" s="1126"/>
      <c r="D382" s="1126"/>
      <c r="E382" s="1126"/>
      <c r="F382" s="1126"/>
      <c r="J382" s="16"/>
    </row>
    <row r="383" spans="1:10" x14ac:dyDescent="0.2">
      <c r="A383"/>
      <c r="B383" s="1125"/>
      <c r="C383" s="1126"/>
      <c r="D383" s="1126"/>
      <c r="E383" s="1126"/>
      <c r="F383" s="1126"/>
      <c r="J383" s="16"/>
    </row>
    <row r="384" spans="1:10" x14ac:dyDescent="0.2">
      <c r="A384"/>
      <c r="B384" s="1125"/>
      <c r="C384" s="1126"/>
      <c r="D384" s="1126"/>
      <c r="E384" s="1126"/>
      <c r="F384" s="1126"/>
      <c r="J384" s="16"/>
    </row>
    <row r="385" spans="1:10" x14ac:dyDescent="0.2">
      <c r="A385"/>
      <c r="B385" s="1125"/>
      <c r="C385" s="1126"/>
      <c r="D385" s="1126"/>
      <c r="E385" s="1126"/>
      <c r="F385" s="1126"/>
      <c r="J385" s="16"/>
    </row>
    <row r="386" spans="1:10" x14ac:dyDescent="0.2">
      <c r="A386"/>
      <c r="B386" s="1125"/>
      <c r="C386" s="1126"/>
      <c r="D386" s="1126"/>
      <c r="E386" s="1126"/>
      <c r="F386" s="1126"/>
      <c r="J386" s="16"/>
    </row>
    <row r="387" spans="1:10" x14ac:dyDescent="0.2">
      <c r="A387"/>
      <c r="B387" s="1125"/>
      <c r="C387" s="1126"/>
      <c r="D387" s="1126"/>
      <c r="E387" s="1126"/>
      <c r="F387" s="1126"/>
      <c r="J387" s="16"/>
    </row>
    <row r="388" spans="1:10" x14ac:dyDescent="0.2">
      <c r="A388"/>
      <c r="B388" s="1125"/>
      <c r="C388" s="1126"/>
      <c r="D388" s="1126"/>
      <c r="E388" s="1126"/>
      <c r="F388" s="1126"/>
      <c r="J388" s="16"/>
    </row>
    <row r="389" spans="1:10" x14ac:dyDescent="0.2">
      <c r="A389"/>
      <c r="B389" s="1125"/>
      <c r="C389" s="1126"/>
      <c r="D389" s="1126"/>
      <c r="E389" s="1126"/>
      <c r="F389" s="1126"/>
      <c r="J389" s="16"/>
    </row>
    <row r="390" spans="1:10" x14ac:dyDescent="0.2">
      <c r="A390"/>
      <c r="B390" s="1125"/>
      <c r="C390" s="1126"/>
      <c r="D390" s="1126"/>
      <c r="E390" s="1126"/>
      <c r="F390" s="1126"/>
      <c r="J390" s="16"/>
    </row>
    <row r="391" spans="1:10" x14ac:dyDescent="0.2">
      <c r="A391"/>
      <c r="B391" s="1125"/>
      <c r="C391" s="1126"/>
      <c r="D391" s="1126"/>
      <c r="E391" s="1126"/>
      <c r="F391" s="1126"/>
      <c r="J391" s="16"/>
    </row>
    <row r="392" spans="1:10" x14ac:dyDescent="0.2">
      <c r="A392"/>
      <c r="B392" s="1125"/>
      <c r="C392" s="1126"/>
      <c r="D392" s="1126"/>
      <c r="E392" s="1126"/>
      <c r="F392" s="1126"/>
      <c r="J392" s="16"/>
    </row>
    <row r="393" spans="1:10" x14ac:dyDescent="0.2">
      <c r="A393"/>
      <c r="B393" s="1125"/>
      <c r="C393" s="1126"/>
      <c r="D393" s="1126"/>
      <c r="E393" s="1126"/>
      <c r="F393" s="1126"/>
      <c r="J393" s="16"/>
    </row>
    <row r="394" spans="1:10" x14ac:dyDescent="0.2">
      <c r="A394"/>
      <c r="B394" s="1125"/>
      <c r="C394" s="1126"/>
      <c r="D394" s="1126"/>
      <c r="E394" s="1126"/>
      <c r="F394" s="1126"/>
      <c r="J394" s="16"/>
    </row>
    <row r="395" spans="1:10" x14ac:dyDescent="0.2">
      <c r="A395"/>
      <c r="B395" s="1125"/>
      <c r="C395" s="1126"/>
      <c r="D395" s="1126"/>
      <c r="E395" s="1126"/>
      <c r="F395" s="1126"/>
      <c r="J395" s="16"/>
    </row>
    <row r="396" spans="1:10" x14ac:dyDescent="0.2">
      <c r="A396"/>
      <c r="B396" s="1125"/>
      <c r="C396" s="1126"/>
      <c r="D396" s="1126"/>
      <c r="E396" s="1126"/>
      <c r="F396" s="1126"/>
      <c r="J396" s="16"/>
    </row>
    <row r="397" spans="1:10" x14ac:dyDescent="0.2">
      <c r="A397"/>
      <c r="B397" s="1125"/>
      <c r="C397" s="1126"/>
      <c r="D397" s="1126"/>
      <c r="E397" s="1126"/>
      <c r="F397" s="1126"/>
      <c r="J397" s="16"/>
    </row>
    <row r="398" spans="1:10" x14ac:dyDescent="0.2">
      <c r="A398"/>
      <c r="B398" s="1125"/>
      <c r="C398" s="1126"/>
      <c r="D398" s="1126"/>
      <c r="E398" s="1126"/>
      <c r="F398" s="1126"/>
      <c r="J398" s="16"/>
    </row>
    <row r="399" spans="1:10" x14ac:dyDescent="0.2">
      <c r="A399"/>
      <c r="B399" s="1125"/>
      <c r="C399" s="1126"/>
      <c r="D399" s="1126"/>
      <c r="E399" s="1126"/>
      <c r="F399" s="1126"/>
      <c r="J399" s="16"/>
    </row>
    <row r="400" spans="1:10" x14ac:dyDescent="0.2">
      <c r="A400"/>
      <c r="B400" s="1125"/>
      <c r="C400" s="1126"/>
      <c r="D400" s="1126"/>
      <c r="E400" s="1126"/>
      <c r="F400" s="1126"/>
      <c r="J400" s="16"/>
    </row>
    <row r="401" spans="1:10" x14ac:dyDescent="0.2">
      <c r="A401"/>
      <c r="B401" s="1125"/>
      <c r="C401" s="1126"/>
      <c r="D401" s="1126"/>
      <c r="E401" s="1126"/>
      <c r="F401" s="1126"/>
      <c r="J401" s="16"/>
    </row>
    <row r="402" spans="1:10" x14ac:dyDescent="0.2">
      <c r="A402"/>
      <c r="B402" s="1125"/>
      <c r="C402" s="1126"/>
      <c r="D402" s="1126"/>
      <c r="E402" s="1126"/>
      <c r="F402" s="1126"/>
      <c r="J402" s="16"/>
    </row>
    <row r="403" spans="1:10" x14ac:dyDescent="0.2">
      <c r="A403"/>
      <c r="B403" s="1125"/>
      <c r="C403" s="1126"/>
      <c r="D403" s="1126"/>
      <c r="E403" s="1126"/>
      <c r="F403" s="1126"/>
      <c r="J403" s="16"/>
    </row>
    <row r="404" spans="1:10" x14ac:dyDescent="0.2">
      <c r="A404"/>
      <c r="B404" s="1125"/>
      <c r="C404" s="1126"/>
      <c r="D404" s="1126"/>
      <c r="E404" s="1126"/>
      <c r="F404" s="1126"/>
      <c r="J404" s="16"/>
    </row>
    <row r="405" spans="1:10" x14ac:dyDescent="0.2">
      <c r="A405"/>
      <c r="B405" s="1125"/>
      <c r="C405" s="1126"/>
      <c r="D405" s="1126"/>
      <c r="E405" s="1126"/>
      <c r="F405" s="1126"/>
      <c r="J405" s="16"/>
    </row>
    <row r="406" spans="1:10" x14ac:dyDescent="0.2">
      <c r="A406"/>
      <c r="B406" s="1125"/>
      <c r="C406" s="1126"/>
      <c r="D406" s="1126"/>
      <c r="E406" s="1126"/>
      <c r="F406" s="1126"/>
      <c r="J406" s="16"/>
    </row>
    <row r="407" spans="1:10" x14ac:dyDescent="0.2">
      <c r="A407"/>
      <c r="B407" s="1125"/>
      <c r="C407" s="1126"/>
      <c r="D407" s="1126"/>
      <c r="E407" s="1126"/>
      <c r="F407" s="1126"/>
      <c r="J407" s="16"/>
    </row>
    <row r="408" spans="1:10" x14ac:dyDescent="0.2">
      <c r="A408"/>
      <c r="B408" s="1125"/>
      <c r="C408" s="1126"/>
      <c r="D408" s="1126"/>
      <c r="E408" s="1126"/>
      <c r="F408" s="1126"/>
      <c r="J408" s="16"/>
    </row>
    <row r="409" spans="1:10" x14ac:dyDescent="0.2">
      <c r="A409"/>
      <c r="B409" s="1125"/>
      <c r="C409" s="1126"/>
      <c r="D409" s="1126"/>
      <c r="E409" s="1126"/>
      <c r="F409" s="1126"/>
      <c r="J409" s="16"/>
    </row>
    <row r="410" spans="1:10" x14ac:dyDescent="0.2">
      <c r="A410"/>
      <c r="B410" s="1125"/>
      <c r="C410" s="1126"/>
      <c r="D410" s="1126"/>
      <c r="E410" s="1126"/>
      <c r="F410" s="1126"/>
      <c r="J410" s="16"/>
    </row>
    <row r="411" spans="1:10" x14ac:dyDescent="0.2">
      <c r="A411"/>
      <c r="B411" s="1125"/>
      <c r="C411" s="1126"/>
      <c r="D411" s="1126"/>
      <c r="E411" s="1126"/>
      <c r="F411" s="1126"/>
      <c r="J411" s="16"/>
    </row>
    <row r="412" spans="1:10" x14ac:dyDescent="0.2">
      <c r="A412"/>
      <c r="B412" s="1125"/>
      <c r="C412" s="1126"/>
      <c r="D412" s="1126"/>
      <c r="E412" s="1126"/>
      <c r="F412" s="1126"/>
      <c r="J412" s="16"/>
    </row>
    <row r="413" spans="1:10" x14ac:dyDescent="0.2">
      <c r="A413"/>
      <c r="B413" s="1125"/>
      <c r="C413" s="1126"/>
      <c r="D413" s="1126"/>
      <c r="E413" s="1126"/>
      <c r="F413" s="1126"/>
      <c r="J413" s="16"/>
    </row>
    <row r="414" spans="1:10" x14ac:dyDescent="0.2">
      <c r="A414"/>
      <c r="B414" s="1125"/>
      <c r="C414" s="1126"/>
      <c r="D414" s="1126"/>
      <c r="E414" s="1126"/>
      <c r="F414" s="1126"/>
      <c r="J414" s="16"/>
    </row>
    <row r="415" spans="1:10" x14ac:dyDescent="0.2">
      <c r="A415"/>
      <c r="B415" s="1125"/>
      <c r="C415" s="1126"/>
      <c r="D415" s="1126"/>
      <c r="E415" s="1126"/>
      <c r="F415" s="1126"/>
      <c r="J415" s="16"/>
    </row>
    <row r="416" spans="1:10" x14ac:dyDescent="0.2">
      <c r="A416"/>
      <c r="B416" s="1125"/>
      <c r="C416" s="1126"/>
      <c r="D416" s="1126"/>
      <c r="E416" s="1126"/>
      <c r="F416" s="1126"/>
      <c r="J416" s="16"/>
    </row>
    <row r="417" spans="1:10" x14ac:dyDescent="0.2">
      <c r="A417"/>
      <c r="B417" s="1125"/>
      <c r="C417" s="1126"/>
      <c r="D417" s="1126"/>
      <c r="E417" s="1126"/>
      <c r="F417" s="1126"/>
      <c r="J417" s="16"/>
    </row>
    <row r="418" spans="1:10" x14ac:dyDescent="0.2">
      <c r="A418"/>
      <c r="B418" s="1125"/>
      <c r="C418" s="1126"/>
      <c r="D418" s="1126"/>
      <c r="E418" s="1126"/>
      <c r="F418" s="1126"/>
      <c r="J418" s="16"/>
    </row>
    <row r="419" spans="1:10" x14ac:dyDescent="0.2">
      <c r="A419"/>
      <c r="B419" s="1125"/>
      <c r="C419" s="1126"/>
      <c r="D419" s="1126"/>
      <c r="E419" s="1126"/>
      <c r="F419" s="1126"/>
      <c r="J419" s="16"/>
    </row>
    <row r="420" spans="1:10" x14ac:dyDescent="0.2">
      <c r="A420"/>
      <c r="B420" s="1125"/>
      <c r="C420" s="1126"/>
      <c r="D420" s="1126"/>
      <c r="E420" s="1126"/>
      <c r="F420" s="1126"/>
      <c r="J420" s="16"/>
    </row>
    <row r="421" spans="1:10" x14ac:dyDescent="0.2">
      <c r="A421"/>
      <c r="B421" s="1125"/>
      <c r="C421" s="1126"/>
      <c r="D421" s="1126"/>
      <c r="E421" s="1126"/>
      <c r="F421" s="1126"/>
      <c r="J421" s="16"/>
    </row>
    <row r="422" spans="1:10" x14ac:dyDescent="0.2">
      <c r="A422"/>
      <c r="B422" s="1125"/>
      <c r="C422" s="1126"/>
      <c r="D422" s="1126"/>
      <c r="E422" s="1126"/>
      <c r="F422" s="1126"/>
      <c r="J422" s="16"/>
    </row>
    <row r="423" spans="1:10" x14ac:dyDescent="0.2">
      <c r="A423"/>
      <c r="B423" s="1125"/>
      <c r="C423" s="1126"/>
      <c r="D423" s="1126"/>
      <c r="E423" s="1126"/>
      <c r="F423" s="1126"/>
      <c r="J423" s="16"/>
    </row>
    <row r="424" spans="1:10" x14ac:dyDescent="0.2">
      <c r="A424"/>
      <c r="B424" s="1125"/>
      <c r="C424" s="1126"/>
      <c r="D424" s="1126"/>
      <c r="E424" s="1126"/>
      <c r="F424" s="1126"/>
      <c r="J424" s="16"/>
    </row>
    <row r="425" spans="1:10" x14ac:dyDescent="0.2">
      <c r="A425"/>
      <c r="B425" s="1125"/>
      <c r="C425" s="1126"/>
      <c r="D425" s="1126"/>
      <c r="E425" s="1126"/>
      <c r="F425" s="1126"/>
      <c r="J425" s="16"/>
    </row>
    <row r="426" spans="1:10" x14ac:dyDescent="0.2">
      <c r="A426"/>
      <c r="B426" s="1125"/>
      <c r="C426" s="1126"/>
      <c r="D426" s="1126"/>
      <c r="E426" s="1126"/>
      <c r="F426" s="1126"/>
      <c r="J426" s="16"/>
    </row>
    <row r="427" spans="1:10" x14ac:dyDescent="0.2">
      <c r="A427"/>
      <c r="B427" s="1125"/>
      <c r="C427" s="1126"/>
      <c r="D427" s="1126"/>
      <c r="E427" s="1126"/>
      <c r="F427" s="1126"/>
      <c r="J427" s="16"/>
    </row>
    <row r="428" spans="1:10" x14ac:dyDescent="0.2">
      <c r="A428"/>
      <c r="B428" s="1125"/>
      <c r="C428" s="1126"/>
      <c r="D428" s="1126"/>
      <c r="E428" s="1126"/>
      <c r="F428" s="1126"/>
      <c r="J428" s="16"/>
    </row>
    <row r="429" spans="1:10" x14ac:dyDescent="0.2">
      <c r="A429"/>
      <c r="B429" s="1125"/>
      <c r="C429" s="1126"/>
      <c r="D429" s="1126"/>
      <c r="E429" s="1126"/>
      <c r="F429" s="1126"/>
      <c r="J429" s="16"/>
    </row>
    <row r="430" spans="1:10" x14ac:dyDescent="0.2">
      <c r="A430"/>
      <c r="B430" s="1125"/>
      <c r="C430" s="1126"/>
      <c r="D430" s="1126"/>
      <c r="E430" s="1126"/>
      <c r="F430" s="1126"/>
      <c r="J430" s="16"/>
    </row>
    <row r="431" spans="1:10" x14ac:dyDescent="0.2">
      <c r="A431"/>
      <c r="B431" s="1125"/>
      <c r="C431" s="1126"/>
      <c r="D431" s="1126"/>
      <c r="E431" s="1126"/>
      <c r="F431" s="1126"/>
      <c r="J431" s="16"/>
    </row>
    <row r="432" spans="1:10" x14ac:dyDescent="0.2">
      <c r="A432"/>
      <c r="B432" s="1125"/>
      <c r="C432" s="1126"/>
      <c r="D432" s="1126"/>
      <c r="E432" s="1126"/>
      <c r="F432" s="1126"/>
      <c r="J432" s="16"/>
    </row>
    <row r="433" spans="10:10" x14ac:dyDescent="0.2">
      <c r="J433" s="16"/>
    </row>
    <row r="435" spans="10:10" x14ac:dyDescent="0.2">
      <c r="J435" s="1100"/>
    </row>
  </sheetData>
  <autoFilter ref="A1:L432" xr:uid="{00000000-0009-0000-0000-000006000000}"/>
  <phoneticPr fontId="0" type="noConversion"/>
  <conditionalFormatting sqref="A1:A1048576">
    <cfRule type="duplicateValues" dxfId="2" priority="1"/>
  </conditionalFormatting>
  <conditionalFormatting sqref="B2:F234">
    <cfRule type="expression" dxfId="1" priority="2" stopIfTrue="1">
      <formula>DECALER(Point0_N,LIGNE()-1,0)&gt;0</formula>
    </cfRule>
  </conditionalFormatting>
  <pageMargins left="0.78740157499999996" right="0.78740157499999996" top="0.984251969" bottom="0.984251969" header="0.4921259845" footer="0.4921259845"/>
  <pageSetup paperSize="9" scale="32"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3">
    <tabColor rgb="FFFF0000"/>
    <pageSetUpPr fitToPage="1"/>
  </sheetPr>
  <dimension ref="A1:J253"/>
  <sheetViews>
    <sheetView zoomScale="80" zoomScaleNormal="80" workbookViewId="0">
      <selection activeCell="E12" sqref="E12"/>
    </sheetView>
  </sheetViews>
  <sheetFormatPr baseColWidth="10" defaultColWidth="12" defaultRowHeight="12.75" x14ac:dyDescent="0.2"/>
  <cols>
    <col min="1" max="1" width="16" style="2" bestFit="1" customWidth="1"/>
    <col min="2" max="2" width="57.33203125" style="2" bestFit="1" customWidth="1"/>
    <col min="3" max="4" width="19.1640625" style="16" bestFit="1" customWidth="1"/>
    <col min="5" max="7" width="20.6640625" style="16" bestFit="1" customWidth="1"/>
    <col min="8" max="8" width="19.83203125" style="16" bestFit="1" customWidth="1"/>
    <col min="9" max="9" width="19.6640625" style="16" bestFit="1" customWidth="1"/>
    <col min="10" max="10" width="8.6640625" style="2" bestFit="1" customWidth="1"/>
    <col min="11" max="11" width="12" style="2"/>
    <col min="12" max="12" width="16" style="2" bestFit="1" customWidth="1"/>
    <col min="13" max="16384" width="12" style="2"/>
  </cols>
  <sheetData>
    <row r="1" spans="1:8" x14ac:dyDescent="0.2">
      <c r="A1" s="2" t="s">
        <v>816</v>
      </c>
      <c r="B1" s="2" t="s">
        <v>230</v>
      </c>
      <c r="C1" s="16" t="s">
        <v>21</v>
      </c>
      <c r="D1" s="16" t="s">
        <v>22</v>
      </c>
      <c r="E1" s="16" t="s">
        <v>226</v>
      </c>
      <c r="F1" s="16" t="s">
        <v>227</v>
      </c>
      <c r="G1" s="16" t="s">
        <v>23</v>
      </c>
      <c r="H1" s="16" t="s">
        <v>24</v>
      </c>
    </row>
    <row r="2" spans="1:8" ht="15" x14ac:dyDescent="0.25">
      <c r="A2" s="1127"/>
      <c r="B2" s="1128"/>
      <c r="C2" s="1129"/>
      <c r="D2" s="1129"/>
      <c r="E2" s="1129"/>
      <c r="F2" s="1129"/>
      <c r="G2" s="1129"/>
      <c r="H2" s="1145"/>
    </row>
    <row r="3" spans="1:8" ht="15" x14ac:dyDescent="0.25">
      <c r="A3" s="1127"/>
      <c r="B3" s="1128"/>
      <c r="C3" s="1129"/>
      <c r="D3" s="1129"/>
      <c r="E3" s="1129"/>
      <c r="F3" s="1129"/>
      <c r="G3" s="1129"/>
      <c r="H3" s="1145"/>
    </row>
    <row r="4" spans="1:8" ht="15" x14ac:dyDescent="0.25">
      <c r="A4" s="1127"/>
      <c r="B4" s="1128"/>
      <c r="C4" s="1129"/>
      <c r="D4" s="1129"/>
      <c r="E4" s="1129"/>
      <c r="F4" s="1129"/>
      <c r="G4" s="1129"/>
      <c r="H4" s="1145"/>
    </row>
    <row r="5" spans="1:8" ht="15" x14ac:dyDescent="0.25">
      <c r="A5" s="1127"/>
      <c r="B5" s="1128"/>
      <c r="C5" s="1129"/>
      <c r="D5" s="1129"/>
      <c r="E5" s="1129"/>
      <c r="F5" s="1129"/>
      <c r="G5" s="1129"/>
      <c r="H5" s="1145"/>
    </row>
    <row r="6" spans="1:8" ht="15" x14ac:dyDescent="0.25">
      <c r="A6" s="1127"/>
      <c r="B6" s="1128"/>
      <c r="C6" s="1129"/>
      <c r="D6" s="1129"/>
      <c r="E6" s="1129"/>
      <c r="F6" s="1129"/>
      <c r="G6" s="1129"/>
      <c r="H6" s="1145"/>
    </row>
    <row r="7" spans="1:8" ht="15" x14ac:dyDescent="0.25">
      <c r="A7" s="1127"/>
      <c r="B7" s="1128"/>
      <c r="C7" s="1129"/>
      <c r="D7" s="1129"/>
      <c r="E7" s="1129"/>
      <c r="F7" s="1129"/>
      <c r="G7" s="1129"/>
      <c r="H7" s="1145"/>
    </row>
    <row r="8" spans="1:8" ht="15" x14ac:dyDescent="0.25">
      <c r="A8" s="1127"/>
      <c r="B8" s="1128"/>
      <c r="C8" s="1129"/>
      <c r="D8" s="1129"/>
      <c r="E8" s="1129"/>
      <c r="F8" s="1129"/>
      <c r="G8" s="1129"/>
      <c r="H8" s="1145"/>
    </row>
    <row r="9" spans="1:8" ht="15" x14ac:dyDescent="0.25">
      <c r="A9" s="1127"/>
      <c r="B9" s="1128"/>
      <c r="C9" s="1129"/>
      <c r="D9" s="1129"/>
      <c r="E9" s="1129"/>
      <c r="F9" s="1129"/>
      <c r="G9" s="1129"/>
      <c r="H9" s="1145"/>
    </row>
    <row r="10" spans="1:8" ht="15" x14ac:dyDescent="0.25">
      <c r="A10" s="1127"/>
      <c r="B10" s="1128"/>
      <c r="C10" s="1129"/>
      <c r="D10" s="1129"/>
      <c r="E10" s="1129"/>
      <c r="F10" s="1129"/>
      <c r="G10" s="1129"/>
      <c r="H10" s="1145"/>
    </row>
    <row r="11" spans="1:8" ht="15" x14ac:dyDescent="0.25">
      <c r="A11" s="1127"/>
      <c r="B11" s="1128"/>
      <c r="C11" s="1129"/>
      <c r="D11" s="1129"/>
      <c r="E11" s="1129"/>
      <c r="F11" s="1129"/>
      <c r="G11" s="1129"/>
      <c r="H11" s="1145"/>
    </row>
    <row r="12" spans="1:8" ht="15" x14ac:dyDescent="0.25">
      <c r="A12" s="1127"/>
      <c r="B12" s="1128"/>
      <c r="C12" s="1129"/>
      <c r="D12" s="1129"/>
      <c r="E12" s="1129"/>
      <c r="F12" s="1129"/>
      <c r="G12" s="1129"/>
      <c r="H12" s="1145"/>
    </row>
    <row r="13" spans="1:8" ht="15" x14ac:dyDescent="0.25">
      <c r="A13" s="1127"/>
      <c r="B13" s="1128"/>
      <c r="C13" s="1129"/>
      <c r="D13" s="1129"/>
      <c r="E13" s="1129"/>
      <c r="F13" s="1129"/>
      <c r="G13" s="1129"/>
      <c r="H13" s="1145"/>
    </row>
    <row r="14" spans="1:8" ht="15" x14ac:dyDescent="0.25">
      <c r="A14" s="1127"/>
      <c r="B14" s="1128"/>
      <c r="C14" s="1129"/>
      <c r="D14" s="1129"/>
      <c r="E14" s="1129"/>
      <c r="F14" s="1129"/>
      <c r="G14" s="1129"/>
      <c r="H14" s="1145"/>
    </row>
    <row r="15" spans="1:8" ht="15" x14ac:dyDescent="0.25">
      <c r="A15" s="1127"/>
      <c r="B15" s="1128"/>
      <c r="C15" s="1129"/>
      <c r="D15" s="1129"/>
      <c r="E15" s="1129"/>
      <c r="F15" s="1129"/>
      <c r="G15" s="1129"/>
      <c r="H15" s="1145"/>
    </row>
    <row r="16" spans="1:8" ht="15" x14ac:dyDescent="0.25">
      <c r="A16" s="1127"/>
      <c r="B16" s="1128"/>
      <c r="C16" s="1129"/>
      <c r="D16" s="1129"/>
      <c r="E16" s="1129"/>
      <c r="F16" s="1129"/>
      <c r="G16" s="1129"/>
      <c r="H16" s="1145"/>
    </row>
    <row r="17" spans="1:8" ht="15" x14ac:dyDescent="0.25">
      <c r="A17" s="1127"/>
      <c r="B17" s="1128"/>
      <c r="C17" s="1129"/>
      <c r="D17" s="1129"/>
      <c r="E17" s="1129"/>
      <c r="F17" s="1129"/>
      <c r="G17" s="1129"/>
      <c r="H17" s="1145"/>
    </row>
    <row r="18" spans="1:8" ht="15" x14ac:dyDescent="0.25">
      <c r="A18" s="1127"/>
      <c r="B18" s="1128"/>
      <c r="C18" s="1129"/>
      <c r="D18" s="1129"/>
      <c r="E18" s="1129"/>
      <c r="F18" s="1129"/>
      <c r="G18" s="1129"/>
      <c r="H18" s="1145"/>
    </row>
    <row r="19" spans="1:8" ht="15" x14ac:dyDescent="0.25">
      <c r="A19" s="1127"/>
      <c r="B19" s="1128"/>
      <c r="C19" s="1129"/>
      <c r="D19" s="1129"/>
      <c r="E19" s="1129"/>
      <c r="F19" s="1129"/>
      <c r="G19" s="1129"/>
      <c r="H19" s="1145"/>
    </row>
    <row r="20" spans="1:8" ht="15" x14ac:dyDescent="0.25">
      <c r="A20" s="1127"/>
      <c r="B20" s="1128"/>
      <c r="C20" s="1129"/>
      <c r="D20" s="1129"/>
      <c r="E20" s="1129"/>
      <c r="F20" s="1129"/>
      <c r="G20" s="1129"/>
      <c r="H20" s="1145"/>
    </row>
    <row r="21" spans="1:8" ht="15" x14ac:dyDescent="0.25">
      <c r="A21" s="1127"/>
      <c r="B21" s="1128"/>
      <c r="C21" s="1129"/>
      <c r="D21" s="1129"/>
      <c r="E21" s="1129"/>
      <c r="F21" s="1129"/>
      <c r="G21" s="1129"/>
      <c r="H21" s="1145"/>
    </row>
    <row r="22" spans="1:8" ht="15" x14ac:dyDescent="0.25">
      <c r="A22" s="1127"/>
      <c r="B22" s="1128"/>
      <c r="C22" s="1129"/>
      <c r="D22" s="1129"/>
      <c r="E22" s="1129"/>
      <c r="F22" s="1129"/>
      <c r="G22" s="1129"/>
      <c r="H22" s="1145"/>
    </row>
    <row r="23" spans="1:8" ht="15" x14ac:dyDescent="0.25">
      <c r="A23" s="1127"/>
      <c r="B23" s="1128"/>
      <c r="C23" s="1129"/>
      <c r="D23" s="1129"/>
      <c r="E23" s="1129"/>
      <c r="F23" s="1129"/>
      <c r="G23" s="1129"/>
      <c r="H23" s="1145"/>
    </row>
    <row r="24" spans="1:8" ht="15" x14ac:dyDescent="0.25">
      <c r="A24" s="1127"/>
      <c r="B24" s="1128"/>
      <c r="C24" s="1129"/>
      <c r="D24" s="1129"/>
      <c r="E24" s="1129"/>
      <c r="F24" s="1129"/>
      <c r="G24" s="1129"/>
      <c r="H24" s="1145"/>
    </row>
    <row r="25" spans="1:8" ht="15" x14ac:dyDescent="0.25">
      <c r="A25" s="1127"/>
      <c r="B25" s="1128"/>
      <c r="C25" s="1129"/>
      <c r="D25" s="1129"/>
      <c r="E25" s="1129"/>
      <c r="F25" s="1129"/>
      <c r="G25" s="1129"/>
      <c r="H25" s="1145"/>
    </row>
    <row r="26" spans="1:8" ht="15" x14ac:dyDescent="0.25">
      <c r="A26" s="1127"/>
      <c r="B26" s="1128"/>
      <c r="C26" s="1129"/>
      <c r="D26" s="1129"/>
      <c r="E26" s="1129"/>
      <c r="F26" s="1129"/>
      <c r="G26" s="1129"/>
      <c r="H26" s="1145"/>
    </row>
    <row r="27" spans="1:8" ht="15" x14ac:dyDescent="0.25">
      <c r="A27" s="1127"/>
      <c r="B27" s="1128"/>
      <c r="C27" s="1129"/>
      <c r="D27" s="1129"/>
      <c r="E27" s="1129"/>
      <c r="F27" s="1129"/>
      <c r="G27" s="1129"/>
      <c r="H27" s="1145"/>
    </row>
    <row r="28" spans="1:8" ht="15" x14ac:dyDescent="0.25">
      <c r="A28" s="1127"/>
      <c r="B28" s="1128"/>
      <c r="C28" s="1129"/>
      <c r="D28" s="1129"/>
      <c r="E28" s="1129"/>
      <c r="F28" s="1129"/>
      <c r="G28" s="1129"/>
      <c r="H28" s="1145"/>
    </row>
    <row r="29" spans="1:8" ht="15" x14ac:dyDescent="0.25">
      <c r="A29" s="1127"/>
      <c r="B29" s="1128"/>
      <c r="C29" s="1129"/>
      <c r="D29" s="1129"/>
      <c r="E29" s="1129"/>
      <c r="F29" s="1129"/>
      <c r="G29" s="1129"/>
      <c r="H29" s="1145"/>
    </row>
    <row r="30" spans="1:8" ht="15" x14ac:dyDescent="0.25">
      <c r="A30" s="1127"/>
      <c r="B30" s="1128"/>
      <c r="C30" s="1129"/>
      <c r="D30" s="1129"/>
      <c r="E30" s="1129"/>
      <c r="F30" s="1129"/>
      <c r="G30" s="1129"/>
      <c r="H30" s="1145"/>
    </row>
    <row r="31" spans="1:8" ht="15" x14ac:dyDescent="0.25">
      <c r="A31" s="1127"/>
      <c r="B31" s="1128"/>
      <c r="C31" s="1129"/>
      <c r="D31" s="1129"/>
      <c r="E31" s="1129"/>
      <c r="F31" s="1129"/>
      <c r="G31" s="1129"/>
      <c r="H31" s="1145"/>
    </row>
    <row r="32" spans="1:8" ht="15" x14ac:dyDescent="0.25">
      <c r="A32" s="1127"/>
      <c r="B32" s="1128"/>
      <c r="C32" s="1129"/>
      <c r="D32" s="1129"/>
      <c r="E32" s="1129"/>
      <c r="F32" s="1129"/>
      <c r="G32" s="1129"/>
      <c r="H32" s="1145"/>
    </row>
    <row r="33" spans="1:8" ht="15" x14ac:dyDescent="0.25">
      <c r="A33" s="1127"/>
      <c r="B33" s="1128"/>
      <c r="C33" s="1129"/>
      <c r="D33" s="1129"/>
      <c r="E33" s="1129"/>
      <c r="F33" s="1129"/>
      <c r="G33" s="1129"/>
      <c r="H33" s="1145"/>
    </row>
    <row r="34" spans="1:8" ht="15" x14ac:dyDescent="0.25">
      <c r="A34" s="1127"/>
      <c r="B34" s="1128"/>
      <c r="C34" s="1129"/>
      <c r="D34" s="1129"/>
      <c r="E34" s="1129"/>
      <c r="F34" s="1129"/>
      <c r="G34" s="1129"/>
      <c r="H34" s="1145"/>
    </row>
    <row r="35" spans="1:8" ht="15" x14ac:dyDescent="0.25">
      <c r="A35" s="1127"/>
      <c r="B35" s="1128"/>
      <c r="C35" s="1129"/>
      <c r="D35" s="1129"/>
      <c r="E35" s="1129"/>
      <c r="F35" s="1129"/>
      <c r="G35" s="1129"/>
      <c r="H35" s="1145"/>
    </row>
    <row r="36" spans="1:8" ht="15" x14ac:dyDescent="0.25">
      <c r="A36" s="1127"/>
      <c r="B36" s="1128"/>
      <c r="C36" s="1129"/>
      <c r="D36" s="1129"/>
      <c r="E36" s="1129"/>
      <c r="F36" s="1129"/>
      <c r="G36" s="1129"/>
      <c r="H36" s="1145"/>
    </row>
    <row r="37" spans="1:8" ht="15" x14ac:dyDescent="0.25">
      <c r="A37" s="1127"/>
      <c r="B37" s="1128"/>
      <c r="C37" s="1129"/>
      <c r="D37" s="1129"/>
      <c r="E37" s="1129"/>
      <c r="F37" s="1129"/>
      <c r="G37" s="1129"/>
      <c r="H37" s="1145"/>
    </row>
    <row r="38" spans="1:8" ht="15" x14ac:dyDescent="0.25">
      <c r="A38" s="1127"/>
      <c r="B38" s="1128"/>
      <c r="C38" s="1129"/>
      <c r="D38" s="1129"/>
      <c r="E38" s="1129"/>
      <c r="F38" s="1129"/>
      <c r="G38" s="1129"/>
      <c r="H38" s="1145"/>
    </row>
    <row r="39" spans="1:8" ht="15" x14ac:dyDescent="0.25">
      <c r="A39" s="1130"/>
      <c r="B39" s="1131"/>
      <c r="C39" s="1132"/>
      <c r="D39" s="1132"/>
      <c r="E39" s="1132"/>
      <c r="F39" s="1132"/>
      <c r="G39" s="1132"/>
      <c r="H39" s="1145"/>
    </row>
    <row r="40" spans="1:8" ht="15" x14ac:dyDescent="0.25">
      <c r="A40" s="1127"/>
      <c r="B40" s="1128"/>
      <c r="C40" s="1129"/>
      <c r="D40" s="1129"/>
      <c r="E40" s="1129"/>
      <c r="F40" s="1129"/>
      <c r="G40" s="1129"/>
      <c r="H40" s="1145"/>
    </row>
    <row r="41" spans="1:8" ht="15" x14ac:dyDescent="0.25">
      <c r="A41" s="1127"/>
      <c r="B41" s="1128"/>
      <c r="C41" s="1129"/>
      <c r="D41" s="1129"/>
      <c r="E41" s="1129"/>
      <c r="F41" s="1129"/>
      <c r="G41" s="1129"/>
      <c r="H41" s="1145"/>
    </row>
    <row r="42" spans="1:8" ht="15" x14ac:dyDescent="0.25">
      <c r="A42" s="1127"/>
      <c r="B42" s="1128"/>
      <c r="C42" s="1129"/>
      <c r="D42" s="1129"/>
      <c r="E42" s="1129"/>
      <c r="F42" s="1129"/>
      <c r="G42" s="1129"/>
      <c r="H42" s="1145"/>
    </row>
    <row r="43" spans="1:8" ht="15" x14ac:dyDescent="0.25">
      <c r="A43" s="1127"/>
      <c r="B43" s="1128"/>
      <c r="C43" s="1129"/>
      <c r="D43" s="1129"/>
      <c r="E43" s="1129"/>
      <c r="F43" s="1129"/>
      <c r="G43" s="1129"/>
      <c r="H43" s="1145"/>
    </row>
    <row r="44" spans="1:8" ht="15" x14ac:dyDescent="0.25">
      <c r="A44" s="1127"/>
      <c r="B44" s="1128"/>
      <c r="C44" s="1129"/>
      <c r="D44" s="1129"/>
      <c r="E44" s="1129"/>
      <c r="F44" s="1129"/>
      <c r="G44" s="1129"/>
      <c r="H44" s="1145"/>
    </row>
    <row r="45" spans="1:8" ht="15" x14ac:dyDescent="0.25">
      <c r="A45" s="1127"/>
      <c r="B45" s="1128"/>
      <c r="C45" s="1129"/>
      <c r="D45" s="1129"/>
      <c r="E45" s="1129"/>
      <c r="F45" s="1129"/>
      <c r="G45" s="1129"/>
      <c r="H45" s="1145"/>
    </row>
    <row r="46" spans="1:8" ht="15" x14ac:dyDescent="0.25">
      <c r="A46" s="1127"/>
      <c r="B46" s="1128"/>
      <c r="C46" s="1129"/>
      <c r="D46" s="1129"/>
      <c r="E46" s="1129"/>
      <c r="F46" s="1129"/>
      <c r="G46" s="1129"/>
      <c r="H46" s="1145"/>
    </row>
    <row r="47" spans="1:8" ht="15" x14ac:dyDescent="0.25">
      <c r="A47" s="1127"/>
      <c r="B47" s="1128"/>
      <c r="C47" s="1129"/>
      <c r="D47" s="1129"/>
      <c r="E47" s="1129"/>
      <c r="F47" s="1129"/>
      <c r="G47" s="1129"/>
      <c r="H47" s="1145"/>
    </row>
    <row r="48" spans="1:8" ht="15" x14ac:dyDescent="0.25">
      <c r="A48" s="1127"/>
      <c r="B48" s="1128"/>
      <c r="C48" s="1129"/>
      <c r="D48" s="1129"/>
      <c r="E48" s="1129"/>
      <c r="F48" s="1129"/>
      <c r="G48" s="1129"/>
      <c r="H48" s="1145"/>
    </row>
    <row r="49" spans="1:8" ht="15" x14ac:dyDescent="0.25">
      <c r="A49" s="1127"/>
      <c r="B49" s="1128"/>
      <c r="C49" s="1129"/>
      <c r="D49" s="1129"/>
      <c r="E49" s="1129"/>
      <c r="F49" s="1129"/>
      <c r="G49" s="1129"/>
      <c r="H49" s="1145"/>
    </row>
    <row r="50" spans="1:8" ht="15" x14ac:dyDescent="0.25">
      <c r="A50" s="1127"/>
      <c r="B50" s="1128"/>
      <c r="C50" s="1129"/>
      <c r="D50" s="1129"/>
      <c r="E50" s="1129"/>
      <c r="F50" s="1129"/>
      <c r="G50" s="1129"/>
      <c r="H50" s="1145"/>
    </row>
    <row r="51" spans="1:8" ht="15" x14ac:dyDescent="0.25">
      <c r="A51" s="1127"/>
      <c r="B51" s="1128"/>
      <c r="C51" s="1129"/>
      <c r="D51" s="1129"/>
      <c r="E51" s="1129"/>
      <c r="F51" s="1129"/>
      <c r="G51" s="1129"/>
      <c r="H51" s="1145"/>
    </row>
    <row r="52" spans="1:8" ht="15" x14ac:dyDescent="0.25">
      <c r="A52" s="1127"/>
      <c r="B52" s="1128"/>
      <c r="C52" s="1129"/>
      <c r="D52" s="1129"/>
      <c r="E52" s="1129"/>
      <c r="F52" s="1129"/>
      <c r="G52" s="1129"/>
      <c r="H52" s="1145"/>
    </row>
    <row r="53" spans="1:8" ht="15" x14ac:dyDescent="0.25">
      <c r="A53" s="1127"/>
      <c r="B53" s="1128"/>
      <c r="C53" s="1129"/>
      <c r="D53" s="1129"/>
      <c r="E53" s="1129"/>
      <c r="F53" s="1129"/>
      <c r="G53" s="1129"/>
      <c r="H53" s="1145"/>
    </row>
    <row r="54" spans="1:8" ht="15" x14ac:dyDescent="0.25">
      <c r="A54" s="1127"/>
      <c r="B54" s="1128"/>
      <c r="C54" s="1129"/>
      <c r="D54" s="1129"/>
      <c r="E54" s="1129"/>
      <c r="F54" s="1129"/>
      <c r="G54" s="1129"/>
      <c r="H54" s="1145"/>
    </row>
    <row r="55" spans="1:8" ht="15" x14ac:dyDescent="0.25">
      <c r="A55" s="1127"/>
      <c r="B55" s="1128"/>
      <c r="C55" s="1129"/>
      <c r="D55" s="1129"/>
      <c r="E55" s="1129"/>
      <c r="F55" s="1129"/>
      <c r="G55" s="1129"/>
      <c r="H55" s="1145"/>
    </row>
    <row r="56" spans="1:8" ht="15" x14ac:dyDescent="0.25">
      <c r="A56" s="1127"/>
      <c r="B56" s="1128"/>
      <c r="C56" s="1129"/>
      <c r="D56" s="1129"/>
      <c r="E56" s="1129"/>
      <c r="F56" s="1129"/>
      <c r="G56" s="1129"/>
      <c r="H56" s="1145"/>
    </row>
    <row r="57" spans="1:8" ht="15" x14ac:dyDescent="0.25">
      <c r="A57" s="1127"/>
      <c r="B57" s="1128"/>
      <c r="C57" s="1129"/>
      <c r="D57" s="1129"/>
      <c r="E57" s="1129"/>
      <c r="F57" s="1129"/>
      <c r="G57" s="1129"/>
      <c r="H57" s="1145"/>
    </row>
    <row r="58" spans="1:8" ht="15" x14ac:dyDescent="0.25">
      <c r="A58" s="1127"/>
      <c r="B58" s="1128"/>
      <c r="C58" s="1129"/>
      <c r="D58" s="1129"/>
      <c r="E58" s="1129"/>
      <c r="F58" s="1129"/>
      <c r="G58" s="1129"/>
      <c r="H58" s="1145"/>
    </row>
    <row r="59" spans="1:8" ht="15" x14ac:dyDescent="0.25">
      <c r="A59" s="1127"/>
      <c r="B59" s="1128"/>
      <c r="C59" s="1129"/>
      <c r="D59" s="1129"/>
      <c r="E59" s="1129"/>
      <c r="F59" s="1129"/>
      <c r="G59" s="1129"/>
      <c r="H59" s="1145"/>
    </row>
    <row r="60" spans="1:8" ht="15" x14ac:dyDescent="0.25">
      <c r="A60" s="1127"/>
      <c r="B60" s="1128"/>
      <c r="C60" s="1129"/>
      <c r="D60" s="1129"/>
      <c r="E60" s="1129"/>
      <c r="F60" s="1129"/>
      <c r="G60" s="1129"/>
      <c r="H60" s="1145"/>
    </row>
    <row r="61" spans="1:8" ht="15" x14ac:dyDescent="0.25">
      <c r="A61" s="1127"/>
      <c r="B61" s="1128"/>
      <c r="C61" s="1129"/>
      <c r="D61" s="1129"/>
      <c r="E61" s="1129"/>
      <c r="F61" s="1129"/>
      <c r="G61" s="1129"/>
      <c r="H61" s="1145"/>
    </row>
    <row r="62" spans="1:8" ht="15" x14ac:dyDescent="0.25">
      <c r="A62" s="1127"/>
      <c r="B62" s="1128"/>
      <c r="C62" s="1129"/>
      <c r="D62" s="1129"/>
      <c r="E62" s="1129"/>
      <c r="F62" s="1129"/>
      <c r="G62" s="1129"/>
      <c r="H62" s="1145"/>
    </row>
    <row r="63" spans="1:8" ht="15" x14ac:dyDescent="0.25">
      <c r="A63" s="1127"/>
      <c r="B63" s="1128"/>
      <c r="C63" s="1129"/>
      <c r="D63" s="1129"/>
      <c r="E63" s="1129"/>
      <c r="F63" s="1129"/>
      <c r="G63" s="1129"/>
      <c r="H63" s="1145"/>
    </row>
    <row r="64" spans="1:8" ht="15" x14ac:dyDescent="0.25">
      <c r="A64" s="1127"/>
      <c r="B64" s="1128"/>
      <c r="C64" s="1129"/>
      <c r="D64" s="1129"/>
      <c r="E64" s="1129"/>
      <c r="F64" s="1129"/>
      <c r="G64" s="1129"/>
      <c r="H64" s="1145"/>
    </row>
    <row r="65" spans="1:8" ht="15" x14ac:dyDescent="0.25">
      <c r="A65" s="1127"/>
      <c r="B65" s="1128"/>
      <c r="C65" s="1129"/>
      <c r="D65" s="1129"/>
      <c r="E65" s="1129"/>
      <c r="F65" s="1129"/>
      <c r="G65" s="1129"/>
      <c r="H65" s="1145"/>
    </row>
    <row r="66" spans="1:8" ht="15" x14ac:dyDescent="0.25">
      <c r="A66" s="1127"/>
      <c r="B66" s="1128"/>
      <c r="C66" s="1129"/>
      <c r="D66" s="1129"/>
      <c r="E66" s="1129"/>
      <c r="F66" s="1129"/>
      <c r="G66" s="1129"/>
      <c r="H66" s="1145"/>
    </row>
    <row r="67" spans="1:8" ht="15" x14ac:dyDescent="0.25">
      <c r="A67" s="1127"/>
      <c r="B67" s="1128"/>
      <c r="C67" s="1129"/>
      <c r="D67" s="1129"/>
      <c r="E67" s="1129"/>
      <c r="F67" s="1129"/>
      <c r="G67" s="1129"/>
      <c r="H67" s="1145"/>
    </row>
    <row r="68" spans="1:8" ht="15" x14ac:dyDescent="0.25">
      <c r="A68" s="1127"/>
      <c r="B68" s="1128"/>
      <c r="C68" s="1129"/>
      <c r="D68" s="1129"/>
      <c r="E68" s="1129"/>
      <c r="F68" s="1129"/>
      <c r="G68" s="1129"/>
      <c r="H68" s="1145"/>
    </row>
    <row r="69" spans="1:8" ht="15" x14ac:dyDescent="0.25">
      <c r="A69" s="1127"/>
      <c r="B69" s="1128"/>
      <c r="C69" s="1129"/>
      <c r="D69" s="1129"/>
      <c r="E69" s="1129"/>
      <c r="F69" s="1129"/>
      <c r="G69" s="1129"/>
      <c r="H69" s="1145"/>
    </row>
    <row r="70" spans="1:8" ht="15" x14ac:dyDescent="0.25">
      <c r="A70" s="1127"/>
      <c r="B70" s="1128"/>
      <c r="C70" s="1129"/>
      <c r="D70" s="1129"/>
      <c r="E70" s="1129"/>
      <c r="F70" s="1129"/>
      <c r="G70" s="1129"/>
      <c r="H70" s="1145"/>
    </row>
    <row r="71" spans="1:8" ht="15" x14ac:dyDescent="0.25">
      <c r="A71" s="1127"/>
      <c r="B71" s="1128"/>
      <c r="C71" s="1129"/>
      <c r="D71" s="1129"/>
      <c r="E71" s="1129"/>
      <c r="F71" s="1129"/>
      <c r="G71" s="1129"/>
      <c r="H71" s="1145"/>
    </row>
    <row r="72" spans="1:8" ht="15" x14ac:dyDescent="0.25">
      <c r="A72" s="1127"/>
      <c r="B72" s="1128"/>
      <c r="C72" s="1129"/>
      <c r="D72" s="1129"/>
      <c r="E72" s="1129"/>
      <c r="F72" s="1129"/>
      <c r="G72" s="1129"/>
      <c r="H72" s="1145"/>
    </row>
    <row r="73" spans="1:8" ht="15" x14ac:dyDescent="0.25">
      <c r="A73" s="1127"/>
      <c r="B73" s="1128"/>
      <c r="C73" s="1129"/>
      <c r="D73" s="1129"/>
      <c r="E73" s="1129"/>
      <c r="F73" s="1129"/>
      <c r="G73" s="1129"/>
      <c r="H73" s="1145"/>
    </row>
    <row r="74" spans="1:8" ht="15" x14ac:dyDescent="0.25">
      <c r="A74" s="1127"/>
      <c r="B74" s="1128"/>
      <c r="C74" s="1129"/>
      <c r="D74" s="1129"/>
      <c r="E74" s="1129"/>
      <c r="F74" s="1129"/>
      <c r="G74" s="1129"/>
      <c r="H74" s="1145"/>
    </row>
    <row r="75" spans="1:8" ht="15" x14ac:dyDescent="0.25">
      <c r="A75" s="1127"/>
      <c r="B75" s="1128"/>
      <c r="C75" s="1129"/>
      <c r="D75" s="1129"/>
      <c r="E75" s="1129"/>
      <c r="F75" s="1129"/>
      <c r="G75" s="1129"/>
      <c r="H75" s="1145"/>
    </row>
    <row r="76" spans="1:8" ht="15" x14ac:dyDescent="0.25">
      <c r="A76" s="1127"/>
      <c r="B76" s="1128"/>
      <c r="C76" s="1129"/>
      <c r="D76" s="1129"/>
      <c r="E76" s="1129"/>
      <c r="F76" s="1129"/>
      <c r="G76" s="1129"/>
      <c r="H76" s="1145"/>
    </row>
    <row r="77" spans="1:8" ht="15" x14ac:dyDescent="0.25">
      <c r="A77" s="1127"/>
      <c r="B77" s="1128"/>
      <c r="C77" s="1129"/>
      <c r="D77" s="1129"/>
      <c r="E77" s="1129"/>
      <c r="F77" s="1129"/>
      <c r="G77" s="1129"/>
      <c r="H77" s="1145"/>
    </row>
    <row r="78" spans="1:8" ht="15" x14ac:dyDescent="0.25">
      <c r="A78" s="1127"/>
      <c r="B78" s="1128"/>
      <c r="C78" s="1129"/>
      <c r="D78" s="1129"/>
      <c r="E78" s="1129"/>
      <c r="F78" s="1129"/>
      <c r="G78" s="1129"/>
      <c r="H78" s="1145"/>
    </row>
    <row r="79" spans="1:8" ht="15" x14ac:dyDescent="0.25">
      <c r="A79" s="1127"/>
      <c r="B79" s="1128"/>
      <c r="C79" s="1129"/>
      <c r="D79" s="1129"/>
      <c r="E79" s="1129"/>
      <c r="F79" s="1129"/>
      <c r="G79" s="1129"/>
      <c r="H79" s="1145"/>
    </row>
    <row r="80" spans="1:8" ht="15" x14ac:dyDescent="0.25">
      <c r="A80" s="1127"/>
      <c r="B80" s="1128"/>
      <c r="C80" s="1129"/>
      <c r="D80" s="1129"/>
      <c r="E80" s="1129"/>
      <c r="F80" s="1129"/>
      <c r="G80" s="1129"/>
      <c r="H80" s="1145"/>
    </row>
    <row r="81" spans="1:8" ht="15" x14ac:dyDescent="0.25">
      <c r="A81" s="1127"/>
      <c r="B81" s="1128"/>
      <c r="C81" s="1129"/>
      <c r="D81" s="1129"/>
      <c r="E81" s="1129"/>
      <c r="F81" s="1129"/>
      <c r="G81" s="1129"/>
      <c r="H81" s="1145"/>
    </row>
    <row r="82" spans="1:8" ht="15" x14ac:dyDescent="0.25">
      <c r="A82" s="1127"/>
      <c r="B82" s="1128"/>
      <c r="C82" s="1129"/>
      <c r="D82" s="1129"/>
      <c r="E82" s="1129"/>
      <c r="F82" s="1129"/>
      <c r="G82" s="1129"/>
      <c r="H82" s="1145"/>
    </row>
    <row r="83" spans="1:8" ht="15" x14ac:dyDescent="0.25">
      <c r="A83" s="1127"/>
      <c r="B83" s="1128"/>
      <c r="C83" s="1129"/>
      <c r="D83" s="1129"/>
      <c r="E83" s="1129"/>
      <c r="F83" s="1129"/>
      <c r="G83" s="1129"/>
      <c r="H83" s="1145"/>
    </row>
    <row r="84" spans="1:8" ht="15" x14ac:dyDescent="0.25">
      <c r="A84" s="1127"/>
      <c r="B84" s="1128"/>
      <c r="C84" s="1129"/>
      <c r="D84" s="1129"/>
      <c r="E84" s="1129"/>
      <c r="F84" s="1129"/>
      <c r="G84" s="1129"/>
      <c r="H84" s="1145"/>
    </row>
    <row r="85" spans="1:8" ht="15" x14ac:dyDescent="0.25">
      <c r="A85" s="1127"/>
      <c r="B85" s="1128"/>
      <c r="C85" s="1129"/>
      <c r="D85" s="1129"/>
      <c r="E85" s="1129"/>
      <c r="F85" s="1129"/>
      <c r="G85" s="1129"/>
      <c r="H85" s="1145"/>
    </row>
    <row r="86" spans="1:8" ht="15" x14ac:dyDescent="0.25">
      <c r="A86" s="1127"/>
      <c r="B86" s="1128"/>
      <c r="C86" s="1129"/>
      <c r="D86" s="1129"/>
      <c r="E86" s="1129"/>
      <c r="F86" s="1129"/>
      <c r="G86" s="1129"/>
      <c r="H86" s="1145"/>
    </row>
    <row r="87" spans="1:8" ht="15" x14ac:dyDescent="0.25">
      <c r="A87" s="1127"/>
      <c r="B87" s="1128"/>
      <c r="C87" s="1129"/>
      <c r="D87" s="1129"/>
      <c r="E87" s="1129"/>
      <c r="F87" s="1129"/>
      <c r="G87" s="1129"/>
      <c r="H87" s="1145"/>
    </row>
    <row r="88" spans="1:8" ht="15" x14ac:dyDescent="0.25">
      <c r="A88" s="1127"/>
      <c r="B88" s="1128"/>
      <c r="C88" s="1129"/>
      <c r="D88" s="1129"/>
      <c r="E88" s="1129"/>
      <c r="F88" s="1129"/>
      <c r="G88" s="1129"/>
      <c r="H88" s="1145"/>
    </row>
    <row r="89" spans="1:8" ht="15" x14ac:dyDescent="0.25">
      <c r="A89" s="1127"/>
      <c r="B89" s="1128"/>
      <c r="C89" s="1129"/>
      <c r="D89" s="1129"/>
      <c r="E89" s="1129"/>
      <c r="F89" s="1129"/>
      <c r="G89" s="1129"/>
      <c r="H89" s="1145"/>
    </row>
    <row r="90" spans="1:8" ht="15" x14ac:dyDescent="0.25">
      <c r="A90" s="1130"/>
      <c r="B90" s="1131"/>
      <c r="C90" s="1132"/>
      <c r="D90" s="1132"/>
      <c r="E90" s="1132"/>
      <c r="F90" s="1132"/>
      <c r="G90" s="1132"/>
      <c r="H90" s="1145"/>
    </row>
    <row r="91" spans="1:8" ht="15" x14ac:dyDescent="0.25">
      <c r="A91" s="1130"/>
      <c r="B91" s="1131"/>
      <c r="C91" s="1132"/>
      <c r="D91" s="1132"/>
      <c r="E91" s="1132"/>
      <c r="F91" s="1132"/>
      <c r="G91" s="1132"/>
      <c r="H91" s="1145"/>
    </row>
    <row r="92" spans="1:8" ht="15" x14ac:dyDescent="0.25">
      <c r="A92" s="1130"/>
      <c r="B92" s="1131"/>
      <c r="C92" s="1132"/>
      <c r="D92" s="1132"/>
      <c r="E92" s="1132"/>
      <c r="F92" s="1132"/>
      <c r="G92" s="1132"/>
      <c r="H92" s="1145"/>
    </row>
    <row r="93" spans="1:8" ht="15" x14ac:dyDescent="0.25">
      <c r="A93" s="1130"/>
      <c r="B93" s="1131"/>
      <c r="C93" s="1132"/>
      <c r="D93" s="1132"/>
      <c r="E93" s="1132"/>
      <c r="F93" s="1132"/>
      <c r="G93" s="1132"/>
      <c r="H93" s="1145"/>
    </row>
    <row r="94" spans="1:8" ht="15" x14ac:dyDescent="0.25">
      <c r="A94" s="1127"/>
      <c r="B94" s="1128"/>
      <c r="C94" s="1129"/>
      <c r="D94" s="1129"/>
      <c r="E94" s="1129"/>
      <c r="F94" s="1129"/>
      <c r="G94" s="1129"/>
      <c r="H94" s="1145"/>
    </row>
    <row r="95" spans="1:8" ht="15" x14ac:dyDescent="0.25">
      <c r="A95" s="1127"/>
      <c r="B95" s="1128"/>
      <c r="C95" s="1129"/>
      <c r="D95" s="1129"/>
      <c r="E95" s="1129"/>
      <c r="F95" s="1129"/>
      <c r="G95" s="1129"/>
      <c r="H95" s="1145"/>
    </row>
    <row r="96" spans="1:8" ht="15" x14ac:dyDescent="0.25">
      <c r="A96" s="1127"/>
      <c r="B96" s="1128"/>
      <c r="C96" s="1129"/>
      <c r="D96" s="1129"/>
      <c r="E96" s="1129"/>
      <c r="F96" s="1129"/>
      <c r="G96" s="1129"/>
      <c r="H96" s="1145"/>
    </row>
    <row r="97" spans="1:8" ht="15" x14ac:dyDescent="0.25">
      <c r="A97" s="1127"/>
      <c r="B97" s="1128"/>
      <c r="C97" s="1129"/>
      <c r="D97" s="1129"/>
      <c r="E97" s="1129"/>
      <c r="F97" s="1129"/>
      <c r="G97" s="1129"/>
      <c r="H97" s="1145"/>
    </row>
    <row r="98" spans="1:8" ht="15" x14ac:dyDescent="0.25">
      <c r="A98" s="1127"/>
      <c r="B98" s="1128"/>
      <c r="C98" s="1129"/>
      <c r="D98" s="1129"/>
      <c r="E98" s="1129"/>
      <c r="F98" s="1129"/>
      <c r="G98" s="1129"/>
      <c r="H98" s="1145"/>
    </row>
    <row r="99" spans="1:8" ht="15" x14ac:dyDescent="0.25">
      <c r="A99" s="1127"/>
      <c r="B99" s="1128"/>
      <c r="C99" s="1129"/>
      <c r="D99" s="1129"/>
      <c r="E99" s="1129"/>
      <c r="F99" s="1129"/>
      <c r="G99" s="1129"/>
      <c r="H99" s="1145"/>
    </row>
    <row r="100" spans="1:8" ht="15" x14ac:dyDescent="0.25">
      <c r="A100" s="1127"/>
      <c r="B100" s="1128"/>
      <c r="C100" s="1129"/>
      <c r="D100" s="1129"/>
      <c r="E100" s="1129"/>
      <c r="F100" s="1129"/>
      <c r="G100" s="1129"/>
      <c r="H100" s="1145"/>
    </row>
    <row r="101" spans="1:8" ht="15" x14ac:dyDescent="0.25">
      <c r="A101" s="1127"/>
      <c r="B101" s="1128"/>
      <c r="C101" s="1129"/>
      <c r="D101" s="1129"/>
      <c r="E101" s="1129"/>
      <c r="F101" s="1129"/>
      <c r="G101" s="1129"/>
      <c r="H101" s="1145"/>
    </row>
    <row r="102" spans="1:8" ht="15" x14ac:dyDescent="0.25">
      <c r="A102" s="1127"/>
      <c r="B102" s="1128"/>
      <c r="C102" s="1129"/>
      <c r="D102" s="1129"/>
      <c r="E102" s="1129"/>
      <c r="F102" s="1129"/>
      <c r="G102" s="1129"/>
      <c r="H102" s="1145"/>
    </row>
    <row r="103" spans="1:8" ht="15" x14ac:dyDescent="0.25">
      <c r="A103" s="1127"/>
      <c r="B103" s="1128"/>
      <c r="C103" s="1129"/>
      <c r="D103" s="1129"/>
      <c r="E103" s="1129"/>
      <c r="F103" s="1129"/>
      <c r="G103" s="1129"/>
      <c r="H103" s="1145"/>
    </row>
    <row r="104" spans="1:8" ht="15" x14ac:dyDescent="0.25">
      <c r="A104" s="1127"/>
      <c r="B104" s="1128"/>
      <c r="C104" s="1129"/>
      <c r="D104" s="1129"/>
      <c r="E104" s="1129"/>
      <c r="F104" s="1129"/>
      <c r="G104" s="1129"/>
      <c r="H104" s="1145"/>
    </row>
    <row r="105" spans="1:8" ht="15" x14ac:dyDescent="0.25">
      <c r="A105" s="1127"/>
      <c r="B105" s="1128"/>
      <c r="C105" s="1129"/>
      <c r="D105" s="1129"/>
      <c r="E105" s="1129"/>
      <c r="F105" s="1129"/>
      <c r="G105" s="1129"/>
      <c r="H105" s="1145"/>
    </row>
    <row r="106" spans="1:8" ht="15" x14ac:dyDescent="0.25">
      <c r="A106" s="1127"/>
      <c r="B106" s="1128"/>
      <c r="C106" s="1129"/>
      <c r="D106" s="1129"/>
      <c r="E106" s="1129"/>
      <c r="F106" s="1129"/>
      <c r="G106" s="1129"/>
      <c r="H106" s="1145"/>
    </row>
    <row r="107" spans="1:8" ht="15" x14ac:dyDescent="0.25">
      <c r="A107" s="1127"/>
      <c r="B107" s="1128"/>
      <c r="C107" s="1129"/>
      <c r="D107" s="1129"/>
      <c r="E107" s="1129"/>
      <c r="F107" s="1129"/>
      <c r="G107" s="1129"/>
      <c r="H107" s="1145"/>
    </row>
    <row r="108" spans="1:8" ht="15" x14ac:dyDescent="0.25">
      <c r="A108" s="1127"/>
      <c r="B108" s="1128"/>
      <c r="C108" s="1129"/>
      <c r="D108" s="1129"/>
      <c r="E108" s="1129"/>
      <c r="F108" s="1129"/>
      <c r="G108" s="1129"/>
      <c r="H108" s="1145"/>
    </row>
    <row r="109" spans="1:8" ht="15" x14ac:dyDescent="0.25">
      <c r="A109" s="1127"/>
      <c r="B109" s="1128"/>
      <c r="C109" s="1129"/>
      <c r="D109" s="1129"/>
      <c r="E109" s="1129"/>
      <c r="F109" s="1129"/>
      <c r="G109" s="1129"/>
      <c r="H109" s="1145"/>
    </row>
    <row r="110" spans="1:8" ht="15" x14ac:dyDescent="0.25">
      <c r="A110" s="1127"/>
      <c r="B110" s="1128"/>
      <c r="C110" s="1129"/>
      <c r="D110" s="1129"/>
      <c r="E110" s="1129"/>
      <c r="F110" s="1129"/>
      <c r="G110" s="1129"/>
      <c r="H110" s="1145"/>
    </row>
    <row r="111" spans="1:8" ht="15" x14ac:dyDescent="0.25">
      <c r="A111" s="1127"/>
      <c r="B111" s="1128"/>
      <c r="C111" s="1129"/>
      <c r="D111" s="1129"/>
      <c r="E111" s="1129"/>
      <c r="F111" s="1129"/>
      <c r="G111" s="1129"/>
      <c r="H111" s="1145"/>
    </row>
    <row r="112" spans="1:8" ht="15" x14ac:dyDescent="0.25">
      <c r="A112" s="1127"/>
      <c r="B112" s="1128"/>
      <c r="C112" s="1129"/>
      <c r="D112" s="1129"/>
      <c r="E112" s="1129"/>
      <c r="F112" s="1129"/>
      <c r="G112" s="1129"/>
      <c r="H112" s="1145"/>
    </row>
    <row r="113" spans="1:8" ht="15" x14ac:dyDescent="0.25">
      <c r="A113" s="1127"/>
      <c r="B113" s="1128"/>
      <c r="C113" s="1129"/>
      <c r="D113" s="1129"/>
      <c r="E113" s="1129"/>
      <c r="F113" s="1129"/>
      <c r="G113" s="1129"/>
      <c r="H113" s="1145"/>
    </row>
    <row r="114" spans="1:8" ht="15" x14ac:dyDescent="0.25">
      <c r="A114" s="1127"/>
      <c r="B114" s="1128"/>
      <c r="C114" s="1129"/>
      <c r="D114" s="1129"/>
      <c r="E114" s="1129"/>
      <c r="F114" s="1129"/>
      <c r="G114" s="1129"/>
      <c r="H114" s="1145"/>
    </row>
    <row r="115" spans="1:8" ht="15" x14ac:dyDescent="0.25">
      <c r="A115" s="1127"/>
      <c r="B115" s="1128"/>
      <c r="C115" s="1129"/>
      <c r="D115" s="1129"/>
      <c r="E115" s="1129"/>
      <c r="F115" s="1129"/>
      <c r="G115" s="1129"/>
      <c r="H115" s="1145"/>
    </row>
    <row r="116" spans="1:8" ht="15" x14ac:dyDescent="0.25">
      <c r="A116" s="1127"/>
      <c r="B116" s="1128"/>
      <c r="C116" s="1129"/>
      <c r="D116" s="1129"/>
      <c r="E116" s="1129"/>
      <c r="F116" s="1129"/>
      <c r="G116" s="1129"/>
      <c r="H116" s="1145"/>
    </row>
    <row r="117" spans="1:8" ht="15" x14ac:dyDescent="0.25">
      <c r="A117" s="1127"/>
      <c r="B117" s="1128"/>
      <c r="C117" s="1129"/>
      <c r="D117" s="1129"/>
      <c r="E117" s="1129"/>
      <c r="F117" s="1129"/>
      <c r="G117" s="1129"/>
      <c r="H117" s="1145"/>
    </row>
    <row r="118" spans="1:8" ht="15" x14ac:dyDescent="0.25">
      <c r="A118" s="1127"/>
      <c r="B118" s="1128"/>
      <c r="C118" s="1129"/>
      <c r="D118" s="1129"/>
      <c r="E118" s="1129"/>
      <c r="F118" s="1129"/>
      <c r="G118" s="1129"/>
      <c r="H118" s="1145"/>
    </row>
    <row r="119" spans="1:8" ht="15" x14ac:dyDescent="0.25">
      <c r="A119" s="1127"/>
      <c r="B119" s="1128"/>
      <c r="C119" s="1129"/>
      <c r="D119" s="1129"/>
      <c r="E119" s="1129"/>
      <c r="F119" s="1129"/>
      <c r="G119" s="1129"/>
      <c r="H119" s="1145"/>
    </row>
    <row r="120" spans="1:8" ht="15" x14ac:dyDescent="0.25">
      <c r="A120" s="1127"/>
      <c r="B120" s="1128"/>
      <c r="C120" s="1129"/>
      <c r="D120" s="1129"/>
      <c r="E120" s="1129"/>
      <c r="F120" s="1129"/>
      <c r="G120" s="1129"/>
      <c r="H120" s="1145"/>
    </row>
    <row r="121" spans="1:8" ht="15" x14ac:dyDescent="0.25">
      <c r="A121" s="1127"/>
      <c r="B121" s="1128"/>
      <c r="C121" s="1129"/>
      <c r="D121" s="1129"/>
      <c r="E121" s="1129"/>
      <c r="F121" s="1129"/>
      <c r="G121" s="1129"/>
      <c r="H121" s="1145"/>
    </row>
    <row r="122" spans="1:8" ht="15" x14ac:dyDescent="0.25">
      <c r="A122" s="1127"/>
      <c r="B122" s="1128"/>
      <c r="C122" s="1129"/>
      <c r="D122" s="1129"/>
      <c r="E122" s="1129"/>
      <c r="F122" s="1129"/>
      <c r="G122" s="1129"/>
      <c r="H122" s="1145"/>
    </row>
    <row r="123" spans="1:8" ht="15" x14ac:dyDescent="0.25">
      <c r="A123" s="1127"/>
      <c r="B123" s="1128"/>
      <c r="C123" s="1129"/>
      <c r="D123" s="1129"/>
      <c r="E123" s="1129"/>
      <c r="F123" s="1129"/>
      <c r="G123" s="1129"/>
      <c r="H123" s="1145"/>
    </row>
    <row r="124" spans="1:8" ht="15" x14ac:dyDescent="0.25">
      <c r="A124" s="1127"/>
      <c r="B124" s="1128"/>
      <c r="C124" s="1129"/>
      <c r="D124" s="1129"/>
      <c r="E124" s="1129"/>
      <c r="F124" s="1129"/>
      <c r="G124" s="1129"/>
      <c r="H124" s="1145"/>
    </row>
    <row r="125" spans="1:8" ht="15" x14ac:dyDescent="0.25">
      <c r="A125" s="1127"/>
      <c r="B125" s="1128"/>
      <c r="C125" s="1129"/>
      <c r="D125" s="1129"/>
      <c r="E125" s="1129"/>
      <c r="F125" s="1129"/>
      <c r="G125" s="1129"/>
      <c r="H125" s="1145"/>
    </row>
    <row r="126" spans="1:8" ht="15" x14ac:dyDescent="0.25">
      <c r="A126" s="1127"/>
      <c r="B126" s="1128"/>
      <c r="C126" s="1129"/>
      <c r="D126" s="1129"/>
      <c r="E126" s="1129"/>
      <c r="F126" s="1129"/>
      <c r="G126" s="1129"/>
      <c r="H126" s="1145"/>
    </row>
    <row r="127" spans="1:8" ht="15" x14ac:dyDescent="0.25">
      <c r="A127" s="1127"/>
      <c r="B127" s="1128"/>
      <c r="C127" s="1129"/>
      <c r="D127" s="1129"/>
      <c r="E127" s="1129"/>
      <c r="F127" s="1129"/>
      <c r="G127" s="1129"/>
      <c r="H127" s="1145"/>
    </row>
    <row r="128" spans="1:8" ht="15" x14ac:dyDescent="0.25">
      <c r="A128" s="1127"/>
      <c r="B128" s="1128"/>
      <c r="C128" s="1129"/>
      <c r="D128" s="1129"/>
      <c r="E128" s="1129"/>
      <c r="F128" s="1129"/>
      <c r="G128" s="1129"/>
      <c r="H128" s="1145"/>
    </row>
    <row r="129" spans="1:8" ht="15" x14ac:dyDescent="0.25">
      <c r="A129" s="1127"/>
      <c r="B129" s="1128"/>
      <c r="C129" s="1129"/>
      <c r="D129" s="1129"/>
      <c r="E129" s="1129"/>
      <c r="F129" s="1129"/>
      <c r="G129" s="1129"/>
      <c r="H129" s="1145"/>
    </row>
    <row r="130" spans="1:8" ht="15" x14ac:dyDescent="0.25">
      <c r="A130" s="1127"/>
      <c r="B130" s="1128"/>
      <c r="C130" s="1129"/>
      <c r="D130" s="1129"/>
      <c r="E130" s="1129"/>
      <c r="F130" s="1129"/>
      <c r="G130" s="1129"/>
      <c r="H130" s="1145"/>
    </row>
    <row r="131" spans="1:8" ht="15" x14ac:dyDescent="0.25">
      <c r="A131" s="1127"/>
      <c r="B131" s="1128"/>
      <c r="C131" s="1129"/>
      <c r="D131" s="1129"/>
      <c r="E131" s="1129"/>
      <c r="F131" s="1129"/>
      <c r="G131" s="1129"/>
      <c r="H131" s="1145"/>
    </row>
    <row r="132" spans="1:8" ht="15" x14ac:dyDescent="0.25">
      <c r="A132" s="1127"/>
      <c r="B132" s="1128"/>
      <c r="C132" s="1129"/>
      <c r="D132" s="1129"/>
      <c r="E132" s="1129"/>
      <c r="F132" s="1129"/>
      <c r="G132" s="1129"/>
      <c r="H132" s="1145"/>
    </row>
    <row r="133" spans="1:8" ht="15" x14ac:dyDescent="0.25">
      <c r="A133" s="1127"/>
      <c r="B133" s="1128"/>
      <c r="C133" s="1129"/>
      <c r="D133" s="1129"/>
      <c r="E133" s="1129"/>
      <c r="F133" s="1129"/>
      <c r="G133" s="1129"/>
      <c r="H133" s="1145"/>
    </row>
    <row r="134" spans="1:8" ht="15" x14ac:dyDescent="0.25">
      <c r="A134" s="1127"/>
      <c r="B134" s="1128"/>
      <c r="C134" s="1129"/>
      <c r="D134" s="1129"/>
      <c r="E134" s="1129"/>
      <c r="F134" s="1129"/>
      <c r="G134" s="1129"/>
      <c r="H134" s="1145"/>
    </row>
    <row r="135" spans="1:8" ht="15" x14ac:dyDescent="0.25">
      <c r="A135" s="1127"/>
      <c r="B135" s="1128"/>
      <c r="C135" s="1129"/>
      <c r="D135" s="1129"/>
      <c r="E135" s="1129"/>
      <c r="F135" s="1129"/>
      <c r="G135" s="1129"/>
      <c r="H135" s="1145"/>
    </row>
    <row r="136" spans="1:8" ht="15" x14ac:dyDescent="0.25">
      <c r="A136" s="1127"/>
      <c r="B136" s="1128"/>
      <c r="C136" s="1129"/>
      <c r="D136" s="1129"/>
      <c r="E136" s="1129"/>
      <c r="F136" s="1129"/>
      <c r="G136" s="1129"/>
      <c r="H136" s="1145"/>
    </row>
    <row r="137" spans="1:8" ht="15" x14ac:dyDescent="0.25">
      <c r="A137" s="1127"/>
      <c r="B137" s="1128"/>
      <c r="C137" s="1129"/>
      <c r="D137" s="1129"/>
      <c r="E137" s="1129"/>
      <c r="F137" s="1129"/>
      <c r="G137" s="1129"/>
      <c r="H137" s="1145"/>
    </row>
    <row r="138" spans="1:8" ht="15" x14ac:dyDescent="0.25">
      <c r="A138" s="1127"/>
      <c r="B138" s="1128"/>
      <c r="C138" s="1129"/>
      <c r="D138" s="1129"/>
      <c r="E138" s="1129"/>
      <c r="F138" s="1129"/>
      <c r="G138" s="1129"/>
      <c r="H138" s="1145"/>
    </row>
    <row r="139" spans="1:8" ht="15" x14ac:dyDescent="0.25">
      <c r="A139" s="1127"/>
      <c r="B139" s="1128"/>
      <c r="C139" s="1129"/>
      <c r="D139" s="1129"/>
      <c r="E139" s="1129"/>
      <c r="F139" s="1129"/>
      <c r="G139" s="1129"/>
      <c r="H139" s="1145"/>
    </row>
    <row r="140" spans="1:8" ht="15" x14ac:dyDescent="0.25">
      <c r="A140" s="1127"/>
      <c r="B140" s="1128"/>
      <c r="C140" s="1129"/>
      <c r="D140" s="1129"/>
      <c r="E140" s="1129"/>
      <c r="F140" s="1129"/>
      <c r="G140" s="1129"/>
      <c r="H140" s="1145"/>
    </row>
    <row r="141" spans="1:8" ht="15" x14ac:dyDescent="0.25">
      <c r="A141" s="1127"/>
      <c r="B141" s="1128"/>
      <c r="C141" s="1129"/>
      <c r="D141" s="1129"/>
      <c r="E141" s="1129"/>
      <c r="F141" s="1129"/>
      <c r="G141" s="1129"/>
      <c r="H141" s="1145"/>
    </row>
    <row r="142" spans="1:8" ht="15" x14ac:dyDescent="0.25">
      <c r="A142" s="1127"/>
      <c r="B142" s="1128"/>
      <c r="C142" s="1129"/>
      <c r="D142" s="1129"/>
      <c r="E142" s="1129"/>
      <c r="F142" s="1129"/>
      <c r="G142" s="1129"/>
      <c r="H142" s="1145"/>
    </row>
    <row r="143" spans="1:8" ht="15" x14ac:dyDescent="0.25">
      <c r="A143" s="1127"/>
      <c r="B143" s="1128"/>
      <c r="C143" s="1129"/>
      <c r="D143" s="1129"/>
      <c r="E143" s="1129"/>
      <c r="F143" s="1129"/>
      <c r="G143" s="1129"/>
      <c r="H143" s="1145"/>
    </row>
    <row r="144" spans="1:8" ht="15" x14ac:dyDescent="0.25">
      <c r="A144" s="1127"/>
      <c r="B144" s="1128"/>
      <c r="C144" s="2"/>
      <c r="D144" s="2"/>
      <c r="E144" s="2"/>
      <c r="F144" s="2"/>
      <c r="G144" s="250"/>
      <c r="H144" s="250"/>
    </row>
    <row r="145" spans="1:10" ht="15" x14ac:dyDescent="0.25">
      <c r="A145" s="1127"/>
      <c r="B145" s="1128"/>
      <c r="C145" s="2"/>
      <c r="D145" s="2"/>
      <c r="E145" s="2"/>
      <c r="F145" s="2"/>
      <c r="G145" s="250"/>
      <c r="H145" s="250"/>
    </row>
    <row r="146" spans="1:10" ht="15" x14ac:dyDescent="0.25">
      <c r="A146" s="1127"/>
      <c r="B146" s="1128"/>
      <c r="C146" s="2"/>
      <c r="D146" s="2"/>
      <c r="E146" s="2"/>
      <c r="F146" s="2"/>
      <c r="G146" s="250"/>
      <c r="H146" s="250"/>
    </row>
    <row r="147" spans="1:10" ht="15" x14ac:dyDescent="0.25">
      <c r="A147" s="1127"/>
      <c r="B147" s="1128"/>
      <c r="C147" s="2"/>
      <c r="D147" s="2"/>
      <c r="E147" s="2"/>
      <c r="F147" s="2"/>
      <c r="G147" s="250"/>
      <c r="H147" s="250"/>
    </row>
    <row r="148" spans="1:10" ht="15" x14ac:dyDescent="0.25">
      <c r="A148" s="1127"/>
      <c r="B148" s="1128"/>
      <c r="C148" s="2"/>
      <c r="D148" s="2"/>
      <c r="E148" s="2"/>
      <c r="F148" s="2"/>
      <c r="G148" s="250"/>
      <c r="H148" s="250"/>
    </row>
    <row r="149" spans="1:10" ht="15" x14ac:dyDescent="0.25">
      <c r="A149" s="1127"/>
      <c r="B149" s="1128"/>
      <c r="C149" s="2"/>
      <c r="D149" s="2"/>
      <c r="E149" s="2"/>
      <c r="F149" s="2"/>
      <c r="G149" s="250"/>
      <c r="H149" s="250"/>
    </row>
    <row r="150" spans="1:10" ht="15" x14ac:dyDescent="0.25">
      <c r="A150" s="1127"/>
      <c r="B150" s="1128"/>
      <c r="C150" s="2"/>
      <c r="D150" s="2"/>
      <c r="E150" s="2"/>
      <c r="F150" s="2"/>
      <c r="G150" s="250"/>
      <c r="H150" s="250"/>
      <c r="J150" s="2">
        <f>8/12</f>
        <v>0.66666666666666663</v>
      </c>
    </row>
    <row r="151" spans="1:10" ht="15" x14ac:dyDescent="0.25">
      <c r="A151" s="1127"/>
      <c r="B151" s="1128"/>
      <c r="C151" s="2"/>
      <c r="D151" s="2"/>
      <c r="E151" s="2"/>
      <c r="F151" s="2"/>
      <c r="G151" s="250"/>
      <c r="H151" s="250"/>
    </row>
    <row r="152" spans="1:10" ht="15" x14ac:dyDescent="0.25">
      <c r="A152" s="1127"/>
      <c r="B152" s="1128"/>
      <c r="C152" s="2"/>
      <c r="D152" s="2"/>
      <c r="E152" s="2"/>
      <c r="F152" s="2"/>
      <c r="G152" s="250"/>
      <c r="H152" s="250"/>
    </row>
    <row r="153" spans="1:10" ht="15" x14ac:dyDescent="0.25">
      <c r="A153" s="1127"/>
      <c r="B153" s="1128"/>
      <c r="C153" s="2"/>
      <c r="D153" s="2"/>
      <c r="E153" s="2"/>
      <c r="F153" s="2"/>
      <c r="G153" s="250"/>
      <c r="H153" s="250"/>
    </row>
    <row r="154" spans="1:10" ht="15" x14ac:dyDescent="0.25">
      <c r="A154" s="1127"/>
      <c r="B154" s="1128"/>
      <c r="C154" s="2"/>
      <c r="D154" s="2"/>
      <c r="E154" s="2"/>
      <c r="F154" s="2"/>
      <c r="G154" s="250"/>
      <c r="H154" s="250"/>
    </row>
    <row r="155" spans="1:10" ht="15" x14ac:dyDescent="0.25">
      <c r="A155" s="1127"/>
      <c r="B155" s="1128"/>
      <c r="C155" s="2"/>
      <c r="D155" s="2"/>
      <c r="E155" s="2"/>
      <c r="F155" s="2"/>
      <c r="G155" s="250"/>
      <c r="H155" s="250"/>
    </row>
    <row r="156" spans="1:10" ht="15" x14ac:dyDescent="0.25">
      <c r="A156" s="1127"/>
      <c r="B156" s="1128"/>
      <c r="C156" s="2"/>
      <c r="D156" s="2"/>
      <c r="E156" s="2"/>
      <c r="F156" s="2"/>
      <c r="G156" s="250"/>
      <c r="H156" s="250"/>
    </row>
    <row r="157" spans="1:10" ht="15" x14ac:dyDescent="0.25">
      <c r="A157" s="1127"/>
      <c r="B157" s="1128"/>
      <c r="C157" s="2"/>
      <c r="D157" s="2"/>
      <c r="E157" s="2"/>
      <c r="F157" s="2"/>
      <c r="G157" s="250"/>
      <c r="H157" s="250"/>
    </row>
    <row r="158" spans="1:10" ht="15" x14ac:dyDescent="0.25">
      <c r="A158" s="1127"/>
      <c r="B158" s="1128"/>
      <c r="C158" s="2"/>
      <c r="D158" s="2"/>
      <c r="E158" s="2"/>
      <c r="F158" s="2"/>
      <c r="G158" s="250"/>
      <c r="H158" s="250"/>
    </row>
    <row r="159" spans="1:10" ht="15" x14ac:dyDescent="0.25">
      <c r="A159" s="1127"/>
      <c r="B159" s="1128"/>
      <c r="C159" s="2"/>
      <c r="D159" s="2"/>
      <c r="E159" s="2"/>
      <c r="F159" s="2"/>
      <c r="G159" s="250"/>
      <c r="H159" s="250"/>
    </row>
    <row r="160" spans="1:10" ht="15" x14ac:dyDescent="0.25">
      <c r="A160" s="1127"/>
      <c r="B160" s="1128"/>
      <c r="C160" s="2"/>
      <c r="D160" s="2"/>
      <c r="E160" s="2"/>
      <c r="F160" s="2"/>
      <c r="G160" s="250"/>
      <c r="H160" s="250"/>
    </row>
    <row r="161" spans="1:8" ht="15" x14ac:dyDescent="0.25">
      <c r="A161" s="1127"/>
      <c r="B161" s="1128"/>
      <c r="C161" s="2"/>
      <c r="D161" s="2"/>
      <c r="E161" s="2"/>
      <c r="F161" s="2"/>
      <c r="G161" s="250"/>
      <c r="H161" s="250"/>
    </row>
    <row r="162" spans="1:8" ht="15" x14ac:dyDescent="0.25">
      <c r="A162" s="1127"/>
      <c r="B162" s="1128"/>
      <c r="C162" s="2"/>
      <c r="D162" s="2"/>
      <c r="E162" s="2"/>
      <c r="F162" s="2"/>
      <c r="G162" s="250"/>
      <c r="H162" s="250"/>
    </row>
    <row r="163" spans="1:8" ht="15" x14ac:dyDescent="0.25">
      <c r="A163" s="1127"/>
      <c r="B163" s="1128"/>
      <c r="C163" s="2"/>
      <c r="D163" s="2"/>
      <c r="E163" s="2"/>
      <c r="F163" s="2"/>
      <c r="G163" s="250"/>
      <c r="H163" s="250"/>
    </row>
    <row r="164" spans="1:8" ht="15" x14ac:dyDescent="0.25">
      <c r="A164" s="1127"/>
      <c r="B164" s="1128"/>
      <c r="C164" s="2"/>
      <c r="D164" s="2"/>
      <c r="E164" s="2"/>
      <c r="F164" s="2"/>
      <c r="G164" s="250"/>
      <c r="H164" s="250"/>
    </row>
    <row r="165" spans="1:8" ht="15" x14ac:dyDescent="0.25">
      <c r="A165" s="1127"/>
      <c r="B165" s="1128"/>
      <c r="C165" s="2"/>
      <c r="D165" s="2"/>
      <c r="E165" s="2"/>
      <c r="F165" s="2"/>
      <c r="G165" s="250"/>
      <c r="H165" s="250"/>
    </row>
    <row r="166" spans="1:8" ht="15" x14ac:dyDescent="0.25">
      <c r="A166" s="1127"/>
      <c r="B166" s="1128"/>
      <c r="C166" s="2"/>
      <c r="D166" s="2"/>
      <c r="E166" s="2"/>
      <c r="F166" s="2"/>
      <c r="G166" s="250"/>
      <c r="H166" s="250"/>
    </row>
    <row r="167" spans="1:8" ht="15" x14ac:dyDescent="0.25">
      <c r="A167" s="1127"/>
      <c r="B167" s="1128"/>
      <c r="C167" s="2"/>
      <c r="D167" s="2"/>
      <c r="E167" s="2"/>
      <c r="F167" s="2"/>
      <c r="G167" s="250"/>
      <c r="H167" s="250"/>
    </row>
    <row r="168" spans="1:8" ht="15" x14ac:dyDescent="0.25">
      <c r="A168" s="1127"/>
      <c r="B168" s="1128"/>
      <c r="C168" s="2"/>
      <c r="D168" s="2"/>
      <c r="E168" s="2"/>
      <c r="F168" s="2"/>
      <c r="G168" s="250"/>
      <c r="H168" s="250"/>
    </row>
    <row r="169" spans="1:8" ht="15" x14ac:dyDescent="0.25">
      <c r="A169" s="1127"/>
      <c r="B169" s="1128"/>
      <c r="C169" s="2"/>
      <c r="D169" s="2"/>
      <c r="E169" s="2"/>
      <c r="F169" s="2"/>
      <c r="G169" s="250"/>
      <c r="H169" s="250"/>
    </row>
    <row r="170" spans="1:8" ht="15" x14ac:dyDescent="0.25">
      <c r="A170" s="1127"/>
      <c r="B170" s="1128"/>
      <c r="C170" s="2"/>
      <c r="D170" s="2"/>
      <c r="E170" s="2"/>
      <c r="F170" s="2"/>
      <c r="G170" s="250"/>
      <c r="H170" s="250"/>
    </row>
    <row r="171" spans="1:8" ht="15" x14ac:dyDescent="0.25">
      <c r="A171" s="1127"/>
      <c r="B171" s="1128"/>
      <c r="C171" s="2"/>
      <c r="D171" s="2"/>
      <c r="E171" s="2"/>
      <c r="F171" s="2"/>
      <c r="G171" s="250"/>
      <c r="H171" s="250"/>
    </row>
    <row r="172" spans="1:8" ht="15" x14ac:dyDescent="0.25">
      <c r="A172" s="1127"/>
      <c r="B172" s="1128"/>
      <c r="C172" s="2"/>
      <c r="D172" s="2"/>
      <c r="E172" s="2"/>
      <c r="F172" s="2"/>
      <c r="G172" s="250"/>
      <c r="H172" s="250"/>
    </row>
    <row r="173" spans="1:8" ht="15" x14ac:dyDescent="0.25">
      <c r="A173" s="1127"/>
      <c r="B173" s="1128"/>
      <c r="C173" s="2"/>
      <c r="D173" s="2"/>
      <c r="E173" s="2"/>
      <c r="F173" s="2"/>
      <c r="G173" s="250"/>
      <c r="H173" s="250"/>
    </row>
    <row r="174" spans="1:8" ht="15" x14ac:dyDescent="0.25">
      <c r="A174" s="1127"/>
      <c r="B174" s="1128"/>
      <c r="C174" s="2"/>
      <c r="D174" s="2"/>
      <c r="E174" s="2"/>
      <c r="F174" s="2"/>
      <c r="G174" s="250"/>
      <c r="H174" s="250"/>
    </row>
    <row r="175" spans="1:8" ht="15" x14ac:dyDescent="0.25">
      <c r="A175" s="1127"/>
      <c r="B175" s="1128"/>
      <c r="C175" s="2"/>
      <c r="D175" s="2"/>
      <c r="E175" s="2"/>
      <c r="F175" s="2"/>
      <c r="G175" s="250"/>
      <c r="H175" s="250"/>
    </row>
    <row r="176" spans="1:8" ht="15" x14ac:dyDescent="0.25">
      <c r="A176" s="1127"/>
      <c r="B176" s="1128"/>
      <c r="C176" s="2"/>
      <c r="D176" s="2"/>
      <c r="E176" s="2"/>
      <c r="F176" s="2"/>
      <c r="G176" s="250"/>
      <c r="H176" s="250"/>
    </row>
    <row r="177" spans="1:8" ht="15" x14ac:dyDescent="0.25">
      <c r="A177" s="1127"/>
      <c r="B177" s="1128"/>
      <c r="C177" s="2"/>
      <c r="D177" s="2"/>
      <c r="E177" s="2"/>
      <c r="F177" s="2"/>
      <c r="G177" s="250"/>
      <c r="H177" s="250"/>
    </row>
    <row r="178" spans="1:8" ht="15" x14ac:dyDescent="0.25">
      <c r="A178" s="1127"/>
      <c r="B178" s="1128"/>
      <c r="C178" s="2"/>
      <c r="D178" s="2"/>
      <c r="E178" s="2"/>
      <c r="F178" s="2"/>
      <c r="G178" s="250"/>
      <c r="H178" s="250"/>
    </row>
    <row r="179" spans="1:8" ht="15" x14ac:dyDescent="0.25">
      <c r="A179" s="1127"/>
      <c r="B179" s="1128"/>
      <c r="C179" s="2"/>
      <c r="D179" s="2"/>
      <c r="E179" s="2"/>
      <c r="F179" s="2"/>
      <c r="G179" s="250"/>
      <c r="H179" s="250"/>
    </row>
    <row r="180" spans="1:8" ht="15" x14ac:dyDescent="0.25">
      <c r="A180" s="1127"/>
      <c r="B180" s="1128"/>
      <c r="C180" s="2"/>
      <c r="D180" s="2"/>
      <c r="E180" s="2"/>
      <c r="F180" s="2"/>
      <c r="G180" s="250"/>
      <c r="H180" s="250"/>
    </row>
    <row r="181" spans="1:8" ht="15" x14ac:dyDescent="0.25">
      <c r="A181" s="1127"/>
      <c r="B181" s="1128"/>
      <c r="C181" s="2"/>
      <c r="D181" s="2"/>
      <c r="E181" s="2"/>
      <c r="F181" s="2"/>
      <c r="G181" s="250"/>
      <c r="H181" s="250"/>
    </row>
    <row r="182" spans="1:8" ht="15" x14ac:dyDescent="0.25">
      <c r="A182" s="1127"/>
      <c r="B182" s="1128"/>
      <c r="C182" s="2"/>
      <c r="D182" s="2"/>
      <c r="E182" s="2"/>
      <c r="F182" s="2"/>
      <c r="G182" s="250"/>
      <c r="H182" s="250"/>
    </row>
    <row r="183" spans="1:8" ht="15" x14ac:dyDescent="0.25">
      <c r="A183" s="1127"/>
      <c r="B183" s="1128"/>
      <c r="C183" s="2"/>
      <c r="D183" s="2"/>
      <c r="E183" s="2"/>
      <c r="F183" s="2"/>
      <c r="G183" s="250"/>
      <c r="H183" s="250"/>
    </row>
    <row r="184" spans="1:8" ht="15" x14ac:dyDescent="0.25">
      <c r="A184" s="1127"/>
      <c r="B184" s="1128"/>
      <c r="C184" s="2"/>
      <c r="D184" s="2"/>
      <c r="E184" s="2"/>
      <c r="F184" s="2"/>
      <c r="G184" s="250"/>
      <c r="H184" s="250"/>
    </row>
    <row r="185" spans="1:8" ht="15" x14ac:dyDescent="0.25">
      <c r="A185" s="1127"/>
      <c r="B185" s="1128"/>
      <c r="C185" s="2"/>
      <c r="D185" s="2"/>
      <c r="E185" s="2"/>
      <c r="F185" s="2"/>
      <c r="G185" s="250"/>
      <c r="H185" s="250"/>
    </row>
    <row r="186" spans="1:8" ht="15" x14ac:dyDescent="0.25">
      <c r="A186" s="1127"/>
      <c r="B186" s="1128"/>
      <c r="C186" s="2"/>
      <c r="D186" s="2"/>
      <c r="E186" s="2"/>
      <c r="F186" s="2"/>
      <c r="G186" s="250"/>
      <c r="H186" s="250"/>
    </row>
    <row r="187" spans="1:8" ht="15" x14ac:dyDescent="0.25">
      <c r="A187" s="1127"/>
      <c r="B187" s="1128"/>
      <c r="C187" s="2"/>
      <c r="D187" s="2"/>
      <c r="E187" s="2"/>
      <c r="F187" s="2"/>
      <c r="G187" s="250"/>
      <c r="H187" s="250"/>
    </row>
    <row r="188" spans="1:8" ht="15" x14ac:dyDescent="0.25">
      <c r="A188" s="1127"/>
      <c r="B188" s="1128"/>
      <c r="C188" s="2"/>
      <c r="D188" s="2"/>
      <c r="E188" s="2"/>
      <c r="F188" s="2"/>
      <c r="G188" s="250"/>
      <c r="H188" s="250"/>
    </row>
    <row r="189" spans="1:8" ht="15" x14ac:dyDescent="0.25">
      <c r="A189" s="1127"/>
      <c r="B189" s="1128"/>
      <c r="C189" s="2"/>
      <c r="D189" s="2"/>
      <c r="E189" s="2"/>
      <c r="F189" s="2"/>
      <c r="G189" s="250"/>
      <c r="H189" s="250"/>
    </row>
    <row r="190" spans="1:8" ht="15" x14ac:dyDescent="0.25">
      <c r="A190" s="1127"/>
      <c r="B190" s="1128"/>
      <c r="C190" s="2"/>
      <c r="D190" s="2"/>
      <c r="E190" s="2"/>
      <c r="F190" s="2"/>
      <c r="G190" s="250"/>
      <c r="H190" s="250"/>
    </row>
    <row r="191" spans="1:8" ht="15" x14ac:dyDescent="0.25">
      <c r="A191" s="1127"/>
      <c r="B191" s="1128"/>
      <c r="C191" s="2"/>
      <c r="D191" s="2"/>
      <c r="E191" s="2"/>
      <c r="F191" s="2"/>
      <c r="G191" s="250"/>
      <c r="H191" s="250"/>
    </row>
    <row r="192" spans="1:8" ht="15" x14ac:dyDescent="0.25">
      <c r="A192" s="1127"/>
      <c r="B192" s="1128"/>
      <c r="C192" s="2"/>
      <c r="D192" s="2"/>
      <c r="E192" s="2"/>
      <c r="F192" s="2"/>
      <c r="G192" s="250"/>
      <c r="H192" s="250"/>
    </row>
    <row r="193" spans="1:8" ht="15" x14ac:dyDescent="0.25">
      <c r="A193" s="1127"/>
      <c r="B193" s="1128"/>
      <c r="C193" s="2"/>
      <c r="D193" s="2"/>
      <c r="E193" s="2"/>
      <c r="F193" s="2"/>
      <c r="G193" s="250"/>
      <c r="H193" s="250"/>
    </row>
    <row r="194" spans="1:8" ht="15" x14ac:dyDescent="0.25">
      <c r="A194" s="1127"/>
      <c r="B194" s="1128"/>
      <c r="C194" s="2"/>
      <c r="D194" s="2"/>
      <c r="E194" s="2"/>
      <c r="F194" s="2"/>
      <c r="G194" s="250"/>
      <c r="H194" s="250"/>
    </row>
    <row r="195" spans="1:8" ht="15" x14ac:dyDescent="0.25">
      <c r="A195" s="1127"/>
      <c r="B195" s="1128"/>
      <c r="C195" s="2"/>
      <c r="D195" s="2"/>
      <c r="E195" s="2"/>
      <c r="F195" s="2"/>
      <c r="G195" s="250"/>
      <c r="H195" s="250"/>
    </row>
    <row r="196" spans="1:8" ht="15" x14ac:dyDescent="0.25">
      <c r="A196" s="1127"/>
      <c r="B196" s="1128"/>
      <c r="C196" s="2"/>
      <c r="D196" s="2"/>
      <c r="E196" s="2"/>
      <c r="F196" s="2"/>
      <c r="G196" s="250"/>
      <c r="H196" s="250"/>
    </row>
    <row r="197" spans="1:8" ht="15" x14ac:dyDescent="0.25">
      <c r="A197" s="1127"/>
      <c r="B197" s="1128"/>
      <c r="C197" s="2"/>
      <c r="D197" s="2"/>
      <c r="E197" s="2"/>
      <c r="F197" s="2"/>
      <c r="G197" s="250"/>
      <c r="H197" s="250"/>
    </row>
    <row r="198" spans="1:8" ht="15" x14ac:dyDescent="0.25">
      <c r="A198" s="1127"/>
      <c r="B198" s="1128"/>
      <c r="C198" s="2"/>
      <c r="D198" s="2"/>
      <c r="E198" s="2"/>
      <c r="F198" s="2"/>
      <c r="G198" s="250"/>
      <c r="H198" s="250"/>
    </row>
    <row r="199" spans="1:8" ht="15" x14ac:dyDescent="0.25">
      <c r="A199" s="1127"/>
      <c r="B199" s="1128"/>
      <c r="C199" s="2"/>
      <c r="D199" s="2"/>
      <c r="E199" s="2"/>
      <c r="F199" s="2"/>
      <c r="G199" s="250"/>
      <c r="H199" s="250"/>
    </row>
    <row r="200" spans="1:8" ht="15" x14ac:dyDescent="0.25">
      <c r="A200" s="1127"/>
      <c r="B200" s="1128"/>
      <c r="C200" s="2"/>
      <c r="D200" s="2"/>
      <c r="E200" s="2"/>
      <c r="F200" s="2"/>
      <c r="G200" s="250"/>
      <c r="H200" s="250"/>
    </row>
    <row r="201" spans="1:8" ht="15" x14ac:dyDescent="0.25">
      <c r="A201" s="1127"/>
      <c r="B201" s="1128"/>
      <c r="C201" s="2"/>
      <c r="D201" s="2"/>
      <c r="E201" s="2"/>
      <c r="F201" s="2"/>
      <c r="G201" s="250"/>
      <c r="H201" s="250"/>
    </row>
    <row r="202" spans="1:8" ht="15" x14ac:dyDescent="0.25">
      <c r="A202" s="1127"/>
      <c r="B202" s="1128"/>
      <c r="C202" s="2"/>
      <c r="D202" s="2"/>
      <c r="E202" s="2"/>
      <c r="F202" s="2"/>
      <c r="G202" s="250"/>
      <c r="H202" s="250"/>
    </row>
    <row r="203" spans="1:8" ht="15" x14ac:dyDescent="0.25">
      <c r="A203" s="1127"/>
      <c r="B203" s="1128"/>
      <c r="C203" s="2"/>
      <c r="D203" s="2"/>
      <c r="E203" s="2"/>
      <c r="F203" s="2"/>
      <c r="G203" s="250"/>
      <c r="H203" s="250"/>
    </row>
    <row r="204" spans="1:8" ht="15" x14ac:dyDescent="0.25">
      <c r="A204" s="1127"/>
      <c r="B204" s="1128"/>
      <c r="C204" s="2"/>
      <c r="D204" s="2"/>
      <c r="E204" s="2"/>
      <c r="F204" s="2"/>
      <c r="G204" s="250"/>
      <c r="H204" s="250"/>
    </row>
    <row r="205" spans="1:8" ht="15" x14ac:dyDescent="0.25">
      <c r="A205" s="1127"/>
      <c r="B205" s="1128"/>
      <c r="C205" s="2"/>
      <c r="D205" s="2"/>
      <c r="E205" s="2"/>
      <c r="F205" s="2"/>
      <c r="G205" s="250"/>
      <c r="H205" s="250"/>
    </row>
    <row r="206" spans="1:8" ht="15" x14ac:dyDescent="0.25">
      <c r="A206" s="1127"/>
      <c r="B206" s="1128"/>
      <c r="C206" s="2"/>
      <c r="D206" s="2"/>
      <c r="E206" s="2"/>
      <c r="F206" s="2"/>
      <c r="G206" s="250"/>
      <c r="H206" s="250"/>
    </row>
    <row r="207" spans="1:8" ht="15" x14ac:dyDescent="0.25">
      <c r="A207" s="1127"/>
      <c r="B207" s="1128"/>
      <c r="C207" s="2"/>
      <c r="D207" s="2"/>
      <c r="E207" s="2"/>
      <c r="F207" s="2"/>
      <c r="G207" s="250"/>
      <c r="H207" s="250"/>
    </row>
    <row r="208" spans="1:8" ht="15" x14ac:dyDescent="0.25">
      <c r="A208" s="1127"/>
      <c r="B208" s="1128"/>
      <c r="C208" s="2"/>
      <c r="D208" s="2"/>
      <c r="E208" s="2"/>
      <c r="F208" s="2"/>
      <c r="G208" s="250"/>
      <c r="H208" s="250"/>
    </row>
    <row r="209" spans="1:8" ht="15" x14ac:dyDescent="0.25">
      <c r="A209" s="1127"/>
      <c r="B209" s="1128"/>
      <c r="C209" s="2"/>
      <c r="D209" s="2"/>
      <c r="E209" s="2"/>
      <c r="F209" s="2"/>
      <c r="G209" s="250"/>
      <c r="H209" s="250"/>
    </row>
    <row r="210" spans="1:8" ht="15" x14ac:dyDescent="0.25">
      <c r="A210" s="1127"/>
      <c r="B210" s="1128"/>
      <c r="C210" s="2"/>
      <c r="D210" s="2"/>
      <c r="E210" s="2"/>
      <c r="F210" s="2"/>
      <c r="G210" s="250"/>
      <c r="H210" s="250"/>
    </row>
    <row r="211" spans="1:8" ht="15" x14ac:dyDescent="0.25">
      <c r="A211" s="1127"/>
      <c r="B211" s="1128"/>
      <c r="C211" s="2"/>
      <c r="D211" s="2"/>
      <c r="E211" s="2"/>
      <c r="F211" s="2"/>
      <c r="G211" s="250"/>
      <c r="H211" s="250"/>
    </row>
    <row r="212" spans="1:8" ht="15" x14ac:dyDescent="0.25">
      <c r="A212" s="1127"/>
      <c r="B212" s="1128"/>
      <c r="C212" s="2"/>
      <c r="D212" s="2"/>
      <c r="E212" s="2"/>
      <c r="F212" s="2"/>
      <c r="G212" s="250"/>
      <c r="H212" s="250"/>
    </row>
    <row r="213" spans="1:8" ht="15" x14ac:dyDescent="0.25">
      <c r="A213" s="1127"/>
      <c r="B213" s="1128"/>
      <c r="C213" s="2"/>
      <c r="D213" s="2"/>
      <c r="E213" s="2"/>
      <c r="F213" s="2"/>
      <c r="G213" s="250"/>
      <c r="H213" s="250"/>
    </row>
    <row r="214" spans="1:8" ht="15" x14ac:dyDescent="0.25">
      <c r="A214" s="1127"/>
      <c r="B214" s="1128"/>
      <c r="C214" s="2"/>
      <c r="D214" s="2"/>
      <c r="E214" s="2"/>
      <c r="F214" s="2"/>
      <c r="G214" s="250"/>
      <c r="H214" s="250"/>
    </row>
    <row r="215" spans="1:8" ht="15" x14ac:dyDescent="0.25">
      <c r="A215" s="1127"/>
      <c r="B215" s="1128"/>
      <c r="C215" s="2"/>
      <c r="D215" s="2"/>
      <c r="E215" s="2"/>
      <c r="F215" s="2"/>
      <c r="G215" s="250"/>
      <c r="H215" s="250"/>
    </row>
    <row r="216" spans="1:8" ht="15" x14ac:dyDescent="0.25">
      <c r="A216" s="1127"/>
      <c r="B216" s="1128"/>
      <c r="C216" s="2"/>
      <c r="D216" s="2"/>
      <c r="E216" s="2"/>
      <c r="F216" s="2"/>
      <c r="G216" s="250"/>
      <c r="H216" s="250"/>
    </row>
    <row r="217" spans="1:8" ht="15" x14ac:dyDescent="0.25">
      <c r="A217" s="1127"/>
      <c r="B217" s="1128"/>
      <c r="C217" s="2"/>
      <c r="D217" s="2"/>
      <c r="E217" s="2"/>
      <c r="F217" s="2"/>
      <c r="G217" s="250"/>
      <c r="H217" s="250"/>
    </row>
    <row r="218" spans="1:8" ht="15" x14ac:dyDescent="0.25">
      <c r="A218" s="1127"/>
      <c r="B218" s="1128"/>
      <c r="C218" s="2"/>
      <c r="D218" s="2"/>
      <c r="E218" s="2"/>
      <c r="F218" s="2"/>
      <c r="G218" s="250"/>
      <c r="H218" s="250"/>
    </row>
    <row r="219" spans="1:8" ht="15" x14ac:dyDescent="0.25">
      <c r="A219" s="1127"/>
      <c r="B219" s="1128"/>
      <c r="C219" s="2"/>
      <c r="D219" s="2"/>
      <c r="E219" s="2"/>
      <c r="F219" s="2"/>
      <c r="G219" s="250"/>
      <c r="H219" s="250"/>
    </row>
    <row r="220" spans="1:8" ht="15" x14ac:dyDescent="0.25">
      <c r="A220" s="1127"/>
      <c r="B220" s="1128"/>
      <c r="C220" s="2"/>
      <c r="D220" s="2"/>
      <c r="E220" s="2"/>
      <c r="F220" s="2"/>
      <c r="G220" s="250"/>
      <c r="H220" s="250"/>
    </row>
    <row r="221" spans="1:8" ht="15" x14ac:dyDescent="0.25">
      <c r="A221" s="1127"/>
      <c r="B221" s="1128"/>
      <c r="C221" s="2"/>
      <c r="D221" s="2"/>
      <c r="E221" s="2"/>
      <c r="F221" s="2"/>
      <c r="G221" s="250"/>
      <c r="H221" s="250"/>
    </row>
    <row r="222" spans="1:8" ht="15" x14ac:dyDescent="0.25">
      <c r="A222" s="1127"/>
      <c r="B222" s="1128"/>
      <c r="C222" s="2"/>
      <c r="D222" s="2"/>
      <c r="E222" s="2"/>
      <c r="F222" s="2"/>
      <c r="G222" s="250"/>
      <c r="H222" s="250"/>
    </row>
    <row r="223" spans="1:8" ht="15" x14ac:dyDescent="0.25">
      <c r="A223" s="1127"/>
      <c r="B223" s="1128"/>
      <c r="C223" s="2"/>
      <c r="D223" s="2"/>
      <c r="E223" s="2"/>
      <c r="F223" s="2"/>
      <c r="G223" s="250"/>
      <c r="H223" s="250"/>
    </row>
    <row r="224" spans="1:8" ht="15" x14ac:dyDescent="0.25">
      <c r="A224" s="1127"/>
      <c r="B224" s="1128"/>
      <c r="C224" s="2"/>
      <c r="D224" s="2"/>
      <c r="E224" s="2"/>
      <c r="F224" s="2"/>
      <c r="G224" s="250"/>
      <c r="H224" s="250"/>
    </row>
    <row r="225" spans="1:8" ht="15" x14ac:dyDescent="0.25">
      <c r="A225" s="1127"/>
      <c r="B225" s="1128"/>
      <c r="C225" s="2"/>
      <c r="D225" s="2"/>
      <c r="E225" s="2"/>
      <c r="F225" s="2"/>
      <c r="G225" s="250"/>
      <c r="H225" s="250"/>
    </row>
    <row r="226" spans="1:8" ht="15" x14ac:dyDescent="0.25">
      <c r="A226" s="1127"/>
      <c r="B226" s="1128"/>
      <c r="C226" s="2"/>
      <c r="D226" s="2"/>
      <c r="E226" s="2"/>
      <c r="F226" s="2"/>
      <c r="G226" s="250"/>
      <c r="H226" s="250"/>
    </row>
    <row r="227" spans="1:8" ht="15" x14ac:dyDescent="0.25">
      <c r="A227" s="1127"/>
      <c r="B227" s="1128"/>
      <c r="C227" s="2"/>
      <c r="D227" s="2"/>
      <c r="E227" s="2"/>
      <c r="F227" s="2"/>
      <c r="G227" s="250"/>
      <c r="H227" s="250"/>
    </row>
    <row r="228" spans="1:8" ht="15" x14ac:dyDescent="0.25">
      <c r="A228" s="1127"/>
      <c r="B228" s="1128"/>
      <c r="C228" s="2"/>
      <c r="D228" s="2"/>
      <c r="E228" s="2"/>
      <c r="F228" s="2"/>
      <c r="G228" s="250"/>
      <c r="H228" s="250"/>
    </row>
    <row r="229" spans="1:8" ht="15" x14ac:dyDescent="0.25">
      <c r="A229" s="1127"/>
      <c r="B229" s="1128"/>
      <c r="C229" s="2"/>
      <c r="D229" s="2"/>
      <c r="E229" s="2"/>
      <c r="F229" s="2"/>
      <c r="G229" s="250"/>
      <c r="H229" s="250"/>
    </row>
    <row r="230" spans="1:8" ht="15" x14ac:dyDescent="0.25">
      <c r="A230" s="1127"/>
      <c r="B230" s="1128"/>
      <c r="C230" s="2"/>
      <c r="D230" s="2"/>
      <c r="E230" s="2"/>
      <c r="F230" s="2"/>
      <c r="G230" s="250"/>
      <c r="H230" s="250"/>
    </row>
    <row r="231" spans="1:8" ht="15" x14ac:dyDescent="0.25">
      <c r="A231" s="1127"/>
      <c r="B231" s="1128"/>
      <c r="C231" s="2"/>
      <c r="D231" s="2"/>
      <c r="E231" s="2"/>
      <c r="F231" s="2"/>
      <c r="G231" s="250"/>
      <c r="H231" s="250"/>
    </row>
    <row r="232" spans="1:8" ht="15" x14ac:dyDescent="0.25">
      <c r="A232" s="1127"/>
      <c r="B232" s="1128"/>
      <c r="C232" s="2"/>
      <c r="D232" s="2"/>
      <c r="E232" s="2"/>
      <c r="F232" s="2"/>
      <c r="G232" s="250"/>
      <c r="H232" s="250"/>
    </row>
    <row r="233" spans="1:8" ht="15" x14ac:dyDescent="0.25">
      <c r="A233" s="1127"/>
      <c r="B233" s="1128"/>
      <c r="C233" s="2"/>
      <c r="D233" s="2"/>
      <c r="E233" s="2"/>
      <c r="F233" s="2"/>
      <c r="G233" s="250"/>
      <c r="H233" s="250"/>
    </row>
    <row r="234" spans="1:8" ht="15" x14ac:dyDescent="0.25">
      <c r="A234" s="1127"/>
      <c r="B234" s="1128"/>
      <c r="C234" s="2"/>
      <c r="D234" s="2"/>
      <c r="E234" s="2"/>
      <c r="F234" s="2"/>
      <c r="G234" s="250"/>
      <c r="H234" s="250"/>
    </row>
    <row r="235" spans="1:8" ht="15" x14ac:dyDescent="0.25">
      <c r="A235" s="1127"/>
      <c r="B235" s="1128"/>
      <c r="C235" s="2"/>
      <c r="D235" s="2"/>
      <c r="E235" s="2"/>
      <c r="F235" s="2"/>
      <c r="G235" s="250"/>
      <c r="H235" s="250"/>
    </row>
    <row r="236" spans="1:8" ht="15" x14ac:dyDescent="0.25">
      <c r="A236" s="1127"/>
      <c r="B236" s="1128"/>
      <c r="C236" s="2"/>
      <c r="D236" s="2"/>
      <c r="E236" s="2"/>
      <c r="F236" s="2"/>
      <c r="G236" s="250"/>
      <c r="H236" s="250"/>
    </row>
    <row r="237" spans="1:8" ht="15" x14ac:dyDescent="0.25">
      <c r="A237" s="1127"/>
      <c r="B237" s="1128"/>
      <c r="C237" s="2"/>
      <c r="D237" s="2"/>
      <c r="E237" s="2"/>
      <c r="F237" s="2"/>
      <c r="G237" s="250"/>
      <c r="H237" s="250"/>
    </row>
    <row r="238" spans="1:8" ht="15" x14ac:dyDescent="0.25">
      <c r="A238" s="1127"/>
      <c r="B238" s="1128"/>
      <c r="C238" s="2"/>
      <c r="D238" s="2"/>
      <c r="E238" s="2"/>
      <c r="F238" s="2"/>
      <c r="G238" s="250"/>
      <c r="H238" s="250"/>
    </row>
    <row r="239" spans="1:8" ht="15" x14ac:dyDescent="0.25">
      <c r="A239" s="1127"/>
      <c r="B239" s="1128"/>
      <c r="C239" s="2"/>
      <c r="D239" s="2"/>
      <c r="E239" s="2"/>
      <c r="F239" s="2"/>
      <c r="G239" s="250"/>
      <c r="H239" s="250"/>
    </row>
    <row r="240" spans="1:8" ht="15" x14ac:dyDescent="0.25">
      <c r="A240" s="1127"/>
      <c r="B240" s="1128"/>
      <c r="C240" s="2"/>
      <c r="D240" s="2"/>
      <c r="E240" s="2"/>
      <c r="F240" s="2"/>
      <c r="G240" s="250"/>
      <c r="H240" s="250"/>
    </row>
    <row r="241" spans="1:8" ht="15" x14ac:dyDescent="0.25">
      <c r="A241" s="1127"/>
      <c r="B241" s="1128"/>
      <c r="C241" s="2"/>
      <c r="D241" s="2"/>
      <c r="E241" s="2"/>
      <c r="F241" s="2"/>
      <c r="G241" s="250"/>
      <c r="H241" s="250"/>
    </row>
    <row r="242" spans="1:8" ht="15" x14ac:dyDescent="0.25">
      <c r="A242" s="1127"/>
      <c r="B242" s="1128"/>
      <c r="C242" s="2"/>
      <c r="D242" s="2"/>
      <c r="E242" s="2"/>
      <c r="F242" s="2"/>
      <c r="G242" s="250"/>
      <c r="H242" s="250"/>
    </row>
    <row r="243" spans="1:8" ht="15" x14ac:dyDescent="0.25">
      <c r="A243" s="1127"/>
      <c r="B243" s="1128"/>
      <c r="C243" s="2"/>
      <c r="D243" s="2"/>
      <c r="E243" s="2"/>
      <c r="F243" s="2"/>
      <c r="G243" s="250"/>
      <c r="H243" s="250"/>
    </row>
    <row r="244" spans="1:8" ht="15" x14ac:dyDescent="0.25">
      <c r="A244" s="1127"/>
      <c r="B244" s="1128"/>
      <c r="C244" s="2"/>
      <c r="D244" s="2"/>
      <c r="E244" s="2"/>
      <c r="F244" s="2"/>
      <c r="G244" s="250"/>
      <c r="H244" s="250"/>
    </row>
    <row r="245" spans="1:8" ht="15" x14ac:dyDescent="0.25">
      <c r="A245" s="1127"/>
      <c r="B245" s="1128"/>
      <c r="C245" s="2"/>
      <c r="D245" s="2"/>
      <c r="E245" s="2"/>
      <c r="F245" s="2"/>
      <c r="G245" s="250"/>
      <c r="H245" s="250"/>
    </row>
    <row r="246" spans="1:8" ht="15" x14ac:dyDescent="0.25">
      <c r="A246" s="1127"/>
      <c r="B246" s="1128"/>
      <c r="C246" s="2"/>
      <c r="D246" s="2"/>
      <c r="E246" s="2"/>
      <c r="F246" s="2"/>
      <c r="G246" s="250"/>
      <c r="H246" s="250"/>
    </row>
    <row r="247" spans="1:8" ht="15" x14ac:dyDescent="0.25">
      <c r="A247" s="1127"/>
      <c r="B247" s="1128"/>
      <c r="C247" s="2"/>
      <c r="D247" s="2"/>
      <c r="E247" s="2"/>
      <c r="F247" s="2"/>
      <c r="G247" s="250"/>
      <c r="H247" s="250"/>
    </row>
    <row r="248" spans="1:8" ht="15" x14ac:dyDescent="0.25">
      <c r="A248" s="1127"/>
      <c r="B248" s="1128"/>
      <c r="C248" s="2"/>
      <c r="D248" s="2"/>
      <c r="E248" s="2"/>
      <c r="F248" s="2"/>
      <c r="G248" s="250"/>
      <c r="H248" s="250"/>
    </row>
    <row r="249" spans="1:8" ht="15" x14ac:dyDescent="0.25">
      <c r="A249" s="1127"/>
      <c r="B249" s="1128"/>
      <c r="C249" s="2"/>
      <c r="D249" s="2"/>
      <c r="E249" s="2"/>
      <c r="F249" s="2"/>
      <c r="G249" s="250"/>
      <c r="H249" s="250"/>
    </row>
    <row r="250" spans="1:8" ht="15" x14ac:dyDescent="0.25">
      <c r="A250" s="1127"/>
      <c r="B250" s="1128"/>
      <c r="C250" s="2"/>
      <c r="D250" s="2"/>
      <c r="E250" s="2"/>
      <c r="F250" s="2"/>
      <c r="G250" s="250"/>
      <c r="H250" s="250"/>
    </row>
    <row r="251" spans="1:8" ht="15" x14ac:dyDescent="0.25">
      <c r="A251" s="1127"/>
      <c r="B251" s="1128"/>
      <c r="C251" s="2"/>
      <c r="D251" s="2"/>
      <c r="E251" s="2"/>
      <c r="F251" s="2"/>
      <c r="G251" s="250"/>
      <c r="H251" s="250"/>
    </row>
    <row r="252" spans="1:8" ht="15" x14ac:dyDescent="0.25">
      <c r="A252" s="1127"/>
      <c r="B252" s="1128"/>
      <c r="C252" s="2"/>
      <c r="D252" s="2"/>
      <c r="E252" s="2"/>
      <c r="F252" s="2"/>
      <c r="G252" s="250"/>
      <c r="H252" s="250"/>
    </row>
    <row r="253" spans="1:8" ht="15" x14ac:dyDescent="0.25">
      <c r="A253" s="1127"/>
      <c r="B253" s="1128"/>
      <c r="C253" s="2"/>
      <c r="D253" s="2"/>
      <c r="E253" s="2"/>
      <c r="F253" s="2"/>
      <c r="G253" s="250"/>
      <c r="H253" s="250"/>
    </row>
  </sheetData>
  <phoneticPr fontId="0" type="noConversion"/>
  <conditionalFormatting sqref="B2:B237">
    <cfRule type="expression" dxfId="0" priority="1" stopIfTrue="1">
      <formula>DECALER(Point0_N,LIGNE()-1,0)&gt;0</formula>
    </cfRule>
  </conditionalFormatting>
  <pageMargins left="0.78740157499999996" right="0.78740157499999996" top="0.984251969" bottom="0.984251969" header="0.4921259845" footer="0.4921259845"/>
  <pageSetup paperSize="9" scale="34"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
    <tabColor rgb="FFFF0000"/>
    <pageSetUpPr fitToPage="1"/>
  </sheetPr>
  <dimension ref="A1:Q615"/>
  <sheetViews>
    <sheetView workbookViewId="0">
      <selection activeCell="G12" sqref="G12"/>
    </sheetView>
  </sheetViews>
  <sheetFormatPr baseColWidth="10" defaultColWidth="12" defaultRowHeight="12.75" x14ac:dyDescent="0.2"/>
  <cols>
    <col min="1" max="1" width="8.6640625" style="2" bestFit="1" customWidth="1"/>
    <col min="2" max="2" width="31" style="2" customWidth="1"/>
    <col min="3" max="3" width="19" style="16" bestFit="1" customWidth="1"/>
    <col min="4" max="4" width="18.6640625" style="16" bestFit="1" customWidth="1"/>
    <col min="5" max="5" width="20.1640625" style="16" bestFit="1" customWidth="1"/>
    <col min="6" max="6" width="19.33203125" style="16" bestFit="1" customWidth="1"/>
    <col min="7" max="7" width="19" style="16" bestFit="1" customWidth="1"/>
    <col min="8" max="8" width="17.33203125" style="16" bestFit="1" customWidth="1"/>
    <col min="9" max="10" width="12" style="2"/>
    <col min="11" max="12" width="21.1640625" style="250" bestFit="1" customWidth="1"/>
    <col min="13" max="13" width="19.33203125" style="250" bestFit="1" customWidth="1"/>
    <col min="14" max="14" width="13.33203125" style="2" bestFit="1" customWidth="1"/>
    <col min="15" max="16" width="17.33203125" style="2" bestFit="1" customWidth="1"/>
    <col min="17" max="17" width="15" style="2" bestFit="1" customWidth="1"/>
    <col min="18" max="16384" width="12" style="2"/>
  </cols>
  <sheetData>
    <row r="1" spans="1:17" s="492" customFormat="1" ht="13.5" x14ac:dyDescent="0.25">
      <c r="A1" s="491" t="s">
        <v>229</v>
      </c>
      <c r="B1" s="491" t="s">
        <v>230</v>
      </c>
      <c r="C1" s="591" t="s">
        <v>939</v>
      </c>
      <c r="D1" s="591" t="s">
        <v>940</v>
      </c>
      <c r="E1" s="591" t="s">
        <v>226</v>
      </c>
      <c r="F1" s="591" t="s">
        <v>227</v>
      </c>
      <c r="G1" s="591" t="s">
        <v>941</v>
      </c>
      <c r="H1" s="591" t="s">
        <v>942</v>
      </c>
      <c r="I1" s="1097" t="s">
        <v>380</v>
      </c>
      <c r="K1" s="493" t="s">
        <v>897</v>
      </c>
      <c r="L1" s="493" t="s">
        <v>898</v>
      </c>
      <c r="M1" s="493" t="s">
        <v>228</v>
      </c>
    </row>
    <row r="2" spans="1:17" x14ac:dyDescent="0.2">
      <c r="A2" s="495" t="str">
        <f>FIXED('Balance N'!A2,0,1)</f>
        <v>0</v>
      </c>
      <c r="B2" s="494">
        <f>+'Balance N'!B2</f>
        <v>0</v>
      </c>
      <c r="C2" s="592">
        <f>ROUND('Balance N'!C2,2)</f>
        <v>0</v>
      </c>
      <c r="D2" s="592">
        <f>ROUND('Balance N'!D2,2)</f>
        <v>0</v>
      </c>
      <c r="E2" s="592">
        <f>ROUND('Balance N'!E2,2)</f>
        <v>0</v>
      </c>
      <c r="F2" s="592">
        <f>ROUND('Balance N'!F2,2)</f>
        <v>0</v>
      </c>
      <c r="G2" s="592">
        <f>ROUND('Balance N'!G2,2)</f>
        <v>0</v>
      </c>
      <c r="H2" s="592">
        <f>ROUND('Balance N'!H2,2)</f>
        <v>0</v>
      </c>
      <c r="I2" s="2" t="str">
        <f>MID(A2,1,1)</f>
        <v>0</v>
      </c>
      <c r="J2" s="496">
        <v>1</v>
      </c>
      <c r="K2" s="629">
        <f>SUMIF(I:I,J2,C:C)</f>
        <v>0</v>
      </c>
      <c r="L2" s="629">
        <f>SUMIF(I:I,J2,D:D)</f>
        <v>0</v>
      </c>
      <c r="M2" s="629">
        <f>+K2-L2</f>
        <v>0</v>
      </c>
      <c r="N2" s="250">
        <f>+M2</f>
        <v>0</v>
      </c>
    </row>
    <row r="3" spans="1:17" x14ac:dyDescent="0.2">
      <c r="A3" s="495" t="str">
        <f>FIXED('Balance N'!A3,0,1)</f>
        <v>0</v>
      </c>
      <c r="B3" s="494">
        <f>+'Balance N'!B3</f>
        <v>0</v>
      </c>
      <c r="C3" s="592">
        <f>ROUND('Balance N'!C3,2)</f>
        <v>0</v>
      </c>
      <c r="D3" s="592">
        <f>ROUND('Balance N'!D3,2)</f>
        <v>0</v>
      </c>
      <c r="E3" s="592">
        <f>ROUND('Balance N'!E3,2)</f>
        <v>0</v>
      </c>
      <c r="F3" s="592">
        <f>ROUND('Balance N'!F3,2)</f>
        <v>0</v>
      </c>
      <c r="G3" s="592">
        <f>ROUND('Balance N'!G3,2)</f>
        <v>0</v>
      </c>
      <c r="H3" s="592">
        <f>ROUND('Balance N'!H3,2)</f>
        <v>0</v>
      </c>
      <c r="I3" s="2" t="str">
        <f>MID(A3,1,1)</f>
        <v>0</v>
      </c>
      <c r="J3" s="496">
        <v>2</v>
      </c>
      <c r="K3" s="629">
        <f t="shared" ref="K3:K9" si="0">SUMIF(I:I,J3,C:C)</f>
        <v>0</v>
      </c>
      <c r="L3" s="629">
        <f t="shared" ref="L3:L9" si="1">SUMIF(I:I,J3,D:D)</f>
        <v>0</v>
      </c>
      <c r="M3" s="629">
        <f t="shared" ref="M3:M9" si="2">+K3-L3</f>
        <v>0</v>
      </c>
      <c r="N3" s="250">
        <f>+N2+M3</f>
        <v>0</v>
      </c>
    </row>
    <row r="4" spans="1:17" x14ac:dyDescent="0.2">
      <c r="A4" s="495" t="str">
        <f>FIXED('Balance N'!A4,0,1)</f>
        <v>0</v>
      </c>
      <c r="B4" s="494">
        <f>+'Balance N'!B4</f>
        <v>0</v>
      </c>
      <c r="C4" s="592">
        <f>ROUND('Balance N'!C4,2)</f>
        <v>0</v>
      </c>
      <c r="D4" s="592">
        <f>ROUND('Balance N'!D4,2)</f>
        <v>0</v>
      </c>
      <c r="E4" s="592">
        <f>ROUND('Balance N'!E4,2)</f>
        <v>0</v>
      </c>
      <c r="F4" s="592">
        <f>ROUND('Balance N'!F4,2)</f>
        <v>0</v>
      </c>
      <c r="G4" s="592">
        <f>ROUND('Balance N'!G4,2)</f>
        <v>0</v>
      </c>
      <c r="H4" s="592">
        <f>ROUND('Balance N'!H4,2)</f>
        <v>0</v>
      </c>
      <c r="I4" s="2" t="str">
        <f t="shared" ref="I4:I66" si="3">MID(A4,1,1)</f>
        <v>0</v>
      </c>
      <c r="J4" s="496">
        <v>3</v>
      </c>
      <c r="K4" s="629">
        <f t="shared" si="0"/>
        <v>0</v>
      </c>
      <c r="L4" s="629">
        <f t="shared" si="1"/>
        <v>0</v>
      </c>
      <c r="M4" s="629">
        <f t="shared" si="2"/>
        <v>0</v>
      </c>
      <c r="N4" s="250">
        <f>+N3+M4</f>
        <v>0</v>
      </c>
    </row>
    <row r="5" spans="1:17" x14ac:dyDescent="0.2">
      <c r="A5" s="495" t="str">
        <f>FIXED('Balance N'!A5,0,1)</f>
        <v>0</v>
      </c>
      <c r="B5" s="494">
        <f>+'Balance N'!B5</f>
        <v>0</v>
      </c>
      <c r="C5" s="592">
        <f>ROUND('Balance N'!C5,2)</f>
        <v>0</v>
      </c>
      <c r="D5" s="592">
        <f>ROUND('Balance N'!D5,2)</f>
        <v>0</v>
      </c>
      <c r="E5" s="592">
        <f>ROUND('Balance N'!E5,2)</f>
        <v>0</v>
      </c>
      <c r="F5" s="592">
        <f>ROUND('Balance N'!F5,2)</f>
        <v>0</v>
      </c>
      <c r="G5" s="592">
        <f>ROUND('Balance N'!G5,2)</f>
        <v>0</v>
      </c>
      <c r="H5" s="592">
        <f>ROUND('Balance N'!H5,2)</f>
        <v>0</v>
      </c>
      <c r="I5" s="2" t="str">
        <f t="shared" si="3"/>
        <v>0</v>
      </c>
      <c r="J5" s="496">
        <v>4</v>
      </c>
      <c r="K5" s="629">
        <f t="shared" si="0"/>
        <v>0</v>
      </c>
      <c r="L5" s="629">
        <f t="shared" si="1"/>
        <v>0</v>
      </c>
      <c r="M5" s="629">
        <f t="shared" si="2"/>
        <v>0</v>
      </c>
      <c r="N5" s="250">
        <f>+N4+M5</f>
        <v>0</v>
      </c>
    </row>
    <row r="6" spans="1:17" x14ac:dyDescent="0.2">
      <c r="A6" s="495" t="str">
        <f>FIXED('Balance N'!A6,0,1)</f>
        <v>0</v>
      </c>
      <c r="B6" s="494">
        <f>+'Balance N'!B6</f>
        <v>0</v>
      </c>
      <c r="C6" s="592">
        <f>ROUND('Balance N'!C6,2)</f>
        <v>0</v>
      </c>
      <c r="D6" s="592">
        <f>ROUND('Balance N'!D6,2)</f>
        <v>0</v>
      </c>
      <c r="E6" s="592">
        <f>ROUND('Balance N'!E6,2)</f>
        <v>0</v>
      </c>
      <c r="F6" s="592">
        <f>ROUND('Balance N'!F6,2)</f>
        <v>0</v>
      </c>
      <c r="G6" s="592">
        <f>ROUND('Balance N'!G6,2)</f>
        <v>0</v>
      </c>
      <c r="H6" s="592">
        <f>ROUND('Balance N'!H6,2)</f>
        <v>0</v>
      </c>
      <c r="I6" s="2" t="str">
        <f t="shared" si="3"/>
        <v>0</v>
      </c>
      <c r="J6" s="496">
        <v>5</v>
      </c>
      <c r="K6" s="629">
        <f t="shared" si="0"/>
        <v>0</v>
      </c>
      <c r="L6" s="629">
        <f t="shared" si="1"/>
        <v>0</v>
      </c>
      <c r="M6" s="629">
        <f t="shared" si="2"/>
        <v>0</v>
      </c>
      <c r="N6" s="250">
        <f>+N5+M6</f>
        <v>0</v>
      </c>
      <c r="O6" s="497">
        <f>SUM(K2:K6)</f>
        <v>0</v>
      </c>
      <c r="P6" s="497">
        <f>SUM(L2:L6)</f>
        <v>0</v>
      </c>
      <c r="Q6" s="497">
        <f>+O6-P6</f>
        <v>0</v>
      </c>
    </row>
    <row r="7" spans="1:17" x14ac:dyDescent="0.2">
      <c r="A7" s="495" t="str">
        <f>FIXED('Balance N'!A7,0,1)</f>
        <v>0</v>
      </c>
      <c r="B7" s="494">
        <f>+'Balance N'!B7</f>
        <v>0</v>
      </c>
      <c r="C7" s="592">
        <f>ROUND('Balance N'!C7,2)</f>
        <v>0</v>
      </c>
      <c r="D7" s="592">
        <f>ROUND('Balance N'!D7,2)</f>
        <v>0</v>
      </c>
      <c r="E7" s="592">
        <f>ROUND('Balance N'!E7,2)</f>
        <v>0</v>
      </c>
      <c r="F7" s="592">
        <f>ROUND('Balance N'!F7,2)</f>
        <v>0</v>
      </c>
      <c r="G7" s="592">
        <f>ROUND('Balance N'!G7,2)</f>
        <v>0</v>
      </c>
      <c r="H7" s="592">
        <f>ROUND('Balance N'!H7,2)</f>
        <v>0</v>
      </c>
      <c r="I7" s="2" t="str">
        <f t="shared" si="3"/>
        <v>0</v>
      </c>
      <c r="J7" s="496">
        <v>6</v>
      </c>
      <c r="K7" s="629">
        <f t="shared" si="0"/>
        <v>0</v>
      </c>
      <c r="L7" s="629">
        <f t="shared" si="1"/>
        <v>0</v>
      </c>
      <c r="M7" s="629">
        <f>+K7-L7</f>
        <v>0</v>
      </c>
      <c r="N7" s="250">
        <f>M7</f>
        <v>0</v>
      </c>
    </row>
    <row r="8" spans="1:17" x14ac:dyDescent="0.2">
      <c r="A8" s="495" t="str">
        <f>FIXED('Balance N'!A8,0,1)</f>
        <v>0</v>
      </c>
      <c r="B8" s="494">
        <f>+'Balance N'!B8</f>
        <v>0</v>
      </c>
      <c r="C8" s="592">
        <f>ROUND('Balance N'!C8,2)</f>
        <v>0</v>
      </c>
      <c r="D8" s="592">
        <f>ROUND('Balance N'!D8,2)</f>
        <v>0</v>
      </c>
      <c r="E8" s="592">
        <f>ROUND('Balance N'!E8,2)</f>
        <v>0</v>
      </c>
      <c r="F8" s="592">
        <f>ROUND('Balance N'!F8,2)</f>
        <v>0</v>
      </c>
      <c r="G8" s="592">
        <f>ROUND('Balance N'!G8,2)</f>
        <v>0</v>
      </c>
      <c r="H8" s="592">
        <f>ROUND('Balance N'!H8,2)</f>
        <v>0</v>
      </c>
      <c r="I8" s="2" t="str">
        <f t="shared" si="3"/>
        <v>0</v>
      </c>
      <c r="J8" s="496">
        <v>7</v>
      </c>
      <c r="K8" s="629">
        <f t="shared" si="0"/>
        <v>0</v>
      </c>
      <c r="L8" s="629">
        <f t="shared" si="1"/>
        <v>0</v>
      </c>
      <c r="M8" s="629">
        <f t="shared" si="2"/>
        <v>0</v>
      </c>
      <c r="N8" s="250">
        <f>+N7+M8</f>
        <v>0</v>
      </c>
    </row>
    <row r="9" spans="1:17" x14ac:dyDescent="0.2">
      <c r="A9" s="495" t="str">
        <f>FIXED('Balance N'!A9,0,1)</f>
        <v>0</v>
      </c>
      <c r="B9" s="494">
        <f>+'Balance N'!B9</f>
        <v>0</v>
      </c>
      <c r="C9" s="592">
        <f>ROUND('Balance N'!C9,2)</f>
        <v>0</v>
      </c>
      <c r="D9" s="592">
        <f>ROUND('Balance N'!D9,2)</f>
        <v>0</v>
      </c>
      <c r="E9" s="592">
        <f>ROUND('Balance N'!E9,2)</f>
        <v>0</v>
      </c>
      <c r="F9" s="592">
        <f>ROUND('Balance N'!F9,2)</f>
        <v>0</v>
      </c>
      <c r="G9" s="592">
        <f>ROUND('Balance N'!G9,2)</f>
        <v>0</v>
      </c>
      <c r="H9" s="592">
        <f>ROUND('Balance N'!H9,2)</f>
        <v>0</v>
      </c>
      <c r="I9" s="2" t="str">
        <f t="shared" si="3"/>
        <v>0</v>
      </c>
      <c r="J9" s="496">
        <v>8</v>
      </c>
      <c r="K9" s="629">
        <f t="shared" si="0"/>
        <v>0</v>
      </c>
      <c r="L9" s="629">
        <f t="shared" si="1"/>
        <v>0</v>
      </c>
      <c r="M9" s="629">
        <f t="shared" si="2"/>
        <v>0</v>
      </c>
      <c r="O9" s="497">
        <f>SUM(K7:K9)</f>
        <v>0</v>
      </c>
      <c r="P9" s="497">
        <f>SUM(L7:L9)</f>
        <v>0</v>
      </c>
      <c r="Q9" s="497">
        <f>+O9-P9</f>
        <v>0</v>
      </c>
    </row>
    <row r="10" spans="1:17" x14ac:dyDescent="0.2">
      <c r="A10" s="495" t="str">
        <f>FIXED('Balance N'!A10,0,1)</f>
        <v>0</v>
      </c>
      <c r="B10" s="494">
        <f>+'Balance N'!B10</f>
        <v>0</v>
      </c>
      <c r="C10" s="592">
        <f>ROUND('Balance N'!C10,2)</f>
        <v>0</v>
      </c>
      <c r="D10" s="592">
        <f>ROUND('Balance N'!D10,2)</f>
        <v>0</v>
      </c>
      <c r="E10" s="592">
        <f>ROUND('Balance N'!E10,2)</f>
        <v>0</v>
      </c>
      <c r="F10" s="592">
        <f>ROUND('Balance N'!F10,2)</f>
        <v>0</v>
      </c>
      <c r="G10" s="592">
        <f>ROUND('Balance N'!G10,2)</f>
        <v>0</v>
      </c>
      <c r="H10" s="592">
        <f>ROUND('Balance N'!H10,2)</f>
        <v>0</v>
      </c>
      <c r="I10" s="2" t="str">
        <f t="shared" si="3"/>
        <v>0</v>
      </c>
      <c r="J10" s="496" t="s">
        <v>490</v>
      </c>
      <c r="K10" s="629">
        <f>SUM(K2:K9)</f>
        <v>0</v>
      </c>
      <c r="L10" s="629">
        <f>SUM(L2:L9)</f>
        <v>0</v>
      </c>
      <c r="M10" s="629">
        <f>SUM(M2:M9)</f>
        <v>0</v>
      </c>
    </row>
    <row r="11" spans="1:17" x14ac:dyDescent="0.2">
      <c r="A11" s="495" t="str">
        <f>FIXED('Balance N'!A11,0,1)</f>
        <v>0</v>
      </c>
      <c r="B11" s="494">
        <f>+'Balance N'!B11</f>
        <v>0</v>
      </c>
      <c r="C11" s="592">
        <f>ROUND('Balance N'!C11,2)</f>
        <v>0</v>
      </c>
      <c r="D11" s="592">
        <f>ROUND('Balance N'!D11,2)</f>
        <v>0</v>
      </c>
      <c r="E11" s="592">
        <f>ROUND('Balance N'!E11,2)</f>
        <v>0</v>
      </c>
      <c r="F11" s="592">
        <f>ROUND('Balance N'!F11,2)</f>
        <v>0</v>
      </c>
      <c r="G11" s="592">
        <f>ROUND('Balance N'!G11,2)</f>
        <v>0</v>
      </c>
      <c r="H11" s="592">
        <f>ROUND('Balance N'!H11,2)</f>
        <v>0</v>
      </c>
      <c r="I11" s="2" t="str">
        <f t="shared" si="3"/>
        <v>0</v>
      </c>
    </row>
    <row r="12" spans="1:17" x14ac:dyDescent="0.2">
      <c r="A12" s="495" t="str">
        <f>FIXED('Balance N'!A12,0,1)</f>
        <v>0</v>
      </c>
      <c r="B12" s="494">
        <f>+'Balance N'!B12</f>
        <v>0</v>
      </c>
      <c r="C12" s="592">
        <f>ROUND('Balance N'!C12,2)</f>
        <v>0</v>
      </c>
      <c r="D12" s="592">
        <f>ROUND('Balance N'!D12,2)</f>
        <v>0</v>
      </c>
      <c r="E12" s="592">
        <f>ROUND('Balance N'!E12,2)</f>
        <v>0</v>
      </c>
      <c r="F12" s="592">
        <f>ROUND('Balance N'!F12,2)</f>
        <v>0</v>
      </c>
      <c r="G12" s="592">
        <f>ROUND('Balance N'!G12,2)</f>
        <v>0</v>
      </c>
      <c r="H12" s="592">
        <f>ROUND('Balance N'!H12,2)</f>
        <v>0</v>
      </c>
      <c r="I12" s="2" t="str">
        <f t="shared" si="3"/>
        <v>0</v>
      </c>
    </row>
    <row r="13" spans="1:17" x14ac:dyDescent="0.2">
      <c r="A13" s="495" t="str">
        <f>FIXED('Balance N'!A13,0,1)</f>
        <v>0</v>
      </c>
      <c r="B13" s="494">
        <f>+'Balance N'!B13</f>
        <v>0</v>
      </c>
      <c r="C13" s="592">
        <f>ROUND('Balance N'!C13,2)</f>
        <v>0</v>
      </c>
      <c r="D13" s="592">
        <f>ROUND('Balance N'!D13,2)</f>
        <v>0</v>
      </c>
      <c r="E13" s="592">
        <f>ROUND('Balance N'!E13,2)</f>
        <v>0</v>
      </c>
      <c r="F13" s="592">
        <f>ROUND('Balance N'!F13,2)</f>
        <v>0</v>
      </c>
      <c r="G13" s="592">
        <f>ROUND('Balance N'!G13,2)</f>
        <v>0</v>
      </c>
      <c r="H13" s="592">
        <f>ROUND('Balance N'!H13,2)</f>
        <v>0</v>
      </c>
      <c r="I13" s="2" t="str">
        <f t="shared" si="3"/>
        <v>0</v>
      </c>
    </row>
    <row r="14" spans="1:17" x14ac:dyDescent="0.2">
      <c r="A14" s="495" t="str">
        <f>FIXED('Balance N'!A14,0,1)</f>
        <v>0</v>
      </c>
      <c r="B14" s="494">
        <f>+'Balance N'!B14</f>
        <v>0</v>
      </c>
      <c r="C14" s="592">
        <f>ROUND('Balance N'!C14,2)</f>
        <v>0</v>
      </c>
      <c r="D14" s="592">
        <f>ROUND('Balance N'!D14,2)</f>
        <v>0</v>
      </c>
      <c r="E14" s="592">
        <f>ROUND('Balance N'!E14,2)</f>
        <v>0</v>
      </c>
      <c r="F14" s="592">
        <f>ROUND('Balance N'!F14,2)</f>
        <v>0</v>
      </c>
      <c r="G14" s="592">
        <f>ROUND('Balance N'!G14,2)</f>
        <v>0</v>
      </c>
      <c r="H14" s="592">
        <f>ROUND('Balance N'!H14,2)</f>
        <v>0</v>
      </c>
      <c r="I14" s="2" t="str">
        <f t="shared" si="3"/>
        <v>0</v>
      </c>
    </row>
    <row r="15" spans="1:17" x14ac:dyDescent="0.2">
      <c r="A15" s="495" t="str">
        <f>FIXED('Balance N'!A15,0,1)</f>
        <v>0</v>
      </c>
      <c r="B15" s="494">
        <f>+'Balance N'!B15</f>
        <v>0</v>
      </c>
      <c r="C15" s="592">
        <f>ROUND('Balance N'!C15,2)</f>
        <v>0</v>
      </c>
      <c r="D15" s="592">
        <f>ROUND('Balance N'!D15,2)</f>
        <v>0</v>
      </c>
      <c r="E15" s="592">
        <f>ROUND('Balance N'!E15,2)</f>
        <v>0</v>
      </c>
      <c r="F15" s="592">
        <f>ROUND('Balance N'!F15,2)</f>
        <v>0</v>
      </c>
      <c r="G15" s="592">
        <f>ROUND('Balance N'!G15,2)</f>
        <v>0</v>
      </c>
      <c r="H15" s="592">
        <f>ROUND('Balance N'!H15,2)</f>
        <v>0</v>
      </c>
      <c r="I15" s="2" t="str">
        <f t="shared" si="3"/>
        <v>0</v>
      </c>
    </row>
    <row r="16" spans="1:17" x14ac:dyDescent="0.2">
      <c r="A16" s="495" t="str">
        <f>FIXED('Balance N'!A16,0,1)</f>
        <v>0</v>
      </c>
      <c r="B16" s="494">
        <f>+'Balance N'!B16</f>
        <v>0</v>
      </c>
      <c r="C16" s="592">
        <f>ROUND('Balance N'!C16,2)</f>
        <v>0</v>
      </c>
      <c r="D16" s="592">
        <f>ROUND('Balance N'!D16,2)</f>
        <v>0</v>
      </c>
      <c r="E16" s="592">
        <f>ROUND('Balance N'!E16,2)</f>
        <v>0</v>
      </c>
      <c r="F16" s="592">
        <f>ROUND('Balance N'!F16,2)</f>
        <v>0</v>
      </c>
      <c r="G16" s="592">
        <f>ROUND('Balance N'!G16,2)</f>
        <v>0</v>
      </c>
      <c r="H16" s="592">
        <f>ROUND('Balance N'!H16,2)</f>
        <v>0</v>
      </c>
      <c r="I16" s="2" t="str">
        <f t="shared" si="3"/>
        <v>0</v>
      </c>
    </row>
    <row r="17" spans="1:9" x14ac:dyDescent="0.2">
      <c r="A17" s="495" t="str">
        <f>FIXED('Balance N'!A17,0,1)</f>
        <v>0</v>
      </c>
      <c r="B17" s="494">
        <f>+'Balance N'!B17</f>
        <v>0</v>
      </c>
      <c r="C17" s="592">
        <f>ROUND('Balance N'!C17,2)</f>
        <v>0</v>
      </c>
      <c r="D17" s="592">
        <f>ROUND('Balance N'!D17,2)</f>
        <v>0</v>
      </c>
      <c r="E17" s="592">
        <f>ROUND('Balance N'!E17,2)</f>
        <v>0</v>
      </c>
      <c r="F17" s="592">
        <f>ROUND('Balance N'!F17,2)</f>
        <v>0</v>
      </c>
      <c r="G17" s="592">
        <f>ROUND('Balance N'!G17,2)</f>
        <v>0</v>
      </c>
      <c r="H17" s="592">
        <f>ROUND('Balance N'!H17,2)</f>
        <v>0</v>
      </c>
      <c r="I17" s="2" t="str">
        <f t="shared" si="3"/>
        <v>0</v>
      </c>
    </row>
    <row r="18" spans="1:9" x14ac:dyDescent="0.2">
      <c r="A18" s="495" t="str">
        <f>FIXED('Balance N'!A18,0,1)</f>
        <v>0</v>
      </c>
      <c r="B18" s="494">
        <f>+'Balance N'!B18</f>
        <v>0</v>
      </c>
      <c r="C18" s="592">
        <f>ROUND('Balance N'!C18,2)</f>
        <v>0</v>
      </c>
      <c r="D18" s="592">
        <f>ROUND('Balance N'!D18,2)</f>
        <v>0</v>
      </c>
      <c r="E18" s="592">
        <f>ROUND('Balance N'!E18,2)</f>
        <v>0</v>
      </c>
      <c r="F18" s="592">
        <f>ROUND('Balance N'!F18,2)</f>
        <v>0</v>
      </c>
      <c r="G18" s="592">
        <f>ROUND('Balance N'!G18,2)</f>
        <v>0</v>
      </c>
      <c r="H18" s="592">
        <f>ROUND('Balance N'!H18,2)</f>
        <v>0</v>
      </c>
      <c r="I18" s="2" t="str">
        <f t="shared" si="3"/>
        <v>0</v>
      </c>
    </row>
    <row r="19" spans="1:9" x14ac:dyDescent="0.2">
      <c r="A19" s="495" t="str">
        <f>FIXED('Balance N'!A19,0,1)</f>
        <v>0</v>
      </c>
      <c r="B19" s="494">
        <f>+'Balance N'!B19</f>
        <v>0</v>
      </c>
      <c r="C19" s="592">
        <f>ROUND('Balance N'!C19,2)</f>
        <v>0</v>
      </c>
      <c r="D19" s="592">
        <f>ROUND('Balance N'!D19,2)</f>
        <v>0</v>
      </c>
      <c r="E19" s="592">
        <f>ROUND('Balance N'!E19,2)</f>
        <v>0</v>
      </c>
      <c r="F19" s="592">
        <f>ROUND('Balance N'!F19,2)</f>
        <v>0</v>
      </c>
      <c r="G19" s="592">
        <f>ROUND('Balance N'!G19,2)</f>
        <v>0</v>
      </c>
      <c r="H19" s="592">
        <f>ROUND('Balance N'!H19,2)</f>
        <v>0</v>
      </c>
      <c r="I19" s="2" t="str">
        <f t="shared" si="3"/>
        <v>0</v>
      </c>
    </row>
    <row r="20" spans="1:9" x14ac:dyDescent="0.2">
      <c r="A20" s="495" t="str">
        <f>FIXED('Balance N'!A20,0,1)</f>
        <v>0</v>
      </c>
      <c r="B20" s="494">
        <f>+'Balance N'!B20</f>
        <v>0</v>
      </c>
      <c r="C20" s="592">
        <f>ROUND('Balance N'!C20,2)</f>
        <v>0</v>
      </c>
      <c r="D20" s="592">
        <f>ROUND('Balance N'!D20,2)</f>
        <v>0</v>
      </c>
      <c r="E20" s="592">
        <f>ROUND('Balance N'!E20,2)</f>
        <v>0</v>
      </c>
      <c r="F20" s="592">
        <f>ROUND('Balance N'!F20,2)</f>
        <v>0</v>
      </c>
      <c r="G20" s="592">
        <f>ROUND('Balance N'!G20,2)</f>
        <v>0</v>
      </c>
      <c r="H20" s="592">
        <f>ROUND('Balance N'!H20,2)</f>
        <v>0</v>
      </c>
      <c r="I20" s="2" t="str">
        <f t="shared" si="3"/>
        <v>0</v>
      </c>
    </row>
    <row r="21" spans="1:9" x14ac:dyDescent="0.2">
      <c r="A21" s="495" t="str">
        <f>FIXED('Balance N'!A21,0,1)</f>
        <v>0</v>
      </c>
      <c r="B21" s="494">
        <f>+'Balance N'!B21</f>
        <v>0</v>
      </c>
      <c r="C21" s="592">
        <f>ROUND('Balance N'!C21,2)</f>
        <v>0</v>
      </c>
      <c r="D21" s="592">
        <f>ROUND('Balance N'!D21,2)</f>
        <v>0</v>
      </c>
      <c r="E21" s="592">
        <f>ROUND('Balance N'!E21,2)</f>
        <v>0</v>
      </c>
      <c r="F21" s="592">
        <f>ROUND('Balance N'!F21,2)</f>
        <v>0</v>
      </c>
      <c r="G21" s="592">
        <f>ROUND('Balance N'!G21,2)</f>
        <v>0</v>
      </c>
      <c r="H21" s="592">
        <f>ROUND('Balance N'!H21,2)</f>
        <v>0</v>
      </c>
      <c r="I21" s="2" t="str">
        <f t="shared" si="3"/>
        <v>0</v>
      </c>
    </row>
    <row r="22" spans="1:9" x14ac:dyDescent="0.2">
      <c r="A22" s="495" t="str">
        <f>FIXED('Balance N'!A22,0,1)</f>
        <v>0</v>
      </c>
      <c r="B22" s="494">
        <f>+'Balance N'!B22</f>
        <v>0</v>
      </c>
      <c r="C22" s="592">
        <f>ROUND('Balance N'!C22,2)</f>
        <v>0</v>
      </c>
      <c r="D22" s="592">
        <f>ROUND('Balance N'!D22,2)</f>
        <v>0</v>
      </c>
      <c r="E22" s="592">
        <f>ROUND('Balance N'!E22,2)</f>
        <v>0</v>
      </c>
      <c r="F22" s="592">
        <f>ROUND('Balance N'!F22,2)</f>
        <v>0</v>
      </c>
      <c r="G22" s="592">
        <f>ROUND('Balance N'!G22,2)</f>
        <v>0</v>
      </c>
      <c r="H22" s="592">
        <f>ROUND('Balance N'!H22,2)</f>
        <v>0</v>
      </c>
      <c r="I22" s="2" t="str">
        <f t="shared" si="3"/>
        <v>0</v>
      </c>
    </row>
    <row r="23" spans="1:9" x14ac:dyDescent="0.2">
      <c r="A23" s="495" t="str">
        <f>FIXED('Balance N'!A23,0,1)</f>
        <v>0</v>
      </c>
      <c r="B23" s="494">
        <f>+'Balance N'!B23</f>
        <v>0</v>
      </c>
      <c r="C23" s="592">
        <f>ROUND('Balance N'!C23,2)</f>
        <v>0</v>
      </c>
      <c r="D23" s="592">
        <f>ROUND('Balance N'!D23,2)</f>
        <v>0</v>
      </c>
      <c r="E23" s="592">
        <f>ROUND('Balance N'!E23,2)</f>
        <v>0</v>
      </c>
      <c r="F23" s="592">
        <f>ROUND('Balance N'!F23,2)</f>
        <v>0</v>
      </c>
      <c r="G23" s="592">
        <f>ROUND('Balance N'!G23,2)</f>
        <v>0</v>
      </c>
      <c r="H23" s="592">
        <f>ROUND('Balance N'!H23,2)</f>
        <v>0</v>
      </c>
      <c r="I23" s="2" t="str">
        <f t="shared" si="3"/>
        <v>0</v>
      </c>
    </row>
    <row r="24" spans="1:9" x14ac:dyDescent="0.2">
      <c r="A24" s="495" t="str">
        <f>FIXED('Balance N'!A24,0,1)</f>
        <v>0</v>
      </c>
      <c r="B24" s="494">
        <f>+'Balance N'!B24</f>
        <v>0</v>
      </c>
      <c r="C24" s="592">
        <f>ROUND('Balance N'!C24,2)</f>
        <v>0</v>
      </c>
      <c r="D24" s="592">
        <f>ROUND('Balance N'!D24,2)</f>
        <v>0</v>
      </c>
      <c r="E24" s="592">
        <f>ROUND('Balance N'!E24,2)</f>
        <v>0</v>
      </c>
      <c r="F24" s="592">
        <f>ROUND('Balance N'!F24,2)</f>
        <v>0</v>
      </c>
      <c r="G24" s="592">
        <f>ROUND('Balance N'!G24,2)</f>
        <v>0</v>
      </c>
      <c r="H24" s="592">
        <f>ROUND('Balance N'!H24,2)</f>
        <v>0</v>
      </c>
      <c r="I24" s="2" t="str">
        <f t="shared" si="3"/>
        <v>0</v>
      </c>
    </row>
    <row r="25" spans="1:9" x14ac:dyDescent="0.2">
      <c r="A25" s="495" t="str">
        <f>FIXED('Balance N'!A25,0,1)</f>
        <v>0</v>
      </c>
      <c r="B25" s="494">
        <f>+'Balance N'!B25</f>
        <v>0</v>
      </c>
      <c r="C25" s="592">
        <f>ROUND('Balance N'!C25,2)</f>
        <v>0</v>
      </c>
      <c r="D25" s="592">
        <f>ROUND('Balance N'!D25,2)</f>
        <v>0</v>
      </c>
      <c r="E25" s="592">
        <f>ROUND('Balance N'!E25,2)</f>
        <v>0</v>
      </c>
      <c r="F25" s="592">
        <f>ROUND('Balance N'!F25,2)</f>
        <v>0</v>
      </c>
      <c r="G25" s="592">
        <f>ROUND('Balance N'!G25,2)</f>
        <v>0</v>
      </c>
      <c r="H25" s="592">
        <f>ROUND('Balance N'!H25,2)</f>
        <v>0</v>
      </c>
      <c r="I25" s="2" t="str">
        <f t="shared" si="3"/>
        <v>0</v>
      </c>
    </row>
    <row r="26" spans="1:9" x14ac:dyDescent="0.2">
      <c r="A26" s="495" t="str">
        <f>FIXED('Balance N'!A26,0,1)</f>
        <v>0</v>
      </c>
      <c r="B26" s="494">
        <f>+'Balance N'!B26</f>
        <v>0</v>
      </c>
      <c r="C26" s="592">
        <f>ROUND('Balance N'!C26,2)</f>
        <v>0</v>
      </c>
      <c r="D26" s="592">
        <f>ROUND('Balance N'!D26,2)</f>
        <v>0</v>
      </c>
      <c r="E26" s="592">
        <f>ROUND('Balance N'!E26,2)</f>
        <v>0</v>
      </c>
      <c r="F26" s="592">
        <f>ROUND('Balance N'!F26,2)</f>
        <v>0</v>
      </c>
      <c r="G26" s="592">
        <f>ROUND('Balance N'!G26,2)</f>
        <v>0</v>
      </c>
      <c r="H26" s="592">
        <f>ROUND('Balance N'!H26,2)</f>
        <v>0</v>
      </c>
      <c r="I26" s="2" t="str">
        <f t="shared" si="3"/>
        <v>0</v>
      </c>
    </row>
    <row r="27" spans="1:9" x14ac:dyDescent="0.2">
      <c r="A27" s="495" t="str">
        <f>FIXED('Balance N'!A27,0,1)</f>
        <v>0</v>
      </c>
      <c r="B27" s="494">
        <f>+'Balance N'!B27</f>
        <v>0</v>
      </c>
      <c r="C27" s="592">
        <f>ROUND('Balance N'!C27,2)</f>
        <v>0</v>
      </c>
      <c r="D27" s="592">
        <f>ROUND('Balance N'!D27,2)</f>
        <v>0</v>
      </c>
      <c r="E27" s="592">
        <f>ROUND('Balance N'!E27,2)</f>
        <v>0</v>
      </c>
      <c r="F27" s="592">
        <f>ROUND('Balance N'!F27,2)</f>
        <v>0</v>
      </c>
      <c r="G27" s="592">
        <f>ROUND('Balance N'!G27,2)</f>
        <v>0</v>
      </c>
      <c r="H27" s="592">
        <f>ROUND('Balance N'!H27,2)</f>
        <v>0</v>
      </c>
      <c r="I27" s="2" t="str">
        <f t="shared" si="3"/>
        <v>0</v>
      </c>
    </row>
    <row r="28" spans="1:9" x14ac:dyDescent="0.2">
      <c r="A28" s="495" t="str">
        <f>FIXED('Balance N'!A28,0,1)</f>
        <v>0</v>
      </c>
      <c r="B28" s="494">
        <f>+'Balance N'!B28</f>
        <v>0</v>
      </c>
      <c r="C28" s="592">
        <f>ROUND('Balance N'!C28,2)</f>
        <v>0</v>
      </c>
      <c r="D28" s="592">
        <f>ROUND('Balance N'!D28,2)</f>
        <v>0</v>
      </c>
      <c r="E28" s="592">
        <f>ROUND('Balance N'!E28,2)</f>
        <v>0</v>
      </c>
      <c r="F28" s="592">
        <f>ROUND('Balance N'!F28,2)</f>
        <v>0</v>
      </c>
      <c r="G28" s="592">
        <f>ROUND('Balance N'!G28,2)</f>
        <v>0</v>
      </c>
      <c r="H28" s="592">
        <f>ROUND('Balance N'!H28,2)</f>
        <v>0</v>
      </c>
      <c r="I28" s="2" t="str">
        <f t="shared" si="3"/>
        <v>0</v>
      </c>
    </row>
    <row r="29" spans="1:9" x14ac:dyDescent="0.2">
      <c r="A29" s="495" t="str">
        <f>FIXED('Balance N'!A29,0,1)</f>
        <v>0</v>
      </c>
      <c r="B29" s="494">
        <f>+'Balance N'!B29</f>
        <v>0</v>
      </c>
      <c r="C29" s="592">
        <f>ROUND('Balance N'!C29,2)</f>
        <v>0</v>
      </c>
      <c r="D29" s="592">
        <f>ROUND('Balance N'!D29,2)</f>
        <v>0</v>
      </c>
      <c r="E29" s="592">
        <f>ROUND('Balance N'!E29,2)</f>
        <v>0</v>
      </c>
      <c r="F29" s="592">
        <f>ROUND('Balance N'!F29,2)</f>
        <v>0</v>
      </c>
      <c r="G29" s="592">
        <f>ROUND('Balance N'!G29,2)</f>
        <v>0</v>
      </c>
      <c r="H29" s="592">
        <f>ROUND('Balance N'!H29,2)</f>
        <v>0</v>
      </c>
      <c r="I29" s="2" t="str">
        <f t="shared" si="3"/>
        <v>0</v>
      </c>
    </row>
    <row r="30" spans="1:9" x14ac:dyDescent="0.2">
      <c r="A30" s="495" t="str">
        <f>FIXED('Balance N'!A30,0,1)</f>
        <v>0</v>
      </c>
      <c r="B30" s="494">
        <f>+'Balance N'!B30</f>
        <v>0</v>
      </c>
      <c r="C30" s="592">
        <f>ROUND('Balance N'!C30,2)</f>
        <v>0</v>
      </c>
      <c r="D30" s="592">
        <f>ROUND('Balance N'!D30,2)</f>
        <v>0</v>
      </c>
      <c r="E30" s="592">
        <f>ROUND('Balance N'!E30,2)</f>
        <v>0</v>
      </c>
      <c r="F30" s="592">
        <f>ROUND('Balance N'!F30,2)</f>
        <v>0</v>
      </c>
      <c r="G30" s="592">
        <f>ROUND('Balance N'!G30,2)</f>
        <v>0</v>
      </c>
      <c r="H30" s="592">
        <f>ROUND('Balance N'!H30,2)</f>
        <v>0</v>
      </c>
      <c r="I30" s="2" t="str">
        <f t="shared" si="3"/>
        <v>0</v>
      </c>
    </row>
    <row r="31" spans="1:9" x14ac:dyDescent="0.2">
      <c r="A31" s="495" t="str">
        <f>FIXED('Balance N'!A31,0,1)</f>
        <v>0</v>
      </c>
      <c r="B31" s="494">
        <f>+'Balance N'!B31</f>
        <v>0</v>
      </c>
      <c r="C31" s="592">
        <f>ROUND('Balance N'!C31,2)</f>
        <v>0</v>
      </c>
      <c r="D31" s="592">
        <f>ROUND('Balance N'!D31,2)</f>
        <v>0</v>
      </c>
      <c r="E31" s="592">
        <f>ROUND('Balance N'!E31,2)</f>
        <v>0</v>
      </c>
      <c r="F31" s="592">
        <f>ROUND('Balance N'!F31,2)</f>
        <v>0</v>
      </c>
      <c r="G31" s="592">
        <f>ROUND('Balance N'!G31,2)</f>
        <v>0</v>
      </c>
      <c r="H31" s="592">
        <f>ROUND('Balance N'!H31,2)</f>
        <v>0</v>
      </c>
      <c r="I31" s="2" t="str">
        <f t="shared" si="3"/>
        <v>0</v>
      </c>
    </row>
    <row r="32" spans="1:9" x14ac:dyDescent="0.2">
      <c r="A32" s="495" t="str">
        <f>FIXED('Balance N'!A32,0,1)</f>
        <v>0</v>
      </c>
      <c r="B32" s="494">
        <f>+'Balance N'!B32</f>
        <v>0</v>
      </c>
      <c r="C32" s="592">
        <f>ROUND('Balance N'!C32,2)</f>
        <v>0</v>
      </c>
      <c r="D32" s="592">
        <f>ROUND('Balance N'!D32,2)</f>
        <v>0</v>
      </c>
      <c r="E32" s="592">
        <f>ROUND('Balance N'!E32,2)</f>
        <v>0</v>
      </c>
      <c r="F32" s="592">
        <f>ROUND('Balance N'!F32,2)</f>
        <v>0</v>
      </c>
      <c r="G32" s="592">
        <f>ROUND('Balance N'!G32,2)</f>
        <v>0</v>
      </c>
      <c r="H32" s="592">
        <f>ROUND('Balance N'!H32,2)</f>
        <v>0</v>
      </c>
      <c r="I32" s="2" t="str">
        <f t="shared" si="3"/>
        <v>0</v>
      </c>
    </row>
    <row r="33" spans="1:9" x14ac:dyDescent="0.2">
      <c r="A33" s="495" t="str">
        <f>FIXED('Balance N'!A33,0,1)</f>
        <v>0</v>
      </c>
      <c r="B33" s="494">
        <f>+'Balance N'!B33</f>
        <v>0</v>
      </c>
      <c r="C33" s="592">
        <f>ROUND('Balance N'!C33,2)</f>
        <v>0</v>
      </c>
      <c r="D33" s="592">
        <f>ROUND('Balance N'!D33,2)</f>
        <v>0</v>
      </c>
      <c r="E33" s="592">
        <f>ROUND('Balance N'!E33,2)</f>
        <v>0</v>
      </c>
      <c r="F33" s="592">
        <f>ROUND('Balance N'!F33,2)</f>
        <v>0</v>
      </c>
      <c r="G33" s="592">
        <f>ROUND('Balance N'!G33,2)</f>
        <v>0</v>
      </c>
      <c r="H33" s="592">
        <f>ROUND('Balance N'!H33,2)</f>
        <v>0</v>
      </c>
      <c r="I33" s="2" t="str">
        <f t="shared" si="3"/>
        <v>0</v>
      </c>
    </row>
    <row r="34" spans="1:9" x14ac:dyDescent="0.2">
      <c r="A34" s="495" t="str">
        <f>FIXED('Balance N'!A34,0,1)</f>
        <v>0</v>
      </c>
      <c r="B34" s="494">
        <f>+'Balance N'!B34</f>
        <v>0</v>
      </c>
      <c r="C34" s="592">
        <f>ROUND('Balance N'!C34,2)</f>
        <v>0</v>
      </c>
      <c r="D34" s="592">
        <f>ROUND('Balance N'!D34,2)</f>
        <v>0</v>
      </c>
      <c r="E34" s="592">
        <f>ROUND('Balance N'!E34,2)</f>
        <v>0</v>
      </c>
      <c r="F34" s="592">
        <f>ROUND('Balance N'!F34,2)</f>
        <v>0</v>
      </c>
      <c r="G34" s="592">
        <f>ROUND('Balance N'!G34,2)</f>
        <v>0</v>
      </c>
      <c r="H34" s="592">
        <f>ROUND('Balance N'!H34,2)</f>
        <v>0</v>
      </c>
      <c r="I34" s="2" t="str">
        <f t="shared" si="3"/>
        <v>0</v>
      </c>
    </row>
    <row r="35" spans="1:9" x14ac:dyDescent="0.2">
      <c r="A35" s="495" t="str">
        <f>FIXED('Balance N'!A35,0,1)</f>
        <v>0</v>
      </c>
      <c r="B35" s="494">
        <f>+'Balance N'!B35</f>
        <v>0</v>
      </c>
      <c r="C35" s="592">
        <f>ROUND('Balance N'!C35,2)</f>
        <v>0</v>
      </c>
      <c r="D35" s="592">
        <f>ROUND('Balance N'!D35,2)</f>
        <v>0</v>
      </c>
      <c r="E35" s="592">
        <f>ROUND('Balance N'!E35,2)</f>
        <v>0</v>
      </c>
      <c r="F35" s="592">
        <f>ROUND('Balance N'!F35,2)</f>
        <v>0</v>
      </c>
      <c r="G35" s="592">
        <f>ROUND('Balance N'!G35,2)</f>
        <v>0</v>
      </c>
      <c r="H35" s="592">
        <f>ROUND('Balance N'!H35,2)</f>
        <v>0</v>
      </c>
      <c r="I35" s="2" t="str">
        <f t="shared" si="3"/>
        <v>0</v>
      </c>
    </row>
    <row r="36" spans="1:9" x14ac:dyDescent="0.2">
      <c r="A36" s="495" t="str">
        <f>FIXED('Balance N'!A36,0,1)</f>
        <v>0</v>
      </c>
      <c r="B36" s="494">
        <f>+'Balance N'!B36</f>
        <v>0</v>
      </c>
      <c r="C36" s="592">
        <f>ROUND('Balance N'!C36,2)</f>
        <v>0</v>
      </c>
      <c r="D36" s="592">
        <f>ROUND('Balance N'!D36,2)</f>
        <v>0</v>
      </c>
      <c r="E36" s="592">
        <f>ROUND('Balance N'!E36,2)</f>
        <v>0</v>
      </c>
      <c r="F36" s="592">
        <f>ROUND('Balance N'!F36,2)</f>
        <v>0</v>
      </c>
      <c r="G36" s="592">
        <f>ROUND('Balance N'!G36,2)</f>
        <v>0</v>
      </c>
      <c r="H36" s="592">
        <f>ROUND('Balance N'!H36,2)</f>
        <v>0</v>
      </c>
      <c r="I36" s="2" t="str">
        <f t="shared" si="3"/>
        <v>0</v>
      </c>
    </row>
    <row r="37" spans="1:9" x14ac:dyDescent="0.2">
      <c r="A37" s="495" t="str">
        <f>FIXED('Balance N'!A37,0,1)</f>
        <v>0</v>
      </c>
      <c r="B37" s="494">
        <f>+'Balance N'!B37</f>
        <v>0</v>
      </c>
      <c r="C37" s="592">
        <f>ROUND('Balance N'!C37,2)</f>
        <v>0</v>
      </c>
      <c r="D37" s="592">
        <f>ROUND('Balance N'!D37,2)</f>
        <v>0</v>
      </c>
      <c r="E37" s="592">
        <f>ROUND('Balance N'!E37,2)</f>
        <v>0</v>
      </c>
      <c r="F37" s="592">
        <f>ROUND('Balance N'!F37,2)</f>
        <v>0</v>
      </c>
      <c r="G37" s="592">
        <f>ROUND('Balance N'!G37,2)</f>
        <v>0</v>
      </c>
      <c r="H37" s="592">
        <f>ROUND('Balance N'!H37,2)</f>
        <v>0</v>
      </c>
      <c r="I37" s="2" t="str">
        <f t="shared" si="3"/>
        <v>0</v>
      </c>
    </row>
    <row r="38" spans="1:9" x14ac:dyDescent="0.2">
      <c r="A38" s="495" t="str">
        <f>FIXED('Balance N'!A38,0,1)</f>
        <v>0</v>
      </c>
      <c r="B38" s="494">
        <f>+'Balance N'!B38</f>
        <v>0</v>
      </c>
      <c r="C38" s="592">
        <f>ROUND('Balance N'!C38,2)</f>
        <v>0</v>
      </c>
      <c r="D38" s="592">
        <f>ROUND('Balance N'!D38,2)</f>
        <v>0</v>
      </c>
      <c r="E38" s="592">
        <f>ROUND('Balance N'!E38,2)</f>
        <v>0</v>
      </c>
      <c r="F38" s="592">
        <f>ROUND('Balance N'!F38,2)</f>
        <v>0</v>
      </c>
      <c r="G38" s="592">
        <f>ROUND('Balance N'!G38,2)</f>
        <v>0</v>
      </c>
      <c r="H38" s="592">
        <f>ROUND('Balance N'!H38,2)</f>
        <v>0</v>
      </c>
      <c r="I38" s="2" t="str">
        <f t="shared" si="3"/>
        <v>0</v>
      </c>
    </row>
    <row r="39" spans="1:9" x14ac:dyDescent="0.2">
      <c r="A39" s="495" t="str">
        <f>FIXED('Balance N'!A39,0,1)</f>
        <v>0</v>
      </c>
      <c r="B39" s="494">
        <f>+'Balance N'!B39</f>
        <v>0</v>
      </c>
      <c r="C39" s="592">
        <f>ROUND('Balance N'!C39,2)</f>
        <v>0</v>
      </c>
      <c r="D39" s="592">
        <f>ROUND('Balance N'!D39,2)</f>
        <v>0</v>
      </c>
      <c r="E39" s="592">
        <f>ROUND('Balance N'!E39,2)</f>
        <v>0</v>
      </c>
      <c r="F39" s="592">
        <f>ROUND('Balance N'!F39,2)</f>
        <v>0</v>
      </c>
      <c r="G39" s="592">
        <f>ROUND('Balance N'!G39,2)</f>
        <v>0</v>
      </c>
      <c r="H39" s="592">
        <f>ROUND('Balance N'!H39,2)</f>
        <v>0</v>
      </c>
      <c r="I39" s="2" t="str">
        <f t="shared" si="3"/>
        <v>0</v>
      </c>
    </row>
    <row r="40" spans="1:9" x14ac:dyDescent="0.2">
      <c r="A40" s="495" t="str">
        <f>FIXED('Balance N'!A40,0,1)</f>
        <v>0</v>
      </c>
      <c r="B40" s="494">
        <f>+'Balance N'!B40</f>
        <v>0</v>
      </c>
      <c r="C40" s="592">
        <f>ROUND('Balance N'!C40,2)</f>
        <v>0</v>
      </c>
      <c r="D40" s="592">
        <f>ROUND('Balance N'!D40,2)</f>
        <v>0</v>
      </c>
      <c r="E40" s="592">
        <f>ROUND('Balance N'!E40,2)</f>
        <v>0</v>
      </c>
      <c r="F40" s="592">
        <f>ROUND('Balance N'!F40,2)</f>
        <v>0</v>
      </c>
      <c r="G40" s="592">
        <f>ROUND('Balance N'!G40,2)</f>
        <v>0</v>
      </c>
      <c r="H40" s="592">
        <f>ROUND('Balance N'!H40,2)</f>
        <v>0</v>
      </c>
      <c r="I40" s="2" t="str">
        <f t="shared" si="3"/>
        <v>0</v>
      </c>
    </row>
    <row r="41" spans="1:9" x14ac:dyDescent="0.2">
      <c r="A41" s="495" t="str">
        <f>FIXED('Balance N'!A41,0,1)</f>
        <v>0</v>
      </c>
      <c r="B41" s="494">
        <f>+'Balance N'!B41</f>
        <v>0</v>
      </c>
      <c r="C41" s="592">
        <f>ROUND('Balance N'!C41,2)</f>
        <v>0</v>
      </c>
      <c r="D41" s="592">
        <f>ROUND('Balance N'!D41,2)</f>
        <v>0</v>
      </c>
      <c r="E41" s="592">
        <f>ROUND('Balance N'!E41,2)</f>
        <v>0</v>
      </c>
      <c r="F41" s="592">
        <f>ROUND('Balance N'!F41,2)</f>
        <v>0</v>
      </c>
      <c r="G41" s="592">
        <f>ROUND('Balance N'!G41,2)</f>
        <v>0</v>
      </c>
      <c r="H41" s="592">
        <f>ROUND('Balance N'!H41,2)</f>
        <v>0</v>
      </c>
      <c r="I41" s="2" t="str">
        <f t="shared" si="3"/>
        <v>0</v>
      </c>
    </row>
    <row r="42" spans="1:9" x14ac:dyDescent="0.2">
      <c r="A42" s="495" t="str">
        <f>FIXED('Balance N'!A42,0,1)</f>
        <v>0</v>
      </c>
      <c r="B42" s="494">
        <f>+'Balance N'!B42</f>
        <v>0</v>
      </c>
      <c r="C42" s="592">
        <f>ROUND('Balance N'!C42,2)</f>
        <v>0</v>
      </c>
      <c r="D42" s="592">
        <f>ROUND('Balance N'!D42,2)</f>
        <v>0</v>
      </c>
      <c r="E42" s="592">
        <f>ROUND('Balance N'!E42,2)</f>
        <v>0</v>
      </c>
      <c r="F42" s="592">
        <f>ROUND('Balance N'!F42,2)</f>
        <v>0</v>
      </c>
      <c r="G42" s="592">
        <f>ROUND('Balance N'!G42,2)</f>
        <v>0</v>
      </c>
      <c r="H42" s="592">
        <f>ROUND('Balance N'!H42,2)</f>
        <v>0</v>
      </c>
      <c r="I42" s="2" t="str">
        <f t="shared" si="3"/>
        <v>0</v>
      </c>
    </row>
    <row r="43" spans="1:9" x14ac:dyDescent="0.2">
      <c r="A43" s="495" t="str">
        <f>FIXED('Balance N'!A43,0,1)</f>
        <v>0</v>
      </c>
      <c r="B43" s="494">
        <f>+'Balance N'!B43</f>
        <v>0</v>
      </c>
      <c r="C43" s="592">
        <f>ROUND('Balance N'!C43,2)</f>
        <v>0</v>
      </c>
      <c r="D43" s="592">
        <f>ROUND('Balance N'!D43,2)</f>
        <v>0</v>
      </c>
      <c r="E43" s="592">
        <f>ROUND('Balance N'!E43,2)</f>
        <v>0</v>
      </c>
      <c r="F43" s="592">
        <f>ROUND('Balance N'!F43,2)</f>
        <v>0</v>
      </c>
      <c r="G43" s="592">
        <f>ROUND('Balance N'!G43,2)</f>
        <v>0</v>
      </c>
      <c r="H43" s="592">
        <f>ROUND('Balance N'!H43,2)</f>
        <v>0</v>
      </c>
      <c r="I43" s="2" t="str">
        <f t="shared" si="3"/>
        <v>0</v>
      </c>
    </row>
    <row r="44" spans="1:9" x14ac:dyDescent="0.2">
      <c r="A44" s="495" t="str">
        <f>FIXED('Balance N'!A44,0,1)</f>
        <v>0</v>
      </c>
      <c r="B44" s="494">
        <f>+'Balance N'!B44</f>
        <v>0</v>
      </c>
      <c r="C44" s="592">
        <f>ROUND('Balance N'!C44,2)</f>
        <v>0</v>
      </c>
      <c r="D44" s="592">
        <f>ROUND('Balance N'!D44,2)</f>
        <v>0</v>
      </c>
      <c r="E44" s="592">
        <f>ROUND('Balance N'!E44,2)</f>
        <v>0</v>
      </c>
      <c r="F44" s="592">
        <f>ROUND('Balance N'!F44,2)</f>
        <v>0</v>
      </c>
      <c r="G44" s="592">
        <f>ROUND('Balance N'!G44,2)</f>
        <v>0</v>
      </c>
      <c r="H44" s="592">
        <f>ROUND('Balance N'!H44,2)</f>
        <v>0</v>
      </c>
      <c r="I44" s="2" t="str">
        <f t="shared" si="3"/>
        <v>0</v>
      </c>
    </row>
    <row r="45" spans="1:9" x14ac:dyDescent="0.2">
      <c r="A45" s="495" t="str">
        <f>FIXED('Balance N'!A45,0,1)</f>
        <v>0</v>
      </c>
      <c r="B45" s="494">
        <f>+'Balance N'!B45</f>
        <v>0</v>
      </c>
      <c r="C45" s="592">
        <f>ROUND('Balance N'!C45,2)</f>
        <v>0</v>
      </c>
      <c r="D45" s="592">
        <f>ROUND('Balance N'!D45,2)</f>
        <v>0</v>
      </c>
      <c r="E45" s="592">
        <f>ROUND('Balance N'!E45,2)</f>
        <v>0</v>
      </c>
      <c r="F45" s="592">
        <f>ROUND('Balance N'!F45,2)</f>
        <v>0</v>
      </c>
      <c r="G45" s="592">
        <f>ROUND('Balance N'!G45,2)</f>
        <v>0</v>
      </c>
      <c r="H45" s="592">
        <f>ROUND('Balance N'!H45,2)</f>
        <v>0</v>
      </c>
      <c r="I45" s="2" t="str">
        <f t="shared" si="3"/>
        <v>0</v>
      </c>
    </row>
    <row r="46" spans="1:9" x14ac:dyDescent="0.2">
      <c r="A46" s="495" t="str">
        <f>FIXED('Balance N'!A46,0,1)</f>
        <v>0</v>
      </c>
      <c r="B46" s="494">
        <f>+'Balance N'!B46</f>
        <v>0</v>
      </c>
      <c r="C46" s="592">
        <f>ROUND('Balance N'!C46,2)</f>
        <v>0</v>
      </c>
      <c r="D46" s="592">
        <f>ROUND('Balance N'!D46,2)</f>
        <v>0</v>
      </c>
      <c r="E46" s="592">
        <f>ROUND('Balance N'!E46,2)</f>
        <v>0</v>
      </c>
      <c r="F46" s="592">
        <f>ROUND('Balance N'!F46,2)</f>
        <v>0</v>
      </c>
      <c r="G46" s="592">
        <f>ROUND('Balance N'!G46,2)</f>
        <v>0</v>
      </c>
      <c r="H46" s="592">
        <f>ROUND('Balance N'!H46,2)</f>
        <v>0</v>
      </c>
      <c r="I46" s="2" t="str">
        <f t="shared" si="3"/>
        <v>0</v>
      </c>
    </row>
    <row r="47" spans="1:9" x14ac:dyDescent="0.2">
      <c r="A47" s="495" t="str">
        <f>FIXED('Balance N'!A47,0,1)</f>
        <v>0</v>
      </c>
      <c r="B47" s="494">
        <f>+'Balance N'!B47</f>
        <v>0</v>
      </c>
      <c r="C47" s="592">
        <f>ROUND('Balance N'!C47,2)</f>
        <v>0</v>
      </c>
      <c r="D47" s="592">
        <f>ROUND('Balance N'!D47,2)</f>
        <v>0</v>
      </c>
      <c r="E47" s="592">
        <f>ROUND('Balance N'!E47,2)</f>
        <v>0</v>
      </c>
      <c r="F47" s="592">
        <f>ROUND('Balance N'!F47,2)</f>
        <v>0</v>
      </c>
      <c r="G47" s="592">
        <f>ROUND('Balance N'!G47,2)</f>
        <v>0</v>
      </c>
      <c r="H47" s="592">
        <f>ROUND('Balance N'!H47,2)</f>
        <v>0</v>
      </c>
      <c r="I47" s="2" t="str">
        <f t="shared" si="3"/>
        <v>0</v>
      </c>
    </row>
    <row r="48" spans="1:9" x14ac:dyDescent="0.2">
      <c r="A48" s="495" t="str">
        <f>FIXED('Balance N'!A48,0,1)</f>
        <v>0</v>
      </c>
      <c r="B48" s="494">
        <f>+'Balance N'!B48</f>
        <v>0</v>
      </c>
      <c r="C48" s="592">
        <f>ROUND('Balance N'!C48,2)</f>
        <v>0</v>
      </c>
      <c r="D48" s="592">
        <f>ROUND('Balance N'!D48,2)</f>
        <v>0</v>
      </c>
      <c r="E48" s="592">
        <f>ROUND('Balance N'!E48,2)</f>
        <v>0</v>
      </c>
      <c r="F48" s="592">
        <f>ROUND('Balance N'!F48,2)</f>
        <v>0</v>
      </c>
      <c r="G48" s="592">
        <f>ROUND('Balance N'!G48,2)</f>
        <v>0</v>
      </c>
      <c r="H48" s="592">
        <f>ROUND('Balance N'!H48,2)</f>
        <v>0</v>
      </c>
      <c r="I48" s="2" t="str">
        <f t="shared" si="3"/>
        <v>0</v>
      </c>
    </row>
    <row r="49" spans="1:10" x14ac:dyDescent="0.2">
      <c r="A49" s="495" t="str">
        <f>FIXED('Balance N'!A49,0,1)</f>
        <v>0</v>
      </c>
      <c r="B49" s="494">
        <f>+'Balance N'!B49</f>
        <v>0</v>
      </c>
      <c r="C49" s="592">
        <f>ROUND('Balance N'!C49,2)</f>
        <v>0</v>
      </c>
      <c r="D49" s="592">
        <f>ROUND('Balance N'!D49,2)</f>
        <v>0</v>
      </c>
      <c r="E49" s="592">
        <f>ROUND('Balance N'!E49,2)</f>
        <v>0</v>
      </c>
      <c r="F49" s="592">
        <f>ROUND('Balance N'!F49,2)</f>
        <v>0</v>
      </c>
      <c r="G49" s="592">
        <f>ROUND('Balance N'!G49,2)</f>
        <v>0</v>
      </c>
      <c r="H49" s="592">
        <f>ROUND('Balance N'!H49,2)</f>
        <v>0</v>
      </c>
      <c r="I49" s="2" t="str">
        <f t="shared" si="3"/>
        <v>0</v>
      </c>
    </row>
    <row r="50" spans="1:10" x14ac:dyDescent="0.2">
      <c r="A50" s="495" t="str">
        <f>FIXED('Balance N'!A50,0,1)</f>
        <v>0</v>
      </c>
      <c r="B50" s="494">
        <f>+'Balance N'!B50</f>
        <v>0</v>
      </c>
      <c r="C50" s="592">
        <f>ROUND('Balance N'!C50,2)</f>
        <v>0</v>
      </c>
      <c r="D50" s="592">
        <f>ROUND('Balance N'!D50,2)</f>
        <v>0</v>
      </c>
      <c r="E50" s="592">
        <f>ROUND('Balance N'!E50,2)</f>
        <v>0</v>
      </c>
      <c r="F50" s="592">
        <f>ROUND('Balance N'!F50,2)</f>
        <v>0</v>
      </c>
      <c r="G50" s="592">
        <f>ROUND('Balance N'!G50,2)</f>
        <v>0</v>
      </c>
      <c r="H50" s="592">
        <f>ROUND('Balance N'!H50,2)</f>
        <v>0</v>
      </c>
      <c r="I50" s="2" t="str">
        <f t="shared" si="3"/>
        <v>0</v>
      </c>
    </row>
    <row r="51" spans="1:10" x14ac:dyDescent="0.2">
      <c r="A51" s="495" t="str">
        <f>FIXED('Balance N'!A51,0,1)</f>
        <v>0</v>
      </c>
      <c r="B51" s="494">
        <f>+'Balance N'!B51</f>
        <v>0</v>
      </c>
      <c r="C51" s="592">
        <f>ROUND('Balance N'!C51,2)</f>
        <v>0</v>
      </c>
      <c r="D51" s="592">
        <f>ROUND('Balance N'!D51,2)</f>
        <v>0</v>
      </c>
      <c r="E51" s="592">
        <f>ROUND('Balance N'!E51,2)</f>
        <v>0</v>
      </c>
      <c r="F51" s="592">
        <f>ROUND('Balance N'!F51,2)</f>
        <v>0</v>
      </c>
      <c r="G51" s="592">
        <f>ROUND('Balance N'!G51,2)</f>
        <v>0</v>
      </c>
      <c r="H51" s="592">
        <f>ROUND('Balance N'!H51,2)</f>
        <v>0</v>
      </c>
      <c r="I51" s="2" t="str">
        <f t="shared" si="3"/>
        <v>0</v>
      </c>
    </row>
    <row r="52" spans="1:10" x14ac:dyDescent="0.2">
      <c r="A52" s="495" t="str">
        <f>FIXED('Balance N'!A52,0,1)</f>
        <v>0</v>
      </c>
      <c r="B52" s="494">
        <f>+'Balance N'!B52</f>
        <v>0</v>
      </c>
      <c r="C52" s="592">
        <f>ROUND('Balance N'!C52,2)</f>
        <v>0</v>
      </c>
      <c r="D52" s="592">
        <f>ROUND('Balance N'!D52,2)</f>
        <v>0</v>
      </c>
      <c r="E52" s="592">
        <f>ROUND('Balance N'!E52,2)</f>
        <v>0</v>
      </c>
      <c r="F52" s="592">
        <f>ROUND('Balance N'!F52,2)</f>
        <v>0</v>
      </c>
      <c r="G52" s="592">
        <f>ROUND('Balance N'!G52,2)</f>
        <v>0</v>
      </c>
      <c r="H52" s="592">
        <f>ROUND('Balance N'!H52,2)</f>
        <v>0</v>
      </c>
      <c r="I52" s="2" t="str">
        <f t="shared" si="3"/>
        <v>0</v>
      </c>
    </row>
    <row r="53" spans="1:10" x14ac:dyDescent="0.2">
      <c r="A53" s="495" t="str">
        <f>FIXED('Balance N'!A53,0,1)</f>
        <v>0</v>
      </c>
      <c r="B53" s="494">
        <f>+'Balance N'!B53</f>
        <v>0</v>
      </c>
      <c r="C53" s="592">
        <f>ROUND('Balance N'!C53,2)</f>
        <v>0</v>
      </c>
      <c r="D53" s="592">
        <f>ROUND('Balance N'!D53,2)</f>
        <v>0</v>
      </c>
      <c r="E53" s="592">
        <f>ROUND('Balance N'!E53,2)</f>
        <v>0</v>
      </c>
      <c r="F53" s="592">
        <f>ROUND('Balance N'!F53,2)</f>
        <v>0</v>
      </c>
      <c r="G53" s="592">
        <f>ROUND('Balance N'!G53,2)</f>
        <v>0</v>
      </c>
      <c r="H53" s="592">
        <f>ROUND('Balance N'!H53,2)</f>
        <v>0</v>
      </c>
      <c r="I53" s="2" t="str">
        <f t="shared" si="3"/>
        <v>0</v>
      </c>
    </row>
    <row r="54" spans="1:10" x14ac:dyDescent="0.2">
      <c r="A54" s="495" t="str">
        <f>FIXED('Balance N'!A54,0,1)</f>
        <v>0</v>
      </c>
      <c r="B54" s="494">
        <f>+'Balance N'!B54</f>
        <v>0</v>
      </c>
      <c r="C54" s="592">
        <f>ROUND('Balance N'!C54,2)</f>
        <v>0</v>
      </c>
      <c r="D54" s="592">
        <f>ROUND('Balance N'!D54,2)</f>
        <v>0</v>
      </c>
      <c r="E54" s="592">
        <f>ROUND('Balance N'!E54,2)</f>
        <v>0</v>
      </c>
      <c r="F54" s="592">
        <f>ROUND('Balance N'!F54,2)</f>
        <v>0</v>
      </c>
      <c r="G54" s="592">
        <f>ROUND('Balance N'!G54,2)</f>
        <v>0</v>
      </c>
      <c r="H54" s="592">
        <f>ROUND('Balance N'!H54,2)</f>
        <v>0</v>
      </c>
      <c r="I54" s="2" t="str">
        <f t="shared" si="3"/>
        <v>0</v>
      </c>
    </row>
    <row r="55" spans="1:10" x14ac:dyDescent="0.2">
      <c r="A55" s="495" t="str">
        <f>FIXED('Balance N'!A55,0,1)</f>
        <v>0</v>
      </c>
      <c r="B55" s="494">
        <f>+'Balance N'!B55</f>
        <v>0</v>
      </c>
      <c r="C55" s="592">
        <f>ROUND('Balance N'!C55,2)</f>
        <v>0</v>
      </c>
      <c r="D55" s="592">
        <f>ROUND('Balance N'!D55,2)</f>
        <v>0</v>
      </c>
      <c r="E55" s="592">
        <f>ROUND('Balance N'!E55,2)</f>
        <v>0</v>
      </c>
      <c r="F55" s="592">
        <f>ROUND('Balance N'!F55,2)</f>
        <v>0</v>
      </c>
      <c r="G55" s="592">
        <f>ROUND('Balance N'!G55,2)</f>
        <v>0</v>
      </c>
      <c r="H55" s="592">
        <f>ROUND('Balance N'!H55,2)</f>
        <v>0</v>
      </c>
      <c r="I55" s="2" t="str">
        <f t="shared" si="3"/>
        <v>0</v>
      </c>
    </row>
    <row r="56" spans="1:10" x14ac:dyDescent="0.2">
      <c r="A56" s="495" t="str">
        <f>FIXED('Balance N'!A56,0,1)</f>
        <v>0</v>
      </c>
      <c r="B56" s="494">
        <f>+'Balance N'!B56</f>
        <v>0</v>
      </c>
      <c r="C56" s="592">
        <f>ROUND('Balance N'!C56,2)</f>
        <v>0</v>
      </c>
      <c r="D56" s="592">
        <f>ROUND('Balance N'!D56,2)</f>
        <v>0</v>
      </c>
      <c r="E56" s="592">
        <f>ROUND('Balance N'!E56,2)</f>
        <v>0</v>
      </c>
      <c r="F56" s="592">
        <f>ROUND('Balance N'!F56,2)</f>
        <v>0</v>
      </c>
      <c r="G56" s="592">
        <f>ROUND('Balance N'!G56,2)</f>
        <v>0</v>
      </c>
      <c r="H56" s="592">
        <f>ROUND('Balance N'!H56,2)</f>
        <v>0</v>
      </c>
      <c r="I56" s="2" t="str">
        <f t="shared" si="3"/>
        <v>0</v>
      </c>
    </row>
    <row r="57" spans="1:10" x14ac:dyDescent="0.2">
      <c r="A57" s="495" t="str">
        <f>FIXED('Balance N'!A57,0,1)</f>
        <v>0</v>
      </c>
      <c r="B57" s="494">
        <f>+'Balance N'!B57</f>
        <v>0</v>
      </c>
      <c r="C57" s="592">
        <f>ROUND('Balance N'!C57,2)</f>
        <v>0</v>
      </c>
      <c r="D57" s="592">
        <f>ROUND('Balance N'!D57,2)</f>
        <v>0</v>
      </c>
      <c r="E57" s="592">
        <f>ROUND('Balance N'!E57,2)</f>
        <v>0</v>
      </c>
      <c r="F57" s="592">
        <f>ROUND('Balance N'!F57,2)</f>
        <v>0</v>
      </c>
      <c r="G57" s="592">
        <f>ROUND('Balance N'!G57,2)</f>
        <v>0</v>
      </c>
      <c r="H57" s="592">
        <f>ROUND('Balance N'!H57,2)</f>
        <v>0</v>
      </c>
      <c r="I57" s="2" t="str">
        <f t="shared" si="3"/>
        <v>0</v>
      </c>
    </row>
    <row r="58" spans="1:10" x14ac:dyDescent="0.2">
      <c r="A58" s="495" t="str">
        <f>FIXED('Balance N'!A58,0,1)</f>
        <v>0</v>
      </c>
      <c r="B58" s="494">
        <f>+'Balance N'!B58</f>
        <v>0</v>
      </c>
      <c r="C58" s="592">
        <f>ROUND('Balance N'!C58,2)</f>
        <v>0</v>
      </c>
      <c r="D58" s="592">
        <f>ROUND('Balance N'!D58,2)</f>
        <v>0</v>
      </c>
      <c r="E58" s="592">
        <f>ROUND('Balance N'!E58,2)</f>
        <v>0</v>
      </c>
      <c r="F58" s="592">
        <f>ROUND('Balance N'!F58,2)</f>
        <v>0</v>
      </c>
      <c r="G58" s="592">
        <f>ROUND('Balance N'!G58,2)</f>
        <v>0</v>
      </c>
      <c r="H58" s="592">
        <f>ROUND('Balance N'!H58,2)</f>
        <v>0</v>
      </c>
      <c r="I58" s="2" t="str">
        <f t="shared" si="3"/>
        <v>0</v>
      </c>
    </row>
    <row r="59" spans="1:10" x14ac:dyDescent="0.2">
      <c r="A59" s="495" t="str">
        <f>FIXED('Balance N'!A59,0,1)</f>
        <v>0</v>
      </c>
      <c r="B59" s="494">
        <f>+'Balance N'!B59</f>
        <v>0</v>
      </c>
      <c r="C59" s="592">
        <f>ROUND('Balance N'!C59,2)</f>
        <v>0</v>
      </c>
      <c r="D59" s="592">
        <f>ROUND('Balance N'!D59,2)</f>
        <v>0</v>
      </c>
      <c r="E59" s="592">
        <f>ROUND('Balance N'!E59,2)</f>
        <v>0</v>
      </c>
      <c r="F59" s="592">
        <f>ROUND('Balance N'!F59,2)</f>
        <v>0</v>
      </c>
      <c r="G59" s="592">
        <f>ROUND('Balance N'!G59,2)</f>
        <v>0</v>
      </c>
      <c r="H59" s="592">
        <f>ROUND('Balance N'!H59,2)</f>
        <v>0</v>
      </c>
      <c r="I59" s="2" t="str">
        <f t="shared" si="3"/>
        <v>0</v>
      </c>
    </row>
    <row r="60" spans="1:10" x14ac:dyDescent="0.2">
      <c r="A60" s="495" t="str">
        <f>FIXED('Balance N'!A60,0,1)</f>
        <v>0</v>
      </c>
      <c r="B60" s="494">
        <f>+'Balance N'!B60</f>
        <v>0</v>
      </c>
      <c r="C60" s="592">
        <f>ROUND('Balance N'!C60,2)</f>
        <v>0</v>
      </c>
      <c r="D60" s="592">
        <f>ROUND('Balance N'!D60,2)</f>
        <v>0</v>
      </c>
      <c r="E60" s="592">
        <f>ROUND('Balance N'!E60,2)</f>
        <v>0</v>
      </c>
      <c r="F60" s="592">
        <f>ROUND('Balance N'!F60,2)</f>
        <v>0</v>
      </c>
      <c r="G60" s="592">
        <f>ROUND('Balance N'!G60,2)</f>
        <v>0</v>
      </c>
      <c r="H60" s="592">
        <f>ROUND('Balance N'!H60,2)</f>
        <v>0</v>
      </c>
      <c r="I60" s="2" t="str">
        <f t="shared" si="3"/>
        <v>0</v>
      </c>
    </row>
    <row r="61" spans="1:10" x14ac:dyDescent="0.2">
      <c r="A61" s="495" t="str">
        <f>FIXED('Balance N'!A61,0,1)</f>
        <v>0</v>
      </c>
      <c r="B61" s="494">
        <f>+'Balance N'!B61</f>
        <v>0</v>
      </c>
      <c r="C61" s="592">
        <f>ROUND('Balance N'!C61,2)</f>
        <v>0</v>
      </c>
      <c r="D61" s="592">
        <f>ROUND('Balance N'!D61,2)</f>
        <v>0</v>
      </c>
      <c r="E61" s="592">
        <f>ROUND('Balance N'!E61,2)</f>
        <v>0</v>
      </c>
      <c r="F61" s="592">
        <f>ROUND('Balance N'!F61,2)</f>
        <v>0</v>
      </c>
      <c r="G61" s="592">
        <f>ROUND('Balance N'!G61,2)</f>
        <v>0</v>
      </c>
      <c r="H61" s="592">
        <f>ROUND('Balance N'!H61,2)</f>
        <v>0</v>
      </c>
      <c r="I61" s="2" t="str">
        <f t="shared" si="3"/>
        <v>0</v>
      </c>
    </row>
    <row r="62" spans="1:10" x14ac:dyDescent="0.2">
      <c r="A62" s="495" t="str">
        <f>FIXED('Balance N'!A62,0,1)</f>
        <v>0</v>
      </c>
      <c r="B62" s="494">
        <f>+'Balance N'!B62</f>
        <v>0</v>
      </c>
      <c r="C62" s="592">
        <f>ROUND('Balance N'!C62,2)</f>
        <v>0</v>
      </c>
      <c r="D62" s="592">
        <f>ROUND('Balance N'!D62,2)</f>
        <v>0</v>
      </c>
      <c r="E62" s="592">
        <f>ROUND('Balance N'!E62,2)</f>
        <v>0</v>
      </c>
      <c r="F62" s="592">
        <f>ROUND('Balance N'!F62,2)</f>
        <v>0</v>
      </c>
      <c r="G62" s="592">
        <f>ROUND('Balance N'!G62,2)</f>
        <v>0</v>
      </c>
      <c r="H62" s="592">
        <f>ROUND('Balance N'!H62,2)</f>
        <v>0</v>
      </c>
      <c r="I62" s="2" t="str">
        <f t="shared" si="3"/>
        <v>0</v>
      </c>
    </row>
    <row r="63" spans="1:10" x14ac:dyDescent="0.2">
      <c r="A63" s="495" t="str">
        <f>FIXED('Balance N'!A63,0,1)</f>
        <v>0</v>
      </c>
      <c r="B63" s="494">
        <f>+'Balance N'!B63</f>
        <v>0</v>
      </c>
      <c r="C63" s="592">
        <f>ROUND('Balance N'!C63,2)</f>
        <v>0</v>
      </c>
      <c r="D63" s="592">
        <f>ROUND('Balance N'!D63,2)</f>
        <v>0</v>
      </c>
      <c r="E63" s="592">
        <f>ROUND('Balance N'!E63,2)</f>
        <v>0</v>
      </c>
      <c r="F63" s="592">
        <f>ROUND('Balance N'!F63,2)</f>
        <v>0</v>
      </c>
      <c r="G63" s="592">
        <f>ROUND('Balance N'!G63,2)</f>
        <v>0</v>
      </c>
      <c r="H63" s="592">
        <f>ROUND('Balance N'!H63,2)</f>
        <v>0</v>
      </c>
      <c r="I63" s="2" t="str">
        <f t="shared" si="3"/>
        <v>0</v>
      </c>
    </row>
    <row r="64" spans="1:10" x14ac:dyDescent="0.2">
      <c r="A64" s="495" t="str">
        <f>FIXED('Balance N'!A64,0,1)</f>
        <v>0</v>
      </c>
      <c r="B64" s="494">
        <f>+'Balance N'!B64</f>
        <v>0</v>
      </c>
      <c r="C64" s="592">
        <f>ROUND('Balance N'!C64,2)</f>
        <v>0</v>
      </c>
      <c r="D64" s="592">
        <f>ROUND('Balance N'!D64,2)</f>
        <v>0</v>
      </c>
      <c r="E64" s="592">
        <f>ROUND('Balance N'!E64,2)</f>
        <v>0</v>
      </c>
      <c r="F64" s="592">
        <f>ROUND('Balance N'!F64,2)</f>
        <v>0</v>
      </c>
      <c r="G64" s="592">
        <f>ROUND('Balance N'!G64,2)</f>
        <v>0</v>
      </c>
      <c r="H64" s="592">
        <f>ROUND('Balance N'!H64,2)</f>
        <v>0</v>
      </c>
      <c r="I64" s="2" t="str">
        <f t="shared" si="3"/>
        <v>0</v>
      </c>
      <c r="J64" s="1100"/>
    </row>
    <row r="65" spans="1:10" x14ac:dyDescent="0.2">
      <c r="A65" s="495" t="str">
        <f>FIXED('Balance N'!A65,0,1)</f>
        <v>0</v>
      </c>
      <c r="B65" s="494">
        <f>+'Balance N'!B65</f>
        <v>0</v>
      </c>
      <c r="C65" s="592">
        <f>ROUND('Balance N'!C65,2)</f>
        <v>0</v>
      </c>
      <c r="D65" s="592">
        <f>ROUND('Balance N'!D65,2)</f>
        <v>0</v>
      </c>
      <c r="E65" s="592">
        <f>ROUND('Balance N'!E65,2)</f>
        <v>0</v>
      </c>
      <c r="F65" s="592">
        <f>ROUND('Balance N'!F65,2)</f>
        <v>0</v>
      </c>
      <c r="G65" s="592">
        <f>ROUND('Balance N'!G65,2)</f>
        <v>0</v>
      </c>
      <c r="H65" s="592">
        <f>ROUND('Balance N'!H65,2)</f>
        <v>0</v>
      </c>
      <c r="I65" s="2" t="str">
        <f t="shared" si="3"/>
        <v>0</v>
      </c>
      <c r="J65" s="1100"/>
    </row>
    <row r="66" spans="1:10" x14ac:dyDescent="0.2">
      <c r="A66" s="495" t="str">
        <f>FIXED('Balance N'!A66,0,1)</f>
        <v>0</v>
      </c>
      <c r="B66" s="494">
        <f>+'Balance N'!B66</f>
        <v>0</v>
      </c>
      <c r="C66" s="592">
        <f>ROUND('Balance N'!C66,2)</f>
        <v>0</v>
      </c>
      <c r="D66" s="592">
        <f>ROUND('Balance N'!D66,2)</f>
        <v>0</v>
      </c>
      <c r="E66" s="592">
        <f>ROUND('Balance N'!E66,2)</f>
        <v>0</v>
      </c>
      <c r="F66" s="592">
        <f>ROUND('Balance N'!F66,2)</f>
        <v>0</v>
      </c>
      <c r="G66" s="592">
        <f>ROUND('Balance N'!G66,2)</f>
        <v>0</v>
      </c>
      <c r="H66" s="592">
        <f>ROUND('Balance N'!H66,2)</f>
        <v>0</v>
      </c>
      <c r="I66" s="2" t="str">
        <f t="shared" si="3"/>
        <v>0</v>
      </c>
      <c r="J66" s="1100"/>
    </row>
    <row r="67" spans="1:10" x14ac:dyDescent="0.2">
      <c r="A67" s="495" t="str">
        <f>FIXED('Balance N'!A67,0,1)</f>
        <v>0</v>
      </c>
      <c r="B67" s="494">
        <f>+'Balance N'!B67</f>
        <v>0</v>
      </c>
      <c r="C67" s="592">
        <f>ROUND('Balance N'!C67,2)</f>
        <v>0</v>
      </c>
      <c r="D67" s="592">
        <f>ROUND('Balance N'!D67,2)</f>
        <v>0</v>
      </c>
      <c r="E67" s="592">
        <f>ROUND('Balance N'!E67,2)</f>
        <v>0</v>
      </c>
      <c r="F67" s="592">
        <f>ROUND('Balance N'!F67,2)</f>
        <v>0</v>
      </c>
      <c r="G67" s="592">
        <f>ROUND('Balance N'!G67,2)</f>
        <v>0</v>
      </c>
      <c r="H67" s="592">
        <f>ROUND('Balance N'!H67,2)</f>
        <v>0</v>
      </c>
      <c r="I67" s="2" t="str">
        <f t="shared" ref="I67:I130" si="4">MID(A67,1,1)</f>
        <v>0</v>
      </c>
      <c r="J67" s="1100"/>
    </row>
    <row r="68" spans="1:10" x14ac:dyDescent="0.2">
      <c r="A68" s="495" t="str">
        <f>FIXED('Balance N'!A68,0,1)</f>
        <v>0</v>
      </c>
      <c r="B68" s="494">
        <f>+'Balance N'!B68</f>
        <v>0</v>
      </c>
      <c r="C68" s="592">
        <f>ROUND('Balance N'!C68,2)</f>
        <v>0</v>
      </c>
      <c r="D68" s="592">
        <f>ROUND('Balance N'!D68,2)</f>
        <v>0</v>
      </c>
      <c r="E68" s="592">
        <f>ROUND('Balance N'!E68,2)</f>
        <v>0</v>
      </c>
      <c r="F68" s="592">
        <f>ROUND('Balance N'!F68,2)</f>
        <v>0</v>
      </c>
      <c r="G68" s="592">
        <f>ROUND('Balance N'!G68,2)</f>
        <v>0</v>
      </c>
      <c r="H68" s="592">
        <f>ROUND('Balance N'!H68,2)</f>
        <v>0</v>
      </c>
      <c r="I68" s="2" t="str">
        <f t="shared" si="4"/>
        <v>0</v>
      </c>
      <c r="J68" s="1100"/>
    </row>
    <row r="69" spans="1:10" x14ac:dyDescent="0.2">
      <c r="A69" s="495" t="str">
        <f>FIXED('Balance N'!A69,0,1)</f>
        <v>0</v>
      </c>
      <c r="B69" s="494">
        <f>+'Balance N'!B69</f>
        <v>0</v>
      </c>
      <c r="C69" s="592">
        <f>ROUND('Balance N'!C69,2)</f>
        <v>0</v>
      </c>
      <c r="D69" s="592">
        <f>ROUND('Balance N'!D69,2)</f>
        <v>0</v>
      </c>
      <c r="E69" s="592">
        <f>ROUND('Balance N'!E69,2)</f>
        <v>0</v>
      </c>
      <c r="F69" s="592">
        <f>ROUND('Balance N'!F69,2)</f>
        <v>0</v>
      </c>
      <c r="G69" s="592">
        <f>ROUND('Balance N'!G69,2)</f>
        <v>0</v>
      </c>
      <c r="H69" s="592">
        <f>ROUND('Balance N'!H69,2)</f>
        <v>0</v>
      </c>
      <c r="I69" s="2" t="str">
        <f t="shared" si="4"/>
        <v>0</v>
      </c>
    </row>
    <row r="70" spans="1:10" x14ac:dyDescent="0.2">
      <c r="A70" s="495" t="str">
        <f>FIXED('Balance N'!A70,0,1)</f>
        <v>0</v>
      </c>
      <c r="B70" s="494">
        <f>+'Balance N'!B70</f>
        <v>0</v>
      </c>
      <c r="C70" s="592">
        <f>ROUND('Balance N'!C70,2)</f>
        <v>0</v>
      </c>
      <c r="D70" s="592">
        <f>ROUND('Balance N'!D70,2)</f>
        <v>0</v>
      </c>
      <c r="E70" s="592">
        <f>ROUND('Balance N'!E70,2)</f>
        <v>0</v>
      </c>
      <c r="F70" s="592">
        <f>ROUND('Balance N'!F70,2)</f>
        <v>0</v>
      </c>
      <c r="G70" s="592">
        <f>ROUND('Balance N'!G70,2)</f>
        <v>0</v>
      </c>
      <c r="H70" s="592">
        <f>ROUND('Balance N'!H70,2)</f>
        <v>0</v>
      </c>
      <c r="I70" s="2" t="str">
        <f t="shared" si="4"/>
        <v>0</v>
      </c>
    </row>
    <row r="71" spans="1:10" x14ac:dyDescent="0.2">
      <c r="A71" s="495" t="str">
        <f>FIXED('Balance N'!A71,0,1)</f>
        <v>0</v>
      </c>
      <c r="B71" s="494">
        <f>+'Balance N'!B71</f>
        <v>0</v>
      </c>
      <c r="C71" s="592">
        <f>ROUND('Balance N'!C71,2)</f>
        <v>0</v>
      </c>
      <c r="D71" s="592">
        <f>ROUND('Balance N'!D71,2)</f>
        <v>0</v>
      </c>
      <c r="E71" s="592">
        <f>ROUND('Balance N'!E71,2)</f>
        <v>0</v>
      </c>
      <c r="F71" s="592">
        <f>ROUND('Balance N'!F71,2)</f>
        <v>0</v>
      </c>
      <c r="G71" s="592">
        <f>ROUND('Balance N'!G71,2)</f>
        <v>0</v>
      </c>
      <c r="H71" s="592">
        <f>ROUND('Balance N'!H71,2)</f>
        <v>0</v>
      </c>
      <c r="I71" s="2" t="str">
        <f t="shared" si="4"/>
        <v>0</v>
      </c>
    </row>
    <row r="72" spans="1:10" x14ac:dyDescent="0.2">
      <c r="A72" s="495" t="str">
        <f>FIXED('Balance N'!A72,0,1)</f>
        <v>0</v>
      </c>
      <c r="B72" s="494">
        <f>+'Balance N'!B72</f>
        <v>0</v>
      </c>
      <c r="C72" s="592">
        <f>ROUND('Balance N'!C72,2)</f>
        <v>0</v>
      </c>
      <c r="D72" s="592">
        <f>ROUND('Balance N'!D72,2)</f>
        <v>0</v>
      </c>
      <c r="E72" s="592">
        <f>ROUND('Balance N'!E72,2)</f>
        <v>0</v>
      </c>
      <c r="F72" s="592">
        <f>ROUND('Balance N'!F72,2)</f>
        <v>0</v>
      </c>
      <c r="G72" s="592">
        <f>ROUND('Balance N'!G72,2)</f>
        <v>0</v>
      </c>
      <c r="H72" s="592">
        <f>ROUND('Balance N'!H72,2)</f>
        <v>0</v>
      </c>
      <c r="I72" s="2" t="str">
        <f t="shared" si="4"/>
        <v>0</v>
      </c>
    </row>
    <row r="73" spans="1:10" x14ac:dyDescent="0.2">
      <c r="A73" s="495" t="str">
        <f>FIXED('Balance N'!A73,0,1)</f>
        <v>0</v>
      </c>
      <c r="B73" s="494">
        <f>+'Balance N'!B73</f>
        <v>0</v>
      </c>
      <c r="C73" s="592">
        <f>ROUND('Balance N'!C73,2)</f>
        <v>0</v>
      </c>
      <c r="D73" s="592">
        <f>ROUND('Balance N'!D73,2)</f>
        <v>0</v>
      </c>
      <c r="E73" s="592">
        <f>ROUND('Balance N'!E73,2)</f>
        <v>0</v>
      </c>
      <c r="F73" s="592">
        <f>ROUND('Balance N'!F73,2)</f>
        <v>0</v>
      </c>
      <c r="G73" s="592">
        <f>ROUND('Balance N'!G73,2)</f>
        <v>0</v>
      </c>
      <c r="H73" s="592">
        <f>ROUND('Balance N'!H73,2)</f>
        <v>0</v>
      </c>
      <c r="I73" s="2" t="str">
        <f t="shared" si="4"/>
        <v>0</v>
      </c>
    </row>
    <row r="74" spans="1:10" x14ac:dyDescent="0.2">
      <c r="A74" s="495" t="str">
        <f>FIXED('Balance N'!A74,0,1)</f>
        <v>0</v>
      </c>
      <c r="B74" s="494">
        <f>+'Balance N'!B74</f>
        <v>0</v>
      </c>
      <c r="C74" s="592">
        <f>ROUND('Balance N'!C74,2)</f>
        <v>0</v>
      </c>
      <c r="D74" s="592">
        <f>ROUND('Balance N'!D74,2)</f>
        <v>0</v>
      </c>
      <c r="E74" s="592">
        <f>ROUND('Balance N'!E74,2)</f>
        <v>0</v>
      </c>
      <c r="F74" s="592">
        <f>ROUND('Balance N'!F74,2)</f>
        <v>0</v>
      </c>
      <c r="G74" s="592">
        <f>ROUND('Balance N'!G74,2)</f>
        <v>0</v>
      </c>
      <c r="H74" s="592">
        <f>ROUND('Balance N'!H74,2)</f>
        <v>0</v>
      </c>
      <c r="I74" s="2" t="str">
        <f t="shared" si="4"/>
        <v>0</v>
      </c>
    </row>
    <row r="75" spans="1:10" x14ac:dyDescent="0.2">
      <c r="A75" s="495" t="str">
        <f>FIXED('Balance N'!A75,0,1)</f>
        <v>0</v>
      </c>
      <c r="B75" s="494">
        <f>+'Balance N'!B75</f>
        <v>0</v>
      </c>
      <c r="C75" s="592">
        <f>ROUND('Balance N'!C75,2)</f>
        <v>0</v>
      </c>
      <c r="D75" s="592">
        <f>ROUND('Balance N'!D75,2)</f>
        <v>0</v>
      </c>
      <c r="E75" s="592">
        <f>ROUND('Balance N'!E75,2)</f>
        <v>0</v>
      </c>
      <c r="F75" s="592">
        <f>ROUND('Balance N'!F75,2)</f>
        <v>0</v>
      </c>
      <c r="G75" s="592">
        <f>ROUND('Balance N'!G75,2)</f>
        <v>0</v>
      </c>
      <c r="H75" s="592">
        <f>ROUND('Balance N'!H75,2)</f>
        <v>0</v>
      </c>
      <c r="I75" s="2" t="str">
        <f t="shared" si="4"/>
        <v>0</v>
      </c>
    </row>
    <row r="76" spans="1:10" x14ac:dyDescent="0.2">
      <c r="A76" s="495" t="str">
        <f>FIXED('Balance N'!A76,0,1)</f>
        <v>0</v>
      </c>
      <c r="B76" s="494">
        <f>+'Balance N'!B76</f>
        <v>0</v>
      </c>
      <c r="C76" s="592">
        <f>ROUND('Balance N'!C76,2)</f>
        <v>0</v>
      </c>
      <c r="D76" s="592">
        <f>ROUND('Balance N'!D76,2)</f>
        <v>0</v>
      </c>
      <c r="E76" s="592">
        <f>ROUND('Balance N'!E76,2)</f>
        <v>0</v>
      </c>
      <c r="F76" s="592">
        <f>ROUND('Balance N'!F76,2)</f>
        <v>0</v>
      </c>
      <c r="G76" s="592">
        <f>ROUND('Balance N'!G76,2)</f>
        <v>0</v>
      </c>
      <c r="H76" s="592">
        <f>ROUND('Balance N'!H76,2)</f>
        <v>0</v>
      </c>
      <c r="I76" s="2" t="str">
        <f t="shared" si="4"/>
        <v>0</v>
      </c>
    </row>
    <row r="77" spans="1:10" x14ac:dyDescent="0.2">
      <c r="A77" s="495" t="str">
        <f>FIXED('Balance N'!A77,0,1)</f>
        <v>0</v>
      </c>
      <c r="B77" s="494">
        <f>+'Balance N'!B77</f>
        <v>0</v>
      </c>
      <c r="C77" s="592">
        <f>ROUND('Balance N'!C77,2)</f>
        <v>0</v>
      </c>
      <c r="D77" s="592">
        <f>ROUND('Balance N'!D77,2)</f>
        <v>0</v>
      </c>
      <c r="E77" s="592">
        <f>ROUND('Balance N'!E77,2)</f>
        <v>0</v>
      </c>
      <c r="F77" s="592">
        <f>ROUND('Balance N'!F77,2)</f>
        <v>0</v>
      </c>
      <c r="G77" s="592">
        <f>ROUND('Balance N'!G77,2)</f>
        <v>0</v>
      </c>
      <c r="H77" s="592">
        <f>ROUND('Balance N'!H77,2)</f>
        <v>0</v>
      </c>
      <c r="I77" s="2" t="str">
        <f t="shared" si="4"/>
        <v>0</v>
      </c>
    </row>
    <row r="78" spans="1:10" x14ac:dyDescent="0.2">
      <c r="A78" s="495" t="str">
        <f>FIXED('Balance N'!A78,0,1)</f>
        <v>0</v>
      </c>
      <c r="B78" s="494">
        <f>+'Balance N'!B78</f>
        <v>0</v>
      </c>
      <c r="C78" s="592">
        <f>ROUND('Balance N'!C78,2)</f>
        <v>0</v>
      </c>
      <c r="D78" s="592">
        <f>ROUND('Balance N'!D78,2)</f>
        <v>0</v>
      </c>
      <c r="E78" s="592">
        <f>ROUND('Balance N'!E78,2)</f>
        <v>0</v>
      </c>
      <c r="F78" s="592">
        <f>ROUND('Balance N'!F78,2)</f>
        <v>0</v>
      </c>
      <c r="G78" s="592">
        <f>ROUND('Balance N'!G78,2)</f>
        <v>0</v>
      </c>
      <c r="H78" s="592">
        <f>ROUND('Balance N'!H78,2)</f>
        <v>0</v>
      </c>
      <c r="I78" s="2" t="str">
        <f t="shared" si="4"/>
        <v>0</v>
      </c>
    </row>
    <row r="79" spans="1:10" x14ac:dyDescent="0.2">
      <c r="A79" s="495" t="str">
        <f>FIXED('Balance N'!A79,0,1)</f>
        <v>0</v>
      </c>
      <c r="B79" s="494">
        <f>+'Balance N'!B79</f>
        <v>0</v>
      </c>
      <c r="C79" s="592">
        <f>ROUND('Balance N'!C79,2)</f>
        <v>0</v>
      </c>
      <c r="D79" s="592">
        <f>ROUND('Balance N'!D79,2)</f>
        <v>0</v>
      </c>
      <c r="E79" s="592">
        <f>ROUND('Balance N'!E79,2)</f>
        <v>0</v>
      </c>
      <c r="F79" s="592">
        <f>ROUND('Balance N'!F79,2)</f>
        <v>0</v>
      </c>
      <c r="G79" s="592">
        <f>ROUND('Balance N'!G79,2)</f>
        <v>0</v>
      </c>
      <c r="H79" s="592">
        <f>ROUND('Balance N'!H79,2)</f>
        <v>0</v>
      </c>
      <c r="I79" s="2" t="str">
        <f t="shared" si="4"/>
        <v>0</v>
      </c>
    </row>
    <row r="80" spans="1:10" x14ac:dyDescent="0.2">
      <c r="A80" s="495" t="str">
        <f>FIXED('Balance N'!A80,0,1)</f>
        <v>0</v>
      </c>
      <c r="B80" s="494">
        <f>+'Balance N'!B80</f>
        <v>0</v>
      </c>
      <c r="C80" s="592">
        <f>ROUND('Balance N'!C80,2)</f>
        <v>0</v>
      </c>
      <c r="D80" s="592">
        <f>ROUND('Balance N'!D80,2)</f>
        <v>0</v>
      </c>
      <c r="E80" s="592">
        <f>ROUND('Balance N'!E80,2)</f>
        <v>0</v>
      </c>
      <c r="F80" s="592">
        <f>ROUND('Balance N'!F80,2)</f>
        <v>0</v>
      </c>
      <c r="G80" s="592">
        <f>ROUND('Balance N'!G80,2)</f>
        <v>0</v>
      </c>
      <c r="H80" s="592">
        <f>ROUND('Balance N'!H80,2)</f>
        <v>0</v>
      </c>
      <c r="I80" s="2" t="str">
        <f t="shared" si="4"/>
        <v>0</v>
      </c>
    </row>
    <row r="81" spans="1:9" x14ac:dyDescent="0.2">
      <c r="A81" s="495" t="str">
        <f>FIXED('Balance N'!A81,0,1)</f>
        <v>0</v>
      </c>
      <c r="B81" s="494">
        <f>+'Balance N'!B81</f>
        <v>0</v>
      </c>
      <c r="C81" s="592">
        <f>ROUND('Balance N'!C81,2)</f>
        <v>0</v>
      </c>
      <c r="D81" s="592">
        <f>ROUND('Balance N'!D81,2)</f>
        <v>0</v>
      </c>
      <c r="E81" s="592">
        <f>ROUND('Balance N'!E81,2)</f>
        <v>0</v>
      </c>
      <c r="F81" s="592">
        <f>ROUND('Balance N'!F81,2)</f>
        <v>0</v>
      </c>
      <c r="G81" s="592">
        <f>ROUND('Balance N'!G81,2)</f>
        <v>0</v>
      </c>
      <c r="H81" s="592">
        <f>ROUND('Balance N'!H81,2)</f>
        <v>0</v>
      </c>
      <c r="I81" s="2" t="str">
        <f t="shared" si="4"/>
        <v>0</v>
      </c>
    </row>
    <row r="82" spans="1:9" x14ac:dyDescent="0.2">
      <c r="A82" s="495" t="str">
        <f>FIXED('Balance N'!A82,0,1)</f>
        <v>0</v>
      </c>
      <c r="B82" s="494">
        <f>+'Balance N'!B82</f>
        <v>0</v>
      </c>
      <c r="C82" s="592">
        <f>ROUND('Balance N'!C82,2)</f>
        <v>0</v>
      </c>
      <c r="D82" s="592">
        <f>ROUND('Balance N'!D82,2)</f>
        <v>0</v>
      </c>
      <c r="E82" s="592">
        <f>ROUND('Balance N'!E82,2)</f>
        <v>0</v>
      </c>
      <c r="F82" s="592">
        <f>ROUND('Balance N'!F82,2)</f>
        <v>0</v>
      </c>
      <c r="G82" s="592">
        <f>ROUND('Balance N'!G82,2)</f>
        <v>0</v>
      </c>
      <c r="H82" s="592">
        <f>ROUND('Balance N'!H82,2)</f>
        <v>0</v>
      </c>
      <c r="I82" s="2" t="str">
        <f t="shared" si="4"/>
        <v>0</v>
      </c>
    </row>
    <row r="83" spans="1:9" x14ac:dyDescent="0.2">
      <c r="A83" s="495" t="str">
        <f>FIXED('Balance N'!A83,0,1)</f>
        <v>0</v>
      </c>
      <c r="B83" s="494">
        <f>+'Balance N'!B83</f>
        <v>0</v>
      </c>
      <c r="C83" s="592">
        <f>ROUND('Balance N'!C83,2)</f>
        <v>0</v>
      </c>
      <c r="D83" s="592">
        <f>ROUND('Balance N'!D83,2)</f>
        <v>0</v>
      </c>
      <c r="E83" s="592">
        <f>ROUND('Balance N'!E83,2)</f>
        <v>0</v>
      </c>
      <c r="F83" s="592">
        <f>ROUND('Balance N'!F83,2)</f>
        <v>0</v>
      </c>
      <c r="G83" s="592">
        <f>ROUND('Balance N'!G83,2)</f>
        <v>0</v>
      </c>
      <c r="H83" s="592">
        <f>ROUND('Balance N'!H83,2)</f>
        <v>0</v>
      </c>
      <c r="I83" s="2" t="str">
        <f t="shared" si="4"/>
        <v>0</v>
      </c>
    </row>
    <row r="84" spans="1:9" x14ac:dyDescent="0.2">
      <c r="A84" s="495" t="str">
        <f>FIXED('Balance N'!A84,0,1)</f>
        <v>0</v>
      </c>
      <c r="B84" s="494">
        <f>+'Balance N'!B84</f>
        <v>0</v>
      </c>
      <c r="C84" s="592">
        <f>ROUND('Balance N'!C84,2)</f>
        <v>0</v>
      </c>
      <c r="D84" s="592">
        <f>ROUND('Balance N'!D84,2)</f>
        <v>0</v>
      </c>
      <c r="E84" s="592">
        <f>ROUND('Balance N'!E84,2)</f>
        <v>0</v>
      </c>
      <c r="F84" s="592">
        <f>ROUND('Balance N'!F84,2)</f>
        <v>0</v>
      </c>
      <c r="G84" s="592">
        <f>ROUND('Balance N'!G84,2)</f>
        <v>0</v>
      </c>
      <c r="H84" s="592">
        <f>ROUND('Balance N'!H84,2)</f>
        <v>0</v>
      </c>
      <c r="I84" s="2" t="str">
        <f t="shared" si="4"/>
        <v>0</v>
      </c>
    </row>
    <row r="85" spans="1:9" x14ac:dyDescent="0.2">
      <c r="A85" s="495" t="str">
        <f>FIXED('Balance N'!A85,0,1)</f>
        <v>0</v>
      </c>
      <c r="B85" s="494">
        <f>+'Balance N'!B85</f>
        <v>0</v>
      </c>
      <c r="C85" s="592">
        <f>ROUND('Balance N'!C85,2)</f>
        <v>0</v>
      </c>
      <c r="D85" s="592">
        <f>ROUND('Balance N'!D85,2)</f>
        <v>0</v>
      </c>
      <c r="E85" s="592">
        <f>ROUND('Balance N'!E85,2)</f>
        <v>0</v>
      </c>
      <c r="F85" s="592">
        <f>ROUND('Balance N'!F85,2)</f>
        <v>0</v>
      </c>
      <c r="G85" s="592">
        <f>ROUND('Balance N'!G85,2)</f>
        <v>0</v>
      </c>
      <c r="H85" s="592">
        <f>ROUND('Balance N'!H85,2)</f>
        <v>0</v>
      </c>
      <c r="I85" s="2" t="str">
        <f t="shared" si="4"/>
        <v>0</v>
      </c>
    </row>
    <row r="86" spans="1:9" x14ac:dyDescent="0.2">
      <c r="A86" s="495" t="str">
        <f>FIXED('Balance N'!A86,0,1)</f>
        <v>0</v>
      </c>
      <c r="B86" s="494">
        <f>+'Balance N'!B86</f>
        <v>0</v>
      </c>
      <c r="C86" s="592">
        <f>ROUND('Balance N'!C86,2)</f>
        <v>0</v>
      </c>
      <c r="D86" s="592">
        <f>ROUND('Balance N'!D86,2)</f>
        <v>0</v>
      </c>
      <c r="E86" s="592">
        <f>ROUND('Balance N'!E86,2)</f>
        <v>0</v>
      </c>
      <c r="F86" s="592">
        <f>ROUND('Balance N'!F86,2)</f>
        <v>0</v>
      </c>
      <c r="G86" s="592">
        <f>ROUND('Balance N'!G86,2)</f>
        <v>0</v>
      </c>
      <c r="H86" s="592">
        <f>ROUND('Balance N'!H86,2)</f>
        <v>0</v>
      </c>
      <c r="I86" s="2" t="str">
        <f t="shared" si="4"/>
        <v>0</v>
      </c>
    </row>
    <row r="87" spans="1:9" x14ac:dyDescent="0.2">
      <c r="A87" s="495" t="str">
        <f>FIXED('Balance N'!A87,0,1)</f>
        <v>0</v>
      </c>
      <c r="B87" s="494">
        <f>+'Balance N'!B87</f>
        <v>0</v>
      </c>
      <c r="C87" s="592">
        <f>ROUND('Balance N'!C87,2)</f>
        <v>0</v>
      </c>
      <c r="D87" s="592">
        <f>ROUND('Balance N'!D87,2)</f>
        <v>0</v>
      </c>
      <c r="E87" s="592">
        <f>ROUND('Balance N'!E87,2)</f>
        <v>0</v>
      </c>
      <c r="F87" s="592">
        <f>ROUND('Balance N'!F87,2)</f>
        <v>0</v>
      </c>
      <c r="G87" s="592">
        <f>ROUND('Balance N'!G87,2)</f>
        <v>0</v>
      </c>
      <c r="H87" s="592">
        <f>ROUND('Balance N'!H87,2)</f>
        <v>0</v>
      </c>
      <c r="I87" s="2" t="str">
        <f t="shared" si="4"/>
        <v>0</v>
      </c>
    </row>
    <row r="88" spans="1:9" x14ac:dyDescent="0.2">
      <c r="A88" s="495" t="str">
        <f>FIXED('Balance N'!A88,0,1)</f>
        <v>0</v>
      </c>
      <c r="B88" s="494">
        <f>+'Balance N'!B88</f>
        <v>0</v>
      </c>
      <c r="C88" s="592">
        <f>ROUND('Balance N'!C88,2)</f>
        <v>0</v>
      </c>
      <c r="D88" s="592">
        <f>ROUND('Balance N'!D88,2)</f>
        <v>0</v>
      </c>
      <c r="E88" s="592">
        <f>ROUND('Balance N'!E88,2)</f>
        <v>0</v>
      </c>
      <c r="F88" s="592">
        <f>ROUND('Balance N'!F88,2)</f>
        <v>0</v>
      </c>
      <c r="G88" s="592">
        <f>ROUND('Balance N'!G88,2)</f>
        <v>0</v>
      </c>
      <c r="H88" s="592">
        <f>ROUND('Balance N'!H88,2)</f>
        <v>0</v>
      </c>
      <c r="I88" s="2" t="str">
        <f t="shared" si="4"/>
        <v>0</v>
      </c>
    </row>
    <row r="89" spans="1:9" x14ac:dyDescent="0.2">
      <c r="A89" s="495" t="str">
        <f>FIXED('Balance N'!A89,0,1)</f>
        <v>0</v>
      </c>
      <c r="B89" s="494">
        <f>+'Balance N'!B89</f>
        <v>0</v>
      </c>
      <c r="C89" s="592">
        <f>ROUND('Balance N'!C89,2)</f>
        <v>0</v>
      </c>
      <c r="D89" s="592">
        <f>ROUND('Balance N'!D89,2)</f>
        <v>0</v>
      </c>
      <c r="E89" s="592">
        <f>ROUND('Balance N'!E89,2)</f>
        <v>0</v>
      </c>
      <c r="F89" s="592">
        <f>ROUND('Balance N'!F89,2)</f>
        <v>0</v>
      </c>
      <c r="G89" s="592">
        <f>ROUND('Balance N'!G89,2)</f>
        <v>0</v>
      </c>
      <c r="H89" s="592">
        <f>ROUND('Balance N'!H89,2)</f>
        <v>0</v>
      </c>
      <c r="I89" s="2" t="str">
        <f t="shared" si="4"/>
        <v>0</v>
      </c>
    </row>
    <row r="90" spans="1:9" x14ac:dyDescent="0.2">
      <c r="A90" s="495" t="str">
        <f>FIXED('Balance N'!A90,0,1)</f>
        <v>0</v>
      </c>
      <c r="B90" s="494">
        <f>+'Balance N'!B90</f>
        <v>0</v>
      </c>
      <c r="C90" s="592">
        <f>ROUND('Balance N'!C90,2)</f>
        <v>0</v>
      </c>
      <c r="D90" s="592">
        <f>ROUND('Balance N'!D90,2)</f>
        <v>0</v>
      </c>
      <c r="E90" s="592">
        <f>ROUND('Balance N'!E90,2)</f>
        <v>0</v>
      </c>
      <c r="F90" s="592">
        <f>ROUND('Balance N'!F90,2)</f>
        <v>0</v>
      </c>
      <c r="G90" s="592">
        <f>ROUND('Balance N'!G90,2)</f>
        <v>0</v>
      </c>
      <c r="H90" s="592">
        <f>ROUND('Balance N'!H90,2)</f>
        <v>0</v>
      </c>
      <c r="I90" s="2" t="str">
        <f t="shared" si="4"/>
        <v>0</v>
      </c>
    </row>
    <row r="91" spans="1:9" x14ac:dyDescent="0.2">
      <c r="A91" s="495" t="str">
        <f>FIXED('Balance N'!A91,0,1)</f>
        <v>0</v>
      </c>
      <c r="B91" s="494">
        <f>+'Balance N'!B91</f>
        <v>0</v>
      </c>
      <c r="C91" s="592">
        <f>ROUND('Balance N'!C91,2)</f>
        <v>0</v>
      </c>
      <c r="D91" s="592">
        <f>ROUND('Balance N'!D91,2)</f>
        <v>0</v>
      </c>
      <c r="E91" s="592">
        <f>ROUND('Balance N'!E91,2)</f>
        <v>0</v>
      </c>
      <c r="F91" s="592">
        <f>ROUND('Balance N'!F91,2)</f>
        <v>0</v>
      </c>
      <c r="G91" s="592">
        <f>ROUND('Balance N'!G91,2)</f>
        <v>0</v>
      </c>
      <c r="H91" s="592">
        <f>ROUND('Balance N'!H91,2)</f>
        <v>0</v>
      </c>
      <c r="I91" s="2" t="str">
        <f t="shared" si="4"/>
        <v>0</v>
      </c>
    </row>
    <row r="92" spans="1:9" x14ac:dyDescent="0.2">
      <c r="A92" s="495" t="str">
        <f>FIXED('Balance N'!A92,0,1)</f>
        <v>0</v>
      </c>
      <c r="B92" s="494">
        <f>+'Balance N'!B92</f>
        <v>0</v>
      </c>
      <c r="C92" s="592">
        <f>ROUND('Balance N'!C92,2)</f>
        <v>0</v>
      </c>
      <c r="D92" s="592">
        <f>ROUND('Balance N'!D92,2)</f>
        <v>0</v>
      </c>
      <c r="E92" s="592">
        <f>ROUND('Balance N'!E92,2)</f>
        <v>0</v>
      </c>
      <c r="F92" s="592">
        <f>ROUND('Balance N'!F92,2)</f>
        <v>0</v>
      </c>
      <c r="G92" s="592">
        <f>ROUND('Balance N'!G92,2)</f>
        <v>0</v>
      </c>
      <c r="H92" s="592">
        <f>ROUND('Balance N'!H92,2)</f>
        <v>0</v>
      </c>
      <c r="I92" s="2" t="str">
        <f t="shared" si="4"/>
        <v>0</v>
      </c>
    </row>
    <row r="93" spans="1:9" x14ac:dyDescent="0.2">
      <c r="A93" s="495" t="str">
        <f>FIXED('Balance N'!A93,0,1)</f>
        <v>0</v>
      </c>
      <c r="B93" s="494">
        <f>+'Balance N'!B93</f>
        <v>0</v>
      </c>
      <c r="C93" s="592">
        <f>ROUND('Balance N'!C93,2)</f>
        <v>0</v>
      </c>
      <c r="D93" s="592">
        <f>ROUND('Balance N'!D93,2)</f>
        <v>0</v>
      </c>
      <c r="E93" s="592">
        <f>ROUND('Balance N'!E93,2)</f>
        <v>0</v>
      </c>
      <c r="F93" s="592">
        <f>ROUND('Balance N'!F93,2)</f>
        <v>0</v>
      </c>
      <c r="G93" s="592">
        <f>ROUND('Balance N'!G93,2)</f>
        <v>0</v>
      </c>
      <c r="H93" s="592">
        <f>ROUND('Balance N'!H93,2)</f>
        <v>0</v>
      </c>
      <c r="I93" s="2" t="str">
        <f t="shared" si="4"/>
        <v>0</v>
      </c>
    </row>
    <row r="94" spans="1:9" x14ac:dyDescent="0.2">
      <c r="A94" s="495" t="str">
        <f>FIXED('Balance N'!A94,0,1)</f>
        <v>0</v>
      </c>
      <c r="B94" s="494">
        <f>+'Balance N'!B94</f>
        <v>0</v>
      </c>
      <c r="C94" s="592">
        <f>ROUND('Balance N'!C94,2)</f>
        <v>0</v>
      </c>
      <c r="D94" s="592">
        <f>ROUND('Balance N'!D94,2)</f>
        <v>0</v>
      </c>
      <c r="E94" s="592">
        <f>ROUND('Balance N'!E94,2)</f>
        <v>0</v>
      </c>
      <c r="F94" s="592">
        <f>ROUND('Balance N'!F94,2)</f>
        <v>0</v>
      </c>
      <c r="G94" s="592">
        <f>ROUND('Balance N'!G94,2)</f>
        <v>0</v>
      </c>
      <c r="H94" s="592">
        <f>ROUND('Balance N'!H94,2)</f>
        <v>0</v>
      </c>
      <c r="I94" s="2" t="str">
        <f t="shared" si="4"/>
        <v>0</v>
      </c>
    </row>
    <row r="95" spans="1:9" x14ac:dyDescent="0.2">
      <c r="A95" s="495" t="str">
        <f>FIXED('Balance N'!A95,0,1)</f>
        <v>0</v>
      </c>
      <c r="B95" s="494">
        <f>+'Balance N'!B95</f>
        <v>0</v>
      </c>
      <c r="C95" s="592">
        <f>ROUND('Balance N'!C95,2)</f>
        <v>0</v>
      </c>
      <c r="D95" s="592">
        <f>ROUND('Balance N'!D95,2)</f>
        <v>0</v>
      </c>
      <c r="E95" s="592">
        <f>ROUND('Balance N'!E95,2)</f>
        <v>0</v>
      </c>
      <c r="F95" s="592">
        <f>ROUND('Balance N'!F95,2)</f>
        <v>0</v>
      </c>
      <c r="G95" s="592">
        <f>ROUND('Balance N'!G95,2)</f>
        <v>0</v>
      </c>
      <c r="H95" s="592">
        <f>ROUND('Balance N'!H95,2)</f>
        <v>0</v>
      </c>
      <c r="I95" s="2" t="str">
        <f t="shared" si="4"/>
        <v>0</v>
      </c>
    </row>
    <row r="96" spans="1:9" x14ac:dyDescent="0.2">
      <c r="A96" s="495" t="str">
        <f>FIXED('Balance N'!A96,0,1)</f>
        <v>0</v>
      </c>
      <c r="B96" s="494">
        <f>+'Balance N'!B96</f>
        <v>0</v>
      </c>
      <c r="C96" s="592">
        <f>ROUND('Balance N'!C96,2)</f>
        <v>0</v>
      </c>
      <c r="D96" s="592">
        <f>ROUND('Balance N'!D96,2)</f>
        <v>0</v>
      </c>
      <c r="E96" s="592">
        <f>ROUND('Balance N'!E96,2)</f>
        <v>0</v>
      </c>
      <c r="F96" s="592">
        <f>ROUND('Balance N'!F96,2)</f>
        <v>0</v>
      </c>
      <c r="G96" s="592">
        <f>ROUND('Balance N'!G96,2)</f>
        <v>0</v>
      </c>
      <c r="H96" s="592">
        <f>ROUND('Balance N'!H96,2)</f>
        <v>0</v>
      </c>
      <c r="I96" s="2" t="str">
        <f t="shared" si="4"/>
        <v>0</v>
      </c>
    </row>
    <row r="97" spans="1:9" x14ac:dyDescent="0.2">
      <c r="A97" s="495" t="str">
        <f>FIXED('Balance N'!A97,0,1)</f>
        <v>0</v>
      </c>
      <c r="B97" s="494">
        <f>+'Balance N'!B97</f>
        <v>0</v>
      </c>
      <c r="C97" s="592">
        <f>ROUND('Balance N'!C97,2)</f>
        <v>0</v>
      </c>
      <c r="D97" s="592">
        <f>ROUND('Balance N'!D97,2)</f>
        <v>0</v>
      </c>
      <c r="E97" s="592">
        <f>ROUND('Balance N'!E97,2)</f>
        <v>0</v>
      </c>
      <c r="F97" s="592">
        <f>ROUND('Balance N'!F97,2)</f>
        <v>0</v>
      </c>
      <c r="G97" s="592">
        <f>ROUND('Balance N'!G97,2)</f>
        <v>0</v>
      </c>
      <c r="H97" s="592">
        <f>ROUND('Balance N'!H97,2)</f>
        <v>0</v>
      </c>
      <c r="I97" s="2" t="str">
        <f t="shared" si="4"/>
        <v>0</v>
      </c>
    </row>
    <row r="98" spans="1:9" x14ac:dyDescent="0.2">
      <c r="A98" s="495" t="str">
        <f>FIXED('Balance N'!A98,0,1)</f>
        <v>0</v>
      </c>
      <c r="B98" s="494">
        <f>+'Balance N'!B98</f>
        <v>0</v>
      </c>
      <c r="C98" s="592">
        <f>ROUND('Balance N'!C98,2)</f>
        <v>0</v>
      </c>
      <c r="D98" s="592">
        <f>ROUND('Balance N'!D98,2)</f>
        <v>0</v>
      </c>
      <c r="E98" s="592">
        <f>ROUND('Balance N'!E98,2)</f>
        <v>0</v>
      </c>
      <c r="F98" s="592">
        <f>ROUND('Balance N'!F98,2)</f>
        <v>0</v>
      </c>
      <c r="G98" s="592">
        <f>ROUND('Balance N'!G98,2)</f>
        <v>0</v>
      </c>
      <c r="H98" s="592">
        <f>ROUND('Balance N'!H98,2)</f>
        <v>0</v>
      </c>
      <c r="I98" s="2" t="str">
        <f t="shared" si="4"/>
        <v>0</v>
      </c>
    </row>
    <row r="99" spans="1:9" x14ac:dyDescent="0.2">
      <c r="A99" s="495" t="str">
        <f>FIXED('Balance N'!A99,0,1)</f>
        <v>0</v>
      </c>
      <c r="B99" s="494">
        <f>+'Balance N'!B99</f>
        <v>0</v>
      </c>
      <c r="C99" s="592">
        <f>ROUND('Balance N'!C99,2)</f>
        <v>0</v>
      </c>
      <c r="D99" s="592">
        <f>ROUND('Balance N'!D99,2)</f>
        <v>0</v>
      </c>
      <c r="E99" s="592">
        <f>ROUND('Balance N'!E99,2)</f>
        <v>0</v>
      </c>
      <c r="F99" s="592">
        <f>ROUND('Balance N'!F99,2)</f>
        <v>0</v>
      </c>
      <c r="G99" s="592">
        <f>ROUND('Balance N'!G99,2)</f>
        <v>0</v>
      </c>
      <c r="H99" s="592">
        <f>ROUND('Balance N'!H99,2)</f>
        <v>0</v>
      </c>
      <c r="I99" s="2" t="str">
        <f t="shared" si="4"/>
        <v>0</v>
      </c>
    </row>
    <row r="100" spans="1:9" x14ac:dyDescent="0.2">
      <c r="A100" s="495" t="str">
        <f>FIXED('Balance N'!A100,0,1)</f>
        <v>0</v>
      </c>
      <c r="B100" s="494">
        <f>+'Balance N'!B100</f>
        <v>0</v>
      </c>
      <c r="C100" s="592">
        <f>ROUND('Balance N'!C100,2)</f>
        <v>0</v>
      </c>
      <c r="D100" s="592">
        <f>ROUND('Balance N'!D100,2)</f>
        <v>0</v>
      </c>
      <c r="E100" s="592">
        <f>ROUND('Balance N'!E100,2)</f>
        <v>0</v>
      </c>
      <c r="F100" s="592">
        <f>ROUND('Balance N'!F100,2)</f>
        <v>0</v>
      </c>
      <c r="G100" s="592">
        <f>ROUND('Balance N'!G100,2)</f>
        <v>0</v>
      </c>
      <c r="H100" s="592">
        <f>ROUND('Balance N'!H100,2)</f>
        <v>0</v>
      </c>
      <c r="I100" s="2" t="str">
        <f t="shared" si="4"/>
        <v>0</v>
      </c>
    </row>
    <row r="101" spans="1:9" x14ac:dyDescent="0.2">
      <c r="A101" s="495" t="str">
        <f>FIXED('Balance N'!A101,0,1)</f>
        <v>0</v>
      </c>
      <c r="B101" s="494">
        <f>+'Balance N'!B101</f>
        <v>0</v>
      </c>
      <c r="C101" s="592">
        <f>ROUND('Balance N'!C101,2)</f>
        <v>0</v>
      </c>
      <c r="D101" s="592">
        <f>ROUND('Balance N'!D101,2)</f>
        <v>0</v>
      </c>
      <c r="E101" s="592">
        <f>ROUND('Balance N'!E101,2)</f>
        <v>0</v>
      </c>
      <c r="F101" s="592">
        <f>ROUND('Balance N'!F101,2)</f>
        <v>0</v>
      </c>
      <c r="G101" s="592">
        <f>ROUND('Balance N'!G101,2)</f>
        <v>0</v>
      </c>
      <c r="H101" s="592">
        <f>ROUND('Balance N'!H101,2)</f>
        <v>0</v>
      </c>
      <c r="I101" s="2" t="str">
        <f t="shared" si="4"/>
        <v>0</v>
      </c>
    </row>
    <row r="102" spans="1:9" x14ac:dyDescent="0.2">
      <c r="A102" s="495" t="str">
        <f>FIXED('Balance N'!A102,0,1)</f>
        <v>0</v>
      </c>
      <c r="B102" s="494">
        <f>+'Balance N'!B102</f>
        <v>0</v>
      </c>
      <c r="C102" s="592">
        <f>ROUND('Balance N'!C102,2)</f>
        <v>0</v>
      </c>
      <c r="D102" s="592">
        <f>ROUND('Balance N'!D102,2)</f>
        <v>0</v>
      </c>
      <c r="E102" s="592">
        <f>ROUND('Balance N'!E102,2)</f>
        <v>0</v>
      </c>
      <c r="F102" s="592">
        <f>ROUND('Balance N'!F102,2)</f>
        <v>0</v>
      </c>
      <c r="G102" s="592">
        <f>ROUND('Balance N'!G102,2)</f>
        <v>0</v>
      </c>
      <c r="H102" s="592">
        <f>ROUND('Balance N'!H102,2)</f>
        <v>0</v>
      </c>
      <c r="I102" s="2" t="str">
        <f t="shared" si="4"/>
        <v>0</v>
      </c>
    </row>
    <row r="103" spans="1:9" x14ac:dyDescent="0.2">
      <c r="A103" s="495" t="str">
        <f>FIXED('Balance N'!A103,0,1)</f>
        <v>0</v>
      </c>
      <c r="B103" s="494">
        <f>+'Balance N'!B103</f>
        <v>0</v>
      </c>
      <c r="C103" s="592">
        <f>ROUND('Balance N'!C103,2)</f>
        <v>0</v>
      </c>
      <c r="D103" s="592">
        <f>ROUND('Balance N'!D103,2)</f>
        <v>0</v>
      </c>
      <c r="E103" s="592">
        <f>ROUND('Balance N'!E103,2)</f>
        <v>0</v>
      </c>
      <c r="F103" s="592">
        <f>ROUND('Balance N'!F103,2)</f>
        <v>0</v>
      </c>
      <c r="G103" s="592">
        <f>ROUND('Balance N'!G103,2)</f>
        <v>0</v>
      </c>
      <c r="H103" s="592">
        <f>ROUND('Balance N'!H103,2)</f>
        <v>0</v>
      </c>
      <c r="I103" s="2" t="str">
        <f t="shared" si="4"/>
        <v>0</v>
      </c>
    </row>
    <row r="104" spans="1:9" x14ac:dyDescent="0.2">
      <c r="A104" s="495" t="str">
        <f>FIXED('Balance N'!A104,0,1)</f>
        <v>0</v>
      </c>
      <c r="B104" s="494">
        <f>+'Balance N'!B104</f>
        <v>0</v>
      </c>
      <c r="C104" s="592">
        <f>ROUND('Balance N'!C104,2)</f>
        <v>0</v>
      </c>
      <c r="D104" s="592">
        <f>ROUND('Balance N'!D104,2)</f>
        <v>0</v>
      </c>
      <c r="E104" s="592">
        <f>ROUND('Balance N'!E104,2)</f>
        <v>0</v>
      </c>
      <c r="F104" s="592">
        <f>ROUND('Balance N'!F104,2)</f>
        <v>0</v>
      </c>
      <c r="G104" s="592">
        <f>ROUND('Balance N'!G104,2)</f>
        <v>0</v>
      </c>
      <c r="H104" s="592">
        <f>ROUND('Balance N'!H104,2)</f>
        <v>0</v>
      </c>
      <c r="I104" s="2" t="str">
        <f t="shared" si="4"/>
        <v>0</v>
      </c>
    </row>
    <row r="105" spans="1:9" x14ac:dyDescent="0.2">
      <c r="A105" s="495" t="str">
        <f>FIXED('Balance N'!A105,0,1)</f>
        <v>0</v>
      </c>
      <c r="B105" s="494">
        <f>+'Balance N'!B105</f>
        <v>0</v>
      </c>
      <c r="C105" s="592">
        <f>ROUND('Balance N'!C105,2)</f>
        <v>0</v>
      </c>
      <c r="D105" s="592">
        <f>ROUND('Balance N'!D105,2)</f>
        <v>0</v>
      </c>
      <c r="E105" s="592">
        <f>ROUND('Balance N'!E105,2)</f>
        <v>0</v>
      </c>
      <c r="F105" s="592">
        <f>ROUND('Balance N'!F105,2)</f>
        <v>0</v>
      </c>
      <c r="G105" s="592">
        <f>ROUND('Balance N'!G105,2)</f>
        <v>0</v>
      </c>
      <c r="H105" s="592">
        <f>ROUND('Balance N'!H105,2)</f>
        <v>0</v>
      </c>
      <c r="I105" s="2" t="str">
        <f t="shared" si="4"/>
        <v>0</v>
      </c>
    </row>
    <row r="106" spans="1:9" x14ac:dyDescent="0.2">
      <c r="A106" s="495" t="str">
        <f>FIXED('Balance N'!A106,0,1)</f>
        <v>0</v>
      </c>
      <c r="B106" s="494">
        <f>+'Balance N'!B106</f>
        <v>0</v>
      </c>
      <c r="C106" s="592">
        <f>ROUND('Balance N'!C106,2)</f>
        <v>0</v>
      </c>
      <c r="D106" s="592">
        <f>ROUND('Balance N'!D106,2)</f>
        <v>0</v>
      </c>
      <c r="E106" s="592">
        <f>ROUND('Balance N'!E106,2)</f>
        <v>0</v>
      </c>
      <c r="F106" s="592">
        <f>ROUND('Balance N'!F106,2)</f>
        <v>0</v>
      </c>
      <c r="G106" s="592">
        <f>ROUND('Balance N'!G106,2)</f>
        <v>0</v>
      </c>
      <c r="H106" s="592">
        <f>ROUND('Balance N'!H106,2)</f>
        <v>0</v>
      </c>
      <c r="I106" s="2" t="str">
        <f t="shared" si="4"/>
        <v>0</v>
      </c>
    </row>
    <row r="107" spans="1:9" x14ac:dyDescent="0.2">
      <c r="A107" s="495" t="str">
        <f>FIXED('Balance N'!A107,0,1)</f>
        <v>0</v>
      </c>
      <c r="B107" s="494">
        <f>+'Balance N'!B107</f>
        <v>0</v>
      </c>
      <c r="C107" s="592">
        <f>ROUND('Balance N'!C107,2)</f>
        <v>0</v>
      </c>
      <c r="D107" s="592">
        <f>ROUND('Balance N'!D107,2)</f>
        <v>0</v>
      </c>
      <c r="E107" s="592">
        <f>ROUND('Balance N'!E107,2)</f>
        <v>0</v>
      </c>
      <c r="F107" s="592">
        <f>ROUND('Balance N'!F107,2)</f>
        <v>0</v>
      </c>
      <c r="G107" s="592">
        <f>ROUND('Balance N'!G107,2)</f>
        <v>0</v>
      </c>
      <c r="H107" s="592">
        <f>ROUND('Balance N'!H107,2)</f>
        <v>0</v>
      </c>
      <c r="I107" s="2" t="str">
        <f t="shared" si="4"/>
        <v>0</v>
      </c>
    </row>
    <row r="108" spans="1:9" x14ac:dyDescent="0.2">
      <c r="A108" s="495" t="str">
        <f>FIXED('Balance N'!A108,0,1)</f>
        <v>0</v>
      </c>
      <c r="B108" s="494">
        <f>+'Balance N'!B108</f>
        <v>0</v>
      </c>
      <c r="C108" s="592">
        <f>ROUND('Balance N'!C108,2)</f>
        <v>0</v>
      </c>
      <c r="D108" s="592">
        <f>ROUND('Balance N'!D108,2)</f>
        <v>0</v>
      </c>
      <c r="E108" s="592">
        <f>ROUND('Balance N'!E108,2)</f>
        <v>0</v>
      </c>
      <c r="F108" s="592">
        <f>ROUND('Balance N'!F108,2)</f>
        <v>0</v>
      </c>
      <c r="G108" s="592">
        <f>ROUND('Balance N'!G108,2)</f>
        <v>0</v>
      </c>
      <c r="H108" s="592">
        <f>ROUND('Balance N'!H108,2)</f>
        <v>0</v>
      </c>
      <c r="I108" s="2" t="str">
        <f t="shared" si="4"/>
        <v>0</v>
      </c>
    </row>
    <row r="109" spans="1:9" x14ac:dyDescent="0.2">
      <c r="A109" s="495" t="str">
        <f>FIXED('Balance N'!A109,0,1)</f>
        <v>0</v>
      </c>
      <c r="B109" s="494">
        <f>+'Balance N'!B109</f>
        <v>0</v>
      </c>
      <c r="C109" s="592">
        <f>ROUND('Balance N'!C109,2)</f>
        <v>0</v>
      </c>
      <c r="D109" s="592">
        <f>ROUND('Balance N'!D109,2)</f>
        <v>0</v>
      </c>
      <c r="E109" s="592">
        <f>ROUND('Balance N'!E109,2)</f>
        <v>0</v>
      </c>
      <c r="F109" s="592">
        <f>ROUND('Balance N'!F109,2)</f>
        <v>0</v>
      </c>
      <c r="G109" s="592">
        <f>ROUND('Balance N'!G109,2)</f>
        <v>0</v>
      </c>
      <c r="H109" s="592">
        <f>ROUND('Balance N'!H109,2)</f>
        <v>0</v>
      </c>
      <c r="I109" s="2" t="str">
        <f t="shared" si="4"/>
        <v>0</v>
      </c>
    </row>
    <row r="110" spans="1:9" x14ac:dyDescent="0.2">
      <c r="A110" s="495" t="str">
        <f>FIXED('Balance N'!A110,0,1)</f>
        <v>0</v>
      </c>
      <c r="B110" s="494">
        <f>+'Balance N'!B110</f>
        <v>0</v>
      </c>
      <c r="C110" s="592">
        <f>ROUND('Balance N'!C110,2)</f>
        <v>0</v>
      </c>
      <c r="D110" s="592">
        <f>ROUND('Balance N'!D110,2)</f>
        <v>0</v>
      </c>
      <c r="E110" s="592">
        <f>ROUND('Balance N'!E110,2)</f>
        <v>0</v>
      </c>
      <c r="F110" s="592">
        <f>ROUND('Balance N'!F110,2)</f>
        <v>0</v>
      </c>
      <c r="G110" s="592">
        <f>ROUND('Balance N'!G110,2)</f>
        <v>0</v>
      </c>
      <c r="H110" s="592">
        <f>ROUND('Balance N'!H110,2)</f>
        <v>0</v>
      </c>
      <c r="I110" s="2" t="str">
        <f t="shared" si="4"/>
        <v>0</v>
      </c>
    </row>
    <row r="111" spans="1:9" x14ac:dyDescent="0.2">
      <c r="A111" s="495" t="str">
        <f>FIXED('Balance N'!A111,0,1)</f>
        <v>0</v>
      </c>
      <c r="B111" s="494">
        <f>+'Balance N'!B111</f>
        <v>0</v>
      </c>
      <c r="C111" s="592">
        <f>ROUND('Balance N'!C111,2)</f>
        <v>0</v>
      </c>
      <c r="D111" s="592">
        <f>ROUND('Balance N'!D111,2)</f>
        <v>0</v>
      </c>
      <c r="E111" s="592">
        <f>ROUND('Balance N'!E111,2)</f>
        <v>0</v>
      </c>
      <c r="F111" s="592">
        <f>ROUND('Balance N'!F111,2)</f>
        <v>0</v>
      </c>
      <c r="G111" s="592">
        <f>ROUND('Balance N'!G111,2)</f>
        <v>0</v>
      </c>
      <c r="H111" s="592">
        <f>ROUND('Balance N'!H111,2)</f>
        <v>0</v>
      </c>
      <c r="I111" s="2" t="str">
        <f t="shared" si="4"/>
        <v>0</v>
      </c>
    </row>
    <row r="112" spans="1:9" x14ac:dyDescent="0.2">
      <c r="A112" s="495" t="str">
        <f>FIXED('Balance N'!A112,0,1)</f>
        <v>0</v>
      </c>
      <c r="B112" s="494">
        <f>+'Balance N'!B112</f>
        <v>0</v>
      </c>
      <c r="C112" s="592">
        <f>ROUND('Balance N'!C112,2)</f>
        <v>0</v>
      </c>
      <c r="D112" s="592">
        <f>ROUND('Balance N'!D112,2)</f>
        <v>0</v>
      </c>
      <c r="E112" s="592">
        <f>ROUND('Balance N'!E112,2)</f>
        <v>0</v>
      </c>
      <c r="F112" s="592">
        <f>ROUND('Balance N'!F112,2)</f>
        <v>0</v>
      </c>
      <c r="G112" s="592">
        <f>ROUND('Balance N'!G112,2)</f>
        <v>0</v>
      </c>
      <c r="H112" s="592">
        <f>ROUND('Balance N'!H112,2)</f>
        <v>0</v>
      </c>
      <c r="I112" s="2" t="str">
        <f t="shared" si="4"/>
        <v>0</v>
      </c>
    </row>
    <row r="113" spans="1:9" x14ac:dyDescent="0.2">
      <c r="A113" s="495" t="str">
        <f>FIXED('Balance N'!A113,0,1)</f>
        <v>0</v>
      </c>
      <c r="B113" s="494">
        <f>+'Balance N'!B113</f>
        <v>0</v>
      </c>
      <c r="C113" s="592">
        <f>ROUND('Balance N'!C113,2)</f>
        <v>0</v>
      </c>
      <c r="D113" s="592">
        <f>ROUND('Balance N'!D113,2)</f>
        <v>0</v>
      </c>
      <c r="E113" s="592">
        <f>ROUND('Balance N'!E113,2)</f>
        <v>0</v>
      </c>
      <c r="F113" s="592">
        <f>ROUND('Balance N'!F113,2)</f>
        <v>0</v>
      </c>
      <c r="G113" s="592">
        <f>ROUND('Balance N'!G113,2)</f>
        <v>0</v>
      </c>
      <c r="H113" s="592">
        <f>ROUND('Balance N'!H113,2)</f>
        <v>0</v>
      </c>
      <c r="I113" s="2" t="str">
        <f t="shared" si="4"/>
        <v>0</v>
      </c>
    </row>
    <row r="114" spans="1:9" x14ac:dyDescent="0.2">
      <c r="A114" s="495" t="str">
        <f>FIXED('Balance N'!A114,0,1)</f>
        <v>0</v>
      </c>
      <c r="B114" s="494">
        <f>+'Balance N'!B114</f>
        <v>0</v>
      </c>
      <c r="C114" s="592">
        <f>ROUND('Balance N'!C114,2)</f>
        <v>0</v>
      </c>
      <c r="D114" s="592">
        <f>ROUND('Balance N'!D114,2)</f>
        <v>0</v>
      </c>
      <c r="E114" s="592">
        <f>ROUND('Balance N'!E114,2)</f>
        <v>0</v>
      </c>
      <c r="F114" s="592">
        <f>ROUND('Balance N'!F114,2)</f>
        <v>0</v>
      </c>
      <c r="G114" s="592">
        <f>ROUND('Balance N'!G114,2)</f>
        <v>0</v>
      </c>
      <c r="H114" s="592">
        <f>ROUND('Balance N'!H114,2)</f>
        <v>0</v>
      </c>
      <c r="I114" s="2" t="str">
        <f t="shared" si="4"/>
        <v>0</v>
      </c>
    </row>
    <row r="115" spans="1:9" x14ac:dyDescent="0.2">
      <c r="A115" s="495" t="str">
        <f>FIXED('Balance N'!A115,0,1)</f>
        <v>0</v>
      </c>
      <c r="B115" s="494">
        <f>+'Balance N'!B115</f>
        <v>0</v>
      </c>
      <c r="C115" s="592">
        <f>ROUND('Balance N'!C115,2)</f>
        <v>0</v>
      </c>
      <c r="D115" s="592">
        <f>ROUND('Balance N'!D115,2)</f>
        <v>0</v>
      </c>
      <c r="E115" s="592">
        <f>ROUND('Balance N'!E115,2)</f>
        <v>0</v>
      </c>
      <c r="F115" s="592">
        <f>ROUND('Balance N'!F115,2)</f>
        <v>0</v>
      </c>
      <c r="G115" s="592">
        <f>ROUND('Balance N'!G115,2)</f>
        <v>0</v>
      </c>
      <c r="H115" s="592">
        <f>ROUND('Balance N'!H115,2)</f>
        <v>0</v>
      </c>
      <c r="I115" s="2" t="str">
        <f t="shared" si="4"/>
        <v>0</v>
      </c>
    </row>
    <row r="116" spans="1:9" x14ac:dyDescent="0.2">
      <c r="A116" s="495" t="str">
        <f>FIXED('Balance N'!A116,0,1)</f>
        <v>0</v>
      </c>
      <c r="B116" s="494">
        <f>+'Balance N'!B116</f>
        <v>0</v>
      </c>
      <c r="C116" s="592">
        <f>ROUND('Balance N'!C116,2)</f>
        <v>0</v>
      </c>
      <c r="D116" s="592">
        <f>ROUND('Balance N'!D116,2)</f>
        <v>0</v>
      </c>
      <c r="E116" s="592">
        <f>ROUND('Balance N'!E116,2)</f>
        <v>0</v>
      </c>
      <c r="F116" s="592">
        <f>ROUND('Balance N'!F116,2)</f>
        <v>0</v>
      </c>
      <c r="G116" s="592">
        <f>ROUND('Balance N'!G116,2)</f>
        <v>0</v>
      </c>
      <c r="H116" s="592">
        <f>ROUND('Balance N'!H116,2)</f>
        <v>0</v>
      </c>
      <c r="I116" s="2" t="str">
        <f t="shared" si="4"/>
        <v>0</v>
      </c>
    </row>
    <row r="117" spans="1:9" x14ac:dyDescent="0.2">
      <c r="A117" s="495" t="e">
        <f>FIXED('Balance N'!#REF!,0,1)</f>
        <v>#REF!</v>
      </c>
      <c r="B117" s="494" t="e">
        <f>+'Balance N'!#REF!</f>
        <v>#REF!</v>
      </c>
      <c r="C117" s="592" t="e">
        <f>ROUND('Balance N'!#REF!,2)</f>
        <v>#REF!</v>
      </c>
      <c r="D117" s="592" t="e">
        <f>ROUND('Balance N'!#REF!,2)</f>
        <v>#REF!</v>
      </c>
      <c r="E117" s="592" t="e">
        <f>ROUND('Balance N'!#REF!,2)</f>
        <v>#REF!</v>
      </c>
      <c r="F117" s="592" t="e">
        <f>ROUND('Balance N'!#REF!,2)</f>
        <v>#REF!</v>
      </c>
      <c r="G117" s="592" t="e">
        <f>ROUND('Balance N'!#REF!,2)</f>
        <v>#REF!</v>
      </c>
      <c r="H117" s="592" t="e">
        <f>ROUND('Balance N'!#REF!,2)</f>
        <v>#REF!</v>
      </c>
      <c r="I117" s="2" t="e">
        <f t="shared" si="4"/>
        <v>#REF!</v>
      </c>
    </row>
    <row r="118" spans="1:9" x14ac:dyDescent="0.2">
      <c r="A118" s="495" t="str">
        <f>FIXED('Balance N'!A117,0,1)</f>
        <v>0</v>
      </c>
      <c r="B118" s="494">
        <f>+'Balance N'!B117</f>
        <v>0</v>
      </c>
      <c r="C118" s="592">
        <f>ROUND('Balance N'!C117,2)</f>
        <v>0</v>
      </c>
      <c r="D118" s="592">
        <f>ROUND('Balance N'!D117,2)</f>
        <v>0</v>
      </c>
      <c r="E118" s="592">
        <f>ROUND('Balance N'!E117,2)</f>
        <v>0</v>
      </c>
      <c r="F118" s="592">
        <f>ROUND('Balance N'!F117,2)</f>
        <v>0</v>
      </c>
      <c r="G118" s="592">
        <f>ROUND('Balance N'!G117,2)</f>
        <v>0</v>
      </c>
      <c r="H118" s="592">
        <f>ROUND('Balance N'!H117,2)</f>
        <v>0</v>
      </c>
      <c r="I118" s="2" t="str">
        <f t="shared" si="4"/>
        <v>0</v>
      </c>
    </row>
    <row r="119" spans="1:9" x14ac:dyDescent="0.2">
      <c r="A119" s="495" t="str">
        <f>FIXED('Balance N'!A118,0,1)</f>
        <v>0</v>
      </c>
      <c r="B119" s="494">
        <f>+'Balance N'!B118</f>
        <v>0</v>
      </c>
      <c r="C119" s="592">
        <f>ROUND('Balance N'!C118,2)</f>
        <v>0</v>
      </c>
      <c r="D119" s="592">
        <f>ROUND('Balance N'!D118,2)</f>
        <v>0</v>
      </c>
      <c r="E119" s="592">
        <f>ROUND('Balance N'!E118,2)</f>
        <v>0</v>
      </c>
      <c r="F119" s="592">
        <f>ROUND('Balance N'!F118,2)</f>
        <v>0</v>
      </c>
      <c r="G119" s="592">
        <f>ROUND('Balance N'!G118,2)</f>
        <v>0</v>
      </c>
      <c r="H119" s="592">
        <f>ROUND('Balance N'!H118,2)</f>
        <v>0</v>
      </c>
      <c r="I119" s="2" t="str">
        <f t="shared" si="4"/>
        <v>0</v>
      </c>
    </row>
    <row r="120" spans="1:9" x14ac:dyDescent="0.2">
      <c r="A120" s="495" t="str">
        <f>FIXED('Balance N'!A119,0,1)</f>
        <v>0</v>
      </c>
      <c r="B120" s="494">
        <f>+'Balance N'!B119</f>
        <v>0</v>
      </c>
      <c r="C120" s="592">
        <f>ROUND('Balance N'!C119,2)</f>
        <v>0</v>
      </c>
      <c r="D120" s="592">
        <f>ROUND('Balance N'!D119,2)</f>
        <v>0</v>
      </c>
      <c r="E120" s="592">
        <f>ROUND('Balance N'!E119,2)</f>
        <v>0</v>
      </c>
      <c r="F120" s="592">
        <f>ROUND('Balance N'!F119,2)</f>
        <v>0</v>
      </c>
      <c r="G120" s="592">
        <f>ROUND('Balance N'!G119,2)</f>
        <v>0</v>
      </c>
      <c r="H120" s="592">
        <f>ROUND('Balance N'!H119,2)</f>
        <v>0</v>
      </c>
      <c r="I120" s="2" t="str">
        <f t="shared" si="4"/>
        <v>0</v>
      </c>
    </row>
    <row r="121" spans="1:9" x14ac:dyDescent="0.2">
      <c r="A121" s="495" t="str">
        <f>FIXED('Balance N'!A120,0,1)</f>
        <v>0</v>
      </c>
      <c r="B121" s="494">
        <f>+'Balance N'!B120</f>
        <v>0</v>
      </c>
      <c r="C121" s="592">
        <f>ROUND('Balance N'!C120,2)</f>
        <v>0</v>
      </c>
      <c r="D121" s="592">
        <f>ROUND('Balance N'!D120,2)</f>
        <v>0</v>
      </c>
      <c r="E121" s="592">
        <f>ROUND('Balance N'!E120,2)</f>
        <v>0</v>
      </c>
      <c r="F121" s="592">
        <f>ROUND('Balance N'!F120,2)</f>
        <v>0</v>
      </c>
      <c r="G121" s="592">
        <f>ROUND('Balance N'!G120,2)</f>
        <v>0</v>
      </c>
      <c r="H121" s="592">
        <f>ROUND('Balance N'!H120,2)</f>
        <v>0</v>
      </c>
      <c r="I121" s="2" t="str">
        <f t="shared" si="4"/>
        <v>0</v>
      </c>
    </row>
    <row r="122" spans="1:9" x14ac:dyDescent="0.2">
      <c r="A122" s="495" t="str">
        <f>FIXED('Balance N'!A121,0,1)</f>
        <v>0</v>
      </c>
      <c r="B122" s="494">
        <f>+'Balance N'!B121</f>
        <v>0</v>
      </c>
      <c r="C122" s="592">
        <f>ROUND('Balance N'!C121,2)</f>
        <v>0</v>
      </c>
      <c r="D122" s="592">
        <f>ROUND('Balance N'!D121,2)</f>
        <v>0</v>
      </c>
      <c r="E122" s="592">
        <f>ROUND('Balance N'!E121,2)</f>
        <v>0</v>
      </c>
      <c r="F122" s="592">
        <f>ROUND('Balance N'!F121,2)</f>
        <v>0</v>
      </c>
      <c r="G122" s="592">
        <f>ROUND('Balance N'!G121,2)</f>
        <v>0</v>
      </c>
      <c r="H122" s="592">
        <f>ROUND('Balance N'!H121,2)</f>
        <v>0</v>
      </c>
      <c r="I122" s="2" t="str">
        <f t="shared" si="4"/>
        <v>0</v>
      </c>
    </row>
    <row r="123" spans="1:9" x14ac:dyDescent="0.2">
      <c r="A123" s="495" t="str">
        <f>FIXED('Balance N'!A122,0,1)</f>
        <v>0</v>
      </c>
      <c r="B123" s="494">
        <f>+'Balance N'!B122</f>
        <v>0</v>
      </c>
      <c r="C123" s="592">
        <f>ROUND('Balance N'!C122,2)</f>
        <v>0</v>
      </c>
      <c r="D123" s="592">
        <f>ROUND('Balance N'!D122,2)</f>
        <v>0</v>
      </c>
      <c r="E123" s="592">
        <f>ROUND('Balance N'!E122,2)</f>
        <v>0</v>
      </c>
      <c r="F123" s="592">
        <f>ROUND('Balance N'!F122,2)</f>
        <v>0</v>
      </c>
      <c r="G123" s="592">
        <f>ROUND('Balance N'!G122,2)</f>
        <v>0</v>
      </c>
      <c r="H123" s="592">
        <f>ROUND('Balance N'!H122,2)</f>
        <v>0</v>
      </c>
      <c r="I123" s="2" t="str">
        <f t="shared" si="4"/>
        <v>0</v>
      </c>
    </row>
    <row r="124" spans="1:9" x14ac:dyDescent="0.2">
      <c r="A124" s="495" t="str">
        <f>FIXED('Balance N'!A123,0,1)</f>
        <v>0</v>
      </c>
      <c r="B124" s="494">
        <f>+'Balance N'!B123</f>
        <v>0</v>
      </c>
      <c r="C124" s="592">
        <f>ROUND('Balance N'!C123,2)</f>
        <v>0</v>
      </c>
      <c r="D124" s="592">
        <f>ROUND('Balance N'!D123,2)</f>
        <v>0</v>
      </c>
      <c r="E124" s="592">
        <f>ROUND('Balance N'!E123,2)</f>
        <v>0</v>
      </c>
      <c r="F124" s="592">
        <f>ROUND('Balance N'!F123,2)</f>
        <v>0</v>
      </c>
      <c r="G124" s="592">
        <f>ROUND('Balance N'!G123,2)</f>
        <v>0</v>
      </c>
      <c r="H124" s="592">
        <f>ROUND('Balance N'!H123,2)</f>
        <v>0</v>
      </c>
      <c r="I124" s="2" t="str">
        <f t="shared" si="4"/>
        <v>0</v>
      </c>
    </row>
    <row r="125" spans="1:9" x14ac:dyDescent="0.2">
      <c r="A125" s="495" t="str">
        <f>FIXED('Balance N'!A124,0,1)</f>
        <v>0</v>
      </c>
      <c r="B125" s="494">
        <f>+'Balance N'!B124</f>
        <v>0</v>
      </c>
      <c r="C125" s="592">
        <f>ROUND('Balance N'!C124,2)</f>
        <v>0</v>
      </c>
      <c r="D125" s="592">
        <f>ROUND('Balance N'!D124,2)</f>
        <v>0</v>
      </c>
      <c r="E125" s="592">
        <f>ROUND('Balance N'!E124,2)</f>
        <v>0</v>
      </c>
      <c r="F125" s="592">
        <f>ROUND('Balance N'!F124,2)</f>
        <v>0</v>
      </c>
      <c r="G125" s="592">
        <f>ROUND('Balance N'!G124,2)</f>
        <v>0</v>
      </c>
      <c r="H125" s="592">
        <f>ROUND('Balance N'!H124,2)</f>
        <v>0</v>
      </c>
      <c r="I125" s="2" t="str">
        <f t="shared" si="4"/>
        <v>0</v>
      </c>
    </row>
    <row r="126" spans="1:9" x14ac:dyDescent="0.2">
      <c r="A126" s="495" t="str">
        <f>FIXED('Balance N'!A125,0,1)</f>
        <v>0</v>
      </c>
      <c r="B126" s="494">
        <f>+'Balance N'!B125</f>
        <v>0</v>
      </c>
      <c r="C126" s="592">
        <f>ROUND('Balance N'!C125,2)</f>
        <v>0</v>
      </c>
      <c r="D126" s="592">
        <f>ROUND('Balance N'!D125,2)</f>
        <v>0</v>
      </c>
      <c r="E126" s="592">
        <f>ROUND('Balance N'!E125,2)</f>
        <v>0</v>
      </c>
      <c r="F126" s="592">
        <f>ROUND('Balance N'!F125,2)</f>
        <v>0</v>
      </c>
      <c r="G126" s="592">
        <f>ROUND('Balance N'!G125,2)</f>
        <v>0</v>
      </c>
      <c r="H126" s="592">
        <f>ROUND('Balance N'!H125,2)</f>
        <v>0</v>
      </c>
      <c r="I126" s="2" t="str">
        <f t="shared" si="4"/>
        <v>0</v>
      </c>
    </row>
    <row r="127" spans="1:9" x14ac:dyDescent="0.2">
      <c r="A127" s="495" t="str">
        <f>FIXED('Balance N'!A126,0,1)</f>
        <v>0</v>
      </c>
      <c r="B127" s="494">
        <f>+'Balance N'!B126</f>
        <v>0</v>
      </c>
      <c r="C127" s="592">
        <f>ROUND('Balance N'!C126,2)</f>
        <v>0</v>
      </c>
      <c r="D127" s="592">
        <f>ROUND('Balance N'!D126,2)</f>
        <v>0</v>
      </c>
      <c r="E127" s="592">
        <f>ROUND('Balance N'!E126,2)</f>
        <v>0</v>
      </c>
      <c r="F127" s="592">
        <f>ROUND('Balance N'!F126,2)</f>
        <v>0</v>
      </c>
      <c r="G127" s="592">
        <f>ROUND('Balance N'!G126,2)</f>
        <v>0</v>
      </c>
      <c r="H127" s="592">
        <f>ROUND('Balance N'!H126,2)</f>
        <v>0</v>
      </c>
      <c r="I127" s="2" t="str">
        <f t="shared" si="4"/>
        <v>0</v>
      </c>
    </row>
    <row r="128" spans="1:9" x14ac:dyDescent="0.2">
      <c r="A128" s="495" t="str">
        <f>FIXED('Balance N'!A127,0,1)</f>
        <v>0</v>
      </c>
      <c r="B128" s="494">
        <f>+'Balance N'!B127</f>
        <v>0</v>
      </c>
      <c r="C128" s="592">
        <f>ROUND('Balance N'!C127,2)</f>
        <v>0</v>
      </c>
      <c r="D128" s="592">
        <f>ROUND('Balance N'!D127,2)</f>
        <v>0</v>
      </c>
      <c r="E128" s="592">
        <f>ROUND('Balance N'!E127,2)</f>
        <v>0</v>
      </c>
      <c r="F128" s="592">
        <f>ROUND('Balance N'!F127,2)</f>
        <v>0</v>
      </c>
      <c r="G128" s="592">
        <f>ROUND('Balance N'!G127,2)</f>
        <v>0</v>
      </c>
      <c r="H128" s="592">
        <f>ROUND('Balance N'!H127,2)</f>
        <v>0</v>
      </c>
      <c r="I128" s="2" t="str">
        <f t="shared" si="4"/>
        <v>0</v>
      </c>
    </row>
    <row r="129" spans="1:9" x14ac:dyDescent="0.2">
      <c r="A129" s="495" t="str">
        <f>FIXED('Balance N'!A128,0,1)</f>
        <v>0</v>
      </c>
      <c r="B129" s="494">
        <f>+'Balance N'!B128</f>
        <v>0</v>
      </c>
      <c r="C129" s="592">
        <f>ROUND('Balance N'!C128,2)</f>
        <v>0</v>
      </c>
      <c r="D129" s="592">
        <f>ROUND('Balance N'!D128,2)</f>
        <v>0</v>
      </c>
      <c r="E129" s="592">
        <f>ROUND('Balance N'!E128,2)</f>
        <v>0</v>
      </c>
      <c r="F129" s="592">
        <f>ROUND('Balance N'!F128,2)</f>
        <v>0</v>
      </c>
      <c r="G129" s="592">
        <f>ROUND('Balance N'!G128,2)</f>
        <v>0</v>
      </c>
      <c r="H129" s="592">
        <f>ROUND('Balance N'!H128,2)</f>
        <v>0</v>
      </c>
      <c r="I129" s="2" t="str">
        <f t="shared" si="4"/>
        <v>0</v>
      </c>
    </row>
    <row r="130" spans="1:9" x14ac:dyDescent="0.2">
      <c r="A130" s="495" t="str">
        <f>FIXED('Balance N'!A129,0,1)</f>
        <v>0</v>
      </c>
      <c r="B130" s="494">
        <f>+'Balance N'!B129</f>
        <v>0</v>
      </c>
      <c r="C130" s="592">
        <f>ROUND('Balance N'!C129,2)</f>
        <v>0</v>
      </c>
      <c r="D130" s="592">
        <f>ROUND('Balance N'!D129,2)</f>
        <v>0</v>
      </c>
      <c r="E130" s="592">
        <f>ROUND('Balance N'!E129,2)</f>
        <v>0</v>
      </c>
      <c r="F130" s="592">
        <f>ROUND('Balance N'!F129,2)</f>
        <v>0</v>
      </c>
      <c r="G130" s="592">
        <f>ROUND('Balance N'!G129,2)</f>
        <v>0</v>
      </c>
      <c r="H130" s="592">
        <f>ROUND('Balance N'!H129,2)</f>
        <v>0</v>
      </c>
      <c r="I130" s="2" t="str">
        <f t="shared" si="4"/>
        <v>0</v>
      </c>
    </row>
    <row r="131" spans="1:9" x14ac:dyDescent="0.2">
      <c r="A131" s="495" t="str">
        <f>FIXED('Balance N'!A130,0,1)</f>
        <v>0</v>
      </c>
      <c r="B131" s="494">
        <f>+'Balance N'!B130</f>
        <v>0</v>
      </c>
      <c r="C131" s="592">
        <f>ROUND('Balance N'!C130,2)</f>
        <v>0</v>
      </c>
      <c r="D131" s="592">
        <f>ROUND('Balance N'!D130,2)</f>
        <v>0</v>
      </c>
      <c r="E131" s="592">
        <f>ROUND('Balance N'!E130,2)</f>
        <v>0</v>
      </c>
      <c r="F131" s="592">
        <f>ROUND('Balance N'!F130,2)</f>
        <v>0</v>
      </c>
      <c r="G131" s="592">
        <f>ROUND('Balance N'!G130,2)</f>
        <v>0</v>
      </c>
      <c r="H131" s="592">
        <f>ROUND('Balance N'!H130,2)</f>
        <v>0</v>
      </c>
      <c r="I131" s="2" t="str">
        <f t="shared" ref="I131:I194" si="5">MID(A131,1,1)</f>
        <v>0</v>
      </c>
    </row>
    <row r="132" spans="1:9" x14ac:dyDescent="0.2">
      <c r="A132" s="495" t="str">
        <f>FIXED('Balance N'!A131,0,1)</f>
        <v>0</v>
      </c>
      <c r="B132" s="494">
        <f>+'Balance N'!B131</f>
        <v>0</v>
      </c>
      <c r="C132" s="592">
        <f>ROUND('Balance N'!C131,2)</f>
        <v>0</v>
      </c>
      <c r="D132" s="592">
        <f>ROUND('Balance N'!D131,2)</f>
        <v>0</v>
      </c>
      <c r="E132" s="592">
        <f>ROUND('Balance N'!E131,2)</f>
        <v>0</v>
      </c>
      <c r="F132" s="592">
        <f>ROUND('Balance N'!F131,2)</f>
        <v>0</v>
      </c>
      <c r="G132" s="592">
        <f>ROUND('Balance N'!G131,2)</f>
        <v>0</v>
      </c>
      <c r="H132" s="592">
        <f>ROUND('Balance N'!H131,2)</f>
        <v>0</v>
      </c>
      <c r="I132" s="2" t="str">
        <f t="shared" si="5"/>
        <v>0</v>
      </c>
    </row>
    <row r="133" spans="1:9" x14ac:dyDescent="0.2">
      <c r="A133" s="495" t="str">
        <f>FIXED('Balance N'!A132,0,1)</f>
        <v>0</v>
      </c>
      <c r="B133" s="494">
        <f>+'Balance N'!B132</f>
        <v>0</v>
      </c>
      <c r="C133" s="592">
        <f>ROUND('Balance N'!C132,2)</f>
        <v>0</v>
      </c>
      <c r="D133" s="592">
        <f>ROUND('Balance N'!D132,2)</f>
        <v>0</v>
      </c>
      <c r="E133" s="592">
        <f>ROUND('Balance N'!E132,2)</f>
        <v>0</v>
      </c>
      <c r="F133" s="592">
        <f>ROUND('Balance N'!F132,2)</f>
        <v>0</v>
      </c>
      <c r="G133" s="592">
        <f>ROUND('Balance N'!G132,2)</f>
        <v>0</v>
      </c>
      <c r="H133" s="592">
        <f>ROUND('Balance N'!H132,2)</f>
        <v>0</v>
      </c>
      <c r="I133" s="2" t="str">
        <f t="shared" si="5"/>
        <v>0</v>
      </c>
    </row>
    <row r="134" spans="1:9" x14ac:dyDescent="0.2">
      <c r="A134" s="495" t="str">
        <f>FIXED('Balance N'!A133,0,1)</f>
        <v>0</v>
      </c>
      <c r="B134" s="494">
        <f>+'Balance N'!B133</f>
        <v>0</v>
      </c>
      <c r="C134" s="592">
        <f>ROUND('Balance N'!C133,2)</f>
        <v>0</v>
      </c>
      <c r="D134" s="592">
        <f>ROUND('Balance N'!D133,2)</f>
        <v>0</v>
      </c>
      <c r="E134" s="592">
        <f>ROUND('Balance N'!E133,2)</f>
        <v>0</v>
      </c>
      <c r="F134" s="592">
        <f>ROUND('Balance N'!F133,2)</f>
        <v>0</v>
      </c>
      <c r="G134" s="592">
        <f>ROUND('Balance N'!G133,2)</f>
        <v>0</v>
      </c>
      <c r="H134" s="592">
        <f>ROUND('Balance N'!H133,2)</f>
        <v>0</v>
      </c>
      <c r="I134" s="2" t="str">
        <f t="shared" si="5"/>
        <v>0</v>
      </c>
    </row>
    <row r="135" spans="1:9" x14ac:dyDescent="0.2">
      <c r="A135" s="495" t="str">
        <f>FIXED('Balance N'!A134,0,1)</f>
        <v>0</v>
      </c>
      <c r="B135" s="494">
        <f>+'Balance N'!B134</f>
        <v>0</v>
      </c>
      <c r="C135" s="592">
        <f>ROUND('Balance N'!C134,2)</f>
        <v>0</v>
      </c>
      <c r="D135" s="592">
        <f>ROUND('Balance N'!D134,2)</f>
        <v>0</v>
      </c>
      <c r="E135" s="592">
        <f>ROUND('Balance N'!E134,2)</f>
        <v>0</v>
      </c>
      <c r="F135" s="592">
        <f>ROUND('Balance N'!F134,2)</f>
        <v>0</v>
      </c>
      <c r="G135" s="592">
        <f>ROUND('Balance N'!G134,2)</f>
        <v>0</v>
      </c>
      <c r="H135" s="592">
        <f>ROUND('Balance N'!H134,2)</f>
        <v>0</v>
      </c>
      <c r="I135" s="2" t="str">
        <f t="shared" si="5"/>
        <v>0</v>
      </c>
    </row>
    <row r="136" spans="1:9" x14ac:dyDescent="0.2">
      <c r="A136" s="495" t="str">
        <f>FIXED('Balance N'!A135,0,1)</f>
        <v>0</v>
      </c>
      <c r="B136" s="494">
        <f>+'Balance N'!B135</f>
        <v>0</v>
      </c>
      <c r="C136" s="592">
        <f>ROUND('Balance N'!C135,2)</f>
        <v>0</v>
      </c>
      <c r="D136" s="592">
        <f>ROUND('Balance N'!D135,2)</f>
        <v>0</v>
      </c>
      <c r="E136" s="592">
        <f>ROUND('Balance N'!E135,2)</f>
        <v>0</v>
      </c>
      <c r="F136" s="592">
        <f>ROUND('Balance N'!F135,2)</f>
        <v>0</v>
      </c>
      <c r="G136" s="592">
        <f>ROUND('Balance N'!G135,2)</f>
        <v>0</v>
      </c>
      <c r="H136" s="592">
        <f>ROUND('Balance N'!H135,2)</f>
        <v>0</v>
      </c>
      <c r="I136" s="2" t="str">
        <f t="shared" si="5"/>
        <v>0</v>
      </c>
    </row>
    <row r="137" spans="1:9" x14ac:dyDescent="0.2">
      <c r="A137" s="495" t="str">
        <f>FIXED('Balance N'!A136,0,1)</f>
        <v>0</v>
      </c>
      <c r="B137" s="494">
        <f>+'Balance N'!B136</f>
        <v>0</v>
      </c>
      <c r="C137" s="592">
        <f>ROUND('Balance N'!C136,2)</f>
        <v>0</v>
      </c>
      <c r="D137" s="592">
        <f>ROUND('Balance N'!D136,2)</f>
        <v>0</v>
      </c>
      <c r="E137" s="592">
        <f>ROUND('Balance N'!E136,2)</f>
        <v>0</v>
      </c>
      <c r="F137" s="592">
        <f>ROUND('Balance N'!F136,2)</f>
        <v>0</v>
      </c>
      <c r="G137" s="592">
        <f>ROUND('Balance N'!G136,2)</f>
        <v>0</v>
      </c>
      <c r="H137" s="592">
        <f>ROUND('Balance N'!H136,2)</f>
        <v>0</v>
      </c>
      <c r="I137" s="2" t="str">
        <f t="shared" si="5"/>
        <v>0</v>
      </c>
    </row>
    <row r="138" spans="1:9" x14ac:dyDescent="0.2">
      <c r="A138" s="495" t="str">
        <f>FIXED('Balance N'!A137,0,1)</f>
        <v>0</v>
      </c>
      <c r="B138" s="494">
        <f>+'Balance N'!B137</f>
        <v>0</v>
      </c>
      <c r="C138" s="592">
        <f>ROUND('Balance N'!C137,2)</f>
        <v>0</v>
      </c>
      <c r="D138" s="592">
        <f>ROUND('Balance N'!D137,2)</f>
        <v>0</v>
      </c>
      <c r="E138" s="592">
        <f>ROUND('Balance N'!E137,2)</f>
        <v>0</v>
      </c>
      <c r="F138" s="592">
        <f>ROUND('Balance N'!F137,2)</f>
        <v>0</v>
      </c>
      <c r="G138" s="592">
        <f>ROUND('Balance N'!G137,2)</f>
        <v>0</v>
      </c>
      <c r="H138" s="592">
        <f>ROUND('Balance N'!H137,2)</f>
        <v>0</v>
      </c>
      <c r="I138" s="2" t="str">
        <f t="shared" si="5"/>
        <v>0</v>
      </c>
    </row>
    <row r="139" spans="1:9" x14ac:dyDescent="0.2">
      <c r="A139" s="495" t="str">
        <f>FIXED('Balance N'!A138,0,1)</f>
        <v>0</v>
      </c>
      <c r="B139" s="494">
        <f>+'Balance N'!B138</f>
        <v>0</v>
      </c>
      <c r="C139" s="592">
        <f>ROUND('Balance N'!C138,2)</f>
        <v>0</v>
      </c>
      <c r="D139" s="592">
        <f>ROUND('Balance N'!D138,2)</f>
        <v>0</v>
      </c>
      <c r="E139" s="592">
        <f>ROUND('Balance N'!E138,2)</f>
        <v>0</v>
      </c>
      <c r="F139" s="592">
        <f>ROUND('Balance N'!F138,2)</f>
        <v>0</v>
      </c>
      <c r="G139" s="592">
        <f>ROUND('Balance N'!G138,2)</f>
        <v>0</v>
      </c>
      <c r="H139" s="592">
        <f>ROUND('Balance N'!H138,2)</f>
        <v>0</v>
      </c>
      <c r="I139" s="2" t="str">
        <f t="shared" si="5"/>
        <v>0</v>
      </c>
    </row>
    <row r="140" spans="1:9" x14ac:dyDescent="0.2">
      <c r="A140" s="495" t="str">
        <f>FIXED('Balance N'!A139,0,1)</f>
        <v>0</v>
      </c>
      <c r="B140" s="494">
        <f>+'Balance N'!B139</f>
        <v>0</v>
      </c>
      <c r="C140" s="592">
        <f>ROUND('Balance N'!C139,2)</f>
        <v>0</v>
      </c>
      <c r="D140" s="592">
        <f>ROUND('Balance N'!D139,2)</f>
        <v>0</v>
      </c>
      <c r="E140" s="592">
        <f>ROUND('Balance N'!E139,2)</f>
        <v>0</v>
      </c>
      <c r="F140" s="592">
        <f>ROUND('Balance N'!F139,2)</f>
        <v>0</v>
      </c>
      <c r="G140" s="592">
        <f>ROUND('Balance N'!G139,2)</f>
        <v>0</v>
      </c>
      <c r="H140" s="592">
        <f>ROUND('Balance N'!H139,2)</f>
        <v>0</v>
      </c>
      <c r="I140" s="2" t="str">
        <f t="shared" si="5"/>
        <v>0</v>
      </c>
    </row>
    <row r="141" spans="1:9" x14ac:dyDescent="0.2">
      <c r="A141" s="495" t="str">
        <f>FIXED('Balance N'!A140,0,1)</f>
        <v>0</v>
      </c>
      <c r="B141" s="494">
        <f>+'Balance N'!B140</f>
        <v>0</v>
      </c>
      <c r="C141" s="592">
        <f>ROUND('Balance N'!C140,2)</f>
        <v>0</v>
      </c>
      <c r="D141" s="592">
        <f>ROUND('Balance N'!D140,2)</f>
        <v>0</v>
      </c>
      <c r="E141" s="592">
        <f>ROUND('Balance N'!E140,2)</f>
        <v>0</v>
      </c>
      <c r="F141" s="592">
        <f>ROUND('Balance N'!F140,2)</f>
        <v>0</v>
      </c>
      <c r="G141" s="592">
        <f>ROUND('Balance N'!G140,2)</f>
        <v>0</v>
      </c>
      <c r="H141" s="592">
        <f>ROUND('Balance N'!H140,2)</f>
        <v>0</v>
      </c>
      <c r="I141" s="2" t="str">
        <f t="shared" si="5"/>
        <v>0</v>
      </c>
    </row>
    <row r="142" spans="1:9" x14ac:dyDescent="0.2">
      <c r="A142" s="495" t="str">
        <f>FIXED('Balance N'!A141,0,1)</f>
        <v>0</v>
      </c>
      <c r="B142" s="494">
        <f>+'Balance N'!B141</f>
        <v>0</v>
      </c>
      <c r="C142" s="592">
        <f>ROUND('Balance N'!C141,2)</f>
        <v>0</v>
      </c>
      <c r="D142" s="592">
        <f>ROUND('Balance N'!D141,2)</f>
        <v>0</v>
      </c>
      <c r="E142" s="592">
        <f>ROUND('Balance N'!E141,2)</f>
        <v>0</v>
      </c>
      <c r="F142" s="592">
        <f>ROUND('Balance N'!F141,2)</f>
        <v>0</v>
      </c>
      <c r="G142" s="592">
        <f>ROUND('Balance N'!G141,2)</f>
        <v>0</v>
      </c>
      <c r="H142" s="592">
        <f>ROUND('Balance N'!H141,2)</f>
        <v>0</v>
      </c>
      <c r="I142" s="2" t="str">
        <f t="shared" si="5"/>
        <v>0</v>
      </c>
    </row>
    <row r="143" spans="1:9" x14ac:dyDescent="0.2">
      <c r="A143" s="495" t="str">
        <f>FIXED('Balance N'!A142,0,1)</f>
        <v>0</v>
      </c>
      <c r="B143" s="494">
        <f>+'Balance N'!B142</f>
        <v>0</v>
      </c>
      <c r="C143" s="592">
        <f>ROUND('Balance N'!C142,2)</f>
        <v>0</v>
      </c>
      <c r="D143" s="592">
        <f>ROUND('Balance N'!D142,2)</f>
        <v>0</v>
      </c>
      <c r="E143" s="592">
        <f>ROUND('Balance N'!E142,2)</f>
        <v>0</v>
      </c>
      <c r="F143" s="592">
        <f>ROUND('Balance N'!F142,2)</f>
        <v>0</v>
      </c>
      <c r="G143" s="592">
        <f>ROUND('Balance N'!G142,2)</f>
        <v>0</v>
      </c>
      <c r="H143" s="592">
        <f>ROUND('Balance N'!H142,2)</f>
        <v>0</v>
      </c>
      <c r="I143" s="2" t="str">
        <f t="shared" si="5"/>
        <v>0</v>
      </c>
    </row>
    <row r="144" spans="1:9" x14ac:dyDescent="0.2">
      <c r="A144" s="495" t="str">
        <f>FIXED('Balance N'!A143,0,1)</f>
        <v>0</v>
      </c>
      <c r="B144" s="494">
        <f>+'Balance N'!B143</f>
        <v>0</v>
      </c>
      <c r="C144" s="592">
        <f>ROUND('Balance N'!C143,2)</f>
        <v>0</v>
      </c>
      <c r="D144" s="592">
        <f>ROUND('Balance N'!D143,2)</f>
        <v>0</v>
      </c>
      <c r="E144" s="592">
        <f>ROUND('Balance N'!E143,2)</f>
        <v>0</v>
      </c>
      <c r="F144" s="592">
        <f>ROUND('Balance N'!F143,2)</f>
        <v>0</v>
      </c>
      <c r="G144" s="592">
        <f>ROUND('Balance N'!G143,2)</f>
        <v>0</v>
      </c>
      <c r="H144" s="592">
        <f>ROUND('Balance N'!H143,2)</f>
        <v>0</v>
      </c>
      <c r="I144" s="2" t="str">
        <f t="shared" si="5"/>
        <v>0</v>
      </c>
    </row>
    <row r="145" spans="1:9" x14ac:dyDescent="0.2">
      <c r="A145" s="495" t="str">
        <f>FIXED('Balance N'!A144,0,1)</f>
        <v>0</v>
      </c>
      <c r="B145" s="494">
        <f>+'Balance N'!B144</f>
        <v>0</v>
      </c>
      <c r="C145" s="592">
        <f>ROUND('Balance N'!C144,2)</f>
        <v>0</v>
      </c>
      <c r="D145" s="592">
        <f>ROUND('Balance N'!D144,2)</f>
        <v>0</v>
      </c>
      <c r="E145" s="592">
        <f>ROUND('Balance N'!E144,2)</f>
        <v>0</v>
      </c>
      <c r="F145" s="592">
        <f>ROUND('Balance N'!F144,2)</f>
        <v>0</v>
      </c>
      <c r="G145" s="592">
        <f>ROUND('Balance N'!G144,2)</f>
        <v>0</v>
      </c>
      <c r="H145" s="592">
        <f>ROUND('Balance N'!H144,2)</f>
        <v>0</v>
      </c>
      <c r="I145" s="2" t="str">
        <f t="shared" si="5"/>
        <v>0</v>
      </c>
    </row>
    <row r="146" spans="1:9" x14ac:dyDescent="0.2">
      <c r="A146" s="495" t="str">
        <f>FIXED('Balance N'!A145,0,1)</f>
        <v>0</v>
      </c>
      <c r="B146" s="494">
        <f>+'Balance N'!B145</f>
        <v>0</v>
      </c>
      <c r="C146" s="592">
        <f>ROUND('Balance N'!C145,2)</f>
        <v>0</v>
      </c>
      <c r="D146" s="592">
        <f>ROUND('Balance N'!D145,2)</f>
        <v>0</v>
      </c>
      <c r="E146" s="592">
        <f>ROUND('Balance N'!E145,2)</f>
        <v>0</v>
      </c>
      <c r="F146" s="592">
        <f>ROUND('Balance N'!F145,2)</f>
        <v>0</v>
      </c>
      <c r="G146" s="592">
        <f>ROUND('Balance N'!G145,2)</f>
        <v>0</v>
      </c>
      <c r="H146" s="592">
        <f>ROUND('Balance N'!H145,2)</f>
        <v>0</v>
      </c>
      <c r="I146" s="2" t="str">
        <f t="shared" si="5"/>
        <v>0</v>
      </c>
    </row>
    <row r="147" spans="1:9" x14ac:dyDescent="0.2">
      <c r="A147" s="495" t="str">
        <f>FIXED('Balance N'!A146,0,1)</f>
        <v>0</v>
      </c>
      <c r="B147" s="494">
        <f>+'Balance N'!B146</f>
        <v>0</v>
      </c>
      <c r="C147" s="592">
        <f>ROUND('Balance N'!C146,2)</f>
        <v>0</v>
      </c>
      <c r="D147" s="592">
        <f>ROUND('Balance N'!D146,2)</f>
        <v>0</v>
      </c>
      <c r="E147" s="592">
        <f>ROUND('Balance N'!E146,2)</f>
        <v>0</v>
      </c>
      <c r="F147" s="592">
        <f>ROUND('Balance N'!F146,2)</f>
        <v>0</v>
      </c>
      <c r="G147" s="592">
        <f>ROUND('Balance N'!G146,2)</f>
        <v>0</v>
      </c>
      <c r="H147" s="592">
        <f>ROUND('Balance N'!H146,2)</f>
        <v>0</v>
      </c>
      <c r="I147" s="2" t="str">
        <f t="shared" si="5"/>
        <v>0</v>
      </c>
    </row>
    <row r="148" spans="1:9" x14ac:dyDescent="0.2">
      <c r="A148" s="495" t="str">
        <f>FIXED('Balance N'!A147,0,1)</f>
        <v>0</v>
      </c>
      <c r="B148" s="494">
        <f>+'Balance N'!B147</f>
        <v>0</v>
      </c>
      <c r="C148" s="592">
        <f>ROUND('Balance N'!C147,2)</f>
        <v>0</v>
      </c>
      <c r="D148" s="592">
        <f>ROUND('Balance N'!D147,2)</f>
        <v>0</v>
      </c>
      <c r="E148" s="592">
        <f>ROUND('Balance N'!E147,2)</f>
        <v>0</v>
      </c>
      <c r="F148" s="592">
        <f>ROUND('Balance N'!F147,2)</f>
        <v>0</v>
      </c>
      <c r="G148" s="592">
        <f>ROUND('Balance N'!G147,2)</f>
        <v>0</v>
      </c>
      <c r="H148" s="592">
        <f>ROUND('Balance N'!H147,2)</f>
        <v>0</v>
      </c>
      <c r="I148" s="2" t="str">
        <f t="shared" si="5"/>
        <v>0</v>
      </c>
    </row>
    <row r="149" spans="1:9" x14ac:dyDescent="0.2">
      <c r="A149" s="495" t="str">
        <f>FIXED('Balance N'!A148,0,1)</f>
        <v>0</v>
      </c>
      <c r="B149" s="494">
        <f>+'Balance N'!B148</f>
        <v>0</v>
      </c>
      <c r="C149" s="592">
        <f>ROUND('Balance N'!C148,2)</f>
        <v>0</v>
      </c>
      <c r="D149" s="592">
        <f>ROUND('Balance N'!D148,2)</f>
        <v>0</v>
      </c>
      <c r="E149" s="592">
        <f>ROUND('Balance N'!E148,2)</f>
        <v>0</v>
      </c>
      <c r="F149" s="592">
        <f>ROUND('Balance N'!F148,2)</f>
        <v>0</v>
      </c>
      <c r="G149" s="592">
        <f>ROUND('Balance N'!G148,2)</f>
        <v>0</v>
      </c>
      <c r="H149" s="592">
        <f>ROUND('Balance N'!H148,2)</f>
        <v>0</v>
      </c>
      <c r="I149" s="2" t="str">
        <f t="shared" si="5"/>
        <v>0</v>
      </c>
    </row>
    <row r="150" spans="1:9" x14ac:dyDescent="0.2">
      <c r="A150" s="495" t="str">
        <f>FIXED('Balance N'!A149,0,1)</f>
        <v>0</v>
      </c>
      <c r="B150" s="494">
        <f>+'Balance N'!B149</f>
        <v>0</v>
      </c>
      <c r="C150" s="592">
        <f>ROUND('Balance N'!C149,2)</f>
        <v>0</v>
      </c>
      <c r="D150" s="592">
        <f>ROUND('Balance N'!D149,2)</f>
        <v>0</v>
      </c>
      <c r="E150" s="592">
        <f>ROUND('Balance N'!E149,2)</f>
        <v>0</v>
      </c>
      <c r="F150" s="592">
        <f>ROUND('Balance N'!F149,2)</f>
        <v>0</v>
      </c>
      <c r="G150" s="592">
        <f>ROUND('Balance N'!G149,2)</f>
        <v>0</v>
      </c>
      <c r="H150" s="592">
        <f>ROUND('Balance N'!H149,2)</f>
        <v>0</v>
      </c>
      <c r="I150" s="2" t="str">
        <f t="shared" si="5"/>
        <v>0</v>
      </c>
    </row>
    <row r="151" spans="1:9" x14ac:dyDescent="0.2">
      <c r="A151" s="495" t="str">
        <f>FIXED('Balance N'!A150,0,1)</f>
        <v>0</v>
      </c>
      <c r="B151" s="494">
        <f>+'Balance N'!B150</f>
        <v>0</v>
      </c>
      <c r="C151" s="592">
        <f>ROUND('Balance N'!C150,2)</f>
        <v>0</v>
      </c>
      <c r="D151" s="592">
        <f>ROUND('Balance N'!D150,2)</f>
        <v>0</v>
      </c>
      <c r="E151" s="592">
        <f>ROUND('Balance N'!E150,2)</f>
        <v>0</v>
      </c>
      <c r="F151" s="592">
        <f>ROUND('Balance N'!F150,2)</f>
        <v>0</v>
      </c>
      <c r="G151" s="592">
        <f>ROUND('Balance N'!G150,2)</f>
        <v>0</v>
      </c>
      <c r="H151" s="592">
        <f>ROUND('Balance N'!H150,2)</f>
        <v>0</v>
      </c>
      <c r="I151" s="2" t="str">
        <f t="shared" si="5"/>
        <v>0</v>
      </c>
    </row>
    <row r="152" spans="1:9" x14ac:dyDescent="0.2">
      <c r="A152" s="495" t="str">
        <f>FIXED('Balance N'!A151,0,1)</f>
        <v>0</v>
      </c>
      <c r="B152" s="494">
        <f>+'Balance N'!B151</f>
        <v>0</v>
      </c>
      <c r="C152" s="592">
        <f>ROUND('Balance N'!C151,2)</f>
        <v>0</v>
      </c>
      <c r="D152" s="592">
        <f>ROUND('Balance N'!D151,2)</f>
        <v>0</v>
      </c>
      <c r="E152" s="592">
        <f>ROUND('Balance N'!E151,2)</f>
        <v>0</v>
      </c>
      <c r="F152" s="592">
        <f>ROUND('Balance N'!F151,2)</f>
        <v>0</v>
      </c>
      <c r="G152" s="592">
        <f>ROUND('Balance N'!G151,2)</f>
        <v>0</v>
      </c>
      <c r="H152" s="592">
        <f>ROUND('Balance N'!H151,2)</f>
        <v>0</v>
      </c>
      <c r="I152" s="2" t="str">
        <f t="shared" si="5"/>
        <v>0</v>
      </c>
    </row>
    <row r="153" spans="1:9" x14ac:dyDescent="0.2">
      <c r="A153" s="495" t="str">
        <f>FIXED('Balance N'!A152,0,1)</f>
        <v>0</v>
      </c>
      <c r="B153" s="494">
        <f>+'Balance N'!B152</f>
        <v>0</v>
      </c>
      <c r="C153" s="592">
        <f>ROUND('Balance N'!C152,2)</f>
        <v>0</v>
      </c>
      <c r="D153" s="592">
        <f>ROUND('Balance N'!D152,2)</f>
        <v>0</v>
      </c>
      <c r="E153" s="592">
        <f>ROUND('Balance N'!E152,2)</f>
        <v>0</v>
      </c>
      <c r="F153" s="592">
        <f>ROUND('Balance N'!F152,2)</f>
        <v>0</v>
      </c>
      <c r="G153" s="592">
        <f>ROUND('Balance N'!G152,2)</f>
        <v>0</v>
      </c>
      <c r="H153" s="592">
        <f>ROUND('Balance N'!H152,2)</f>
        <v>0</v>
      </c>
      <c r="I153" s="2" t="str">
        <f t="shared" si="5"/>
        <v>0</v>
      </c>
    </row>
    <row r="154" spans="1:9" x14ac:dyDescent="0.2">
      <c r="A154" s="495" t="str">
        <f>FIXED('Balance N'!A153,0,1)</f>
        <v>0</v>
      </c>
      <c r="B154" s="494">
        <f>+'Balance N'!B153</f>
        <v>0</v>
      </c>
      <c r="C154" s="592">
        <f>ROUND('Balance N'!C153,2)</f>
        <v>0</v>
      </c>
      <c r="D154" s="592">
        <f>ROUND('Balance N'!D153,2)</f>
        <v>0</v>
      </c>
      <c r="E154" s="592">
        <f>ROUND('Balance N'!E153,2)</f>
        <v>0</v>
      </c>
      <c r="F154" s="592">
        <f>ROUND('Balance N'!F153,2)</f>
        <v>0</v>
      </c>
      <c r="G154" s="592">
        <f>ROUND('Balance N'!G153,2)</f>
        <v>0</v>
      </c>
      <c r="H154" s="592">
        <f>ROUND('Balance N'!H153,2)</f>
        <v>0</v>
      </c>
      <c r="I154" s="2" t="str">
        <f t="shared" si="5"/>
        <v>0</v>
      </c>
    </row>
    <row r="155" spans="1:9" x14ac:dyDescent="0.2">
      <c r="A155" s="495" t="str">
        <f>FIXED('Balance N'!A154,0,1)</f>
        <v>0</v>
      </c>
      <c r="B155" s="494">
        <f>+'Balance N'!B154</f>
        <v>0</v>
      </c>
      <c r="C155" s="592">
        <f>ROUND('Balance N'!C154,2)</f>
        <v>0</v>
      </c>
      <c r="D155" s="592">
        <f>ROUND('Balance N'!D154,2)</f>
        <v>0</v>
      </c>
      <c r="E155" s="592">
        <f>ROUND('Balance N'!E154,2)</f>
        <v>0</v>
      </c>
      <c r="F155" s="592">
        <f>ROUND('Balance N'!F154,2)</f>
        <v>0</v>
      </c>
      <c r="G155" s="592">
        <f>ROUND('Balance N'!G154,2)</f>
        <v>0</v>
      </c>
      <c r="H155" s="592">
        <f>ROUND('Balance N'!H154,2)</f>
        <v>0</v>
      </c>
      <c r="I155" s="2" t="str">
        <f t="shared" si="5"/>
        <v>0</v>
      </c>
    </row>
    <row r="156" spans="1:9" x14ac:dyDescent="0.2">
      <c r="A156" s="495" t="str">
        <f>FIXED('Balance N'!A155,0,1)</f>
        <v>0</v>
      </c>
      <c r="B156" s="494">
        <f>+'Balance N'!B155</f>
        <v>0</v>
      </c>
      <c r="C156" s="592">
        <f>ROUND('Balance N'!C155,2)</f>
        <v>0</v>
      </c>
      <c r="D156" s="592">
        <f>ROUND('Balance N'!D155,2)</f>
        <v>0</v>
      </c>
      <c r="E156" s="592">
        <f>ROUND('Balance N'!E155,2)</f>
        <v>0</v>
      </c>
      <c r="F156" s="592">
        <f>ROUND('Balance N'!F155,2)</f>
        <v>0</v>
      </c>
      <c r="G156" s="592">
        <f>ROUND('Balance N'!G155,2)</f>
        <v>0</v>
      </c>
      <c r="H156" s="592">
        <f>ROUND('Balance N'!H155,2)</f>
        <v>0</v>
      </c>
      <c r="I156" s="2" t="str">
        <f t="shared" si="5"/>
        <v>0</v>
      </c>
    </row>
    <row r="157" spans="1:9" x14ac:dyDescent="0.2">
      <c r="A157" s="495" t="str">
        <f>FIXED('Balance N'!A156,0,1)</f>
        <v>0</v>
      </c>
      <c r="B157" s="494">
        <f>+'Balance N'!B156</f>
        <v>0</v>
      </c>
      <c r="C157" s="592">
        <f>ROUND('Balance N'!C156,2)</f>
        <v>0</v>
      </c>
      <c r="D157" s="592">
        <f>ROUND('Balance N'!D156,2)</f>
        <v>0</v>
      </c>
      <c r="E157" s="592">
        <f>ROUND('Balance N'!E156,2)</f>
        <v>0</v>
      </c>
      <c r="F157" s="592">
        <f>ROUND('Balance N'!F156,2)</f>
        <v>0</v>
      </c>
      <c r="G157" s="592">
        <f>ROUND('Balance N'!G156,2)</f>
        <v>0</v>
      </c>
      <c r="H157" s="592">
        <f>ROUND('Balance N'!H156,2)</f>
        <v>0</v>
      </c>
      <c r="I157" s="2" t="str">
        <f t="shared" si="5"/>
        <v>0</v>
      </c>
    </row>
    <row r="158" spans="1:9" x14ac:dyDescent="0.2">
      <c r="A158" s="495" t="str">
        <f>FIXED('Balance N'!A157,0,1)</f>
        <v>0</v>
      </c>
      <c r="B158" s="494">
        <f>+'Balance N'!B157</f>
        <v>0</v>
      </c>
      <c r="C158" s="592">
        <f>ROUND('Balance N'!C157,2)</f>
        <v>0</v>
      </c>
      <c r="D158" s="592">
        <f>ROUND('Balance N'!D157,2)</f>
        <v>0</v>
      </c>
      <c r="E158" s="592">
        <f>ROUND('Balance N'!E157,2)</f>
        <v>0</v>
      </c>
      <c r="F158" s="592">
        <f>ROUND('Balance N'!F157,2)</f>
        <v>0</v>
      </c>
      <c r="G158" s="592">
        <f>ROUND('Balance N'!G157,2)</f>
        <v>0</v>
      </c>
      <c r="H158" s="592">
        <f>ROUND('Balance N'!H157,2)</f>
        <v>0</v>
      </c>
      <c r="I158" s="2" t="str">
        <f t="shared" si="5"/>
        <v>0</v>
      </c>
    </row>
    <row r="159" spans="1:9" x14ac:dyDescent="0.2">
      <c r="A159" s="495" t="str">
        <f>FIXED('Balance N'!A158,0,1)</f>
        <v>0</v>
      </c>
      <c r="B159" s="494">
        <f>+'Balance N'!B158</f>
        <v>0</v>
      </c>
      <c r="C159" s="592">
        <f>ROUND('Balance N'!C158,2)</f>
        <v>0</v>
      </c>
      <c r="D159" s="592">
        <f>ROUND('Balance N'!D158,2)</f>
        <v>0</v>
      </c>
      <c r="E159" s="592">
        <f>ROUND('Balance N'!E158,2)</f>
        <v>0</v>
      </c>
      <c r="F159" s="592">
        <f>ROUND('Balance N'!F158,2)</f>
        <v>0</v>
      </c>
      <c r="G159" s="592">
        <f>ROUND('Balance N'!G158,2)</f>
        <v>0</v>
      </c>
      <c r="H159" s="592">
        <f>ROUND('Balance N'!H158,2)</f>
        <v>0</v>
      </c>
      <c r="I159" s="2" t="str">
        <f t="shared" si="5"/>
        <v>0</v>
      </c>
    </row>
    <row r="160" spans="1:9" x14ac:dyDescent="0.2">
      <c r="A160" s="495" t="str">
        <f>FIXED('Balance N'!A159,0,1)</f>
        <v>0</v>
      </c>
      <c r="B160" s="494">
        <f>+'Balance N'!B159</f>
        <v>0</v>
      </c>
      <c r="C160" s="592">
        <f>ROUND('Balance N'!C159,2)</f>
        <v>0</v>
      </c>
      <c r="D160" s="592">
        <f>ROUND('Balance N'!D159,2)</f>
        <v>0</v>
      </c>
      <c r="E160" s="592">
        <f>ROUND('Balance N'!E159,2)</f>
        <v>0</v>
      </c>
      <c r="F160" s="592">
        <f>ROUND('Balance N'!F159,2)</f>
        <v>0</v>
      </c>
      <c r="G160" s="592">
        <f>ROUND('Balance N'!G159,2)</f>
        <v>0</v>
      </c>
      <c r="H160" s="592">
        <f>ROUND('Balance N'!H159,2)</f>
        <v>0</v>
      </c>
      <c r="I160" s="2" t="str">
        <f t="shared" si="5"/>
        <v>0</v>
      </c>
    </row>
    <row r="161" spans="1:9" x14ac:dyDescent="0.2">
      <c r="A161" s="495" t="str">
        <f>FIXED('Balance N'!A160,0,1)</f>
        <v>0</v>
      </c>
      <c r="B161" s="494">
        <f>+'Balance N'!B160</f>
        <v>0</v>
      </c>
      <c r="C161" s="592">
        <f>ROUND('Balance N'!C160,2)</f>
        <v>0</v>
      </c>
      <c r="D161" s="592">
        <f>ROUND('Balance N'!D160,2)</f>
        <v>0</v>
      </c>
      <c r="E161" s="592">
        <f>ROUND('Balance N'!E160,2)</f>
        <v>0</v>
      </c>
      <c r="F161" s="592">
        <f>ROUND('Balance N'!F160,2)</f>
        <v>0</v>
      </c>
      <c r="G161" s="592">
        <f>ROUND('Balance N'!G160,2)</f>
        <v>0</v>
      </c>
      <c r="H161" s="592">
        <f>ROUND('Balance N'!H160,2)</f>
        <v>0</v>
      </c>
      <c r="I161" s="2" t="str">
        <f t="shared" si="5"/>
        <v>0</v>
      </c>
    </row>
    <row r="162" spans="1:9" x14ac:dyDescent="0.2">
      <c r="A162" s="495" t="str">
        <f>FIXED('Balance N'!A161,0,1)</f>
        <v>0</v>
      </c>
      <c r="B162" s="494">
        <f>+'Balance N'!B161</f>
        <v>0</v>
      </c>
      <c r="C162" s="592">
        <f>ROUND('Balance N'!C161,2)</f>
        <v>0</v>
      </c>
      <c r="D162" s="592">
        <f>ROUND('Balance N'!D161,2)</f>
        <v>0</v>
      </c>
      <c r="E162" s="592">
        <f>ROUND('Balance N'!E161,2)</f>
        <v>0</v>
      </c>
      <c r="F162" s="592">
        <f>ROUND('Balance N'!F161,2)</f>
        <v>0</v>
      </c>
      <c r="G162" s="592">
        <f>ROUND('Balance N'!G161,2)</f>
        <v>0</v>
      </c>
      <c r="H162" s="592">
        <f>ROUND('Balance N'!H161,2)</f>
        <v>0</v>
      </c>
      <c r="I162" s="2" t="str">
        <f t="shared" si="5"/>
        <v>0</v>
      </c>
    </row>
    <row r="163" spans="1:9" x14ac:dyDescent="0.2">
      <c r="A163" s="495" t="str">
        <f>FIXED('Balance N'!A162,0,1)</f>
        <v>0</v>
      </c>
      <c r="B163" s="494">
        <f>+'Balance N'!B162</f>
        <v>0</v>
      </c>
      <c r="C163" s="592">
        <f>ROUND('Balance N'!C162,2)</f>
        <v>0</v>
      </c>
      <c r="D163" s="592">
        <f>ROUND('Balance N'!D162,2)</f>
        <v>0</v>
      </c>
      <c r="E163" s="592">
        <f>ROUND('Balance N'!E162,2)</f>
        <v>0</v>
      </c>
      <c r="F163" s="592">
        <f>ROUND('Balance N'!F162,2)</f>
        <v>0</v>
      </c>
      <c r="G163" s="592">
        <f>ROUND('Balance N'!G162,2)</f>
        <v>0</v>
      </c>
      <c r="H163" s="592">
        <f>ROUND('Balance N'!H162,2)</f>
        <v>0</v>
      </c>
      <c r="I163" s="2" t="str">
        <f t="shared" si="5"/>
        <v>0</v>
      </c>
    </row>
    <row r="164" spans="1:9" x14ac:dyDescent="0.2">
      <c r="A164" s="495" t="str">
        <f>FIXED('Balance N'!A163,0,1)</f>
        <v>0</v>
      </c>
      <c r="B164" s="494">
        <f>+'Balance N'!B163</f>
        <v>0</v>
      </c>
      <c r="C164" s="592">
        <f>ROUND('Balance N'!C163,2)</f>
        <v>0</v>
      </c>
      <c r="D164" s="592">
        <f>ROUND('Balance N'!D163,2)</f>
        <v>0</v>
      </c>
      <c r="E164" s="592">
        <f>ROUND('Balance N'!E163,2)</f>
        <v>0</v>
      </c>
      <c r="F164" s="592">
        <f>ROUND('Balance N'!F163,2)</f>
        <v>0</v>
      </c>
      <c r="G164" s="592">
        <f>ROUND('Balance N'!G163,2)</f>
        <v>0</v>
      </c>
      <c r="H164" s="592">
        <f>ROUND('Balance N'!H163,2)</f>
        <v>0</v>
      </c>
      <c r="I164" s="2" t="str">
        <f t="shared" si="5"/>
        <v>0</v>
      </c>
    </row>
    <row r="165" spans="1:9" x14ac:dyDescent="0.2">
      <c r="A165" s="495" t="str">
        <f>FIXED('Balance N'!A164,0,1)</f>
        <v>0</v>
      </c>
      <c r="B165" s="494">
        <f>+'Balance N'!B164</f>
        <v>0</v>
      </c>
      <c r="C165" s="592">
        <f>ROUND('Balance N'!C164,2)</f>
        <v>0</v>
      </c>
      <c r="D165" s="592">
        <f>ROUND('Balance N'!D164,2)</f>
        <v>0</v>
      </c>
      <c r="E165" s="592">
        <f>ROUND('Balance N'!E164,2)</f>
        <v>0</v>
      </c>
      <c r="F165" s="592">
        <f>ROUND('Balance N'!F164,2)</f>
        <v>0</v>
      </c>
      <c r="G165" s="592">
        <f>ROUND('Balance N'!G164,2)</f>
        <v>0</v>
      </c>
      <c r="H165" s="592">
        <f>ROUND('Balance N'!H164,2)</f>
        <v>0</v>
      </c>
      <c r="I165" s="2" t="str">
        <f t="shared" si="5"/>
        <v>0</v>
      </c>
    </row>
    <row r="166" spans="1:9" x14ac:dyDescent="0.2">
      <c r="A166" s="495" t="str">
        <f>FIXED('Balance N'!A165,0,1)</f>
        <v>0</v>
      </c>
      <c r="B166" s="494">
        <f>+'Balance N'!B165</f>
        <v>0</v>
      </c>
      <c r="C166" s="592">
        <f>ROUND('Balance N'!C165,2)</f>
        <v>0</v>
      </c>
      <c r="D166" s="592">
        <f>ROUND('Balance N'!D165,2)</f>
        <v>0</v>
      </c>
      <c r="E166" s="592">
        <f>ROUND('Balance N'!E165,2)</f>
        <v>0</v>
      </c>
      <c r="F166" s="592">
        <f>ROUND('Balance N'!F165,2)</f>
        <v>0</v>
      </c>
      <c r="G166" s="592">
        <f>ROUND('Balance N'!G165,2)</f>
        <v>0</v>
      </c>
      <c r="H166" s="592">
        <f>ROUND('Balance N'!H165,2)</f>
        <v>0</v>
      </c>
      <c r="I166" s="2" t="str">
        <f t="shared" si="5"/>
        <v>0</v>
      </c>
    </row>
    <row r="167" spans="1:9" x14ac:dyDescent="0.2">
      <c r="A167" s="495" t="str">
        <f>FIXED('Balance N'!A166,0,1)</f>
        <v>0</v>
      </c>
      <c r="B167" s="494">
        <f>+'Balance N'!B166</f>
        <v>0</v>
      </c>
      <c r="C167" s="592">
        <f>ROUND('Balance N'!C166,2)</f>
        <v>0</v>
      </c>
      <c r="D167" s="592">
        <f>ROUND('Balance N'!D166,2)</f>
        <v>0</v>
      </c>
      <c r="E167" s="592">
        <f>ROUND('Balance N'!E166,2)</f>
        <v>0</v>
      </c>
      <c r="F167" s="592">
        <f>ROUND('Balance N'!F166,2)</f>
        <v>0</v>
      </c>
      <c r="G167" s="592">
        <f>ROUND('Balance N'!G166,2)</f>
        <v>0</v>
      </c>
      <c r="H167" s="592">
        <f>ROUND('Balance N'!H166,2)</f>
        <v>0</v>
      </c>
      <c r="I167" s="2" t="str">
        <f t="shared" si="5"/>
        <v>0</v>
      </c>
    </row>
    <row r="168" spans="1:9" x14ac:dyDescent="0.2">
      <c r="A168" s="495" t="str">
        <f>FIXED('Balance N'!A167,0,1)</f>
        <v>0</v>
      </c>
      <c r="B168" s="494">
        <f>+'Balance N'!B167</f>
        <v>0</v>
      </c>
      <c r="C168" s="592">
        <f>ROUND('Balance N'!C167,2)</f>
        <v>0</v>
      </c>
      <c r="D168" s="592">
        <f>ROUND('Balance N'!D167,2)</f>
        <v>0</v>
      </c>
      <c r="E168" s="592">
        <f>ROUND('Balance N'!E167,2)</f>
        <v>0</v>
      </c>
      <c r="F168" s="592">
        <f>ROUND('Balance N'!F167,2)</f>
        <v>0</v>
      </c>
      <c r="G168" s="592">
        <f>ROUND('Balance N'!G167,2)</f>
        <v>0</v>
      </c>
      <c r="H168" s="592">
        <f>ROUND('Balance N'!H167,2)</f>
        <v>0</v>
      </c>
      <c r="I168" s="2" t="str">
        <f t="shared" si="5"/>
        <v>0</v>
      </c>
    </row>
    <row r="169" spans="1:9" x14ac:dyDescent="0.2">
      <c r="A169" s="495" t="str">
        <f>FIXED('Balance N'!A168,0,1)</f>
        <v>0</v>
      </c>
      <c r="B169" s="494">
        <f>+'Balance N'!B168</f>
        <v>0</v>
      </c>
      <c r="C169" s="592">
        <f>ROUND('Balance N'!C168,2)</f>
        <v>0</v>
      </c>
      <c r="D169" s="592">
        <f>ROUND('Balance N'!D168,2)</f>
        <v>0</v>
      </c>
      <c r="E169" s="592">
        <f>ROUND('Balance N'!E168,2)</f>
        <v>0</v>
      </c>
      <c r="F169" s="592">
        <f>ROUND('Balance N'!F168,2)</f>
        <v>0</v>
      </c>
      <c r="G169" s="592">
        <f>ROUND('Balance N'!G168,2)</f>
        <v>0</v>
      </c>
      <c r="H169" s="592">
        <f>ROUND('Balance N'!H168,2)</f>
        <v>0</v>
      </c>
      <c r="I169" s="2" t="str">
        <f t="shared" si="5"/>
        <v>0</v>
      </c>
    </row>
    <row r="170" spans="1:9" x14ac:dyDescent="0.2">
      <c r="A170" s="495" t="str">
        <f>FIXED('Balance N'!A169,0,1)</f>
        <v>0</v>
      </c>
      <c r="B170" s="494">
        <f>+'Balance N'!B169</f>
        <v>0</v>
      </c>
      <c r="C170" s="592">
        <f>ROUND('Balance N'!C169,2)</f>
        <v>0</v>
      </c>
      <c r="D170" s="592">
        <f>ROUND('Balance N'!D169,2)</f>
        <v>0</v>
      </c>
      <c r="E170" s="592">
        <f>ROUND('Balance N'!E169,2)</f>
        <v>0</v>
      </c>
      <c r="F170" s="592">
        <f>ROUND('Balance N'!F169,2)</f>
        <v>0</v>
      </c>
      <c r="G170" s="592">
        <f>ROUND('Balance N'!G169,2)</f>
        <v>0</v>
      </c>
      <c r="H170" s="592">
        <f>ROUND('Balance N'!H169,2)</f>
        <v>0</v>
      </c>
      <c r="I170" s="2" t="str">
        <f t="shared" si="5"/>
        <v>0</v>
      </c>
    </row>
    <row r="171" spans="1:9" x14ac:dyDescent="0.2">
      <c r="A171" s="495" t="str">
        <f>FIXED('Balance N'!A170,0,1)</f>
        <v>0</v>
      </c>
      <c r="B171" s="494">
        <f>+'Balance N'!B170</f>
        <v>0</v>
      </c>
      <c r="C171" s="592">
        <f>ROUND('Balance N'!C170,2)</f>
        <v>0</v>
      </c>
      <c r="D171" s="592">
        <f>ROUND('Balance N'!D170,2)</f>
        <v>0</v>
      </c>
      <c r="E171" s="592">
        <f>ROUND('Balance N'!E170,2)</f>
        <v>0</v>
      </c>
      <c r="F171" s="592">
        <f>ROUND('Balance N'!F170,2)</f>
        <v>0</v>
      </c>
      <c r="G171" s="592">
        <f>ROUND('Balance N'!G170,2)</f>
        <v>0</v>
      </c>
      <c r="H171" s="592">
        <f>ROUND('Balance N'!H170,2)</f>
        <v>0</v>
      </c>
      <c r="I171" s="2" t="str">
        <f t="shared" si="5"/>
        <v>0</v>
      </c>
    </row>
    <row r="172" spans="1:9" x14ac:dyDescent="0.2">
      <c r="A172" s="495" t="str">
        <f>FIXED('Balance N'!A171,0,1)</f>
        <v>0</v>
      </c>
      <c r="B172" s="494">
        <f>+'Balance N'!B171</f>
        <v>0</v>
      </c>
      <c r="C172" s="592">
        <f>ROUND('Balance N'!C171,2)</f>
        <v>0</v>
      </c>
      <c r="D172" s="592">
        <f>ROUND('Balance N'!D171,2)</f>
        <v>0</v>
      </c>
      <c r="E172" s="592">
        <f>ROUND('Balance N'!E171,2)</f>
        <v>0</v>
      </c>
      <c r="F172" s="592">
        <f>ROUND('Balance N'!F171,2)</f>
        <v>0</v>
      </c>
      <c r="G172" s="592">
        <f>ROUND('Balance N'!G171,2)</f>
        <v>0</v>
      </c>
      <c r="H172" s="592">
        <f>ROUND('Balance N'!H171,2)</f>
        <v>0</v>
      </c>
      <c r="I172" s="2" t="str">
        <f t="shared" si="5"/>
        <v>0</v>
      </c>
    </row>
    <row r="173" spans="1:9" x14ac:dyDescent="0.2">
      <c r="A173" s="495" t="str">
        <f>FIXED('Balance N'!A172,0,1)</f>
        <v>0</v>
      </c>
      <c r="B173" s="494">
        <f>+'Balance N'!B172</f>
        <v>0</v>
      </c>
      <c r="C173" s="592">
        <f>ROUND('Balance N'!C172,2)</f>
        <v>0</v>
      </c>
      <c r="D173" s="592">
        <f>ROUND('Balance N'!D172,2)</f>
        <v>0</v>
      </c>
      <c r="E173" s="592">
        <f>ROUND('Balance N'!E172,2)</f>
        <v>0</v>
      </c>
      <c r="F173" s="592">
        <f>ROUND('Balance N'!F172,2)</f>
        <v>0</v>
      </c>
      <c r="G173" s="592">
        <f>ROUND('Balance N'!G172,2)</f>
        <v>0</v>
      </c>
      <c r="H173" s="592">
        <f>ROUND('Balance N'!H172,2)</f>
        <v>0</v>
      </c>
      <c r="I173" s="2" t="str">
        <f t="shared" si="5"/>
        <v>0</v>
      </c>
    </row>
    <row r="174" spans="1:9" x14ac:dyDescent="0.2">
      <c r="A174" s="495" t="str">
        <f>FIXED('Balance N'!A173,0,1)</f>
        <v>0</v>
      </c>
      <c r="B174" s="494">
        <f>+'Balance N'!B173</f>
        <v>0</v>
      </c>
      <c r="C174" s="592">
        <f>ROUND('Balance N'!C173,2)</f>
        <v>0</v>
      </c>
      <c r="D174" s="592">
        <f>ROUND('Balance N'!D173,2)</f>
        <v>0</v>
      </c>
      <c r="E174" s="592">
        <f>ROUND('Balance N'!E173,2)</f>
        <v>0</v>
      </c>
      <c r="F174" s="592">
        <f>ROUND('Balance N'!F173,2)</f>
        <v>0</v>
      </c>
      <c r="G174" s="592">
        <f>ROUND('Balance N'!G173,2)</f>
        <v>0</v>
      </c>
      <c r="H174" s="592">
        <f>ROUND('Balance N'!H173,2)</f>
        <v>0</v>
      </c>
      <c r="I174" s="2" t="str">
        <f t="shared" si="5"/>
        <v>0</v>
      </c>
    </row>
    <row r="175" spans="1:9" x14ac:dyDescent="0.2">
      <c r="A175" s="495" t="str">
        <f>FIXED('Balance N'!A174,0,1)</f>
        <v>0</v>
      </c>
      <c r="B175" s="494">
        <f>+'Balance N'!B174</f>
        <v>0</v>
      </c>
      <c r="C175" s="592">
        <f>ROUND('Balance N'!C174,2)</f>
        <v>0</v>
      </c>
      <c r="D175" s="592">
        <f>ROUND('Balance N'!D174,2)</f>
        <v>0</v>
      </c>
      <c r="E175" s="592">
        <f>ROUND('Balance N'!E174,2)</f>
        <v>0</v>
      </c>
      <c r="F175" s="592">
        <f>ROUND('Balance N'!F174,2)</f>
        <v>0</v>
      </c>
      <c r="G175" s="592">
        <f>ROUND('Balance N'!G174,2)</f>
        <v>0</v>
      </c>
      <c r="H175" s="592">
        <f>ROUND('Balance N'!H174,2)</f>
        <v>0</v>
      </c>
      <c r="I175" s="2" t="str">
        <f t="shared" si="5"/>
        <v>0</v>
      </c>
    </row>
    <row r="176" spans="1:9" x14ac:dyDescent="0.2">
      <c r="A176" s="495" t="str">
        <f>FIXED('Balance N'!A175,0,1)</f>
        <v>0</v>
      </c>
      <c r="B176" s="494">
        <f>+'Balance N'!B175</f>
        <v>0</v>
      </c>
      <c r="C176" s="592">
        <f>ROUND('Balance N'!C175,2)</f>
        <v>0</v>
      </c>
      <c r="D176" s="592">
        <f>ROUND('Balance N'!D175,2)</f>
        <v>0</v>
      </c>
      <c r="E176" s="592">
        <f>ROUND('Balance N'!E175,2)</f>
        <v>0</v>
      </c>
      <c r="F176" s="592">
        <f>ROUND('Balance N'!F175,2)</f>
        <v>0</v>
      </c>
      <c r="G176" s="592">
        <f>ROUND('Balance N'!G175,2)</f>
        <v>0</v>
      </c>
      <c r="H176" s="592">
        <f>ROUND('Balance N'!H175,2)</f>
        <v>0</v>
      </c>
      <c r="I176" s="2" t="str">
        <f t="shared" si="5"/>
        <v>0</v>
      </c>
    </row>
    <row r="177" spans="1:9" x14ac:dyDescent="0.2">
      <c r="A177" s="495" t="str">
        <f>FIXED('Balance N'!A176,0,1)</f>
        <v>0</v>
      </c>
      <c r="B177" s="494">
        <f>+'Balance N'!B176</f>
        <v>0</v>
      </c>
      <c r="C177" s="592">
        <f>ROUND('Balance N'!C176,2)</f>
        <v>0</v>
      </c>
      <c r="D177" s="592">
        <f>ROUND('Balance N'!D176,2)</f>
        <v>0</v>
      </c>
      <c r="E177" s="592">
        <f>ROUND('Balance N'!E176,2)</f>
        <v>0</v>
      </c>
      <c r="F177" s="592">
        <f>ROUND('Balance N'!F176,2)</f>
        <v>0</v>
      </c>
      <c r="G177" s="592">
        <f>ROUND('Balance N'!G176,2)</f>
        <v>0</v>
      </c>
      <c r="H177" s="592">
        <f>ROUND('Balance N'!H176,2)</f>
        <v>0</v>
      </c>
      <c r="I177" s="2" t="str">
        <f t="shared" si="5"/>
        <v>0</v>
      </c>
    </row>
    <row r="178" spans="1:9" x14ac:dyDescent="0.2">
      <c r="A178" s="495" t="str">
        <f>FIXED('Balance N'!A177,0,1)</f>
        <v>0</v>
      </c>
      <c r="B178" s="494">
        <f>+'Balance N'!B177</f>
        <v>0</v>
      </c>
      <c r="C178" s="592">
        <f>ROUND('Balance N'!C177,2)</f>
        <v>0</v>
      </c>
      <c r="D178" s="592">
        <f>ROUND('Balance N'!D177,2)</f>
        <v>0</v>
      </c>
      <c r="E178" s="592">
        <f>ROUND('Balance N'!E177,2)</f>
        <v>0</v>
      </c>
      <c r="F178" s="592">
        <f>ROUND('Balance N'!F177,2)</f>
        <v>0</v>
      </c>
      <c r="G178" s="592">
        <f>ROUND('Balance N'!G177,2)</f>
        <v>0</v>
      </c>
      <c r="H178" s="592">
        <f>ROUND('Balance N'!H177,2)</f>
        <v>0</v>
      </c>
      <c r="I178" s="2" t="str">
        <f t="shared" si="5"/>
        <v>0</v>
      </c>
    </row>
    <row r="179" spans="1:9" x14ac:dyDescent="0.2">
      <c r="A179" s="495" t="str">
        <f>FIXED('Balance N'!A178,0,1)</f>
        <v>0</v>
      </c>
      <c r="B179" s="494">
        <f>+'Balance N'!B178</f>
        <v>0</v>
      </c>
      <c r="C179" s="592">
        <f>ROUND('Balance N'!C178,2)</f>
        <v>0</v>
      </c>
      <c r="D179" s="592">
        <f>ROUND('Balance N'!D178,2)</f>
        <v>0</v>
      </c>
      <c r="E179" s="592">
        <f>ROUND('Balance N'!E178,2)</f>
        <v>0</v>
      </c>
      <c r="F179" s="592">
        <f>ROUND('Balance N'!F178,2)</f>
        <v>0</v>
      </c>
      <c r="G179" s="592">
        <f>ROUND('Balance N'!G178,2)</f>
        <v>0</v>
      </c>
      <c r="H179" s="592">
        <f>ROUND('Balance N'!H178,2)</f>
        <v>0</v>
      </c>
      <c r="I179" s="2" t="str">
        <f t="shared" si="5"/>
        <v>0</v>
      </c>
    </row>
    <row r="180" spans="1:9" x14ac:dyDescent="0.2">
      <c r="A180" s="495" t="str">
        <f>FIXED('Balance N'!A179,0,1)</f>
        <v>0</v>
      </c>
      <c r="B180" s="494">
        <f>+'Balance N'!B179</f>
        <v>0</v>
      </c>
      <c r="C180" s="592">
        <f>ROUND('Balance N'!C179,2)</f>
        <v>0</v>
      </c>
      <c r="D180" s="592">
        <f>ROUND('Balance N'!D179,2)</f>
        <v>0</v>
      </c>
      <c r="E180" s="592">
        <f>ROUND('Balance N'!E179,2)</f>
        <v>0</v>
      </c>
      <c r="F180" s="592">
        <f>ROUND('Balance N'!F179,2)</f>
        <v>0</v>
      </c>
      <c r="G180" s="592">
        <f>ROUND('Balance N'!G179,2)</f>
        <v>0</v>
      </c>
      <c r="H180" s="592">
        <f>ROUND('Balance N'!H179,2)</f>
        <v>0</v>
      </c>
      <c r="I180" s="2" t="str">
        <f t="shared" si="5"/>
        <v>0</v>
      </c>
    </row>
    <row r="181" spans="1:9" x14ac:dyDescent="0.2">
      <c r="A181" s="495" t="str">
        <f>FIXED('Balance N'!A180,0,1)</f>
        <v>0</v>
      </c>
      <c r="B181" s="494">
        <f>+'Balance N'!B180</f>
        <v>0</v>
      </c>
      <c r="C181" s="592">
        <f>ROUND('Balance N'!C180,2)</f>
        <v>0</v>
      </c>
      <c r="D181" s="592">
        <f>ROUND('Balance N'!D180,2)</f>
        <v>0</v>
      </c>
      <c r="E181" s="592">
        <f>ROUND('Balance N'!E180,2)</f>
        <v>0</v>
      </c>
      <c r="F181" s="592">
        <f>ROUND('Balance N'!F180,2)</f>
        <v>0</v>
      </c>
      <c r="G181" s="592">
        <f>ROUND('Balance N'!G180,2)</f>
        <v>0</v>
      </c>
      <c r="H181" s="592">
        <f>ROUND('Balance N'!H180,2)</f>
        <v>0</v>
      </c>
      <c r="I181" s="2" t="str">
        <f t="shared" si="5"/>
        <v>0</v>
      </c>
    </row>
    <row r="182" spans="1:9" x14ac:dyDescent="0.2">
      <c r="A182" s="495" t="str">
        <f>FIXED('Balance N'!A181,0,1)</f>
        <v>0</v>
      </c>
      <c r="B182" s="494">
        <f>+'Balance N'!B181</f>
        <v>0</v>
      </c>
      <c r="C182" s="592">
        <f>ROUND('Balance N'!C181,2)</f>
        <v>0</v>
      </c>
      <c r="D182" s="592">
        <f>ROUND('Balance N'!D181,2)</f>
        <v>0</v>
      </c>
      <c r="E182" s="592">
        <f>ROUND('Balance N'!E181,2)</f>
        <v>0</v>
      </c>
      <c r="F182" s="592">
        <f>ROUND('Balance N'!F181,2)</f>
        <v>0</v>
      </c>
      <c r="G182" s="592">
        <f>ROUND('Balance N'!G181,2)</f>
        <v>0</v>
      </c>
      <c r="H182" s="592">
        <f>ROUND('Balance N'!H181,2)</f>
        <v>0</v>
      </c>
      <c r="I182" s="2" t="str">
        <f t="shared" si="5"/>
        <v>0</v>
      </c>
    </row>
    <row r="183" spans="1:9" x14ac:dyDescent="0.2">
      <c r="A183" s="495" t="str">
        <f>FIXED('Balance N'!A182,0,1)</f>
        <v>0</v>
      </c>
      <c r="B183" s="494">
        <f>+'Balance N'!B182</f>
        <v>0</v>
      </c>
      <c r="C183" s="592">
        <f>ROUND('Balance N'!C182,2)</f>
        <v>0</v>
      </c>
      <c r="D183" s="592">
        <f>ROUND('Balance N'!D182,2)</f>
        <v>0</v>
      </c>
      <c r="E183" s="592">
        <f>ROUND('Balance N'!E182,2)</f>
        <v>0</v>
      </c>
      <c r="F183" s="592">
        <f>ROUND('Balance N'!F182,2)</f>
        <v>0</v>
      </c>
      <c r="G183" s="592">
        <f>ROUND('Balance N'!G182,2)</f>
        <v>0</v>
      </c>
      <c r="H183" s="592">
        <f>ROUND('Balance N'!H182,2)</f>
        <v>0</v>
      </c>
      <c r="I183" s="2" t="str">
        <f t="shared" si="5"/>
        <v>0</v>
      </c>
    </row>
    <row r="184" spans="1:9" x14ac:dyDescent="0.2">
      <c r="A184" s="495" t="str">
        <f>FIXED('Balance N'!A183,0,1)</f>
        <v>0</v>
      </c>
      <c r="B184" s="494">
        <f>+'Balance N'!B183</f>
        <v>0</v>
      </c>
      <c r="C184" s="592">
        <f>ROUND('Balance N'!C183,2)</f>
        <v>0</v>
      </c>
      <c r="D184" s="592">
        <f>ROUND('Balance N'!D183,2)</f>
        <v>0</v>
      </c>
      <c r="E184" s="592">
        <f>ROUND('Balance N'!E183,2)</f>
        <v>0</v>
      </c>
      <c r="F184" s="592">
        <f>ROUND('Balance N'!F183,2)</f>
        <v>0</v>
      </c>
      <c r="G184" s="592">
        <f>ROUND('Balance N'!G183,2)</f>
        <v>0</v>
      </c>
      <c r="H184" s="592">
        <f>ROUND('Balance N'!H183,2)</f>
        <v>0</v>
      </c>
      <c r="I184" s="2" t="str">
        <f t="shared" si="5"/>
        <v>0</v>
      </c>
    </row>
    <row r="185" spans="1:9" x14ac:dyDescent="0.2">
      <c r="A185" s="495" t="str">
        <f>FIXED('Balance N'!A184,0,1)</f>
        <v>0</v>
      </c>
      <c r="B185" s="494">
        <f>+'Balance N'!B184</f>
        <v>0</v>
      </c>
      <c r="C185" s="592">
        <f>ROUND('Balance N'!C184,2)</f>
        <v>0</v>
      </c>
      <c r="D185" s="592">
        <f>ROUND('Balance N'!D184,2)</f>
        <v>0</v>
      </c>
      <c r="E185" s="592">
        <f>ROUND('Balance N'!E184,2)</f>
        <v>0</v>
      </c>
      <c r="F185" s="592">
        <f>ROUND('Balance N'!F184,2)</f>
        <v>0</v>
      </c>
      <c r="G185" s="592">
        <f>ROUND('Balance N'!G184,2)</f>
        <v>0</v>
      </c>
      <c r="H185" s="592">
        <f>ROUND('Balance N'!H184,2)</f>
        <v>0</v>
      </c>
      <c r="I185" s="2" t="str">
        <f t="shared" si="5"/>
        <v>0</v>
      </c>
    </row>
    <row r="186" spans="1:9" x14ac:dyDescent="0.2">
      <c r="A186" s="495" t="str">
        <f>FIXED('Balance N'!A185,0,1)</f>
        <v>0</v>
      </c>
      <c r="B186" s="494">
        <f>+'Balance N'!B185</f>
        <v>0</v>
      </c>
      <c r="C186" s="592">
        <f>ROUND('Balance N'!C185,2)</f>
        <v>0</v>
      </c>
      <c r="D186" s="592">
        <f>ROUND('Balance N'!D185,2)</f>
        <v>0</v>
      </c>
      <c r="E186" s="592">
        <f>ROUND('Balance N'!E185,2)</f>
        <v>0</v>
      </c>
      <c r="F186" s="592">
        <f>ROUND('Balance N'!F185,2)</f>
        <v>0</v>
      </c>
      <c r="G186" s="592">
        <f>ROUND('Balance N'!G185,2)</f>
        <v>0</v>
      </c>
      <c r="H186" s="592">
        <f>ROUND('Balance N'!H185,2)</f>
        <v>0</v>
      </c>
      <c r="I186" s="2" t="str">
        <f t="shared" si="5"/>
        <v>0</v>
      </c>
    </row>
    <row r="187" spans="1:9" x14ac:dyDescent="0.2">
      <c r="A187" s="495" t="str">
        <f>FIXED('Balance N'!A186,0,1)</f>
        <v>0</v>
      </c>
      <c r="B187" s="494">
        <f>+'Balance N'!B186</f>
        <v>0</v>
      </c>
      <c r="C187" s="592">
        <f>ROUND('Balance N'!C186,2)</f>
        <v>0</v>
      </c>
      <c r="D187" s="592">
        <f>ROUND('Balance N'!D186,2)</f>
        <v>0</v>
      </c>
      <c r="E187" s="592">
        <f>ROUND('Balance N'!E186,2)</f>
        <v>0</v>
      </c>
      <c r="F187" s="592">
        <f>ROUND('Balance N'!F186,2)</f>
        <v>0</v>
      </c>
      <c r="G187" s="592">
        <f>ROUND('Balance N'!G186,2)</f>
        <v>0</v>
      </c>
      <c r="H187" s="592">
        <f>ROUND('Balance N'!H186,2)</f>
        <v>0</v>
      </c>
      <c r="I187" s="2" t="str">
        <f t="shared" si="5"/>
        <v>0</v>
      </c>
    </row>
    <row r="188" spans="1:9" x14ac:dyDescent="0.2">
      <c r="A188" s="495" t="str">
        <f>FIXED('Balance N'!A187,0,1)</f>
        <v>0</v>
      </c>
      <c r="B188" s="494">
        <f>+'Balance N'!B187</f>
        <v>0</v>
      </c>
      <c r="C188" s="592">
        <f>ROUND('Balance N'!C187,2)</f>
        <v>0</v>
      </c>
      <c r="D188" s="592">
        <f>ROUND('Balance N'!D187,2)</f>
        <v>0</v>
      </c>
      <c r="E188" s="592">
        <f>ROUND('Balance N'!E187,2)</f>
        <v>0</v>
      </c>
      <c r="F188" s="592">
        <f>ROUND('Balance N'!F187,2)</f>
        <v>0</v>
      </c>
      <c r="G188" s="592">
        <f>ROUND('Balance N'!G187,2)</f>
        <v>0</v>
      </c>
      <c r="H188" s="592">
        <f>ROUND('Balance N'!H187,2)</f>
        <v>0</v>
      </c>
      <c r="I188" s="2" t="str">
        <f t="shared" si="5"/>
        <v>0</v>
      </c>
    </row>
    <row r="189" spans="1:9" x14ac:dyDescent="0.2">
      <c r="A189" s="495" t="str">
        <f>FIXED('Balance N'!A188,0,1)</f>
        <v>0</v>
      </c>
      <c r="B189" s="494">
        <f>+'Balance N'!B188</f>
        <v>0</v>
      </c>
      <c r="C189" s="592">
        <f>ROUND('Balance N'!C188,2)</f>
        <v>0</v>
      </c>
      <c r="D189" s="592">
        <f>ROUND('Balance N'!D188,2)</f>
        <v>0</v>
      </c>
      <c r="E189" s="592">
        <f>ROUND('Balance N'!E188,2)</f>
        <v>0</v>
      </c>
      <c r="F189" s="592">
        <f>ROUND('Balance N'!F188,2)</f>
        <v>0</v>
      </c>
      <c r="G189" s="592">
        <f>ROUND('Balance N'!G188,2)</f>
        <v>0</v>
      </c>
      <c r="H189" s="592">
        <f>ROUND('Balance N'!H188,2)</f>
        <v>0</v>
      </c>
      <c r="I189" s="2" t="str">
        <f t="shared" si="5"/>
        <v>0</v>
      </c>
    </row>
    <row r="190" spans="1:9" x14ac:dyDescent="0.2">
      <c r="A190" s="495" t="str">
        <f>FIXED('Balance N'!A189,0,1)</f>
        <v>0</v>
      </c>
      <c r="B190" s="494">
        <f>+'Balance N'!B189</f>
        <v>0</v>
      </c>
      <c r="C190" s="592">
        <f>ROUND('Balance N'!C189,2)</f>
        <v>0</v>
      </c>
      <c r="D190" s="592">
        <f>ROUND('Balance N'!D189,2)</f>
        <v>0</v>
      </c>
      <c r="E190" s="592">
        <f>ROUND('Balance N'!E189,2)</f>
        <v>0</v>
      </c>
      <c r="F190" s="592">
        <f>ROUND('Balance N'!F189,2)</f>
        <v>0</v>
      </c>
      <c r="G190" s="592">
        <f>ROUND('Balance N'!G189,2)</f>
        <v>0</v>
      </c>
      <c r="H190" s="592">
        <f>ROUND('Balance N'!H189,2)</f>
        <v>0</v>
      </c>
      <c r="I190" s="2" t="str">
        <f t="shared" si="5"/>
        <v>0</v>
      </c>
    </row>
    <row r="191" spans="1:9" x14ac:dyDescent="0.2">
      <c r="A191" s="495" t="str">
        <f>FIXED('Balance N'!A190,0,1)</f>
        <v>0</v>
      </c>
      <c r="B191" s="494">
        <f>+'Balance N'!B190</f>
        <v>0</v>
      </c>
      <c r="C191" s="592">
        <f>ROUND('Balance N'!C190,2)</f>
        <v>0</v>
      </c>
      <c r="D191" s="592">
        <f>ROUND('Balance N'!D190,2)</f>
        <v>0</v>
      </c>
      <c r="E191" s="592">
        <f>ROUND('Balance N'!E190,2)</f>
        <v>0</v>
      </c>
      <c r="F191" s="592">
        <f>ROUND('Balance N'!F190,2)</f>
        <v>0</v>
      </c>
      <c r="G191" s="592">
        <f>ROUND('Balance N'!G190,2)</f>
        <v>0</v>
      </c>
      <c r="H191" s="592">
        <f>ROUND('Balance N'!H190,2)</f>
        <v>0</v>
      </c>
      <c r="I191" s="2" t="str">
        <f t="shared" si="5"/>
        <v>0</v>
      </c>
    </row>
    <row r="192" spans="1:9" x14ac:dyDescent="0.2">
      <c r="A192" s="495" t="str">
        <f>FIXED('Balance N'!A191,0,1)</f>
        <v>0</v>
      </c>
      <c r="B192" s="494">
        <f>+'Balance N'!B191</f>
        <v>0</v>
      </c>
      <c r="C192" s="592">
        <f>ROUND('Balance N'!C191,2)</f>
        <v>0</v>
      </c>
      <c r="D192" s="592">
        <f>ROUND('Balance N'!D191,2)</f>
        <v>0</v>
      </c>
      <c r="E192" s="592">
        <f>ROUND('Balance N'!E191,2)</f>
        <v>0</v>
      </c>
      <c r="F192" s="592">
        <f>ROUND('Balance N'!F191,2)</f>
        <v>0</v>
      </c>
      <c r="G192" s="592">
        <f>ROUND('Balance N'!G191,2)</f>
        <v>0</v>
      </c>
      <c r="H192" s="592">
        <f>ROUND('Balance N'!H191,2)</f>
        <v>0</v>
      </c>
      <c r="I192" s="2" t="str">
        <f t="shared" si="5"/>
        <v>0</v>
      </c>
    </row>
    <row r="193" spans="1:9" x14ac:dyDescent="0.2">
      <c r="A193" s="495" t="str">
        <f>FIXED('Balance N'!A192,0,1)</f>
        <v>0</v>
      </c>
      <c r="B193" s="494">
        <f>+'Balance N'!B192</f>
        <v>0</v>
      </c>
      <c r="C193" s="592">
        <f>ROUND('Balance N'!C192,2)</f>
        <v>0</v>
      </c>
      <c r="D193" s="592">
        <f>ROUND('Balance N'!D192,2)</f>
        <v>0</v>
      </c>
      <c r="E193" s="592">
        <f>ROUND('Balance N'!E192,2)</f>
        <v>0</v>
      </c>
      <c r="F193" s="592">
        <f>ROUND('Balance N'!F192,2)</f>
        <v>0</v>
      </c>
      <c r="G193" s="592">
        <f>ROUND('Balance N'!G192,2)</f>
        <v>0</v>
      </c>
      <c r="H193" s="592">
        <f>ROUND('Balance N'!H192,2)</f>
        <v>0</v>
      </c>
      <c r="I193" s="2" t="str">
        <f t="shared" si="5"/>
        <v>0</v>
      </c>
    </row>
    <row r="194" spans="1:9" x14ac:dyDescent="0.2">
      <c r="A194" s="495" t="str">
        <f>FIXED('Balance N'!A193,0,1)</f>
        <v>0</v>
      </c>
      <c r="B194" s="494">
        <f>+'Balance N'!B193</f>
        <v>0</v>
      </c>
      <c r="C194" s="592">
        <f>ROUND('Balance N'!C193,2)</f>
        <v>0</v>
      </c>
      <c r="D194" s="592">
        <f>ROUND('Balance N'!D193,2)</f>
        <v>0</v>
      </c>
      <c r="E194" s="592">
        <f>ROUND('Balance N'!E193,2)</f>
        <v>0</v>
      </c>
      <c r="F194" s="592">
        <f>ROUND('Balance N'!F193,2)</f>
        <v>0</v>
      </c>
      <c r="G194" s="592">
        <f>ROUND('Balance N'!G193,2)</f>
        <v>0</v>
      </c>
      <c r="H194" s="592">
        <f>ROUND('Balance N'!H193,2)</f>
        <v>0</v>
      </c>
      <c r="I194" s="2" t="str">
        <f t="shared" si="5"/>
        <v>0</v>
      </c>
    </row>
    <row r="195" spans="1:9" x14ac:dyDescent="0.2">
      <c r="A195" s="495" t="str">
        <f>FIXED('Balance N'!A194,0,1)</f>
        <v>0</v>
      </c>
      <c r="B195" s="494">
        <f>+'Balance N'!B194</f>
        <v>0</v>
      </c>
      <c r="C195" s="592">
        <f>ROUND('Balance N'!C194,2)</f>
        <v>0</v>
      </c>
      <c r="D195" s="592">
        <f>ROUND('Balance N'!D194,2)</f>
        <v>0</v>
      </c>
      <c r="E195" s="592">
        <f>ROUND('Balance N'!E194,2)</f>
        <v>0</v>
      </c>
      <c r="F195" s="592">
        <f>ROUND('Balance N'!F194,2)</f>
        <v>0</v>
      </c>
      <c r="G195" s="592">
        <f>ROUND('Balance N'!G194,2)</f>
        <v>0</v>
      </c>
      <c r="H195" s="592">
        <f>ROUND('Balance N'!H194,2)</f>
        <v>0</v>
      </c>
      <c r="I195" s="2" t="str">
        <f t="shared" ref="I195:I258" si="6">MID(A195,1,1)</f>
        <v>0</v>
      </c>
    </row>
    <row r="196" spans="1:9" x14ac:dyDescent="0.2">
      <c r="A196" s="495" t="str">
        <f>FIXED('Balance N'!A195,0,1)</f>
        <v>0</v>
      </c>
      <c r="B196" s="494">
        <f>+'Balance N'!B195</f>
        <v>0</v>
      </c>
      <c r="C196" s="592">
        <f>ROUND('Balance N'!C195,2)</f>
        <v>0</v>
      </c>
      <c r="D196" s="592">
        <f>ROUND('Balance N'!D195,2)</f>
        <v>0</v>
      </c>
      <c r="E196" s="592">
        <f>ROUND('Balance N'!E195,2)</f>
        <v>0</v>
      </c>
      <c r="F196" s="592">
        <f>ROUND('Balance N'!F195,2)</f>
        <v>0</v>
      </c>
      <c r="G196" s="592">
        <f>ROUND('Balance N'!G195,2)</f>
        <v>0</v>
      </c>
      <c r="H196" s="592">
        <f>ROUND('Balance N'!H195,2)</f>
        <v>0</v>
      </c>
      <c r="I196" s="2" t="str">
        <f t="shared" si="6"/>
        <v>0</v>
      </c>
    </row>
    <row r="197" spans="1:9" x14ac:dyDescent="0.2">
      <c r="A197" s="495" t="str">
        <f>FIXED('Balance N'!A196,0,1)</f>
        <v>0</v>
      </c>
      <c r="B197" s="494">
        <f>+'Balance N'!B196</f>
        <v>0</v>
      </c>
      <c r="C197" s="592">
        <f>ROUND('Balance N'!C196,2)</f>
        <v>0</v>
      </c>
      <c r="D197" s="592">
        <f>ROUND('Balance N'!D196,2)</f>
        <v>0</v>
      </c>
      <c r="E197" s="592">
        <f>ROUND('Balance N'!E196,2)</f>
        <v>0</v>
      </c>
      <c r="F197" s="592">
        <f>ROUND('Balance N'!F196,2)</f>
        <v>0</v>
      </c>
      <c r="G197" s="592">
        <f>ROUND('Balance N'!G196,2)</f>
        <v>0</v>
      </c>
      <c r="H197" s="592">
        <f>ROUND('Balance N'!H196,2)</f>
        <v>0</v>
      </c>
      <c r="I197" s="2" t="str">
        <f t="shared" si="6"/>
        <v>0</v>
      </c>
    </row>
    <row r="198" spans="1:9" x14ac:dyDescent="0.2">
      <c r="A198" s="495" t="str">
        <f>FIXED('Balance N'!A197,0,1)</f>
        <v>0</v>
      </c>
      <c r="B198" s="494">
        <f>+'Balance N'!B197</f>
        <v>0</v>
      </c>
      <c r="C198" s="592">
        <f>ROUND('Balance N'!C197,2)</f>
        <v>0</v>
      </c>
      <c r="D198" s="592">
        <f>ROUND('Balance N'!D197,2)</f>
        <v>0</v>
      </c>
      <c r="E198" s="592">
        <f>ROUND('Balance N'!E197,2)</f>
        <v>0</v>
      </c>
      <c r="F198" s="592">
        <f>ROUND('Balance N'!F197,2)</f>
        <v>0</v>
      </c>
      <c r="G198" s="592">
        <f>ROUND('Balance N'!G197,2)</f>
        <v>0</v>
      </c>
      <c r="H198" s="592">
        <f>ROUND('Balance N'!H197,2)</f>
        <v>0</v>
      </c>
      <c r="I198" s="2" t="str">
        <f t="shared" si="6"/>
        <v>0</v>
      </c>
    </row>
    <row r="199" spans="1:9" x14ac:dyDescent="0.2">
      <c r="A199" s="495" t="str">
        <f>FIXED('Balance N'!A198,0,1)</f>
        <v>0</v>
      </c>
      <c r="B199" s="494">
        <f>+'Balance N'!B198</f>
        <v>0</v>
      </c>
      <c r="C199" s="592">
        <f>ROUND('Balance N'!C198,2)</f>
        <v>0</v>
      </c>
      <c r="D199" s="592">
        <f>ROUND('Balance N'!D198,2)</f>
        <v>0</v>
      </c>
      <c r="E199" s="592">
        <f>ROUND('Balance N'!E198,2)</f>
        <v>0</v>
      </c>
      <c r="F199" s="592">
        <f>ROUND('Balance N'!F198,2)</f>
        <v>0</v>
      </c>
      <c r="G199" s="592">
        <f>ROUND('Balance N'!G198,2)</f>
        <v>0</v>
      </c>
      <c r="H199" s="592">
        <f>ROUND('Balance N'!H198,2)</f>
        <v>0</v>
      </c>
      <c r="I199" s="2" t="str">
        <f t="shared" si="6"/>
        <v>0</v>
      </c>
    </row>
    <row r="200" spans="1:9" x14ac:dyDescent="0.2">
      <c r="A200" s="495" t="str">
        <f>FIXED('Balance N'!A199,0,1)</f>
        <v>0</v>
      </c>
      <c r="B200" s="494">
        <f>+'Balance N'!B199</f>
        <v>0</v>
      </c>
      <c r="C200" s="592">
        <f>ROUND('Balance N'!C199,2)</f>
        <v>0</v>
      </c>
      <c r="D200" s="592">
        <f>ROUND('Balance N'!D199,2)</f>
        <v>0</v>
      </c>
      <c r="E200" s="592">
        <f>ROUND('Balance N'!E199,2)</f>
        <v>0</v>
      </c>
      <c r="F200" s="592">
        <f>ROUND('Balance N'!F199,2)</f>
        <v>0</v>
      </c>
      <c r="G200" s="592">
        <f>ROUND('Balance N'!G199,2)</f>
        <v>0</v>
      </c>
      <c r="H200" s="592">
        <f>ROUND('Balance N'!H199,2)</f>
        <v>0</v>
      </c>
      <c r="I200" s="2" t="str">
        <f t="shared" si="6"/>
        <v>0</v>
      </c>
    </row>
    <row r="201" spans="1:9" x14ac:dyDescent="0.2">
      <c r="A201" s="495" t="str">
        <f>FIXED('Balance N'!A200,0,1)</f>
        <v>0</v>
      </c>
      <c r="B201" s="494">
        <f>+'Balance N'!B200</f>
        <v>0</v>
      </c>
      <c r="C201" s="592">
        <f>ROUND('Balance N'!C200,2)</f>
        <v>0</v>
      </c>
      <c r="D201" s="592">
        <f>ROUND('Balance N'!D200,2)</f>
        <v>0</v>
      </c>
      <c r="E201" s="592">
        <f>ROUND('Balance N'!E200,2)</f>
        <v>0</v>
      </c>
      <c r="F201" s="592">
        <f>ROUND('Balance N'!F200,2)</f>
        <v>0</v>
      </c>
      <c r="G201" s="592">
        <f>ROUND('Balance N'!G200,2)</f>
        <v>0</v>
      </c>
      <c r="H201" s="592">
        <f>ROUND('Balance N'!H200,2)</f>
        <v>0</v>
      </c>
      <c r="I201" s="2" t="str">
        <f t="shared" si="6"/>
        <v>0</v>
      </c>
    </row>
    <row r="202" spans="1:9" x14ac:dyDescent="0.2">
      <c r="A202" s="495" t="str">
        <f>FIXED('Balance N'!A201,0,1)</f>
        <v>0</v>
      </c>
      <c r="B202" s="494">
        <f>+'Balance N'!B201</f>
        <v>0</v>
      </c>
      <c r="C202" s="592">
        <f>ROUND('Balance N'!C201,2)</f>
        <v>0</v>
      </c>
      <c r="D202" s="592">
        <f>ROUND('Balance N'!D201,2)</f>
        <v>0</v>
      </c>
      <c r="E202" s="592">
        <f>ROUND('Balance N'!E201,2)</f>
        <v>0</v>
      </c>
      <c r="F202" s="592">
        <f>ROUND('Balance N'!F201,2)</f>
        <v>0</v>
      </c>
      <c r="G202" s="592">
        <f>ROUND('Balance N'!G201,2)</f>
        <v>0</v>
      </c>
      <c r="H202" s="592">
        <f>ROUND('Balance N'!H201,2)</f>
        <v>0</v>
      </c>
      <c r="I202" s="2" t="str">
        <f t="shared" si="6"/>
        <v>0</v>
      </c>
    </row>
    <row r="203" spans="1:9" x14ac:dyDescent="0.2">
      <c r="A203" s="495" t="str">
        <f>FIXED('Balance N'!A202,0,1)</f>
        <v>0</v>
      </c>
      <c r="B203" s="494">
        <f>+'Balance N'!B202</f>
        <v>0</v>
      </c>
      <c r="C203" s="592">
        <f>ROUND('Balance N'!C202,2)</f>
        <v>0</v>
      </c>
      <c r="D203" s="592">
        <f>ROUND('Balance N'!D202,2)</f>
        <v>0</v>
      </c>
      <c r="E203" s="592">
        <f>ROUND('Balance N'!E202,2)</f>
        <v>0</v>
      </c>
      <c r="F203" s="592">
        <f>ROUND('Balance N'!F202,2)</f>
        <v>0</v>
      </c>
      <c r="G203" s="592">
        <f>ROUND('Balance N'!G202,2)</f>
        <v>0</v>
      </c>
      <c r="H203" s="592">
        <f>ROUND('Balance N'!H202,2)</f>
        <v>0</v>
      </c>
      <c r="I203" s="2" t="str">
        <f t="shared" si="6"/>
        <v>0</v>
      </c>
    </row>
    <row r="204" spans="1:9" x14ac:dyDescent="0.2">
      <c r="A204" s="495" t="str">
        <f>FIXED('Balance N'!A203,0,1)</f>
        <v>0</v>
      </c>
      <c r="B204" s="494">
        <f>+'Balance N'!B203</f>
        <v>0</v>
      </c>
      <c r="C204" s="592">
        <f>ROUND('Balance N'!C203,2)</f>
        <v>0</v>
      </c>
      <c r="D204" s="592">
        <f>ROUND('Balance N'!D203,2)</f>
        <v>0</v>
      </c>
      <c r="E204" s="592">
        <f>ROUND('Balance N'!E203,2)</f>
        <v>0</v>
      </c>
      <c r="F204" s="592">
        <f>ROUND('Balance N'!F203,2)</f>
        <v>0</v>
      </c>
      <c r="G204" s="592">
        <f>ROUND('Balance N'!G203,2)</f>
        <v>0</v>
      </c>
      <c r="H204" s="592">
        <f>ROUND('Balance N'!H203,2)</f>
        <v>0</v>
      </c>
      <c r="I204" s="2" t="str">
        <f t="shared" si="6"/>
        <v>0</v>
      </c>
    </row>
    <row r="205" spans="1:9" x14ac:dyDescent="0.2">
      <c r="A205" s="495" t="str">
        <f>FIXED('Balance N'!A204,0,1)</f>
        <v>0</v>
      </c>
      <c r="B205" s="494">
        <f>+'Balance N'!B204</f>
        <v>0</v>
      </c>
      <c r="C205" s="592">
        <f>ROUND('Balance N'!C204,2)</f>
        <v>0</v>
      </c>
      <c r="D205" s="592">
        <f>ROUND('Balance N'!D204,2)</f>
        <v>0</v>
      </c>
      <c r="E205" s="592">
        <f>ROUND('Balance N'!E204,2)</f>
        <v>0</v>
      </c>
      <c r="F205" s="592">
        <f>ROUND('Balance N'!F204,2)</f>
        <v>0</v>
      </c>
      <c r="G205" s="592">
        <f>ROUND('Balance N'!G204,2)</f>
        <v>0</v>
      </c>
      <c r="H205" s="592">
        <f>ROUND('Balance N'!H204,2)</f>
        <v>0</v>
      </c>
      <c r="I205" s="2" t="str">
        <f t="shared" si="6"/>
        <v>0</v>
      </c>
    </row>
    <row r="206" spans="1:9" x14ac:dyDescent="0.2">
      <c r="A206" s="495" t="str">
        <f>FIXED('Balance N'!A205,0,1)</f>
        <v>0</v>
      </c>
      <c r="B206" s="494">
        <f>+'Balance N'!B205</f>
        <v>0</v>
      </c>
      <c r="C206" s="592">
        <f>ROUND('Balance N'!C205,2)</f>
        <v>0</v>
      </c>
      <c r="D206" s="592">
        <f>ROUND('Balance N'!D205,2)</f>
        <v>0</v>
      </c>
      <c r="E206" s="592">
        <f>ROUND('Balance N'!E205,2)</f>
        <v>0</v>
      </c>
      <c r="F206" s="592">
        <f>ROUND('Balance N'!F205,2)</f>
        <v>0</v>
      </c>
      <c r="G206" s="592">
        <f>ROUND('Balance N'!G205,2)</f>
        <v>0</v>
      </c>
      <c r="H206" s="592">
        <f>ROUND('Balance N'!H205,2)</f>
        <v>0</v>
      </c>
      <c r="I206" s="2" t="str">
        <f t="shared" si="6"/>
        <v>0</v>
      </c>
    </row>
    <row r="207" spans="1:9" x14ac:dyDescent="0.2">
      <c r="A207" s="495" t="str">
        <f>FIXED('Balance N'!A206,0,1)</f>
        <v>0</v>
      </c>
      <c r="B207" s="494">
        <f>+'Balance N'!B206</f>
        <v>0</v>
      </c>
      <c r="C207" s="592">
        <f>ROUND('Balance N'!C206,2)</f>
        <v>0</v>
      </c>
      <c r="D207" s="592">
        <f>ROUND('Balance N'!D206,2)</f>
        <v>0</v>
      </c>
      <c r="E207" s="592">
        <f>ROUND('Balance N'!E206,2)</f>
        <v>0</v>
      </c>
      <c r="F207" s="592">
        <f>ROUND('Balance N'!F206,2)</f>
        <v>0</v>
      </c>
      <c r="G207" s="592">
        <f>ROUND('Balance N'!G206,2)</f>
        <v>0</v>
      </c>
      <c r="H207" s="592">
        <f>ROUND('Balance N'!H206,2)</f>
        <v>0</v>
      </c>
      <c r="I207" s="2" t="str">
        <f t="shared" si="6"/>
        <v>0</v>
      </c>
    </row>
    <row r="208" spans="1:9" x14ac:dyDescent="0.2">
      <c r="A208" s="495" t="str">
        <f>FIXED('Balance N'!A207,0,1)</f>
        <v>0</v>
      </c>
      <c r="B208" s="494">
        <f>+'Balance N'!B207</f>
        <v>0</v>
      </c>
      <c r="C208" s="592">
        <f>ROUND('Balance N'!C207,2)</f>
        <v>0</v>
      </c>
      <c r="D208" s="592">
        <f>ROUND('Balance N'!D207,2)</f>
        <v>0</v>
      </c>
      <c r="E208" s="592">
        <f>ROUND('Balance N'!E207,2)</f>
        <v>0</v>
      </c>
      <c r="F208" s="592">
        <f>ROUND('Balance N'!F207,2)</f>
        <v>0</v>
      </c>
      <c r="G208" s="592">
        <f>ROUND('Balance N'!G207,2)</f>
        <v>0</v>
      </c>
      <c r="H208" s="592">
        <f>ROUND('Balance N'!H207,2)</f>
        <v>0</v>
      </c>
      <c r="I208" s="2" t="str">
        <f t="shared" si="6"/>
        <v>0</v>
      </c>
    </row>
    <row r="209" spans="1:9" x14ac:dyDescent="0.2">
      <c r="A209" s="495" t="str">
        <f>FIXED('Balance N'!A208,0,1)</f>
        <v>0</v>
      </c>
      <c r="B209" s="494">
        <f>+'Balance N'!B208</f>
        <v>0</v>
      </c>
      <c r="C209" s="592">
        <f>ROUND('Balance N'!C208,2)</f>
        <v>0</v>
      </c>
      <c r="D209" s="592">
        <f>ROUND('Balance N'!D208,2)</f>
        <v>0</v>
      </c>
      <c r="E209" s="592">
        <f>ROUND('Balance N'!E208,2)</f>
        <v>0</v>
      </c>
      <c r="F209" s="592">
        <f>ROUND('Balance N'!F208,2)</f>
        <v>0</v>
      </c>
      <c r="G209" s="592">
        <f>ROUND('Balance N'!G208,2)</f>
        <v>0</v>
      </c>
      <c r="H209" s="592">
        <f>ROUND('Balance N'!H208,2)</f>
        <v>0</v>
      </c>
      <c r="I209" s="2" t="str">
        <f t="shared" si="6"/>
        <v>0</v>
      </c>
    </row>
    <row r="210" spans="1:9" x14ac:dyDescent="0.2">
      <c r="A210" s="495" t="str">
        <f>FIXED('Balance N'!A209,0,1)</f>
        <v>0</v>
      </c>
      <c r="B210" s="494">
        <f>+'Balance N'!B209</f>
        <v>0</v>
      </c>
      <c r="C210" s="592">
        <f>ROUND('Balance N'!C209,2)</f>
        <v>0</v>
      </c>
      <c r="D210" s="592">
        <f>ROUND('Balance N'!D209,2)</f>
        <v>0</v>
      </c>
      <c r="E210" s="592">
        <f>ROUND('Balance N'!E209,2)</f>
        <v>0</v>
      </c>
      <c r="F210" s="592">
        <f>ROUND('Balance N'!F209,2)</f>
        <v>0</v>
      </c>
      <c r="G210" s="592">
        <f>ROUND('Balance N'!G209,2)</f>
        <v>0</v>
      </c>
      <c r="H210" s="592">
        <f>ROUND('Balance N'!H209,2)</f>
        <v>0</v>
      </c>
      <c r="I210" s="2" t="str">
        <f t="shared" si="6"/>
        <v>0</v>
      </c>
    </row>
    <row r="211" spans="1:9" x14ac:dyDescent="0.2">
      <c r="A211" s="495" t="str">
        <f>FIXED('Balance N'!A210,0,1)</f>
        <v>0</v>
      </c>
      <c r="B211" s="494">
        <f>+'Balance N'!B210</f>
        <v>0</v>
      </c>
      <c r="C211" s="592">
        <f>ROUND('Balance N'!C210,2)</f>
        <v>0</v>
      </c>
      <c r="D211" s="592">
        <f>ROUND('Balance N'!D210,2)</f>
        <v>0</v>
      </c>
      <c r="E211" s="592">
        <f>ROUND('Balance N'!E210,2)</f>
        <v>0</v>
      </c>
      <c r="F211" s="592">
        <f>ROUND('Balance N'!F210,2)</f>
        <v>0</v>
      </c>
      <c r="G211" s="592">
        <f>ROUND('Balance N'!G210,2)</f>
        <v>0</v>
      </c>
      <c r="H211" s="592">
        <f>ROUND('Balance N'!H210,2)</f>
        <v>0</v>
      </c>
      <c r="I211" s="2" t="str">
        <f t="shared" si="6"/>
        <v>0</v>
      </c>
    </row>
    <row r="212" spans="1:9" x14ac:dyDescent="0.2">
      <c r="A212" s="495" t="str">
        <f>FIXED('Balance N'!A211,0,1)</f>
        <v>0</v>
      </c>
      <c r="B212" s="494">
        <f>+'Balance N'!B211</f>
        <v>0</v>
      </c>
      <c r="C212" s="592">
        <f>ROUND('Balance N'!C211,2)</f>
        <v>0</v>
      </c>
      <c r="D212" s="592">
        <f>ROUND('Balance N'!D211,2)</f>
        <v>0</v>
      </c>
      <c r="E212" s="592">
        <f>ROUND('Balance N'!E211,2)</f>
        <v>0</v>
      </c>
      <c r="F212" s="592">
        <f>ROUND('Balance N'!F211,2)</f>
        <v>0</v>
      </c>
      <c r="G212" s="592">
        <f>ROUND('Balance N'!G211,2)</f>
        <v>0</v>
      </c>
      <c r="H212" s="592">
        <f>ROUND('Balance N'!H211,2)</f>
        <v>0</v>
      </c>
      <c r="I212" s="2" t="str">
        <f t="shared" si="6"/>
        <v>0</v>
      </c>
    </row>
    <row r="213" spans="1:9" x14ac:dyDescent="0.2">
      <c r="A213" s="495" t="str">
        <f>FIXED('Balance N'!A212,0,1)</f>
        <v>0</v>
      </c>
      <c r="B213" s="494">
        <f>+'Balance N'!B212</f>
        <v>0</v>
      </c>
      <c r="C213" s="592">
        <f>ROUND('Balance N'!C212,2)</f>
        <v>0</v>
      </c>
      <c r="D213" s="592">
        <f>ROUND('Balance N'!D212,2)</f>
        <v>0</v>
      </c>
      <c r="E213" s="592">
        <f>ROUND('Balance N'!E212,2)</f>
        <v>0</v>
      </c>
      <c r="F213" s="592">
        <f>ROUND('Balance N'!F212,2)</f>
        <v>0</v>
      </c>
      <c r="G213" s="592">
        <f>ROUND('Balance N'!G212,2)</f>
        <v>0</v>
      </c>
      <c r="H213" s="592">
        <f>ROUND('Balance N'!H212,2)</f>
        <v>0</v>
      </c>
      <c r="I213" s="2" t="str">
        <f t="shared" si="6"/>
        <v>0</v>
      </c>
    </row>
    <row r="214" spans="1:9" x14ac:dyDescent="0.2">
      <c r="A214" s="495" t="str">
        <f>FIXED('Balance N'!A213,0,1)</f>
        <v>0</v>
      </c>
      <c r="B214" s="494">
        <f>+'Balance N'!B213</f>
        <v>0</v>
      </c>
      <c r="C214" s="592">
        <f>ROUND('Balance N'!C213,2)</f>
        <v>0</v>
      </c>
      <c r="D214" s="592">
        <f>ROUND('Balance N'!D213,2)</f>
        <v>0</v>
      </c>
      <c r="E214" s="592">
        <f>ROUND('Balance N'!E213,2)</f>
        <v>0</v>
      </c>
      <c r="F214" s="592">
        <f>ROUND('Balance N'!F213,2)</f>
        <v>0</v>
      </c>
      <c r="G214" s="592">
        <f>ROUND('Balance N'!G213,2)</f>
        <v>0</v>
      </c>
      <c r="H214" s="592">
        <f>ROUND('Balance N'!H213,2)</f>
        <v>0</v>
      </c>
      <c r="I214" s="2" t="str">
        <f t="shared" si="6"/>
        <v>0</v>
      </c>
    </row>
    <row r="215" spans="1:9" x14ac:dyDescent="0.2">
      <c r="A215" s="495" t="str">
        <f>FIXED('Balance N'!A214,0,1)</f>
        <v>0</v>
      </c>
      <c r="B215" s="494">
        <f>+'Balance N'!B214</f>
        <v>0</v>
      </c>
      <c r="C215" s="592">
        <f>ROUND('Balance N'!C214,2)</f>
        <v>0</v>
      </c>
      <c r="D215" s="592">
        <f>ROUND('Balance N'!D214,2)</f>
        <v>0</v>
      </c>
      <c r="E215" s="592">
        <f>ROUND('Balance N'!E214,2)</f>
        <v>0</v>
      </c>
      <c r="F215" s="592">
        <f>ROUND('Balance N'!F214,2)</f>
        <v>0</v>
      </c>
      <c r="G215" s="592">
        <f>ROUND('Balance N'!G214,2)</f>
        <v>0</v>
      </c>
      <c r="H215" s="592">
        <f>ROUND('Balance N'!H214,2)</f>
        <v>0</v>
      </c>
      <c r="I215" s="2" t="str">
        <f t="shared" si="6"/>
        <v>0</v>
      </c>
    </row>
    <row r="216" spans="1:9" x14ac:dyDescent="0.2">
      <c r="A216" s="495" t="str">
        <f>FIXED('Balance N'!A215,0,1)</f>
        <v>0</v>
      </c>
      <c r="B216" s="494">
        <f>+'Balance N'!B215</f>
        <v>0</v>
      </c>
      <c r="C216" s="592">
        <f>ROUND('Balance N'!C215,2)</f>
        <v>0</v>
      </c>
      <c r="D216" s="592">
        <f>ROUND('Balance N'!D215,2)</f>
        <v>0</v>
      </c>
      <c r="E216" s="592">
        <f>ROUND('Balance N'!E215,2)</f>
        <v>0</v>
      </c>
      <c r="F216" s="592">
        <f>ROUND('Balance N'!F215,2)</f>
        <v>0</v>
      </c>
      <c r="G216" s="592">
        <f>ROUND('Balance N'!G215,2)</f>
        <v>0</v>
      </c>
      <c r="H216" s="592">
        <f>ROUND('Balance N'!H215,2)</f>
        <v>0</v>
      </c>
      <c r="I216" s="2" t="str">
        <f t="shared" si="6"/>
        <v>0</v>
      </c>
    </row>
    <row r="217" spans="1:9" x14ac:dyDescent="0.2">
      <c r="A217" s="495" t="str">
        <f>FIXED('Balance N'!A216,0,1)</f>
        <v>0</v>
      </c>
      <c r="B217" s="494">
        <f>+'Balance N'!B216</f>
        <v>0</v>
      </c>
      <c r="C217" s="592">
        <f>ROUND('Balance N'!C216,2)</f>
        <v>0</v>
      </c>
      <c r="D217" s="592">
        <f>ROUND('Balance N'!D216,2)</f>
        <v>0</v>
      </c>
      <c r="E217" s="592">
        <f>ROUND('Balance N'!E216,2)</f>
        <v>0</v>
      </c>
      <c r="F217" s="592">
        <f>ROUND('Balance N'!F216,2)</f>
        <v>0</v>
      </c>
      <c r="G217" s="592">
        <f>ROUND('Balance N'!G216,2)</f>
        <v>0</v>
      </c>
      <c r="H217" s="592">
        <f>ROUND('Balance N'!H216,2)</f>
        <v>0</v>
      </c>
      <c r="I217" s="2" t="str">
        <f t="shared" si="6"/>
        <v>0</v>
      </c>
    </row>
    <row r="218" spans="1:9" x14ac:dyDescent="0.2">
      <c r="A218" s="495" t="str">
        <f>FIXED('Balance N'!A217,0,1)</f>
        <v>0</v>
      </c>
      <c r="B218" s="494">
        <f>+'Balance N'!B217</f>
        <v>0</v>
      </c>
      <c r="C218" s="592">
        <f>ROUND('Balance N'!C217,2)</f>
        <v>0</v>
      </c>
      <c r="D218" s="592">
        <f>ROUND('Balance N'!D217,2)</f>
        <v>0</v>
      </c>
      <c r="E218" s="592">
        <f>ROUND('Balance N'!E217,2)</f>
        <v>0</v>
      </c>
      <c r="F218" s="592">
        <f>ROUND('Balance N'!F217,2)</f>
        <v>0</v>
      </c>
      <c r="G218" s="592">
        <f>ROUND('Balance N'!G217,2)</f>
        <v>0</v>
      </c>
      <c r="H218" s="592">
        <f>ROUND('Balance N'!H217,2)</f>
        <v>0</v>
      </c>
      <c r="I218" s="2" t="str">
        <f t="shared" si="6"/>
        <v>0</v>
      </c>
    </row>
    <row r="219" spans="1:9" x14ac:dyDescent="0.2">
      <c r="A219" s="495" t="str">
        <f>FIXED('Balance N'!A218,0,1)</f>
        <v>0</v>
      </c>
      <c r="B219" s="494">
        <f>+'Balance N'!B218</f>
        <v>0</v>
      </c>
      <c r="C219" s="592">
        <f>ROUND('Balance N'!C218,2)</f>
        <v>0</v>
      </c>
      <c r="D219" s="592">
        <f>ROUND('Balance N'!D218,2)</f>
        <v>0</v>
      </c>
      <c r="E219" s="592">
        <f>ROUND('Balance N'!E218,2)</f>
        <v>0</v>
      </c>
      <c r="F219" s="592">
        <f>ROUND('Balance N'!F218,2)</f>
        <v>0</v>
      </c>
      <c r="G219" s="592">
        <f>ROUND('Balance N'!G218,2)</f>
        <v>0</v>
      </c>
      <c r="H219" s="592">
        <f>ROUND('Balance N'!H218,2)</f>
        <v>0</v>
      </c>
      <c r="I219" s="2" t="str">
        <f t="shared" si="6"/>
        <v>0</v>
      </c>
    </row>
    <row r="220" spans="1:9" x14ac:dyDescent="0.2">
      <c r="A220" s="495" t="str">
        <f>FIXED('Balance N'!A219,0,1)</f>
        <v>0</v>
      </c>
      <c r="B220" s="494">
        <f>+'Balance N'!B219</f>
        <v>0</v>
      </c>
      <c r="C220" s="592">
        <f>ROUND('Balance N'!C219,2)</f>
        <v>0</v>
      </c>
      <c r="D220" s="592">
        <f>ROUND('Balance N'!D219,2)</f>
        <v>0</v>
      </c>
      <c r="E220" s="592">
        <f>ROUND('Balance N'!E219,2)</f>
        <v>0</v>
      </c>
      <c r="F220" s="592">
        <f>ROUND('Balance N'!F219,2)</f>
        <v>0</v>
      </c>
      <c r="G220" s="592">
        <f>ROUND('Balance N'!G219,2)</f>
        <v>0</v>
      </c>
      <c r="H220" s="592">
        <f>ROUND('Balance N'!H219,2)</f>
        <v>0</v>
      </c>
      <c r="I220" s="2" t="str">
        <f t="shared" si="6"/>
        <v>0</v>
      </c>
    </row>
    <row r="221" spans="1:9" x14ac:dyDescent="0.2">
      <c r="A221" s="495" t="str">
        <f>FIXED('Balance N'!A220,0,1)</f>
        <v>0</v>
      </c>
      <c r="B221" s="494">
        <f>+'Balance N'!B220</f>
        <v>0</v>
      </c>
      <c r="C221" s="592">
        <f>ROUND('Balance N'!C220,2)</f>
        <v>0</v>
      </c>
      <c r="D221" s="592">
        <f>ROUND('Balance N'!D220,2)</f>
        <v>0</v>
      </c>
      <c r="E221" s="592">
        <f>ROUND('Balance N'!E220,2)</f>
        <v>0</v>
      </c>
      <c r="F221" s="592">
        <f>ROUND('Balance N'!F220,2)</f>
        <v>0</v>
      </c>
      <c r="G221" s="592">
        <f>ROUND('Balance N'!G220,2)</f>
        <v>0</v>
      </c>
      <c r="H221" s="592">
        <f>ROUND('Balance N'!H220,2)</f>
        <v>0</v>
      </c>
      <c r="I221" s="2" t="str">
        <f t="shared" si="6"/>
        <v>0</v>
      </c>
    </row>
    <row r="222" spans="1:9" x14ac:dyDescent="0.2">
      <c r="A222" s="495" t="str">
        <f>FIXED('Balance N'!A221,0,1)</f>
        <v>0</v>
      </c>
      <c r="B222" s="494">
        <f>+'Balance N'!B221</f>
        <v>0</v>
      </c>
      <c r="C222" s="592">
        <f>ROUND('Balance N'!C221,2)</f>
        <v>0</v>
      </c>
      <c r="D222" s="592">
        <f>ROUND('Balance N'!D221,2)</f>
        <v>0</v>
      </c>
      <c r="E222" s="592">
        <f>ROUND('Balance N'!E221,2)</f>
        <v>0</v>
      </c>
      <c r="F222" s="592">
        <f>ROUND('Balance N'!F221,2)</f>
        <v>0</v>
      </c>
      <c r="G222" s="592">
        <f>ROUND('Balance N'!G221,2)</f>
        <v>0</v>
      </c>
      <c r="H222" s="592">
        <f>ROUND('Balance N'!H221,2)</f>
        <v>0</v>
      </c>
      <c r="I222" s="2" t="str">
        <f t="shared" si="6"/>
        <v>0</v>
      </c>
    </row>
    <row r="223" spans="1:9" x14ac:dyDescent="0.2">
      <c r="A223" s="495" t="str">
        <f>FIXED('Balance N'!A222,0,1)</f>
        <v>0</v>
      </c>
      <c r="B223" s="494">
        <f>+'Balance N'!B222</f>
        <v>0</v>
      </c>
      <c r="C223" s="592">
        <f>ROUND('Balance N'!C222,2)</f>
        <v>0</v>
      </c>
      <c r="D223" s="592">
        <f>ROUND('Balance N'!D222,2)</f>
        <v>0</v>
      </c>
      <c r="E223" s="592">
        <f>ROUND('Balance N'!E222,2)</f>
        <v>0</v>
      </c>
      <c r="F223" s="592">
        <f>ROUND('Balance N'!F222,2)</f>
        <v>0</v>
      </c>
      <c r="G223" s="592">
        <f>ROUND('Balance N'!G222,2)</f>
        <v>0</v>
      </c>
      <c r="H223" s="592">
        <f>ROUND('Balance N'!H222,2)</f>
        <v>0</v>
      </c>
      <c r="I223" s="2" t="str">
        <f t="shared" si="6"/>
        <v>0</v>
      </c>
    </row>
    <row r="224" spans="1:9" x14ac:dyDescent="0.2">
      <c r="A224" s="495" t="str">
        <f>FIXED('Balance N'!A223,0,1)</f>
        <v>0</v>
      </c>
      <c r="B224" s="494">
        <f>+'Balance N'!B223</f>
        <v>0</v>
      </c>
      <c r="C224" s="592">
        <f>ROUND('Balance N'!C223,2)</f>
        <v>0</v>
      </c>
      <c r="D224" s="592">
        <f>ROUND('Balance N'!D223,2)</f>
        <v>0</v>
      </c>
      <c r="E224" s="592">
        <f>ROUND('Balance N'!E223,2)</f>
        <v>0</v>
      </c>
      <c r="F224" s="592">
        <f>ROUND('Balance N'!F223,2)</f>
        <v>0</v>
      </c>
      <c r="G224" s="592">
        <f>ROUND('Balance N'!G223,2)</f>
        <v>0</v>
      </c>
      <c r="H224" s="592">
        <f>ROUND('Balance N'!H223,2)</f>
        <v>0</v>
      </c>
      <c r="I224" s="2" t="str">
        <f t="shared" si="6"/>
        <v>0</v>
      </c>
    </row>
    <row r="225" spans="1:9" x14ac:dyDescent="0.2">
      <c r="A225" s="495" t="str">
        <f>FIXED('Balance N'!A224,0,1)</f>
        <v>0</v>
      </c>
      <c r="B225" s="494">
        <f>+'Balance N'!B224</f>
        <v>0</v>
      </c>
      <c r="C225" s="592">
        <f>ROUND('Balance N'!C224,2)</f>
        <v>0</v>
      </c>
      <c r="D225" s="592">
        <f>ROUND('Balance N'!D224,2)</f>
        <v>0</v>
      </c>
      <c r="E225" s="592">
        <f>ROUND('Balance N'!E224,2)</f>
        <v>0</v>
      </c>
      <c r="F225" s="592">
        <f>ROUND('Balance N'!F224,2)</f>
        <v>0</v>
      </c>
      <c r="G225" s="592">
        <f>ROUND('Balance N'!G224,2)</f>
        <v>0</v>
      </c>
      <c r="H225" s="592">
        <f>ROUND('Balance N'!H224,2)</f>
        <v>0</v>
      </c>
      <c r="I225" s="2" t="str">
        <f>MID(A225,1,1)</f>
        <v>0</v>
      </c>
    </row>
    <row r="226" spans="1:9" x14ac:dyDescent="0.2">
      <c r="A226" s="495" t="str">
        <f>FIXED('Balance N'!A225,0,1)</f>
        <v>0</v>
      </c>
      <c r="B226" s="494">
        <f>+'Balance N'!B225</f>
        <v>0</v>
      </c>
      <c r="C226" s="592">
        <f>ROUND('Balance N'!C225,2)</f>
        <v>0</v>
      </c>
      <c r="D226" s="592">
        <f>ROUND('Balance N'!D225,2)</f>
        <v>0</v>
      </c>
      <c r="E226" s="592">
        <f>ROUND('Balance N'!E225,2)</f>
        <v>0</v>
      </c>
      <c r="F226" s="592">
        <f>ROUND('Balance N'!F225,2)</f>
        <v>0</v>
      </c>
      <c r="G226" s="592">
        <f>ROUND('Balance N'!G225,2)</f>
        <v>0</v>
      </c>
      <c r="H226" s="592">
        <f>ROUND('Balance N'!H225,2)</f>
        <v>0</v>
      </c>
      <c r="I226" s="2" t="str">
        <f t="shared" si="6"/>
        <v>0</v>
      </c>
    </row>
    <row r="227" spans="1:9" x14ac:dyDescent="0.2">
      <c r="A227" s="495" t="str">
        <f>FIXED('Balance N'!A226,0,1)</f>
        <v>0</v>
      </c>
      <c r="B227" s="494">
        <f>+'Balance N'!B226</f>
        <v>0</v>
      </c>
      <c r="C227" s="592">
        <f>ROUND('Balance N'!C226,2)</f>
        <v>0</v>
      </c>
      <c r="D227" s="592">
        <f>ROUND('Balance N'!D226,2)</f>
        <v>0</v>
      </c>
      <c r="E227" s="592">
        <f>ROUND('Balance N'!E226,2)</f>
        <v>0</v>
      </c>
      <c r="F227" s="592">
        <f>ROUND('Balance N'!F226,2)</f>
        <v>0</v>
      </c>
      <c r="G227" s="592">
        <f>ROUND('Balance N'!G226,2)</f>
        <v>0</v>
      </c>
      <c r="H227" s="592">
        <f>ROUND('Balance N'!H226,2)</f>
        <v>0</v>
      </c>
      <c r="I227" s="2" t="str">
        <f t="shared" si="6"/>
        <v>0</v>
      </c>
    </row>
    <row r="228" spans="1:9" x14ac:dyDescent="0.2">
      <c r="A228" s="495" t="str">
        <f>FIXED('Balance N'!A227,0,1)</f>
        <v>0</v>
      </c>
      <c r="B228" s="494">
        <f>+'Balance N'!B227</f>
        <v>0</v>
      </c>
      <c r="C228" s="592">
        <f>ROUND('Balance N'!C227,2)</f>
        <v>0</v>
      </c>
      <c r="D228" s="592">
        <f>ROUND('Balance N'!D227,2)</f>
        <v>0</v>
      </c>
      <c r="E228" s="592">
        <f>ROUND('Balance N'!E227,2)</f>
        <v>0</v>
      </c>
      <c r="F228" s="592">
        <f>ROUND('Balance N'!F227,2)</f>
        <v>0</v>
      </c>
      <c r="G228" s="592">
        <f>ROUND('Balance N'!G227,2)</f>
        <v>0</v>
      </c>
      <c r="H228" s="592">
        <f>ROUND('Balance N'!H227,2)</f>
        <v>0</v>
      </c>
      <c r="I228" s="2" t="str">
        <f t="shared" si="6"/>
        <v>0</v>
      </c>
    </row>
    <row r="229" spans="1:9" x14ac:dyDescent="0.2">
      <c r="A229" s="495" t="str">
        <f>FIXED('Balance N'!A228,0,1)</f>
        <v>0</v>
      </c>
      <c r="B229" s="494">
        <f>+'Balance N'!B228</f>
        <v>0</v>
      </c>
      <c r="C229" s="592">
        <f>ROUND('Balance N'!C228,2)</f>
        <v>0</v>
      </c>
      <c r="D229" s="592">
        <f>ROUND('Balance N'!D228,2)</f>
        <v>0</v>
      </c>
      <c r="E229" s="592">
        <f>ROUND('Balance N'!E228,2)</f>
        <v>0</v>
      </c>
      <c r="F229" s="592">
        <f>ROUND('Balance N'!F228,2)</f>
        <v>0</v>
      </c>
      <c r="G229" s="592">
        <f>ROUND('Balance N'!G228,2)</f>
        <v>0</v>
      </c>
      <c r="H229" s="592">
        <f>ROUND('Balance N'!H228,2)</f>
        <v>0</v>
      </c>
      <c r="I229" s="2" t="str">
        <f t="shared" si="6"/>
        <v>0</v>
      </c>
    </row>
    <row r="230" spans="1:9" x14ac:dyDescent="0.2">
      <c r="A230" s="495" t="str">
        <f>FIXED('Balance N'!A229,0,1)</f>
        <v>0</v>
      </c>
      <c r="B230" s="494">
        <f>+'Balance N'!B229</f>
        <v>0</v>
      </c>
      <c r="C230" s="592">
        <f>ROUND('Balance N'!C229,2)</f>
        <v>0</v>
      </c>
      <c r="D230" s="592">
        <f>ROUND('Balance N'!D229,2)</f>
        <v>0</v>
      </c>
      <c r="E230" s="592">
        <f>ROUND('Balance N'!E229,2)</f>
        <v>0</v>
      </c>
      <c r="F230" s="592">
        <f>ROUND('Balance N'!F229,2)</f>
        <v>0</v>
      </c>
      <c r="G230" s="592">
        <f>ROUND('Balance N'!G229,2)</f>
        <v>0</v>
      </c>
      <c r="H230" s="592">
        <f>ROUND('Balance N'!H229,2)</f>
        <v>0</v>
      </c>
      <c r="I230" s="2" t="str">
        <f t="shared" si="6"/>
        <v>0</v>
      </c>
    </row>
    <row r="231" spans="1:9" x14ac:dyDescent="0.2">
      <c r="A231" s="495" t="str">
        <f>FIXED('Balance N'!A230,0,1)</f>
        <v>0</v>
      </c>
      <c r="B231" s="494">
        <f>+'Balance N'!B230</f>
        <v>0</v>
      </c>
      <c r="C231" s="592">
        <f>ROUND('Balance N'!C230,2)</f>
        <v>0</v>
      </c>
      <c r="D231" s="592">
        <f>ROUND('Balance N'!D230,2)</f>
        <v>0</v>
      </c>
      <c r="E231" s="592">
        <f>ROUND('Balance N'!E230,2)</f>
        <v>0</v>
      </c>
      <c r="F231" s="592">
        <f>ROUND('Balance N'!F230,2)</f>
        <v>0</v>
      </c>
      <c r="G231" s="592">
        <f>ROUND('Balance N'!G230,2)</f>
        <v>0</v>
      </c>
      <c r="H231" s="592">
        <f>ROUND('Balance N'!H230,2)</f>
        <v>0</v>
      </c>
      <c r="I231" s="2" t="str">
        <f t="shared" si="6"/>
        <v>0</v>
      </c>
    </row>
    <row r="232" spans="1:9" x14ac:dyDescent="0.2">
      <c r="A232" s="495" t="str">
        <f>FIXED('Balance N'!A231,0,1)</f>
        <v>0</v>
      </c>
      <c r="B232" s="494">
        <f>+'Balance N'!B231</f>
        <v>0</v>
      </c>
      <c r="C232" s="592">
        <f>ROUND('Balance N'!C231,2)</f>
        <v>0</v>
      </c>
      <c r="D232" s="592">
        <f>ROUND('Balance N'!D231,2)</f>
        <v>0</v>
      </c>
      <c r="E232" s="592">
        <f>ROUND('Balance N'!E231,2)</f>
        <v>0</v>
      </c>
      <c r="F232" s="592">
        <f>ROUND('Balance N'!F231,2)</f>
        <v>0</v>
      </c>
      <c r="G232" s="592">
        <f>ROUND('Balance N'!G231,2)</f>
        <v>0</v>
      </c>
      <c r="H232" s="592">
        <f>ROUND('Balance N'!H231,2)</f>
        <v>0</v>
      </c>
      <c r="I232" s="2" t="str">
        <f t="shared" si="6"/>
        <v>0</v>
      </c>
    </row>
    <row r="233" spans="1:9" x14ac:dyDescent="0.2">
      <c r="A233" s="495" t="str">
        <f>FIXED('Balance N'!A232,0,1)</f>
        <v>0</v>
      </c>
      <c r="B233" s="494">
        <f>+'Balance N'!B232</f>
        <v>0</v>
      </c>
      <c r="C233" s="592">
        <f>ROUND('Balance N'!C232,2)</f>
        <v>0</v>
      </c>
      <c r="D233" s="592">
        <f>ROUND('Balance N'!D232,2)</f>
        <v>0</v>
      </c>
      <c r="E233" s="592">
        <f>ROUND('Balance N'!E232,2)</f>
        <v>0</v>
      </c>
      <c r="F233" s="592">
        <f>ROUND('Balance N'!F232,2)</f>
        <v>0</v>
      </c>
      <c r="G233" s="592">
        <f>ROUND('Balance N'!G232,2)</f>
        <v>0</v>
      </c>
      <c r="H233" s="592">
        <f>ROUND('Balance N'!H232,2)</f>
        <v>0</v>
      </c>
      <c r="I233" s="2" t="str">
        <f t="shared" si="6"/>
        <v>0</v>
      </c>
    </row>
    <row r="234" spans="1:9" x14ac:dyDescent="0.2">
      <c r="A234" s="495" t="str">
        <f>FIXED('Balance N'!A233,0,1)</f>
        <v>0</v>
      </c>
      <c r="B234" s="494">
        <f>+'Balance N'!B233</f>
        <v>0</v>
      </c>
      <c r="C234" s="592">
        <f>ROUND('Balance N'!C233,2)</f>
        <v>0</v>
      </c>
      <c r="D234" s="592">
        <f>ROUND('Balance N'!D233,2)</f>
        <v>0</v>
      </c>
      <c r="E234" s="592">
        <f>ROUND('Balance N'!E233,2)</f>
        <v>0</v>
      </c>
      <c r="F234" s="592">
        <f>ROUND('Balance N'!F233,2)</f>
        <v>0</v>
      </c>
      <c r="G234" s="592">
        <f>ROUND('Balance N'!G233,2)</f>
        <v>0</v>
      </c>
      <c r="H234" s="592">
        <f>ROUND('Balance N'!H233,2)</f>
        <v>0</v>
      </c>
      <c r="I234" s="2" t="str">
        <f t="shared" si="6"/>
        <v>0</v>
      </c>
    </row>
    <row r="235" spans="1:9" x14ac:dyDescent="0.2">
      <c r="A235" s="495" t="str">
        <f>FIXED('Balance N'!A234,0,1)</f>
        <v>0</v>
      </c>
      <c r="B235" s="494">
        <f>+'Balance N'!B234</f>
        <v>0</v>
      </c>
      <c r="C235" s="592">
        <f>ROUND('Balance N'!C234,2)</f>
        <v>0</v>
      </c>
      <c r="D235" s="592">
        <f>ROUND('Balance N'!D234,2)</f>
        <v>0</v>
      </c>
      <c r="E235" s="592">
        <f>ROUND('Balance N'!E234,2)</f>
        <v>0</v>
      </c>
      <c r="F235" s="592">
        <f>ROUND('Balance N'!F234,2)</f>
        <v>0</v>
      </c>
      <c r="G235" s="592">
        <f>ROUND('Balance N'!G234,2)</f>
        <v>0</v>
      </c>
      <c r="H235" s="592">
        <f>ROUND('Balance N'!H234,2)</f>
        <v>0</v>
      </c>
      <c r="I235" s="2" t="str">
        <f t="shared" si="6"/>
        <v>0</v>
      </c>
    </row>
    <row r="236" spans="1:9" x14ac:dyDescent="0.2">
      <c r="A236" s="495" t="str">
        <f>FIXED('Balance N'!A235,0,1)</f>
        <v>0</v>
      </c>
      <c r="B236" s="494">
        <f>+'Balance N'!B235</f>
        <v>0</v>
      </c>
      <c r="C236" s="592">
        <f>ROUND('Balance N'!C235,2)</f>
        <v>0</v>
      </c>
      <c r="D236" s="592">
        <f>ROUND('Balance N'!D235,2)</f>
        <v>0</v>
      </c>
      <c r="E236" s="592">
        <f>ROUND('Balance N'!E235,2)</f>
        <v>0</v>
      </c>
      <c r="F236" s="592">
        <f>ROUND('Balance N'!F235,2)</f>
        <v>0</v>
      </c>
      <c r="G236" s="592">
        <f>ROUND('Balance N'!G235,2)</f>
        <v>0</v>
      </c>
      <c r="H236" s="592">
        <f>ROUND('Balance N'!H235,2)</f>
        <v>0</v>
      </c>
      <c r="I236" s="2" t="str">
        <f t="shared" si="6"/>
        <v>0</v>
      </c>
    </row>
    <row r="237" spans="1:9" x14ac:dyDescent="0.2">
      <c r="A237" s="495" t="str">
        <f>FIXED('Balance N'!A236,0,1)</f>
        <v>0</v>
      </c>
      <c r="B237" s="494">
        <f>+'Balance N'!B236</f>
        <v>0</v>
      </c>
      <c r="C237" s="592">
        <f>ROUND('Balance N'!C236,2)</f>
        <v>0</v>
      </c>
      <c r="D237" s="592">
        <f>ROUND('Balance N'!D236,2)</f>
        <v>0</v>
      </c>
      <c r="E237" s="592">
        <f>ROUND('Balance N'!E236,2)</f>
        <v>0</v>
      </c>
      <c r="F237" s="592">
        <f>ROUND('Balance N'!F236,2)</f>
        <v>0</v>
      </c>
      <c r="G237" s="592">
        <f>ROUND('Balance N'!G236,2)</f>
        <v>0</v>
      </c>
      <c r="H237" s="592">
        <f>ROUND('Balance N'!H236,2)</f>
        <v>0</v>
      </c>
      <c r="I237" s="2" t="str">
        <f t="shared" si="6"/>
        <v>0</v>
      </c>
    </row>
    <row r="238" spans="1:9" x14ac:dyDescent="0.2">
      <c r="A238" s="495" t="str">
        <f>FIXED('Balance N'!A237,0,1)</f>
        <v>0</v>
      </c>
      <c r="B238" s="494">
        <f>+'Balance N'!B237</f>
        <v>0</v>
      </c>
      <c r="C238" s="592">
        <f>ROUND('Balance N'!C237,2)</f>
        <v>0</v>
      </c>
      <c r="D238" s="592">
        <f>ROUND('Balance N'!D237,2)</f>
        <v>0</v>
      </c>
      <c r="E238" s="592">
        <f>ROUND('Balance N'!E237,2)</f>
        <v>0</v>
      </c>
      <c r="F238" s="592">
        <f>ROUND('Balance N'!F237,2)</f>
        <v>0</v>
      </c>
      <c r="G238" s="592">
        <f>ROUND('Balance N'!G237,2)</f>
        <v>0</v>
      </c>
      <c r="H238" s="592">
        <f>ROUND('Balance N'!H237,2)</f>
        <v>0</v>
      </c>
      <c r="I238" s="2" t="str">
        <f t="shared" si="6"/>
        <v>0</v>
      </c>
    </row>
    <row r="239" spans="1:9" x14ac:dyDescent="0.2">
      <c r="A239" s="495" t="str">
        <f>FIXED('Balance N'!A238,0,1)</f>
        <v>0</v>
      </c>
      <c r="B239" s="494">
        <f>+'Balance N'!B238</f>
        <v>0</v>
      </c>
      <c r="C239" s="592">
        <f>ROUND('Balance N'!C238,2)</f>
        <v>0</v>
      </c>
      <c r="D239" s="592">
        <f>ROUND('Balance N'!D238,2)</f>
        <v>0</v>
      </c>
      <c r="E239" s="592">
        <f>ROUND('Balance N'!E238,2)</f>
        <v>0</v>
      </c>
      <c r="F239" s="592">
        <f>ROUND('Balance N'!F238,2)</f>
        <v>0</v>
      </c>
      <c r="G239" s="592">
        <f>ROUND('Balance N'!G238,2)</f>
        <v>0</v>
      </c>
      <c r="H239" s="592">
        <f>ROUND('Balance N'!H238,2)</f>
        <v>0</v>
      </c>
      <c r="I239" s="2" t="str">
        <f t="shared" si="6"/>
        <v>0</v>
      </c>
    </row>
    <row r="240" spans="1:9" x14ac:dyDescent="0.2">
      <c r="A240" s="495" t="str">
        <f>FIXED('Balance N'!A239,0,1)</f>
        <v>0</v>
      </c>
      <c r="B240" s="494">
        <f>+'Balance N'!B239</f>
        <v>0</v>
      </c>
      <c r="C240" s="592">
        <f>ROUND('Balance N'!C239,2)</f>
        <v>0</v>
      </c>
      <c r="D240" s="592">
        <f>ROUND('Balance N'!D239,2)</f>
        <v>0</v>
      </c>
      <c r="E240" s="592">
        <f>ROUND('Balance N'!E239,2)</f>
        <v>0</v>
      </c>
      <c r="F240" s="592">
        <f>ROUND('Balance N'!F239,2)</f>
        <v>0</v>
      </c>
      <c r="G240" s="592">
        <f>ROUND('Balance N'!G239,2)</f>
        <v>0</v>
      </c>
      <c r="H240" s="592">
        <f>ROUND('Balance N'!H239,2)</f>
        <v>0</v>
      </c>
      <c r="I240" s="2" t="str">
        <f t="shared" si="6"/>
        <v>0</v>
      </c>
    </row>
    <row r="241" spans="1:9" x14ac:dyDescent="0.2">
      <c r="A241" s="495" t="str">
        <f>FIXED('Balance N'!A240,0,1)</f>
        <v>0</v>
      </c>
      <c r="B241" s="494">
        <f>+'Balance N'!B240</f>
        <v>0</v>
      </c>
      <c r="C241" s="592">
        <f>ROUND('Balance N'!C240,2)</f>
        <v>0</v>
      </c>
      <c r="D241" s="592">
        <f>ROUND('Balance N'!D240,2)</f>
        <v>0</v>
      </c>
      <c r="E241" s="592">
        <f>ROUND('Balance N'!E240,2)</f>
        <v>0</v>
      </c>
      <c r="F241" s="592">
        <f>ROUND('Balance N'!F240,2)</f>
        <v>0</v>
      </c>
      <c r="G241" s="592">
        <f>ROUND('Balance N'!G240,2)</f>
        <v>0</v>
      </c>
      <c r="H241" s="592">
        <f>ROUND('Balance N'!H240,2)</f>
        <v>0</v>
      </c>
      <c r="I241" s="2" t="str">
        <f t="shared" si="6"/>
        <v>0</v>
      </c>
    </row>
    <row r="242" spans="1:9" x14ac:dyDescent="0.2">
      <c r="A242" s="495" t="str">
        <f>FIXED('Balance N'!A241,0,1)</f>
        <v>0</v>
      </c>
      <c r="B242" s="494">
        <f>+'Balance N'!B241</f>
        <v>0</v>
      </c>
      <c r="C242" s="592">
        <f>ROUND('Balance N'!C241,2)</f>
        <v>0</v>
      </c>
      <c r="D242" s="592">
        <f>ROUND('Balance N'!D241,2)</f>
        <v>0</v>
      </c>
      <c r="E242" s="592">
        <f>ROUND('Balance N'!E241,2)</f>
        <v>0</v>
      </c>
      <c r="F242" s="592">
        <f>ROUND('Balance N'!F241,2)</f>
        <v>0</v>
      </c>
      <c r="G242" s="592">
        <f>ROUND('Balance N'!G241,2)</f>
        <v>0</v>
      </c>
      <c r="H242" s="592">
        <f>ROUND('Balance N'!H241,2)</f>
        <v>0</v>
      </c>
      <c r="I242" s="2" t="str">
        <f t="shared" si="6"/>
        <v>0</v>
      </c>
    </row>
    <row r="243" spans="1:9" x14ac:dyDescent="0.2">
      <c r="A243" s="495" t="str">
        <f>FIXED('Balance N'!A242,0,1)</f>
        <v>0</v>
      </c>
      <c r="B243" s="494">
        <f>+'Balance N'!B242</f>
        <v>0</v>
      </c>
      <c r="C243" s="592">
        <f>ROUND('Balance N'!C242,2)</f>
        <v>0</v>
      </c>
      <c r="D243" s="592">
        <f>ROUND('Balance N'!D242,2)</f>
        <v>0</v>
      </c>
      <c r="E243" s="592">
        <f>ROUND('Balance N'!E242,2)</f>
        <v>0</v>
      </c>
      <c r="F243" s="592">
        <f>ROUND('Balance N'!F242,2)</f>
        <v>0</v>
      </c>
      <c r="G243" s="592">
        <f>ROUND('Balance N'!G242,2)</f>
        <v>0</v>
      </c>
      <c r="H243" s="592">
        <f>ROUND('Balance N'!H242,2)</f>
        <v>0</v>
      </c>
      <c r="I243" s="2" t="str">
        <f t="shared" si="6"/>
        <v>0</v>
      </c>
    </row>
    <row r="244" spans="1:9" x14ac:dyDescent="0.2">
      <c r="A244" s="495" t="str">
        <f>FIXED('Balance N'!A243,0,1)</f>
        <v>0</v>
      </c>
      <c r="B244" s="494">
        <f>+'Balance N'!B243</f>
        <v>0</v>
      </c>
      <c r="C244" s="592">
        <f>ROUND('Balance N'!C243,2)</f>
        <v>0</v>
      </c>
      <c r="D244" s="592">
        <f>ROUND('Balance N'!D243,2)</f>
        <v>0</v>
      </c>
      <c r="E244" s="592">
        <f>ROUND('Balance N'!E243,2)</f>
        <v>0</v>
      </c>
      <c r="F244" s="592">
        <f>ROUND('Balance N'!F243,2)</f>
        <v>0</v>
      </c>
      <c r="G244" s="592">
        <f>ROUND('Balance N'!G243,2)</f>
        <v>0</v>
      </c>
      <c r="H244" s="592">
        <f>ROUND('Balance N'!H243,2)</f>
        <v>0</v>
      </c>
      <c r="I244" s="2" t="str">
        <f t="shared" si="6"/>
        <v>0</v>
      </c>
    </row>
    <row r="245" spans="1:9" x14ac:dyDescent="0.2">
      <c r="A245" s="495" t="str">
        <f>FIXED('Balance N'!A244,0,1)</f>
        <v>0</v>
      </c>
      <c r="B245" s="494">
        <f>+'Balance N'!B244</f>
        <v>0</v>
      </c>
      <c r="C245" s="592">
        <f>ROUND('Balance N'!C244,2)</f>
        <v>0</v>
      </c>
      <c r="D245" s="592">
        <f>ROUND('Balance N'!D244,2)</f>
        <v>0</v>
      </c>
      <c r="E245" s="592">
        <f>ROUND('Balance N'!E244,2)</f>
        <v>0</v>
      </c>
      <c r="F245" s="592">
        <f>ROUND('Balance N'!F244,2)</f>
        <v>0</v>
      </c>
      <c r="G245" s="592">
        <f>ROUND('Balance N'!G244,2)</f>
        <v>0</v>
      </c>
      <c r="H245" s="592">
        <f>ROUND('Balance N'!H244,2)</f>
        <v>0</v>
      </c>
      <c r="I245" s="2" t="str">
        <f t="shared" si="6"/>
        <v>0</v>
      </c>
    </row>
    <row r="246" spans="1:9" x14ac:dyDescent="0.2">
      <c r="A246" s="495" t="str">
        <f>FIXED('Balance N'!A245,0,1)</f>
        <v>0</v>
      </c>
      <c r="B246" s="494">
        <f>+'Balance N'!B245</f>
        <v>0</v>
      </c>
      <c r="C246" s="592">
        <f>ROUND('Balance N'!C245,2)</f>
        <v>0</v>
      </c>
      <c r="D246" s="592">
        <f>ROUND('Balance N'!D245,2)</f>
        <v>0</v>
      </c>
      <c r="E246" s="592">
        <f>ROUND('Balance N'!E245,2)</f>
        <v>0</v>
      </c>
      <c r="F246" s="592">
        <f>ROUND('Balance N'!F245,2)</f>
        <v>0</v>
      </c>
      <c r="G246" s="592">
        <f>ROUND('Balance N'!G245,2)</f>
        <v>0</v>
      </c>
      <c r="H246" s="592">
        <f>ROUND('Balance N'!H245,2)</f>
        <v>0</v>
      </c>
      <c r="I246" s="2" t="str">
        <f t="shared" si="6"/>
        <v>0</v>
      </c>
    </row>
    <row r="247" spans="1:9" x14ac:dyDescent="0.2">
      <c r="A247" s="495" t="str">
        <f>FIXED('Balance N'!A246,0,1)</f>
        <v>0</v>
      </c>
      <c r="B247" s="494">
        <f>+'Balance N'!B246</f>
        <v>0</v>
      </c>
      <c r="C247" s="592">
        <f>ROUND('Balance N'!C246,2)</f>
        <v>0</v>
      </c>
      <c r="D247" s="592">
        <f>ROUND('Balance N'!D246,2)</f>
        <v>0</v>
      </c>
      <c r="E247" s="592">
        <f>ROUND('Balance N'!E246,2)</f>
        <v>0</v>
      </c>
      <c r="F247" s="592">
        <f>ROUND('Balance N'!F246,2)</f>
        <v>0</v>
      </c>
      <c r="G247" s="592">
        <f>ROUND('Balance N'!G246,2)</f>
        <v>0</v>
      </c>
      <c r="H247" s="592">
        <f>ROUND('Balance N'!H246,2)</f>
        <v>0</v>
      </c>
      <c r="I247" s="2" t="str">
        <f t="shared" si="6"/>
        <v>0</v>
      </c>
    </row>
    <row r="248" spans="1:9" x14ac:dyDescent="0.2">
      <c r="A248" s="495" t="str">
        <f>FIXED('Balance N'!A247,0,1)</f>
        <v>0</v>
      </c>
      <c r="B248" s="494">
        <f>+'Balance N'!B247</f>
        <v>0</v>
      </c>
      <c r="C248" s="592">
        <f>ROUND('Balance N'!C247,2)</f>
        <v>0</v>
      </c>
      <c r="D248" s="592">
        <f>ROUND('Balance N'!D247,2)</f>
        <v>0</v>
      </c>
      <c r="E248" s="592">
        <f>ROUND('Balance N'!E247,2)</f>
        <v>0</v>
      </c>
      <c r="F248" s="592">
        <f>ROUND('Balance N'!F247,2)</f>
        <v>0</v>
      </c>
      <c r="G248" s="592">
        <f>ROUND('Balance N'!G247,2)</f>
        <v>0</v>
      </c>
      <c r="H248" s="592">
        <f>ROUND('Balance N'!H247,2)</f>
        <v>0</v>
      </c>
      <c r="I248" s="2" t="str">
        <f t="shared" si="6"/>
        <v>0</v>
      </c>
    </row>
    <row r="249" spans="1:9" x14ac:dyDescent="0.2">
      <c r="A249" s="495" t="str">
        <f>FIXED('Balance N'!A248,0,1)</f>
        <v>0</v>
      </c>
      <c r="B249" s="494">
        <f>+'Balance N'!B248</f>
        <v>0</v>
      </c>
      <c r="C249" s="592">
        <f>ROUND('Balance N'!C248,2)</f>
        <v>0</v>
      </c>
      <c r="D249" s="592">
        <f>ROUND('Balance N'!D248,2)</f>
        <v>0</v>
      </c>
      <c r="E249" s="592">
        <f>ROUND('Balance N'!E248,2)</f>
        <v>0</v>
      </c>
      <c r="F249" s="592">
        <f>ROUND('Balance N'!F248,2)</f>
        <v>0</v>
      </c>
      <c r="G249" s="592">
        <f>ROUND('Balance N'!G248,2)</f>
        <v>0</v>
      </c>
      <c r="H249" s="592">
        <f>ROUND('Balance N'!H248,2)</f>
        <v>0</v>
      </c>
      <c r="I249" s="2" t="str">
        <f t="shared" si="6"/>
        <v>0</v>
      </c>
    </row>
    <row r="250" spans="1:9" x14ac:dyDescent="0.2">
      <c r="A250" s="495" t="str">
        <f>FIXED('Balance N'!A249,0,1)</f>
        <v>0</v>
      </c>
      <c r="B250" s="494">
        <f>+'Balance N'!B249</f>
        <v>0</v>
      </c>
      <c r="C250" s="592">
        <f>ROUND('Balance N'!C249,2)</f>
        <v>0</v>
      </c>
      <c r="D250" s="592">
        <f>ROUND('Balance N'!D249,2)</f>
        <v>0</v>
      </c>
      <c r="E250" s="592">
        <f>ROUND('Balance N'!E249,2)</f>
        <v>0</v>
      </c>
      <c r="F250" s="592">
        <f>ROUND('Balance N'!F249,2)</f>
        <v>0</v>
      </c>
      <c r="G250" s="592">
        <f>ROUND('Balance N'!G249,2)</f>
        <v>0</v>
      </c>
      <c r="H250" s="592">
        <f>ROUND('Balance N'!H249,2)</f>
        <v>0</v>
      </c>
      <c r="I250" s="2" t="str">
        <f t="shared" si="6"/>
        <v>0</v>
      </c>
    </row>
    <row r="251" spans="1:9" x14ac:dyDescent="0.2">
      <c r="A251" s="495" t="str">
        <f>FIXED('Balance N'!A250,0,1)</f>
        <v>0</v>
      </c>
      <c r="B251" s="494">
        <f>+'Balance N'!B250</f>
        <v>0</v>
      </c>
      <c r="C251" s="592">
        <f>ROUND('Balance N'!C250,2)</f>
        <v>0</v>
      </c>
      <c r="D251" s="592">
        <f>ROUND('Balance N'!D250,2)</f>
        <v>0</v>
      </c>
      <c r="E251" s="592">
        <f>ROUND('Balance N'!E250,2)</f>
        <v>0</v>
      </c>
      <c r="F251" s="592">
        <f>ROUND('Balance N'!F250,2)</f>
        <v>0</v>
      </c>
      <c r="G251" s="592">
        <f>ROUND('Balance N'!G250,2)</f>
        <v>0</v>
      </c>
      <c r="H251" s="592">
        <f>ROUND('Balance N'!H250,2)</f>
        <v>0</v>
      </c>
      <c r="I251" s="2" t="str">
        <f t="shared" si="6"/>
        <v>0</v>
      </c>
    </row>
    <row r="252" spans="1:9" x14ac:dyDescent="0.2">
      <c r="A252" s="495" t="str">
        <f>FIXED('Balance N'!A251,0,1)</f>
        <v>0</v>
      </c>
      <c r="B252" s="494">
        <f>+'Balance N'!B251</f>
        <v>0</v>
      </c>
      <c r="C252" s="592">
        <f>ROUND('Balance N'!C251,2)</f>
        <v>0</v>
      </c>
      <c r="D252" s="592">
        <f>ROUND('Balance N'!D251,2)</f>
        <v>0</v>
      </c>
      <c r="E252" s="592">
        <f>ROUND('Balance N'!E251,2)</f>
        <v>0</v>
      </c>
      <c r="F252" s="592">
        <f>ROUND('Balance N'!F251,2)</f>
        <v>0</v>
      </c>
      <c r="G252" s="592">
        <f>ROUND('Balance N'!G251,2)</f>
        <v>0</v>
      </c>
      <c r="H252" s="592">
        <f>ROUND('Balance N'!H251,2)</f>
        <v>0</v>
      </c>
      <c r="I252" s="2" t="str">
        <f t="shared" si="6"/>
        <v>0</v>
      </c>
    </row>
    <row r="253" spans="1:9" x14ac:dyDescent="0.2">
      <c r="A253" s="495" t="str">
        <f>FIXED('Balance N'!A252,0,1)</f>
        <v>0</v>
      </c>
      <c r="B253" s="494">
        <f>+'Balance N'!B252</f>
        <v>0</v>
      </c>
      <c r="C253" s="592">
        <f>ROUND('Balance N'!C252,2)</f>
        <v>0</v>
      </c>
      <c r="D253" s="592">
        <f>ROUND('Balance N'!D252,2)</f>
        <v>0</v>
      </c>
      <c r="E253" s="592">
        <f>ROUND('Balance N'!E252,2)</f>
        <v>0</v>
      </c>
      <c r="F253" s="592">
        <f>ROUND('Balance N'!F252,2)</f>
        <v>0</v>
      </c>
      <c r="G253" s="592">
        <f>ROUND('Balance N'!G252,2)</f>
        <v>0</v>
      </c>
      <c r="H253" s="592">
        <f>ROUND('Balance N'!H252,2)</f>
        <v>0</v>
      </c>
      <c r="I253" s="2" t="str">
        <f t="shared" si="6"/>
        <v>0</v>
      </c>
    </row>
    <row r="254" spans="1:9" x14ac:dyDescent="0.2">
      <c r="A254" s="495" t="str">
        <f>FIXED('Balance N'!A253,0,1)</f>
        <v>0</v>
      </c>
      <c r="B254" s="494">
        <f>+'Balance N'!B253</f>
        <v>0</v>
      </c>
      <c r="C254" s="592">
        <f>ROUND('Balance N'!C253,2)</f>
        <v>0</v>
      </c>
      <c r="D254" s="592">
        <f>ROUND('Balance N'!D253,2)</f>
        <v>0</v>
      </c>
      <c r="E254" s="592">
        <f>ROUND('Balance N'!E253,2)</f>
        <v>0</v>
      </c>
      <c r="F254" s="592">
        <f>ROUND('Balance N'!F253,2)</f>
        <v>0</v>
      </c>
      <c r="G254" s="592">
        <f>ROUND('Balance N'!G253,2)</f>
        <v>0</v>
      </c>
      <c r="H254" s="592">
        <f>ROUND('Balance N'!H253,2)</f>
        <v>0</v>
      </c>
      <c r="I254" s="2" t="str">
        <f t="shared" si="6"/>
        <v>0</v>
      </c>
    </row>
    <row r="255" spans="1:9" x14ac:dyDescent="0.2">
      <c r="A255" s="495" t="e">
        <f>FIXED('Balance N'!#REF!,0,1)</f>
        <v>#REF!</v>
      </c>
      <c r="B255" s="494" t="e">
        <f>+'Balance N'!#REF!</f>
        <v>#REF!</v>
      </c>
      <c r="C255" s="592" t="e">
        <f>ROUND('Balance N'!#REF!,2)</f>
        <v>#REF!</v>
      </c>
      <c r="D255" s="592" t="e">
        <f>ROUND('Balance N'!#REF!,2)</f>
        <v>#REF!</v>
      </c>
      <c r="E255" s="592" t="e">
        <f>ROUND('Balance N'!#REF!,2)</f>
        <v>#REF!</v>
      </c>
      <c r="F255" s="592" t="e">
        <f>ROUND('Balance N'!#REF!,2)</f>
        <v>#REF!</v>
      </c>
      <c r="G255" s="592" t="e">
        <f>ROUND('Balance N'!#REF!,2)</f>
        <v>#REF!</v>
      </c>
      <c r="H255" s="592" t="e">
        <f>ROUND('Balance N'!#REF!,2)</f>
        <v>#REF!</v>
      </c>
      <c r="I255" s="2" t="e">
        <f t="shared" si="6"/>
        <v>#REF!</v>
      </c>
    </row>
    <row r="256" spans="1:9" x14ac:dyDescent="0.2">
      <c r="A256" s="495" t="e">
        <f>FIXED('Balance N'!#REF!,0,1)</f>
        <v>#REF!</v>
      </c>
      <c r="B256" s="494" t="e">
        <f>+'Balance N'!#REF!</f>
        <v>#REF!</v>
      </c>
      <c r="C256" s="592" t="e">
        <f>ROUND('Balance N'!#REF!,2)</f>
        <v>#REF!</v>
      </c>
      <c r="D256" s="592" t="e">
        <f>ROUND('Balance N'!#REF!,2)</f>
        <v>#REF!</v>
      </c>
      <c r="E256" s="592" t="e">
        <f>ROUND('Balance N'!#REF!,2)</f>
        <v>#REF!</v>
      </c>
      <c r="F256" s="592" t="e">
        <f>ROUND('Balance N'!#REF!,2)</f>
        <v>#REF!</v>
      </c>
      <c r="G256" s="592" t="e">
        <f>ROUND('Balance N'!#REF!,2)</f>
        <v>#REF!</v>
      </c>
      <c r="H256" s="592" t="e">
        <f>ROUND('Balance N'!#REF!,2)</f>
        <v>#REF!</v>
      </c>
      <c r="I256" s="2" t="e">
        <f t="shared" si="6"/>
        <v>#REF!</v>
      </c>
    </row>
    <row r="257" spans="1:9" x14ac:dyDescent="0.2">
      <c r="A257" s="495" t="e">
        <f>FIXED('Balance N'!#REF!,0,1)</f>
        <v>#REF!</v>
      </c>
      <c r="B257" s="494" t="e">
        <f>+'Balance N'!#REF!</f>
        <v>#REF!</v>
      </c>
      <c r="C257" s="592" t="e">
        <f>ROUND('Balance N'!#REF!,2)</f>
        <v>#REF!</v>
      </c>
      <c r="D257" s="592" t="e">
        <f>ROUND('Balance N'!#REF!,2)</f>
        <v>#REF!</v>
      </c>
      <c r="E257" s="592" t="e">
        <f>ROUND('Balance N'!#REF!,2)</f>
        <v>#REF!</v>
      </c>
      <c r="F257" s="592" t="e">
        <f>ROUND('Balance N'!#REF!,2)</f>
        <v>#REF!</v>
      </c>
      <c r="G257" s="592" t="e">
        <f>ROUND('Balance N'!#REF!,2)</f>
        <v>#REF!</v>
      </c>
      <c r="H257" s="592" t="e">
        <f>ROUND('Balance N'!#REF!,2)</f>
        <v>#REF!</v>
      </c>
      <c r="I257" s="2" t="e">
        <f t="shared" si="6"/>
        <v>#REF!</v>
      </c>
    </row>
    <row r="258" spans="1:9" x14ac:dyDescent="0.2">
      <c r="A258" s="495" t="e">
        <f>FIXED('Balance N'!#REF!,0,1)</f>
        <v>#REF!</v>
      </c>
      <c r="B258" s="494" t="e">
        <f>+'Balance N'!#REF!</f>
        <v>#REF!</v>
      </c>
      <c r="C258" s="592" t="e">
        <f>ROUND('Balance N'!#REF!,2)</f>
        <v>#REF!</v>
      </c>
      <c r="D258" s="592" t="e">
        <f>ROUND('Balance N'!#REF!,2)</f>
        <v>#REF!</v>
      </c>
      <c r="E258" s="592" t="e">
        <f>ROUND('Balance N'!#REF!,2)</f>
        <v>#REF!</v>
      </c>
      <c r="F258" s="592" t="e">
        <f>ROUND('Balance N'!#REF!,2)</f>
        <v>#REF!</v>
      </c>
      <c r="G258" s="592" t="e">
        <f>ROUND('Balance N'!#REF!,2)</f>
        <v>#REF!</v>
      </c>
      <c r="H258" s="592" t="e">
        <f>ROUND('Balance N'!#REF!,2)</f>
        <v>#REF!</v>
      </c>
      <c r="I258" s="2" t="e">
        <f t="shared" si="6"/>
        <v>#REF!</v>
      </c>
    </row>
    <row r="259" spans="1:9" x14ac:dyDescent="0.2">
      <c r="A259" s="495" t="e">
        <f>FIXED('Balance N'!#REF!,0,1)</f>
        <v>#REF!</v>
      </c>
      <c r="B259" s="494" t="e">
        <f>+'Balance N'!#REF!</f>
        <v>#REF!</v>
      </c>
      <c r="C259" s="592" t="e">
        <f>ROUND('Balance N'!#REF!,2)</f>
        <v>#REF!</v>
      </c>
      <c r="D259" s="592" t="e">
        <f>ROUND('Balance N'!#REF!,2)</f>
        <v>#REF!</v>
      </c>
      <c r="E259" s="592" t="e">
        <f>ROUND('Balance N'!#REF!,2)</f>
        <v>#REF!</v>
      </c>
      <c r="F259" s="592" t="e">
        <f>ROUND('Balance N'!#REF!,2)</f>
        <v>#REF!</v>
      </c>
      <c r="G259" s="592" t="e">
        <f>ROUND('Balance N'!#REF!,2)</f>
        <v>#REF!</v>
      </c>
      <c r="H259" s="592" t="e">
        <f>ROUND('Balance N'!#REF!,2)</f>
        <v>#REF!</v>
      </c>
      <c r="I259" s="2" t="e">
        <f t="shared" ref="I259:I321" si="7">MID(A259,1,1)</f>
        <v>#REF!</v>
      </c>
    </row>
    <row r="260" spans="1:9" x14ac:dyDescent="0.2">
      <c r="A260" s="495" t="e">
        <f>FIXED('Balance N'!#REF!,0,1)</f>
        <v>#REF!</v>
      </c>
      <c r="B260" s="494" t="e">
        <f>+'Balance N'!#REF!</f>
        <v>#REF!</v>
      </c>
      <c r="C260" s="592" t="e">
        <f>ROUND('Balance N'!#REF!,2)</f>
        <v>#REF!</v>
      </c>
      <c r="D260" s="592" t="e">
        <f>ROUND('Balance N'!#REF!,2)</f>
        <v>#REF!</v>
      </c>
      <c r="E260" s="592" t="e">
        <f>ROUND('Balance N'!#REF!,2)</f>
        <v>#REF!</v>
      </c>
      <c r="F260" s="592" t="e">
        <f>ROUND('Balance N'!#REF!,2)</f>
        <v>#REF!</v>
      </c>
      <c r="G260" s="592" t="e">
        <f>ROUND('Balance N'!#REF!,2)</f>
        <v>#REF!</v>
      </c>
      <c r="H260" s="592" t="e">
        <f>ROUND('Balance N'!#REF!,2)</f>
        <v>#REF!</v>
      </c>
      <c r="I260" s="2" t="e">
        <f t="shared" si="7"/>
        <v>#REF!</v>
      </c>
    </row>
    <row r="261" spans="1:9" x14ac:dyDescent="0.2">
      <c r="A261" s="495" t="e">
        <f>FIXED('Balance N'!#REF!,0,1)</f>
        <v>#REF!</v>
      </c>
      <c r="B261" s="494" t="e">
        <f>+'Balance N'!#REF!</f>
        <v>#REF!</v>
      </c>
      <c r="C261" s="592" t="e">
        <f>ROUND('Balance N'!#REF!,2)</f>
        <v>#REF!</v>
      </c>
      <c r="D261" s="592" t="e">
        <f>ROUND('Balance N'!#REF!,2)</f>
        <v>#REF!</v>
      </c>
      <c r="E261" s="592" t="e">
        <f>ROUND('Balance N'!#REF!,2)</f>
        <v>#REF!</v>
      </c>
      <c r="F261" s="592" t="e">
        <f>ROUND('Balance N'!#REF!,2)</f>
        <v>#REF!</v>
      </c>
      <c r="G261" s="592" t="e">
        <f>ROUND('Balance N'!#REF!,2)</f>
        <v>#REF!</v>
      </c>
      <c r="H261" s="592" t="e">
        <f>ROUND('Balance N'!#REF!,2)</f>
        <v>#REF!</v>
      </c>
      <c r="I261" s="2" t="e">
        <f t="shared" si="7"/>
        <v>#REF!</v>
      </c>
    </row>
    <row r="262" spans="1:9" x14ac:dyDescent="0.2">
      <c r="A262" s="495" t="e">
        <f>FIXED('Balance N'!#REF!,0,1)</f>
        <v>#REF!</v>
      </c>
      <c r="B262" s="494" t="e">
        <f>+'Balance N'!#REF!</f>
        <v>#REF!</v>
      </c>
      <c r="C262" s="592" t="e">
        <f>ROUND('Balance N'!#REF!,2)</f>
        <v>#REF!</v>
      </c>
      <c r="D262" s="592" t="e">
        <f>ROUND('Balance N'!#REF!,2)</f>
        <v>#REF!</v>
      </c>
      <c r="E262" s="592" t="e">
        <f>ROUND('Balance N'!#REF!,2)</f>
        <v>#REF!</v>
      </c>
      <c r="F262" s="592" t="e">
        <f>ROUND('Balance N'!#REF!,2)</f>
        <v>#REF!</v>
      </c>
      <c r="G262" s="592" t="e">
        <f>ROUND('Balance N'!#REF!,2)</f>
        <v>#REF!</v>
      </c>
      <c r="H262" s="592" t="e">
        <f>ROUND('Balance N'!#REF!,2)</f>
        <v>#REF!</v>
      </c>
      <c r="I262" s="2" t="e">
        <f t="shared" si="7"/>
        <v>#REF!</v>
      </c>
    </row>
    <row r="263" spans="1:9" x14ac:dyDescent="0.2">
      <c r="A263" s="495" t="e">
        <f>FIXED('Balance N'!#REF!,0,1)</f>
        <v>#REF!</v>
      </c>
      <c r="B263" s="494" t="e">
        <f>+'Balance N'!#REF!</f>
        <v>#REF!</v>
      </c>
      <c r="C263" s="592" t="e">
        <f>ROUND('Balance N'!#REF!,2)</f>
        <v>#REF!</v>
      </c>
      <c r="D263" s="592" t="e">
        <f>ROUND('Balance N'!#REF!,2)</f>
        <v>#REF!</v>
      </c>
      <c r="E263" s="592" t="e">
        <f>ROUND('Balance N'!#REF!,2)</f>
        <v>#REF!</v>
      </c>
      <c r="F263" s="592" t="e">
        <f>ROUND('Balance N'!#REF!,2)</f>
        <v>#REF!</v>
      </c>
      <c r="G263" s="592" t="e">
        <f>ROUND('Balance N'!#REF!,2)</f>
        <v>#REF!</v>
      </c>
      <c r="H263" s="592" t="e">
        <f>ROUND('Balance N'!#REF!,2)</f>
        <v>#REF!</v>
      </c>
      <c r="I263" s="2" t="e">
        <f t="shared" si="7"/>
        <v>#REF!</v>
      </c>
    </row>
    <row r="264" spans="1:9" x14ac:dyDescent="0.2">
      <c r="A264" s="495" t="e">
        <f>FIXED('Balance N'!#REF!,0,1)</f>
        <v>#REF!</v>
      </c>
      <c r="B264" s="494" t="e">
        <f>+'Balance N'!#REF!</f>
        <v>#REF!</v>
      </c>
      <c r="C264" s="592" t="e">
        <f>ROUND('Balance N'!#REF!,2)</f>
        <v>#REF!</v>
      </c>
      <c r="D264" s="592" t="e">
        <f>ROUND('Balance N'!#REF!,2)</f>
        <v>#REF!</v>
      </c>
      <c r="E264" s="592" t="e">
        <f>ROUND('Balance N'!#REF!,2)</f>
        <v>#REF!</v>
      </c>
      <c r="F264" s="592" t="e">
        <f>ROUND('Balance N'!#REF!,2)</f>
        <v>#REF!</v>
      </c>
      <c r="G264" s="592" t="e">
        <f>ROUND('Balance N'!#REF!,2)</f>
        <v>#REF!</v>
      </c>
      <c r="H264" s="592" t="e">
        <f>ROUND('Balance N'!#REF!,2)</f>
        <v>#REF!</v>
      </c>
      <c r="I264" s="2" t="e">
        <f t="shared" si="7"/>
        <v>#REF!</v>
      </c>
    </row>
    <row r="265" spans="1:9" x14ac:dyDescent="0.2">
      <c r="A265" s="495" t="e">
        <f>FIXED('Balance N'!#REF!,0,1)</f>
        <v>#REF!</v>
      </c>
      <c r="B265" s="494" t="e">
        <f>+'Balance N'!#REF!</f>
        <v>#REF!</v>
      </c>
      <c r="C265" s="592" t="e">
        <f>ROUND('Balance N'!#REF!,2)</f>
        <v>#REF!</v>
      </c>
      <c r="D265" s="592" t="e">
        <f>ROUND('Balance N'!#REF!,2)</f>
        <v>#REF!</v>
      </c>
      <c r="E265" s="592" t="e">
        <f>ROUND('Balance N'!#REF!,2)</f>
        <v>#REF!</v>
      </c>
      <c r="F265" s="592" t="e">
        <f>ROUND('Balance N'!#REF!,2)</f>
        <v>#REF!</v>
      </c>
      <c r="G265" s="592" t="e">
        <f>ROUND('Balance N'!#REF!,2)</f>
        <v>#REF!</v>
      </c>
      <c r="H265" s="592" t="e">
        <f>ROUND('Balance N'!#REF!,2)</f>
        <v>#REF!</v>
      </c>
      <c r="I265" s="2" t="e">
        <f t="shared" si="7"/>
        <v>#REF!</v>
      </c>
    </row>
    <row r="266" spans="1:9" x14ac:dyDescent="0.2">
      <c r="A266" s="495" t="e">
        <f>FIXED('Balance N'!#REF!,0,1)</f>
        <v>#REF!</v>
      </c>
      <c r="B266" s="494" t="e">
        <f>+'Balance N'!#REF!</f>
        <v>#REF!</v>
      </c>
      <c r="C266" s="592" t="e">
        <f>ROUND('Balance N'!#REF!,2)</f>
        <v>#REF!</v>
      </c>
      <c r="D266" s="592" t="e">
        <f>ROUND('Balance N'!#REF!,2)</f>
        <v>#REF!</v>
      </c>
      <c r="E266" s="592" t="e">
        <f>ROUND('Balance N'!#REF!,2)</f>
        <v>#REF!</v>
      </c>
      <c r="F266" s="592" t="e">
        <f>ROUND('Balance N'!#REF!,2)</f>
        <v>#REF!</v>
      </c>
      <c r="G266" s="592" t="e">
        <f>ROUND('Balance N'!#REF!,2)</f>
        <v>#REF!</v>
      </c>
      <c r="H266" s="592" t="e">
        <f>ROUND('Balance N'!#REF!,2)</f>
        <v>#REF!</v>
      </c>
      <c r="I266" s="2" t="e">
        <f t="shared" si="7"/>
        <v>#REF!</v>
      </c>
    </row>
    <row r="267" spans="1:9" x14ac:dyDescent="0.2">
      <c r="A267" s="495" t="e">
        <f>FIXED('Balance N'!#REF!,0,1)</f>
        <v>#REF!</v>
      </c>
      <c r="B267" s="494" t="e">
        <f>+'Balance N'!#REF!</f>
        <v>#REF!</v>
      </c>
      <c r="C267" s="592" t="e">
        <f>ROUND('Balance N'!#REF!,2)</f>
        <v>#REF!</v>
      </c>
      <c r="D267" s="592" t="e">
        <f>ROUND('Balance N'!#REF!,2)</f>
        <v>#REF!</v>
      </c>
      <c r="E267" s="592" t="e">
        <f>ROUND('Balance N'!#REF!,2)</f>
        <v>#REF!</v>
      </c>
      <c r="F267" s="592" t="e">
        <f>ROUND('Balance N'!#REF!,2)</f>
        <v>#REF!</v>
      </c>
      <c r="G267" s="592" t="e">
        <f>ROUND('Balance N'!#REF!,2)</f>
        <v>#REF!</v>
      </c>
      <c r="H267" s="592" t="e">
        <f>ROUND('Balance N'!#REF!,2)</f>
        <v>#REF!</v>
      </c>
      <c r="I267" s="2" t="e">
        <f t="shared" si="7"/>
        <v>#REF!</v>
      </c>
    </row>
    <row r="268" spans="1:9" x14ac:dyDescent="0.2">
      <c r="A268" s="495" t="e">
        <f>FIXED('Balance N'!#REF!,0,1)</f>
        <v>#REF!</v>
      </c>
      <c r="B268" s="494" t="e">
        <f>+'Balance N'!#REF!</f>
        <v>#REF!</v>
      </c>
      <c r="C268" s="592" t="e">
        <f>ROUND('Balance N'!#REF!,2)</f>
        <v>#REF!</v>
      </c>
      <c r="D268" s="592" t="e">
        <f>ROUND('Balance N'!#REF!,2)</f>
        <v>#REF!</v>
      </c>
      <c r="E268" s="592" t="e">
        <f>ROUND('Balance N'!#REF!,2)</f>
        <v>#REF!</v>
      </c>
      <c r="F268" s="592" t="e">
        <f>ROUND('Balance N'!#REF!,2)</f>
        <v>#REF!</v>
      </c>
      <c r="G268" s="592" t="e">
        <f>ROUND('Balance N'!#REF!,2)</f>
        <v>#REF!</v>
      </c>
      <c r="H268" s="592" t="e">
        <f>ROUND('Balance N'!#REF!,2)</f>
        <v>#REF!</v>
      </c>
      <c r="I268" s="2" t="e">
        <f t="shared" si="7"/>
        <v>#REF!</v>
      </c>
    </row>
    <row r="269" spans="1:9" x14ac:dyDescent="0.2">
      <c r="A269" s="495" t="e">
        <f>FIXED('Balance N'!#REF!,0,1)</f>
        <v>#REF!</v>
      </c>
      <c r="B269" s="494" t="e">
        <f>+'Balance N'!#REF!</f>
        <v>#REF!</v>
      </c>
      <c r="C269" s="592" t="e">
        <f>ROUND('Balance N'!#REF!,2)</f>
        <v>#REF!</v>
      </c>
      <c r="D269" s="592" t="e">
        <f>ROUND('Balance N'!#REF!,2)</f>
        <v>#REF!</v>
      </c>
      <c r="E269" s="592" t="e">
        <f>ROUND('Balance N'!#REF!,2)</f>
        <v>#REF!</v>
      </c>
      <c r="F269" s="592" t="e">
        <f>ROUND('Balance N'!#REF!,2)</f>
        <v>#REF!</v>
      </c>
      <c r="G269" s="592" t="e">
        <f>ROUND('Balance N'!#REF!,2)</f>
        <v>#REF!</v>
      </c>
      <c r="H269" s="592" t="e">
        <f>ROUND('Balance N'!#REF!,2)</f>
        <v>#REF!</v>
      </c>
      <c r="I269" s="2" t="e">
        <f t="shared" si="7"/>
        <v>#REF!</v>
      </c>
    </row>
    <row r="270" spans="1:9" x14ac:dyDescent="0.2">
      <c r="A270" s="495" t="e">
        <f>FIXED('Balance N'!#REF!,0,1)</f>
        <v>#REF!</v>
      </c>
      <c r="B270" s="494" t="e">
        <f>+'Balance N'!#REF!</f>
        <v>#REF!</v>
      </c>
      <c r="C270" s="592" t="e">
        <f>ROUND('Balance N'!#REF!,2)</f>
        <v>#REF!</v>
      </c>
      <c r="D270" s="592" t="e">
        <f>ROUND('Balance N'!#REF!,2)</f>
        <v>#REF!</v>
      </c>
      <c r="E270" s="592" t="e">
        <f>ROUND('Balance N'!#REF!,2)</f>
        <v>#REF!</v>
      </c>
      <c r="F270" s="592" t="e">
        <f>ROUND('Balance N'!#REF!,2)</f>
        <v>#REF!</v>
      </c>
      <c r="G270" s="592" t="e">
        <f>ROUND('Balance N'!#REF!,2)</f>
        <v>#REF!</v>
      </c>
      <c r="H270" s="592" t="e">
        <f>ROUND('Balance N'!#REF!,2)</f>
        <v>#REF!</v>
      </c>
      <c r="I270" s="2" t="e">
        <f t="shared" si="7"/>
        <v>#REF!</v>
      </c>
    </row>
    <row r="271" spans="1:9" x14ac:dyDescent="0.2">
      <c r="A271" s="495" t="e">
        <f>FIXED('Balance N'!#REF!,0,1)</f>
        <v>#REF!</v>
      </c>
      <c r="B271" s="494" t="e">
        <f>+'Balance N'!#REF!</f>
        <v>#REF!</v>
      </c>
      <c r="C271" s="592" t="e">
        <f>ROUND('Balance N'!#REF!,2)</f>
        <v>#REF!</v>
      </c>
      <c r="D271" s="592" t="e">
        <f>ROUND('Balance N'!#REF!,2)</f>
        <v>#REF!</v>
      </c>
      <c r="E271" s="592" t="e">
        <f>ROUND('Balance N'!#REF!,2)</f>
        <v>#REF!</v>
      </c>
      <c r="F271" s="592" t="e">
        <f>ROUND('Balance N'!#REF!,2)</f>
        <v>#REF!</v>
      </c>
      <c r="G271" s="592" t="e">
        <f>ROUND('Balance N'!#REF!,2)</f>
        <v>#REF!</v>
      </c>
      <c r="H271" s="592" t="e">
        <f>ROUND('Balance N'!#REF!,2)</f>
        <v>#REF!</v>
      </c>
      <c r="I271" s="2" t="e">
        <f t="shared" si="7"/>
        <v>#REF!</v>
      </c>
    </row>
    <row r="272" spans="1:9" x14ac:dyDescent="0.2">
      <c r="A272" s="495" t="e">
        <f>FIXED('Balance N'!#REF!,0,1)</f>
        <v>#REF!</v>
      </c>
      <c r="B272" s="494" t="e">
        <f>+'Balance N'!#REF!</f>
        <v>#REF!</v>
      </c>
      <c r="C272" s="592" t="e">
        <f>ROUND('Balance N'!#REF!,2)</f>
        <v>#REF!</v>
      </c>
      <c r="D272" s="592" t="e">
        <f>ROUND('Balance N'!#REF!,2)</f>
        <v>#REF!</v>
      </c>
      <c r="E272" s="592" t="e">
        <f>ROUND('Balance N'!#REF!,2)</f>
        <v>#REF!</v>
      </c>
      <c r="F272" s="592" t="e">
        <f>ROUND('Balance N'!#REF!,2)</f>
        <v>#REF!</v>
      </c>
      <c r="G272" s="592" t="e">
        <f>ROUND('Balance N'!#REF!,2)</f>
        <v>#REF!</v>
      </c>
      <c r="H272" s="592" t="e">
        <f>ROUND('Balance N'!#REF!,2)</f>
        <v>#REF!</v>
      </c>
      <c r="I272" s="2" t="e">
        <f t="shared" si="7"/>
        <v>#REF!</v>
      </c>
    </row>
    <row r="273" spans="1:9" x14ac:dyDescent="0.2">
      <c r="A273" s="495" t="e">
        <f>FIXED('Balance N'!#REF!,0,1)</f>
        <v>#REF!</v>
      </c>
      <c r="B273" s="494" t="e">
        <f>+'Balance N'!#REF!</f>
        <v>#REF!</v>
      </c>
      <c r="C273" s="592" t="e">
        <f>ROUND('Balance N'!#REF!,2)</f>
        <v>#REF!</v>
      </c>
      <c r="D273" s="592" t="e">
        <f>ROUND('Balance N'!#REF!,2)</f>
        <v>#REF!</v>
      </c>
      <c r="E273" s="592" t="e">
        <f>ROUND('Balance N'!#REF!,2)</f>
        <v>#REF!</v>
      </c>
      <c r="F273" s="592" t="e">
        <f>ROUND('Balance N'!#REF!,2)</f>
        <v>#REF!</v>
      </c>
      <c r="G273" s="592" t="e">
        <f>ROUND('Balance N'!#REF!,2)</f>
        <v>#REF!</v>
      </c>
      <c r="H273" s="592" t="e">
        <f>ROUND('Balance N'!#REF!,2)</f>
        <v>#REF!</v>
      </c>
      <c r="I273" s="2" t="e">
        <f t="shared" si="7"/>
        <v>#REF!</v>
      </c>
    </row>
    <row r="274" spans="1:9" x14ac:dyDescent="0.2">
      <c r="A274" s="495" t="e">
        <f>FIXED('Balance N'!#REF!,0,1)</f>
        <v>#REF!</v>
      </c>
      <c r="B274" s="494" t="e">
        <f>+'Balance N'!#REF!</f>
        <v>#REF!</v>
      </c>
      <c r="C274" s="592" t="e">
        <f>ROUND('Balance N'!#REF!,2)</f>
        <v>#REF!</v>
      </c>
      <c r="D274" s="592" t="e">
        <f>ROUND('Balance N'!#REF!,2)</f>
        <v>#REF!</v>
      </c>
      <c r="E274" s="592" t="e">
        <f>ROUND('Balance N'!#REF!,2)</f>
        <v>#REF!</v>
      </c>
      <c r="F274" s="592" t="e">
        <f>ROUND('Balance N'!#REF!,2)</f>
        <v>#REF!</v>
      </c>
      <c r="G274" s="592" t="e">
        <f>ROUND('Balance N'!#REF!,2)</f>
        <v>#REF!</v>
      </c>
      <c r="H274" s="592" t="e">
        <f>ROUND('Balance N'!#REF!,2)</f>
        <v>#REF!</v>
      </c>
      <c r="I274" s="2" t="e">
        <f t="shared" si="7"/>
        <v>#REF!</v>
      </c>
    </row>
    <row r="275" spans="1:9" x14ac:dyDescent="0.2">
      <c r="A275" s="495" t="e">
        <f>FIXED('Balance N'!#REF!,0,1)</f>
        <v>#REF!</v>
      </c>
      <c r="B275" s="494" t="e">
        <f>+'Balance N'!#REF!</f>
        <v>#REF!</v>
      </c>
      <c r="C275" s="592" t="e">
        <f>ROUND('Balance N'!#REF!,2)</f>
        <v>#REF!</v>
      </c>
      <c r="D275" s="592" t="e">
        <f>ROUND('Balance N'!#REF!,2)</f>
        <v>#REF!</v>
      </c>
      <c r="E275" s="592" t="e">
        <f>ROUND('Balance N'!#REF!,2)</f>
        <v>#REF!</v>
      </c>
      <c r="F275" s="592" t="e">
        <f>ROUND('Balance N'!#REF!,2)</f>
        <v>#REF!</v>
      </c>
      <c r="G275" s="592" t="e">
        <f>ROUND('Balance N'!#REF!,2)</f>
        <v>#REF!</v>
      </c>
      <c r="H275" s="592" t="e">
        <f>ROUND('Balance N'!#REF!,2)</f>
        <v>#REF!</v>
      </c>
      <c r="I275" s="2" t="e">
        <f t="shared" si="7"/>
        <v>#REF!</v>
      </c>
    </row>
    <row r="276" spans="1:9" x14ac:dyDescent="0.2">
      <c r="A276" s="495" t="e">
        <f>FIXED('Balance N'!#REF!,0,1)</f>
        <v>#REF!</v>
      </c>
      <c r="B276" s="494" t="e">
        <f>+'Balance N'!#REF!</f>
        <v>#REF!</v>
      </c>
      <c r="C276" s="592" t="e">
        <f>ROUND('Balance N'!#REF!,2)</f>
        <v>#REF!</v>
      </c>
      <c r="D276" s="592" t="e">
        <f>ROUND('Balance N'!#REF!,2)</f>
        <v>#REF!</v>
      </c>
      <c r="E276" s="592" t="e">
        <f>ROUND('Balance N'!#REF!,2)</f>
        <v>#REF!</v>
      </c>
      <c r="F276" s="592" t="e">
        <f>ROUND('Balance N'!#REF!,2)</f>
        <v>#REF!</v>
      </c>
      <c r="G276" s="592" t="e">
        <f>ROUND('Balance N'!#REF!,2)</f>
        <v>#REF!</v>
      </c>
      <c r="H276" s="592" t="e">
        <f>ROUND('Balance N'!#REF!,2)</f>
        <v>#REF!</v>
      </c>
      <c r="I276" s="2" t="e">
        <f t="shared" si="7"/>
        <v>#REF!</v>
      </c>
    </row>
    <row r="277" spans="1:9" x14ac:dyDescent="0.2">
      <c r="A277" s="495" t="e">
        <f>FIXED('Balance N'!#REF!,0,1)</f>
        <v>#REF!</v>
      </c>
      <c r="B277" s="494" t="e">
        <f>+'Balance N'!#REF!</f>
        <v>#REF!</v>
      </c>
      <c r="C277" s="592" t="e">
        <f>ROUND('Balance N'!#REF!,2)</f>
        <v>#REF!</v>
      </c>
      <c r="D277" s="592" t="e">
        <f>ROUND('Balance N'!#REF!,2)</f>
        <v>#REF!</v>
      </c>
      <c r="E277" s="592" t="e">
        <f>ROUND('Balance N'!#REF!,2)</f>
        <v>#REF!</v>
      </c>
      <c r="F277" s="592" t="e">
        <f>ROUND('Balance N'!#REF!,2)</f>
        <v>#REF!</v>
      </c>
      <c r="G277" s="592" t="e">
        <f>ROUND('Balance N'!#REF!,2)</f>
        <v>#REF!</v>
      </c>
      <c r="H277" s="592" t="e">
        <f>ROUND('Balance N'!#REF!,2)</f>
        <v>#REF!</v>
      </c>
      <c r="I277" s="2" t="e">
        <f t="shared" si="7"/>
        <v>#REF!</v>
      </c>
    </row>
    <row r="278" spans="1:9" x14ac:dyDescent="0.2">
      <c r="A278" s="495" t="e">
        <f>FIXED('Balance N'!#REF!,0,1)</f>
        <v>#REF!</v>
      </c>
      <c r="B278" s="494" t="e">
        <f>+'Balance N'!#REF!</f>
        <v>#REF!</v>
      </c>
      <c r="C278" s="592" t="e">
        <f>ROUND('Balance N'!#REF!,2)</f>
        <v>#REF!</v>
      </c>
      <c r="D278" s="592" t="e">
        <f>ROUND('Balance N'!#REF!,2)</f>
        <v>#REF!</v>
      </c>
      <c r="E278" s="592" t="e">
        <f>ROUND('Balance N'!#REF!,2)</f>
        <v>#REF!</v>
      </c>
      <c r="F278" s="592" t="e">
        <f>ROUND('Balance N'!#REF!,2)</f>
        <v>#REF!</v>
      </c>
      <c r="G278" s="592" t="e">
        <f>ROUND('Balance N'!#REF!,2)</f>
        <v>#REF!</v>
      </c>
      <c r="H278" s="592" t="e">
        <f>ROUND('Balance N'!#REF!,2)</f>
        <v>#REF!</v>
      </c>
      <c r="I278" s="2" t="e">
        <f t="shared" si="7"/>
        <v>#REF!</v>
      </c>
    </row>
    <row r="279" spans="1:9" x14ac:dyDescent="0.2">
      <c r="A279" s="495" t="e">
        <f>FIXED('Balance N'!#REF!,0,1)</f>
        <v>#REF!</v>
      </c>
      <c r="B279" s="494" t="e">
        <f>+'Balance N'!#REF!</f>
        <v>#REF!</v>
      </c>
      <c r="C279" s="592" t="e">
        <f>ROUND('Balance N'!#REF!,2)</f>
        <v>#REF!</v>
      </c>
      <c r="D279" s="592" t="e">
        <f>ROUND('Balance N'!#REF!,2)</f>
        <v>#REF!</v>
      </c>
      <c r="E279" s="592" t="e">
        <f>ROUND('Balance N'!#REF!,2)</f>
        <v>#REF!</v>
      </c>
      <c r="F279" s="592" t="e">
        <f>ROUND('Balance N'!#REF!,2)</f>
        <v>#REF!</v>
      </c>
      <c r="G279" s="592" t="e">
        <f>ROUND('Balance N'!#REF!,2)</f>
        <v>#REF!</v>
      </c>
      <c r="H279" s="592" t="e">
        <f>ROUND('Balance N'!#REF!,2)</f>
        <v>#REF!</v>
      </c>
      <c r="I279" s="2" t="e">
        <f t="shared" si="7"/>
        <v>#REF!</v>
      </c>
    </row>
    <row r="280" spans="1:9" x14ac:dyDescent="0.2">
      <c r="A280" s="495" t="e">
        <f>FIXED('Balance N'!#REF!,0,1)</f>
        <v>#REF!</v>
      </c>
      <c r="B280" s="494" t="e">
        <f>+'Balance N'!#REF!</f>
        <v>#REF!</v>
      </c>
      <c r="C280" s="592" t="e">
        <f>ROUND('Balance N'!#REF!,2)</f>
        <v>#REF!</v>
      </c>
      <c r="D280" s="592" t="e">
        <f>ROUND('Balance N'!#REF!,2)</f>
        <v>#REF!</v>
      </c>
      <c r="E280" s="592" t="e">
        <f>ROUND('Balance N'!#REF!,2)</f>
        <v>#REF!</v>
      </c>
      <c r="F280" s="592" t="e">
        <f>ROUND('Balance N'!#REF!,2)</f>
        <v>#REF!</v>
      </c>
      <c r="G280" s="592" t="e">
        <f>ROUND('Balance N'!#REF!,2)</f>
        <v>#REF!</v>
      </c>
      <c r="H280" s="592" t="e">
        <f>ROUND('Balance N'!#REF!,2)</f>
        <v>#REF!</v>
      </c>
      <c r="I280" s="2" t="e">
        <f t="shared" si="7"/>
        <v>#REF!</v>
      </c>
    </row>
    <row r="281" spans="1:9" x14ac:dyDescent="0.2">
      <c r="A281" s="495" t="e">
        <f>FIXED('Balance N'!#REF!,0,1)</f>
        <v>#REF!</v>
      </c>
      <c r="B281" s="494" t="e">
        <f>+'Balance N'!#REF!</f>
        <v>#REF!</v>
      </c>
      <c r="C281" s="592" t="e">
        <f>ROUND('Balance N'!#REF!,2)</f>
        <v>#REF!</v>
      </c>
      <c r="D281" s="592" t="e">
        <f>ROUND('Balance N'!#REF!,2)</f>
        <v>#REF!</v>
      </c>
      <c r="E281" s="592" t="e">
        <f>ROUND('Balance N'!#REF!,2)</f>
        <v>#REF!</v>
      </c>
      <c r="F281" s="592" t="e">
        <f>ROUND('Balance N'!#REF!,2)</f>
        <v>#REF!</v>
      </c>
      <c r="G281" s="592" t="e">
        <f>ROUND('Balance N'!#REF!,2)</f>
        <v>#REF!</v>
      </c>
      <c r="H281" s="592" t="e">
        <f>ROUND('Balance N'!#REF!,2)</f>
        <v>#REF!</v>
      </c>
      <c r="I281" s="2" t="e">
        <f t="shared" si="7"/>
        <v>#REF!</v>
      </c>
    </row>
    <row r="282" spans="1:9" x14ac:dyDescent="0.2">
      <c r="A282" s="495" t="str">
        <f>FIXED('Balance N'!A254,0,1)</f>
        <v>0</v>
      </c>
      <c r="B282" s="494">
        <f>+'Balance N'!B254</f>
        <v>0</v>
      </c>
      <c r="C282" s="592">
        <f>ROUND('Balance N'!C254,2)</f>
        <v>0</v>
      </c>
      <c r="D282" s="592">
        <f>ROUND('Balance N'!D254,2)</f>
        <v>0</v>
      </c>
      <c r="E282" s="592">
        <f>ROUND('Balance N'!E254,2)</f>
        <v>0</v>
      </c>
      <c r="F282" s="592">
        <f>ROUND('Balance N'!F254,2)</f>
        <v>0</v>
      </c>
      <c r="G282" s="592">
        <f>ROUND('Balance N'!G254,2)</f>
        <v>0</v>
      </c>
      <c r="H282" s="592">
        <f>ROUND('Balance N'!H254,2)</f>
        <v>0</v>
      </c>
      <c r="I282" s="2" t="str">
        <f t="shared" si="7"/>
        <v>0</v>
      </c>
    </row>
    <row r="283" spans="1:9" x14ac:dyDescent="0.2">
      <c r="A283" s="495" t="str">
        <f>FIXED('Balance N'!A255,0,1)</f>
        <v>0</v>
      </c>
      <c r="B283" s="494">
        <f>+'Balance N'!B255</f>
        <v>0</v>
      </c>
      <c r="C283" s="592">
        <f>ROUND('Balance N'!C255,2)</f>
        <v>0</v>
      </c>
      <c r="D283" s="592">
        <f>ROUND('Balance N'!D255,2)</f>
        <v>0</v>
      </c>
      <c r="E283" s="592">
        <f>ROUND('Balance N'!E255,2)</f>
        <v>0</v>
      </c>
      <c r="F283" s="592">
        <f>ROUND('Balance N'!F255,2)</f>
        <v>0</v>
      </c>
      <c r="G283" s="592">
        <f>ROUND('Balance N'!G255,2)</f>
        <v>0</v>
      </c>
      <c r="H283" s="592">
        <f>ROUND('Balance N'!H255,2)</f>
        <v>0</v>
      </c>
      <c r="I283" s="2" t="str">
        <f t="shared" si="7"/>
        <v>0</v>
      </c>
    </row>
    <row r="284" spans="1:9" x14ac:dyDescent="0.2">
      <c r="A284" s="495" t="str">
        <f>FIXED('Balance N'!A256,0,1)</f>
        <v>0</v>
      </c>
      <c r="B284" s="494">
        <f>+'Balance N'!B256</f>
        <v>0</v>
      </c>
      <c r="C284" s="592">
        <f>ROUND('Balance N'!C256,2)</f>
        <v>0</v>
      </c>
      <c r="D284" s="592">
        <f>ROUND('Balance N'!D256,2)</f>
        <v>0</v>
      </c>
      <c r="E284" s="592">
        <f>ROUND('Balance N'!E256,2)</f>
        <v>0</v>
      </c>
      <c r="F284" s="592">
        <f>ROUND('Balance N'!F256,2)</f>
        <v>0</v>
      </c>
      <c r="G284" s="592">
        <f>ROUND('Balance N'!G256,2)</f>
        <v>0</v>
      </c>
      <c r="H284" s="592">
        <f>ROUND('Balance N'!H256,2)</f>
        <v>0</v>
      </c>
      <c r="I284" s="2" t="str">
        <f t="shared" si="7"/>
        <v>0</v>
      </c>
    </row>
    <row r="285" spans="1:9" x14ac:dyDescent="0.2">
      <c r="A285" s="495" t="str">
        <f>FIXED('Balance N'!A257,0,1)</f>
        <v>0</v>
      </c>
      <c r="B285" s="494">
        <f>+'Balance N'!B257</f>
        <v>0</v>
      </c>
      <c r="C285" s="592">
        <f>ROUND('Balance N'!C257,2)</f>
        <v>0</v>
      </c>
      <c r="D285" s="592">
        <f>ROUND('Balance N'!D257,2)</f>
        <v>0</v>
      </c>
      <c r="E285" s="592">
        <f>ROUND('Balance N'!E257,2)</f>
        <v>0</v>
      </c>
      <c r="F285" s="592">
        <f>ROUND('Balance N'!F257,2)</f>
        <v>0</v>
      </c>
      <c r="G285" s="592">
        <f>ROUND('Balance N'!G257,2)</f>
        <v>0</v>
      </c>
      <c r="H285" s="592">
        <f>ROUND('Balance N'!H257,2)</f>
        <v>0</v>
      </c>
      <c r="I285" s="2" t="str">
        <f t="shared" si="7"/>
        <v>0</v>
      </c>
    </row>
    <row r="286" spans="1:9" x14ac:dyDescent="0.2">
      <c r="A286" s="495" t="str">
        <f>FIXED('Balance N'!A258,0,1)</f>
        <v>0</v>
      </c>
      <c r="B286" s="494">
        <f>+'Balance N'!B258</f>
        <v>0</v>
      </c>
      <c r="C286" s="592">
        <f>ROUND('Balance N'!C258,2)</f>
        <v>0</v>
      </c>
      <c r="D286" s="592">
        <f>ROUND('Balance N'!D258,2)</f>
        <v>0</v>
      </c>
      <c r="E286" s="592">
        <f>ROUND('Balance N'!E258,2)</f>
        <v>0</v>
      </c>
      <c r="F286" s="592">
        <f>ROUND('Balance N'!F258,2)</f>
        <v>0</v>
      </c>
      <c r="G286" s="592">
        <f>ROUND('Balance N'!G258,2)</f>
        <v>0</v>
      </c>
      <c r="H286" s="592">
        <f>ROUND('Balance N'!H258,2)</f>
        <v>0</v>
      </c>
      <c r="I286" s="2" t="str">
        <f t="shared" si="7"/>
        <v>0</v>
      </c>
    </row>
    <row r="287" spans="1:9" x14ac:dyDescent="0.2">
      <c r="A287" s="495" t="str">
        <f>FIXED('Balance N'!A259,0,1)</f>
        <v>0</v>
      </c>
      <c r="B287" s="494">
        <f>+'Balance N'!B259</f>
        <v>0</v>
      </c>
      <c r="C287" s="592">
        <f>ROUND('Balance N'!C259,2)</f>
        <v>0</v>
      </c>
      <c r="D287" s="592">
        <f>ROUND('Balance N'!D259,2)</f>
        <v>0</v>
      </c>
      <c r="E287" s="592">
        <f>ROUND('Balance N'!E259,2)</f>
        <v>0</v>
      </c>
      <c r="F287" s="592">
        <f>ROUND('Balance N'!F259,2)</f>
        <v>0</v>
      </c>
      <c r="G287" s="592">
        <f>ROUND('Balance N'!G259,2)</f>
        <v>0</v>
      </c>
      <c r="H287" s="592">
        <f>ROUND('Balance N'!H259,2)</f>
        <v>0</v>
      </c>
      <c r="I287" s="2" t="str">
        <f t="shared" si="7"/>
        <v>0</v>
      </c>
    </row>
    <row r="288" spans="1:9" x14ac:dyDescent="0.2">
      <c r="A288" s="495" t="str">
        <f>FIXED('Balance N'!A260,0,1)</f>
        <v>0</v>
      </c>
      <c r="B288" s="494">
        <f>+'Balance N'!B260</f>
        <v>0</v>
      </c>
      <c r="C288" s="592">
        <f>ROUND('Balance N'!C260,2)</f>
        <v>0</v>
      </c>
      <c r="D288" s="592">
        <f>ROUND('Balance N'!D260,2)</f>
        <v>0</v>
      </c>
      <c r="E288" s="592">
        <f>ROUND('Balance N'!E260,2)</f>
        <v>0</v>
      </c>
      <c r="F288" s="592">
        <f>ROUND('Balance N'!F260,2)</f>
        <v>0</v>
      </c>
      <c r="G288" s="592">
        <f>ROUND('Balance N'!G260,2)</f>
        <v>0</v>
      </c>
      <c r="H288" s="592">
        <f>ROUND('Balance N'!H260,2)</f>
        <v>0</v>
      </c>
      <c r="I288" s="2" t="str">
        <f t="shared" si="7"/>
        <v>0</v>
      </c>
    </row>
    <row r="289" spans="1:9" x14ac:dyDescent="0.2">
      <c r="A289" s="495" t="str">
        <f>FIXED('Balance N'!A261,0,1)</f>
        <v>0</v>
      </c>
      <c r="B289" s="494">
        <f>+'Balance N'!B261</f>
        <v>0</v>
      </c>
      <c r="C289" s="592">
        <f>ROUND('Balance N'!C261,2)</f>
        <v>0</v>
      </c>
      <c r="D289" s="592">
        <f>ROUND('Balance N'!D261,2)</f>
        <v>0</v>
      </c>
      <c r="E289" s="592">
        <f>ROUND('Balance N'!E261,2)</f>
        <v>0</v>
      </c>
      <c r="F289" s="592">
        <f>ROUND('Balance N'!F261,2)</f>
        <v>0</v>
      </c>
      <c r="G289" s="592">
        <f>ROUND('Balance N'!G261,2)</f>
        <v>0</v>
      </c>
      <c r="H289" s="592">
        <f>ROUND('Balance N'!H261,2)</f>
        <v>0</v>
      </c>
      <c r="I289" s="2" t="str">
        <f t="shared" si="7"/>
        <v>0</v>
      </c>
    </row>
    <row r="290" spans="1:9" x14ac:dyDescent="0.2">
      <c r="A290" s="495" t="str">
        <f>FIXED('Balance N'!A262,0,1)</f>
        <v>0</v>
      </c>
      <c r="B290" s="494">
        <f>+'Balance N'!B262</f>
        <v>0</v>
      </c>
      <c r="C290" s="592">
        <f>ROUND('Balance N'!C262,2)</f>
        <v>0</v>
      </c>
      <c r="D290" s="592">
        <f>ROUND('Balance N'!D262,2)</f>
        <v>0</v>
      </c>
      <c r="E290" s="592">
        <f>ROUND('Balance N'!E262,2)</f>
        <v>0</v>
      </c>
      <c r="F290" s="592">
        <f>ROUND('Balance N'!F262,2)</f>
        <v>0</v>
      </c>
      <c r="G290" s="592">
        <f>ROUND('Balance N'!G262,2)</f>
        <v>0</v>
      </c>
      <c r="H290" s="592">
        <f>ROUND('Balance N'!H262,2)</f>
        <v>0</v>
      </c>
      <c r="I290" s="2" t="str">
        <f t="shared" si="7"/>
        <v>0</v>
      </c>
    </row>
    <row r="291" spans="1:9" x14ac:dyDescent="0.2">
      <c r="A291" s="495" t="str">
        <f>FIXED('Balance N'!A263,0,1)</f>
        <v>0</v>
      </c>
      <c r="B291" s="494">
        <f>+'Balance N'!B263</f>
        <v>0</v>
      </c>
      <c r="C291" s="592">
        <f>ROUND('Balance N'!C263,2)</f>
        <v>0</v>
      </c>
      <c r="D291" s="592">
        <f>ROUND('Balance N'!D263,2)</f>
        <v>0</v>
      </c>
      <c r="E291" s="592">
        <f>ROUND('Balance N'!E263,2)</f>
        <v>0</v>
      </c>
      <c r="F291" s="592">
        <f>ROUND('Balance N'!F263,2)</f>
        <v>0</v>
      </c>
      <c r="G291" s="592">
        <f>ROUND('Balance N'!G263,2)</f>
        <v>0</v>
      </c>
      <c r="H291" s="592">
        <f>ROUND('Balance N'!H263,2)</f>
        <v>0</v>
      </c>
      <c r="I291" s="2" t="str">
        <f t="shared" si="7"/>
        <v>0</v>
      </c>
    </row>
    <row r="292" spans="1:9" x14ac:dyDescent="0.2">
      <c r="A292" s="495" t="str">
        <f>FIXED('Balance N'!A264,0,1)</f>
        <v>0</v>
      </c>
      <c r="B292" s="494">
        <f>+'Balance N'!B264</f>
        <v>0</v>
      </c>
      <c r="C292" s="592">
        <f>ROUND('Balance N'!C264,2)</f>
        <v>0</v>
      </c>
      <c r="D292" s="592">
        <f>ROUND('Balance N'!D264,2)</f>
        <v>0</v>
      </c>
      <c r="E292" s="592">
        <f>ROUND('Balance N'!E264,2)</f>
        <v>0</v>
      </c>
      <c r="F292" s="592">
        <f>ROUND('Balance N'!F264,2)</f>
        <v>0</v>
      </c>
      <c r="G292" s="592">
        <f>ROUND('Balance N'!G264,2)</f>
        <v>0</v>
      </c>
      <c r="H292" s="592">
        <f>ROUND('Balance N'!H264,2)</f>
        <v>0</v>
      </c>
      <c r="I292" s="2" t="str">
        <f t="shared" si="7"/>
        <v>0</v>
      </c>
    </row>
    <row r="293" spans="1:9" x14ac:dyDescent="0.2">
      <c r="A293" s="495" t="str">
        <f>FIXED('Balance N'!A265,0,1)</f>
        <v>0</v>
      </c>
      <c r="B293" s="494">
        <f>+'Balance N'!B265</f>
        <v>0</v>
      </c>
      <c r="C293" s="592">
        <f>ROUND('Balance N'!C265,2)</f>
        <v>0</v>
      </c>
      <c r="D293" s="592">
        <f>ROUND('Balance N'!D265,2)</f>
        <v>0</v>
      </c>
      <c r="E293" s="592">
        <f>ROUND('Balance N'!E265,2)</f>
        <v>0</v>
      </c>
      <c r="F293" s="592">
        <f>ROUND('Balance N'!F265,2)</f>
        <v>0</v>
      </c>
      <c r="G293" s="592">
        <f>ROUND('Balance N'!G265,2)</f>
        <v>0</v>
      </c>
      <c r="H293" s="592">
        <f>ROUND('Balance N'!H265,2)</f>
        <v>0</v>
      </c>
      <c r="I293" s="2" t="str">
        <f t="shared" si="7"/>
        <v>0</v>
      </c>
    </row>
    <row r="294" spans="1:9" x14ac:dyDescent="0.2">
      <c r="A294" s="495" t="str">
        <f>FIXED('Balance N'!A266,0,1)</f>
        <v>0</v>
      </c>
      <c r="B294" s="494">
        <f>+'Balance N'!B266</f>
        <v>0</v>
      </c>
      <c r="C294" s="592">
        <f>ROUND('Balance N'!C266,2)</f>
        <v>0</v>
      </c>
      <c r="D294" s="592">
        <f>ROUND('Balance N'!D266,2)</f>
        <v>0</v>
      </c>
      <c r="E294" s="592">
        <f>ROUND('Balance N'!E266,2)</f>
        <v>0</v>
      </c>
      <c r="F294" s="592">
        <f>ROUND('Balance N'!F266,2)</f>
        <v>0</v>
      </c>
      <c r="G294" s="592">
        <f>ROUND('Balance N'!G266,2)</f>
        <v>0</v>
      </c>
      <c r="H294" s="592">
        <f>ROUND('Balance N'!H266,2)</f>
        <v>0</v>
      </c>
      <c r="I294" s="2" t="str">
        <f t="shared" si="7"/>
        <v>0</v>
      </c>
    </row>
    <row r="295" spans="1:9" x14ac:dyDescent="0.2">
      <c r="A295" s="495" t="str">
        <f>FIXED('Balance N'!A267,0,1)</f>
        <v>0</v>
      </c>
      <c r="B295" s="494">
        <f>+'Balance N'!B267</f>
        <v>0</v>
      </c>
      <c r="C295" s="592">
        <f>ROUND('Balance N'!C267,2)</f>
        <v>0</v>
      </c>
      <c r="D295" s="592">
        <f>ROUND('Balance N'!D267,2)</f>
        <v>0</v>
      </c>
      <c r="E295" s="592">
        <f>ROUND('Balance N'!E267,2)</f>
        <v>0</v>
      </c>
      <c r="F295" s="592">
        <f>ROUND('Balance N'!F267,2)</f>
        <v>0</v>
      </c>
      <c r="G295" s="592">
        <f>ROUND('Balance N'!G267,2)</f>
        <v>0</v>
      </c>
      <c r="H295" s="592">
        <f>ROUND('Balance N'!H267,2)</f>
        <v>0</v>
      </c>
      <c r="I295" s="2" t="str">
        <f t="shared" si="7"/>
        <v>0</v>
      </c>
    </row>
    <row r="296" spans="1:9" x14ac:dyDescent="0.2">
      <c r="A296" s="495" t="str">
        <f>FIXED('Balance N'!A268,0,1)</f>
        <v>0</v>
      </c>
      <c r="B296" s="494">
        <f>+'Balance N'!B268</f>
        <v>0</v>
      </c>
      <c r="C296" s="592">
        <f>ROUND('Balance N'!C268,2)</f>
        <v>0</v>
      </c>
      <c r="D296" s="592">
        <f>ROUND('Balance N'!D268,2)</f>
        <v>0</v>
      </c>
      <c r="E296" s="592">
        <f>ROUND('Balance N'!E268,2)</f>
        <v>0</v>
      </c>
      <c r="F296" s="592">
        <f>ROUND('Balance N'!F268,2)</f>
        <v>0</v>
      </c>
      <c r="G296" s="592">
        <f>ROUND('Balance N'!G268,2)</f>
        <v>0</v>
      </c>
      <c r="H296" s="592">
        <f>ROUND('Balance N'!H268,2)</f>
        <v>0</v>
      </c>
      <c r="I296" s="2" t="str">
        <f t="shared" si="7"/>
        <v>0</v>
      </c>
    </row>
    <row r="297" spans="1:9" x14ac:dyDescent="0.2">
      <c r="A297" s="495" t="str">
        <f>FIXED('Balance N'!A269,0,1)</f>
        <v>0</v>
      </c>
      <c r="B297" s="494">
        <f>+'Balance N'!B269</f>
        <v>0</v>
      </c>
      <c r="C297" s="592">
        <f>ROUND('Balance N'!C269,2)</f>
        <v>0</v>
      </c>
      <c r="D297" s="592">
        <f>ROUND('Balance N'!D269,2)</f>
        <v>0</v>
      </c>
      <c r="E297" s="592">
        <f>ROUND('Balance N'!E269,2)</f>
        <v>0</v>
      </c>
      <c r="F297" s="592">
        <f>ROUND('Balance N'!F269,2)</f>
        <v>0</v>
      </c>
      <c r="G297" s="592">
        <f>ROUND('Balance N'!G269,2)</f>
        <v>0</v>
      </c>
      <c r="H297" s="592">
        <f>ROUND('Balance N'!H269,2)</f>
        <v>0</v>
      </c>
      <c r="I297" s="2" t="str">
        <f t="shared" si="7"/>
        <v>0</v>
      </c>
    </row>
    <row r="298" spans="1:9" x14ac:dyDescent="0.2">
      <c r="A298" s="495" t="str">
        <f>FIXED('Balance N'!A270,0,1)</f>
        <v>0</v>
      </c>
      <c r="B298" s="494">
        <f>+'Balance N'!B270</f>
        <v>0</v>
      </c>
      <c r="C298" s="592">
        <f>ROUND('Balance N'!C270,2)</f>
        <v>0</v>
      </c>
      <c r="D298" s="592">
        <f>ROUND('Balance N'!D270,2)</f>
        <v>0</v>
      </c>
      <c r="E298" s="592">
        <f>ROUND('Balance N'!E270,2)</f>
        <v>0</v>
      </c>
      <c r="F298" s="592">
        <f>ROUND('Balance N'!F270,2)</f>
        <v>0</v>
      </c>
      <c r="G298" s="592">
        <f>ROUND('Balance N'!G270,2)</f>
        <v>0</v>
      </c>
      <c r="H298" s="592">
        <f>ROUND('Balance N'!H270,2)</f>
        <v>0</v>
      </c>
      <c r="I298" s="2" t="str">
        <f t="shared" si="7"/>
        <v>0</v>
      </c>
    </row>
    <row r="299" spans="1:9" x14ac:dyDescent="0.2">
      <c r="A299" s="495" t="str">
        <f>FIXED('Balance N'!A271,0,1)</f>
        <v>0</v>
      </c>
      <c r="B299" s="494">
        <f>+'Balance N'!B271</f>
        <v>0</v>
      </c>
      <c r="C299" s="592">
        <f>ROUND('Balance N'!C271,2)</f>
        <v>0</v>
      </c>
      <c r="D299" s="592">
        <f>ROUND('Balance N'!D271,2)</f>
        <v>0</v>
      </c>
      <c r="E299" s="592">
        <f>ROUND('Balance N'!E271,2)</f>
        <v>0</v>
      </c>
      <c r="F299" s="592">
        <f>ROUND('Balance N'!F271,2)</f>
        <v>0</v>
      </c>
      <c r="G299" s="592">
        <f>ROUND('Balance N'!G271,2)</f>
        <v>0</v>
      </c>
      <c r="H299" s="592">
        <f>ROUND('Balance N'!H271,2)</f>
        <v>0</v>
      </c>
      <c r="I299" s="2" t="str">
        <f t="shared" si="7"/>
        <v>0</v>
      </c>
    </row>
    <row r="300" spans="1:9" x14ac:dyDescent="0.2">
      <c r="A300" s="495" t="str">
        <f>FIXED('Balance N'!A272,0,1)</f>
        <v>0</v>
      </c>
      <c r="B300" s="494">
        <f>+'Balance N'!B272</f>
        <v>0</v>
      </c>
      <c r="C300" s="592">
        <f>ROUND('Balance N'!C272,2)</f>
        <v>0</v>
      </c>
      <c r="D300" s="592">
        <f>ROUND('Balance N'!D272,2)</f>
        <v>0</v>
      </c>
      <c r="E300" s="592">
        <f>ROUND('Balance N'!E272,2)</f>
        <v>0</v>
      </c>
      <c r="F300" s="592">
        <f>ROUND('Balance N'!F272,2)</f>
        <v>0</v>
      </c>
      <c r="G300" s="592">
        <f>ROUND('Balance N'!G272,2)</f>
        <v>0</v>
      </c>
      <c r="H300" s="592">
        <f>ROUND('Balance N'!H272,2)</f>
        <v>0</v>
      </c>
      <c r="I300" s="2" t="str">
        <f t="shared" si="7"/>
        <v>0</v>
      </c>
    </row>
    <row r="301" spans="1:9" x14ac:dyDescent="0.2">
      <c r="A301" s="495" t="str">
        <f>FIXED('Balance N'!A273,0,1)</f>
        <v>0</v>
      </c>
      <c r="B301" s="494">
        <f>+'Balance N'!B273</f>
        <v>0</v>
      </c>
      <c r="C301" s="592">
        <f>ROUND('Balance N'!C273,2)</f>
        <v>0</v>
      </c>
      <c r="D301" s="592">
        <f>ROUND('Balance N'!D273,2)</f>
        <v>0</v>
      </c>
      <c r="E301" s="592">
        <f>ROUND('Balance N'!E273,2)</f>
        <v>0</v>
      </c>
      <c r="F301" s="592">
        <f>ROUND('Balance N'!F273,2)</f>
        <v>0</v>
      </c>
      <c r="G301" s="592">
        <f>ROUND('Balance N'!G273,2)</f>
        <v>0</v>
      </c>
      <c r="H301" s="592">
        <f>ROUND('Balance N'!H273,2)</f>
        <v>0</v>
      </c>
      <c r="I301" s="2" t="str">
        <f t="shared" si="7"/>
        <v>0</v>
      </c>
    </row>
    <row r="302" spans="1:9" x14ac:dyDescent="0.2">
      <c r="A302" s="495" t="str">
        <f>FIXED('Balance N'!A274,0,1)</f>
        <v>0</v>
      </c>
      <c r="B302" s="494">
        <f>+'Balance N'!B274</f>
        <v>0</v>
      </c>
      <c r="C302" s="592">
        <f>ROUND('Balance N'!C274,2)</f>
        <v>0</v>
      </c>
      <c r="D302" s="592">
        <f>ROUND('Balance N'!D274,2)</f>
        <v>0</v>
      </c>
      <c r="E302" s="592">
        <f>ROUND('Balance N'!E274,2)</f>
        <v>0</v>
      </c>
      <c r="F302" s="592">
        <f>ROUND('Balance N'!F274,2)</f>
        <v>0</v>
      </c>
      <c r="G302" s="592">
        <f>ROUND('Balance N'!G274,2)</f>
        <v>0</v>
      </c>
      <c r="H302" s="592">
        <f>ROUND('Balance N'!H274,2)</f>
        <v>0</v>
      </c>
      <c r="I302" s="2" t="str">
        <f t="shared" si="7"/>
        <v>0</v>
      </c>
    </row>
    <row r="303" spans="1:9" x14ac:dyDescent="0.2">
      <c r="A303" s="495" t="str">
        <f>FIXED('Balance N'!A275,0,1)</f>
        <v>0</v>
      </c>
      <c r="B303" s="494">
        <f>+'Balance N'!B275</f>
        <v>0</v>
      </c>
      <c r="C303" s="592">
        <f>ROUND('Balance N'!C275,2)</f>
        <v>0</v>
      </c>
      <c r="D303" s="592">
        <f>ROUND('Balance N'!D275,2)</f>
        <v>0</v>
      </c>
      <c r="E303" s="592">
        <f>ROUND('Balance N'!E275,2)</f>
        <v>0</v>
      </c>
      <c r="F303" s="592">
        <f>ROUND('Balance N'!F275,2)</f>
        <v>0</v>
      </c>
      <c r="G303" s="592">
        <f>ROUND('Balance N'!G275,2)</f>
        <v>0</v>
      </c>
      <c r="H303" s="592">
        <f>ROUND('Balance N'!H275,2)</f>
        <v>0</v>
      </c>
      <c r="I303" s="2" t="str">
        <f t="shared" si="7"/>
        <v>0</v>
      </c>
    </row>
    <row r="304" spans="1:9" x14ac:dyDescent="0.2">
      <c r="A304" s="495" t="str">
        <f>FIXED('Balance N'!A276,0,1)</f>
        <v>0</v>
      </c>
      <c r="B304" s="494">
        <f>+'Balance N'!B276</f>
        <v>0</v>
      </c>
      <c r="C304" s="592">
        <f>ROUND('Balance N'!C276,2)</f>
        <v>0</v>
      </c>
      <c r="D304" s="592">
        <f>ROUND('Balance N'!D276,2)</f>
        <v>0</v>
      </c>
      <c r="E304" s="592">
        <f>ROUND('Balance N'!E276,2)</f>
        <v>0</v>
      </c>
      <c r="F304" s="592">
        <f>ROUND('Balance N'!F276,2)</f>
        <v>0</v>
      </c>
      <c r="G304" s="592">
        <f>ROUND('Balance N'!G276,2)</f>
        <v>0</v>
      </c>
      <c r="H304" s="592">
        <f>ROUND('Balance N'!H276,2)</f>
        <v>0</v>
      </c>
      <c r="I304" s="2" t="str">
        <f t="shared" si="7"/>
        <v>0</v>
      </c>
    </row>
    <row r="305" spans="1:9" x14ac:dyDescent="0.2">
      <c r="A305" s="495" t="str">
        <f>FIXED('Balance N'!A277,0,1)</f>
        <v>0</v>
      </c>
      <c r="B305" s="494">
        <f>+'Balance N'!B277</f>
        <v>0</v>
      </c>
      <c r="C305" s="592">
        <f>ROUND('Balance N'!C277,2)</f>
        <v>0</v>
      </c>
      <c r="D305" s="592">
        <f>ROUND('Balance N'!D277,2)</f>
        <v>0</v>
      </c>
      <c r="E305" s="592">
        <f>ROUND('Balance N'!E277,2)</f>
        <v>0</v>
      </c>
      <c r="F305" s="592">
        <f>ROUND('Balance N'!F277,2)</f>
        <v>0</v>
      </c>
      <c r="G305" s="592">
        <f>ROUND('Balance N'!G277,2)</f>
        <v>0</v>
      </c>
      <c r="H305" s="592">
        <f>ROUND('Balance N'!H277,2)</f>
        <v>0</v>
      </c>
      <c r="I305" s="2" t="str">
        <f t="shared" si="7"/>
        <v>0</v>
      </c>
    </row>
    <row r="306" spans="1:9" x14ac:dyDescent="0.2">
      <c r="A306" s="495" t="str">
        <f>FIXED('Balance N'!A278,0,1)</f>
        <v>0</v>
      </c>
      <c r="B306" s="494">
        <f>+'Balance N'!B278</f>
        <v>0</v>
      </c>
      <c r="C306" s="592">
        <f>ROUND('Balance N'!C278,2)</f>
        <v>0</v>
      </c>
      <c r="D306" s="592">
        <f>ROUND('Balance N'!D278,2)</f>
        <v>0</v>
      </c>
      <c r="E306" s="592">
        <f>ROUND('Balance N'!E278,2)</f>
        <v>0</v>
      </c>
      <c r="F306" s="592">
        <f>ROUND('Balance N'!F278,2)</f>
        <v>0</v>
      </c>
      <c r="G306" s="592">
        <f>ROUND('Balance N'!G278,2)</f>
        <v>0</v>
      </c>
      <c r="H306" s="592">
        <f>ROUND('Balance N'!H278,2)</f>
        <v>0</v>
      </c>
      <c r="I306" s="2" t="str">
        <f t="shared" si="7"/>
        <v>0</v>
      </c>
    </row>
    <row r="307" spans="1:9" x14ac:dyDescent="0.2">
      <c r="A307" s="495" t="str">
        <f>FIXED('Balance N'!A279,0,1)</f>
        <v>0</v>
      </c>
      <c r="B307" s="494">
        <f>+'Balance N'!B279</f>
        <v>0</v>
      </c>
      <c r="C307" s="592">
        <f>ROUND('Balance N'!C279,2)</f>
        <v>0</v>
      </c>
      <c r="D307" s="592">
        <f>ROUND('Balance N'!D279,2)</f>
        <v>0</v>
      </c>
      <c r="E307" s="592">
        <f>ROUND('Balance N'!E279,2)</f>
        <v>0</v>
      </c>
      <c r="F307" s="592">
        <f>ROUND('Balance N'!F279,2)</f>
        <v>0</v>
      </c>
      <c r="G307" s="592">
        <f>ROUND('Balance N'!G279,2)</f>
        <v>0</v>
      </c>
      <c r="H307" s="592">
        <f>ROUND('Balance N'!H279,2)</f>
        <v>0</v>
      </c>
      <c r="I307" s="2" t="str">
        <f t="shared" si="7"/>
        <v>0</v>
      </c>
    </row>
    <row r="308" spans="1:9" x14ac:dyDescent="0.2">
      <c r="A308" s="495" t="str">
        <f>FIXED('Balance N'!A280,0,1)</f>
        <v>0</v>
      </c>
      <c r="B308" s="494">
        <f>+'Balance N'!B280</f>
        <v>0</v>
      </c>
      <c r="C308" s="592">
        <f>ROUND('Balance N'!C280,2)</f>
        <v>0</v>
      </c>
      <c r="D308" s="592">
        <f>ROUND('Balance N'!D280,2)</f>
        <v>0</v>
      </c>
      <c r="E308" s="592">
        <f>ROUND('Balance N'!E280,2)</f>
        <v>0</v>
      </c>
      <c r="F308" s="592">
        <f>ROUND('Balance N'!F280,2)</f>
        <v>0</v>
      </c>
      <c r="G308" s="592">
        <f>ROUND('Balance N'!G280,2)</f>
        <v>0</v>
      </c>
      <c r="H308" s="592">
        <f>ROUND('Balance N'!H280,2)</f>
        <v>0</v>
      </c>
      <c r="I308" s="2" t="str">
        <f t="shared" si="7"/>
        <v>0</v>
      </c>
    </row>
    <row r="309" spans="1:9" x14ac:dyDescent="0.2">
      <c r="A309" s="495" t="str">
        <f>FIXED('Balance N'!A281,0,1)</f>
        <v>0</v>
      </c>
      <c r="B309" s="494">
        <f>+'Balance N'!B281</f>
        <v>0</v>
      </c>
      <c r="C309" s="592">
        <f>ROUND('Balance N'!C281,2)</f>
        <v>0</v>
      </c>
      <c r="D309" s="592">
        <f>ROUND('Balance N'!D281,2)</f>
        <v>0</v>
      </c>
      <c r="E309" s="592">
        <f>ROUND('Balance N'!E281,2)</f>
        <v>0</v>
      </c>
      <c r="F309" s="592">
        <f>ROUND('Balance N'!F281,2)</f>
        <v>0</v>
      </c>
      <c r="G309" s="592">
        <f>ROUND('Balance N'!G281,2)</f>
        <v>0</v>
      </c>
      <c r="H309" s="592">
        <f>ROUND('Balance N'!H281,2)</f>
        <v>0</v>
      </c>
      <c r="I309" s="2" t="str">
        <f t="shared" si="7"/>
        <v>0</v>
      </c>
    </row>
    <row r="310" spans="1:9" x14ac:dyDescent="0.2">
      <c r="A310" s="495" t="str">
        <f>FIXED('Balance N'!A282,0,1)</f>
        <v>0</v>
      </c>
      <c r="B310" s="494">
        <f>+'Balance N'!B282</f>
        <v>0</v>
      </c>
      <c r="C310" s="592">
        <f>ROUND('Balance N'!C282,2)</f>
        <v>0</v>
      </c>
      <c r="D310" s="592">
        <f>ROUND('Balance N'!D282,2)</f>
        <v>0</v>
      </c>
      <c r="E310" s="592">
        <f>ROUND('Balance N'!E282,2)</f>
        <v>0</v>
      </c>
      <c r="F310" s="592">
        <f>ROUND('Balance N'!F282,2)</f>
        <v>0</v>
      </c>
      <c r="G310" s="592">
        <f>ROUND('Balance N'!G282,2)</f>
        <v>0</v>
      </c>
      <c r="H310" s="592">
        <f>ROUND('Balance N'!H282,2)</f>
        <v>0</v>
      </c>
      <c r="I310" s="2" t="str">
        <f t="shared" si="7"/>
        <v>0</v>
      </c>
    </row>
    <row r="311" spans="1:9" x14ac:dyDescent="0.2">
      <c r="A311" s="495" t="str">
        <f>FIXED('Balance N'!A283,0,1)</f>
        <v>0</v>
      </c>
      <c r="B311" s="494">
        <f>+'Balance N'!B283</f>
        <v>0</v>
      </c>
      <c r="C311" s="592">
        <f>ROUND('Balance N'!C283,2)</f>
        <v>0</v>
      </c>
      <c r="D311" s="592">
        <f>ROUND('Balance N'!D283,2)</f>
        <v>0</v>
      </c>
      <c r="E311" s="592">
        <f>ROUND('Balance N'!E283,2)</f>
        <v>0</v>
      </c>
      <c r="F311" s="592">
        <f>ROUND('Balance N'!F283,2)</f>
        <v>0</v>
      </c>
      <c r="G311" s="592">
        <f>ROUND('Balance N'!G283,2)</f>
        <v>0</v>
      </c>
      <c r="H311" s="592">
        <f>ROUND('Balance N'!H283,2)</f>
        <v>0</v>
      </c>
      <c r="I311" s="2" t="str">
        <f t="shared" si="7"/>
        <v>0</v>
      </c>
    </row>
    <row r="312" spans="1:9" x14ac:dyDescent="0.2">
      <c r="A312" s="495" t="str">
        <f>FIXED('Balance N'!A284,0,1)</f>
        <v>0</v>
      </c>
      <c r="B312" s="494">
        <f>+'Balance N'!B284</f>
        <v>0</v>
      </c>
      <c r="C312" s="592">
        <f>ROUND('Balance N'!C284,2)</f>
        <v>0</v>
      </c>
      <c r="D312" s="592">
        <f>ROUND('Balance N'!D284,2)</f>
        <v>0</v>
      </c>
      <c r="E312" s="592">
        <f>ROUND('Balance N'!E284,2)</f>
        <v>0</v>
      </c>
      <c r="F312" s="592">
        <f>ROUND('Balance N'!F284,2)</f>
        <v>0</v>
      </c>
      <c r="G312" s="592">
        <f>ROUND('Balance N'!G284,2)</f>
        <v>0</v>
      </c>
      <c r="H312" s="592">
        <f>ROUND('Balance N'!H284,2)</f>
        <v>0</v>
      </c>
      <c r="I312" s="2" t="str">
        <f t="shared" si="7"/>
        <v>0</v>
      </c>
    </row>
    <row r="313" spans="1:9" x14ac:dyDescent="0.2">
      <c r="A313" s="495" t="str">
        <f>FIXED('Balance N'!A285,0,1)</f>
        <v>0</v>
      </c>
      <c r="B313" s="494">
        <f>+'Balance N'!B285</f>
        <v>0</v>
      </c>
      <c r="C313" s="592">
        <f>ROUND('Balance N'!C285,2)</f>
        <v>0</v>
      </c>
      <c r="D313" s="592">
        <f>ROUND('Balance N'!D285,2)</f>
        <v>0</v>
      </c>
      <c r="E313" s="592">
        <f>ROUND('Balance N'!E285,2)</f>
        <v>0</v>
      </c>
      <c r="F313" s="592">
        <f>ROUND('Balance N'!F285,2)</f>
        <v>0</v>
      </c>
      <c r="G313" s="592">
        <f>ROUND('Balance N'!G285,2)</f>
        <v>0</v>
      </c>
      <c r="H313" s="592">
        <f>ROUND('Balance N'!H285,2)</f>
        <v>0</v>
      </c>
      <c r="I313" s="2" t="str">
        <f t="shared" si="7"/>
        <v>0</v>
      </c>
    </row>
    <row r="314" spans="1:9" x14ac:dyDescent="0.2">
      <c r="A314" s="495" t="str">
        <f>FIXED('Balance N'!A286,0,1)</f>
        <v>0</v>
      </c>
      <c r="B314" s="494">
        <f>+'Balance N'!B286</f>
        <v>0</v>
      </c>
      <c r="C314" s="592">
        <f>ROUND('Balance N'!C286,2)</f>
        <v>0</v>
      </c>
      <c r="D314" s="592">
        <f>ROUND('Balance N'!D286,2)</f>
        <v>0</v>
      </c>
      <c r="E314" s="592">
        <f>ROUND('Balance N'!E286,2)</f>
        <v>0</v>
      </c>
      <c r="F314" s="592">
        <f>ROUND('Balance N'!F286,2)</f>
        <v>0</v>
      </c>
      <c r="G314" s="592">
        <f>ROUND('Balance N'!G286,2)</f>
        <v>0</v>
      </c>
      <c r="H314" s="592">
        <f>ROUND('Balance N'!H286,2)</f>
        <v>0</v>
      </c>
      <c r="I314" s="2" t="str">
        <f t="shared" si="7"/>
        <v>0</v>
      </c>
    </row>
    <row r="315" spans="1:9" x14ac:dyDescent="0.2">
      <c r="A315" s="495" t="str">
        <f>FIXED('Balance N'!A287,0,1)</f>
        <v>0</v>
      </c>
      <c r="B315" s="494">
        <f>+'Balance N'!B287</f>
        <v>0</v>
      </c>
      <c r="C315" s="592">
        <f>ROUND('Balance N'!C287,2)</f>
        <v>0</v>
      </c>
      <c r="D315" s="592">
        <f>ROUND('Balance N'!D287,2)</f>
        <v>0</v>
      </c>
      <c r="E315" s="592">
        <f>ROUND('Balance N'!E287,2)</f>
        <v>0</v>
      </c>
      <c r="F315" s="592">
        <f>ROUND('Balance N'!F287,2)</f>
        <v>0</v>
      </c>
      <c r="G315" s="592">
        <f>ROUND('Balance N'!G287,2)</f>
        <v>0</v>
      </c>
      <c r="H315" s="592">
        <f>ROUND('Balance N'!H287,2)</f>
        <v>0</v>
      </c>
      <c r="I315" s="2" t="str">
        <f t="shared" si="7"/>
        <v>0</v>
      </c>
    </row>
    <row r="316" spans="1:9" x14ac:dyDescent="0.2">
      <c r="A316" s="495" t="str">
        <f>FIXED('Balance N'!A288,0,1)</f>
        <v>0</v>
      </c>
      <c r="B316" s="494">
        <f>+'Balance N'!B288</f>
        <v>0</v>
      </c>
      <c r="C316" s="592">
        <f>ROUND('Balance N'!C288,2)</f>
        <v>0</v>
      </c>
      <c r="D316" s="592">
        <f>ROUND('Balance N'!D288,2)</f>
        <v>0</v>
      </c>
      <c r="E316" s="592">
        <f>ROUND('Balance N'!E288,2)</f>
        <v>0</v>
      </c>
      <c r="F316" s="592">
        <f>ROUND('Balance N'!F288,2)</f>
        <v>0</v>
      </c>
      <c r="G316" s="592">
        <f>ROUND('Balance N'!G288,2)</f>
        <v>0</v>
      </c>
      <c r="H316" s="592">
        <f>ROUND('Balance N'!H288,2)</f>
        <v>0</v>
      </c>
      <c r="I316" s="2" t="str">
        <f t="shared" si="7"/>
        <v>0</v>
      </c>
    </row>
    <row r="317" spans="1:9" x14ac:dyDescent="0.2">
      <c r="A317" s="495" t="str">
        <f>FIXED('Balance N'!A289,0,1)</f>
        <v>0</v>
      </c>
      <c r="B317" s="494">
        <f>+'Balance N'!B289</f>
        <v>0</v>
      </c>
      <c r="C317" s="592">
        <f>ROUND('Balance N'!C289,2)</f>
        <v>0</v>
      </c>
      <c r="D317" s="592">
        <f>ROUND('Balance N'!D289,2)</f>
        <v>0</v>
      </c>
      <c r="E317" s="592">
        <f>ROUND('Balance N'!E289,2)</f>
        <v>0</v>
      </c>
      <c r="F317" s="592">
        <f>ROUND('Balance N'!F289,2)</f>
        <v>0</v>
      </c>
      <c r="G317" s="592">
        <f>ROUND('Balance N'!G289,2)</f>
        <v>0</v>
      </c>
      <c r="H317" s="592">
        <f>ROUND('Balance N'!H289,2)</f>
        <v>0</v>
      </c>
      <c r="I317" s="2" t="str">
        <f t="shared" si="7"/>
        <v>0</v>
      </c>
    </row>
    <row r="318" spans="1:9" x14ac:dyDescent="0.2">
      <c r="A318" s="495" t="str">
        <f>FIXED('Balance N'!A290,0,1)</f>
        <v>0</v>
      </c>
      <c r="B318" s="494">
        <f>+'Balance N'!B290</f>
        <v>0</v>
      </c>
      <c r="C318" s="592">
        <f>ROUND('Balance N'!C290,2)</f>
        <v>0</v>
      </c>
      <c r="D318" s="592">
        <f>ROUND('Balance N'!D290,2)</f>
        <v>0</v>
      </c>
      <c r="E318" s="592">
        <f>ROUND('Balance N'!E290,2)</f>
        <v>0</v>
      </c>
      <c r="F318" s="592">
        <f>ROUND('Balance N'!F290,2)</f>
        <v>0</v>
      </c>
      <c r="G318" s="592">
        <f>ROUND('Balance N'!G290,2)</f>
        <v>0</v>
      </c>
      <c r="H318" s="592">
        <f>ROUND('Balance N'!H290,2)</f>
        <v>0</v>
      </c>
      <c r="I318" s="2" t="str">
        <f t="shared" si="7"/>
        <v>0</v>
      </c>
    </row>
    <row r="319" spans="1:9" x14ac:dyDescent="0.2">
      <c r="A319" s="495" t="str">
        <f>FIXED('Balance N'!A291,0,1)</f>
        <v>0</v>
      </c>
      <c r="B319" s="494">
        <f>+'Balance N'!B291</f>
        <v>0</v>
      </c>
      <c r="C319" s="592">
        <f>ROUND('Balance N'!C291,2)</f>
        <v>0</v>
      </c>
      <c r="D319" s="592">
        <f>ROUND('Balance N'!D291,2)</f>
        <v>0</v>
      </c>
      <c r="E319" s="592">
        <f>ROUND('Balance N'!E291,2)</f>
        <v>0</v>
      </c>
      <c r="F319" s="592">
        <f>ROUND('Balance N'!F291,2)</f>
        <v>0</v>
      </c>
      <c r="G319" s="592">
        <f>ROUND('Balance N'!G291,2)</f>
        <v>0</v>
      </c>
      <c r="H319" s="592">
        <f>ROUND('Balance N'!H291,2)</f>
        <v>0</v>
      </c>
      <c r="I319" s="2" t="str">
        <f t="shared" si="7"/>
        <v>0</v>
      </c>
    </row>
    <row r="320" spans="1:9" x14ac:dyDescent="0.2">
      <c r="A320" s="495" t="str">
        <f>FIXED('Balance N'!A292,0,1)</f>
        <v>0</v>
      </c>
      <c r="B320" s="494">
        <f>+'Balance N'!B292</f>
        <v>0</v>
      </c>
      <c r="C320" s="592">
        <f>ROUND('Balance N'!C292,2)</f>
        <v>0</v>
      </c>
      <c r="D320" s="592">
        <f>ROUND('Balance N'!D292,2)</f>
        <v>0</v>
      </c>
      <c r="E320" s="592">
        <f>ROUND('Balance N'!E292,2)</f>
        <v>0</v>
      </c>
      <c r="F320" s="592">
        <f>ROUND('Balance N'!F292,2)</f>
        <v>0</v>
      </c>
      <c r="G320" s="592">
        <f>ROUND('Balance N'!G292,2)</f>
        <v>0</v>
      </c>
      <c r="H320" s="592">
        <f>ROUND('Balance N'!H292,2)</f>
        <v>0</v>
      </c>
      <c r="I320" s="2" t="str">
        <f t="shared" si="7"/>
        <v>0</v>
      </c>
    </row>
    <row r="321" spans="1:9" x14ac:dyDescent="0.2">
      <c r="A321" s="495" t="str">
        <f>FIXED('Balance N'!A293,0,1)</f>
        <v>0</v>
      </c>
      <c r="B321" s="494">
        <f>+'Balance N'!B293</f>
        <v>0</v>
      </c>
      <c r="C321" s="592">
        <f>ROUND('Balance N'!C293,2)</f>
        <v>0</v>
      </c>
      <c r="D321" s="592">
        <f>ROUND('Balance N'!D293,2)</f>
        <v>0</v>
      </c>
      <c r="E321" s="592">
        <f>ROUND('Balance N'!E293,2)</f>
        <v>0</v>
      </c>
      <c r="F321" s="592">
        <f>ROUND('Balance N'!F293,2)</f>
        <v>0</v>
      </c>
      <c r="G321" s="592">
        <f>ROUND('Balance N'!G293,2)</f>
        <v>0</v>
      </c>
      <c r="H321" s="592">
        <f>ROUND('Balance N'!H293,2)</f>
        <v>0</v>
      </c>
      <c r="I321" s="2" t="str">
        <f t="shared" si="7"/>
        <v>0</v>
      </c>
    </row>
    <row r="322" spans="1:9" x14ac:dyDescent="0.2">
      <c r="A322" s="495" t="str">
        <f>FIXED('Balance N'!A294,0,1)</f>
        <v>0</v>
      </c>
      <c r="B322" s="494">
        <f>+'Balance N'!B294</f>
        <v>0</v>
      </c>
      <c r="C322" s="592">
        <f>ROUND('Balance N'!C294,2)</f>
        <v>0</v>
      </c>
      <c r="D322" s="592">
        <f>ROUND('Balance N'!D294,2)</f>
        <v>0</v>
      </c>
      <c r="E322" s="592">
        <f>ROUND('Balance N'!E294,2)</f>
        <v>0</v>
      </c>
      <c r="F322" s="592">
        <f>ROUND('Balance N'!F294,2)</f>
        <v>0</v>
      </c>
      <c r="G322" s="592">
        <f>ROUND('Balance N'!G294,2)</f>
        <v>0</v>
      </c>
      <c r="H322" s="592">
        <f>ROUND('Balance N'!H294,2)</f>
        <v>0</v>
      </c>
      <c r="I322" s="2" t="str">
        <f t="shared" ref="I322:I385" si="8">MID(A322,1,1)</f>
        <v>0</v>
      </c>
    </row>
    <row r="323" spans="1:9" x14ac:dyDescent="0.2">
      <c r="A323" s="495" t="str">
        <f>FIXED('Balance N'!A295,0,1)</f>
        <v>0</v>
      </c>
      <c r="B323" s="494">
        <f>+'Balance N'!B295</f>
        <v>0</v>
      </c>
      <c r="C323" s="592">
        <f>ROUND('Balance N'!C295,2)</f>
        <v>0</v>
      </c>
      <c r="D323" s="592">
        <f>ROUND('Balance N'!D295,2)</f>
        <v>0</v>
      </c>
      <c r="E323" s="592">
        <f>ROUND('Balance N'!E295,2)</f>
        <v>0</v>
      </c>
      <c r="F323" s="592">
        <f>ROUND('Balance N'!F295,2)</f>
        <v>0</v>
      </c>
      <c r="G323" s="592">
        <f>ROUND('Balance N'!G295,2)</f>
        <v>0</v>
      </c>
      <c r="H323" s="592">
        <f>ROUND('Balance N'!H295,2)</f>
        <v>0</v>
      </c>
      <c r="I323" s="2" t="str">
        <f t="shared" si="8"/>
        <v>0</v>
      </c>
    </row>
    <row r="324" spans="1:9" x14ac:dyDescent="0.2">
      <c r="A324" s="495" t="str">
        <f>FIXED('Balance N'!A296,0,1)</f>
        <v>0</v>
      </c>
      <c r="B324" s="494">
        <f>+'Balance N'!B296</f>
        <v>0</v>
      </c>
      <c r="C324" s="592">
        <f>ROUND('Balance N'!C296,2)</f>
        <v>0</v>
      </c>
      <c r="D324" s="592">
        <f>ROUND('Balance N'!D296,2)</f>
        <v>0</v>
      </c>
      <c r="E324" s="592">
        <f>ROUND('Balance N'!E296,2)</f>
        <v>0</v>
      </c>
      <c r="F324" s="592">
        <f>ROUND('Balance N'!F296,2)</f>
        <v>0</v>
      </c>
      <c r="G324" s="592">
        <f>ROUND('Balance N'!G296,2)</f>
        <v>0</v>
      </c>
      <c r="H324" s="592">
        <f>ROUND('Balance N'!H296,2)</f>
        <v>0</v>
      </c>
      <c r="I324" s="2" t="str">
        <f t="shared" si="8"/>
        <v>0</v>
      </c>
    </row>
    <row r="325" spans="1:9" x14ac:dyDescent="0.2">
      <c r="A325" s="495" t="str">
        <f>FIXED('Balance N'!A297,0,1)</f>
        <v>0</v>
      </c>
      <c r="B325" s="494">
        <f>+'Balance N'!B297</f>
        <v>0</v>
      </c>
      <c r="C325" s="592">
        <f>ROUND('Balance N'!C297,2)</f>
        <v>0</v>
      </c>
      <c r="D325" s="592">
        <f>ROUND('Balance N'!D297,2)</f>
        <v>0</v>
      </c>
      <c r="E325" s="592">
        <f>ROUND('Balance N'!E297,2)</f>
        <v>0</v>
      </c>
      <c r="F325" s="592">
        <f>ROUND('Balance N'!F297,2)</f>
        <v>0</v>
      </c>
      <c r="G325" s="592">
        <f>ROUND('Balance N'!G297,2)</f>
        <v>0</v>
      </c>
      <c r="H325" s="592">
        <f>ROUND('Balance N'!H297,2)</f>
        <v>0</v>
      </c>
      <c r="I325" s="2" t="str">
        <f t="shared" si="8"/>
        <v>0</v>
      </c>
    </row>
    <row r="326" spans="1:9" x14ac:dyDescent="0.2">
      <c r="A326" s="495" t="str">
        <f>FIXED('Balance N'!A298,0,1)</f>
        <v>0</v>
      </c>
      <c r="B326" s="494">
        <f>+'Balance N'!B298</f>
        <v>0</v>
      </c>
      <c r="C326" s="592">
        <f>ROUND('Balance N'!C298,2)</f>
        <v>0</v>
      </c>
      <c r="D326" s="592">
        <f>ROUND('Balance N'!D298,2)</f>
        <v>0</v>
      </c>
      <c r="E326" s="592">
        <f>ROUND('Balance N'!E298,2)</f>
        <v>0</v>
      </c>
      <c r="F326" s="592">
        <f>ROUND('Balance N'!F298,2)</f>
        <v>0</v>
      </c>
      <c r="G326" s="592">
        <f>ROUND('Balance N'!G298,2)</f>
        <v>0</v>
      </c>
      <c r="H326" s="592">
        <f>ROUND('Balance N'!H298,2)</f>
        <v>0</v>
      </c>
      <c r="I326" s="2" t="str">
        <f t="shared" si="8"/>
        <v>0</v>
      </c>
    </row>
    <row r="327" spans="1:9" x14ac:dyDescent="0.2">
      <c r="A327" s="495" t="str">
        <f>FIXED('Balance N'!A299,0,1)</f>
        <v>0</v>
      </c>
      <c r="B327" s="494">
        <f>+'Balance N'!B299</f>
        <v>0</v>
      </c>
      <c r="C327" s="592">
        <f>ROUND('Balance N'!C299,2)</f>
        <v>0</v>
      </c>
      <c r="D327" s="592">
        <f>ROUND('Balance N'!D299,2)</f>
        <v>0</v>
      </c>
      <c r="E327" s="592">
        <f>ROUND('Balance N'!E299,2)</f>
        <v>0</v>
      </c>
      <c r="F327" s="592">
        <f>ROUND('Balance N'!F299,2)</f>
        <v>0</v>
      </c>
      <c r="G327" s="592">
        <f>ROUND('Balance N'!G299,2)</f>
        <v>0</v>
      </c>
      <c r="H327" s="592">
        <f>ROUND('Balance N'!H299,2)</f>
        <v>0</v>
      </c>
      <c r="I327" s="2" t="str">
        <f t="shared" si="8"/>
        <v>0</v>
      </c>
    </row>
    <row r="328" spans="1:9" x14ac:dyDescent="0.2">
      <c r="A328" s="495" t="str">
        <f>FIXED('Balance N'!A300,0,1)</f>
        <v>0</v>
      </c>
      <c r="B328" s="494">
        <f>+'Balance N'!B300</f>
        <v>0</v>
      </c>
      <c r="C328" s="592">
        <f>ROUND('Balance N'!C300,2)</f>
        <v>0</v>
      </c>
      <c r="D328" s="592">
        <f>ROUND('Balance N'!D300,2)</f>
        <v>0</v>
      </c>
      <c r="E328" s="592">
        <f>ROUND('Balance N'!E300,2)</f>
        <v>0</v>
      </c>
      <c r="F328" s="592">
        <f>ROUND('Balance N'!F300,2)</f>
        <v>0</v>
      </c>
      <c r="G328" s="592">
        <f>ROUND('Balance N'!G300,2)</f>
        <v>0</v>
      </c>
      <c r="H328" s="592">
        <f>ROUND('Balance N'!H300,2)</f>
        <v>0</v>
      </c>
      <c r="I328" s="2" t="str">
        <f t="shared" si="8"/>
        <v>0</v>
      </c>
    </row>
    <row r="329" spans="1:9" x14ac:dyDescent="0.2">
      <c r="A329" s="495" t="str">
        <f>FIXED('Balance N'!A301,0,1)</f>
        <v>0</v>
      </c>
      <c r="B329" s="494">
        <f>+'Balance N'!B301</f>
        <v>0</v>
      </c>
      <c r="C329" s="592">
        <f>ROUND('Balance N'!C301,2)</f>
        <v>0</v>
      </c>
      <c r="D329" s="592">
        <f>ROUND('Balance N'!D301,2)</f>
        <v>0</v>
      </c>
      <c r="E329" s="592">
        <f>ROUND('Balance N'!E301,2)</f>
        <v>0</v>
      </c>
      <c r="F329" s="592">
        <f>ROUND('Balance N'!F301,2)</f>
        <v>0</v>
      </c>
      <c r="G329" s="592">
        <f>ROUND('Balance N'!G301,2)</f>
        <v>0</v>
      </c>
      <c r="H329" s="592">
        <f>ROUND('Balance N'!H301,2)</f>
        <v>0</v>
      </c>
      <c r="I329" s="2" t="str">
        <f t="shared" si="8"/>
        <v>0</v>
      </c>
    </row>
    <row r="330" spans="1:9" x14ac:dyDescent="0.2">
      <c r="A330" s="495" t="str">
        <f>FIXED('Balance N'!A302,0,1)</f>
        <v>0</v>
      </c>
      <c r="B330" s="494">
        <f>+'Balance N'!B302</f>
        <v>0</v>
      </c>
      <c r="C330" s="592">
        <f>ROUND('Balance N'!C302,2)</f>
        <v>0</v>
      </c>
      <c r="D330" s="592">
        <f>ROUND('Balance N'!D302,2)</f>
        <v>0</v>
      </c>
      <c r="E330" s="592">
        <f>ROUND('Balance N'!E302,2)</f>
        <v>0</v>
      </c>
      <c r="F330" s="592">
        <f>ROUND('Balance N'!F302,2)</f>
        <v>0</v>
      </c>
      <c r="G330" s="592">
        <f>ROUND('Balance N'!G302,2)</f>
        <v>0</v>
      </c>
      <c r="H330" s="592">
        <f>ROUND('Balance N'!H302,2)</f>
        <v>0</v>
      </c>
      <c r="I330" s="2" t="str">
        <f t="shared" si="8"/>
        <v>0</v>
      </c>
    </row>
    <row r="331" spans="1:9" x14ac:dyDescent="0.2">
      <c r="A331" s="495" t="str">
        <f>FIXED('Balance N'!A303,0,1)</f>
        <v>0</v>
      </c>
      <c r="B331" s="494">
        <f>+'Balance N'!B303</f>
        <v>0</v>
      </c>
      <c r="C331" s="592">
        <f>ROUND('Balance N'!C303,2)</f>
        <v>0</v>
      </c>
      <c r="D331" s="592">
        <f>ROUND('Balance N'!D303,2)</f>
        <v>0</v>
      </c>
      <c r="E331" s="592">
        <f>ROUND('Balance N'!E303,2)</f>
        <v>0</v>
      </c>
      <c r="F331" s="592">
        <f>ROUND('Balance N'!F303,2)</f>
        <v>0</v>
      </c>
      <c r="G331" s="592">
        <f>ROUND('Balance N'!G303,2)</f>
        <v>0</v>
      </c>
      <c r="H331" s="592">
        <f>ROUND('Balance N'!H303,2)</f>
        <v>0</v>
      </c>
      <c r="I331" s="2" t="str">
        <f t="shared" si="8"/>
        <v>0</v>
      </c>
    </row>
    <row r="332" spans="1:9" x14ac:dyDescent="0.2">
      <c r="A332" s="495" t="str">
        <f>FIXED('Balance N'!A304,0,1)</f>
        <v>0</v>
      </c>
      <c r="B332" s="494">
        <f>+'Balance N'!B304</f>
        <v>0</v>
      </c>
      <c r="C332" s="592">
        <f>ROUND('Balance N'!C304,2)</f>
        <v>0</v>
      </c>
      <c r="D332" s="592">
        <f>ROUND('Balance N'!D304,2)</f>
        <v>0</v>
      </c>
      <c r="E332" s="592">
        <f>ROUND('Balance N'!E304,2)</f>
        <v>0</v>
      </c>
      <c r="F332" s="592">
        <f>ROUND('Balance N'!F304,2)</f>
        <v>0</v>
      </c>
      <c r="G332" s="592">
        <f>ROUND('Balance N'!G304,2)</f>
        <v>0</v>
      </c>
      <c r="H332" s="592">
        <f>ROUND('Balance N'!H304,2)</f>
        <v>0</v>
      </c>
      <c r="I332" s="2" t="str">
        <f t="shared" si="8"/>
        <v>0</v>
      </c>
    </row>
    <row r="333" spans="1:9" x14ac:dyDescent="0.2">
      <c r="A333" s="495" t="str">
        <f>FIXED('Balance N'!A305,0,1)</f>
        <v>0</v>
      </c>
      <c r="B333" s="494">
        <f>+'Balance N'!B305</f>
        <v>0</v>
      </c>
      <c r="C333" s="592">
        <f>ROUND('Balance N'!C305,2)</f>
        <v>0</v>
      </c>
      <c r="D333" s="592">
        <f>ROUND('Balance N'!D305,2)</f>
        <v>0</v>
      </c>
      <c r="E333" s="592">
        <f>ROUND('Balance N'!E305,2)</f>
        <v>0</v>
      </c>
      <c r="F333" s="592">
        <f>ROUND('Balance N'!F305,2)</f>
        <v>0</v>
      </c>
      <c r="G333" s="592">
        <f>ROUND('Balance N'!G305,2)</f>
        <v>0</v>
      </c>
      <c r="H333" s="592">
        <f>ROUND('Balance N'!H305,2)</f>
        <v>0</v>
      </c>
      <c r="I333" s="2" t="str">
        <f t="shared" si="8"/>
        <v>0</v>
      </c>
    </row>
    <row r="334" spans="1:9" x14ac:dyDescent="0.2">
      <c r="A334" s="495" t="str">
        <f>FIXED('Balance N'!A306,0,1)</f>
        <v>0</v>
      </c>
      <c r="B334" s="494">
        <f>+'Balance N'!B306</f>
        <v>0</v>
      </c>
      <c r="C334" s="592">
        <f>ROUND('Balance N'!C306,2)</f>
        <v>0</v>
      </c>
      <c r="D334" s="592">
        <f>ROUND('Balance N'!D306,2)</f>
        <v>0</v>
      </c>
      <c r="E334" s="592">
        <f>ROUND('Balance N'!E306,2)</f>
        <v>0</v>
      </c>
      <c r="F334" s="592">
        <f>ROUND('Balance N'!F306,2)</f>
        <v>0</v>
      </c>
      <c r="G334" s="592">
        <f>ROUND('Balance N'!G306,2)</f>
        <v>0</v>
      </c>
      <c r="H334" s="592">
        <f>ROUND('Balance N'!H306,2)</f>
        <v>0</v>
      </c>
      <c r="I334" s="2" t="str">
        <f t="shared" si="8"/>
        <v>0</v>
      </c>
    </row>
    <row r="335" spans="1:9" x14ac:dyDescent="0.2">
      <c r="A335" s="495" t="str">
        <f>FIXED('Balance N'!A307,0,1)</f>
        <v>0</v>
      </c>
      <c r="B335" s="494">
        <f>+'Balance N'!B307</f>
        <v>0</v>
      </c>
      <c r="C335" s="592">
        <f>ROUND('Balance N'!C307,2)</f>
        <v>0</v>
      </c>
      <c r="D335" s="592">
        <f>ROUND('Balance N'!D307,2)</f>
        <v>0</v>
      </c>
      <c r="E335" s="592">
        <f>ROUND('Balance N'!E307,2)</f>
        <v>0</v>
      </c>
      <c r="F335" s="592">
        <f>ROUND('Balance N'!F307,2)</f>
        <v>0</v>
      </c>
      <c r="G335" s="592">
        <f>ROUND('Balance N'!G307,2)</f>
        <v>0</v>
      </c>
      <c r="H335" s="592">
        <f>ROUND('Balance N'!H307,2)</f>
        <v>0</v>
      </c>
      <c r="I335" s="2" t="str">
        <f t="shared" si="8"/>
        <v>0</v>
      </c>
    </row>
    <row r="336" spans="1:9" x14ac:dyDescent="0.2">
      <c r="A336" s="495" t="str">
        <f>FIXED('Balance N'!A308,0,1)</f>
        <v>0</v>
      </c>
      <c r="B336" s="494">
        <f>+'Balance N'!B308</f>
        <v>0</v>
      </c>
      <c r="C336" s="592">
        <f>ROUND('Balance N'!C308,2)</f>
        <v>0</v>
      </c>
      <c r="D336" s="592">
        <f>ROUND('Balance N'!D308,2)</f>
        <v>0</v>
      </c>
      <c r="E336" s="592">
        <f>ROUND('Balance N'!E308,2)</f>
        <v>0</v>
      </c>
      <c r="F336" s="592">
        <f>ROUND('Balance N'!F308,2)</f>
        <v>0</v>
      </c>
      <c r="G336" s="592">
        <f>ROUND('Balance N'!G308,2)</f>
        <v>0</v>
      </c>
      <c r="H336" s="592">
        <f>ROUND('Balance N'!H308,2)</f>
        <v>0</v>
      </c>
      <c r="I336" s="2" t="str">
        <f t="shared" si="8"/>
        <v>0</v>
      </c>
    </row>
    <row r="337" spans="1:9" x14ac:dyDescent="0.2">
      <c r="A337" s="495" t="str">
        <f>FIXED('Balance N'!A309,0,1)</f>
        <v>0</v>
      </c>
      <c r="B337" s="494">
        <f>+'Balance N'!B309</f>
        <v>0</v>
      </c>
      <c r="C337" s="592">
        <f>ROUND('Balance N'!C309,2)</f>
        <v>0</v>
      </c>
      <c r="D337" s="592">
        <f>ROUND('Balance N'!D309,2)</f>
        <v>0</v>
      </c>
      <c r="E337" s="592">
        <f>ROUND('Balance N'!E309,2)</f>
        <v>0</v>
      </c>
      <c r="F337" s="592">
        <f>ROUND('Balance N'!F309,2)</f>
        <v>0</v>
      </c>
      <c r="G337" s="592">
        <f>ROUND('Balance N'!G309,2)</f>
        <v>0</v>
      </c>
      <c r="H337" s="592">
        <f>ROUND('Balance N'!H309,2)</f>
        <v>0</v>
      </c>
      <c r="I337" s="2" t="str">
        <f t="shared" si="8"/>
        <v>0</v>
      </c>
    </row>
    <row r="338" spans="1:9" x14ac:dyDescent="0.2">
      <c r="A338" s="495" t="str">
        <f>FIXED('Balance N'!A310,0,1)</f>
        <v>0</v>
      </c>
      <c r="B338" s="494">
        <f>+'Balance N'!B310</f>
        <v>0</v>
      </c>
      <c r="C338" s="592">
        <f>ROUND('Balance N'!C310,2)</f>
        <v>0</v>
      </c>
      <c r="D338" s="592">
        <f>ROUND('Balance N'!D310,2)</f>
        <v>0</v>
      </c>
      <c r="E338" s="592">
        <f>ROUND('Balance N'!E310,2)</f>
        <v>0</v>
      </c>
      <c r="F338" s="592">
        <f>ROUND('Balance N'!F310,2)</f>
        <v>0</v>
      </c>
      <c r="G338" s="592">
        <f>ROUND('Balance N'!G310,2)</f>
        <v>0</v>
      </c>
      <c r="H338" s="592">
        <f>ROUND('Balance N'!H310,2)</f>
        <v>0</v>
      </c>
      <c r="I338" s="2" t="str">
        <f t="shared" si="8"/>
        <v>0</v>
      </c>
    </row>
    <row r="339" spans="1:9" x14ac:dyDescent="0.2">
      <c r="A339" s="495" t="str">
        <f>FIXED('Balance N'!A311,0,1)</f>
        <v>0</v>
      </c>
      <c r="B339" s="494">
        <f>+'Balance N'!B311</f>
        <v>0</v>
      </c>
      <c r="C339" s="592">
        <f>ROUND('Balance N'!C311,2)</f>
        <v>0</v>
      </c>
      <c r="D339" s="592">
        <f>ROUND('Balance N'!D311,2)</f>
        <v>0</v>
      </c>
      <c r="E339" s="592">
        <f>ROUND('Balance N'!E311,2)</f>
        <v>0</v>
      </c>
      <c r="F339" s="592">
        <f>ROUND('Balance N'!F311,2)</f>
        <v>0</v>
      </c>
      <c r="G339" s="592">
        <f>ROUND('Balance N'!G311,2)</f>
        <v>0</v>
      </c>
      <c r="H339" s="592">
        <f>ROUND('Balance N'!H311,2)</f>
        <v>0</v>
      </c>
      <c r="I339" s="2" t="str">
        <f t="shared" si="8"/>
        <v>0</v>
      </c>
    </row>
    <row r="340" spans="1:9" x14ac:dyDescent="0.2">
      <c r="A340" s="495" t="str">
        <f>FIXED('Balance N'!A312,0,1)</f>
        <v>0</v>
      </c>
      <c r="B340" s="494">
        <f>+'Balance N'!B312</f>
        <v>0</v>
      </c>
      <c r="C340" s="592">
        <f>ROUND('Balance N'!C312,2)</f>
        <v>0</v>
      </c>
      <c r="D340" s="592">
        <f>ROUND('Balance N'!D312,2)</f>
        <v>0</v>
      </c>
      <c r="E340" s="592">
        <f>ROUND('Balance N'!E312,2)</f>
        <v>0</v>
      </c>
      <c r="F340" s="592">
        <f>ROUND('Balance N'!F312,2)</f>
        <v>0</v>
      </c>
      <c r="G340" s="592">
        <f>ROUND('Balance N'!G312,2)</f>
        <v>0</v>
      </c>
      <c r="H340" s="592">
        <f>ROUND('Balance N'!H312,2)</f>
        <v>0</v>
      </c>
      <c r="I340" s="2" t="str">
        <f t="shared" si="8"/>
        <v>0</v>
      </c>
    </row>
    <row r="341" spans="1:9" x14ac:dyDescent="0.2">
      <c r="A341" s="495" t="str">
        <f>FIXED('Balance N'!A313,0,1)</f>
        <v>0</v>
      </c>
      <c r="B341" s="494">
        <f>+'Balance N'!B313</f>
        <v>0</v>
      </c>
      <c r="C341" s="592">
        <f>ROUND('Balance N'!C313,2)</f>
        <v>0</v>
      </c>
      <c r="D341" s="592">
        <f>ROUND('Balance N'!D313,2)</f>
        <v>0</v>
      </c>
      <c r="E341" s="592">
        <f>ROUND('Balance N'!E313,2)</f>
        <v>0</v>
      </c>
      <c r="F341" s="592">
        <f>ROUND('Balance N'!F313,2)</f>
        <v>0</v>
      </c>
      <c r="G341" s="592">
        <f>ROUND('Balance N'!G313,2)</f>
        <v>0</v>
      </c>
      <c r="H341" s="592">
        <f>ROUND('Balance N'!H313,2)</f>
        <v>0</v>
      </c>
      <c r="I341" s="2" t="str">
        <f t="shared" si="8"/>
        <v>0</v>
      </c>
    </row>
    <row r="342" spans="1:9" x14ac:dyDescent="0.2">
      <c r="A342" s="495" t="str">
        <f>FIXED('Balance N'!A314,0,1)</f>
        <v>0</v>
      </c>
      <c r="B342" s="494">
        <f>+'Balance N'!B314</f>
        <v>0</v>
      </c>
      <c r="C342" s="592">
        <f>ROUND('Balance N'!C314,2)</f>
        <v>0</v>
      </c>
      <c r="D342" s="592">
        <f>ROUND('Balance N'!D314,2)</f>
        <v>0</v>
      </c>
      <c r="E342" s="592">
        <f>ROUND('Balance N'!E314,2)</f>
        <v>0</v>
      </c>
      <c r="F342" s="592">
        <f>ROUND('Balance N'!F314,2)</f>
        <v>0</v>
      </c>
      <c r="G342" s="592">
        <f>ROUND('Balance N'!G314,2)</f>
        <v>0</v>
      </c>
      <c r="H342" s="592">
        <f>ROUND('Balance N'!H314,2)</f>
        <v>0</v>
      </c>
      <c r="I342" s="2" t="str">
        <f t="shared" si="8"/>
        <v>0</v>
      </c>
    </row>
    <row r="343" spans="1:9" x14ac:dyDescent="0.2">
      <c r="A343" s="495" t="str">
        <f>FIXED('Balance N'!A315,0,1)</f>
        <v>0</v>
      </c>
      <c r="B343" s="494">
        <f>+'Balance N'!B315</f>
        <v>0</v>
      </c>
      <c r="C343" s="592">
        <f>ROUND('Balance N'!C315,2)</f>
        <v>0</v>
      </c>
      <c r="D343" s="592">
        <f>ROUND('Balance N'!D315,2)</f>
        <v>0</v>
      </c>
      <c r="E343" s="592">
        <f>ROUND('Balance N'!E315,2)</f>
        <v>0</v>
      </c>
      <c r="F343" s="592">
        <f>ROUND('Balance N'!F315,2)</f>
        <v>0</v>
      </c>
      <c r="G343" s="592">
        <f>ROUND('Balance N'!G315,2)</f>
        <v>0</v>
      </c>
      <c r="H343" s="592">
        <f>ROUND('Balance N'!H315,2)</f>
        <v>0</v>
      </c>
      <c r="I343" s="2" t="str">
        <f t="shared" si="8"/>
        <v>0</v>
      </c>
    </row>
    <row r="344" spans="1:9" x14ac:dyDescent="0.2">
      <c r="A344" s="495" t="str">
        <f>FIXED('Balance N'!A316,0,1)</f>
        <v>0</v>
      </c>
      <c r="B344" s="494">
        <f>+'Balance N'!B316</f>
        <v>0</v>
      </c>
      <c r="C344" s="592">
        <f>ROUND('Balance N'!C316,2)</f>
        <v>0</v>
      </c>
      <c r="D344" s="592">
        <f>ROUND('Balance N'!D316,2)</f>
        <v>0</v>
      </c>
      <c r="E344" s="592">
        <f>ROUND('Balance N'!E316,2)</f>
        <v>0</v>
      </c>
      <c r="F344" s="592">
        <f>ROUND('Balance N'!F316,2)</f>
        <v>0</v>
      </c>
      <c r="G344" s="592">
        <f>ROUND('Balance N'!G316,2)</f>
        <v>0</v>
      </c>
      <c r="H344" s="592">
        <f>ROUND('Balance N'!H316,2)</f>
        <v>0</v>
      </c>
      <c r="I344" s="2" t="str">
        <f t="shared" si="8"/>
        <v>0</v>
      </c>
    </row>
    <row r="345" spans="1:9" x14ac:dyDescent="0.2">
      <c r="A345" s="495" t="str">
        <f>FIXED('Balance N'!A317,0,1)</f>
        <v>0</v>
      </c>
      <c r="B345" s="494">
        <f>+'Balance N'!B317</f>
        <v>0</v>
      </c>
      <c r="C345" s="592">
        <f>ROUND('Balance N'!C317,2)</f>
        <v>0</v>
      </c>
      <c r="D345" s="592">
        <f>ROUND('Balance N'!D317,2)</f>
        <v>0</v>
      </c>
      <c r="E345" s="592">
        <f>ROUND('Balance N'!E317,2)</f>
        <v>0</v>
      </c>
      <c r="F345" s="592">
        <f>ROUND('Balance N'!F317,2)</f>
        <v>0</v>
      </c>
      <c r="G345" s="592">
        <f>ROUND('Balance N'!G317,2)</f>
        <v>0</v>
      </c>
      <c r="H345" s="592">
        <f>ROUND('Balance N'!H317,2)</f>
        <v>0</v>
      </c>
      <c r="I345" s="2" t="str">
        <f t="shared" si="8"/>
        <v>0</v>
      </c>
    </row>
    <row r="346" spans="1:9" x14ac:dyDescent="0.2">
      <c r="A346" s="495" t="str">
        <f>FIXED('Balance N'!A318,0,1)</f>
        <v>0</v>
      </c>
      <c r="B346" s="494">
        <f>+'Balance N'!B318</f>
        <v>0</v>
      </c>
      <c r="C346" s="592">
        <f>ROUND('Balance N'!C318,2)</f>
        <v>0</v>
      </c>
      <c r="D346" s="592">
        <f>ROUND('Balance N'!D318,2)</f>
        <v>0</v>
      </c>
      <c r="E346" s="592">
        <f>ROUND('Balance N'!E318,2)</f>
        <v>0</v>
      </c>
      <c r="F346" s="592">
        <f>ROUND('Balance N'!F318,2)</f>
        <v>0</v>
      </c>
      <c r="G346" s="592">
        <f>ROUND('Balance N'!G318,2)</f>
        <v>0</v>
      </c>
      <c r="H346" s="592">
        <f>ROUND('Balance N'!H318,2)</f>
        <v>0</v>
      </c>
      <c r="I346" s="2" t="str">
        <f t="shared" si="8"/>
        <v>0</v>
      </c>
    </row>
    <row r="347" spans="1:9" x14ac:dyDescent="0.2">
      <c r="A347" s="495" t="str">
        <f>FIXED('Balance N'!A319,0,1)</f>
        <v>0</v>
      </c>
      <c r="B347" s="494">
        <f>+'Balance N'!B319</f>
        <v>0</v>
      </c>
      <c r="C347" s="592">
        <f>ROUND('Balance N'!C319,2)</f>
        <v>0</v>
      </c>
      <c r="D347" s="592">
        <f>ROUND('Balance N'!D319,2)</f>
        <v>0</v>
      </c>
      <c r="E347" s="592">
        <f>ROUND('Balance N'!E319,2)</f>
        <v>0</v>
      </c>
      <c r="F347" s="592">
        <f>ROUND('Balance N'!F319,2)</f>
        <v>0</v>
      </c>
      <c r="G347" s="592">
        <f>ROUND('Balance N'!G319,2)</f>
        <v>0</v>
      </c>
      <c r="H347" s="592">
        <f>ROUND('Balance N'!H319,2)</f>
        <v>0</v>
      </c>
      <c r="I347" s="2" t="str">
        <f t="shared" si="8"/>
        <v>0</v>
      </c>
    </row>
    <row r="348" spans="1:9" x14ac:dyDescent="0.2">
      <c r="A348" s="495" t="str">
        <f>FIXED('Balance N'!A320,0,1)</f>
        <v>0</v>
      </c>
      <c r="B348" s="494">
        <f>+'Balance N'!B320</f>
        <v>0</v>
      </c>
      <c r="C348" s="592">
        <f>ROUND('Balance N'!C320,2)</f>
        <v>0</v>
      </c>
      <c r="D348" s="592">
        <f>ROUND('Balance N'!D320,2)</f>
        <v>0</v>
      </c>
      <c r="E348" s="592">
        <f>ROUND('Balance N'!E320,2)</f>
        <v>0</v>
      </c>
      <c r="F348" s="592">
        <f>ROUND('Balance N'!F320,2)</f>
        <v>0</v>
      </c>
      <c r="G348" s="592">
        <f>ROUND('Balance N'!G320,2)</f>
        <v>0</v>
      </c>
      <c r="H348" s="592">
        <f>ROUND('Balance N'!H320,2)</f>
        <v>0</v>
      </c>
      <c r="I348" s="2" t="str">
        <f t="shared" si="8"/>
        <v>0</v>
      </c>
    </row>
    <row r="349" spans="1:9" x14ac:dyDescent="0.2">
      <c r="A349" s="495" t="str">
        <f>FIXED('Balance N'!A321,0,1)</f>
        <v>0</v>
      </c>
      <c r="B349" s="494">
        <f>+'Balance N'!B321</f>
        <v>0</v>
      </c>
      <c r="C349" s="592">
        <f>ROUND('Balance N'!C321,2)</f>
        <v>0</v>
      </c>
      <c r="D349" s="592">
        <f>ROUND('Balance N'!D321,2)</f>
        <v>0</v>
      </c>
      <c r="E349" s="592">
        <f>ROUND('Balance N'!E321,2)</f>
        <v>0</v>
      </c>
      <c r="F349" s="592">
        <f>ROUND('Balance N'!F321,2)</f>
        <v>0</v>
      </c>
      <c r="G349" s="592">
        <f>ROUND('Balance N'!G321,2)</f>
        <v>0</v>
      </c>
      <c r="H349" s="592">
        <f>ROUND('Balance N'!H321,2)</f>
        <v>0</v>
      </c>
      <c r="I349" s="2" t="str">
        <f t="shared" si="8"/>
        <v>0</v>
      </c>
    </row>
    <row r="350" spans="1:9" x14ac:dyDescent="0.2">
      <c r="A350" s="495" t="str">
        <f>FIXED('Balance N'!A322,0,1)</f>
        <v>0</v>
      </c>
      <c r="B350" s="494">
        <f>+'Balance N'!B322</f>
        <v>0</v>
      </c>
      <c r="C350" s="592">
        <f>ROUND('Balance N'!C322,2)</f>
        <v>0</v>
      </c>
      <c r="D350" s="592">
        <f>ROUND('Balance N'!D322,2)</f>
        <v>0</v>
      </c>
      <c r="E350" s="592">
        <f>ROUND('Balance N'!E322,2)</f>
        <v>0</v>
      </c>
      <c r="F350" s="592">
        <f>ROUND('Balance N'!F322,2)</f>
        <v>0</v>
      </c>
      <c r="G350" s="592">
        <f>ROUND('Balance N'!G322,2)</f>
        <v>0</v>
      </c>
      <c r="H350" s="592">
        <f>ROUND('Balance N'!H322,2)</f>
        <v>0</v>
      </c>
      <c r="I350" s="2" t="str">
        <f t="shared" si="8"/>
        <v>0</v>
      </c>
    </row>
    <row r="351" spans="1:9" x14ac:dyDescent="0.2">
      <c r="A351" s="495" t="str">
        <f>FIXED('Balance N'!A323,0,1)</f>
        <v>0</v>
      </c>
      <c r="B351" s="494">
        <f>+'Balance N'!B323</f>
        <v>0</v>
      </c>
      <c r="C351" s="592">
        <f>ROUND('Balance N'!C323,2)</f>
        <v>0</v>
      </c>
      <c r="D351" s="592">
        <f>ROUND('Balance N'!D323,2)</f>
        <v>0</v>
      </c>
      <c r="E351" s="592">
        <f>ROUND('Balance N'!E323,2)</f>
        <v>0</v>
      </c>
      <c r="F351" s="592">
        <f>ROUND('Balance N'!F323,2)</f>
        <v>0</v>
      </c>
      <c r="G351" s="592">
        <f>ROUND('Balance N'!G323,2)</f>
        <v>0</v>
      </c>
      <c r="H351" s="592">
        <f>ROUND('Balance N'!H323,2)</f>
        <v>0</v>
      </c>
      <c r="I351" s="2" t="str">
        <f t="shared" si="8"/>
        <v>0</v>
      </c>
    </row>
    <row r="352" spans="1:9" x14ac:dyDescent="0.2">
      <c r="A352" s="495" t="str">
        <f>FIXED('Balance N'!A324,0,1)</f>
        <v>0</v>
      </c>
      <c r="B352" s="494">
        <f>+'Balance N'!B324</f>
        <v>0</v>
      </c>
      <c r="C352" s="592">
        <f>ROUND('Balance N'!C324,2)</f>
        <v>0</v>
      </c>
      <c r="D352" s="592">
        <f>ROUND('Balance N'!D324,2)</f>
        <v>0</v>
      </c>
      <c r="E352" s="592">
        <f>ROUND('Balance N'!E324,2)</f>
        <v>0</v>
      </c>
      <c r="F352" s="592">
        <f>ROUND('Balance N'!F324,2)</f>
        <v>0</v>
      </c>
      <c r="G352" s="592">
        <f>ROUND('Balance N'!G324,2)</f>
        <v>0</v>
      </c>
      <c r="H352" s="592">
        <f>ROUND('Balance N'!H324,2)</f>
        <v>0</v>
      </c>
      <c r="I352" s="2" t="str">
        <f t="shared" si="8"/>
        <v>0</v>
      </c>
    </row>
    <row r="353" spans="1:9" x14ac:dyDescent="0.2">
      <c r="A353" s="495" t="str">
        <f>FIXED('Balance N'!A325,0,1)</f>
        <v>0</v>
      </c>
      <c r="B353" s="494">
        <f>+'Balance N'!B325</f>
        <v>0</v>
      </c>
      <c r="C353" s="592">
        <f>ROUND('Balance N'!C325,2)</f>
        <v>0</v>
      </c>
      <c r="D353" s="592">
        <f>ROUND('Balance N'!D325,2)</f>
        <v>0</v>
      </c>
      <c r="E353" s="592">
        <f>ROUND('Balance N'!E325,2)</f>
        <v>0</v>
      </c>
      <c r="F353" s="592">
        <f>ROUND('Balance N'!F325,2)</f>
        <v>0</v>
      </c>
      <c r="G353" s="592">
        <f>ROUND('Balance N'!G325,2)</f>
        <v>0</v>
      </c>
      <c r="H353" s="592">
        <f>ROUND('Balance N'!H325,2)</f>
        <v>0</v>
      </c>
      <c r="I353" s="2" t="str">
        <f t="shared" si="8"/>
        <v>0</v>
      </c>
    </row>
    <row r="354" spans="1:9" x14ac:dyDescent="0.2">
      <c r="A354" s="495" t="str">
        <f>FIXED('Balance N'!A326,0,1)</f>
        <v>0</v>
      </c>
      <c r="B354" s="494">
        <f>+'Balance N'!B326</f>
        <v>0</v>
      </c>
      <c r="C354" s="592">
        <f>ROUND('Balance N'!C326,2)</f>
        <v>0</v>
      </c>
      <c r="D354" s="592">
        <f>ROUND('Balance N'!D326,2)</f>
        <v>0</v>
      </c>
      <c r="E354" s="592">
        <f>ROUND('Balance N'!E326,2)</f>
        <v>0</v>
      </c>
      <c r="F354" s="592">
        <f>ROUND('Balance N'!F326,2)</f>
        <v>0</v>
      </c>
      <c r="G354" s="592">
        <f>ROUND('Balance N'!G326,2)</f>
        <v>0</v>
      </c>
      <c r="H354" s="592">
        <f>ROUND('Balance N'!H326,2)</f>
        <v>0</v>
      </c>
      <c r="I354" s="2" t="str">
        <f t="shared" si="8"/>
        <v>0</v>
      </c>
    </row>
    <row r="355" spans="1:9" x14ac:dyDescent="0.2">
      <c r="A355" s="495" t="str">
        <f>FIXED('Balance N'!A327,0,1)</f>
        <v>0</v>
      </c>
      <c r="B355" s="494">
        <f>+'Balance N'!B327</f>
        <v>0</v>
      </c>
      <c r="C355" s="592">
        <f>ROUND('Balance N'!C327,2)</f>
        <v>0</v>
      </c>
      <c r="D355" s="592">
        <f>ROUND('Balance N'!D327,2)</f>
        <v>0</v>
      </c>
      <c r="E355" s="592">
        <f>ROUND('Balance N'!E327,2)</f>
        <v>0</v>
      </c>
      <c r="F355" s="592">
        <f>ROUND('Balance N'!F327,2)</f>
        <v>0</v>
      </c>
      <c r="G355" s="592">
        <f>ROUND('Balance N'!G327,2)</f>
        <v>0</v>
      </c>
      <c r="H355" s="592">
        <f>ROUND('Balance N'!H327,2)</f>
        <v>0</v>
      </c>
      <c r="I355" s="2" t="str">
        <f t="shared" si="8"/>
        <v>0</v>
      </c>
    </row>
    <row r="356" spans="1:9" x14ac:dyDescent="0.2">
      <c r="A356" s="495" t="str">
        <f>FIXED('Balance N'!A328,0,1)</f>
        <v>0</v>
      </c>
      <c r="B356" s="494">
        <f>+'Balance N'!B328</f>
        <v>0</v>
      </c>
      <c r="C356" s="592">
        <f>ROUND('Balance N'!C328,2)</f>
        <v>0</v>
      </c>
      <c r="D356" s="592">
        <f>ROUND('Balance N'!D328,2)</f>
        <v>0</v>
      </c>
      <c r="E356" s="592">
        <f>ROUND('Balance N'!E328,2)</f>
        <v>0</v>
      </c>
      <c r="F356" s="592">
        <f>ROUND('Balance N'!F328,2)</f>
        <v>0</v>
      </c>
      <c r="G356" s="592">
        <f>ROUND('Balance N'!G328,2)</f>
        <v>0</v>
      </c>
      <c r="H356" s="592">
        <f>ROUND('Balance N'!H328,2)</f>
        <v>0</v>
      </c>
      <c r="I356" s="2" t="str">
        <f t="shared" si="8"/>
        <v>0</v>
      </c>
    </row>
    <row r="357" spans="1:9" x14ac:dyDescent="0.2">
      <c r="A357" s="495" t="str">
        <f>FIXED('Balance N'!A329,0,1)</f>
        <v>0</v>
      </c>
      <c r="B357" s="494">
        <f>+'Balance N'!B329</f>
        <v>0</v>
      </c>
      <c r="C357" s="592">
        <f>ROUND('Balance N'!C329,2)</f>
        <v>0</v>
      </c>
      <c r="D357" s="592">
        <f>ROUND('Balance N'!D329,2)</f>
        <v>0</v>
      </c>
      <c r="E357" s="592">
        <f>ROUND('Balance N'!E329,2)</f>
        <v>0</v>
      </c>
      <c r="F357" s="592">
        <f>ROUND('Balance N'!F329,2)</f>
        <v>0</v>
      </c>
      <c r="G357" s="592">
        <f>ROUND('Balance N'!G329,2)</f>
        <v>0</v>
      </c>
      <c r="H357" s="592">
        <f>ROUND('Balance N'!H329,2)</f>
        <v>0</v>
      </c>
      <c r="I357" s="2" t="str">
        <f t="shared" si="8"/>
        <v>0</v>
      </c>
    </row>
    <row r="358" spans="1:9" x14ac:dyDescent="0.2">
      <c r="A358" s="495" t="str">
        <f>FIXED('Balance N'!A330,0,1)</f>
        <v>0</v>
      </c>
      <c r="B358" s="494">
        <f>+'Balance N'!B330</f>
        <v>0</v>
      </c>
      <c r="C358" s="592">
        <f>ROUND('Balance N'!C330,2)</f>
        <v>0</v>
      </c>
      <c r="D358" s="592">
        <f>ROUND('Balance N'!D330,2)</f>
        <v>0</v>
      </c>
      <c r="E358" s="592">
        <f>ROUND('Balance N'!E330,2)</f>
        <v>0</v>
      </c>
      <c r="F358" s="592">
        <f>ROUND('Balance N'!F330,2)</f>
        <v>0</v>
      </c>
      <c r="G358" s="592">
        <f>ROUND('Balance N'!G330,2)</f>
        <v>0</v>
      </c>
      <c r="H358" s="592">
        <f>ROUND('Balance N'!H330,2)</f>
        <v>0</v>
      </c>
      <c r="I358" s="2" t="str">
        <f t="shared" si="8"/>
        <v>0</v>
      </c>
    </row>
    <row r="359" spans="1:9" x14ac:dyDescent="0.2">
      <c r="A359" s="495" t="str">
        <f>FIXED('Balance N'!A331,0,1)</f>
        <v>0</v>
      </c>
      <c r="B359" s="494">
        <f>+'Balance N'!B331</f>
        <v>0</v>
      </c>
      <c r="C359" s="592">
        <f>ROUND('Balance N'!C331,2)</f>
        <v>0</v>
      </c>
      <c r="D359" s="592">
        <f>ROUND('Balance N'!D331,2)</f>
        <v>0</v>
      </c>
      <c r="E359" s="592">
        <f>ROUND('Balance N'!E331,2)</f>
        <v>0</v>
      </c>
      <c r="F359" s="592">
        <f>ROUND('Balance N'!F331,2)</f>
        <v>0</v>
      </c>
      <c r="G359" s="592">
        <f>ROUND('Balance N'!G331,2)</f>
        <v>0</v>
      </c>
      <c r="H359" s="592">
        <f>ROUND('Balance N'!H331,2)</f>
        <v>0</v>
      </c>
      <c r="I359" s="2" t="str">
        <f t="shared" si="8"/>
        <v>0</v>
      </c>
    </row>
    <row r="360" spans="1:9" x14ac:dyDescent="0.2">
      <c r="A360" s="495" t="str">
        <f>FIXED('Balance N'!A332,0,1)</f>
        <v>0</v>
      </c>
      <c r="B360" s="494">
        <f>+'Balance N'!B332</f>
        <v>0</v>
      </c>
      <c r="C360" s="592">
        <f>ROUND('Balance N'!C332,2)</f>
        <v>0</v>
      </c>
      <c r="D360" s="592">
        <f>ROUND('Balance N'!D332,2)</f>
        <v>0</v>
      </c>
      <c r="E360" s="592">
        <f>ROUND('Balance N'!E332,2)</f>
        <v>0</v>
      </c>
      <c r="F360" s="592">
        <f>ROUND('Balance N'!F332,2)</f>
        <v>0</v>
      </c>
      <c r="G360" s="592">
        <f>ROUND('Balance N'!G332,2)</f>
        <v>0</v>
      </c>
      <c r="H360" s="592">
        <f>ROUND('Balance N'!H332,2)</f>
        <v>0</v>
      </c>
      <c r="I360" s="2" t="str">
        <f t="shared" si="8"/>
        <v>0</v>
      </c>
    </row>
    <row r="361" spans="1:9" x14ac:dyDescent="0.2">
      <c r="A361" s="495" t="str">
        <f>FIXED('Balance N'!A333,0,1)</f>
        <v>0</v>
      </c>
      <c r="B361" s="494">
        <f>+'Balance N'!B333</f>
        <v>0</v>
      </c>
      <c r="C361" s="592">
        <f>ROUND('Balance N'!C333,2)</f>
        <v>0</v>
      </c>
      <c r="D361" s="592">
        <f>ROUND('Balance N'!D333,2)</f>
        <v>0</v>
      </c>
      <c r="E361" s="592">
        <f>ROUND('Balance N'!E333,2)</f>
        <v>0</v>
      </c>
      <c r="F361" s="592">
        <f>ROUND('Balance N'!F333,2)</f>
        <v>0</v>
      </c>
      <c r="G361" s="592">
        <f>ROUND('Balance N'!G333,2)</f>
        <v>0</v>
      </c>
      <c r="H361" s="592">
        <f>ROUND('Balance N'!H333,2)</f>
        <v>0</v>
      </c>
      <c r="I361" s="2" t="str">
        <f t="shared" si="8"/>
        <v>0</v>
      </c>
    </row>
    <row r="362" spans="1:9" x14ac:dyDescent="0.2">
      <c r="A362" s="495" t="str">
        <f>FIXED('Balance N'!A334,0,1)</f>
        <v>0</v>
      </c>
      <c r="B362" s="494">
        <f>+'Balance N'!B334</f>
        <v>0</v>
      </c>
      <c r="C362" s="592">
        <f>ROUND('Balance N'!C334,2)</f>
        <v>0</v>
      </c>
      <c r="D362" s="592">
        <f>ROUND('Balance N'!D334,2)</f>
        <v>0</v>
      </c>
      <c r="E362" s="592">
        <f>ROUND('Balance N'!E334,2)</f>
        <v>0</v>
      </c>
      <c r="F362" s="592">
        <f>ROUND('Balance N'!F334,2)</f>
        <v>0</v>
      </c>
      <c r="G362" s="592">
        <f>ROUND('Balance N'!G334,2)</f>
        <v>0</v>
      </c>
      <c r="H362" s="592">
        <f>ROUND('Balance N'!H334,2)</f>
        <v>0</v>
      </c>
      <c r="I362" s="2" t="str">
        <f t="shared" si="8"/>
        <v>0</v>
      </c>
    </row>
    <row r="363" spans="1:9" x14ac:dyDescent="0.2">
      <c r="A363" s="495" t="str">
        <f>FIXED('Balance N'!A335,0,1)</f>
        <v>0</v>
      </c>
      <c r="B363" s="494">
        <f>+'Balance N'!B335</f>
        <v>0</v>
      </c>
      <c r="C363" s="592">
        <f>ROUND('Balance N'!C335,2)</f>
        <v>0</v>
      </c>
      <c r="D363" s="592">
        <f>ROUND('Balance N'!D335,2)</f>
        <v>0</v>
      </c>
      <c r="E363" s="592">
        <f>ROUND('Balance N'!E335,2)</f>
        <v>0</v>
      </c>
      <c r="F363" s="592">
        <f>ROUND('Balance N'!F335,2)</f>
        <v>0</v>
      </c>
      <c r="G363" s="592">
        <f>ROUND('Balance N'!G335,2)</f>
        <v>0</v>
      </c>
      <c r="H363" s="592">
        <f>ROUND('Balance N'!H335,2)</f>
        <v>0</v>
      </c>
      <c r="I363" s="2" t="str">
        <f t="shared" si="8"/>
        <v>0</v>
      </c>
    </row>
    <row r="364" spans="1:9" x14ac:dyDescent="0.2">
      <c r="A364" s="495" t="str">
        <f>FIXED('Balance N'!A336,0,1)</f>
        <v>0</v>
      </c>
      <c r="B364" s="494">
        <f>+'Balance N'!B336</f>
        <v>0</v>
      </c>
      <c r="C364" s="592">
        <f>ROUND('Balance N'!C336,2)</f>
        <v>0</v>
      </c>
      <c r="D364" s="592">
        <f>ROUND('Balance N'!D336,2)</f>
        <v>0</v>
      </c>
      <c r="E364" s="592">
        <f>ROUND('Balance N'!E336,2)</f>
        <v>0</v>
      </c>
      <c r="F364" s="592">
        <f>ROUND('Balance N'!F336,2)</f>
        <v>0</v>
      </c>
      <c r="G364" s="592">
        <f>ROUND('Balance N'!G336,2)</f>
        <v>0</v>
      </c>
      <c r="H364" s="592">
        <f>ROUND('Balance N'!H336,2)</f>
        <v>0</v>
      </c>
      <c r="I364" s="2" t="str">
        <f t="shared" si="8"/>
        <v>0</v>
      </c>
    </row>
    <row r="365" spans="1:9" x14ac:dyDescent="0.2">
      <c r="A365" s="495" t="str">
        <f>FIXED('Balance N'!A337,0,1)</f>
        <v>0</v>
      </c>
      <c r="B365" s="494">
        <f>+'Balance N'!B337</f>
        <v>0</v>
      </c>
      <c r="C365" s="592">
        <f>ROUND('Balance N'!C337,2)</f>
        <v>0</v>
      </c>
      <c r="D365" s="592">
        <f>ROUND('Balance N'!D337,2)</f>
        <v>0</v>
      </c>
      <c r="E365" s="592">
        <f>ROUND('Balance N'!E337,2)</f>
        <v>0</v>
      </c>
      <c r="F365" s="592">
        <f>ROUND('Balance N'!F337,2)</f>
        <v>0</v>
      </c>
      <c r="G365" s="592">
        <f>ROUND('Balance N'!G337,2)</f>
        <v>0</v>
      </c>
      <c r="H365" s="592">
        <f>ROUND('Balance N'!H337,2)</f>
        <v>0</v>
      </c>
      <c r="I365" s="2" t="str">
        <f t="shared" si="8"/>
        <v>0</v>
      </c>
    </row>
    <row r="366" spans="1:9" x14ac:dyDescent="0.2">
      <c r="A366" s="495" t="str">
        <f>FIXED('Balance N'!A338,0,1)</f>
        <v>0</v>
      </c>
      <c r="B366" s="494">
        <f>+'Balance N'!B338</f>
        <v>0</v>
      </c>
      <c r="C366" s="592">
        <f>ROUND('Balance N'!C338,2)</f>
        <v>0</v>
      </c>
      <c r="D366" s="592">
        <f>ROUND('Balance N'!D338,2)</f>
        <v>0</v>
      </c>
      <c r="E366" s="592">
        <f>ROUND('Balance N'!E338,2)</f>
        <v>0</v>
      </c>
      <c r="F366" s="592">
        <f>ROUND('Balance N'!F338,2)</f>
        <v>0</v>
      </c>
      <c r="G366" s="592">
        <f>ROUND('Balance N'!G338,2)</f>
        <v>0</v>
      </c>
      <c r="H366" s="592">
        <f>ROUND('Balance N'!H338,2)</f>
        <v>0</v>
      </c>
      <c r="I366" s="2" t="str">
        <f t="shared" si="8"/>
        <v>0</v>
      </c>
    </row>
    <row r="367" spans="1:9" x14ac:dyDescent="0.2">
      <c r="A367" s="495" t="str">
        <f>FIXED('Balance N'!A339,0,1)</f>
        <v>0</v>
      </c>
      <c r="B367" s="494">
        <f>+'Balance N'!B339</f>
        <v>0</v>
      </c>
      <c r="C367" s="592">
        <f>ROUND('Balance N'!C339,2)</f>
        <v>0</v>
      </c>
      <c r="D367" s="592">
        <f>ROUND('Balance N'!D339,2)</f>
        <v>0</v>
      </c>
      <c r="E367" s="592">
        <f>ROUND('Balance N'!E339,2)</f>
        <v>0</v>
      </c>
      <c r="F367" s="592">
        <f>ROUND('Balance N'!F339,2)</f>
        <v>0</v>
      </c>
      <c r="G367" s="592">
        <f>ROUND('Balance N'!G339,2)</f>
        <v>0</v>
      </c>
      <c r="H367" s="592">
        <f>ROUND('Balance N'!H339,2)</f>
        <v>0</v>
      </c>
      <c r="I367" s="2" t="str">
        <f t="shared" si="8"/>
        <v>0</v>
      </c>
    </row>
    <row r="368" spans="1:9" x14ac:dyDescent="0.2">
      <c r="A368" s="495" t="str">
        <f>FIXED('Balance N'!A340,0,1)</f>
        <v>0</v>
      </c>
      <c r="B368" s="494">
        <f>+'Balance N'!B340</f>
        <v>0</v>
      </c>
      <c r="C368" s="592">
        <f>ROUND('Balance N'!C340,2)</f>
        <v>0</v>
      </c>
      <c r="D368" s="592">
        <f>ROUND('Balance N'!D340,2)</f>
        <v>0</v>
      </c>
      <c r="E368" s="592">
        <f>ROUND('Balance N'!E340,2)</f>
        <v>0</v>
      </c>
      <c r="F368" s="592">
        <f>ROUND('Balance N'!F340,2)</f>
        <v>0</v>
      </c>
      <c r="G368" s="592">
        <f>ROUND('Balance N'!G340,2)</f>
        <v>0</v>
      </c>
      <c r="H368" s="592">
        <f>ROUND('Balance N'!H340,2)</f>
        <v>0</v>
      </c>
      <c r="I368" s="2" t="str">
        <f t="shared" si="8"/>
        <v>0</v>
      </c>
    </row>
    <row r="369" spans="1:9" x14ac:dyDescent="0.2">
      <c r="A369" s="495" t="str">
        <f>FIXED('Balance N'!A341,0,1)</f>
        <v>0</v>
      </c>
      <c r="B369" s="494">
        <f>+'Balance N'!B341</f>
        <v>0</v>
      </c>
      <c r="C369" s="592">
        <f>ROUND('Balance N'!C341,2)</f>
        <v>0</v>
      </c>
      <c r="D369" s="592">
        <f>ROUND('Balance N'!D341,2)</f>
        <v>0</v>
      </c>
      <c r="E369" s="592">
        <f>ROUND('Balance N'!E341,2)</f>
        <v>0</v>
      </c>
      <c r="F369" s="592">
        <f>ROUND('Balance N'!F341,2)</f>
        <v>0</v>
      </c>
      <c r="G369" s="592">
        <f>ROUND('Balance N'!G341,2)</f>
        <v>0</v>
      </c>
      <c r="H369" s="592">
        <f>ROUND('Balance N'!H341,2)</f>
        <v>0</v>
      </c>
      <c r="I369" s="2" t="str">
        <f t="shared" si="8"/>
        <v>0</v>
      </c>
    </row>
    <row r="370" spans="1:9" x14ac:dyDescent="0.2">
      <c r="A370" s="495" t="str">
        <f>FIXED('Balance N'!A342,0,1)</f>
        <v>0</v>
      </c>
      <c r="B370" s="494">
        <f>+'Balance N'!B342</f>
        <v>0</v>
      </c>
      <c r="C370" s="592">
        <f>ROUND('Balance N'!C342,2)</f>
        <v>0</v>
      </c>
      <c r="D370" s="592">
        <f>ROUND('Balance N'!D342,2)</f>
        <v>0</v>
      </c>
      <c r="E370" s="592">
        <f>ROUND('Balance N'!E342,2)</f>
        <v>0</v>
      </c>
      <c r="F370" s="592">
        <f>ROUND('Balance N'!F342,2)</f>
        <v>0</v>
      </c>
      <c r="G370" s="592">
        <f>ROUND('Balance N'!G342,2)</f>
        <v>0</v>
      </c>
      <c r="H370" s="592">
        <f>ROUND('Balance N'!H342,2)</f>
        <v>0</v>
      </c>
      <c r="I370" s="2" t="str">
        <f t="shared" si="8"/>
        <v>0</v>
      </c>
    </row>
    <row r="371" spans="1:9" x14ac:dyDescent="0.2">
      <c r="A371" s="495" t="str">
        <f>FIXED('Balance N'!A343,0,1)</f>
        <v>0</v>
      </c>
      <c r="B371" s="494">
        <f>+'Balance N'!B343</f>
        <v>0</v>
      </c>
      <c r="C371" s="592">
        <f>ROUND('Balance N'!C343,2)</f>
        <v>0</v>
      </c>
      <c r="D371" s="592">
        <f>ROUND('Balance N'!D343,2)</f>
        <v>0</v>
      </c>
      <c r="E371" s="592">
        <f>ROUND('Balance N'!E343,2)</f>
        <v>0</v>
      </c>
      <c r="F371" s="592">
        <f>ROUND('Balance N'!F343,2)</f>
        <v>0</v>
      </c>
      <c r="G371" s="592">
        <f>ROUND('Balance N'!G343,2)</f>
        <v>0</v>
      </c>
      <c r="H371" s="592">
        <f>ROUND('Balance N'!H343,2)</f>
        <v>0</v>
      </c>
      <c r="I371" s="2" t="str">
        <f t="shared" si="8"/>
        <v>0</v>
      </c>
    </row>
    <row r="372" spans="1:9" x14ac:dyDescent="0.2">
      <c r="A372" s="495" t="str">
        <f>FIXED('Balance N'!A344,0,1)</f>
        <v>0</v>
      </c>
      <c r="B372" s="494">
        <f>+'Balance N'!B344</f>
        <v>0</v>
      </c>
      <c r="C372" s="592">
        <f>ROUND('Balance N'!C344,2)</f>
        <v>0</v>
      </c>
      <c r="D372" s="592">
        <f>ROUND('Balance N'!D344,2)</f>
        <v>0</v>
      </c>
      <c r="E372" s="592">
        <f>ROUND('Balance N'!E344,2)</f>
        <v>0</v>
      </c>
      <c r="F372" s="592">
        <f>ROUND('Balance N'!F344,2)</f>
        <v>0</v>
      </c>
      <c r="G372" s="592">
        <f>ROUND('Balance N'!G344,2)</f>
        <v>0</v>
      </c>
      <c r="H372" s="592">
        <f>ROUND('Balance N'!H344,2)</f>
        <v>0</v>
      </c>
      <c r="I372" s="2" t="str">
        <f t="shared" si="8"/>
        <v>0</v>
      </c>
    </row>
    <row r="373" spans="1:9" x14ac:dyDescent="0.2">
      <c r="A373" s="495" t="str">
        <f>FIXED('Balance N'!A345,0,1)</f>
        <v>0</v>
      </c>
      <c r="B373" s="494">
        <f>+'Balance N'!B345</f>
        <v>0</v>
      </c>
      <c r="C373" s="592">
        <f>ROUND('Balance N'!C345,2)</f>
        <v>0</v>
      </c>
      <c r="D373" s="592">
        <f>ROUND('Balance N'!D345,2)</f>
        <v>0</v>
      </c>
      <c r="E373" s="592">
        <f>ROUND('Balance N'!E345,2)</f>
        <v>0</v>
      </c>
      <c r="F373" s="592">
        <f>ROUND('Balance N'!F345,2)</f>
        <v>0</v>
      </c>
      <c r="G373" s="592">
        <f>ROUND('Balance N'!G345,2)</f>
        <v>0</v>
      </c>
      <c r="H373" s="592">
        <f>ROUND('Balance N'!H345,2)</f>
        <v>0</v>
      </c>
      <c r="I373" s="2" t="str">
        <f t="shared" si="8"/>
        <v>0</v>
      </c>
    </row>
    <row r="374" spans="1:9" x14ac:dyDescent="0.2">
      <c r="A374" s="495" t="str">
        <f>FIXED('Balance N'!A346,0,1)</f>
        <v>0</v>
      </c>
      <c r="B374" s="494">
        <f>+'Balance N'!B346</f>
        <v>0</v>
      </c>
      <c r="C374" s="592">
        <f>ROUND('Balance N'!C346,2)</f>
        <v>0</v>
      </c>
      <c r="D374" s="592">
        <f>ROUND('Balance N'!D346,2)</f>
        <v>0</v>
      </c>
      <c r="E374" s="592">
        <f>ROUND('Balance N'!E346,2)</f>
        <v>0</v>
      </c>
      <c r="F374" s="592">
        <f>ROUND('Balance N'!F346,2)</f>
        <v>0</v>
      </c>
      <c r="G374" s="592">
        <f>ROUND('Balance N'!G346,2)</f>
        <v>0</v>
      </c>
      <c r="H374" s="592">
        <f>ROUND('Balance N'!H346,2)</f>
        <v>0</v>
      </c>
      <c r="I374" s="2" t="str">
        <f t="shared" si="8"/>
        <v>0</v>
      </c>
    </row>
    <row r="375" spans="1:9" x14ac:dyDescent="0.2">
      <c r="A375" s="495" t="str">
        <f>FIXED('Balance N'!A347,0,1)</f>
        <v>0</v>
      </c>
      <c r="B375" s="494">
        <f>+'Balance N'!B347</f>
        <v>0</v>
      </c>
      <c r="C375" s="592">
        <f>ROUND('Balance N'!C347,2)</f>
        <v>0</v>
      </c>
      <c r="D375" s="592">
        <f>ROUND('Balance N'!D347,2)</f>
        <v>0</v>
      </c>
      <c r="E375" s="592">
        <f>ROUND('Balance N'!E347,2)</f>
        <v>0</v>
      </c>
      <c r="F375" s="592">
        <f>ROUND('Balance N'!F347,2)</f>
        <v>0</v>
      </c>
      <c r="G375" s="592">
        <f>ROUND('Balance N'!G347,2)</f>
        <v>0</v>
      </c>
      <c r="H375" s="592">
        <f>ROUND('Balance N'!H347,2)</f>
        <v>0</v>
      </c>
      <c r="I375" s="2" t="str">
        <f t="shared" si="8"/>
        <v>0</v>
      </c>
    </row>
    <row r="376" spans="1:9" x14ac:dyDescent="0.2">
      <c r="A376" s="495" t="str">
        <f>FIXED('Balance N'!A348,0,1)</f>
        <v>0</v>
      </c>
      <c r="B376" s="494">
        <f>+'Balance N'!B348</f>
        <v>0</v>
      </c>
      <c r="C376" s="592">
        <f>ROUND('Balance N'!C348,2)</f>
        <v>0</v>
      </c>
      <c r="D376" s="592">
        <f>ROUND('Balance N'!D348,2)</f>
        <v>0</v>
      </c>
      <c r="E376" s="592">
        <f>ROUND('Balance N'!E348,2)</f>
        <v>0</v>
      </c>
      <c r="F376" s="592">
        <f>ROUND('Balance N'!F348,2)</f>
        <v>0</v>
      </c>
      <c r="G376" s="592">
        <f>ROUND('Balance N'!G348,2)</f>
        <v>0</v>
      </c>
      <c r="H376" s="592">
        <f>ROUND('Balance N'!H348,2)</f>
        <v>0</v>
      </c>
      <c r="I376" s="2" t="str">
        <f t="shared" si="8"/>
        <v>0</v>
      </c>
    </row>
    <row r="377" spans="1:9" x14ac:dyDescent="0.2">
      <c r="A377" s="495" t="str">
        <f>FIXED('Balance N'!A349,0,1)</f>
        <v>0</v>
      </c>
      <c r="B377" s="494">
        <f>+'Balance N'!B349</f>
        <v>0</v>
      </c>
      <c r="C377" s="592">
        <f>ROUND('Balance N'!C349,2)</f>
        <v>0</v>
      </c>
      <c r="D377" s="592">
        <f>ROUND('Balance N'!D349,2)</f>
        <v>0</v>
      </c>
      <c r="E377" s="592">
        <f>ROUND('Balance N'!E349,2)</f>
        <v>0</v>
      </c>
      <c r="F377" s="592">
        <f>ROUND('Balance N'!F349,2)</f>
        <v>0</v>
      </c>
      <c r="G377" s="592">
        <f>ROUND('Balance N'!G349,2)</f>
        <v>0</v>
      </c>
      <c r="H377" s="592">
        <f>ROUND('Balance N'!H349,2)</f>
        <v>0</v>
      </c>
      <c r="I377" s="2" t="str">
        <f t="shared" si="8"/>
        <v>0</v>
      </c>
    </row>
    <row r="378" spans="1:9" x14ac:dyDescent="0.2">
      <c r="A378" s="495" t="str">
        <f>FIXED('Balance N'!A350,0,1)</f>
        <v>0</v>
      </c>
      <c r="B378" s="494">
        <f>+'Balance N'!B350</f>
        <v>0</v>
      </c>
      <c r="C378" s="592">
        <f>ROUND('Balance N'!C350,2)</f>
        <v>0</v>
      </c>
      <c r="D378" s="592">
        <f>ROUND('Balance N'!D350,2)</f>
        <v>0</v>
      </c>
      <c r="E378" s="592">
        <f>ROUND('Balance N'!E350,2)</f>
        <v>0</v>
      </c>
      <c r="F378" s="592">
        <f>ROUND('Balance N'!F350,2)</f>
        <v>0</v>
      </c>
      <c r="G378" s="592">
        <f>ROUND('Balance N'!G350,2)</f>
        <v>0</v>
      </c>
      <c r="H378" s="592">
        <f>ROUND('Balance N'!H350,2)</f>
        <v>0</v>
      </c>
      <c r="I378" s="2" t="str">
        <f t="shared" si="8"/>
        <v>0</v>
      </c>
    </row>
    <row r="379" spans="1:9" x14ac:dyDescent="0.2">
      <c r="A379" s="495" t="str">
        <f>FIXED('Balance N'!A351,0,1)</f>
        <v>0</v>
      </c>
      <c r="B379" s="494">
        <f>+'Balance N'!B351</f>
        <v>0</v>
      </c>
      <c r="C379" s="592">
        <f>ROUND('Balance N'!C351,2)</f>
        <v>0</v>
      </c>
      <c r="D379" s="592">
        <f>ROUND('Balance N'!D351,2)</f>
        <v>0</v>
      </c>
      <c r="E379" s="592">
        <f>ROUND('Balance N'!E351,2)</f>
        <v>0</v>
      </c>
      <c r="F379" s="592">
        <f>ROUND('Balance N'!F351,2)</f>
        <v>0</v>
      </c>
      <c r="G379" s="592">
        <f>ROUND('Balance N'!G351,2)</f>
        <v>0</v>
      </c>
      <c r="H379" s="592">
        <f>ROUND('Balance N'!H351,2)</f>
        <v>0</v>
      </c>
      <c r="I379" s="2" t="str">
        <f t="shared" si="8"/>
        <v>0</v>
      </c>
    </row>
    <row r="380" spans="1:9" x14ac:dyDescent="0.2">
      <c r="A380" s="495" t="str">
        <f>FIXED('Balance N'!A352,0,1)</f>
        <v>0</v>
      </c>
      <c r="B380" s="494">
        <f>+'Balance N'!B352</f>
        <v>0</v>
      </c>
      <c r="C380" s="592">
        <f>ROUND('Balance N'!C352,2)</f>
        <v>0</v>
      </c>
      <c r="D380" s="592">
        <f>ROUND('Balance N'!D352,2)</f>
        <v>0</v>
      </c>
      <c r="E380" s="592">
        <f>ROUND('Balance N'!E352,2)</f>
        <v>0</v>
      </c>
      <c r="F380" s="592">
        <f>ROUND('Balance N'!F352,2)</f>
        <v>0</v>
      </c>
      <c r="G380" s="592">
        <f>ROUND('Balance N'!G352,2)</f>
        <v>0</v>
      </c>
      <c r="H380" s="592">
        <f>ROUND('Balance N'!H352,2)</f>
        <v>0</v>
      </c>
      <c r="I380" s="2" t="str">
        <f t="shared" si="8"/>
        <v>0</v>
      </c>
    </row>
    <row r="381" spans="1:9" x14ac:dyDescent="0.2">
      <c r="A381" s="495" t="str">
        <f>FIXED('Balance N'!A353,0,1)</f>
        <v>0</v>
      </c>
      <c r="B381" s="494">
        <f>+'Balance N'!B353</f>
        <v>0</v>
      </c>
      <c r="C381" s="592">
        <f>ROUND('Balance N'!C353,2)</f>
        <v>0</v>
      </c>
      <c r="D381" s="592">
        <f>ROUND('Balance N'!D353,2)</f>
        <v>0</v>
      </c>
      <c r="E381" s="592">
        <f>ROUND('Balance N'!E353,2)</f>
        <v>0</v>
      </c>
      <c r="F381" s="592">
        <f>ROUND('Balance N'!F353,2)</f>
        <v>0</v>
      </c>
      <c r="G381" s="592">
        <f>ROUND('Balance N'!G353,2)</f>
        <v>0</v>
      </c>
      <c r="H381" s="592">
        <f>ROUND('Balance N'!H353,2)</f>
        <v>0</v>
      </c>
      <c r="I381" s="2" t="str">
        <f t="shared" si="8"/>
        <v>0</v>
      </c>
    </row>
    <row r="382" spans="1:9" x14ac:dyDescent="0.2">
      <c r="A382" s="495" t="str">
        <f>FIXED('Balance N'!A354,0,1)</f>
        <v>0</v>
      </c>
      <c r="B382" s="494">
        <f>+'Balance N'!B354</f>
        <v>0</v>
      </c>
      <c r="C382" s="592">
        <f>ROUND('Balance N'!C354,2)</f>
        <v>0</v>
      </c>
      <c r="D382" s="592">
        <f>ROUND('Balance N'!D354,2)</f>
        <v>0</v>
      </c>
      <c r="E382" s="592">
        <f>ROUND('Balance N'!E354,2)</f>
        <v>0</v>
      </c>
      <c r="F382" s="592">
        <f>ROUND('Balance N'!F354,2)</f>
        <v>0</v>
      </c>
      <c r="G382" s="592">
        <f>ROUND('Balance N'!G354,2)</f>
        <v>0</v>
      </c>
      <c r="H382" s="592">
        <f>ROUND('Balance N'!H354,2)</f>
        <v>0</v>
      </c>
      <c r="I382" s="2" t="str">
        <f t="shared" si="8"/>
        <v>0</v>
      </c>
    </row>
    <row r="383" spans="1:9" x14ac:dyDescent="0.2">
      <c r="A383" s="495" t="str">
        <f>FIXED('Balance N'!A355,0,1)</f>
        <v>0</v>
      </c>
      <c r="B383" s="494">
        <f>+'Balance N'!B355</f>
        <v>0</v>
      </c>
      <c r="C383" s="592">
        <f>ROUND('Balance N'!C355,2)</f>
        <v>0</v>
      </c>
      <c r="D383" s="592">
        <f>ROUND('Balance N'!D355,2)</f>
        <v>0</v>
      </c>
      <c r="E383" s="592">
        <f>ROUND('Balance N'!E355,2)</f>
        <v>0</v>
      </c>
      <c r="F383" s="592">
        <f>ROUND('Balance N'!F355,2)</f>
        <v>0</v>
      </c>
      <c r="G383" s="592">
        <f>ROUND('Balance N'!G355,2)</f>
        <v>0</v>
      </c>
      <c r="H383" s="592">
        <f>ROUND('Balance N'!H355,2)</f>
        <v>0</v>
      </c>
      <c r="I383" s="2" t="str">
        <f t="shared" si="8"/>
        <v>0</v>
      </c>
    </row>
    <row r="384" spans="1:9" x14ac:dyDescent="0.2">
      <c r="A384" s="495" t="str">
        <f>FIXED('Balance N'!A356,0,1)</f>
        <v>0</v>
      </c>
      <c r="B384" s="494">
        <f>+'Balance N'!B356</f>
        <v>0</v>
      </c>
      <c r="C384" s="592">
        <f>ROUND('Balance N'!C356,2)</f>
        <v>0</v>
      </c>
      <c r="D384" s="592">
        <f>ROUND('Balance N'!D356,2)</f>
        <v>0</v>
      </c>
      <c r="E384" s="592">
        <f>ROUND('Balance N'!E356,2)</f>
        <v>0</v>
      </c>
      <c r="F384" s="592">
        <f>ROUND('Balance N'!F356,2)</f>
        <v>0</v>
      </c>
      <c r="G384" s="592">
        <f>ROUND('Balance N'!G356,2)</f>
        <v>0</v>
      </c>
      <c r="H384" s="592">
        <f>ROUND('Balance N'!H356,2)</f>
        <v>0</v>
      </c>
      <c r="I384" s="2" t="str">
        <f t="shared" si="8"/>
        <v>0</v>
      </c>
    </row>
    <row r="385" spans="1:9" x14ac:dyDescent="0.2">
      <c r="A385" s="495" t="str">
        <f>FIXED('Balance N'!A357,0,1)</f>
        <v>0</v>
      </c>
      <c r="B385" s="494">
        <f>+'Balance N'!B357</f>
        <v>0</v>
      </c>
      <c r="C385" s="592">
        <f>ROUND('Balance N'!C357,2)</f>
        <v>0</v>
      </c>
      <c r="D385" s="592">
        <f>ROUND('Balance N'!D357,2)</f>
        <v>0</v>
      </c>
      <c r="E385" s="592">
        <f>ROUND('Balance N'!E357,2)</f>
        <v>0</v>
      </c>
      <c r="F385" s="592">
        <f>ROUND('Balance N'!F357,2)</f>
        <v>0</v>
      </c>
      <c r="G385" s="592">
        <f>ROUND('Balance N'!G357,2)</f>
        <v>0</v>
      </c>
      <c r="H385" s="592">
        <f>ROUND('Balance N'!H357,2)</f>
        <v>0</v>
      </c>
      <c r="I385" s="2" t="str">
        <f t="shared" si="8"/>
        <v>0</v>
      </c>
    </row>
    <row r="386" spans="1:9" x14ac:dyDescent="0.2">
      <c r="A386" s="495" t="str">
        <f>FIXED('Balance N'!A358,0,1)</f>
        <v>0</v>
      </c>
      <c r="B386" s="494">
        <f>+'Balance N'!B358</f>
        <v>0</v>
      </c>
      <c r="C386" s="592">
        <f>ROUND('Balance N'!C358,2)</f>
        <v>0</v>
      </c>
      <c r="D386" s="592">
        <f>ROUND('Balance N'!D358,2)</f>
        <v>0</v>
      </c>
      <c r="E386" s="592">
        <f>ROUND('Balance N'!E358,2)</f>
        <v>0</v>
      </c>
      <c r="F386" s="592">
        <f>ROUND('Balance N'!F358,2)</f>
        <v>0</v>
      </c>
      <c r="G386" s="592">
        <f>ROUND('Balance N'!G358,2)</f>
        <v>0</v>
      </c>
      <c r="H386" s="592">
        <f>ROUND('Balance N'!H358,2)</f>
        <v>0</v>
      </c>
      <c r="I386" s="2" t="str">
        <f t="shared" ref="I386:I449" si="9">MID(A386,1,1)</f>
        <v>0</v>
      </c>
    </row>
    <row r="387" spans="1:9" x14ac:dyDescent="0.2">
      <c r="A387" s="495" t="str">
        <f>FIXED('Balance N'!A359,0,1)</f>
        <v>0</v>
      </c>
      <c r="B387" s="494">
        <f>+'Balance N'!B359</f>
        <v>0</v>
      </c>
      <c r="C387" s="592">
        <f>ROUND('Balance N'!C359,2)</f>
        <v>0</v>
      </c>
      <c r="D387" s="592">
        <f>ROUND('Balance N'!D359,2)</f>
        <v>0</v>
      </c>
      <c r="E387" s="592">
        <f>ROUND('Balance N'!E359,2)</f>
        <v>0</v>
      </c>
      <c r="F387" s="592">
        <f>ROUND('Balance N'!F359,2)</f>
        <v>0</v>
      </c>
      <c r="G387" s="592">
        <f>ROUND('Balance N'!G359,2)</f>
        <v>0</v>
      </c>
      <c r="H387" s="592">
        <f>ROUND('Balance N'!H359,2)</f>
        <v>0</v>
      </c>
      <c r="I387" s="2" t="str">
        <f t="shared" si="9"/>
        <v>0</v>
      </c>
    </row>
    <row r="388" spans="1:9" x14ac:dyDescent="0.2">
      <c r="A388" s="495" t="str">
        <f>FIXED('Balance N'!A360,0,1)</f>
        <v>0</v>
      </c>
      <c r="B388" s="494">
        <f>+'Balance N'!B360</f>
        <v>0</v>
      </c>
      <c r="C388" s="592">
        <f>ROUND('Balance N'!C360,2)</f>
        <v>0</v>
      </c>
      <c r="D388" s="592">
        <f>ROUND('Balance N'!D360,2)</f>
        <v>0</v>
      </c>
      <c r="E388" s="592">
        <f>ROUND('Balance N'!E360,2)</f>
        <v>0</v>
      </c>
      <c r="F388" s="592">
        <f>ROUND('Balance N'!F360,2)</f>
        <v>0</v>
      </c>
      <c r="G388" s="592">
        <f>ROUND('Balance N'!G360,2)</f>
        <v>0</v>
      </c>
      <c r="H388" s="592">
        <f>ROUND('Balance N'!H360,2)</f>
        <v>0</v>
      </c>
      <c r="I388" s="2" t="str">
        <f t="shared" si="9"/>
        <v>0</v>
      </c>
    </row>
    <row r="389" spans="1:9" x14ac:dyDescent="0.2">
      <c r="A389" s="495" t="str">
        <f>FIXED('Balance N'!A361,0,1)</f>
        <v>0</v>
      </c>
      <c r="B389" s="494">
        <f>+'Balance N'!B361</f>
        <v>0</v>
      </c>
      <c r="C389" s="592">
        <f>ROUND('Balance N'!C361,2)</f>
        <v>0</v>
      </c>
      <c r="D389" s="592">
        <f>ROUND('Balance N'!D361,2)</f>
        <v>0</v>
      </c>
      <c r="E389" s="592">
        <f>ROUND('Balance N'!E361,2)</f>
        <v>0</v>
      </c>
      <c r="F389" s="592">
        <f>ROUND('Balance N'!F361,2)</f>
        <v>0</v>
      </c>
      <c r="G389" s="592">
        <f>ROUND('Balance N'!G361,2)</f>
        <v>0</v>
      </c>
      <c r="H389" s="592">
        <f>ROUND('Balance N'!H361,2)</f>
        <v>0</v>
      </c>
      <c r="I389" s="2" t="str">
        <f t="shared" si="9"/>
        <v>0</v>
      </c>
    </row>
    <row r="390" spans="1:9" x14ac:dyDescent="0.2">
      <c r="A390" s="495" t="str">
        <f>FIXED('Balance N'!A362,0,1)</f>
        <v>0</v>
      </c>
      <c r="B390" s="494">
        <f>+'Balance N'!B362</f>
        <v>0</v>
      </c>
      <c r="C390" s="592">
        <f>ROUND('Balance N'!C362,2)</f>
        <v>0</v>
      </c>
      <c r="D390" s="592">
        <f>ROUND('Balance N'!D362,2)</f>
        <v>0</v>
      </c>
      <c r="E390" s="592">
        <f>ROUND('Balance N'!E362,2)</f>
        <v>0</v>
      </c>
      <c r="F390" s="592">
        <f>ROUND('Balance N'!F362,2)</f>
        <v>0</v>
      </c>
      <c r="G390" s="592">
        <f>ROUND('Balance N'!G362,2)</f>
        <v>0</v>
      </c>
      <c r="H390" s="592">
        <f>ROUND('Balance N'!H362,2)</f>
        <v>0</v>
      </c>
      <c r="I390" s="2" t="str">
        <f t="shared" si="9"/>
        <v>0</v>
      </c>
    </row>
    <row r="391" spans="1:9" x14ac:dyDescent="0.2">
      <c r="A391" s="495" t="str">
        <f>FIXED('Balance N'!A363,0,1)</f>
        <v>0</v>
      </c>
      <c r="B391" s="494">
        <f>+'Balance N'!B363</f>
        <v>0</v>
      </c>
      <c r="C391" s="592">
        <f>ROUND('Balance N'!C363,2)</f>
        <v>0</v>
      </c>
      <c r="D391" s="592">
        <f>ROUND('Balance N'!D363,2)</f>
        <v>0</v>
      </c>
      <c r="E391" s="592">
        <f>ROUND('Balance N'!E363,2)</f>
        <v>0</v>
      </c>
      <c r="F391" s="592">
        <f>ROUND('Balance N'!F363,2)</f>
        <v>0</v>
      </c>
      <c r="G391" s="592">
        <f>ROUND('Balance N'!G363,2)</f>
        <v>0</v>
      </c>
      <c r="H391" s="592">
        <f>ROUND('Balance N'!H363,2)</f>
        <v>0</v>
      </c>
      <c r="I391" s="2" t="str">
        <f t="shared" si="9"/>
        <v>0</v>
      </c>
    </row>
    <row r="392" spans="1:9" x14ac:dyDescent="0.2">
      <c r="A392" s="495" t="str">
        <f>FIXED('Balance N'!A364,0,1)</f>
        <v>0</v>
      </c>
      <c r="B392" s="494">
        <f>+'Balance N'!B364</f>
        <v>0</v>
      </c>
      <c r="C392" s="592">
        <f>ROUND('Balance N'!C364,2)</f>
        <v>0</v>
      </c>
      <c r="D392" s="592">
        <f>ROUND('Balance N'!D364,2)</f>
        <v>0</v>
      </c>
      <c r="E392" s="592">
        <f>ROUND('Balance N'!E364,2)</f>
        <v>0</v>
      </c>
      <c r="F392" s="592">
        <f>ROUND('Balance N'!F364,2)</f>
        <v>0</v>
      </c>
      <c r="G392" s="592">
        <f>ROUND('Balance N'!G364,2)</f>
        <v>0</v>
      </c>
      <c r="H392" s="592">
        <f>ROUND('Balance N'!H364,2)</f>
        <v>0</v>
      </c>
      <c r="I392" s="2" t="str">
        <f t="shared" si="9"/>
        <v>0</v>
      </c>
    </row>
    <row r="393" spans="1:9" x14ac:dyDescent="0.2">
      <c r="A393" s="495" t="str">
        <f>FIXED('Balance N'!A365,0,1)</f>
        <v>0</v>
      </c>
      <c r="B393" s="494">
        <f>+'Balance N'!B365</f>
        <v>0</v>
      </c>
      <c r="C393" s="592">
        <f>ROUND('Balance N'!C365,2)</f>
        <v>0</v>
      </c>
      <c r="D393" s="592">
        <f>ROUND('Balance N'!D365,2)</f>
        <v>0</v>
      </c>
      <c r="E393" s="592">
        <f>ROUND('Balance N'!E365,2)</f>
        <v>0</v>
      </c>
      <c r="F393" s="592">
        <f>ROUND('Balance N'!F365,2)</f>
        <v>0</v>
      </c>
      <c r="G393" s="592">
        <f>ROUND('Balance N'!G365,2)</f>
        <v>0</v>
      </c>
      <c r="H393" s="592">
        <f>ROUND('Balance N'!H365,2)</f>
        <v>0</v>
      </c>
      <c r="I393" s="2" t="str">
        <f t="shared" si="9"/>
        <v>0</v>
      </c>
    </row>
    <row r="394" spans="1:9" x14ac:dyDescent="0.2">
      <c r="A394" s="495" t="str">
        <f>FIXED('Balance N'!A366,0,1)</f>
        <v>0</v>
      </c>
      <c r="B394" s="494">
        <f>+'Balance N'!B366</f>
        <v>0</v>
      </c>
      <c r="C394" s="592">
        <f>ROUND('Balance N'!C366,2)</f>
        <v>0</v>
      </c>
      <c r="D394" s="592">
        <f>ROUND('Balance N'!D366,2)</f>
        <v>0</v>
      </c>
      <c r="E394" s="592">
        <f>ROUND('Balance N'!E366,2)</f>
        <v>0</v>
      </c>
      <c r="F394" s="592">
        <f>ROUND('Balance N'!F366,2)</f>
        <v>0</v>
      </c>
      <c r="G394" s="592">
        <f>ROUND('Balance N'!G366,2)</f>
        <v>0</v>
      </c>
      <c r="H394" s="592">
        <f>ROUND('Balance N'!H366,2)</f>
        <v>0</v>
      </c>
      <c r="I394" s="2" t="str">
        <f t="shared" si="9"/>
        <v>0</v>
      </c>
    </row>
    <row r="395" spans="1:9" x14ac:dyDescent="0.2">
      <c r="A395" s="495" t="str">
        <f>FIXED('Balance N'!A367,0,1)</f>
        <v>0</v>
      </c>
      <c r="B395" s="494">
        <f>+'Balance N'!B367</f>
        <v>0</v>
      </c>
      <c r="C395" s="592">
        <f>ROUND('Balance N'!C367,2)</f>
        <v>0</v>
      </c>
      <c r="D395" s="592">
        <f>ROUND('Balance N'!D367,2)</f>
        <v>0</v>
      </c>
      <c r="E395" s="592">
        <f>ROUND('Balance N'!E367,2)</f>
        <v>0</v>
      </c>
      <c r="F395" s="592">
        <f>ROUND('Balance N'!F367,2)</f>
        <v>0</v>
      </c>
      <c r="G395" s="592">
        <f>ROUND('Balance N'!G367,2)</f>
        <v>0</v>
      </c>
      <c r="H395" s="592">
        <f>ROUND('Balance N'!H367,2)</f>
        <v>0</v>
      </c>
      <c r="I395" s="2" t="str">
        <f t="shared" si="9"/>
        <v>0</v>
      </c>
    </row>
    <row r="396" spans="1:9" x14ac:dyDescent="0.2">
      <c r="A396" s="495" t="str">
        <f>FIXED('Balance N'!A368,0,1)</f>
        <v>0</v>
      </c>
      <c r="B396" s="494">
        <f>+'Balance N'!B368</f>
        <v>0</v>
      </c>
      <c r="C396" s="592">
        <f>ROUND('Balance N'!C368,2)</f>
        <v>0</v>
      </c>
      <c r="D396" s="592">
        <f>ROUND('Balance N'!D368,2)</f>
        <v>0</v>
      </c>
      <c r="E396" s="592">
        <f>ROUND('Balance N'!E368,2)</f>
        <v>0</v>
      </c>
      <c r="F396" s="592">
        <f>ROUND('Balance N'!F368,2)</f>
        <v>0</v>
      </c>
      <c r="G396" s="592">
        <f>ROUND('Balance N'!G368,2)</f>
        <v>0</v>
      </c>
      <c r="H396" s="592">
        <f>ROUND('Balance N'!H368,2)</f>
        <v>0</v>
      </c>
      <c r="I396" s="2" t="str">
        <f t="shared" si="9"/>
        <v>0</v>
      </c>
    </row>
    <row r="397" spans="1:9" x14ac:dyDescent="0.2">
      <c r="A397" s="495" t="str">
        <f>FIXED('Balance N'!A369,0,1)</f>
        <v>0</v>
      </c>
      <c r="B397" s="494">
        <f>+'Balance N'!B369</f>
        <v>0</v>
      </c>
      <c r="C397" s="592">
        <f>ROUND('Balance N'!C369,2)</f>
        <v>0</v>
      </c>
      <c r="D397" s="592">
        <f>ROUND('Balance N'!D369,2)</f>
        <v>0</v>
      </c>
      <c r="E397" s="592">
        <f>ROUND('Balance N'!E369,2)</f>
        <v>0</v>
      </c>
      <c r="F397" s="592">
        <f>ROUND('Balance N'!F369,2)</f>
        <v>0</v>
      </c>
      <c r="G397" s="592">
        <f>ROUND('Balance N'!G369,2)</f>
        <v>0</v>
      </c>
      <c r="H397" s="592">
        <f>ROUND('Balance N'!H369,2)</f>
        <v>0</v>
      </c>
      <c r="I397" s="2" t="str">
        <f t="shared" si="9"/>
        <v>0</v>
      </c>
    </row>
    <row r="398" spans="1:9" x14ac:dyDescent="0.2">
      <c r="A398" s="495" t="str">
        <f>FIXED('Balance N'!A370,0,1)</f>
        <v>0</v>
      </c>
      <c r="B398" s="494">
        <f>+'Balance N'!B370</f>
        <v>0</v>
      </c>
      <c r="C398" s="592">
        <f>ROUND('Balance N'!C370,2)</f>
        <v>0</v>
      </c>
      <c r="D398" s="592">
        <f>ROUND('Balance N'!D370,2)</f>
        <v>0</v>
      </c>
      <c r="E398" s="592">
        <f>ROUND('Balance N'!E370,2)</f>
        <v>0</v>
      </c>
      <c r="F398" s="592">
        <f>ROUND('Balance N'!F370,2)</f>
        <v>0</v>
      </c>
      <c r="G398" s="592">
        <f>ROUND('Balance N'!G370,2)</f>
        <v>0</v>
      </c>
      <c r="H398" s="592">
        <f>ROUND('Balance N'!H370,2)</f>
        <v>0</v>
      </c>
      <c r="I398" s="2" t="str">
        <f t="shared" si="9"/>
        <v>0</v>
      </c>
    </row>
    <row r="399" spans="1:9" x14ac:dyDescent="0.2">
      <c r="A399" s="495" t="str">
        <f>FIXED('Balance N'!A371,0,1)</f>
        <v>0</v>
      </c>
      <c r="B399" s="494">
        <f>+'Balance N'!B371</f>
        <v>0</v>
      </c>
      <c r="C399" s="592">
        <f>ROUND('Balance N'!C371,2)</f>
        <v>0</v>
      </c>
      <c r="D399" s="592">
        <f>ROUND('Balance N'!D371,2)</f>
        <v>0</v>
      </c>
      <c r="E399" s="592">
        <f>ROUND('Balance N'!E371,2)</f>
        <v>0</v>
      </c>
      <c r="F399" s="592">
        <f>ROUND('Balance N'!F371,2)</f>
        <v>0</v>
      </c>
      <c r="G399" s="592">
        <f>ROUND('Balance N'!G371,2)</f>
        <v>0</v>
      </c>
      <c r="H399" s="592">
        <f>ROUND('Balance N'!H371,2)</f>
        <v>0</v>
      </c>
      <c r="I399" s="2" t="str">
        <f t="shared" si="9"/>
        <v>0</v>
      </c>
    </row>
    <row r="400" spans="1:9" x14ac:dyDescent="0.2">
      <c r="A400" s="495" t="str">
        <f>FIXED('Balance N'!A372,0,1)</f>
        <v>0</v>
      </c>
      <c r="B400" s="494">
        <f>+'Balance N'!B372</f>
        <v>0</v>
      </c>
      <c r="C400" s="592">
        <f>ROUND('Balance N'!C372,2)</f>
        <v>0</v>
      </c>
      <c r="D400" s="592">
        <f>ROUND('Balance N'!D372,2)</f>
        <v>0</v>
      </c>
      <c r="E400" s="592">
        <f>ROUND('Balance N'!E372,2)</f>
        <v>0</v>
      </c>
      <c r="F400" s="592">
        <f>ROUND('Balance N'!F372,2)</f>
        <v>0</v>
      </c>
      <c r="G400" s="592">
        <f>ROUND('Balance N'!G372,2)</f>
        <v>0</v>
      </c>
      <c r="H400" s="592">
        <f>ROUND('Balance N'!H372,2)</f>
        <v>0</v>
      </c>
      <c r="I400" s="2" t="str">
        <f t="shared" si="9"/>
        <v>0</v>
      </c>
    </row>
    <row r="401" spans="1:9" x14ac:dyDescent="0.2">
      <c r="A401" s="495" t="str">
        <f>FIXED('Balance N'!A373,0,1)</f>
        <v>0</v>
      </c>
      <c r="B401" s="494">
        <f>+'Balance N'!B373</f>
        <v>0</v>
      </c>
      <c r="C401" s="592">
        <f>ROUND('Balance N'!C373,2)</f>
        <v>0</v>
      </c>
      <c r="D401" s="592">
        <f>ROUND('Balance N'!D373,2)</f>
        <v>0</v>
      </c>
      <c r="E401" s="592">
        <f>ROUND('Balance N'!E373,2)</f>
        <v>0</v>
      </c>
      <c r="F401" s="592">
        <f>ROUND('Balance N'!F373,2)</f>
        <v>0</v>
      </c>
      <c r="G401" s="592">
        <f>ROUND('Balance N'!G373,2)</f>
        <v>0</v>
      </c>
      <c r="H401" s="592">
        <f>ROUND('Balance N'!H373,2)</f>
        <v>0</v>
      </c>
      <c r="I401" s="2" t="str">
        <f t="shared" si="9"/>
        <v>0</v>
      </c>
    </row>
    <row r="402" spans="1:9" x14ac:dyDescent="0.2">
      <c r="A402" s="495" t="str">
        <f>FIXED('Balance N'!A374,0,1)</f>
        <v>0</v>
      </c>
      <c r="B402" s="494">
        <f>+'Balance N'!B374</f>
        <v>0</v>
      </c>
      <c r="C402" s="592">
        <f>ROUND('Balance N'!C374,2)</f>
        <v>0</v>
      </c>
      <c r="D402" s="592">
        <f>ROUND('Balance N'!D374,2)</f>
        <v>0</v>
      </c>
      <c r="E402" s="592">
        <f>ROUND('Balance N'!E374,2)</f>
        <v>0</v>
      </c>
      <c r="F402" s="592">
        <f>ROUND('Balance N'!F374,2)</f>
        <v>0</v>
      </c>
      <c r="G402" s="592">
        <f>ROUND('Balance N'!G374,2)</f>
        <v>0</v>
      </c>
      <c r="H402" s="592">
        <f>ROUND('Balance N'!H374,2)</f>
        <v>0</v>
      </c>
      <c r="I402" s="2" t="str">
        <f t="shared" si="9"/>
        <v>0</v>
      </c>
    </row>
    <row r="403" spans="1:9" x14ac:dyDescent="0.2">
      <c r="A403" s="495" t="str">
        <f>FIXED('Balance N'!A375,0,1)</f>
        <v>0</v>
      </c>
      <c r="B403" s="494">
        <f>+'Balance N'!B375</f>
        <v>0</v>
      </c>
      <c r="C403" s="592">
        <f>ROUND('Balance N'!C375,2)</f>
        <v>0</v>
      </c>
      <c r="D403" s="592">
        <f>ROUND('Balance N'!D375,2)</f>
        <v>0</v>
      </c>
      <c r="E403" s="592">
        <f>ROUND('Balance N'!E375,2)</f>
        <v>0</v>
      </c>
      <c r="F403" s="592">
        <f>ROUND('Balance N'!F375,2)</f>
        <v>0</v>
      </c>
      <c r="G403" s="592">
        <f>ROUND('Balance N'!G375,2)</f>
        <v>0</v>
      </c>
      <c r="H403" s="592">
        <f>ROUND('Balance N'!H375,2)</f>
        <v>0</v>
      </c>
      <c r="I403" s="2" t="str">
        <f t="shared" si="9"/>
        <v>0</v>
      </c>
    </row>
    <row r="404" spans="1:9" x14ac:dyDescent="0.2">
      <c r="A404" s="495" t="str">
        <f>FIXED('Balance N'!A376,0,1)</f>
        <v>0</v>
      </c>
      <c r="B404" s="494">
        <f>+'Balance N'!B376</f>
        <v>0</v>
      </c>
      <c r="C404" s="592">
        <f>ROUND('Balance N'!C376,2)</f>
        <v>0</v>
      </c>
      <c r="D404" s="592">
        <f>ROUND('Balance N'!D376,2)</f>
        <v>0</v>
      </c>
      <c r="E404" s="592">
        <f>ROUND('Balance N'!E376,2)</f>
        <v>0</v>
      </c>
      <c r="F404" s="592">
        <f>ROUND('Balance N'!F376,2)</f>
        <v>0</v>
      </c>
      <c r="G404" s="592">
        <f>ROUND('Balance N'!G376,2)</f>
        <v>0</v>
      </c>
      <c r="H404" s="592">
        <f>ROUND('Balance N'!H376,2)</f>
        <v>0</v>
      </c>
      <c r="I404" s="2" t="str">
        <f t="shared" si="9"/>
        <v>0</v>
      </c>
    </row>
    <row r="405" spans="1:9" x14ac:dyDescent="0.2">
      <c r="A405" s="495" t="str">
        <f>FIXED('Balance N'!A377,0,1)</f>
        <v>0</v>
      </c>
      <c r="B405" s="494">
        <f>+'Balance N'!B377</f>
        <v>0</v>
      </c>
      <c r="C405" s="592">
        <f>ROUND('Balance N'!C377,2)</f>
        <v>0</v>
      </c>
      <c r="D405" s="592">
        <f>ROUND('Balance N'!D377,2)</f>
        <v>0</v>
      </c>
      <c r="E405" s="592">
        <f>ROUND('Balance N'!E377,2)</f>
        <v>0</v>
      </c>
      <c r="F405" s="592">
        <f>ROUND('Balance N'!F377,2)</f>
        <v>0</v>
      </c>
      <c r="G405" s="592">
        <f>ROUND('Balance N'!G377,2)</f>
        <v>0</v>
      </c>
      <c r="H405" s="592">
        <f>ROUND('Balance N'!H377,2)</f>
        <v>0</v>
      </c>
      <c r="I405" s="2" t="str">
        <f t="shared" si="9"/>
        <v>0</v>
      </c>
    </row>
    <row r="406" spans="1:9" x14ac:dyDescent="0.2">
      <c r="A406" s="495" t="str">
        <f>FIXED('Balance N'!A378,0,1)</f>
        <v>0</v>
      </c>
      <c r="B406" s="494">
        <f>+'Balance N'!B378</f>
        <v>0</v>
      </c>
      <c r="C406" s="592">
        <f>ROUND('Balance N'!C378,2)</f>
        <v>0</v>
      </c>
      <c r="D406" s="592">
        <f>ROUND('Balance N'!D378,2)</f>
        <v>0</v>
      </c>
      <c r="E406" s="592">
        <f>ROUND('Balance N'!E378,2)</f>
        <v>0</v>
      </c>
      <c r="F406" s="592">
        <f>ROUND('Balance N'!F378,2)</f>
        <v>0</v>
      </c>
      <c r="G406" s="592">
        <f>ROUND('Balance N'!G378,2)</f>
        <v>0</v>
      </c>
      <c r="H406" s="592">
        <f>ROUND('Balance N'!H378,2)</f>
        <v>0</v>
      </c>
      <c r="I406" s="2" t="str">
        <f t="shared" si="9"/>
        <v>0</v>
      </c>
    </row>
    <row r="407" spans="1:9" x14ac:dyDescent="0.2">
      <c r="A407" s="495" t="str">
        <f>FIXED('Balance N'!A379,0,1)</f>
        <v>0</v>
      </c>
      <c r="B407" s="494">
        <f>+'Balance N'!B379</f>
        <v>0</v>
      </c>
      <c r="C407" s="592">
        <f>ROUND('Balance N'!C379,2)</f>
        <v>0</v>
      </c>
      <c r="D407" s="592">
        <f>ROUND('Balance N'!D379,2)</f>
        <v>0</v>
      </c>
      <c r="E407" s="592">
        <f>ROUND('Balance N'!E379,2)</f>
        <v>0</v>
      </c>
      <c r="F407" s="592">
        <f>ROUND('Balance N'!F379,2)</f>
        <v>0</v>
      </c>
      <c r="G407" s="592">
        <f>ROUND('Balance N'!G379,2)</f>
        <v>0</v>
      </c>
      <c r="H407" s="592">
        <f>ROUND('Balance N'!H379,2)</f>
        <v>0</v>
      </c>
      <c r="I407" s="2" t="str">
        <f t="shared" si="9"/>
        <v>0</v>
      </c>
    </row>
    <row r="408" spans="1:9" x14ac:dyDescent="0.2">
      <c r="A408" s="495" t="str">
        <f>FIXED('Balance N'!A380,0,1)</f>
        <v>0</v>
      </c>
      <c r="B408" s="494">
        <f>+'Balance N'!B380</f>
        <v>0</v>
      </c>
      <c r="C408" s="592">
        <f>ROUND('Balance N'!C380,2)</f>
        <v>0</v>
      </c>
      <c r="D408" s="592">
        <f>ROUND('Balance N'!D380,2)</f>
        <v>0</v>
      </c>
      <c r="E408" s="592">
        <f>ROUND('Balance N'!E380,2)</f>
        <v>0</v>
      </c>
      <c r="F408" s="592">
        <f>ROUND('Balance N'!F380,2)</f>
        <v>0</v>
      </c>
      <c r="G408" s="592">
        <f>ROUND('Balance N'!G380,2)</f>
        <v>0</v>
      </c>
      <c r="H408" s="592">
        <f>ROUND('Balance N'!H380,2)</f>
        <v>0</v>
      </c>
      <c r="I408" s="2" t="str">
        <f t="shared" si="9"/>
        <v>0</v>
      </c>
    </row>
    <row r="409" spans="1:9" x14ac:dyDescent="0.2">
      <c r="A409" s="495" t="str">
        <f>FIXED('Balance N'!A381,0,1)</f>
        <v>0</v>
      </c>
      <c r="B409" s="494">
        <f>+'Balance N'!B381</f>
        <v>0</v>
      </c>
      <c r="C409" s="592">
        <f>ROUND('Balance N'!C381,2)</f>
        <v>0</v>
      </c>
      <c r="D409" s="592">
        <f>ROUND('Balance N'!D381,2)</f>
        <v>0</v>
      </c>
      <c r="E409" s="592">
        <f>ROUND('Balance N'!E381,2)</f>
        <v>0</v>
      </c>
      <c r="F409" s="592">
        <f>ROUND('Balance N'!F381,2)</f>
        <v>0</v>
      </c>
      <c r="G409" s="592">
        <f>ROUND('Balance N'!G381,2)</f>
        <v>0</v>
      </c>
      <c r="H409" s="592">
        <f>ROUND('Balance N'!H381,2)</f>
        <v>0</v>
      </c>
      <c r="I409" s="2" t="str">
        <f t="shared" si="9"/>
        <v>0</v>
      </c>
    </row>
    <row r="410" spans="1:9" x14ac:dyDescent="0.2">
      <c r="A410" s="495" t="str">
        <f>FIXED('Balance N'!A382,0,1)</f>
        <v>0</v>
      </c>
      <c r="B410" s="494">
        <f>+'Balance N'!B382</f>
        <v>0</v>
      </c>
      <c r="C410" s="592">
        <f>ROUND('Balance N'!C382,2)</f>
        <v>0</v>
      </c>
      <c r="D410" s="592">
        <f>ROUND('Balance N'!D382,2)</f>
        <v>0</v>
      </c>
      <c r="E410" s="592">
        <f>ROUND('Balance N'!E382,2)</f>
        <v>0</v>
      </c>
      <c r="F410" s="592">
        <f>ROUND('Balance N'!F382,2)</f>
        <v>0</v>
      </c>
      <c r="G410" s="592">
        <f>ROUND('Balance N'!G382,2)</f>
        <v>0</v>
      </c>
      <c r="H410" s="592">
        <f>ROUND('Balance N'!H382,2)</f>
        <v>0</v>
      </c>
      <c r="I410" s="2" t="str">
        <f t="shared" si="9"/>
        <v>0</v>
      </c>
    </row>
    <row r="411" spans="1:9" x14ac:dyDescent="0.2">
      <c r="A411" s="495" t="str">
        <f>FIXED('Balance N'!A383,0,1)</f>
        <v>0</v>
      </c>
      <c r="B411" s="494">
        <f>+'Balance N'!B383</f>
        <v>0</v>
      </c>
      <c r="C411" s="592">
        <f>ROUND('Balance N'!C383,2)</f>
        <v>0</v>
      </c>
      <c r="D411" s="592">
        <f>ROUND('Balance N'!D383,2)</f>
        <v>0</v>
      </c>
      <c r="E411" s="592">
        <f>ROUND('Balance N'!E383,2)</f>
        <v>0</v>
      </c>
      <c r="F411" s="592">
        <f>ROUND('Balance N'!F383,2)</f>
        <v>0</v>
      </c>
      <c r="G411" s="592">
        <f>ROUND('Balance N'!G383,2)</f>
        <v>0</v>
      </c>
      <c r="H411" s="592">
        <f>ROUND('Balance N'!H383,2)</f>
        <v>0</v>
      </c>
      <c r="I411" s="2" t="str">
        <f t="shared" si="9"/>
        <v>0</v>
      </c>
    </row>
    <row r="412" spans="1:9" x14ac:dyDescent="0.2">
      <c r="A412" s="495" t="str">
        <f>FIXED('Balance N'!A384,0,1)</f>
        <v>0</v>
      </c>
      <c r="B412" s="494">
        <f>+'Balance N'!B384</f>
        <v>0</v>
      </c>
      <c r="C412" s="592">
        <f>ROUND('Balance N'!C384,2)</f>
        <v>0</v>
      </c>
      <c r="D412" s="592">
        <f>ROUND('Balance N'!D384,2)</f>
        <v>0</v>
      </c>
      <c r="E412" s="592">
        <f>ROUND('Balance N'!E384,2)</f>
        <v>0</v>
      </c>
      <c r="F412" s="592">
        <f>ROUND('Balance N'!F384,2)</f>
        <v>0</v>
      </c>
      <c r="G412" s="592">
        <f>ROUND('Balance N'!G384,2)</f>
        <v>0</v>
      </c>
      <c r="H412" s="592">
        <f>ROUND('Balance N'!H384,2)</f>
        <v>0</v>
      </c>
      <c r="I412" s="2" t="str">
        <f t="shared" si="9"/>
        <v>0</v>
      </c>
    </row>
    <row r="413" spans="1:9" x14ac:dyDescent="0.2">
      <c r="A413" s="495" t="str">
        <f>FIXED('Balance N'!A385,0,1)</f>
        <v>0</v>
      </c>
      <c r="B413" s="494">
        <f>+'Balance N'!B385</f>
        <v>0</v>
      </c>
      <c r="C413" s="592">
        <f>ROUND('Balance N'!C385,2)</f>
        <v>0</v>
      </c>
      <c r="D413" s="592">
        <f>ROUND('Balance N'!D385,2)</f>
        <v>0</v>
      </c>
      <c r="E413" s="592">
        <f>ROUND('Balance N'!E385,2)</f>
        <v>0</v>
      </c>
      <c r="F413" s="592">
        <f>ROUND('Balance N'!F385,2)</f>
        <v>0</v>
      </c>
      <c r="G413" s="592">
        <f>ROUND('Balance N'!G385,2)</f>
        <v>0</v>
      </c>
      <c r="H413" s="592">
        <f>ROUND('Balance N'!H385,2)</f>
        <v>0</v>
      </c>
      <c r="I413" s="2" t="str">
        <f t="shared" si="9"/>
        <v>0</v>
      </c>
    </row>
    <row r="414" spans="1:9" x14ac:dyDescent="0.2">
      <c r="A414" s="495" t="str">
        <f>FIXED('Balance N'!A386,0,1)</f>
        <v>0</v>
      </c>
      <c r="B414" s="494">
        <f>+'Balance N'!B386</f>
        <v>0</v>
      </c>
      <c r="C414" s="592">
        <f>ROUND('Balance N'!C386,2)</f>
        <v>0</v>
      </c>
      <c r="D414" s="592">
        <f>ROUND('Balance N'!D386,2)</f>
        <v>0</v>
      </c>
      <c r="E414" s="592">
        <f>ROUND('Balance N'!E386,2)</f>
        <v>0</v>
      </c>
      <c r="F414" s="592">
        <f>ROUND('Balance N'!F386,2)</f>
        <v>0</v>
      </c>
      <c r="G414" s="592">
        <f>ROUND('Balance N'!G386,2)</f>
        <v>0</v>
      </c>
      <c r="H414" s="592">
        <f>ROUND('Balance N'!H386,2)</f>
        <v>0</v>
      </c>
      <c r="I414" s="2" t="str">
        <f t="shared" si="9"/>
        <v>0</v>
      </c>
    </row>
    <row r="415" spans="1:9" x14ac:dyDescent="0.2">
      <c r="A415" s="495" t="str">
        <f>FIXED('Balance N'!A387,0,1)</f>
        <v>0</v>
      </c>
      <c r="B415" s="494">
        <f>+'Balance N'!B387</f>
        <v>0</v>
      </c>
      <c r="C415" s="592">
        <f>ROUND('Balance N'!C387,2)</f>
        <v>0</v>
      </c>
      <c r="D415" s="592">
        <f>ROUND('Balance N'!D387,2)</f>
        <v>0</v>
      </c>
      <c r="E415" s="592">
        <f>ROUND('Balance N'!E387,2)</f>
        <v>0</v>
      </c>
      <c r="F415" s="592">
        <f>ROUND('Balance N'!F387,2)</f>
        <v>0</v>
      </c>
      <c r="G415" s="592">
        <f>ROUND('Balance N'!G387,2)</f>
        <v>0</v>
      </c>
      <c r="H415" s="592">
        <f>ROUND('Balance N'!H387,2)</f>
        <v>0</v>
      </c>
      <c r="I415" s="2" t="str">
        <f t="shared" si="9"/>
        <v>0</v>
      </c>
    </row>
    <row r="416" spans="1:9" x14ac:dyDescent="0.2">
      <c r="A416" s="495" t="str">
        <f>FIXED('Balance N'!A388,0,1)</f>
        <v>0</v>
      </c>
      <c r="B416" s="494">
        <f>+'Balance N'!B388</f>
        <v>0</v>
      </c>
      <c r="C416" s="592">
        <f>ROUND('Balance N'!C388,2)</f>
        <v>0</v>
      </c>
      <c r="D416" s="592">
        <f>ROUND('Balance N'!D388,2)</f>
        <v>0</v>
      </c>
      <c r="E416" s="592">
        <f>ROUND('Balance N'!E388,2)</f>
        <v>0</v>
      </c>
      <c r="F416" s="592">
        <f>ROUND('Balance N'!F388,2)</f>
        <v>0</v>
      </c>
      <c r="G416" s="592">
        <f>ROUND('Balance N'!G388,2)</f>
        <v>0</v>
      </c>
      <c r="H416" s="592">
        <f>ROUND('Balance N'!H388,2)</f>
        <v>0</v>
      </c>
      <c r="I416" s="2" t="str">
        <f t="shared" si="9"/>
        <v>0</v>
      </c>
    </row>
    <row r="417" spans="1:9" x14ac:dyDescent="0.2">
      <c r="A417" s="495" t="str">
        <f>FIXED('Balance N'!A389,0,1)</f>
        <v>0</v>
      </c>
      <c r="B417" s="494">
        <f>+'Balance N'!B389</f>
        <v>0</v>
      </c>
      <c r="C417" s="592">
        <f>ROUND('Balance N'!C389,2)</f>
        <v>0</v>
      </c>
      <c r="D417" s="592">
        <f>ROUND('Balance N'!D389,2)</f>
        <v>0</v>
      </c>
      <c r="E417" s="592">
        <f>ROUND('Balance N'!E389,2)</f>
        <v>0</v>
      </c>
      <c r="F417" s="592">
        <f>ROUND('Balance N'!F389,2)</f>
        <v>0</v>
      </c>
      <c r="G417" s="592">
        <f>ROUND('Balance N'!G389,2)</f>
        <v>0</v>
      </c>
      <c r="H417" s="592">
        <f>ROUND('Balance N'!H389,2)</f>
        <v>0</v>
      </c>
      <c r="I417" s="2" t="str">
        <f t="shared" si="9"/>
        <v>0</v>
      </c>
    </row>
    <row r="418" spans="1:9" x14ac:dyDescent="0.2">
      <c r="A418" s="495" t="str">
        <f>FIXED('Balance N'!A390,0,1)</f>
        <v>0</v>
      </c>
      <c r="B418" s="494">
        <f>+'Balance N'!B390</f>
        <v>0</v>
      </c>
      <c r="C418" s="592">
        <f>ROUND('Balance N'!C390,2)</f>
        <v>0</v>
      </c>
      <c r="D418" s="592">
        <f>ROUND('Balance N'!D390,2)</f>
        <v>0</v>
      </c>
      <c r="E418" s="592">
        <f>ROUND('Balance N'!E390,2)</f>
        <v>0</v>
      </c>
      <c r="F418" s="592">
        <f>ROUND('Balance N'!F390,2)</f>
        <v>0</v>
      </c>
      <c r="G418" s="592">
        <f>ROUND('Balance N'!G390,2)</f>
        <v>0</v>
      </c>
      <c r="H418" s="592">
        <f>ROUND('Balance N'!H390,2)</f>
        <v>0</v>
      </c>
      <c r="I418" s="2" t="str">
        <f t="shared" si="9"/>
        <v>0</v>
      </c>
    </row>
    <row r="419" spans="1:9" x14ac:dyDescent="0.2">
      <c r="A419" s="495" t="str">
        <f>FIXED('Balance N'!A391,0,1)</f>
        <v>0</v>
      </c>
      <c r="B419" s="494">
        <f>+'Balance N'!B391</f>
        <v>0</v>
      </c>
      <c r="C419" s="592">
        <f>ROUND('Balance N'!C391,2)</f>
        <v>0</v>
      </c>
      <c r="D419" s="592">
        <f>ROUND('Balance N'!D391,2)</f>
        <v>0</v>
      </c>
      <c r="E419" s="592">
        <f>ROUND('Balance N'!E391,2)</f>
        <v>0</v>
      </c>
      <c r="F419" s="592">
        <f>ROUND('Balance N'!F391,2)</f>
        <v>0</v>
      </c>
      <c r="G419" s="592">
        <f>ROUND('Balance N'!G391,2)</f>
        <v>0</v>
      </c>
      <c r="H419" s="592">
        <f>ROUND('Balance N'!H391,2)</f>
        <v>0</v>
      </c>
      <c r="I419" s="2" t="str">
        <f t="shared" si="9"/>
        <v>0</v>
      </c>
    </row>
    <row r="420" spans="1:9" x14ac:dyDescent="0.2">
      <c r="A420" s="495" t="str">
        <f>FIXED('Balance N'!A392,0,1)</f>
        <v>0</v>
      </c>
      <c r="B420" s="494">
        <f>+'Balance N'!B392</f>
        <v>0</v>
      </c>
      <c r="C420" s="592">
        <f>ROUND('Balance N'!C392,2)</f>
        <v>0</v>
      </c>
      <c r="D420" s="592">
        <f>ROUND('Balance N'!D392,2)</f>
        <v>0</v>
      </c>
      <c r="E420" s="592">
        <f>ROUND('Balance N'!E392,2)</f>
        <v>0</v>
      </c>
      <c r="F420" s="592">
        <f>ROUND('Balance N'!F392,2)</f>
        <v>0</v>
      </c>
      <c r="G420" s="592">
        <f>ROUND('Balance N'!G392,2)</f>
        <v>0</v>
      </c>
      <c r="H420" s="592">
        <f>ROUND('Balance N'!H392,2)</f>
        <v>0</v>
      </c>
      <c r="I420" s="2" t="str">
        <f t="shared" si="9"/>
        <v>0</v>
      </c>
    </row>
    <row r="421" spans="1:9" x14ac:dyDescent="0.2">
      <c r="A421" s="495" t="str">
        <f>FIXED('Balance N'!A393,0,1)</f>
        <v>0</v>
      </c>
      <c r="B421" s="494">
        <f>+'Balance N'!B393</f>
        <v>0</v>
      </c>
      <c r="C421" s="592">
        <f>ROUND('Balance N'!C393,2)</f>
        <v>0</v>
      </c>
      <c r="D421" s="592">
        <f>ROUND('Balance N'!D393,2)</f>
        <v>0</v>
      </c>
      <c r="E421" s="592">
        <f>ROUND('Balance N'!E393,2)</f>
        <v>0</v>
      </c>
      <c r="F421" s="592">
        <f>ROUND('Balance N'!F393,2)</f>
        <v>0</v>
      </c>
      <c r="G421" s="592">
        <f>ROUND('Balance N'!G393,2)</f>
        <v>0</v>
      </c>
      <c r="H421" s="592">
        <f>ROUND('Balance N'!H393,2)</f>
        <v>0</v>
      </c>
      <c r="I421" s="2" t="str">
        <f t="shared" si="9"/>
        <v>0</v>
      </c>
    </row>
    <row r="422" spans="1:9" x14ac:dyDescent="0.2">
      <c r="A422" s="495" t="str">
        <f>FIXED('Balance N'!A394,0,1)</f>
        <v>0</v>
      </c>
      <c r="B422" s="494">
        <f>+'Balance N'!B394</f>
        <v>0</v>
      </c>
      <c r="C422" s="592">
        <f>ROUND('Balance N'!C394,2)</f>
        <v>0</v>
      </c>
      <c r="D422" s="592">
        <f>ROUND('Balance N'!D394,2)</f>
        <v>0</v>
      </c>
      <c r="E422" s="592">
        <f>ROUND('Balance N'!E394,2)</f>
        <v>0</v>
      </c>
      <c r="F422" s="592">
        <f>ROUND('Balance N'!F394,2)</f>
        <v>0</v>
      </c>
      <c r="G422" s="592">
        <f>ROUND('Balance N'!G394,2)</f>
        <v>0</v>
      </c>
      <c r="H422" s="592">
        <f>ROUND('Balance N'!H394,2)</f>
        <v>0</v>
      </c>
      <c r="I422" s="2" t="str">
        <f t="shared" si="9"/>
        <v>0</v>
      </c>
    </row>
    <row r="423" spans="1:9" x14ac:dyDescent="0.2">
      <c r="A423" s="495" t="str">
        <f>FIXED('Balance N'!A395,0,1)</f>
        <v>0</v>
      </c>
      <c r="B423" s="494">
        <f>+'Balance N'!B395</f>
        <v>0</v>
      </c>
      <c r="C423" s="592">
        <f>ROUND('Balance N'!C395,2)</f>
        <v>0</v>
      </c>
      <c r="D423" s="592">
        <f>ROUND('Balance N'!D395,2)</f>
        <v>0</v>
      </c>
      <c r="E423" s="592">
        <f>ROUND('Balance N'!E395,2)</f>
        <v>0</v>
      </c>
      <c r="F423" s="592">
        <f>ROUND('Balance N'!F395,2)</f>
        <v>0</v>
      </c>
      <c r="G423" s="592">
        <f>ROUND('Balance N'!G395,2)</f>
        <v>0</v>
      </c>
      <c r="H423" s="592">
        <f>ROUND('Balance N'!H395,2)</f>
        <v>0</v>
      </c>
      <c r="I423" s="2" t="str">
        <f t="shared" si="9"/>
        <v>0</v>
      </c>
    </row>
    <row r="424" spans="1:9" x14ac:dyDescent="0.2">
      <c r="A424" s="495" t="str">
        <f>FIXED('Balance N'!A396,0,1)</f>
        <v>0</v>
      </c>
      <c r="B424" s="494">
        <f>+'Balance N'!B396</f>
        <v>0</v>
      </c>
      <c r="C424" s="592">
        <f>ROUND('Balance N'!C396,2)</f>
        <v>0</v>
      </c>
      <c r="D424" s="592">
        <f>ROUND('Balance N'!D396,2)</f>
        <v>0</v>
      </c>
      <c r="E424" s="592">
        <f>ROUND('Balance N'!E396,2)</f>
        <v>0</v>
      </c>
      <c r="F424" s="592">
        <f>ROUND('Balance N'!F396,2)</f>
        <v>0</v>
      </c>
      <c r="G424" s="592">
        <f>ROUND('Balance N'!G396,2)</f>
        <v>0</v>
      </c>
      <c r="H424" s="592">
        <f>ROUND('Balance N'!H396,2)</f>
        <v>0</v>
      </c>
      <c r="I424" s="2" t="str">
        <f t="shared" si="9"/>
        <v>0</v>
      </c>
    </row>
    <row r="425" spans="1:9" x14ac:dyDescent="0.2">
      <c r="A425" s="495" t="str">
        <f>FIXED('Balance N'!A397,0,1)</f>
        <v>0</v>
      </c>
      <c r="B425" s="494">
        <f>+'Balance N'!B397</f>
        <v>0</v>
      </c>
      <c r="C425" s="592">
        <f>ROUND('Balance N'!C397,2)</f>
        <v>0</v>
      </c>
      <c r="D425" s="592">
        <f>ROUND('Balance N'!D397,2)</f>
        <v>0</v>
      </c>
      <c r="E425" s="592">
        <f>ROUND('Balance N'!E397,2)</f>
        <v>0</v>
      </c>
      <c r="F425" s="592">
        <f>ROUND('Balance N'!F397,2)</f>
        <v>0</v>
      </c>
      <c r="G425" s="592">
        <f>ROUND('Balance N'!G397,2)</f>
        <v>0</v>
      </c>
      <c r="H425" s="592">
        <f>ROUND('Balance N'!H397,2)</f>
        <v>0</v>
      </c>
      <c r="I425" s="2" t="str">
        <f t="shared" si="9"/>
        <v>0</v>
      </c>
    </row>
    <row r="426" spans="1:9" x14ac:dyDescent="0.2">
      <c r="A426" s="495" t="str">
        <f>FIXED('Balance N'!A398,0,1)</f>
        <v>0</v>
      </c>
      <c r="B426" s="494">
        <f>+'Balance N'!B398</f>
        <v>0</v>
      </c>
      <c r="C426" s="592">
        <f>ROUND('Balance N'!C398,2)</f>
        <v>0</v>
      </c>
      <c r="D426" s="592">
        <f>ROUND('Balance N'!D398,2)</f>
        <v>0</v>
      </c>
      <c r="E426" s="592">
        <f>ROUND('Balance N'!E398,2)</f>
        <v>0</v>
      </c>
      <c r="F426" s="592">
        <f>ROUND('Balance N'!F398,2)</f>
        <v>0</v>
      </c>
      <c r="G426" s="592">
        <f>ROUND('Balance N'!G398,2)</f>
        <v>0</v>
      </c>
      <c r="H426" s="592">
        <f>ROUND('Balance N'!H398,2)</f>
        <v>0</v>
      </c>
      <c r="I426" s="2" t="str">
        <f t="shared" si="9"/>
        <v>0</v>
      </c>
    </row>
    <row r="427" spans="1:9" x14ac:dyDescent="0.2">
      <c r="A427" s="495" t="str">
        <f>FIXED('Balance N'!A399,0,1)</f>
        <v>0</v>
      </c>
      <c r="B427" s="494">
        <f>+'Balance N'!B399</f>
        <v>0</v>
      </c>
      <c r="C427" s="592">
        <f>ROUND('Balance N'!C399,2)</f>
        <v>0</v>
      </c>
      <c r="D427" s="592">
        <f>ROUND('Balance N'!D399,2)</f>
        <v>0</v>
      </c>
      <c r="E427" s="592">
        <f>ROUND('Balance N'!E399,2)</f>
        <v>0</v>
      </c>
      <c r="F427" s="592">
        <f>ROUND('Balance N'!F399,2)</f>
        <v>0</v>
      </c>
      <c r="G427" s="592">
        <f>ROUND('Balance N'!G399,2)</f>
        <v>0</v>
      </c>
      <c r="H427" s="592">
        <f>ROUND('Balance N'!H399,2)</f>
        <v>0</v>
      </c>
      <c r="I427" s="2" t="str">
        <f t="shared" si="9"/>
        <v>0</v>
      </c>
    </row>
    <row r="428" spans="1:9" x14ac:dyDescent="0.2">
      <c r="A428" s="495" t="str">
        <f>FIXED('Balance N'!A400,0,1)</f>
        <v>0</v>
      </c>
      <c r="B428" s="494">
        <f>+'Balance N'!B400</f>
        <v>0</v>
      </c>
      <c r="C428" s="592">
        <f>ROUND('Balance N'!C400,2)</f>
        <v>0</v>
      </c>
      <c r="D428" s="592">
        <f>ROUND('Balance N'!D400,2)</f>
        <v>0</v>
      </c>
      <c r="E428" s="592">
        <f>ROUND('Balance N'!E400,2)</f>
        <v>0</v>
      </c>
      <c r="F428" s="592">
        <f>ROUND('Balance N'!F400,2)</f>
        <v>0</v>
      </c>
      <c r="G428" s="592">
        <f>ROUND('Balance N'!G400,2)</f>
        <v>0</v>
      </c>
      <c r="H428" s="592">
        <f>ROUND('Balance N'!H400,2)</f>
        <v>0</v>
      </c>
      <c r="I428" s="2" t="str">
        <f t="shared" si="9"/>
        <v>0</v>
      </c>
    </row>
    <row r="429" spans="1:9" x14ac:dyDescent="0.2">
      <c r="A429" s="495" t="str">
        <f>FIXED('Balance N'!A401,0,1)</f>
        <v>0</v>
      </c>
      <c r="B429" s="494">
        <f>+'Balance N'!B401</f>
        <v>0</v>
      </c>
      <c r="C429" s="592">
        <f>ROUND('Balance N'!C401,2)</f>
        <v>0</v>
      </c>
      <c r="D429" s="592">
        <f>ROUND('Balance N'!D401,2)</f>
        <v>0</v>
      </c>
      <c r="E429" s="592">
        <f>ROUND('Balance N'!E401,2)</f>
        <v>0</v>
      </c>
      <c r="F429" s="592">
        <f>ROUND('Balance N'!F401,2)</f>
        <v>0</v>
      </c>
      <c r="G429" s="592">
        <f>ROUND('Balance N'!G401,2)</f>
        <v>0</v>
      </c>
      <c r="H429" s="592">
        <f>ROUND('Balance N'!H401,2)</f>
        <v>0</v>
      </c>
      <c r="I429" s="2" t="str">
        <f t="shared" si="9"/>
        <v>0</v>
      </c>
    </row>
    <row r="430" spans="1:9" x14ac:dyDescent="0.2">
      <c r="A430" s="495" t="str">
        <f>FIXED('Balance N'!A402,0,1)</f>
        <v>0</v>
      </c>
      <c r="B430" s="494">
        <f>+'Balance N'!B402</f>
        <v>0</v>
      </c>
      <c r="C430" s="592">
        <f>ROUND('Balance N'!C402,2)</f>
        <v>0</v>
      </c>
      <c r="D430" s="592">
        <f>ROUND('Balance N'!D402,2)</f>
        <v>0</v>
      </c>
      <c r="E430" s="592">
        <f>ROUND('Balance N'!E402,2)</f>
        <v>0</v>
      </c>
      <c r="F430" s="592">
        <f>ROUND('Balance N'!F402,2)</f>
        <v>0</v>
      </c>
      <c r="G430" s="592">
        <f>ROUND('Balance N'!G402,2)</f>
        <v>0</v>
      </c>
      <c r="H430" s="592">
        <f>ROUND('Balance N'!H402,2)</f>
        <v>0</v>
      </c>
      <c r="I430" s="2" t="str">
        <f t="shared" si="9"/>
        <v>0</v>
      </c>
    </row>
    <row r="431" spans="1:9" x14ac:dyDescent="0.2">
      <c r="A431" s="495" t="str">
        <f>FIXED('Balance N'!A403,0,1)</f>
        <v>0</v>
      </c>
      <c r="B431" s="494">
        <f>+'Balance N'!B403</f>
        <v>0</v>
      </c>
      <c r="C431" s="592">
        <f>ROUND('Balance N'!C403,2)</f>
        <v>0</v>
      </c>
      <c r="D431" s="592">
        <f>ROUND('Balance N'!D403,2)</f>
        <v>0</v>
      </c>
      <c r="E431" s="592">
        <f>ROUND('Balance N'!E403,2)</f>
        <v>0</v>
      </c>
      <c r="F431" s="592">
        <f>ROUND('Balance N'!F403,2)</f>
        <v>0</v>
      </c>
      <c r="G431" s="592">
        <f>ROUND('Balance N'!G403,2)</f>
        <v>0</v>
      </c>
      <c r="H431" s="592">
        <f>ROUND('Balance N'!H403,2)</f>
        <v>0</v>
      </c>
      <c r="I431" s="2" t="str">
        <f t="shared" si="9"/>
        <v>0</v>
      </c>
    </row>
    <row r="432" spans="1:9" x14ac:dyDescent="0.2">
      <c r="A432" s="495" t="str">
        <f>FIXED('Balance N'!A404,0,1)</f>
        <v>0</v>
      </c>
      <c r="B432" s="494">
        <f>+'Balance N'!B404</f>
        <v>0</v>
      </c>
      <c r="C432" s="592">
        <f>ROUND('Balance N'!C404,2)</f>
        <v>0</v>
      </c>
      <c r="D432" s="592">
        <f>ROUND('Balance N'!D404,2)</f>
        <v>0</v>
      </c>
      <c r="E432" s="592">
        <f>ROUND('Balance N'!E404,2)</f>
        <v>0</v>
      </c>
      <c r="F432" s="592">
        <f>ROUND('Balance N'!F404,2)</f>
        <v>0</v>
      </c>
      <c r="G432" s="592">
        <f>ROUND('Balance N'!G404,2)</f>
        <v>0</v>
      </c>
      <c r="H432" s="592">
        <f>ROUND('Balance N'!H404,2)</f>
        <v>0</v>
      </c>
      <c r="I432" s="2" t="str">
        <f t="shared" si="9"/>
        <v>0</v>
      </c>
    </row>
    <row r="433" spans="1:9" x14ac:dyDescent="0.2">
      <c r="A433" s="495" t="str">
        <f>FIXED('Balance N'!A405,0,1)</f>
        <v>0</v>
      </c>
      <c r="B433" s="494">
        <f>+'Balance N'!B405</f>
        <v>0</v>
      </c>
      <c r="C433" s="592">
        <f>ROUND('Balance N'!C405,2)</f>
        <v>0</v>
      </c>
      <c r="D433" s="592">
        <f>ROUND('Balance N'!D405,2)</f>
        <v>0</v>
      </c>
      <c r="E433" s="592">
        <f>ROUND('Balance N'!E405,2)</f>
        <v>0</v>
      </c>
      <c r="F433" s="592">
        <f>ROUND('Balance N'!F405,2)</f>
        <v>0</v>
      </c>
      <c r="G433" s="592">
        <f>ROUND('Balance N'!G405,2)</f>
        <v>0</v>
      </c>
      <c r="H433" s="592">
        <f>ROUND('Balance N'!H405,2)</f>
        <v>0</v>
      </c>
      <c r="I433" s="2" t="str">
        <f t="shared" si="9"/>
        <v>0</v>
      </c>
    </row>
    <row r="434" spans="1:9" x14ac:dyDescent="0.2">
      <c r="A434" s="495" t="str">
        <f>FIXED('Balance N'!A406,0,1)</f>
        <v>0</v>
      </c>
      <c r="B434" s="494">
        <f>+'Balance N'!B406</f>
        <v>0</v>
      </c>
      <c r="C434" s="592">
        <f>ROUND('Balance N'!C406,2)</f>
        <v>0</v>
      </c>
      <c r="D434" s="592">
        <f>ROUND('Balance N'!D406,2)</f>
        <v>0</v>
      </c>
      <c r="E434" s="592">
        <f>ROUND('Balance N'!E406,2)</f>
        <v>0</v>
      </c>
      <c r="F434" s="592">
        <f>ROUND('Balance N'!F406,2)</f>
        <v>0</v>
      </c>
      <c r="G434" s="592">
        <f>ROUND('Balance N'!G406,2)</f>
        <v>0</v>
      </c>
      <c r="H434" s="592">
        <f>ROUND('Balance N'!H406,2)</f>
        <v>0</v>
      </c>
      <c r="I434" s="2" t="str">
        <f t="shared" si="9"/>
        <v>0</v>
      </c>
    </row>
    <row r="435" spans="1:9" x14ac:dyDescent="0.2">
      <c r="A435" s="495" t="str">
        <f>FIXED('Balance N'!A407,0,1)</f>
        <v>0</v>
      </c>
      <c r="B435" s="494">
        <f>+'Balance N'!B407</f>
        <v>0</v>
      </c>
      <c r="C435" s="592">
        <f>ROUND('Balance N'!C407,2)</f>
        <v>0</v>
      </c>
      <c r="D435" s="592">
        <f>ROUND('Balance N'!D407,2)</f>
        <v>0</v>
      </c>
      <c r="E435" s="592">
        <f>ROUND('Balance N'!E407,2)</f>
        <v>0</v>
      </c>
      <c r="F435" s="592">
        <f>ROUND('Balance N'!F407,2)</f>
        <v>0</v>
      </c>
      <c r="G435" s="592">
        <f>ROUND('Balance N'!G407,2)</f>
        <v>0</v>
      </c>
      <c r="H435" s="592">
        <f>ROUND('Balance N'!H407,2)</f>
        <v>0</v>
      </c>
      <c r="I435" s="2" t="str">
        <f t="shared" si="9"/>
        <v>0</v>
      </c>
    </row>
    <row r="436" spans="1:9" x14ac:dyDescent="0.2">
      <c r="A436" s="495" t="str">
        <f>FIXED('Balance N'!A408,0,1)</f>
        <v>0</v>
      </c>
      <c r="B436" s="494">
        <f>+'Balance N'!B408</f>
        <v>0</v>
      </c>
      <c r="C436" s="592">
        <f>ROUND('Balance N'!C408,2)</f>
        <v>0</v>
      </c>
      <c r="D436" s="592">
        <f>ROUND('Balance N'!D408,2)</f>
        <v>0</v>
      </c>
      <c r="E436" s="592">
        <f>ROUND('Balance N'!E408,2)</f>
        <v>0</v>
      </c>
      <c r="F436" s="592">
        <f>ROUND('Balance N'!F408,2)</f>
        <v>0</v>
      </c>
      <c r="G436" s="592">
        <f>ROUND('Balance N'!G408,2)</f>
        <v>0</v>
      </c>
      <c r="H436" s="592">
        <f>ROUND('Balance N'!H408,2)</f>
        <v>0</v>
      </c>
      <c r="I436" s="2" t="str">
        <f t="shared" si="9"/>
        <v>0</v>
      </c>
    </row>
    <row r="437" spans="1:9" x14ac:dyDescent="0.2">
      <c r="A437" s="495" t="str">
        <f>FIXED('Balance N'!A409,0,1)</f>
        <v>0</v>
      </c>
      <c r="B437" s="494">
        <f>+'Balance N'!B409</f>
        <v>0</v>
      </c>
      <c r="C437" s="592">
        <f>ROUND('Balance N'!C409,2)</f>
        <v>0</v>
      </c>
      <c r="D437" s="592">
        <f>ROUND('Balance N'!D409,2)</f>
        <v>0</v>
      </c>
      <c r="E437" s="592">
        <f>ROUND('Balance N'!E409,2)</f>
        <v>0</v>
      </c>
      <c r="F437" s="592">
        <f>ROUND('Balance N'!F409,2)</f>
        <v>0</v>
      </c>
      <c r="G437" s="592">
        <f>ROUND('Balance N'!G409,2)</f>
        <v>0</v>
      </c>
      <c r="H437" s="592">
        <f>ROUND('Balance N'!H409,2)</f>
        <v>0</v>
      </c>
      <c r="I437" s="2" t="str">
        <f t="shared" si="9"/>
        <v>0</v>
      </c>
    </row>
    <row r="438" spans="1:9" x14ac:dyDescent="0.2">
      <c r="A438" s="495" t="str">
        <f>FIXED('Balance N'!A410,0,1)</f>
        <v>0</v>
      </c>
      <c r="B438" s="494">
        <f>+'Balance N'!B410</f>
        <v>0</v>
      </c>
      <c r="C438" s="592">
        <f>ROUND('Balance N'!C410,2)</f>
        <v>0</v>
      </c>
      <c r="D438" s="592">
        <f>ROUND('Balance N'!D410,2)</f>
        <v>0</v>
      </c>
      <c r="E438" s="592">
        <f>ROUND('Balance N'!E410,2)</f>
        <v>0</v>
      </c>
      <c r="F438" s="592">
        <f>ROUND('Balance N'!F410,2)</f>
        <v>0</v>
      </c>
      <c r="G438" s="592">
        <f>ROUND('Balance N'!G410,2)</f>
        <v>0</v>
      </c>
      <c r="H438" s="592">
        <f>ROUND('Balance N'!H410,2)</f>
        <v>0</v>
      </c>
      <c r="I438" s="2" t="str">
        <f t="shared" si="9"/>
        <v>0</v>
      </c>
    </row>
    <row r="439" spans="1:9" x14ac:dyDescent="0.2">
      <c r="A439" s="495" t="str">
        <f>FIXED('Balance N'!A411,0,1)</f>
        <v>0</v>
      </c>
      <c r="B439" s="494">
        <f>+'Balance N'!B411</f>
        <v>0</v>
      </c>
      <c r="C439" s="592">
        <f>ROUND('Balance N'!C411,2)</f>
        <v>0</v>
      </c>
      <c r="D439" s="592">
        <f>ROUND('Balance N'!D411,2)</f>
        <v>0</v>
      </c>
      <c r="E439" s="592">
        <f>ROUND('Balance N'!E411,2)</f>
        <v>0</v>
      </c>
      <c r="F439" s="592">
        <f>ROUND('Balance N'!F411,2)</f>
        <v>0</v>
      </c>
      <c r="G439" s="592">
        <f>ROUND('Balance N'!G411,2)</f>
        <v>0</v>
      </c>
      <c r="H439" s="592">
        <f>ROUND('Balance N'!H411,2)</f>
        <v>0</v>
      </c>
      <c r="I439" s="2" t="str">
        <f t="shared" si="9"/>
        <v>0</v>
      </c>
    </row>
    <row r="440" spans="1:9" x14ac:dyDescent="0.2">
      <c r="A440" s="495" t="str">
        <f>FIXED('Balance N'!A412,0,1)</f>
        <v>0</v>
      </c>
      <c r="B440" s="494">
        <f>+'Balance N'!B412</f>
        <v>0</v>
      </c>
      <c r="C440" s="592">
        <f>ROUND('Balance N'!C412,2)</f>
        <v>0</v>
      </c>
      <c r="D440" s="592">
        <f>ROUND('Balance N'!D412,2)</f>
        <v>0</v>
      </c>
      <c r="E440" s="592">
        <f>ROUND('Balance N'!E412,2)</f>
        <v>0</v>
      </c>
      <c r="F440" s="592">
        <f>ROUND('Balance N'!F412,2)</f>
        <v>0</v>
      </c>
      <c r="G440" s="592">
        <f>ROUND('Balance N'!G412,2)</f>
        <v>0</v>
      </c>
      <c r="H440" s="592">
        <f>ROUND('Balance N'!H412,2)</f>
        <v>0</v>
      </c>
      <c r="I440" s="2" t="str">
        <f t="shared" si="9"/>
        <v>0</v>
      </c>
    </row>
    <row r="441" spans="1:9" x14ac:dyDescent="0.2">
      <c r="A441" s="495" t="str">
        <f>FIXED('Balance N'!A413,0,1)</f>
        <v>0</v>
      </c>
      <c r="B441" s="494">
        <f>+'Balance N'!B413</f>
        <v>0</v>
      </c>
      <c r="C441" s="592">
        <f>ROUND('Balance N'!C413,2)</f>
        <v>0</v>
      </c>
      <c r="D441" s="592">
        <f>ROUND('Balance N'!D413,2)</f>
        <v>0</v>
      </c>
      <c r="E441" s="592">
        <f>ROUND('Balance N'!E413,2)</f>
        <v>0</v>
      </c>
      <c r="F441" s="592">
        <f>ROUND('Balance N'!F413,2)</f>
        <v>0</v>
      </c>
      <c r="G441" s="592">
        <f>ROUND('Balance N'!G413,2)</f>
        <v>0</v>
      </c>
      <c r="H441" s="592">
        <f>ROUND('Balance N'!H413,2)</f>
        <v>0</v>
      </c>
      <c r="I441" s="2" t="str">
        <f t="shared" si="9"/>
        <v>0</v>
      </c>
    </row>
    <row r="442" spans="1:9" x14ac:dyDescent="0.2">
      <c r="A442" s="495" t="str">
        <f>FIXED('Balance N'!A414,0,1)</f>
        <v>0</v>
      </c>
      <c r="B442" s="494">
        <f>+'Balance N'!B414</f>
        <v>0</v>
      </c>
      <c r="C442" s="592">
        <f>ROUND('Balance N'!C414,2)</f>
        <v>0</v>
      </c>
      <c r="D442" s="592">
        <f>ROUND('Balance N'!D414,2)</f>
        <v>0</v>
      </c>
      <c r="E442" s="592">
        <f>ROUND('Balance N'!E414,2)</f>
        <v>0</v>
      </c>
      <c r="F442" s="592">
        <f>ROUND('Balance N'!F414,2)</f>
        <v>0</v>
      </c>
      <c r="G442" s="592">
        <f>ROUND('Balance N'!G414,2)</f>
        <v>0</v>
      </c>
      <c r="H442" s="592">
        <f>ROUND('Balance N'!H414,2)</f>
        <v>0</v>
      </c>
      <c r="I442" s="2" t="str">
        <f t="shared" si="9"/>
        <v>0</v>
      </c>
    </row>
    <row r="443" spans="1:9" x14ac:dyDescent="0.2">
      <c r="A443" s="495" t="str">
        <f>FIXED('Balance N'!A415,0,1)</f>
        <v>0</v>
      </c>
      <c r="B443" s="494">
        <f>+'Balance N'!B415</f>
        <v>0</v>
      </c>
      <c r="C443" s="592">
        <f>ROUND('Balance N'!C415,2)</f>
        <v>0</v>
      </c>
      <c r="D443" s="592">
        <f>ROUND('Balance N'!D415,2)</f>
        <v>0</v>
      </c>
      <c r="E443" s="592">
        <f>ROUND('Balance N'!E415,2)</f>
        <v>0</v>
      </c>
      <c r="F443" s="592">
        <f>ROUND('Balance N'!F415,2)</f>
        <v>0</v>
      </c>
      <c r="G443" s="592">
        <f>ROUND('Balance N'!G415,2)</f>
        <v>0</v>
      </c>
      <c r="H443" s="592">
        <f>ROUND('Balance N'!H415,2)</f>
        <v>0</v>
      </c>
      <c r="I443" s="2" t="str">
        <f t="shared" si="9"/>
        <v>0</v>
      </c>
    </row>
    <row r="444" spans="1:9" x14ac:dyDescent="0.2">
      <c r="A444" s="495" t="str">
        <f>FIXED('Balance N'!A416,0,1)</f>
        <v>0</v>
      </c>
      <c r="B444" s="494">
        <f>+'Balance N'!B416</f>
        <v>0</v>
      </c>
      <c r="C444" s="592">
        <f>ROUND('Balance N'!C416,2)</f>
        <v>0</v>
      </c>
      <c r="D444" s="592">
        <f>ROUND('Balance N'!D416,2)</f>
        <v>0</v>
      </c>
      <c r="E444" s="592">
        <f>ROUND('Balance N'!E416,2)</f>
        <v>0</v>
      </c>
      <c r="F444" s="592">
        <f>ROUND('Balance N'!F416,2)</f>
        <v>0</v>
      </c>
      <c r="G444" s="592">
        <f>ROUND('Balance N'!G416,2)</f>
        <v>0</v>
      </c>
      <c r="H444" s="592">
        <f>ROUND('Balance N'!H416,2)</f>
        <v>0</v>
      </c>
      <c r="I444" s="2" t="str">
        <f t="shared" si="9"/>
        <v>0</v>
      </c>
    </row>
    <row r="445" spans="1:9" x14ac:dyDescent="0.2">
      <c r="A445" s="495" t="str">
        <f>FIXED('Balance N'!A417,0,1)</f>
        <v>0</v>
      </c>
      <c r="B445" s="494">
        <f>+'Balance N'!B417</f>
        <v>0</v>
      </c>
      <c r="C445" s="592">
        <f>ROUND('Balance N'!C417,2)</f>
        <v>0</v>
      </c>
      <c r="D445" s="592">
        <f>ROUND('Balance N'!D417,2)</f>
        <v>0</v>
      </c>
      <c r="E445" s="592">
        <f>ROUND('Balance N'!E417,2)</f>
        <v>0</v>
      </c>
      <c r="F445" s="592">
        <f>ROUND('Balance N'!F417,2)</f>
        <v>0</v>
      </c>
      <c r="G445" s="592">
        <f>ROUND('Balance N'!G417,2)</f>
        <v>0</v>
      </c>
      <c r="H445" s="592">
        <f>ROUND('Balance N'!H417,2)</f>
        <v>0</v>
      </c>
      <c r="I445" s="2" t="str">
        <f t="shared" si="9"/>
        <v>0</v>
      </c>
    </row>
    <row r="446" spans="1:9" x14ac:dyDescent="0.2">
      <c r="A446" s="495" t="str">
        <f>FIXED('Balance N'!A418,0,1)</f>
        <v>0</v>
      </c>
      <c r="B446" s="494">
        <f>+'Balance N'!B418</f>
        <v>0</v>
      </c>
      <c r="C446" s="592">
        <f>ROUND('Balance N'!C418,2)</f>
        <v>0</v>
      </c>
      <c r="D446" s="592">
        <f>ROUND('Balance N'!D418,2)</f>
        <v>0</v>
      </c>
      <c r="E446" s="592">
        <f>ROUND('Balance N'!E418,2)</f>
        <v>0</v>
      </c>
      <c r="F446" s="592">
        <f>ROUND('Balance N'!F418,2)</f>
        <v>0</v>
      </c>
      <c r="G446" s="592">
        <f>ROUND('Balance N'!G418,2)</f>
        <v>0</v>
      </c>
      <c r="H446" s="592">
        <f>ROUND('Balance N'!H418,2)</f>
        <v>0</v>
      </c>
      <c r="I446" s="2" t="str">
        <f t="shared" si="9"/>
        <v>0</v>
      </c>
    </row>
    <row r="447" spans="1:9" x14ac:dyDescent="0.2">
      <c r="A447" s="495" t="str">
        <f>FIXED('Balance N'!A419,0,1)</f>
        <v>0</v>
      </c>
      <c r="B447" s="494">
        <f>+'Balance N'!B419</f>
        <v>0</v>
      </c>
      <c r="C447" s="592">
        <f>ROUND('Balance N'!C419,2)</f>
        <v>0</v>
      </c>
      <c r="D447" s="592">
        <f>ROUND('Balance N'!D419,2)</f>
        <v>0</v>
      </c>
      <c r="E447" s="592">
        <f>ROUND('Balance N'!E419,2)</f>
        <v>0</v>
      </c>
      <c r="F447" s="592">
        <f>ROUND('Balance N'!F419,2)</f>
        <v>0</v>
      </c>
      <c r="G447" s="592">
        <f>ROUND('Balance N'!G419,2)</f>
        <v>0</v>
      </c>
      <c r="H447" s="592">
        <f>ROUND('Balance N'!H419,2)</f>
        <v>0</v>
      </c>
      <c r="I447" s="2" t="str">
        <f t="shared" si="9"/>
        <v>0</v>
      </c>
    </row>
    <row r="448" spans="1:9" x14ac:dyDescent="0.2">
      <c r="A448" s="495" t="str">
        <f>FIXED('Balance N'!A420,0,1)</f>
        <v>0</v>
      </c>
      <c r="B448" s="494">
        <f>+'Balance N'!B420</f>
        <v>0</v>
      </c>
      <c r="C448" s="592">
        <f>ROUND('Balance N'!C420,2)</f>
        <v>0</v>
      </c>
      <c r="D448" s="592">
        <f>ROUND('Balance N'!D420,2)</f>
        <v>0</v>
      </c>
      <c r="E448" s="592">
        <f>ROUND('Balance N'!E420,2)</f>
        <v>0</v>
      </c>
      <c r="F448" s="592">
        <f>ROUND('Balance N'!F420,2)</f>
        <v>0</v>
      </c>
      <c r="G448" s="592">
        <f>ROUND('Balance N'!G420,2)</f>
        <v>0</v>
      </c>
      <c r="H448" s="592">
        <f>ROUND('Balance N'!H420,2)</f>
        <v>0</v>
      </c>
      <c r="I448" s="2" t="str">
        <f t="shared" si="9"/>
        <v>0</v>
      </c>
    </row>
    <row r="449" spans="1:9" x14ac:dyDescent="0.2">
      <c r="A449" s="495" t="str">
        <f>FIXED('Balance N'!A421,0,1)</f>
        <v>0</v>
      </c>
      <c r="B449" s="494">
        <f>+'Balance N'!B421</f>
        <v>0</v>
      </c>
      <c r="C449" s="592">
        <f>ROUND('Balance N'!C421,2)</f>
        <v>0</v>
      </c>
      <c r="D449" s="592">
        <f>ROUND('Balance N'!D421,2)</f>
        <v>0</v>
      </c>
      <c r="E449" s="592">
        <f>ROUND('Balance N'!E421,2)</f>
        <v>0</v>
      </c>
      <c r="F449" s="592">
        <f>ROUND('Balance N'!F421,2)</f>
        <v>0</v>
      </c>
      <c r="G449" s="592">
        <f>ROUND('Balance N'!G421,2)</f>
        <v>0</v>
      </c>
      <c r="H449" s="592">
        <f>ROUND('Balance N'!H421,2)</f>
        <v>0</v>
      </c>
      <c r="I449" s="2" t="str">
        <f t="shared" si="9"/>
        <v>0</v>
      </c>
    </row>
    <row r="450" spans="1:9" x14ac:dyDescent="0.2">
      <c r="A450" s="495" t="str">
        <f>FIXED('Balance N'!A422,0,1)</f>
        <v>0</v>
      </c>
      <c r="B450" s="494">
        <f>+'Balance N'!B422</f>
        <v>0</v>
      </c>
      <c r="C450" s="592">
        <f>ROUND('Balance N'!C422,2)</f>
        <v>0</v>
      </c>
      <c r="D450" s="592">
        <f>ROUND('Balance N'!D422,2)</f>
        <v>0</v>
      </c>
      <c r="E450" s="592">
        <f>ROUND('Balance N'!E422,2)</f>
        <v>0</v>
      </c>
      <c r="F450" s="592">
        <f>ROUND('Balance N'!F422,2)</f>
        <v>0</v>
      </c>
      <c r="G450" s="592">
        <f>ROUND('Balance N'!G422,2)</f>
        <v>0</v>
      </c>
      <c r="H450" s="592">
        <f>ROUND('Balance N'!H422,2)</f>
        <v>0</v>
      </c>
      <c r="I450" s="2" t="str">
        <f t="shared" ref="I450:I513" si="10">MID(A450,1,1)</f>
        <v>0</v>
      </c>
    </row>
    <row r="451" spans="1:9" x14ac:dyDescent="0.2">
      <c r="A451" s="495" t="str">
        <f>FIXED('Balance N'!A423,0,1)</f>
        <v>0</v>
      </c>
      <c r="B451" s="494">
        <f>+'Balance N'!B423</f>
        <v>0</v>
      </c>
      <c r="C451" s="592">
        <f>ROUND('Balance N'!C423,2)</f>
        <v>0</v>
      </c>
      <c r="D451" s="592">
        <f>ROUND('Balance N'!D423,2)</f>
        <v>0</v>
      </c>
      <c r="E451" s="592">
        <f>ROUND('Balance N'!E423,2)</f>
        <v>0</v>
      </c>
      <c r="F451" s="592">
        <f>ROUND('Balance N'!F423,2)</f>
        <v>0</v>
      </c>
      <c r="G451" s="592">
        <f>ROUND('Balance N'!G423,2)</f>
        <v>0</v>
      </c>
      <c r="H451" s="592">
        <f>ROUND('Balance N'!H423,2)</f>
        <v>0</v>
      </c>
      <c r="I451" s="2" t="str">
        <f t="shared" si="10"/>
        <v>0</v>
      </c>
    </row>
    <row r="452" spans="1:9" x14ac:dyDescent="0.2">
      <c r="A452" s="495" t="str">
        <f>FIXED('Balance N'!A424,0,1)</f>
        <v>0</v>
      </c>
      <c r="B452" s="494">
        <f>+'Balance N'!B424</f>
        <v>0</v>
      </c>
      <c r="C452" s="592">
        <f>ROUND('Balance N'!C424,2)</f>
        <v>0</v>
      </c>
      <c r="D452" s="592">
        <f>ROUND('Balance N'!D424,2)</f>
        <v>0</v>
      </c>
      <c r="E452" s="592">
        <f>ROUND('Balance N'!E424,2)</f>
        <v>0</v>
      </c>
      <c r="F452" s="592">
        <f>ROUND('Balance N'!F424,2)</f>
        <v>0</v>
      </c>
      <c r="G452" s="592">
        <f>ROUND('Balance N'!G424,2)</f>
        <v>0</v>
      </c>
      <c r="H452" s="592">
        <f>ROUND('Balance N'!H424,2)</f>
        <v>0</v>
      </c>
      <c r="I452" s="2" t="str">
        <f t="shared" si="10"/>
        <v>0</v>
      </c>
    </row>
    <row r="453" spans="1:9" x14ac:dyDescent="0.2">
      <c r="A453" s="495" t="str">
        <f>FIXED('Balance N'!A425,0,1)</f>
        <v>0</v>
      </c>
      <c r="B453" s="494">
        <f>+'Balance N'!B425</f>
        <v>0</v>
      </c>
      <c r="C453" s="592">
        <f>ROUND('Balance N'!C425,2)</f>
        <v>0</v>
      </c>
      <c r="D453" s="592">
        <f>ROUND('Balance N'!D425,2)</f>
        <v>0</v>
      </c>
      <c r="E453" s="592">
        <f>ROUND('Balance N'!E425,2)</f>
        <v>0</v>
      </c>
      <c r="F453" s="592">
        <f>ROUND('Balance N'!F425,2)</f>
        <v>0</v>
      </c>
      <c r="G453" s="592">
        <f>ROUND('Balance N'!G425,2)</f>
        <v>0</v>
      </c>
      <c r="H453" s="592">
        <f>ROUND('Balance N'!H425,2)</f>
        <v>0</v>
      </c>
      <c r="I453" s="2" t="str">
        <f t="shared" si="10"/>
        <v>0</v>
      </c>
    </row>
    <row r="454" spans="1:9" x14ac:dyDescent="0.2">
      <c r="A454" s="495" t="str">
        <f>FIXED('Balance N'!A426,0,1)</f>
        <v>0</v>
      </c>
      <c r="B454" s="494">
        <f>+'Balance N'!B426</f>
        <v>0</v>
      </c>
      <c r="C454" s="592">
        <f>ROUND('Balance N'!C426,2)</f>
        <v>0</v>
      </c>
      <c r="D454" s="592">
        <f>ROUND('Balance N'!D426,2)</f>
        <v>0</v>
      </c>
      <c r="E454" s="592">
        <f>ROUND('Balance N'!E426,2)</f>
        <v>0</v>
      </c>
      <c r="F454" s="592">
        <f>ROUND('Balance N'!F426,2)</f>
        <v>0</v>
      </c>
      <c r="G454" s="592">
        <f>ROUND('Balance N'!G426,2)</f>
        <v>0</v>
      </c>
      <c r="H454" s="592">
        <f>ROUND('Balance N'!H426,2)</f>
        <v>0</v>
      </c>
      <c r="I454" s="2" t="str">
        <f t="shared" si="10"/>
        <v>0</v>
      </c>
    </row>
    <row r="455" spans="1:9" x14ac:dyDescent="0.2">
      <c r="A455" s="495" t="str">
        <f>FIXED('Balance N'!A427,0,1)</f>
        <v>0</v>
      </c>
      <c r="B455" s="494">
        <f>+'Balance N'!B427</f>
        <v>0</v>
      </c>
      <c r="C455" s="592">
        <f>ROUND('Balance N'!C427,2)</f>
        <v>0</v>
      </c>
      <c r="D455" s="592">
        <f>ROUND('Balance N'!D427,2)</f>
        <v>0</v>
      </c>
      <c r="E455" s="592">
        <f>ROUND('Balance N'!E427,2)</f>
        <v>0</v>
      </c>
      <c r="F455" s="592">
        <f>ROUND('Balance N'!F427,2)</f>
        <v>0</v>
      </c>
      <c r="G455" s="592">
        <f>ROUND('Balance N'!G427,2)</f>
        <v>0</v>
      </c>
      <c r="H455" s="592">
        <f>ROUND('Balance N'!H427,2)</f>
        <v>0</v>
      </c>
      <c r="I455" s="2" t="str">
        <f t="shared" si="10"/>
        <v>0</v>
      </c>
    </row>
    <row r="456" spans="1:9" x14ac:dyDescent="0.2">
      <c r="A456" s="495" t="str">
        <f>FIXED('Balance N'!A428,0,1)</f>
        <v>0</v>
      </c>
      <c r="B456" s="494">
        <f>+'Balance N'!B428</f>
        <v>0</v>
      </c>
      <c r="C456" s="592">
        <f>ROUND('Balance N'!C428,2)</f>
        <v>0</v>
      </c>
      <c r="D456" s="592">
        <f>ROUND('Balance N'!D428,2)</f>
        <v>0</v>
      </c>
      <c r="E456" s="592">
        <f>ROUND('Balance N'!E428,2)</f>
        <v>0</v>
      </c>
      <c r="F456" s="592">
        <f>ROUND('Balance N'!F428,2)</f>
        <v>0</v>
      </c>
      <c r="G456" s="592">
        <f>ROUND('Balance N'!G428,2)</f>
        <v>0</v>
      </c>
      <c r="H456" s="592">
        <f>ROUND('Balance N'!H428,2)</f>
        <v>0</v>
      </c>
      <c r="I456" s="2" t="str">
        <f t="shared" si="10"/>
        <v>0</v>
      </c>
    </row>
    <row r="457" spans="1:9" x14ac:dyDescent="0.2">
      <c r="A457" s="495" t="str">
        <f>FIXED('Balance N'!A429,0,1)</f>
        <v>0</v>
      </c>
      <c r="B457" s="494">
        <f>+'Balance N'!B429</f>
        <v>0</v>
      </c>
      <c r="C457" s="592">
        <f>ROUND('Balance N'!C429,2)</f>
        <v>0</v>
      </c>
      <c r="D457" s="592">
        <f>ROUND('Balance N'!D429,2)</f>
        <v>0</v>
      </c>
      <c r="E457" s="592">
        <f>ROUND('Balance N'!E429,2)</f>
        <v>0</v>
      </c>
      <c r="F457" s="592">
        <f>ROUND('Balance N'!F429,2)</f>
        <v>0</v>
      </c>
      <c r="G457" s="592">
        <f>ROUND('Balance N'!G429,2)</f>
        <v>0</v>
      </c>
      <c r="H457" s="592">
        <f>ROUND('Balance N'!H429,2)</f>
        <v>0</v>
      </c>
      <c r="I457" s="2" t="str">
        <f t="shared" si="10"/>
        <v>0</v>
      </c>
    </row>
    <row r="458" spans="1:9" x14ac:dyDescent="0.2">
      <c r="A458" s="495" t="str">
        <f>FIXED('Balance N'!A430,0,1)</f>
        <v>0</v>
      </c>
      <c r="B458" s="494">
        <f>+'Balance N'!B430</f>
        <v>0</v>
      </c>
      <c r="C458" s="592">
        <f>ROUND('Balance N'!C430,2)</f>
        <v>0</v>
      </c>
      <c r="D458" s="592">
        <f>ROUND('Balance N'!D430,2)</f>
        <v>0</v>
      </c>
      <c r="E458" s="592">
        <f>ROUND('Balance N'!E430,2)</f>
        <v>0</v>
      </c>
      <c r="F458" s="592">
        <f>ROUND('Balance N'!F430,2)</f>
        <v>0</v>
      </c>
      <c r="G458" s="592">
        <f>ROUND('Balance N'!G430,2)</f>
        <v>0</v>
      </c>
      <c r="H458" s="592">
        <f>ROUND('Balance N'!H430,2)</f>
        <v>0</v>
      </c>
      <c r="I458" s="2" t="str">
        <f t="shared" si="10"/>
        <v>0</v>
      </c>
    </row>
    <row r="459" spans="1:9" x14ac:dyDescent="0.2">
      <c r="A459" s="495" t="str">
        <f>FIXED('Balance N'!A431,0,1)</f>
        <v>0</v>
      </c>
      <c r="B459" s="494">
        <f>+'Balance N'!B431</f>
        <v>0</v>
      </c>
      <c r="C459" s="592">
        <f>ROUND('Balance N'!C431,2)</f>
        <v>0</v>
      </c>
      <c r="D459" s="592">
        <f>ROUND('Balance N'!D431,2)</f>
        <v>0</v>
      </c>
      <c r="E459" s="592">
        <f>ROUND('Balance N'!E431,2)</f>
        <v>0</v>
      </c>
      <c r="F459" s="592">
        <f>ROUND('Balance N'!F431,2)</f>
        <v>0</v>
      </c>
      <c r="G459" s="592">
        <f>ROUND('Balance N'!G431,2)</f>
        <v>0</v>
      </c>
      <c r="H459" s="592">
        <f>ROUND('Balance N'!H431,2)</f>
        <v>0</v>
      </c>
      <c r="I459" s="2" t="str">
        <f t="shared" si="10"/>
        <v>0</v>
      </c>
    </row>
    <row r="460" spans="1:9" x14ac:dyDescent="0.2">
      <c r="A460" s="495" t="str">
        <f>FIXED('Balance N'!A432,0,1)</f>
        <v>0</v>
      </c>
      <c r="B460" s="494">
        <f>+'Balance N'!B432</f>
        <v>0</v>
      </c>
      <c r="C460" s="592">
        <f>ROUND('Balance N'!C432,2)</f>
        <v>0</v>
      </c>
      <c r="D460" s="592">
        <f>ROUND('Balance N'!D432,2)</f>
        <v>0</v>
      </c>
      <c r="E460" s="592">
        <f>ROUND('Balance N'!E432,2)</f>
        <v>0</v>
      </c>
      <c r="F460" s="592">
        <f>ROUND('Balance N'!F432,2)</f>
        <v>0</v>
      </c>
      <c r="G460" s="592">
        <f>ROUND('Balance N'!G432,2)</f>
        <v>0</v>
      </c>
      <c r="H460" s="592">
        <f>ROUND('Balance N'!H432,2)</f>
        <v>0</v>
      </c>
      <c r="I460" s="2" t="str">
        <f t="shared" si="10"/>
        <v>0</v>
      </c>
    </row>
    <row r="461" spans="1:9" x14ac:dyDescent="0.2">
      <c r="A461" s="495" t="str">
        <f>FIXED('Balance N'!A433,0,1)</f>
        <v>0</v>
      </c>
      <c r="B461" s="494">
        <f>+'Balance N'!B433</f>
        <v>0</v>
      </c>
      <c r="C461" s="592">
        <f>ROUND('Balance N'!C433,2)</f>
        <v>0</v>
      </c>
      <c r="D461" s="592">
        <f>ROUND('Balance N'!D433,2)</f>
        <v>0</v>
      </c>
      <c r="E461" s="592">
        <f>ROUND('Balance N'!E433,2)</f>
        <v>0</v>
      </c>
      <c r="F461" s="592">
        <f>ROUND('Balance N'!F433,2)</f>
        <v>0</v>
      </c>
      <c r="G461" s="592">
        <f>ROUND('Balance N'!G433,2)</f>
        <v>0</v>
      </c>
      <c r="H461" s="592">
        <f>ROUND('Balance N'!H433,2)</f>
        <v>0</v>
      </c>
      <c r="I461" s="2" t="str">
        <f t="shared" si="10"/>
        <v>0</v>
      </c>
    </row>
    <row r="462" spans="1:9" x14ac:dyDescent="0.2">
      <c r="A462" s="495" t="str">
        <f>FIXED('Balance N'!A434,0,1)</f>
        <v>0</v>
      </c>
      <c r="B462" s="494">
        <f>+'Balance N'!B434</f>
        <v>0</v>
      </c>
      <c r="C462" s="592">
        <f>ROUND('Balance N'!C434,2)</f>
        <v>0</v>
      </c>
      <c r="D462" s="592">
        <f>ROUND('Balance N'!D434,2)</f>
        <v>0</v>
      </c>
      <c r="E462" s="592">
        <f>ROUND('Balance N'!E434,2)</f>
        <v>0</v>
      </c>
      <c r="F462" s="592">
        <f>ROUND('Balance N'!F434,2)</f>
        <v>0</v>
      </c>
      <c r="G462" s="592">
        <f>ROUND('Balance N'!G434,2)</f>
        <v>0</v>
      </c>
      <c r="H462" s="592">
        <f>ROUND('Balance N'!H434,2)</f>
        <v>0</v>
      </c>
      <c r="I462" s="2" t="str">
        <f t="shared" si="10"/>
        <v>0</v>
      </c>
    </row>
    <row r="463" spans="1:9" x14ac:dyDescent="0.2">
      <c r="A463" s="495" t="str">
        <f>FIXED('Balance N'!A435,0,1)</f>
        <v>0</v>
      </c>
      <c r="B463" s="494">
        <f>+'Balance N'!B435</f>
        <v>0</v>
      </c>
      <c r="C463" s="592">
        <f>ROUND('Balance N'!C435,2)</f>
        <v>0</v>
      </c>
      <c r="D463" s="592">
        <f>ROUND('Balance N'!D435,2)</f>
        <v>0</v>
      </c>
      <c r="E463" s="592">
        <f>ROUND('Balance N'!E435,2)</f>
        <v>0</v>
      </c>
      <c r="F463" s="592">
        <f>ROUND('Balance N'!F435,2)</f>
        <v>0</v>
      </c>
      <c r="G463" s="592">
        <f>ROUND('Balance N'!G435,2)</f>
        <v>0</v>
      </c>
      <c r="H463" s="592">
        <f>ROUND('Balance N'!H435,2)</f>
        <v>0</v>
      </c>
      <c r="I463" s="2" t="str">
        <f t="shared" si="10"/>
        <v>0</v>
      </c>
    </row>
    <row r="464" spans="1:9" x14ac:dyDescent="0.2">
      <c r="A464" s="495" t="str">
        <f>FIXED('Balance N'!A436,0,1)</f>
        <v>0</v>
      </c>
      <c r="B464" s="494">
        <f>+'Balance N'!B436</f>
        <v>0</v>
      </c>
      <c r="C464" s="592">
        <f>ROUND('Balance N'!C436,2)</f>
        <v>0</v>
      </c>
      <c r="D464" s="592">
        <f>ROUND('Balance N'!D436,2)</f>
        <v>0</v>
      </c>
      <c r="E464" s="592">
        <f>ROUND('Balance N'!E436,2)</f>
        <v>0</v>
      </c>
      <c r="F464" s="592">
        <f>ROUND('Balance N'!F436,2)</f>
        <v>0</v>
      </c>
      <c r="G464" s="592">
        <f>ROUND('Balance N'!G436,2)</f>
        <v>0</v>
      </c>
      <c r="H464" s="592">
        <f>ROUND('Balance N'!H436,2)</f>
        <v>0</v>
      </c>
      <c r="I464" s="2" t="str">
        <f t="shared" si="10"/>
        <v>0</v>
      </c>
    </row>
    <row r="465" spans="1:9" x14ac:dyDescent="0.2">
      <c r="A465" s="495" t="str">
        <f>FIXED('Balance N'!A437,0,1)</f>
        <v>0</v>
      </c>
      <c r="B465" s="494">
        <f>+'Balance N'!B437</f>
        <v>0</v>
      </c>
      <c r="C465" s="592">
        <f>ROUND('Balance N'!C437,2)</f>
        <v>0</v>
      </c>
      <c r="D465" s="592">
        <f>ROUND('Balance N'!D437,2)</f>
        <v>0</v>
      </c>
      <c r="E465" s="592">
        <f>ROUND('Balance N'!E437,2)</f>
        <v>0</v>
      </c>
      <c r="F465" s="592">
        <f>ROUND('Balance N'!F437,2)</f>
        <v>0</v>
      </c>
      <c r="G465" s="592">
        <f>ROUND('Balance N'!G437,2)</f>
        <v>0</v>
      </c>
      <c r="H465" s="592">
        <f>ROUND('Balance N'!H437,2)</f>
        <v>0</v>
      </c>
      <c r="I465" s="2" t="str">
        <f t="shared" si="10"/>
        <v>0</v>
      </c>
    </row>
    <row r="466" spans="1:9" x14ac:dyDescent="0.2">
      <c r="A466" s="495" t="str">
        <f>FIXED('Balance N'!A438,0,1)</f>
        <v>0</v>
      </c>
      <c r="B466" s="494">
        <f>+'Balance N'!B438</f>
        <v>0</v>
      </c>
      <c r="C466" s="592">
        <f>ROUND('Balance N'!C438,2)</f>
        <v>0</v>
      </c>
      <c r="D466" s="592">
        <f>ROUND('Balance N'!D438,2)</f>
        <v>0</v>
      </c>
      <c r="E466" s="592">
        <f>ROUND('Balance N'!E438,2)</f>
        <v>0</v>
      </c>
      <c r="F466" s="592">
        <f>ROUND('Balance N'!F438,2)</f>
        <v>0</v>
      </c>
      <c r="G466" s="592">
        <f>ROUND('Balance N'!G438,2)</f>
        <v>0</v>
      </c>
      <c r="H466" s="592">
        <f>ROUND('Balance N'!H438,2)</f>
        <v>0</v>
      </c>
      <c r="I466" s="2" t="str">
        <f t="shared" si="10"/>
        <v>0</v>
      </c>
    </row>
    <row r="467" spans="1:9" x14ac:dyDescent="0.2">
      <c r="A467" s="495" t="str">
        <f>FIXED('Balance N'!A439,0,1)</f>
        <v>0</v>
      </c>
      <c r="B467" s="494">
        <f>+'Balance N'!B439</f>
        <v>0</v>
      </c>
      <c r="C467" s="592">
        <f>ROUND('Balance N'!C439,2)</f>
        <v>0</v>
      </c>
      <c r="D467" s="592">
        <f>ROUND('Balance N'!D439,2)</f>
        <v>0</v>
      </c>
      <c r="E467" s="592">
        <f>ROUND('Balance N'!E439,2)</f>
        <v>0</v>
      </c>
      <c r="F467" s="592">
        <f>ROUND('Balance N'!F439,2)</f>
        <v>0</v>
      </c>
      <c r="G467" s="592">
        <f>ROUND('Balance N'!G439,2)</f>
        <v>0</v>
      </c>
      <c r="H467" s="592">
        <f>ROUND('Balance N'!H439,2)</f>
        <v>0</v>
      </c>
      <c r="I467" s="2" t="str">
        <f t="shared" si="10"/>
        <v>0</v>
      </c>
    </row>
    <row r="468" spans="1:9" x14ac:dyDescent="0.2">
      <c r="A468" s="495" t="str">
        <f>FIXED('Balance N'!A440,0,1)</f>
        <v>0</v>
      </c>
      <c r="B468" s="494">
        <f>+'Balance N'!B440</f>
        <v>0</v>
      </c>
      <c r="C468" s="592">
        <f>ROUND('Balance N'!C440,2)</f>
        <v>0</v>
      </c>
      <c r="D468" s="592">
        <f>ROUND('Balance N'!D440,2)</f>
        <v>0</v>
      </c>
      <c r="E468" s="592">
        <f>ROUND('Balance N'!E440,2)</f>
        <v>0</v>
      </c>
      <c r="F468" s="592">
        <f>ROUND('Balance N'!F440,2)</f>
        <v>0</v>
      </c>
      <c r="G468" s="592">
        <f>ROUND('Balance N'!G440,2)</f>
        <v>0</v>
      </c>
      <c r="H468" s="592">
        <f>ROUND('Balance N'!H440,2)</f>
        <v>0</v>
      </c>
      <c r="I468" s="2" t="str">
        <f t="shared" si="10"/>
        <v>0</v>
      </c>
    </row>
    <row r="469" spans="1:9" x14ac:dyDescent="0.2">
      <c r="A469" s="495" t="str">
        <f>FIXED('Balance N'!A441,0,1)</f>
        <v>0</v>
      </c>
      <c r="B469" s="494">
        <f>+'Balance N'!B441</f>
        <v>0</v>
      </c>
      <c r="C469" s="592">
        <f>ROUND('Balance N'!C441,2)</f>
        <v>0</v>
      </c>
      <c r="D469" s="592">
        <f>ROUND('Balance N'!D441,2)</f>
        <v>0</v>
      </c>
      <c r="E469" s="592">
        <f>ROUND('Balance N'!E441,2)</f>
        <v>0</v>
      </c>
      <c r="F469" s="592">
        <f>ROUND('Balance N'!F441,2)</f>
        <v>0</v>
      </c>
      <c r="G469" s="592">
        <f>ROUND('Balance N'!G441,2)</f>
        <v>0</v>
      </c>
      <c r="H469" s="592">
        <f>ROUND('Balance N'!H441,2)</f>
        <v>0</v>
      </c>
      <c r="I469" s="2" t="str">
        <f t="shared" si="10"/>
        <v>0</v>
      </c>
    </row>
    <row r="470" spans="1:9" x14ac:dyDescent="0.2">
      <c r="A470" s="495" t="str">
        <f>FIXED('Balance N'!A442,0,1)</f>
        <v>0</v>
      </c>
      <c r="B470" s="494">
        <f>+'Balance N'!B442</f>
        <v>0</v>
      </c>
      <c r="C470" s="592">
        <f>ROUND('Balance N'!C442,2)</f>
        <v>0</v>
      </c>
      <c r="D470" s="592">
        <f>ROUND('Balance N'!D442,2)</f>
        <v>0</v>
      </c>
      <c r="E470" s="592">
        <f>ROUND('Balance N'!E442,2)</f>
        <v>0</v>
      </c>
      <c r="F470" s="592">
        <f>ROUND('Balance N'!F442,2)</f>
        <v>0</v>
      </c>
      <c r="G470" s="592">
        <f>ROUND('Balance N'!G442,2)</f>
        <v>0</v>
      </c>
      <c r="H470" s="592">
        <f>ROUND('Balance N'!H442,2)</f>
        <v>0</v>
      </c>
      <c r="I470" s="2" t="str">
        <f t="shared" si="10"/>
        <v>0</v>
      </c>
    </row>
    <row r="471" spans="1:9" x14ac:dyDescent="0.2">
      <c r="A471" s="495" t="str">
        <f>FIXED('Balance N'!A443,0,1)</f>
        <v>0</v>
      </c>
      <c r="B471" s="494">
        <f>+'Balance N'!B443</f>
        <v>0</v>
      </c>
      <c r="C471" s="592">
        <f>ROUND('Balance N'!C443,2)</f>
        <v>0</v>
      </c>
      <c r="D471" s="592">
        <f>ROUND('Balance N'!D443,2)</f>
        <v>0</v>
      </c>
      <c r="E471" s="592">
        <f>ROUND('Balance N'!E443,2)</f>
        <v>0</v>
      </c>
      <c r="F471" s="592">
        <f>ROUND('Balance N'!F443,2)</f>
        <v>0</v>
      </c>
      <c r="G471" s="592">
        <f>ROUND('Balance N'!G443,2)</f>
        <v>0</v>
      </c>
      <c r="H471" s="592">
        <f>ROUND('Balance N'!H443,2)</f>
        <v>0</v>
      </c>
      <c r="I471" s="2" t="str">
        <f t="shared" si="10"/>
        <v>0</v>
      </c>
    </row>
    <row r="472" spans="1:9" x14ac:dyDescent="0.2">
      <c r="A472" s="495" t="str">
        <f>FIXED('Balance N'!A444,0,1)</f>
        <v>0</v>
      </c>
      <c r="B472" s="494">
        <f>+'Balance N'!B444</f>
        <v>0</v>
      </c>
      <c r="C472" s="592">
        <f>ROUND('Balance N'!C444,2)</f>
        <v>0</v>
      </c>
      <c r="D472" s="592">
        <f>ROUND('Balance N'!D444,2)</f>
        <v>0</v>
      </c>
      <c r="E472" s="592">
        <f>ROUND('Balance N'!E444,2)</f>
        <v>0</v>
      </c>
      <c r="F472" s="592">
        <f>ROUND('Balance N'!F444,2)</f>
        <v>0</v>
      </c>
      <c r="G472" s="592">
        <f>ROUND('Balance N'!G444,2)</f>
        <v>0</v>
      </c>
      <c r="H472" s="592">
        <f>ROUND('Balance N'!H444,2)</f>
        <v>0</v>
      </c>
      <c r="I472" s="2" t="str">
        <f t="shared" si="10"/>
        <v>0</v>
      </c>
    </row>
    <row r="473" spans="1:9" x14ac:dyDescent="0.2">
      <c r="A473" s="495" t="str">
        <f>FIXED('Balance N'!A445,0,1)</f>
        <v>0</v>
      </c>
      <c r="B473" s="494">
        <f>+'Balance N'!B445</f>
        <v>0</v>
      </c>
      <c r="C473" s="592">
        <f>ROUND('Balance N'!C445,2)</f>
        <v>0</v>
      </c>
      <c r="D473" s="592">
        <f>ROUND('Balance N'!D445,2)</f>
        <v>0</v>
      </c>
      <c r="E473" s="592">
        <f>ROUND('Balance N'!E445,2)</f>
        <v>0</v>
      </c>
      <c r="F473" s="592">
        <f>ROUND('Balance N'!F445,2)</f>
        <v>0</v>
      </c>
      <c r="G473" s="592">
        <f>ROUND('Balance N'!G445,2)</f>
        <v>0</v>
      </c>
      <c r="H473" s="592">
        <f>ROUND('Balance N'!H445,2)</f>
        <v>0</v>
      </c>
      <c r="I473" s="2" t="str">
        <f t="shared" si="10"/>
        <v>0</v>
      </c>
    </row>
    <row r="474" spans="1:9" x14ac:dyDescent="0.2">
      <c r="A474" s="495" t="str">
        <f>FIXED('Balance N'!A446,0,1)</f>
        <v>0</v>
      </c>
      <c r="B474" s="494">
        <f>+'Balance N'!B446</f>
        <v>0</v>
      </c>
      <c r="C474" s="592">
        <f>ROUND('Balance N'!C446,2)</f>
        <v>0</v>
      </c>
      <c r="D474" s="592">
        <f>ROUND('Balance N'!D446,2)</f>
        <v>0</v>
      </c>
      <c r="E474" s="592">
        <f>ROUND('Balance N'!E446,2)</f>
        <v>0</v>
      </c>
      <c r="F474" s="592">
        <f>ROUND('Balance N'!F446,2)</f>
        <v>0</v>
      </c>
      <c r="G474" s="592">
        <f>ROUND('Balance N'!G446,2)</f>
        <v>0</v>
      </c>
      <c r="H474" s="592">
        <f>ROUND('Balance N'!H446,2)</f>
        <v>0</v>
      </c>
      <c r="I474" s="2" t="str">
        <f t="shared" si="10"/>
        <v>0</v>
      </c>
    </row>
    <row r="475" spans="1:9" x14ac:dyDescent="0.2">
      <c r="A475" s="495" t="str">
        <f>FIXED('Balance N'!A447,0,1)</f>
        <v>0</v>
      </c>
      <c r="B475" s="494">
        <f>+'Balance N'!B447</f>
        <v>0</v>
      </c>
      <c r="C475" s="592">
        <f>ROUND('Balance N'!C447,2)</f>
        <v>0</v>
      </c>
      <c r="D475" s="592">
        <f>ROUND('Balance N'!D447,2)</f>
        <v>0</v>
      </c>
      <c r="E475" s="592">
        <f>ROUND('Balance N'!E447,2)</f>
        <v>0</v>
      </c>
      <c r="F475" s="592">
        <f>ROUND('Balance N'!F447,2)</f>
        <v>0</v>
      </c>
      <c r="G475" s="592">
        <f>ROUND('Balance N'!G447,2)</f>
        <v>0</v>
      </c>
      <c r="H475" s="592">
        <f>ROUND('Balance N'!H447,2)</f>
        <v>0</v>
      </c>
      <c r="I475" s="2" t="str">
        <f t="shared" si="10"/>
        <v>0</v>
      </c>
    </row>
    <row r="476" spans="1:9" x14ac:dyDescent="0.2">
      <c r="A476" s="495" t="str">
        <f>FIXED('Balance N'!A448,0,1)</f>
        <v>0</v>
      </c>
      <c r="B476" s="494">
        <f>+'Balance N'!B448</f>
        <v>0</v>
      </c>
      <c r="C476" s="592">
        <f>ROUND('Balance N'!C448,2)</f>
        <v>0</v>
      </c>
      <c r="D476" s="592">
        <f>ROUND('Balance N'!D448,2)</f>
        <v>0</v>
      </c>
      <c r="E476" s="592">
        <f>ROUND('Balance N'!E448,2)</f>
        <v>0</v>
      </c>
      <c r="F476" s="592">
        <f>ROUND('Balance N'!F448,2)</f>
        <v>0</v>
      </c>
      <c r="G476" s="592">
        <f>ROUND('Balance N'!G448,2)</f>
        <v>0</v>
      </c>
      <c r="H476" s="592">
        <f>ROUND('Balance N'!H448,2)</f>
        <v>0</v>
      </c>
      <c r="I476" s="2" t="str">
        <f t="shared" si="10"/>
        <v>0</v>
      </c>
    </row>
    <row r="477" spans="1:9" x14ac:dyDescent="0.2">
      <c r="A477" s="495" t="str">
        <f>FIXED('Balance N'!A449,0,1)</f>
        <v>0</v>
      </c>
      <c r="B477" s="494">
        <f>+'Balance N'!B449</f>
        <v>0</v>
      </c>
      <c r="C477" s="592">
        <f>ROUND('Balance N'!C449,2)</f>
        <v>0</v>
      </c>
      <c r="D477" s="592">
        <f>ROUND('Balance N'!D449,2)</f>
        <v>0</v>
      </c>
      <c r="E477" s="592">
        <f>ROUND('Balance N'!E449,2)</f>
        <v>0</v>
      </c>
      <c r="F477" s="592">
        <f>ROUND('Balance N'!F449,2)</f>
        <v>0</v>
      </c>
      <c r="G477" s="592">
        <f>ROUND('Balance N'!G449,2)</f>
        <v>0</v>
      </c>
      <c r="H477" s="592">
        <f>ROUND('Balance N'!H449,2)</f>
        <v>0</v>
      </c>
      <c r="I477" s="2" t="str">
        <f t="shared" si="10"/>
        <v>0</v>
      </c>
    </row>
    <row r="478" spans="1:9" x14ac:dyDescent="0.2">
      <c r="A478" s="495" t="str">
        <f>FIXED('Balance N'!A450,0,1)</f>
        <v>0</v>
      </c>
      <c r="B478" s="494">
        <f>+'Balance N'!B450</f>
        <v>0</v>
      </c>
      <c r="C478" s="592">
        <f>ROUND('Balance N'!C450,2)</f>
        <v>0</v>
      </c>
      <c r="D478" s="592">
        <f>ROUND('Balance N'!D450,2)</f>
        <v>0</v>
      </c>
      <c r="E478" s="592">
        <f>ROUND('Balance N'!E450,2)</f>
        <v>0</v>
      </c>
      <c r="F478" s="592">
        <f>ROUND('Balance N'!F450,2)</f>
        <v>0</v>
      </c>
      <c r="G478" s="592">
        <f>ROUND('Balance N'!G450,2)</f>
        <v>0</v>
      </c>
      <c r="H478" s="592">
        <f>ROUND('Balance N'!H450,2)</f>
        <v>0</v>
      </c>
      <c r="I478" s="2" t="str">
        <f t="shared" si="10"/>
        <v>0</v>
      </c>
    </row>
    <row r="479" spans="1:9" x14ac:dyDescent="0.2">
      <c r="A479" s="495" t="str">
        <f>FIXED('Balance N'!A451,0,1)</f>
        <v>0</v>
      </c>
      <c r="B479" s="494">
        <f>+'Balance N'!B451</f>
        <v>0</v>
      </c>
      <c r="C479" s="592">
        <f>ROUND('Balance N'!C451,2)</f>
        <v>0</v>
      </c>
      <c r="D479" s="592">
        <f>ROUND('Balance N'!D451,2)</f>
        <v>0</v>
      </c>
      <c r="E479" s="592">
        <f>ROUND('Balance N'!E451,2)</f>
        <v>0</v>
      </c>
      <c r="F479" s="592">
        <f>ROUND('Balance N'!F451,2)</f>
        <v>0</v>
      </c>
      <c r="G479" s="592">
        <f>ROUND('Balance N'!G451,2)</f>
        <v>0</v>
      </c>
      <c r="H479" s="592">
        <f>ROUND('Balance N'!H451,2)</f>
        <v>0</v>
      </c>
      <c r="I479" s="2" t="str">
        <f t="shared" si="10"/>
        <v>0</v>
      </c>
    </row>
    <row r="480" spans="1:9" x14ac:dyDescent="0.2">
      <c r="A480" s="495" t="str">
        <f>FIXED('Balance N'!A452,0,1)</f>
        <v>0</v>
      </c>
      <c r="B480" s="494">
        <f>+'Balance N'!B452</f>
        <v>0</v>
      </c>
      <c r="C480" s="592">
        <f>ROUND('Balance N'!C452,2)</f>
        <v>0</v>
      </c>
      <c r="D480" s="592">
        <f>ROUND('Balance N'!D452,2)</f>
        <v>0</v>
      </c>
      <c r="E480" s="592">
        <f>ROUND('Balance N'!E452,2)</f>
        <v>0</v>
      </c>
      <c r="F480" s="592">
        <f>ROUND('Balance N'!F452,2)</f>
        <v>0</v>
      </c>
      <c r="G480" s="592">
        <f>ROUND('Balance N'!G452,2)</f>
        <v>0</v>
      </c>
      <c r="H480" s="592">
        <f>ROUND('Balance N'!H452,2)</f>
        <v>0</v>
      </c>
      <c r="I480" s="2" t="str">
        <f t="shared" si="10"/>
        <v>0</v>
      </c>
    </row>
    <row r="481" spans="1:9" x14ac:dyDescent="0.2">
      <c r="A481" s="495" t="str">
        <f>FIXED('Balance N'!A453,0,1)</f>
        <v>0</v>
      </c>
      <c r="B481" s="494">
        <f>+'Balance N'!B453</f>
        <v>0</v>
      </c>
      <c r="C481" s="592">
        <f>ROUND('Balance N'!C453,2)</f>
        <v>0</v>
      </c>
      <c r="D481" s="592">
        <f>ROUND('Balance N'!D453,2)</f>
        <v>0</v>
      </c>
      <c r="E481" s="592">
        <f>ROUND('Balance N'!E453,2)</f>
        <v>0</v>
      </c>
      <c r="F481" s="592">
        <f>ROUND('Balance N'!F453,2)</f>
        <v>0</v>
      </c>
      <c r="G481" s="592">
        <f>ROUND('Balance N'!G453,2)</f>
        <v>0</v>
      </c>
      <c r="H481" s="592">
        <f>ROUND('Balance N'!H453,2)</f>
        <v>0</v>
      </c>
      <c r="I481" s="2" t="str">
        <f t="shared" si="10"/>
        <v>0</v>
      </c>
    </row>
    <row r="482" spans="1:9" x14ac:dyDescent="0.2">
      <c r="A482" s="495" t="str">
        <f>FIXED('Balance N'!A454,0,1)</f>
        <v>0</v>
      </c>
      <c r="B482" s="494">
        <f>+'Balance N'!B454</f>
        <v>0</v>
      </c>
      <c r="C482" s="592">
        <f>ROUND('Balance N'!C454,2)</f>
        <v>0</v>
      </c>
      <c r="D482" s="592">
        <f>ROUND('Balance N'!D454,2)</f>
        <v>0</v>
      </c>
      <c r="E482" s="592">
        <f>ROUND('Balance N'!E454,2)</f>
        <v>0</v>
      </c>
      <c r="F482" s="592">
        <f>ROUND('Balance N'!F454,2)</f>
        <v>0</v>
      </c>
      <c r="G482" s="592">
        <f>ROUND('Balance N'!G454,2)</f>
        <v>0</v>
      </c>
      <c r="H482" s="592">
        <f>ROUND('Balance N'!H454,2)</f>
        <v>0</v>
      </c>
      <c r="I482" s="2" t="str">
        <f t="shared" si="10"/>
        <v>0</v>
      </c>
    </row>
    <row r="483" spans="1:9" x14ac:dyDescent="0.2">
      <c r="A483" s="495" t="str">
        <f>FIXED('Balance N'!A455,0,1)</f>
        <v>0</v>
      </c>
      <c r="B483" s="494">
        <f>+'Balance N'!B455</f>
        <v>0</v>
      </c>
      <c r="C483" s="592">
        <f>ROUND('Balance N'!C455,2)</f>
        <v>0</v>
      </c>
      <c r="D483" s="592">
        <f>ROUND('Balance N'!D455,2)</f>
        <v>0</v>
      </c>
      <c r="E483" s="592">
        <f>ROUND('Balance N'!E455,2)</f>
        <v>0</v>
      </c>
      <c r="F483" s="592">
        <f>ROUND('Balance N'!F455,2)</f>
        <v>0</v>
      </c>
      <c r="G483" s="592">
        <f>ROUND('Balance N'!G455,2)</f>
        <v>0</v>
      </c>
      <c r="H483" s="592">
        <f>ROUND('Balance N'!H455,2)</f>
        <v>0</v>
      </c>
      <c r="I483" s="2" t="str">
        <f t="shared" si="10"/>
        <v>0</v>
      </c>
    </row>
    <row r="484" spans="1:9" x14ac:dyDescent="0.2">
      <c r="A484" s="495" t="str">
        <f>FIXED('Balance N'!A456,0,1)</f>
        <v>0</v>
      </c>
      <c r="B484" s="494">
        <f>+'Balance N'!B456</f>
        <v>0</v>
      </c>
      <c r="C484" s="592">
        <f>ROUND('Balance N'!C456,2)</f>
        <v>0</v>
      </c>
      <c r="D484" s="592">
        <f>ROUND('Balance N'!D456,2)</f>
        <v>0</v>
      </c>
      <c r="E484" s="592">
        <f>ROUND('Balance N'!E456,2)</f>
        <v>0</v>
      </c>
      <c r="F484" s="592">
        <f>ROUND('Balance N'!F456,2)</f>
        <v>0</v>
      </c>
      <c r="G484" s="592">
        <f>ROUND('Balance N'!G456,2)</f>
        <v>0</v>
      </c>
      <c r="H484" s="592">
        <f>ROUND('Balance N'!H456,2)</f>
        <v>0</v>
      </c>
      <c r="I484" s="2" t="str">
        <f t="shared" si="10"/>
        <v>0</v>
      </c>
    </row>
    <row r="485" spans="1:9" x14ac:dyDescent="0.2">
      <c r="A485" s="495" t="str">
        <f>FIXED('Balance N'!A457,0,1)</f>
        <v>0</v>
      </c>
      <c r="B485" s="494">
        <f>+'Balance N'!B457</f>
        <v>0</v>
      </c>
      <c r="C485" s="592">
        <f>ROUND('Balance N'!C457,2)</f>
        <v>0</v>
      </c>
      <c r="D485" s="592">
        <f>ROUND('Balance N'!D457,2)</f>
        <v>0</v>
      </c>
      <c r="E485" s="592">
        <f>ROUND('Balance N'!E457,2)</f>
        <v>0</v>
      </c>
      <c r="F485" s="592">
        <f>ROUND('Balance N'!F457,2)</f>
        <v>0</v>
      </c>
      <c r="G485" s="592">
        <f>ROUND('Balance N'!G457,2)</f>
        <v>0</v>
      </c>
      <c r="H485" s="592">
        <f>ROUND('Balance N'!H457,2)</f>
        <v>0</v>
      </c>
      <c r="I485" s="2" t="str">
        <f t="shared" si="10"/>
        <v>0</v>
      </c>
    </row>
    <row r="486" spans="1:9" x14ac:dyDescent="0.2">
      <c r="A486" s="495" t="str">
        <f>FIXED('Balance N'!A458,0,1)</f>
        <v>0</v>
      </c>
      <c r="B486" s="494">
        <f>+'Balance N'!B458</f>
        <v>0</v>
      </c>
      <c r="C486" s="592">
        <f>ROUND('Balance N'!C458,2)</f>
        <v>0</v>
      </c>
      <c r="D486" s="592">
        <f>ROUND('Balance N'!D458,2)</f>
        <v>0</v>
      </c>
      <c r="E486" s="592">
        <f>ROUND('Balance N'!E458,2)</f>
        <v>0</v>
      </c>
      <c r="F486" s="592">
        <f>ROUND('Balance N'!F458,2)</f>
        <v>0</v>
      </c>
      <c r="G486" s="592">
        <f>ROUND('Balance N'!G458,2)</f>
        <v>0</v>
      </c>
      <c r="H486" s="592">
        <f>ROUND('Balance N'!H458,2)</f>
        <v>0</v>
      </c>
      <c r="I486" s="2" t="str">
        <f t="shared" si="10"/>
        <v>0</v>
      </c>
    </row>
    <row r="487" spans="1:9" x14ac:dyDescent="0.2">
      <c r="A487" s="495" t="str">
        <f>FIXED('Balance N'!A459,0,1)</f>
        <v>0</v>
      </c>
      <c r="B487" s="494">
        <f>+'Balance N'!B459</f>
        <v>0</v>
      </c>
      <c r="C487" s="592">
        <f>ROUND('Balance N'!C459,2)</f>
        <v>0</v>
      </c>
      <c r="D487" s="592">
        <f>ROUND('Balance N'!D459,2)</f>
        <v>0</v>
      </c>
      <c r="E487" s="592">
        <f>ROUND('Balance N'!E459,2)</f>
        <v>0</v>
      </c>
      <c r="F487" s="592">
        <f>ROUND('Balance N'!F459,2)</f>
        <v>0</v>
      </c>
      <c r="G487" s="592">
        <f>ROUND('Balance N'!G459,2)</f>
        <v>0</v>
      </c>
      <c r="H487" s="592">
        <f>ROUND('Balance N'!H459,2)</f>
        <v>0</v>
      </c>
      <c r="I487" s="2" t="str">
        <f t="shared" si="10"/>
        <v>0</v>
      </c>
    </row>
    <row r="488" spans="1:9" x14ac:dyDescent="0.2">
      <c r="A488" s="495" t="str">
        <f>FIXED('Balance N'!A460,0,1)</f>
        <v>0</v>
      </c>
      <c r="B488" s="494">
        <f>+'Balance N'!B460</f>
        <v>0</v>
      </c>
      <c r="C488" s="592">
        <f>ROUND('Balance N'!C460,2)</f>
        <v>0</v>
      </c>
      <c r="D488" s="592">
        <f>ROUND('Balance N'!D460,2)</f>
        <v>0</v>
      </c>
      <c r="E488" s="592">
        <f>ROUND('Balance N'!E460,2)</f>
        <v>0</v>
      </c>
      <c r="F488" s="592">
        <f>ROUND('Balance N'!F460,2)</f>
        <v>0</v>
      </c>
      <c r="G488" s="592">
        <f>ROUND('Balance N'!G460,2)</f>
        <v>0</v>
      </c>
      <c r="H488" s="592">
        <f>ROUND('Balance N'!H460,2)</f>
        <v>0</v>
      </c>
      <c r="I488" s="2" t="str">
        <f t="shared" si="10"/>
        <v>0</v>
      </c>
    </row>
    <row r="489" spans="1:9" x14ac:dyDescent="0.2">
      <c r="A489" s="495" t="str">
        <f>FIXED('Balance N'!A461,0,1)</f>
        <v>0</v>
      </c>
      <c r="B489" s="494">
        <f>+'Balance N'!B461</f>
        <v>0</v>
      </c>
      <c r="C489" s="592">
        <f>ROUND('Balance N'!C461,2)</f>
        <v>0</v>
      </c>
      <c r="D489" s="592">
        <f>ROUND('Balance N'!D461,2)</f>
        <v>0</v>
      </c>
      <c r="E489" s="592">
        <f>ROUND('Balance N'!E461,2)</f>
        <v>0</v>
      </c>
      <c r="F489" s="592">
        <f>ROUND('Balance N'!F461,2)</f>
        <v>0</v>
      </c>
      <c r="G489" s="592">
        <f>ROUND('Balance N'!G461,2)</f>
        <v>0</v>
      </c>
      <c r="H489" s="592">
        <f>ROUND('Balance N'!H461,2)</f>
        <v>0</v>
      </c>
      <c r="I489" s="2" t="str">
        <f t="shared" si="10"/>
        <v>0</v>
      </c>
    </row>
    <row r="490" spans="1:9" x14ac:dyDescent="0.2">
      <c r="A490" s="495" t="str">
        <f>FIXED('Balance N'!A462,0,1)</f>
        <v>0</v>
      </c>
      <c r="B490" s="494">
        <f>+'Balance N'!B462</f>
        <v>0</v>
      </c>
      <c r="C490" s="592">
        <f>ROUND('Balance N'!C462,2)</f>
        <v>0</v>
      </c>
      <c r="D490" s="592">
        <f>ROUND('Balance N'!D462,2)</f>
        <v>0</v>
      </c>
      <c r="E490" s="592">
        <f>ROUND('Balance N'!E462,2)</f>
        <v>0</v>
      </c>
      <c r="F490" s="592">
        <f>ROUND('Balance N'!F462,2)</f>
        <v>0</v>
      </c>
      <c r="G490" s="592">
        <f>ROUND('Balance N'!G462,2)</f>
        <v>0</v>
      </c>
      <c r="H490" s="592">
        <f>ROUND('Balance N'!H462,2)</f>
        <v>0</v>
      </c>
      <c r="I490" s="2" t="str">
        <f t="shared" si="10"/>
        <v>0</v>
      </c>
    </row>
    <row r="491" spans="1:9" x14ac:dyDescent="0.2">
      <c r="A491" s="495" t="str">
        <f>FIXED('Balance N'!A463,0,1)</f>
        <v>0</v>
      </c>
      <c r="B491" s="494">
        <f>+'Balance N'!B463</f>
        <v>0</v>
      </c>
      <c r="C491" s="592">
        <f>ROUND('Balance N'!C463,2)</f>
        <v>0</v>
      </c>
      <c r="D491" s="592">
        <f>ROUND('Balance N'!D463,2)</f>
        <v>0</v>
      </c>
      <c r="E491" s="592">
        <f>ROUND('Balance N'!E463,2)</f>
        <v>0</v>
      </c>
      <c r="F491" s="592">
        <f>ROUND('Balance N'!F463,2)</f>
        <v>0</v>
      </c>
      <c r="G491" s="592">
        <f>ROUND('Balance N'!G463,2)</f>
        <v>0</v>
      </c>
      <c r="H491" s="592">
        <f>ROUND('Balance N'!H463,2)</f>
        <v>0</v>
      </c>
      <c r="I491" s="2" t="str">
        <f t="shared" si="10"/>
        <v>0</v>
      </c>
    </row>
    <row r="492" spans="1:9" x14ac:dyDescent="0.2">
      <c r="A492" s="495" t="str">
        <f>FIXED('Balance N'!A464,0,1)</f>
        <v>0</v>
      </c>
      <c r="B492" s="494">
        <f>+'Balance N'!B464</f>
        <v>0</v>
      </c>
      <c r="C492" s="592">
        <f>ROUND('Balance N'!C464,2)</f>
        <v>0</v>
      </c>
      <c r="D492" s="592">
        <f>ROUND('Balance N'!D464,2)</f>
        <v>0</v>
      </c>
      <c r="E492" s="592">
        <f>ROUND('Balance N'!E464,2)</f>
        <v>0</v>
      </c>
      <c r="F492" s="592">
        <f>ROUND('Balance N'!F464,2)</f>
        <v>0</v>
      </c>
      <c r="G492" s="592">
        <f>ROUND('Balance N'!G464,2)</f>
        <v>0</v>
      </c>
      <c r="H492" s="592">
        <f>ROUND('Balance N'!H464,2)</f>
        <v>0</v>
      </c>
      <c r="I492" s="2" t="str">
        <f t="shared" si="10"/>
        <v>0</v>
      </c>
    </row>
    <row r="493" spans="1:9" x14ac:dyDescent="0.2">
      <c r="A493" s="495" t="str">
        <f>FIXED('Balance N'!A465,0,1)</f>
        <v>0</v>
      </c>
      <c r="B493" s="494">
        <f>+'Balance N'!B465</f>
        <v>0</v>
      </c>
      <c r="C493" s="592">
        <f>ROUND('Balance N'!C465,2)</f>
        <v>0</v>
      </c>
      <c r="D493" s="592">
        <f>ROUND('Balance N'!D465,2)</f>
        <v>0</v>
      </c>
      <c r="E493" s="592">
        <f>ROUND('Balance N'!E465,2)</f>
        <v>0</v>
      </c>
      <c r="F493" s="592">
        <f>ROUND('Balance N'!F465,2)</f>
        <v>0</v>
      </c>
      <c r="G493" s="592">
        <f>ROUND('Balance N'!G465,2)</f>
        <v>0</v>
      </c>
      <c r="H493" s="592">
        <f>ROUND('Balance N'!H465,2)</f>
        <v>0</v>
      </c>
      <c r="I493" s="2" t="str">
        <f t="shared" si="10"/>
        <v>0</v>
      </c>
    </row>
    <row r="494" spans="1:9" x14ac:dyDescent="0.2">
      <c r="A494" s="495" t="str">
        <f>FIXED('Balance N'!A466,0,1)</f>
        <v>0</v>
      </c>
      <c r="B494" s="494">
        <f>+'Balance N'!B466</f>
        <v>0</v>
      </c>
      <c r="C494" s="592">
        <f>ROUND('Balance N'!C466,2)</f>
        <v>0</v>
      </c>
      <c r="D494" s="592">
        <f>ROUND('Balance N'!D466,2)</f>
        <v>0</v>
      </c>
      <c r="E494" s="592">
        <f>ROUND('Balance N'!E466,2)</f>
        <v>0</v>
      </c>
      <c r="F494" s="592">
        <f>ROUND('Balance N'!F466,2)</f>
        <v>0</v>
      </c>
      <c r="G494" s="592">
        <f>ROUND('Balance N'!G466,2)</f>
        <v>0</v>
      </c>
      <c r="H494" s="592">
        <f>ROUND('Balance N'!H466,2)</f>
        <v>0</v>
      </c>
      <c r="I494" s="2" t="str">
        <f t="shared" si="10"/>
        <v>0</v>
      </c>
    </row>
    <row r="495" spans="1:9" x14ac:dyDescent="0.2">
      <c r="A495" s="495" t="str">
        <f>FIXED('Balance N'!A467,0,1)</f>
        <v>0</v>
      </c>
      <c r="B495" s="494">
        <f>+'Balance N'!B467</f>
        <v>0</v>
      </c>
      <c r="C495" s="592">
        <f>ROUND('Balance N'!C467,2)</f>
        <v>0</v>
      </c>
      <c r="D495" s="592">
        <f>ROUND('Balance N'!D467,2)</f>
        <v>0</v>
      </c>
      <c r="E495" s="592">
        <f>ROUND('Balance N'!E467,2)</f>
        <v>0</v>
      </c>
      <c r="F495" s="592">
        <f>ROUND('Balance N'!F467,2)</f>
        <v>0</v>
      </c>
      <c r="G495" s="592">
        <f>ROUND('Balance N'!G467,2)</f>
        <v>0</v>
      </c>
      <c r="H495" s="592">
        <f>ROUND('Balance N'!H467,2)</f>
        <v>0</v>
      </c>
      <c r="I495" s="2" t="str">
        <f t="shared" si="10"/>
        <v>0</v>
      </c>
    </row>
    <row r="496" spans="1:9" x14ac:dyDescent="0.2">
      <c r="A496" s="495" t="str">
        <f>FIXED('Balance N'!A468,0,1)</f>
        <v>0</v>
      </c>
      <c r="B496" s="494">
        <f>+'Balance N'!B468</f>
        <v>0</v>
      </c>
      <c r="C496" s="592">
        <f>ROUND('Balance N'!C468,2)</f>
        <v>0</v>
      </c>
      <c r="D496" s="592">
        <f>ROUND('Balance N'!D468,2)</f>
        <v>0</v>
      </c>
      <c r="E496" s="592">
        <f>ROUND('Balance N'!E468,2)</f>
        <v>0</v>
      </c>
      <c r="F496" s="592">
        <f>ROUND('Balance N'!F468,2)</f>
        <v>0</v>
      </c>
      <c r="G496" s="592">
        <f>ROUND('Balance N'!G468,2)</f>
        <v>0</v>
      </c>
      <c r="H496" s="592">
        <f>ROUND('Balance N'!H468,2)</f>
        <v>0</v>
      </c>
      <c r="I496" s="2" t="str">
        <f t="shared" si="10"/>
        <v>0</v>
      </c>
    </row>
    <row r="497" spans="1:9" x14ac:dyDescent="0.2">
      <c r="A497" s="495" t="str">
        <f>FIXED('Balance N'!A469,0,1)</f>
        <v>0</v>
      </c>
      <c r="B497" s="494">
        <f>+'Balance N'!B469</f>
        <v>0</v>
      </c>
      <c r="C497" s="592">
        <f>ROUND('Balance N'!C469,2)</f>
        <v>0</v>
      </c>
      <c r="D497" s="592">
        <f>ROUND('Balance N'!D469,2)</f>
        <v>0</v>
      </c>
      <c r="E497" s="592">
        <f>ROUND('Balance N'!E469,2)</f>
        <v>0</v>
      </c>
      <c r="F497" s="592">
        <f>ROUND('Balance N'!F469,2)</f>
        <v>0</v>
      </c>
      <c r="G497" s="592">
        <f>ROUND('Balance N'!G469,2)</f>
        <v>0</v>
      </c>
      <c r="H497" s="592">
        <f>ROUND('Balance N'!H469,2)</f>
        <v>0</v>
      </c>
      <c r="I497" s="2" t="str">
        <f t="shared" si="10"/>
        <v>0</v>
      </c>
    </row>
    <row r="498" spans="1:9" x14ac:dyDescent="0.2">
      <c r="A498" s="495" t="str">
        <f>FIXED('Balance N'!A470,0,1)</f>
        <v>0</v>
      </c>
      <c r="B498" s="494">
        <f>+'Balance N'!B470</f>
        <v>0</v>
      </c>
      <c r="C498" s="592">
        <f>ROUND('Balance N'!C470,2)</f>
        <v>0</v>
      </c>
      <c r="D498" s="592">
        <f>ROUND('Balance N'!D470,2)</f>
        <v>0</v>
      </c>
      <c r="E498" s="592">
        <f>ROUND('Balance N'!E470,2)</f>
        <v>0</v>
      </c>
      <c r="F498" s="592">
        <f>ROUND('Balance N'!F470,2)</f>
        <v>0</v>
      </c>
      <c r="G498" s="592">
        <f>ROUND('Balance N'!G470,2)</f>
        <v>0</v>
      </c>
      <c r="H498" s="592">
        <f>ROUND('Balance N'!H470,2)</f>
        <v>0</v>
      </c>
      <c r="I498" s="2" t="str">
        <f t="shared" si="10"/>
        <v>0</v>
      </c>
    </row>
    <row r="499" spans="1:9" x14ac:dyDescent="0.2">
      <c r="A499" s="495" t="str">
        <f>FIXED('Balance N'!A471,0,1)</f>
        <v>0</v>
      </c>
      <c r="B499" s="494">
        <f>+'Balance N'!B471</f>
        <v>0</v>
      </c>
      <c r="C499" s="592">
        <f>ROUND('Balance N'!C471,2)</f>
        <v>0</v>
      </c>
      <c r="D499" s="592">
        <f>ROUND('Balance N'!D471,2)</f>
        <v>0</v>
      </c>
      <c r="E499" s="592">
        <f>ROUND('Balance N'!E471,2)</f>
        <v>0</v>
      </c>
      <c r="F499" s="592">
        <f>ROUND('Balance N'!F471,2)</f>
        <v>0</v>
      </c>
      <c r="G499" s="592">
        <f>ROUND('Balance N'!G471,2)</f>
        <v>0</v>
      </c>
      <c r="H499" s="592">
        <f>ROUND('Balance N'!H471,2)</f>
        <v>0</v>
      </c>
      <c r="I499" s="2" t="str">
        <f t="shared" si="10"/>
        <v>0</v>
      </c>
    </row>
    <row r="500" spans="1:9" x14ac:dyDescent="0.2">
      <c r="A500" s="495" t="str">
        <f>FIXED('Balance N'!A472,0,1)</f>
        <v>0</v>
      </c>
      <c r="B500" s="494">
        <f>+'Balance N'!B472</f>
        <v>0</v>
      </c>
      <c r="C500" s="592">
        <f>ROUND('Balance N'!C472,2)</f>
        <v>0</v>
      </c>
      <c r="D500" s="592">
        <f>ROUND('Balance N'!D472,2)</f>
        <v>0</v>
      </c>
      <c r="E500" s="592">
        <f>ROUND('Balance N'!E472,2)</f>
        <v>0</v>
      </c>
      <c r="F500" s="592">
        <f>ROUND('Balance N'!F472,2)</f>
        <v>0</v>
      </c>
      <c r="G500" s="592">
        <f>ROUND('Balance N'!G472,2)</f>
        <v>0</v>
      </c>
      <c r="H500" s="592">
        <f>ROUND('Balance N'!H472,2)</f>
        <v>0</v>
      </c>
      <c r="I500" s="2" t="str">
        <f t="shared" si="10"/>
        <v>0</v>
      </c>
    </row>
    <row r="501" spans="1:9" x14ac:dyDescent="0.2">
      <c r="A501" s="495" t="str">
        <f>FIXED('Balance N'!A473,0,1)</f>
        <v>0</v>
      </c>
      <c r="B501" s="494">
        <f>+'Balance N'!B473</f>
        <v>0</v>
      </c>
      <c r="C501" s="592">
        <f>ROUND('Balance N'!C473,2)</f>
        <v>0</v>
      </c>
      <c r="D501" s="592">
        <f>ROUND('Balance N'!D473,2)</f>
        <v>0</v>
      </c>
      <c r="E501" s="592">
        <f>ROUND('Balance N'!E473,2)</f>
        <v>0</v>
      </c>
      <c r="F501" s="592">
        <f>ROUND('Balance N'!F473,2)</f>
        <v>0</v>
      </c>
      <c r="G501" s="592">
        <f>ROUND('Balance N'!G473,2)</f>
        <v>0</v>
      </c>
      <c r="H501" s="592">
        <f>ROUND('Balance N'!H473,2)</f>
        <v>0</v>
      </c>
      <c r="I501" s="2" t="str">
        <f t="shared" si="10"/>
        <v>0</v>
      </c>
    </row>
    <row r="502" spans="1:9" x14ac:dyDescent="0.2">
      <c r="A502" s="495" t="str">
        <f>FIXED('Balance N'!A474,0,1)</f>
        <v>0</v>
      </c>
      <c r="B502" s="494">
        <f>+'Balance N'!B474</f>
        <v>0</v>
      </c>
      <c r="C502" s="592">
        <f>ROUND('Balance N'!C474,2)</f>
        <v>0</v>
      </c>
      <c r="D502" s="592">
        <f>ROUND('Balance N'!D474,2)</f>
        <v>0</v>
      </c>
      <c r="E502" s="592">
        <f>ROUND('Balance N'!E474,2)</f>
        <v>0</v>
      </c>
      <c r="F502" s="592">
        <f>ROUND('Balance N'!F474,2)</f>
        <v>0</v>
      </c>
      <c r="G502" s="592">
        <f>ROUND('Balance N'!G474,2)</f>
        <v>0</v>
      </c>
      <c r="H502" s="592">
        <f>ROUND('Balance N'!H474,2)</f>
        <v>0</v>
      </c>
      <c r="I502" s="2" t="str">
        <f t="shared" si="10"/>
        <v>0</v>
      </c>
    </row>
    <row r="503" spans="1:9" x14ac:dyDescent="0.2">
      <c r="A503" s="495" t="str">
        <f>FIXED('Balance N'!A475,0,1)</f>
        <v>0</v>
      </c>
      <c r="B503" s="494">
        <f>+'Balance N'!B475</f>
        <v>0</v>
      </c>
      <c r="C503" s="592">
        <f>ROUND('Balance N'!C475,2)</f>
        <v>0</v>
      </c>
      <c r="D503" s="592">
        <f>ROUND('Balance N'!D475,2)</f>
        <v>0</v>
      </c>
      <c r="E503" s="592">
        <f>ROUND('Balance N'!E475,2)</f>
        <v>0</v>
      </c>
      <c r="F503" s="592">
        <f>ROUND('Balance N'!F475,2)</f>
        <v>0</v>
      </c>
      <c r="G503" s="592">
        <f>ROUND('Balance N'!G475,2)</f>
        <v>0</v>
      </c>
      <c r="H503" s="592">
        <f>ROUND('Balance N'!H475,2)</f>
        <v>0</v>
      </c>
      <c r="I503" s="2" t="str">
        <f t="shared" si="10"/>
        <v>0</v>
      </c>
    </row>
    <row r="504" spans="1:9" x14ac:dyDescent="0.2">
      <c r="A504" s="495" t="str">
        <f>FIXED('Balance N'!A476,0,1)</f>
        <v>0</v>
      </c>
      <c r="B504" s="494">
        <f>+'Balance N'!B476</f>
        <v>0</v>
      </c>
      <c r="C504" s="592">
        <f>ROUND('Balance N'!C476,2)</f>
        <v>0</v>
      </c>
      <c r="D504" s="592">
        <f>ROUND('Balance N'!D476,2)</f>
        <v>0</v>
      </c>
      <c r="E504" s="592">
        <f>ROUND('Balance N'!E476,2)</f>
        <v>0</v>
      </c>
      <c r="F504" s="592">
        <f>ROUND('Balance N'!F476,2)</f>
        <v>0</v>
      </c>
      <c r="G504" s="592">
        <f>ROUND('Balance N'!G476,2)</f>
        <v>0</v>
      </c>
      <c r="H504" s="592">
        <f>ROUND('Balance N'!H476,2)</f>
        <v>0</v>
      </c>
      <c r="I504" s="2" t="str">
        <f t="shared" si="10"/>
        <v>0</v>
      </c>
    </row>
    <row r="505" spans="1:9" x14ac:dyDescent="0.2">
      <c r="A505" s="495" t="str">
        <f>FIXED('Balance N'!A477,0,1)</f>
        <v>0</v>
      </c>
      <c r="B505" s="494">
        <f>+'Balance N'!B477</f>
        <v>0</v>
      </c>
      <c r="C505" s="592">
        <f>ROUND('Balance N'!C477,2)</f>
        <v>0</v>
      </c>
      <c r="D505" s="592">
        <f>ROUND('Balance N'!D477,2)</f>
        <v>0</v>
      </c>
      <c r="E505" s="592">
        <f>ROUND('Balance N'!E477,2)</f>
        <v>0</v>
      </c>
      <c r="F505" s="592">
        <f>ROUND('Balance N'!F477,2)</f>
        <v>0</v>
      </c>
      <c r="G505" s="592">
        <f>ROUND('Balance N'!G477,2)</f>
        <v>0</v>
      </c>
      <c r="H505" s="592">
        <f>ROUND('Balance N'!H477,2)</f>
        <v>0</v>
      </c>
      <c r="I505" s="2" t="str">
        <f t="shared" si="10"/>
        <v>0</v>
      </c>
    </row>
    <row r="506" spans="1:9" x14ac:dyDescent="0.2">
      <c r="A506" s="495" t="str">
        <f>FIXED('Balance N'!A478,0,1)</f>
        <v>0</v>
      </c>
      <c r="B506" s="494">
        <f>+'Balance N'!B478</f>
        <v>0</v>
      </c>
      <c r="C506" s="592">
        <f>ROUND('Balance N'!C478,2)</f>
        <v>0</v>
      </c>
      <c r="D506" s="592">
        <f>ROUND('Balance N'!D478,2)</f>
        <v>0</v>
      </c>
      <c r="E506" s="592">
        <f>ROUND('Balance N'!E478,2)</f>
        <v>0</v>
      </c>
      <c r="F506" s="592">
        <f>ROUND('Balance N'!F478,2)</f>
        <v>0</v>
      </c>
      <c r="G506" s="592">
        <f>ROUND('Balance N'!G478,2)</f>
        <v>0</v>
      </c>
      <c r="H506" s="592">
        <f>ROUND('Balance N'!H478,2)</f>
        <v>0</v>
      </c>
      <c r="I506" s="2" t="str">
        <f t="shared" si="10"/>
        <v>0</v>
      </c>
    </row>
    <row r="507" spans="1:9" x14ac:dyDescent="0.2">
      <c r="A507" s="495" t="str">
        <f>FIXED('Balance N'!A479,0,1)</f>
        <v>0</v>
      </c>
      <c r="B507" s="494">
        <f>+'Balance N'!B479</f>
        <v>0</v>
      </c>
      <c r="C507" s="592">
        <f>ROUND('Balance N'!C479,2)</f>
        <v>0</v>
      </c>
      <c r="D507" s="592">
        <f>ROUND('Balance N'!D479,2)</f>
        <v>0</v>
      </c>
      <c r="E507" s="592">
        <f>ROUND('Balance N'!E479,2)</f>
        <v>0</v>
      </c>
      <c r="F507" s="592">
        <f>ROUND('Balance N'!F479,2)</f>
        <v>0</v>
      </c>
      <c r="G507" s="592">
        <f>ROUND('Balance N'!G479,2)</f>
        <v>0</v>
      </c>
      <c r="H507" s="592">
        <f>ROUND('Balance N'!H479,2)</f>
        <v>0</v>
      </c>
      <c r="I507" s="2" t="str">
        <f t="shared" si="10"/>
        <v>0</v>
      </c>
    </row>
    <row r="508" spans="1:9" x14ac:dyDescent="0.2">
      <c r="A508" s="495" t="str">
        <f>FIXED('Balance N'!A480,0,1)</f>
        <v>0</v>
      </c>
      <c r="B508" s="494">
        <f>+'Balance N'!B480</f>
        <v>0</v>
      </c>
      <c r="C508" s="592">
        <f>ROUND('Balance N'!C480,2)</f>
        <v>0</v>
      </c>
      <c r="D508" s="592">
        <f>ROUND('Balance N'!D480,2)</f>
        <v>0</v>
      </c>
      <c r="E508" s="592">
        <f>ROUND('Balance N'!E480,2)</f>
        <v>0</v>
      </c>
      <c r="F508" s="592">
        <f>ROUND('Balance N'!F480,2)</f>
        <v>0</v>
      </c>
      <c r="G508" s="592">
        <f>ROUND('Balance N'!G480,2)</f>
        <v>0</v>
      </c>
      <c r="H508" s="592">
        <f>ROUND('Balance N'!H480,2)</f>
        <v>0</v>
      </c>
      <c r="I508" s="2" t="str">
        <f t="shared" si="10"/>
        <v>0</v>
      </c>
    </row>
    <row r="509" spans="1:9" x14ac:dyDescent="0.2">
      <c r="A509" s="495" t="str">
        <f>FIXED('Balance N'!A481,0,1)</f>
        <v>0</v>
      </c>
      <c r="B509" s="494">
        <f>+'Balance N'!B481</f>
        <v>0</v>
      </c>
      <c r="C509" s="592">
        <f>ROUND('Balance N'!C481,2)</f>
        <v>0</v>
      </c>
      <c r="D509" s="592">
        <f>ROUND('Balance N'!D481,2)</f>
        <v>0</v>
      </c>
      <c r="E509" s="592">
        <f>ROUND('Balance N'!E481,2)</f>
        <v>0</v>
      </c>
      <c r="F509" s="592">
        <f>ROUND('Balance N'!F481,2)</f>
        <v>0</v>
      </c>
      <c r="G509" s="592">
        <f>ROUND('Balance N'!G481,2)</f>
        <v>0</v>
      </c>
      <c r="H509" s="592">
        <f>ROUND('Balance N'!H481,2)</f>
        <v>0</v>
      </c>
      <c r="I509" s="2" t="str">
        <f t="shared" si="10"/>
        <v>0</v>
      </c>
    </row>
    <row r="510" spans="1:9" x14ac:dyDescent="0.2">
      <c r="A510" s="495" t="str">
        <f>FIXED('Balance N'!A482,0,1)</f>
        <v>0</v>
      </c>
      <c r="B510" s="494">
        <f>+'Balance N'!B482</f>
        <v>0</v>
      </c>
      <c r="C510" s="592">
        <f>ROUND('Balance N'!C482,2)</f>
        <v>0</v>
      </c>
      <c r="D510" s="592">
        <f>ROUND('Balance N'!D482,2)</f>
        <v>0</v>
      </c>
      <c r="E510" s="592">
        <f>ROUND('Balance N'!E482,2)</f>
        <v>0</v>
      </c>
      <c r="F510" s="592">
        <f>ROUND('Balance N'!F482,2)</f>
        <v>0</v>
      </c>
      <c r="G510" s="592">
        <f>ROUND('Balance N'!G482,2)</f>
        <v>0</v>
      </c>
      <c r="H510" s="592">
        <f>ROUND('Balance N'!H482,2)</f>
        <v>0</v>
      </c>
      <c r="I510" s="2" t="str">
        <f t="shared" si="10"/>
        <v>0</v>
      </c>
    </row>
    <row r="511" spans="1:9" x14ac:dyDescent="0.2">
      <c r="A511" s="495" t="str">
        <f>FIXED('Balance N'!A483,0,1)</f>
        <v>0</v>
      </c>
      <c r="B511" s="494">
        <f>+'Balance N'!B483</f>
        <v>0</v>
      </c>
      <c r="C511" s="592">
        <f>ROUND('Balance N'!C483,2)</f>
        <v>0</v>
      </c>
      <c r="D511" s="592">
        <f>ROUND('Balance N'!D483,2)</f>
        <v>0</v>
      </c>
      <c r="E511" s="592">
        <f>ROUND('Balance N'!E483,2)</f>
        <v>0</v>
      </c>
      <c r="F511" s="592">
        <f>ROUND('Balance N'!F483,2)</f>
        <v>0</v>
      </c>
      <c r="G511" s="592">
        <f>ROUND('Balance N'!G483,2)</f>
        <v>0</v>
      </c>
      <c r="H511" s="592">
        <f>ROUND('Balance N'!H483,2)</f>
        <v>0</v>
      </c>
      <c r="I511" s="2" t="str">
        <f t="shared" si="10"/>
        <v>0</v>
      </c>
    </row>
    <row r="512" spans="1:9" x14ac:dyDescent="0.2">
      <c r="A512" s="495" t="str">
        <f>FIXED('Balance N'!A484,0,1)</f>
        <v>0</v>
      </c>
      <c r="B512" s="494">
        <f>+'Balance N'!B484</f>
        <v>0</v>
      </c>
      <c r="C512" s="592">
        <f>ROUND('Balance N'!C484,2)</f>
        <v>0</v>
      </c>
      <c r="D512" s="592">
        <f>ROUND('Balance N'!D484,2)</f>
        <v>0</v>
      </c>
      <c r="E512" s="592">
        <f>ROUND('Balance N'!E484,2)</f>
        <v>0</v>
      </c>
      <c r="F512" s="592">
        <f>ROUND('Balance N'!F484,2)</f>
        <v>0</v>
      </c>
      <c r="G512" s="592">
        <f>ROUND('Balance N'!G484,2)</f>
        <v>0</v>
      </c>
      <c r="H512" s="592">
        <f>ROUND('Balance N'!H484,2)</f>
        <v>0</v>
      </c>
      <c r="I512" s="2" t="str">
        <f t="shared" si="10"/>
        <v>0</v>
      </c>
    </row>
    <row r="513" spans="1:9" x14ac:dyDescent="0.2">
      <c r="A513" s="495" t="str">
        <f>FIXED('Balance N'!A485,0,1)</f>
        <v>0</v>
      </c>
      <c r="B513" s="494">
        <f>+'Balance N'!B485</f>
        <v>0</v>
      </c>
      <c r="C513" s="592">
        <f>ROUND('Balance N'!C485,2)</f>
        <v>0</v>
      </c>
      <c r="D513" s="592">
        <f>ROUND('Balance N'!D485,2)</f>
        <v>0</v>
      </c>
      <c r="E513" s="592">
        <f>ROUND('Balance N'!E485,2)</f>
        <v>0</v>
      </c>
      <c r="F513" s="592">
        <f>ROUND('Balance N'!F485,2)</f>
        <v>0</v>
      </c>
      <c r="G513" s="592">
        <f>ROUND('Balance N'!G485,2)</f>
        <v>0</v>
      </c>
      <c r="H513" s="592">
        <f>ROUND('Balance N'!H485,2)</f>
        <v>0</v>
      </c>
      <c r="I513" s="2" t="str">
        <f t="shared" si="10"/>
        <v>0</v>
      </c>
    </row>
    <row r="514" spans="1:9" x14ac:dyDescent="0.2">
      <c r="A514" s="495" t="str">
        <f>FIXED('Balance N'!A486,0,1)</f>
        <v>0</v>
      </c>
      <c r="B514" s="494">
        <f>+'Balance N'!B486</f>
        <v>0</v>
      </c>
      <c r="C514" s="592">
        <f>ROUND('Balance N'!C486,2)</f>
        <v>0</v>
      </c>
      <c r="D514" s="592">
        <f>ROUND('Balance N'!D486,2)</f>
        <v>0</v>
      </c>
      <c r="E514" s="592">
        <f>ROUND('Balance N'!E486,2)</f>
        <v>0</v>
      </c>
      <c r="F514" s="592">
        <f>ROUND('Balance N'!F486,2)</f>
        <v>0</v>
      </c>
      <c r="G514" s="592">
        <f>ROUND('Balance N'!G486,2)</f>
        <v>0</v>
      </c>
      <c r="H514" s="592">
        <f>ROUND('Balance N'!H486,2)</f>
        <v>0</v>
      </c>
      <c r="I514" s="2" t="str">
        <f t="shared" ref="I514:I577" si="11">MID(A514,1,1)</f>
        <v>0</v>
      </c>
    </row>
    <row r="515" spans="1:9" x14ac:dyDescent="0.2">
      <c r="A515" s="495" t="str">
        <f>FIXED('Balance N'!A487,0,1)</f>
        <v>0</v>
      </c>
      <c r="B515" s="494">
        <f>+'Balance N'!B487</f>
        <v>0</v>
      </c>
      <c r="C515" s="592">
        <f>ROUND('Balance N'!C487,2)</f>
        <v>0</v>
      </c>
      <c r="D515" s="592">
        <f>ROUND('Balance N'!D487,2)</f>
        <v>0</v>
      </c>
      <c r="E515" s="592">
        <f>ROUND('Balance N'!E487,2)</f>
        <v>0</v>
      </c>
      <c r="F515" s="592">
        <f>ROUND('Balance N'!F487,2)</f>
        <v>0</v>
      </c>
      <c r="G515" s="592">
        <f>ROUND('Balance N'!G487,2)</f>
        <v>0</v>
      </c>
      <c r="H515" s="592">
        <f>ROUND('Balance N'!H487,2)</f>
        <v>0</v>
      </c>
      <c r="I515" s="2" t="str">
        <f t="shared" si="11"/>
        <v>0</v>
      </c>
    </row>
    <row r="516" spans="1:9" x14ac:dyDescent="0.2">
      <c r="A516" s="495" t="str">
        <f>FIXED('Balance N'!A488,0,1)</f>
        <v>0</v>
      </c>
      <c r="B516" s="494">
        <f>+'Balance N'!B488</f>
        <v>0</v>
      </c>
      <c r="C516" s="592">
        <f>ROUND('Balance N'!C488,2)</f>
        <v>0</v>
      </c>
      <c r="D516" s="592">
        <f>ROUND('Balance N'!D488,2)</f>
        <v>0</v>
      </c>
      <c r="E516" s="592">
        <f>ROUND('Balance N'!E488,2)</f>
        <v>0</v>
      </c>
      <c r="F516" s="592">
        <f>ROUND('Balance N'!F488,2)</f>
        <v>0</v>
      </c>
      <c r="G516" s="592">
        <f>ROUND('Balance N'!G488,2)</f>
        <v>0</v>
      </c>
      <c r="H516" s="592">
        <f>ROUND('Balance N'!H488,2)</f>
        <v>0</v>
      </c>
      <c r="I516" s="2" t="str">
        <f t="shared" si="11"/>
        <v>0</v>
      </c>
    </row>
    <row r="517" spans="1:9" x14ac:dyDescent="0.2">
      <c r="A517" s="495" t="str">
        <f>FIXED('Balance N'!A489,0,1)</f>
        <v>0</v>
      </c>
      <c r="B517" s="494">
        <f>+'Balance N'!B489</f>
        <v>0</v>
      </c>
      <c r="C517" s="592">
        <f>ROUND('Balance N'!C489,2)</f>
        <v>0</v>
      </c>
      <c r="D517" s="592">
        <f>ROUND('Balance N'!D489,2)</f>
        <v>0</v>
      </c>
      <c r="E517" s="592">
        <f>ROUND('Balance N'!E489,2)</f>
        <v>0</v>
      </c>
      <c r="F517" s="592">
        <f>ROUND('Balance N'!F489,2)</f>
        <v>0</v>
      </c>
      <c r="G517" s="592">
        <f>ROUND('Balance N'!G489,2)</f>
        <v>0</v>
      </c>
      <c r="H517" s="592">
        <f>ROUND('Balance N'!H489,2)</f>
        <v>0</v>
      </c>
      <c r="I517" s="2" t="str">
        <f t="shared" si="11"/>
        <v>0</v>
      </c>
    </row>
    <row r="518" spans="1:9" x14ac:dyDescent="0.2">
      <c r="A518" s="495" t="str">
        <f>FIXED('Balance N'!A490,0,1)</f>
        <v>0</v>
      </c>
      <c r="B518" s="494">
        <f>+'Balance N'!B490</f>
        <v>0</v>
      </c>
      <c r="C518" s="592">
        <f>ROUND('Balance N'!C490,2)</f>
        <v>0</v>
      </c>
      <c r="D518" s="592">
        <f>ROUND('Balance N'!D490,2)</f>
        <v>0</v>
      </c>
      <c r="E518" s="592">
        <f>ROUND('Balance N'!E490,2)</f>
        <v>0</v>
      </c>
      <c r="F518" s="592">
        <f>ROUND('Balance N'!F490,2)</f>
        <v>0</v>
      </c>
      <c r="G518" s="592">
        <f>ROUND('Balance N'!G490,2)</f>
        <v>0</v>
      </c>
      <c r="H518" s="592">
        <f>ROUND('Balance N'!H490,2)</f>
        <v>0</v>
      </c>
      <c r="I518" s="2" t="str">
        <f t="shared" si="11"/>
        <v>0</v>
      </c>
    </row>
    <row r="519" spans="1:9" x14ac:dyDescent="0.2">
      <c r="A519" s="495" t="str">
        <f>FIXED('Balance N'!A491,0,1)</f>
        <v>0</v>
      </c>
      <c r="B519" s="494">
        <f>+'Balance N'!B491</f>
        <v>0</v>
      </c>
      <c r="C519" s="592">
        <f>ROUND('Balance N'!C491,2)</f>
        <v>0</v>
      </c>
      <c r="D519" s="592">
        <f>ROUND('Balance N'!D491,2)</f>
        <v>0</v>
      </c>
      <c r="E519" s="592">
        <f>ROUND('Balance N'!E491,2)</f>
        <v>0</v>
      </c>
      <c r="F519" s="592">
        <f>ROUND('Balance N'!F491,2)</f>
        <v>0</v>
      </c>
      <c r="G519" s="592">
        <f>ROUND('Balance N'!G491,2)</f>
        <v>0</v>
      </c>
      <c r="H519" s="592">
        <f>ROUND('Balance N'!H491,2)</f>
        <v>0</v>
      </c>
      <c r="I519" s="2" t="str">
        <f t="shared" si="11"/>
        <v>0</v>
      </c>
    </row>
    <row r="520" spans="1:9" x14ac:dyDescent="0.2">
      <c r="A520" s="495" t="str">
        <f>FIXED('Balance N'!A492,0,1)</f>
        <v>0</v>
      </c>
      <c r="B520" s="494">
        <f>+'Balance N'!B492</f>
        <v>0</v>
      </c>
      <c r="C520" s="592">
        <f>ROUND('Balance N'!C492,2)</f>
        <v>0</v>
      </c>
      <c r="D520" s="592">
        <f>ROUND('Balance N'!D492,2)</f>
        <v>0</v>
      </c>
      <c r="E520" s="592">
        <f>ROUND('Balance N'!E492,2)</f>
        <v>0</v>
      </c>
      <c r="F520" s="592">
        <f>ROUND('Balance N'!F492,2)</f>
        <v>0</v>
      </c>
      <c r="G520" s="592">
        <f>ROUND('Balance N'!G492,2)</f>
        <v>0</v>
      </c>
      <c r="H520" s="592">
        <f>ROUND('Balance N'!H492,2)</f>
        <v>0</v>
      </c>
      <c r="I520" s="2" t="str">
        <f t="shared" si="11"/>
        <v>0</v>
      </c>
    </row>
    <row r="521" spans="1:9" x14ac:dyDescent="0.2">
      <c r="A521" s="495" t="str">
        <f>FIXED('Balance N'!A493,0,1)</f>
        <v>0</v>
      </c>
      <c r="B521" s="494">
        <f>+'Balance N'!B493</f>
        <v>0</v>
      </c>
      <c r="C521" s="592">
        <f>ROUND('Balance N'!C493,2)</f>
        <v>0</v>
      </c>
      <c r="D521" s="592">
        <f>ROUND('Balance N'!D493,2)</f>
        <v>0</v>
      </c>
      <c r="E521" s="592">
        <f>ROUND('Balance N'!E493,2)</f>
        <v>0</v>
      </c>
      <c r="F521" s="592">
        <f>ROUND('Balance N'!F493,2)</f>
        <v>0</v>
      </c>
      <c r="G521" s="592">
        <f>ROUND('Balance N'!G493,2)</f>
        <v>0</v>
      </c>
      <c r="H521" s="592">
        <f>ROUND('Balance N'!H493,2)</f>
        <v>0</v>
      </c>
      <c r="I521" s="2" t="str">
        <f t="shared" si="11"/>
        <v>0</v>
      </c>
    </row>
    <row r="522" spans="1:9" x14ac:dyDescent="0.2">
      <c r="A522" s="495" t="str">
        <f>FIXED('Balance N'!A494,0,1)</f>
        <v>0</v>
      </c>
      <c r="B522" s="494">
        <f>+'Balance N'!B494</f>
        <v>0</v>
      </c>
      <c r="C522" s="592">
        <f>ROUND('Balance N'!C494,2)</f>
        <v>0</v>
      </c>
      <c r="D522" s="592">
        <f>ROUND('Balance N'!D494,2)</f>
        <v>0</v>
      </c>
      <c r="E522" s="592">
        <f>ROUND('Balance N'!E494,2)</f>
        <v>0</v>
      </c>
      <c r="F522" s="592">
        <f>ROUND('Balance N'!F494,2)</f>
        <v>0</v>
      </c>
      <c r="G522" s="592">
        <f>ROUND('Balance N'!G494,2)</f>
        <v>0</v>
      </c>
      <c r="H522" s="592">
        <f>ROUND('Balance N'!H494,2)</f>
        <v>0</v>
      </c>
      <c r="I522" s="2" t="str">
        <f t="shared" si="11"/>
        <v>0</v>
      </c>
    </row>
    <row r="523" spans="1:9" x14ac:dyDescent="0.2">
      <c r="A523" s="495" t="str">
        <f>FIXED('Balance N'!A495,0,1)</f>
        <v>0</v>
      </c>
      <c r="B523" s="494">
        <f>+'Balance N'!B495</f>
        <v>0</v>
      </c>
      <c r="C523" s="592">
        <f>ROUND('Balance N'!C495,2)</f>
        <v>0</v>
      </c>
      <c r="D523" s="592">
        <f>ROUND('Balance N'!D495,2)</f>
        <v>0</v>
      </c>
      <c r="E523" s="592">
        <f>ROUND('Balance N'!E495,2)</f>
        <v>0</v>
      </c>
      <c r="F523" s="592">
        <f>ROUND('Balance N'!F495,2)</f>
        <v>0</v>
      </c>
      <c r="G523" s="592">
        <f>ROUND('Balance N'!G495,2)</f>
        <v>0</v>
      </c>
      <c r="H523" s="592">
        <f>ROUND('Balance N'!H495,2)</f>
        <v>0</v>
      </c>
      <c r="I523" s="2" t="str">
        <f t="shared" si="11"/>
        <v>0</v>
      </c>
    </row>
    <row r="524" spans="1:9" x14ac:dyDescent="0.2">
      <c r="A524" s="495" t="str">
        <f>FIXED('Balance N'!A496,0,1)</f>
        <v>0</v>
      </c>
      <c r="B524" s="494">
        <f>+'Balance N'!B496</f>
        <v>0</v>
      </c>
      <c r="C524" s="592">
        <f>ROUND('Balance N'!C496,2)</f>
        <v>0</v>
      </c>
      <c r="D524" s="592">
        <f>ROUND('Balance N'!D496,2)</f>
        <v>0</v>
      </c>
      <c r="E524" s="592">
        <f>ROUND('Balance N'!E496,2)</f>
        <v>0</v>
      </c>
      <c r="F524" s="592">
        <f>ROUND('Balance N'!F496,2)</f>
        <v>0</v>
      </c>
      <c r="G524" s="592">
        <f>ROUND('Balance N'!G496,2)</f>
        <v>0</v>
      </c>
      <c r="H524" s="592">
        <f>ROUND('Balance N'!H496,2)</f>
        <v>0</v>
      </c>
      <c r="I524" s="2" t="str">
        <f t="shared" si="11"/>
        <v>0</v>
      </c>
    </row>
    <row r="525" spans="1:9" x14ac:dyDescent="0.2">
      <c r="A525" s="495" t="str">
        <f>FIXED('Balance N'!A497,0,1)</f>
        <v>0</v>
      </c>
      <c r="B525" s="494">
        <f>+'Balance N'!B497</f>
        <v>0</v>
      </c>
      <c r="C525" s="592">
        <f>ROUND('Balance N'!C497,2)</f>
        <v>0</v>
      </c>
      <c r="D525" s="592">
        <f>ROUND('Balance N'!D497,2)</f>
        <v>0</v>
      </c>
      <c r="E525" s="592">
        <f>ROUND('Balance N'!E497,2)</f>
        <v>0</v>
      </c>
      <c r="F525" s="592">
        <f>ROUND('Balance N'!F497,2)</f>
        <v>0</v>
      </c>
      <c r="G525" s="592">
        <f>ROUND('Balance N'!G497,2)</f>
        <v>0</v>
      </c>
      <c r="H525" s="592">
        <f>ROUND('Balance N'!H497,2)</f>
        <v>0</v>
      </c>
      <c r="I525" s="2" t="str">
        <f t="shared" si="11"/>
        <v>0</v>
      </c>
    </row>
    <row r="526" spans="1:9" x14ac:dyDescent="0.2">
      <c r="A526" s="495" t="str">
        <f>FIXED('Balance N'!A498,0,1)</f>
        <v>0</v>
      </c>
      <c r="B526" s="494">
        <f>+'Balance N'!B498</f>
        <v>0</v>
      </c>
      <c r="C526" s="592">
        <f>ROUND('Balance N'!C498,2)</f>
        <v>0</v>
      </c>
      <c r="D526" s="592">
        <f>ROUND('Balance N'!D498,2)</f>
        <v>0</v>
      </c>
      <c r="E526" s="592">
        <f>ROUND('Balance N'!E498,2)</f>
        <v>0</v>
      </c>
      <c r="F526" s="592">
        <f>ROUND('Balance N'!F498,2)</f>
        <v>0</v>
      </c>
      <c r="G526" s="592">
        <f>ROUND('Balance N'!G498,2)</f>
        <v>0</v>
      </c>
      <c r="H526" s="592">
        <f>ROUND('Balance N'!H498,2)</f>
        <v>0</v>
      </c>
      <c r="I526" s="2" t="str">
        <f t="shared" si="11"/>
        <v>0</v>
      </c>
    </row>
    <row r="527" spans="1:9" x14ac:dyDescent="0.2">
      <c r="A527" s="495" t="str">
        <f>FIXED('Balance N'!A499,0,1)</f>
        <v>0</v>
      </c>
      <c r="B527" s="494">
        <f>+'Balance N'!B499</f>
        <v>0</v>
      </c>
      <c r="C527" s="592">
        <f>ROUND('Balance N'!C499,2)</f>
        <v>0</v>
      </c>
      <c r="D527" s="592">
        <f>ROUND('Balance N'!D499,2)</f>
        <v>0</v>
      </c>
      <c r="E527" s="592">
        <f>ROUND('Balance N'!E499,2)</f>
        <v>0</v>
      </c>
      <c r="F527" s="592">
        <f>ROUND('Balance N'!F499,2)</f>
        <v>0</v>
      </c>
      <c r="G527" s="592">
        <f>ROUND('Balance N'!G499,2)</f>
        <v>0</v>
      </c>
      <c r="H527" s="592">
        <f>ROUND('Balance N'!H499,2)</f>
        <v>0</v>
      </c>
      <c r="I527" s="2" t="str">
        <f t="shared" si="11"/>
        <v>0</v>
      </c>
    </row>
    <row r="528" spans="1:9" x14ac:dyDescent="0.2">
      <c r="A528" s="495" t="str">
        <f>FIXED('Balance N'!A500,0,1)</f>
        <v>0</v>
      </c>
      <c r="B528" s="494">
        <f>+'Balance N'!B500</f>
        <v>0</v>
      </c>
      <c r="C528" s="592">
        <f>ROUND('Balance N'!C500,2)</f>
        <v>0</v>
      </c>
      <c r="D528" s="592">
        <f>ROUND('Balance N'!D500,2)</f>
        <v>0</v>
      </c>
      <c r="E528" s="592">
        <f>ROUND('Balance N'!E500,2)</f>
        <v>0</v>
      </c>
      <c r="F528" s="592">
        <f>ROUND('Balance N'!F500,2)</f>
        <v>0</v>
      </c>
      <c r="G528" s="592">
        <f>ROUND('Balance N'!G500,2)</f>
        <v>0</v>
      </c>
      <c r="H528" s="592">
        <f>ROUND('Balance N'!H500,2)</f>
        <v>0</v>
      </c>
      <c r="I528" s="2" t="str">
        <f t="shared" si="11"/>
        <v>0</v>
      </c>
    </row>
    <row r="529" spans="1:9" x14ac:dyDescent="0.2">
      <c r="A529" s="495" t="str">
        <f>FIXED('Balance N'!A501,0,1)</f>
        <v>0</v>
      </c>
      <c r="B529" s="494">
        <f>+'Balance N'!B501</f>
        <v>0</v>
      </c>
      <c r="C529" s="592">
        <f>ROUND('Balance N'!C501,2)</f>
        <v>0</v>
      </c>
      <c r="D529" s="592">
        <f>ROUND('Balance N'!D501,2)</f>
        <v>0</v>
      </c>
      <c r="E529" s="592">
        <f>ROUND('Balance N'!E501,2)</f>
        <v>0</v>
      </c>
      <c r="F529" s="592">
        <f>ROUND('Balance N'!F501,2)</f>
        <v>0</v>
      </c>
      <c r="G529" s="592">
        <f>ROUND('Balance N'!G501,2)</f>
        <v>0</v>
      </c>
      <c r="H529" s="592">
        <f>ROUND('Balance N'!H501,2)</f>
        <v>0</v>
      </c>
      <c r="I529" s="2" t="str">
        <f t="shared" si="11"/>
        <v>0</v>
      </c>
    </row>
    <row r="530" spans="1:9" x14ac:dyDescent="0.2">
      <c r="A530" s="495" t="str">
        <f>FIXED('Balance N'!A502,0,1)</f>
        <v>0</v>
      </c>
      <c r="B530" s="494">
        <f>+'Balance N'!B502</f>
        <v>0</v>
      </c>
      <c r="C530" s="592">
        <f>ROUND('Balance N'!C502,2)</f>
        <v>0</v>
      </c>
      <c r="D530" s="592">
        <f>ROUND('Balance N'!D502,2)</f>
        <v>0</v>
      </c>
      <c r="E530" s="592">
        <f>ROUND('Balance N'!E502,2)</f>
        <v>0</v>
      </c>
      <c r="F530" s="592">
        <f>ROUND('Balance N'!F502,2)</f>
        <v>0</v>
      </c>
      <c r="G530" s="592">
        <f>ROUND('Balance N'!G502,2)</f>
        <v>0</v>
      </c>
      <c r="H530" s="592">
        <f>ROUND('Balance N'!H502,2)</f>
        <v>0</v>
      </c>
      <c r="I530" s="2" t="str">
        <f t="shared" si="11"/>
        <v>0</v>
      </c>
    </row>
    <row r="531" spans="1:9" x14ac:dyDescent="0.2">
      <c r="A531" s="495" t="str">
        <f>FIXED('Balance N'!A503,0,1)</f>
        <v>0</v>
      </c>
      <c r="B531" s="494">
        <f>+'Balance N'!B503</f>
        <v>0</v>
      </c>
      <c r="C531" s="592">
        <f>ROUND('Balance N'!C503,2)</f>
        <v>0</v>
      </c>
      <c r="D531" s="592">
        <f>ROUND('Balance N'!D503,2)</f>
        <v>0</v>
      </c>
      <c r="E531" s="592">
        <f>ROUND('Balance N'!E503,2)</f>
        <v>0</v>
      </c>
      <c r="F531" s="592">
        <f>ROUND('Balance N'!F503,2)</f>
        <v>0</v>
      </c>
      <c r="G531" s="592">
        <f>ROUND('Balance N'!G503,2)</f>
        <v>0</v>
      </c>
      <c r="H531" s="592">
        <f>ROUND('Balance N'!H503,2)</f>
        <v>0</v>
      </c>
      <c r="I531" s="2" t="str">
        <f t="shared" si="11"/>
        <v>0</v>
      </c>
    </row>
    <row r="532" spans="1:9" x14ac:dyDescent="0.2">
      <c r="A532" s="495" t="str">
        <f>FIXED('Balance N'!A504,0,1)</f>
        <v>0</v>
      </c>
      <c r="B532" s="494">
        <f>+'Balance N'!B504</f>
        <v>0</v>
      </c>
      <c r="C532" s="592">
        <f>ROUND('Balance N'!C504,2)</f>
        <v>0</v>
      </c>
      <c r="D532" s="592">
        <f>ROUND('Balance N'!D504,2)</f>
        <v>0</v>
      </c>
      <c r="E532" s="592">
        <f>ROUND('Balance N'!E504,2)</f>
        <v>0</v>
      </c>
      <c r="F532" s="592">
        <f>ROUND('Balance N'!F504,2)</f>
        <v>0</v>
      </c>
      <c r="G532" s="592">
        <f>ROUND('Balance N'!G504,2)</f>
        <v>0</v>
      </c>
      <c r="H532" s="592">
        <f>ROUND('Balance N'!H504,2)</f>
        <v>0</v>
      </c>
      <c r="I532" s="2" t="str">
        <f t="shared" si="11"/>
        <v>0</v>
      </c>
    </row>
    <row r="533" spans="1:9" x14ac:dyDescent="0.2">
      <c r="A533" s="495" t="str">
        <f>FIXED('Balance N'!A505,0,1)</f>
        <v>0</v>
      </c>
      <c r="B533" s="494">
        <f>+'Balance N'!B505</f>
        <v>0</v>
      </c>
      <c r="C533" s="592">
        <f>ROUND('Balance N'!C505,2)</f>
        <v>0</v>
      </c>
      <c r="D533" s="592">
        <f>ROUND('Balance N'!D505,2)</f>
        <v>0</v>
      </c>
      <c r="E533" s="592">
        <f>ROUND('Balance N'!E505,2)</f>
        <v>0</v>
      </c>
      <c r="F533" s="592">
        <f>ROUND('Balance N'!F505,2)</f>
        <v>0</v>
      </c>
      <c r="G533" s="592">
        <f>ROUND('Balance N'!G505,2)</f>
        <v>0</v>
      </c>
      <c r="H533" s="592">
        <f>ROUND('Balance N'!H505,2)</f>
        <v>0</v>
      </c>
      <c r="I533" s="2" t="str">
        <f t="shared" si="11"/>
        <v>0</v>
      </c>
    </row>
    <row r="534" spans="1:9" x14ac:dyDescent="0.2">
      <c r="A534" s="495" t="str">
        <f>FIXED('Balance N'!A506,0,1)</f>
        <v>0</v>
      </c>
      <c r="B534" s="494">
        <f>+'Balance N'!B506</f>
        <v>0</v>
      </c>
      <c r="C534" s="592">
        <f>ROUND('Balance N'!C506,2)</f>
        <v>0</v>
      </c>
      <c r="D534" s="592">
        <f>ROUND('Balance N'!D506,2)</f>
        <v>0</v>
      </c>
      <c r="E534" s="592">
        <f>ROUND('Balance N'!E506,2)</f>
        <v>0</v>
      </c>
      <c r="F534" s="592">
        <f>ROUND('Balance N'!F506,2)</f>
        <v>0</v>
      </c>
      <c r="G534" s="592">
        <f>ROUND('Balance N'!G506,2)</f>
        <v>0</v>
      </c>
      <c r="H534" s="592">
        <f>ROUND('Balance N'!H506,2)</f>
        <v>0</v>
      </c>
      <c r="I534" s="2" t="str">
        <f t="shared" si="11"/>
        <v>0</v>
      </c>
    </row>
    <row r="535" spans="1:9" x14ac:dyDescent="0.2">
      <c r="A535" s="495" t="str">
        <f>FIXED('Balance N'!A507,0,1)</f>
        <v>0</v>
      </c>
      <c r="B535" s="494">
        <f>+'Balance N'!B507</f>
        <v>0</v>
      </c>
      <c r="C535" s="592">
        <f>ROUND('Balance N'!C507,2)</f>
        <v>0</v>
      </c>
      <c r="D535" s="592">
        <f>ROUND('Balance N'!D507,2)</f>
        <v>0</v>
      </c>
      <c r="E535" s="592">
        <f>ROUND('Balance N'!E507,2)</f>
        <v>0</v>
      </c>
      <c r="F535" s="592">
        <f>ROUND('Balance N'!F507,2)</f>
        <v>0</v>
      </c>
      <c r="G535" s="592">
        <f>ROUND('Balance N'!G507,2)</f>
        <v>0</v>
      </c>
      <c r="H535" s="592">
        <f>ROUND('Balance N'!H507,2)</f>
        <v>0</v>
      </c>
      <c r="I535" s="2" t="str">
        <f t="shared" si="11"/>
        <v>0</v>
      </c>
    </row>
    <row r="536" spans="1:9" x14ac:dyDescent="0.2">
      <c r="A536" s="495" t="str">
        <f>FIXED('Balance N'!A508,0,1)</f>
        <v>0</v>
      </c>
      <c r="B536" s="494">
        <f>+'Balance N'!B508</f>
        <v>0</v>
      </c>
      <c r="C536" s="592">
        <f>ROUND('Balance N'!C508,2)</f>
        <v>0</v>
      </c>
      <c r="D536" s="592">
        <f>ROUND('Balance N'!D508,2)</f>
        <v>0</v>
      </c>
      <c r="E536" s="592">
        <f>ROUND('Balance N'!E508,2)</f>
        <v>0</v>
      </c>
      <c r="F536" s="592">
        <f>ROUND('Balance N'!F508,2)</f>
        <v>0</v>
      </c>
      <c r="G536" s="592">
        <f>ROUND('Balance N'!G508,2)</f>
        <v>0</v>
      </c>
      <c r="H536" s="592">
        <f>ROUND('Balance N'!H508,2)</f>
        <v>0</v>
      </c>
      <c r="I536" s="2" t="str">
        <f t="shared" si="11"/>
        <v>0</v>
      </c>
    </row>
    <row r="537" spans="1:9" x14ac:dyDescent="0.2">
      <c r="A537" s="495" t="str">
        <f>FIXED('Balance N'!A509,0,1)</f>
        <v>0</v>
      </c>
      <c r="B537" s="494">
        <f>+'Balance N'!B509</f>
        <v>0</v>
      </c>
      <c r="C537" s="592">
        <f>ROUND('Balance N'!C509,2)</f>
        <v>0</v>
      </c>
      <c r="D537" s="592">
        <f>ROUND('Balance N'!D509,2)</f>
        <v>0</v>
      </c>
      <c r="E537" s="592">
        <f>ROUND('Balance N'!E509,2)</f>
        <v>0</v>
      </c>
      <c r="F537" s="592">
        <f>ROUND('Balance N'!F509,2)</f>
        <v>0</v>
      </c>
      <c r="G537" s="592">
        <f>ROUND('Balance N'!G509,2)</f>
        <v>0</v>
      </c>
      <c r="H537" s="592">
        <f>ROUND('Balance N'!H509,2)</f>
        <v>0</v>
      </c>
      <c r="I537" s="2" t="str">
        <f t="shared" si="11"/>
        <v>0</v>
      </c>
    </row>
    <row r="538" spans="1:9" x14ac:dyDescent="0.2">
      <c r="A538" s="495" t="str">
        <f>FIXED('Balance N'!A510,0,1)</f>
        <v>0</v>
      </c>
      <c r="B538" s="494">
        <f>+'Balance N'!B510</f>
        <v>0</v>
      </c>
      <c r="C538" s="592">
        <f>ROUND('Balance N'!C510,2)</f>
        <v>0</v>
      </c>
      <c r="D538" s="592">
        <f>ROUND('Balance N'!D510,2)</f>
        <v>0</v>
      </c>
      <c r="E538" s="592">
        <f>ROUND('Balance N'!E510,2)</f>
        <v>0</v>
      </c>
      <c r="F538" s="592">
        <f>ROUND('Balance N'!F510,2)</f>
        <v>0</v>
      </c>
      <c r="G538" s="592">
        <f>ROUND('Balance N'!G510,2)</f>
        <v>0</v>
      </c>
      <c r="H538" s="592">
        <f>ROUND('Balance N'!H510,2)</f>
        <v>0</v>
      </c>
      <c r="I538" s="2" t="str">
        <f t="shared" si="11"/>
        <v>0</v>
      </c>
    </row>
    <row r="539" spans="1:9" x14ac:dyDescent="0.2">
      <c r="A539" s="495" t="str">
        <f>FIXED('Balance N'!A511,0,1)</f>
        <v>0</v>
      </c>
      <c r="B539" s="494">
        <f>+'Balance N'!B511</f>
        <v>0</v>
      </c>
      <c r="C539" s="592">
        <f>ROUND('Balance N'!C511,2)</f>
        <v>0</v>
      </c>
      <c r="D539" s="592">
        <f>ROUND('Balance N'!D511,2)</f>
        <v>0</v>
      </c>
      <c r="E539" s="592">
        <f>ROUND('Balance N'!E511,2)</f>
        <v>0</v>
      </c>
      <c r="F539" s="592">
        <f>ROUND('Balance N'!F511,2)</f>
        <v>0</v>
      </c>
      <c r="G539" s="592">
        <f>ROUND('Balance N'!G511,2)</f>
        <v>0</v>
      </c>
      <c r="H539" s="592">
        <f>ROUND('Balance N'!H511,2)</f>
        <v>0</v>
      </c>
      <c r="I539" s="2" t="str">
        <f t="shared" si="11"/>
        <v>0</v>
      </c>
    </row>
    <row r="540" spans="1:9" x14ac:dyDescent="0.2">
      <c r="A540" s="495" t="str">
        <f>FIXED('Balance N'!A512,0,1)</f>
        <v>0</v>
      </c>
      <c r="B540" s="494">
        <f>+'Balance N'!B512</f>
        <v>0</v>
      </c>
      <c r="C540" s="592">
        <f>ROUND('Balance N'!C512,2)</f>
        <v>0</v>
      </c>
      <c r="D540" s="592">
        <f>ROUND('Balance N'!D512,2)</f>
        <v>0</v>
      </c>
      <c r="E540" s="592">
        <f>ROUND('Balance N'!E512,2)</f>
        <v>0</v>
      </c>
      <c r="F540" s="592">
        <f>ROUND('Balance N'!F512,2)</f>
        <v>0</v>
      </c>
      <c r="G540" s="592">
        <f>ROUND('Balance N'!G512,2)</f>
        <v>0</v>
      </c>
      <c r="H540" s="592">
        <f>ROUND('Balance N'!H512,2)</f>
        <v>0</v>
      </c>
      <c r="I540" s="2" t="str">
        <f t="shared" si="11"/>
        <v>0</v>
      </c>
    </row>
    <row r="541" spans="1:9" x14ac:dyDescent="0.2">
      <c r="A541" s="495" t="str">
        <f>FIXED('Balance N'!A513,0,1)</f>
        <v>0</v>
      </c>
      <c r="B541" s="494">
        <f>+'Balance N'!B513</f>
        <v>0</v>
      </c>
      <c r="C541" s="592">
        <f>ROUND('Balance N'!C513,2)</f>
        <v>0</v>
      </c>
      <c r="D541" s="592">
        <f>ROUND('Balance N'!D513,2)</f>
        <v>0</v>
      </c>
      <c r="E541" s="592">
        <f>ROUND('Balance N'!E513,2)</f>
        <v>0</v>
      </c>
      <c r="F541" s="592">
        <f>ROUND('Balance N'!F513,2)</f>
        <v>0</v>
      </c>
      <c r="G541" s="592">
        <f>ROUND('Balance N'!G513,2)</f>
        <v>0</v>
      </c>
      <c r="H541" s="592">
        <f>ROUND('Balance N'!H513,2)</f>
        <v>0</v>
      </c>
      <c r="I541" s="2" t="str">
        <f t="shared" si="11"/>
        <v>0</v>
      </c>
    </row>
    <row r="542" spans="1:9" x14ac:dyDescent="0.2">
      <c r="A542" s="495" t="str">
        <f>FIXED('Balance N'!A514,0,1)</f>
        <v>0</v>
      </c>
      <c r="B542" s="494">
        <f>+'Balance N'!B514</f>
        <v>0</v>
      </c>
      <c r="C542" s="592">
        <f>ROUND('Balance N'!C514,2)</f>
        <v>0</v>
      </c>
      <c r="D542" s="592">
        <f>ROUND('Balance N'!D514,2)</f>
        <v>0</v>
      </c>
      <c r="E542" s="592">
        <f>ROUND('Balance N'!E514,2)</f>
        <v>0</v>
      </c>
      <c r="F542" s="592">
        <f>ROUND('Balance N'!F514,2)</f>
        <v>0</v>
      </c>
      <c r="G542" s="592">
        <f>ROUND('Balance N'!G514,2)</f>
        <v>0</v>
      </c>
      <c r="H542" s="592">
        <f>ROUND('Balance N'!H514,2)</f>
        <v>0</v>
      </c>
      <c r="I542" s="2" t="str">
        <f t="shared" si="11"/>
        <v>0</v>
      </c>
    </row>
    <row r="543" spans="1:9" x14ac:dyDescent="0.2">
      <c r="A543" s="495" t="str">
        <f>FIXED('Balance N'!A515,0,1)</f>
        <v>0</v>
      </c>
      <c r="B543" s="494">
        <f>+'Balance N'!B515</f>
        <v>0</v>
      </c>
      <c r="C543" s="592">
        <f>ROUND('Balance N'!C515,2)</f>
        <v>0</v>
      </c>
      <c r="D543" s="592">
        <f>ROUND('Balance N'!D515,2)</f>
        <v>0</v>
      </c>
      <c r="E543" s="592">
        <f>ROUND('Balance N'!E515,2)</f>
        <v>0</v>
      </c>
      <c r="F543" s="592">
        <f>ROUND('Balance N'!F515,2)</f>
        <v>0</v>
      </c>
      <c r="G543" s="592">
        <f>ROUND('Balance N'!G515,2)</f>
        <v>0</v>
      </c>
      <c r="H543" s="592">
        <f>ROUND('Balance N'!H515,2)</f>
        <v>0</v>
      </c>
      <c r="I543" s="2" t="str">
        <f t="shared" si="11"/>
        <v>0</v>
      </c>
    </row>
    <row r="544" spans="1:9" x14ac:dyDescent="0.2">
      <c r="A544" s="495" t="str">
        <f>FIXED('Balance N'!A516,0,1)</f>
        <v>0</v>
      </c>
      <c r="B544" s="494">
        <f>+'Balance N'!B516</f>
        <v>0</v>
      </c>
      <c r="C544" s="592">
        <f>ROUND('Balance N'!C516,2)</f>
        <v>0</v>
      </c>
      <c r="D544" s="592">
        <f>ROUND('Balance N'!D516,2)</f>
        <v>0</v>
      </c>
      <c r="E544" s="592">
        <f>ROUND('Balance N'!E516,2)</f>
        <v>0</v>
      </c>
      <c r="F544" s="592">
        <f>ROUND('Balance N'!F516,2)</f>
        <v>0</v>
      </c>
      <c r="G544" s="592">
        <f>ROUND('Balance N'!G516,2)</f>
        <v>0</v>
      </c>
      <c r="H544" s="592">
        <f>ROUND('Balance N'!H516,2)</f>
        <v>0</v>
      </c>
      <c r="I544" s="2" t="str">
        <f t="shared" si="11"/>
        <v>0</v>
      </c>
    </row>
    <row r="545" spans="1:9" x14ac:dyDescent="0.2">
      <c r="A545" s="495" t="str">
        <f>FIXED('Balance N'!A517,0,1)</f>
        <v>0</v>
      </c>
      <c r="B545" s="494">
        <f>+'Balance N'!B517</f>
        <v>0</v>
      </c>
      <c r="C545" s="592">
        <f>ROUND('Balance N'!C517,2)</f>
        <v>0</v>
      </c>
      <c r="D545" s="592">
        <f>ROUND('Balance N'!D517,2)</f>
        <v>0</v>
      </c>
      <c r="E545" s="592">
        <f>ROUND('Balance N'!E517,2)</f>
        <v>0</v>
      </c>
      <c r="F545" s="592">
        <f>ROUND('Balance N'!F517,2)</f>
        <v>0</v>
      </c>
      <c r="G545" s="592">
        <f>ROUND('Balance N'!G517,2)</f>
        <v>0</v>
      </c>
      <c r="H545" s="592">
        <f>ROUND('Balance N'!H517,2)</f>
        <v>0</v>
      </c>
      <c r="I545" s="2" t="str">
        <f t="shared" si="11"/>
        <v>0</v>
      </c>
    </row>
    <row r="546" spans="1:9" x14ac:dyDescent="0.2">
      <c r="A546" s="495" t="str">
        <f>FIXED('Balance N'!A518,0,1)</f>
        <v>0</v>
      </c>
      <c r="B546" s="494">
        <f>+'Balance N'!B518</f>
        <v>0</v>
      </c>
      <c r="C546" s="592">
        <f>ROUND('Balance N'!C518,2)</f>
        <v>0</v>
      </c>
      <c r="D546" s="592">
        <f>ROUND('Balance N'!D518,2)</f>
        <v>0</v>
      </c>
      <c r="E546" s="592">
        <f>ROUND('Balance N'!E518,2)</f>
        <v>0</v>
      </c>
      <c r="F546" s="592">
        <f>ROUND('Balance N'!F518,2)</f>
        <v>0</v>
      </c>
      <c r="G546" s="592">
        <f>ROUND('Balance N'!G518,2)</f>
        <v>0</v>
      </c>
      <c r="H546" s="592">
        <f>ROUND('Balance N'!H518,2)</f>
        <v>0</v>
      </c>
      <c r="I546" s="2" t="str">
        <f t="shared" si="11"/>
        <v>0</v>
      </c>
    </row>
    <row r="547" spans="1:9" x14ac:dyDescent="0.2">
      <c r="A547" s="495" t="str">
        <f>FIXED('Balance N'!A519,0,1)</f>
        <v>0</v>
      </c>
      <c r="B547" s="494">
        <f>+'Balance N'!B519</f>
        <v>0</v>
      </c>
      <c r="C547" s="592">
        <f>ROUND('Balance N'!C519,2)</f>
        <v>0</v>
      </c>
      <c r="D547" s="592">
        <f>ROUND('Balance N'!D519,2)</f>
        <v>0</v>
      </c>
      <c r="E547" s="592">
        <f>ROUND('Balance N'!E519,2)</f>
        <v>0</v>
      </c>
      <c r="F547" s="592">
        <f>ROUND('Balance N'!F519,2)</f>
        <v>0</v>
      </c>
      <c r="G547" s="592">
        <f>ROUND('Balance N'!G519,2)</f>
        <v>0</v>
      </c>
      <c r="H547" s="592">
        <f>ROUND('Balance N'!H519,2)</f>
        <v>0</v>
      </c>
      <c r="I547" s="2" t="str">
        <f t="shared" si="11"/>
        <v>0</v>
      </c>
    </row>
    <row r="548" spans="1:9" x14ac:dyDescent="0.2">
      <c r="A548" s="495" t="str">
        <f>FIXED('Balance N'!A520,0,1)</f>
        <v>0</v>
      </c>
      <c r="B548" s="494">
        <f>+'Balance N'!B520</f>
        <v>0</v>
      </c>
      <c r="C548" s="592">
        <f>ROUND('Balance N'!C520,2)</f>
        <v>0</v>
      </c>
      <c r="D548" s="592">
        <f>ROUND('Balance N'!D520,2)</f>
        <v>0</v>
      </c>
      <c r="E548" s="592">
        <f>ROUND('Balance N'!E520,2)</f>
        <v>0</v>
      </c>
      <c r="F548" s="592">
        <f>ROUND('Balance N'!F520,2)</f>
        <v>0</v>
      </c>
      <c r="G548" s="592">
        <f>ROUND('Balance N'!G520,2)</f>
        <v>0</v>
      </c>
      <c r="H548" s="592">
        <f>ROUND('Balance N'!H520,2)</f>
        <v>0</v>
      </c>
      <c r="I548" s="2" t="str">
        <f t="shared" si="11"/>
        <v>0</v>
      </c>
    </row>
    <row r="549" spans="1:9" x14ac:dyDescent="0.2">
      <c r="A549" s="495" t="str">
        <f>FIXED('Balance N'!A521,0,1)</f>
        <v>0</v>
      </c>
      <c r="B549" s="494">
        <f>+'Balance N'!B521</f>
        <v>0</v>
      </c>
      <c r="C549" s="592">
        <f>ROUND('Balance N'!C521,2)</f>
        <v>0</v>
      </c>
      <c r="D549" s="592">
        <f>ROUND('Balance N'!D521,2)</f>
        <v>0</v>
      </c>
      <c r="E549" s="592">
        <f>ROUND('Balance N'!E521,2)</f>
        <v>0</v>
      </c>
      <c r="F549" s="592">
        <f>ROUND('Balance N'!F521,2)</f>
        <v>0</v>
      </c>
      <c r="G549" s="592">
        <f>ROUND('Balance N'!G521,2)</f>
        <v>0</v>
      </c>
      <c r="H549" s="592">
        <f>ROUND('Balance N'!H521,2)</f>
        <v>0</v>
      </c>
      <c r="I549" s="2" t="str">
        <f t="shared" si="11"/>
        <v>0</v>
      </c>
    </row>
    <row r="550" spans="1:9" x14ac:dyDescent="0.2">
      <c r="A550" s="495" t="str">
        <f>FIXED('Balance N'!A522,0,1)</f>
        <v>0</v>
      </c>
      <c r="B550" s="494">
        <f>+'Balance N'!B522</f>
        <v>0</v>
      </c>
      <c r="C550" s="592">
        <f>ROUND('Balance N'!C522,2)</f>
        <v>0</v>
      </c>
      <c r="D550" s="592">
        <f>ROUND('Balance N'!D522,2)</f>
        <v>0</v>
      </c>
      <c r="E550" s="592">
        <f>ROUND('Balance N'!E522,2)</f>
        <v>0</v>
      </c>
      <c r="F550" s="592">
        <f>ROUND('Balance N'!F522,2)</f>
        <v>0</v>
      </c>
      <c r="G550" s="592">
        <f>ROUND('Balance N'!G522,2)</f>
        <v>0</v>
      </c>
      <c r="H550" s="592">
        <f>ROUND('Balance N'!H522,2)</f>
        <v>0</v>
      </c>
      <c r="I550" s="2" t="str">
        <f t="shared" si="11"/>
        <v>0</v>
      </c>
    </row>
    <row r="551" spans="1:9" x14ac:dyDescent="0.2">
      <c r="A551" s="495" t="str">
        <f>FIXED('Balance N'!A523,0,1)</f>
        <v>0</v>
      </c>
      <c r="B551" s="494">
        <f>+'Balance N'!B523</f>
        <v>0</v>
      </c>
      <c r="C551" s="592">
        <f>ROUND('Balance N'!C523,2)</f>
        <v>0</v>
      </c>
      <c r="D551" s="592">
        <f>ROUND('Balance N'!D523,2)</f>
        <v>0</v>
      </c>
      <c r="E551" s="592">
        <f>ROUND('Balance N'!E523,2)</f>
        <v>0</v>
      </c>
      <c r="F551" s="592">
        <f>ROUND('Balance N'!F523,2)</f>
        <v>0</v>
      </c>
      <c r="G551" s="592">
        <f>ROUND('Balance N'!G523,2)</f>
        <v>0</v>
      </c>
      <c r="H551" s="592">
        <f>ROUND('Balance N'!H523,2)</f>
        <v>0</v>
      </c>
      <c r="I551" s="2" t="str">
        <f t="shared" si="11"/>
        <v>0</v>
      </c>
    </row>
    <row r="552" spans="1:9" x14ac:dyDescent="0.2">
      <c r="A552" s="495" t="str">
        <f>FIXED('Balance N'!A524,0,1)</f>
        <v>0</v>
      </c>
      <c r="B552" s="494">
        <f>+'Balance N'!B524</f>
        <v>0</v>
      </c>
      <c r="C552" s="592">
        <f>ROUND('Balance N'!C524,2)</f>
        <v>0</v>
      </c>
      <c r="D552" s="592">
        <f>ROUND('Balance N'!D524,2)</f>
        <v>0</v>
      </c>
      <c r="E552" s="592">
        <f>ROUND('Balance N'!E524,2)</f>
        <v>0</v>
      </c>
      <c r="F552" s="592">
        <f>ROUND('Balance N'!F524,2)</f>
        <v>0</v>
      </c>
      <c r="G552" s="592">
        <f>ROUND('Balance N'!G524,2)</f>
        <v>0</v>
      </c>
      <c r="H552" s="592">
        <f>ROUND('Balance N'!H524,2)</f>
        <v>0</v>
      </c>
      <c r="I552" s="2" t="str">
        <f t="shared" si="11"/>
        <v>0</v>
      </c>
    </row>
    <row r="553" spans="1:9" x14ac:dyDescent="0.2">
      <c r="A553" s="495" t="str">
        <f>FIXED('Balance N'!A525,0,1)</f>
        <v>0</v>
      </c>
      <c r="B553" s="494">
        <f>+'Balance N'!B525</f>
        <v>0</v>
      </c>
      <c r="C553" s="592">
        <f>ROUND('Balance N'!C525,2)</f>
        <v>0</v>
      </c>
      <c r="D553" s="592">
        <f>ROUND('Balance N'!D525,2)</f>
        <v>0</v>
      </c>
      <c r="E553" s="592">
        <f>ROUND('Balance N'!E525,2)</f>
        <v>0</v>
      </c>
      <c r="F553" s="592">
        <f>ROUND('Balance N'!F525,2)</f>
        <v>0</v>
      </c>
      <c r="G553" s="592">
        <f>ROUND('Balance N'!G525,2)</f>
        <v>0</v>
      </c>
      <c r="H553" s="592">
        <f>ROUND('Balance N'!H525,2)</f>
        <v>0</v>
      </c>
      <c r="I553" s="2" t="str">
        <f t="shared" si="11"/>
        <v>0</v>
      </c>
    </row>
    <row r="554" spans="1:9" x14ac:dyDescent="0.2">
      <c r="A554" s="495" t="str">
        <f>FIXED('Balance N'!A526,0,1)</f>
        <v>0</v>
      </c>
      <c r="B554" s="494">
        <f>+'Balance N'!B526</f>
        <v>0</v>
      </c>
      <c r="C554" s="592">
        <f>ROUND('Balance N'!C526,2)</f>
        <v>0</v>
      </c>
      <c r="D554" s="592">
        <f>ROUND('Balance N'!D526,2)</f>
        <v>0</v>
      </c>
      <c r="E554" s="592">
        <f>ROUND('Balance N'!E526,2)</f>
        <v>0</v>
      </c>
      <c r="F554" s="592">
        <f>ROUND('Balance N'!F526,2)</f>
        <v>0</v>
      </c>
      <c r="G554" s="592">
        <f>ROUND('Balance N'!G526,2)</f>
        <v>0</v>
      </c>
      <c r="H554" s="592">
        <f>ROUND('Balance N'!H526,2)</f>
        <v>0</v>
      </c>
      <c r="I554" s="2" t="str">
        <f t="shared" si="11"/>
        <v>0</v>
      </c>
    </row>
    <row r="555" spans="1:9" x14ac:dyDescent="0.2">
      <c r="A555" s="495" t="str">
        <f>FIXED('Balance N'!A527,0,1)</f>
        <v>0</v>
      </c>
      <c r="B555" s="494">
        <f>+'Balance N'!B527</f>
        <v>0</v>
      </c>
      <c r="C555" s="592">
        <f>ROUND('Balance N'!C527,2)</f>
        <v>0</v>
      </c>
      <c r="D555" s="592">
        <f>ROUND('Balance N'!D527,2)</f>
        <v>0</v>
      </c>
      <c r="E555" s="592">
        <f>ROUND('Balance N'!E527,2)</f>
        <v>0</v>
      </c>
      <c r="F555" s="592">
        <f>ROUND('Balance N'!F527,2)</f>
        <v>0</v>
      </c>
      <c r="G555" s="592">
        <f>ROUND('Balance N'!G527,2)</f>
        <v>0</v>
      </c>
      <c r="H555" s="592">
        <f>ROUND('Balance N'!H527,2)</f>
        <v>0</v>
      </c>
      <c r="I555" s="2" t="str">
        <f t="shared" si="11"/>
        <v>0</v>
      </c>
    </row>
    <row r="556" spans="1:9" x14ac:dyDescent="0.2">
      <c r="A556" s="495" t="str">
        <f>FIXED('Balance N'!A528,0,1)</f>
        <v>0</v>
      </c>
      <c r="B556" s="494">
        <f>+'Balance N'!B528</f>
        <v>0</v>
      </c>
      <c r="C556" s="592">
        <f>ROUND('Balance N'!C528,2)</f>
        <v>0</v>
      </c>
      <c r="D556" s="592">
        <f>ROUND('Balance N'!D528,2)</f>
        <v>0</v>
      </c>
      <c r="E556" s="592">
        <f>ROUND('Balance N'!E528,2)</f>
        <v>0</v>
      </c>
      <c r="F556" s="592">
        <f>ROUND('Balance N'!F528,2)</f>
        <v>0</v>
      </c>
      <c r="G556" s="592">
        <f>ROUND('Balance N'!G528,2)</f>
        <v>0</v>
      </c>
      <c r="H556" s="592">
        <f>ROUND('Balance N'!H528,2)</f>
        <v>0</v>
      </c>
      <c r="I556" s="2" t="str">
        <f t="shared" si="11"/>
        <v>0</v>
      </c>
    </row>
    <row r="557" spans="1:9" x14ac:dyDescent="0.2">
      <c r="A557" s="495" t="str">
        <f>FIXED('Balance N'!A529,0,1)</f>
        <v>0</v>
      </c>
      <c r="B557" s="494">
        <f>+'Balance N'!B529</f>
        <v>0</v>
      </c>
      <c r="C557" s="592">
        <f>ROUND('Balance N'!C529,2)</f>
        <v>0</v>
      </c>
      <c r="D557" s="592">
        <f>ROUND('Balance N'!D529,2)</f>
        <v>0</v>
      </c>
      <c r="E557" s="592">
        <f>ROUND('Balance N'!E529,2)</f>
        <v>0</v>
      </c>
      <c r="F557" s="592">
        <f>ROUND('Balance N'!F529,2)</f>
        <v>0</v>
      </c>
      <c r="G557" s="592">
        <f>ROUND('Balance N'!G529,2)</f>
        <v>0</v>
      </c>
      <c r="H557" s="592">
        <f>ROUND('Balance N'!H529,2)</f>
        <v>0</v>
      </c>
      <c r="I557" s="2" t="str">
        <f t="shared" si="11"/>
        <v>0</v>
      </c>
    </row>
    <row r="558" spans="1:9" x14ac:dyDescent="0.2">
      <c r="A558" s="495" t="str">
        <f>FIXED('Balance N'!A530,0,1)</f>
        <v>0</v>
      </c>
      <c r="B558" s="494">
        <f>+'Balance N'!B530</f>
        <v>0</v>
      </c>
      <c r="C558" s="592">
        <f>ROUND('Balance N'!C530,2)</f>
        <v>0</v>
      </c>
      <c r="D558" s="592">
        <f>ROUND('Balance N'!D530,2)</f>
        <v>0</v>
      </c>
      <c r="E558" s="592">
        <f>ROUND('Balance N'!E530,2)</f>
        <v>0</v>
      </c>
      <c r="F558" s="592">
        <f>ROUND('Balance N'!F530,2)</f>
        <v>0</v>
      </c>
      <c r="G558" s="592">
        <f>ROUND('Balance N'!G530,2)</f>
        <v>0</v>
      </c>
      <c r="H558" s="592">
        <f>ROUND('Balance N'!H530,2)</f>
        <v>0</v>
      </c>
      <c r="I558" s="2" t="str">
        <f t="shared" si="11"/>
        <v>0</v>
      </c>
    </row>
    <row r="559" spans="1:9" x14ac:dyDescent="0.2">
      <c r="A559" s="495" t="str">
        <f>FIXED('Balance N'!A531,0,1)</f>
        <v>0</v>
      </c>
      <c r="B559" s="494">
        <f>+'Balance N'!B531</f>
        <v>0</v>
      </c>
      <c r="C559" s="592">
        <f>ROUND('Balance N'!C531,2)</f>
        <v>0</v>
      </c>
      <c r="D559" s="592">
        <f>ROUND('Balance N'!D531,2)</f>
        <v>0</v>
      </c>
      <c r="E559" s="592">
        <f>ROUND('Balance N'!E531,2)</f>
        <v>0</v>
      </c>
      <c r="F559" s="592">
        <f>ROUND('Balance N'!F531,2)</f>
        <v>0</v>
      </c>
      <c r="G559" s="592">
        <f>ROUND('Balance N'!G531,2)</f>
        <v>0</v>
      </c>
      <c r="H559" s="592">
        <f>ROUND('Balance N'!H531,2)</f>
        <v>0</v>
      </c>
      <c r="I559" s="2" t="str">
        <f t="shared" si="11"/>
        <v>0</v>
      </c>
    </row>
    <row r="560" spans="1:9" x14ac:dyDescent="0.2">
      <c r="A560" s="495" t="str">
        <f>FIXED('Balance N'!A532,0,1)</f>
        <v>0</v>
      </c>
      <c r="B560" s="494">
        <f>+'Balance N'!B532</f>
        <v>0</v>
      </c>
      <c r="C560" s="592">
        <f>ROUND('Balance N'!C532,2)</f>
        <v>0</v>
      </c>
      <c r="D560" s="592">
        <f>ROUND('Balance N'!D532,2)</f>
        <v>0</v>
      </c>
      <c r="E560" s="592">
        <f>ROUND('Balance N'!E532,2)</f>
        <v>0</v>
      </c>
      <c r="F560" s="592">
        <f>ROUND('Balance N'!F532,2)</f>
        <v>0</v>
      </c>
      <c r="G560" s="592">
        <f>ROUND('Balance N'!G532,2)</f>
        <v>0</v>
      </c>
      <c r="H560" s="592">
        <f>ROUND('Balance N'!H532,2)</f>
        <v>0</v>
      </c>
      <c r="I560" s="2" t="str">
        <f t="shared" si="11"/>
        <v>0</v>
      </c>
    </row>
    <row r="561" spans="1:9" x14ac:dyDescent="0.2">
      <c r="A561" s="495" t="str">
        <f>FIXED('Balance N'!A533,0,1)</f>
        <v>0</v>
      </c>
      <c r="B561" s="494">
        <f>+'Balance N'!B533</f>
        <v>0</v>
      </c>
      <c r="C561" s="592">
        <f>ROUND('Balance N'!C533,2)</f>
        <v>0</v>
      </c>
      <c r="D561" s="592">
        <f>ROUND('Balance N'!D533,2)</f>
        <v>0</v>
      </c>
      <c r="E561" s="592">
        <f>ROUND('Balance N'!E533,2)</f>
        <v>0</v>
      </c>
      <c r="F561" s="592">
        <f>ROUND('Balance N'!F533,2)</f>
        <v>0</v>
      </c>
      <c r="G561" s="592">
        <f>ROUND('Balance N'!G533,2)</f>
        <v>0</v>
      </c>
      <c r="H561" s="592">
        <f>ROUND('Balance N'!H533,2)</f>
        <v>0</v>
      </c>
      <c r="I561" s="2" t="str">
        <f t="shared" si="11"/>
        <v>0</v>
      </c>
    </row>
    <row r="562" spans="1:9" x14ac:dyDescent="0.2">
      <c r="A562" s="495" t="str">
        <f>FIXED('Balance N'!A534,0,1)</f>
        <v>0</v>
      </c>
      <c r="B562" s="494">
        <f>+'Balance N'!B534</f>
        <v>0</v>
      </c>
      <c r="C562" s="592">
        <f>ROUND('Balance N'!C534,2)</f>
        <v>0</v>
      </c>
      <c r="D562" s="592">
        <f>ROUND('Balance N'!D534,2)</f>
        <v>0</v>
      </c>
      <c r="E562" s="592">
        <f>ROUND('Balance N'!E534,2)</f>
        <v>0</v>
      </c>
      <c r="F562" s="592">
        <f>ROUND('Balance N'!F534,2)</f>
        <v>0</v>
      </c>
      <c r="G562" s="592">
        <f>ROUND('Balance N'!G534,2)</f>
        <v>0</v>
      </c>
      <c r="H562" s="592">
        <f>ROUND('Balance N'!H534,2)</f>
        <v>0</v>
      </c>
      <c r="I562" s="2" t="str">
        <f t="shared" si="11"/>
        <v>0</v>
      </c>
    </row>
    <row r="563" spans="1:9" x14ac:dyDescent="0.2">
      <c r="A563" s="495" t="str">
        <f>FIXED('Balance N'!A535,0,1)</f>
        <v>0</v>
      </c>
      <c r="B563" s="494">
        <f>+'Balance N'!B535</f>
        <v>0</v>
      </c>
      <c r="C563" s="592">
        <f>ROUND('Balance N'!C535,2)</f>
        <v>0</v>
      </c>
      <c r="D563" s="592">
        <f>ROUND('Balance N'!D535,2)</f>
        <v>0</v>
      </c>
      <c r="E563" s="592">
        <f>ROUND('Balance N'!E535,2)</f>
        <v>0</v>
      </c>
      <c r="F563" s="592">
        <f>ROUND('Balance N'!F535,2)</f>
        <v>0</v>
      </c>
      <c r="G563" s="592">
        <f>ROUND('Balance N'!G535,2)</f>
        <v>0</v>
      </c>
      <c r="H563" s="592">
        <f>ROUND('Balance N'!H535,2)</f>
        <v>0</v>
      </c>
      <c r="I563" s="2" t="str">
        <f t="shared" si="11"/>
        <v>0</v>
      </c>
    </row>
    <row r="564" spans="1:9" x14ac:dyDescent="0.2">
      <c r="A564" s="495" t="str">
        <f>FIXED('Balance N'!A536,0,1)</f>
        <v>0</v>
      </c>
      <c r="B564" s="494">
        <f>+'Balance N'!B536</f>
        <v>0</v>
      </c>
      <c r="C564" s="592">
        <f>ROUND('Balance N'!C536,2)</f>
        <v>0</v>
      </c>
      <c r="D564" s="592">
        <f>ROUND('Balance N'!D536,2)</f>
        <v>0</v>
      </c>
      <c r="E564" s="592">
        <f>ROUND('Balance N'!E536,2)</f>
        <v>0</v>
      </c>
      <c r="F564" s="592">
        <f>ROUND('Balance N'!F536,2)</f>
        <v>0</v>
      </c>
      <c r="G564" s="592">
        <f>ROUND('Balance N'!G536,2)</f>
        <v>0</v>
      </c>
      <c r="H564" s="592">
        <f>ROUND('Balance N'!H536,2)</f>
        <v>0</v>
      </c>
      <c r="I564" s="2" t="str">
        <f t="shared" si="11"/>
        <v>0</v>
      </c>
    </row>
    <row r="565" spans="1:9" x14ac:dyDescent="0.2">
      <c r="A565" s="495" t="str">
        <f>FIXED('Balance N'!A537,0,1)</f>
        <v>0</v>
      </c>
      <c r="B565" s="494">
        <f>+'Balance N'!B537</f>
        <v>0</v>
      </c>
      <c r="C565" s="592">
        <f>ROUND('Balance N'!C537,2)</f>
        <v>0</v>
      </c>
      <c r="D565" s="592">
        <f>ROUND('Balance N'!D537,2)</f>
        <v>0</v>
      </c>
      <c r="E565" s="592">
        <f>ROUND('Balance N'!E537,2)</f>
        <v>0</v>
      </c>
      <c r="F565" s="592">
        <f>ROUND('Balance N'!F537,2)</f>
        <v>0</v>
      </c>
      <c r="G565" s="592">
        <f>ROUND('Balance N'!G537,2)</f>
        <v>0</v>
      </c>
      <c r="H565" s="592">
        <f>ROUND('Balance N'!H537,2)</f>
        <v>0</v>
      </c>
      <c r="I565" s="2" t="str">
        <f t="shared" si="11"/>
        <v>0</v>
      </c>
    </row>
    <row r="566" spans="1:9" x14ac:dyDescent="0.2">
      <c r="A566" s="495" t="str">
        <f>FIXED('Balance N'!A538,0,1)</f>
        <v>0</v>
      </c>
      <c r="B566" s="494">
        <f>+'Balance N'!B538</f>
        <v>0</v>
      </c>
      <c r="C566" s="592">
        <f>ROUND('Balance N'!C538,2)</f>
        <v>0</v>
      </c>
      <c r="D566" s="592">
        <f>ROUND('Balance N'!D538,2)</f>
        <v>0</v>
      </c>
      <c r="E566" s="592">
        <f>ROUND('Balance N'!E538,2)</f>
        <v>0</v>
      </c>
      <c r="F566" s="592">
        <f>ROUND('Balance N'!F538,2)</f>
        <v>0</v>
      </c>
      <c r="G566" s="592">
        <f>ROUND('Balance N'!G538,2)</f>
        <v>0</v>
      </c>
      <c r="H566" s="592">
        <f>ROUND('Balance N'!H538,2)</f>
        <v>0</v>
      </c>
      <c r="I566" s="2" t="str">
        <f t="shared" si="11"/>
        <v>0</v>
      </c>
    </row>
    <row r="567" spans="1:9" x14ac:dyDescent="0.2">
      <c r="A567" s="495" t="str">
        <f>FIXED('Balance N'!A539,0,1)</f>
        <v>0</v>
      </c>
      <c r="B567" s="494">
        <f>+'Balance N'!B539</f>
        <v>0</v>
      </c>
      <c r="C567" s="592">
        <f>ROUND('Balance N'!C539,2)</f>
        <v>0</v>
      </c>
      <c r="D567" s="592">
        <f>ROUND('Balance N'!D539,2)</f>
        <v>0</v>
      </c>
      <c r="E567" s="592">
        <f>ROUND('Balance N'!E539,2)</f>
        <v>0</v>
      </c>
      <c r="F567" s="592">
        <f>ROUND('Balance N'!F539,2)</f>
        <v>0</v>
      </c>
      <c r="G567" s="592">
        <f>ROUND('Balance N'!G539,2)</f>
        <v>0</v>
      </c>
      <c r="H567" s="592">
        <f>ROUND('Balance N'!H539,2)</f>
        <v>0</v>
      </c>
      <c r="I567" s="2" t="str">
        <f t="shared" si="11"/>
        <v>0</v>
      </c>
    </row>
    <row r="568" spans="1:9" x14ac:dyDescent="0.2">
      <c r="A568" s="495" t="str">
        <f>FIXED('Balance N'!A540,0,1)</f>
        <v>0</v>
      </c>
      <c r="B568" s="494">
        <f>+'Balance N'!B540</f>
        <v>0</v>
      </c>
      <c r="C568" s="592">
        <f>ROUND('Balance N'!C540,2)</f>
        <v>0</v>
      </c>
      <c r="D568" s="592">
        <f>ROUND('Balance N'!D540,2)</f>
        <v>0</v>
      </c>
      <c r="E568" s="592">
        <f>ROUND('Balance N'!E540,2)</f>
        <v>0</v>
      </c>
      <c r="F568" s="592">
        <f>ROUND('Balance N'!F540,2)</f>
        <v>0</v>
      </c>
      <c r="G568" s="592">
        <f>ROUND('Balance N'!G540,2)</f>
        <v>0</v>
      </c>
      <c r="H568" s="592">
        <f>ROUND('Balance N'!H540,2)</f>
        <v>0</v>
      </c>
      <c r="I568" s="2" t="str">
        <f t="shared" si="11"/>
        <v>0</v>
      </c>
    </row>
    <row r="569" spans="1:9" x14ac:dyDescent="0.2">
      <c r="A569" s="495" t="str">
        <f>FIXED('Balance N'!A541,0,1)</f>
        <v>0</v>
      </c>
      <c r="B569" s="494">
        <f>+'Balance N'!B541</f>
        <v>0</v>
      </c>
      <c r="C569" s="592">
        <f>ROUND('Balance N'!C541,2)</f>
        <v>0</v>
      </c>
      <c r="D569" s="592">
        <f>ROUND('Balance N'!D541,2)</f>
        <v>0</v>
      </c>
      <c r="E569" s="592">
        <f>ROUND('Balance N'!E541,2)</f>
        <v>0</v>
      </c>
      <c r="F569" s="592">
        <f>ROUND('Balance N'!F541,2)</f>
        <v>0</v>
      </c>
      <c r="G569" s="592">
        <f>ROUND('Balance N'!G541,2)</f>
        <v>0</v>
      </c>
      <c r="H569" s="592">
        <f>ROUND('Balance N'!H541,2)</f>
        <v>0</v>
      </c>
      <c r="I569" s="2" t="str">
        <f t="shared" si="11"/>
        <v>0</v>
      </c>
    </row>
    <row r="570" spans="1:9" x14ac:dyDescent="0.2">
      <c r="A570" s="495" t="str">
        <f>FIXED('Balance N'!A542,0,1)</f>
        <v>0</v>
      </c>
      <c r="B570" s="494">
        <f>+'Balance N'!B542</f>
        <v>0</v>
      </c>
      <c r="C570" s="592">
        <f>ROUND('Balance N'!C542,2)</f>
        <v>0</v>
      </c>
      <c r="D570" s="592">
        <f>ROUND('Balance N'!D542,2)</f>
        <v>0</v>
      </c>
      <c r="E570" s="592">
        <f>ROUND('Balance N'!E542,2)</f>
        <v>0</v>
      </c>
      <c r="F570" s="592">
        <f>ROUND('Balance N'!F542,2)</f>
        <v>0</v>
      </c>
      <c r="G570" s="592">
        <f>ROUND('Balance N'!G542,2)</f>
        <v>0</v>
      </c>
      <c r="H570" s="592">
        <f>ROUND('Balance N'!H542,2)</f>
        <v>0</v>
      </c>
      <c r="I570" s="2" t="str">
        <f t="shared" si="11"/>
        <v>0</v>
      </c>
    </row>
    <row r="571" spans="1:9" x14ac:dyDescent="0.2">
      <c r="A571" s="495" t="str">
        <f>FIXED('Balance N'!A543,0,1)</f>
        <v>0</v>
      </c>
      <c r="B571" s="494">
        <f>+'Balance N'!B543</f>
        <v>0</v>
      </c>
      <c r="C571" s="592">
        <f>ROUND('Balance N'!C543,2)</f>
        <v>0</v>
      </c>
      <c r="D571" s="592">
        <f>ROUND('Balance N'!D543,2)</f>
        <v>0</v>
      </c>
      <c r="E571" s="592">
        <f>ROUND('Balance N'!E543,2)</f>
        <v>0</v>
      </c>
      <c r="F571" s="592">
        <f>ROUND('Balance N'!F543,2)</f>
        <v>0</v>
      </c>
      <c r="G571" s="592">
        <f>ROUND('Balance N'!G543,2)</f>
        <v>0</v>
      </c>
      <c r="H571" s="592">
        <f>ROUND('Balance N'!H543,2)</f>
        <v>0</v>
      </c>
      <c r="I571" s="2" t="str">
        <f t="shared" si="11"/>
        <v>0</v>
      </c>
    </row>
    <row r="572" spans="1:9" x14ac:dyDescent="0.2">
      <c r="A572" s="495" t="str">
        <f>FIXED('Balance N'!A544,0,1)</f>
        <v>0</v>
      </c>
      <c r="B572" s="494">
        <f>+'Balance N'!B544</f>
        <v>0</v>
      </c>
      <c r="C572" s="592">
        <f>ROUND('Balance N'!C544,2)</f>
        <v>0</v>
      </c>
      <c r="D572" s="592">
        <f>ROUND('Balance N'!D544,2)</f>
        <v>0</v>
      </c>
      <c r="E572" s="592">
        <f>ROUND('Balance N'!E544,2)</f>
        <v>0</v>
      </c>
      <c r="F572" s="592">
        <f>ROUND('Balance N'!F544,2)</f>
        <v>0</v>
      </c>
      <c r="G572" s="592">
        <f>ROUND('Balance N'!G544,2)</f>
        <v>0</v>
      </c>
      <c r="H572" s="592">
        <f>ROUND('Balance N'!H544,2)</f>
        <v>0</v>
      </c>
      <c r="I572" s="2" t="str">
        <f t="shared" si="11"/>
        <v>0</v>
      </c>
    </row>
    <row r="573" spans="1:9" x14ac:dyDescent="0.2">
      <c r="A573" s="495" t="str">
        <f>FIXED('Balance N'!A545,0,1)</f>
        <v>0</v>
      </c>
      <c r="B573" s="494">
        <f>+'Balance N'!B545</f>
        <v>0</v>
      </c>
      <c r="C573" s="592">
        <f>ROUND('Balance N'!C545,2)</f>
        <v>0</v>
      </c>
      <c r="D573" s="592">
        <f>ROUND('Balance N'!D545,2)</f>
        <v>0</v>
      </c>
      <c r="E573" s="592">
        <f>ROUND('Balance N'!E545,2)</f>
        <v>0</v>
      </c>
      <c r="F573" s="592">
        <f>ROUND('Balance N'!F545,2)</f>
        <v>0</v>
      </c>
      <c r="G573" s="592">
        <f>ROUND('Balance N'!G545,2)</f>
        <v>0</v>
      </c>
      <c r="H573" s="592">
        <f>ROUND('Balance N'!H545,2)</f>
        <v>0</v>
      </c>
      <c r="I573" s="2" t="str">
        <f t="shared" si="11"/>
        <v>0</v>
      </c>
    </row>
    <row r="574" spans="1:9" x14ac:dyDescent="0.2">
      <c r="A574" s="495" t="str">
        <f>FIXED('Balance N'!A546,0,1)</f>
        <v>0</v>
      </c>
      <c r="B574" s="494">
        <f>+'Balance N'!B546</f>
        <v>0</v>
      </c>
      <c r="C574" s="592">
        <f>ROUND('Balance N'!C546,2)</f>
        <v>0</v>
      </c>
      <c r="D574" s="592">
        <f>ROUND('Balance N'!D546,2)</f>
        <v>0</v>
      </c>
      <c r="E574" s="592">
        <f>ROUND('Balance N'!E546,2)</f>
        <v>0</v>
      </c>
      <c r="F574" s="592">
        <f>ROUND('Balance N'!F546,2)</f>
        <v>0</v>
      </c>
      <c r="G574" s="592">
        <f>ROUND('Balance N'!G546,2)</f>
        <v>0</v>
      </c>
      <c r="H574" s="592">
        <f>ROUND('Balance N'!H546,2)</f>
        <v>0</v>
      </c>
      <c r="I574" s="2" t="str">
        <f t="shared" si="11"/>
        <v>0</v>
      </c>
    </row>
    <row r="575" spans="1:9" x14ac:dyDescent="0.2">
      <c r="A575" s="495" t="str">
        <f>FIXED('Balance N'!A547,0,1)</f>
        <v>0</v>
      </c>
      <c r="B575" s="494">
        <f>+'Balance N'!B547</f>
        <v>0</v>
      </c>
      <c r="C575" s="592">
        <f>ROUND('Balance N'!C547,2)</f>
        <v>0</v>
      </c>
      <c r="D575" s="592">
        <f>ROUND('Balance N'!D547,2)</f>
        <v>0</v>
      </c>
      <c r="E575" s="592">
        <f>ROUND('Balance N'!E547,2)</f>
        <v>0</v>
      </c>
      <c r="F575" s="592">
        <f>ROUND('Balance N'!F547,2)</f>
        <v>0</v>
      </c>
      <c r="G575" s="592">
        <f>ROUND('Balance N'!G547,2)</f>
        <v>0</v>
      </c>
      <c r="H575" s="592">
        <f>ROUND('Balance N'!H547,2)</f>
        <v>0</v>
      </c>
      <c r="I575" s="2" t="str">
        <f t="shared" si="11"/>
        <v>0</v>
      </c>
    </row>
    <row r="576" spans="1:9" x14ac:dyDescent="0.2">
      <c r="A576" s="495" t="str">
        <f>FIXED('Balance N'!A548,0,1)</f>
        <v>0</v>
      </c>
      <c r="B576" s="494">
        <f>+'Balance N'!B548</f>
        <v>0</v>
      </c>
      <c r="C576" s="592">
        <f>ROUND('Balance N'!C548,2)</f>
        <v>0</v>
      </c>
      <c r="D576" s="592">
        <f>ROUND('Balance N'!D548,2)</f>
        <v>0</v>
      </c>
      <c r="E576" s="592">
        <f>ROUND('Balance N'!E548,2)</f>
        <v>0</v>
      </c>
      <c r="F576" s="592">
        <f>ROUND('Balance N'!F548,2)</f>
        <v>0</v>
      </c>
      <c r="G576" s="592">
        <f>ROUND('Balance N'!G548,2)</f>
        <v>0</v>
      </c>
      <c r="H576" s="592">
        <f>ROUND('Balance N'!H548,2)</f>
        <v>0</v>
      </c>
      <c r="I576" s="2" t="str">
        <f t="shared" si="11"/>
        <v>0</v>
      </c>
    </row>
    <row r="577" spans="1:9" x14ac:dyDescent="0.2">
      <c r="A577" s="495" t="str">
        <f>FIXED('Balance N'!A549,0,1)</f>
        <v>0</v>
      </c>
      <c r="B577" s="494">
        <f>+'Balance N'!B549</f>
        <v>0</v>
      </c>
      <c r="C577" s="592">
        <f>ROUND('Balance N'!C549,2)</f>
        <v>0</v>
      </c>
      <c r="D577" s="592">
        <f>ROUND('Balance N'!D549,2)</f>
        <v>0</v>
      </c>
      <c r="E577" s="592">
        <f>ROUND('Balance N'!E549,2)</f>
        <v>0</v>
      </c>
      <c r="F577" s="592">
        <f>ROUND('Balance N'!F549,2)</f>
        <v>0</v>
      </c>
      <c r="G577" s="592">
        <f>ROUND('Balance N'!G549,2)</f>
        <v>0</v>
      </c>
      <c r="H577" s="592">
        <f>ROUND('Balance N'!H549,2)</f>
        <v>0</v>
      </c>
      <c r="I577" s="2" t="str">
        <f t="shared" si="11"/>
        <v>0</v>
      </c>
    </row>
    <row r="578" spans="1:9" x14ac:dyDescent="0.2">
      <c r="A578" s="495" t="str">
        <f>FIXED('Balance N'!A550,0,1)</f>
        <v>0</v>
      </c>
      <c r="B578" s="494">
        <f>+'Balance N'!B550</f>
        <v>0</v>
      </c>
      <c r="C578" s="592">
        <f>ROUND('Balance N'!C550,2)</f>
        <v>0</v>
      </c>
      <c r="D578" s="592">
        <f>ROUND('Balance N'!D550,2)</f>
        <v>0</v>
      </c>
      <c r="E578" s="592">
        <f>ROUND('Balance N'!E550,2)</f>
        <v>0</v>
      </c>
      <c r="F578" s="592">
        <f>ROUND('Balance N'!F550,2)</f>
        <v>0</v>
      </c>
      <c r="G578" s="592">
        <f>ROUND('Balance N'!G550,2)</f>
        <v>0</v>
      </c>
      <c r="H578" s="592">
        <f>ROUND('Balance N'!H550,2)</f>
        <v>0</v>
      </c>
      <c r="I578" s="2" t="str">
        <f t="shared" ref="I578:I599" si="12">MID(A578,1,1)</f>
        <v>0</v>
      </c>
    </row>
    <row r="579" spans="1:9" x14ac:dyDescent="0.2">
      <c r="A579" s="495" t="str">
        <f>FIXED('Balance N'!A551,0,1)</f>
        <v>0</v>
      </c>
      <c r="B579" s="494">
        <f>+'Balance N'!B551</f>
        <v>0</v>
      </c>
      <c r="C579" s="592">
        <f>ROUND('Balance N'!C551,2)</f>
        <v>0</v>
      </c>
      <c r="D579" s="592">
        <f>ROUND('Balance N'!D551,2)</f>
        <v>0</v>
      </c>
      <c r="E579" s="592">
        <f>ROUND('Balance N'!E551,2)</f>
        <v>0</v>
      </c>
      <c r="F579" s="592">
        <f>ROUND('Balance N'!F551,2)</f>
        <v>0</v>
      </c>
      <c r="G579" s="592">
        <f>ROUND('Balance N'!G551,2)</f>
        <v>0</v>
      </c>
      <c r="H579" s="592">
        <f>ROUND('Balance N'!H551,2)</f>
        <v>0</v>
      </c>
      <c r="I579" s="2" t="str">
        <f t="shared" si="12"/>
        <v>0</v>
      </c>
    </row>
    <row r="580" spans="1:9" x14ac:dyDescent="0.2">
      <c r="A580" s="495" t="str">
        <f>FIXED('Balance N'!A552,0,1)</f>
        <v>0</v>
      </c>
      <c r="B580" s="494">
        <f>+'Balance N'!B552</f>
        <v>0</v>
      </c>
      <c r="C580" s="592">
        <f>ROUND('Balance N'!C552,2)</f>
        <v>0</v>
      </c>
      <c r="D580" s="592">
        <f>ROUND('Balance N'!D552,2)</f>
        <v>0</v>
      </c>
      <c r="E580" s="592">
        <f>ROUND('Balance N'!E552,2)</f>
        <v>0</v>
      </c>
      <c r="F580" s="592">
        <f>ROUND('Balance N'!F552,2)</f>
        <v>0</v>
      </c>
      <c r="G580" s="592">
        <f>ROUND('Balance N'!G552,2)</f>
        <v>0</v>
      </c>
      <c r="H580" s="592">
        <f>ROUND('Balance N'!H552,2)</f>
        <v>0</v>
      </c>
      <c r="I580" s="2" t="str">
        <f t="shared" si="12"/>
        <v>0</v>
      </c>
    </row>
    <row r="581" spans="1:9" x14ac:dyDescent="0.2">
      <c r="A581" s="495" t="str">
        <f>FIXED('Balance N'!A553,0,1)</f>
        <v>0</v>
      </c>
      <c r="B581" s="494">
        <f>+'Balance N'!B553</f>
        <v>0</v>
      </c>
      <c r="C581" s="592">
        <f>ROUND('Balance N'!C553,2)</f>
        <v>0</v>
      </c>
      <c r="D581" s="592">
        <f>ROUND('Balance N'!D553,2)</f>
        <v>0</v>
      </c>
      <c r="E581" s="592">
        <f>ROUND('Balance N'!E553,2)</f>
        <v>0</v>
      </c>
      <c r="F581" s="592">
        <f>ROUND('Balance N'!F553,2)</f>
        <v>0</v>
      </c>
      <c r="G581" s="592">
        <f>ROUND('Balance N'!G553,2)</f>
        <v>0</v>
      </c>
      <c r="H581" s="592">
        <f>ROUND('Balance N'!H553,2)</f>
        <v>0</v>
      </c>
      <c r="I581" s="2" t="str">
        <f t="shared" si="12"/>
        <v>0</v>
      </c>
    </row>
    <row r="582" spans="1:9" x14ac:dyDescent="0.2">
      <c r="A582" s="495" t="str">
        <f>FIXED('Balance N'!A554,0,1)</f>
        <v>0</v>
      </c>
      <c r="B582" s="494">
        <f>+'Balance N'!B554</f>
        <v>0</v>
      </c>
      <c r="C582" s="592">
        <f>ROUND('Balance N'!C554,2)</f>
        <v>0</v>
      </c>
      <c r="D582" s="592">
        <f>ROUND('Balance N'!D554,2)</f>
        <v>0</v>
      </c>
      <c r="E582" s="592">
        <f>ROUND('Balance N'!E554,2)</f>
        <v>0</v>
      </c>
      <c r="F582" s="592">
        <f>ROUND('Balance N'!F554,2)</f>
        <v>0</v>
      </c>
      <c r="G582" s="592">
        <f>ROUND('Balance N'!G554,2)</f>
        <v>0</v>
      </c>
      <c r="H582" s="592">
        <f>ROUND('Balance N'!H554,2)</f>
        <v>0</v>
      </c>
      <c r="I582" s="2" t="str">
        <f t="shared" si="12"/>
        <v>0</v>
      </c>
    </row>
    <row r="583" spans="1:9" x14ac:dyDescent="0.2">
      <c r="A583" s="495" t="str">
        <f>FIXED('Balance N'!A555,0,1)</f>
        <v>0</v>
      </c>
      <c r="B583" s="494">
        <f>+'Balance N'!B555</f>
        <v>0</v>
      </c>
      <c r="C583" s="592">
        <f>ROUND('Balance N'!C555,2)</f>
        <v>0</v>
      </c>
      <c r="D583" s="592">
        <f>ROUND('Balance N'!D555,2)</f>
        <v>0</v>
      </c>
      <c r="E583" s="592">
        <f>ROUND('Balance N'!E555,2)</f>
        <v>0</v>
      </c>
      <c r="F583" s="592">
        <f>ROUND('Balance N'!F555,2)</f>
        <v>0</v>
      </c>
      <c r="G583" s="592">
        <f>ROUND('Balance N'!G555,2)</f>
        <v>0</v>
      </c>
      <c r="H583" s="592">
        <f>ROUND('Balance N'!H555,2)</f>
        <v>0</v>
      </c>
      <c r="I583" s="2" t="str">
        <f t="shared" si="12"/>
        <v>0</v>
      </c>
    </row>
    <row r="584" spans="1:9" x14ac:dyDescent="0.2">
      <c r="A584" s="495" t="str">
        <f>FIXED('Balance N'!A556,0,1)</f>
        <v>0</v>
      </c>
      <c r="B584" s="494">
        <f>+'Balance N'!B556</f>
        <v>0</v>
      </c>
      <c r="C584" s="592">
        <f>ROUND('Balance N'!C556,2)</f>
        <v>0</v>
      </c>
      <c r="D584" s="592">
        <f>ROUND('Balance N'!D556,2)</f>
        <v>0</v>
      </c>
      <c r="E584" s="592">
        <f>ROUND('Balance N'!E556,2)</f>
        <v>0</v>
      </c>
      <c r="F584" s="592">
        <f>ROUND('Balance N'!F556,2)</f>
        <v>0</v>
      </c>
      <c r="G584" s="592">
        <f>ROUND('Balance N'!G556,2)</f>
        <v>0</v>
      </c>
      <c r="H584" s="592">
        <f>ROUND('Balance N'!H556,2)</f>
        <v>0</v>
      </c>
      <c r="I584" s="2" t="str">
        <f t="shared" si="12"/>
        <v>0</v>
      </c>
    </row>
    <row r="585" spans="1:9" x14ac:dyDescent="0.2">
      <c r="A585" s="495" t="str">
        <f>FIXED('Balance N'!A557,0,1)</f>
        <v>0</v>
      </c>
      <c r="B585" s="494">
        <f>+'Balance N'!B557</f>
        <v>0</v>
      </c>
      <c r="C585" s="592">
        <f>ROUND('Balance N'!C557,2)</f>
        <v>0</v>
      </c>
      <c r="D585" s="592">
        <f>ROUND('Balance N'!D557,2)</f>
        <v>0</v>
      </c>
      <c r="E585" s="592">
        <f>ROUND('Balance N'!E557,2)</f>
        <v>0</v>
      </c>
      <c r="F585" s="592">
        <f>ROUND('Balance N'!F557,2)</f>
        <v>0</v>
      </c>
      <c r="G585" s="592">
        <f>ROUND('Balance N'!G557,2)</f>
        <v>0</v>
      </c>
      <c r="H585" s="592">
        <f>ROUND('Balance N'!H557,2)</f>
        <v>0</v>
      </c>
      <c r="I585" s="2" t="str">
        <f t="shared" si="12"/>
        <v>0</v>
      </c>
    </row>
    <row r="586" spans="1:9" x14ac:dyDescent="0.2">
      <c r="A586" s="495" t="str">
        <f>FIXED('Balance N'!A558,0,1)</f>
        <v>0</v>
      </c>
      <c r="B586" s="494">
        <f>+'Balance N'!B558</f>
        <v>0</v>
      </c>
      <c r="C586" s="592">
        <f>ROUND('Balance N'!C558,2)</f>
        <v>0</v>
      </c>
      <c r="D586" s="592">
        <f>ROUND('Balance N'!D558,2)</f>
        <v>0</v>
      </c>
      <c r="E586" s="592">
        <f>ROUND('Balance N'!E558,2)</f>
        <v>0</v>
      </c>
      <c r="F586" s="592">
        <f>ROUND('Balance N'!F558,2)</f>
        <v>0</v>
      </c>
      <c r="G586" s="592">
        <f>ROUND('Balance N'!G558,2)</f>
        <v>0</v>
      </c>
      <c r="H586" s="592">
        <f>ROUND('Balance N'!H558,2)</f>
        <v>0</v>
      </c>
      <c r="I586" s="2" t="str">
        <f t="shared" si="12"/>
        <v>0</v>
      </c>
    </row>
    <row r="587" spans="1:9" x14ac:dyDescent="0.2">
      <c r="A587" s="495" t="str">
        <f>FIXED('Balance N'!A559,0,1)</f>
        <v>0</v>
      </c>
      <c r="B587" s="494">
        <f>+'Balance N'!B559</f>
        <v>0</v>
      </c>
      <c r="C587" s="592">
        <f>ROUND('Balance N'!C559,2)</f>
        <v>0</v>
      </c>
      <c r="D587" s="592">
        <f>ROUND('Balance N'!D559,2)</f>
        <v>0</v>
      </c>
      <c r="E587" s="592">
        <f>ROUND('Balance N'!E559,2)</f>
        <v>0</v>
      </c>
      <c r="F587" s="592">
        <f>ROUND('Balance N'!F559,2)</f>
        <v>0</v>
      </c>
      <c r="G587" s="592">
        <f>ROUND('Balance N'!G559,2)</f>
        <v>0</v>
      </c>
      <c r="H587" s="592">
        <f>ROUND('Balance N'!H559,2)</f>
        <v>0</v>
      </c>
      <c r="I587" s="2" t="str">
        <f t="shared" si="12"/>
        <v>0</v>
      </c>
    </row>
    <row r="588" spans="1:9" x14ac:dyDescent="0.2">
      <c r="A588" s="495" t="str">
        <f>FIXED('Balance N'!A560,0,1)</f>
        <v>0</v>
      </c>
      <c r="B588" s="494">
        <f>+'Balance N'!B560</f>
        <v>0</v>
      </c>
      <c r="C588" s="592">
        <f>ROUND('Balance N'!C560,2)</f>
        <v>0</v>
      </c>
      <c r="D588" s="592">
        <f>ROUND('Balance N'!D560,2)</f>
        <v>0</v>
      </c>
      <c r="E588" s="592">
        <f>ROUND('Balance N'!E560,2)</f>
        <v>0</v>
      </c>
      <c r="F588" s="592">
        <f>ROUND('Balance N'!F560,2)</f>
        <v>0</v>
      </c>
      <c r="G588" s="592">
        <f>ROUND('Balance N'!G560,2)</f>
        <v>0</v>
      </c>
      <c r="H588" s="592">
        <f>ROUND('Balance N'!H560,2)</f>
        <v>0</v>
      </c>
      <c r="I588" s="2" t="str">
        <f t="shared" si="12"/>
        <v>0</v>
      </c>
    </row>
    <row r="589" spans="1:9" x14ac:dyDescent="0.2">
      <c r="A589" s="495" t="str">
        <f>FIXED('Balance N'!A561,0,1)</f>
        <v>0</v>
      </c>
      <c r="B589" s="494">
        <f>+'Balance N'!B561</f>
        <v>0</v>
      </c>
      <c r="C589" s="592">
        <f>ROUND('Balance N'!C561,2)</f>
        <v>0</v>
      </c>
      <c r="D589" s="592">
        <f>ROUND('Balance N'!D561,2)</f>
        <v>0</v>
      </c>
      <c r="E589" s="592">
        <f>ROUND('Balance N'!E561,2)</f>
        <v>0</v>
      </c>
      <c r="F589" s="592">
        <f>ROUND('Balance N'!F561,2)</f>
        <v>0</v>
      </c>
      <c r="G589" s="592">
        <f>ROUND('Balance N'!G561,2)</f>
        <v>0</v>
      </c>
      <c r="H589" s="592">
        <f>ROUND('Balance N'!H561,2)</f>
        <v>0</v>
      </c>
      <c r="I589" s="2" t="str">
        <f t="shared" si="12"/>
        <v>0</v>
      </c>
    </row>
    <row r="590" spans="1:9" x14ac:dyDescent="0.2">
      <c r="A590" s="495" t="str">
        <f>FIXED('Balance N'!A562,0,1)</f>
        <v>0</v>
      </c>
      <c r="B590" s="494">
        <f>+'Balance N'!B562</f>
        <v>0</v>
      </c>
      <c r="C590" s="592">
        <f>ROUND('Balance N'!C562,2)</f>
        <v>0</v>
      </c>
      <c r="D590" s="592">
        <f>ROUND('Balance N'!D562,2)</f>
        <v>0</v>
      </c>
      <c r="E590" s="592">
        <f>ROUND('Balance N'!E562,2)</f>
        <v>0</v>
      </c>
      <c r="F590" s="592">
        <f>ROUND('Balance N'!F562,2)</f>
        <v>0</v>
      </c>
      <c r="G590" s="592">
        <f>ROUND('Balance N'!G562,2)</f>
        <v>0</v>
      </c>
      <c r="H590" s="592">
        <f>ROUND('Balance N'!H562,2)</f>
        <v>0</v>
      </c>
      <c r="I590" s="2" t="str">
        <f t="shared" si="12"/>
        <v>0</v>
      </c>
    </row>
    <row r="591" spans="1:9" x14ac:dyDescent="0.2">
      <c r="A591" s="495" t="str">
        <f>FIXED('Balance N'!A563,0,1)</f>
        <v>0</v>
      </c>
      <c r="B591" s="494">
        <f>+'Balance N'!B563</f>
        <v>0</v>
      </c>
      <c r="C591" s="592">
        <f>ROUND('Balance N'!C563,2)</f>
        <v>0</v>
      </c>
      <c r="D591" s="592">
        <f>ROUND('Balance N'!D563,2)</f>
        <v>0</v>
      </c>
      <c r="E591" s="592">
        <f>ROUND('Balance N'!E563,2)</f>
        <v>0</v>
      </c>
      <c r="F591" s="592">
        <f>ROUND('Balance N'!F563,2)</f>
        <v>0</v>
      </c>
      <c r="G591" s="592">
        <f>ROUND('Balance N'!G563,2)</f>
        <v>0</v>
      </c>
      <c r="H591" s="592">
        <f>ROUND('Balance N'!H563,2)</f>
        <v>0</v>
      </c>
      <c r="I591" s="2" t="str">
        <f t="shared" si="12"/>
        <v>0</v>
      </c>
    </row>
    <row r="592" spans="1:9" x14ac:dyDescent="0.2">
      <c r="A592" s="495" t="str">
        <f>FIXED('Balance N'!A564,0,1)</f>
        <v>0</v>
      </c>
      <c r="B592" s="494">
        <f>+'Balance N'!B564</f>
        <v>0</v>
      </c>
      <c r="C592" s="592">
        <f>ROUND('Balance N'!C564,2)</f>
        <v>0</v>
      </c>
      <c r="D592" s="592">
        <f>ROUND('Balance N'!D564,2)</f>
        <v>0</v>
      </c>
      <c r="E592" s="592">
        <f>ROUND('Balance N'!E564,2)</f>
        <v>0</v>
      </c>
      <c r="F592" s="592">
        <f>ROUND('Balance N'!F564,2)</f>
        <v>0</v>
      </c>
      <c r="G592" s="592">
        <f>ROUND('Balance N'!G564,2)</f>
        <v>0</v>
      </c>
      <c r="H592" s="592">
        <f>ROUND('Balance N'!H564,2)</f>
        <v>0</v>
      </c>
      <c r="I592" s="2" t="str">
        <f t="shared" si="12"/>
        <v>0</v>
      </c>
    </row>
    <row r="593" spans="1:9" x14ac:dyDescent="0.2">
      <c r="A593" s="495" t="str">
        <f>FIXED('Balance N'!A565,0,1)</f>
        <v>0</v>
      </c>
      <c r="B593" s="494">
        <f>+'Balance N'!B565</f>
        <v>0</v>
      </c>
      <c r="C593" s="592">
        <f>ROUND('Balance N'!C565,2)</f>
        <v>0</v>
      </c>
      <c r="D593" s="592">
        <f>ROUND('Balance N'!D565,2)</f>
        <v>0</v>
      </c>
      <c r="E593" s="592">
        <f>ROUND('Balance N'!E565,2)</f>
        <v>0</v>
      </c>
      <c r="F593" s="592">
        <f>ROUND('Balance N'!F565,2)</f>
        <v>0</v>
      </c>
      <c r="G593" s="592">
        <f>ROUND('Balance N'!G565,2)</f>
        <v>0</v>
      </c>
      <c r="H593" s="592">
        <f>ROUND('Balance N'!H565,2)</f>
        <v>0</v>
      </c>
      <c r="I593" s="2" t="str">
        <f t="shared" si="12"/>
        <v>0</v>
      </c>
    </row>
    <row r="594" spans="1:9" x14ac:dyDescent="0.2">
      <c r="A594" s="495" t="str">
        <f>FIXED('Balance N'!A566,0,1)</f>
        <v>0</v>
      </c>
      <c r="B594" s="494">
        <f>+'Balance N'!B566</f>
        <v>0</v>
      </c>
      <c r="C594" s="592">
        <f>ROUND('Balance N'!C566,2)</f>
        <v>0</v>
      </c>
      <c r="D594" s="592">
        <f>ROUND('Balance N'!D566,2)</f>
        <v>0</v>
      </c>
      <c r="E594" s="592">
        <f>ROUND('Balance N'!E566,2)</f>
        <v>0</v>
      </c>
      <c r="F594" s="592">
        <f>ROUND('Balance N'!F566,2)</f>
        <v>0</v>
      </c>
      <c r="G594" s="592">
        <f>ROUND('Balance N'!G566,2)</f>
        <v>0</v>
      </c>
      <c r="H594" s="592">
        <f>ROUND('Balance N'!H566,2)</f>
        <v>0</v>
      </c>
      <c r="I594" s="2" t="str">
        <f t="shared" si="12"/>
        <v>0</v>
      </c>
    </row>
    <row r="595" spans="1:9" x14ac:dyDescent="0.2">
      <c r="A595" s="495" t="str">
        <f>FIXED('Balance N'!A567,0,1)</f>
        <v>0</v>
      </c>
      <c r="B595" s="494">
        <f>+'Balance N'!B567</f>
        <v>0</v>
      </c>
      <c r="C595" s="592">
        <f>ROUND('Balance N'!C567,2)</f>
        <v>0</v>
      </c>
      <c r="D595" s="592">
        <f>ROUND('Balance N'!D567,2)</f>
        <v>0</v>
      </c>
      <c r="E595" s="592">
        <f>ROUND('Balance N'!E567,2)</f>
        <v>0</v>
      </c>
      <c r="F595" s="592">
        <f>ROUND('Balance N'!F567,2)</f>
        <v>0</v>
      </c>
      <c r="G595" s="592">
        <f>ROUND('Balance N'!G567,2)</f>
        <v>0</v>
      </c>
      <c r="H595" s="592">
        <f>ROUND('Balance N'!H567,2)</f>
        <v>0</v>
      </c>
      <c r="I595" s="2" t="str">
        <f t="shared" si="12"/>
        <v>0</v>
      </c>
    </row>
    <row r="596" spans="1:9" x14ac:dyDescent="0.2">
      <c r="A596" s="495" t="str">
        <f>FIXED('Balance N'!A568,0,1)</f>
        <v>0</v>
      </c>
      <c r="B596" s="494">
        <f>+'Balance N'!B568</f>
        <v>0</v>
      </c>
      <c r="C596" s="592">
        <f>ROUND('Balance N'!C568,2)</f>
        <v>0</v>
      </c>
      <c r="D596" s="592">
        <f>ROUND('Balance N'!D568,2)</f>
        <v>0</v>
      </c>
      <c r="E596" s="592">
        <f>ROUND('Balance N'!E568,2)</f>
        <v>0</v>
      </c>
      <c r="F596" s="592">
        <f>ROUND('Balance N'!F568,2)</f>
        <v>0</v>
      </c>
      <c r="G596" s="592">
        <f>ROUND('Balance N'!G568,2)</f>
        <v>0</v>
      </c>
      <c r="H596" s="592">
        <f>ROUND('Balance N'!H568,2)</f>
        <v>0</v>
      </c>
      <c r="I596" s="2" t="str">
        <f t="shared" si="12"/>
        <v>0</v>
      </c>
    </row>
    <row r="597" spans="1:9" x14ac:dyDescent="0.2">
      <c r="A597" s="495" t="str">
        <f>FIXED('Balance N'!A569,0,1)</f>
        <v>0</v>
      </c>
      <c r="B597" s="494">
        <f>+'Balance N'!B569</f>
        <v>0</v>
      </c>
      <c r="C597" s="592">
        <f>ROUND('Balance N'!C569,2)</f>
        <v>0</v>
      </c>
      <c r="D597" s="592">
        <f>ROUND('Balance N'!D569,2)</f>
        <v>0</v>
      </c>
      <c r="E597" s="592">
        <f>ROUND('Balance N'!E569,2)</f>
        <v>0</v>
      </c>
      <c r="F597" s="592">
        <f>ROUND('Balance N'!F569,2)</f>
        <v>0</v>
      </c>
      <c r="G597" s="592">
        <f>ROUND('Balance N'!G569,2)</f>
        <v>0</v>
      </c>
      <c r="H597" s="592">
        <f>ROUND('Balance N'!H569,2)</f>
        <v>0</v>
      </c>
      <c r="I597" s="2" t="str">
        <f t="shared" si="12"/>
        <v>0</v>
      </c>
    </row>
    <row r="598" spans="1:9" x14ac:dyDescent="0.2">
      <c r="A598" s="495" t="str">
        <f>FIXED('Balance N'!A570,0,1)</f>
        <v>0</v>
      </c>
      <c r="B598" s="494">
        <f>+'Balance N'!B570</f>
        <v>0</v>
      </c>
      <c r="C598" s="592">
        <f>ROUND('Balance N'!C570,2)</f>
        <v>0</v>
      </c>
      <c r="D598" s="592">
        <f>ROUND('Balance N'!D570,2)</f>
        <v>0</v>
      </c>
      <c r="E598" s="592">
        <f>ROUND('Balance N'!E570,2)</f>
        <v>0</v>
      </c>
      <c r="F598" s="592">
        <f>ROUND('Balance N'!F570,2)</f>
        <v>0</v>
      </c>
      <c r="G598" s="592">
        <f>ROUND('Balance N'!G570,2)</f>
        <v>0</v>
      </c>
      <c r="H598" s="592">
        <f>ROUND('Balance N'!H570,2)</f>
        <v>0</v>
      </c>
      <c r="I598" s="2" t="str">
        <f t="shared" si="12"/>
        <v>0</v>
      </c>
    </row>
    <row r="599" spans="1:9" x14ac:dyDescent="0.2">
      <c r="A599" s="495" t="str">
        <f>FIXED('Balance N'!A571,0,1)</f>
        <v>0</v>
      </c>
      <c r="B599" s="494">
        <f>+'Balance N'!B571</f>
        <v>0</v>
      </c>
      <c r="C599" s="592">
        <f>ROUND('Balance N'!C571,2)</f>
        <v>0</v>
      </c>
      <c r="D599" s="592">
        <f>ROUND('Balance N'!D571,2)</f>
        <v>0</v>
      </c>
      <c r="E599" s="592">
        <f>ROUND('Balance N'!E571,2)</f>
        <v>0</v>
      </c>
      <c r="F599" s="592">
        <f>ROUND('Balance N'!F571,2)</f>
        <v>0</v>
      </c>
      <c r="G599" s="592">
        <f>ROUND('Balance N'!G571,2)</f>
        <v>0</v>
      </c>
      <c r="H599" s="592">
        <f>ROUND('Balance N'!H571,2)</f>
        <v>0</v>
      </c>
      <c r="I599" s="2" t="str">
        <f t="shared" si="12"/>
        <v>0</v>
      </c>
    </row>
    <row r="600" spans="1:9" x14ac:dyDescent="0.2">
      <c r="A600" s="495" t="str">
        <f>FIXED('Balance N'!A572,0,1)</f>
        <v>0</v>
      </c>
      <c r="B600" s="494">
        <f>+'Balance N'!B572</f>
        <v>0</v>
      </c>
      <c r="C600" s="592">
        <f>ROUND('Balance N'!C572,2)</f>
        <v>0</v>
      </c>
      <c r="D600" s="592">
        <f>ROUND('Balance N'!D572,2)</f>
        <v>0</v>
      </c>
      <c r="E600" s="592">
        <f>ROUND('Balance N'!E572,2)</f>
        <v>0</v>
      </c>
      <c r="F600" s="592">
        <f>ROUND('Balance N'!F572,2)</f>
        <v>0</v>
      </c>
      <c r="G600" s="592">
        <f>ROUND('Balance N'!G572,2)</f>
        <v>0</v>
      </c>
      <c r="H600" s="592">
        <f>ROUND('Balance N'!H572,2)</f>
        <v>0</v>
      </c>
      <c r="I600" s="2" t="str">
        <f t="shared" ref="I600:I614" si="13">MID(A600,1,1)</f>
        <v>0</v>
      </c>
    </row>
    <row r="601" spans="1:9" x14ac:dyDescent="0.2">
      <c r="A601" s="495" t="str">
        <f>FIXED('Balance N'!A573,0,1)</f>
        <v>0</v>
      </c>
      <c r="B601" s="494">
        <f>+'Balance N'!B573</f>
        <v>0</v>
      </c>
      <c r="C601" s="592">
        <f>ROUND('Balance N'!C573,2)</f>
        <v>0</v>
      </c>
      <c r="D601" s="592">
        <f>ROUND('Balance N'!D573,2)</f>
        <v>0</v>
      </c>
      <c r="E601" s="592">
        <f>ROUND('Balance N'!E573,2)</f>
        <v>0</v>
      </c>
      <c r="F601" s="592">
        <f>ROUND('Balance N'!F573,2)</f>
        <v>0</v>
      </c>
      <c r="G601" s="592">
        <f>ROUND('Balance N'!G573,2)</f>
        <v>0</v>
      </c>
      <c r="H601" s="592">
        <f>ROUND('Balance N'!H573,2)</f>
        <v>0</v>
      </c>
      <c r="I601" s="2" t="str">
        <f t="shared" si="13"/>
        <v>0</v>
      </c>
    </row>
    <row r="602" spans="1:9" x14ac:dyDescent="0.2">
      <c r="A602" s="495" t="str">
        <f>FIXED('Balance N'!A574,0,1)</f>
        <v>0</v>
      </c>
      <c r="B602" s="494">
        <f>+'Balance N'!B574</f>
        <v>0</v>
      </c>
      <c r="C602" s="592">
        <f>ROUND('Balance N'!C574,2)</f>
        <v>0</v>
      </c>
      <c r="D602" s="592">
        <f>ROUND('Balance N'!D574,2)</f>
        <v>0</v>
      </c>
      <c r="E602" s="592">
        <f>ROUND('Balance N'!E574,2)</f>
        <v>0</v>
      </c>
      <c r="F602" s="592">
        <f>ROUND('Balance N'!F574,2)</f>
        <v>0</v>
      </c>
      <c r="G602" s="592">
        <f>ROUND('Balance N'!G574,2)</f>
        <v>0</v>
      </c>
      <c r="H602" s="592">
        <f>ROUND('Balance N'!H574,2)</f>
        <v>0</v>
      </c>
      <c r="I602" s="2" t="str">
        <f t="shared" si="13"/>
        <v>0</v>
      </c>
    </row>
    <row r="603" spans="1:9" x14ac:dyDescent="0.2">
      <c r="A603" s="495" t="str">
        <f>FIXED('Balance N'!A575,0,1)</f>
        <v>0</v>
      </c>
      <c r="B603" s="494">
        <f>+'Balance N'!B575</f>
        <v>0</v>
      </c>
      <c r="C603" s="592">
        <f>ROUND('Balance N'!C575,2)</f>
        <v>0</v>
      </c>
      <c r="D603" s="592">
        <f>ROUND('Balance N'!D575,2)</f>
        <v>0</v>
      </c>
      <c r="E603" s="592">
        <f>ROUND('Balance N'!E575,2)</f>
        <v>0</v>
      </c>
      <c r="F603" s="592">
        <f>ROUND('Balance N'!F575,2)</f>
        <v>0</v>
      </c>
      <c r="G603" s="592">
        <f>ROUND('Balance N'!G575,2)</f>
        <v>0</v>
      </c>
      <c r="H603" s="592">
        <f>ROUND('Balance N'!H575,2)</f>
        <v>0</v>
      </c>
      <c r="I603" s="2" t="str">
        <f t="shared" si="13"/>
        <v>0</v>
      </c>
    </row>
    <row r="604" spans="1:9" x14ac:dyDescent="0.2">
      <c r="A604" s="495" t="str">
        <f>FIXED('Balance N'!A576,0,1)</f>
        <v>0</v>
      </c>
      <c r="B604" s="494">
        <f>+'Balance N'!B576</f>
        <v>0</v>
      </c>
      <c r="C604" s="592">
        <f>ROUND('Balance N'!C576,2)</f>
        <v>0</v>
      </c>
      <c r="D604" s="592">
        <f>ROUND('Balance N'!D576,2)</f>
        <v>0</v>
      </c>
      <c r="E604" s="592">
        <f>ROUND('Balance N'!E576,2)</f>
        <v>0</v>
      </c>
      <c r="F604" s="592">
        <f>ROUND('Balance N'!F576,2)</f>
        <v>0</v>
      </c>
      <c r="G604" s="592">
        <f>ROUND('Balance N'!G576,2)</f>
        <v>0</v>
      </c>
      <c r="H604" s="592">
        <f>ROUND('Balance N'!H576,2)</f>
        <v>0</v>
      </c>
      <c r="I604" s="2" t="str">
        <f t="shared" si="13"/>
        <v>0</v>
      </c>
    </row>
    <row r="605" spans="1:9" x14ac:dyDescent="0.2">
      <c r="A605" s="495" t="str">
        <f>FIXED('Balance N'!A577,0,1)</f>
        <v>0</v>
      </c>
      <c r="B605" s="494">
        <f>+'Balance N'!B577</f>
        <v>0</v>
      </c>
      <c r="C605" s="592">
        <f>ROUND('Balance N'!C577,2)</f>
        <v>0</v>
      </c>
      <c r="D605" s="592">
        <f>ROUND('Balance N'!D577,2)</f>
        <v>0</v>
      </c>
      <c r="E605" s="592">
        <f>ROUND('Balance N'!E577,2)</f>
        <v>0</v>
      </c>
      <c r="F605" s="592">
        <f>ROUND('Balance N'!F577,2)</f>
        <v>0</v>
      </c>
      <c r="G605" s="592">
        <f>ROUND('Balance N'!G577,2)</f>
        <v>0</v>
      </c>
      <c r="H605" s="592">
        <f>ROUND('Balance N'!H577,2)</f>
        <v>0</v>
      </c>
      <c r="I605" s="2" t="str">
        <f t="shared" si="13"/>
        <v>0</v>
      </c>
    </row>
    <row r="606" spans="1:9" x14ac:dyDescent="0.2">
      <c r="A606" s="495" t="str">
        <f>FIXED('Balance N'!A578,0,1)</f>
        <v>0</v>
      </c>
      <c r="B606" s="494">
        <f>+'Balance N'!B578</f>
        <v>0</v>
      </c>
      <c r="C606" s="592">
        <f>ROUND('Balance N'!C578,2)</f>
        <v>0</v>
      </c>
      <c r="D606" s="592">
        <f>ROUND('Balance N'!D578,2)</f>
        <v>0</v>
      </c>
      <c r="E606" s="592">
        <f>ROUND('Balance N'!E578,2)</f>
        <v>0</v>
      </c>
      <c r="F606" s="592">
        <f>ROUND('Balance N'!F578,2)</f>
        <v>0</v>
      </c>
      <c r="G606" s="592">
        <f>ROUND('Balance N'!G578,2)</f>
        <v>0</v>
      </c>
      <c r="H606" s="592">
        <f>ROUND('Balance N'!H578,2)</f>
        <v>0</v>
      </c>
      <c r="I606" s="2" t="str">
        <f t="shared" si="13"/>
        <v>0</v>
      </c>
    </row>
    <row r="607" spans="1:9" x14ac:dyDescent="0.2">
      <c r="A607" s="495" t="str">
        <f>FIXED('Balance N'!A579,0,1)</f>
        <v>0</v>
      </c>
      <c r="B607" s="494">
        <f>+'Balance N'!B579</f>
        <v>0</v>
      </c>
      <c r="C607" s="592">
        <f>ROUND('Balance N'!C579,2)</f>
        <v>0</v>
      </c>
      <c r="D607" s="592">
        <f>ROUND('Balance N'!D579,2)</f>
        <v>0</v>
      </c>
      <c r="E607" s="592">
        <f>ROUND('Balance N'!E579,2)</f>
        <v>0</v>
      </c>
      <c r="F607" s="592">
        <f>ROUND('Balance N'!F579,2)</f>
        <v>0</v>
      </c>
      <c r="G607" s="592">
        <f>ROUND('Balance N'!G579,2)</f>
        <v>0</v>
      </c>
      <c r="H607" s="592">
        <f>ROUND('Balance N'!H579,2)</f>
        <v>0</v>
      </c>
      <c r="I607" s="2" t="str">
        <f t="shared" si="13"/>
        <v>0</v>
      </c>
    </row>
    <row r="608" spans="1:9" x14ac:dyDescent="0.2">
      <c r="A608" s="495" t="str">
        <f>FIXED('Balance N'!A580,0,1)</f>
        <v>0</v>
      </c>
      <c r="B608" s="494">
        <f>+'Balance N'!B580</f>
        <v>0</v>
      </c>
      <c r="C608" s="592">
        <f>ROUND('Balance N'!C580,2)</f>
        <v>0</v>
      </c>
      <c r="D608" s="592">
        <f>ROUND('Balance N'!D580,2)</f>
        <v>0</v>
      </c>
      <c r="E608" s="592">
        <f>ROUND('Balance N'!E580,2)</f>
        <v>0</v>
      </c>
      <c r="F608" s="592">
        <f>ROUND('Balance N'!F580,2)</f>
        <v>0</v>
      </c>
      <c r="G608" s="592">
        <f>ROUND('Balance N'!G580,2)</f>
        <v>0</v>
      </c>
      <c r="H608" s="592">
        <f>ROUND('Balance N'!H580,2)</f>
        <v>0</v>
      </c>
      <c r="I608" s="2" t="str">
        <f t="shared" si="13"/>
        <v>0</v>
      </c>
    </row>
    <row r="609" spans="1:9" x14ac:dyDescent="0.2">
      <c r="A609" s="495" t="str">
        <f>FIXED('Balance N'!A581,0,1)</f>
        <v>0</v>
      </c>
      <c r="B609" s="494">
        <f>+'Balance N'!B581</f>
        <v>0</v>
      </c>
      <c r="C609" s="592">
        <f>ROUND('Balance N'!C581,2)</f>
        <v>0</v>
      </c>
      <c r="D609" s="592">
        <f>ROUND('Balance N'!D581,2)</f>
        <v>0</v>
      </c>
      <c r="E609" s="592">
        <f>ROUND('Balance N'!E581,2)</f>
        <v>0</v>
      </c>
      <c r="F609" s="592">
        <f>ROUND('Balance N'!F581,2)</f>
        <v>0</v>
      </c>
      <c r="G609" s="592">
        <f>ROUND('Balance N'!G581,2)</f>
        <v>0</v>
      </c>
      <c r="H609" s="592">
        <f>ROUND('Balance N'!H581,2)</f>
        <v>0</v>
      </c>
      <c r="I609" s="2" t="str">
        <f t="shared" si="13"/>
        <v>0</v>
      </c>
    </row>
    <row r="610" spans="1:9" x14ac:dyDescent="0.2">
      <c r="A610" s="495" t="str">
        <f>FIXED('Balance N'!A582,0,1)</f>
        <v>0</v>
      </c>
      <c r="B610" s="494">
        <f>+'Balance N'!B582</f>
        <v>0</v>
      </c>
      <c r="C610" s="592">
        <f>ROUND('Balance N'!C582,2)</f>
        <v>0</v>
      </c>
      <c r="D610" s="592">
        <f>ROUND('Balance N'!D582,2)</f>
        <v>0</v>
      </c>
      <c r="E610" s="592">
        <f>ROUND('Balance N'!E582,2)</f>
        <v>0</v>
      </c>
      <c r="F610" s="592">
        <f>ROUND('Balance N'!F582,2)</f>
        <v>0</v>
      </c>
      <c r="G610" s="592">
        <f>ROUND('Balance N'!G582,2)</f>
        <v>0</v>
      </c>
      <c r="H610" s="592">
        <f>ROUND('Balance N'!H582,2)</f>
        <v>0</v>
      </c>
      <c r="I610" s="2" t="str">
        <f t="shared" si="13"/>
        <v>0</v>
      </c>
    </row>
    <row r="611" spans="1:9" x14ac:dyDescent="0.2">
      <c r="A611" s="495" t="str">
        <f>FIXED('Balance N'!A583,0,1)</f>
        <v>0</v>
      </c>
      <c r="B611" s="494">
        <f>+'Balance N'!B583</f>
        <v>0</v>
      </c>
      <c r="C611" s="592">
        <f>ROUND('Balance N'!C583,2)</f>
        <v>0</v>
      </c>
      <c r="D611" s="592">
        <f>ROUND('Balance N'!D583,2)</f>
        <v>0</v>
      </c>
      <c r="E611" s="592">
        <f>ROUND('Balance N'!E583,2)</f>
        <v>0</v>
      </c>
      <c r="F611" s="592">
        <f>ROUND('Balance N'!F583,2)</f>
        <v>0</v>
      </c>
      <c r="G611" s="592">
        <f>ROUND('Balance N'!G583,2)</f>
        <v>0</v>
      </c>
      <c r="H611" s="592">
        <f>ROUND('Balance N'!H583,2)</f>
        <v>0</v>
      </c>
      <c r="I611" s="2" t="str">
        <f t="shared" si="13"/>
        <v>0</v>
      </c>
    </row>
    <row r="612" spans="1:9" x14ac:dyDescent="0.2">
      <c r="A612" s="495" t="str">
        <f>FIXED('Balance N'!A584,0,1)</f>
        <v>0</v>
      </c>
      <c r="B612" s="494">
        <f>+'Balance N'!B584</f>
        <v>0</v>
      </c>
      <c r="C612" s="592">
        <f>ROUND('Balance N'!C584,2)</f>
        <v>0</v>
      </c>
      <c r="D612" s="592">
        <f>ROUND('Balance N'!D584,2)</f>
        <v>0</v>
      </c>
      <c r="E612" s="592">
        <f>ROUND('Balance N'!E584,2)</f>
        <v>0</v>
      </c>
      <c r="F612" s="592">
        <f>ROUND('Balance N'!F584,2)</f>
        <v>0</v>
      </c>
      <c r="G612" s="592">
        <f>ROUND('Balance N'!G584,2)</f>
        <v>0</v>
      </c>
      <c r="H612" s="592">
        <f>ROUND('Balance N'!H584,2)</f>
        <v>0</v>
      </c>
      <c r="I612" s="2" t="str">
        <f t="shared" si="13"/>
        <v>0</v>
      </c>
    </row>
    <row r="613" spans="1:9" x14ac:dyDescent="0.2">
      <c r="A613" s="495" t="str">
        <f>FIXED('Balance N'!A585,0,1)</f>
        <v>0</v>
      </c>
      <c r="B613" s="494">
        <f>+'Balance N'!B585</f>
        <v>0</v>
      </c>
      <c r="C613" s="592">
        <f>ROUND('Balance N'!C585,2)</f>
        <v>0</v>
      </c>
      <c r="D613" s="592">
        <f>ROUND('Balance N'!D585,2)</f>
        <v>0</v>
      </c>
      <c r="E613" s="592">
        <f>ROUND('Balance N'!E585,2)</f>
        <v>0</v>
      </c>
      <c r="F613" s="592">
        <f>ROUND('Balance N'!F585,2)</f>
        <v>0</v>
      </c>
      <c r="G613" s="592">
        <f>ROUND('Balance N'!G585,2)</f>
        <v>0</v>
      </c>
      <c r="H613" s="592">
        <f>ROUND('Balance N'!H585,2)</f>
        <v>0</v>
      </c>
      <c r="I613" s="2" t="str">
        <f t="shared" si="13"/>
        <v>0</v>
      </c>
    </row>
    <row r="614" spans="1:9" x14ac:dyDescent="0.2">
      <c r="A614" s="495" t="str">
        <f>FIXED('Balance N'!A586,0,1)</f>
        <v>0</v>
      </c>
      <c r="B614" s="494">
        <f>+'Balance N'!B586</f>
        <v>0</v>
      </c>
      <c r="C614" s="592">
        <f>ROUND('Balance N'!C586,2)</f>
        <v>0</v>
      </c>
      <c r="D614" s="592">
        <f>ROUND('Balance N'!D586,2)</f>
        <v>0</v>
      </c>
      <c r="E614" s="592">
        <f>ROUND('Balance N'!E586,2)</f>
        <v>0</v>
      </c>
      <c r="F614" s="592">
        <f>ROUND('Balance N'!F586,2)</f>
        <v>0</v>
      </c>
      <c r="G614" s="592">
        <f>ROUND('Balance N'!G586,2)</f>
        <v>0</v>
      </c>
      <c r="H614" s="592">
        <f>ROUND('Balance N'!H586,2)</f>
        <v>0</v>
      </c>
      <c r="I614" s="2" t="str">
        <f t="shared" si="13"/>
        <v>0</v>
      </c>
    </row>
    <row r="615" spans="1:9" x14ac:dyDescent="0.2">
      <c r="A615" s="495"/>
      <c r="B615" s="494"/>
      <c r="C615" s="592">
        <f>ROUND('Balance N'!C587,2)</f>
        <v>0</v>
      </c>
      <c r="D615" s="592">
        <f>ROUND('Balance N'!D587,2)</f>
        <v>0</v>
      </c>
      <c r="E615" s="592">
        <f>ROUND('Balance N'!E587,2)</f>
        <v>0</v>
      </c>
      <c r="F615" s="592">
        <f>ROUND('Balance N'!F587,2)</f>
        <v>0</v>
      </c>
      <c r="G615" s="592">
        <f>ROUND('Balance N'!G587,2)</f>
        <v>0</v>
      </c>
      <c r="H615" s="592">
        <f>ROUND('Balance N'!H587,2)</f>
        <v>0</v>
      </c>
    </row>
  </sheetData>
  <autoFilter ref="A1:Q1" xr:uid="{00000000-0009-0000-0000-000008000000}"/>
  <phoneticPr fontId="0" type="noConversion"/>
  <pageMargins left="0.78740157499999996" right="0.78740157499999996" top="0.984251969" bottom="0.984251969" header="0.4921259845" footer="0.4921259845"/>
  <pageSetup paperSize="9" orientation="portrait" horizontalDpi="300" verticalDpi="300" r:id="rId1"/>
  <headerFooter alignWithMargins="0"/>
  <ignoredErrors>
    <ignoredError sqref="N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46</vt:i4>
      </vt:variant>
      <vt:variant>
        <vt:lpstr>Plages nommées</vt:lpstr>
      </vt:variant>
      <vt:variant>
        <vt:i4>2198</vt:i4>
      </vt:variant>
    </vt:vector>
  </HeadingPairs>
  <TitlesOfParts>
    <vt:vector size="2244" baseType="lpstr">
      <vt:lpstr>Feuil1</vt:lpstr>
      <vt:lpstr>Identification</vt:lpstr>
      <vt:lpstr>Couverture Etats de synthèse</vt:lpstr>
      <vt:lpstr>Couverture</vt:lpstr>
      <vt:lpstr>Programme</vt:lpstr>
      <vt:lpstr>Xml</vt:lpstr>
      <vt:lpstr>Balance N</vt:lpstr>
      <vt:lpstr>Balance N-1</vt:lpstr>
      <vt:lpstr>Balance N Retraitée</vt:lpstr>
      <vt:lpstr>BG N</vt:lpstr>
      <vt:lpstr>Balance N-1 Retraitée</vt:lpstr>
      <vt:lpstr>T1 Bilan</vt:lpstr>
      <vt:lpstr>T2 CPC</vt:lpstr>
      <vt:lpstr>T3 B12-res fis</vt:lpstr>
      <vt:lpstr>T4 B2-immo</vt:lpstr>
      <vt:lpstr>T5 ESG</vt:lpstr>
      <vt:lpstr>T6 TB11</vt:lpstr>
      <vt:lpstr>T7 CNCET B10-CB</vt:lpstr>
      <vt:lpstr>T8 B2 BIS</vt:lpstr>
      <vt:lpstr>T9 B5-PROV</vt:lpstr>
      <vt:lpstr>T10 B3-+-Value</vt:lpstr>
      <vt:lpstr>T11 B4-Titres part</vt:lpstr>
      <vt:lpstr>T12 B14-TVA</vt:lpstr>
      <vt:lpstr>T13 C1-rép cap</vt:lpstr>
      <vt:lpstr>T14 C2-affec resu</vt:lpstr>
      <vt:lpstr>T15 Encourag</vt:lpstr>
      <vt:lpstr>T16 Amort</vt:lpstr>
      <vt:lpstr>T17 + V Fusions</vt:lpstr>
      <vt:lpstr>T18 Emprunts</vt:lpstr>
      <vt:lpstr>T19 Locations</vt:lpstr>
      <vt:lpstr>T20 Stocks</vt:lpstr>
      <vt:lpstr>TF</vt:lpstr>
      <vt:lpstr>ETIC  A0 A1</vt:lpstr>
      <vt:lpstr> A2 Dérogations</vt:lpstr>
      <vt:lpstr>A3 Changement méthode</vt:lpstr>
      <vt:lpstr>C4-ope  dev</vt:lpstr>
      <vt:lpstr>B1-Tab non val</vt:lpstr>
      <vt:lpstr>B6-CREANCES-01</vt:lpstr>
      <vt:lpstr>B7-dettes</vt:lpstr>
      <vt:lpstr>B8-SURETES-01</vt:lpstr>
      <vt:lpstr>B9-Eng fin</vt:lpstr>
      <vt:lpstr>B13-res cour</vt:lpstr>
      <vt:lpstr>B15 Passif Eventuel</vt:lpstr>
      <vt:lpstr>C3-3 exer</vt:lpstr>
      <vt:lpstr>C5- Datation</vt:lpstr>
      <vt:lpstr>bilan condens</vt:lpstr>
      <vt:lpstr>Cellule_1000</vt:lpstr>
      <vt:lpstr>Cellule_1001</vt:lpstr>
      <vt:lpstr>Cellule_1002</vt:lpstr>
      <vt:lpstr>Cellule_1003</vt:lpstr>
      <vt:lpstr>Cellule_1004</vt:lpstr>
      <vt:lpstr>Cellule_1005</vt:lpstr>
      <vt:lpstr>Cellule_1006</vt:lpstr>
      <vt:lpstr>Cellule_10061_1</vt:lpstr>
      <vt:lpstr>Cellule_10061_2</vt:lpstr>
      <vt:lpstr>Cellule_10061_3</vt:lpstr>
      <vt:lpstr>Cellule_10061_4</vt:lpstr>
      <vt:lpstr>Cellule_10061_5</vt:lpstr>
      <vt:lpstr>Cellule_10061_6</vt:lpstr>
      <vt:lpstr>Cellule_10061_7</vt:lpstr>
      <vt:lpstr>Cellule_10061_8</vt:lpstr>
      <vt:lpstr>Cellule_10061_9</vt:lpstr>
      <vt:lpstr>Cellule_10064</vt:lpstr>
      <vt:lpstr>Cellule_10065</vt:lpstr>
      <vt:lpstr>Cellule_10066</vt:lpstr>
      <vt:lpstr>Cellule_10067</vt:lpstr>
      <vt:lpstr>Cellule_10068</vt:lpstr>
      <vt:lpstr>Cellule_10069</vt:lpstr>
      <vt:lpstr>Cellule_1007</vt:lpstr>
      <vt:lpstr>Cellule_10070</vt:lpstr>
      <vt:lpstr>Cellule_10071</vt:lpstr>
      <vt:lpstr>Cellule_10073</vt:lpstr>
      <vt:lpstr>Cellule_10074</vt:lpstr>
      <vt:lpstr>Cellule_10075</vt:lpstr>
      <vt:lpstr>Cellule_10076</vt:lpstr>
      <vt:lpstr>Cellule_10077</vt:lpstr>
      <vt:lpstr>Cellule_10078</vt:lpstr>
      <vt:lpstr>Cellule_10079</vt:lpstr>
      <vt:lpstr>Cellule_1008</vt:lpstr>
      <vt:lpstr>Cellule_10080</vt:lpstr>
      <vt:lpstr>Cellule_10082</vt:lpstr>
      <vt:lpstr>Cellule_10083</vt:lpstr>
      <vt:lpstr>Cellule_10084</vt:lpstr>
      <vt:lpstr>Cellule_10085</vt:lpstr>
      <vt:lpstr>Cellule_10086</vt:lpstr>
      <vt:lpstr>Cellule_10087</vt:lpstr>
      <vt:lpstr>Cellule_10088</vt:lpstr>
      <vt:lpstr>Cellule_10089</vt:lpstr>
      <vt:lpstr>Cellule_1009</vt:lpstr>
      <vt:lpstr>Cellule_10091</vt:lpstr>
      <vt:lpstr>Cellule_1010</vt:lpstr>
      <vt:lpstr>Cellule_1011</vt:lpstr>
      <vt:lpstr>Cellule_1012</vt:lpstr>
      <vt:lpstr>Cellule_1013</vt:lpstr>
      <vt:lpstr>Cellule_1014</vt:lpstr>
      <vt:lpstr>Cellule_1015</vt:lpstr>
      <vt:lpstr>Cellule_1016</vt:lpstr>
      <vt:lpstr>Cellule_1017</vt:lpstr>
      <vt:lpstr>Cellule_1018</vt:lpstr>
      <vt:lpstr>Cellule_1019</vt:lpstr>
      <vt:lpstr>Cellule_1020</vt:lpstr>
      <vt:lpstr>Cellule_1021</vt:lpstr>
      <vt:lpstr>Cellule_1022</vt:lpstr>
      <vt:lpstr>Cellule_1023</vt:lpstr>
      <vt:lpstr>Cellule_1024</vt:lpstr>
      <vt:lpstr>Cellule_1025</vt:lpstr>
      <vt:lpstr>Cellule_1026</vt:lpstr>
      <vt:lpstr>Cellule_1027</vt:lpstr>
      <vt:lpstr>Cellule_1028</vt:lpstr>
      <vt:lpstr>Cellule_1029</vt:lpstr>
      <vt:lpstr>Cellule_1030</vt:lpstr>
      <vt:lpstr>Cellule_1031</vt:lpstr>
      <vt:lpstr>Cellule_1032</vt:lpstr>
      <vt:lpstr>Cellule_1033</vt:lpstr>
      <vt:lpstr>Cellule_1034</vt:lpstr>
      <vt:lpstr>Cellule_1035</vt:lpstr>
      <vt:lpstr>Cellule_1036</vt:lpstr>
      <vt:lpstr>Cellule_1037</vt:lpstr>
      <vt:lpstr>Cellule_1038</vt:lpstr>
      <vt:lpstr>Cellule_1039</vt:lpstr>
      <vt:lpstr>Cellule_1040</vt:lpstr>
      <vt:lpstr>Cellule_1041</vt:lpstr>
      <vt:lpstr>Cellule_1042</vt:lpstr>
      <vt:lpstr>Cellule_10420</vt:lpstr>
      <vt:lpstr>Cellule_1043</vt:lpstr>
      <vt:lpstr>Cellule_1044</vt:lpstr>
      <vt:lpstr>Cellule_1045</vt:lpstr>
      <vt:lpstr>Cellule_1046</vt:lpstr>
      <vt:lpstr>Cellule_1047</vt:lpstr>
      <vt:lpstr>Cellule_1048</vt:lpstr>
      <vt:lpstr>Cellule_1049</vt:lpstr>
      <vt:lpstr>Cellule_1050</vt:lpstr>
      <vt:lpstr>Cellule_1051</vt:lpstr>
      <vt:lpstr>Cellule_1052</vt:lpstr>
      <vt:lpstr>Cellule_1053</vt:lpstr>
      <vt:lpstr>Cellule_1054</vt:lpstr>
      <vt:lpstr>Cellule_1055</vt:lpstr>
      <vt:lpstr>Cellule_1056</vt:lpstr>
      <vt:lpstr>Cellule_1057</vt:lpstr>
      <vt:lpstr>Cellule_1058</vt:lpstr>
      <vt:lpstr>Cellule_1059</vt:lpstr>
      <vt:lpstr>Cellule_1060</vt:lpstr>
      <vt:lpstr>Cellule_1061</vt:lpstr>
      <vt:lpstr>Cellule_1062</vt:lpstr>
      <vt:lpstr>Cellule_1063</vt:lpstr>
      <vt:lpstr>Cellule_1064</vt:lpstr>
      <vt:lpstr>Cellule_1065</vt:lpstr>
      <vt:lpstr>Cellule_1066</vt:lpstr>
      <vt:lpstr>Cellule_1067</vt:lpstr>
      <vt:lpstr>Cellule_1068</vt:lpstr>
      <vt:lpstr>Cellule_1069</vt:lpstr>
      <vt:lpstr>Cellule_1070</vt:lpstr>
      <vt:lpstr>Cellule_1071</vt:lpstr>
      <vt:lpstr>Cellule_1072</vt:lpstr>
      <vt:lpstr>Cellule_1073</vt:lpstr>
      <vt:lpstr>Cellule_1074</vt:lpstr>
      <vt:lpstr>Cellule_1075</vt:lpstr>
      <vt:lpstr>Cellule_1076</vt:lpstr>
      <vt:lpstr>Cellule_1077</vt:lpstr>
      <vt:lpstr>Cellule_1078_1</vt:lpstr>
      <vt:lpstr>Cellule_1078_2</vt:lpstr>
      <vt:lpstr>Cellule_1078_3</vt:lpstr>
      <vt:lpstr>Cellule_1078_4</vt:lpstr>
      <vt:lpstr>Cellule_1078_5</vt:lpstr>
      <vt:lpstr>Cellule_1078_6</vt:lpstr>
      <vt:lpstr>Cellule_1078_7</vt:lpstr>
      <vt:lpstr>Cellule_1078_8</vt:lpstr>
      <vt:lpstr>Cellule_1078_9</vt:lpstr>
      <vt:lpstr>Cellule_1079_1</vt:lpstr>
      <vt:lpstr>Cellule_1079_2</vt:lpstr>
      <vt:lpstr>Cellule_1079_3</vt:lpstr>
      <vt:lpstr>Cellule_1079_4</vt:lpstr>
      <vt:lpstr>Cellule_1079_5</vt:lpstr>
      <vt:lpstr>Cellule_1079_6</vt:lpstr>
      <vt:lpstr>Cellule_1079_7</vt:lpstr>
      <vt:lpstr>Cellule_1079_8</vt:lpstr>
      <vt:lpstr>Cellule_1079_9</vt:lpstr>
      <vt:lpstr>Cellule_1080_1</vt:lpstr>
      <vt:lpstr>Cellule_1080_2</vt:lpstr>
      <vt:lpstr>Cellule_1080_3</vt:lpstr>
      <vt:lpstr>Cellule_1080_4</vt:lpstr>
      <vt:lpstr>Cellule_1080_5</vt:lpstr>
      <vt:lpstr>Cellule_1080_6</vt:lpstr>
      <vt:lpstr>Cellule_1080_7</vt:lpstr>
      <vt:lpstr>Cellule_1080_8</vt:lpstr>
      <vt:lpstr>Cellule_1080_9</vt:lpstr>
      <vt:lpstr>Cellule_1081_1</vt:lpstr>
      <vt:lpstr>Cellule_1081_2</vt:lpstr>
      <vt:lpstr>Cellule_1081_3</vt:lpstr>
      <vt:lpstr>Cellule_1081_4</vt:lpstr>
      <vt:lpstr>Cellule_1081_5</vt:lpstr>
      <vt:lpstr>Cellule_1081_6</vt:lpstr>
      <vt:lpstr>Cellule_1081_7</vt:lpstr>
      <vt:lpstr>Cellule_1081_8</vt:lpstr>
      <vt:lpstr>Cellule_1081_9</vt:lpstr>
      <vt:lpstr>Cellule_1082_1</vt:lpstr>
      <vt:lpstr>Cellule_1082_2</vt:lpstr>
      <vt:lpstr>Cellule_1082_3</vt:lpstr>
      <vt:lpstr>Cellule_1082_4</vt:lpstr>
      <vt:lpstr>Cellule_1082_5</vt:lpstr>
      <vt:lpstr>Cellule_1082_6</vt:lpstr>
      <vt:lpstr>Cellule_1082_7</vt:lpstr>
      <vt:lpstr>Cellule_1082_8</vt:lpstr>
      <vt:lpstr>Cellule_1082_9</vt:lpstr>
      <vt:lpstr>Cellule_1083_1</vt:lpstr>
      <vt:lpstr>Cellule_1083_2</vt:lpstr>
      <vt:lpstr>Cellule_1083_3</vt:lpstr>
      <vt:lpstr>Cellule_1083_4</vt:lpstr>
      <vt:lpstr>Cellule_1083_5</vt:lpstr>
      <vt:lpstr>Cellule_1083_6</vt:lpstr>
      <vt:lpstr>Cellule_1083_7</vt:lpstr>
      <vt:lpstr>Cellule_1083_8</vt:lpstr>
      <vt:lpstr>Cellule_1083_9</vt:lpstr>
      <vt:lpstr>Cellule_1084_1</vt:lpstr>
      <vt:lpstr>Cellule_1084_2</vt:lpstr>
      <vt:lpstr>Cellule_1084_3</vt:lpstr>
      <vt:lpstr>Cellule_1084_4</vt:lpstr>
      <vt:lpstr>Cellule_1084_5</vt:lpstr>
      <vt:lpstr>Cellule_1084_6</vt:lpstr>
      <vt:lpstr>Cellule_1084_7</vt:lpstr>
      <vt:lpstr>Cellule_1084_8</vt:lpstr>
      <vt:lpstr>Cellule_1084_9</vt:lpstr>
      <vt:lpstr>Cellule_1085_1</vt:lpstr>
      <vt:lpstr>Cellule_1085_2</vt:lpstr>
      <vt:lpstr>Cellule_1085_3</vt:lpstr>
      <vt:lpstr>Cellule_1085_4</vt:lpstr>
      <vt:lpstr>Cellule_1085_5</vt:lpstr>
      <vt:lpstr>Cellule_1085_6</vt:lpstr>
      <vt:lpstr>Cellule_1085_7</vt:lpstr>
      <vt:lpstr>Cellule_1085_8</vt:lpstr>
      <vt:lpstr>Cellule_1085_9</vt:lpstr>
      <vt:lpstr>Cellule_1086_1</vt:lpstr>
      <vt:lpstr>Cellule_1086_2</vt:lpstr>
      <vt:lpstr>Cellule_1086_3</vt:lpstr>
      <vt:lpstr>Cellule_1086_4</vt:lpstr>
      <vt:lpstr>Cellule_1086_5</vt:lpstr>
      <vt:lpstr>Cellule_1086_6</vt:lpstr>
      <vt:lpstr>Cellule_1086_7</vt:lpstr>
      <vt:lpstr>Cellule_1086_8</vt:lpstr>
      <vt:lpstr>Cellule_1086_9</vt:lpstr>
      <vt:lpstr>Cellule_1088</vt:lpstr>
      <vt:lpstr>Cellule_1089</vt:lpstr>
      <vt:lpstr>Cellule_1090</vt:lpstr>
      <vt:lpstr>Cellule_1091</vt:lpstr>
      <vt:lpstr>Cellule_1093</vt:lpstr>
      <vt:lpstr>Cellule_1094</vt:lpstr>
      <vt:lpstr>Cellule_1098_1</vt:lpstr>
      <vt:lpstr>Cellule_1098_2</vt:lpstr>
      <vt:lpstr>Cellule_1098_3</vt:lpstr>
      <vt:lpstr>Cellule_1098_4</vt:lpstr>
      <vt:lpstr>Cellule_1098_5</vt:lpstr>
      <vt:lpstr>Cellule_1098_6</vt:lpstr>
      <vt:lpstr>Cellule_1099_1</vt:lpstr>
      <vt:lpstr>Cellule_1099_2</vt:lpstr>
      <vt:lpstr>Cellule_1099_3</vt:lpstr>
      <vt:lpstr>Cellule_1099_4</vt:lpstr>
      <vt:lpstr>Cellule_1099_5</vt:lpstr>
      <vt:lpstr>Cellule_1099_6</vt:lpstr>
      <vt:lpstr>Cellule_1100_1</vt:lpstr>
      <vt:lpstr>Cellule_1100_2</vt:lpstr>
      <vt:lpstr>Cellule_1100_3</vt:lpstr>
      <vt:lpstr>Cellule_1100_4</vt:lpstr>
      <vt:lpstr>Cellule_1100_5</vt:lpstr>
      <vt:lpstr>Cellule_1100_6</vt:lpstr>
      <vt:lpstr>Cellule_1101_1</vt:lpstr>
      <vt:lpstr>Cellule_1101_2</vt:lpstr>
      <vt:lpstr>Cellule_1101_3</vt:lpstr>
      <vt:lpstr>Cellule_1101_4</vt:lpstr>
      <vt:lpstr>Cellule_1101_5</vt:lpstr>
      <vt:lpstr>Cellule_1101_6</vt:lpstr>
      <vt:lpstr>Cellule_1102_1</vt:lpstr>
      <vt:lpstr>Cellule_1102_2</vt:lpstr>
      <vt:lpstr>Cellule_1102_3</vt:lpstr>
      <vt:lpstr>Cellule_1102_4</vt:lpstr>
      <vt:lpstr>Cellule_1102_5</vt:lpstr>
      <vt:lpstr>Cellule_1102_6</vt:lpstr>
      <vt:lpstr>Cellule_1103_1</vt:lpstr>
      <vt:lpstr>Cellule_1103_2</vt:lpstr>
      <vt:lpstr>Cellule_1103_3</vt:lpstr>
      <vt:lpstr>Cellule_1103_4</vt:lpstr>
      <vt:lpstr>Cellule_1103_5</vt:lpstr>
      <vt:lpstr>Cellule_1103_6</vt:lpstr>
      <vt:lpstr>Cellule_1104_1</vt:lpstr>
      <vt:lpstr>Cellule_1104_2</vt:lpstr>
      <vt:lpstr>Cellule_1104_3</vt:lpstr>
      <vt:lpstr>Cellule_1104_4</vt:lpstr>
      <vt:lpstr>Cellule_1104_5</vt:lpstr>
      <vt:lpstr>Cellule_1104_6</vt:lpstr>
      <vt:lpstr>Cellule_1105_1</vt:lpstr>
      <vt:lpstr>Cellule_1105_2</vt:lpstr>
      <vt:lpstr>Cellule_1105_3</vt:lpstr>
      <vt:lpstr>Cellule_1105_4</vt:lpstr>
      <vt:lpstr>Cellule_1105_5</vt:lpstr>
      <vt:lpstr>Cellule_1105_6</vt:lpstr>
      <vt:lpstr>Cellule_1106_1</vt:lpstr>
      <vt:lpstr>Cellule_1106_2</vt:lpstr>
      <vt:lpstr>Cellule_1106_3</vt:lpstr>
      <vt:lpstr>Cellule_1106_4</vt:lpstr>
      <vt:lpstr>Cellule_1106_5</vt:lpstr>
      <vt:lpstr>Cellule_1106_6</vt:lpstr>
      <vt:lpstr>Cellule_1107_1</vt:lpstr>
      <vt:lpstr>Cellule_1107_2</vt:lpstr>
      <vt:lpstr>Cellule_1107_3</vt:lpstr>
      <vt:lpstr>Cellule_1107_4</vt:lpstr>
      <vt:lpstr>Cellule_1107_5</vt:lpstr>
      <vt:lpstr>Cellule_1107_6</vt:lpstr>
      <vt:lpstr>Cellule_1108_1</vt:lpstr>
      <vt:lpstr>Cellule_1108_2</vt:lpstr>
      <vt:lpstr>Cellule_1108_3</vt:lpstr>
      <vt:lpstr>Cellule_1108_4</vt:lpstr>
      <vt:lpstr>Cellule_1108_5</vt:lpstr>
      <vt:lpstr>Cellule_1108_6</vt:lpstr>
      <vt:lpstr>Cellule_1110</vt:lpstr>
      <vt:lpstr>Cellule_1111</vt:lpstr>
      <vt:lpstr>Cellule_1112</vt:lpstr>
      <vt:lpstr>Cellule_1113</vt:lpstr>
      <vt:lpstr>Cellule_1114</vt:lpstr>
      <vt:lpstr>Cellule_1115</vt:lpstr>
      <vt:lpstr>Cellule_1116</vt:lpstr>
      <vt:lpstr>Cellule_1117</vt:lpstr>
      <vt:lpstr>Cellule_11176</vt:lpstr>
      <vt:lpstr>Cellule_11177</vt:lpstr>
      <vt:lpstr>Cellule_11178</vt:lpstr>
      <vt:lpstr>Cellule_11179</vt:lpstr>
      <vt:lpstr>Cellule_11181</vt:lpstr>
      <vt:lpstr>Cellule_11182</vt:lpstr>
      <vt:lpstr>Cellule_11183</vt:lpstr>
      <vt:lpstr>Cellule_11184</vt:lpstr>
      <vt:lpstr>Cellule_11186</vt:lpstr>
      <vt:lpstr>Cellule_11187</vt:lpstr>
      <vt:lpstr>Cellule_11188</vt:lpstr>
      <vt:lpstr>Cellule_11189</vt:lpstr>
      <vt:lpstr>Cellule_1119</vt:lpstr>
      <vt:lpstr>Cellule_11191</vt:lpstr>
      <vt:lpstr>Cellule_11192</vt:lpstr>
      <vt:lpstr>Cellule_11193</vt:lpstr>
      <vt:lpstr>Cellule_11194</vt:lpstr>
      <vt:lpstr>Cellule_11196</vt:lpstr>
      <vt:lpstr>Cellule_11197</vt:lpstr>
      <vt:lpstr>Cellule_11198</vt:lpstr>
      <vt:lpstr>Cellule_11199</vt:lpstr>
      <vt:lpstr>Cellule_1120</vt:lpstr>
      <vt:lpstr>Cellule_11201</vt:lpstr>
      <vt:lpstr>Cellule_11202</vt:lpstr>
      <vt:lpstr>Cellule_11203</vt:lpstr>
      <vt:lpstr>Cellule_11204</vt:lpstr>
      <vt:lpstr>Cellule_11206</vt:lpstr>
      <vt:lpstr>Cellule_11207</vt:lpstr>
      <vt:lpstr>Cellule_11208</vt:lpstr>
      <vt:lpstr>Cellule_11209</vt:lpstr>
      <vt:lpstr>Cellule_1121</vt:lpstr>
      <vt:lpstr>Cellule_11211</vt:lpstr>
      <vt:lpstr>Cellule_11212</vt:lpstr>
      <vt:lpstr>Cellule_11213</vt:lpstr>
      <vt:lpstr>Cellule_11214</vt:lpstr>
      <vt:lpstr>Cellule_11216</vt:lpstr>
      <vt:lpstr>Cellule_11217</vt:lpstr>
      <vt:lpstr>Cellule_11218</vt:lpstr>
      <vt:lpstr>Cellule_11219</vt:lpstr>
      <vt:lpstr>Cellule_1122</vt:lpstr>
      <vt:lpstr>Cellule_11221</vt:lpstr>
      <vt:lpstr>Cellule_11222</vt:lpstr>
      <vt:lpstr>Cellule_11223</vt:lpstr>
      <vt:lpstr>Cellule_11224</vt:lpstr>
      <vt:lpstr>Cellule_11226</vt:lpstr>
      <vt:lpstr>Cellule_11227</vt:lpstr>
      <vt:lpstr>Cellule_11228</vt:lpstr>
      <vt:lpstr>Cellule_11229</vt:lpstr>
      <vt:lpstr>Cellule_1123</vt:lpstr>
      <vt:lpstr>Cellule_11231</vt:lpstr>
      <vt:lpstr>Cellule_11232</vt:lpstr>
      <vt:lpstr>Cellule_11233</vt:lpstr>
      <vt:lpstr>Cellule_11234</vt:lpstr>
      <vt:lpstr>Cellule_11236</vt:lpstr>
      <vt:lpstr>Cellule_11237</vt:lpstr>
      <vt:lpstr>Cellule_11238</vt:lpstr>
      <vt:lpstr>Cellule_11239</vt:lpstr>
      <vt:lpstr>Cellule_1124</vt:lpstr>
      <vt:lpstr>Cellule_11241</vt:lpstr>
      <vt:lpstr>Cellule_11242</vt:lpstr>
      <vt:lpstr>Cellule_11243</vt:lpstr>
      <vt:lpstr>Cellule_11244</vt:lpstr>
      <vt:lpstr>Cellule_11246</vt:lpstr>
      <vt:lpstr>Cellule_11247</vt:lpstr>
      <vt:lpstr>Cellule_11248</vt:lpstr>
      <vt:lpstr>Cellule_11249</vt:lpstr>
      <vt:lpstr>Cellule_1125</vt:lpstr>
      <vt:lpstr>Cellule_11251</vt:lpstr>
      <vt:lpstr>Cellule_11252</vt:lpstr>
      <vt:lpstr>Cellule_11253</vt:lpstr>
      <vt:lpstr>Cellule_11254</vt:lpstr>
      <vt:lpstr>Cellule_11256</vt:lpstr>
      <vt:lpstr>Cellule_11257</vt:lpstr>
      <vt:lpstr>Cellule_11258</vt:lpstr>
      <vt:lpstr>Cellule_11259</vt:lpstr>
      <vt:lpstr>Cellule_1126</vt:lpstr>
      <vt:lpstr>Cellule_11261</vt:lpstr>
      <vt:lpstr>Cellule_11262</vt:lpstr>
      <vt:lpstr>Cellule_11263</vt:lpstr>
      <vt:lpstr>Cellule_11264</vt:lpstr>
      <vt:lpstr>Cellule_11266</vt:lpstr>
      <vt:lpstr>Cellule_11267</vt:lpstr>
      <vt:lpstr>Cellule_11268</vt:lpstr>
      <vt:lpstr>Cellule_11269</vt:lpstr>
      <vt:lpstr>Cellule_11271</vt:lpstr>
      <vt:lpstr>Cellule_11272</vt:lpstr>
      <vt:lpstr>Cellule_11273</vt:lpstr>
      <vt:lpstr>Cellule_11274</vt:lpstr>
      <vt:lpstr>Cellule_11276</vt:lpstr>
      <vt:lpstr>Cellule_11277</vt:lpstr>
      <vt:lpstr>Cellule_11278</vt:lpstr>
      <vt:lpstr>Cellule_11279</vt:lpstr>
      <vt:lpstr>Cellule_1128</vt:lpstr>
      <vt:lpstr>Cellule_11281</vt:lpstr>
      <vt:lpstr>Cellule_11282</vt:lpstr>
      <vt:lpstr>Cellule_11283</vt:lpstr>
      <vt:lpstr>Cellule_11284</vt:lpstr>
      <vt:lpstr>Cellule_11286</vt:lpstr>
      <vt:lpstr>Cellule_11287</vt:lpstr>
      <vt:lpstr>Cellule_11288</vt:lpstr>
      <vt:lpstr>Cellule_11289</vt:lpstr>
      <vt:lpstr>Cellule_1129</vt:lpstr>
      <vt:lpstr>Cellule_11291</vt:lpstr>
      <vt:lpstr>Cellule_11292</vt:lpstr>
      <vt:lpstr>Cellule_11293</vt:lpstr>
      <vt:lpstr>Cellule_11294</vt:lpstr>
      <vt:lpstr>Cellule_11296</vt:lpstr>
      <vt:lpstr>Cellule_11297</vt:lpstr>
      <vt:lpstr>Cellule_11298</vt:lpstr>
      <vt:lpstr>Cellule_11299</vt:lpstr>
      <vt:lpstr>Cellule_1130</vt:lpstr>
      <vt:lpstr>Cellule_11301</vt:lpstr>
      <vt:lpstr>Cellule_11302</vt:lpstr>
      <vt:lpstr>Cellule_11303</vt:lpstr>
      <vt:lpstr>Cellule_11304</vt:lpstr>
      <vt:lpstr>Cellule_11306</vt:lpstr>
      <vt:lpstr>Cellule_11307</vt:lpstr>
      <vt:lpstr>Cellule_11308</vt:lpstr>
      <vt:lpstr>Cellule_11309</vt:lpstr>
      <vt:lpstr>Cellule_1131</vt:lpstr>
      <vt:lpstr>Cellule_11311</vt:lpstr>
      <vt:lpstr>Cellule_11312</vt:lpstr>
      <vt:lpstr>Cellule_11313</vt:lpstr>
      <vt:lpstr>Cellule_11314</vt:lpstr>
      <vt:lpstr>Cellule_11316</vt:lpstr>
      <vt:lpstr>Cellule_11317</vt:lpstr>
      <vt:lpstr>Cellule_11318</vt:lpstr>
      <vt:lpstr>Cellule_11319</vt:lpstr>
      <vt:lpstr>Cellule_1132</vt:lpstr>
      <vt:lpstr>Cellule_11321</vt:lpstr>
      <vt:lpstr>Cellule_11322</vt:lpstr>
      <vt:lpstr>Cellule_11323</vt:lpstr>
      <vt:lpstr>Cellule_11324</vt:lpstr>
      <vt:lpstr>Cellule_11326</vt:lpstr>
      <vt:lpstr>Cellule_11327</vt:lpstr>
      <vt:lpstr>Cellule_11328</vt:lpstr>
      <vt:lpstr>Cellule_11329</vt:lpstr>
      <vt:lpstr>Cellule_1133</vt:lpstr>
      <vt:lpstr>Cellule_11331</vt:lpstr>
      <vt:lpstr>Cellule_11332</vt:lpstr>
      <vt:lpstr>Cellule_11333</vt:lpstr>
      <vt:lpstr>Cellule_11334</vt:lpstr>
      <vt:lpstr>Cellule_11336</vt:lpstr>
      <vt:lpstr>Cellule_11337</vt:lpstr>
      <vt:lpstr>Cellule_11338</vt:lpstr>
      <vt:lpstr>Cellule_11339</vt:lpstr>
      <vt:lpstr>Cellule_1134</vt:lpstr>
      <vt:lpstr>Cellule_11341</vt:lpstr>
      <vt:lpstr>Cellule_11342</vt:lpstr>
      <vt:lpstr>Cellule_11343</vt:lpstr>
      <vt:lpstr>Cellule_11344</vt:lpstr>
      <vt:lpstr>Cellule_11346</vt:lpstr>
      <vt:lpstr>Cellule_11347</vt:lpstr>
      <vt:lpstr>Cellule_11348</vt:lpstr>
      <vt:lpstr>Cellule_11349</vt:lpstr>
      <vt:lpstr>Cellule_1135</vt:lpstr>
      <vt:lpstr>Cellule_11351</vt:lpstr>
      <vt:lpstr>Cellule_11352</vt:lpstr>
      <vt:lpstr>Cellule_11353</vt:lpstr>
      <vt:lpstr>Cellule_11354</vt:lpstr>
      <vt:lpstr>Cellule_11356</vt:lpstr>
      <vt:lpstr>Cellule_11357</vt:lpstr>
      <vt:lpstr>Cellule_11358</vt:lpstr>
      <vt:lpstr>Cellule_11359</vt:lpstr>
      <vt:lpstr>Cellule_11361</vt:lpstr>
      <vt:lpstr>Cellule_11362</vt:lpstr>
      <vt:lpstr>Cellule_11363</vt:lpstr>
      <vt:lpstr>Cellule_11364</vt:lpstr>
      <vt:lpstr>Cellule_11366</vt:lpstr>
      <vt:lpstr>Cellule_11367</vt:lpstr>
      <vt:lpstr>Cellule_11368</vt:lpstr>
      <vt:lpstr>Cellule_11369</vt:lpstr>
      <vt:lpstr>Cellule_1137</vt:lpstr>
      <vt:lpstr>Cellule_11371</vt:lpstr>
      <vt:lpstr>Cellule_11372</vt:lpstr>
      <vt:lpstr>Cellule_11373</vt:lpstr>
      <vt:lpstr>Cellule_11374</vt:lpstr>
      <vt:lpstr>Cellule_11376</vt:lpstr>
      <vt:lpstr>Cellule_11377</vt:lpstr>
      <vt:lpstr>Cellule_11378</vt:lpstr>
      <vt:lpstr>Cellule_11379</vt:lpstr>
      <vt:lpstr>Cellule_1138</vt:lpstr>
      <vt:lpstr>Cellule_11381</vt:lpstr>
      <vt:lpstr>Cellule_11382</vt:lpstr>
      <vt:lpstr>Cellule_11383</vt:lpstr>
      <vt:lpstr>Cellule_11384</vt:lpstr>
      <vt:lpstr>Cellule_11386</vt:lpstr>
      <vt:lpstr>Cellule_11387</vt:lpstr>
      <vt:lpstr>Cellule_11388</vt:lpstr>
      <vt:lpstr>Cellule_11389</vt:lpstr>
      <vt:lpstr>Cellule_1139</vt:lpstr>
      <vt:lpstr>Cellule_11391</vt:lpstr>
      <vt:lpstr>Cellule_11392</vt:lpstr>
      <vt:lpstr>Cellule_11393</vt:lpstr>
      <vt:lpstr>Cellule_11394</vt:lpstr>
      <vt:lpstr>Cellule_11396</vt:lpstr>
      <vt:lpstr>Cellule_11397</vt:lpstr>
      <vt:lpstr>Cellule_11398</vt:lpstr>
      <vt:lpstr>Cellule_11399</vt:lpstr>
      <vt:lpstr>Cellule_1140</vt:lpstr>
      <vt:lpstr>Cellule_11401</vt:lpstr>
      <vt:lpstr>Cellule_11402</vt:lpstr>
      <vt:lpstr>Cellule_11403</vt:lpstr>
      <vt:lpstr>Cellule_11404</vt:lpstr>
      <vt:lpstr>Cellule_11406</vt:lpstr>
      <vt:lpstr>Cellule_11407</vt:lpstr>
      <vt:lpstr>Cellule_11408</vt:lpstr>
      <vt:lpstr>Cellule_11409</vt:lpstr>
      <vt:lpstr>Cellule_1141</vt:lpstr>
      <vt:lpstr>Cellule_11411</vt:lpstr>
      <vt:lpstr>Cellule_11412</vt:lpstr>
      <vt:lpstr>Cellule_11413</vt:lpstr>
      <vt:lpstr>Cellule_11414</vt:lpstr>
      <vt:lpstr>Cellule_11416</vt:lpstr>
      <vt:lpstr>Cellule_11417</vt:lpstr>
      <vt:lpstr>Cellule_11418</vt:lpstr>
      <vt:lpstr>Cellule_11419</vt:lpstr>
      <vt:lpstr>Cellule_1142</vt:lpstr>
      <vt:lpstr>Cellule_11421</vt:lpstr>
      <vt:lpstr>Cellule_11422</vt:lpstr>
      <vt:lpstr>Cellule_11423</vt:lpstr>
      <vt:lpstr>Cellule_11424</vt:lpstr>
      <vt:lpstr>Cellule_11426</vt:lpstr>
      <vt:lpstr>Cellule_11427</vt:lpstr>
      <vt:lpstr>Cellule_11428</vt:lpstr>
      <vt:lpstr>Cellule_11429</vt:lpstr>
      <vt:lpstr>Cellule_1143</vt:lpstr>
      <vt:lpstr>Cellule_11431</vt:lpstr>
      <vt:lpstr>Cellule_11432</vt:lpstr>
      <vt:lpstr>Cellule_11433</vt:lpstr>
      <vt:lpstr>Cellule_11434</vt:lpstr>
      <vt:lpstr>Cellule_11436</vt:lpstr>
      <vt:lpstr>Cellule_11437</vt:lpstr>
      <vt:lpstr>Cellule_11438</vt:lpstr>
      <vt:lpstr>Cellule_11439</vt:lpstr>
      <vt:lpstr>Cellule_1144</vt:lpstr>
      <vt:lpstr>Cellule_1146</vt:lpstr>
      <vt:lpstr>Cellule_1147</vt:lpstr>
      <vt:lpstr>Cellule_1148</vt:lpstr>
      <vt:lpstr>Cellule_1149</vt:lpstr>
      <vt:lpstr>Cellule_1150</vt:lpstr>
      <vt:lpstr>Cellule_1151</vt:lpstr>
      <vt:lpstr>Cellule_1152</vt:lpstr>
      <vt:lpstr>Cellule_1153</vt:lpstr>
      <vt:lpstr>Cellule_1155</vt:lpstr>
      <vt:lpstr>Cellule_1156</vt:lpstr>
      <vt:lpstr>Cellule_1157</vt:lpstr>
      <vt:lpstr>Cellule_1158</vt:lpstr>
      <vt:lpstr>Cellule_1159</vt:lpstr>
      <vt:lpstr>Cellule_1160</vt:lpstr>
      <vt:lpstr>Cellule_1161</vt:lpstr>
      <vt:lpstr>Cellule_1162</vt:lpstr>
      <vt:lpstr>Cellule_1164</vt:lpstr>
      <vt:lpstr>Cellule_1165</vt:lpstr>
      <vt:lpstr>Cellule_1166</vt:lpstr>
      <vt:lpstr>Cellule_1167</vt:lpstr>
      <vt:lpstr>Cellule_1168</vt:lpstr>
      <vt:lpstr>Cellule_1169</vt:lpstr>
      <vt:lpstr>Cellule_1170</vt:lpstr>
      <vt:lpstr>Cellule_1171</vt:lpstr>
      <vt:lpstr>Cellule_1173</vt:lpstr>
      <vt:lpstr>Cellule_1174</vt:lpstr>
      <vt:lpstr>Cellule_1175</vt:lpstr>
      <vt:lpstr>Cellule_1176</vt:lpstr>
      <vt:lpstr>Cellule_1177</vt:lpstr>
      <vt:lpstr>Cellule_1178</vt:lpstr>
      <vt:lpstr>Cellule_1179</vt:lpstr>
      <vt:lpstr>Cellule_1180</vt:lpstr>
      <vt:lpstr>Cellule_1182</vt:lpstr>
      <vt:lpstr>Cellule_1183</vt:lpstr>
      <vt:lpstr>Cellule_1184</vt:lpstr>
      <vt:lpstr>Cellule_1185</vt:lpstr>
      <vt:lpstr>Cellule_1186</vt:lpstr>
      <vt:lpstr>Cellule_1187</vt:lpstr>
      <vt:lpstr>Cellule_1188</vt:lpstr>
      <vt:lpstr>Cellule_1189</vt:lpstr>
      <vt:lpstr>Cellule_1191</vt:lpstr>
      <vt:lpstr>Cellule_1192</vt:lpstr>
      <vt:lpstr>Cellule_1193</vt:lpstr>
      <vt:lpstr>Cellule_1194</vt:lpstr>
      <vt:lpstr>Cellule_1195</vt:lpstr>
      <vt:lpstr>Cellule_1196</vt:lpstr>
      <vt:lpstr>Cellule_1197</vt:lpstr>
      <vt:lpstr>Cellule_1198</vt:lpstr>
      <vt:lpstr>Cellule_1200</vt:lpstr>
      <vt:lpstr>Cellule_1201</vt:lpstr>
      <vt:lpstr>Cellule_1202</vt:lpstr>
      <vt:lpstr>Cellule_1203</vt:lpstr>
      <vt:lpstr>Cellule_1204</vt:lpstr>
      <vt:lpstr>Cellule_1205</vt:lpstr>
      <vt:lpstr>Cellule_1206</vt:lpstr>
      <vt:lpstr>Cellule_1207</vt:lpstr>
      <vt:lpstr>Cellule_1208_1</vt:lpstr>
      <vt:lpstr>Cellule_1208_2</vt:lpstr>
      <vt:lpstr>Cellule_1208_3</vt:lpstr>
      <vt:lpstr>Cellule_1208_4</vt:lpstr>
      <vt:lpstr>Cellule_1209_1</vt:lpstr>
      <vt:lpstr>Cellule_1209_2</vt:lpstr>
      <vt:lpstr>Cellule_1209_3</vt:lpstr>
      <vt:lpstr>Cellule_1209_4</vt:lpstr>
      <vt:lpstr>Cellule_1210_1</vt:lpstr>
      <vt:lpstr>Cellule_1210_2</vt:lpstr>
      <vt:lpstr>Cellule_1210_3</vt:lpstr>
      <vt:lpstr>Cellule_1210_4</vt:lpstr>
      <vt:lpstr>Cellule_1211_1</vt:lpstr>
      <vt:lpstr>Cellule_1211_2</vt:lpstr>
      <vt:lpstr>Cellule_1211_3</vt:lpstr>
      <vt:lpstr>Cellule_1211_4</vt:lpstr>
      <vt:lpstr>Cellule_1212_1</vt:lpstr>
      <vt:lpstr>Cellule_1212_2</vt:lpstr>
      <vt:lpstr>Cellule_1212_3</vt:lpstr>
      <vt:lpstr>Cellule_1212_4</vt:lpstr>
      <vt:lpstr>Cellule_12121</vt:lpstr>
      <vt:lpstr>Cellule_12122</vt:lpstr>
      <vt:lpstr>Cellule_12123</vt:lpstr>
      <vt:lpstr>Cellule_12124</vt:lpstr>
      <vt:lpstr>Cellule_12125</vt:lpstr>
      <vt:lpstr>Cellule_1213_1</vt:lpstr>
      <vt:lpstr>Cellule_1213_2</vt:lpstr>
      <vt:lpstr>Cellule_1213_3</vt:lpstr>
      <vt:lpstr>Cellule_1213_4</vt:lpstr>
      <vt:lpstr>Cellule_1214_1</vt:lpstr>
      <vt:lpstr>Cellule_1214_2</vt:lpstr>
      <vt:lpstr>Cellule_1214_3</vt:lpstr>
      <vt:lpstr>Cellule_1214_4</vt:lpstr>
      <vt:lpstr>Cellule_1215_1</vt:lpstr>
      <vt:lpstr>Cellule_1215_2</vt:lpstr>
      <vt:lpstr>Cellule_1215_3</vt:lpstr>
      <vt:lpstr>Cellule_1215_4</vt:lpstr>
      <vt:lpstr>Cellule_1216_1</vt:lpstr>
      <vt:lpstr>Cellule_1216_2</vt:lpstr>
      <vt:lpstr>Cellule_1216_3</vt:lpstr>
      <vt:lpstr>Cellule_1216_4</vt:lpstr>
      <vt:lpstr>Cellule_1217_1</vt:lpstr>
      <vt:lpstr>Cellule_1217_2</vt:lpstr>
      <vt:lpstr>Cellule_1217_3</vt:lpstr>
      <vt:lpstr>Cellule_1217_4</vt:lpstr>
      <vt:lpstr>Cellule_1218_1</vt:lpstr>
      <vt:lpstr>Cellule_1218_2</vt:lpstr>
      <vt:lpstr>Cellule_1218_3</vt:lpstr>
      <vt:lpstr>Cellule_1218_4</vt:lpstr>
      <vt:lpstr>Cellule_1219_1</vt:lpstr>
      <vt:lpstr>Cellule_1219_2</vt:lpstr>
      <vt:lpstr>Cellule_1219_3</vt:lpstr>
      <vt:lpstr>Cellule_1219_4</vt:lpstr>
      <vt:lpstr>Cellule_122</vt:lpstr>
      <vt:lpstr>Cellule_1220_1</vt:lpstr>
      <vt:lpstr>Cellule_1220_2</vt:lpstr>
      <vt:lpstr>Cellule_1220_3</vt:lpstr>
      <vt:lpstr>Cellule_1220_4</vt:lpstr>
      <vt:lpstr>Cellule_1221_1</vt:lpstr>
      <vt:lpstr>Cellule_1221_2</vt:lpstr>
      <vt:lpstr>Cellule_1221_3</vt:lpstr>
      <vt:lpstr>Cellule_1221_4</vt:lpstr>
      <vt:lpstr>Cellule_1222_1</vt:lpstr>
      <vt:lpstr>Cellule_1222_2</vt:lpstr>
      <vt:lpstr>Cellule_1222_3</vt:lpstr>
      <vt:lpstr>Cellule_1222_4</vt:lpstr>
      <vt:lpstr>Cellule_1223_1</vt:lpstr>
      <vt:lpstr>Cellule_1223_2</vt:lpstr>
      <vt:lpstr>Cellule_1223_3</vt:lpstr>
      <vt:lpstr>Cellule_1223_4</vt:lpstr>
      <vt:lpstr>Cellule_1224_1</vt:lpstr>
      <vt:lpstr>Cellule_1224_2</vt:lpstr>
      <vt:lpstr>Cellule_1224_3</vt:lpstr>
      <vt:lpstr>Cellule_1224_4</vt:lpstr>
      <vt:lpstr>Cellule_1225_1</vt:lpstr>
      <vt:lpstr>Cellule_1225_2</vt:lpstr>
      <vt:lpstr>Cellule_1225_3</vt:lpstr>
      <vt:lpstr>Cellule_1225_4</vt:lpstr>
      <vt:lpstr>Cellule_1226_1</vt:lpstr>
      <vt:lpstr>Cellule_1226_2</vt:lpstr>
      <vt:lpstr>Cellule_1226_3</vt:lpstr>
      <vt:lpstr>Cellule_1226_4</vt:lpstr>
      <vt:lpstr>Cellule_1227_1</vt:lpstr>
      <vt:lpstr>Cellule_1227_2</vt:lpstr>
      <vt:lpstr>Cellule_1227_3</vt:lpstr>
      <vt:lpstr>Cellule_1227_4</vt:lpstr>
      <vt:lpstr>Cellule_1228_1</vt:lpstr>
      <vt:lpstr>Cellule_1228_2</vt:lpstr>
      <vt:lpstr>Cellule_1228_3</vt:lpstr>
      <vt:lpstr>Cellule_1228_4</vt:lpstr>
      <vt:lpstr>Cellule_1229_1</vt:lpstr>
      <vt:lpstr>Cellule_1229_2</vt:lpstr>
      <vt:lpstr>Cellule_1229_3</vt:lpstr>
      <vt:lpstr>Cellule_1229_4</vt:lpstr>
      <vt:lpstr>Cellule_123</vt:lpstr>
      <vt:lpstr>Cellule_1231</vt:lpstr>
      <vt:lpstr>Cellule_1232</vt:lpstr>
      <vt:lpstr>Cellule_1233</vt:lpstr>
      <vt:lpstr>Cellule_1234</vt:lpstr>
      <vt:lpstr>Cellule_1236</vt:lpstr>
      <vt:lpstr>Cellule_1237</vt:lpstr>
      <vt:lpstr>Cellule_1238</vt:lpstr>
      <vt:lpstr>Cellule_1239</vt:lpstr>
      <vt:lpstr>Cellule_124</vt:lpstr>
      <vt:lpstr>Cellule_1241</vt:lpstr>
      <vt:lpstr>Cellule_1242</vt:lpstr>
      <vt:lpstr>Cellule_1243</vt:lpstr>
      <vt:lpstr>Cellule_1244</vt:lpstr>
      <vt:lpstr>Cellule_1246</vt:lpstr>
      <vt:lpstr>Cellule_1247</vt:lpstr>
      <vt:lpstr>Cellule_1248</vt:lpstr>
      <vt:lpstr>Cellule_1249</vt:lpstr>
      <vt:lpstr>Cellule_125</vt:lpstr>
      <vt:lpstr>Cellule_1250_1</vt:lpstr>
      <vt:lpstr>Cellule_1250_2</vt:lpstr>
      <vt:lpstr>Cellule_1250_3</vt:lpstr>
      <vt:lpstr>Cellule_1250_4</vt:lpstr>
      <vt:lpstr>Cellule_1251_1</vt:lpstr>
      <vt:lpstr>Cellule_1251_2</vt:lpstr>
      <vt:lpstr>Cellule_1251_3</vt:lpstr>
      <vt:lpstr>Cellule_1251_4</vt:lpstr>
      <vt:lpstr>Cellule_1252_1</vt:lpstr>
      <vt:lpstr>Cellule_1252_2</vt:lpstr>
      <vt:lpstr>Cellule_1252_3</vt:lpstr>
      <vt:lpstr>Cellule_1252_4</vt:lpstr>
      <vt:lpstr>Cellule_1253_1</vt:lpstr>
      <vt:lpstr>Cellule_1253_2</vt:lpstr>
      <vt:lpstr>Cellule_1253_3</vt:lpstr>
      <vt:lpstr>Cellule_1253_4</vt:lpstr>
      <vt:lpstr>Cellule_1257</vt:lpstr>
      <vt:lpstr>Cellule_12597</vt:lpstr>
      <vt:lpstr>Cellule_12598</vt:lpstr>
      <vt:lpstr>Cellule_12599</vt:lpstr>
      <vt:lpstr>Cellule_126</vt:lpstr>
      <vt:lpstr>Cellule_12600</vt:lpstr>
      <vt:lpstr>Cellule_12601</vt:lpstr>
      <vt:lpstr>Cellule_12602</vt:lpstr>
      <vt:lpstr>Cellule_12603</vt:lpstr>
      <vt:lpstr>Cellule_12604</vt:lpstr>
      <vt:lpstr>Cellule_1261</vt:lpstr>
      <vt:lpstr>Cellule_1262</vt:lpstr>
      <vt:lpstr>Cellule_1263</vt:lpstr>
      <vt:lpstr>Cellule_1264</vt:lpstr>
      <vt:lpstr>Cellule_1265</vt:lpstr>
      <vt:lpstr>Cellule_1267_1</vt:lpstr>
      <vt:lpstr>Cellule_1267_2</vt:lpstr>
      <vt:lpstr>Cellule_1267_3</vt:lpstr>
      <vt:lpstr>Cellule_1267_4</vt:lpstr>
      <vt:lpstr>Cellule_1267_5</vt:lpstr>
      <vt:lpstr>Cellule_1267_6</vt:lpstr>
      <vt:lpstr>Cellule_1268_1</vt:lpstr>
      <vt:lpstr>Cellule_1268_2</vt:lpstr>
      <vt:lpstr>Cellule_1268_3</vt:lpstr>
      <vt:lpstr>Cellule_1268_4</vt:lpstr>
      <vt:lpstr>Cellule_1268_5</vt:lpstr>
      <vt:lpstr>Cellule_1268_6</vt:lpstr>
      <vt:lpstr>Cellule_1269_1</vt:lpstr>
      <vt:lpstr>Cellule_1269_2</vt:lpstr>
      <vt:lpstr>Cellule_1269_3</vt:lpstr>
      <vt:lpstr>Cellule_1269_4</vt:lpstr>
      <vt:lpstr>Cellule_1269_5</vt:lpstr>
      <vt:lpstr>Cellule_1269_6</vt:lpstr>
      <vt:lpstr>Cellule_127</vt:lpstr>
      <vt:lpstr>Cellule_1270_1</vt:lpstr>
      <vt:lpstr>Cellule_1270_2</vt:lpstr>
      <vt:lpstr>Cellule_1270_3</vt:lpstr>
      <vt:lpstr>Cellule_1270_4</vt:lpstr>
      <vt:lpstr>Cellule_1270_5</vt:lpstr>
      <vt:lpstr>Cellule_1270_6</vt:lpstr>
      <vt:lpstr>Cellule_1271_1</vt:lpstr>
      <vt:lpstr>Cellule_1271_2</vt:lpstr>
      <vt:lpstr>Cellule_1271_3</vt:lpstr>
      <vt:lpstr>Cellule_1271_4</vt:lpstr>
      <vt:lpstr>Cellule_1271_5</vt:lpstr>
      <vt:lpstr>Cellule_1271_6</vt:lpstr>
      <vt:lpstr>Cellule_1272_1</vt:lpstr>
      <vt:lpstr>Cellule_1272_2</vt:lpstr>
      <vt:lpstr>Cellule_1272_3</vt:lpstr>
      <vt:lpstr>Cellule_1272_4</vt:lpstr>
      <vt:lpstr>Cellule_1272_5</vt:lpstr>
      <vt:lpstr>Cellule_1272_6</vt:lpstr>
      <vt:lpstr>Cellule_1273_1</vt:lpstr>
      <vt:lpstr>Cellule_1273_2</vt:lpstr>
      <vt:lpstr>Cellule_1273_3</vt:lpstr>
      <vt:lpstr>Cellule_1273_4</vt:lpstr>
      <vt:lpstr>Cellule_1273_5</vt:lpstr>
      <vt:lpstr>Cellule_1273_6</vt:lpstr>
      <vt:lpstr>Cellule_1274_1</vt:lpstr>
      <vt:lpstr>Cellule_1274_2</vt:lpstr>
      <vt:lpstr>Cellule_1274_3</vt:lpstr>
      <vt:lpstr>Cellule_1274_4</vt:lpstr>
      <vt:lpstr>Cellule_1274_5</vt:lpstr>
      <vt:lpstr>Cellule_1274_6</vt:lpstr>
      <vt:lpstr>Cellule_1279</vt:lpstr>
      <vt:lpstr>Cellule_128</vt:lpstr>
      <vt:lpstr>Cellule_1280</vt:lpstr>
      <vt:lpstr>Cellule_129</vt:lpstr>
      <vt:lpstr>Cellule_130</vt:lpstr>
      <vt:lpstr>Cellule_1308</vt:lpstr>
      <vt:lpstr>Cellule_1309</vt:lpstr>
      <vt:lpstr>Cellule_131</vt:lpstr>
      <vt:lpstr>Cellule_1310</vt:lpstr>
      <vt:lpstr>Cellule_1311</vt:lpstr>
      <vt:lpstr>Cellule_1312</vt:lpstr>
      <vt:lpstr>Cellule_1313</vt:lpstr>
      <vt:lpstr>Cellule_1314</vt:lpstr>
      <vt:lpstr>Cellule_1315</vt:lpstr>
      <vt:lpstr>Cellule_1316</vt:lpstr>
      <vt:lpstr>Cellule_1317</vt:lpstr>
      <vt:lpstr>Cellule_1318</vt:lpstr>
      <vt:lpstr>Cellule_1319</vt:lpstr>
      <vt:lpstr>Cellule_132</vt:lpstr>
      <vt:lpstr>Cellule_1320</vt:lpstr>
      <vt:lpstr>Cellule_1321</vt:lpstr>
      <vt:lpstr>Cellule_1324</vt:lpstr>
      <vt:lpstr>Cellule_1325</vt:lpstr>
      <vt:lpstr>Cellule_1326</vt:lpstr>
      <vt:lpstr>Cellule_1327</vt:lpstr>
      <vt:lpstr>Cellule_1328</vt:lpstr>
      <vt:lpstr>Cellule_1329</vt:lpstr>
      <vt:lpstr>Cellule_133</vt:lpstr>
      <vt:lpstr>Cellule_1330</vt:lpstr>
      <vt:lpstr>Cellule_1331</vt:lpstr>
      <vt:lpstr>Cellule_1332</vt:lpstr>
      <vt:lpstr>Cellule_1333</vt:lpstr>
      <vt:lpstr>Cellule_13339</vt:lpstr>
      <vt:lpstr>Cellule_1334</vt:lpstr>
      <vt:lpstr>Cellule_13343</vt:lpstr>
      <vt:lpstr>Cellule_1335</vt:lpstr>
      <vt:lpstr>Cellule_1336</vt:lpstr>
      <vt:lpstr>Cellule_13368</vt:lpstr>
      <vt:lpstr>Cellule_13369</vt:lpstr>
      <vt:lpstr>Cellule_1337</vt:lpstr>
      <vt:lpstr>Cellule_13370</vt:lpstr>
      <vt:lpstr>Cellule_13371</vt:lpstr>
      <vt:lpstr>Cellule_13372</vt:lpstr>
      <vt:lpstr>Cellule_13373</vt:lpstr>
      <vt:lpstr>Cellule_13374</vt:lpstr>
      <vt:lpstr>Cellule_13375</vt:lpstr>
      <vt:lpstr>Cellule_13376</vt:lpstr>
      <vt:lpstr>Cellule_13377</vt:lpstr>
      <vt:lpstr>Cellule_13378</vt:lpstr>
      <vt:lpstr>Cellule_13379</vt:lpstr>
      <vt:lpstr>Cellule_1338</vt:lpstr>
      <vt:lpstr>Cellule_13380</vt:lpstr>
      <vt:lpstr>Cellule_13381</vt:lpstr>
      <vt:lpstr>Cellule_13382</vt:lpstr>
      <vt:lpstr>Cellule_13383</vt:lpstr>
      <vt:lpstr>Cellule_13384</vt:lpstr>
      <vt:lpstr>Cellule_13385</vt:lpstr>
      <vt:lpstr>Cellule_13386</vt:lpstr>
      <vt:lpstr>Cellule_13387</vt:lpstr>
      <vt:lpstr>Cellule_13388</vt:lpstr>
      <vt:lpstr>Cellule_13389</vt:lpstr>
      <vt:lpstr>Cellule_1339</vt:lpstr>
      <vt:lpstr>Cellule_13390</vt:lpstr>
      <vt:lpstr>Cellule_13391</vt:lpstr>
      <vt:lpstr>Cellule_13392</vt:lpstr>
      <vt:lpstr>Cellule_13393</vt:lpstr>
      <vt:lpstr>Cellule_13394</vt:lpstr>
      <vt:lpstr>Cellule_13395</vt:lpstr>
      <vt:lpstr>Cellule_13396</vt:lpstr>
      <vt:lpstr>Cellule_13397</vt:lpstr>
      <vt:lpstr>Cellule_13398</vt:lpstr>
      <vt:lpstr>Cellule_13399</vt:lpstr>
      <vt:lpstr>Cellule_134</vt:lpstr>
      <vt:lpstr>Cellule_1340</vt:lpstr>
      <vt:lpstr>Cellule_13400</vt:lpstr>
      <vt:lpstr>Cellule_13401</vt:lpstr>
      <vt:lpstr>Cellule_13402</vt:lpstr>
      <vt:lpstr>Cellule_13403</vt:lpstr>
      <vt:lpstr>Cellule_13404</vt:lpstr>
      <vt:lpstr>Cellule_13405</vt:lpstr>
      <vt:lpstr>Cellule_13406</vt:lpstr>
      <vt:lpstr>Cellule_13407</vt:lpstr>
      <vt:lpstr>Cellule_13408</vt:lpstr>
      <vt:lpstr>Cellule_13409</vt:lpstr>
      <vt:lpstr>Cellule_1341</vt:lpstr>
      <vt:lpstr>Cellule_13410</vt:lpstr>
      <vt:lpstr>Cellule_13411</vt:lpstr>
      <vt:lpstr>Cellule_13412</vt:lpstr>
      <vt:lpstr>Cellule_13413</vt:lpstr>
      <vt:lpstr>Cellule_13414</vt:lpstr>
      <vt:lpstr>Cellule_13415</vt:lpstr>
      <vt:lpstr>Cellule_13416</vt:lpstr>
      <vt:lpstr>Cellule_13417</vt:lpstr>
      <vt:lpstr>Cellule_13418</vt:lpstr>
      <vt:lpstr>Cellule_13419</vt:lpstr>
      <vt:lpstr>Cellule_1342</vt:lpstr>
      <vt:lpstr>Cellule_13420</vt:lpstr>
      <vt:lpstr>Cellule_13421</vt:lpstr>
      <vt:lpstr>Cellule_13422</vt:lpstr>
      <vt:lpstr>Cellule_13423</vt:lpstr>
      <vt:lpstr>Cellule_13424</vt:lpstr>
      <vt:lpstr>Cellule_13425</vt:lpstr>
      <vt:lpstr>Cellule_13426</vt:lpstr>
      <vt:lpstr>Cellule_13427</vt:lpstr>
      <vt:lpstr>Cellule_13428</vt:lpstr>
      <vt:lpstr>Cellule_13429</vt:lpstr>
      <vt:lpstr>Cellule_1343</vt:lpstr>
      <vt:lpstr>Cellule_13430</vt:lpstr>
      <vt:lpstr>Cellule_13431</vt:lpstr>
      <vt:lpstr>Cellule_13432</vt:lpstr>
      <vt:lpstr>Cellule_13433</vt:lpstr>
      <vt:lpstr>Cellule_13434</vt:lpstr>
      <vt:lpstr>Cellule_13435</vt:lpstr>
      <vt:lpstr>Cellule_13436</vt:lpstr>
      <vt:lpstr>Cellule_13437</vt:lpstr>
      <vt:lpstr>Cellule_13438</vt:lpstr>
      <vt:lpstr>Cellule_13439</vt:lpstr>
      <vt:lpstr>Cellule_1344</vt:lpstr>
      <vt:lpstr>Cellule_13440</vt:lpstr>
      <vt:lpstr>Cellule_13441</vt:lpstr>
      <vt:lpstr>Cellule_13442</vt:lpstr>
      <vt:lpstr>Cellule_13443</vt:lpstr>
      <vt:lpstr>Cellule_13444</vt:lpstr>
      <vt:lpstr>Cellule_13445</vt:lpstr>
      <vt:lpstr>Cellule_13446</vt:lpstr>
      <vt:lpstr>Cellule_13447</vt:lpstr>
      <vt:lpstr>Cellule_13448</vt:lpstr>
      <vt:lpstr>Cellule_13449</vt:lpstr>
      <vt:lpstr>Cellule_1345</vt:lpstr>
      <vt:lpstr>Cellule_13450</vt:lpstr>
      <vt:lpstr>Cellule_13451</vt:lpstr>
      <vt:lpstr>Cellule_13452</vt:lpstr>
      <vt:lpstr>Cellule_13453</vt:lpstr>
      <vt:lpstr>Cellule_1346</vt:lpstr>
      <vt:lpstr>Cellule_1349</vt:lpstr>
      <vt:lpstr>Cellule_135</vt:lpstr>
      <vt:lpstr>Cellule_1350</vt:lpstr>
      <vt:lpstr>Cellule_13505</vt:lpstr>
      <vt:lpstr>Cellule_13506</vt:lpstr>
      <vt:lpstr>Cellule_13507</vt:lpstr>
      <vt:lpstr>Cellule_13508</vt:lpstr>
      <vt:lpstr>Cellule_13509</vt:lpstr>
      <vt:lpstr>Cellule_1351</vt:lpstr>
      <vt:lpstr>Cellule_13510</vt:lpstr>
      <vt:lpstr>Cellule_13511</vt:lpstr>
      <vt:lpstr>Cellule_13512</vt:lpstr>
      <vt:lpstr>Cellule_13513</vt:lpstr>
      <vt:lpstr>Cellule_1352</vt:lpstr>
      <vt:lpstr>Cellule_1353</vt:lpstr>
      <vt:lpstr>Cellule_13536_1</vt:lpstr>
      <vt:lpstr>Cellule_13536_2</vt:lpstr>
      <vt:lpstr>Cellule_13536_3</vt:lpstr>
      <vt:lpstr>Cellule_13536_4</vt:lpstr>
      <vt:lpstr>Cellule_13536_5</vt:lpstr>
      <vt:lpstr>Cellule_13536_6</vt:lpstr>
      <vt:lpstr>Cellule_13537_1</vt:lpstr>
      <vt:lpstr>Cellule_13537_2</vt:lpstr>
      <vt:lpstr>Cellule_13537_3</vt:lpstr>
      <vt:lpstr>Cellule_13537_4</vt:lpstr>
      <vt:lpstr>Cellule_13537_5</vt:lpstr>
      <vt:lpstr>Cellule_13537_6</vt:lpstr>
      <vt:lpstr>Cellule_1354</vt:lpstr>
      <vt:lpstr>Cellule_1355</vt:lpstr>
      <vt:lpstr>Cellule_1356</vt:lpstr>
      <vt:lpstr>Cellule_1357</vt:lpstr>
      <vt:lpstr>Cellule_136</vt:lpstr>
      <vt:lpstr>Cellule_137</vt:lpstr>
      <vt:lpstr>Cellule_1372</vt:lpstr>
      <vt:lpstr>Cellule_1373</vt:lpstr>
      <vt:lpstr>Cellule_1374</vt:lpstr>
      <vt:lpstr>Cellule_1375</vt:lpstr>
      <vt:lpstr>Cellule_1376</vt:lpstr>
      <vt:lpstr>Cellule_1377</vt:lpstr>
      <vt:lpstr>Cellule_1378</vt:lpstr>
      <vt:lpstr>Cellule_1379</vt:lpstr>
      <vt:lpstr>Cellule_138</vt:lpstr>
      <vt:lpstr>Cellule_1380</vt:lpstr>
      <vt:lpstr>Cellule_1381</vt:lpstr>
      <vt:lpstr>Cellule_1382</vt:lpstr>
      <vt:lpstr>Cellule_1383</vt:lpstr>
      <vt:lpstr>Cellule_1384</vt:lpstr>
      <vt:lpstr>Cellule_1385</vt:lpstr>
      <vt:lpstr>Cellule_1386</vt:lpstr>
      <vt:lpstr>Cellule_1387</vt:lpstr>
      <vt:lpstr>Cellule_1388</vt:lpstr>
      <vt:lpstr>Cellule_1389</vt:lpstr>
      <vt:lpstr>Cellule_139</vt:lpstr>
      <vt:lpstr>Cellule_1390</vt:lpstr>
      <vt:lpstr>Cellule_1391</vt:lpstr>
      <vt:lpstr>Cellule_1392</vt:lpstr>
      <vt:lpstr>Cellule_1393</vt:lpstr>
      <vt:lpstr>Cellule_1394</vt:lpstr>
      <vt:lpstr>Cellule_1395</vt:lpstr>
      <vt:lpstr>Cellule_1396</vt:lpstr>
      <vt:lpstr>Cellule_1397</vt:lpstr>
      <vt:lpstr>Cellule_1398</vt:lpstr>
      <vt:lpstr>Cellule_1399</vt:lpstr>
      <vt:lpstr>Cellule_140</vt:lpstr>
      <vt:lpstr>Cellule_1401</vt:lpstr>
      <vt:lpstr>Cellule_1402</vt:lpstr>
      <vt:lpstr>Cellule_1403</vt:lpstr>
      <vt:lpstr>Cellule_1404</vt:lpstr>
      <vt:lpstr>Cellule_1405</vt:lpstr>
      <vt:lpstr>Cellule_1406</vt:lpstr>
      <vt:lpstr>Cellule_14068</vt:lpstr>
      <vt:lpstr>Cellule_14069</vt:lpstr>
      <vt:lpstr>Cellule_1407</vt:lpstr>
      <vt:lpstr>Cellule_14071</vt:lpstr>
      <vt:lpstr>Cellule_14072</vt:lpstr>
      <vt:lpstr>Cellule_14074</vt:lpstr>
      <vt:lpstr>Cellule_14075</vt:lpstr>
      <vt:lpstr>Cellule_14077</vt:lpstr>
      <vt:lpstr>Cellule_14078</vt:lpstr>
      <vt:lpstr>Cellule_14080</vt:lpstr>
      <vt:lpstr>Cellule_14081</vt:lpstr>
      <vt:lpstr>Cellule_14083</vt:lpstr>
      <vt:lpstr>Cellule_14084</vt:lpstr>
      <vt:lpstr>Cellule_14086</vt:lpstr>
      <vt:lpstr>Cellule_14087</vt:lpstr>
      <vt:lpstr>Cellule_14088_1</vt:lpstr>
      <vt:lpstr>Cellule_14088_2</vt:lpstr>
      <vt:lpstr>Cellule_14089_1</vt:lpstr>
      <vt:lpstr>Cellule_14089_2</vt:lpstr>
      <vt:lpstr>Cellule_1409</vt:lpstr>
      <vt:lpstr>Cellule_14090_1</vt:lpstr>
      <vt:lpstr>Cellule_14090_2</vt:lpstr>
      <vt:lpstr>Cellule_14091_1</vt:lpstr>
      <vt:lpstr>Cellule_14091_2</vt:lpstr>
      <vt:lpstr>Cellule_14092_1</vt:lpstr>
      <vt:lpstr>Cellule_14092_2</vt:lpstr>
      <vt:lpstr>Cellule_14093_1</vt:lpstr>
      <vt:lpstr>Cellule_14093_2</vt:lpstr>
      <vt:lpstr>Cellule_14098</vt:lpstr>
      <vt:lpstr>Cellule_14099</vt:lpstr>
      <vt:lpstr>Cellule_141</vt:lpstr>
      <vt:lpstr>Cellule_1410</vt:lpstr>
      <vt:lpstr>Cellule_14101</vt:lpstr>
      <vt:lpstr>Cellule_14102</vt:lpstr>
      <vt:lpstr>Cellule_14104</vt:lpstr>
      <vt:lpstr>Cellule_14105</vt:lpstr>
      <vt:lpstr>Cellule_1411</vt:lpstr>
      <vt:lpstr>Cellule_14113</vt:lpstr>
      <vt:lpstr>Cellule_14114</vt:lpstr>
      <vt:lpstr>Cellule_14115</vt:lpstr>
      <vt:lpstr>Cellule_14116</vt:lpstr>
      <vt:lpstr>Cellule_14117</vt:lpstr>
      <vt:lpstr>Cellule_14118</vt:lpstr>
      <vt:lpstr>Cellule_14119</vt:lpstr>
      <vt:lpstr>Cellule_1412</vt:lpstr>
      <vt:lpstr>Cellule_14120</vt:lpstr>
      <vt:lpstr>Cellule_14121</vt:lpstr>
      <vt:lpstr>Cellule_14122</vt:lpstr>
      <vt:lpstr>Cellule_14123</vt:lpstr>
      <vt:lpstr>Cellule_14124</vt:lpstr>
      <vt:lpstr>Cellule_14125</vt:lpstr>
      <vt:lpstr>Cellule_14126</vt:lpstr>
      <vt:lpstr>Cellule_14127</vt:lpstr>
      <vt:lpstr>Cellule_14128</vt:lpstr>
      <vt:lpstr>Cellule_14129</vt:lpstr>
      <vt:lpstr>Cellule_1413</vt:lpstr>
      <vt:lpstr>Cellule_14130</vt:lpstr>
      <vt:lpstr>Cellule_14131</vt:lpstr>
      <vt:lpstr>Cellule_14132</vt:lpstr>
      <vt:lpstr>Cellule_14133</vt:lpstr>
      <vt:lpstr>Cellule_14134</vt:lpstr>
      <vt:lpstr>Cellule_14135</vt:lpstr>
      <vt:lpstr>Cellule_14136</vt:lpstr>
      <vt:lpstr>Cellule_14137</vt:lpstr>
      <vt:lpstr>Cellule_14138</vt:lpstr>
      <vt:lpstr>Cellule_14139</vt:lpstr>
      <vt:lpstr>Cellule_1414</vt:lpstr>
      <vt:lpstr>Cellule_14140</vt:lpstr>
      <vt:lpstr>Cellule_1415</vt:lpstr>
      <vt:lpstr>Cellule_1417</vt:lpstr>
      <vt:lpstr>Cellule_14172</vt:lpstr>
      <vt:lpstr>Cellule_14173</vt:lpstr>
      <vt:lpstr>Cellule_14174</vt:lpstr>
      <vt:lpstr>Cellule_14175</vt:lpstr>
      <vt:lpstr>Cellule_14176</vt:lpstr>
      <vt:lpstr>Cellule_14177</vt:lpstr>
      <vt:lpstr>Cellule_14178</vt:lpstr>
      <vt:lpstr>Cellule_14179</vt:lpstr>
      <vt:lpstr>Cellule_1418</vt:lpstr>
      <vt:lpstr>Cellule_14180</vt:lpstr>
      <vt:lpstr>Cellule_14181</vt:lpstr>
      <vt:lpstr>Cellule_14182</vt:lpstr>
      <vt:lpstr>Cellule_14183</vt:lpstr>
      <vt:lpstr>Cellule_14184</vt:lpstr>
      <vt:lpstr>Cellule_14185</vt:lpstr>
      <vt:lpstr>Cellule_14186</vt:lpstr>
      <vt:lpstr>Cellule_14187</vt:lpstr>
      <vt:lpstr>Cellule_14188</vt:lpstr>
      <vt:lpstr>Cellule_14189</vt:lpstr>
      <vt:lpstr>Cellule_1419</vt:lpstr>
      <vt:lpstr>Cellule_14190</vt:lpstr>
      <vt:lpstr>Cellule_14191</vt:lpstr>
      <vt:lpstr>Cellule_14192</vt:lpstr>
      <vt:lpstr>Cellule_14193</vt:lpstr>
      <vt:lpstr>Cellule_14194</vt:lpstr>
      <vt:lpstr>Cellule_14195</vt:lpstr>
      <vt:lpstr>Cellule_14196</vt:lpstr>
      <vt:lpstr>Cellule_14197</vt:lpstr>
      <vt:lpstr>Cellule_14198</vt:lpstr>
      <vt:lpstr>Cellule_14199</vt:lpstr>
      <vt:lpstr>Cellule_142</vt:lpstr>
      <vt:lpstr>Cellule_1420</vt:lpstr>
      <vt:lpstr>Cellule_14200</vt:lpstr>
      <vt:lpstr>Cellule_14201</vt:lpstr>
      <vt:lpstr>Cellule_14202</vt:lpstr>
      <vt:lpstr>Cellule_14203</vt:lpstr>
      <vt:lpstr>Cellule_14204</vt:lpstr>
      <vt:lpstr>Cellule_14205</vt:lpstr>
      <vt:lpstr>Cellule_14206</vt:lpstr>
      <vt:lpstr>Cellule_14207</vt:lpstr>
      <vt:lpstr>Cellule_14208</vt:lpstr>
      <vt:lpstr>Cellule_14209</vt:lpstr>
      <vt:lpstr>Cellule_1421</vt:lpstr>
      <vt:lpstr>Cellule_14210</vt:lpstr>
      <vt:lpstr>Cellule_14211</vt:lpstr>
      <vt:lpstr>Cellule_14212</vt:lpstr>
      <vt:lpstr>Cellule_14213</vt:lpstr>
      <vt:lpstr>Cellule_14214</vt:lpstr>
      <vt:lpstr>Cellule_14215</vt:lpstr>
      <vt:lpstr>Cellule_14216</vt:lpstr>
      <vt:lpstr>Cellule_14217</vt:lpstr>
      <vt:lpstr>Cellule_14218</vt:lpstr>
      <vt:lpstr>Cellule_14219</vt:lpstr>
      <vt:lpstr>Cellule_1422</vt:lpstr>
      <vt:lpstr>Cellule_14221</vt:lpstr>
      <vt:lpstr>Cellule_14222</vt:lpstr>
      <vt:lpstr>Cellule_14223</vt:lpstr>
      <vt:lpstr>Cellule_14224</vt:lpstr>
      <vt:lpstr>Cellule_1423</vt:lpstr>
      <vt:lpstr>Cellule_14233</vt:lpstr>
      <vt:lpstr>Cellule_14234</vt:lpstr>
      <vt:lpstr>Cellule_14235</vt:lpstr>
      <vt:lpstr>Cellule_14236</vt:lpstr>
      <vt:lpstr>Cellule_14237</vt:lpstr>
      <vt:lpstr>Cellule_14238</vt:lpstr>
      <vt:lpstr>Cellule_14239</vt:lpstr>
      <vt:lpstr>Cellule_14240</vt:lpstr>
      <vt:lpstr>Cellule_14241</vt:lpstr>
      <vt:lpstr>Cellule_14242</vt:lpstr>
      <vt:lpstr>Cellule_14243</vt:lpstr>
      <vt:lpstr>Cellule_14244</vt:lpstr>
      <vt:lpstr>Cellule_14245</vt:lpstr>
      <vt:lpstr>Cellule_14246</vt:lpstr>
      <vt:lpstr>Cellule_14247</vt:lpstr>
      <vt:lpstr>Cellule_14248</vt:lpstr>
      <vt:lpstr>Cellule_14249</vt:lpstr>
      <vt:lpstr>Cellule_1425</vt:lpstr>
      <vt:lpstr>Cellule_14250</vt:lpstr>
      <vt:lpstr>Cellule_14251</vt:lpstr>
      <vt:lpstr>Cellule_14252</vt:lpstr>
      <vt:lpstr>Cellule_14253</vt:lpstr>
      <vt:lpstr>Cellule_14254</vt:lpstr>
      <vt:lpstr>Cellule_14255</vt:lpstr>
      <vt:lpstr>Cellule_14256</vt:lpstr>
      <vt:lpstr>Cellule_14257</vt:lpstr>
      <vt:lpstr>Cellule_14258</vt:lpstr>
      <vt:lpstr>Cellule_14259</vt:lpstr>
      <vt:lpstr>Cellule_1426</vt:lpstr>
      <vt:lpstr>Cellule_14260</vt:lpstr>
      <vt:lpstr>Cellule_14261</vt:lpstr>
      <vt:lpstr>Cellule_14262</vt:lpstr>
      <vt:lpstr>Cellule_14263</vt:lpstr>
      <vt:lpstr>Cellule_14264</vt:lpstr>
      <vt:lpstr>Cellule_14266</vt:lpstr>
      <vt:lpstr>Cellule_14267</vt:lpstr>
      <vt:lpstr>Cellule_14268</vt:lpstr>
      <vt:lpstr>Cellule_14269</vt:lpstr>
      <vt:lpstr>Cellule_1427</vt:lpstr>
      <vt:lpstr>Cellule_14271</vt:lpstr>
      <vt:lpstr>Cellule_14272</vt:lpstr>
      <vt:lpstr>Cellule_14273</vt:lpstr>
      <vt:lpstr>Cellule_14274</vt:lpstr>
      <vt:lpstr>Cellule_14276</vt:lpstr>
      <vt:lpstr>Cellule_14277</vt:lpstr>
      <vt:lpstr>Cellule_14278</vt:lpstr>
      <vt:lpstr>Cellule_14279</vt:lpstr>
      <vt:lpstr>Cellule_1428</vt:lpstr>
      <vt:lpstr>Cellule_14281</vt:lpstr>
      <vt:lpstr>Cellule_14282</vt:lpstr>
      <vt:lpstr>Cellule_14283</vt:lpstr>
      <vt:lpstr>Cellule_14284</vt:lpstr>
      <vt:lpstr>Cellule_1429</vt:lpstr>
      <vt:lpstr>Cellule_143</vt:lpstr>
      <vt:lpstr>Cellule_1430</vt:lpstr>
      <vt:lpstr>Cellule_14301</vt:lpstr>
      <vt:lpstr>Cellule_14303</vt:lpstr>
      <vt:lpstr>Cellule_14305</vt:lpstr>
      <vt:lpstr>Cellule_14307</vt:lpstr>
      <vt:lpstr>Cellule_14309</vt:lpstr>
      <vt:lpstr>Cellule_1431</vt:lpstr>
      <vt:lpstr>Cellule_14311</vt:lpstr>
      <vt:lpstr>Cellule_14313</vt:lpstr>
      <vt:lpstr>Cellule_14315</vt:lpstr>
      <vt:lpstr>Cellule_14317</vt:lpstr>
      <vt:lpstr>Cellule_14319</vt:lpstr>
      <vt:lpstr>Cellule_14321</vt:lpstr>
      <vt:lpstr>Cellule_14323</vt:lpstr>
      <vt:lpstr>Cellule_14325</vt:lpstr>
      <vt:lpstr>Cellule_14327</vt:lpstr>
      <vt:lpstr>Cellule_14329</vt:lpstr>
      <vt:lpstr>Cellule_1433</vt:lpstr>
      <vt:lpstr>Cellule_14331</vt:lpstr>
      <vt:lpstr>Cellule_14333</vt:lpstr>
      <vt:lpstr>Cellule_14335</vt:lpstr>
      <vt:lpstr>Cellule_14337</vt:lpstr>
      <vt:lpstr>Cellule_1434</vt:lpstr>
      <vt:lpstr>Cellule_14342</vt:lpstr>
      <vt:lpstr>Cellule_14343</vt:lpstr>
      <vt:lpstr>Cellule_14344</vt:lpstr>
      <vt:lpstr>Cellule_14345</vt:lpstr>
      <vt:lpstr>Cellule_14347</vt:lpstr>
      <vt:lpstr>Cellule_14349</vt:lpstr>
      <vt:lpstr>Cellule_1435</vt:lpstr>
      <vt:lpstr>Cellule_14353_1</vt:lpstr>
      <vt:lpstr>Cellule_14355_1</vt:lpstr>
      <vt:lpstr>Cellule_14355_2</vt:lpstr>
      <vt:lpstr>Cellule_14356_1</vt:lpstr>
      <vt:lpstr>Cellule_14356_2</vt:lpstr>
      <vt:lpstr>Cellule_1436</vt:lpstr>
      <vt:lpstr>Cellule_1437</vt:lpstr>
      <vt:lpstr>Cellule_1438</vt:lpstr>
      <vt:lpstr>Cellule_14380</vt:lpstr>
      <vt:lpstr>Cellule_1439</vt:lpstr>
      <vt:lpstr>Cellule_144</vt:lpstr>
      <vt:lpstr>Cellule_14415</vt:lpstr>
      <vt:lpstr>Cellule_1449</vt:lpstr>
      <vt:lpstr>Cellule_145</vt:lpstr>
      <vt:lpstr>Cellule_1450</vt:lpstr>
      <vt:lpstr>Cellule_1451</vt:lpstr>
      <vt:lpstr>Cellule_1452</vt:lpstr>
      <vt:lpstr>Cellule_1453</vt:lpstr>
      <vt:lpstr>Cellule_1454</vt:lpstr>
      <vt:lpstr>Cellule_1455</vt:lpstr>
      <vt:lpstr>Cellule_1457</vt:lpstr>
      <vt:lpstr>Cellule_1458</vt:lpstr>
      <vt:lpstr>Cellule_1459</vt:lpstr>
      <vt:lpstr>Cellule_146</vt:lpstr>
      <vt:lpstr>Cellule_1460</vt:lpstr>
      <vt:lpstr>Cellule_1461</vt:lpstr>
      <vt:lpstr>Cellule_1462</vt:lpstr>
      <vt:lpstr>Cellule_1463</vt:lpstr>
      <vt:lpstr>Cellule_1465</vt:lpstr>
      <vt:lpstr>Cellule_1466</vt:lpstr>
      <vt:lpstr>Cellule_1467</vt:lpstr>
      <vt:lpstr>Cellule_1468</vt:lpstr>
      <vt:lpstr>Cellule_1469</vt:lpstr>
      <vt:lpstr>Cellule_147</vt:lpstr>
      <vt:lpstr>Cellule_1470</vt:lpstr>
      <vt:lpstr>Cellule_1471</vt:lpstr>
      <vt:lpstr>Cellule_1473</vt:lpstr>
      <vt:lpstr>Cellule_1474</vt:lpstr>
      <vt:lpstr>Cellule_1475</vt:lpstr>
      <vt:lpstr>Cellule_1476</vt:lpstr>
      <vt:lpstr>Cellule_1477</vt:lpstr>
      <vt:lpstr>Cellule_1478</vt:lpstr>
      <vt:lpstr>Cellule_1479</vt:lpstr>
      <vt:lpstr>Cellule_148</vt:lpstr>
      <vt:lpstr>Cellule_1481</vt:lpstr>
      <vt:lpstr>Cellule_1482</vt:lpstr>
      <vt:lpstr>Cellule_1483</vt:lpstr>
      <vt:lpstr>Cellule_1484</vt:lpstr>
      <vt:lpstr>Cellule_1485</vt:lpstr>
      <vt:lpstr>Cellule_1486</vt:lpstr>
      <vt:lpstr>Cellule_1487</vt:lpstr>
      <vt:lpstr>Cellule_149</vt:lpstr>
      <vt:lpstr>Cellule_14990_1</vt:lpstr>
      <vt:lpstr>Cellule_14992</vt:lpstr>
      <vt:lpstr>Cellule_14994</vt:lpstr>
      <vt:lpstr>Cellule_14996</vt:lpstr>
      <vt:lpstr>Cellule_151</vt:lpstr>
      <vt:lpstr>Cellule_152</vt:lpstr>
      <vt:lpstr>Cellule_1521</vt:lpstr>
      <vt:lpstr>Cellule_1522</vt:lpstr>
      <vt:lpstr>Cellule_1523</vt:lpstr>
      <vt:lpstr>Cellule_1524</vt:lpstr>
      <vt:lpstr>Cellule_1525</vt:lpstr>
      <vt:lpstr>Cellule_1526</vt:lpstr>
      <vt:lpstr>Cellule_1527</vt:lpstr>
      <vt:lpstr>Cellule_1528</vt:lpstr>
      <vt:lpstr>Cellule_1529</vt:lpstr>
      <vt:lpstr>Cellule_153</vt:lpstr>
      <vt:lpstr>Cellule_1530</vt:lpstr>
      <vt:lpstr>Cellule_1531</vt:lpstr>
      <vt:lpstr>Cellule_1532</vt:lpstr>
      <vt:lpstr>Cellule_1533</vt:lpstr>
      <vt:lpstr>Cellule_1534</vt:lpstr>
      <vt:lpstr>Cellule_1535</vt:lpstr>
      <vt:lpstr>Cellule_1536</vt:lpstr>
      <vt:lpstr>Cellule_1537</vt:lpstr>
      <vt:lpstr>Cellule_1538</vt:lpstr>
      <vt:lpstr>Cellule_1539</vt:lpstr>
      <vt:lpstr>Cellule_154</vt:lpstr>
      <vt:lpstr>Cellule_1540</vt:lpstr>
      <vt:lpstr>Cellule_1541</vt:lpstr>
      <vt:lpstr>Cellule_1542</vt:lpstr>
      <vt:lpstr>Cellule_1543</vt:lpstr>
      <vt:lpstr>Cellule_1544</vt:lpstr>
      <vt:lpstr>Cellule_1545</vt:lpstr>
      <vt:lpstr>Cellule_1546</vt:lpstr>
      <vt:lpstr>Cellule_1547</vt:lpstr>
      <vt:lpstr>Cellule_1548</vt:lpstr>
      <vt:lpstr>Cellule_1549</vt:lpstr>
      <vt:lpstr>Cellule_1550</vt:lpstr>
      <vt:lpstr>Cellule_1551</vt:lpstr>
      <vt:lpstr>Cellule_1552</vt:lpstr>
      <vt:lpstr>Cellule_1553</vt:lpstr>
      <vt:lpstr>Cellule_1555</vt:lpstr>
      <vt:lpstr>Cellule_1556</vt:lpstr>
      <vt:lpstr>Cellule_1557</vt:lpstr>
      <vt:lpstr>Cellule_1558</vt:lpstr>
      <vt:lpstr>Cellule_1559</vt:lpstr>
      <vt:lpstr>Cellule_1560</vt:lpstr>
      <vt:lpstr>Cellule_1561</vt:lpstr>
      <vt:lpstr>Cellule_1562</vt:lpstr>
      <vt:lpstr>Cellule_1563</vt:lpstr>
      <vt:lpstr>Cellule_1564</vt:lpstr>
      <vt:lpstr>Cellule_1565</vt:lpstr>
      <vt:lpstr>Cellule_1566</vt:lpstr>
      <vt:lpstr>Cellule_1567</vt:lpstr>
      <vt:lpstr>Cellule_1568</vt:lpstr>
      <vt:lpstr>Cellule_1569</vt:lpstr>
      <vt:lpstr>Cellule_1570</vt:lpstr>
      <vt:lpstr>Cellule_1571</vt:lpstr>
      <vt:lpstr>Cellule_1572</vt:lpstr>
      <vt:lpstr>Cellule_1573</vt:lpstr>
      <vt:lpstr>Cellule_1574</vt:lpstr>
      <vt:lpstr>Cellule_1575</vt:lpstr>
      <vt:lpstr>Cellule_1576</vt:lpstr>
      <vt:lpstr>Cellule_1577</vt:lpstr>
      <vt:lpstr>Cellule_1578</vt:lpstr>
      <vt:lpstr>Cellule_1579</vt:lpstr>
      <vt:lpstr>Cellule_1582</vt:lpstr>
      <vt:lpstr>Cellule_1583</vt:lpstr>
      <vt:lpstr>Cellule_1584</vt:lpstr>
      <vt:lpstr>Cellule_1585</vt:lpstr>
      <vt:lpstr>Cellule_1586</vt:lpstr>
      <vt:lpstr>Cellule_1587</vt:lpstr>
      <vt:lpstr>Cellule_1588</vt:lpstr>
      <vt:lpstr>Cellule_1589</vt:lpstr>
      <vt:lpstr>Cellule_1590</vt:lpstr>
      <vt:lpstr>Cellule_1591</vt:lpstr>
      <vt:lpstr>Cellule_1592</vt:lpstr>
      <vt:lpstr>Cellule_1593</vt:lpstr>
      <vt:lpstr>Cellule_1594</vt:lpstr>
      <vt:lpstr>Cellule_1596</vt:lpstr>
      <vt:lpstr>Cellule_1597</vt:lpstr>
      <vt:lpstr>Cellule_1598</vt:lpstr>
      <vt:lpstr>Cellule_1599</vt:lpstr>
      <vt:lpstr>Cellule_160</vt:lpstr>
      <vt:lpstr>Cellule_1600</vt:lpstr>
      <vt:lpstr>Cellule_1601</vt:lpstr>
      <vt:lpstr>Cellule_1602</vt:lpstr>
      <vt:lpstr>Cellule_1604</vt:lpstr>
      <vt:lpstr>Cellule_1605</vt:lpstr>
      <vt:lpstr>Cellule_1606</vt:lpstr>
      <vt:lpstr>Cellule_1607</vt:lpstr>
      <vt:lpstr>Cellule_1608</vt:lpstr>
      <vt:lpstr>Cellule_1609</vt:lpstr>
      <vt:lpstr>Cellule_161</vt:lpstr>
      <vt:lpstr>Cellule_1610</vt:lpstr>
      <vt:lpstr>Cellule_1612</vt:lpstr>
      <vt:lpstr>Cellule_1613</vt:lpstr>
      <vt:lpstr>Cellule_1614</vt:lpstr>
      <vt:lpstr>Cellule_1615</vt:lpstr>
      <vt:lpstr>Cellule_1616</vt:lpstr>
      <vt:lpstr>Cellule_1617</vt:lpstr>
      <vt:lpstr>Cellule_1618</vt:lpstr>
      <vt:lpstr>Cellule_162</vt:lpstr>
      <vt:lpstr>Cellule_1624</vt:lpstr>
      <vt:lpstr>Cellule_1625</vt:lpstr>
      <vt:lpstr>Cellule_1626</vt:lpstr>
      <vt:lpstr>Cellule_1627</vt:lpstr>
      <vt:lpstr>Cellule_1628</vt:lpstr>
      <vt:lpstr>Cellule_1629</vt:lpstr>
      <vt:lpstr>Cellule_163</vt:lpstr>
      <vt:lpstr>Cellule_1630</vt:lpstr>
      <vt:lpstr>Cellule_1631</vt:lpstr>
      <vt:lpstr>Cellule_1632</vt:lpstr>
      <vt:lpstr>Cellule_1633</vt:lpstr>
      <vt:lpstr>Cellule_1635</vt:lpstr>
      <vt:lpstr>Cellule_1636</vt:lpstr>
      <vt:lpstr>Cellule_1637</vt:lpstr>
      <vt:lpstr>Cellule_1638</vt:lpstr>
      <vt:lpstr>Cellule_1639</vt:lpstr>
      <vt:lpstr>Cellule_16394</vt:lpstr>
      <vt:lpstr>Cellule_16395</vt:lpstr>
      <vt:lpstr>Cellule_16397</vt:lpstr>
      <vt:lpstr>Cellule_16398</vt:lpstr>
      <vt:lpstr>Cellule_164</vt:lpstr>
      <vt:lpstr>Cellule_1640</vt:lpstr>
      <vt:lpstr>Cellule_16400</vt:lpstr>
      <vt:lpstr>Cellule_16401</vt:lpstr>
      <vt:lpstr>Cellule_1641</vt:lpstr>
      <vt:lpstr>Cellule_1643</vt:lpstr>
      <vt:lpstr>Cellule_1644</vt:lpstr>
      <vt:lpstr>Cellule_1645</vt:lpstr>
      <vt:lpstr>Cellule_1646</vt:lpstr>
      <vt:lpstr>Cellule_1647</vt:lpstr>
      <vt:lpstr>Cellule_1648</vt:lpstr>
      <vt:lpstr>Cellule_1649</vt:lpstr>
      <vt:lpstr>Cellule_165</vt:lpstr>
      <vt:lpstr>Cellule_1650</vt:lpstr>
      <vt:lpstr>Cellule_1651</vt:lpstr>
      <vt:lpstr>Cellule_1652</vt:lpstr>
      <vt:lpstr>Cellule_1653</vt:lpstr>
      <vt:lpstr>Cellule_1654</vt:lpstr>
      <vt:lpstr>Cellule_1656</vt:lpstr>
      <vt:lpstr>Cellule_1657</vt:lpstr>
      <vt:lpstr>Cellule_1658</vt:lpstr>
      <vt:lpstr>Cellule_1659</vt:lpstr>
      <vt:lpstr>Cellule_166</vt:lpstr>
      <vt:lpstr>Cellule_1660</vt:lpstr>
      <vt:lpstr>Cellule_1661</vt:lpstr>
      <vt:lpstr>Cellule_1662</vt:lpstr>
      <vt:lpstr>Cellule_1664</vt:lpstr>
      <vt:lpstr>Cellule_1665</vt:lpstr>
      <vt:lpstr>Cellule_1666</vt:lpstr>
      <vt:lpstr>Cellule_1667</vt:lpstr>
      <vt:lpstr>Cellule_1668</vt:lpstr>
      <vt:lpstr>Cellule_1669</vt:lpstr>
      <vt:lpstr>Cellule_167</vt:lpstr>
      <vt:lpstr>Cellule_1670</vt:lpstr>
      <vt:lpstr>Cellule_1672</vt:lpstr>
      <vt:lpstr>Cellule_1673</vt:lpstr>
      <vt:lpstr>Cellule_1674</vt:lpstr>
      <vt:lpstr>Cellule_1675</vt:lpstr>
      <vt:lpstr>Cellule_1676</vt:lpstr>
      <vt:lpstr>Cellule_1677</vt:lpstr>
      <vt:lpstr>Cellule_1678</vt:lpstr>
      <vt:lpstr>Cellule_1679</vt:lpstr>
      <vt:lpstr>Cellule_168</vt:lpstr>
      <vt:lpstr>Cellule_1680</vt:lpstr>
      <vt:lpstr>Cellule_1681</vt:lpstr>
      <vt:lpstr>Cellule_1682</vt:lpstr>
      <vt:lpstr>Cellule_1683</vt:lpstr>
      <vt:lpstr>Cellule_1685</vt:lpstr>
      <vt:lpstr>Cellule_1686</vt:lpstr>
      <vt:lpstr>Cellule_1687</vt:lpstr>
      <vt:lpstr>Cellule_1688</vt:lpstr>
      <vt:lpstr>Cellule_1689</vt:lpstr>
      <vt:lpstr>Cellule_169</vt:lpstr>
      <vt:lpstr>Cellule_1690</vt:lpstr>
      <vt:lpstr>Cellule_1691</vt:lpstr>
      <vt:lpstr>Cellule_170</vt:lpstr>
      <vt:lpstr>Cellule_1700</vt:lpstr>
      <vt:lpstr>Cellule_1701</vt:lpstr>
      <vt:lpstr>Cellule_1702</vt:lpstr>
      <vt:lpstr>Cellule_1703</vt:lpstr>
      <vt:lpstr>Cellule_1704</vt:lpstr>
      <vt:lpstr>Cellule_1705</vt:lpstr>
      <vt:lpstr>Cellule_1706</vt:lpstr>
      <vt:lpstr>Cellule_1707</vt:lpstr>
      <vt:lpstr>Cellule_1708</vt:lpstr>
      <vt:lpstr>Cellule_1709</vt:lpstr>
      <vt:lpstr>Cellule_171</vt:lpstr>
      <vt:lpstr>Cellule_1710</vt:lpstr>
      <vt:lpstr>Cellule_1711</vt:lpstr>
      <vt:lpstr>Cellule_1712</vt:lpstr>
      <vt:lpstr>Cellule_1713</vt:lpstr>
      <vt:lpstr>Cellule_1714</vt:lpstr>
      <vt:lpstr>Cellule_1715</vt:lpstr>
      <vt:lpstr>Cellule_1716</vt:lpstr>
      <vt:lpstr>Cellule_1717</vt:lpstr>
      <vt:lpstr>Cellule_1718</vt:lpstr>
      <vt:lpstr>Cellule_1719</vt:lpstr>
      <vt:lpstr>Cellule_172</vt:lpstr>
      <vt:lpstr>Cellule_1720</vt:lpstr>
      <vt:lpstr>Cellule_1721</vt:lpstr>
      <vt:lpstr>Cellule_1722</vt:lpstr>
      <vt:lpstr>Cellule_1723</vt:lpstr>
      <vt:lpstr>Cellule_1724</vt:lpstr>
      <vt:lpstr>Cellule_1725</vt:lpstr>
      <vt:lpstr>Cellule_1726</vt:lpstr>
      <vt:lpstr>Cellule_1727</vt:lpstr>
      <vt:lpstr>Cellule_1728</vt:lpstr>
      <vt:lpstr>Cellule_1729</vt:lpstr>
      <vt:lpstr>Cellule_173</vt:lpstr>
      <vt:lpstr>Cellule_1730</vt:lpstr>
      <vt:lpstr>Cellule_1731</vt:lpstr>
      <vt:lpstr>Cellule_1733</vt:lpstr>
      <vt:lpstr>Cellule_1734</vt:lpstr>
      <vt:lpstr>Cellule_1736</vt:lpstr>
      <vt:lpstr>Cellule_1737</vt:lpstr>
      <vt:lpstr>Cellule_1738</vt:lpstr>
      <vt:lpstr>Cellule_1739</vt:lpstr>
      <vt:lpstr>Cellule_174</vt:lpstr>
      <vt:lpstr>Cellule_1740</vt:lpstr>
      <vt:lpstr>Cellule_1741</vt:lpstr>
      <vt:lpstr>Cellule_1742</vt:lpstr>
      <vt:lpstr>Cellule_1748</vt:lpstr>
      <vt:lpstr>Cellule_1749</vt:lpstr>
      <vt:lpstr>Cellule_175</vt:lpstr>
      <vt:lpstr>Cellule_1750</vt:lpstr>
      <vt:lpstr>Cellule_1751</vt:lpstr>
      <vt:lpstr>Cellule_1752</vt:lpstr>
      <vt:lpstr>Cellule_1753</vt:lpstr>
      <vt:lpstr>Cellule_1754</vt:lpstr>
      <vt:lpstr>Cellule_1755</vt:lpstr>
      <vt:lpstr>Cellule_1757</vt:lpstr>
      <vt:lpstr>Cellule_1758</vt:lpstr>
      <vt:lpstr>Cellule_1759</vt:lpstr>
      <vt:lpstr>Cellule_176</vt:lpstr>
      <vt:lpstr>Cellule_1760</vt:lpstr>
      <vt:lpstr>Cellule_1761</vt:lpstr>
      <vt:lpstr>Cellule_1762</vt:lpstr>
      <vt:lpstr>Cellule_1763</vt:lpstr>
      <vt:lpstr>Cellule_1764</vt:lpstr>
      <vt:lpstr>Cellule_1765</vt:lpstr>
      <vt:lpstr>Cellule_1766</vt:lpstr>
      <vt:lpstr>Cellule_1767</vt:lpstr>
      <vt:lpstr>Cellule_1769</vt:lpstr>
      <vt:lpstr>Cellule_177</vt:lpstr>
      <vt:lpstr>Cellule_1770</vt:lpstr>
      <vt:lpstr>Cellule_1771</vt:lpstr>
      <vt:lpstr>Cellule_1772</vt:lpstr>
      <vt:lpstr>Cellule_1773</vt:lpstr>
      <vt:lpstr>Cellule_1774</vt:lpstr>
      <vt:lpstr>Cellule_1775</vt:lpstr>
      <vt:lpstr>Cellule_178</vt:lpstr>
      <vt:lpstr>Cellule_1784</vt:lpstr>
      <vt:lpstr>Cellule_1785</vt:lpstr>
      <vt:lpstr>Cellule_1786</vt:lpstr>
      <vt:lpstr>Cellule_1787</vt:lpstr>
      <vt:lpstr>Cellule_1788</vt:lpstr>
      <vt:lpstr>Cellule_1789</vt:lpstr>
      <vt:lpstr>Cellule_179</vt:lpstr>
      <vt:lpstr>Cellule_1790</vt:lpstr>
      <vt:lpstr>Cellule_1791</vt:lpstr>
      <vt:lpstr>Cellule_1792</vt:lpstr>
      <vt:lpstr>Cellule_17929</vt:lpstr>
      <vt:lpstr>Cellule_1793</vt:lpstr>
      <vt:lpstr>Cellule_1794</vt:lpstr>
      <vt:lpstr>Cellule_1795</vt:lpstr>
      <vt:lpstr>Cellule_1796</vt:lpstr>
      <vt:lpstr>Cellule_1797</vt:lpstr>
      <vt:lpstr>Cellule_1798</vt:lpstr>
      <vt:lpstr>Cellule_18</vt:lpstr>
      <vt:lpstr>Cellule_1800</vt:lpstr>
      <vt:lpstr>Cellule_1801</vt:lpstr>
      <vt:lpstr>Cellule_1802</vt:lpstr>
      <vt:lpstr>Cellule_1803</vt:lpstr>
      <vt:lpstr>Cellule_1804</vt:lpstr>
      <vt:lpstr>Cellule_1805</vt:lpstr>
      <vt:lpstr>Cellule_1806</vt:lpstr>
      <vt:lpstr>Cellule_1807</vt:lpstr>
      <vt:lpstr>Cellule_1808</vt:lpstr>
      <vt:lpstr>Cellule_1809</vt:lpstr>
      <vt:lpstr>Cellule_181</vt:lpstr>
      <vt:lpstr>Cellule_1810</vt:lpstr>
      <vt:lpstr>Cellule_1811</vt:lpstr>
      <vt:lpstr>Cellule_1812</vt:lpstr>
      <vt:lpstr>Cellule_1813</vt:lpstr>
      <vt:lpstr>Cellule_1814</vt:lpstr>
      <vt:lpstr>Cellule_1815</vt:lpstr>
      <vt:lpstr>Cellule_1816</vt:lpstr>
      <vt:lpstr>Cellule_1817</vt:lpstr>
      <vt:lpstr>Cellule_1819</vt:lpstr>
      <vt:lpstr>Cellule_182</vt:lpstr>
      <vt:lpstr>Cellule_1820</vt:lpstr>
      <vt:lpstr>Cellule_1821</vt:lpstr>
      <vt:lpstr>Cellule_1822</vt:lpstr>
      <vt:lpstr>Cellule_1823</vt:lpstr>
      <vt:lpstr>Cellule_1824</vt:lpstr>
      <vt:lpstr>Cellule_1825</vt:lpstr>
      <vt:lpstr>Cellule_1827</vt:lpstr>
      <vt:lpstr>Cellule_1828</vt:lpstr>
      <vt:lpstr>Cellule_1829</vt:lpstr>
      <vt:lpstr>Cellule_183</vt:lpstr>
      <vt:lpstr>Cellule_1830</vt:lpstr>
      <vt:lpstr>Cellule_1831</vt:lpstr>
      <vt:lpstr>Cellule_1832</vt:lpstr>
      <vt:lpstr>Cellule_1833</vt:lpstr>
      <vt:lpstr>Cellule_1834</vt:lpstr>
      <vt:lpstr>Cellule_1836</vt:lpstr>
      <vt:lpstr>Cellule_1837</vt:lpstr>
      <vt:lpstr>Cellule_1838</vt:lpstr>
      <vt:lpstr>Cellule_1839</vt:lpstr>
      <vt:lpstr>Cellule_184</vt:lpstr>
      <vt:lpstr>Cellule_1840</vt:lpstr>
      <vt:lpstr>Cellule_1841</vt:lpstr>
      <vt:lpstr>Cellule_1842</vt:lpstr>
      <vt:lpstr>Cellule_1844</vt:lpstr>
      <vt:lpstr>Cellule_1845</vt:lpstr>
      <vt:lpstr>Cellule_1846</vt:lpstr>
      <vt:lpstr>Cellule_1847</vt:lpstr>
      <vt:lpstr>Cellule_1848</vt:lpstr>
      <vt:lpstr>Cellule_1849</vt:lpstr>
      <vt:lpstr>Cellule_1850</vt:lpstr>
      <vt:lpstr>Cellule_1851</vt:lpstr>
      <vt:lpstr>Cellule_1853</vt:lpstr>
      <vt:lpstr>Cellule_1854</vt:lpstr>
      <vt:lpstr>Cellule_1855</vt:lpstr>
      <vt:lpstr>Cellule_1856</vt:lpstr>
      <vt:lpstr>Cellule_1857</vt:lpstr>
      <vt:lpstr>Cellule_1858</vt:lpstr>
      <vt:lpstr>Cellule_1859</vt:lpstr>
      <vt:lpstr>Cellule_186</vt:lpstr>
      <vt:lpstr>Cellule_1861</vt:lpstr>
      <vt:lpstr>Cellule_1862</vt:lpstr>
      <vt:lpstr>Cellule_1863</vt:lpstr>
      <vt:lpstr>Cellule_1864</vt:lpstr>
      <vt:lpstr>Cellule_1865</vt:lpstr>
      <vt:lpstr>Cellule_1866</vt:lpstr>
      <vt:lpstr>Cellule_1867</vt:lpstr>
      <vt:lpstr>Cellule_1869</vt:lpstr>
      <vt:lpstr>Cellule_187</vt:lpstr>
      <vt:lpstr>Cellule_1870</vt:lpstr>
      <vt:lpstr>Cellule_1871</vt:lpstr>
      <vt:lpstr>Cellule_1872</vt:lpstr>
      <vt:lpstr>Cellule_1873</vt:lpstr>
      <vt:lpstr>Cellule_1874</vt:lpstr>
      <vt:lpstr>Cellule_1875</vt:lpstr>
      <vt:lpstr>Cellule_1877</vt:lpstr>
      <vt:lpstr>Cellule_1878</vt:lpstr>
      <vt:lpstr>Cellule_1879</vt:lpstr>
      <vt:lpstr>Cellule_188</vt:lpstr>
      <vt:lpstr>Cellule_1880</vt:lpstr>
      <vt:lpstr>Cellule_1881</vt:lpstr>
      <vt:lpstr>Cellule_1882</vt:lpstr>
      <vt:lpstr>Cellule_1883</vt:lpstr>
      <vt:lpstr>Cellule_1884</vt:lpstr>
      <vt:lpstr>Cellule_1886</vt:lpstr>
      <vt:lpstr>Cellule_1887</vt:lpstr>
      <vt:lpstr>Cellule_1888</vt:lpstr>
      <vt:lpstr>Cellule_1889</vt:lpstr>
      <vt:lpstr>Cellule_189</vt:lpstr>
      <vt:lpstr>Cellule_1890</vt:lpstr>
      <vt:lpstr>Cellule_1891</vt:lpstr>
      <vt:lpstr>Cellule_1892</vt:lpstr>
      <vt:lpstr>Cellule_1894</vt:lpstr>
      <vt:lpstr>Cellule_1895</vt:lpstr>
      <vt:lpstr>Cellule_1896</vt:lpstr>
      <vt:lpstr>Cellule_1897</vt:lpstr>
      <vt:lpstr>Cellule_1898</vt:lpstr>
      <vt:lpstr>Cellule_1899</vt:lpstr>
      <vt:lpstr>Cellule_1900</vt:lpstr>
      <vt:lpstr>Cellule_1901</vt:lpstr>
      <vt:lpstr>Cellule_1903</vt:lpstr>
      <vt:lpstr>Cellule_1904</vt:lpstr>
      <vt:lpstr>Cellule_1905</vt:lpstr>
      <vt:lpstr>Cellule_1906</vt:lpstr>
      <vt:lpstr>Cellule_1907</vt:lpstr>
      <vt:lpstr>Cellule_1908</vt:lpstr>
      <vt:lpstr>Cellule_1909</vt:lpstr>
      <vt:lpstr>Cellule_1910</vt:lpstr>
      <vt:lpstr>Cellule_1912</vt:lpstr>
      <vt:lpstr>Cellule_1913</vt:lpstr>
      <vt:lpstr>Cellule_1914</vt:lpstr>
      <vt:lpstr>Cellule_1915</vt:lpstr>
      <vt:lpstr>Cellule_1916</vt:lpstr>
      <vt:lpstr>Cellule_1917</vt:lpstr>
      <vt:lpstr>Cellule_1918</vt:lpstr>
      <vt:lpstr>Cellule_1919</vt:lpstr>
      <vt:lpstr>Cellule_192</vt:lpstr>
      <vt:lpstr>Cellule_1921</vt:lpstr>
      <vt:lpstr>Cellule_1922</vt:lpstr>
      <vt:lpstr>Cellule_1923</vt:lpstr>
      <vt:lpstr>Cellule_1924</vt:lpstr>
      <vt:lpstr>Cellule_1925</vt:lpstr>
      <vt:lpstr>Cellule_1926</vt:lpstr>
      <vt:lpstr>Cellule_1927</vt:lpstr>
      <vt:lpstr>Cellule_1928</vt:lpstr>
      <vt:lpstr>Cellule_1929_1</vt:lpstr>
      <vt:lpstr>Cellule_1929_2</vt:lpstr>
      <vt:lpstr>Cellule_1929_3</vt:lpstr>
      <vt:lpstr>Cellule_1929_4</vt:lpstr>
      <vt:lpstr>Cellule_1929_5</vt:lpstr>
      <vt:lpstr>Cellule_1929_6</vt:lpstr>
      <vt:lpstr>Cellule_193</vt:lpstr>
      <vt:lpstr>Cellule_1930_1</vt:lpstr>
      <vt:lpstr>Cellule_1930_2</vt:lpstr>
      <vt:lpstr>Cellule_1930_3</vt:lpstr>
      <vt:lpstr>Cellule_1930_4</vt:lpstr>
      <vt:lpstr>Cellule_1930_5</vt:lpstr>
      <vt:lpstr>Cellule_1930_6</vt:lpstr>
      <vt:lpstr>Cellule_1931_1</vt:lpstr>
      <vt:lpstr>Cellule_1931_2</vt:lpstr>
      <vt:lpstr>Cellule_1931_3</vt:lpstr>
      <vt:lpstr>Cellule_1931_4</vt:lpstr>
      <vt:lpstr>Cellule_1931_5</vt:lpstr>
      <vt:lpstr>Cellule_1931_6</vt:lpstr>
      <vt:lpstr>Cellule_1932_1</vt:lpstr>
      <vt:lpstr>Cellule_1932_2</vt:lpstr>
      <vt:lpstr>Cellule_1932_3</vt:lpstr>
      <vt:lpstr>Cellule_1932_4</vt:lpstr>
      <vt:lpstr>Cellule_1932_5</vt:lpstr>
      <vt:lpstr>Cellule_1932_6</vt:lpstr>
      <vt:lpstr>Cellule_1933_1</vt:lpstr>
      <vt:lpstr>Cellule_1933_2</vt:lpstr>
      <vt:lpstr>Cellule_1933_3</vt:lpstr>
      <vt:lpstr>Cellule_1933_4</vt:lpstr>
      <vt:lpstr>Cellule_1933_5</vt:lpstr>
      <vt:lpstr>Cellule_1933_6</vt:lpstr>
      <vt:lpstr>Cellule_1934_1</vt:lpstr>
      <vt:lpstr>Cellule_1934_2</vt:lpstr>
      <vt:lpstr>Cellule_1934_3</vt:lpstr>
      <vt:lpstr>Cellule_1934_4</vt:lpstr>
      <vt:lpstr>Cellule_1934_5</vt:lpstr>
      <vt:lpstr>Cellule_1934_6</vt:lpstr>
      <vt:lpstr>Cellule_1935_1</vt:lpstr>
      <vt:lpstr>Cellule_1935_2</vt:lpstr>
      <vt:lpstr>Cellule_1935_3</vt:lpstr>
      <vt:lpstr>Cellule_1935_4</vt:lpstr>
      <vt:lpstr>Cellule_1935_5</vt:lpstr>
      <vt:lpstr>Cellule_1935_6</vt:lpstr>
      <vt:lpstr>Cellule_1936_1</vt:lpstr>
      <vt:lpstr>Cellule_1936_2</vt:lpstr>
      <vt:lpstr>Cellule_1936_3</vt:lpstr>
      <vt:lpstr>Cellule_1936_4</vt:lpstr>
      <vt:lpstr>Cellule_1936_5</vt:lpstr>
      <vt:lpstr>Cellule_1936_6</vt:lpstr>
      <vt:lpstr>Cellule_194</vt:lpstr>
      <vt:lpstr>Cellule_195</vt:lpstr>
      <vt:lpstr>Cellule_196</vt:lpstr>
      <vt:lpstr>Cellule_1963</vt:lpstr>
      <vt:lpstr>Cellule_1964</vt:lpstr>
      <vt:lpstr>Cellule_1965</vt:lpstr>
      <vt:lpstr>Cellule_1966</vt:lpstr>
      <vt:lpstr>Cellule_1967</vt:lpstr>
      <vt:lpstr>Cellule_1968</vt:lpstr>
      <vt:lpstr>Cellule_1969</vt:lpstr>
      <vt:lpstr>Cellule_197</vt:lpstr>
      <vt:lpstr>Cellule_1970</vt:lpstr>
      <vt:lpstr>Cellule_1971</vt:lpstr>
      <vt:lpstr>Cellule_1972</vt:lpstr>
      <vt:lpstr>Cellule_1973</vt:lpstr>
      <vt:lpstr>Cellule_1974</vt:lpstr>
      <vt:lpstr>Cellule_1975</vt:lpstr>
      <vt:lpstr>Cellule_1976</vt:lpstr>
      <vt:lpstr>Cellule_1977</vt:lpstr>
      <vt:lpstr>Cellule_1978</vt:lpstr>
      <vt:lpstr>Cellule_1979</vt:lpstr>
      <vt:lpstr>Cellule_198</vt:lpstr>
      <vt:lpstr>Cellule_1980</vt:lpstr>
      <vt:lpstr>Cellule_1981</vt:lpstr>
      <vt:lpstr>Cellule_1982</vt:lpstr>
      <vt:lpstr>Cellule_1983</vt:lpstr>
      <vt:lpstr>Cellule_1984</vt:lpstr>
      <vt:lpstr>Cellule_1985</vt:lpstr>
      <vt:lpstr>Cellule_1986</vt:lpstr>
      <vt:lpstr>Cellule_1987</vt:lpstr>
      <vt:lpstr>Cellule_1988</vt:lpstr>
      <vt:lpstr>Cellule_1989</vt:lpstr>
      <vt:lpstr>Cellule_199</vt:lpstr>
      <vt:lpstr>Cellule_1990</vt:lpstr>
      <vt:lpstr>Cellule_1991</vt:lpstr>
      <vt:lpstr>Cellule_1992</vt:lpstr>
      <vt:lpstr>Cellule_1993</vt:lpstr>
      <vt:lpstr>Cellule_1994</vt:lpstr>
      <vt:lpstr>Cellule_1995</vt:lpstr>
      <vt:lpstr>Cellule_1996</vt:lpstr>
      <vt:lpstr>Cellule_1997</vt:lpstr>
      <vt:lpstr>Cellule_1998</vt:lpstr>
      <vt:lpstr>Cellule_1999</vt:lpstr>
      <vt:lpstr>Cellule_2000</vt:lpstr>
      <vt:lpstr>Cellule_2001</vt:lpstr>
      <vt:lpstr>Cellule_2002</vt:lpstr>
      <vt:lpstr>Cellule_2003</vt:lpstr>
      <vt:lpstr>Cellule_2004</vt:lpstr>
      <vt:lpstr>Cellule_2005</vt:lpstr>
      <vt:lpstr>Cellule_2006</vt:lpstr>
      <vt:lpstr>Cellule_2007</vt:lpstr>
      <vt:lpstr>Cellule_2008</vt:lpstr>
      <vt:lpstr>Cellule_2009</vt:lpstr>
      <vt:lpstr>Cellule_2010</vt:lpstr>
      <vt:lpstr>Cellule_2011</vt:lpstr>
      <vt:lpstr>Cellule_2012</vt:lpstr>
      <vt:lpstr>Cellule_2013</vt:lpstr>
      <vt:lpstr>Cellule_2014</vt:lpstr>
      <vt:lpstr>Cellule_2022</vt:lpstr>
      <vt:lpstr>Cellule_2024</vt:lpstr>
      <vt:lpstr>Cellule_2025</vt:lpstr>
      <vt:lpstr>Cellule_2026</vt:lpstr>
      <vt:lpstr>Cellule_2027</vt:lpstr>
      <vt:lpstr>Cellule_2028</vt:lpstr>
      <vt:lpstr>Cellule_2029</vt:lpstr>
      <vt:lpstr>Cellule_2031</vt:lpstr>
      <vt:lpstr>Cellule_2032</vt:lpstr>
      <vt:lpstr>Cellule_2033</vt:lpstr>
      <vt:lpstr>Cellule_2034</vt:lpstr>
      <vt:lpstr>Cellule_2035</vt:lpstr>
      <vt:lpstr>Cellule_2037</vt:lpstr>
      <vt:lpstr>Cellule_2038</vt:lpstr>
      <vt:lpstr>Cellule_2039</vt:lpstr>
      <vt:lpstr>Cellule_2040</vt:lpstr>
      <vt:lpstr>Cellule_2041</vt:lpstr>
      <vt:lpstr>Cellule_2042</vt:lpstr>
      <vt:lpstr>Cellule_2043</vt:lpstr>
      <vt:lpstr>Cellule_2044_1</vt:lpstr>
      <vt:lpstr>Cellule_2044_2</vt:lpstr>
      <vt:lpstr>Cellule_2044_3</vt:lpstr>
      <vt:lpstr>Cellule_2044_4</vt:lpstr>
      <vt:lpstr>Cellule_2045_1</vt:lpstr>
      <vt:lpstr>Cellule_2045_2</vt:lpstr>
      <vt:lpstr>Cellule_2045_3</vt:lpstr>
      <vt:lpstr>Cellule_2045_4</vt:lpstr>
      <vt:lpstr>Cellule_2046_1</vt:lpstr>
      <vt:lpstr>Cellule_2046_2</vt:lpstr>
      <vt:lpstr>Cellule_2046_3</vt:lpstr>
      <vt:lpstr>Cellule_2046_4</vt:lpstr>
      <vt:lpstr>Cellule_2047_1</vt:lpstr>
      <vt:lpstr>Cellule_2047_2</vt:lpstr>
      <vt:lpstr>Cellule_2047_3</vt:lpstr>
      <vt:lpstr>Cellule_2047_4</vt:lpstr>
      <vt:lpstr>Cellule_2048_1</vt:lpstr>
      <vt:lpstr>Cellule_2048_2</vt:lpstr>
      <vt:lpstr>Cellule_2048_3</vt:lpstr>
      <vt:lpstr>Cellule_2048_4</vt:lpstr>
      <vt:lpstr>Cellule_2049_1</vt:lpstr>
      <vt:lpstr>Cellule_2049_2</vt:lpstr>
      <vt:lpstr>Cellule_2049_3</vt:lpstr>
      <vt:lpstr>Cellule_2049_4</vt:lpstr>
      <vt:lpstr>Cellule_2050_1</vt:lpstr>
      <vt:lpstr>Cellule_2050_2</vt:lpstr>
      <vt:lpstr>Cellule_2050_3</vt:lpstr>
      <vt:lpstr>Cellule_2050_4</vt:lpstr>
      <vt:lpstr>Cellule_2051_1</vt:lpstr>
      <vt:lpstr>Cellule_2051_2</vt:lpstr>
      <vt:lpstr>Cellule_2051_3</vt:lpstr>
      <vt:lpstr>Cellule_2051_4</vt:lpstr>
      <vt:lpstr>Cellule_2052_1</vt:lpstr>
      <vt:lpstr>Cellule_2052_2</vt:lpstr>
      <vt:lpstr>Cellule_2052_3</vt:lpstr>
      <vt:lpstr>Cellule_2052_4</vt:lpstr>
      <vt:lpstr>Cellule_2053_1</vt:lpstr>
      <vt:lpstr>Cellule_2053_2</vt:lpstr>
      <vt:lpstr>Cellule_2053_3</vt:lpstr>
      <vt:lpstr>Cellule_2053_4</vt:lpstr>
      <vt:lpstr>Cellule_2055</vt:lpstr>
      <vt:lpstr>Cellule_2056</vt:lpstr>
      <vt:lpstr>Cellule_2057</vt:lpstr>
      <vt:lpstr>Cellule_2058</vt:lpstr>
      <vt:lpstr>Cellule_2059</vt:lpstr>
      <vt:lpstr>Cellule_2060</vt:lpstr>
      <vt:lpstr>Cellule_2061</vt:lpstr>
      <vt:lpstr>Cellule_2062</vt:lpstr>
      <vt:lpstr>Cellule_2063</vt:lpstr>
      <vt:lpstr>Cellule_2065</vt:lpstr>
      <vt:lpstr>Cellule_2066</vt:lpstr>
      <vt:lpstr>Cellule_2067</vt:lpstr>
      <vt:lpstr>Cellule_2068</vt:lpstr>
      <vt:lpstr>Cellule_207</vt:lpstr>
      <vt:lpstr>Cellule_2070</vt:lpstr>
      <vt:lpstr>Cellule_2071</vt:lpstr>
      <vt:lpstr>Cellule_2072</vt:lpstr>
      <vt:lpstr>Cellule_2073</vt:lpstr>
      <vt:lpstr>Cellule_2075</vt:lpstr>
      <vt:lpstr>Cellule_2076</vt:lpstr>
      <vt:lpstr>Cellule_2077</vt:lpstr>
      <vt:lpstr>Cellule_2078</vt:lpstr>
      <vt:lpstr>Cellule_208</vt:lpstr>
      <vt:lpstr>Cellule_2080</vt:lpstr>
      <vt:lpstr>Cellule_2081</vt:lpstr>
      <vt:lpstr>Cellule_2082</vt:lpstr>
      <vt:lpstr>Cellule_2083</vt:lpstr>
      <vt:lpstr>Cellule_2085</vt:lpstr>
      <vt:lpstr>Cellule_2086</vt:lpstr>
      <vt:lpstr>Cellule_2087</vt:lpstr>
      <vt:lpstr>Cellule_2088</vt:lpstr>
      <vt:lpstr>Cellule_209</vt:lpstr>
      <vt:lpstr>Cellule_2094_1</vt:lpstr>
      <vt:lpstr>Cellule_2094_2</vt:lpstr>
      <vt:lpstr>Cellule_2094_3</vt:lpstr>
      <vt:lpstr>Cellule_2094_4</vt:lpstr>
      <vt:lpstr>Cellule_2094_5</vt:lpstr>
      <vt:lpstr>Cellule_2094_6</vt:lpstr>
      <vt:lpstr>Cellule_2095_1</vt:lpstr>
      <vt:lpstr>Cellule_2095_2</vt:lpstr>
      <vt:lpstr>Cellule_2095_3</vt:lpstr>
      <vt:lpstr>Cellule_2095_4</vt:lpstr>
      <vt:lpstr>Cellule_2095_5</vt:lpstr>
      <vt:lpstr>Cellule_2095_6</vt:lpstr>
      <vt:lpstr>Cellule_2096_1</vt:lpstr>
      <vt:lpstr>Cellule_2096_2</vt:lpstr>
      <vt:lpstr>Cellule_2096_3</vt:lpstr>
      <vt:lpstr>Cellule_2096_4</vt:lpstr>
      <vt:lpstr>Cellule_2096_5</vt:lpstr>
      <vt:lpstr>Cellule_2096_6</vt:lpstr>
      <vt:lpstr>Cellule_2097_1</vt:lpstr>
      <vt:lpstr>Cellule_2097_2</vt:lpstr>
      <vt:lpstr>Cellule_2097_3</vt:lpstr>
      <vt:lpstr>Cellule_2097_4</vt:lpstr>
      <vt:lpstr>Cellule_2097_5</vt:lpstr>
      <vt:lpstr>Cellule_2097_6</vt:lpstr>
      <vt:lpstr>Cellule_2098_1</vt:lpstr>
      <vt:lpstr>Cellule_2098_2</vt:lpstr>
      <vt:lpstr>Cellule_2098_3</vt:lpstr>
      <vt:lpstr>Cellule_2098_4</vt:lpstr>
      <vt:lpstr>Cellule_2098_5</vt:lpstr>
      <vt:lpstr>Cellule_2098_6</vt:lpstr>
      <vt:lpstr>Cellule_2099_1</vt:lpstr>
      <vt:lpstr>Cellule_2099_2</vt:lpstr>
      <vt:lpstr>Cellule_2099_3</vt:lpstr>
      <vt:lpstr>Cellule_2099_4</vt:lpstr>
      <vt:lpstr>Cellule_2099_5</vt:lpstr>
      <vt:lpstr>Cellule_2099_6</vt:lpstr>
      <vt:lpstr>Cellule_210</vt:lpstr>
      <vt:lpstr>Cellule_2100_1</vt:lpstr>
      <vt:lpstr>Cellule_2100_2</vt:lpstr>
      <vt:lpstr>Cellule_2100_3</vt:lpstr>
      <vt:lpstr>Cellule_2100_4</vt:lpstr>
      <vt:lpstr>Cellule_2100_5</vt:lpstr>
      <vt:lpstr>Cellule_2100_6</vt:lpstr>
      <vt:lpstr>Cellule_2101_1</vt:lpstr>
      <vt:lpstr>Cellule_2101_2</vt:lpstr>
      <vt:lpstr>Cellule_2101_3</vt:lpstr>
      <vt:lpstr>Cellule_2101_4</vt:lpstr>
      <vt:lpstr>Cellule_2101_5</vt:lpstr>
      <vt:lpstr>Cellule_2101_6</vt:lpstr>
      <vt:lpstr>Cellule_211</vt:lpstr>
      <vt:lpstr>Cellule_212</vt:lpstr>
      <vt:lpstr>Cellule_213</vt:lpstr>
      <vt:lpstr>Cellule_214</vt:lpstr>
      <vt:lpstr>Cellule_215</vt:lpstr>
      <vt:lpstr>Cellule_216</vt:lpstr>
      <vt:lpstr>Cellule_217</vt:lpstr>
      <vt:lpstr>Cellule_218</vt:lpstr>
      <vt:lpstr>Cellule_219</vt:lpstr>
      <vt:lpstr>Cellule_22</vt:lpstr>
      <vt:lpstr>Cellule_220</vt:lpstr>
      <vt:lpstr>Cellule_221</vt:lpstr>
      <vt:lpstr>Cellule_222</vt:lpstr>
      <vt:lpstr>Cellule_223</vt:lpstr>
      <vt:lpstr>Cellule_224</vt:lpstr>
      <vt:lpstr>Cellule_225</vt:lpstr>
      <vt:lpstr>Cellule_226</vt:lpstr>
      <vt:lpstr>Cellule_227</vt:lpstr>
      <vt:lpstr>Cellule_228</vt:lpstr>
      <vt:lpstr>Cellule_229</vt:lpstr>
      <vt:lpstr>Cellule_230</vt:lpstr>
      <vt:lpstr>Cellule_231</vt:lpstr>
      <vt:lpstr>Cellule_232</vt:lpstr>
      <vt:lpstr>Cellule_233</vt:lpstr>
      <vt:lpstr>Cellule_234</vt:lpstr>
      <vt:lpstr>Cellule_238</vt:lpstr>
      <vt:lpstr>Cellule_239</vt:lpstr>
      <vt:lpstr>Cellule_240</vt:lpstr>
      <vt:lpstr>Cellule_241</vt:lpstr>
      <vt:lpstr>Cellule_242</vt:lpstr>
      <vt:lpstr>Cellule_243</vt:lpstr>
      <vt:lpstr>Cellule_244</vt:lpstr>
      <vt:lpstr>Cellule_245</vt:lpstr>
      <vt:lpstr>Cellule_246</vt:lpstr>
      <vt:lpstr>Cellule_247</vt:lpstr>
      <vt:lpstr>Cellule_248</vt:lpstr>
      <vt:lpstr>Cellule_249</vt:lpstr>
      <vt:lpstr>Cellule_254</vt:lpstr>
      <vt:lpstr>Cellule_255</vt:lpstr>
      <vt:lpstr>Cellule_256</vt:lpstr>
      <vt:lpstr>Cellule_257</vt:lpstr>
      <vt:lpstr>Cellule_258</vt:lpstr>
      <vt:lpstr>Cellule_259</vt:lpstr>
      <vt:lpstr>Cellule_260</vt:lpstr>
      <vt:lpstr>Cellule_261</vt:lpstr>
      <vt:lpstr>Cellule_262</vt:lpstr>
      <vt:lpstr>Cellule_263</vt:lpstr>
      <vt:lpstr>Cellule_264</vt:lpstr>
      <vt:lpstr>Cellule_265</vt:lpstr>
      <vt:lpstr>Cellule_266</vt:lpstr>
      <vt:lpstr>Cellule_267</vt:lpstr>
      <vt:lpstr>Cellule_268</vt:lpstr>
      <vt:lpstr>Cellule_269</vt:lpstr>
      <vt:lpstr>Cellule_274</vt:lpstr>
      <vt:lpstr>Cellule_275</vt:lpstr>
      <vt:lpstr>Cellule_276</vt:lpstr>
      <vt:lpstr>Cellule_277</vt:lpstr>
      <vt:lpstr>Cellule_278</vt:lpstr>
      <vt:lpstr>Cellule_279</vt:lpstr>
      <vt:lpstr>Cellule_280</vt:lpstr>
      <vt:lpstr>Cellule_281</vt:lpstr>
      <vt:lpstr>Cellule_282</vt:lpstr>
      <vt:lpstr>Cellule_283</vt:lpstr>
      <vt:lpstr>Cellule_284</vt:lpstr>
      <vt:lpstr>Cellule_285</vt:lpstr>
      <vt:lpstr>Cellule_286</vt:lpstr>
      <vt:lpstr>Cellule_287</vt:lpstr>
      <vt:lpstr>Cellule_288</vt:lpstr>
      <vt:lpstr>Cellule_289</vt:lpstr>
      <vt:lpstr>Cellule_291</vt:lpstr>
      <vt:lpstr>Cellule_292</vt:lpstr>
      <vt:lpstr>Cellule_293</vt:lpstr>
      <vt:lpstr>Cellule_294</vt:lpstr>
      <vt:lpstr>Cellule_296</vt:lpstr>
      <vt:lpstr>Cellule_297</vt:lpstr>
      <vt:lpstr>Cellule_298</vt:lpstr>
      <vt:lpstr>Cellule_299</vt:lpstr>
      <vt:lpstr>Cellule_303</vt:lpstr>
      <vt:lpstr>Cellule_304</vt:lpstr>
      <vt:lpstr>Cellule_305</vt:lpstr>
      <vt:lpstr>Cellule_306</vt:lpstr>
      <vt:lpstr>Cellule_307</vt:lpstr>
      <vt:lpstr>Cellule_308</vt:lpstr>
      <vt:lpstr>Cellule_309</vt:lpstr>
      <vt:lpstr>Cellule_310</vt:lpstr>
      <vt:lpstr>Cellule_311</vt:lpstr>
      <vt:lpstr>Cellule_312</vt:lpstr>
      <vt:lpstr>Cellule_313</vt:lpstr>
      <vt:lpstr>Cellule_314</vt:lpstr>
      <vt:lpstr>Cellule_316</vt:lpstr>
      <vt:lpstr>Cellule_317</vt:lpstr>
      <vt:lpstr>Cellule_318</vt:lpstr>
      <vt:lpstr>Cellule_319</vt:lpstr>
      <vt:lpstr>Cellule_330</vt:lpstr>
      <vt:lpstr>Cellule_4063</vt:lpstr>
      <vt:lpstr>Cellule_4064</vt:lpstr>
      <vt:lpstr>Cellule_4066</vt:lpstr>
      <vt:lpstr>Cellule_4067</vt:lpstr>
      <vt:lpstr>Cellule_471</vt:lpstr>
      <vt:lpstr>Cellule_473</vt:lpstr>
      <vt:lpstr>Cellule_475</vt:lpstr>
      <vt:lpstr>Cellule_477</vt:lpstr>
      <vt:lpstr>Cellule_479</vt:lpstr>
      <vt:lpstr>Cellule_481</vt:lpstr>
      <vt:lpstr>Cellule_483</vt:lpstr>
      <vt:lpstr>Cellule_485</vt:lpstr>
      <vt:lpstr>Cellule_487</vt:lpstr>
      <vt:lpstr>Cellule_489</vt:lpstr>
      <vt:lpstr>Cellule_491</vt:lpstr>
      <vt:lpstr>Cellule_493</vt:lpstr>
      <vt:lpstr>Cellule_495</vt:lpstr>
      <vt:lpstr>Cellule_497</vt:lpstr>
      <vt:lpstr>Cellule_498</vt:lpstr>
      <vt:lpstr>Cellule_499</vt:lpstr>
      <vt:lpstr>Cellule_50</vt:lpstr>
      <vt:lpstr>Cellule_500</vt:lpstr>
      <vt:lpstr>Cellule_502</vt:lpstr>
      <vt:lpstr>Cellule_503</vt:lpstr>
      <vt:lpstr>Cellule_504</vt:lpstr>
      <vt:lpstr>Cellule_505</vt:lpstr>
      <vt:lpstr>Cellule_507</vt:lpstr>
      <vt:lpstr>Cellule_508</vt:lpstr>
      <vt:lpstr>Cellule_509</vt:lpstr>
      <vt:lpstr>Cellule_51</vt:lpstr>
      <vt:lpstr>Cellule_510</vt:lpstr>
      <vt:lpstr>Cellule_512</vt:lpstr>
      <vt:lpstr>Cellule_513</vt:lpstr>
      <vt:lpstr>Cellule_514</vt:lpstr>
      <vt:lpstr>Cellule_515</vt:lpstr>
      <vt:lpstr>Cellule_517</vt:lpstr>
      <vt:lpstr>Cellule_518</vt:lpstr>
      <vt:lpstr>Cellule_519</vt:lpstr>
      <vt:lpstr>Cellule_52</vt:lpstr>
      <vt:lpstr>Cellule_520</vt:lpstr>
      <vt:lpstr>Cellule_522</vt:lpstr>
      <vt:lpstr>Cellule_523</vt:lpstr>
      <vt:lpstr>Cellule_524</vt:lpstr>
      <vt:lpstr>Cellule_525</vt:lpstr>
      <vt:lpstr>Cellule_527</vt:lpstr>
      <vt:lpstr>Cellule_528</vt:lpstr>
      <vt:lpstr>Cellule_529</vt:lpstr>
      <vt:lpstr>Cellule_53</vt:lpstr>
      <vt:lpstr>Cellule_530</vt:lpstr>
      <vt:lpstr>Cellule_532</vt:lpstr>
      <vt:lpstr>Cellule_533</vt:lpstr>
      <vt:lpstr>Cellule_534</vt:lpstr>
      <vt:lpstr>Cellule_535</vt:lpstr>
      <vt:lpstr>Cellule_54</vt:lpstr>
      <vt:lpstr>Cellule_55</vt:lpstr>
      <vt:lpstr>Cellule_6872</vt:lpstr>
      <vt:lpstr>Cellule_6873</vt:lpstr>
      <vt:lpstr>Cellule_6874</vt:lpstr>
      <vt:lpstr>Cellule_6875</vt:lpstr>
      <vt:lpstr>Cellule_70</vt:lpstr>
      <vt:lpstr>Cellule_71</vt:lpstr>
      <vt:lpstr>Cellule_72</vt:lpstr>
      <vt:lpstr>Cellule_7830_1</vt:lpstr>
      <vt:lpstr>Cellule_7830_2</vt:lpstr>
      <vt:lpstr>Cellule_7830_3</vt:lpstr>
      <vt:lpstr>Cellule_7830_4</vt:lpstr>
      <vt:lpstr>Cellule_7830_5</vt:lpstr>
      <vt:lpstr>Cellule_7830_6</vt:lpstr>
      <vt:lpstr>Cellule_817</vt:lpstr>
      <vt:lpstr>Cellule_818</vt:lpstr>
      <vt:lpstr>Cellule_819</vt:lpstr>
      <vt:lpstr>Cellule_820</vt:lpstr>
      <vt:lpstr>Cellule_821_1</vt:lpstr>
      <vt:lpstr>Cellule_821_2</vt:lpstr>
      <vt:lpstr>Cellule_821_3</vt:lpstr>
      <vt:lpstr>Cellule_821_4</vt:lpstr>
      <vt:lpstr>Cellule_821_5</vt:lpstr>
      <vt:lpstr>Cellule_821_6</vt:lpstr>
      <vt:lpstr>Cellule_822_1</vt:lpstr>
      <vt:lpstr>Cellule_822_2</vt:lpstr>
      <vt:lpstr>Cellule_822_3</vt:lpstr>
      <vt:lpstr>Cellule_822_4</vt:lpstr>
      <vt:lpstr>Cellule_822_5</vt:lpstr>
      <vt:lpstr>Cellule_822_6</vt:lpstr>
      <vt:lpstr>Cellule_823_1</vt:lpstr>
      <vt:lpstr>Cellule_823_2</vt:lpstr>
      <vt:lpstr>Cellule_823_3</vt:lpstr>
      <vt:lpstr>Cellule_823_4</vt:lpstr>
      <vt:lpstr>Cellule_823_5</vt:lpstr>
      <vt:lpstr>Cellule_823_6</vt:lpstr>
      <vt:lpstr>Cellule_824_1</vt:lpstr>
      <vt:lpstr>Cellule_824_2</vt:lpstr>
      <vt:lpstr>Cellule_824_3</vt:lpstr>
      <vt:lpstr>Cellule_824_4</vt:lpstr>
      <vt:lpstr>Cellule_824_5</vt:lpstr>
      <vt:lpstr>Cellule_824_6</vt:lpstr>
      <vt:lpstr>Cellule_825_1</vt:lpstr>
      <vt:lpstr>Cellule_825_2</vt:lpstr>
      <vt:lpstr>Cellule_825_3</vt:lpstr>
      <vt:lpstr>Cellule_825_4</vt:lpstr>
      <vt:lpstr>Cellule_825_5</vt:lpstr>
      <vt:lpstr>Cellule_825_6</vt:lpstr>
      <vt:lpstr>Cellule_826_1</vt:lpstr>
      <vt:lpstr>Cellule_826_2</vt:lpstr>
      <vt:lpstr>Cellule_826_3</vt:lpstr>
      <vt:lpstr>Cellule_826_4</vt:lpstr>
      <vt:lpstr>Cellule_826_5</vt:lpstr>
      <vt:lpstr>Cellule_826_6</vt:lpstr>
      <vt:lpstr>Cellule_827_1</vt:lpstr>
      <vt:lpstr>Cellule_827_2</vt:lpstr>
      <vt:lpstr>Cellule_827_3</vt:lpstr>
      <vt:lpstr>Cellule_827_4</vt:lpstr>
      <vt:lpstr>Cellule_827_5</vt:lpstr>
      <vt:lpstr>Cellule_827_6</vt:lpstr>
      <vt:lpstr>Cellule_828_1</vt:lpstr>
      <vt:lpstr>Cellule_828_2</vt:lpstr>
      <vt:lpstr>Cellule_828_3</vt:lpstr>
      <vt:lpstr>Cellule_828_4</vt:lpstr>
      <vt:lpstr>Cellule_828_5</vt:lpstr>
      <vt:lpstr>Cellule_828_6</vt:lpstr>
      <vt:lpstr>Cellule_829_1</vt:lpstr>
      <vt:lpstr>Cellule_829_2</vt:lpstr>
      <vt:lpstr>Cellule_829_3</vt:lpstr>
      <vt:lpstr>Cellule_829_4</vt:lpstr>
      <vt:lpstr>Cellule_829_5</vt:lpstr>
      <vt:lpstr>Cellule_829_6</vt:lpstr>
      <vt:lpstr>Cellule_830_1</vt:lpstr>
      <vt:lpstr>Cellule_830_2</vt:lpstr>
      <vt:lpstr>Cellule_830_3</vt:lpstr>
      <vt:lpstr>Cellule_830_4</vt:lpstr>
      <vt:lpstr>Cellule_830_5</vt:lpstr>
      <vt:lpstr>Cellule_830_6</vt:lpstr>
      <vt:lpstr>Cellule_831_1</vt:lpstr>
      <vt:lpstr>Cellule_831_2</vt:lpstr>
      <vt:lpstr>Cellule_831_3</vt:lpstr>
      <vt:lpstr>Cellule_831_4</vt:lpstr>
      <vt:lpstr>Cellule_831_5</vt:lpstr>
      <vt:lpstr>Cellule_831_6</vt:lpstr>
      <vt:lpstr>Cellule_833</vt:lpstr>
      <vt:lpstr>Cellule_834</vt:lpstr>
      <vt:lpstr>Cellule_837</vt:lpstr>
      <vt:lpstr>Cellule_838</vt:lpstr>
      <vt:lpstr>Cellule_839</vt:lpstr>
      <vt:lpstr>Cellule_840</vt:lpstr>
      <vt:lpstr>Cellule_845</vt:lpstr>
      <vt:lpstr>Cellule_846</vt:lpstr>
      <vt:lpstr>Cellule_847</vt:lpstr>
      <vt:lpstr>Cellule_848</vt:lpstr>
      <vt:lpstr>Cellule_849</vt:lpstr>
      <vt:lpstr>Cellule_850</vt:lpstr>
      <vt:lpstr>Cellule_851</vt:lpstr>
      <vt:lpstr>Cellule_852</vt:lpstr>
      <vt:lpstr>Cellule_854</vt:lpstr>
      <vt:lpstr>Cellule_855</vt:lpstr>
      <vt:lpstr>Cellule_860</vt:lpstr>
      <vt:lpstr>Cellule_861</vt:lpstr>
      <vt:lpstr>Cellule_862</vt:lpstr>
      <vt:lpstr>Cellule_863</vt:lpstr>
      <vt:lpstr>Cellule_864</vt:lpstr>
      <vt:lpstr>Cellule_865</vt:lpstr>
      <vt:lpstr>Cellule_866</vt:lpstr>
      <vt:lpstr>Cellule_867</vt:lpstr>
      <vt:lpstr>Cellule_966</vt:lpstr>
      <vt:lpstr>Cellule_967</vt:lpstr>
      <vt:lpstr>Cellule_968</vt:lpstr>
      <vt:lpstr>Cellule_969</vt:lpstr>
      <vt:lpstr>Cellule_970</vt:lpstr>
      <vt:lpstr>Cellule_971</vt:lpstr>
      <vt:lpstr>Cellule_972</vt:lpstr>
      <vt:lpstr>Cellule_973</vt:lpstr>
      <vt:lpstr>Cellule_974</vt:lpstr>
      <vt:lpstr>Cellule_975</vt:lpstr>
      <vt:lpstr>Cellule_976</vt:lpstr>
      <vt:lpstr>Cellule_977</vt:lpstr>
      <vt:lpstr>Cellule_978</vt:lpstr>
      <vt:lpstr>Cellule_979</vt:lpstr>
      <vt:lpstr>Cellule_980</vt:lpstr>
      <vt:lpstr>Cellule_981</vt:lpstr>
      <vt:lpstr>Cellule_982</vt:lpstr>
      <vt:lpstr>Cellule_983</vt:lpstr>
      <vt:lpstr>Cellule_984</vt:lpstr>
      <vt:lpstr>Cellule_985</vt:lpstr>
      <vt:lpstr>Cellule_986</vt:lpstr>
      <vt:lpstr>Cellule_987</vt:lpstr>
      <vt:lpstr>Cellule_988</vt:lpstr>
      <vt:lpstr>Cellule_989</vt:lpstr>
      <vt:lpstr>Cellule_990</vt:lpstr>
      <vt:lpstr>Cellule_991</vt:lpstr>
      <vt:lpstr>Cellule_992</vt:lpstr>
      <vt:lpstr>Cellule_993</vt:lpstr>
      <vt:lpstr>Cellule_994</vt:lpstr>
      <vt:lpstr>Cellule_995</vt:lpstr>
      <vt:lpstr>Cellule_996</vt:lpstr>
      <vt:lpstr>Cellule_997</vt:lpstr>
      <vt:lpstr>Cellule_998</vt:lpstr>
      <vt:lpstr>Cellule_999</vt:lpstr>
      <vt:lpstr>Cellule497</vt:lpstr>
      <vt:lpstr>ETASYNT_Balance_Liste</vt:lpstr>
      <vt:lpstr>'Balance N Retraitée'!Impression_des_titres</vt:lpstr>
      <vt:lpstr>' A2 Dérogations'!Zone_d_impression</vt:lpstr>
      <vt:lpstr>'B13-res cour'!Zone_d_impression</vt:lpstr>
      <vt:lpstr>'B1-Tab non val'!Zone_d_impression</vt:lpstr>
      <vt:lpstr>'B6-CREANCES-01'!Zone_d_impression</vt:lpstr>
      <vt:lpstr>'B7-dettes'!Zone_d_impression</vt:lpstr>
      <vt:lpstr>'B8-SURETES-01'!Zone_d_impression</vt:lpstr>
      <vt:lpstr>'B9-Eng fin'!Zone_d_impression</vt:lpstr>
      <vt:lpstr>'Balance N'!Zone_d_impression</vt:lpstr>
      <vt:lpstr>'Balance N Retraitée'!Zone_d_impression</vt:lpstr>
      <vt:lpstr>'bilan condens'!Zone_d_impression</vt:lpstr>
      <vt:lpstr>'C3-3 exer'!Zone_d_impression</vt:lpstr>
      <vt:lpstr>'C4-ope  dev'!Zone_d_impression</vt:lpstr>
      <vt:lpstr>'C5- Datation'!Zone_d_impression</vt:lpstr>
      <vt:lpstr>'ETIC  A0 A1'!Zone_d_impression</vt:lpstr>
      <vt:lpstr>Identification!Zone_d_impression</vt:lpstr>
      <vt:lpstr>'T1 Bilan'!Zone_d_impression</vt:lpstr>
      <vt:lpstr>'T10 B3-+-Value'!Zone_d_impression</vt:lpstr>
      <vt:lpstr>'T11 B4-Titres part'!Zone_d_impression</vt:lpstr>
      <vt:lpstr>'T12 B14-TVA'!Zone_d_impression</vt:lpstr>
      <vt:lpstr>'T13 C1-rép cap'!Zone_d_impression</vt:lpstr>
      <vt:lpstr>'T14 C2-affec resu'!Zone_d_impression</vt:lpstr>
      <vt:lpstr>'T16 Amort'!Zone_d_impression</vt:lpstr>
      <vt:lpstr>'T18 Emprunts'!Zone_d_impression</vt:lpstr>
      <vt:lpstr>'T19 Locations'!Zone_d_impression</vt:lpstr>
      <vt:lpstr>'T2 CPC'!Zone_d_impression</vt:lpstr>
      <vt:lpstr>'T3 B12-res fis'!Zone_d_impression</vt:lpstr>
      <vt:lpstr>'T4 B2-immo'!Zone_d_impression</vt:lpstr>
      <vt:lpstr>'T5 ESG'!Zone_d_impression</vt:lpstr>
      <vt:lpstr>'T6 TB11'!Zone_d_impression</vt:lpstr>
      <vt:lpstr>'T7 CNCET B10-CB'!Zone_d_impression</vt:lpstr>
      <vt:lpstr>'T8 B2 BIS'!Zone_d_impression</vt:lpstr>
      <vt:lpstr>'T9 B5-PROV'!Zone_d_impression</vt:lpstr>
      <vt:lpstr>TF!Zone_d_impression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Salah Eddine Jiri</cp:lastModifiedBy>
  <cp:lastPrinted>2016-10-26T14:22:00Z</cp:lastPrinted>
  <dcterms:created xsi:type="dcterms:W3CDTF">1999-06-29T16:54:12Z</dcterms:created>
  <dcterms:modified xsi:type="dcterms:W3CDTF">2025-04-10T17:54:08Z</dcterms:modified>
</cp:coreProperties>
</file>